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25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8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22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20730" windowHeight="11760" tabRatio="465" firstSheet="12" activeTab="19"/>
  </bookViews>
  <sheets>
    <sheet name="Jan" sheetId="1" r:id="rId1"/>
    <sheet name="DailyJan" sheetId="2" r:id="rId2"/>
    <sheet name="Feb" sheetId="3" r:id="rId3"/>
    <sheet name="DailyFeb" sheetId="4" r:id="rId4"/>
    <sheet name="Mar" sheetId="5" r:id="rId5"/>
    <sheet name="DailyMar" sheetId="6" r:id="rId6"/>
    <sheet name="Apr" sheetId="7" r:id="rId7"/>
    <sheet name="DailyApr" sheetId="8" r:id="rId8"/>
    <sheet name="Mei" sheetId="9" r:id="rId9"/>
    <sheet name="DailyMei" sheetId="10" r:id="rId10"/>
    <sheet name="Jun" sheetId="11" r:id="rId11"/>
    <sheet name="DailyJun" sheetId="12" r:id="rId12"/>
    <sheet name="Jul" sheetId="13" r:id="rId13"/>
    <sheet name="DailyJul" sheetId="14" r:id="rId14"/>
    <sheet name="Aug" sheetId="15" r:id="rId15"/>
    <sheet name="DailyAug" sheetId="16" r:id="rId16"/>
    <sheet name="Sep" sheetId="17" r:id="rId17"/>
    <sheet name="DailySep" sheetId="18" r:id="rId18"/>
    <sheet name="Oct" sheetId="19" r:id="rId19"/>
    <sheet name="DailyOct" sheetId="20" r:id="rId20"/>
    <sheet name="Nov" sheetId="21" state="hidden" r:id="rId21"/>
    <sheet name="DailyNov" sheetId="22" state="hidden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5">DailyAug!$A$1:$BU$69</definedName>
    <definedName name="Z_32ABFE17_599B_4D0B_A1DB_D95B181877FC_.wvu.Cols" localSheetId="6" hidden="1"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definedName>
    <definedName name="Z_32ABFE17_599B_4D0B_A1DB_D95B181877FC_.wvu.Cols" localSheetId="14" hidden="1"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definedName>
    <definedName name="Z_32ABFE17_599B_4D0B_A1DB_D95B181877FC_.wvu.Cols" localSheetId="7" hidden="1">DailyApr!$D:$M,DailyApr!$O:$U,DailyApr!$W:$X,DailyApr!$AH:$AJ,DailyApr!$AL:$AN,DailyApr!$AP:$AR,DailyApr!$AT:$AX,DailyApr!$AZ:$BC,DailyApr!$BE:$BF,DailyApr!$BV:$CG</definedName>
    <definedName name="Z_32ABFE17_599B_4D0B_A1DB_D95B181877FC_.wvu.Cols" localSheetId="3" hidden="1">DailyFeb!$D:$M,DailyFeb!$W:$X,DailyFeb!$AH:$AJ,DailyFeb!$AL:$AN,DailyFeb!$AP:$AR</definedName>
    <definedName name="Z_32ABFE17_599B_4D0B_A1DB_D95B181877FC_.wvu.Cols" localSheetId="1" hidden="1">DailyJan!$D:$M,DailyJan!$W:$X,DailyJan!$AH:$AJ,DailyJan!$AL:$AN,DailyJan!$AP:$AR,DailyJan!$AT:$AX,DailyJan!$AZ:$BC,DailyJan!$BX:$BY</definedName>
    <definedName name="Z_32ABFE17_599B_4D0B_A1DB_D95B181877FC_.wvu.Cols" localSheetId="13" hidden="1">DailyJul!$D:$M,DailyJul!$O:$U,DailyJul!$W:$X,DailyJul!$AH:$AJ,DailyJul!$AL:$AN,DailyJul!$AP:$AR,DailyJul!$AT:$AX,DailyJul!$AZ:$BC,DailyJul!$BE:$BF</definedName>
    <definedName name="Z_32ABFE17_599B_4D0B_A1DB_D95B181877FC_.wvu.Cols" localSheetId="11" hidden="1">DailyJun!$D:$M,DailyJun!$O:$U,DailyJun!$W:$X,DailyJun!$AH:$AJ,DailyJun!$AL:$AN,DailyJun!$AP:$AR,DailyJun!$AT:$AX,DailyJun!$AZ:$BC,DailyJun!$BE:$BF,DailyJun!$BV:$CI</definedName>
    <definedName name="Z_32ABFE17_599B_4D0B_A1DB_D95B181877FC_.wvu.Cols" localSheetId="5" hidden="1">DailyMar!$D:$M,DailyMar!$O:$U,DailyMar!$W:$X,DailyMar!$AH:$AJ,DailyMar!$AL:$AN,DailyMar!$AP:$AR,DailyMar!$AT:$AX,DailyMar!$AZ:$BC,DailyMar!$BE:$BF,DailyMar!$BV:$CC</definedName>
    <definedName name="Z_32ABFE17_599B_4D0B_A1DB_D95B181877FC_.wvu.Cols" localSheetId="9" hidden="1">DailyMei!$D:$M,DailyMei!$O:$U,DailyMei!$W:$X,DailyMei!$AH:$AJ,DailyMei!$AL:$AN,DailyMei!$AP:$AR,DailyMei!$AT:$AX,DailyMei!$AZ:$BC,DailyMei!$BE:$BF,DailyMei!$BV:$CK</definedName>
    <definedName name="Z_32ABFE17_599B_4D0B_A1DB_D95B181877FC_.wvu.Cols" localSheetId="2" hidden="1"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definedName>
    <definedName name="Z_32ABFE17_599B_4D0B_A1DB_D95B181877FC_.wvu.Cols" localSheetId="0" hidden="1"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definedName>
    <definedName name="Z_32ABFE17_599B_4D0B_A1DB_D95B181877FC_.wvu.Cols" localSheetId="12" hidden="1"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definedName>
    <definedName name="Z_32ABFE17_599B_4D0B_A1DB_D95B181877FC_.wvu.Cols" localSheetId="10" hidden="1"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definedName>
    <definedName name="Z_32ABFE17_599B_4D0B_A1DB_D95B181877FC_.wvu.Cols" localSheetId="4" hidden="1"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definedName>
    <definedName name="Z_32ABFE17_599B_4D0B_A1DB_D95B181877FC_.wvu.Cols" localSheetId="8" hidden="1"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definedName>
    <definedName name="Z_32ABFE17_599B_4D0B_A1DB_D95B181877FC_.wvu.Cols" localSheetId="20" hidden="1"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definedName>
    <definedName name="Z_32ABFE17_599B_4D0B_A1DB_D95B181877FC_.wvu.Cols" localSheetId="18" hidden="1"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definedName>
    <definedName name="Z_32ABFE17_599B_4D0B_A1DB_D95B181877FC_.wvu.Cols" localSheetId="16" hidden="1"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definedName>
    <definedName name="Z_32ABFE17_599B_4D0B_A1DB_D95B181877FC_.wvu.PrintArea" localSheetId="15" hidden="1">DailyAug!$A$1:$BU$69</definedName>
    <definedName name="Z_32ABFE17_599B_4D0B_A1DB_D95B181877FC_.wvu.Rows" localSheetId="6" hidden="1">Apr!$38:$38</definedName>
    <definedName name="Z_32ABFE17_599B_4D0B_A1DB_D95B181877FC_.wvu.Rows" localSheetId="7" hidden="1">DailyApr!$37:$37</definedName>
    <definedName name="Z_32ABFE17_599B_4D0B_A1DB_D95B181877FC_.wvu.Rows" localSheetId="3" hidden="1">DailyFeb!$35:$37</definedName>
    <definedName name="Z_32ABFE17_599B_4D0B_A1DB_D95B181877FC_.wvu.Rows" localSheetId="11" hidden="1">DailyJun!$37:$37</definedName>
    <definedName name="Z_32ABFE17_599B_4D0B_A1DB_D95B181877FC_.wvu.Rows" localSheetId="2" hidden="1">Feb!$36:$38</definedName>
    <definedName name="Z_48545DB9_4D9D_4699_ACEC_DA6E2D3586A8_.wvu.Cols" localSheetId="6" hidden="1"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definedName>
    <definedName name="Z_48545DB9_4D9D_4699_ACEC_DA6E2D3586A8_.wvu.Cols" localSheetId="14" hidden="1"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definedName>
    <definedName name="Z_48545DB9_4D9D_4699_ACEC_DA6E2D3586A8_.wvu.Cols" localSheetId="7" hidden="1">DailyApr!$D:$M,DailyApr!$O:$U,DailyApr!$W:$X,DailyApr!$AH:$AJ,DailyApr!$AL:$AN,DailyApr!$AP:$AR,DailyApr!$AT:$AX,DailyApr!$AZ:$BC,DailyApr!$BE:$BF,DailyApr!$BV:$CG</definedName>
    <definedName name="Z_48545DB9_4D9D_4699_ACEC_DA6E2D3586A8_.wvu.Cols" localSheetId="3" hidden="1">DailyFeb!$D:$M,DailyFeb!$W:$X,DailyFeb!$AH:$AJ,DailyFeb!$AL:$AN,DailyFeb!$AP:$AR</definedName>
    <definedName name="Z_48545DB9_4D9D_4699_ACEC_DA6E2D3586A8_.wvu.Cols" localSheetId="1" hidden="1">DailyJan!$D:$M,DailyJan!$W:$X,DailyJan!$AH:$AJ,DailyJan!$AL:$AN,DailyJan!$AP:$AR,DailyJan!$AT:$AX,DailyJan!$AZ:$BC,DailyJan!$BX:$BY</definedName>
    <definedName name="Z_48545DB9_4D9D_4699_ACEC_DA6E2D3586A8_.wvu.Cols" localSheetId="13" hidden="1">DailyJul!$D:$M,DailyJul!$O:$U,DailyJul!$W:$X,DailyJul!$AH:$AJ,DailyJul!$AL:$AN,DailyJul!$AP:$AR,DailyJul!$AT:$AX,DailyJul!$AZ:$BC,DailyJul!$BE:$BF</definedName>
    <definedName name="Z_48545DB9_4D9D_4699_ACEC_DA6E2D3586A8_.wvu.Cols" localSheetId="11" hidden="1">DailyJun!$D:$M,DailyJun!$O:$U,DailyJun!$W:$X,DailyJun!$AH:$AJ,DailyJun!$AL:$AN,DailyJun!$AP:$AR,DailyJun!$AT:$AX,DailyJun!$AZ:$BC,DailyJun!$BE:$BF,DailyJun!$BV:$CI</definedName>
    <definedName name="Z_48545DB9_4D9D_4699_ACEC_DA6E2D3586A8_.wvu.Cols" localSheetId="5" hidden="1">DailyMar!$D:$M,DailyMar!$O:$U,DailyMar!$W:$X,DailyMar!$AH:$AJ,DailyMar!$AL:$AN,DailyMar!$AP:$AR,DailyMar!$AT:$AX,DailyMar!$AZ:$BC,DailyMar!$BE:$BF,DailyMar!$BV:$CC</definedName>
    <definedName name="Z_48545DB9_4D9D_4699_ACEC_DA6E2D3586A8_.wvu.Cols" localSheetId="9" hidden="1">DailyMei!$D:$M,DailyMei!$O:$U,DailyMei!$W:$X,DailyMei!$AH:$AJ,DailyMei!$AL:$AN,DailyMei!$AP:$AR,DailyMei!$AT:$AX,DailyMei!$AZ:$BC,DailyMei!$BE:$BF,DailyMei!$BV:$CK</definedName>
    <definedName name="Z_48545DB9_4D9D_4699_ACEC_DA6E2D3586A8_.wvu.Cols" localSheetId="19" hidden="1">DailyOct!$D:$M,DailyOct!$O:$U,DailyOct!$W:$AJ,DailyOct!$AL:$AN,DailyOct!$AP:$AX,DailyOct!$AZ:$BC,DailyOct!$BE:$BG</definedName>
    <definedName name="Z_48545DB9_4D9D_4699_ACEC_DA6E2D3586A8_.wvu.Cols" localSheetId="2" hidden="1"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definedName>
    <definedName name="Z_48545DB9_4D9D_4699_ACEC_DA6E2D3586A8_.wvu.Cols" localSheetId="0" hidden="1"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definedName>
    <definedName name="Z_48545DB9_4D9D_4699_ACEC_DA6E2D3586A8_.wvu.Cols" localSheetId="12" hidden="1"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definedName>
    <definedName name="Z_48545DB9_4D9D_4699_ACEC_DA6E2D3586A8_.wvu.Cols" localSheetId="10" hidden="1"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definedName>
    <definedName name="Z_48545DB9_4D9D_4699_ACEC_DA6E2D3586A8_.wvu.Cols" localSheetId="4" hidden="1"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definedName>
    <definedName name="Z_48545DB9_4D9D_4699_ACEC_DA6E2D3586A8_.wvu.Cols" localSheetId="8" hidden="1"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definedName>
    <definedName name="Z_48545DB9_4D9D_4699_ACEC_DA6E2D3586A8_.wvu.Cols" localSheetId="20" hidden="1"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definedName>
    <definedName name="Z_48545DB9_4D9D_4699_ACEC_DA6E2D3586A8_.wvu.Cols" localSheetId="18" hidden="1"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definedName>
    <definedName name="Z_48545DB9_4D9D_4699_ACEC_DA6E2D3586A8_.wvu.Cols" localSheetId="16" hidden="1"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definedName>
    <definedName name="Z_48545DB9_4D9D_4699_ACEC_DA6E2D3586A8_.wvu.PrintArea" localSheetId="15" hidden="1">DailyAug!$A$1:$BU$69</definedName>
    <definedName name="Z_48545DB9_4D9D_4699_ACEC_DA6E2D3586A8_.wvu.Rows" localSheetId="6" hidden="1">Apr!$38:$38</definedName>
    <definedName name="Z_48545DB9_4D9D_4699_ACEC_DA6E2D3586A8_.wvu.Rows" localSheetId="7" hidden="1">DailyApr!$37:$37</definedName>
    <definedName name="Z_48545DB9_4D9D_4699_ACEC_DA6E2D3586A8_.wvu.Rows" localSheetId="3" hidden="1">DailyFeb!$35:$37</definedName>
    <definedName name="Z_48545DB9_4D9D_4699_ACEC_DA6E2D3586A8_.wvu.Rows" localSheetId="11" hidden="1">DailyJun!$37:$37</definedName>
    <definedName name="Z_48545DB9_4D9D_4699_ACEC_DA6E2D3586A8_.wvu.Rows" localSheetId="2" hidden="1">Feb!$36:$38</definedName>
  </definedNames>
  <calcPr calcId="144525" iterateDelta="1E-4"/>
  <customWorkbookViews>
    <customWorkbookView name="Produksi-PM - Personal View" guid="{48545DB9-4D9D-4699-ACEC-DA6E2D3586A8}" mergeInterval="0" personalView="1" maximized="1" windowWidth="1362" windowHeight="508" tabRatio="465" activeSheetId="20"/>
    <customWorkbookView name="win10 - Personal View" guid="{32ABFE17-599B-4D0B-A1DB-D95B181877FC}" mergeInterval="0" personalView="1" maximized="1" xWindow="-8" yWindow="-8" windowWidth="1936" windowHeight="1056" tabRatio="465" activeSheetId="2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Q38" i="20" l="1"/>
  <c r="G77" i="19" l="1"/>
  <c r="BU37" i="20" s="1"/>
  <c r="J77" i="19"/>
  <c r="D77" i="19"/>
  <c r="DZ38" i="19"/>
  <c r="GP38" i="19"/>
  <c r="FU75" i="19" l="1"/>
  <c r="FW75" i="19" s="1"/>
  <c r="FG38" i="19" s="1"/>
  <c r="FG75" i="19"/>
  <c r="FG74" i="19"/>
  <c r="GW38" i="19"/>
  <c r="KE38" i="19"/>
  <c r="KB38" i="19"/>
  <c r="JY38" i="19"/>
  <c r="JV38" i="19"/>
  <c r="JS38" i="19"/>
  <c r="JP38" i="19"/>
  <c r="JM38" i="19"/>
  <c r="JJ38" i="19"/>
  <c r="JG38" i="19"/>
  <c r="JD38" i="19"/>
  <c r="JA38" i="19"/>
  <c r="IX38" i="19"/>
  <c r="IU38" i="19"/>
  <c r="IR38" i="19"/>
  <c r="IO38" i="19"/>
  <c r="IL38" i="19"/>
  <c r="IE38" i="19"/>
  <c r="IB38" i="19"/>
  <c r="HY38" i="19"/>
  <c r="HV38" i="19"/>
  <c r="HS38" i="19"/>
  <c r="HP38" i="19"/>
  <c r="HM38" i="19"/>
  <c r="HJ38" i="19"/>
  <c r="GS38" i="19"/>
  <c r="GJ38" i="19"/>
  <c r="GG38" i="19" s="1"/>
  <c r="GD38" i="19"/>
  <c r="GA38" i="19"/>
  <c r="FX38" i="19"/>
  <c r="FS38" i="19"/>
  <c r="FP38" i="19"/>
  <c r="FJ38" i="19"/>
  <c r="FC38" i="19"/>
  <c r="EZ38" i="19"/>
  <c r="EW38" i="19"/>
  <c r="ET38" i="19"/>
  <c r="EM38" i="19"/>
  <c r="EJ38" i="19"/>
  <c r="DW38" i="19"/>
  <c r="DT38" i="19"/>
  <c r="IH38" i="19" s="1"/>
  <c r="DR38" i="19"/>
  <c r="DE38" i="19"/>
  <c r="DA38" i="19"/>
  <c r="DB38" i="19" s="1"/>
  <c r="CW38" i="19"/>
  <c r="CX38" i="19" s="1"/>
  <c r="CS38" i="19"/>
  <c r="CT38" i="19" s="1"/>
  <c r="CO38" i="19"/>
  <c r="CP38" i="19" s="1"/>
  <c r="CH38" i="19"/>
  <c r="CF38" i="19"/>
  <c r="CD38" i="19"/>
  <c r="CA38" i="19"/>
  <c r="CK38" i="19" s="1"/>
  <c r="CL38" i="19" s="1"/>
  <c r="BW38" i="19"/>
  <c r="BX38" i="19" s="1"/>
  <c r="BT38" i="19"/>
  <c r="BR38" i="19"/>
  <c r="BN38" i="19"/>
  <c r="BL38" i="19"/>
  <c r="BJ38" i="19"/>
  <c r="BG38" i="19"/>
  <c r="BC38" i="19"/>
  <c r="AZ38" i="19"/>
  <c r="AR38" i="19"/>
  <c r="AS38" i="19" s="1"/>
  <c r="AI38" i="19"/>
  <c r="AJ38" i="19" s="1"/>
  <c r="AE38" i="19"/>
  <c r="AF38" i="19" s="1"/>
  <c r="AB38" i="19"/>
  <c r="V38" i="19"/>
  <c r="T38" i="19"/>
  <c r="Q38" i="19"/>
  <c r="N38" i="19"/>
  <c r="K38" i="19"/>
  <c r="F38" i="19"/>
  <c r="D38" i="19"/>
  <c r="C38" i="19"/>
  <c r="AN38" i="19" l="1"/>
  <c r="AO38" i="19" s="1"/>
  <c r="G38" i="19"/>
  <c r="II38" i="19"/>
  <c r="X38" i="19"/>
  <c r="AK38" i="19" s="1"/>
  <c r="DH38" i="19" s="1"/>
  <c r="KG38" i="19"/>
  <c r="CB38" i="19"/>
  <c r="FV75" i="19"/>
  <c r="EQ38" i="19" s="1"/>
  <c r="FD38" i="19" s="1"/>
  <c r="R38" i="19"/>
  <c r="FU38" i="19"/>
  <c r="FT38" i="19"/>
  <c r="FM38" i="19" s="1"/>
  <c r="DF38" i="19"/>
  <c r="DG38" i="19"/>
  <c r="GP8" i="21"/>
  <c r="CS8" i="21"/>
  <c r="GW8" i="21"/>
  <c r="CD8" i="21"/>
  <c r="DT47" i="21"/>
  <c r="DT48" i="21"/>
  <c r="DR47" i="21"/>
  <c r="DR48" i="21"/>
  <c r="AF7" i="22" s="1"/>
  <c r="GS8" i="21"/>
  <c r="CO8" i="21"/>
  <c r="KE7" i="21"/>
  <c r="KB7" i="21"/>
  <c r="JY7" i="21"/>
  <c r="JV7" i="21"/>
  <c r="JS7" i="21"/>
  <c r="JP7" i="21"/>
  <c r="JM7" i="21"/>
  <c r="JJ7" i="21"/>
  <c r="JG7" i="21"/>
  <c r="JD7" i="21"/>
  <c r="JA7" i="21"/>
  <c r="IX7" i="21"/>
  <c r="IU7" i="21"/>
  <c r="IR7" i="21"/>
  <c r="IO7" i="21"/>
  <c r="GU7" i="21"/>
  <c r="EN7" i="21"/>
  <c r="IH7" i="21"/>
  <c r="II7" i="21" s="1"/>
  <c r="DE7" i="21"/>
  <c r="BP7" i="21"/>
  <c r="BD38" i="19" l="1"/>
  <c r="FA38" i="19"/>
  <c r="KG7" i="21"/>
  <c r="DF7" i="21"/>
  <c r="DG7" i="21"/>
  <c r="FU74" i="19"/>
  <c r="L84" i="19" l="1"/>
  <c r="L81" i="19"/>
  <c r="L79" i="19"/>
  <c r="L82" i="19" l="1"/>
  <c r="L85" i="19" s="1"/>
  <c r="H81" i="19" l="1"/>
  <c r="H82" i="19"/>
  <c r="HM8" i="21" l="1"/>
  <c r="BY7" i="22" s="1"/>
  <c r="KB8" i="21"/>
  <c r="KE8" i="21"/>
  <c r="JY8" i="21"/>
  <c r="JV8" i="21"/>
  <c r="JS8" i="21"/>
  <c r="JP8" i="21"/>
  <c r="JM8" i="21"/>
  <c r="JJ8" i="21"/>
  <c r="IU8" i="21"/>
  <c r="IX8" i="21"/>
  <c r="JA8" i="21"/>
  <c r="JD8" i="21"/>
  <c r="JG8" i="21"/>
  <c r="IR8" i="21"/>
  <c r="IO8" i="21"/>
  <c r="IL8" i="21"/>
  <c r="IE8" i="21"/>
  <c r="CE7" i="22" s="1"/>
  <c r="IE9" i="21"/>
  <c r="CE8" i="22" s="1"/>
  <c r="HY8" i="21"/>
  <c r="HV8" i="21"/>
  <c r="CB7" i="22" s="1"/>
  <c r="IB8" i="21"/>
  <c r="CD7" i="22" s="1"/>
  <c r="HS8" i="21"/>
  <c r="CA7" i="22" s="1"/>
  <c r="HP8" i="21"/>
  <c r="BZ7" i="22" s="1"/>
  <c r="HJ8" i="21"/>
  <c r="BX7" i="22" s="1"/>
  <c r="BE7" i="22"/>
  <c r="BF7" i="22"/>
  <c r="BC7" i="22"/>
  <c r="AJ11" i="22"/>
  <c r="AL11" i="22"/>
  <c r="AJ12" i="22"/>
  <c r="AL12" i="22"/>
  <c r="AJ13" i="22"/>
  <c r="AL13" i="22"/>
  <c r="AJ14" i="22"/>
  <c r="AL14" i="22"/>
  <c r="AJ15" i="22"/>
  <c r="AL15" i="22"/>
  <c r="AJ16" i="22"/>
  <c r="AL16" i="22"/>
  <c r="AJ17" i="22"/>
  <c r="AL17" i="22"/>
  <c r="AJ18" i="22"/>
  <c r="AL18" i="22"/>
  <c r="AJ19" i="22"/>
  <c r="AL19" i="22"/>
  <c r="AJ20" i="22"/>
  <c r="AL20" i="22"/>
  <c r="AJ21" i="22"/>
  <c r="AL21" i="22"/>
  <c r="AJ22" i="22"/>
  <c r="AL22" i="22"/>
  <c r="AJ23" i="22"/>
  <c r="AL23" i="22"/>
  <c r="AJ24" i="22"/>
  <c r="AL24" i="22"/>
  <c r="AJ25" i="22"/>
  <c r="AL25" i="22"/>
  <c r="AJ26" i="22"/>
  <c r="AL26" i="22"/>
  <c r="AJ27" i="22"/>
  <c r="AL27" i="22"/>
  <c r="AJ28" i="22"/>
  <c r="AL28" i="22"/>
  <c r="AJ29" i="22"/>
  <c r="AL29" i="22"/>
  <c r="AJ30" i="22"/>
  <c r="AL30" i="22"/>
  <c r="AJ31" i="22"/>
  <c r="AL31" i="22"/>
  <c r="AJ32" i="22"/>
  <c r="AL32" i="22"/>
  <c r="AJ33" i="22"/>
  <c r="AL33" i="22"/>
  <c r="AJ34" i="22"/>
  <c r="AL34" i="22"/>
  <c r="AJ35" i="22"/>
  <c r="AL35" i="22"/>
  <c r="AJ36" i="22"/>
  <c r="AL36" i="22"/>
  <c r="AJ37" i="22"/>
  <c r="AL37" i="22"/>
  <c r="AJ8" i="22"/>
  <c r="AL8" i="22"/>
  <c r="AJ9" i="22"/>
  <c r="AL9" i="22"/>
  <c r="AL10" i="22"/>
  <c r="AJ10" i="22"/>
  <c r="P7" i="22"/>
  <c r="BG7" i="22" l="1"/>
  <c r="CC7" i="22"/>
  <c r="FG73" i="19"/>
  <c r="FU73" i="19"/>
  <c r="FW73" i="19" s="1"/>
  <c r="FV73" i="19" l="1"/>
  <c r="I38" i="22"/>
  <c r="FP8" i="21"/>
  <c r="FA46" i="21" s="1"/>
  <c r="FJ8" i="21"/>
  <c r="BA7" i="22" s="1"/>
  <c r="FG8" i="21"/>
  <c r="AZ7" i="22" s="1"/>
  <c r="FC8" i="21"/>
  <c r="EZ8" i="21"/>
  <c r="EZ46" i="21" s="1"/>
  <c r="EW8" i="21"/>
  <c r="AV7" i="22" s="1"/>
  <c r="ET8" i="21"/>
  <c r="AU7" i="22" s="1"/>
  <c r="EQ8" i="21"/>
  <c r="EM8" i="21"/>
  <c r="AN7" i="22" s="1"/>
  <c r="EJ8" i="21"/>
  <c r="AM7" i="22" s="1"/>
  <c r="DZ8" i="21"/>
  <c r="AI7" i="22" s="1"/>
  <c r="DW8" i="21"/>
  <c r="DT8" i="21"/>
  <c r="DR8" i="21"/>
  <c r="AD7" i="22" s="1"/>
  <c r="DA8" i="21"/>
  <c r="DE8" i="21"/>
  <c r="DF8" i="21" s="1"/>
  <c r="CW8" i="21"/>
  <c r="CH8" i="21"/>
  <c r="R7" i="22" s="1"/>
  <c r="CF8" i="21"/>
  <c r="Q7" i="22" s="1"/>
  <c r="CA8" i="21"/>
  <c r="BW8" i="21"/>
  <c r="BX8" i="21" s="1"/>
  <c r="BT8" i="21"/>
  <c r="BR8" i="21"/>
  <c r="Z7" i="22" s="1"/>
  <c r="BN8" i="21"/>
  <c r="BL8" i="21"/>
  <c r="BJ8" i="21"/>
  <c r="AB7" i="22" s="1"/>
  <c r="BG8" i="21"/>
  <c r="AA7" i="22" s="1"/>
  <c r="BC8" i="21"/>
  <c r="M7" i="22" s="1"/>
  <c r="AZ8" i="21"/>
  <c r="L7" i="22" s="1"/>
  <c r="AR8" i="21"/>
  <c r="AI8" i="21"/>
  <c r="AJ8" i="21" s="1"/>
  <c r="AE8" i="21"/>
  <c r="H7" i="22" s="1"/>
  <c r="AB8" i="21"/>
  <c r="V8" i="21"/>
  <c r="T8" i="21"/>
  <c r="Q8" i="21"/>
  <c r="R8" i="21" s="1"/>
  <c r="N8" i="21"/>
  <c r="C7" i="22" s="1"/>
  <c r="K8" i="21"/>
  <c r="F8" i="21"/>
  <c r="D8" i="21"/>
  <c r="C8" i="21"/>
  <c r="GJ8" i="21"/>
  <c r="GD8" i="21"/>
  <c r="GA8" i="21"/>
  <c r="AQ7" i="22" s="1"/>
  <c r="FX8" i="21"/>
  <c r="AP7" i="22" s="1"/>
  <c r="FS8" i="21"/>
  <c r="FU54" i="21"/>
  <c r="FU55" i="21"/>
  <c r="FU56" i="21"/>
  <c r="FU57" i="21"/>
  <c r="FU58" i="21"/>
  <c r="FU59" i="21"/>
  <c r="FU60" i="21"/>
  <c r="FU61" i="21"/>
  <c r="FU62" i="21"/>
  <c r="FU63" i="21"/>
  <c r="FU64" i="21"/>
  <c r="FU65" i="21"/>
  <c r="FU66" i="21"/>
  <c r="FU67" i="21"/>
  <c r="FU68" i="21"/>
  <c r="FU69" i="21"/>
  <c r="FU70" i="21"/>
  <c r="FU71" i="21"/>
  <c r="FU72" i="21"/>
  <c r="FU73" i="21"/>
  <c r="FU74" i="21"/>
  <c r="FU75" i="21"/>
  <c r="FU76" i="21"/>
  <c r="FU77" i="21"/>
  <c r="G8" i="21" l="1"/>
  <c r="B7" i="22" s="1"/>
  <c r="AC7" i="22"/>
  <c r="FD8" i="21"/>
  <c r="AT7" i="22"/>
  <c r="GG8" i="21"/>
  <c r="AR7" i="22" s="1"/>
  <c r="AS7" i="22" s="1"/>
  <c r="AX7" i="22"/>
  <c r="CX8" i="21"/>
  <c r="W7" i="22"/>
  <c r="DB8" i="21"/>
  <c r="X7" i="22"/>
  <c r="AS8" i="21"/>
  <c r="K7" i="22"/>
  <c r="IH8" i="21"/>
  <c r="AE7" i="22"/>
  <c r="AG7" i="22" s="1"/>
  <c r="AH7" i="22"/>
  <c r="CP8" i="21"/>
  <c r="T7" i="22"/>
  <c r="X8" i="21"/>
  <c r="G7" i="22" s="1"/>
  <c r="CB8" i="21"/>
  <c r="O7" i="22"/>
  <c r="CT8" i="21"/>
  <c r="U7" i="22"/>
  <c r="D7" i="22"/>
  <c r="AF8" i="21"/>
  <c r="FA8" i="21"/>
  <c r="I7" i="22"/>
  <c r="F7" i="22"/>
  <c r="CK8" i="21"/>
  <c r="DG8" i="21" s="1"/>
  <c r="FU8" i="21"/>
  <c r="FT8" i="21"/>
  <c r="FM8" i="21" s="1"/>
  <c r="AN8" i="21"/>
  <c r="Y7" i="22" l="1"/>
  <c r="BL7" i="22"/>
  <c r="BM7" i="22" s="1"/>
  <c r="AK8" i="21"/>
  <c r="DH8" i="21" s="1"/>
  <c r="CL8" i="21"/>
  <c r="S7" i="22"/>
  <c r="V7" i="22" s="1"/>
  <c r="CF7" i="22"/>
  <c r="KG8" i="21"/>
  <c r="II8" i="21"/>
  <c r="AO8" i="21"/>
  <c r="J7" i="22"/>
  <c r="BD8" i="21"/>
  <c r="FG72" i="19"/>
  <c r="FU72" i="19"/>
  <c r="FU71" i="19" l="1"/>
  <c r="FG71" i="19"/>
  <c r="AH37" i="20" l="1"/>
  <c r="DZ33" i="19" l="1"/>
  <c r="FU69" i="19"/>
  <c r="FU70" i="19"/>
  <c r="FG69" i="19"/>
  <c r="FG70" i="19"/>
  <c r="FG68" i="19" l="1"/>
  <c r="FU68" i="19"/>
  <c r="FG67" i="19" l="1"/>
  <c r="FU67" i="19"/>
  <c r="FG66" i="19" l="1"/>
  <c r="FU66" i="19"/>
  <c r="FG65" i="19" l="1"/>
  <c r="FU65" i="19"/>
  <c r="FU64" i="19" l="1"/>
  <c r="FG64" i="19"/>
  <c r="HY27" i="19"/>
  <c r="FG63" i="19" l="1"/>
  <c r="FG62" i="19"/>
  <c r="FU63" i="19"/>
  <c r="FU62" i="19"/>
  <c r="D25" i="19"/>
  <c r="DR18" i="19" l="1"/>
  <c r="FG61" i="19"/>
  <c r="FU61" i="19"/>
  <c r="FG60" i="19" l="1"/>
  <c r="BC23" i="19"/>
  <c r="FU60" i="19"/>
  <c r="FG59" i="19" l="1"/>
  <c r="FU59" i="19"/>
  <c r="HS21" i="19" l="1"/>
  <c r="FG58" i="19" l="1"/>
  <c r="FU58" i="19" l="1"/>
  <c r="IK57" i="19" l="1"/>
  <c r="FG57" i="19"/>
  <c r="FU57" i="19"/>
  <c r="FG56" i="19" l="1"/>
  <c r="FG55" i="19"/>
  <c r="FG53" i="19"/>
  <c r="FG52" i="19"/>
  <c r="FG51" i="19"/>
  <c r="FG50" i="19"/>
  <c r="FG49" i="19"/>
  <c r="FG48" i="19"/>
  <c r="FG47" i="19"/>
  <c r="FG46" i="19"/>
  <c r="FG45" i="19"/>
  <c r="FG54" i="19"/>
  <c r="FU56" i="19" l="1"/>
  <c r="FU55" i="19"/>
  <c r="FU53" i="19" l="1"/>
  <c r="FU54" i="19"/>
  <c r="H82" i="22" l="1"/>
  <c r="BR38" i="22"/>
  <c r="BP38" i="22"/>
  <c r="BN38" i="22"/>
  <c r="BK38" i="22"/>
  <c r="BJ38" i="22"/>
  <c r="BI38" i="22"/>
  <c r="E37" i="22"/>
  <c r="E36" i="22"/>
  <c r="A8" i="22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P83" i="21"/>
  <c r="L83" i="21"/>
  <c r="H83" i="21"/>
  <c r="D83" i="21"/>
  <c r="P82" i="21"/>
  <c r="L82" i="21"/>
  <c r="H82" i="21"/>
  <c r="D82" i="21"/>
  <c r="DT79" i="21"/>
  <c r="DR79" i="21"/>
  <c r="DT78" i="21"/>
  <c r="DR78" i="21"/>
  <c r="AF37" i="22" s="1"/>
  <c r="IK77" i="21"/>
  <c r="FW77" i="21"/>
  <c r="FV77" i="21"/>
  <c r="DT77" i="21"/>
  <c r="DR77" i="21"/>
  <c r="J77" i="21"/>
  <c r="G77" i="21"/>
  <c r="BU37" i="22" s="1"/>
  <c r="D77" i="21"/>
  <c r="IK76" i="21"/>
  <c r="FW76" i="21"/>
  <c r="FV76" i="21"/>
  <c r="FC76" i="21"/>
  <c r="FA76" i="21"/>
  <c r="EZ76" i="21"/>
  <c r="DT76" i="21"/>
  <c r="DR76" i="21"/>
  <c r="J76" i="21"/>
  <c r="G76" i="21"/>
  <c r="BU36" i="22" s="1"/>
  <c r="D76" i="21"/>
  <c r="BT37" i="22" s="1"/>
  <c r="IK75" i="21"/>
  <c r="FW75" i="21"/>
  <c r="FV75" i="21"/>
  <c r="FC75" i="21"/>
  <c r="DT75" i="21"/>
  <c r="DR75" i="21"/>
  <c r="J75" i="21"/>
  <c r="G75" i="21"/>
  <c r="BU35" i="22" s="1"/>
  <c r="D75" i="21"/>
  <c r="BT36" i="22" s="1"/>
  <c r="IK74" i="21"/>
  <c r="FW74" i="21"/>
  <c r="FV74" i="21"/>
  <c r="FC74" i="21"/>
  <c r="DT74" i="21"/>
  <c r="DR74" i="21"/>
  <c r="J74" i="21"/>
  <c r="G74" i="21"/>
  <c r="BU34" i="22" s="1"/>
  <c r="D74" i="21"/>
  <c r="BT35" i="22" s="1"/>
  <c r="IK73" i="21"/>
  <c r="FW73" i="21"/>
  <c r="FV73" i="21"/>
  <c r="FC73" i="21"/>
  <c r="DT73" i="21"/>
  <c r="DR73" i="21"/>
  <c r="J73" i="21"/>
  <c r="G73" i="21"/>
  <c r="BU33" i="22" s="1"/>
  <c r="D73" i="21"/>
  <c r="BT34" i="22" s="1"/>
  <c r="IK72" i="21"/>
  <c r="FW72" i="21"/>
  <c r="AZ34" i="22" s="1"/>
  <c r="FV72" i="21"/>
  <c r="AT34" i="22" s="1"/>
  <c r="FC72" i="21"/>
  <c r="DT72" i="21"/>
  <c r="DR72" i="21"/>
  <c r="J72" i="21"/>
  <c r="G72" i="21"/>
  <c r="BU32" i="22" s="1"/>
  <c r="D72" i="21"/>
  <c r="BT33" i="22" s="1"/>
  <c r="IK71" i="21"/>
  <c r="FW71" i="21"/>
  <c r="FV71" i="21"/>
  <c r="FC71" i="21"/>
  <c r="DT71" i="21"/>
  <c r="DR71" i="21"/>
  <c r="J71" i="21"/>
  <c r="G71" i="21"/>
  <c r="BU31" i="22" s="1"/>
  <c r="D71" i="21"/>
  <c r="BT32" i="22" s="1"/>
  <c r="IK70" i="21"/>
  <c r="FW70" i="21"/>
  <c r="FV70" i="21"/>
  <c r="FC70" i="21"/>
  <c r="DT70" i="21"/>
  <c r="DR70" i="21"/>
  <c r="J70" i="21"/>
  <c r="G70" i="21"/>
  <c r="BU30" i="22" s="1"/>
  <c r="D70" i="21"/>
  <c r="BT31" i="22" s="1"/>
  <c r="IK69" i="21"/>
  <c r="FW69" i="21"/>
  <c r="FV69" i="21"/>
  <c r="FC69" i="21"/>
  <c r="DT69" i="21"/>
  <c r="DR69" i="21"/>
  <c r="J69" i="21"/>
  <c r="G69" i="21"/>
  <c r="BU29" i="22" s="1"/>
  <c r="D69" i="21"/>
  <c r="BT30" i="22" s="1"/>
  <c r="IK68" i="21"/>
  <c r="FW68" i="21"/>
  <c r="AZ30" i="22" s="1"/>
  <c r="FV68" i="21"/>
  <c r="AT30" i="22" s="1"/>
  <c r="FC68" i="21"/>
  <c r="DT68" i="21"/>
  <c r="DR68" i="21"/>
  <c r="J68" i="21"/>
  <c r="G68" i="21"/>
  <c r="BU28" i="22" s="1"/>
  <c r="D68" i="21"/>
  <c r="BT29" i="22" s="1"/>
  <c r="IK67" i="21"/>
  <c r="FW67" i="21"/>
  <c r="FV67" i="21"/>
  <c r="AT29" i="22" s="1"/>
  <c r="FC67" i="21"/>
  <c r="DT67" i="21"/>
  <c r="DR67" i="21"/>
  <c r="J67" i="21"/>
  <c r="G67" i="21"/>
  <c r="BU27" i="22" s="1"/>
  <c r="D67" i="21"/>
  <c r="BT28" i="22" s="1"/>
  <c r="IK66" i="21"/>
  <c r="FW66" i="21"/>
  <c r="FV66" i="21"/>
  <c r="FC66" i="21"/>
  <c r="DT66" i="21"/>
  <c r="DR66" i="21"/>
  <c r="J66" i="21"/>
  <c r="G66" i="21"/>
  <c r="BU26" i="22" s="1"/>
  <c r="D66" i="21"/>
  <c r="BT27" i="22" s="1"/>
  <c r="IK65" i="21"/>
  <c r="FW65" i="21"/>
  <c r="FV65" i="21"/>
  <c r="FC65" i="21"/>
  <c r="DT65" i="21"/>
  <c r="DR65" i="21"/>
  <c r="J65" i="21"/>
  <c r="G65" i="21"/>
  <c r="BU25" i="22" s="1"/>
  <c r="D65" i="21"/>
  <c r="BT26" i="22" s="1"/>
  <c r="IK64" i="21"/>
  <c r="FW64" i="21"/>
  <c r="AZ26" i="22" s="1"/>
  <c r="FV64" i="21"/>
  <c r="AT26" i="22" s="1"/>
  <c r="FC64" i="21"/>
  <c r="DT64" i="21"/>
  <c r="DR64" i="21"/>
  <c r="AF23" i="22" s="1"/>
  <c r="J64" i="21"/>
  <c r="G64" i="21"/>
  <c r="BU24" i="22" s="1"/>
  <c r="D64" i="21"/>
  <c r="BT25" i="22" s="1"/>
  <c r="IK63" i="21"/>
  <c r="FW63" i="21"/>
  <c r="FV63" i="21"/>
  <c r="FC63" i="21"/>
  <c r="DT63" i="21"/>
  <c r="DR63" i="21"/>
  <c r="J63" i="21"/>
  <c r="G63" i="21"/>
  <c r="BU23" i="22" s="1"/>
  <c r="D63" i="21"/>
  <c r="BT24" i="22" s="1"/>
  <c r="IK62" i="21"/>
  <c r="FW62" i="21"/>
  <c r="FV62" i="21"/>
  <c r="AT24" i="22" s="1"/>
  <c r="FC62" i="21"/>
  <c r="DT62" i="21"/>
  <c r="DR62" i="21"/>
  <c r="J62" i="21"/>
  <c r="G62" i="21"/>
  <c r="BU22" i="22" s="1"/>
  <c r="D62" i="21"/>
  <c r="BT23" i="22" s="1"/>
  <c r="IK61" i="21"/>
  <c r="FW61" i="21"/>
  <c r="FV61" i="21"/>
  <c r="FC61" i="21"/>
  <c r="DT61" i="21"/>
  <c r="DR61" i="21"/>
  <c r="J61" i="21"/>
  <c r="G61" i="21"/>
  <c r="BU21" i="22" s="1"/>
  <c r="D61" i="21"/>
  <c r="BT22" i="22" s="1"/>
  <c r="IK60" i="21"/>
  <c r="FW60" i="21"/>
  <c r="AZ22" i="22" s="1"/>
  <c r="FV60" i="21"/>
  <c r="AT22" i="22" s="1"/>
  <c r="FC60" i="21"/>
  <c r="DT60" i="21"/>
  <c r="DR60" i="21"/>
  <c r="AF19" i="22" s="1"/>
  <c r="J60" i="21"/>
  <c r="G60" i="21"/>
  <c r="BU20" i="22" s="1"/>
  <c r="D60" i="21"/>
  <c r="BT21" i="22" s="1"/>
  <c r="IK59" i="21"/>
  <c r="FW59" i="21"/>
  <c r="FV59" i="21"/>
  <c r="FC59" i="21"/>
  <c r="DT59" i="21"/>
  <c r="DR59" i="21"/>
  <c r="J59" i="21"/>
  <c r="G59" i="21"/>
  <c r="BU19" i="22" s="1"/>
  <c r="D59" i="21"/>
  <c r="BT20" i="22" s="1"/>
  <c r="IK58" i="21"/>
  <c r="FW58" i="21"/>
  <c r="FV58" i="21"/>
  <c r="FC58" i="21"/>
  <c r="DT58" i="21"/>
  <c r="DR58" i="21"/>
  <c r="J58" i="21"/>
  <c r="G58" i="21"/>
  <c r="BU18" i="22" s="1"/>
  <c r="D58" i="21"/>
  <c r="BT19" i="22" s="1"/>
  <c r="IK57" i="21"/>
  <c r="FW57" i="21"/>
  <c r="FV57" i="21"/>
  <c r="FC57" i="21"/>
  <c r="DT57" i="21"/>
  <c r="DR57" i="21"/>
  <c r="J57" i="21"/>
  <c r="G57" i="21"/>
  <c r="BU17" i="22" s="1"/>
  <c r="D57" i="21"/>
  <c r="BT18" i="22" s="1"/>
  <c r="IK56" i="21"/>
  <c r="FW56" i="21"/>
  <c r="AZ18" i="22" s="1"/>
  <c r="FV56" i="21"/>
  <c r="AT18" i="22" s="1"/>
  <c r="FC56" i="21"/>
  <c r="DT56" i="21"/>
  <c r="DR56" i="21"/>
  <c r="AF15" i="22" s="1"/>
  <c r="J56" i="21"/>
  <c r="G56" i="21"/>
  <c r="BU16" i="22" s="1"/>
  <c r="D56" i="21"/>
  <c r="BT17" i="22" s="1"/>
  <c r="IK55" i="21"/>
  <c r="FW55" i="21"/>
  <c r="FV55" i="21"/>
  <c r="FC55" i="21"/>
  <c r="DT55" i="21"/>
  <c r="DR55" i="21"/>
  <c r="J55" i="21"/>
  <c r="G55" i="21"/>
  <c r="BU15" i="22" s="1"/>
  <c r="D55" i="21"/>
  <c r="BT16" i="22" s="1"/>
  <c r="IK54" i="21"/>
  <c r="FW54" i="21"/>
  <c r="FV54" i="21"/>
  <c r="FG54" i="21"/>
  <c r="FC54" i="21"/>
  <c r="DT54" i="21"/>
  <c r="DR54" i="21"/>
  <c r="J54" i="21"/>
  <c r="G54" i="21"/>
  <c r="BU14" i="22" s="1"/>
  <c r="D54" i="21"/>
  <c r="BT15" i="22" s="1"/>
  <c r="IK53" i="21"/>
  <c r="FU53" i="21"/>
  <c r="FW53" i="21" s="1"/>
  <c r="FG53" i="21"/>
  <c r="FC53" i="21"/>
  <c r="DT53" i="21"/>
  <c r="DR53" i="21"/>
  <c r="J53" i="21"/>
  <c r="G53" i="21"/>
  <c r="BU13" i="22" s="1"/>
  <c r="D53" i="21"/>
  <c r="BT14" i="22" s="1"/>
  <c r="IK52" i="21"/>
  <c r="FU52" i="21"/>
  <c r="FW52" i="21" s="1"/>
  <c r="AZ14" i="22" s="1"/>
  <c r="FG52" i="21"/>
  <c r="FC52" i="21"/>
  <c r="DT52" i="21"/>
  <c r="DR52" i="21"/>
  <c r="J52" i="21"/>
  <c r="G52" i="21"/>
  <c r="BU12" i="22" s="1"/>
  <c r="D52" i="21"/>
  <c r="BT13" i="22" s="1"/>
  <c r="IK51" i="21"/>
  <c r="FU51" i="21"/>
  <c r="FG51" i="21"/>
  <c r="FC51" i="21"/>
  <c r="DT51" i="21"/>
  <c r="DR51" i="21"/>
  <c r="J51" i="21"/>
  <c r="G51" i="21"/>
  <c r="BU11" i="22" s="1"/>
  <c r="D51" i="21"/>
  <c r="BT12" i="22" s="1"/>
  <c r="IK50" i="21"/>
  <c r="FU50" i="21"/>
  <c r="FW50" i="21" s="1"/>
  <c r="FG50" i="21"/>
  <c r="FC50" i="21"/>
  <c r="DT50" i="21"/>
  <c r="DR50" i="21"/>
  <c r="J50" i="21"/>
  <c r="G50" i="21"/>
  <c r="BU10" i="22" s="1"/>
  <c r="D50" i="21"/>
  <c r="BT11" i="22" s="1"/>
  <c r="IK49" i="21"/>
  <c r="FU49" i="21"/>
  <c r="FG49" i="21"/>
  <c r="FC49" i="21"/>
  <c r="EX49" i="21"/>
  <c r="DT49" i="21"/>
  <c r="DR49" i="21"/>
  <c r="J49" i="21"/>
  <c r="G49" i="21"/>
  <c r="BU9" i="22" s="1"/>
  <c r="D49" i="21"/>
  <c r="BT10" i="22" s="1"/>
  <c r="IK48" i="21"/>
  <c r="FU48" i="21"/>
  <c r="FG48" i="21"/>
  <c r="FC48" i="21"/>
  <c r="J48" i="21"/>
  <c r="G48" i="21"/>
  <c r="BU8" i="22" s="1"/>
  <c r="D48" i="21"/>
  <c r="IK47" i="21"/>
  <c r="FW47" i="21"/>
  <c r="FG47" i="21"/>
  <c r="FC47" i="21"/>
  <c r="J47" i="21"/>
  <c r="G47" i="21"/>
  <c r="BU7" i="22" s="1"/>
  <c r="D47" i="21"/>
  <c r="IK46" i="21"/>
  <c r="FU46" i="21"/>
  <c r="FV46" i="21" s="1"/>
  <c r="FG46" i="21"/>
  <c r="FC46" i="21"/>
  <c r="FH52" i="21" s="1"/>
  <c r="EE41" i="21"/>
  <c r="U41" i="21"/>
  <c r="V41" i="21" s="1"/>
  <c r="HC40" i="21"/>
  <c r="GV40" i="21"/>
  <c r="FL40" i="21"/>
  <c r="DO40" i="21"/>
  <c r="DN40" i="21"/>
  <c r="DM40" i="21"/>
  <c r="J40" i="21"/>
  <c r="KE38" i="21"/>
  <c r="KB38" i="21"/>
  <c r="JY38" i="21"/>
  <c r="JV38" i="21"/>
  <c r="JS38" i="21"/>
  <c r="JP38" i="21"/>
  <c r="JM38" i="21"/>
  <c r="JJ38" i="21"/>
  <c r="JG38" i="21"/>
  <c r="JD38" i="21"/>
  <c r="JA38" i="21"/>
  <c r="IX38" i="21"/>
  <c r="IU38" i="21"/>
  <c r="IR38" i="21"/>
  <c r="IO38" i="21"/>
  <c r="IL38" i="21"/>
  <c r="IE38" i="21"/>
  <c r="CE37" i="22" s="1"/>
  <c r="IB38" i="21"/>
  <c r="CD37" i="22" s="1"/>
  <c r="HY38" i="21"/>
  <c r="CC37" i="22" s="1"/>
  <c r="HV38" i="21"/>
  <c r="CB37" i="22" s="1"/>
  <c r="HS38" i="21"/>
  <c r="CA37" i="22" s="1"/>
  <c r="HP38" i="21"/>
  <c r="BZ37" i="22" s="1"/>
  <c r="HM38" i="21"/>
  <c r="BY37" i="22" s="1"/>
  <c r="HJ38" i="21"/>
  <c r="GW38" i="21"/>
  <c r="GS38" i="21"/>
  <c r="BF37" i="22" s="1"/>
  <c r="GP38" i="21"/>
  <c r="BE37" i="22" s="1"/>
  <c r="GM38" i="21"/>
  <c r="BC37" i="22" s="1"/>
  <c r="GJ38" i="21"/>
  <c r="AX37" i="22" s="1"/>
  <c r="GD38" i="21"/>
  <c r="GA38" i="21"/>
  <c r="AQ37" i="22" s="1"/>
  <c r="FX38" i="21"/>
  <c r="AP37" i="22" s="1"/>
  <c r="FS38" i="21"/>
  <c r="FP38" i="21"/>
  <c r="FA75" i="21" s="1"/>
  <c r="FJ38" i="21"/>
  <c r="BA37" i="22" s="1"/>
  <c r="AZ37" i="22"/>
  <c r="FC38" i="21"/>
  <c r="EZ38" i="21"/>
  <c r="EZ75" i="21" s="1"/>
  <c r="EW38" i="21"/>
  <c r="AV37" i="22" s="1"/>
  <c r="ET38" i="21"/>
  <c r="AU37" i="22" s="1"/>
  <c r="AT37" i="22"/>
  <c r="EM38" i="21"/>
  <c r="AN37" i="22" s="1"/>
  <c r="EJ38" i="21"/>
  <c r="AM37" i="22" s="1"/>
  <c r="DZ38" i="21"/>
  <c r="DW38" i="21"/>
  <c r="AH37" i="22" s="1"/>
  <c r="DT38" i="21"/>
  <c r="DR38" i="21"/>
  <c r="AD37" i="22" s="1"/>
  <c r="DE38" i="21"/>
  <c r="DA38" i="21"/>
  <c r="CW38" i="21"/>
  <c r="CS38" i="21"/>
  <c r="CO38" i="21"/>
  <c r="CH38" i="21"/>
  <c r="R37" i="22" s="1"/>
  <c r="CF38" i="21"/>
  <c r="Q37" i="22" s="1"/>
  <c r="CD38" i="21"/>
  <c r="P37" i="22" s="1"/>
  <c r="CA38" i="21"/>
  <c r="BW38" i="21"/>
  <c r="BX38" i="21" s="1"/>
  <c r="BT38" i="21"/>
  <c r="BR38" i="21"/>
  <c r="Z37" i="22" s="1"/>
  <c r="BP38" i="21"/>
  <c r="BL38" i="21"/>
  <c r="AC37" i="22" s="1"/>
  <c r="BJ38" i="21"/>
  <c r="AB37" i="22" s="1"/>
  <c r="BG38" i="21"/>
  <c r="AA37" i="22" s="1"/>
  <c r="BC38" i="21"/>
  <c r="M37" i="22" s="1"/>
  <c r="AZ38" i="21"/>
  <c r="L37" i="22" s="1"/>
  <c r="AR38" i="21"/>
  <c r="K37" i="22" s="1"/>
  <c r="AI38" i="21"/>
  <c r="AE38" i="21"/>
  <c r="AB38" i="21"/>
  <c r="F37" i="22" s="1"/>
  <c r="T38" i="21"/>
  <c r="D37" i="22" s="1"/>
  <c r="Q38" i="21"/>
  <c r="N38" i="21"/>
  <c r="C37" i="22" s="1"/>
  <c r="F38" i="21"/>
  <c r="D38" i="21"/>
  <c r="C38" i="21"/>
  <c r="KE37" i="21"/>
  <c r="KB37" i="21"/>
  <c r="JY37" i="21"/>
  <c r="JV37" i="21"/>
  <c r="JS37" i="21"/>
  <c r="JP37" i="21"/>
  <c r="JM37" i="21"/>
  <c r="JJ37" i="21"/>
  <c r="JG37" i="21"/>
  <c r="JD37" i="21"/>
  <c r="JA37" i="21"/>
  <c r="IX37" i="21"/>
  <c r="IU37" i="21"/>
  <c r="IR37" i="21"/>
  <c r="IO37" i="21"/>
  <c r="IL37" i="21"/>
  <c r="IE37" i="21"/>
  <c r="CE36" i="22" s="1"/>
  <c r="IB37" i="21"/>
  <c r="CD36" i="22" s="1"/>
  <c r="HY37" i="21"/>
  <c r="CC36" i="22" s="1"/>
  <c r="HV37" i="21"/>
  <c r="CB36" i="22" s="1"/>
  <c r="HS37" i="21"/>
  <c r="CA36" i="22" s="1"/>
  <c r="HP37" i="21"/>
  <c r="BZ36" i="22" s="1"/>
  <c r="HM37" i="21"/>
  <c r="BY36" i="22" s="1"/>
  <c r="HJ37" i="21"/>
  <c r="GW37" i="21"/>
  <c r="GS37" i="21"/>
  <c r="BF36" i="22" s="1"/>
  <c r="GP37" i="21"/>
  <c r="BE36" i="22" s="1"/>
  <c r="GM37" i="21"/>
  <c r="BC36" i="22" s="1"/>
  <c r="GJ37" i="21"/>
  <c r="AX36" i="22" s="1"/>
  <c r="GD37" i="21"/>
  <c r="GA37" i="21"/>
  <c r="AQ36" i="22" s="1"/>
  <c r="FX37" i="21"/>
  <c r="AP36" i="22" s="1"/>
  <c r="FS37" i="21"/>
  <c r="FP37" i="21"/>
  <c r="FA74" i="21" s="1"/>
  <c r="FJ37" i="21"/>
  <c r="BA36" i="22" s="1"/>
  <c r="AZ36" i="22"/>
  <c r="FC37" i="21"/>
  <c r="EZ37" i="21"/>
  <c r="EZ74" i="21" s="1"/>
  <c r="EW37" i="21"/>
  <c r="AV36" i="22" s="1"/>
  <c r="ET37" i="21"/>
  <c r="AU36" i="22" s="1"/>
  <c r="AT36" i="22"/>
  <c r="EM37" i="21"/>
  <c r="AN36" i="22" s="1"/>
  <c r="EJ37" i="21"/>
  <c r="AM36" i="22" s="1"/>
  <c r="DZ37" i="21"/>
  <c r="AI36" i="22" s="1"/>
  <c r="DW37" i="21"/>
  <c r="AH36" i="22" s="1"/>
  <c r="DT37" i="21"/>
  <c r="DR37" i="21"/>
  <c r="AD36" i="22" s="1"/>
  <c r="DE37" i="21"/>
  <c r="DF37" i="21" s="1"/>
  <c r="DA37" i="21"/>
  <c r="X36" i="22" s="1"/>
  <c r="CW37" i="21"/>
  <c r="CS37" i="21"/>
  <c r="CO37" i="21"/>
  <c r="CH37" i="21"/>
  <c r="R36" i="22" s="1"/>
  <c r="CF37" i="21"/>
  <c r="Q36" i="22" s="1"/>
  <c r="CD37" i="21"/>
  <c r="P36" i="22" s="1"/>
  <c r="CA37" i="21"/>
  <c r="BW37" i="21"/>
  <c r="BX37" i="21" s="1"/>
  <c r="BT37" i="21"/>
  <c r="BR37" i="21"/>
  <c r="Z36" i="22" s="1"/>
  <c r="BP37" i="21"/>
  <c r="BN37" i="21"/>
  <c r="BL37" i="21"/>
  <c r="BJ37" i="21"/>
  <c r="AB36" i="22" s="1"/>
  <c r="BG37" i="21"/>
  <c r="AA36" i="22" s="1"/>
  <c r="BC37" i="21"/>
  <c r="M36" i="22" s="1"/>
  <c r="AZ37" i="21"/>
  <c r="L36" i="22" s="1"/>
  <c r="AR37" i="21"/>
  <c r="AI37" i="21"/>
  <c r="I36" i="22" s="1"/>
  <c r="AE37" i="21"/>
  <c r="AB37" i="21"/>
  <c r="F36" i="22" s="1"/>
  <c r="V37" i="21"/>
  <c r="T37" i="21"/>
  <c r="D36" i="22" s="1"/>
  <c r="Q37" i="21"/>
  <c r="R37" i="21" s="1"/>
  <c r="N37" i="21"/>
  <c r="C36" i="22" s="1"/>
  <c r="K37" i="21"/>
  <c r="F37" i="21"/>
  <c r="D37" i="21"/>
  <c r="C37" i="21"/>
  <c r="A37" i="21"/>
  <c r="KE36" i="21"/>
  <c r="KB36" i="21"/>
  <c r="JY36" i="21"/>
  <c r="JV36" i="21"/>
  <c r="JS36" i="21"/>
  <c r="JP36" i="21"/>
  <c r="JM36" i="21"/>
  <c r="JJ36" i="21"/>
  <c r="JG36" i="21"/>
  <c r="JD36" i="21"/>
  <c r="JA36" i="21"/>
  <c r="IX36" i="21"/>
  <c r="IU36" i="21"/>
  <c r="IR36" i="21"/>
  <c r="IO36" i="21"/>
  <c r="IL36" i="21"/>
  <c r="IE36" i="21"/>
  <c r="CE35" i="22" s="1"/>
  <c r="IB36" i="21"/>
  <c r="CD35" i="22" s="1"/>
  <c r="HY36" i="21"/>
  <c r="HV36" i="21"/>
  <c r="CB35" i="22" s="1"/>
  <c r="HS36" i="21"/>
  <c r="CA35" i="22" s="1"/>
  <c r="HP36" i="21"/>
  <c r="BZ35" i="22" s="1"/>
  <c r="HM36" i="21"/>
  <c r="BY35" i="22" s="1"/>
  <c r="HJ36" i="21"/>
  <c r="HE36" i="21"/>
  <c r="GW36" i="21"/>
  <c r="GS36" i="21"/>
  <c r="BF35" i="22" s="1"/>
  <c r="GP36" i="21"/>
  <c r="BE35" i="22" s="1"/>
  <c r="GM36" i="21"/>
  <c r="BC35" i="22" s="1"/>
  <c r="GJ36" i="21"/>
  <c r="GD36" i="21"/>
  <c r="GA36" i="21"/>
  <c r="AQ35" i="22" s="1"/>
  <c r="FX36" i="21"/>
  <c r="AP35" i="22" s="1"/>
  <c r="FS36" i="21"/>
  <c r="FP36" i="21"/>
  <c r="FA73" i="21" s="1"/>
  <c r="FJ36" i="21"/>
  <c r="BA35" i="22" s="1"/>
  <c r="AZ35" i="22"/>
  <c r="FC36" i="21"/>
  <c r="EZ36" i="21"/>
  <c r="EZ73" i="21" s="1"/>
  <c r="EW36" i="21"/>
  <c r="AV35" i="22" s="1"/>
  <c r="ET36" i="21"/>
  <c r="AU35" i="22" s="1"/>
  <c r="AT35" i="22"/>
  <c r="EM36" i="21"/>
  <c r="AN35" i="22" s="1"/>
  <c r="EJ36" i="21"/>
  <c r="DZ36" i="21"/>
  <c r="AI35" i="22" s="1"/>
  <c r="DW36" i="21"/>
  <c r="AH35" i="22" s="1"/>
  <c r="DT36" i="21"/>
  <c r="DR36" i="21"/>
  <c r="AD35" i="22" s="1"/>
  <c r="DE36" i="21"/>
  <c r="DF36" i="21" s="1"/>
  <c r="DA36" i="21"/>
  <c r="CW36" i="21"/>
  <c r="CS36" i="21"/>
  <c r="CO36" i="21"/>
  <c r="CH36" i="21"/>
  <c r="R35" i="22" s="1"/>
  <c r="CF36" i="21"/>
  <c r="Q35" i="22" s="1"/>
  <c r="CD36" i="21"/>
  <c r="P35" i="22" s="1"/>
  <c r="CA36" i="21"/>
  <c r="BW36" i="21"/>
  <c r="BX36" i="21" s="1"/>
  <c r="BT36" i="21"/>
  <c r="BR36" i="21"/>
  <c r="Z35" i="22" s="1"/>
  <c r="BP36" i="21"/>
  <c r="BN36" i="21"/>
  <c r="BL36" i="21"/>
  <c r="AC35" i="22" s="1"/>
  <c r="BJ36" i="21"/>
  <c r="AB35" i="22" s="1"/>
  <c r="BG36" i="21"/>
  <c r="AA35" i="22" s="1"/>
  <c r="BC36" i="21"/>
  <c r="M35" i="22" s="1"/>
  <c r="AZ36" i="21"/>
  <c r="L35" i="22" s="1"/>
  <c r="AR36" i="21"/>
  <c r="AI36" i="21"/>
  <c r="I35" i="22" s="1"/>
  <c r="AE36" i="21"/>
  <c r="AB36" i="21"/>
  <c r="F35" i="22" s="1"/>
  <c r="V36" i="21"/>
  <c r="T36" i="21"/>
  <c r="D35" i="22" s="1"/>
  <c r="Q36" i="21"/>
  <c r="R36" i="21" s="1"/>
  <c r="N36" i="21"/>
  <c r="C35" i="22" s="1"/>
  <c r="K36" i="21"/>
  <c r="F36" i="21"/>
  <c r="D36" i="21"/>
  <c r="C36" i="21"/>
  <c r="KE35" i="21"/>
  <c r="KB35" i="21"/>
  <c r="JY35" i="21"/>
  <c r="JV35" i="21"/>
  <c r="JS35" i="21"/>
  <c r="JP35" i="21"/>
  <c r="JM35" i="21"/>
  <c r="JJ35" i="21"/>
  <c r="JG35" i="21"/>
  <c r="JD35" i="21"/>
  <c r="JA35" i="21"/>
  <c r="IX35" i="21"/>
  <c r="IU35" i="21"/>
  <c r="IR35" i="21"/>
  <c r="IO35" i="21"/>
  <c r="IL35" i="21"/>
  <c r="IE35" i="21"/>
  <c r="CE34" i="22" s="1"/>
  <c r="IB35" i="21"/>
  <c r="CD34" i="22" s="1"/>
  <c r="HY35" i="21"/>
  <c r="CC34" i="22" s="1"/>
  <c r="HV35" i="21"/>
  <c r="CB34" i="22" s="1"/>
  <c r="HS35" i="21"/>
  <c r="CA34" i="22" s="1"/>
  <c r="HP35" i="21"/>
  <c r="BZ34" i="22" s="1"/>
  <c r="HM35" i="21"/>
  <c r="BY34" i="22" s="1"/>
  <c r="HJ35" i="21"/>
  <c r="HE35" i="21"/>
  <c r="GW35" i="21"/>
  <c r="GS35" i="21"/>
  <c r="BF34" i="22" s="1"/>
  <c r="GP35" i="21"/>
  <c r="BE34" i="22" s="1"/>
  <c r="GM35" i="21"/>
  <c r="BC34" i="22" s="1"/>
  <c r="GJ35" i="21"/>
  <c r="AX34" i="22" s="1"/>
  <c r="GD35" i="21"/>
  <c r="GA35" i="21"/>
  <c r="AQ34" i="22" s="1"/>
  <c r="FX35" i="21"/>
  <c r="AP34" i="22" s="1"/>
  <c r="FS35" i="21"/>
  <c r="FP35" i="21"/>
  <c r="FA72" i="21" s="1"/>
  <c r="FJ35" i="21"/>
  <c r="BA34" i="22" s="1"/>
  <c r="FC35" i="21"/>
  <c r="EZ35" i="21"/>
  <c r="EZ72" i="21" s="1"/>
  <c r="EW35" i="21"/>
  <c r="AV34" i="22" s="1"/>
  <c r="ET35" i="21"/>
  <c r="AU34" i="22" s="1"/>
  <c r="EM35" i="21"/>
  <c r="AN34" i="22" s="1"/>
  <c r="EJ35" i="21"/>
  <c r="AM34" i="22" s="1"/>
  <c r="DZ35" i="21"/>
  <c r="AI34" i="22" s="1"/>
  <c r="DW35" i="21"/>
  <c r="AH34" i="22" s="1"/>
  <c r="DT35" i="21"/>
  <c r="DR35" i="21"/>
  <c r="AD34" i="22" s="1"/>
  <c r="DE35" i="21"/>
  <c r="DF35" i="21" s="1"/>
  <c r="DA35" i="21"/>
  <c r="CW35" i="21"/>
  <c r="CS35" i="21"/>
  <c r="CO35" i="21"/>
  <c r="CH35" i="21"/>
  <c r="R34" i="22" s="1"/>
  <c r="CF35" i="21"/>
  <c r="Q34" i="22" s="1"/>
  <c r="CD35" i="21"/>
  <c r="P34" i="22" s="1"/>
  <c r="CA35" i="21"/>
  <c r="BW35" i="21"/>
  <c r="BX35" i="21" s="1"/>
  <c r="BT35" i="21"/>
  <c r="BR35" i="21"/>
  <c r="Z34" i="22" s="1"/>
  <c r="BP35" i="21"/>
  <c r="BN35" i="21"/>
  <c r="BL35" i="21"/>
  <c r="BJ35" i="21"/>
  <c r="AB34" i="22" s="1"/>
  <c r="BG35" i="21"/>
  <c r="AA34" i="22" s="1"/>
  <c r="BC35" i="21"/>
  <c r="M34" i="22" s="1"/>
  <c r="AZ35" i="21"/>
  <c r="L34" i="22" s="1"/>
  <c r="AR35" i="21"/>
  <c r="AI35" i="21"/>
  <c r="AE35" i="21"/>
  <c r="AB35" i="21"/>
  <c r="F34" i="22" s="1"/>
  <c r="V35" i="21"/>
  <c r="T35" i="21"/>
  <c r="D34" i="22" s="1"/>
  <c r="Q35" i="21"/>
  <c r="N35" i="21"/>
  <c r="C34" i="22" s="1"/>
  <c r="K35" i="21"/>
  <c r="F35" i="21"/>
  <c r="D35" i="21"/>
  <c r="C35" i="21"/>
  <c r="KE34" i="21"/>
  <c r="KB34" i="21"/>
  <c r="JY34" i="21"/>
  <c r="JV34" i="21"/>
  <c r="JS34" i="21"/>
  <c r="JP34" i="21"/>
  <c r="JM34" i="21"/>
  <c r="JJ34" i="21"/>
  <c r="JG34" i="21"/>
  <c r="JD34" i="21"/>
  <c r="JA34" i="21"/>
  <c r="IX34" i="21"/>
  <c r="IU34" i="21"/>
  <c r="IR34" i="21"/>
  <c r="IO34" i="21"/>
  <c r="IL34" i="21"/>
  <c r="IE34" i="21"/>
  <c r="CE33" i="22" s="1"/>
  <c r="IB34" i="21"/>
  <c r="CD33" i="22" s="1"/>
  <c r="HY34" i="21"/>
  <c r="CC33" i="22" s="1"/>
  <c r="HV34" i="21"/>
  <c r="CB33" i="22" s="1"/>
  <c r="HS34" i="21"/>
  <c r="CA33" i="22" s="1"/>
  <c r="HP34" i="21"/>
  <c r="BZ33" i="22" s="1"/>
  <c r="HM34" i="21"/>
  <c r="BY33" i="22" s="1"/>
  <c r="HJ34" i="21"/>
  <c r="HE34" i="21"/>
  <c r="GW34" i="21"/>
  <c r="GS34" i="21"/>
  <c r="BF33" i="22" s="1"/>
  <c r="GP34" i="21"/>
  <c r="BE33" i="22" s="1"/>
  <c r="GM34" i="21"/>
  <c r="BC33" i="22" s="1"/>
  <c r="GJ34" i="21"/>
  <c r="AX33" i="22" s="1"/>
  <c r="GD34" i="21"/>
  <c r="GA34" i="21"/>
  <c r="AQ33" i="22" s="1"/>
  <c r="FX34" i="21"/>
  <c r="AP33" i="22" s="1"/>
  <c r="FS34" i="21"/>
  <c r="FP34" i="21"/>
  <c r="FA71" i="21" s="1"/>
  <c r="FJ34" i="21"/>
  <c r="BA33" i="22" s="1"/>
  <c r="AZ33" i="22"/>
  <c r="FC34" i="21"/>
  <c r="EZ34" i="21"/>
  <c r="EZ71" i="21" s="1"/>
  <c r="EW34" i="21"/>
  <c r="AV33" i="22" s="1"/>
  <c r="ET34" i="21"/>
  <c r="AU33" i="22" s="1"/>
  <c r="AT33" i="22"/>
  <c r="EM34" i="21"/>
  <c r="AN33" i="22" s="1"/>
  <c r="EJ34" i="21"/>
  <c r="AM33" i="22" s="1"/>
  <c r="DZ34" i="21"/>
  <c r="AI33" i="22" s="1"/>
  <c r="DW34" i="21"/>
  <c r="AH33" i="22" s="1"/>
  <c r="DT34" i="21"/>
  <c r="DR34" i="21"/>
  <c r="AD33" i="22" s="1"/>
  <c r="DE34" i="21"/>
  <c r="DA34" i="21"/>
  <c r="CW34" i="21"/>
  <c r="CS34" i="21"/>
  <c r="CO34" i="21"/>
  <c r="CH34" i="21"/>
  <c r="R33" i="22" s="1"/>
  <c r="CF34" i="21"/>
  <c r="Q33" i="22" s="1"/>
  <c r="CD34" i="21"/>
  <c r="P33" i="22" s="1"/>
  <c r="CA34" i="21"/>
  <c r="BW34" i="21"/>
  <c r="BX34" i="21" s="1"/>
  <c r="BT34" i="21"/>
  <c r="BR34" i="21"/>
  <c r="Z33" i="22" s="1"/>
  <c r="BP34" i="21"/>
  <c r="BN34" i="21"/>
  <c r="BL34" i="21"/>
  <c r="BJ34" i="21"/>
  <c r="AB33" i="22" s="1"/>
  <c r="BG34" i="21"/>
  <c r="AA33" i="22" s="1"/>
  <c r="BC34" i="21"/>
  <c r="M33" i="22" s="1"/>
  <c r="AZ34" i="21"/>
  <c r="L33" i="22" s="1"/>
  <c r="AR34" i="21"/>
  <c r="AI34" i="21"/>
  <c r="AE34" i="21"/>
  <c r="AB34" i="21"/>
  <c r="F33" i="22" s="1"/>
  <c r="V34" i="21"/>
  <c r="T34" i="21"/>
  <c r="D33" i="22" s="1"/>
  <c r="Q34" i="21"/>
  <c r="N34" i="21"/>
  <c r="C33" i="22" s="1"/>
  <c r="K34" i="21"/>
  <c r="F34" i="21"/>
  <c r="D34" i="21"/>
  <c r="C34" i="21"/>
  <c r="KE33" i="21"/>
  <c r="KB33" i="21"/>
  <c r="JY33" i="21"/>
  <c r="JV33" i="21"/>
  <c r="JS33" i="21"/>
  <c r="JP33" i="21"/>
  <c r="JM33" i="21"/>
  <c r="JJ33" i="21"/>
  <c r="JG33" i="21"/>
  <c r="JD33" i="21"/>
  <c r="JA33" i="21"/>
  <c r="IX33" i="21"/>
  <c r="IU33" i="21"/>
  <c r="IR33" i="21"/>
  <c r="IO33" i="21"/>
  <c r="IL33" i="21"/>
  <c r="IE33" i="21"/>
  <c r="CE32" i="22" s="1"/>
  <c r="IB33" i="21"/>
  <c r="CD32" i="22" s="1"/>
  <c r="HY33" i="21"/>
  <c r="CC32" i="22" s="1"/>
  <c r="HV33" i="21"/>
  <c r="CB32" i="22" s="1"/>
  <c r="HS33" i="21"/>
  <c r="CA32" i="22" s="1"/>
  <c r="HP33" i="21"/>
  <c r="BZ32" i="22" s="1"/>
  <c r="HM33" i="21"/>
  <c r="BY32" i="22" s="1"/>
  <c r="HJ33" i="21"/>
  <c r="HE33" i="21"/>
  <c r="GW33" i="21"/>
  <c r="GS33" i="21"/>
  <c r="BF32" i="22" s="1"/>
  <c r="GP33" i="21"/>
  <c r="BE32" i="22" s="1"/>
  <c r="GM33" i="21"/>
  <c r="GJ33" i="21"/>
  <c r="AX32" i="22" s="1"/>
  <c r="GD33" i="21"/>
  <c r="GA33" i="21"/>
  <c r="AQ32" i="22" s="1"/>
  <c r="FX33" i="21"/>
  <c r="AP32" i="22" s="1"/>
  <c r="FS33" i="21"/>
  <c r="FP33" i="21"/>
  <c r="FA70" i="21" s="1"/>
  <c r="FJ33" i="21"/>
  <c r="BA32" i="22" s="1"/>
  <c r="AZ32" i="22"/>
  <c r="FC33" i="21"/>
  <c r="EZ33" i="21"/>
  <c r="EZ70" i="21" s="1"/>
  <c r="EW33" i="21"/>
  <c r="AV32" i="22" s="1"/>
  <c r="ET33" i="21"/>
  <c r="AU32" i="22" s="1"/>
  <c r="AT32" i="22"/>
  <c r="EM33" i="21"/>
  <c r="EJ33" i="21"/>
  <c r="AM32" i="22" s="1"/>
  <c r="DZ33" i="21"/>
  <c r="AI32" i="22" s="1"/>
  <c r="DW33" i="21"/>
  <c r="AH32" i="22" s="1"/>
  <c r="DT33" i="21"/>
  <c r="DR33" i="21"/>
  <c r="AD32" i="22" s="1"/>
  <c r="DE33" i="21"/>
  <c r="DF33" i="21" s="1"/>
  <c r="DA33" i="21"/>
  <c r="CW33" i="21"/>
  <c r="CS33" i="21"/>
  <c r="CO33" i="21"/>
  <c r="T32" i="22" s="1"/>
  <c r="CH33" i="21"/>
  <c r="R32" i="22" s="1"/>
  <c r="CF33" i="21"/>
  <c r="Q32" i="22" s="1"/>
  <c r="CD33" i="21"/>
  <c r="P32" i="22" s="1"/>
  <c r="CA33" i="21"/>
  <c r="BW33" i="21"/>
  <c r="BX33" i="21" s="1"/>
  <c r="BT33" i="21"/>
  <c r="BR33" i="21"/>
  <c r="Z32" i="22" s="1"/>
  <c r="BP33" i="21"/>
  <c r="BN33" i="21"/>
  <c r="BL33" i="21"/>
  <c r="BJ33" i="21"/>
  <c r="AB32" i="22" s="1"/>
  <c r="BG33" i="21"/>
  <c r="AA32" i="22" s="1"/>
  <c r="BC33" i="21"/>
  <c r="M32" i="22" s="1"/>
  <c r="AZ33" i="21"/>
  <c r="L32" i="22" s="1"/>
  <c r="AR33" i="21"/>
  <c r="K32" i="22" s="1"/>
  <c r="AI33" i="21"/>
  <c r="AE33" i="21"/>
  <c r="AB33" i="21"/>
  <c r="F32" i="22" s="1"/>
  <c r="V33" i="21"/>
  <c r="T33" i="21"/>
  <c r="D32" i="22" s="1"/>
  <c r="Q33" i="21"/>
  <c r="R33" i="21" s="1"/>
  <c r="N33" i="21"/>
  <c r="C32" i="22" s="1"/>
  <c r="K33" i="21"/>
  <c r="F33" i="21"/>
  <c r="D33" i="21"/>
  <c r="C33" i="21"/>
  <c r="KE32" i="21"/>
  <c r="KB32" i="21"/>
  <c r="JY32" i="21"/>
  <c r="JV32" i="21"/>
  <c r="JS32" i="21"/>
  <c r="JP32" i="21"/>
  <c r="JM32" i="21"/>
  <c r="JJ32" i="21"/>
  <c r="JG32" i="21"/>
  <c r="JD32" i="21"/>
  <c r="JA32" i="21"/>
  <c r="IX32" i="21"/>
  <c r="IU32" i="21"/>
  <c r="IR32" i="21"/>
  <c r="IO32" i="21"/>
  <c r="IL32" i="21"/>
  <c r="IE32" i="21"/>
  <c r="CE31" i="22" s="1"/>
  <c r="IB32" i="21"/>
  <c r="CD31" i="22" s="1"/>
  <c r="HY32" i="21"/>
  <c r="HV32" i="21"/>
  <c r="CB31" i="22" s="1"/>
  <c r="HS32" i="21"/>
  <c r="CA31" i="22" s="1"/>
  <c r="HP32" i="21"/>
  <c r="BZ31" i="22" s="1"/>
  <c r="HM32" i="21"/>
  <c r="BY31" i="22" s="1"/>
  <c r="HJ32" i="21"/>
  <c r="HE32" i="21"/>
  <c r="GW32" i="21"/>
  <c r="GS32" i="21"/>
  <c r="BF31" i="22" s="1"/>
  <c r="GP32" i="21"/>
  <c r="BE31" i="22" s="1"/>
  <c r="GM32" i="21"/>
  <c r="BC31" i="22" s="1"/>
  <c r="GJ32" i="21"/>
  <c r="AX31" i="22" s="1"/>
  <c r="GD32" i="21"/>
  <c r="GA32" i="21"/>
  <c r="AQ31" i="22" s="1"/>
  <c r="FX32" i="21"/>
  <c r="AP31" i="22" s="1"/>
  <c r="FS32" i="21"/>
  <c r="FP32" i="21"/>
  <c r="FA69" i="21" s="1"/>
  <c r="FJ32" i="21"/>
  <c r="BA31" i="22" s="1"/>
  <c r="AZ31" i="22"/>
  <c r="FC32" i="21"/>
  <c r="EZ32" i="21"/>
  <c r="EZ69" i="21" s="1"/>
  <c r="EW32" i="21"/>
  <c r="AV31" i="22" s="1"/>
  <c r="ET32" i="21"/>
  <c r="AU31" i="22" s="1"/>
  <c r="AT31" i="22"/>
  <c r="EM32" i="21"/>
  <c r="AN31" i="22" s="1"/>
  <c r="EJ32" i="21"/>
  <c r="AM31" i="22" s="1"/>
  <c r="DZ32" i="21"/>
  <c r="AI31" i="22" s="1"/>
  <c r="DW32" i="21"/>
  <c r="AH31" i="22" s="1"/>
  <c r="DT32" i="21"/>
  <c r="DR32" i="21"/>
  <c r="AD31" i="22" s="1"/>
  <c r="DE32" i="21"/>
  <c r="DA32" i="21"/>
  <c r="CW32" i="21"/>
  <c r="CS32" i="21"/>
  <c r="CO32" i="21"/>
  <c r="CH32" i="21"/>
  <c r="R31" i="22" s="1"/>
  <c r="CF32" i="21"/>
  <c r="Q31" i="22" s="1"/>
  <c r="CD32" i="21"/>
  <c r="P31" i="22" s="1"/>
  <c r="CA32" i="21"/>
  <c r="BW32" i="21"/>
  <c r="BX32" i="21" s="1"/>
  <c r="BT32" i="21"/>
  <c r="BR32" i="21"/>
  <c r="Z31" i="22" s="1"/>
  <c r="BP32" i="21"/>
  <c r="BN32" i="21"/>
  <c r="BL32" i="21"/>
  <c r="BJ32" i="21"/>
  <c r="AB31" i="22" s="1"/>
  <c r="BG32" i="21"/>
  <c r="AA31" i="22" s="1"/>
  <c r="BC32" i="21"/>
  <c r="M31" i="22" s="1"/>
  <c r="AZ32" i="21"/>
  <c r="L31" i="22" s="1"/>
  <c r="AR32" i="21"/>
  <c r="AI32" i="21"/>
  <c r="AE32" i="21"/>
  <c r="AB32" i="21"/>
  <c r="F31" i="22" s="1"/>
  <c r="V32" i="21"/>
  <c r="T32" i="21"/>
  <c r="D31" i="22" s="1"/>
  <c r="Q32" i="21"/>
  <c r="R32" i="21" s="1"/>
  <c r="N32" i="21"/>
  <c r="C31" i="22" s="1"/>
  <c r="K32" i="21"/>
  <c r="F32" i="21"/>
  <c r="D32" i="21"/>
  <c r="C32" i="21"/>
  <c r="KE31" i="21"/>
  <c r="KB31" i="21"/>
  <c r="JY31" i="21"/>
  <c r="JV31" i="21"/>
  <c r="JS31" i="21"/>
  <c r="JP31" i="21"/>
  <c r="JM31" i="21"/>
  <c r="JJ31" i="21"/>
  <c r="JG31" i="21"/>
  <c r="JD31" i="21"/>
  <c r="JA31" i="21"/>
  <c r="IX31" i="21"/>
  <c r="IU31" i="21"/>
  <c r="IR31" i="21"/>
  <c r="IO31" i="21"/>
  <c r="IL31" i="21"/>
  <c r="IE31" i="21"/>
  <c r="CE30" i="22" s="1"/>
  <c r="IB31" i="21"/>
  <c r="CD30" i="22" s="1"/>
  <c r="HY31" i="21"/>
  <c r="CC30" i="22" s="1"/>
  <c r="HV31" i="21"/>
  <c r="CB30" i="22" s="1"/>
  <c r="HS31" i="21"/>
  <c r="CA30" i="22" s="1"/>
  <c r="HP31" i="21"/>
  <c r="BZ30" i="22" s="1"/>
  <c r="HM31" i="21"/>
  <c r="BY30" i="22" s="1"/>
  <c r="HJ31" i="21"/>
  <c r="HE31" i="21"/>
  <c r="GW31" i="21"/>
  <c r="GS31" i="21"/>
  <c r="BF30" i="22" s="1"/>
  <c r="GP31" i="21"/>
  <c r="BE30" i="22" s="1"/>
  <c r="GM31" i="21"/>
  <c r="BC30" i="22" s="1"/>
  <c r="GJ31" i="21"/>
  <c r="AX30" i="22" s="1"/>
  <c r="GD31" i="21"/>
  <c r="GA31" i="21"/>
  <c r="AQ30" i="22" s="1"/>
  <c r="FX31" i="21"/>
  <c r="AP30" i="22" s="1"/>
  <c r="FS31" i="21"/>
  <c r="FP31" i="21"/>
  <c r="FA68" i="21" s="1"/>
  <c r="FJ31" i="21"/>
  <c r="BA30" i="22" s="1"/>
  <c r="FC31" i="21"/>
  <c r="EZ31" i="21"/>
  <c r="EZ68" i="21" s="1"/>
  <c r="EW31" i="21"/>
  <c r="AV30" i="22" s="1"/>
  <c r="ET31" i="21"/>
  <c r="AU30" i="22" s="1"/>
  <c r="EM31" i="21"/>
  <c r="AN30" i="22" s="1"/>
  <c r="EJ31" i="21"/>
  <c r="AM30" i="22" s="1"/>
  <c r="DZ31" i="21"/>
  <c r="AI30" i="22" s="1"/>
  <c r="DW31" i="21"/>
  <c r="AH30" i="22" s="1"/>
  <c r="DT31" i="21"/>
  <c r="DR31" i="21"/>
  <c r="AD30" i="22" s="1"/>
  <c r="DE31" i="21"/>
  <c r="DF31" i="21" s="1"/>
  <c r="DA31" i="21"/>
  <c r="CW31" i="21"/>
  <c r="CS31" i="21"/>
  <c r="CO31" i="21"/>
  <c r="CH31" i="21"/>
  <c r="R30" i="22" s="1"/>
  <c r="CF31" i="21"/>
  <c r="Q30" i="22" s="1"/>
  <c r="CD31" i="21"/>
  <c r="P30" i="22" s="1"/>
  <c r="CA31" i="21"/>
  <c r="BW31" i="21"/>
  <c r="BX31" i="21" s="1"/>
  <c r="BT31" i="21"/>
  <c r="BR31" i="21"/>
  <c r="Z30" i="22" s="1"/>
  <c r="BP31" i="21"/>
  <c r="BN31" i="21"/>
  <c r="BL31" i="21"/>
  <c r="BJ31" i="21"/>
  <c r="AB30" i="22" s="1"/>
  <c r="BG31" i="21"/>
  <c r="AA30" i="22" s="1"/>
  <c r="BC31" i="21"/>
  <c r="M30" i="22" s="1"/>
  <c r="AZ31" i="21"/>
  <c r="L30" i="22" s="1"/>
  <c r="AR31" i="21"/>
  <c r="AI31" i="21"/>
  <c r="AE31" i="21"/>
  <c r="AB31" i="21"/>
  <c r="F30" i="22" s="1"/>
  <c r="V31" i="21"/>
  <c r="T31" i="21"/>
  <c r="D30" i="22" s="1"/>
  <c r="Q31" i="21"/>
  <c r="R31" i="21" s="1"/>
  <c r="N31" i="21"/>
  <c r="C30" i="22" s="1"/>
  <c r="K31" i="21"/>
  <c r="F31" i="21"/>
  <c r="D31" i="21"/>
  <c r="C31" i="21"/>
  <c r="KE30" i="21"/>
  <c r="KB30" i="21"/>
  <c r="JY30" i="21"/>
  <c r="JV30" i="21"/>
  <c r="JS30" i="21"/>
  <c r="JP30" i="21"/>
  <c r="JM30" i="21"/>
  <c r="JJ30" i="21"/>
  <c r="JG30" i="21"/>
  <c r="JD30" i="21"/>
  <c r="JA30" i="21"/>
  <c r="IX30" i="21"/>
  <c r="IU30" i="21"/>
  <c r="IR30" i="21"/>
  <c r="IO30" i="21"/>
  <c r="IL30" i="21"/>
  <c r="IE30" i="21"/>
  <c r="CE29" i="22" s="1"/>
  <c r="IB30" i="21"/>
  <c r="CD29" i="22" s="1"/>
  <c r="HY30" i="21"/>
  <c r="HV30" i="21"/>
  <c r="CB29" i="22" s="1"/>
  <c r="HS30" i="21"/>
  <c r="CA29" i="22" s="1"/>
  <c r="HP30" i="21"/>
  <c r="BZ29" i="22" s="1"/>
  <c r="HM30" i="21"/>
  <c r="BY29" i="22" s="1"/>
  <c r="HJ30" i="21"/>
  <c r="HE30" i="21"/>
  <c r="GW30" i="21"/>
  <c r="GS30" i="21"/>
  <c r="BF29" i="22" s="1"/>
  <c r="GP30" i="21"/>
  <c r="BE29" i="22" s="1"/>
  <c r="GM30" i="21"/>
  <c r="BC29" i="22" s="1"/>
  <c r="GJ30" i="21"/>
  <c r="AX29" i="22" s="1"/>
  <c r="GD30" i="21"/>
  <c r="GA30" i="21"/>
  <c r="AQ29" i="22" s="1"/>
  <c r="FX30" i="21"/>
  <c r="AP29" i="22" s="1"/>
  <c r="FS30" i="21"/>
  <c r="FP30" i="21"/>
  <c r="FA67" i="21" s="1"/>
  <c r="FJ30" i="21"/>
  <c r="BA29" i="22" s="1"/>
  <c r="AZ29" i="22"/>
  <c r="FC30" i="21"/>
  <c r="EZ30" i="21"/>
  <c r="EZ67" i="21" s="1"/>
  <c r="EW30" i="21"/>
  <c r="AV29" i="22" s="1"/>
  <c r="ET30" i="21"/>
  <c r="AU29" i="22" s="1"/>
  <c r="EM30" i="21"/>
  <c r="AN29" i="22" s="1"/>
  <c r="EJ30" i="21"/>
  <c r="AM29" i="22" s="1"/>
  <c r="DZ30" i="21"/>
  <c r="AI29" i="22" s="1"/>
  <c r="DW30" i="21"/>
  <c r="DT30" i="21"/>
  <c r="DR30" i="21"/>
  <c r="AD29" i="22" s="1"/>
  <c r="DE30" i="21"/>
  <c r="DF30" i="21" s="1"/>
  <c r="DA30" i="21"/>
  <c r="CW30" i="21"/>
  <c r="CS30" i="21"/>
  <c r="CO30" i="21"/>
  <c r="CH30" i="21"/>
  <c r="R29" i="22" s="1"/>
  <c r="CF30" i="21"/>
  <c r="Q29" i="22" s="1"/>
  <c r="CD30" i="21"/>
  <c r="P29" i="22" s="1"/>
  <c r="CA30" i="21"/>
  <c r="BW30" i="21"/>
  <c r="BX30" i="21" s="1"/>
  <c r="BT30" i="21"/>
  <c r="BR30" i="21"/>
  <c r="Z29" i="22" s="1"/>
  <c r="BP30" i="21"/>
  <c r="BN30" i="21"/>
  <c r="BL30" i="21"/>
  <c r="BJ30" i="21"/>
  <c r="AB29" i="22" s="1"/>
  <c r="BG30" i="21"/>
  <c r="AA29" i="22" s="1"/>
  <c r="BC30" i="21"/>
  <c r="M29" i="22" s="1"/>
  <c r="AZ30" i="21"/>
  <c r="L29" i="22" s="1"/>
  <c r="AR30" i="21"/>
  <c r="AI30" i="21"/>
  <c r="AE30" i="21"/>
  <c r="AB30" i="21"/>
  <c r="F29" i="22" s="1"/>
  <c r="V30" i="21"/>
  <c r="T30" i="21"/>
  <c r="D29" i="22" s="1"/>
  <c r="Q30" i="21"/>
  <c r="N30" i="21"/>
  <c r="C29" i="22" s="1"/>
  <c r="K30" i="21"/>
  <c r="F30" i="21"/>
  <c r="D30" i="21"/>
  <c r="C30" i="21"/>
  <c r="KE29" i="21"/>
  <c r="KB29" i="21"/>
  <c r="JY29" i="21"/>
  <c r="JV29" i="21"/>
  <c r="JS29" i="21"/>
  <c r="JP29" i="21"/>
  <c r="JM29" i="21"/>
  <c r="JJ29" i="21"/>
  <c r="JG29" i="21"/>
  <c r="JD29" i="21"/>
  <c r="JA29" i="21"/>
  <c r="IX29" i="21"/>
  <c r="IU29" i="21"/>
  <c r="IR29" i="21"/>
  <c r="IO29" i="21"/>
  <c r="IL29" i="21"/>
  <c r="IE29" i="21"/>
  <c r="CE28" i="22" s="1"/>
  <c r="IB29" i="21"/>
  <c r="CD28" i="22" s="1"/>
  <c r="HY29" i="21"/>
  <c r="CC28" i="22" s="1"/>
  <c r="HV29" i="21"/>
  <c r="CB28" i="22" s="1"/>
  <c r="HS29" i="21"/>
  <c r="CA28" i="22" s="1"/>
  <c r="HP29" i="21"/>
  <c r="BZ28" i="22" s="1"/>
  <c r="HM29" i="21"/>
  <c r="BY28" i="22" s="1"/>
  <c r="HJ29" i="21"/>
  <c r="HE29" i="21"/>
  <c r="GW29" i="21"/>
  <c r="GS29" i="21"/>
  <c r="BF28" i="22" s="1"/>
  <c r="GP29" i="21"/>
  <c r="BE28" i="22" s="1"/>
  <c r="GM29" i="21"/>
  <c r="BC28" i="22" s="1"/>
  <c r="GJ29" i="21"/>
  <c r="AX28" i="22" s="1"/>
  <c r="GD29" i="21"/>
  <c r="GA29" i="21"/>
  <c r="AQ28" i="22" s="1"/>
  <c r="FX29" i="21"/>
  <c r="AP28" i="22" s="1"/>
  <c r="FS29" i="21"/>
  <c r="FP29" i="21"/>
  <c r="FA66" i="21" s="1"/>
  <c r="FJ29" i="21"/>
  <c r="BA28" i="22" s="1"/>
  <c r="AZ28" i="22"/>
  <c r="FC29" i="21"/>
  <c r="EZ29" i="21"/>
  <c r="EZ66" i="21" s="1"/>
  <c r="EW29" i="21"/>
  <c r="AV28" i="22" s="1"/>
  <c r="ET29" i="21"/>
  <c r="AU28" i="22" s="1"/>
  <c r="AT28" i="22"/>
  <c r="EM29" i="21"/>
  <c r="AN28" i="22" s="1"/>
  <c r="EJ29" i="21"/>
  <c r="AM28" i="22" s="1"/>
  <c r="DZ29" i="21"/>
  <c r="AI28" i="22" s="1"/>
  <c r="DW29" i="21"/>
  <c r="AH28" i="22" s="1"/>
  <c r="DT29" i="21"/>
  <c r="DR29" i="21"/>
  <c r="AD28" i="22" s="1"/>
  <c r="DE29" i="21"/>
  <c r="DF29" i="21" s="1"/>
  <c r="DA29" i="21"/>
  <c r="CW29" i="21"/>
  <c r="CS29" i="21"/>
  <c r="CO29" i="21"/>
  <c r="CH29" i="21"/>
  <c r="R28" i="22" s="1"/>
  <c r="CF29" i="21"/>
  <c r="Q28" i="22" s="1"/>
  <c r="CD29" i="21"/>
  <c r="P28" i="22" s="1"/>
  <c r="CA29" i="21"/>
  <c r="BW29" i="21"/>
  <c r="BX29" i="21" s="1"/>
  <c r="BT29" i="21"/>
  <c r="BR29" i="21"/>
  <c r="Z28" i="22" s="1"/>
  <c r="BP29" i="21"/>
  <c r="BN29" i="21"/>
  <c r="BL29" i="21"/>
  <c r="BJ29" i="21"/>
  <c r="AB28" i="22" s="1"/>
  <c r="BG29" i="21"/>
  <c r="AA28" i="22" s="1"/>
  <c r="BC29" i="21"/>
  <c r="M28" i="22" s="1"/>
  <c r="AZ29" i="21"/>
  <c r="L28" i="22" s="1"/>
  <c r="AR29" i="21"/>
  <c r="AI29" i="21"/>
  <c r="AE29" i="21"/>
  <c r="AB29" i="21"/>
  <c r="F28" i="22" s="1"/>
  <c r="V29" i="21"/>
  <c r="T29" i="21"/>
  <c r="D28" i="22" s="1"/>
  <c r="Q29" i="21"/>
  <c r="R29" i="21" s="1"/>
  <c r="N29" i="21"/>
  <c r="C28" i="22" s="1"/>
  <c r="K29" i="21"/>
  <c r="F29" i="21"/>
  <c r="D29" i="21"/>
  <c r="C29" i="21"/>
  <c r="KE28" i="21"/>
  <c r="KB28" i="21"/>
  <c r="JY28" i="21"/>
  <c r="JV28" i="21"/>
  <c r="JS28" i="21"/>
  <c r="JP28" i="21"/>
  <c r="JM28" i="21"/>
  <c r="JJ28" i="21"/>
  <c r="JG28" i="21"/>
  <c r="JD28" i="21"/>
  <c r="JA28" i="21"/>
  <c r="IX28" i="21"/>
  <c r="IU28" i="21"/>
  <c r="IR28" i="21"/>
  <c r="IO28" i="21"/>
  <c r="IL28" i="21"/>
  <c r="IE28" i="21"/>
  <c r="CE27" i="22" s="1"/>
  <c r="IB28" i="21"/>
  <c r="CD27" i="22" s="1"/>
  <c r="HY28" i="21"/>
  <c r="HV28" i="21"/>
  <c r="CB27" i="22" s="1"/>
  <c r="HS28" i="21"/>
  <c r="CA27" i="22" s="1"/>
  <c r="HP28" i="21"/>
  <c r="BZ27" i="22" s="1"/>
  <c r="HM28" i="21"/>
  <c r="BY27" i="22" s="1"/>
  <c r="HJ28" i="21"/>
  <c r="HE28" i="21"/>
  <c r="GW28" i="21"/>
  <c r="GS28" i="21"/>
  <c r="BF27" i="22" s="1"/>
  <c r="GP28" i="21"/>
  <c r="BE27" i="22" s="1"/>
  <c r="GM28" i="21"/>
  <c r="BC27" i="22" s="1"/>
  <c r="GJ28" i="21"/>
  <c r="AX27" i="22" s="1"/>
  <c r="GD28" i="21"/>
  <c r="GA28" i="21"/>
  <c r="AQ27" i="22" s="1"/>
  <c r="FX28" i="21"/>
  <c r="AP27" i="22" s="1"/>
  <c r="FS28" i="21"/>
  <c r="FP28" i="21"/>
  <c r="FA65" i="21" s="1"/>
  <c r="FJ28" i="21"/>
  <c r="BA27" i="22" s="1"/>
  <c r="AZ27" i="22"/>
  <c r="FC28" i="21"/>
  <c r="EZ28" i="21"/>
  <c r="EZ65" i="21" s="1"/>
  <c r="EW28" i="21"/>
  <c r="AV27" i="22" s="1"/>
  <c r="ET28" i="21"/>
  <c r="AU27" i="22" s="1"/>
  <c r="AT27" i="22"/>
  <c r="EM28" i="21"/>
  <c r="AN27" i="22" s="1"/>
  <c r="EJ28" i="21"/>
  <c r="AM27" i="22" s="1"/>
  <c r="DZ28" i="21"/>
  <c r="AI27" i="22" s="1"/>
  <c r="DW28" i="21"/>
  <c r="AH27" i="22" s="1"/>
  <c r="DT28" i="21"/>
  <c r="DR28" i="21"/>
  <c r="AD27" i="22" s="1"/>
  <c r="DE28" i="21"/>
  <c r="DF28" i="21" s="1"/>
  <c r="DA28" i="21"/>
  <c r="CW28" i="21"/>
  <c r="CS28" i="21"/>
  <c r="U27" i="22" s="1"/>
  <c r="CO28" i="21"/>
  <c r="CH28" i="21"/>
  <c r="R27" i="22" s="1"/>
  <c r="CF28" i="21"/>
  <c r="Q27" i="22" s="1"/>
  <c r="CD28" i="21"/>
  <c r="P27" i="22" s="1"/>
  <c r="CA28" i="21"/>
  <c r="BW28" i="21"/>
  <c r="BX28" i="21" s="1"/>
  <c r="BT28" i="21"/>
  <c r="BR28" i="21"/>
  <c r="Z27" i="22" s="1"/>
  <c r="BP28" i="21"/>
  <c r="BN28" i="21"/>
  <c r="BL28" i="21"/>
  <c r="BJ28" i="21"/>
  <c r="AB27" i="22" s="1"/>
  <c r="BG28" i="21"/>
  <c r="AA27" i="22" s="1"/>
  <c r="BC28" i="21"/>
  <c r="M27" i="22" s="1"/>
  <c r="AZ28" i="21"/>
  <c r="L27" i="22" s="1"/>
  <c r="AR28" i="21"/>
  <c r="AI28" i="21"/>
  <c r="AE28" i="21"/>
  <c r="AB28" i="21"/>
  <c r="F27" i="22" s="1"/>
  <c r="V28" i="21"/>
  <c r="T28" i="21"/>
  <c r="D27" i="22" s="1"/>
  <c r="Q28" i="21"/>
  <c r="N28" i="21"/>
  <c r="C27" i="22" s="1"/>
  <c r="K28" i="21"/>
  <c r="F28" i="21"/>
  <c r="D28" i="21"/>
  <c r="C28" i="21"/>
  <c r="KE27" i="21"/>
  <c r="KB27" i="21"/>
  <c r="JY27" i="21"/>
  <c r="JV27" i="21"/>
  <c r="JS27" i="21"/>
  <c r="JP27" i="21"/>
  <c r="JM27" i="21"/>
  <c r="JJ27" i="21"/>
  <c r="JG27" i="21"/>
  <c r="JD27" i="21"/>
  <c r="JA27" i="21"/>
  <c r="IX27" i="21"/>
  <c r="IU27" i="21"/>
  <c r="IR27" i="21"/>
  <c r="IO27" i="21"/>
  <c r="IL27" i="21"/>
  <c r="IE27" i="21"/>
  <c r="CE26" i="22" s="1"/>
  <c r="IB27" i="21"/>
  <c r="CD26" i="22" s="1"/>
  <c r="HY27" i="21"/>
  <c r="CC26" i="22" s="1"/>
  <c r="HV27" i="21"/>
  <c r="CB26" i="22" s="1"/>
  <c r="HS27" i="21"/>
  <c r="CA26" i="22" s="1"/>
  <c r="HP27" i="21"/>
  <c r="BZ26" i="22" s="1"/>
  <c r="HM27" i="21"/>
  <c r="BY26" i="22" s="1"/>
  <c r="HJ27" i="21"/>
  <c r="HE27" i="21"/>
  <c r="GW27" i="21"/>
  <c r="GS27" i="21"/>
  <c r="BF26" i="22" s="1"/>
  <c r="GP27" i="21"/>
  <c r="BE26" i="22" s="1"/>
  <c r="GM27" i="21"/>
  <c r="BC26" i="22" s="1"/>
  <c r="GJ27" i="21"/>
  <c r="GD27" i="21"/>
  <c r="GA27" i="21"/>
  <c r="AQ26" i="22" s="1"/>
  <c r="FX27" i="21"/>
  <c r="AP26" i="22" s="1"/>
  <c r="FS27" i="21"/>
  <c r="FP27" i="21"/>
  <c r="FA64" i="21" s="1"/>
  <c r="FJ27" i="21"/>
  <c r="BA26" i="22" s="1"/>
  <c r="FC27" i="21"/>
  <c r="EZ27" i="21"/>
  <c r="EZ64" i="21" s="1"/>
  <c r="EW27" i="21"/>
  <c r="AV26" i="22" s="1"/>
  <c r="ET27" i="21"/>
  <c r="AU26" i="22" s="1"/>
  <c r="EM27" i="21"/>
  <c r="AN26" i="22" s="1"/>
  <c r="EJ27" i="21"/>
  <c r="AM26" i="22" s="1"/>
  <c r="DZ27" i="21"/>
  <c r="AI26" i="22" s="1"/>
  <c r="DW27" i="21"/>
  <c r="DT27" i="21"/>
  <c r="DR27" i="21"/>
  <c r="AD26" i="22" s="1"/>
  <c r="DE27" i="21"/>
  <c r="DA27" i="21"/>
  <c r="CW27" i="21"/>
  <c r="CS27" i="21"/>
  <c r="CO27" i="21"/>
  <c r="CH27" i="21"/>
  <c r="R26" i="22" s="1"/>
  <c r="CF27" i="21"/>
  <c r="Q26" i="22" s="1"/>
  <c r="CD27" i="21"/>
  <c r="P26" i="22" s="1"/>
  <c r="CA27" i="21"/>
  <c r="BW27" i="21"/>
  <c r="BX27" i="21" s="1"/>
  <c r="BT27" i="21"/>
  <c r="BR27" i="21"/>
  <c r="Z26" i="22" s="1"/>
  <c r="BP27" i="21"/>
  <c r="BN27" i="21"/>
  <c r="BL27" i="21"/>
  <c r="BJ27" i="21"/>
  <c r="AB26" i="22" s="1"/>
  <c r="BG27" i="21"/>
  <c r="AA26" i="22" s="1"/>
  <c r="BC27" i="21"/>
  <c r="M26" i="22" s="1"/>
  <c r="AZ27" i="21"/>
  <c r="L26" i="22" s="1"/>
  <c r="AR27" i="21"/>
  <c r="AI27" i="21"/>
  <c r="AE27" i="21"/>
  <c r="AB27" i="21"/>
  <c r="F26" i="22" s="1"/>
  <c r="V27" i="21"/>
  <c r="T27" i="21"/>
  <c r="D26" i="22" s="1"/>
  <c r="Q27" i="21"/>
  <c r="R27" i="21" s="1"/>
  <c r="N27" i="21"/>
  <c r="C26" i="22" s="1"/>
  <c r="K27" i="21"/>
  <c r="F27" i="21"/>
  <c r="D27" i="21"/>
  <c r="C27" i="21"/>
  <c r="KE26" i="21"/>
  <c r="KB26" i="21"/>
  <c r="JY26" i="21"/>
  <c r="JV26" i="21"/>
  <c r="JS26" i="21"/>
  <c r="JP26" i="21"/>
  <c r="JM26" i="21"/>
  <c r="JJ26" i="21"/>
  <c r="JG26" i="21"/>
  <c r="JD26" i="21"/>
  <c r="JA26" i="21"/>
  <c r="IX26" i="21"/>
  <c r="IU26" i="21"/>
  <c r="IR26" i="21"/>
  <c r="IO26" i="21"/>
  <c r="IL26" i="21"/>
  <c r="IE26" i="21"/>
  <c r="CE25" i="22" s="1"/>
  <c r="IB26" i="21"/>
  <c r="CD25" i="22" s="1"/>
  <c r="HY26" i="21"/>
  <c r="CC25" i="22" s="1"/>
  <c r="HV26" i="21"/>
  <c r="CB25" i="22" s="1"/>
  <c r="HS26" i="21"/>
  <c r="CA25" i="22" s="1"/>
  <c r="HP26" i="21"/>
  <c r="BZ25" i="22" s="1"/>
  <c r="HM26" i="21"/>
  <c r="BY25" i="22" s="1"/>
  <c r="HJ26" i="21"/>
  <c r="HE26" i="21"/>
  <c r="GW26" i="21"/>
  <c r="GS26" i="21"/>
  <c r="BF25" i="22" s="1"/>
  <c r="GP26" i="21"/>
  <c r="BE25" i="22" s="1"/>
  <c r="GM26" i="21"/>
  <c r="BC25" i="22" s="1"/>
  <c r="GJ26" i="21"/>
  <c r="AX25" i="22" s="1"/>
  <c r="GD26" i="21"/>
  <c r="GA26" i="21"/>
  <c r="AQ25" i="22" s="1"/>
  <c r="FX26" i="21"/>
  <c r="AP25" i="22" s="1"/>
  <c r="FS26" i="21"/>
  <c r="FP26" i="21"/>
  <c r="FA63" i="21" s="1"/>
  <c r="FJ26" i="21"/>
  <c r="BA25" i="22" s="1"/>
  <c r="AZ25" i="22"/>
  <c r="FC26" i="21"/>
  <c r="EZ26" i="21"/>
  <c r="EZ63" i="21" s="1"/>
  <c r="EW26" i="21"/>
  <c r="AV25" i="22" s="1"/>
  <c r="ET26" i="21"/>
  <c r="AU25" i="22" s="1"/>
  <c r="AT25" i="22"/>
  <c r="EM26" i="21"/>
  <c r="AN25" i="22" s="1"/>
  <c r="EJ26" i="21"/>
  <c r="AM25" i="22" s="1"/>
  <c r="DZ26" i="21"/>
  <c r="AI25" i="22" s="1"/>
  <c r="DW26" i="21"/>
  <c r="AH25" i="22" s="1"/>
  <c r="DT26" i="21"/>
  <c r="DR26" i="21"/>
  <c r="AD25" i="22" s="1"/>
  <c r="DE26" i="21"/>
  <c r="DF26" i="21" s="1"/>
  <c r="DA26" i="21"/>
  <c r="X25" i="22" s="1"/>
  <c r="CW26" i="21"/>
  <c r="CS26" i="21"/>
  <c r="CO26" i="21"/>
  <c r="CH26" i="21"/>
  <c r="R25" i="22" s="1"/>
  <c r="CF26" i="21"/>
  <c r="Q25" i="22" s="1"/>
  <c r="CD26" i="21"/>
  <c r="P25" i="22" s="1"/>
  <c r="CA26" i="21"/>
  <c r="BW26" i="21"/>
  <c r="BX26" i="21" s="1"/>
  <c r="BT26" i="21"/>
  <c r="BR26" i="21"/>
  <c r="Z25" i="22" s="1"/>
  <c r="BP26" i="21"/>
  <c r="BN26" i="21"/>
  <c r="BL26" i="21"/>
  <c r="BJ26" i="21"/>
  <c r="AB25" i="22" s="1"/>
  <c r="BG26" i="21"/>
  <c r="AA25" i="22" s="1"/>
  <c r="BC26" i="21"/>
  <c r="M25" i="22" s="1"/>
  <c r="AZ26" i="21"/>
  <c r="L25" i="22" s="1"/>
  <c r="AR26" i="21"/>
  <c r="AI26" i="21"/>
  <c r="I25" i="22" s="1"/>
  <c r="AE26" i="21"/>
  <c r="AB26" i="21"/>
  <c r="F25" i="22" s="1"/>
  <c r="V26" i="21"/>
  <c r="T26" i="21"/>
  <c r="D25" i="22" s="1"/>
  <c r="Q26" i="21"/>
  <c r="R26" i="21" s="1"/>
  <c r="N26" i="21"/>
  <c r="C25" i="22" s="1"/>
  <c r="K26" i="21"/>
  <c r="F26" i="21"/>
  <c r="D26" i="21"/>
  <c r="C26" i="21"/>
  <c r="KE25" i="21"/>
  <c r="KB25" i="21"/>
  <c r="JY25" i="21"/>
  <c r="JV25" i="21"/>
  <c r="JS25" i="21"/>
  <c r="JP25" i="21"/>
  <c r="JM25" i="21"/>
  <c r="JJ25" i="21"/>
  <c r="JG25" i="21"/>
  <c r="JD25" i="21"/>
  <c r="JA25" i="21"/>
  <c r="IX25" i="21"/>
  <c r="IU25" i="21"/>
  <c r="IR25" i="21"/>
  <c r="IO25" i="21"/>
  <c r="IL25" i="21"/>
  <c r="IE25" i="21"/>
  <c r="CE24" i="22" s="1"/>
  <c r="IB25" i="21"/>
  <c r="CD24" i="22" s="1"/>
  <c r="HY25" i="21"/>
  <c r="CC24" i="22" s="1"/>
  <c r="HV25" i="21"/>
  <c r="CB24" i="22" s="1"/>
  <c r="HS25" i="21"/>
  <c r="CA24" i="22" s="1"/>
  <c r="HP25" i="21"/>
  <c r="BZ24" i="22" s="1"/>
  <c r="HM25" i="21"/>
  <c r="BY24" i="22" s="1"/>
  <c r="HJ25" i="21"/>
  <c r="HE25" i="21"/>
  <c r="GW25" i="21"/>
  <c r="GS25" i="21"/>
  <c r="BF24" i="22" s="1"/>
  <c r="GP25" i="21"/>
  <c r="BE24" i="22" s="1"/>
  <c r="GM25" i="21"/>
  <c r="BC24" i="22" s="1"/>
  <c r="GJ25" i="21"/>
  <c r="AX24" i="22" s="1"/>
  <c r="GD25" i="21"/>
  <c r="GA25" i="21"/>
  <c r="AQ24" i="22" s="1"/>
  <c r="FX25" i="21"/>
  <c r="AP24" i="22" s="1"/>
  <c r="FS25" i="21"/>
  <c r="FP25" i="21"/>
  <c r="FA62" i="21" s="1"/>
  <c r="FJ25" i="21"/>
  <c r="BA24" i="22" s="1"/>
  <c r="AZ24" i="22"/>
  <c r="FC25" i="21"/>
  <c r="EZ25" i="21"/>
  <c r="EZ62" i="21" s="1"/>
  <c r="EW25" i="21"/>
  <c r="AV24" i="22" s="1"/>
  <c r="ET25" i="21"/>
  <c r="AU24" i="22" s="1"/>
  <c r="EM25" i="21"/>
  <c r="AN24" i="22" s="1"/>
  <c r="EJ25" i="21"/>
  <c r="AM24" i="22" s="1"/>
  <c r="DZ25" i="21"/>
  <c r="AI24" i="22" s="1"/>
  <c r="DW25" i="21"/>
  <c r="AH24" i="22" s="1"/>
  <c r="DT25" i="21"/>
  <c r="DR25" i="21"/>
  <c r="AD24" i="22" s="1"/>
  <c r="DE25" i="21"/>
  <c r="DF25" i="21" s="1"/>
  <c r="DA25" i="21"/>
  <c r="CW25" i="21"/>
  <c r="CS25" i="21"/>
  <c r="CO25" i="21"/>
  <c r="CH25" i="21"/>
  <c r="R24" i="22" s="1"/>
  <c r="CF25" i="21"/>
  <c r="Q24" i="22" s="1"/>
  <c r="CD25" i="21"/>
  <c r="P24" i="22" s="1"/>
  <c r="CA25" i="21"/>
  <c r="O24" i="22" s="1"/>
  <c r="BW25" i="21"/>
  <c r="BX25" i="21" s="1"/>
  <c r="BT25" i="21"/>
  <c r="BR25" i="21"/>
  <c r="Z24" i="22" s="1"/>
  <c r="BP25" i="21"/>
  <c r="BN25" i="21"/>
  <c r="BL25" i="21"/>
  <c r="BJ25" i="21"/>
  <c r="AB24" i="22" s="1"/>
  <c r="BG25" i="21"/>
  <c r="AA24" i="22" s="1"/>
  <c r="BC25" i="21"/>
  <c r="M24" i="22" s="1"/>
  <c r="AZ25" i="21"/>
  <c r="L24" i="22" s="1"/>
  <c r="AR25" i="21"/>
  <c r="AI25" i="21"/>
  <c r="AE25" i="21"/>
  <c r="H24" i="22" s="1"/>
  <c r="AB25" i="21"/>
  <c r="F24" i="22" s="1"/>
  <c r="V25" i="21"/>
  <c r="T25" i="21"/>
  <c r="D24" i="22" s="1"/>
  <c r="Q25" i="21"/>
  <c r="N25" i="21"/>
  <c r="C24" i="22" s="1"/>
  <c r="K25" i="21"/>
  <c r="F25" i="21"/>
  <c r="D25" i="21"/>
  <c r="C25" i="21"/>
  <c r="KE24" i="21"/>
  <c r="KB24" i="21"/>
  <c r="JY24" i="21"/>
  <c r="JV24" i="21"/>
  <c r="JS24" i="21"/>
  <c r="JP24" i="21"/>
  <c r="JM24" i="21"/>
  <c r="JJ24" i="21"/>
  <c r="JG24" i="21"/>
  <c r="JD24" i="21"/>
  <c r="JA24" i="21"/>
  <c r="IX24" i="21"/>
  <c r="IU24" i="21"/>
  <c r="IR24" i="21"/>
  <c r="IO24" i="21"/>
  <c r="IL24" i="21"/>
  <c r="IE24" i="21"/>
  <c r="CE23" i="22" s="1"/>
  <c r="IB24" i="21"/>
  <c r="CD23" i="22" s="1"/>
  <c r="HY24" i="21"/>
  <c r="CC23" i="22" s="1"/>
  <c r="HV24" i="21"/>
  <c r="CB23" i="22" s="1"/>
  <c r="HS24" i="21"/>
  <c r="CA23" i="22" s="1"/>
  <c r="HP24" i="21"/>
  <c r="BZ23" i="22" s="1"/>
  <c r="HM24" i="21"/>
  <c r="BY23" i="22" s="1"/>
  <c r="HJ24" i="21"/>
  <c r="HE24" i="21"/>
  <c r="GW24" i="21"/>
  <c r="GS24" i="21"/>
  <c r="BF23" i="22" s="1"/>
  <c r="GP24" i="21"/>
  <c r="BE23" i="22" s="1"/>
  <c r="GM24" i="21"/>
  <c r="BC23" i="22" s="1"/>
  <c r="GJ24" i="21"/>
  <c r="AX23" i="22" s="1"/>
  <c r="GD24" i="21"/>
  <c r="GA24" i="21"/>
  <c r="AQ23" i="22" s="1"/>
  <c r="FX24" i="21"/>
  <c r="AP23" i="22" s="1"/>
  <c r="FS24" i="21"/>
  <c r="FP24" i="21"/>
  <c r="FA61" i="21" s="1"/>
  <c r="FJ24" i="21"/>
  <c r="BA23" i="22" s="1"/>
  <c r="AZ23" i="22"/>
  <c r="FC24" i="21"/>
  <c r="EZ24" i="21"/>
  <c r="EZ61" i="21" s="1"/>
  <c r="EW24" i="21"/>
  <c r="AV23" i="22" s="1"/>
  <c r="ET24" i="21"/>
  <c r="AU23" i="22" s="1"/>
  <c r="AT23" i="22"/>
  <c r="EM24" i="21"/>
  <c r="AN23" i="22" s="1"/>
  <c r="EJ24" i="21"/>
  <c r="AM23" i="22" s="1"/>
  <c r="DZ24" i="21"/>
  <c r="AI23" i="22" s="1"/>
  <c r="DW24" i="21"/>
  <c r="DT24" i="21"/>
  <c r="DR24" i="21"/>
  <c r="AD23" i="22" s="1"/>
  <c r="DE24" i="21"/>
  <c r="DF24" i="21" s="1"/>
  <c r="DA24" i="21"/>
  <c r="CW24" i="21"/>
  <c r="CS24" i="21"/>
  <c r="CO24" i="21"/>
  <c r="CH24" i="21"/>
  <c r="R23" i="22" s="1"/>
  <c r="CF24" i="21"/>
  <c r="Q23" i="22" s="1"/>
  <c r="CD24" i="21"/>
  <c r="P23" i="22" s="1"/>
  <c r="CA24" i="21"/>
  <c r="BW24" i="21"/>
  <c r="BX24" i="21" s="1"/>
  <c r="BT24" i="21"/>
  <c r="BR24" i="21"/>
  <c r="Z23" i="22" s="1"/>
  <c r="BP24" i="21"/>
  <c r="BN24" i="21"/>
  <c r="BL24" i="21"/>
  <c r="BJ24" i="21"/>
  <c r="AB23" i="22" s="1"/>
  <c r="BG24" i="21"/>
  <c r="AA23" i="22" s="1"/>
  <c r="BC24" i="21"/>
  <c r="M23" i="22" s="1"/>
  <c r="AZ24" i="21"/>
  <c r="L23" i="22" s="1"/>
  <c r="AR24" i="21"/>
  <c r="AI24" i="21"/>
  <c r="AE24" i="21"/>
  <c r="AB24" i="21"/>
  <c r="F23" i="22" s="1"/>
  <c r="V24" i="21"/>
  <c r="T24" i="21"/>
  <c r="D23" i="22" s="1"/>
  <c r="Q24" i="21"/>
  <c r="R24" i="21" s="1"/>
  <c r="N24" i="21"/>
  <c r="C23" i="22" s="1"/>
  <c r="K24" i="21"/>
  <c r="F24" i="21"/>
  <c r="D24" i="21"/>
  <c r="C24" i="21"/>
  <c r="KE23" i="21"/>
  <c r="KB23" i="21"/>
  <c r="JY23" i="21"/>
  <c r="JV23" i="21"/>
  <c r="JS23" i="21"/>
  <c r="JP23" i="21"/>
  <c r="JM23" i="21"/>
  <c r="JJ23" i="21"/>
  <c r="JG23" i="21"/>
  <c r="JD23" i="21"/>
  <c r="JA23" i="21"/>
  <c r="IX23" i="21"/>
  <c r="IU23" i="21"/>
  <c r="IR23" i="21"/>
  <c r="IO23" i="21"/>
  <c r="IL23" i="21"/>
  <c r="IE23" i="21"/>
  <c r="CE22" i="22" s="1"/>
  <c r="IB23" i="21"/>
  <c r="CD22" i="22" s="1"/>
  <c r="HY23" i="21"/>
  <c r="CC22" i="22" s="1"/>
  <c r="HV23" i="21"/>
  <c r="CB22" i="22" s="1"/>
  <c r="HS23" i="21"/>
  <c r="CA22" i="22" s="1"/>
  <c r="HP23" i="21"/>
  <c r="BZ22" i="22" s="1"/>
  <c r="HM23" i="21"/>
  <c r="BY22" i="22" s="1"/>
  <c r="HJ23" i="21"/>
  <c r="HE23" i="21"/>
  <c r="GW23" i="21"/>
  <c r="GS23" i="21"/>
  <c r="BF22" i="22" s="1"/>
  <c r="GP23" i="21"/>
  <c r="BE22" i="22" s="1"/>
  <c r="GM23" i="21"/>
  <c r="BC22" i="22" s="1"/>
  <c r="GJ23" i="21"/>
  <c r="AX22" i="22" s="1"/>
  <c r="GD23" i="21"/>
  <c r="GA23" i="21"/>
  <c r="AQ22" i="22" s="1"/>
  <c r="FX23" i="21"/>
  <c r="AP22" i="22" s="1"/>
  <c r="FS23" i="21"/>
  <c r="FP23" i="21"/>
  <c r="FA60" i="21" s="1"/>
  <c r="FJ23" i="21"/>
  <c r="BA22" i="22" s="1"/>
  <c r="FC23" i="21"/>
  <c r="EZ23" i="21"/>
  <c r="EZ60" i="21" s="1"/>
  <c r="EW23" i="21"/>
  <c r="AV22" i="22" s="1"/>
  <c r="ET23" i="21"/>
  <c r="AU22" i="22" s="1"/>
  <c r="EM23" i="21"/>
  <c r="AN22" i="22" s="1"/>
  <c r="EJ23" i="21"/>
  <c r="AM22" i="22" s="1"/>
  <c r="DZ23" i="21"/>
  <c r="AI22" i="22" s="1"/>
  <c r="DW23" i="21"/>
  <c r="AH22" i="22" s="1"/>
  <c r="DT23" i="21"/>
  <c r="DR23" i="21"/>
  <c r="AD22" i="22" s="1"/>
  <c r="DE23" i="21"/>
  <c r="DA23" i="21"/>
  <c r="CW23" i="21"/>
  <c r="CS23" i="21"/>
  <c r="CO23" i="21"/>
  <c r="CH23" i="21"/>
  <c r="R22" i="22" s="1"/>
  <c r="CF23" i="21"/>
  <c r="Q22" i="22" s="1"/>
  <c r="CD23" i="21"/>
  <c r="P22" i="22" s="1"/>
  <c r="CA23" i="21"/>
  <c r="BW23" i="21"/>
  <c r="BX23" i="21" s="1"/>
  <c r="BT23" i="21"/>
  <c r="BR23" i="21"/>
  <c r="Z22" i="22" s="1"/>
  <c r="BP23" i="21"/>
  <c r="BN23" i="21"/>
  <c r="BL23" i="21"/>
  <c r="BJ23" i="21"/>
  <c r="AB22" i="22" s="1"/>
  <c r="BG23" i="21"/>
  <c r="AA22" i="22" s="1"/>
  <c r="BC23" i="21"/>
  <c r="M22" i="22" s="1"/>
  <c r="AZ23" i="21"/>
  <c r="L22" i="22" s="1"/>
  <c r="AR23" i="21"/>
  <c r="AI23" i="21"/>
  <c r="AE23" i="21"/>
  <c r="AB23" i="21"/>
  <c r="F22" i="22" s="1"/>
  <c r="V23" i="21"/>
  <c r="T23" i="21"/>
  <c r="D22" i="22" s="1"/>
  <c r="Q23" i="21"/>
  <c r="R23" i="21" s="1"/>
  <c r="N23" i="21"/>
  <c r="C22" i="22" s="1"/>
  <c r="K23" i="21"/>
  <c r="F23" i="21"/>
  <c r="D23" i="21"/>
  <c r="C23" i="21"/>
  <c r="KE22" i="21"/>
  <c r="KB22" i="21"/>
  <c r="JY22" i="21"/>
  <c r="JV22" i="21"/>
  <c r="JS22" i="21"/>
  <c r="JP22" i="21"/>
  <c r="JM22" i="21"/>
  <c r="JJ22" i="21"/>
  <c r="JG22" i="21"/>
  <c r="JD22" i="21"/>
  <c r="JA22" i="21"/>
  <c r="IX22" i="21"/>
  <c r="IU22" i="21"/>
  <c r="IR22" i="21"/>
  <c r="IO22" i="21"/>
  <c r="IL22" i="21"/>
  <c r="IE22" i="21"/>
  <c r="CE21" i="22" s="1"/>
  <c r="IB22" i="21"/>
  <c r="CD21" i="22" s="1"/>
  <c r="HY22" i="21"/>
  <c r="CC21" i="22" s="1"/>
  <c r="HV22" i="21"/>
  <c r="CB21" i="22" s="1"/>
  <c r="HS22" i="21"/>
  <c r="CA21" i="22" s="1"/>
  <c r="HP22" i="21"/>
  <c r="BZ21" i="22" s="1"/>
  <c r="HM22" i="21"/>
  <c r="BY21" i="22" s="1"/>
  <c r="HJ22" i="21"/>
  <c r="HE22" i="21"/>
  <c r="GW22" i="21"/>
  <c r="GS22" i="21"/>
  <c r="BF21" i="22" s="1"/>
  <c r="GP22" i="21"/>
  <c r="BE21" i="22" s="1"/>
  <c r="GM22" i="21"/>
  <c r="BC21" i="22" s="1"/>
  <c r="GJ22" i="21"/>
  <c r="AX21" i="22" s="1"/>
  <c r="GD22" i="21"/>
  <c r="GA22" i="21"/>
  <c r="AQ21" i="22" s="1"/>
  <c r="FX22" i="21"/>
  <c r="AP21" i="22" s="1"/>
  <c r="FS22" i="21"/>
  <c r="FP22" i="21"/>
  <c r="FA59" i="21" s="1"/>
  <c r="FJ22" i="21"/>
  <c r="BA21" i="22" s="1"/>
  <c r="AZ21" i="22"/>
  <c r="FC22" i="21"/>
  <c r="EZ22" i="21"/>
  <c r="EZ59" i="21" s="1"/>
  <c r="EW22" i="21"/>
  <c r="AV21" i="22" s="1"/>
  <c r="ET22" i="21"/>
  <c r="AU21" i="22" s="1"/>
  <c r="AT21" i="22"/>
  <c r="EM22" i="21"/>
  <c r="AN21" i="22" s="1"/>
  <c r="EJ22" i="21"/>
  <c r="AM21" i="22" s="1"/>
  <c r="DZ22" i="21"/>
  <c r="AI21" i="22" s="1"/>
  <c r="DW22" i="21"/>
  <c r="AH21" i="22" s="1"/>
  <c r="DT22" i="21"/>
  <c r="DR22" i="21"/>
  <c r="AD21" i="22" s="1"/>
  <c r="DE22" i="21"/>
  <c r="DF22" i="21" s="1"/>
  <c r="DA22" i="21"/>
  <c r="CW22" i="21"/>
  <c r="CS22" i="21"/>
  <c r="CO22" i="21"/>
  <c r="CH22" i="21"/>
  <c r="R21" i="22" s="1"/>
  <c r="CF22" i="21"/>
  <c r="Q21" i="22" s="1"/>
  <c r="CD22" i="21"/>
  <c r="P21" i="22" s="1"/>
  <c r="CA22" i="21"/>
  <c r="BW22" i="21"/>
  <c r="BX22" i="21" s="1"/>
  <c r="BT22" i="21"/>
  <c r="BR22" i="21"/>
  <c r="Z21" i="22" s="1"/>
  <c r="BP22" i="21"/>
  <c r="BN22" i="21"/>
  <c r="BL22" i="21"/>
  <c r="BJ22" i="21"/>
  <c r="AB21" i="22" s="1"/>
  <c r="BG22" i="21"/>
  <c r="AA21" i="22" s="1"/>
  <c r="BC22" i="21"/>
  <c r="M21" i="22" s="1"/>
  <c r="AZ22" i="21"/>
  <c r="L21" i="22" s="1"/>
  <c r="AR22" i="21"/>
  <c r="AI22" i="21"/>
  <c r="AE22" i="21"/>
  <c r="AB22" i="21"/>
  <c r="F21" i="22" s="1"/>
  <c r="V22" i="21"/>
  <c r="T22" i="21"/>
  <c r="D21" i="22" s="1"/>
  <c r="Q22" i="21"/>
  <c r="R22" i="21" s="1"/>
  <c r="N22" i="21"/>
  <c r="C21" i="22" s="1"/>
  <c r="K22" i="21"/>
  <c r="F22" i="21"/>
  <c r="D22" i="21"/>
  <c r="C22" i="21"/>
  <c r="KE21" i="21"/>
  <c r="KB21" i="21"/>
  <c r="JY21" i="21"/>
  <c r="JV21" i="21"/>
  <c r="JS21" i="21"/>
  <c r="JP21" i="21"/>
  <c r="JM21" i="21"/>
  <c r="JJ21" i="21"/>
  <c r="JG21" i="21"/>
  <c r="JD21" i="21"/>
  <c r="JA21" i="21"/>
  <c r="IX21" i="21"/>
  <c r="IU21" i="21"/>
  <c r="IR21" i="21"/>
  <c r="IO21" i="21"/>
  <c r="IL21" i="21"/>
  <c r="IE21" i="21"/>
  <c r="CE20" i="22" s="1"/>
  <c r="IB21" i="21"/>
  <c r="CD20" i="22" s="1"/>
  <c r="HY21" i="21"/>
  <c r="HV21" i="21"/>
  <c r="CB20" i="22" s="1"/>
  <c r="HS21" i="21"/>
  <c r="CA20" i="22" s="1"/>
  <c r="HP21" i="21"/>
  <c r="BZ20" i="22" s="1"/>
  <c r="HM21" i="21"/>
  <c r="BY20" i="22" s="1"/>
  <c r="HJ21" i="21"/>
  <c r="HE21" i="21"/>
  <c r="GW21" i="21"/>
  <c r="GS21" i="21"/>
  <c r="BF20" i="22" s="1"/>
  <c r="GP21" i="21"/>
  <c r="BE20" i="22" s="1"/>
  <c r="GM21" i="21"/>
  <c r="BC20" i="22" s="1"/>
  <c r="GJ21" i="21"/>
  <c r="AX20" i="22" s="1"/>
  <c r="GD21" i="21"/>
  <c r="GA21" i="21"/>
  <c r="AQ20" i="22" s="1"/>
  <c r="FX21" i="21"/>
  <c r="AP20" i="22" s="1"/>
  <c r="FS21" i="21"/>
  <c r="FP21" i="21"/>
  <c r="FA58" i="21" s="1"/>
  <c r="FJ21" i="21"/>
  <c r="BA20" i="22" s="1"/>
  <c r="AZ20" i="22"/>
  <c r="FC21" i="21"/>
  <c r="EZ21" i="21"/>
  <c r="EZ58" i="21" s="1"/>
  <c r="EW21" i="21"/>
  <c r="AV20" i="22" s="1"/>
  <c r="ET21" i="21"/>
  <c r="AU20" i="22" s="1"/>
  <c r="AT20" i="22"/>
  <c r="EM21" i="21"/>
  <c r="AN20" i="22" s="1"/>
  <c r="EJ21" i="21"/>
  <c r="AM20" i="22" s="1"/>
  <c r="DZ21" i="21"/>
  <c r="AI20" i="22" s="1"/>
  <c r="DW21" i="21"/>
  <c r="AH20" i="22" s="1"/>
  <c r="DT21" i="21"/>
  <c r="DR21" i="21"/>
  <c r="AD20" i="22" s="1"/>
  <c r="DE21" i="21"/>
  <c r="DA21" i="21"/>
  <c r="CW21" i="21"/>
  <c r="CS21" i="21"/>
  <c r="CO21" i="21"/>
  <c r="CH21" i="21"/>
  <c r="R20" i="22" s="1"/>
  <c r="CF21" i="21"/>
  <c r="Q20" i="22" s="1"/>
  <c r="CD21" i="21"/>
  <c r="P20" i="22" s="1"/>
  <c r="CA21" i="21"/>
  <c r="BW21" i="21"/>
  <c r="BX21" i="21" s="1"/>
  <c r="BT21" i="21"/>
  <c r="BR21" i="21"/>
  <c r="Z20" i="22" s="1"/>
  <c r="BP21" i="21"/>
  <c r="BN21" i="21"/>
  <c r="BL21" i="21"/>
  <c r="BJ21" i="21"/>
  <c r="AB20" i="22" s="1"/>
  <c r="BG21" i="21"/>
  <c r="AA20" i="22" s="1"/>
  <c r="BC21" i="21"/>
  <c r="M20" i="22" s="1"/>
  <c r="AZ21" i="21"/>
  <c r="L20" i="22" s="1"/>
  <c r="AR21" i="21"/>
  <c r="AI21" i="21"/>
  <c r="AE21" i="21"/>
  <c r="AB21" i="21"/>
  <c r="F20" i="22" s="1"/>
  <c r="V21" i="21"/>
  <c r="T21" i="21"/>
  <c r="D20" i="22" s="1"/>
  <c r="Q21" i="21"/>
  <c r="N21" i="21"/>
  <c r="C20" i="22" s="1"/>
  <c r="K21" i="21"/>
  <c r="F21" i="21"/>
  <c r="D21" i="21"/>
  <c r="C21" i="21"/>
  <c r="KE20" i="21"/>
  <c r="KB20" i="21"/>
  <c r="JY20" i="21"/>
  <c r="JV20" i="21"/>
  <c r="JS20" i="21"/>
  <c r="JP20" i="21"/>
  <c r="JM20" i="21"/>
  <c r="JJ20" i="21"/>
  <c r="JG20" i="21"/>
  <c r="JD20" i="21"/>
  <c r="JA20" i="21"/>
  <c r="IX20" i="21"/>
  <c r="IU20" i="21"/>
  <c r="IR20" i="21"/>
  <c r="IO20" i="21"/>
  <c r="IL20" i="21"/>
  <c r="IE20" i="21"/>
  <c r="CE19" i="22" s="1"/>
  <c r="IB20" i="21"/>
  <c r="CD19" i="22" s="1"/>
  <c r="HY20" i="21"/>
  <c r="HV20" i="21"/>
  <c r="CB19" i="22" s="1"/>
  <c r="HS20" i="21"/>
  <c r="CA19" i="22" s="1"/>
  <c r="HP20" i="21"/>
  <c r="BZ19" i="22" s="1"/>
  <c r="HM20" i="21"/>
  <c r="BY19" i="22" s="1"/>
  <c r="HJ20" i="21"/>
  <c r="HE20" i="21"/>
  <c r="GW20" i="21"/>
  <c r="GS20" i="21"/>
  <c r="BF19" i="22" s="1"/>
  <c r="GP20" i="21"/>
  <c r="BE19" i="22" s="1"/>
  <c r="GM20" i="21"/>
  <c r="BC19" i="22" s="1"/>
  <c r="GJ20" i="21"/>
  <c r="AX19" i="22" s="1"/>
  <c r="GD20" i="21"/>
  <c r="GA20" i="21"/>
  <c r="AQ19" i="22" s="1"/>
  <c r="FX20" i="21"/>
  <c r="AP19" i="22" s="1"/>
  <c r="FS20" i="21"/>
  <c r="FP20" i="21"/>
  <c r="FA57" i="21" s="1"/>
  <c r="FJ20" i="21"/>
  <c r="BA19" i="22" s="1"/>
  <c r="AZ19" i="22"/>
  <c r="FC20" i="21"/>
  <c r="EZ20" i="21"/>
  <c r="EZ57" i="21" s="1"/>
  <c r="EW20" i="21"/>
  <c r="AV19" i="22" s="1"/>
  <c r="ET20" i="21"/>
  <c r="AU19" i="22" s="1"/>
  <c r="AT19" i="22"/>
  <c r="EM20" i="21"/>
  <c r="AN19" i="22" s="1"/>
  <c r="EJ20" i="21"/>
  <c r="AM19" i="22" s="1"/>
  <c r="DZ20" i="21"/>
  <c r="AI19" i="22" s="1"/>
  <c r="DW20" i="21"/>
  <c r="AH19" i="22" s="1"/>
  <c r="DT20" i="21"/>
  <c r="DR20" i="21"/>
  <c r="AD19" i="22" s="1"/>
  <c r="DE20" i="21"/>
  <c r="DA20" i="21"/>
  <c r="CW20" i="21"/>
  <c r="CS20" i="21"/>
  <c r="CO20" i="21"/>
  <c r="CH20" i="21"/>
  <c r="R19" i="22" s="1"/>
  <c r="CF20" i="21"/>
  <c r="Q19" i="22" s="1"/>
  <c r="CD20" i="21"/>
  <c r="P19" i="22" s="1"/>
  <c r="CA20" i="21"/>
  <c r="BW20" i="21"/>
  <c r="BX20" i="21" s="1"/>
  <c r="BT20" i="21"/>
  <c r="BR20" i="21"/>
  <c r="Z19" i="22" s="1"/>
  <c r="BP20" i="21"/>
  <c r="BN20" i="21"/>
  <c r="BL20" i="21"/>
  <c r="BJ20" i="21"/>
  <c r="AB19" i="22" s="1"/>
  <c r="BG20" i="21"/>
  <c r="AA19" i="22" s="1"/>
  <c r="BC20" i="21"/>
  <c r="M19" i="22" s="1"/>
  <c r="AZ20" i="21"/>
  <c r="L19" i="22" s="1"/>
  <c r="AR20" i="21"/>
  <c r="AI20" i="21"/>
  <c r="AE20" i="21"/>
  <c r="AB20" i="21"/>
  <c r="F19" i="22" s="1"/>
  <c r="V20" i="21"/>
  <c r="T20" i="21"/>
  <c r="D19" i="22" s="1"/>
  <c r="Q20" i="21"/>
  <c r="R20" i="21" s="1"/>
  <c r="N20" i="21"/>
  <c r="C19" i="22" s="1"/>
  <c r="K20" i="21"/>
  <c r="F20" i="21"/>
  <c r="D20" i="21"/>
  <c r="C20" i="21"/>
  <c r="KE19" i="21"/>
  <c r="KB19" i="21"/>
  <c r="JY19" i="21"/>
  <c r="JV19" i="21"/>
  <c r="JS19" i="21"/>
  <c r="JP19" i="21"/>
  <c r="JM19" i="21"/>
  <c r="JJ19" i="21"/>
  <c r="JG19" i="21"/>
  <c r="JD19" i="21"/>
  <c r="JA19" i="21"/>
  <c r="IX19" i="21"/>
  <c r="IU19" i="21"/>
  <c r="IR19" i="21"/>
  <c r="IO19" i="21"/>
  <c r="IL19" i="21"/>
  <c r="IE19" i="21"/>
  <c r="CE18" i="22" s="1"/>
  <c r="IB19" i="21"/>
  <c r="CD18" i="22" s="1"/>
  <c r="HY19" i="21"/>
  <c r="CC18" i="22" s="1"/>
  <c r="HV19" i="21"/>
  <c r="CB18" i="22" s="1"/>
  <c r="HS19" i="21"/>
  <c r="CA18" i="22" s="1"/>
  <c r="HP19" i="21"/>
  <c r="BZ18" i="22" s="1"/>
  <c r="HM19" i="21"/>
  <c r="BY18" i="22" s="1"/>
  <c r="HJ19" i="21"/>
  <c r="HE19" i="21"/>
  <c r="GW19" i="21"/>
  <c r="GS19" i="21"/>
  <c r="BF18" i="22" s="1"/>
  <c r="GP19" i="21"/>
  <c r="BE18" i="22" s="1"/>
  <c r="GM19" i="21"/>
  <c r="BC18" i="22" s="1"/>
  <c r="GJ19" i="21"/>
  <c r="GD19" i="21"/>
  <c r="GA19" i="21"/>
  <c r="AQ18" i="22" s="1"/>
  <c r="FX19" i="21"/>
  <c r="AP18" i="22" s="1"/>
  <c r="FS19" i="21"/>
  <c r="FP19" i="21"/>
  <c r="FA56" i="21" s="1"/>
  <c r="FJ19" i="21"/>
  <c r="BA18" i="22" s="1"/>
  <c r="FC19" i="21"/>
  <c r="EZ19" i="21"/>
  <c r="EZ56" i="21" s="1"/>
  <c r="EW19" i="21"/>
  <c r="AV18" i="22" s="1"/>
  <c r="ET19" i="21"/>
  <c r="AU18" i="22" s="1"/>
  <c r="EM19" i="21"/>
  <c r="AN18" i="22" s="1"/>
  <c r="EJ19" i="21"/>
  <c r="AM18" i="22" s="1"/>
  <c r="DZ19" i="21"/>
  <c r="AI18" i="22" s="1"/>
  <c r="DW19" i="21"/>
  <c r="AH18" i="22" s="1"/>
  <c r="DT19" i="21"/>
  <c r="DR19" i="21"/>
  <c r="AD18" i="22" s="1"/>
  <c r="DE19" i="21"/>
  <c r="DA19" i="21"/>
  <c r="CW19" i="21"/>
  <c r="CS19" i="21"/>
  <c r="CO19" i="21"/>
  <c r="CH19" i="21"/>
  <c r="R18" i="22" s="1"/>
  <c r="CF19" i="21"/>
  <c r="Q18" i="22" s="1"/>
  <c r="CD19" i="21"/>
  <c r="P18" i="22" s="1"/>
  <c r="CA19" i="21"/>
  <c r="BW19" i="21"/>
  <c r="BX19" i="21" s="1"/>
  <c r="BT19" i="21"/>
  <c r="BR19" i="21"/>
  <c r="Z18" i="22" s="1"/>
  <c r="BP19" i="21"/>
  <c r="BN19" i="21"/>
  <c r="BL19" i="21"/>
  <c r="BJ19" i="21"/>
  <c r="AB18" i="22" s="1"/>
  <c r="BG19" i="21"/>
  <c r="AA18" i="22" s="1"/>
  <c r="BC19" i="21"/>
  <c r="M18" i="22" s="1"/>
  <c r="AZ19" i="21"/>
  <c r="L18" i="22" s="1"/>
  <c r="AR19" i="21"/>
  <c r="AI19" i="21"/>
  <c r="AE19" i="21"/>
  <c r="H18" i="22" s="1"/>
  <c r="AB19" i="21"/>
  <c r="F18" i="22" s="1"/>
  <c r="V19" i="21"/>
  <c r="T19" i="21"/>
  <c r="D18" i="22" s="1"/>
  <c r="Q19" i="21"/>
  <c r="R19" i="21" s="1"/>
  <c r="N19" i="21"/>
  <c r="C18" i="22" s="1"/>
  <c r="K19" i="21"/>
  <c r="F19" i="21"/>
  <c r="D19" i="21"/>
  <c r="C19" i="21"/>
  <c r="KE18" i="21"/>
  <c r="KB18" i="21"/>
  <c r="JY18" i="21"/>
  <c r="JV18" i="21"/>
  <c r="JS18" i="21"/>
  <c r="JP18" i="21"/>
  <c r="JM18" i="21"/>
  <c r="JJ18" i="21"/>
  <c r="JG18" i="21"/>
  <c r="JD18" i="21"/>
  <c r="JA18" i="21"/>
  <c r="IX18" i="21"/>
  <c r="IU18" i="21"/>
  <c r="IR18" i="21"/>
  <c r="IO18" i="21"/>
  <c r="IL18" i="21"/>
  <c r="IE18" i="21"/>
  <c r="CE17" i="22" s="1"/>
  <c r="IB18" i="21"/>
  <c r="CD17" i="22" s="1"/>
  <c r="HY18" i="21"/>
  <c r="HV18" i="21"/>
  <c r="CB17" i="22" s="1"/>
  <c r="HS18" i="21"/>
  <c r="CA17" i="22" s="1"/>
  <c r="HP18" i="21"/>
  <c r="BZ17" i="22" s="1"/>
  <c r="HM18" i="21"/>
  <c r="BY17" i="22" s="1"/>
  <c r="HJ18" i="21"/>
  <c r="HE18" i="21"/>
  <c r="GW18" i="21"/>
  <c r="GS18" i="21"/>
  <c r="BF17" i="22" s="1"/>
  <c r="GP18" i="21"/>
  <c r="BE17" i="22" s="1"/>
  <c r="GM18" i="21"/>
  <c r="BC17" i="22" s="1"/>
  <c r="GJ18" i="21"/>
  <c r="AX17" i="22" s="1"/>
  <c r="GD18" i="21"/>
  <c r="GA18" i="21"/>
  <c r="AQ17" i="22" s="1"/>
  <c r="FX18" i="21"/>
  <c r="AP17" i="22" s="1"/>
  <c r="FS18" i="21"/>
  <c r="FP18" i="21"/>
  <c r="FA55" i="21" s="1"/>
  <c r="FJ18" i="21"/>
  <c r="BA17" i="22" s="1"/>
  <c r="AZ17" i="22"/>
  <c r="FC18" i="21"/>
  <c r="EZ18" i="21"/>
  <c r="EZ55" i="21" s="1"/>
  <c r="EW18" i="21"/>
  <c r="AV17" i="22" s="1"/>
  <c r="ET18" i="21"/>
  <c r="AU17" i="22" s="1"/>
  <c r="AT17" i="22"/>
  <c r="EM18" i="21"/>
  <c r="AN17" i="22" s="1"/>
  <c r="EJ18" i="21"/>
  <c r="AM17" i="22" s="1"/>
  <c r="DZ18" i="21"/>
  <c r="AI17" i="22" s="1"/>
  <c r="DW18" i="21"/>
  <c r="AH17" i="22" s="1"/>
  <c r="DT18" i="21"/>
  <c r="DR18" i="21"/>
  <c r="AD17" i="22" s="1"/>
  <c r="DE18" i="21"/>
  <c r="DF18" i="21" s="1"/>
  <c r="DA18" i="21"/>
  <c r="CW18" i="21"/>
  <c r="CS18" i="21"/>
  <c r="CO18" i="21"/>
  <c r="CH18" i="21"/>
  <c r="R17" i="22" s="1"/>
  <c r="CF18" i="21"/>
  <c r="Q17" i="22" s="1"/>
  <c r="CD18" i="21"/>
  <c r="P17" i="22" s="1"/>
  <c r="CA18" i="21"/>
  <c r="BW18" i="21"/>
  <c r="BX18" i="21" s="1"/>
  <c r="BT18" i="21"/>
  <c r="BR18" i="21"/>
  <c r="Z17" i="22" s="1"/>
  <c r="BP18" i="21"/>
  <c r="BN18" i="21"/>
  <c r="BL18" i="21"/>
  <c r="BJ18" i="21"/>
  <c r="AB17" i="22" s="1"/>
  <c r="BG18" i="21"/>
  <c r="AA17" i="22" s="1"/>
  <c r="BC18" i="21"/>
  <c r="M17" i="22" s="1"/>
  <c r="AZ18" i="21"/>
  <c r="L17" i="22" s="1"/>
  <c r="AR18" i="21"/>
  <c r="AI18" i="21"/>
  <c r="AE18" i="21"/>
  <c r="AB18" i="21"/>
  <c r="F17" i="22" s="1"/>
  <c r="V18" i="21"/>
  <c r="T18" i="21"/>
  <c r="D17" i="22" s="1"/>
  <c r="Q18" i="21"/>
  <c r="R18" i="21" s="1"/>
  <c r="N18" i="21"/>
  <c r="C17" i="22" s="1"/>
  <c r="K18" i="21"/>
  <c r="F18" i="21"/>
  <c r="D18" i="21"/>
  <c r="C18" i="21"/>
  <c r="KE17" i="21"/>
  <c r="KB17" i="21"/>
  <c r="JY17" i="21"/>
  <c r="JV17" i="21"/>
  <c r="JS17" i="21"/>
  <c r="JP17" i="21"/>
  <c r="JM17" i="21"/>
  <c r="JJ17" i="21"/>
  <c r="JG17" i="21"/>
  <c r="JD17" i="21"/>
  <c r="JA17" i="21"/>
  <c r="IX17" i="21"/>
  <c r="IU17" i="21"/>
  <c r="IR17" i="21"/>
  <c r="IO17" i="21"/>
  <c r="IL17" i="21"/>
  <c r="IE17" i="21"/>
  <c r="CE16" i="22" s="1"/>
  <c r="IB17" i="21"/>
  <c r="CD16" i="22" s="1"/>
  <c r="HY17" i="21"/>
  <c r="CC16" i="22" s="1"/>
  <c r="HV17" i="21"/>
  <c r="CB16" i="22" s="1"/>
  <c r="HS17" i="21"/>
  <c r="CA16" i="22" s="1"/>
  <c r="HP17" i="21"/>
  <c r="BZ16" i="22" s="1"/>
  <c r="HM17" i="21"/>
  <c r="BY16" i="22" s="1"/>
  <c r="HJ17" i="21"/>
  <c r="HE17" i="21"/>
  <c r="GW17" i="21"/>
  <c r="GS17" i="21"/>
  <c r="BF16" i="22" s="1"/>
  <c r="GP17" i="21"/>
  <c r="BE16" i="22" s="1"/>
  <c r="GM17" i="21"/>
  <c r="BC16" i="22" s="1"/>
  <c r="GJ17" i="21"/>
  <c r="AX16" i="22" s="1"/>
  <c r="GD17" i="21"/>
  <c r="GA17" i="21"/>
  <c r="AQ16" i="22" s="1"/>
  <c r="FX17" i="21"/>
  <c r="AP16" i="22" s="1"/>
  <c r="FS17" i="21"/>
  <c r="FP17" i="21"/>
  <c r="FA54" i="21" s="1"/>
  <c r="FJ17" i="21"/>
  <c r="BA16" i="22" s="1"/>
  <c r="AZ16" i="22"/>
  <c r="FC17" i="21"/>
  <c r="EZ17" i="21"/>
  <c r="EZ54" i="21" s="1"/>
  <c r="EW17" i="21"/>
  <c r="AV16" i="22" s="1"/>
  <c r="ET17" i="21"/>
  <c r="AU16" i="22" s="1"/>
  <c r="AT16" i="22"/>
  <c r="EM17" i="21"/>
  <c r="AN16" i="22" s="1"/>
  <c r="EJ17" i="21"/>
  <c r="AM16" i="22" s="1"/>
  <c r="DZ17" i="21"/>
  <c r="AI16" i="22" s="1"/>
  <c r="DW17" i="21"/>
  <c r="AH16" i="22" s="1"/>
  <c r="DT17" i="21"/>
  <c r="DR17" i="21"/>
  <c r="AD16" i="22" s="1"/>
  <c r="DE17" i="21"/>
  <c r="DA17" i="21"/>
  <c r="CW17" i="21"/>
  <c r="CS17" i="21"/>
  <c r="CO17" i="21"/>
  <c r="CH17" i="21"/>
  <c r="R16" i="22" s="1"/>
  <c r="CF17" i="21"/>
  <c r="Q16" i="22" s="1"/>
  <c r="CD17" i="21"/>
  <c r="P16" i="22" s="1"/>
  <c r="CA17" i="21"/>
  <c r="BW17" i="21"/>
  <c r="BX17" i="21" s="1"/>
  <c r="BT17" i="21"/>
  <c r="BR17" i="21"/>
  <c r="Z16" i="22" s="1"/>
  <c r="BP17" i="21"/>
  <c r="BN17" i="21"/>
  <c r="BL17" i="21"/>
  <c r="BJ17" i="21"/>
  <c r="AB16" i="22" s="1"/>
  <c r="BG17" i="21"/>
  <c r="AA16" i="22" s="1"/>
  <c r="BC17" i="21"/>
  <c r="M16" i="22" s="1"/>
  <c r="AZ17" i="21"/>
  <c r="L16" i="22" s="1"/>
  <c r="AR17" i="21"/>
  <c r="AI17" i="21"/>
  <c r="AE17" i="21"/>
  <c r="AB17" i="21"/>
  <c r="F16" i="22" s="1"/>
  <c r="V17" i="21"/>
  <c r="T17" i="21"/>
  <c r="D16" i="22" s="1"/>
  <c r="Q17" i="21"/>
  <c r="R17" i="21" s="1"/>
  <c r="N17" i="21"/>
  <c r="C16" i="22" s="1"/>
  <c r="K17" i="21"/>
  <c r="F17" i="21"/>
  <c r="D17" i="21"/>
  <c r="C17" i="21"/>
  <c r="KE16" i="21"/>
  <c r="KB16" i="21"/>
  <c r="JY16" i="21"/>
  <c r="JV16" i="21"/>
  <c r="JS16" i="21"/>
  <c r="JP16" i="21"/>
  <c r="JM16" i="21"/>
  <c r="JJ16" i="21"/>
  <c r="JG16" i="21"/>
  <c r="JD16" i="21"/>
  <c r="JA16" i="21"/>
  <c r="IX16" i="21"/>
  <c r="IU16" i="21"/>
  <c r="IR16" i="21"/>
  <c r="IO16" i="21"/>
  <c r="IL16" i="21"/>
  <c r="IE16" i="21"/>
  <c r="CE15" i="22" s="1"/>
  <c r="IB16" i="21"/>
  <c r="CD15" i="22" s="1"/>
  <c r="HY16" i="21"/>
  <c r="CC15" i="22" s="1"/>
  <c r="HV16" i="21"/>
  <c r="CB15" i="22" s="1"/>
  <c r="HS16" i="21"/>
  <c r="CA15" i="22" s="1"/>
  <c r="HP16" i="21"/>
  <c r="BZ15" i="22" s="1"/>
  <c r="HM16" i="21"/>
  <c r="BY15" i="22" s="1"/>
  <c r="HJ16" i="21"/>
  <c r="HE16" i="21"/>
  <c r="GW16" i="21"/>
  <c r="GS16" i="21"/>
  <c r="BF15" i="22" s="1"/>
  <c r="GP16" i="21"/>
  <c r="BE15" i="22" s="1"/>
  <c r="GM16" i="21"/>
  <c r="GJ16" i="21"/>
  <c r="AX15" i="22" s="1"/>
  <c r="GD16" i="21"/>
  <c r="GA16" i="21"/>
  <c r="AQ15" i="22" s="1"/>
  <c r="FX16" i="21"/>
  <c r="AP15" i="22" s="1"/>
  <c r="FS16" i="21"/>
  <c r="FP16" i="21"/>
  <c r="FA53" i="21" s="1"/>
  <c r="FJ16" i="21"/>
  <c r="BA15" i="22" s="1"/>
  <c r="AZ15" i="22"/>
  <c r="FC16" i="21"/>
  <c r="EZ16" i="21"/>
  <c r="EZ53" i="21" s="1"/>
  <c r="EW16" i="21"/>
  <c r="AV15" i="22" s="1"/>
  <c r="ET16" i="21"/>
  <c r="AU15" i="22" s="1"/>
  <c r="EM16" i="21"/>
  <c r="AN15" i="22" s="1"/>
  <c r="EJ16" i="21"/>
  <c r="AM15" i="22" s="1"/>
  <c r="DZ16" i="21"/>
  <c r="AI15" i="22" s="1"/>
  <c r="DW16" i="21"/>
  <c r="AH15" i="22" s="1"/>
  <c r="DT16" i="21"/>
  <c r="DR16" i="21"/>
  <c r="AD15" i="22" s="1"/>
  <c r="DE16" i="21"/>
  <c r="DA16" i="21"/>
  <c r="CW16" i="21"/>
  <c r="CS16" i="21"/>
  <c r="CO16" i="21"/>
  <c r="CH16" i="21"/>
  <c r="R15" i="22" s="1"/>
  <c r="CF16" i="21"/>
  <c r="Q15" i="22" s="1"/>
  <c r="CD16" i="21"/>
  <c r="P15" i="22" s="1"/>
  <c r="CA16" i="21"/>
  <c r="BW16" i="21"/>
  <c r="BX16" i="21" s="1"/>
  <c r="BT16" i="21"/>
  <c r="BR16" i="21"/>
  <c r="Z15" i="22" s="1"/>
  <c r="BP16" i="21"/>
  <c r="BN16" i="21"/>
  <c r="BL16" i="21"/>
  <c r="BJ16" i="21"/>
  <c r="AB15" i="22" s="1"/>
  <c r="BG16" i="21"/>
  <c r="AA15" i="22" s="1"/>
  <c r="BC16" i="21"/>
  <c r="M15" i="22" s="1"/>
  <c r="AZ16" i="21"/>
  <c r="L15" i="22" s="1"/>
  <c r="AR16" i="21"/>
  <c r="AI16" i="21"/>
  <c r="AE16" i="21"/>
  <c r="AB16" i="21"/>
  <c r="F15" i="22" s="1"/>
  <c r="V16" i="21"/>
  <c r="T16" i="21"/>
  <c r="D15" i="22" s="1"/>
  <c r="Q16" i="21"/>
  <c r="R16" i="21" s="1"/>
  <c r="N16" i="21"/>
  <c r="C15" i="22" s="1"/>
  <c r="K16" i="21"/>
  <c r="F16" i="21"/>
  <c r="D16" i="21"/>
  <c r="C16" i="21"/>
  <c r="KE15" i="21"/>
  <c r="KB15" i="21"/>
  <c r="JY15" i="21"/>
  <c r="JV15" i="21"/>
  <c r="JS15" i="21"/>
  <c r="JP15" i="21"/>
  <c r="JM15" i="21"/>
  <c r="JJ15" i="21"/>
  <c r="JG15" i="21"/>
  <c r="JD15" i="21"/>
  <c r="JA15" i="21"/>
  <c r="IX15" i="21"/>
  <c r="IU15" i="21"/>
  <c r="IR15" i="21"/>
  <c r="IO15" i="21"/>
  <c r="IL15" i="21"/>
  <c r="IE15" i="21"/>
  <c r="CE14" i="22" s="1"/>
  <c r="IB15" i="21"/>
  <c r="CD14" i="22" s="1"/>
  <c r="HY15" i="21"/>
  <c r="CC14" i="22" s="1"/>
  <c r="HV15" i="21"/>
  <c r="CB14" i="22" s="1"/>
  <c r="HS15" i="21"/>
  <c r="CA14" i="22" s="1"/>
  <c r="HP15" i="21"/>
  <c r="BZ14" i="22" s="1"/>
  <c r="HM15" i="21"/>
  <c r="BY14" i="22" s="1"/>
  <c r="HJ15" i="21"/>
  <c r="HE15" i="21"/>
  <c r="GW15" i="21"/>
  <c r="GS15" i="21"/>
  <c r="BF14" i="22" s="1"/>
  <c r="GP15" i="21"/>
  <c r="BE14" i="22" s="1"/>
  <c r="GM15" i="21"/>
  <c r="BC14" i="22" s="1"/>
  <c r="GJ15" i="21"/>
  <c r="AX14" i="22" s="1"/>
  <c r="GD15" i="21"/>
  <c r="GA15" i="21"/>
  <c r="AQ14" i="22" s="1"/>
  <c r="FX15" i="21"/>
  <c r="AP14" i="22" s="1"/>
  <c r="FS15" i="21"/>
  <c r="FP15" i="21"/>
  <c r="FA52" i="21" s="1"/>
  <c r="FJ15" i="21"/>
  <c r="BA14" i="22" s="1"/>
  <c r="FC15" i="21"/>
  <c r="EZ15" i="21"/>
  <c r="EZ52" i="21" s="1"/>
  <c r="EW15" i="21"/>
  <c r="AV14" i="22" s="1"/>
  <c r="ET15" i="21"/>
  <c r="AU14" i="22" s="1"/>
  <c r="EM15" i="21"/>
  <c r="AN14" i="22" s="1"/>
  <c r="EJ15" i="21"/>
  <c r="AM14" i="22" s="1"/>
  <c r="DZ15" i="21"/>
  <c r="AI14" i="22" s="1"/>
  <c r="DW15" i="21"/>
  <c r="AH14" i="22" s="1"/>
  <c r="DT15" i="21"/>
  <c r="DR15" i="21"/>
  <c r="AD14" i="22" s="1"/>
  <c r="DE15" i="21"/>
  <c r="DA15" i="21"/>
  <c r="CW15" i="21"/>
  <c r="CS15" i="21"/>
  <c r="CO15" i="21"/>
  <c r="CH15" i="21"/>
  <c r="R14" i="22" s="1"/>
  <c r="CF15" i="21"/>
  <c r="Q14" i="22" s="1"/>
  <c r="CD15" i="21"/>
  <c r="P14" i="22" s="1"/>
  <c r="CA15" i="21"/>
  <c r="BW15" i="21"/>
  <c r="BX15" i="21" s="1"/>
  <c r="BT15" i="21"/>
  <c r="BR15" i="21"/>
  <c r="Z14" i="22" s="1"/>
  <c r="BP15" i="21"/>
  <c r="BN15" i="21"/>
  <c r="BL15" i="21"/>
  <c r="BJ15" i="21"/>
  <c r="AB14" i="22" s="1"/>
  <c r="BG15" i="21"/>
  <c r="AA14" i="22" s="1"/>
  <c r="BC15" i="21"/>
  <c r="M14" i="22" s="1"/>
  <c r="AZ15" i="21"/>
  <c r="L14" i="22" s="1"/>
  <c r="AR15" i="21"/>
  <c r="AI15" i="21"/>
  <c r="AE15" i="21"/>
  <c r="AB15" i="21"/>
  <c r="F14" i="22" s="1"/>
  <c r="V15" i="21"/>
  <c r="T15" i="21"/>
  <c r="D14" i="22" s="1"/>
  <c r="Q15" i="21"/>
  <c r="N15" i="21"/>
  <c r="C14" i="22" s="1"/>
  <c r="K15" i="21"/>
  <c r="F15" i="21"/>
  <c r="D15" i="21"/>
  <c r="C15" i="21"/>
  <c r="KE14" i="21"/>
  <c r="KB14" i="21"/>
  <c r="JY14" i="21"/>
  <c r="JV14" i="21"/>
  <c r="JS14" i="21"/>
  <c r="JP14" i="21"/>
  <c r="JM14" i="21"/>
  <c r="JJ14" i="21"/>
  <c r="JG14" i="21"/>
  <c r="JD14" i="21"/>
  <c r="JA14" i="21"/>
  <c r="IX14" i="21"/>
  <c r="IU14" i="21"/>
  <c r="IR14" i="21"/>
  <c r="IO14" i="21"/>
  <c r="IL14" i="21"/>
  <c r="IE14" i="21"/>
  <c r="CE13" i="22" s="1"/>
  <c r="IB14" i="21"/>
  <c r="CD13" i="22" s="1"/>
  <c r="HY14" i="21"/>
  <c r="CC13" i="22" s="1"/>
  <c r="HV14" i="21"/>
  <c r="CB13" i="22" s="1"/>
  <c r="HS14" i="21"/>
  <c r="CA13" i="22" s="1"/>
  <c r="HP14" i="21"/>
  <c r="BZ13" i="22" s="1"/>
  <c r="HM14" i="21"/>
  <c r="BY13" i="22" s="1"/>
  <c r="HJ14" i="21"/>
  <c r="HE14" i="21"/>
  <c r="GW14" i="21"/>
  <c r="GS14" i="21"/>
  <c r="BF13" i="22" s="1"/>
  <c r="GP14" i="21"/>
  <c r="BE13" i="22" s="1"/>
  <c r="GM14" i="21"/>
  <c r="BC13" i="22" s="1"/>
  <c r="GJ14" i="21"/>
  <c r="AX13" i="22" s="1"/>
  <c r="GD14" i="21"/>
  <c r="GA14" i="21"/>
  <c r="AQ13" i="22" s="1"/>
  <c r="FX14" i="21"/>
  <c r="AP13" i="22" s="1"/>
  <c r="FS14" i="21"/>
  <c r="FP14" i="21"/>
  <c r="FA51" i="21" s="1"/>
  <c r="FJ14" i="21"/>
  <c r="BA13" i="22" s="1"/>
  <c r="FC14" i="21"/>
  <c r="EZ14" i="21"/>
  <c r="EZ51" i="21" s="1"/>
  <c r="EW14" i="21"/>
  <c r="AV13" i="22" s="1"/>
  <c r="ET14" i="21"/>
  <c r="AU13" i="22" s="1"/>
  <c r="EM14" i="21"/>
  <c r="AN13" i="22" s="1"/>
  <c r="EJ14" i="21"/>
  <c r="AM13" i="22" s="1"/>
  <c r="DZ14" i="21"/>
  <c r="AI13" i="22" s="1"/>
  <c r="DW14" i="21"/>
  <c r="AH13" i="22" s="1"/>
  <c r="DT14" i="21"/>
  <c r="DR14" i="21"/>
  <c r="AD13" i="22" s="1"/>
  <c r="DE14" i="21"/>
  <c r="DF14" i="21" s="1"/>
  <c r="DA14" i="21"/>
  <c r="CW14" i="21"/>
  <c r="CS14" i="21"/>
  <c r="CO14" i="21"/>
  <c r="CH14" i="21"/>
  <c r="R13" i="22" s="1"/>
  <c r="CF14" i="21"/>
  <c r="Q13" i="22" s="1"/>
  <c r="CD14" i="21"/>
  <c r="P13" i="22" s="1"/>
  <c r="CA14" i="21"/>
  <c r="BW14" i="21"/>
  <c r="CD48" i="21" s="1"/>
  <c r="BT14" i="21"/>
  <c r="BR14" i="21"/>
  <c r="Z13" i="22" s="1"/>
  <c r="BP14" i="21"/>
  <c r="BN14" i="21"/>
  <c r="BL14" i="21"/>
  <c r="BJ14" i="21"/>
  <c r="AB13" i="22" s="1"/>
  <c r="BG14" i="21"/>
  <c r="AA13" i="22" s="1"/>
  <c r="BC14" i="21"/>
  <c r="M13" i="22" s="1"/>
  <c r="AZ14" i="21"/>
  <c r="L13" i="22" s="1"/>
  <c r="AR14" i="21"/>
  <c r="AI14" i="21"/>
  <c r="AE14" i="21"/>
  <c r="AB14" i="21"/>
  <c r="F13" i="22" s="1"/>
  <c r="V14" i="21"/>
  <c r="T14" i="21"/>
  <c r="D13" i="22" s="1"/>
  <c r="Q14" i="21"/>
  <c r="R14" i="21" s="1"/>
  <c r="N14" i="21"/>
  <c r="C13" i="22" s="1"/>
  <c r="K14" i="21"/>
  <c r="F14" i="21"/>
  <c r="D14" i="21"/>
  <c r="C14" i="21"/>
  <c r="KE13" i="21"/>
  <c r="KB13" i="21"/>
  <c r="JY13" i="21"/>
  <c r="JV13" i="21"/>
  <c r="JS13" i="21"/>
  <c r="JP13" i="21"/>
  <c r="JM13" i="21"/>
  <c r="JJ13" i="21"/>
  <c r="JG13" i="21"/>
  <c r="JD13" i="21"/>
  <c r="JA13" i="21"/>
  <c r="IX13" i="21"/>
  <c r="IU13" i="21"/>
  <c r="IR13" i="21"/>
  <c r="IO13" i="21"/>
  <c r="IL13" i="21"/>
  <c r="IE13" i="21"/>
  <c r="CE12" i="22" s="1"/>
  <c r="IB13" i="21"/>
  <c r="CD12" i="22" s="1"/>
  <c r="HY13" i="21"/>
  <c r="CC12" i="22" s="1"/>
  <c r="HV13" i="21"/>
  <c r="CB12" i="22" s="1"/>
  <c r="HS13" i="21"/>
  <c r="CA12" i="22" s="1"/>
  <c r="HP13" i="21"/>
  <c r="BZ12" i="22" s="1"/>
  <c r="HM13" i="21"/>
  <c r="BY12" i="22" s="1"/>
  <c r="HJ13" i="21"/>
  <c r="HE13" i="21"/>
  <c r="GW13" i="21"/>
  <c r="GS13" i="21"/>
  <c r="BF12" i="22" s="1"/>
  <c r="GP13" i="21"/>
  <c r="BE12" i="22" s="1"/>
  <c r="GM13" i="21"/>
  <c r="BC12" i="22" s="1"/>
  <c r="GJ13" i="21"/>
  <c r="AX12" i="22" s="1"/>
  <c r="GD13" i="21"/>
  <c r="GA13" i="21"/>
  <c r="AQ12" i="22" s="1"/>
  <c r="FX13" i="21"/>
  <c r="AP12" i="22" s="1"/>
  <c r="FS13" i="21"/>
  <c r="FP13" i="21"/>
  <c r="FA50" i="21" s="1"/>
  <c r="FJ13" i="21"/>
  <c r="BA12" i="22" s="1"/>
  <c r="AZ12" i="22"/>
  <c r="FC13" i="21"/>
  <c r="EZ13" i="21"/>
  <c r="EZ50" i="21" s="1"/>
  <c r="EW13" i="21"/>
  <c r="AV12" i="22" s="1"/>
  <c r="ET13" i="21"/>
  <c r="AU12" i="22" s="1"/>
  <c r="EM13" i="21"/>
  <c r="AN12" i="22" s="1"/>
  <c r="EJ13" i="21"/>
  <c r="AM12" i="22" s="1"/>
  <c r="DZ13" i="21"/>
  <c r="AI12" i="22" s="1"/>
  <c r="DW13" i="21"/>
  <c r="AH12" i="22" s="1"/>
  <c r="DT13" i="21"/>
  <c r="DR13" i="21"/>
  <c r="AD12" i="22" s="1"/>
  <c r="DE13" i="21"/>
  <c r="DA13" i="21"/>
  <c r="CW13" i="21"/>
  <c r="CS13" i="21"/>
  <c r="CO13" i="21"/>
  <c r="CH13" i="21"/>
  <c r="R12" i="22" s="1"/>
  <c r="CF13" i="21"/>
  <c r="Q12" i="22" s="1"/>
  <c r="CD13" i="21"/>
  <c r="P12" i="22" s="1"/>
  <c r="CA13" i="21"/>
  <c r="BW13" i="21"/>
  <c r="CD47" i="21" s="1"/>
  <c r="BT13" i="21"/>
  <c r="BR13" i="21"/>
  <c r="Z12" i="22" s="1"/>
  <c r="BP13" i="21"/>
  <c r="BN13" i="21"/>
  <c r="BL13" i="21"/>
  <c r="BJ13" i="21"/>
  <c r="AB12" i="22" s="1"/>
  <c r="BG13" i="21"/>
  <c r="AA12" i="22" s="1"/>
  <c r="BC13" i="21"/>
  <c r="M12" i="22" s="1"/>
  <c r="AZ13" i="21"/>
  <c r="L12" i="22" s="1"/>
  <c r="AR13" i="21"/>
  <c r="AI13" i="21"/>
  <c r="AE13" i="21"/>
  <c r="AB13" i="21"/>
  <c r="F12" i="22" s="1"/>
  <c r="V13" i="21"/>
  <c r="T13" i="21"/>
  <c r="D12" i="22" s="1"/>
  <c r="Q13" i="21"/>
  <c r="N13" i="21"/>
  <c r="C12" i="22" s="1"/>
  <c r="K13" i="21"/>
  <c r="F13" i="21"/>
  <c r="D13" i="21"/>
  <c r="C13" i="21"/>
  <c r="KE12" i="21"/>
  <c r="KB12" i="21"/>
  <c r="JY12" i="21"/>
  <c r="JV12" i="21"/>
  <c r="JS12" i="21"/>
  <c r="JP12" i="21"/>
  <c r="JM12" i="21"/>
  <c r="JJ12" i="21"/>
  <c r="JG12" i="21"/>
  <c r="JD12" i="21"/>
  <c r="JA12" i="21"/>
  <c r="IX12" i="21"/>
  <c r="IU12" i="21"/>
  <c r="IR12" i="21"/>
  <c r="IO12" i="21"/>
  <c r="IL12" i="21"/>
  <c r="IE12" i="21"/>
  <c r="CE11" i="22" s="1"/>
  <c r="IB12" i="21"/>
  <c r="CD11" i="22" s="1"/>
  <c r="HY12" i="21"/>
  <c r="CC11" i="22" s="1"/>
  <c r="HV12" i="21"/>
  <c r="CB11" i="22" s="1"/>
  <c r="HS12" i="21"/>
  <c r="CA11" i="22" s="1"/>
  <c r="HP12" i="21"/>
  <c r="BZ11" i="22" s="1"/>
  <c r="HM12" i="21"/>
  <c r="BY11" i="22" s="1"/>
  <c r="HJ12" i="21"/>
  <c r="HE12" i="21"/>
  <c r="GW12" i="21"/>
  <c r="GS12" i="21"/>
  <c r="BF11" i="22" s="1"/>
  <c r="GP12" i="21"/>
  <c r="BE11" i="22" s="1"/>
  <c r="GM12" i="21"/>
  <c r="BC11" i="22" s="1"/>
  <c r="GJ12" i="21"/>
  <c r="AX11" i="22" s="1"/>
  <c r="GD12" i="21"/>
  <c r="GA12" i="21"/>
  <c r="AQ11" i="22" s="1"/>
  <c r="FX12" i="21"/>
  <c r="AP11" i="22" s="1"/>
  <c r="FS12" i="21"/>
  <c r="FP12" i="21"/>
  <c r="FA49" i="21" s="1"/>
  <c r="FJ12" i="21"/>
  <c r="BA11" i="22" s="1"/>
  <c r="FC12" i="21"/>
  <c r="EZ12" i="21"/>
  <c r="EZ49" i="21" s="1"/>
  <c r="EW12" i="21"/>
  <c r="AV11" i="22" s="1"/>
  <c r="ET12" i="21"/>
  <c r="AU11" i="22" s="1"/>
  <c r="EM12" i="21"/>
  <c r="AN11" i="22" s="1"/>
  <c r="EJ12" i="21"/>
  <c r="AM11" i="22" s="1"/>
  <c r="DZ12" i="21"/>
  <c r="AI11" i="22" s="1"/>
  <c r="DW12" i="21"/>
  <c r="AH11" i="22" s="1"/>
  <c r="DT12" i="21"/>
  <c r="DR12" i="21"/>
  <c r="AD11" i="22" s="1"/>
  <c r="DE12" i="21"/>
  <c r="DA12" i="21"/>
  <c r="CW12" i="21"/>
  <c r="CS12" i="21"/>
  <c r="CO12" i="21"/>
  <c r="CH12" i="21"/>
  <c r="R11" i="22" s="1"/>
  <c r="CF12" i="21"/>
  <c r="Q11" i="22" s="1"/>
  <c r="CD12" i="21"/>
  <c r="P11" i="22" s="1"/>
  <c r="CA12" i="21"/>
  <c r="BW12" i="21"/>
  <c r="CD46" i="21" s="1"/>
  <c r="BT12" i="21"/>
  <c r="BR12" i="21"/>
  <c r="Z11" i="22" s="1"/>
  <c r="BP12" i="21"/>
  <c r="BN12" i="21"/>
  <c r="BL12" i="21"/>
  <c r="BJ12" i="21"/>
  <c r="AB11" i="22" s="1"/>
  <c r="BG12" i="21"/>
  <c r="AA11" i="22" s="1"/>
  <c r="BC12" i="21"/>
  <c r="M11" i="22" s="1"/>
  <c r="AZ12" i="21"/>
  <c r="L11" i="22" s="1"/>
  <c r="AR12" i="21"/>
  <c r="AI12" i="21"/>
  <c r="AE12" i="21"/>
  <c r="AB12" i="21"/>
  <c r="F11" i="22" s="1"/>
  <c r="V12" i="21"/>
  <c r="T12" i="21"/>
  <c r="D11" i="22" s="1"/>
  <c r="Q12" i="21"/>
  <c r="N12" i="21"/>
  <c r="C11" i="22" s="1"/>
  <c r="K12" i="21"/>
  <c r="F12" i="21"/>
  <c r="D12" i="21"/>
  <c r="C12" i="21"/>
  <c r="KE11" i="21"/>
  <c r="KB11" i="21"/>
  <c r="JY11" i="21"/>
  <c r="JV11" i="21"/>
  <c r="JS11" i="21"/>
  <c r="JP11" i="21"/>
  <c r="JM11" i="21"/>
  <c r="JJ11" i="21"/>
  <c r="JG11" i="21"/>
  <c r="JD11" i="21"/>
  <c r="JA11" i="21"/>
  <c r="IX11" i="21"/>
  <c r="IU11" i="21"/>
  <c r="IR11" i="21"/>
  <c r="IO11" i="21"/>
  <c r="IL11" i="21"/>
  <c r="IE11" i="21"/>
  <c r="CE10" i="22" s="1"/>
  <c r="IB11" i="21"/>
  <c r="CD10" i="22" s="1"/>
  <c r="HY11" i="21"/>
  <c r="CC10" i="22" s="1"/>
  <c r="HV11" i="21"/>
  <c r="CB10" i="22" s="1"/>
  <c r="HS11" i="21"/>
  <c r="CA10" i="22" s="1"/>
  <c r="HP11" i="21"/>
  <c r="BZ10" i="22" s="1"/>
  <c r="HM11" i="21"/>
  <c r="BY10" i="22" s="1"/>
  <c r="HJ11" i="21"/>
  <c r="HE11" i="21"/>
  <c r="GW11" i="21"/>
  <c r="GS11" i="21"/>
  <c r="BF10" i="22" s="1"/>
  <c r="GP11" i="21"/>
  <c r="BE10" i="22" s="1"/>
  <c r="GM11" i="21"/>
  <c r="BC10" i="22" s="1"/>
  <c r="GJ11" i="21"/>
  <c r="AX10" i="22" s="1"/>
  <c r="GD11" i="21"/>
  <c r="GA11" i="21"/>
  <c r="AQ10" i="22" s="1"/>
  <c r="FX11" i="21"/>
  <c r="AP10" i="22" s="1"/>
  <c r="FS11" i="21"/>
  <c r="FP11" i="21"/>
  <c r="FA48" i="21" s="1"/>
  <c r="FJ11" i="21"/>
  <c r="BA10" i="22" s="1"/>
  <c r="FC11" i="21"/>
  <c r="EZ11" i="21"/>
  <c r="EZ48" i="21" s="1"/>
  <c r="EW11" i="21"/>
  <c r="AV10" i="22" s="1"/>
  <c r="ET11" i="21"/>
  <c r="AU10" i="22" s="1"/>
  <c r="EM11" i="21"/>
  <c r="AN10" i="22" s="1"/>
  <c r="EJ11" i="21"/>
  <c r="AM10" i="22" s="1"/>
  <c r="DZ11" i="21"/>
  <c r="AI10" i="22" s="1"/>
  <c r="DW11" i="21"/>
  <c r="AH10" i="22" s="1"/>
  <c r="DT11" i="21"/>
  <c r="DR11" i="21"/>
  <c r="AD10" i="22" s="1"/>
  <c r="DE11" i="21"/>
  <c r="DA11" i="21"/>
  <c r="CW11" i="21"/>
  <c r="CS11" i="21"/>
  <c r="CO11" i="21"/>
  <c r="CH11" i="21"/>
  <c r="R10" i="22" s="1"/>
  <c r="CF11" i="21"/>
  <c r="Q10" i="22" s="1"/>
  <c r="CD11" i="21"/>
  <c r="P10" i="22" s="1"/>
  <c r="CA11" i="21"/>
  <c r="BW11" i="21"/>
  <c r="CD45" i="21" s="1"/>
  <c r="BT11" i="21"/>
  <c r="BR11" i="21"/>
  <c r="Z10" i="22" s="1"/>
  <c r="BP11" i="21"/>
  <c r="BN11" i="21"/>
  <c r="BL11" i="21"/>
  <c r="BJ11" i="21"/>
  <c r="AB10" i="22" s="1"/>
  <c r="BG11" i="21"/>
  <c r="AA10" i="22" s="1"/>
  <c r="BC11" i="21"/>
  <c r="M10" i="22" s="1"/>
  <c r="AZ11" i="21"/>
  <c r="L10" i="22" s="1"/>
  <c r="AR11" i="21"/>
  <c r="AI11" i="21"/>
  <c r="AE11" i="21"/>
  <c r="AB11" i="21"/>
  <c r="F10" i="22" s="1"/>
  <c r="V11" i="21"/>
  <c r="T11" i="21"/>
  <c r="D10" i="22" s="1"/>
  <c r="Q11" i="21"/>
  <c r="N11" i="21"/>
  <c r="C10" i="22" s="1"/>
  <c r="K11" i="21"/>
  <c r="F11" i="21"/>
  <c r="D11" i="21"/>
  <c r="C11" i="21"/>
  <c r="KE10" i="21"/>
  <c r="KB10" i="21"/>
  <c r="JY10" i="21"/>
  <c r="JV10" i="21"/>
  <c r="JS10" i="21"/>
  <c r="JP10" i="21"/>
  <c r="JM10" i="21"/>
  <c r="JJ10" i="21"/>
  <c r="JG10" i="21"/>
  <c r="JD10" i="21"/>
  <c r="JA10" i="21"/>
  <c r="IX10" i="21"/>
  <c r="IU10" i="21"/>
  <c r="IR10" i="21"/>
  <c r="IO10" i="21"/>
  <c r="IL10" i="21"/>
  <c r="IE10" i="21"/>
  <c r="CE9" i="22" s="1"/>
  <c r="IB10" i="21"/>
  <c r="CD9" i="22" s="1"/>
  <c r="HY10" i="21"/>
  <c r="CC9" i="22" s="1"/>
  <c r="HV10" i="21"/>
  <c r="CB9" i="22" s="1"/>
  <c r="HS10" i="21"/>
  <c r="CA9" i="22" s="1"/>
  <c r="HP10" i="21"/>
  <c r="BZ9" i="22" s="1"/>
  <c r="HM10" i="21"/>
  <c r="BY9" i="22" s="1"/>
  <c r="HJ10" i="21"/>
  <c r="HE10" i="21"/>
  <c r="GW10" i="21"/>
  <c r="GS10" i="21"/>
  <c r="BF9" i="22" s="1"/>
  <c r="GP10" i="21"/>
  <c r="BE9" i="22" s="1"/>
  <c r="GM10" i="21"/>
  <c r="BC9" i="22" s="1"/>
  <c r="GJ10" i="21"/>
  <c r="AX9" i="22" s="1"/>
  <c r="GD10" i="21"/>
  <c r="GA10" i="21"/>
  <c r="AQ9" i="22" s="1"/>
  <c r="FX10" i="21"/>
  <c r="AP9" i="22" s="1"/>
  <c r="FS10" i="21"/>
  <c r="FP10" i="21"/>
  <c r="FA47" i="21" s="1"/>
  <c r="FJ10" i="21"/>
  <c r="BA9" i="22" s="1"/>
  <c r="AZ9" i="22"/>
  <c r="FC10" i="21"/>
  <c r="EZ10" i="21"/>
  <c r="EZ47" i="21" s="1"/>
  <c r="EW10" i="21"/>
  <c r="AV9" i="22" s="1"/>
  <c r="ET10" i="21"/>
  <c r="AU9" i="22" s="1"/>
  <c r="EM10" i="21"/>
  <c r="AN9" i="22" s="1"/>
  <c r="EJ10" i="21"/>
  <c r="AM9" i="22" s="1"/>
  <c r="DZ10" i="21"/>
  <c r="AI9" i="22" s="1"/>
  <c r="DW10" i="21"/>
  <c r="AH9" i="22" s="1"/>
  <c r="DT10" i="21"/>
  <c r="DR10" i="21"/>
  <c r="AD9" i="22" s="1"/>
  <c r="DE10" i="21"/>
  <c r="DA10" i="21"/>
  <c r="CW10" i="21"/>
  <c r="CS10" i="21"/>
  <c r="CO10" i="21"/>
  <c r="CH10" i="21"/>
  <c r="R9" i="22" s="1"/>
  <c r="CF10" i="21"/>
  <c r="Q9" i="22" s="1"/>
  <c r="CD10" i="21"/>
  <c r="P9" i="22" s="1"/>
  <c r="CA10" i="21"/>
  <c r="BW10" i="21"/>
  <c r="CD44" i="21" s="1"/>
  <c r="BT10" i="21"/>
  <c r="BR10" i="21"/>
  <c r="Z9" i="22" s="1"/>
  <c r="BP10" i="21"/>
  <c r="BN10" i="21"/>
  <c r="BL10" i="21"/>
  <c r="BJ10" i="21"/>
  <c r="AB9" i="22" s="1"/>
  <c r="BG10" i="21"/>
  <c r="AA9" i="22" s="1"/>
  <c r="BC10" i="21"/>
  <c r="M9" i="22" s="1"/>
  <c r="AZ10" i="21"/>
  <c r="L9" i="22" s="1"/>
  <c r="AR10" i="21"/>
  <c r="AI10" i="21"/>
  <c r="AE10" i="21"/>
  <c r="AB10" i="21"/>
  <c r="F9" i="22" s="1"/>
  <c r="V10" i="21"/>
  <c r="T10" i="21"/>
  <c r="D9" i="22" s="1"/>
  <c r="Q10" i="21"/>
  <c r="N10" i="21"/>
  <c r="C9" i="22" s="1"/>
  <c r="K10" i="21"/>
  <c r="F10" i="21"/>
  <c r="D10" i="21"/>
  <c r="C10" i="21"/>
  <c r="A10" i="2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KE9" i="21"/>
  <c r="KB9" i="21"/>
  <c r="JY9" i="21"/>
  <c r="JV9" i="21"/>
  <c r="JS9" i="21"/>
  <c r="JP9" i="21"/>
  <c r="JM9" i="21"/>
  <c r="JJ9" i="21"/>
  <c r="JG9" i="21"/>
  <c r="JD9" i="21"/>
  <c r="JA9" i="21"/>
  <c r="IX9" i="21"/>
  <c r="IU9" i="21"/>
  <c r="IR9" i="21"/>
  <c r="IO9" i="21"/>
  <c r="IL9" i="21"/>
  <c r="IB9" i="21"/>
  <c r="CD8" i="22" s="1"/>
  <c r="HY9" i="21"/>
  <c r="CC8" i="22" s="1"/>
  <c r="HV9" i="21"/>
  <c r="CB8" i="22" s="1"/>
  <c r="HS9" i="21"/>
  <c r="CA8" i="22" s="1"/>
  <c r="HP9" i="21"/>
  <c r="BZ8" i="22" s="1"/>
  <c r="HM9" i="21"/>
  <c r="BY8" i="22" s="1"/>
  <c r="HJ9" i="21"/>
  <c r="HE9" i="21"/>
  <c r="GW9" i="21"/>
  <c r="GS9" i="21"/>
  <c r="BF8" i="22" s="1"/>
  <c r="GP9" i="21"/>
  <c r="BE8" i="22" s="1"/>
  <c r="GM9" i="21"/>
  <c r="BC8" i="22" s="1"/>
  <c r="GJ9" i="21"/>
  <c r="AX8" i="22" s="1"/>
  <c r="GD9" i="21"/>
  <c r="GA9" i="21"/>
  <c r="AQ8" i="22" s="1"/>
  <c r="FX9" i="21"/>
  <c r="AP8" i="22" s="1"/>
  <c r="FS9" i="21"/>
  <c r="FP9" i="21"/>
  <c r="FJ9" i="21"/>
  <c r="BA8" i="22" s="1"/>
  <c r="FC9" i="21"/>
  <c r="EZ9" i="21"/>
  <c r="EW9" i="21"/>
  <c r="AV8" i="22" s="1"/>
  <c r="ET9" i="21"/>
  <c r="AU8" i="22" s="1"/>
  <c r="AT8" i="22"/>
  <c r="EM9" i="21"/>
  <c r="AN8" i="22" s="1"/>
  <c r="EJ9" i="21"/>
  <c r="AM8" i="22" s="1"/>
  <c r="DZ9" i="21"/>
  <c r="AI8" i="22" s="1"/>
  <c r="DW9" i="21"/>
  <c r="AH8" i="22" s="1"/>
  <c r="DT9" i="21"/>
  <c r="DR9" i="21"/>
  <c r="AD8" i="22" s="1"/>
  <c r="DE9" i="21"/>
  <c r="DA9" i="21"/>
  <c r="X8" i="22" s="1"/>
  <c r="CW9" i="21"/>
  <c r="W8" i="22" s="1"/>
  <c r="CS9" i="21"/>
  <c r="U8" i="22" s="1"/>
  <c r="CO9" i="21"/>
  <c r="T8" i="22" s="1"/>
  <c r="CH9" i="21"/>
  <c r="R8" i="22" s="1"/>
  <c r="CF9" i="21"/>
  <c r="Q8" i="22" s="1"/>
  <c r="CD9" i="21"/>
  <c r="P8" i="22" s="1"/>
  <c r="CA9" i="21"/>
  <c r="BW9" i="21"/>
  <c r="BX9" i="21" s="1"/>
  <c r="BT9" i="21"/>
  <c r="BR9" i="21"/>
  <c r="Z8" i="22" s="1"/>
  <c r="BP9" i="21"/>
  <c r="BN9" i="21"/>
  <c r="BL9" i="21"/>
  <c r="BJ9" i="21"/>
  <c r="AB8" i="22" s="1"/>
  <c r="BG9" i="21"/>
  <c r="AA8" i="22" s="1"/>
  <c r="BC9" i="21"/>
  <c r="M8" i="22" s="1"/>
  <c r="AZ9" i="21"/>
  <c r="L8" i="22" s="1"/>
  <c r="AR9" i="21"/>
  <c r="AI9" i="21"/>
  <c r="AE9" i="21"/>
  <c r="H8" i="22" s="1"/>
  <c r="AB9" i="21"/>
  <c r="F8" i="22" s="1"/>
  <c r="V9" i="21"/>
  <c r="T9" i="21"/>
  <c r="D8" i="22" s="1"/>
  <c r="Q9" i="21"/>
  <c r="N9" i="21"/>
  <c r="C8" i="22" s="1"/>
  <c r="K9" i="21"/>
  <c r="F9" i="21"/>
  <c r="D9" i="21"/>
  <c r="C9" i="21"/>
  <c r="AC32" i="22" l="1"/>
  <c r="AF20" i="22"/>
  <c r="D84" i="21"/>
  <c r="AF8" i="22"/>
  <c r="AF28" i="22"/>
  <c r="AK15" i="22"/>
  <c r="AK30" i="22"/>
  <c r="AF10" i="22"/>
  <c r="AF17" i="22"/>
  <c r="AF25" i="22"/>
  <c r="AF33" i="22"/>
  <c r="AK34" i="22"/>
  <c r="AC31" i="22"/>
  <c r="AK32" i="22"/>
  <c r="BG37" i="22"/>
  <c r="AF21" i="22"/>
  <c r="AF29" i="22"/>
  <c r="AF36" i="22"/>
  <c r="AF16" i="22"/>
  <c r="AF24" i="22"/>
  <c r="AF32" i="22"/>
  <c r="AF14" i="22"/>
  <c r="AF18" i="22"/>
  <c r="AF22" i="22"/>
  <c r="AF26" i="22"/>
  <c r="AF30" i="22"/>
  <c r="AF34" i="22"/>
  <c r="AF9" i="22"/>
  <c r="AF13" i="22"/>
  <c r="AF12" i="22"/>
  <c r="AF11" i="22"/>
  <c r="AF27" i="22"/>
  <c r="AF31" i="22"/>
  <c r="AF35" i="22"/>
  <c r="AK33" i="22"/>
  <c r="AK35" i="22"/>
  <c r="AC22" i="22"/>
  <c r="AC24" i="22"/>
  <c r="AK25" i="22"/>
  <c r="BG21" i="22"/>
  <c r="AC21" i="22"/>
  <c r="DB26" i="21"/>
  <c r="BG10" i="22"/>
  <c r="BG35" i="22"/>
  <c r="BG26" i="22"/>
  <c r="AC28" i="22"/>
  <c r="FI51" i="21"/>
  <c r="BG16" i="22"/>
  <c r="FB50" i="21"/>
  <c r="FD50" i="21" s="1"/>
  <c r="EC8" i="21"/>
  <c r="EG8" i="21"/>
  <c r="L84" i="21"/>
  <c r="FI53" i="21"/>
  <c r="BG17" i="22"/>
  <c r="BG28" i="22"/>
  <c r="AK31" i="22"/>
  <c r="BG23" i="22"/>
  <c r="AC9" i="22"/>
  <c r="BG14" i="22"/>
  <c r="G19" i="21"/>
  <c r="B18" i="22" s="1"/>
  <c r="AC27" i="22"/>
  <c r="BG33" i="22"/>
  <c r="AC25" i="22"/>
  <c r="BG25" i="22"/>
  <c r="AC34" i="22"/>
  <c r="AK13" i="22"/>
  <c r="AC14" i="22"/>
  <c r="BG18" i="22"/>
  <c r="BG36" i="22"/>
  <c r="AK9" i="22"/>
  <c r="FB56" i="21"/>
  <c r="FD56" i="21" s="1"/>
  <c r="BG20" i="22"/>
  <c r="AF19" i="21"/>
  <c r="AK21" i="22"/>
  <c r="BG24" i="22"/>
  <c r="AC29" i="22"/>
  <c r="BG13" i="22"/>
  <c r="AK16" i="22"/>
  <c r="G38" i="21"/>
  <c r="B37" i="22" s="1"/>
  <c r="X34" i="21"/>
  <c r="G33" i="22" s="1"/>
  <c r="AN34" i="21"/>
  <c r="J33" i="22" s="1"/>
  <c r="AK12" i="22"/>
  <c r="AC17" i="22"/>
  <c r="AK36" i="22"/>
  <c r="IH38" i="21"/>
  <c r="CF37" i="22" s="1"/>
  <c r="AE37" i="22"/>
  <c r="AG37" i="22" s="1"/>
  <c r="Y8" i="22"/>
  <c r="CB10" i="21"/>
  <c r="O9" i="22"/>
  <c r="AC10" i="22"/>
  <c r="CX11" i="21"/>
  <c r="W10" i="22"/>
  <c r="AS12" i="21"/>
  <c r="K11" i="22"/>
  <c r="BX12" i="22"/>
  <c r="CP16" i="21"/>
  <c r="T15" i="22"/>
  <c r="BG15" i="22"/>
  <c r="IH17" i="21"/>
  <c r="CF16" i="22" s="1"/>
  <c r="AE16" i="22"/>
  <c r="AC18" i="22"/>
  <c r="CX19" i="21"/>
  <c r="W18" i="22"/>
  <c r="AS20" i="21"/>
  <c r="K19" i="22"/>
  <c r="AC20" i="22"/>
  <c r="CX21" i="21"/>
  <c r="W20" i="22"/>
  <c r="IH22" i="21"/>
  <c r="CF21" i="22" s="1"/>
  <c r="AE21" i="22"/>
  <c r="AG21" i="22" s="1"/>
  <c r="BG22" i="22"/>
  <c r="IH24" i="21"/>
  <c r="CF23" i="22" s="1"/>
  <c r="AE23" i="22"/>
  <c r="AG23" i="22" s="1"/>
  <c r="AS27" i="21"/>
  <c r="K26" i="22"/>
  <c r="DB28" i="21"/>
  <c r="X27" i="22"/>
  <c r="AK28" i="22"/>
  <c r="CP30" i="21"/>
  <c r="T29" i="22"/>
  <c r="BG29" i="22"/>
  <c r="IH31" i="21"/>
  <c r="CF30" i="22" s="1"/>
  <c r="AE30" i="22"/>
  <c r="CT32" i="21"/>
  <c r="U31" i="22"/>
  <c r="BG31" i="22"/>
  <c r="BX32" i="22"/>
  <c r="DB35" i="21"/>
  <c r="X34" i="22"/>
  <c r="BX23" i="22"/>
  <c r="AS34" i="21"/>
  <c r="K33" i="22"/>
  <c r="AS10" i="21"/>
  <c r="K9" i="22"/>
  <c r="BX10" i="22"/>
  <c r="IH15" i="21"/>
  <c r="CF14" i="22" s="1"/>
  <c r="AE14" i="22"/>
  <c r="CT16" i="21"/>
  <c r="U15" i="22"/>
  <c r="CP18" i="21"/>
  <c r="T17" i="22"/>
  <c r="DB19" i="21"/>
  <c r="X18" i="22"/>
  <c r="BX18" i="22"/>
  <c r="JN48" i="21"/>
  <c r="CC19" i="22"/>
  <c r="DB21" i="21"/>
  <c r="X20" i="22"/>
  <c r="CK22" i="21"/>
  <c r="S21" i="22" s="1"/>
  <c r="O21" i="22"/>
  <c r="CP23" i="21"/>
  <c r="T22" i="22"/>
  <c r="ED24" i="21"/>
  <c r="AH23" i="22"/>
  <c r="AK23" i="22" s="1"/>
  <c r="CP25" i="21"/>
  <c r="T24" i="22"/>
  <c r="BX25" i="22"/>
  <c r="GG27" i="21"/>
  <c r="AR26" i="22" s="1"/>
  <c r="AS26" i="22" s="1"/>
  <c r="AX26" i="22"/>
  <c r="AS29" i="21"/>
  <c r="K28" i="22"/>
  <c r="CK29" i="21"/>
  <c r="O28" i="22"/>
  <c r="CT30" i="21"/>
  <c r="U29" i="22"/>
  <c r="CX32" i="21"/>
  <c r="W31" i="22"/>
  <c r="IH33" i="21"/>
  <c r="CF32" i="22" s="1"/>
  <c r="AE32" i="22"/>
  <c r="AG32" i="22" s="1"/>
  <c r="AJ36" i="21"/>
  <c r="CK36" i="21"/>
  <c r="S35" i="22" s="1"/>
  <c r="O35" i="22"/>
  <c r="CK38" i="21"/>
  <c r="DG38" i="21" s="1"/>
  <c r="O37" i="22"/>
  <c r="ED38" i="21"/>
  <c r="AI37" i="22"/>
  <c r="AK37" i="22" s="1"/>
  <c r="CT11" i="21"/>
  <c r="U10" i="22"/>
  <c r="BX8" i="22"/>
  <c r="BG11" i="22"/>
  <c r="IH13" i="21"/>
  <c r="CF12" i="22" s="1"/>
  <c r="AE12" i="22"/>
  <c r="AG12" i="22" s="1"/>
  <c r="CP14" i="21"/>
  <c r="T13" i="22"/>
  <c r="AK14" i="22"/>
  <c r="AC15" i="22"/>
  <c r="CX16" i="21"/>
  <c r="W15" i="22"/>
  <c r="CK17" i="21"/>
  <c r="DG17" i="21" s="1"/>
  <c r="O16" i="22"/>
  <c r="CT18" i="21"/>
  <c r="U17" i="22"/>
  <c r="AS22" i="21"/>
  <c r="K21" i="22"/>
  <c r="CT23" i="21"/>
  <c r="U22" i="22"/>
  <c r="CK24" i="21"/>
  <c r="DG24" i="21" s="1"/>
  <c r="O23" i="22"/>
  <c r="CT25" i="21"/>
  <c r="U24" i="22"/>
  <c r="IH26" i="21"/>
  <c r="CF25" i="22" s="1"/>
  <c r="AE25" i="22"/>
  <c r="AG25" i="22" s="1"/>
  <c r="BX27" i="22"/>
  <c r="CX30" i="21"/>
  <c r="W29" i="22"/>
  <c r="CK31" i="21"/>
  <c r="S30" i="22" s="1"/>
  <c r="O30" i="22"/>
  <c r="DB32" i="21"/>
  <c r="X31" i="22"/>
  <c r="CP34" i="21"/>
  <c r="T33" i="22"/>
  <c r="BX34" i="22"/>
  <c r="AS36" i="21"/>
  <c r="K35" i="22"/>
  <c r="EN36" i="21"/>
  <c r="AM35" i="22"/>
  <c r="CP37" i="21"/>
  <c r="T36" i="22"/>
  <c r="CP32" i="21"/>
  <c r="T31" i="22"/>
  <c r="CP12" i="21"/>
  <c r="T11" i="22"/>
  <c r="CT14" i="21"/>
  <c r="U13" i="22"/>
  <c r="CB15" i="21"/>
  <c r="O14" i="22"/>
  <c r="DB16" i="21"/>
  <c r="X15" i="22"/>
  <c r="AS17" i="21"/>
  <c r="K16" i="22"/>
  <c r="CX18" i="21"/>
  <c r="W17" i="22"/>
  <c r="G20" i="21"/>
  <c r="B19" i="22" s="1"/>
  <c r="CP20" i="21"/>
  <c r="T19" i="22"/>
  <c r="BX20" i="22"/>
  <c r="CX23" i="21"/>
  <c r="W22" i="22"/>
  <c r="AS24" i="21"/>
  <c r="K23" i="22"/>
  <c r="CX25" i="21"/>
  <c r="W24" i="22"/>
  <c r="CK26" i="21"/>
  <c r="O25" i="22"/>
  <c r="CP27" i="21"/>
  <c r="T26" i="22"/>
  <c r="IH28" i="21"/>
  <c r="CF27" i="22" s="1"/>
  <c r="AE27" i="22"/>
  <c r="AG27" i="22" s="1"/>
  <c r="DB30" i="21"/>
  <c r="X29" i="22"/>
  <c r="AS31" i="21"/>
  <c r="K30" i="22"/>
  <c r="CB33" i="21"/>
  <c r="O32" i="22"/>
  <c r="CT34" i="21"/>
  <c r="U33" i="22"/>
  <c r="JN64" i="21"/>
  <c r="CC35" i="22"/>
  <c r="CT37" i="21"/>
  <c r="U36" i="22"/>
  <c r="GG16" i="21"/>
  <c r="AR15" i="22" s="1"/>
  <c r="AS15" i="22" s="1"/>
  <c r="BC15" i="22"/>
  <c r="DB11" i="21"/>
  <c r="X10" i="22"/>
  <c r="IH9" i="21"/>
  <c r="CF8" i="22" s="1"/>
  <c r="AE8" i="22"/>
  <c r="AG8" i="22" s="1"/>
  <c r="CP10" i="21"/>
  <c r="T9" i="22"/>
  <c r="BG9" i="22"/>
  <c r="IH11" i="21"/>
  <c r="CF10" i="22" s="1"/>
  <c r="AE10" i="22"/>
  <c r="AG10" i="22" s="1"/>
  <c r="CT12" i="21"/>
  <c r="U11" i="22"/>
  <c r="CK13" i="21"/>
  <c r="DG13" i="21" s="1"/>
  <c r="O12" i="22"/>
  <c r="AC13" i="22"/>
  <c r="CX14" i="21"/>
  <c r="W13" i="22"/>
  <c r="AS15" i="21"/>
  <c r="K14" i="22"/>
  <c r="BX15" i="22"/>
  <c r="DB18" i="21"/>
  <c r="X17" i="22"/>
  <c r="IH19" i="21"/>
  <c r="CF18" i="22" s="1"/>
  <c r="AE18" i="22"/>
  <c r="AG18" i="22" s="1"/>
  <c r="CT20" i="21"/>
  <c r="U19" i="22"/>
  <c r="BG19" i="22"/>
  <c r="IH21" i="21"/>
  <c r="CF20" i="22" s="1"/>
  <c r="AE20" i="22"/>
  <c r="AG20" i="22" s="1"/>
  <c r="DB23" i="21"/>
  <c r="X22" i="22"/>
  <c r="BX22" i="22"/>
  <c r="DB25" i="21"/>
  <c r="X24" i="22"/>
  <c r="AS26" i="21"/>
  <c r="K25" i="22"/>
  <c r="CT27" i="21"/>
  <c r="U26" i="22"/>
  <c r="AK27" i="22"/>
  <c r="BX29" i="22"/>
  <c r="BX31" i="22"/>
  <c r="AS33" i="21"/>
  <c r="AC33" i="22"/>
  <c r="CX34" i="21"/>
  <c r="W33" i="22"/>
  <c r="IH35" i="21"/>
  <c r="CF34" i="22" s="1"/>
  <c r="AE34" i="22"/>
  <c r="AG34" i="22" s="1"/>
  <c r="GG36" i="21"/>
  <c r="AR35" i="22" s="1"/>
  <c r="AS35" i="22" s="1"/>
  <c r="AX35" i="22"/>
  <c r="AC36" i="22"/>
  <c r="CX37" i="21"/>
  <c r="W36" i="22"/>
  <c r="Y36" i="22" s="1"/>
  <c r="CB12" i="21"/>
  <c r="O11" i="22"/>
  <c r="CK20" i="21"/>
  <c r="O19" i="22"/>
  <c r="CK27" i="21"/>
  <c r="O26" i="22"/>
  <c r="AK8" i="22"/>
  <c r="CT10" i="21"/>
  <c r="U9" i="22"/>
  <c r="AN12" i="21"/>
  <c r="J11" i="22" s="1"/>
  <c r="AC11" i="22"/>
  <c r="CX12" i="21"/>
  <c r="W11" i="22"/>
  <c r="AS13" i="21"/>
  <c r="K12" i="22"/>
  <c r="DB14" i="21"/>
  <c r="X13" i="22"/>
  <c r="BX13" i="22"/>
  <c r="AK18" i="22"/>
  <c r="AC19" i="22"/>
  <c r="CX20" i="21"/>
  <c r="W19" i="22"/>
  <c r="AK20" i="22"/>
  <c r="CP22" i="21"/>
  <c r="T21" i="22"/>
  <c r="BX24" i="22"/>
  <c r="AC26" i="22"/>
  <c r="CX27" i="21"/>
  <c r="W26" i="22"/>
  <c r="CK28" i="21"/>
  <c r="DG28" i="21" s="1"/>
  <c r="O27" i="22"/>
  <c r="CP29" i="21"/>
  <c r="T28" i="22"/>
  <c r="G31" i="21"/>
  <c r="B30" i="22" s="1"/>
  <c r="BG30" i="22"/>
  <c r="IH32" i="21"/>
  <c r="CF31" i="22" s="1"/>
  <c r="AE31" i="22"/>
  <c r="AG31" i="22" s="1"/>
  <c r="EN33" i="21"/>
  <c r="AN32" i="22"/>
  <c r="DB34" i="21"/>
  <c r="X33" i="22"/>
  <c r="CK35" i="21"/>
  <c r="DG35" i="21" s="1"/>
  <c r="O34" i="22"/>
  <c r="CP36" i="21"/>
  <c r="T35" i="22"/>
  <c r="CP38" i="21"/>
  <c r="T37" i="22"/>
  <c r="IH29" i="21"/>
  <c r="CF28" i="22" s="1"/>
  <c r="AE28" i="22"/>
  <c r="IH36" i="21"/>
  <c r="CF35" i="22" s="1"/>
  <c r="AE35" i="22"/>
  <c r="CX10" i="21"/>
  <c r="W9" i="22"/>
  <c r="CB11" i="21"/>
  <c r="O10" i="22"/>
  <c r="DB12" i="21"/>
  <c r="X11" i="22"/>
  <c r="BX11" i="22"/>
  <c r="IH16" i="21"/>
  <c r="CF15" i="22" s="1"/>
  <c r="AE15" i="22"/>
  <c r="AG15" i="22" s="1"/>
  <c r="CP17" i="21"/>
  <c r="T16" i="22"/>
  <c r="BX17" i="22"/>
  <c r="CK19" i="21"/>
  <c r="O18" i="22"/>
  <c r="DB20" i="21"/>
  <c r="X19" i="22"/>
  <c r="CK21" i="21"/>
  <c r="DG21" i="21" s="1"/>
  <c r="O20" i="22"/>
  <c r="CT22" i="21"/>
  <c r="U21" i="22"/>
  <c r="CP24" i="21"/>
  <c r="T23" i="22"/>
  <c r="DB27" i="21"/>
  <c r="X26" i="22"/>
  <c r="AS28" i="21"/>
  <c r="K27" i="22"/>
  <c r="CT29" i="21"/>
  <c r="U28" i="22"/>
  <c r="IH30" i="21"/>
  <c r="CF29" i="22" s="1"/>
  <c r="AE29" i="22"/>
  <c r="AG29" i="22" s="1"/>
  <c r="CP31" i="21"/>
  <c r="T30" i="22"/>
  <c r="AS35" i="21"/>
  <c r="K34" i="22"/>
  <c r="CT36" i="21"/>
  <c r="U35" i="22"/>
  <c r="BX36" i="22"/>
  <c r="CT38" i="21"/>
  <c r="U37" i="22"/>
  <c r="AS14" i="21"/>
  <c r="K13" i="22"/>
  <c r="BX16" i="22"/>
  <c r="II54" i="21" s="1"/>
  <c r="AG16" i="22"/>
  <c r="CT19" i="21"/>
  <c r="U18" i="22"/>
  <c r="CP15" i="21"/>
  <c r="T14" i="22"/>
  <c r="CT17" i="21"/>
  <c r="U16" i="22"/>
  <c r="IH18" i="21"/>
  <c r="CF17" i="22" s="1"/>
  <c r="AE17" i="22"/>
  <c r="AG17" i="22" s="1"/>
  <c r="AS19" i="21"/>
  <c r="K18" i="22"/>
  <c r="GG19" i="21"/>
  <c r="AR18" i="22" s="1"/>
  <c r="AS18" i="22" s="1"/>
  <c r="AX18" i="22"/>
  <c r="AS21" i="21"/>
  <c r="K20" i="22"/>
  <c r="CX22" i="21"/>
  <c r="W21" i="22"/>
  <c r="IH23" i="21"/>
  <c r="CF22" i="22" s="1"/>
  <c r="AE22" i="22"/>
  <c r="AG22" i="22" s="1"/>
  <c r="CT24" i="21"/>
  <c r="U23" i="22"/>
  <c r="IH25" i="21"/>
  <c r="CF24" i="22" s="1"/>
  <c r="AE24" i="22"/>
  <c r="AG24" i="22" s="1"/>
  <c r="CP26" i="21"/>
  <c r="T25" i="22"/>
  <c r="BX26" i="22"/>
  <c r="JN56" i="21"/>
  <c r="CC27" i="22"/>
  <c r="CX29" i="21"/>
  <c r="W28" i="22"/>
  <c r="FB66" i="21"/>
  <c r="FD66" i="21" s="1"/>
  <c r="FK66" i="21" s="1"/>
  <c r="ED30" i="21"/>
  <c r="AH29" i="22"/>
  <c r="AK29" i="22" s="1"/>
  <c r="CT31" i="21"/>
  <c r="U30" i="22"/>
  <c r="CK32" i="21"/>
  <c r="O31" i="22"/>
  <c r="GG33" i="21"/>
  <c r="AR32" i="22" s="1"/>
  <c r="AS32" i="22" s="1"/>
  <c r="BC32" i="22"/>
  <c r="BX33" i="22"/>
  <c r="CX36" i="21"/>
  <c r="W35" i="22"/>
  <c r="FB73" i="21"/>
  <c r="FD73" i="21" s="1"/>
  <c r="CX38" i="21"/>
  <c r="W37" i="22"/>
  <c r="BX21" i="22"/>
  <c r="CX35" i="21"/>
  <c r="W34" i="22"/>
  <c r="AC8" i="22"/>
  <c r="CB9" i="21"/>
  <c r="O8" i="22"/>
  <c r="AS9" i="21"/>
  <c r="K8" i="22"/>
  <c r="DB10" i="21"/>
  <c r="X9" i="22"/>
  <c r="AS11" i="21"/>
  <c r="K10" i="22"/>
  <c r="BX9" i="22"/>
  <c r="CP13" i="21"/>
  <c r="T12" i="22"/>
  <c r="BG12" i="22"/>
  <c r="IH14" i="21"/>
  <c r="CF13" i="22" s="1"/>
  <c r="AE13" i="22"/>
  <c r="AG13" i="22" s="1"/>
  <c r="CT15" i="21"/>
  <c r="U14" i="22"/>
  <c r="CB16" i="21"/>
  <c r="O15" i="22"/>
  <c r="AC16" i="22"/>
  <c r="CX17" i="21"/>
  <c r="W16" i="22"/>
  <c r="AK17" i="22"/>
  <c r="BX19" i="22"/>
  <c r="JN49" i="21"/>
  <c r="CC20" i="22"/>
  <c r="DB22" i="21"/>
  <c r="X21" i="22"/>
  <c r="AK22" i="22"/>
  <c r="AC23" i="22"/>
  <c r="CX24" i="21"/>
  <c r="W23" i="22"/>
  <c r="AK24" i="22"/>
  <c r="CT26" i="21"/>
  <c r="U25" i="22"/>
  <c r="DB29" i="21"/>
  <c r="X28" i="22"/>
  <c r="CK30" i="21"/>
  <c r="O29" i="22"/>
  <c r="AC30" i="22"/>
  <c r="CX31" i="21"/>
  <c r="W30" i="22"/>
  <c r="AS32" i="21"/>
  <c r="K31" i="22"/>
  <c r="CT33" i="21"/>
  <c r="U32" i="22"/>
  <c r="BG32" i="22"/>
  <c r="IH34" i="21"/>
  <c r="CF33" i="22" s="1"/>
  <c r="AE33" i="22"/>
  <c r="AG33" i="22" s="1"/>
  <c r="DB36" i="21"/>
  <c r="X35" i="22"/>
  <c r="IH37" i="21"/>
  <c r="CF36" i="22" s="1"/>
  <c r="AE36" i="22"/>
  <c r="AG36" i="22" s="1"/>
  <c r="DB38" i="21"/>
  <c r="X37" i="22"/>
  <c r="JN46" i="21"/>
  <c r="CC17" i="22"/>
  <c r="CX28" i="21"/>
  <c r="W27" i="22"/>
  <c r="CT13" i="21"/>
  <c r="U12" i="22"/>
  <c r="CX15" i="21"/>
  <c r="W14" i="22"/>
  <c r="AS16" i="21"/>
  <c r="K15" i="22"/>
  <c r="DB17" i="21"/>
  <c r="X16" i="22"/>
  <c r="CK18" i="21"/>
  <c r="O17" i="22"/>
  <c r="IH20" i="21"/>
  <c r="AE19" i="22"/>
  <c r="AG19" i="22" s="1"/>
  <c r="CK23" i="21"/>
  <c r="DG23" i="21" s="1"/>
  <c r="O22" i="22"/>
  <c r="DB24" i="21"/>
  <c r="X23" i="22"/>
  <c r="CX26" i="21"/>
  <c r="W25" i="22"/>
  <c r="Y25" i="22" s="1"/>
  <c r="IH27" i="21"/>
  <c r="CF26" i="22" s="1"/>
  <c r="AE26" i="22"/>
  <c r="AG26" i="22" s="1"/>
  <c r="CP28" i="21"/>
  <c r="T27" i="22"/>
  <c r="AS30" i="21"/>
  <c r="K29" i="22"/>
  <c r="JN58" i="21"/>
  <c r="CC29" i="22"/>
  <c r="DB31" i="21"/>
  <c r="X30" i="22"/>
  <c r="AG30" i="22"/>
  <c r="BX30" i="22"/>
  <c r="II68" i="21" s="1"/>
  <c r="JN60" i="21"/>
  <c r="CC31" i="22"/>
  <c r="CX33" i="21"/>
  <c r="W32" i="22"/>
  <c r="CP35" i="21"/>
  <c r="T34" i="22"/>
  <c r="BX37" i="22"/>
  <c r="II75" i="21" s="1"/>
  <c r="DB13" i="21"/>
  <c r="X12" i="22"/>
  <c r="CT21" i="21"/>
  <c r="U20" i="22"/>
  <c r="AS37" i="21"/>
  <c r="K36" i="22"/>
  <c r="IH12" i="21"/>
  <c r="CF11" i="22" s="1"/>
  <c r="AE11" i="22"/>
  <c r="AG11" i="22" s="1"/>
  <c r="BG8" i="22"/>
  <c r="IH10" i="21"/>
  <c r="CF9" i="22" s="1"/>
  <c r="AE9" i="22"/>
  <c r="AG9" i="22" s="1"/>
  <c r="CP11" i="21"/>
  <c r="T10" i="22"/>
  <c r="AK11" i="22"/>
  <c r="AC12" i="22"/>
  <c r="CX13" i="21"/>
  <c r="W12" i="22"/>
  <c r="CB14" i="21"/>
  <c r="O13" i="22"/>
  <c r="DB15" i="21"/>
  <c r="X14" i="22"/>
  <c r="AG14" i="22"/>
  <c r="BX14" i="22"/>
  <c r="II52" i="21" s="1"/>
  <c r="AS18" i="21"/>
  <c r="K17" i="22"/>
  <c r="CP19" i="21"/>
  <c r="T18" i="22"/>
  <c r="AK19" i="22"/>
  <c r="CP21" i="21"/>
  <c r="T20" i="22"/>
  <c r="AS23" i="21"/>
  <c r="K22" i="22"/>
  <c r="AS25" i="21"/>
  <c r="K24" i="22"/>
  <c r="ED27" i="21"/>
  <c r="AH26" i="22"/>
  <c r="AK26" i="22" s="1"/>
  <c r="BG27" i="22"/>
  <c r="BX28" i="22"/>
  <c r="II66" i="21" s="1"/>
  <c r="AG28" i="22"/>
  <c r="G32" i="21"/>
  <c r="B31" i="22" s="1"/>
  <c r="DB33" i="21"/>
  <c r="X32" i="22"/>
  <c r="CK34" i="21"/>
  <c r="DG34" i="21" s="1"/>
  <c r="O33" i="22"/>
  <c r="CT35" i="21"/>
  <c r="U34" i="22"/>
  <c r="BG34" i="22"/>
  <c r="BX35" i="22"/>
  <c r="AG35" i="22"/>
  <c r="AJ37" i="21"/>
  <c r="CK37" i="21"/>
  <c r="DG37" i="21" s="1"/>
  <c r="O36" i="22"/>
  <c r="AJ10" i="21"/>
  <c r="I9" i="22"/>
  <c r="AF15" i="21"/>
  <c r="H14" i="22"/>
  <c r="AF18" i="21"/>
  <c r="H17" i="22"/>
  <c r="FT20" i="21"/>
  <c r="FM20" i="21" s="1"/>
  <c r="G26" i="21"/>
  <c r="B25" i="22" s="1"/>
  <c r="EN26" i="21"/>
  <c r="AF28" i="21"/>
  <c r="H27" i="22"/>
  <c r="AJ15" i="21"/>
  <c r="I14" i="22"/>
  <c r="AJ18" i="21"/>
  <c r="I17" i="22"/>
  <c r="AF23" i="21"/>
  <c r="H22" i="22"/>
  <c r="AN27" i="21"/>
  <c r="BD27" i="21" s="1"/>
  <c r="AJ28" i="21"/>
  <c r="I27" i="22"/>
  <c r="AF38" i="21"/>
  <c r="H37" i="22"/>
  <c r="AF12" i="21"/>
  <c r="H11" i="22"/>
  <c r="G21" i="21"/>
  <c r="B20" i="22" s="1"/>
  <c r="AJ23" i="21"/>
  <c r="I22" i="22"/>
  <c r="AF25" i="21"/>
  <c r="ED25" i="21"/>
  <c r="GG26" i="21"/>
  <c r="AR25" i="22" s="1"/>
  <c r="AS25" i="22" s="1"/>
  <c r="AF32" i="21"/>
  <c r="H31" i="22"/>
  <c r="AF35" i="21"/>
  <c r="H34" i="22"/>
  <c r="AJ38" i="21"/>
  <c r="I37" i="22"/>
  <c r="AF17" i="21"/>
  <c r="H16" i="22"/>
  <c r="AF20" i="21"/>
  <c r="H19" i="22"/>
  <c r="AJ25" i="21"/>
  <c r="I24" i="22"/>
  <c r="AF30" i="21"/>
  <c r="H29" i="22"/>
  <c r="AJ32" i="21"/>
  <c r="I31" i="22"/>
  <c r="AJ35" i="21"/>
  <c r="I34" i="22"/>
  <c r="EN38" i="21"/>
  <c r="AJ17" i="21"/>
  <c r="I16" i="22"/>
  <c r="AJ20" i="21"/>
  <c r="I19" i="22"/>
  <c r="EN25" i="21"/>
  <c r="G28" i="21"/>
  <c r="B27" i="22" s="1"/>
  <c r="AJ30" i="21"/>
  <c r="I29" i="22"/>
  <c r="GG38" i="21"/>
  <c r="AR37" i="22" s="1"/>
  <c r="AS37" i="22" s="1"/>
  <c r="BL37" i="22" s="1"/>
  <c r="AJ9" i="21"/>
  <c r="I8" i="22"/>
  <c r="AF14" i="21"/>
  <c r="H13" i="22"/>
  <c r="AN16" i="21"/>
  <c r="J15" i="22" s="1"/>
  <c r="AF22" i="21"/>
  <c r="H21" i="22"/>
  <c r="FU29" i="21"/>
  <c r="AJ14" i="21"/>
  <c r="I13" i="22"/>
  <c r="AJ22" i="21"/>
  <c r="I21" i="22"/>
  <c r="AF24" i="21"/>
  <c r="H23" i="22"/>
  <c r="G25" i="21"/>
  <c r="B24" i="22" s="1"/>
  <c r="AF27" i="21"/>
  <c r="H26" i="22"/>
  <c r="GG32" i="21"/>
  <c r="AR31" i="22" s="1"/>
  <c r="AS31" i="22" s="1"/>
  <c r="CK9" i="21"/>
  <c r="DG9" i="21" s="1"/>
  <c r="AF11" i="21"/>
  <c r="H10" i="22"/>
  <c r="AF16" i="21"/>
  <c r="H15" i="22"/>
  <c r="AJ24" i="21"/>
  <c r="I23" i="22"/>
  <c r="AJ27" i="21"/>
  <c r="I26" i="22"/>
  <c r="FB65" i="21"/>
  <c r="FD65" i="21" s="1"/>
  <c r="FK65" i="21" s="1"/>
  <c r="AF29" i="21"/>
  <c r="H28" i="22"/>
  <c r="AN33" i="21"/>
  <c r="J32" i="22" s="1"/>
  <c r="FB70" i="21"/>
  <c r="FD70" i="21" s="1"/>
  <c r="FJ70" i="21" s="1"/>
  <c r="AF34" i="21"/>
  <c r="H33" i="22"/>
  <c r="ED34" i="21"/>
  <c r="AF37" i="21"/>
  <c r="H36" i="22"/>
  <c r="II37" i="21"/>
  <c r="AJ11" i="21"/>
  <c r="I10" i="22"/>
  <c r="AJ16" i="21"/>
  <c r="I15" i="22"/>
  <c r="AN18" i="21"/>
  <c r="J17" i="22" s="1"/>
  <c r="EN24" i="21"/>
  <c r="AF26" i="21"/>
  <c r="H25" i="22"/>
  <c r="EN27" i="21"/>
  <c r="AJ29" i="21"/>
  <c r="I28" i="22"/>
  <c r="AJ34" i="21"/>
  <c r="I33" i="22"/>
  <c r="FU36" i="21"/>
  <c r="AF13" i="21"/>
  <c r="H12" i="22"/>
  <c r="AF31" i="21"/>
  <c r="H30" i="22"/>
  <c r="FU33" i="21"/>
  <c r="AN35" i="21"/>
  <c r="J34" i="22" s="1"/>
  <c r="AF36" i="21"/>
  <c r="H35" i="22"/>
  <c r="ED37" i="21"/>
  <c r="AJ12" i="21"/>
  <c r="I11" i="22"/>
  <c r="CW40" i="21"/>
  <c r="AJ13" i="21"/>
  <c r="I12" i="22"/>
  <c r="GG14" i="21"/>
  <c r="AR13" i="22" s="1"/>
  <c r="AS13" i="22" s="1"/>
  <c r="GG17" i="21"/>
  <c r="AR16" i="22" s="1"/>
  <c r="AS16" i="22" s="1"/>
  <c r="AJ19" i="21"/>
  <c r="I18" i="22"/>
  <c r="AF21" i="21"/>
  <c r="H20" i="22"/>
  <c r="G24" i="21"/>
  <c r="B23" i="22" s="1"/>
  <c r="GG24" i="21"/>
  <c r="AR23" i="22" s="1"/>
  <c r="AS23" i="22" s="1"/>
  <c r="ED26" i="21"/>
  <c r="AJ31" i="21"/>
  <c r="I30" i="22"/>
  <c r="JN59" i="21"/>
  <c r="AF33" i="21"/>
  <c r="H32" i="22"/>
  <c r="JN62" i="21"/>
  <c r="AF10" i="21"/>
  <c r="H9" i="22"/>
  <c r="JN44" i="21"/>
  <c r="JN47" i="21"/>
  <c r="AJ21" i="21"/>
  <c r="I20" i="22"/>
  <c r="JN57" i="21"/>
  <c r="AJ33" i="21"/>
  <c r="I32" i="22"/>
  <c r="G34" i="21"/>
  <c r="B33" i="22" s="1"/>
  <c r="GG34" i="21"/>
  <c r="AR33" i="22" s="1"/>
  <c r="AS33" i="22" s="1"/>
  <c r="ED36" i="21"/>
  <c r="G37" i="21"/>
  <c r="B36" i="22" s="1"/>
  <c r="FD23" i="21"/>
  <c r="FD27" i="21"/>
  <c r="FD35" i="21"/>
  <c r="FU24" i="21"/>
  <c r="FT24" i="21"/>
  <c r="FM24" i="21" s="1"/>
  <c r="FT34" i="21"/>
  <c r="FM34" i="21" s="1"/>
  <c r="GG15" i="21"/>
  <c r="AR14" i="22" s="1"/>
  <c r="AS14" i="22" s="1"/>
  <c r="GG18" i="21"/>
  <c r="AR17" i="22" s="1"/>
  <c r="AS17" i="22" s="1"/>
  <c r="GG12" i="21"/>
  <c r="AR11" i="22" s="1"/>
  <c r="AS11" i="22" s="1"/>
  <c r="GG11" i="21"/>
  <c r="AR10" i="22" s="1"/>
  <c r="AS10" i="22" s="1"/>
  <c r="GG10" i="21"/>
  <c r="AR9" i="22" s="1"/>
  <c r="AS9" i="22" s="1"/>
  <c r="FU13" i="21"/>
  <c r="FD19" i="21"/>
  <c r="EN21" i="21"/>
  <c r="EN17" i="21"/>
  <c r="EN11" i="21"/>
  <c r="ED19" i="21"/>
  <c r="ED18" i="21"/>
  <c r="ED15" i="21"/>
  <c r="CH46" i="21"/>
  <c r="AN10" i="21"/>
  <c r="G17" i="21"/>
  <c r="B16" i="22" s="1"/>
  <c r="G11" i="21"/>
  <c r="B10" i="22" s="1"/>
  <c r="H84" i="21"/>
  <c r="GG22" i="21"/>
  <c r="AR21" i="22" s="1"/>
  <c r="AS21" i="22" s="1"/>
  <c r="AN23" i="21"/>
  <c r="J22" i="22" s="1"/>
  <c r="JN54" i="21"/>
  <c r="GG31" i="21"/>
  <c r="AR30" i="22" s="1"/>
  <c r="AS30" i="22" s="1"/>
  <c r="FA33" i="21"/>
  <c r="GG35" i="21"/>
  <c r="AR34" i="22" s="1"/>
  <c r="AS34" i="22" s="1"/>
  <c r="X23" i="21"/>
  <c r="AN32" i="21"/>
  <c r="FD32" i="21"/>
  <c r="X12" i="21"/>
  <c r="G11" i="22" s="1"/>
  <c r="ED14" i="21"/>
  <c r="FU18" i="21"/>
  <c r="FU19" i="21"/>
  <c r="ED20" i="21"/>
  <c r="FU23" i="21"/>
  <c r="AN28" i="21"/>
  <c r="CB30" i="21"/>
  <c r="FU32" i="21"/>
  <c r="AN37" i="21"/>
  <c r="BD37" i="21" s="1"/>
  <c r="ED13" i="21"/>
  <c r="KG23" i="21"/>
  <c r="FA26" i="21"/>
  <c r="FB68" i="21"/>
  <c r="FD68" i="21" s="1"/>
  <c r="FJ68" i="21" s="1"/>
  <c r="FA9" i="21"/>
  <c r="G10" i="21"/>
  <c r="B9" i="22" s="1"/>
  <c r="CH47" i="21"/>
  <c r="CK14" i="21"/>
  <c r="AN15" i="21"/>
  <c r="CB19" i="21"/>
  <c r="X22" i="21"/>
  <c r="G21" i="22" s="1"/>
  <c r="FA22" i="21"/>
  <c r="ED23" i="21"/>
  <c r="FB63" i="21"/>
  <c r="FD63" i="21" s="1"/>
  <c r="FK63" i="21" s="1"/>
  <c r="FB64" i="21"/>
  <c r="FD64" i="21" s="1"/>
  <c r="FK64" i="21" s="1"/>
  <c r="ED29" i="21"/>
  <c r="G30" i="21"/>
  <c r="B29" i="22" s="1"/>
  <c r="GG30" i="21"/>
  <c r="AR29" i="22" s="1"/>
  <c r="AS29" i="22" s="1"/>
  <c r="ED32" i="21"/>
  <c r="G33" i="21"/>
  <c r="B32" i="22" s="1"/>
  <c r="ED33" i="21"/>
  <c r="FT33" i="21"/>
  <c r="FM33" i="21" s="1"/>
  <c r="FI54" i="21"/>
  <c r="X15" i="21"/>
  <c r="ED17" i="21"/>
  <c r="X21" i="21"/>
  <c r="FU31" i="21"/>
  <c r="G13" i="21"/>
  <c r="B12" i="22" s="1"/>
  <c r="EN13" i="21"/>
  <c r="CB17" i="21"/>
  <c r="G18" i="21"/>
  <c r="B17" i="22" s="1"/>
  <c r="EN19" i="21"/>
  <c r="R21" i="21"/>
  <c r="JN52" i="21"/>
  <c r="FA25" i="21"/>
  <c r="FU26" i="21"/>
  <c r="FU27" i="21"/>
  <c r="ED28" i="21"/>
  <c r="EN29" i="21"/>
  <c r="EN32" i="21"/>
  <c r="G36" i="21"/>
  <c r="B35" i="22" s="1"/>
  <c r="AN38" i="21"/>
  <c r="X10" i="21"/>
  <c r="FT16" i="21"/>
  <c r="FM16" i="21" s="1"/>
  <c r="ED22" i="21"/>
  <c r="G23" i="21"/>
  <c r="B22" i="22" s="1"/>
  <c r="GG23" i="21"/>
  <c r="AR22" i="22" s="1"/>
  <c r="AS22" i="22" s="1"/>
  <c r="FB61" i="21"/>
  <c r="FD61" i="21" s="1"/>
  <c r="FK61" i="21" s="1"/>
  <c r="G27" i="21"/>
  <c r="B26" i="22" s="1"/>
  <c r="GG29" i="21"/>
  <c r="AR28" i="22" s="1"/>
  <c r="AS28" i="22" s="1"/>
  <c r="ED31" i="21"/>
  <c r="FD37" i="21"/>
  <c r="FT38" i="21"/>
  <c r="FM38" i="21" s="1"/>
  <c r="EM40" i="21"/>
  <c r="AN13" i="21"/>
  <c r="X14" i="21"/>
  <c r="G13" i="22" s="1"/>
  <c r="AN19" i="21"/>
  <c r="FB57" i="21"/>
  <c r="FD57" i="21" s="1"/>
  <c r="FK57" i="21" s="1"/>
  <c r="FT26" i="21"/>
  <c r="FM26" i="21" s="1"/>
  <c r="FD36" i="21"/>
  <c r="FI52" i="21"/>
  <c r="G12" i="21"/>
  <c r="B11" i="22" s="1"/>
  <c r="X13" i="21"/>
  <c r="G16" i="21"/>
  <c r="B15" i="22" s="1"/>
  <c r="EN16" i="21"/>
  <c r="EN22" i="21"/>
  <c r="X24" i="21"/>
  <c r="G23" i="22" s="1"/>
  <c r="GG28" i="21"/>
  <c r="AR27" i="22" s="1"/>
  <c r="AS27" i="22" s="1"/>
  <c r="EN31" i="21"/>
  <c r="X33" i="21"/>
  <c r="G35" i="21"/>
  <c r="B34" i="22" s="1"/>
  <c r="JN63" i="21"/>
  <c r="FB76" i="21"/>
  <c r="AO37" i="22"/>
  <c r="BQ37" i="22"/>
  <c r="BS37" i="22" s="1"/>
  <c r="DG31" i="21"/>
  <c r="BD32" i="21"/>
  <c r="KG36" i="21"/>
  <c r="DG26" i="21"/>
  <c r="JM40" i="21"/>
  <c r="FA20" i="21"/>
  <c r="R34" i="21"/>
  <c r="FD9" i="21"/>
  <c r="X16" i="21"/>
  <c r="FT17" i="21"/>
  <c r="FM17" i="21" s="1"/>
  <c r="FT18" i="21"/>
  <c r="FM18" i="21" s="1"/>
  <c r="CB20" i="21"/>
  <c r="CB29" i="21"/>
  <c r="CB31" i="21"/>
  <c r="EN35" i="21"/>
  <c r="FU20" i="21"/>
  <c r="FA21" i="21"/>
  <c r="FD22" i="21"/>
  <c r="JN50" i="21"/>
  <c r="FD28" i="21"/>
  <c r="X32" i="21"/>
  <c r="CK33" i="21"/>
  <c r="DG33" i="21" s="1"/>
  <c r="CB36" i="21"/>
  <c r="CB38" i="21"/>
  <c r="FA18" i="21"/>
  <c r="C40" i="21"/>
  <c r="DE40" i="21"/>
  <c r="GP40" i="21"/>
  <c r="IL40" i="21"/>
  <c r="JV40" i="21"/>
  <c r="X11" i="21"/>
  <c r="AN11" i="21"/>
  <c r="J10" i="22" s="1"/>
  <c r="ED12" i="21"/>
  <c r="CB18" i="21"/>
  <c r="II20" i="21"/>
  <c r="FU21" i="21"/>
  <c r="EN23" i="21"/>
  <c r="FT25" i="21"/>
  <c r="FM25" i="21" s="1"/>
  <c r="EN30" i="21"/>
  <c r="EN34" i="21"/>
  <c r="HY40" i="21"/>
  <c r="HI47" i="21" s="1"/>
  <c r="X26" i="21"/>
  <c r="G25" i="22" s="1"/>
  <c r="FW48" i="21"/>
  <c r="FV48" i="21"/>
  <c r="ET40" i="21"/>
  <c r="D40" i="21"/>
  <c r="IE40" i="21"/>
  <c r="HI50" i="21" s="1"/>
  <c r="R11" i="21"/>
  <c r="CK12" i="21"/>
  <c r="G14" i="21"/>
  <c r="B13" i="22" s="1"/>
  <c r="JN45" i="21"/>
  <c r="FA28" i="21"/>
  <c r="FD34" i="21"/>
  <c r="CB37" i="21"/>
  <c r="CB32" i="21"/>
  <c r="EN12" i="21"/>
  <c r="DG19" i="21"/>
  <c r="KG25" i="21"/>
  <c r="FT28" i="21"/>
  <c r="FM28" i="21" s="1"/>
  <c r="AN30" i="21"/>
  <c r="J29" i="22" s="1"/>
  <c r="CP33" i="21"/>
  <c r="KG37" i="21"/>
  <c r="AE40" i="21"/>
  <c r="IU40" i="21"/>
  <c r="KE40" i="21"/>
  <c r="KG14" i="21"/>
  <c r="FU15" i="21"/>
  <c r="AN17" i="21"/>
  <c r="EN18" i="21"/>
  <c r="DF19" i="21"/>
  <c r="FA19" i="21"/>
  <c r="X20" i="21"/>
  <c r="AN20" i="21"/>
  <c r="BD20" i="21" s="1"/>
  <c r="CB21" i="21"/>
  <c r="FT21" i="21"/>
  <c r="FM21" i="21" s="1"/>
  <c r="G22" i="21"/>
  <c r="B21" i="22" s="1"/>
  <c r="CB22" i="21"/>
  <c r="CB26" i="21"/>
  <c r="CB27" i="21"/>
  <c r="FA27" i="21"/>
  <c r="CB28" i="21"/>
  <c r="X29" i="21"/>
  <c r="AN29" i="21"/>
  <c r="BD29" i="21" s="1"/>
  <c r="FT29" i="21"/>
  <c r="FM29" i="21" s="1"/>
  <c r="X31" i="21"/>
  <c r="FT31" i="21"/>
  <c r="FM31" i="21" s="1"/>
  <c r="CB35" i="21"/>
  <c r="FA35" i="21"/>
  <c r="AN36" i="21"/>
  <c r="X37" i="21"/>
  <c r="FW51" i="21"/>
  <c r="FV51" i="21"/>
  <c r="BG40" i="21"/>
  <c r="CF40" i="21"/>
  <c r="HJ40" i="21"/>
  <c r="HI43" i="21" s="1"/>
  <c r="ED10" i="21"/>
  <c r="FU10" i="21"/>
  <c r="R12" i="21"/>
  <c r="R13" i="21"/>
  <c r="EN14" i="21"/>
  <c r="G15" i="21"/>
  <c r="B14" i="22" s="1"/>
  <c r="X18" i="21"/>
  <c r="EN20" i="21"/>
  <c r="ED21" i="21"/>
  <c r="FU22" i="21"/>
  <c r="CB24" i="21"/>
  <c r="FD33" i="21"/>
  <c r="X36" i="21"/>
  <c r="G35" i="22" s="1"/>
  <c r="FT36" i="21"/>
  <c r="FM36" i="21" s="1"/>
  <c r="R15" i="21"/>
  <c r="AN21" i="21"/>
  <c r="CH40" i="21"/>
  <c r="EC40" i="21"/>
  <c r="HM40" i="21"/>
  <c r="HI44" i="21" s="1"/>
  <c r="AN14" i="21"/>
  <c r="II16" i="21"/>
  <c r="FB54" i="21"/>
  <c r="FD54" i="21" s="1"/>
  <c r="FJ54" i="21" s="1"/>
  <c r="FD20" i="21"/>
  <c r="FA34" i="21"/>
  <c r="X35" i="21"/>
  <c r="FI63" i="21"/>
  <c r="FI73" i="21"/>
  <c r="FH73" i="21"/>
  <c r="FI65" i="21"/>
  <c r="FH65" i="21"/>
  <c r="FI77" i="21"/>
  <c r="FI69" i="21"/>
  <c r="FI59" i="21"/>
  <c r="FI46" i="21"/>
  <c r="FH69" i="21"/>
  <c r="FI60" i="21"/>
  <c r="FH59" i="21"/>
  <c r="FH54" i="21"/>
  <c r="FH46" i="21"/>
  <c r="FH53" i="21"/>
  <c r="FH47" i="21"/>
  <c r="FV50" i="21"/>
  <c r="FD76" i="21"/>
  <c r="T40" i="21"/>
  <c r="FS40" i="21"/>
  <c r="CK15" i="21"/>
  <c r="ED16" i="21"/>
  <c r="FA17" i="21"/>
  <c r="FD18" i="21"/>
  <c r="GG20" i="21"/>
  <c r="AR19" i="22" s="1"/>
  <c r="AS19" i="22" s="1"/>
  <c r="FT22" i="21"/>
  <c r="FM22" i="21" s="1"/>
  <c r="FA23" i="21"/>
  <c r="X27" i="21"/>
  <c r="G26" i="22" s="1"/>
  <c r="FU28" i="21"/>
  <c r="DG32" i="21"/>
  <c r="FB69" i="21"/>
  <c r="FD69" i="21" s="1"/>
  <c r="FK69" i="21" s="1"/>
  <c r="FU34" i="21"/>
  <c r="R35" i="21"/>
  <c r="II24" i="21"/>
  <c r="ED11" i="21"/>
  <c r="X9" i="21"/>
  <c r="EG40" i="21"/>
  <c r="BN40" i="21"/>
  <c r="CK10" i="21"/>
  <c r="EN10" i="21"/>
  <c r="CH45" i="21"/>
  <c r="GG13" i="21"/>
  <c r="AR12" i="22" s="1"/>
  <c r="AS12" i="22" s="1"/>
  <c r="II14" i="21"/>
  <c r="EN15" i="21"/>
  <c r="KG17" i="21"/>
  <c r="FU17" i="21"/>
  <c r="FT19" i="21"/>
  <c r="FM19" i="21" s="1"/>
  <c r="FD21" i="21"/>
  <c r="GG21" i="21"/>
  <c r="AR20" i="22" s="1"/>
  <c r="AS20" i="22" s="1"/>
  <c r="AN22" i="21"/>
  <c r="AO22" i="21" s="1"/>
  <c r="AN25" i="21"/>
  <c r="EN28" i="21"/>
  <c r="G29" i="21"/>
  <c r="B28" i="22" s="1"/>
  <c r="FD29" i="21"/>
  <c r="FD31" i="21"/>
  <c r="DF32" i="21"/>
  <c r="FA32" i="21"/>
  <c r="JN61" i="21"/>
  <c r="CB34" i="21"/>
  <c r="ED35" i="21"/>
  <c r="FA37" i="21"/>
  <c r="GG37" i="21"/>
  <c r="AR36" i="22" s="1"/>
  <c r="AS36" i="22" s="1"/>
  <c r="FV47" i="21"/>
  <c r="FV52" i="21"/>
  <c r="FV53" i="21"/>
  <c r="FD38" i="21"/>
  <c r="FW46" i="21"/>
  <c r="P84" i="21"/>
  <c r="FA30" i="21"/>
  <c r="D79" i="21"/>
  <c r="G79" i="21"/>
  <c r="DT80" i="21"/>
  <c r="FU38" i="21"/>
  <c r="KG15" i="21"/>
  <c r="FK56" i="21"/>
  <c r="FJ56" i="21"/>
  <c r="FK50" i="21"/>
  <c r="FJ50" i="21"/>
  <c r="BD11" i="21"/>
  <c r="KG21" i="21"/>
  <c r="II21" i="21"/>
  <c r="KG16" i="21"/>
  <c r="II15" i="21"/>
  <c r="II17" i="21"/>
  <c r="DG18" i="21"/>
  <c r="AO12" i="21"/>
  <c r="EN9" i="21"/>
  <c r="IO40" i="21"/>
  <c r="JY40" i="21"/>
  <c r="R10" i="21"/>
  <c r="FB49" i="21"/>
  <c r="FD49" i="21" s="1"/>
  <c r="CB13" i="21"/>
  <c r="DF16" i="21"/>
  <c r="AO19" i="21"/>
  <c r="DF20" i="21"/>
  <c r="CL22" i="21"/>
  <c r="FB59" i="21"/>
  <c r="FD59" i="21" s="1"/>
  <c r="CB23" i="21"/>
  <c r="II23" i="21"/>
  <c r="FD24" i="21"/>
  <c r="AJ26" i="21"/>
  <c r="FT37" i="21"/>
  <c r="FM37" i="21" s="1"/>
  <c r="KG38" i="21"/>
  <c r="FB67" i="21"/>
  <c r="FD67" i="21" s="1"/>
  <c r="DF9" i="21"/>
  <c r="F40" i="21"/>
  <c r="AI40" i="21"/>
  <c r="BL40" i="21"/>
  <c r="HE40" i="21"/>
  <c r="IR40" i="21"/>
  <c r="KB40" i="21"/>
  <c r="BX10" i="21"/>
  <c r="DF11" i="21"/>
  <c r="CK16" i="21"/>
  <c r="DG20" i="21"/>
  <c r="X28" i="21"/>
  <c r="R28" i="21"/>
  <c r="FT30" i="21"/>
  <c r="FM30" i="21" s="1"/>
  <c r="DF34" i="21"/>
  <c r="FU35" i="21"/>
  <c r="FT35" i="21"/>
  <c r="FM35" i="21" s="1"/>
  <c r="II36" i="21"/>
  <c r="EN37" i="21"/>
  <c r="FW49" i="21"/>
  <c r="FV49" i="21"/>
  <c r="CK11" i="21"/>
  <c r="FT11" i="21"/>
  <c r="FM11" i="21" s="1"/>
  <c r="II13" i="21"/>
  <c r="FB51" i="21"/>
  <c r="FD51" i="21" s="1"/>
  <c r="FU16" i="21"/>
  <c r="FD17" i="21"/>
  <c r="FT23" i="21"/>
  <c r="FM23" i="21" s="1"/>
  <c r="X30" i="21"/>
  <c r="R30" i="21"/>
  <c r="AF9" i="21"/>
  <c r="G9" i="21"/>
  <c r="B8" i="22" s="1"/>
  <c r="K40" i="21"/>
  <c r="CO40" i="21"/>
  <c r="DR40" i="21"/>
  <c r="EW40" i="21"/>
  <c r="FX42" i="21"/>
  <c r="IX40" i="21"/>
  <c r="KG9" i="21"/>
  <c r="BX12" i="21"/>
  <c r="DF13" i="21"/>
  <c r="DF23" i="21"/>
  <c r="GG25" i="21"/>
  <c r="AR24" i="22" s="1"/>
  <c r="AS24" i="22" s="1"/>
  <c r="JN53" i="21"/>
  <c r="FD26" i="21"/>
  <c r="FA29" i="21"/>
  <c r="FB62" i="21"/>
  <c r="FD62" i="21" s="1"/>
  <c r="BP40" i="21"/>
  <c r="N40" i="21"/>
  <c r="AN9" i="21"/>
  <c r="J8" i="22" s="1"/>
  <c r="BR40" i="21"/>
  <c r="CP9" i="21"/>
  <c r="DT40" i="21"/>
  <c r="EZ40" i="21"/>
  <c r="EZ77" i="21" s="1"/>
  <c r="GA42" i="21"/>
  <c r="HP40" i="21"/>
  <c r="HI48" i="21" s="1"/>
  <c r="JA40" i="21"/>
  <c r="FT13" i="21"/>
  <c r="FM13" i="21" s="1"/>
  <c r="FB53" i="21"/>
  <c r="FD53" i="21" s="1"/>
  <c r="X17" i="21"/>
  <c r="FB55" i="21"/>
  <c r="FD55" i="21" s="1"/>
  <c r="X19" i="21"/>
  <c r="FA24" i="21"/>
  <c r="X38" i="21"/>
  <c r="FB75" i="21"/>
  <c r="FD75" i="21" s="1"/>
  <c r="DW40" i="21"/>
  <c r="HS40" i="21"/>
  <c r="HI45" i="21" s="1"/>
  <c r="JD40" i="21"/>
  <c r="FB48" i="21"/>
  <c r="FD48" i="21" s="1"/>
  <c r="BX14" i="21"/>
  <c r="DF15" i="21"/>
  <c r="DF21" i="21"/>
  <c r="FB60" i="21"/>
  <c r="FD60" i="21" s="1"/>
  <c r="FK68" i="21"/>
  <c r="DB37" i="21"/>
  <c r="FJ76" i="21"/>
  <c r="FK76" i="21"/>
  <c r="CS40" i="21"/>
  <c r="R9" i="21"/>
  <c r="AR40" i="21"/>
  <c r="BW40" i="21"/>
  <c r="CD43" i="21"/>
  <c r="CT9" i="21"/>
  <c r="DZ40" i="21"/>
  <c r="GG9" i="21"/>
  <c r="AR8" i="22" s="1"/>
  <c r="AS8" i="22" s="1"/>
  <c r="HV40" i="21"/>
  <c r="HI46" i="21" s="1"/>
  <c r="JG40" i="21"/>
  <c r="DF10" i="21"/>
  <c r="FT15" i="21"/>
  <c r="FM15" i="21" s="1"/>
  <c r="AN24" i="21"/>
  <c r="J23" i="22" s="1"/>
  <c r="X25" i="21"/>
  <c r="G24" i="22" s="1"/>
  <c r="CB25" i="21"/>
  <c r="CK25" i="21"/>
  <c r="FD25" i="21"/>
  <c r="FT27" i="21"/>
  <c r="FM27" i="21" s="1"/>
  <c r="FA31" i="21"/>
  <c r="FB74" i="21"/>
  <c r="FD74" i="21" s="1"/>
  <c r="AK27" i="21"/>
  <c r="DH27" i="21" s="1"/>
  <c r="JJ40" i="21"/>
  <c r="DG10" i="21"/>
  <c r="FT10" i="21"/>
  <c r="FM10" i="21" s="1"/>
  <c r="DF17" i="21"/>
  <c r="FB58" i="21"/>
  <c r="FD58" i="21" s="1"/>
  <c r="R25" i="21"/>
  <c r="FU25" i="21"/>
  <c r="KG29" i="21"/>
  <c r="II29" i="21"/>
  <c r="DR80" i="21"/>
  <c r="FP40" i="21"/>
  <c r="FA77" i="21" s="1"/>
  <c r="V40" i="21"/>
  <c r="AZ40" i="21"/>
  <c r="CA40" i="21"/>
  <c r="CX9" i="21"/>
  <c r="ED9" i="21"/>
  <c r="IB40" i="21"/>
  <c r="HI49" i="21" s="1"/>
  <c r="BX11" i="21"/>
  <c r="DF12" i="21"/>
  <c r="CH48" i="21"/>
  <c r="CE48" i="21"/>
  <c r="CF48" i="21" s="1"/>
  <c r="CE47" i="21" s="1"/>
  <c r="CF47" i="21" s="1"/>
  <c r="CE46" i="21" s="1"/>
  <c r="CF46" i="21" s="1"/>
  <c r="CE45" i="21" s="1"/>
  <c r="CF45" i="21" s="1"/>
  <c r="CE44" i="21" s="1"/>
  <c r="CF44" i="21" s="1"/>
  <c r="JN51" i="21"/>
  <c r="AN26" i="21"/>
  <c r="J25" i="22" s="1"/>
  <c r="DG30" i="21"/>
  <c r="AN31" i="21"/>
  <c r="J30" i="22" s="1"/>
  <c r="FK73" i="21"/>
  <c r="FJ73" i="21"/>
  <c r="FB71" i="21"/>
  <c r="FD71" i="21" s="1"/>
  <c r="DA40" i="21"/>
  <c r="FJ40" i="21"/>
  <c r="JP40" i="21"/>
  <c r="FB52" i="21"/>
  <c r="FD52" i="21" s="1"/>
  <c r="FD30" i="21"/>
  <c r="FA36" i="21"/>
  <c r="FU37" i="21"/>
  <c r="DF38" i="21"/>
  <c r="FA38" i="21"/>
  <c r="Q40" i="21"/>
  <c r="BC40" i="21"/>
  <c r="DB9" i="21"/>
  <c r="EJ40" i="21"/>
  <c r="GS40" i="21"/>
  <c r="II9" i="21"/>
  <c r="JS40" i="21"/>
  <c r="FB47" i="21"/>
  <c r="FD47" i="21" s="1"/>
  <c r="FJ47" i="21" s="1"/>
  <c r="BX13" i="21"/>
  <c r="KG24" i="21"/>
  <c r="JN55" i="21"/>
  <c r="CT28" i="21"/>
  <c r="FU30" i="21"/>
  <c r="FB72" i="21"/>
  <c r="FD72" i="21" s="1"/>
  <c r="AK36" i="21"/>
  <c r="DH36" i="21" s="1"/>
  <c r="FH49" i="21"/>
  <c r="FH56" i="21"/>
  <c r="FH62" i="21"/>
  <c r="FH67" i="21"/>
  <c r="FH71" i="21"/>
  <c r="FH75" i="21"/>
  <c r="FI49" i="21"/>
  <c r="FH50" i="21"/>
  <c r="FI56" i="21"/>
  <c r="FI62" i="21"/>
  <c r="FI67" i="21"/>
  <c r="FI71" i="21"/>
  <c r="FI75" i="21"/>
  <c r="FI50" i="21"/>
  <c r="FH51" i="21"/>
  <c r="FH55" i="21"/>
  <c r="FH61" i="21"/>
  <c r="FI55" i="21"/>
  <c r="FI61" i="21"/>
  <c r="FH66" i="21"/>
  <c r="FH70" i="21"/>
  <c r="FH74" i="21"/>
  <c r="FH60" i="21"/>
  <c r="FI66" i="21"/>
  <c r="FI70" i="21"/>
  <c r="FI74" i="21"/>
  <c r="FH77" i="21"/>
  <c r="AO35" i="21"/>
  <c r="R38" i="21"/>
  <c r="DG29" i="21"/>
  <c r="FI47" i="21"/>
  <c r="FH58" i="21"/>
  <c r="FH64" i="21"/>
  <c r="DF27" i="21"/>
  <c r="FT32" i="21"/>
  <c r="FM32" i="21" s="1"/>
  <c r="FI58" i="21"/>
  <c r="FI64" i="21"/>
  <c r="FH68" i="21"/>
  <c r="FH72" i="21"/>
  <c r="FH76" i="21"/>
  <c r="FH48" i="21"/>
  <c r="FH57" i="21"/>
  <c r="FH63" i="21"/>
  <c r="FI68" i="21"/>
  <c r="FI72" i="21"/>
  <c r="FI76" i="21"/>
  <c r="FI48" i="21"/>
  <c r="FI57" i="21"/>
  <c r="GM16" i="19"/>
  <c r="BD18" i="21" l="1"/>
  <c r="FL70" i="21"/>
  <c r="AW32" i="22" s="1"/>
  <c r="AY32" i="22" s="1"/>
  <c r="FK70" i="21"/>
  <c r="FJ63" i="21"/>
  <c r="AO11" i="21"/>
  <c r="KG34" i="21"/>
  <c r="CL31" i="21"/>
  <c r="FJ66" i="21"/>
  <c r="KG32" i="21"/>
  <c r="II34" i="21"/>
  <c r="DG22" i="21"/>
  <c r="II59" i="21"/>
  <c r="II32" i="21"/>
  <c r="KG12" i="21"/>
  <c r="BD35" i="21"/>
  <c r="KG13" i="21"/>
  <c r="II12" i="21"/>
  <c r="II60" i="21"/>
  <c r="II51" i="21"/>
  <c r="II74" i="21"/>
  <c r="II53" i="21"/>
  <c r="FM63" i="21"/>
  <c r="BB24" i="22" s="1"/>
  <c r="BD24" i="22" s="1"/>
  <c r="II70" i="21"/>
  <c r="AO18" i="21"/>
  <c r="II47" i="21"/>
  <c r="II58" i="21"/>
  <c r="II72" i="21"/>
  <c r="KG11" i="21"/>
  <c r="II28" i="21"/>
  <c r="BD33" i="21"/>
  <c r="FM69" i="21"/>
  <c r="BB30" i="22" s="1"/>
  <c r="BD30" i="22" s="1"/>
  <c r="II55" i="21"/>
  <c r="AO33" i="21"/>
  <c r="II62" i="21"/>
  <c r="II48" i="21"/>
  <c r="FJ65" i="21"/>
  <c r="FL65" i="21" s="1"/>
  <c r="AW27" i="22" s="1"/>
  <c r="AY27" i="22" s="1"/>
  <c r="II71" i="21"/>
  <c r="II69" i="21"/>
  <c r="II67" i="21"/>
  <c r="II63" i="21"/>
  <c r="II11" i="21"/>
  <c r="II18" i="21"/>
  <c r="KG28" i="21"/>
  <c r="II64" i="21"/>
  <c r="II56" i="21"/>
  <c r="KG26" i="21"/>
  <c r="KG18" i="21"/>
  <c r="II73" i="21"/>
  <c r="II49" i="21"/>
  <c r="II65" i="21"/>
  <c r="II46" i="21"/>
  <c r="II50" i="21"/>
  <c r="II61" i="21"/>
  <c r="AK12" i="21"/>
  <c r="DH12" i="21" s="1"/>
  <c r="KG19" i="21"/>
  <c r="AK14" i="21"/>
  <c r="DH14" i="21" s="1"/>
  <c r="II26" i="21"/>
  <c r="AK34" i="21"/>
  <c r="DH34" i="21" s="1"/>
  <c r="AK22" i="21"/>
  <c r="DH22" i="21" s="1"/>
  <c r="AK24" i="21"/>
  <c r="DH24" i="21" s="1"/>
  <c r="II19" i="21"/>
  <c r="AL7" i="22"/>
  <c r="EN8" i="21"/>
  <c r="AO16" i="21"/>
  <c r="AJ7" i="22"/>
  <c r="AK7" i="22" s="1"/>
  <c r="ED8" i="21"/>
  <c r="AO34" i="21"/>
  <c r="II25" i="21"/>
  <c r="BD34" i="21"/>
  <c r="FL56" i="21"/>
  <c r="AW18" i="22" s="1"/>
  <c r="AY18" i="22" s="1"/>
  <c r="BD16" i="21"/>
  <c r="FM70" i="21"/>
  <c r="BB31" i="22" s="1"/>
  <c r="BD31" i="22" s="1"/>
  <c r="II10" i="21"/>
  <c r="Y27" i="22"/>
  <c r="Y34" i="22"/>
  <c r="FL76" i="21"/>
  <c r="Y31" i="22"/>
  <c r="Y12" i="22"/>
  <c r="AJ40" i="21"/>
  <c r="KG27" i="21"/>
  <c r="AS40" i="21"/>
  <c r="FM66" i="21"/>
  <c r="BB27" i="22" s="1"/>
  <c r="BD27" i="22" s="1"/>
  <c r="Y9" i="22"/>
  <c r="II30" i="21"/>
  <c r="KG22" i="21"/>
  <c r="Y26" i="22"/>
  <c r="FJ61" i="21"/>
  <c r="FL61" i="21" s="1"/>
  <c r="II22" i="21"/>
  <c r="II27" i="21"/>
  <c r="Y18" i="22"/>
  <c r="BD12" i="21"/>
  <c r="II33" i="21"/>
  <c r="AK25" i="21"/>
  <c r="DH25" i="21" s="1"/>
  <c r="II31" i="21"/>
  <c r="FJ69" i="21"/>
  <c r="FL69" i="21" s="1"/>
  <c r="BD23" i="21"/>
  <c r="KG31" i="21"/>
  <c r="Y11" i="22"/>
  <c r="DB40" i="21"/>
  <c r="AO23" i="21"/>
  <c r="KG30" i="21"/>
  <c r="II38" i="21"/>
  <c r="KG33" i="21"/>
  <c r="Y19" i="22"/>
  <c r="Y29" i="22"/>
  <c r="CL33" i="21"/>
  <c r="S32" i="22"/>
  <c r="Y14" i="22"/>
  <c r="Y33" i="22"/>
  <c r="CL24" i="21"/>
  <c r="S23" i="22"/>
  <c r="Y15" i="22"/>
  <c r="CL29" i="21"/>
  <c r="S28" i="22"/>
  <c r="FD13" i="21"/>
  <c r="AT12" i="22"/>
  <c r="CL27" i="21"/>
  <c r="S26" i="22"/>
  <c r="II35" i="21"/>
  <c r="AF40" i="21"/>
  <c r="FD11" i="21"/>
  <c r="AT10" i="22"/>
  <c r="CL37" i="21"/>
  <c r="S36" i="22"/>
  <c r="CL23" i="21"/>
  <c r="S22" i="22"/>
  <c r="CL35" i="21"/>
  <c r="S34" i="22"/>
  <c r="CL28" i="21"/>
  <c r="S27" i="22"/>
  <c r="CL20" i="21"/>
  <c r="S19" i="22"/>
  <c r="KG35" i="21"/>
  <c r="CL11" i="21"/>
  <c r="S10" i="22"/>
  <c r="V10" i="22" s="1"/>
  <c r="FU11" i="21"/>
  <c r="AZ10" i="22"/>
  <c r="CL30" i="21"/>
  <c r="S29" i="22"/>
  <c r="Y21" i="22"/>
  <c r="Y10" i="22"/>
  <c r="FD12" i="21"/>
  <c r="AT11" i="22"/>
  <c r="FU9" i="21"/>
  <c r="AZ8" i="22"/>
  <c r="Y32" i="22"/>
  <c r="CL32" i="21"/>
  <c r="S31" i="22"/>
  <c r="FG40" i="21"/>
  <c r="AZ11" i="22"/>
  <c r="CL16" i="21"/>
  <c r="S15" i="22"/>
  <c r="KG20" i="21"/>
  <c r="CF19" i="22"/>
  <c r="II57" i="21" s="1"/>
  <c r="Y37" i="22"/>
  <c r="BH37" i="22" s="1"/>
  <c r="CL13" i="21"/>
  <c r="S12" i="22"/>
  <c r="FD16" i="21"/>
  <c r="AT15" i="22"/>
  <c r="CL9" i="21"/>
  <c r="S8" i="22"/>
  <c r="V8" i="22" s="1"/>
  <c r="CL26" i="21"/>
  <c r="S25" i="22"/>
  <c r="CP40" i="21"/>
  <c r="FD15" i="21"/>
  <c r="AT14" i="22"/>
  <c r="CL15" i="21"/>
  <c r="S14" i="22"/>
  <c r="CL21" i="21"/>
  <c r="S20" i="22"/>
  <c r="Y24" i="22"/>
  <c r="Y17" i="22"/>
  <c r="CX40" i="21"/>
  <c r="FD10" i="21"/>
  <c r="AT9" i="22"/>
  <c r="KG10" i="21"/>
  <c r="CL18" i="21"/>
  <c r="S17" i="22"/>
  <c r="Y35" i="22"/>
  <c r="CL38" i="21"/>
  <c r="S37" i="22"/>
  <c r="V37" i="22" s="1"/>
  <c r="Y20" i="22"/>
  <c r="CL25" i="21"/>
  <c r="S24" i="22"/>
  <c r="CL12" i="21"/>
  <c r="S11" i="22"/>
  <c r="Y16" i="22"/>
  <c r="FL63" i="21"/>
  <c r="AW25" i="22" s="1"/>
  <c r="AY25" i="22" s="1"/>
  <c r="FM61" i="21"/>
  <c r="BB22" i="22" s="1"/>
  <c r="BD22" i="22" s="1"/>
  <c r="FD14" i="21"/>
  <c r="AT13" i="22"/>
  <c r="CL36" i="21"/>
  <c r="CL14" i="21"/>
  <c r="S13" i="22"/>
  <c r="Y23" i="22"/>
  <c r="CL17" i="21"/>
  <c r="S16" i="22"/>
  <c r="IH40" i="21"/>
  <c r="HI51" i="21" s="1"/>
  <c r="CL10" i="21"/>
  <c r="S9" i="22"/>
  <c r="V9" i="22" s="1"/>
  <c r="FU14" i="21"/>
  <c r="AZ13" i="22"/>
  <c r="DG27" i="21"/>
  <c r="DG36" i="21"/>
  <c r="CL34" i="21"/>
  <c r="S33" i="22"/>
  <c r="Y30" i="22"/>
  <c r="Y28" i="22"/>
  <c r="CL19" i="21"/>
  <c r="S18" i="22"/>
  <c r="Y22" i="22"/>
  <c r="AK9" i="21"/>
  <c r="G8" i="22"/>
  <c r="AO21" i="21"/>
  <c r="J20" i="22"/>
  <c r="AK38" i="21"/>
  <c r="DH38" i="21" s="1"/>
  <c r="G37" i="22"/>
  <c r="AK33" i="21"/>
  <c r="DH33" i="21" s="1"/>
  <c r="G32" i="22"/>
  <c r="AK19" i="21"/>
  <c r="DH19" i="21" s="1"/>
  <c r="G18" i="22"/>
  <c r="AK30" i="21"/>
  <c r="DH30" i="21" s="1"/>
  <c r="G29" i="22"/>
  <c r="AK35" i="21"/>
  <c r="DH35" i="21" s="1"/>
  <c r="G34" i="22"/>
  <c r="AK31" i="21"/>
  <c r="DH31" i="21" s="1"/>
  <c r="G30" i="22"/>
  <c r="AK32" i="21"/>
  <c r="DH32" i="21" s="1"/>
  <c r="G31" i="22"/>
  <c r="AK21" i="21"/>
  <c r="DH21" i="21" s="1"/>
  <c r="G20" i="22"/>
  <c r="AO20" i="21"/>
  <c r="J19" i="22"/>
  <c r="AK11" i="21"/>
  <c r="DH11" i="21" s="1"/>
  <c r="G10" i="22"/>
  <c r="BD19" i="21"/>
  <c r="J18" i="22"/>
  <c r="AK17" i="21"/>
  <c r="DH17" i="21" s="1"/>
  <c r="G16" i="22"/>
  <c r="AO29" i="21"/>
  <c r="J28" i="22"/>
  <c r="AK20" i="21"/>
  <c r="DH20" i="21" s="1"/>
  <c r="G19" i="22"/>
  <c r="AK16" i="21"/>
  <c r="DH16" i="21" s="1"/>
  <c r="G15" i="22"/>
  <c r="FL54" i="21"/>
  <c r="AW16" i="22" s="1"/>
  <c r="AY16" i="22" s="1"/>
  <c r="AK29" i="21"/>
  <c r="DH29" i="21" s="1"/>
  <c r="G28" i="22"/>
  <c r="AO13" i="21"/>
  <c r="J12" i="22"/>
  <c r="AK15" i="21"/>
  <c r="DH15" i="21" s="1"/>
  <c r="G14" i="22"/>
  <c r="AO10" i="21"/>
  <c r="J9" i="22"/>
  <c r="AO27" i="21"/>
  <c r="J26" i="22"/>
  <c r="BD25" i="21"/>
  <c r="J24" i="22"/>
  <c r="AK26" i="21"/>
  <c r="DH26" i="21" s="1"/>
  <c r="AO37" i="21"/>
  <c r="J36" i="22"/>
  <c r="AO32" i="21"/>
  <c r="J31" i="22"/>
  <c r="BD14" i="21"/>
  <c r="J13" i="22"/>
  <c r="AK10" i="21"/>
  <c r="DH10" i="21" s="1"/>
  <c r="G9" i="22"/>
  <c r="AK23" i="21"/>
  <c r="DH23" i="21" s="1"/>
  <c r="G22" i="22"/>
  <c r="BD22" i="21"/>
  <c r="J21" i="22"/>
  <c r="AO17" i="21"/>
  <c r="J16" i="22"/>
  <c r="AK13" i="21"/>
  <c r="DH13" i="21" s="1"/>
  <c r="G12" i="22"/>
  <c r="BD15" i="21"/>
  <c r="J14" i="22"/>
  <c r="AK18" i="21"/>
  <c r="DH18" i="21" s="1"/>
  <c r="G17" i="22"/>
  <c r="AK37" i="21"/>
  <c r="DH37" i="21" s="1"/>
  <c r="G36" i="22"/>
  <c r="BD38" i="21"/>
  <c r="J37" i="22"/>
  <c r="BD28" i="21"/>
  <c r="J27" i="22"/>
  <c r="AK28" i="21"/>
  <c r="DH28" i="21" s="1"/>
  <c r="G27" i="22"/>
  <c r="FM65" i="21"/>
  <c r="BB26" i="22" s="1"/>
  <c r="BD26" i="22" s="1"/>
  <c r="AO36" i="21"/>
  <c r="J35" i="22"/>
  <c r="FT9" i="21"/>
  <c r="FM9" i="21" s="1"/>
  <c r="FA11" i="21"/>
  <c r="FM50" i="21"/>
  <c r="BB11" i="22" s="1"/>
  <c r="FL50" i="21"/>
  <c r="FA16" i="21"/>
  <c r="DG14" i="21"/>
  <c r="DG15" i="21"/>
  <c r="DG12" i="21"/>
  <c r="BD10" i="21"/>
  <c r="AO15" i="21"/>
  <c r="BD17" i="21"/>
  <c r="BD13" i="21"/>
  <c r="AO14" i="21"/>
  <c r="FL73" i="21"/>
  <c r="AW35" i="22" s="1"/>
  <c r="AY35" i="22" s="1"/>
  <c r="FL47" i="21"/>
  <c r="AW9" i="22" s="1"/>
  <c r="FJ64" i="21"/>
  <c r="FL64" i="21" s="1"/>
  <c r="AW26" i="22" s="1"/>
  <c r="AY26" i="22" s="1"/>
  <c r="FJ57" i="21"/>
  <c r="FL57" i="21" s="1"/>
  <c r="AW19" i="22" s="1"/>
  <c r="AY19" i="22" s="1"/>
  <c r="FL68" i="21"/>
  <c r="AW30" i="22" s="1"/>
  <c r="AY30" i="22" s="1"/>
  <c r="AO28" i="21"/>
  <c r="FM64" i="21"/>
  <c r="BB25" i="22" s="1"/>
  <c r="BD25" i="22" s="1"/>
  <c r="DG16" i="21"/>
  <c r="AO25" i="21"/>
  <c r="FM57" i="21"/>
  <c r="BB18" i="22" s="1"/>
  <c r="BD18" i="22" s="1"/>
  <c r="DG25" i="21"/>
  <c r="ED40" i="21"/>
  <c r="FA15" i="21"/>
  <c r="HI53" i="21"/>
  <c r="BD36" i="21"/>
  <c r="FA13" i="21"/>
  <c r="G40" i="21"/>
  <c r="BD21" i="21"/>
  <c r="FA14" i="21"/>
  <c r="FT14" i="21"/>
  <c r="FM14" i="21" s="1"/>
  <c r="BD30" i="21"/>
  <c r="AO30" i="21"/>
  <c r="FK54" i="21"/>
  <c r="FM54" i="21" s="1"/>
  <c r="FM76" i="21"/>
  <c r="BB37" i="22" s="1"/>
  <c r="BD37" i="22" s="1"/>
  <c r="FM56" i="21"/>
  <c r="BX40" i="21"/>
  <c r="FM73" i="21"/>
  <c r="BB34" i="22" s="1"/>
  <c r="BD34" i="22" s="1"/>
  <c r="FA10" i="21"/>
  <c r="BM37" i="22"/>
  <c r="BO37" i="22" s="1"/>
  <c r="FK75" i="21"/>
  <c r="FM75" i="21" s="1"/>
  <c r="BB36" i="22" s="1"/>
  <c r="BD36" i="22" s="1"/>
  <c r="FJ75" i="21"/>
  <c r="FL75" i="21" s="1"/>
  <c r="AW37" i="22" s="1"/>
  <c r="AY37" i="22" s="1"/>
  <c r="FU12" i="21"/>
  <c r="FT12" i="21"/>
  <c r="FM12" i="21" s="1"/>
  <c r="X40" i="21"/>
  <c r="AO24" i="21"/>
  <c r="BD24" i="21"/>
  <c r="R40" i="21"/>
  <c r="FJ60" i="21"/>
  <c r="FL60" i="21" s="1"/>
  <c r="AW22" i="22" s="1"/>
  <c r="AY22" i="22" s="1"/>
  <c r="FK60" i="21"/>
  <c r="FM60" i="21" s="1"/>
  <c r="BB21" i="22" s="1"/>
  <c r="BD21" i="22" s="1"/>
  <c r="EQ40" i="21"/>
  <c r="EN40" i="21"/>
  <c r="FJ72" i="21"/>
  <c r="FL72" i="21" s="1"/>
  <c r="AW34" i="22" s="1"/>
  <c r="AY34" i="22" s="1"/>
  <c r="FK72" i="21"/>
  <c r="FM72" i="21" s="1"/>
  <c r="BB33" i="22" s="1"/>
  <c r="BD33" i="22" s="1"/>
  <c r="FK71" i="21"/>
  <c r="FM71" i="21" s="1"/>
  <c r="BB32" i="22" s="1"/>
  <c r="BD32" i="22" s="1"/>
  <c r="FJ71" i="21"/>
  <c r="FL71" i="21" s="1"/>
  <c r="AW33" i="22" s="1"/>
  <c r="AY33" i="22" s="1"/>
  <c r="FB77" i="21"/>
  <c r="FD77" i="21" s="1"/>
  <c r="FK62" i="21"/>
  <c r="FM62" i="21" s="1"/>
  <c r="BB23" i="22" s="1"/>
  <c r="BD23" i="22" s="1"/>
  <c r="FJ62" i="21"/>
  <c r="FL62" i="21" s="1"/>
  <c r="AW24" i="22" s="1"/>
  <c r="AY24" i="22" s="1"/>
  <c r="FK59" i="21"/>
  <c r="FM59" i="21" s="1"/>
  <c r="BB20" i="22" s="1"/>
  <c r="BD20" i="22" s="1"/>
  <c r="FJ59" i="21"/>
  <c r="FL59" i="21" s="1"/>
  <c r="AW21" i="22" s="1"/>
  <c r="AY21" i="22" s="1"/>
  <c r="FL66" i="21"/>
  <c r="FK47" i="21"/>
  <c r="FM47" i="21" s="1"/>
  <c r="BB8" i="22" s="1"/>
  <c r="FB46" i="21"/>
  <c r="FD46" i="21" s="1"/>
  <c r="CK40" i="21"/>
  <c r="FK58" i="21"/>
  <c r="FM58" i="21" s="1"/>
  <c r="BB19" i="22" s="1"/>
  <c r="BD19" i="22" s="1"/>
  <c r="FJ58" i="21"/>
  <c r="FL58" i="21" s="1"/>
  <c r="AW20" i="22" s="1"/>
  <c r="AY20" i="22" s="1"/>
  <c r="FK74" i="21"/>
  <c r="FM74" i="21" s="1"/>
  <c r="BB35" i="22" s="1"/>
  <c r="BD35" i="22" s="1"/>
  <c r="FJ74" i="21"/>
  <c r="FL74" i="21" s="1"/>
  <c r="AW36" i="22" s="1"/>
  <c r="AY36" i="22" s="1"/>
  <c r="FK51" i="21"/>
  <c r="FM51" i="21" s="1"/>
  <c r="BB12" i="22" s="1"/>
  <c r="BD12" i="22" s="1"/>
  <c r="FJ51" i="21"/>
  <c r="FL51" i="21" s="1"/>
  <c r="AW13" i="22" s="1"/>
  <c r="FK55" i="21"/>
  <c r="FM55" i="21" s="1"/>
  <c r="BB16" i="22" s="1"/>
  <c r="BD16" i="22" s="1"/>
  <c r="FJ55" i="21"/>
  <c r="FL55" i="21" s="1"/>
  <c r="AW17" i="22" s="1"/>
  <c r="AY17" i="22" s="1"/>
  <c r="AO26" i="21"/>
  <c r="BD26" i="21"/>
  <c r="FK52" i="21"/>
  <c r="FM52" i="21" s="1"/>
  <c r="BB13" i="22" s="1"/>
  <c r="FJ52" i="21"/>
  <c r="FL52" i="21" s="1"/>
  <c r="AW14" i="22" s="1"/>
  <c r="FK48" i="21"/>
  <c r="FM48" i="21" s="1"/>
  <c r="BB9" i="22" s="1"/>
  <c r="BD9" i="22" s="1"/>
  <c r="FJ48" i="21"/>
  <c r="FL48" i="21" s="1"/>
  <c r="AW10" i="22" s="1"/>
  <c r="FA12" i="21"/>
  <c r="GG42" i="21"/>
  <c r="FK53" i="21"/>
  <c r="FM53" i="21" s="1"/>
  <c r="BB14" i="22" s="1"/>
  <c r="BD14" i="22" s="1"/>
  <c r="FJ53" i="21"/>
  <c r="FL53" i="21" s="1"/>
  <c r="AW15" i="22" s="1"/>
  <c r="AN40" i="21"/>
  <c r="BD9" i="21"/>
  <c r="AO9" i="21"/>
  <c r="DF40" i="21"/>
  <c r="AO31" i="21"/>
  <c r="BD31" i="21"/>
  <c r="DG11" i="21"/>
  <c r="FK67" i="21"/>
  <c r="FM67" i="21" s="1"/>
  <c r="BB28" i="22" s="1"/>
  <c r="BD28" i="22" s="1"/>
  <c r="FJ67" i="21"/>
  <c r="FL67" i="21" s="1"/>
  <c r="FK49" i="21"/>
  <c r="FM49" i="21" s="1"/>
  <c r="BB10" i="22" s="1"/>
  <c r="FJ49" i="21"/>
  <c r="FL49" i="21" s="1"/>
  <c r="AW11" i="22" s="1"/>
  <c r="FM68" i="21"/>
  <c r="CT40" i="21"/>
  <c r="FN63" i="21"/>
  <c r="CE43" i="21"/>
  <c r="CF43" i="21" s="1"/>
  <c r="DH9" i="21"/>
  <c r="FU52" i="19"/>
  <c r="FJ15" i="19"/>
  <c r="FN70" i="21" l="1"/>
  <c r="FU40" i="21"/>
  <c r="FD40" i="21"/>
  <c r="AW23" i="22"/>
  <c r="AY23" i="22" s="1"/>
  <c r="FN61" i="21"/>
  <c r="N37" i="22"/>
  <c r="II40" i="21"/>
  <c r="AW31" i="22"/>
  <c r="AY31" i="22" s="1"/>
  <c r="FN69" i="21"/>
  <c r="KG40" i="21"/>
  <c r="CL40" i="21"/>
  <c r="AY9" i="22"/>
  <c r="FN76" i="21"/>
  <c r="FN54" i="21"/>
  <c r="BB15" i="22"/>
  <c r="BD15" i="22" s="1"/>
  <c r="J38" i="22"/>
  <c r="FN68" i="21"/>
  <c r="BB29" i="22"/>
  <c r="BD29" i="22" s="1"/>
  <c r="BD11" i="22"/>
  <c r="BD10" i="22"/>
  <c r="AY15" i="22"/>
  <c r="FN66" i="21"/>
  <c r="AW28" i="22"/>
  <c r="AY28" i="22" s="1"/>
  <c r="BD13" i="22"/>
  <c r="AY13" i="22"/>
  <c r="AY10" i="22"/>
  <c r="FN67" i="21"/>
  <c r="AW29" i="22"/>
  <c r="AY29" i="22" s="1"/>
  <c r="FN65" i="21"/>
  <c r="BD8" i="22"/>
  <c r="DH40" i="21"/>
  <c r="FN56" i="21"/>
  <c r="BB17" i="22"/>
  <c r="BD17" i="22" s="1"/>
  <c r="FN50" i="21"/>
  <c r="AW12" i="22"/>
  <c r="AY12" i="22" s="1"/>
  <c r="AY14" i="22"/>
  <c r="AY11" i="22"/>
  <c r="FN73" i="21"/>
  <c r="N36" i="22"/>
  <c r="FM40" i="21"/>
  <c r="FN60" i="21"/>
  <c r="AK40" i="21"/>
  <c r="FN58" i="21"/>
  <c r="FN62" i="21"/>
  <c r="FN57" i="21"/>
  <c r="FN64" i="21"/>
  <c r="DG40" i="21"/>
  <c r="FN47" i="21"/>
  <c r="FN52" i="21"/>
  <c r="FN74" i="21"/>
  <c r="FN53" i="21"/>
  <c r="FN71" i="21"/>
  <c r="FN51" i="21"/>
  <c r="FN75" i="21"/>
  <c r="FN72" i="21"/>
  <c r="FK77" i="21"/>
  <c r="FM77" i="21" s="1"/>
  <c r="FJ77" i="21"/>
  <c r="FL77" i="21" s="1"/>
  <c r="FN49" i="21"/>
  <c r="FN59" i="21"/>
  <c r="FN55" i="21"/>
  <c r="AO40" i="21"/>
  <c r="FN48" i="21"/>
  <c r="BD40" i="21"/>
  <c r="FJ46" i="21"/>
  <c r="FL46" i="21" s="1"/>
  <c r="FK46" i="21"/>
  <c r="FM46" i="21" s="1"/>
  <c r="BB7" i="22" s="1"/>
  <c r="FU51" i="19"/>
  <c r="AW7" i="22" l="1"/>
  <c r="AW8" i="22"/>
  <c r="AY8" i="22" s="1"/>
  <c r="FN77" i="21"/>
  <c r="FN46" i="21"/>
  <c r="CD13" i="19"/>
  <c r="FJ13" i="19"/>
  <c r="FU50" i="19"/>
  <c r="FV50" i="19" s="1"/>
  <c r="FW50" i="19" l="1"/>
  <c r="HP11" i="19"/>
  <c r="HP12" i="19"/>
  <c r="FU48" i="19"/>
  <c r="FU49" i="19"/>
  <c r="HJ12" i="19"/>
  <c r="EZ75" i="19" l="1"/>
  <c r="FA75" i="19"/>
  <c r="FC75" i="19"/>
  <c r="FC74" i="19"/>
  <c r="FC73" i="19"/>
  <c r="FC72" i="19"/>
  <c r="FC71" i="19"/>
  <c r="FC70" i="19"/>
  <c r="FC69" i="19"/>
  <c r="FC68" i="19"/>
  <c r="FC67" i="19"/>
  <c r="FC66" i="19"/>
  <c r="FC65" i="19"/>
  <c r="FC64" i="19"/>
  <c r="FC63" i="19"/>
  <c r="FC62" i="19"/>
  <c r="FC61" i="19"/>
  <c r="FC60" i="19"/>
  <c r="FC59" i="19"/>
  <c r="FC58" i="19"/>
  <c r="FC57" i="19"/>
  <c r="FC56" i="19"/>
  <c r="FC55" i="19"/>
  <c r="FC54" i="19"/>
  <c r="FC53" i="19"/>
  <c r="FC52" i="19"/>
  <c r="FC51" i="19"/>
  <c r="FC50" i="19"/>
  <c r="FC49" i="19"/>
  <c r="FC48" i="19"/>
  <c r="FC47" i="19"/>
  <c r="FC46" i="19"/>
  <c r="FP8" i="19"/>
  <c r="FP9" i="19"/>
  <c r="FP10" i="19"/>
  <c r="D76" i="19"/>
  <c r="G76" i="19"/>
  <c r="J76" i="19"/>
  <c r="DR76" i="19"/>
  <c r="DT76" i="19"/>
  <c r="FV76" i="19"/>
  <c r="FW76" i="19"/>
  <c r="IK76" i="19"/>
  <c r="FB75" i="19" l="1"/>
  <c r="FU47" i="19" l="1"/>
  <c r="FJ10" i="19"/>
  <c r="DZ9" i="19" l="1"/>
  <c r="B37" i="20" l="1"/>
  <c r="C37" i="20"/>
  <c r="D37" i="20"/>
  <c r="E37" i="20"/>
  <c r="F37" i="20"/>
  <c r="G37" i="20"/>
  <c r="H37" i="20"/>
  <c r="I37" i="20"/>
  <c r="J37" i="20"/>
  <c r="K37" i="20"/>
  <c r="L37" i="20"/>
  <c r="M37" i="20"/>
  <c r="O37" i="20"/>
  <c r="P37" i="20"/>
  <c r="Q37" i="20"/>
  <c r="R37" i="20"/>
  <c r="S37" i="20"/>
  <c r="T37" i="20"/>
  <c r="U37" i="20"/>
  <c r="W37" i="20"/>
  <c r="X37" i="20"/>
  <c r="Z37" i="20"/>
  <c r="AA37" i="20"/>
  <c r="AB37" i="20"/>
  <c r="AC37" i="20"/>
  <c r="AD37" i="20"/>
  <c r="AI37" i="20"/>
  <c r="AM37" i="20"/>
  <c r="AN37" i="20"/>
  <c r="AP37" i="20"/>
  <c r="AQ37" i="20"/>
  <c r="AR37" i="20"/>
  <c r="AT37" i="20"/>
  <c r="AU37" i="20"/>
  <c r="AV37" i="20"/>
  <c r="AX37" i="20"/>
  <c r="AZ37" i="20"/>
  <c r="BA37" i="20"/>
  <c r="BC37" i="20"/>
  <c r="BE37" i="20"/>
  <c r="BF37" i="20"/>
  <c r="BT37" i="20"/>
  <c r="BX37" i="20"/>
  <c r="BY37" i="20"/>
  <c r="BZ37" i="20"/>
  <c r="CA37" i="20"/>
  <c r="CB37" i="20"/>
  <c r="CC37" i="20"/>
  <c r="CD37" i="20"/>
  <c r="II76" i="21" s="1"/>
  <c r="CE37" i="20"/>
  <c r="CF37" i="20"/>
  <c r="BG37" i="20" l="1"/>
  <c r="V37" i="20"/>
  <c r="Y37" i="20"/>
  <c r="BH37" i="20" s="1"/>
  <c r="AS37" i="20"/>
  <c r="N37" i="20"/>
  <c r="C10" i="19"/>
  <c r="D10" i="19"/>
  <c r="F10" i="19"/>
  <c r="K10" i="19"/>
  <c r="N10" i="19"/>
  <c r="Q10" i="19"/>
  <c r="R10" i="19" s="1"/>
  <c r="T10" i="19"/>
  <c r="V10" i="19"/>
  <c r="E9" i="22" s="1"/>
  <c r="N9" i="22" s="1"/>
  <c r="AB10" i="19"/>
  <c r="AE10" i="19"/>
  <c r="AI10" i="19"/>
  <c r="AR10" i="19"/>
  <c r="AZ10" i="19"/>
  <c r="BC10" i="19"/>
  <c r="BG10" i="19"/>
  <c r="BJ10" i="19"/>
  <c r="BL10" i="19"/>
  <c r="BN10" i="19"/>
  <c r="BP10" i="19"/>
  <c r="BR10" i="19"/>
  <c r="BT10" i="19"/>
  <c r="BW10" i="19"/>
  <c r="BX10" i="19" s="1"/>
  <c r="CA10" i="19"/>
  <c r="CD10" i="19"/>
  <c r="CF10" i="19"/>
  <c r="CH10" i="19"/>
  <c r="CO10" i="19"/>
  <c r="CS10" i="19"/>
  <c r="CW10" i="19"/>
  <c r="DA10" i="19"/>
  <c r="DE10" i="19"/>
  <c r="DF10" i="19" s="1"/>
  <c r="DR10" i="19"/>
  <c r="DT10" i="19"/>
  <c r="DW10" i="19"/>
  <c r="DZ10" i="19"/>
  <c r="EJ10" i="19"/>
  <c r="EM10" i="19"/>
  <c r="ET10" i="19"/>
  <c r="EW10" i="19"/>
  <c r="EZ10" i="19"/>
  <c r="FC10" i="19"/>
  <c r="FS10" i="19"/>
  <c r="FX10" i="19"/>
  <c r="GA10" i="19"/>
  <c r="GD10" i="19"/>
  <c r="GJ10" i="19"/>
  <c r="GM10" i="19"/>
  <c r="GP10" i="19"/>
  <c r="GS10" i="19"/>
  <c r="GW10" i="19"/>
  <c r="HE10" i="19"/>
  <c r="HJ10" i="19"/>
  <c r="HM10" i="19"/>
  <c r="HP10" i="19"/>
  <c r="HS10" i="19"/>
  <c r="HV10" i="19"/>
  <c r="HY10" i="19"/>
  <c r="IB10" i="19"/>
  <c r="IE10" i="19"/>
  <c r="IL10" i="19"/>
  <c r="IO10" i="19"/>
  <c r="IR10" i="19"/>
  <c r="IU10" i="19"/>
  <c r="IX10" i="19"/>
  <c r="JA10" i="19"/>
  <c r="JD10" i="19"/>
  <c r="JG10" i="19"/>
  <c r="JJ10" i="19"/>
  <c r="JM10" i="19"/>
  <c r="JP10" i="19"/>
  <c r="JS10" i="19"/>
  <c r="JV10" i="19"/>
  <c r="JY10" i="19"/>
  <c r="KB10" i="19"/>
  <c r="KE10" i="19"/>
  <c r="FJ9" i="19"/>
  <c r="FU46" i="19"/>
  <c r="GW9" i="19"/>
  <c r="GW8" i="19"/>
  <c r="GW7" i="19"/>
  <c r="BM37" i="20" l="1"/>
  <c r="BO37" i="20" s="1"/>
  <c r="CP10" i="19"/>
  <c r="AS10" i="19"/>
  <c r="CB10" i="19"/>
  <c r="AJ10" i="19"/>
  <c r="AF10" i="19"/>
  <c r="IH10" i="19"/>
  <c r="BQ9" i="22"/>
  <c r="BS9" i="22" s="1"/>
  <c r="DB10" i="19"/>
  <c r="CX10" i="19"/>
  <c r="CT10" i="19"/>
  <c r="BQ37" i="20"/>
  <c r="BS37" i="20" s="1"/>
  <c r="GG10" i="19"/>
  <c r="CK10" i="19"/>
  <c r="AN10" i="19"/>
  <c r="G10" i="19"/>
  <c r="X10" i="19"/>
  <c r="BA8" i="20"/>
  <c r="BH9" i="22" l="1"/>
  <c r="KG10" i="19"/>
  <c r="II10" i="19"/>
  <c r="BL9" i="22"/>
  <c r="BM9" i="22" s="1"/>
  <c r="BO9" i="22" s="1"/>
  <c r="AK10" i="19"/>
  <c r="DH10" i="19" s="1"/>
  <c r="CL10" i="19"/>
  <c r="BD10" i="19"/>
  <c r="DG10" i="19"/>
  <c r="AO10" i="19"/>
  <c r="BP37" i="19"/>
  <c r="BR37" i="19"/>
  <c r="BT37" i="19"/>
  <c r="BW37" i="19"/>
  <c r="BX37" i="19" s="1"/>
  <c r="CA37" i="19"/>
  <c r="CD37" i="19"/>
  <c r="CF37" i="19"/>
  <c r="CH37" i="19"/>
  <c r="CO37" i="19"/>
  <c r="CS37" i="19"/>
  <c r="CW37" i="19"/>
  <c r="DA37" i="19"/>
  <c r="DE37" i="19"/>
  <c r="DF37" i="19" s="1"/>
  <c r="DR37" i="19"/>
  <c r="DT37" i="19"/>
  <c r="DW37" i="19"/>
  <c r="DZ37" i="19"/>
  <c r="EJ37" i="19"/>
  <c r="EM37" i="19"/>
  <c r="ET37" i="19"/>
  <c r="EW37" i="19"/>
  <c r="EZ37" i="19"/>
  <c r="FC37" i="19"/>
  <c r="FJ37" i="19"/>
  <c r="FP37" i="19"/>
  <c r="FS37" i="19"/>
  <c r="FX37" i="19"/>
  <c r="GA37" i="19"/>
  <c r="GD37" i="19"/>
  <c r="GJ37" i="19"/>
  <c r="GM37" i="19"/>
  <c r="GP37" i="19"/>
  <c r="GS37" i="19"/>
  <c r="GW37" i="19"/>
  <c r="HJ37" i="19"/>
  <c r="HM37" i="19"/>
  <c r="HP37" i="19"/>
  <c r="HS37" i="19"/>
  <c r="HV37" i="19"/>
  <c r="HY37" i="19"/>
  <c r="IB37" i="19"/>
  <c r="IE37" i="19"/>
  <c r="IL37" i="19"/>
  <c r="IO37" i="19"/>
  <c r="IR37" i="19"/>
  <c r="IU37" i="19"/>
  <c r="IX37" i="19"/>
  <c r="JA37" i="19"/>
  <c r="JD37" i="19"/>
  <c r="JG37" i="19"/>
  <c r="JJ37" i="19"/>
  <c r="JM37" i="19"/>
  <c r="JP37" i="19"/>
  <c r="JS37" i="19"/>
  <c r="JV37" i="19"/>
  <c r="JY37" i="19"/>
  <c r="KB37" i="19"/>
  <c r="KE37" i="19"/>
  <c r="BG37" i="19"/>
  <c r="BC37" i="19"/>
  <c r="AZ37" i="19"/>
  <c r="AR37" i="19"/>
  <c r="BL37" i="19"/>
  <c r="BJ37" i="19"/>
  <c r="AH36" i="20" l="1"/>
  <c r="AO36" i="22"/>
  <c r="CX37" i="19"/>
  <c r="CP37" i="19"/>
  <c r="DB37" i="19"/>
  <c r="BQ36" i="22"/>
  <c r="BS36" i="22" s="1"/>
  <c r="CT37" i="19"/>
  <c r="CB37" i="19"/>
  <c r="IH37" i="19"/>
  <c r="CK37" i="19"/>
  <c r="GG37" i="19"/>
  <c r="BL36" i="22" s="1"/>
  <c r="BM36" i="22" s="1"/>
  <c r="BO36" i="22" s="1"/>
  <c r="AN37" i="19"/>
  <c r="CL37" i="19" l="1"/>
  <c r="II37" i="19"/>
  <c r="BD37" i="19"/>
  <c r="BH36" i="22"/>
  <c r="V36" i="22"/>
  <c r="KG37" i="19"/>
  <c r="DG37" i="19"/>
  <c r="C21" i="17"/>
  <c r="HP8" i="19" l="1"/>
  <c r="IL8" i="19" l="1"/>
  <c r="IO8" i="19"/>
  <c r="IR8" i="19"/>
  <c r="IU8" i="19"/>
  <c r="IX8" i="19"/>
  <c r="JA8" i="19"/>
  <c r="JD8" i="19"/>
  <c r="JG8" i="19"/>
  <c r="JJ8" i="19"/>
  <c r="JM8" i="19"/>
  <c r="JP8" i="19"/>
  <c r="JS8" i="19"/>
  <c r="JV8" i="19"/>
  <c r="JY8" i="19"/>
  <c r="KB8" i="19"/>
  <c r="KE8" i="19"/>
  <c r="IL9" i="19"/>
  <c r="IO9" i="19"/>
  <c r="IR9" i="19"/>
  <c r="IU9" i="19"/>
  <c r="IX9" i="19"/>
  <c r="JA9" i="19"/>
  <c r="JD9" i="19"/>
  <c r="JG9" i="19"/>
  <c r="JJ9" i="19"/>
  <c r="JM9" i="19"/>
  <c r="JP9" i="19"/>
  <c r="JS9" i="19"/>
  <c r="JV9" i="19"/>
  <c r="JY9" i="19"/>
  <c r="KB9" i="19"/>
  <c r="KE9" i="19"/>
  <c r="IL11" i="19"/>
  <c r="IO11" i="19"/>
  <c r="IR11" i="19"/>
  <c r="IU11" i="19"/>
  <c r="IX11" i="19"/>
  <c r="JA11" i="19"/>
  <c r="JD11" i="19"/>
  <c r="JG11" i="19"/>
  <c r="JJ11" i="19"/>
  <c r="JM11" i="19"/>
  <c r="JP11" i="19"/>
  <c r="JS11" i="19"/>
  <c r="JV11" i="19"/>
  <c r="JY11" i="19"/>
  <c r="KB11" i="19"/>
  <c r="KE11" i="19"/>
  <c r="IL12" i="19"/>
  <c r="IO12" i="19"/>
  <c r="IR12" i="19"/>
  <c r="IU12" i="19"/>
  <c r="IX12" i="19"/>
  <c r="JA12" i="19"/>
  <c r="JD12" i="19"/>
  <c r="JG12" i="19"/>
  <c r="JJ12" i="19"/>
  <c r="JM12" i="19"/>
  <c r="JP12" i="19"/>
  <c r="JS12" i="19"/>
  <c r="JV12" i="19"/>
  <c r="JY12" i="19"/>
  <c r="KB12" i="19"/>
  <c r="KE12" i="19"/>
  <c r="IL13" i="19"/>
  <c r="IO13" i="19"/>
  <c r="IR13" i="19"/>
  <c r="IU13" i="19"/>
  <c r="IX13" i="19"/>
  <c r="JA13" i="19"/>
  <c r="JD13" i="19"/>
  <c r="JG13" i="19"/>
  <c r="JJ13" i="19"/>
  <c r="JM13" i="19"/>
  <c r="JP13" i="19"/>
  <c r="JS13" i="19"/>
  <c r="JV13" i="19"/>
  <c r="JY13" i="19"/>
  <c r="KB13" i="19"/>
  <c r="KE13" i="19"/>
  <c r="IL14" i="19"/>
  <c r="IO14" i="19"/>
  <c r="IR14" i="19"/>
  <c r="IU14" i="19"/>
  <c r="IX14" i="19"/>
  <c r="JA14" i="19"/>
  <c r="JD14" i="19"/>
  <c r="JG14" i="19"/>
  <c r="JJ14" i="19"/>
  <c r="JM14" i="19"/>
  <c r="JP14" i="19"/>
  <c r="JS14" i="19"/>
  <c r="JV14" i="19"/>
  <c r="JY14" i="19"/>
  <c r="KB14" i="19"/>
  <c r="KE14" i="19"/>
  <c r="IL15" i="19"/>
  <c r="IO15" i="19"/>
  <c r="IR15" i="19"/>
  <c r="IU15" i="19"/>
  <c r="IX15" i="19"/>
  <c r="JA15" i="19"/>
  <c r="JD15" i="19"/>
  <c r="JG15" i="19"/>
  <c r="JJ15" i="19"/>
  <c r="JM15" i="19"/>
  <c r="JP15" i="19"/>
  <c r="JS15" i="19"/>
  <c r="JV15" i="19"/>
  <c r="JY15" i="19"/>
  <c r="KB15" i="19"/>
  <c r="KE15" i="19"/>
  <c r="IL16" i="19"/>
  <c r="IO16" i="19"/>
  <c r="IR16" i="19"/>
  <c r="IU16" i="19"/>
  <c r="IX16" i="19"/>
  <c r="JA16" i="19"/>
  <c r="JD16" i="19"/>
  <c r="JG16" i="19"/>
  <c r="JJ16" i="19"/>
  <c r="JM16" i="19"/>
  <c r="JP16" i="19"/>
  <c r="JS16" i="19"/>
  <c r="JV16" i="19"/>
  <c r="JY16" i="19"/>
  <c r="KB16" i="19"/>
  <c r="KE16" i="19"/>
  <c r="IL17" i="19"/>
  <c r="IO17" i="19"/>
  <c r="IR17" i="19"/>
  <c r="IU17" i="19"/>
  <c r="IX17" i="19"/>
  <c r="JA17" i="19"/>
  <c r="JD17" i="19"/>
  <c r="JG17" i="19"/>
  <c r="JJ17" i="19"/>
  <c r="JM17" i="19"/>
  <c r="JP17" i="19"/>
  <c r="JS17" i="19"/>
  <c r="JV17" i="19"/>
  <c r="JY17" i="19"/>
  <c r="KB17" i="19"/>
  <c r="KE17" i="19"/>
  <c r="IL18" i="19"/>
  <c r="IO18" i="19"/>
  <c r="IR18" i="19"/>
  <c r="IU18" i="19"/>
  <c r="IX18" i="19"/>
  <c r="JA18" i="19"/>
  <c r="JD18" i="19"/>
  <c r="JG18" i="19"/>
  <c r="JJ18" i="19"/>
  <c r="JM18" i="19"/>
  <c r="JP18" i="19"/>
  <c r="JS18" i="19"/>
  <c r="JV18" i="19"/>
  <c r="JY18" i="19"/>
  <c r="KB18" i="19"/>
  <c r="KE18" i="19"/>
  <c r="DW36" i="19" l="1"/>
  <c r="AH35" i="20" s="1"/>
  <c r="DW31" i="19"/>
  <c r="CW36" i="19"/>
  <c r="Q36" i="20" l="1"/>
  <c r="AI37" i="19"/>
  <c r="I36" i="20" s="1"/>
  <c r="AE37" i="19"/>
  <c r="H36" i="20" s="1"/>
  <c r="AB37" i="19"/>
  <c r="T37" i="19"/>
  <c r="FU68" i="17"/>
  <c r="FV68" i="17" s="1"/>
  <c r="FU69" i="17"/>
  <c r="FV69" i="17" s="1"/>
  <c r="FU70" i="17"/>
  <c r="FV70" i="17" s="1"/>
  <c r="FU71" i="17"/>
  <c r="FV71" i="17" s="1"/>
  <c r="FU72" i="17"/>
  <c r="FV72" i="17" s="1"/>
  <c r="FU73" i="17"/>
  <c r="FV73" i="17" s="1"/>
  <c r="FU74" i="17"/>
  <c r="FV74" i="17" s="1"/>
  <c r="G76" i="17"/>
  <c r="Q37" i="19"/>
  <c r="R37" i="19" s="1"/>
  <c r="N37" i="19"/>
  <c r="F37" i="19"/>
  <c r="C37" i="19"/>
  <c r="D37" i="19"/>
  <c r="H82" i="20"/>
  <c r="BR38" i="20"/>
  <c r="BN38" i="20"/>
  <c r="BK38" i="20"/>
  <c r="BJ38" i="20"/>
  <c r="BI38" i="20"/>
  <c r="CF36" i="20"/>
  <c r="CE36" i="20"/>
  <c r="CD36" i="20"/>
  <c r="CC36" i="20"/>
  <c r="CB36" i="20"/>
  <c r="CA36" i="20"/>
  <c r="BZ36" i="20"/>
  <c r="BY36" i="20"/>
  <c r="BX36" i="20"/>
  <c r="BU36" i="20"/>
  <c r="BF36" i="20"/>
  <c r="BE36" i="20"/>
  <c r="BC36" i="20"/>
  <c r="BA36" i="20"/>
  <c r="AX36" i="20"/>
  <c r="AV36" i="20"/>
  <c r="AU36" i="20"/>
  <c r="AR36" i="20"/>
  <c r="AQ36" i="20"/>
  <c r="AP36" i="20"/>
  <c r="AN36" i="20"/>
  <c r="AM36" i="20"/>
  <c r="AI36" i="20"/>
  <c r="AD36" i="20"/>
  <c r="AC36" i="20"/>
  <c r="AB36" i="20"/>
  <c r="AA36" i="20"/>
  <c r="Z36" i="20"/>
  <c r="X36" i="20"/>
  <c r="W36" i="20"/>
  <c r="U36" i="20"/>
  <c r="T36" i="20"/>
  <c r="R36" i="20"/>
  <c r="P36" i="20"/>
  <c r="O36" i="20"/>
  <c r="M36" i="20"/>
  <c r="L36" i="20"/>
  <c r="K36" i="20"/>
  <c r="J36" i="20"/>
  <c r="E36" i="20"/>
  <c r="A8" i="20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CE7" i="20"/>
  <c r="P82" i="19"/>
  <c r="D82" i="19"/>
  <c r="P81" i="19"/>
  <c r="D81" i="19"/>
  <c r="DT78" i="19"/>
  <c r="DR78" i="19"/>
  <c r="DT77" i="19"/>
  <c r="DR77" i="19"/>
  <c r="IK75" i="19"/>
  <c r="II75" i="19"/>
  <c r="DT75" i="19"/>
  <c r="DR75" i="19"/>
  <c r="J75" i="19"/>
  <c r="G75" i="19"/>
  <c r="D75" i="19"/>
  <c r="IK74" i="19"/>
  <c r="FW74" i="19"/>
  <c r="FG37" i="19" s="1"/>
  <c r="FV74" i="19"/>
  <c r="EQ37" i="19" s="1"/>
  <c r="FA74" i="19"/>
  <c r="EZ74" i="19"/>
  <c r="DT74" i="19"/>
  <c r="DR74" i="19"/>
  <c r="J74" i="19"/>
  <c r="G74" i="19"/>
  <c r="D74" i="19"/>
  <c r="IK73" i="19"/>
  <c r="FG36" i="19"/>
  <c r="EQ36" i="19"/>
  <c r="DT73" i="19"/>
  <c r="DR73" i="19"/>
  <c r="J73" i="19"/>
  <c r="G73" i="19"/>
  <c r="D73" i="19"/>
  <c r="IK72" i="19"/>
  <c r="FW72" i="19"/>
  <c r="FG35" i="19" s="1"/>
  <c r="FV72" i="19"/>
  <c r="EQ35" i="19" s="1"/>
  <c r="DT72" i="19"/>
  <c r="DR72" i="19"/>
  <c r="J72" i="19"/>
  <c r="G72" i="19"/>
  <c r="D72" i="19"/>
  <c r="IK71" i="19"/>
  <c r="FW71" i="19"/>
  <c r="FG34" i="19" s="1"/>
  <c r="FV71" i="19"/>
  <c r="EQ34" i="19" s="1"/>
  <c r="DT71" i="19"/>
  <c r="DR71" i="19"/>
  <c r="J71" i="19"/>
  <c r="G71" i="19"/>
  <c r="D71" i="19"/>
  <c r="IK70" i="19"/>
  <c r="FW70" i="19"/>
  <c r="FG33" i="19" s="1"/>
  <c r="FV70" i="19"/>
  <c r="EQ33" i="19" s="1"/>
  <c r="DT70" i="19"/>
  <c r="DR70" i="19"/>
  <c r="J70" i="19"/>
  <c r="G70" i="19"/>
  <c r="D70" i="19"/>
  <c r="IK69" i="19"/>
  <c r="FW69" i="19"/>
  <c r="FG32" i="19" s="1"/>
  <c r="FV69" i="19"/>
  <c r="EQ32" i="19" s="1"/>
  <c r="DT69" i="19"/>
  <c r="DR69" i="19"/>
  <c r="J69" i="19"/>
  <c r="G69" i="19"/>
  <c r="D69" i="19"/>
  <c r="IK68" i="19"/>
  <c r="FW68" i="19"/>
  <c r="FG31" i="19" s="1"/>
  <c r="FV68" i="19"/>
  <c r="EQ31" i="19" s="1"/>
  <c r="DT68" i="19"/>
  <c r="DR68" i="19"/>
  <c r="J68" i="19"/>
  <c r="G68" i="19"/>
  <c r="D68" i="19"/>
  <c r="IK67" i="19"/>
  <c r="FW67" i="19"/>
  <c r="FG30" i="19" s="1"/>
  <c r="DT67" i="19"/>
  <c r="DR67" i="19"/>
  <c r="J67" i="19"/>
  <c r="G67" i="19"/>
  <c r="D67" i="19"/>
  <c r="IK66" i="19"/>
  <c r="FW66" i="19"/>
  <c r="FG29" i="19" s="1"/>
  <c r="DT66" i="19"/>
  <c r="DR66" i="19"/>
  <c r="J66" i="19"/>
  <c r="G66" i="19"/>
  <c r="D66" i="19"/>
  <c r="IK65" i="19"/>
  <c r="FW65" i="19"/>
  <c r="FG28" i="19" s="1"/>
  <c r="DT65" i="19"/>
  <c r="DR65" i="19"/>
  <c r="J65" i="19"/>
  <c r="G65" i="19"/>
  <c r="D65" i="19"/>
  <c r="IK64" i="19"/>
  <c r="DT64" i="19"/>
  <c r="DR64" i="19"/>
  <c r="J64" i="19"/>
  <c r="G64" i="19"/>
  <c r="D64" i="19"/>
  <c r="IK63" i="19"/>
  <c r="FW63" i="19"/>
  <c r="FG26" i="19" s="1"/>
  <c r="DT63" i="19"/>
  <c r="DR63" i="19"/>
  <c r="J63" i="19"/>
  <c r="G63" i="19"/>
  <c r="D63" i="19"/>
  <c r="IK62" i="19"/>
  <c r="DT62" i="19"/>
  <c r="DR62" i="19"/>
  <c r="J62" i="19"/>
  <c r="G62" i="19"/>
  <c r="D62" i="19"/>
  <c r="IK61" i="19"/>
  <c r="FW61" i="19"/>
  <c r="FG24" i="19" s="1"/>
  <c r="DT61" i="19"/>
  <c r="DR61" i="19"/>
  <c r="J61" i="19"/>
  <c r="G61" i="19"/>
  <c r="D61" i="19"/>
  <c r="IK60" i="19"/>
  <c r="FV60" i="19"/>
  <c r="EQ23" i="19" s="1"/>
  <c r="DT60" i="19"/>
  <c r="DR60" i="19"/>
  <c r="J60" i="19"/>
  <c r="G60" i="19"/>
  <c r="D60" i="19"/>
  <c r="IK59" i="19"/>
  <c r="FW59" i="19"/>
  <c r="FG22" i="19" s="1"/>
  <c r="FV59" i="19"/>
  <c r="EQ22" i="19" s="1"/>
  <c r="DT59" i="19"/>
  <c r="DR59" i="19"/>
  <c r="J59" i="19"/>
  <c r="G59" i="19"/>
  <c r="D59" i="19"/>
  <c r="IK58" i="19"/>
  <c r="DT58" i="19"/>
  <c r="DR58" i="19"/>
  <c r="J58" i="19"/>
  <c r="G58" i="19"/>
  <c r="D58" i="19"/>
  <c r="FW57" i="19"/>
  <c r="FG20" i="19" s="1"/>
  <c r="DT57" i="19"/>
  <c r="DR57" i="19"/>
  <c r="J57" i="19"/>
  <c r="G57" i="19"/>
  <c r="D57" i="19"/>
  <c r="IK56" i="19"/>
  <c r="DT56" i="19"/>
  <c r="DR56" i="19"/>
  <c r="J56" i="19"/>
  <c r="G56" i="19"/>
  <c r="D56" i="19"/>
  <c r="IK55" i="19"/>
  <c r="FW55" i="19"/>
  <c r="FG18" i="19" s="1"/>
  <c r="DT55" i="19"/>
  <c r="DR55" i="19"/>
  <c r="J55" i="19"/>
  <c r="G55" i="19"/>
  <c r="D55" i="19"/>
  <c r="IK54" i="19"/>
  <c r="DT54" i="19"/>
  <c r="DR54" i="19"/>
  <c r="J54" i="19"/>
  <c r="G54" i="19"/>
  <c r="D54" i="19"/>
  <c r="IK53" i="19"/>
  <c r="FW53" i="19"/>
  <c r="FG16" i="19" s="1"/>
  <c r="FV53" i="19"/>
  <c r="EQ16" i="19" s="1"/>
  <c r="DT53" i="19"/>
  <c r="DR53" i="19"/>
  <c r="J53" i="19"/>
  <c r="G53" i="19"/>
  <c r="D53" i="19"/>
  <c r="IK52" i="19"/>
  <c r="FV52" i="19"/>
  <c r="EQ15" i="19" s="1"/>
  <c r="FW52" i="19"/>
  <c r="FG15" i="19" s="1"/>
  <c r="DT52" i="19"/>
  <c r="DR52" i="19"/>
  <c r="J52" i="19"/>
  <c r="G52" i="19"/>
  <c r="D52" i="19"/>
  <c r="IK51" i="19"/>
  <c r="FV51" i="19"/>
  <c r="EQ14" i="19" s="1"/>
  <c r="DT51" i="19"/>
  <c r="DR51" i="19"/>
  <c r="J51" i="19"/>
  <c r="G51" i="19"/>
  <c r="D51" i="19"/>
  <c r="IK50" i="19"/>
  <c r="EQ13" i="19"/>
  <c r="FG13" i="19"/>
  <c r="DT50" i="19"/>
  <c r="DR50" i="19"/>
  <c r="J50" i="19"/>
  <c r="G50" i="19"/>
  <c r="D50" i="19"/>
  <c r="IK49" i="19"/>
  <c r="FV49" i="19"/>
  <c r="EQ12" i="19" s="1"/>
  <c r="FW49" i="19"/>
  <c r="FG12" i="19" s="1"/>
  <c r="DT49" i="19"/>
  <c r="DR49" i="19"/>
  <c r="J49" i="19"/>
  <c r="G49" i="19"/>
  <c r="D49" i="19"/>
  <c r="IK48" i="19"/>
  <c r="FV48" i="19"/>
  <c r="EQ11" i="19" s="1"/>
  <c r="FW48" i="19"/>
  <c r="FG11" i="19" s="1"/>
  <c r="EX48" i="19"/>
  <c r="DT48" i="19"/>
  <c r="DR48" i="19"/>
  <c r="J48" i="19"/>
  <c r="G48" i="19"/>
  <c r="D48" i="19"/>
  <c r="IK47" i="19"/>
  <c r="FW47" i="19"/>
  <c r="FG10" i="19" s="1"/>
  <c r="J47" i="19"/>
  <c r="G47" i="19"/>
  <c r="D47" i="19"/>
  <c r="IK46" i="19"/>
  <c r="FW46" i="19"/>
  <c r="FG9" i="19" s="1"/>
  <c r="J46" i="19"/>
  <c r="G46" i="19"/>
  <c r="D46" i="19"/>
  <c r="IK45" i="19"/>
  <c r="FU45" i="19"/>
  <c r="FV45" i="19" s="1"/>
  <c r="EQ8" i="19" s="1"/>
  <c r="FC45" i="19"/>
  <c r="EE40" i="19"/>
  <c r="U40" i="19"/>
  <c r="V40" i="19" s="1"/>
  <c r="HC39" i="19"/>
  <c r="GV39" i="19"/>
  <c r="FL39" i="19"/>
  <c r="DO39" i="19"/>
  <c r="DN39" i="19"/>
  <c r="DM39" i="19"/>
  <c r="J39" i="19"/>
  <c r="KE36" i="19"/>
  <c r="KB36" i="19"/>
  <c r="JY36" i="19"/>
  <c r="JV36" i="19"/>
  <c r="JS36" i="19"/>
  <c r="JP36" i="19"/>
  <c r="JM36" i="19"/>
  <c r="JJ36" i="19"/>
  <c r="JG36" i="19"/>
  <c r="JD36" i="19"/>
  <c r="JA36" i="19"/>
  <c r="IX36" i="19"/>
  <c r="IU36" i="19"/>
  <c r="IR36" i="19"/>
  <c r="IO36" i="19"/>
  <c r="IL36" i="19"/>
  <c r="IE36" i="19"/>
  <c r="IB36" i="19"/>
  <c r="HY36" i="19"/>
  <c r="HV36" i="19"/>
  <c r="HS36" i="19"/>
  <c r="HP36" i="19"/>
  <c r="HM36" i="19"/>
  <c r="HJ36" i="19"/>
  <c r="GW36" i="19"/>
  <c r="GS36" i="19"/>
  <c r="GP36" i="19"/>
  <c r="GM36" i="19"/>
  <c r="GJ36" i="19"/>
  <c r="GD36" i="19"/>
  <c r="GA36" i="19"/>
  <c r="FX36" i="19"/>
  <c r="FS36" i="19"/>
  <c r="FP36" i="19"/>
  <c r="FA73" i="19" s="1"/>
  <c r="FJ36" i="19"/>
  <c r="FC36" i="19"/>
  <c r="EZ36" i="19"/>
  <c r="EZ73" i="19" s="1"/>
  <c r="EW36" i="19"/>
  <c r="ET36" i="19"/>
  <c r="EM36" i="19"/>
  <c r="EJ36" i="19"/>
  <c r="DZ36" i="19"/>
  <c r="DT36" i="19"/>
  <c r="DR36" i="19"/>
  <c r="DE36" i="19"/>
  <c r="DA36" i="19"/>
  <c r="W35" i="20"/>
  <c r="CS36" i="19"/>
  <c r="CO36" i="19"/>
  <c r="CH36" i="19"/>
  <c r="CF36" i="19"/>
  <c r="CD36" i="19"/>
  <c r="CA36" i="19"/>
  <c r="BW36" i="19"/>
  <c r="BX36" i="19" s="1"/>
  <c r="BT36" i="19"/>
  <c r="BR36" i="19"/>
  <c r="BP36" i="19"/>
  <c r="BN36" i="19"/>
  <c r="BL36" i="19"/>
  <c r="BJ36" i="19"/>
  <c r="BG36" i="19"/>
  <c r="BC36" i="19"/>
  <c r="AZ36" i="19"/>
  <c r="AR36" i="19"/>
  <c r="AI36" i="19"/>
  <c r="AE36" i="19"/>
  <c r="AB36" i="19"/>
  <c r="V36" i="19"/>
  <c r="T36" i="19"/>
  <c r="Q36" i="19"/>
  <c r="N36" i="19"/>
  <c r="K36" i="19"/>
  <c r="F36" i="19"/>
  <c r="D36" i="19"/>
  <c r="C36" i="19"/>
  <c r="A36" i="19"/>
  <c r="KE35" i="19"/>
  <c r="KB35" i="19"/>
  <c r="JY35" i="19"/>
  <c r="JV35" i="19"/>
  <c r="JS35" i="19"/>
  <c r="JP35" i="19"/>
  <c r="JM35" i="19"/>
  <c r="JJ35" i="19"/>
  <c r="JG35" i="19"/>
  <c r="JD35" i="19"/>
  <c r="JA35" i="19"/>
  <c r="IX35" i="19"/>
  <c r="IU35" i="19"/>
  <c r="IR35" i="19"/>
  <c r="IO35" i="19"/>
  <c r="IL35" i="19"/>
  <c r="IE35" i="19"/>
  <c r="IB35" i="19"/>
  <c r="HY35" i="19"/>
  <c r="HV35" i="19"/>
  <c r="HS35" i="19"/>
  <c r="HP35" i="19"/>
  <c r="HM35" i="19"/>
  <c r="HJ35" i="19"/>
  <c r="HE35" i="19"/>
  <c r="GW35" i="19"/>
  <c r="GS35" i="19"/>
  <c r="GP35" i="19"/>
  <c r="GM35" i="19"/>
  <c r="GJ35" i="19"/>
  <c r="GD35" i="19"/>
  <c r="GA35" i="19"/>
  <c r="FX35" i="19"/>
  <c r="FS35" i="19"/>
  <c r="FP35" i="19"/>
  <c r="FA72" i="19" s="1"/>
  <c r="FJ35" i="19"/>
  <c r="FC35" i="19"/>
  <c r="EZ35" i="19"/>
  <c r="EZ72" i="19" s="1"/>
  <c r="EW35" i="19"/>
  <c r="ET35" i="19"/>
  <c r="EM35" i="19"/>
  <c r="EJ35" i="19"/>
  <c r="DZ35" i="19"/>
  <c r="DW35" i="19"/>
  <c r="DT35" i="19"/>
  <c r="DR35" i="19"/>
  <c r="DE35" i="19"/>
  <c r="DF35" i="19" s="1"/>
  <c r="DA35" i="19"/>
  <c r="CW35" i="19"/>
  <c r="CS35" i="19"/>
  <c r="CO35" i="19"/>
  <c r="CH35" i="19"/>
  <c r="CF35" i="19"/>
  <c r="CD35" i="19"/>
  <c r="CA35" i="19"/>
  <c r="BW35" i="19"/>
  <c r="BX35" i="19" s="1"/>
  <c r="BT35" i="19"/>
  <c r="BR35" i="19"/>
  <c r="BP35" i="19"/>
  <c r="BN35" i="19"/>
  <c r="BL35" i="19"/>
  <c r="BJ35" i="19"/>
  <c r="BG35" i="19"/>
  <c r="BC35" i="19"/>
  <c r="AZ35" i="19"/>
  <c r="AR35" i="19"/>
  <c r="AI35" i="19"/>
  <c r="AE35" i="19"/>
  <c r="AB35" i="19"/>
  <c r="V35" i="19"/>
  <c r="T35" i="19"/>
  <c r="Q35" i="19"/>
  <c r="R35" i="19" s="1"/>
  <c r="N35" i="19"/>
  <c r="K35" i="19"/>
  <c r="F35" i="19"/>
  <c r="D35" i="19"/>
  <c r="C35" i="19"/>
  <c r="KE34" i="19"/>
  <c r="KB34" i="19"/>
  <c r="JY34" i="19"/>
  <c r="JV34" i="19"/>
  <c r="JS34" i="19"/>
  <c r="JP34" i="19"/>
  <c r="JM34" i="19"/>
  <c r="JJ34" i="19"/>
  <c r="JG34" i="19"/>
  <c r="JD34" i="19"/>
  <c r="JA34" i="19"/>
  <c r="IX34" i="19"/>
  <c r="IU34" i="19"/>
  <c r="IR34" i="19"/>
  <c r="IO34" i="19"/>
  <c r="IL34" i="19"/>
  <c r="IE34" i="19"/>
  <c r="IB34" i="19"/>
  <c r="HY34" i="19"/>
  <c r="HV34" i="19"/>
  <c r="HS34" i="19"/>
  <c r="HP34" i="19"/>
  <c r="HM34" i="19"/>
  <c r="HJ34" i="19"/>
  <c r="HE34" i="19"/>
  <c r="GW34" i="19"/>
  <c r="GS34" i="19"/>
  <c r="GP34" i="19"/>
  <c r="GM34" i="19"/>
  <c r="GJ34" i="19"/>
  <c r="GD34" i="19"/>
  <c r="GA34" i="19"/>
  <c r="FX34" i="19"/>
  <c r="FS34" i="19"/>
  <c r="FP34" i="19"/>
  <c r="FA71" i="19" s="1"/>
  <c r="FJ34" i="19"/>
  <c r="FC34" i="19"/>
  <c r="EZ34" i="19"/>
  <c r="EZ71" i="19" s="1"/>
  <c r="EW34" i="19"/>
  <c r="ET34" i="19"/>
  <c r="EM34" i="19"/>
  <c r="EJ34" i="19"/>
  <c r="DZ34" i="19"/>
  <c r="DW34" i="19"/>
  <c r="DT34" i="19"/>
  <c r="DR34" i="19"/>
  <c r="DE34" i="19"/>
  <c r="DF34" i="19" s="1"/>
  <c r="DA34" i="19"/>
  <c r="CW34" i="19"/>
  <c r="CS34" i="19"/>
  <c r="CO34" i="19"/>
  <c r="CH34" i="19"/>
  <c r="CF34" i="19"/>
  <c r="CD34" i="19"/>
  <c r="CA34" i="19"/>
  <c r="BW34" i="19"/>
  <c r="BX34" i="19" s="1"/>
  <c r="BT34" i="19"/>
  <c r="BR34" i="19"/>
  <c r="BP34" i="19"/>
  <c r="BN34" i="19"/>
  <c r="BL34" i="19"/>
  <c r="BJ34" i="19"/>
  <c r="BG34" i="19"/>
  <c r="BC34" i="19"/>
  <c r="AZ34" i="19"/>
  <c r="AR34" i="19"/>
  <c r="AI34" i="19"/>
  <c r="AE34" i="19"/>
  <c r="AB34" i="19"/>
  <c r="V34" i="19"/>
  <c r="T34" i="19"/>
  <c r="Q34" i="19"/>
  <c r="N34" i="19"/>
  <c r="K34" i="19"/>
  <c r="F34" i="19"/>
  <c r="D34" i="19"/>
  <c r="C34" i="19"/>
  <c r="KE33" i="19"/>
  <c r="KB33" i="19"/>
  <c r="JY33" i="19"/>
  <c r="JV33" i="19"/>
  <c r="JS33" i="19"/>
  <c r="JP33" i="19"/>
  <c r="JM33" i="19"/>
  <c r="JJ33" i="19"/>
  <c r="JG33" i="19"/>
  <c r="JD33" i="19"/>
  <c r="JA33" i="19"/>
  <c r="IX33" i="19"/>
  <c r="IU33" i="19"/>
  <c r="IR33" i="19"/>
  <c r="IO33" i="19"/>
  <c r="IL33" i="19"/>
  <c r="IE33" i="19"/>
  <c r="IB33" i="19"/>
  <c r="HY33" i="19"/>
  <c r="HV33" i="19"/>
  <c r="HS33" i="19"/>
  <c r="HP33" i="19"/>
  <c r="HM33" i="19"/>
  <c r="HJ33" i="19"/>
  <c r="HE33" i="19"/>
  <c r="GW33" i="19"/>
  <c r="GS33" i="19"/>
  <c r="GP33" i="19"/>
  <c r="GM33" i="19"/>
  <c r="GJ33" i="19"/>
  <c r="GD33" i="19"/>
  <c r="GA33" i="19"/>
  <c r="FX33" i="19"/>
  <c r="FS33" i="19"/>
  <c r="FP33" i="19"/>
  <c r="FA70" i="19" s="1"/>
  <c r="FJ33" i="19"/>
  <c r="FC33" i="19"/>
  <c r="EZ33" i="19"/>
  <c r="EZ70" i="19" s="1"/>
  <c r="EW33" i="19"/>
  <c r="ET33" i="19"/>
  <c r="EM33" i="19"/>
  <c r="EJ33" i="19"/>
  <c r="DW33" i="19"/>
  <c r="DT33" i="19"/>
  <c r="DR33" i="19"/>
  <c r="DE33" i="19"/>
  <c r="DF33" i="19" s="1"/>
  <c r="DA33" i="19"/>
  <c r="CW33" i="19"/>
  <c r="CS33" i="19"/>
  <c r="CO33" i="19"/>
  <c r="CH33" i="19"/>
  <c r="CF33" i="19"/>
  <c r="CD33" i="19"/>
  <c r="CA33" i="19"/>
  <c r="BW33" i="19"/>
  <c r="BX33" i="19" s="1"/>
  <c r="BT33" i="19"/>
  <c r="BR33" i="19"/>
  <c r="BP33" i="19"/>
  <c r="BN33" i="19"/>
  <c r="BL33" i="19"/>
  <c r="BJ33" i="19"/>
  <c r="BG33" i="19"/>
  <c r="BC33" i="19"/>
  <c r="AZ33" i="19"/>
  <c r="AR33" i="19"/>
  <c r="AI33" i="19"/>
  <c r="AE33" i="19"/>
  <c r="AB33" i="19"/>
  <c r="V33" i="19"/>
  <c r="T33" i="19"/>
  <c r="Q33" i="19"/>
  <c r="R33" i="19" s="1"/>
  <c r="N33" i="19"/>
  <c r="K33" i="19"/>
  <c r="F33" i="19"/>
  <c r="D33" i="19"/>
  <c r="C33" i="19"/>
  <c r="KE32" i="19"/>
  <c r="KB32" i="19"/>
  <c r="JY32" i="19"/>
  <c r="JV32" i="19"/>
  <c r="JS32" i="19"/>
  <c r="JP32" i="19"/>
  <c r="JM32" i="19"/>
  <c r="JJ32" i="19"/>
  <c r="JG32" i="19"/>
  <c r="JD32" i="19"/>
  <c r="JA32" i="19"/>
  <c r="IX32" i="19"/>
  <c r="IU32" i="19"/>
  <c r="IR32" i="19"/>
  <c r="IO32" i="19"/>
  <c r="IL32" i="19"/>
  <c r="IE32" i="19"/>
  <c r="IB32" i="19"/>
  <c r="HY32" i="19"/>
  <c r="HV32" i="19"/>
  <c r="HS32" i="19"/>
  <c r="HP32" i="19"/>
  <c r="HM32" i="19"/>
  <c r="HJ32" i="19"/>
  <c r="HE32" i="19"/>
  <c r="GW32" i="19"/>
  <c r="GS32" i="19"/>
  <c r="GP32" i="19"/>
  <c r="GM32" i="19"/>
  <c r="GJ32" i="19"/>
  <c r="GD32" i="19"/>
  <c r="GA32" i="19"/>
  <c r="FX32" i="19"/>
  <c r="FS32" i="19"/>
  <c r="FP32" i="19"/>
  <c r="FA69" i="19" s="1"/>
  <c r="FJ32" i="19"/>
  <c r="FC32" i="19"/>
  <c r="EZ32" i="19"/>
  <c r="EZ69" i="19" s="1"/>
  <c r="EW32" i="19"/>
  <c r="ET32" i="19"/>
  <c r="EM32" i="19"/>
  <c r="EJ32" i="19"/>
  <c r="DZ32" i="19"/>
  <c r="DW32" i="19"/>
  <c r="DT32" i="19"/>
  <c r="DR32" i="19"/>
  <c r="DE32" i="19"/>
  <c r="DA32" i="19"/>
  <c r="CW32" i="19"/>
  <c r="CS32" i="19"/>
  <c r="CO32" i="19"/>
  <c r="CH32" i="19"/>
  <c r="CF32" i="19"/>
  <c r="CD32" i="19"/>
  <c r="CA32" i="19"/>
  <c r="BW32" i="19"/>
  <c r="BX32" i="19" s="1"/>
  <c r="BT32" i="19"/>
  <c r="BR32" i="19"/>
  <c r="BP32" i="19"/>
  <c r="BN32" i="19"/>
  <c r="BL32" i="19"/>
  <c r="BJ32" i="19"/>
  <c r="BG32" i="19"/>
  <c r="BC32" i="19"/>
  <c r="AZ32" i="19"/>
  <c r="AR32" i="19"/>
  <c r="AI32" i="19"/>
  <c r="AE32" i="19"/>
  <c r="AB32" i="19"/>
  <c r="V32" i="19"/>
  <c r="T32" i="19"/>
  <c r="Q32" i="19"/>
  <c r="R32" i="19" s="1"/>
  <c r="N32" i="19"/>
  <c r="K32" i="19"/>
  <c r="F32" i="19"/>
  <c r="D32" i="19"/>
  <c r="C32" i="19"/>
  <c r="KE31" i="19"/>
  <c r="KB31" i="19"/>
  <c r="JY31" i="19"/>
  <c r="JV31" i="19"/>
  <c r="JS31" i="19"/>
  <c r="JP31" i="19"/>
  <c r="JM31" i="19"/>
  <c r="JJ31" i="19"/>
  <c r="JG31" i="19"/>
  <c r="JD31" i="19"/>
  <c r="JA31" i="19"/>
  <c r="IX31" i="19"/>
  <c r="IU31" i="19"/>
  <c r="IR31" i="19"/>
  <c r="IO31" i="19"/>
  <c r="IL31" i="19"/>
  <c r="IE31" i="19"/>
  <c r="IB31" i="19"/>
  <c r="HY31" i="19"/>
  <c r="HV31" i="19"/>
  <c r="HS31" i="19"/>
  <c r="HP31" i="19"/>
  <c r="HM31" i="19"/>
  <c r="HJ31" i="19"/>
  <c r="HE31" i="19"/>
  <c r="GW31" i="19"/>
  <c r="GS31" i="19"/>
  <c r="GP31" i="19"/>
  <c r="GM31" i="19"/>
  <c r="GJ31" i="19"/>
  <c r="GD31" i="19"/>
  <c r="GA31" i="19"/>
  <c r="FX31" i="19"/>
  <c r="FS31" i="19"/>
  <c r="FP31" i="19"/>
  <c r="FA68" i="19" s="1"/>
  <c r="FJ31" i="19"/>
  <c r="FC31" i="19"/>
  <c r="EZ31" i="19"/>
  <c r="EZ68" i="19" s="1"/>
  <c r="EW31" i="19"/>
  <c r="ET31" i="19"/>
  <c r="EM31" i="19"/>
  <c r="EJ31" i="19"/>
  <c r="DZ31" i="19"/>
  <c r="AH30" i="20"/>
  <c r="DT31" i="19"/>
  <c r="DR31" i="19"/>
  <c r="DE31" i="19"/>
  <c r="DA31" i="19"/>
  <c r="CW31" i="19"/>
  <c r="CS31" i="19"/>
  <c r="CO31" i="19"/>
  <c r="CH31" i="19"/>
  <c r="CF31" i="19"/>
  <c r="CD31" i="19"/>
  <c r="CA31" i="19"/>
  <c r="BW31" i="19"/>
  <c r="BX31" i="19" s="1"/>
  <c r="BT31" i="19"/>
  <c r="BR31" i="19"/>
  <c r="BP31" i="19"/>
  <c r="BN31" i="19"/>
  <c r="BL31" i="19"/>
  <c r="BJ31" i="19"/>
  <c r="BG31" i="19"/>
  <c r="BC31" i="19"/>
  <c r="AZ31" i="19"/>
  <c r="AR31" i="19"/>
  <c r="AI31" i="19"/>
  <c r="AE31" i="19"/>
  <c r="AB31" i="19"/>
  <c r="V31" i="19"/>
  <c r="T31" i="19"/>
  <c r="Q31" i="19"/>
  <c r="R31" i="19" s="1"/>
  <c r="N31" i="19"/>
  <c r="K31" i="19"/>
  <c r="F31" i="19"/>
  <c r="D31" i="19"/>
  <c r="C31" i="19"/>
  <c r="KE30" i="19"/>
  <c r="KB30" i="19"/>
  <c r="JY30" i="19"/>
  <c r="JV30" i="19"/>
  <c r="JS30" i="19"/>
  <c r="JP30" i="19"/>
  <c r="JM30" i="19"/>
  <c r="JJ30" i="19"/>
  <c r="JG30" i="19"/>
  <c r="JD30" i="19"/>
  <c r="JA30" i="19"/>
  <c r="IX30" i="19"/>
  <c r="IU30" i="19"/>
  <c r="IR30" i="19"/>
  <c r="IO30" i="19"/>
  <c r="IL30" i="19"/>
  <c r="IE30" i="19"/>
  <c r="IB30" i="19"/>
  <c r="HY30" i="19"/>
  <c r="HV30" i="19"/>
  <c r="HS30" i="19"/>
  <c r="HP30" i="19"/>
  <c r="HM30" i="19"/>
  <c r="HJ30" i="19"/>
  <c r="HE30" i="19"/>
  <c r="GW30" i="19"/>
  <c r="GS30" i="19"/>
  <c r="GP30" i="19"/>
  <c r="GM30" i="19"/>
  <c r="GJ30" i="19"/>
  <c r="GD30" i="19"/>
  <c r="GA30" i="19"/>
  <c r="FX30" i="19"/>
  <c r="FS30" i="19"/>
  <c r="FP30" i="19"/>
  <c r="FA67" i="19" s="1"/>
  <c r="FJ30" i="19"/>
  <c r="FC30" i="19"/>
  <c r="EZ30" i="19"/>
  <c r="EZ67" i="19" s="1"/>
  <c r="EW30" i="19"/>
  <c r="ET30" i="19"/>
  <c r="EM30" i="19"/>
  <c r="EJ30" i="19"/>
  <c r="DZ30" i="19"/>
  <c r="DW30" i="19"/>
  <c r="DT30" i="19"/>
  <c r="DR30" i="19"/>
  <c r="DE30" i="19"/>
  <c r="DF30" i="19" s="1"/>
  <c r="DA30" i="19"/>
  <c r="CW30" i="19"/>
  <c r="CS30" i="19"/>
  <c r="CO30" i="19"/>
  <c r="CH30" i="19"/>
  <c r="CF30" i="19"/>
  <c r="CD30" i="19"/>
  <c r="CA30" i="19"/>
  <c r="BW30" i="19"/>
  <c r="BX30" i="19" s="1"/>
  <c r="BT30" i="19"/>
  <c r="BR30" i="19"/>
  <c r="BP30" i="19"/>
  <c r="BN30" i="19"/>
  <c r="BL30" i="19"/>
  <c r="BJ30" i="19"/>
  <c r="BG30" i="19"/>
  <c r="BC30" i="19"/>
  <c r="AZ30" i="19"/>
  <c r="AR30" i="19"/>
  <c r="AI30" i="19"/>
  <c r="AE30" i="19"/>
  <c r="AB30" i="19"/>
  <c r="V30" i="19"/>
  <c r="T30" i="19"/>
  <c r="Q30" i="19"/>
  <c r="R30" i="19" s="1"/>
  <c r="N30" i="19"/>
  <c r="K30" i="19"/>
  <c r="F30" i="19"/>
  <c r="D30" i="19"/>
  <c r="C30" i="19"/>
  <c r="KE29" i="19"/>
  <c r="KB29" i="19"/>
  <c r="JY29" i="19"/>
  <c r="JV29" i="19"/>
  <c r="JS29" i="19"/>
  <c r="JP29" i="19"/>
  <c r="JM29" i="19"/>
  <c r="JJ29" i="19"/>
  <c r="JG29" i="19"/>
  <c r="JD29" i="19"/>
  <c r="JA29" i="19"/>
  <c r="IX29" i="19"/>
  <c r="IU29" i="19"/>
  <c r="IR29" i="19"/>
  <c r="IO29" i="19"/>
  <c r="IL29" i="19"/>
  <c r="IE29" i="19"/>
  <c r="IB29" i="19"/>
  <c r="HY29" i="19"/>
  <c r="HV29" i="19"/>
  <c r="HS29" i="19"/>
  <c r="HP29" i="19"/>
  <c r="HM29" i="19"/>
  <c r="HJ29" i="19"/>
  <c r="HE29" i="19"/>
  <c r="GW29" i="19"/>
  <c r="GS29" i="19"/>
  <c r="GP29" i="19"/>
  <c r="GM29" i="19"/>
  <c r="GJ29" i="19"/>
  <c r="GD29" i="19"/>
  <c r="GA29" i="19"/>
  <c r="FX29" i="19"/>
  <c r="FS29" i="19"/>
  <c r="FP29" i="19"/>
  <c r="FA66" i="19" s="1"/>
  <c r="FJ29" i="19"/>
  <c r="FC29" i="19"/>
  <c r="EZ29" i="19"/>
  <c r="EZ66" i="19" s="1"/>
  <c r="EW29" i="19"/>
  <c r="ET29" i="19"/>
  <c r="EM29" i="19"/>
  <c r="EJ29" i="19"/>
  <c r="DZ29" i="19"/>
  <c r="DW29" i="19"/>
  <c r="DT29" i="19"/>
  <c r="DR29" i="19"/>
  <c r="DE29" i="19"/>
  <c r="DA29" i="19"/>
  <c r="CW29" i="19"/>
  <c r="CS29" i="19"/>
  <c r="CO29" i="19"/>
  <c r="CH29" i="19"/>
  <c r="CF29" i="19"/>
  <c r="CD29" i="19"/>
  <c r="CA29" i="19"/>
  <c r="BW29" i="19"/>
  <c r="BX29" i="19" s="1"/>
  <c r="BT29" i="19"/>
  <c r="BR29" i="19"/>
  <c r="BN29" i="19"/>
  <c r="BL29" i="19"/>
  <c r="BJ29" i="19"/>
  <c r="BG29" i="19"/>
  <c r="BC29" i="19"/>
  <c r="AZ29" i="19"/>
  <c r="AR29" i="19"/>
  <c r="AI29" i="19"/>
  <c r="AE29" i="19"/>
  <c r="AB29" i="19"/>
  <c r="V29" i="19"/>
  <c r="T29" i="19"/>
  <c r="Q29" i="19"/>
  <c r="N29" i="19"/>
  <c r="K29" i="19"/>
  <c r="F29" i="19"/>
  <c r="D29" i="19"/>
  <c r="C29" i="19"/>
  <c r="KE28" i="19"/>
  <c r="KB28" i="19"/>
  <c r="JY28" i="19"/>
  <c r="JV28" i="19"/>
  <c r="JS28" i="19"/>
  <c r="JP28" i="19"/>
  <c r="JM28" i="19"/>
  <c r="JJ28" i="19"/>
  <c r="JG28" i="19"/>
  <c r="JD28" i="19"/>
  <c r="JA28" i="19"/>
  <c r="IX28" i="19"/>
  <c r="IU28" i="19"/>
  <c r="IR28" i="19"/>
  <c r="IO28" i="19"/>
  <c r="IL28" i="19"/>
  <c r="IE28" i="19"/>
  <c r="IB28" i="19"/>
  <c r="HY28" i="19"/>
  <c r="HV28" i="19"/>
  <c r="HS28" i="19"/>
  <c r="HP28" i="19"/>
  <c r="HM28" i="19"/>
  <c r="HJ28" i="19"/>
  <c r="HE28" i="19"/>
  <c r="GW28" i="19"/>
  <c r="GS28" i="19"/>
  <c r="GP28" i="19"/>
  <c r="GM28" i="19"/>
  <c r="GJ28" i="19"/>
  <c r="GD28" i="19"/>
  <c r="GA28" i="19"/>
  <c r="FX28" i="19"/>
  <c r="FS28" i="19"/>
  <c r="FP28" i="19"/>
  <c r="FA65" i="19" s="1"/>
  <c r="FJ28" i="19"/>
  <c r="FC28" i="19"/>
  <c r="EZ28" i="19"/>
  <c r="EZ65" i="19" s="1"/>
  <c r="EW28" i="19"/>
  <c r="ET28" i="19"/>
  <c r="EM28" i="19"/>
  <c r="EJ28" i="19"/>
  <c r="DZ28" i="19"/>
  <c r="DW28" i="19"/>
  <c r="DT28" i="19"/>
  <c r="DR28" i="19"/>
  <c r="DE28" i="19"/>
  <c r="DA28" i="19"/>
  <c r="CW28" i="19"/>
  <c r="CS28" i="19"/>
  <c r="CO28" i="19"/>
  <c r="CH28" i="19"/>
  <c r="CF28" i="19"/>
  <c r="CD28" i="19"/>
  <c r="CA28" i="19"/>
  <c r="BW28" i="19"/>
  <c r="BX28" i="19" s="1"/>
  <c r="BT28" i="19"/>
  <c r="BR28" i="19"/>
  <c r="BP28" i="19"/>
  <c r="BN28" i="19"/>
  <c r="BL28" i="19"/>
  <c r="BJ28" i="19"/>
  <c r="BG28" i="19"/>
  <c r="BC28" i="19"/>
  <c r="AZ28" i="19"/>
  <c r="AR28" i="19"/>
  <c r="AI28" i="19"/>
  <c r="AE28" i="19"/>
  <c r="AB28" i="19"/>
  <c r="V28" i="19"/>
  <c r="E27" i="22" s="1"/>
  <c r="N27" i="22" s="1"/>
  <c r="T28" i="19"/>
  <c r="Q28" i="19"/>
  <c r="R28" i="19" s="1"/>
  <c r="N28" i="19"/>
  <c r="K28" i="19"/>
  <c r="F28" i="19"/>
  <c r="D28" i="19"/>
  <c r="C28" i="19"/>
  <c r="KE27" i="19"/>
  <c r="KB27" i="19"/>
  <c r="JY27" i="19"/>
  <c r="JV27" i="19"/>
  <c r="JS27" i="19"/>
  <c r="JP27" i="19"/>
  <c r="JM27" i="19"/>
  <c r="JJ27" i="19"/>
  <c r="JG27" i="19"/>
  <c r="JD27" i="19"/>
  <c r="JA27" i="19"/>
  <c r="IX27" i="19"/>
  <c r="IU27" i="19"/>
  <c r="IR27" i="19"/>
  <c r="IO27" i="19"/>
  <c r="IL27" i="19"/>
  <c r="IE27" i="19"/>
  <c r="IB27" i="19"/>
  <c r="HV27" i="19"/>
  <c r="HS27" i="19"/>
  <c r="HP27" i="19"/>
  <c r="HM27" i="19"/>
  <c r="HJ27" i="19"/>
  <c r="HE27" i="19"/>
  <c r="GW27" i="19"/>
  <c r="GS27" i="19"/>
  <c r="GP27" i="19"/>
  <c r="GM27" i="19"/>
  <c r="GJ27" i="19"/>
  <c r="GD27" i="19"/>
  <c r="GA27" i="19"/>
  <c r="FX27" i="19"/>
  <c r="FS27" i="19"/>
  <c r="FP27" i="19"/>
  <c r="FA64" i="19" s="1"/>
  <c r="FJ27" i="19"/>
  <c r="FC27" i="19"/>
  <c r="EZ27" i="19"/>
  <c r="EZ64" i="19" s="1"/>
  <c r="EW27" i="19"/>
  <c r="ET27" i="19"/>
  <c r="EM27" i="19"/>
  <c r="EJ27" i="19"/>
  <c r="DZ27" i="19"/>
  <c r="DW27" i="19"/>
  <c r="DT27" i="19"/>
  <c r="DR27" i="19"/>
  <c r="DE27" i="19"/>
  <c r="DF27" i="19" s="1"/>
  <c r="DA27" i="19"/>
  <c r="CW27" i="19"/>
  <c r="CS27" i="19"/>
  <c r="CO27" i="19"/>
  <c r="CH27" i="19"/>
  <c r="CF27" i="19"/>
  <c r="CD27" i="19"/>
  <c r="CA27" i="19"/>
  <c r="BW27" i="19"/>
  <c r="BX27" i="19" s="1"/>
  <c r="BT27" i="19"/>
  <c r="BR27" i="19"/>
  <c r="BP27" i="19"/>
  <c r="BN27" i="19"/>
  <c r="BL27" i="19"/>
  <c r="BJ27" i="19"/>
  <c r="BG27" i="19"/>
  <c r="BC27" i="19"/>
  <c r="AZ27" i="19"/>
  <c r="AR27" i="19"/>
  <c r="AI27" i="19"/>
  <c r="AE27" i="19"/>
  <c r="AB27" i="19"/>
  <c r="V27" i="19"/>
  <c r="T27" i="19"/>
  <c r="Q27" i="19"/>
  <c r="R27" i="19" s="1"/>
  <c r="N27" i="19"/>
  <c r="K27" i="19"/>
  <c r="F27" i="19"/>
  <c r="D27" i="19"/>
  <c r="C27" i="19"/>
  <c r="KE26" i="19"/>
  <c r="KB26" i="19"/>
  <c r="JY26" i="19"/>
  <c r="JV26" i="19"/>
  <c r="JS26" i="19"/>
  <c r="JP26" i="19"/>
  <c r="JM26" i="19"/>
  <c r="JJ26" i="19"/>
  <c r="JG26" i="19"/>
  <c r="JD26" i="19"/>
  <c r="JA26" i="19"/>
  <c r="IX26" i="19"/>
  <c r="IU26" i="19"/>
  <c r="IR26" i="19"/>
  <c r="IO26" i="19"/>
  <c r="IL26" i="19"/>
  <c r="IE26" i="19"/>
  <c r="IB26" i="19"/>
  <c r="HY26" i="19"/>
  <c r="HV26" i="19"/>
  <c r="HS26" i="19"/>
  <c r="HP26" i="19"/>
  <c r="HM26" i="19"/>
  <c r="HJ26" i="19"/>
  <c r="HE26" i="19"/>
  <c r="GW26" i="19"/>
  <c r="GS26" i="19"/>
  <c r="GP26" i="19"/>
  <c r="GM26" i="19"/>
  <c r="GJ26" i="19"/>
  <c r="GD26" i="19"/>
  <c r="GA26" i="19"/>
  <c r="FX26" i="19"/>
  <c r="FS26" i="19"/>
  <c r="FP26" i="19"/>
  <c r="FA63" i="19" s="1"/>
  <c r="FJ26" i="19"/>
  <c r="FC26" i="19"/>
  <c r="EZ26" i="19"/>
  <c r="EZ63" i="19" s="1"/>
  <c r="EW26" i="19"/>
  <c r="ET26" i="19"/>
  <c r="EM26" i="19"/>
  <c r="EJ26" i="19"/>
  <c r="DZ26" i="19"/>
  <c r="DW26" i="19"/>
  <c r="DT26" i="19"/>
  <c r="DR26" i="19"/>
  <c r="DE26" i="19"/>
  <c r="DF26" i="19" s="1"/>
  <c r="DA26" i="19"/>
  <c r="CW26" i="19"/>
  <c r="CS26" i="19"/>
  <c r="CO26" i="19"/>
  <c r="CH26" i="19"/>
  <c r="CF26" i="19"/>
  <c r="CD26" i="19"/>
  <c r="CA26" i="19"/>
  <c r="BW26" i="19"/>
  <c r="BX26" i="19" s="1"/>
  <c r="BT26" i="19"/>
  <c r="BR26" i="19"/>
  <c r="BP26" i="19"/>
  <c r="BN26" i="19"/>
  <c r="BL26" i="19"/>
  <c r="BJ26" i="19"/>
  <c r="BG26" i="19"/>
  <c r="BC26" i="19"/>
  <c r="AZ26" i="19"/>
  <c r="AR26" i="19"/>
  <c r="AI26" i="19"/>
  <c r="AE26" i="19"/>
  <c r="AB26" i="19"/>
  <c r="V26" i="19"/>
  <c r="E25" i="22" s="1"/>
  <c r="N25" i="22" s="1"/>
  <c r="T26" i="19"/>
  <c r="Q26" i="19"/>
  <c r="N26" i="19"/>
  <c r="K26" i="19"/>
  <c r="F26" i="19"/>
  <c r="D26" i="19"/>
  <c r="C26" i="19"/>
  <c r="KE25" i="19"/>
  <c r="KB25" i="19"/>
  <c r="JY25" i="19"/>
  <c r="JV25" i="19"/>
  <c r="JS25" i="19"/>
  <c r="JP25" i="19"/>
  <c r="JM25" i="19"/>
  <c r="JJ25" i="19"/>
  <c r="JG25" i="19"/>
  <c r="JD25" i="19"/>
  <c r="JA25" i="19"/>
  <c r="IX25" i="19"/>
  <c r="IU25" i="19"/>
  <c r="IR25" i="19"/>
  <c r="IO25" i="19"/>
  <c r="IL25" i="19"/>
  <c r="IE25" i="19"/>
  <c r="IB25" i="19"/>
  <c r="HY25" i="19"/>
  <c r="HV25" i="19"/>
  <c r="HS25" i="19"/>
  <c r="HP25" i="19"/>
  <c r="HM25" i="19"/>
  <c r="HJ25" i="19"/>
  <c r="HE25" i="19"/>
  <c r="GW25" i="19"/>
  <c r="GS25" i="19"/>
  <c r="GP25" i="19"/>
  <c r="GM25" i="19"/>
  <c r="GJ25" i="19"/>
  <c r="GD25" i="19"/>
  <c r="GA25" i="19"/>
  <c r="FX25" i="19"/>
  <c r="FS25" i="19"/>
  <c r="FP25" i="19"/>
  <c r="FA62" i="19" s="1"/>
  <c r="FJ25" i="19"/>
  <c r="FC25" i="19"/>
  <c r="EZ25" i="19"/>
  <c r="EZ62" i="19" s="1"/>
  <c r="EW25" i="19"/>
  <c r="ET25" i="19"/>
  <c r="EM25" i="19"/>
  <c r="EJ25" i="19"/>
  <c r="DZ25" i="19"/>
  <c r="DW25" i="19"/>
  <c r="DT25" i="19"/>
  <c r="DR25" i="19"/>
  <c r="DE25" i="19"/>
  <c r="DA25" i="19"/>
  <c r="CW25" i="19"/>
  <c r="CS25" i="19"/>
  <c r="CO25" i="19"/>
  <c r="CH25" i="19"/>
  <c r="CF25" i="19"/>
  <c r="CD25" i="19"/>
  <c r="CA25" i="19"/>
  <c r="BW25" i="19"/>
  <c r="BX25" i="19" s="1"/>
  <c r="BT25" i="19"/>
  <c r="BR25" i="19"/>
  <c r="BP25" i="19"/>
  <c r="BN25" i="19"/>
  <c r="BL25" i="19"/>
  <c r="BJ25" i="19"/>
  <c r="BG25" i="19"/>
  <c r="BC25" i="19"/>
  <c r="AZ25" i="19"/>
  <c r="AR25" i="19"/>
  <c r="AI25" i="19"/>
  <c r="AE25" i="19"/>
  <c r="AB25" i="19"/>
  <c r="V25" i="19"/>
  <c r="E24" i="22" s="1"/>
  <c r="N24" i="22" s="1"/>
  <c r="T25" i="19"/>
  <c r="Q25" i="19"/>
  <c r="R25" i="19" s="1"/>
  <c r="N25" i="19"/>
  <c r="K25" i="19"/>
  <c r="F25" i="19"/>
  <c r="C25" i="19"/>
  <c r="KE24" i="19"/>
  <c r="KB24" i="19"/>
  <c r="JY24" i="19"/>
  <c r="JV24" i="19"/>
  <c r="JS24" i="19"/>
  <c r="JP24" i="19"/>
  <c r="JM24" i="19"/>
  <c r="JJ24" i="19"/>
  <c r="JG24" i="19"/>
  <c r="JD24" i="19"/>
  <c r="JA24" i="19"/>
  <c r="IX24" i="19"/>
  <c r="IU24" i="19"/>
  <c r="IR24" i="19"/>
  <c r="IO24" i="19"/>
  <c r="IL24" i="19"/>
  <c r="IE24" i="19"/>
  <c r="IB24" i="19"/>
  <c r="HY24" i="19"/>
  <c r="HV24" i="19"/>
  <c r="HS24" i="19"/>
  <c r="HP24" i="19"/>
  <c r="HM24" i="19"/>
  <c r="HJ24" i="19"/>
  <c r="HE24" i="19"/>
  <c r="GW24" i="19"/>
  <c r="GS24" i="19"/>
  <c r="GP24" i="19"/>
  <c r="GM24" i="19"/>
  <c r="GJ24" i="19"/>
  <c r="GD24" i="19"/>
  <c r="GA24" i="19"/>
  <c r="FX24" i="19"/>
  <c r="FS24" i="19"/>
  <c r="FP24" i="19"/>
  <c r="FA61" i="19" s="1"/>
  <c r="FJ24" i="19"/>
  <c r="FC24" i="19"/>
  <c r="EZ24" i="19"/>
  <c r="EZ61" i="19" s="1"/>
  <c r="EW24" i="19"/>
  <c r="ET24" i="19"/>
  <c r="EM24" i="19"/>
  <c r="EJ24" i="19"/>
  <c r="DZ24" i="19"/>
  <c r="DW24" i="19"/>
  <c r="DT24" i="19"/>
  <c r="DR24" i="19"/>
  <c r="DE24" i="19"/>
  <c r="DF24" i="19" s="1"/>
  <c r="DA24" i="19"/>
  <c r="CW24" i="19"/>
  <c r="CS24" i="19"/>
  <c r="CO24" i="19"/>
  <c r="CH24" i="19"/>
  <c r="CF24" i="19"/>
  <c r="CD24" i="19"/>
  <c r="CA24" i="19"/>
  <c r="BW24" i="19"/>
  <c r="BX24" i="19" s="1"/>
  <c r="BT24" i="19"/>
  <c r="BR24" i="19"/>
  <c r="BP24" i="19"/>
  <c r="BN24" i="19"/>
  <c r="BL24" i="19"/>
  <c r="BJ24" i="19"/>
  <c r="BG24" i="19"/>
  <c r="BC24" i="19"/>
  <c r="AZ24" i="19"/>
  <c r="AR24" i="19"/>
  <c r="AI24" i="19"/>
  <c r="AE24" i="19"/>
  <c r="AB24" i="19"/>
  <c r="V24" i="19"/>
  <c r="T24" i="19"/>
  <c r="Q24" i="19"/>
  <c r="N24" i="19"/>
  <c r="K24" i="19"/>
  <c r="F24" i="19"/>
  <c r="D24" i="19"/>
  <c r="C24" i="19"/>
  <c r="KE23" i="19"/>
  <c r="KB23" i="19"/>
  <c r="JY23" i="19"/>
  <c r="JV23" i="19"/>
  <c r="JS23" i="19"/>
  <c r="JP23" i="19"/>
  <c r="JM23" i="19"/>
  <c r="JJ23" i="19"/>
  <c r="JG23" i="19"/>
  <c r="JD23" i="19"/>
  <c r="JA23" i="19"/>
  <c r="IX23" i="19"/>
  <c r="IU23" i="19"/>
  <c r="IR23" i="19"/>
  <c r="IO23" i="19"/>
  <c r="IL23" i="19"/>
  <c r="IE23" i="19"/>
  <c r="IB23" i="19"/>
  <c r="HY23" i="19"/>
  <c r="HV23" i="19"/>
  <c r="HS23" i="19"/>
  <c r="HP23" i="19"/>
  <c r="HM23" i="19"/>
  <c r="HJ23" i="19"/>
  <c r="HE23" i="19"/>
  <c r="GW23" i="19"/>
  <c r="GS23" i="19"/>
  <c r="GP23" i="19"/>
  <c r="GM23" i="19"/>
  <c r="GJ23" i="19"/>
  <c r="GD23" i="19"/>
  <c r="GA23" i="19"/>
  <c r="FX23" i="19"/>
  <c r="FS23" i="19"/>
  <c r="FP23" i="19"/>
  <c r="FA60" i="19" s="1"/>
  <c r="FJ23" i="19"/>
  <c r="FC23" i="19"/>
  <c r="EZ23" i="19"/>
  <c r="EZ60" i="19" s="1"/>
  <c r="EW23" i="19"/>
  <c r="ET23" i="19"/>
  <c r="EM23" i="19"/>
  <c r="EJ23" i="19"/>
  <c r="DZ23" i="19"/>
  <c r="DW23" i="19"/>
  <c r="DT23" i="19"/>
  <c r="DR23" i="19"/>
  <c r="DE23" i="19"/>
  <c r="DA23" i="19"/>
  <c r="CW23" i="19"/>
  <c r="CS23" i="19"/>
  <c r="CO23" i="19"/>
  <c r="CH23" i="19"/>
  <c r="CF23" i="19"/>
  <c r="CD23" i="19"/>
  <c r="CA23" i="19"/>
  <c r="BW23" i="19"/>
  <c r="BX23" i="19" s="1"/>
  <c r="BT23" i="19"/>
  <c r="BR23" i="19"/>
  <c r="BP23" i="19"/>
  <c r="BN23" i="19"/>
  <c r="BL23" i="19"/>
  <c r="BJ23" i="19"/>
  <c r="BG23" i="19"/>
  <c r="AZ23" i="19"/>
  <c r="AR23" i="19"/>
  <c r="AI23" i="19"/>
  <c r="AE23" i="19"/>
  <c r="AB23" i="19"/>
  <c r="V23" i="19"/>
  <c r="T23" i="19"/>
  <c r="Q23" i="19"/>
  <c r="N23" i="19"/>
  <c r="K23" i="19"/>
  <c r="F23" i="19"/>
  <c r="D23" i="19"/>
  <c r="C23" i="19"/>
  <c r="KE22" i="19"/>
  <c r="KB22" i="19"/>
  <c r="JY22" i="19"/>
  <c r="JV22" i="19"/>
  <c r="JS22" i="19"/>
  <c r="JP22" i="19"/>
  <c r="JM22" i="19"/>
  <c r="JJ22" i="19"/>
  <c r="JG22" i="19"/>
  <c r="JD22" i="19"/>
  <c r="JA22" i="19"/>
  <c r="IX22" i="19"/>
  <c r="IU22" i="19"/>
  <c r="IR22" i="19"/>
  <c r="IO22" i="19"/>
  <c r="IL22" i="19"/>
  <c r="IE22" i="19"/>
  <c r="IB22" i="19"/>
  <c r="HY22" i="19"/>
  <c r="HV22" i="19"/>
  <c r="HS22" i="19"/>
  <c r="HP22" i="19"/>
  <c r="HM22" i="19"/>
  <c r="HJ22" i="19"/>
  <c r="HE22" i="19"/>
  <c r="GW22" i="19"/>
  <c r="GS22" i="19"/>
  <c r="GP22" i="19"/>
  <c r="GM22" i="19"/>
  <c r="GJ22" i="19"/>
  <c r="GD22" i="19"/>
  <c r="GA22" i="19"/>
  <c r="FX22" i="19"/>
  <c r="FS22" i="19"/>
  <c r="FP22" i="19"/>
  <c r="FA59" i="19" s="1"/>
  <c r="FJ22" i="19"/>
  <c r="FC22" i="19"/>
  <c r="EZ22" i="19"/>
  <c r="EZ59" i="19" s="1"/>
  <c r="EW22" i="19"/>
  <c r="ET22" i="19"/>
  <c r="EM22" i="19"/>
  <c r="EJ22" i="19"/>
  <c r="DZ22" i="19"/>
  <c r="DW22" i="19"/>
  <c r="DT22" i="19"/>
  <c r="DR22" i="19"/>
  <c r="DE22" i="19"/>
  <c r="DF22" i="19" s="1"/>
  <c r="DA22" i="19"/>
  <c r="CW22" i="19"/>
  <c r="CS22" i="19"/>
  <c r="CO22" i="19"/>
  <c r="CH22" i="19"/>
  <c r="CF22" i="19"/>
  <c r="CD22" i="19"/>
  <c r="CA22" i="19"/>
  <c r="BW22" i="19"/>
  <c r="BX22" i="19" s="1"/>
  <c r="BT22" i="19"/>
  <c r="BR22" i="19"/>
  <c r="BP22" i="19"/>
  <c r="BN22" i="19"/>
  <c r="BL22" i="19"/>
  <c r="BJ22" i="19"/>
  <c r="BG22" i="19"/>
  <c r="BC22" i="19"/>
  <c r="AZ22" i="19"/>
  <c r="AR22" i="19"/>
  <c r="AI22" i="19"/>
  <c r="AE22" i="19"/>
  <c r="AB22" i="19"/>
  <c r="V22" i="19"/>
  <c r="T22" i="19"/>
  <c r="Q22" i="19"/>
  <c r="N22" i="19"/>
  <c r="K22" i="19"/>
  <c r="F22" i="19"/>
  <c r="D22" i="19"/>
  <c r="C22" i="19"/>
  <c r="KE21" i="19"/>
  <c r="KB21" i="19"/>
  <c r="JY21" i="19"/>
  <c r="JV21" i="19"/>
  <c r="JS21" i="19"/>
  <c r="JP21" i="19"/>
  <c r="JM21" i="19"/>
  <c r="JJ21" i="19"/>
  <c r="JG21" i="19"/>
  <c r="JD21" i="19"/>
  <c r="JA21" i="19"/>
  <c r="IX21" i="19"/>
  <c r="IU21" i="19"/>
  <c r="IR21" i="19"/>
  <c r="IO21" i="19"/>
  <c r="IL21" i="19"/>
  <c r="IE21" i="19"/>
  <c r="IB21" i="19"/>
  <c r="HY21" i="19"/>
  <c r="HV21" i="19"/>
  <c r="HP21" i="19"/>
  <c r="HM21" i="19"/>
  <c r="HJ21" i="19"/>
  <c r="HE21" i="19"/>
  <c r="GW21" i="19"/>
  <c r="GS21" i="19"/>
  <c r="GP21" i="19"/>
  <c r="GM21" i="19"/>
  <c r="GJ21" i="19"/>
  <c r="GD21" i="19"/>
  <c r="GA21" i="19"/>
  <c r="FX21" i="19"/>
  <c r="FS21" i="19"/>
  <c r="FP21" i="19"/>
  <c r="FA58" i="19" s="1"/>
  <c r="FJ21" i="19"/>
  <c r="FC21" i="19"/>
  <c r="EZ21" i="19"/>
  <c r="EZ58" i="19" s="1"/>
  <c r="EW21" i="19"/>
  <c r="ET21" i="19"/>
  <c r="EM21" i="19"/>
  <c r="EJ21" i="19"/>
  <c r="DZ21" i="19"/>
  <c r="DW21" i="19"/>
  <c r="DT21" i="19"/>
  <c r="DE21" i="19"/>
  <c r="DF21" i="19" s="1"/>
  <c r="DA21" i="19"/>
  <c r="CW21" i="19"/>
  <c r="CS21" i="19"/>
  <c r="CO21" i="19"/>
  <c r="CH21" i="19"/>
  <c r="CF21" i="19"/>
  <c r="CD21" i="19"/>
  <c r="CA21" i="19"/>
  <c r="BW21" i="19"/>
  <c r="BX21" i="19" s="1"/>
  <c r="BT21" i="19"/>
  <c r="BR21" i="19"/>
  <c r="BP21" i="19"/>
  <c r="BN21" i="19"/>
  <c r="BL21" i="19"/>
  <c r="BJ21" i="19"/>
  <c r="BG21" i="19"/>
  <c r="BC21" i="19"/>
  <c r="AZ21" i="19"/>
  <c r="AR21" i="19"/>
  <c r="AI21" i="19"/>
  <c r="AE21" i="19"/>
  <c r="AB21" i="19"/>
  <c r="V21" i="19"/>
  <c r="T21" i="19"/>
  <c r="Q21" i="19"/>
  <c r="R21" i="19" s="1"/>
  <c r="N21" i="19"/>
  <c r="K21" i="19"/>
  <c r="F21" i="19"/>
  <c r="D21" i="19"/>
  <c r="C21" i="19"/>
  <c r="KE20" i="19"/>
  <c r="KB20" i="19"/>
  <c r="JY20" i="19"/>
  <c r="JV20" i="19"/>
  <c r="JS20" i="19"/>
  <c r="JP20" i="19"/>
  <c r="JM20" i="19"/>
  <c r="JJ20" i="19"/>
  <c r="JG20" i="19"/>
  <c r="JD20" i="19"/>
  <c r="JA20" i="19"/>
  <c r="IX20" i="19"/>
  <c r="IU20" i="19"/>
  <c r="IR20" i="19"/>
  <c r="IO20" i="19"/>
  <c r="IL20" i="19"/>
  <c r="IE20" i="19"/>
  <c r="IB20" i="19"/>
  <c r="HY20" i="19"/>
  <c r="HV20" i="19"/>
  <c r="HS20" i="19"/>
  <c r="HP20" i="19"/>
  <c r="HM20" i="19"/>
  <c r="HJ20" i="19"/>
  <c r="HE20" i="19"/>
  <c r="GW20" i="19"/>
  <c r="GS20" i="19"/>
  <c r="GP20" i="19"/>
  <c r="GM20" i="19"/>
  <c r="GJ20" i="19"/>
  <c r="GD20" i="19"/>
  <c r="GA20" i="19"/>
  <c r="FX20" i="19"/>
  <c r="FS20" i="19"/>
  <c r="FP20" i="19"/>
  <c r="FA57" i="19" s="1"/>
  <c r="FJ20" i="19"/>
  <c r="FC20" i="19"/>
  <c r="EZ20" i="19"/>
  <c r="EZ57" i="19" s="1"/>
  <c r="EW20" i="19"/>
  <c r="ET20" i="19"/>
  <c r="EM20" i="19"/>
  <c r="EJ20" i="19"/>
  <c r="DZ20" i="19"/>
  <c r="DW20" i="19"/>
  <c r="DT20" i="19"/>
  <c r="DR20" i="19"/>
  <c r="DE20" i="19"/>
  <c r="DF20" i="19" s="1"/>
  <c r="DA20" i="19"/>
  <c r="CW20" i="19"/>
  <c r="CS20" i="19"/>
  <c r="CO20" i="19"/>
  <c r="CH20" i="19"/>
  <c r="CF20" i="19"/>
  <c r="CD20" i="19"/>
  <c r="CA20" i="19"/>
  <c r="BW20" i="19"/>
  <c r="BX20" i="19" s="1"/>
  <c r="BT20" i="19"/>
  <c r="BR20" i="19"/>
  <c r="BP20" i="19"/>
  <c r="BN20" i="19"/>
  <c r="BL20" i="19"/>
  <c r="BJ20" i="19"/>
  <c r="BG20" i="19"/>
  <c r="BC20" i="19"/>
  <c r="AZ20" i="19"/>
  <c r="AR20" i="19"/>
  <c r="AI20" i="19"/>
  <c r="AE20" i="19"/>
  <c r="AB20" i="19"/>
  <c r="V20" i="19"/>
  <c r="T20" i="19"/>
  <c r="Q20" i="19"/>
  <c r="R20" i="19" s="1"/>
  <c r="N20" i="19"/>
  <c r="K20" i="19"/>
  <c r="F20" i="19"/>
  <c r="D20" i="19"/>
  <c r="C20" i="19"/>
  <c r="KE19" i="19"/>
  <c r="KB19" i="19"/>
  <c r="JY19" i="19"/>
  <c r="JV19" i="19"/>
  <c r="JS19" i="19"/>
  <c r="JP19" i="19"/>
  <c r="JM19" i="19"/>
  <c r="JJ19" i="19"/>
  <c r="JG19" i="19"/>
  <c r="JD19" i="19"/>
  <c r="JA19" i="19"/>
  <c r="IX19" i="19"/>
  <c r="IU19" i="19"/>
  <c r="IR19" i="19"/>
  <c r="IO19" i="19"/>
  <c r="IL19" i="19"/>
  <c r="IE19" i="19"/>
  <c r="IB19" i="19"/>
  <c r="HY19" i="19"/>
  <c r="HV19" i="19"/>
  <c r="HS19" i="19"/>
  <c r="HP19" i="19"/>
  <c r="HM19" i="19"/>
  <c r="HJ19" i="19"/>
  <c r="HE19" i="19"/>
  <c r="GW19" i="19"/>
  <c r="GS19" i="19"/>
  <c r="GP19" i="19"/>
  <c r="GM19" i="19"/>
  <c r="GJ19" i="19"/>
  <c r="GD19" i="19"/>
  <c r="GA19" i="19"/>
  <c r="FX19" i="19"/>
  <c r="FS19" i="19"/>
  <c r="FP19" i="19"/>
  <c r="FA56" i="19" s="1"/>
  <c r="FJ19" i="19"/>
  <c r="FC19" i="19"/>
  <c r="EZ19" i="19"/>
  <c r="EZ56" i="19" s="1"/>
  <c r="EW19" i="19"/>
  <c r="ET19" i="19"/>
  <c r="EM19" i="19"/>
  <c r="EJ19" i="19"/>
  <c r="DZ19" i="19"/>
  <c r="DW19" i="19"/>
  <c r="DT19" i="19"/>
  <c r="DR19" i="19"/>
  <c r="DE19" i="19"/>
  <c r="DA19" i="19"/>
  <c r="CW19" i="19"/>
  <c r="CS19" i="19"/>
  <c r="CO19" i="19"/>
  <c r="CH19" i="19"/>
  <c r="CF19" i="19"/>
  <c r="CD19" i="19"/>
  <c r="CA19" i="19"/>
  <c r="BW19" i="19"/>
  <c r="BX19" i="19" s="1"/>
  <c r="BT19" i="19"/>
  <c r="BR19" i="19"/>
  <c r="BP19" i="19"/>
  <c r="BN19" i="19"/>
  <c r="BL19" i="19"/>
  <c r="BJ19" i="19"/>
  <c r="BG19" i="19"/>
  <c r="BC19" i="19"/>
  <c r="AZ19" i="19"/>
  <c r="AR19" i="19"/>
  <c r="AI19" i="19"/>
  <c r="AE19" i="19"/>
  <c r="AB19" i="19"/>
  <c r="V19" i="19"/>
  <c r="T19" i="19"/>
  <c r="Q19" i="19"/>
  <c r="R19" i="19" s="1"/>
  <c r="N19" i="19"/>
  <c r="K19" i="19"/>
  <c r="F19" i="19"/>
  <c r="D19" i="19"/>
  <c r="C19" i="19"/>
  <c r="IE18" i="19"/>
  <c r="IB18" i="19"/>
  <c r="HY18" i="19"/>
  <c r="HV18" i="19"/>
  <c r="HS18" i="19"/>
  <c r="HP18" i="19"/>
  <c r="HM18" i="19"/>
  <c r="HJ18" i="19"/>
  <c r="HE18" i="19"/>
  <c r="GW18" i="19"/>
  <c r="GS18" i="19"/>
  <c r="GP18" i="19"/>
  <c r="GM18" i="19"/>
  <c r="GJ18" i="19"/>
  <c r="GD18" i="19"/>
  <c r="GA18" i="19"/>
  <c r="FX18" i="19"/>
  <c r="FS18" i="19"/>
  <c r="FP18" i="19"/>
  <c r="FA55" i="19" s="1"/>
  <c r="FJ18" i="19"/>
  <c r="FC18" i="19"/>
  <c r="EZ18" i="19"/>
  <c r="EZ55" i="19" s="1"/>
  <c r="EW18" i="19"/>
  <c r="ET18" i="19"/>
  <c r="EM18" i="19"/>
  <c r="EJ18" i="19"/>
  <c r="DZ18" i="19"/>
  <c r="DW18" i="19"/>
  <c r="DT18" i="19"/>
  <c r="DE18" i="19"/>
  <c r="DF18" i="19" s="1"/>
  <c r="DA18" i="19"/>
  <c r="CW18" i="19"/>
  <c r="CS18" i="19"/>
  <c r="CO18" i="19"/>
  <c r="CH18" i="19"/>
  <c r="CF18" i="19"/>
  <c r="CD18" i="19"/>
  <c r="CA18" i="19"/>
  <c r="BW18" i="19"/>
  <c r="BX18" i="19" s="1"/>
  <c r="BT18" i="19"/>
  <c r="BR18" i="19"/>
  <c r="BP18" i="19"/>
  <c r="BN18" i="19"/>
  <c r="BL18" i="19"/>
  <c r="BJ18" i="19"/>
  <c r="BG18" i="19"/>
  <c r="BC18" i="19"/>
  <c r="AZ18" i="19"/>
  <c r="AR18" i="19"/>
  <c r="AI18" i="19"/>
  <c r="AE18" i="19"/>
  <c r="AB18" i="19"/>
  <c r="V18" i="19"/>
  <c r="T18" i="19"/>
  <c r="Q18" i="19"/>
  <c r="R18" i="19" s="1"/>
  <c r="N18" i="19"/>
  <c r="K18" i="19"/>
  <c r="F18" i="19"/>
  <c r="D18" i="19"/>
  <c r="C18" i="19"/>
  <c r="IE17" i="19"/>
  <c r="IB17" i="19"/>
  <c r="HY17" i="19"/>
  <c r="HV17" i="19"/>
  <c r="HS17" i="19"/>
  <c r="HP17" i="19"/>
  <c r="HM17" i="19"/>
  <c r="HJ17" i="19"/>
  <c r="HE17" i="19"/>
  <c r="GW17" i="19"/>
  <c r="GS17" i="19"/>
  <c r="GP17" i="19"/>
  <c r="GM17" i="19"/>
  <c r="GJ17" i="19"/>
  <c r="GD17" i="19"/>
  <c r="GA17" i="19"/>
  <c r="FX17" i="19"/>
  <c r="FS17" i="19"/>
  <c r="FP17" i="19"/>
  <c r="FA54" i="19" s="1"/>
  <c r="FJ17" i="19"/>
  <c r="FC17" i="19"/>
  <c r="EZ17" i="19"/>
  <c r="EZ54" i="19" s="1"/>
  <c r="EW17" i="19"/>
  <c r="ET17" i="19"/>
  <c r="EM17" i="19"/>
  <c r="EJ17" i="19"/>
  <c r="DZ17" i="19"/>
  <c r="DW17" i="19"/>
  <c r="DT17" i="19"/>
  <c r="DR17" i="19"/>
  <c r="DE17" i="19"/>
  <c r="DA17" i="19"/>
  <c r="CW17" i="19"/>
  <c r="CS17" i="19"/>
  <c r="CO17" i="19"/>
  <c r="CH17" i="19"/>
  <c r="CF17" i="19"/>
  <c r="CD17" i="19"/>
  <c r="CA17" i="19"/>
  <c r="BW17" i="19"/>
  <c r="BX17" i="19" s="1"/>
  <c r="BT17" i="19"/>
  <c r="BR17" i="19"/>
  <c r="BP17" i="19"/>
  <c r="BN17" i="19"/>
  <c r="BL17" i="19"/>
  <c r="BJ17" i="19"/>
  <c r="BG17" i="19"/>
  <c r="BC17" i="19"/>
  <c r="AZ17" i="19"/>
  <c r="AR17" i="19"/>
  <c r="AI17" i="19"/>
  <c r="AE17" i="19"/>
  <c r="AB17" i="19"/>
  <c r="V17" i="19"/>
  <c r="T17" i="19"/>
  <c r="Q17" i="19"/>
  <c r="N17" i="19"/>
  <c r="K17" i="19"/>
  <c r="F17" i="19"/>
  <c r="D17" i="19"/>
  <c r="C17" i="19"/>
  <c r="IE16" i="19"/>
  <c r="IB16" i="19"/>
  <c r="HY16" i="19"/>
  <c r="HV16" i="19"/>
  <c r="HS16" i="19"/>
  <c r="HP16" i="19"/>
  <c r="HM16" i="19"/>
  <c r="HJ16" i="19"/>
  <c r="HE16" i="19"/>
  <c r="GW16" i="19"/>
  <c r="GS16" i="19"/>
  <c r="GP16" i="19"/>
  <c r="BC15" i="20"/>
  <c r="GJ16" i="19"/>
  <c r="GD16" i="19"/>
  <c r="GA16" i="19"/>
  <c r="FX16" i="19"/>
  <c r="FS16" i="19"/>
  <c r="FP16" i="19"/>
  <c r="FA53" i="19" s="1"/>
  <c r="FJ16" i="19"/>
  <c r="FC16" i="19"/>
  <c r="EZ16" i="19"/>
  <c r="EZ53" i="19" s="1"/>
  <c r="EW16" i="19"/>
  <c r="ET16" i="19"/>
  <c r="EM16" i="19"/>
  <c r="EJ16" i="19"/>
  <c r="DZ16" i="19"/>
  <c r="DW16" i="19"/>
  <c r="DT16" i="19"/>
  <c r="DR16" i="19"/>
  <c r="DE16" i="19"/>
  <c r="DF16" i="19" s="1"/>
  <c r="DA16" i="19"/>
  <c r="CW16" i="19"/>
  <c r="CS16" i="19"/>
  <c r="CO16" i="19"/>
  <c r="CH16" i="19"/>
  <c r="CF16" i="19"/>
  <c r="CD16" i="19"/>
  <c r="CA16" i="19"/>
  <c r="BW16" i="19"/>
  <c r="BX16" i="19" s="1"/>
  <c r="BT16" i="19"/>
  <c r="BR16" i="19"/>
  <c r="BP16" i="19"/>
  <c r="BN16" i="19"/>
  <c r="BL16" i="19"/>
  <c r="BJ16" i="19"/>
  <c r="BG16" i="19"/>
  <c r="BC16" i="19"/>
  <c r="AZ16" i="19"/>
  <c r="AR16" i="19"/>
  <c r="AI16" i="19"/>
  <c r="AE16" i="19"/>
  <c r="AB16" i="19"/>
  <c r="V16" i="19"/>
  <c r="T16" i="19"/>
  <c r="Q16" i="19"/>
  <c r="R16" i="19" s="1"/>
  <c r="N16" i="19"/>
  <c r="K16" i="19"/>
  <c r="F16" i="19"/>
  <c r="D16" i="19"/>
  <c r="C16" i="19"/>
  <c r="IE15" i="19"/>
  <c r="IB15" i="19"/>
  <c r="HY15" i="19"/>
  <c r="HV15" i="19"/>
  <c r="HS15" i="19"/>
  <c r="HP15" i="19"/>
  <c r="HM15" i="19"/>
  <c r="HJ15" i="19"/>
  <c r="HE15" i="19"/>
  <c r="GW15" i="19"/>
  <c r="GS15" i="19"/>
  <c r="GP15" i="19"/>
  <c r="GM15" i="19"/>
  <c r="GJ15" i="19"/>
  <c r="GD15" i="19"/>
  <c r="GA15" i="19"/>
  <c r="FX15" i="19"/>
  <c r="FS15" i="19"/>
  <c r="FP15" i="19"/>
  <c r="FA52" i="19" s="1"/>
  <c r="BA14" i="20"/>
  <c r="FC15" i="19"/>
  <c r="EZ15" i="19"/>
  <c r="EZ52" i="19" s="1"/>
  <c r="EW15" i="19"/>
  <c r="ET15" i="19"/>
  <c r="EM15" i="19"/>
  <c r="EJ15" i="19"/>
  <c r="DZ15" i="19"/>
  <c r="DW15" i="19"/>
  <c r="DT15" i="19"/>
  <c r="DR15" i="19"/>
  <c r="DE15" i="19"/>
  <c r="DF15" i="19" s="1"/>
  <c r="DA15" i="19"/>
  <c r="CW15" i="19"/>
  <c r="CS15" i="19"/>
  <c r="CO15" i="19"/>
  <c r="CH15" i="19"/>
  <c r="CF15" i="19"/>
  <c r="CD15" i="19"/>
  <c r="CA15" i="19"/>
  <c r="BW15" i="19"/>
  <c r="BX15" i="19" s="1"/>
  <c r="BT15" i="19"/>
  <c r="BR15" i="19"/>
  <c r="BP15" i="19"/>
  <c r="BN15" i="19"/>
  <c r="BL15" i="19"/>
  <c r="BJ15" i="19"/>
  <c r="BG15" i="19"/>
  <c r="BC15" i="19"/>
  <c r="AZ15" i="19"/>
  <c r="AR15" i="19"/>
  <c r="AI15" i="19"/>
  <c r="AE15" i="19"/>
  <c r="AB15" i="19"/>
  <c r="V15" i="19"/>
  <c r="T15" i="19"/>
  <c r="Q15" i="19"/>
  <c r="R15" i="19" s="1"/>
  <c r="N15" i="19"/>
  <c r="K15" i="19"/>
  <c r="F15" i="19"/>
  <c r="D15" i="19"/>
  <c r="C15" i="19"/>
  <c r="IE14" i="19"/>
  <c r="IB14" i="19"/>
  <c r="HY14" i="19"/>
  <c r="HV14" i="19"/>
  <c r="HS14" i="19"/>
  <c r="HP14" i="19"/>
  <c r="HM14" i="19"/>
  <c r="HJ14" i="19"/>
  <c r="HE14" i="19"/>
  <c r="GW14" i="19"/>
  <c r="GS14" i="19"/>
  <c r="GP14" i="19"/>
  <c r="GM14" i="19"/>
  <c r="GJ14" i="19"/>
  <c r="GD14" i="19"/>
  <c r="GA14" i="19"/>
  <c r="FX14" i="19"/>
  <c r="FS14" i="19"/>
  <c r="FP14" i="19"/>
  <c r="FA51" i="19" s="1"/>
  <c r="FJ14" i="19"/>
  <c r="FC14" i="19"/>
  <c r="EZ14" i="19"/>
  <c r="EZ51" i="19" s="1"/>
  <c r="EW14" i="19"/>
  <c r="ET14" i="19"/>
  <c r="EM14" i="19"/>
  <c r="EJ14" i="19"/>
  <c r="DZ14" i="19"/>
  <c r="DW14" i="19"/>
  <c r="DT14" i="19"/>
  <c r="DR14" i="19"/>
  <c r="DE14" i="19"/>
  <c r="DF14" i="19" s="1"/>
  <c r="DA14" i="19"/>
  <c r="CW14" i="19"/>
  <c r="CS14" i="19"/>
  <c r="CO14" i="19"/>
  <c r="CH14" i="19"/>
  <c r="CF14" i="19"/>
  <c r="CD14" i="19"/>
  <c r="CA14" i="19"/>
  <c r="BW14" i="19"/>
  <c r="BX14" i="19" s="1"/>
  <c r="BT14" i="19"/>
  <c r="BR14" i="19"/>
  <c r="BP14" i="19"/>
  <c r="BN14" i="19"/>
  <c r="BL14" i="19"/>
  <c r="BJ14" i="19"/>
  <c r="BG14" i="19"/>
  <c r="BC14" i="19"/>
  <c r="AZ14" i="19"/>
  <c r="AR14" i="19"/>
  <c r="AI14" i="19"/>
  <c r="AE14" i="19"/>
  <c r="AB14" i="19"/>
  <c r="V14" i="19"/>
  <c r="T14" i="19"/>
  <c r="Q14" i="19"/>
  <c r="R14" i="19" s="1"/>
  <c r="N14" i="19"/>
  <c r="K14" i="19"/>
  <c r="F14" i="19"/>
  <c r="D14" i="19"/>
  <c r="C14" i="19"/>
  <c r="IE13" i="19"/>
  <c r="IB13" i="19"/>
  <c r="HY13" i="19"/>
  <c r="HV13" i="19"/>
  <c r="HS13" i="19"/>
  <c r="HP13" i="19"/>
  <c r="HM13" i="19"/>
  <c r="HJ13" i="19"/>
  <c r="HE13" i="19"/>
  <c r="GW13" i="19"/>
  <c r="GS13" i="19"/>
  <c r="GP13" i="19"/>
  <c r="GM13" i="19"/>
  <c r="GJ13" i="19"/>
  <c r="GD13" i="19"/>
  <c r="GA13" i="19"/>
  <c r="FX13" i="19"/>
  <c r="FS13" i="19"/>
  <c r="FP13" i="19"/>
  <c r="FA50" i="19" s="1"/>
  <c r="BA12" i="20"/>
  <c r="FC13" i="19"/>
  <c r="EZ13" i="19"/>
  <c r="EZ50" i="19" s="1"/>
  <c r="EW13" i="19"/>
  <c r="ET13" i="19"/>
  <c r="EM13" i="19"/>
  <c r="EJ13" i="19"/>
  <c r="DZ13" i="19"/>
  <c r="DW13" i="19"/>
  <c r="DT13" i="19"/>
  <c r="DR13" i="19"/>
  <c r="DE13" i="19"/>
  <c r="DA13" i="19"/>
  <c r="CW13" i="19"/>
  <c r="CS13" i="19"/>
  <c r="CO13" i="19"/>
  <c r="CH13" i="19"/>
  <c r="CF13" i="19"/>
  <c r="CA13" i="19"/>
  <c r="BW13" i="19"/>
  <c r="BT13" i="19"/>
  <c r="BR13" i="19"/>
  <c r="BP13" i="19"/>
  <c r="BN13" i="19"/>
  <c r="BL13" i="19"/>
  <c r="BJ13" i="19"/>
  <c r="BG13" i="19"/>
  <c r="BC13" i="19"/>
  <c r="AZ13" i="19"/>
  <c r="AR13" i="19"/>
  <c r="AI13" i="19"/>
  <c r="AE13" i="19"/>
  <c r="AB13" i="19"/>
  <c r="V13" i="19"/>
  <c r="T13" i="19"/>
  <c r="Q13" i="19"/>
  <c r="N13" i="19"/>
  <c r="K13" i="19"/>
  <c r="F13" i="19"/>
  <c r="D13" i="19"/>
  <c r="C13" i="19"/>
  <c r="IE12" i="19"/>
  <c r="IB12" i="19"/>
  <c r="HY12" i="19"/>
  <c r="HV12" i="19"/>
  <c r="HS12" i="19"/>
  <c r="BZ11" i="20"/>
  <c r="HM12" i="19"/>
  <c r="HE12" i="19"/>
  <c r="GW12" i="19"/>
  <c r="GS12" i="19"/>
  <c r="GP12" i="19"/>
  <c r="GM12" i="19"/>
  <c r="GJ12" i="19"/>
  <c r="GD12" i="19"/>
  <c r="GA12" i="19"/>
  <c r="FX12" i="19"/>
  <c r="FS12" i="19"/>
  <c r="FP12" i="19"/>
  <c r="FA49" i="19" s="1"/>
  <c r="FJ12" i="19"/>
  <c r="FC12" i="19"/>
  <c r="EZ12" i="19"/>
  <c r="EZ49" i="19" s="1"/>
  <c r="EW12" i="19"/>
  <c r="ET12" i="19"/>
  <c r="EM12" i="19"/>
  <c r="EJ12" i="19"/>
  <c r="DZ12" i="19"/>
  <c r="DW12" i="19"/>
  <c r="DT12" i="19"/>
  <c r="DR12" i="19"/>
  <c r="DE12" i="19"/>
  <c r="DA12" i="19"/>
  <c r="CW12" i="19"/>
  <c r="CS12" i="19"/>
  <c r="CO12" i="19"/>
  <c r="CH12" i="19"/>
  <c r="CF12" i="19"/>
  <c r="CD12" i="19"/>
  <c r="CA12" i="19"/>
  <c r="BW12" i="19"/>
  <c r="BT12" i="19"/>
  <c r="BR12" i="19"/>
  <c r="BP12" i="19"/>
  <c r="BN12" i="19"/>
  <c r="BL12" i="19"/>
  <c r="BJ12" i="19"/>
  <c r="BG12" i="19"/>
  <c r="BC12" i="19"/>
  <c r="AZ12" i="19"/>
  <c r="AR12" i="19"/>
  <c r="AI12" i="19"/>
  <c r="AE12" i="19"/>
  <c r="AB12" i="19"/>
  <c r="V12" i="19"/>
  <c r="T12" i="19"/>
  <c r="Q12" i="19"/>
  <c r="R12" i="19" s="1"/>
  <c r="N12" i="19"/>
  <c r="K12" i="19"/>
  <c r="F12" i="19"/>
  <c r="D12" i="19"/>
  <c r="C12" i="19"/>
  <c r="IE11" i="19"/>
  <c r="IB11" i="19"/>
  <c r="HY11" i="19"/>
  <c r="HV11" i="19"/>
  <c r="HS11" i="19"/>
  <c r="BZ10" i="20"/>
  <c r="HM11" i="19"/>
  <c r="HJ11" i="19"/>
  <c r="HE11" i="19"/>
  <c r="GW11" i="19"/>
  <c r="GS11" i="19"/>
  <c r="GP11" i="19"/>
  <c r="GM11" i="19"/>
  <c r="GJ11" i="19"/>
  <c r="GD11" i="19"/>
  <c r="GA11" i="19"/>
  <c r="FX11" i="19"/>
  <c r="FS11" i="19"/>
  <c r="FP11" i="19"/>
  <c r="FA48" i="19" s="1"/>
  <c r="FJ11" i="19"/>
  <c r="FC11" i="19"/>
  <c r="EZ11" i="19"/>
  <c r="EZ48" i="19" s="1"/>
  <c r="EW11" i="19"/>
  <c r="ET11" i="19"/>
  <c r="EM11" i="19"/>
  <c r="EJ11" i="19"/>
  <c r="DZ11" i="19"/>
  <c r="DW11" i="19"/>
  <c r="DT11" i="19"/>
  <c r="DR11" i="19"/>
  <c r="DE11" i="19"/>
  <c r="DA11" i="19"/>
  <c r="CW11" i="19"/>
  <c r="CS11" i="19"/>
  <c r="CO11" i="19"/>
  <c r="CH11" i="19"/>
  <c r="CF11" i="19"/>
  <c r="CD11" i="19"/>
  <c r="CA11" i="19"/>
  <c r="BW11" i="19"/>
  <c r="CD45" i="19" s="1"/>
  <c r="BT11" i="19"/>
  <c r="BR11" i="19"/>
  <c r="BP11" i="19"/>
  <c r="BN11" i="19"/>
  <c r="BL11" i="19"/>
  <c r="BJ11" i="19"/>
  <c r="BG11" i="19"/>
  <c r="BC11" i="19"/>
  <c r="AZ11" i="19"/>
  <c r="AR11" i="19"/>
  <c r="AI11" i="19"/>
  <c r="AE11" i="19"/>
  <c r="AB11" i="19"/>
  <c r="V11" i="19"/>
  <c r="T11" i="19"/>
  <c r="Q11" i="19"/>
  <c r="R11" i="19" s="1"/>
  <c r="N11" i="19"/>
  <c r="K11" i="19"/>
  <c r="F11" i="19"/>
  <c r="D11" i="19"/>
  <c r="C11" i="19"/>
  <c r="CE9" i="20"/>
  <c r="CD9" i="20"/>
  <c r="CC9" i="20"/>
  <c r="CB9" i="20"/>
  <c r="CA9" i="20"/>
  <c r="BZ9" i="20"/>
  <c r="BY9" i="20"/>
  <c r="BF9" i="20"/>
  <c r="BE9" i="20"/>
  <c r="BC9" i="20"/>
  <c r="AX9" i="20"/>
  <c r="AQ9" i="20"/>
  <c r="AP9" i="20"/>
  <c r="FA47" i="19"/>
  <c r="BA9" i="20"/>
  <c r="EZ47" i="19"/>
  <c r="AV9" i="20"/>
  <c r="AU9" i="20"/>
  <c r="AN9" i="20"/>
  <c r="AM9" i="20"/>
  <c r="AI9" i="20"/>
  <c r="AH9" i="20"/>
  <c r="AD9" i="20"/>
  <c r="X9" i="20"/>
  <c r="W9" i="20"/>
  <c r="U9" i="20"/>
  <c r="T9" i="20"/>
  <c r="R9" i="20"/>
  <c r="Q9" i="20"/>
  <c r="CD44" i="19"/>
  <c r="Z9" i="20"/>
  <c r="AB9" i="20"/>
  <c r="AA9" i="20"/>
  <c r="M9" i="20"/>
  <c r="L9" i="20"/>
  <c r="K9" i="20"/>
  <c r="I9" i="20"/>
  <c r="H9" i="20"/>
  <c r="F9" i="20"/>
  <c r="E9" i="20"/>
  <c r="D9" i="20"/>
  <c r="C9" i="20"/>
  <c r="IE9" i="19"/>
  <c r="IB9" i="19"/>
  <c r="HY9" i="19"/>
  <c r="HV9" i="19"/>
  <c r="HS9" i="19"/>
  <c r="HP9" i="19"/>
  <c r="HM9" i="19"/>
  <c r="HJ9" i="19"/>
  <c r="HE9" i="19"/>
  <c r="GS9" i="19"/>
  <c r="GP9" i="19"/>
  <c r="GM9" i="19"/>
  <c r="GJ9" i="19"/>
  <c r="GD9" i="19"/>
  <c r="GA9" i="19"/>
  <c r="FX9" i="19"/>
  <c r="FS9" i="19"/>
  <c r="FA46" i="19"/>
  <c r="FC9" i="19"/>
  <c r="EZ9" i="19"/>
  <c r="EZ46" i="19" s="1"/>
  <c r="EW9" i="19"/>
  <c r="ET9" i="19"/>
  <c r="EM9" i="19"/>
  <c r="EJ9" i="19"/>
  <c r="AI8" i="20"/>
  <c r="DW9" i="19"/>
  <c r="DT9" i="19"/>
  <c r="DR9" i="19"/>
  <c r="DE9" i="19"/>
  <c r="DF9" i="19" s="1"/>
  <c r="DA9" i="19"/>
  <c r="CW9" i="19"/>
  <c r="CS9" i="19"/>
  <c r="CO9" i="19"/>
  <c r="CH9" i="19"/>
  <c r="CF9" i="19"/>
  <c r="CD9" i="19"/>
  <c r="CA9" i="19"/>
  <c r="BW9" i="19"/>
  <c r="CD43" i="19" s="1"/>
  <c r="BT9" i="19"/>
  <c r="BR9" i="19"/>
  <c r="BP9" i="19"/>
  <c r="BN9" i="19"/>
  <c r="BL9" i="19"/>
  <c r="BJ9" i="19"/>
  <c r="BG9" i="19"/>
  <c r="BC9" i="19"/>
  <c r="AZ9" i="19"/>
  <c r="AR9" i="19"/>
  <c r="AI9" i="19"/>
  <c r="AE9" i="19"/>
  <c r="AB9" i="19"/>
  <c r="V9" i="19"/>
  <c r="T9" i="19"/>
  <c r="Q9" i="19"/>
  <c r="R9" i="19" s="1"/>
  <c r="N9" i="19"/>
  <c r="K9" i="19"/>
  <c r="F9" i="19"/>
  <c r="D9" i="19"/>
  <c r="C9" i="19"/>
  <c r="IB8" i="19"/>
  <c r="HY8" i="19"/>
  <c r="HV8" i="19"/>
  <c r="HS8" i="19"/>
  <c r="HM8" i="19"/>
  <c r="HJ8" i="19"/>
  <c r="HE8" i="19"/>
  <c r="GS8" i="19"/>
  <c r="GP8" i="19"/>
  <c r="GM8" i="19"/>
  <c r="GJ8" i="19"/>
  <c r="GD8" i="19"/>
  <c r="GA8" i="19"/>
  <c r="FX8" i="19"/>
  <c r="FS8" i="19"/>
  <c r="FJ8" i="19"/>
  <c r="FC8" i="19"/>
  <c r="EZ8" i="19"/>
  <c r="EW8" i="19"/>
  <c r="ET8" i="19"/>
  <c r="EM8" i="19"/>
  <c r="EJ8" i="19"/>
  <c r="DZ8" i="19"/>
  <c r="DW8" i="19"/>
  <c r="DT8" i="19"/>
  <c r="DR8" i="19"/>
  <c r="DE8" i="19"/>
  <c r="DA8" i="19"/>
  <c r="CW8" i="19"/>
  <c r="CS8" i="19"/>
  <c r="CO8" i="19"/>
  <c r="CH8" i="19"/>
  <c r="CF8" i="19"/>
  <c r="CD8" i="19"/>
  <c r="CA8" i="19"/>
  <c r="BW8" i="19"/>
  <c r="BT8" i="19"/>
  <c r="BR8" i="19"/>
  <c r="BP8" i="19"/>
  <c r="BN8" i="19"/>
  <c r="BL8" i="19"/>
  <c r="BJ8" i="19"/>
  <c r="BG8" i="19"/>
  <c r="BC8" i="19"/>
  <c r="AZ8" i="19"/>
  <c r="AR8" i="19"/>
  <c r="AI8" i="19"/>
  <c r="AE8" i="19"/>
  <c r="AB8" i="19"/>
  <c r="V8" i="19"/>
  <c r="E7" i="22" s="1"/>
  <c r="N7" i="22" s="1"/>
  <c r="T8" i="19"/>
  <c r="Q8" i="19"/>
  <c r="N8" i="19"/>
  <c r="K8" i="19"/>
  <c r="F8" i="19"/>
  <c r="D8" i="19"/>
  <c r="C8" i="19"/>
  <c r="A9" i="19"/>
  <c r="EC38" i="19" l="1"/>
  <c r="EG38" i="19"/>
  <c r="AE9" i="20"/>
  <c r="EC37" i="19"/>
  <c r="EG37" i="19"/>
  <c r="EG36" i="19"/>
  <c r="EC36" i="19"/>
  <c r="AJ35" i="20" s="1"/>
  <c r="EG35" i="19"/>
  <c r="EC35" i="19"/>
  <c r="EG34" i="19"/>
  <c r="EC34" i="19"/>
  <c r="EG33" i="19"/>
  <c r="EC32" i="19"/>
  <c r="EC33" i="19"/>
  <c r="EG32" i="19"/>
  <c r="EG31" i="19"/>
  <c r="EC31" i="19"/>
  <c r="EG30" i="19"/>
  <c r="EC30" i="19"/>
  <c r="EG29" i="19"/>
  <c r="EC29" i="19"/>
  <c r="EC28" i="19"/>
  <c r="EG28" i="19"/>
  <c r="EG27" i="19"/>
  <c r="EC27" i="19"/>
  <c r="EG26" i="19"/>
  <c r="EC26" i="19"/>
  <c r="AJ25" i="20" s="1"/>
  <c r="EC25" i="19"/>
  <c r="EG25" i="19"/>
  <c r="EC24" i="19"/>
  <c r="EG24" i="19"/>
  <c r="EG23" i="19"/>
  <c r="EC23" i="19"/>
  <c r="L38" i="22"/>
  <c r="K38" i="22"/>
  <c r="M38" i="22"/>
  <c r="BS7" i="22"/>
  <c r="EC22" i="19"/>
  <c r="ED22" i="19" s="1"/>
  <c r="EG22" i="19"/>
  <c r="EG21" i="19"/>
  <c r="EN21" i="19" s="1"/>
  <c r="EC21" i="19"/>
  <c r="EC20" i="19"/>
  <c r="ED20" i="19" s="1"/>
  <c r="EG20" i="19"/>
  <c r="AV8" i="20"/>
  <c r="CA10" i="20"/>
  <c r="AE12" i="20"/>
  <c r="F21" i="20"/>
  <c r="AV22" i="20"/>
  <c r="AH23" i="20"/>
  <c r="D26" i="20"/>
  <c r="R27" i="20"/>
  <c r="AP28" i="20"/>
  <c r="L32" i="20"/>
  <c r="E33" i="20"/>
  <c r="E33" i="22"/>
  <c r="N33" i="22" s="1"/>
  <c r="AU34" i="20"/>
  <c r="AD35" i="20"/>
  <c r="BT30" i="20"/>
  <c r="CB12" i="20"/>
  <c r="BF20" i="20"/>
  <c r="AP21" i="20"/>
  <c r="Z26" i="20"/>
  <c r="AV27" i="20"/>
  <c r="CB28" i="20"/>
  <c r="AU32" i="20"/>
  <c r="BZ33" i="20"/>
  <c r="BT8" i="20"/>
  <c r="BT8" i="22"/>
  <c r="C8" i="20"/>
  <c r="W8" i="20"/>
  <c r="BY8" i="20"/>
  <c r="I10" i="20"/>
  <c r="CB11" i="19"/>
  <c r="AI10" i="20"/>
  <c r="CC10" i="20"/>
  <c r="H11" i="20"/>
  <c r="AH11" i="20"/>
  <c r="AQ11" i="20"/>
  <c r="CC11" i="20"/>
  <c r="AI12" i="20"/>
  <c r="CC12" i="20"/>
  <c r="H13" i="20"/>
  <c r="AH13" i="20"/>
  <c r="AQ13" i="20"/>
  <c r="CB13" i="20"/>
  <c r="F14" i="20"/>
  <c r="AP14" i="20"/>
  <c r="CA14" i="20"/>
  <c r="E15" i="20"/>
  <c r="E15" i="22"/>
  <c r="N15" i="22" s="1"/>
  <c r="Z15" i="20"/>
  <c r="AD15" i="20"/>
  <c r="BZ15" i="20"/>
  <c r="X20" i="20"/>
  <c r="I21" i="20"/>
  <c r="O21" i="20"/>
  <c r="AI21" i="20"/>
  <c r="AQ21" i="20"/>
  <c r="CB21" i="20"/>
  <c r="C22" i="20"/>
  <c r="W22" i="20"/>
  <c r="K23" i="20"/>
  <c r="P23" i="20"/>
  <c r="AM23" i="20"/>
  <c r="AX23" i="20"/>
  <c r="CD23" i="20"/>
  <c r="D24" i="20"/>
  <c r="BY24" i="20"/>
  <c r="M25" i="20"/>
  <c r="R25" i="20"/>
  <c r="AU25" i="20"/>
  <c r="BE25" i="20"/>
  <c r="F26" i="20"/>
  <c r="AP26" i="20"/>
  <c r="CA26" i="20"/>
  <c r="AB27" i="20"/>
  <c r="U27" i="20"/>
  <c r="I28" i="20"/>
  <c r="O28" i="20"/>
  <c r="AI28" i="20"/>
  <c r="L30" i="20"/>
  <c r="Q30" i="20"/>
  <c r="AN30" i="20"/>
  <c r="BC30" i="20"/>
  <c r="CE30" i="20"/>
  <c r="E31" i="20"/>
  <c r="E31" i="22"/>
  <c r="N31" i="22" s="1"/>
  <c r="Z31" i="20"/>
  <c r="AD31" i="20"/>
  <c r="BZ31" i="20"/>
  <c r="AA32" i="20"/>
  <c r="T32" i="20"/>
  <c r="AV32" i="20"/>
  <c r="BF32" i="20"/>
  <c r="H33" i="20"/>
  <c r="AP33" i="20"/>
  <c r="CA33" i="20"/>
  <c r="AB34" i="20"/>
  <c r="U34" i="20"/>
  <c r="H35" i="20"/>
  <c r="AI35" i="20"/>
  <c r="CD35" i="20"/>
  <c r="BT13" i="20"/>
  <c r="BT20" i="20"/>
  <c r="BU24" i="20"/>
  <c r="BT27" i="20"/>
  <c r="AZ29" i="20"/>
  <c r="AZ32" i="20"/>
  <c r="AZ35" i="20"/>
  <c r="BT36" i="20"/>
  <c r="U20" i="20"/>
  <c r="H23" i="20"/>
  <c r="BE27" i="20"/>
  <c r="AB29" i="20"/>
  <c r="Z33" i="20"/>
  <c r="M34" i="20"/>
  <c r="AP35" i="20"/>
  <c r="BU10" i="20"/>
  <c r="AP11" i="20"/>
  <c r="CA13" i="20"/>
  <c r="BY15" i="20"/>
  <c r="C20" i="20"/>
  <c r="CA21" i="20"/>
  <c r="BC25" i="20"/>
  <c r="AX30" i="20"/>
  <c r="AA34" i="20"/>
  <c r="X8" i="20"/>
  <c r="BZ8" i="20"/>
  <c r="K10" i="20"/>
  <c r="AM10" i="20"/>
  <c r="CD10" i="20"/>
  <c r="I11" i="20"/>
  <c r="CB12" i="19"/>
  <c r="AI11" i="20"/>
  <c r="CD11" i="20"/>
  <c r="O12" i="20"/>
  <c r="AM12" i="20"/>
  <c r="AX12" i="20"/>
  <c r="CD12" i="20"/>
  <c r="I13" i="20"/>
  <c r="AI13" i="20"/>
  <c r="CC13" i="20"/>
  <c r="H14" i="20"/>
  <c r="AQ14" i="20"/>
  <c r="CB14" i="20"/>
  <c r="F15" i="20"/>
  <c r="IH16" i="19"/>
  <c r="AP15" i="20"/>
  <c r="CA15" i="20"/>
  <c r="D20" i="20"/>
  <c r="P21" i="20"/>
  <c r="AM21" i="20"/>
  <c r="X22" i="20"/>
  <c r="BA22" i="20"/>
  <c r="L23" i="20"/>
  <c r="Q23" i="20"/>
  <c r="AN23" i="20"/>
  <c r="BC23" i="20"/>
  <c r="CE23" i="20"/>
  <c r="Z24" i="20"/>
  <c r="AD24" i="20"/>
  <c r="BZ24" i="20"/>
  <c r="AA25" i="20"/>
  <c r="T25" i="20"/>
  <c r="AV25" i="20"/>
  <c r="BF25" i="20"/>
  <c r="H26" i="20"/>
  <c r="AH26" i="20"/>
  <c r="AQ26" i="20"/>
  <c r="CB26" i="20"/>
  <c r="C27" i="20"/>
  <c r="W27" i="20"/>
  <c r="K28" i="20"/>
  <c r="P28" i="20"/>
  <c r="AM28" i="20"/>
  <c r="AX28" i="20"/>
  <c r="CD28" i="20"/>
  <c r="D29" i="20"/>
  <c r="BY29" i="20"/>
  <c r="M30" i="20"/>
  <c r="R30" i="20"/>
  <c r="BE30" i="20"/>
  <c r="F31" i="20"/>
  <c r="AP31" i="20"/>
  <c r="CA31" i="20"/>
  <c r="AB32" i="20"/>
  <c r="U32" i="20"/>
  <c r="I33" i="20"/>
  <c r="O33" i="20"/>
  <c r="AI33" i="20"/>
  <c r="AQ33" i="20"/>
  <c r="CB33" i="20"/>
  <c r="C34" i="20"/>
  <c r="W34" i="20"/>
  <c r="I35" i="20"/>
  <c r="O35" i="20"/>
  <c r="AM35" i="20"/>
  <c r="CE35" i="20"/>
  <c r="BT10" i="20"/>
  <c r="BU12" i="20"/>
  <c r="AT22" i="20"/>
  <c r="BU26" i="20"/>
  <c r="BU35" i="20"/>
  <c r="BC7" i="20"/>
  <c r="AP12" i="20"/>
  <c r="D14" i="20"/>
  <c r="W24" i="20"/>
  <c r="BH24" i="22"/>
  <c r="F28" i="20"/>
  <c r="BT16" i="20"/>
  <c r="BT33" i="20"/>
  <c r="CB11" i="20"/>
  <c r="E14" i="20"/>
  <c r="E14" i="22"/>
  <c r="N14" i="22" s="1"/>
  <c r="CE25" i="20"/>
  <c r="AA27" i="20"/>
  <c r="AQ28" i="20"/>
  <c r="AM30" i="20"/>
  <c r="F35" i="20"/>
  <c r="CP8" i="19"/>
  <c r="AB7" i="20"/>
  <c r="D8" i="20"/>
  <c r="CA8" i="20"/>
  <c r="L10" i="20"/>
  <c r="Q10" i="20"/>
  <c r="AN10" i="20"/>
  <c r="BC10" i="20"/>
  <c r="CE10" i="20"/>
  <c r="P11" i="20"/>
  <c r="AM11" i="20"/>
  <c r="AX11" i="20"/>
  <c r="CE11" i="20"/>
  <c r="Q12" i="20"/>
  <c r="AN12" i="20"/>
  <c r="BC12" i="20"/>
  <c r="CE12" i="20"/>
  <c r="P13" i="20"/>
  <c r="AM13" i="20"/>
  <c r="AX13" i="20"/>
  <c r="CD13" i="20"/>
  <c r="I14" i="20"/>
  <c r="O14" i="20"/>
  <c r="AI14" i="20"/>
  <c r="CC14" i="20"/>
  <c r="H15" i="20"/>
  <c r="AH15" i="20"/>
  <c r="AQ15" i="20"/>
  <c r="CB15" i="20"/>
  <c r="E20" i="20"/>
  <c r="E20" i="22"/>
  <c r="N20" i="22" s="1"/>
  <c r="Z20" i="20"/>
  <c r="AD20" i="20"/>
  <c r="BA20" i="20"/>
  <c r="L21" i="20"/>
  <c r="Q21" i="20"/>
  <c r="AN21" i="20"/>
  <c r="AX21" i="20"/>
  <c r="CD21" i="20"/>
  <c r="D22" i="20"/>
  <c r="BY22" i="20"/>
  <c r="M23" i="20"/>
  <c r="R23" i="20"/>
  <c r="AU23" i="20"/>
  <c r="BE23" i="20"/>
  <c r="F24" i="20"/>
  <c r="AP24" i="20"/>
  <c r="CA24" i="20"/>
  <c r="AB25" i="20"/>
  <c r="O26" i="20"/>
  <c r="X27" i="20"/>
  <c r="BA27" i="20"/>
  <c r="L28" i="20"/>
  <c r="Q28" i="20"/>
  <c r="AN28" i="20"/>
  <c r="BC28" i="20"/>
  <c r="CE28" i="20"/>
  <c r="E29" i="20"/>
  <c r="E29" i="22"/>
  <c r="N29" i="22" s="1"/>
  <c r="Z29" i="20"/>
  <c r="AD29" i="20"/>
  <c r="BZ29" i="20"/>
  <c r="AA30" i="20"/>
  <c r="AV30" i="20"/>
  <c r="BF30" i="20"/>
  <c r="H31" i="20"/>
  <c r="AH31" i="20"/>
  <c r="AQ31" i="20"/>
  <c r="CB31" i="20"/>
  <c r="C32" i="20"/>
  <c r="W32" i="20"/>
  <c r="P33" i="20"/>
  <c r="AM33" i="20"/>
  <c r="X34" i="20"/>
  <c r="BA34" i="20"/>
  <c r="K35" i="20"/>
  <c r="P35" i="20"/>
  <c r="AN35" i="20"/>
  <c r="EC18" i="19"/>
  <c r="EG19" i="19"/>
  <c r="EG18" i="19"/>
  <c r="EC19" i="19"/>
  <c r="EC17" i="19"/>
  <c r="EG17" i="19"/>
  <c r="AL16" i="20" s="1"/>
  <c r="BU9" i="20"/>
  <c r="BT29" i="20"/>
  <c r="BT32" i="20"/>
  <c r="BT35" i="20"/>
  <c r="AA8" i="20"/>
  <c r="AD11" i="20"/>
  <c r="Z13" i="20"/>
  <c r="BA15" i="20"/>
  <c r="AU20" i="20"/>
  <c r="P25" i="20"/>
  <c r="CC30" i="20"/>
  <c r="BE34" i="20"/>
  <c r="CB35" i="20"/>
  <c r="AB8" i="20"/>
  <c r="AD14" i="20"/>
  <c r="AB22" i="20"/>
  <c r="AN25" i="20"/>
  <c r="BF27" i="20"/>
  <c r="C29" i="20"/>
  <c r="CD30" i="20"/>
  <c r="R32" i="20"/>
  <c r="BF34" i="20"/>
  <c r="AQ35" i="20"/>
  <c r="BT18" i="20"/>
  <c r="AT35" i="20"/>
  <c r="CX8" i="19"/>
  <c r="BH7" i="22"/>
  <c r="E8" i="20"/>
  <c r="E8" i="22"/>
  <c r="N8" i="22" s="1"/>
  <c r="Z8" i="20"/>
  <c r="AD8" i="20"/>
  <c r="AP8" i="20"/>
  <c r="CB8" i="20"/>
  <c r="M10" i="20"/>
  <c r="R10" i="20"/>
  <c r="AU10" i="20"/>
  <c r="BE10" i="20"/>
  <c r="L11" i="20"/>
  <c r="Q11" i="20"/>
  <c r="AN11" i="20"/>
  <c r="BC11" i="20"/>
  <c r="L12" i="20"/>
  <c r="R12" i="20"/>
  <c r="AU12" i="20"/>
  <c r="BE12" i="20"/>
  <c r="L13" i="20"/>
  <c r="Q13" i="20"/>
  <c r="AN13" i="20"/>
  <c r="BC13" i="20"/>
  <c r="CE13" i="20"/>
  <c r="K14" i="20"/>
  <c r="P14" i="20"/>
  <c r="AM14" i="20"/>
  <c r="AX14" i="20"/>
  <c r="CD14" i="20"/>
  <c r="I15" i="20"/>
  <c r="CB16" i="19"/>
  <c r="AI15" i="20"/>
  <c r="F20" i="20"/>
  <c r="AE20" i="20"/>
  <c r="AG20" i="20" s="1"/>
  <c r="BY20" i="20"/>
  <c r="M21" i="20"/>
  <c r="R21" i="20"/>
  <c r="AT21" i="20"/>
  <c r="BC21" i="20"/>
  <c r="CE21" i="20"/>
  <c r="E22" i="20"/>
  <c r="E22" i="22"/>
  <c r="N22" i="22" s="1"/>
  <c r="Z22" i="20"/>
  <c r="AD22" i="20"/>
  <c r="BZ22" i="20"/>
  <c r="AA23" i="20"/>
  <c r="AV23" i="20"/>
  <c r="BF23" i="20"/>
  <c r="H24" i="20"/>
  <c r="AH24" i="20"/>
  <c r="AQ24" i="20"/>
  <c r="CB24" i="20"/>
  <c r="C25" i="20"/>
  <c r="W25" i="20"/>
  <c r="K26" i="20"/>
  <c r="P26" i="20"/>
  <c r="AM26" i="20"/>
  <c r="AX26" i="20"/>
  <c r="CD26" i="20"/>
  <c r="D27" i="20"/>
  <c r="BY27" i="20"/>
  <c r="M28" i="20"/>
  <c r="R28" i="20"/>
  <c r="AU28" i="20"/>
  <c r="BE28" i="20"/>
  <c r="F29" i="20"/>
  <c r="IH30" i="19"/>
  <c r="AP29" i="20"/>
  <c r="CA29" i="20"/>
  <c r="AB30" i="20"/>
  <c r="U30" i="20"/>
  <c r="I31" i="20"/>
  <c r="AI31" i="20"/>
  <c r="X32" i="20"/>
  <c r="BA32" i="20"/>
  <c r="L33" i="20"/>
  <c r="Q33" i="20"/>
  <c r="AN33" i="20"/>
  <c r="CD33" i="20"/>
  <c r="D34" i="20"/>
  <c r="BY34" i="20"/>
  <c r="L35" i="20"/>
  <c r="Q35" i="20"/>
  <c r="AU35" i="20"/>
  <c r="BE35" i="20"/>
  <c r="BT22" i="20"/>
  <c r="BU28" i="20"/>
  <c r="AT31" i="20"/>
  <c r="BU31" i="20"/>
  <c r="AT34" i="20"/>
  <c r="BU34" i="20"/>
  <c r="D36" i="20"/>
  <c r="E11" i="20"/>
  <c r="E11" i="22"/>
  <c r="N11" i="22" s="1"/>
  <c r="E13" i="20"/>
  <c r="E13" i="22"/>
  <c r="C24" i="20"/>
  <c r="AI30" i="20"/>
  <c r="AN32" i="20"/>
  <c r="E35" i="20"/>
  <c r="E35" i="22"/>
  <c r="N35" i="22" s="1"/>
  <c r="F11" i="20"/>
  <c r="H21" i="20"/>
  <c r="I23" i="20"/>
  <c r="AD26" i="20"/>
  <c r="H28" i="20"/>
  <c r="K30" i="20"/>
  <c r="AT10" i="20"/>
  <c r="AQ8" i="20"/>
  <c r="CC8" i="20"/>
  <c r="AA10" i="20"/>
  <c r="T10" i="20"/>
  <c r="AV10" i="20"/>
  <c r="BF10" i="20"/>
  <c r="M11" i="20"/>
  <c r="R11" i="20"/>
  <c r="AU11" i="20"/>
  <c r="BE11" i="20"/>
  <c r="M12" i="20"/>
  <c r="AV12" i="20"/>
  <c r="BF12" i="20"/>
  <c r="M13" i="20"/>
  <c r="R13" i="20"/>
  <c r="BE13" i="20"/>
  <c r="L14" i="20"/>
  <c r="Q14" i="20"/>
  <c r="AN14" i="20"/>
  <c r="BC14" i="20"/>
  <c r="CE14" i="20"/>
  <c r="P15" i="20"/>
  <c r="AM15" i="20"/>
  <c r="AX15" i="20"/>
  <c r="CD15" i="20"/>
  <c r="H20" i="20"/>
  <c r="AH20" i="20"/>
  <c r="BZ20" i="20"/>
  <c r="AA21" i="20"/>
  <c r="T21" i="20"/>
  <c r="AU21" i="20"/>
  <c r="BE21" i="20"/>
  <c r="F22" i="20"/>
  <c r="AP22" i="20"/>
  <c r="CA22" i="20"/>
  <c r="AB23" i="20"/>
  <c r="U23" i="20"/>
  <c r="I24" i="20"/>
  <c r="AI24" i="20"/>
  <c r="CC24" i="20"/>
  <c r="X25" i="20"/>
  <c r="BA25" i="20"/>
  <c r="L26" i="20"/>
  <c r="Q26" i="20"/>
  <c r="AN26" i="20"/>
  <c r="BC26" i="20"/>
  <c r="CE26" i="20"/>
  <c r="Z27" i="20"/>
  <c r="AD27" i="20"/>
  <c r="BZ27" i="20"/>
  <c r="AA28" i="20"/>
  <c r="T28" i="20"/>
  <c r="AV28" i="20"/>
  <c r="BF28" i="20"/>
  <c r="H29" i="20"/>
  <c r="AH29" i="20"/>
  <c r="AQ29" i="20"/>
  <c r="CB29" i="20"/>
  <c r="C30" i="20"/>
  <c r="W30" i="20"/>
  <c r="K31" i="20"/>
  <c r="P31" i="20"/>
  <c r="AM31" i="20"/>
  <c r="CD31" i="20"/>
  <c r="D32" i="20"/>
  <c r="BY32" i="20"/>
  <c r="M33" i="20"/>
  <c r="R33" i="20"/>
  <c r="AU33" i="20"/>
  <c r="CE33" i="20"/>
  <c r="E34" i="20"/>
  <c r="E34" i="22"/>
  <c r="N34" i="22" s="1"/>
  <c r="Z34" i="20"/>
  <c r="AD34" i="20"/>
  <c r="BZ34" i="20"/>
  <c r="M35" i="20"/>
  <c r="R35" i="20"/>
  <c r="AV35" i="20"/>
  <c r="BF35" i="20"/>
  <c r="BT9" i="20"/>
  <c r="BT9" i="22"/>
  <c r="BT15" i="20"/>
  <c r="BU21" i="20"/>
  <c r="BT24" i="20"/>
  <c r="AZ34" i="20"/>
  <c r="F36" i="20"/>
  <c r="F10" i="20"/>
  <c r="E12" i="20"/>
  <c r="E12" i="22"/>
  <c r="N12" i="22" s="1"/>
  <c r="AA22" i="20"/>
  <c r="AQ23" i="20"/>
  <c r="AM25" i="20"/>
  <c r="AO25" i="22"/>
  <c r="X31" i="20"/>
  <c r="AZ10" i="20"/>
  <c r="BT23" i="20"/>
  <c r="CB10" i="20"/>
  <c r="AQ12" i="20"/>
  <c r="Z14" i="20"/>
  <c r="W20" i="20"/>
  <c r="BH20" i="22"/>
  <c r="BA24" i="20"/>
  <c r="BZ26" i="20"/>
  <c r="BT25" i="20"/>
  <c r="BU32" i="20"/>
  <c r="H8" i="20"/>
  <c r="AH8" i="20"/>
  <c r="CD8" i="20"/>
  <c r="AB10" i="20"/>
  <c r="AA11" i="20"/>
  <c r="T11" i="20"/>
  <c r="AV11" i="20"/>
  <c r="BF11" i="20"/>
  <c r="AA12" i="20"/>
  <c r="U12" i="20"/>
  <c r="AA13" i="20"/>
  <c r="AV13" i="20"/>
  <c r="BF13" i="20"/>
  <c r="M14" i="20"/>
  <c r="R14" i="20"/>
  <c r="BE14" i="20"/>
  <c r="L15" i="20"/>
  <c r="Q15" i="20"/>
  <c r="AN15" i="20"/>
  <c r="CE15" i="20"/>
  <c r="O20" i="20"/>
  <c r="AI20" i="20"/>
  <c r="AP20" i="20"/>
  <c r="CA20" i="20"/>
  <c r="AB21" i="20"/>
  <c r="U21" i="20"/>
  <c r="AV21" i="20"/>
  <c r="BF21" i="20"/>
  <c r="AH22" i="20"/>
  <c r="AQ22" i="20"/>
  <c r="CB22" i="20"/>
  <c r="C23" i="20"/>
  <c r="W23" i="20"/>
  <c r="K24" i="20"/>
  <c r="P24" i="20"/>
  <c r="AM24" i="20"/>
  <c r="AX24" i="20"/>
  <c r="CD24" i="20"/>
  <c r="D25" i="20"/>
  <c r="BY25" i="20"/>
  <c r="M26" i="20"/>
  <c r="R26" i="20"/>
  <c r="AU26" i="20"/>
  <c r="BE26" i="20"/>
  <c r="F27" i="20"/>
  <c r="AE27" i="20"/>
  <c r="AP27" i="20"/>
  <c r="CA27" i="20"/>
  <c r="AB28" i="20"/>
  <c r="I29" i="20"/>
  <c r="O29" i="20"/>
  <c r="AI29" i="20"/>
  <c r="X30" i="20"/>
  <c r="BA30" i="20"/>
  <c r="L31" i="20"/>
  <c r="Q31" i="20"/>
  <c r="AN31" i="20"/>
  <c r="BC31" i="20"/>
  <c r="CE31" i="20"/>
  <c r="E32" i="20"/>
  <c r="E32" i="22"/>
  <c r="N32" i="22" s="1"/>
  <c r="Z32" i="20"/>
  <c r="AD32" i="20"/>
  <c r="BZ32" i="20"/>
  <c r="AA33" i="20"/>
  <c r="T33" i="20"/>
  <c r="AV33" i="20"/>
  <c r="BE33" i="20"/>
  <c r="F34" i="20"/>
  <c r="AE34" i="20"/>
  <c r="AP34" i="20"/>
  <c r="CA34" i="20"/>
  <c r="AA35" i="20"/>
  <c r="T35" i="20"/>
  <c r="BU8" i="20"/>
  <c r="BT12" i="20"/>
  <c r="BU14" i="20"/>
  <c r="BT17" i="20"/>
  <c r="BU23" i="20"/>
  <c r="BT26" i="20"/>
  <c r="AZ28" i="20"/>
  <c r="C36" i="20"/>
  <c r="AF37" i="19"/>
  <c r="T8" i="20"/>
  <c r="AP10" i="20"/>
  <c r="Z12" i="20"/>
  <c r="AD13" i="20"/>
  <c r="BY14" i="20"/>
  <c r="BF22" i="20"/>
  <c r="H10" i="20"/>
  <c r="D15" i="20"/>
  <c r="O23" i="20"/>
  <c r="W29" i="20"/>
  <c r="BH29" i="22"/>
  <c r="BE32" i="20"/>
  <c r="F8" i="20"/>
  <c r="I8" i="20"/>
  <c r="O8" i="20"/>
  <c r="AX8" i="20"/>
  <c r="C10" i="20"/>
  <c r="W10" i="20"/>
  <c r="BH10" i="22"/>
  <c r="AB11" i="20"/>
  <c r="U11" i="20"/>
  <c r="AB12" i="20"/>
  <c r="W12" i="20"/>
  <c r="BH12" i="22"/>
  <c r="AB13" i="20"/>
  <c r="U13" i="20"/>
  <c r="AA14" i="20"/>
  <c r="AV14" i="20"/>
  <c r="BF14" i="20"/>
  <c r="M15" i="20"/>
  <c r="R15" i="20"/>
  <c r="AU15" i="20"/>
  <c r="BE15" i="20"/>
  <c r="K20" i="20"/>
  <c r="P20" i="20"/>
  <c r="AQ20" i="20"/>
  <c r="CB20" i="20"/>
  <c r="C21" i="20"/>
  <c r="W21" i="20"/>
  <c r="I22" i="20"/>
  <c r="O22" i="20"/>
  <c r="AI22" i="20"/>
  <c r="X23" i="20"/>
  <c r="BA23" i="20"/>
  <c r="L24" i="20"/>
  <c r="Q24" i="20"/>
  <c r="AN24" i="20"/>
  <c r="BC24" i="20"/>
  <c r="CE24" i="20"/>
  <c r="Z25" i="20"/>
  <c r="AD25" i="20"/>
  <c r="BZ25" i="20"/>
  <c r="AA26" i="20"/>
  <c r="AV26" i="20"/>
  <c r="BF26" i="20"/>
  <c r="H27" i="20"/>
  <c r="AH27" i="20"/>
  <c r="AQ27" i="20"/>
  <c r="CB27" i="20"/>
  <c r="C28" i="20"/>
  <c r="W28" i="20"/>
  <c r="K29" i="20"/>
  <c r="P29" i="20"/>
  <c r="AM29" i="20"/>
  <c r="AX29" i="20"/>
  <c r="CD29" i="20"/>
  <c r="D30" i="20"/>
  <c r="BY30" i="20"/>
  <c r="M31" i="20"/>
  <c r="R31" i="20"/>
  <c r="AU31" i="20"/>
  <c r="BE31" i="20"/>
  <c r="F32" i="20"/>
  <c r="AP32" i="20"/>
  <c r="CA32" i="20"/>
  <c r="AB33" i="20"/>
  <c r="U33" i="20"/>
  <c r="BF33" i="20"/>
  <c r="H34" i="20"/>
  <c r="AH34" i="20"/>
  <c r="AQ34" i="20"/>
  <c r="CB34" i="20"/>
  <c r="AB35" i="20"/>
  <c r="BT7" i="20"/>
  <c r="BT7" i="22"/>
  <c r="AZ11" i="20"/>
  <c r="BU11" i="20"/>
  <c r="AT14" i="20"/>
  <c r="BT19" i="20"/>
  <c r="AZ21" i="20"/>
  <c r="BU25" i="20"/>
  <c r="BT31" i="20"/>
  <c r="BT34" i="20"/>
  <c r="AJ37" i="19"/>
  <c r="P7" i="20"/>
  <c r="CA11" i="20"/>
  <c r="BE20" i="20"/>
  <c r="BG20" i="20" s="1"/>
  <c r="BQ20" i="22"/>
  <c r="BS20" i="22" s="1"/>
  <c r="BZ21" i="20"/>
  <c r="CD25" i="20"/>
  <c r="M27" i="20"/>
  <c r="I30" i="20"/>
  <c r="BA31" i="20"/>
  <c r="CE32" i="20"/>
  <c r="R34" i="20"/>
  <c r="AQ10" i="20"/>
  <c r="F12" i="20"/>
  <c r="AP13" i="20"/>
  <c r="U22" i="20"/>
  <c r="E26" i="20"/>
  <c r="E26" i="22"/>
  <c r="N26" i="22" s="1"/>
  <c r="T34" i="20"/>
  <c r="BU22" i="20"/>
  <c r="GU39" i="21"/>
  <c r="F7" i="20"/>
  <c r="IH8" i="19"/>
  <c r="KG8" i="19" s="1"/>
  <c r="P8" i="20"/>
  <c r="AM8" i="20"/>
  <c r="BC8" i="20"/>
  <c r="BA10" i="20"/>
  <c r="BX10" i="20"/>
  <c r="C11" i="20"/>
  <c r="W11" i="20"/>
  <c r="BH11" i="22"/>
  <c r="C12" i="20"/>
  <c r="C13" i="20"/>
  <c r="W13" i="20"/>
  <c r="AB14" i="20"/>
  <c r="AA15" i="20"/>
  <c r="T15" i="20"/>
  <c r="AV15" i="20"/>
  <c r="BF15" i="20"/>
  <c r="L20" i="20"/>
  <c r="Q20" i="20"/>
  <c r="X21" i="20"/>
  <c r="K22" i="20"/>
  <c r="P22" i="20"/>
  <c r="AM22" i="20"/>
  <c r="AX22" i="20"/>
  <c r="CD22" i="20"/>
  <c r="D23" i="20"/>
  <c r="BY23" i="20"/>
  <c r="M24" i="20"/>
  <c r="R24" i="20"/>
  <c r="AU24" i="20"/>
  <c r="BE24" i="20"/>
  <c r="F25" i="20"/>
  <c r="AE25" i="20"/>
  <c r="AP25" i="20"/>
  <c r="CA25" i="20"/>
  <c r="AB26" i="20"/>
  <c r="U26" i="20"/>
  <c r="I27" i="20"/>
  <c r="AI27" i="20"/>
  <c r="X28" i="20"/>
  <c r="BA28" i="20"/>
  <c r="L29" i="20"/>
  <c r="Q29" i="20"/>
  <c r="AN29" i="20"/>
  <c r="BC29" i="20"/>
  <c r="CE29" i="20"/>
  <c r="E30" i="20"/>
  <c r="E30" i="22"/>
  <c r="N30" i="22" s="1"/>
  <c r="Z30" i="20"/>
  <c r="AD30" i="20"/>
  <c r="BZ30" i="20"/>
  <c r="AA31" i="20"/>
  <c r="T31" i="20"/>
  <c r="AV31" i="20"/>
  <c r="BF31" i="20"/>
  <c r="H32" i="20"/>
  <c r="AH32" i="20"/>
  <c r="AQ32" i="20"/>
  <c r="CB32" i="20"/>
  <c r="C33" i="20"/>
  <c r="W33" i="20"/>
  <c r="I34" i="20"/>
  <c r="O34" i="20"/>
  <c r="AI34" i="20"/>
  <c r="C35" i="20"/>
  <c r="BA35" i="20"/>
  <c r="BY35" i="20"/>
  <c r="BU7" i="20"/>
  <c r="AT11" i="20"/>
  <c r="BT28" i="20"/>
  <c r="AT30" i="20"/>
  <c r="BU30" i="20"/>
  <c r="AT33" i="20"/>
  <c r="BU33" i="20"/>
  <c r="CA12" i="20"/>
  <c r="T22" i="20"/>
  <c r="CB23" i="20"/>
  <c r="K25" i="20"/>
  <c r="AU27" i="20"/>
  <c r="Q32" i="20"/>
  <c r="AD33" i="20"/>
  <c r="AT13" i="20"/>
  <c r="F13" i="20"/>
  <c r="BZ14" i="20"/>
  <c r="AV20" i="20"/>
  <c r="Q25" i="20"/>
  <c r="P30" i="20"/>
  <c r="BY31" i="20"/>
  <c r="IH34" i="19"/>
  <c r="KG34" i="19" s="1"/>
  <c r="L8" i="20"/>
  <c r="Q8" i="20"/>
  <c r="AN8" i="20"/>
  <c r="BE8" i="20"/>
  <c r="D10" i="20"/>
  <c r="BY10" i="20"/>
  <c r="BA11" i="20"/>
  <c r="BY11" i="20"/>
  <c r="BY12" i="20"/>
  <c r="X13" i="20"/>
  <c r="BA13" i="20"/>
  <c r="C14" i="20"/>
  <c r="W14" i="20"/>
  <c r="BH14" i="22"/>
  <c r="AB15" i="20"/>
  <c r="U15" i="20"/>
  <c r="M20" i="20"/>
  <c r="R20" i="20"/>
  <c r="AM20" i="20"/>
  <c r="AX20" i="20"/>
  <c r="CD20" i="20"/>
  <c r="D21" i="20"/>
  <c r="BA21" i="20"/>
  <c r="BX21" i="20"/>
  <c r="L22" i="20"/>
  <c r="Q22" i="20"/>
  <c r="AN22" i="20"/>
  <c r="BC22" i="20"/>
  <c r="CE22" i="20"/>
  <c r="E23" i="20"/>
  <c r="E23" i="22"/>
  <c r="N23" i="22" s="1"/>
  <c r="Z23" i="20"/>
  <c r="AD23" i="20"/>
  <c r="BZ23" i="20"/>
  <c r="AA24" i="20"/>
  <c r="T24" i="20"/>
  <c r="AV24" i="20"/>
  <c r="BF24" i="20"/>
  <c r="BG24" i="20" s="1"/>
  <c r="AQ25" i="20"/>
  <c r="CB25" i="20"/>
  <c r="C26" i="20"/>
  <c r="P27" i="20"/>
  <c r="AM27" i="20"/>
  <c r="AX27" i="20"/>
  <c r="CD27" i="20"/>
  <c r="D28" i="20"/>
  <c r="BY28" i="20"/>
  <c r="M29" i="20"/>
  <c r="R29" i="20"/>
  <c r="AU29" i="20"/>
  <c r="BE29" i="20"/>
  <c r="F30" i="20"/>
  <c r="AP30" i="20"/>
  <c r="CA30" i="20"/>
  <c r="AB31" i="20"/>
  <c r="U31" i="20"/>
  <c r="O32" i="20"/>
  <c r="AI32" i="20"/>
  <c r="X33" i="20"/>
  <c r="AZ33" i="20"/>
  <c r="K34" i="20"/>
  <c r="P34" i="20"/>
  <c r="AM34" i="20"/>
  <c r="CD34" i="20"/>
  <c r="X35" i="20"/>
  <c r="Y35" i="20" s="1"/>
  <c r="BH35" i="20" s="1"/>
  <c r="BH35" i="22"/>
  <c r="BZ35" i="20"/>
  <c r="BT14" i="20"/>
  <c r="BT21" i="20"/>
  <c r="AZ23" i="20"/>
  <c r="AF24" i="20"/>
  <c r="BU27" i="20"/>
  <c r="AZ30" i="20"/>
  <c r="Z11" i="20"/>
  <c r="BZ13" i="20"/>
  <c r="AB20" i="20"/>
  <c r="AX25" i="20"/>
  <c r="U29" i="20"/>
  <c r="O30" i="20"/>
  <c r="BC32" i="20"/>
  <c r="BY33" i="20"/>
  <c r="Z35" i="20"/>
  <c r="U8" i="20"/>
  <c r="AH10" i="20"/>
  <c r="AH12" i="20"/>
  <c r="AI23" i="20"/>
  <c r="L25" i="20"/>
  <c r="M32" i="20"/>
  <c r="F33" i="20"/>
  <c r="AV34" i="20"/>
  <c r="CC35" i="20"/>
  <c r="BU15" i="20"/>
  <c r="BU29" i="20"/>
  <c r="AF8" i="19"/>
  <c r="AJ8" i="19"/>
  <c r="CK8" i="19"/>
  <c r="AX7" i="20"/>
  <c r="M8" i="20"/>
  <c r="R8" i="20"/>
  <c r="AU8" i="20"/>
  <c r="BF8" i="20"/>
  <c r="BG8" i="20" s="1"/>
  <c r="BS8" i="20" s="1"/>
  <c r="E10" i="20"/>
  <c r="E10" i="22"/>
  <c r="N10" i="22" s="1"/>
  <c r="Z10" i="20"/>
  <c r="AD10" i="20"/>
  <c r="D11" i="20"/>
  <c r="D12" i="20"/>
  <c r="AD12" i="20"/>
  <c r="BZ12" i="20"/>
  <c r="D13" i="20"/>
  <c r="BY13" i="20"/>
  <c r="C15" i="20"/>
  <c r="W15" i="20"/>
  <c r="BH15" i="22"/>
  <c r="AA20" i="20"/>
  <c r="T20" i="20"/>
  <c r="AN20" i="20"/>
  <c r="BC20" i="20"/>
  <c r="CE20" i="20"/>
  <c r="E21" i="20"/>
  <c r="E21" i="22"/>
  <c r="N21" i="22" s="1"/>
  <c r="Z21" i="20"/>
  <c r="AD21" i="20"/>
  <c r="BY21" i="20"/>
  <c r="M22" i="20"/>
  <c r="R22" i="20"/>
  <c r="AU22" i="20"/>
  <c r="BE22" i="20"/>
  <c r="F23" i="20"/>
  <c r="AP23" i="20"/>
  <c r="CA23" i="20"/>
  <c r="AB24" i="20"/>
  <c r="U24" i="20"/>
  <c r="I25" i="20"/>
  <c r="AI25" i="20"/>
  <c r="X26" i="20"/>
  <c r="BH26" i="22"/>
  <c r="BA26" i="20"/>
  <c r="L27" i="20"/>
  <c r="Q27" i="20"/>
  <c r="AN27" i="20"/>
  <c r="BC27" i="20"/>
  <c r="CE27" i="20"/>
  <c r="E28" i="20"/>
  <c r="E28" i="22"/>
  <c r="N28" i="22" s="1"/>
  <c r="Z28" i="20"/>
  <c r="AD28" i="20"/>
  <c r="BZ28" i="20"/>
  <c r="AA29" i="20"/>
  <c r="T29" i="20"/>
  <c r="AV29" i="20"/>
  <c r="BF29" i="20"/>
  <c r="H30" i="20"/>
  <c r="AQ30" i="20"/>
  <c r="CB30" i="20"/>
  <c r="C31" i="20"/>
  <c r="W31" i="20"/>
  <c r="Y31" i="20" s="1"/>
  <c r="BH31" i="20" s="1"/>
  <c r="BH31" i="22"/>
  <c r="K32" i="20"/>
  <c r="P32" i="20"/>
  <c r="AM32" i="20"/>
  <c r="AO32" i="22"/>
  <c r="AX32" i="20"/>
  <c r="CD32" i="20"/>
  <c r="D33" i="20"/>
  <c r="BA33" i="20"/>
  <c r="L34" i="20"/>
  <c r="Q34" i="20"/>
  <c r="AN34" i="20"/>
  <c r="CE34" i="20"/>
  <c r="D35" i="20"/>
  <c r="CA35" i="20"/>
  <c r="AZ8" i="20"/>
  <c r="BT11" i="20"/>
  <c r="BU13" i="20"/>
  <c r="BU20" i="20"/>
  <c r="GU38" i="21"/>
  <c r="CE19" i="20"/>
  <c r="CD19" i="20"/>
  <c r="CB19" i="20"/>
  <c r="CA19" i="20"/>
  <c r="BZ19" i="20"/>
  <c r="BY19" i="20"/>
  <c r="CE18" i="20"/>
  <c r="CD18" i="20"/>
  <c r="CB18" i="20"/>
  <c r="CA18" i="20"/>
  <c r="BZ18" i="20"/>
  <c r="BY18" i="20"/>
  <c r="BF19" i="20"/>
  <c r="BE19" i="20"/>
  <c r="BC19" i="20"/>
  <c r="AQ19" i="20"/>
  <c r="AP19" i="20"/>
  <c r="BA19" i="20"/>
  <c r="AV19" i="20"/>
  <c r="AU19" i="20"/>
  <c r="BF18" i="20"/>
  <c r="BE18" i="20"/>
  <c r="BC18" i="20"/>
  <c r="AX18" i="20"/>
  <c r="AQ18" i="20"/>
  <c r="AP18" i="20"/>
  <c r="BA18" i="20"/>
  <c r="AV18" i="20"/>
  <c r="AU18" i="20"/>
  <c r="AN19" i="20"/>
  <c r="AM19" i="20"/>
  <c r="AN18" i="20"/>
  <c r="AM18" i="20"/>
  <c r="AI19" i="20"/>
  <c r="AH19" i="20"/>
  <c r="BU19" i="20"/>
  <c r="AI18" i="20"/>
  <c r="BU18" i="20"/>
  <c r="AD19" i="20"/>
  <c r="AD18" i="20"/>
  <c r="X19" i="20"/>
  <c r="W19" i="20"/>
  <c r="U19" i="20"/>
  <c r="T19" i="20"/>
  <c r="R19" i="20"/>
  <c r="Q19" i="20"/>
  <c r="P19" i="20"/>
  <c r="Z19" i="20"/>
  <c r="W18" i="20"/>
  <c r="BH18" i="22"/>
  <c r="R18" i="20"/>
  <c r="Q18" i="20"/>
  <c r="P18" i="20"/>
  <c r="O18" i="20"/>
  <c r="Z18" i="20"/>
  <c r="AB19" i="20"/>
  <c r="AA19" i="20"/>
  <c r="AB18" i="20"/>
  <c r="AA18" i="20"/>
  <c r="M19" i="20"/>
  <c r="L19" i="20"/>
  <c r="K19" i="20"/>
  <c r="I19" i="20"/>
  <c r="H19" i="20"/>
  <c r="F19" i="20"/>
  <c r="E19" i="20"/>
  <c r="E19" i="22"/>
  <c r="N19" i="22" s="1"/>
  <c r="C19" i="20"/>
  <c r="M18" i="20"/>
  <c r="L18" i="20"/>
  <c r="K18" i="20"/>
  <c r="I18" i="20"/>
  <c r="F18" i="20"/>
  <c r="E18" i="20"/>
  <c r="E18" i="22"/>
  <c r="N18" i="22" s="1"/>
  <c r="D18" i="20"/>
  <c r="C18" i="20"/>
  <c r="BU17" i="20"/>
  <c r="BU16" i="20"/>
  <c r="CE16" i="20"/>
  <c r="CE17" i="20"/>
  <c r="CD16" i="20"/>
  <c r="CD17" i="20"/>
  <c r="CB16" i="20"/>
  <c r="CB17" i="20"/>
  <c r="CA16" i="20"/>
  <c r="CA17" i="20"/>
  <c r="BZ16" i="20"/>
  <c r="BZ17" i="20"/>
  <c r="BY16" i="20"/>
  <c r="BY17" i="20"/>
  <c r="BF16" i="20"/>
  <c r="BF17" i="20"/>
  <c r="BE17" i="20"/>
  <c r="BE16" i="20"/>
  <c r="BC16" i="20"/>
  <c r="BC17" i="20"/>
  <c r="AX16" i="20"/>
  <c r="AX17" i="20"/>
  <c r="AQ16" i="20"/>
  <c r="AQ17" i="20"/>
  <c r="AP16" i="20"/>
  <c r="AP17" i="20"/>
  <c r="BA16" i="20"/>
  <c r="BA17" i="20"/>
  <c r="AT15" i="20"/>
  <c r="AZ15" i="20"/>
  <c r="AZ17" i="20"/>
  <c r="AV16" i="20"/>
  <c r="AV17" i="20"/>
  <c r="AU17" i="20"/>
  <c r="AU16" i="20"/>
  <c r="AN16" i="20"/>
  <c r="AN17" i="20"/>
  <c r="AM16" i="20"/>
  <c r="AM17" i="20"/>
  <c r="AI16" i="20"/>
  <c r="AI17" i="20"/>
  <c r="AH16" i="20"/>
  <c r="AH17" i="20"/>
  <c r="AD16" i="20"/>
  <c r="AD17" i="20"/>
  <c r="X17" i="20"/>
  <c r="W16" i="20"/>
  <c r="W17" i="20"/>
  <c r="U16" i="20"/>
  <c r="U17" i="20"/>
  <c r="R17" i="20"/>
  <c r="R16" i="20"/>
  <c r="Q16" i="20"/>
  <c r="Q17" i="20"/>
  <c r="P16" i="20"/>
  <c r="P17" i="20"/>
  <c r="Z16" i="20"/>
  <c r="Z17" i="20"/>
  <c r="AB16" i="20"/>
  <c r="AB17" i="20"/>
  <c r="AA17" i="20"/>
  <c r="AA16" i="20"/>
  <c r="M17" i="20"/>
  <c r="M16" i="20"/>
  <c r="L16" i="20"/>
  <c r="L17" i="20"/>
  <c r="I16" i="20"/>
  <c r="I17" i="20"/>
  <c r="H17" i="20"/>
  <c r="F16" i="20"/>
  <c r="F17" i="20"/>
  <c r="E16" i="20"/>
  <c r="E16" i="22"/>
  <c r="N16" i="22" s="1"/>
  <c r="E17" i="20"/>
  <c r="E17" i="22"/>
  <c r="N17" i="22" s="1"/>
  <c r="D16" i="20"/>
  <c r="D17" i="20"/>
  <c r="C16" i="20"/>
  <c r="C17" i="20"/>
  <c r="EG16" i="19"/>
  <c r="EN16" i="19" s="1"/>
  <c r="EC16" i="19"/>
  <c r="EC15" i="19"/>
  <c r="EG15" i="19"/>
  <c r="EN15" i="19" s="1"/>
  <c r="AZ14" i="20"/>
  <c r="FT15" i="19"/>
  <c r="FM15" i="19" s="1"/>
  <c r="AE14" i="20"/>
  <c r="AF9" i="20"/>
  <c r="EG14" i="19"/>
  <c r="EC14" i="19"/>
  <c r="EG13" i="19"/>
  <c r="EC13" i="19"/>
  <c r="AF16" i="20"/>
  <c r="FH50" i="19"/>
  <c r="FH51" i="19"/>
  <c r="FI51" i="19"/>
  <c r="FI50" i="19"/>
  <c r="AE13" i="20"/>
  <c r="AE15" i="20"/>
  <c r="EG11" i="19"/>
  <c r="EC11" i="19"/>
  <c r="ED11" i="19" s="1"/>
  <c r="EC12" i="19"/>
  <c r="EG12" i="19"/>
  <c r="FB66" i="19"/>
  <c r="FD66" i="19" s="1"/>
  <c r="FK66" i="19" s="1"/>
  <c r="AF20" i="20"/>
  <c r="AE31" i="20"/>
  <c r="AG31" i="20" s="1"/>
  <c r="EG10" i="19"/>
  <c r="AO9" i="22" s="1"/>
  <c r="EC10" i="19"/>
  <c r="FH45" i="19"/>
  <c r="FB67" i="19"/>
  <c r="FD67" i="19" s="1"/>
  <c r="FK67" i="19" s="1"/>
  <c r="FW72" i="17"/>
  <c r="AE8" i="20"/>
  <c r="AG8" i="20" s="1"/>
  <c r="AE18" i="20"/>
  <c r="AG18" i="20" s="1"/>
  <c r="AF21" i="19"/>
  <c r="GG34" i="19"/>
  <c r="AF34" i="20"/>
  <c r="AE22" i="20"/>
  <c r="AG22" i="20" s="1"/>
  <c r="DB29" i="19"/>
  <c r="CB33" i="19"/>
  <c r="G27" i="19"/>
  <c r="AE37" i="20"/>
  <c r="AF37" i="20"/>
  <c r="AC10" i="20"/>
  <c r="CT24" i="19"/>
  <c r="AF21" i="20"/>
  <c r="AF28" i="20"/>
  <c r="AE16" i="20"/>
  <c r="AG16" i="20" s="1"/>
  <c r="CK30" i="19"/>
  <c r="AE17" i="20"/>
  <c r="AG17" i="20" s="1"/>
  <c r="AN11" i="19"/>
  <c r="CK21" i="19"/>
  <c r="CL21" i="19" s="1"/>
  <c r="AN32" i="19"/>
  <c r="CX35" i="19"/>
  <c r="CK33" i="19"/>
  <c r="FW71" i="17"/>
  <c r="A10" i="19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N24" i="19"/>
  <c r="AS29" i="19"/>
  <c r="FT9" i="19"/>
  <c r="FM9" i="19" s="1"/>
  <c r="FH53" i="19"/>
  <c r="FI56" i="19"/>
  <c r="CX31" i="19"/>
  <c r="AF11" i="20"/>
  <c r="FI53" i="19"/>
  <c r="G26" i="19"/>
  <c r="CP36" i="19"/>
  <c r="FH52" i="19"/>
  <c r="FI70" i="19"/>
  <c r="X22" i="19"/>
  <c r="FH55" i="19"/>
  <c r="AF34" i="19"/>
  <c r="IR39" i="19"/>
  <c r="KB39" i="19"/>
  <c r="CB31" i="19"/>
  <c r="G37" i="19"/>
  <c r="FI48" i="19"/>
  <c r="CK23" i="19"/>
  <c r="CL23" i="19" s="1"/>
  <c r="G31" i="19"/>
  <c r="DB32" i="19"/>
  <c r="AF12" i="20"/>
  <c r="CB30" i="19"/>
  <c r="EC8" i="19"/>
  <c r="EG9" i="19"/>
  <c r="EC9" i="19"/>
  <c r="FI61" i="19"/>
  <c r="AF22" i="20"/>
  <c r="FD75" i="19"/>
  <c r="FK75" i="19" s="1"/>
  <c r="BG12" i="20"/>
  <c r="K8" i="20"/>
  <c r="AS9" i="19"/>
  <c r="AS20" i="19"/>
  <c r="IH23" i="19"/>
  <c r="AE24" i="20"/>
  <c r="AG24" i="20" s="1"/>
  <c r="FB63" i="19"/>
  <c r="FD63" i="19" s="1"/>
  <c r="FJ63" i="19" s="1"/>
  <c r="AE26" i="20"/>
  <c r="AG26" i="20" s="1"/>
  <c r="H83" i="19"/>
  <c r="FW68" i="17"/>
  <c r="AC22" i="20"/>
  <c r="CX24" i="19"/>
  <c r="AS27" i="19"/>
  <c r="CT35" i="19"/>
  <c r="BC34" i="20"/>
  <c r="AF8" i="20"/>
  <c r="AF14" i="20"/>
  <c r="AF29" i="20"/>
  <c r="CH47" i="19"/>
  <c r="G21" i="19"/>
  <c r="GG22" i="19"/>
  <c r="GG30" i="19"/>
  <c r="AF32" i="20"/>
  <c r="FD37" i="19"/>
  <c r="FA37" i="19"/>
  <c r="X37" i="19"/>
  <c r="CX34" i="19"/>
  <c r="AF35" i="20"/>
  <c r="FT37" i="19"/>
  <c r="FM37" i="19" s="1"/>
  <c r="FU37" i="19"/>
  <c r="AN15" i="19"/>
  <c r="IU39" i="19"/>
  <c r="CT30" i="19"/>
  <c r="AF10" i="20"/>
  <c r="AF14" i="19"/>
  <c r="IH13" i="19"/>
  <c r="CT13" i="19"/>
  <c r="CX16" i="19"/>
  <c r="G20" i="19"/>
  <c r="AJ35" i="19"/>
  <c r="FH59" i="19"/>
  <c r="AF25" i="20"/>
  <c r="X13" i="19"/>
  <c r="CK24" i="19"/>
  <c r="EG8" i="19"/>
  <c r="GG18" i="19"/>
  <c r="KE39" i="19"/>
  <c r="JJ39" i="19"/>
  <c r="AE21" i="20"/>
  <c r="AG21" i="20" s="1"/>
  <c r="G35" i="19"/>
  <c r="FI47" i="19"/>
  <c r="AZ36" i="20"/>
  <c r="II74" i="19"/>
  <c r="CB24" i="19"/>
  <c r="DB22" i="19"/>
  <c r="AS15" i="19"/>
  <c r="CB19" i="19"/>
  <c r="JM39" i="19"/>
  <c r="G23" i="19"/>
  <c r="CK36" i="19"/>
  <c r="FB74" i="19"/>
  <c r="FD74" i="19" s="1"/>
  <c r="FK74" i="19" s="1"/>
  <c r="FU9" i="19"/>
  <c r="P83" i="19"/>
  <c r="FV46" i="19"/>
  <c r="EQ9" i="19" s="1"/>
  <c r="IH9" i="19"/>
  <c r="BX9" i="19"/>
  <c r="AN8" i="19"/>
  <c r="AN9" i="19"/>
  <c r="AF9" i="19"/>
  <c r="AT36" i="20"/>
  <c r="AS36" i="20"/>
  <c r="BG36" i="20"/>
  <c r="BG10" i="20"/>
  <c r="Y36" i="20"/>
  <c r="BH36" i="20" s="1"/>
  <c r="S36" i="20"/>
  <c r="V36" i="20" s="1"/>
  <c r="G9" i="19"/>
  <c r="FW45" i="19"/>
  <c r="FW74" i="17"/>
  <c r="FW70" i="17"/>
  <c r="FW73" i="17"/>
  <c r="FW69" i="17"/>
  <c r="X8" i="19"/>
  <c r="JN59" i="19"/>
  <c r="CT12" i="19"/>
  <c r="CP20" i="19"/>
  <c r="CP30" i="19"/>
  <c r="FB68" i="19"/>
  <c r="FD68" i="19" s="1"/>
  <c r="FJ68" i="19" s="1"/>
  <c r="CP29" i="19"/>
  <c r="AJ34" i="19"/>
  <c r="FB48" i="19"/>
  <c r="FD48" i="19" s="1"/>
  <c r="FB46" i="19"/>
  <c r="FD46" i="19" s="1"/>
  <c r="FK46" i="19" s="1"/>
  <c r="CP32" i="19"/>
  <c r="CP33" i="19"/>
  <c r="FB73" i="19"/>
  <c r="FD73" i="19" s="1"/>
  <c r="FJ73" i="19" s="1"/>
  <c r="CT16" i="19"/>
  <c r="BG18" i="20"/>
  <c r="AX35" i="20"/>
  <c r="BC35" i="20"/>
  <c r="GG35" i="19"/>
  <c r="GG27" i="19"/>
  <c r="GG12" i="19"/>
  <c r="GG17" i="19"/>
  <c r="GG24" i="19"/>
  <c r="GG16" i="19"/>
  <c r="GG31" i="19"/>
  <c r="FA13" i="19"/>
  <c r="FV54" i="19"/>
  <c r="EQ17" i="19" s="1"/>
  <c r="FW54" i="19"/>
  <c r="FG17" i="19" s="1"/>
  <c r="FV57" i="19"/>
  <c r="EQ20" i="19" s="1"/>
  <c r="FV63" i="19"/>
  <c r="EQ26" i="19" s="1"/>
  <c r="FA26" i="19" s="1"/>
  <c r="FW60" i="19"/>
  <c r="FG23" i="19" s="1"/>
  <c r="FV65" i="19"/>
  <c r="EQ28" i="19" s="1"/>
  <c r="FB47" i="19"/>
  <c r="FD47" i="19" s="1"/>
  <c r="FJ47" i="19" s="1"/>
  <c r="FB65" i="19"/>
  <c r="FD65" i="19" s="1"/>
  <c r="FJ65" i="19" s="1"/>
  <c r="FB53" i="19"/>
  <c r="FD53" i="19" s="1"/>
  <c r="FJ53" i="19" s="1"/>
  <c r="FB57" i="19"/>
  <c r="FD57" i="19" s="1"/>
  <c r="FJ57" i="19" s="1"/>
  <c r="FB51" i="19"/>
  <c r="FD51" i="19" s="1"/>
  <c r="FB64" i="19"/>
  <c r="FD64" i="19" s="1"/>
  <c r="FJ64" i="19" s="1"/>
  <c r="FB71" i="19"/>
  <c r="FD71" i="19" s="1"/>
  <c r="FK71" i="19" s="1"/>
  <c r="FB61" i="19"/>
  <c r="FD61" i="19" s="1"/>
  <c r="FK61" i="19" s="1"/>
  <c r="FB70" i="19"/>
  <c r="FD70" i="19" s="1"/>
  <c r="FJ70" i="19" s="1"/>
  <c r="FT13" i="19"/>
  <c r="FM13" i="19" s="1"/>
  <c r="FT24" i="19"/>
  <c r="FM24" i="19" s="1"/>
  <c r="FU18" i="19"/>
  <c r="FT22" i="19"/>
  <c r="FM22" i="19" s="1"/>
  <c r="FT31" i="19"/>
  <c r="FM31" i="19" s="1"/>
  <c r="FT34" i="19"/>
  <c r="FM34" i="19" s="1"/>
  <c r="FU31" i="19"/>
  <c r="FT33" i="19"/>
  <c r="FM33" i="19" s="1"/>
  <c r="FT16" i="19"/>
  <c r="FM16" i="19" s="1"/>
  <c r="FU22" i="19"/>
  <c r="FA8" i="19"/>
  <c r="FA14" i="19"/>
  <c r="FA22" i="19"/>
  <c r="FA31" i="19"/>
  <c r="FA23" i="19"/>
  <c r="FD23" i="19"/>
  <c r="FA11" i="19"/>
  <c r="FD32" i="19"/>
  <c r="FA33" i="19"/>
  <c r="FA34" i="19"/>
  <c r="FA35" i="19"/>
  <c r="CF9" i="20"/>
  <c r="IH21" i="19"/>
  <c r="KG21" i="19" s="1"/>
  <c r="IH22" i="19"/>
  <c r="IH27" i="19"/>
  <c r="IH17" i="19"/>
  <c r="IH26" i="19"/>
  <c r="IH14" i="19"/>
  <c r="IH25" i="19"/>
  <c r="IH28" i="19"/>
  <c r="DB24" i="19"/>
  <c r="Y9" i="20"/>
  <c r="BH9" i="20" s="1"/>
  <c r="DB14" i="19"/>
  <c r="DB27" i="19"/>
  <c r="DB18" i="19"/>
  <c r="DB26" i="19"/>
  <c r="Y22" i="20"/>
  <c r="BH22" i="20" s="1"/>
  <c r="DB20" i="19"/>
  <c r="DB23" i="19"/>
  <c r="CX26" i="19"/>
  <c r="CX22" i="19"/>
  <c r="CX12" i="19"/>
  <c r="CX17" i="19"/>
  <c r="CX25" i="19"/>
  <c r="CX14" i="19"/>
  <c r="CX13" i="19"/>
  <c r="CX18" i="19"/>
  <c r="CX28" i="19"/>
  <c r="CX29" i="19"/>
  <c r="CT9" i="19"/>
  <c r="CT28" i="19"/>
  <c r="CT31" i="19"/>
  <c r="CT27" i="19"/>
  <c r="CT33" i="19"/>
  <c r="CP12" i="19"/>
  <c r="CP26" i="19"/>
  <c r="CP16" i="19"/>
  <c r="CB8" i="19"/>
  <c r="CB34" i="19"/>
  <c r="CK27" i="19"/>
  <c r="CB15" i="19"/>
  <c r="CB21" i="19"/>
  <c r="CB27" i="19"/>
  <c r="BX11" i="19"/>
  <c r="AN16" i="19"/>
  <c r="AN22" i="19"/>
  <c r="AC29" i="20"/>
  <c r="AC28" i="20"/>
  <c r="AC35" i="20"/>
  <c r="AN12" i="19"/>
  <c r="AN29" i="19"/>
  <c r="AN34" i="19"/>
  <c r="AN20" i="19"/>
  <c r="AS36" i="19"/>
  <c r="AS19" i="19"/>
  <c r="AS21" i="19"/>
  <c r="AS11" i="19"/>
  <c r="AS23" i="19"/>
  <c r="AS32" i="19"/>
  <c r="AS33" i="19"/>
  <c r="AJ28" i="19"/>
  <c r="AJ16" i="19"/>
  <c r="AJ20" i="19"/>
  <c r="AJ31" i="19"/>
  <c r="AJ9" i="19"/>
  <c r="AJ32" i="19"/>
  <c r="AJ15" i="19"/>
  <c r="AJ19" i="19"/>
  <c r="AJ25" i="19"/>
  <c r="AJ12" i="19"/>
  <c r="AJ18" i="19"/>
  <c r="AJ22" i="19"/>
  <c r="AJ14" i="19"/>
  <c r="AF24" i="19"/>
  <c r="AF30" i="19"/>
  <c r="AF18" i="19"/>
  <c r="AF11" i="19"/>
  <c r="AF22" i="19"/>
  <c r="AF33" i="19"/>
  <c r="AF16" i="19"/>
  <c r="AF20" i="19"/>
  <c r="X17" i="19"/>
  <c r="X31" i="19"/>
  <c r="X33" i="19"/>
  <c r="X34" i="19"/>
  <c r="X24" i="19"/>
  <c r="X21" i="19"/>
  <c r="G9" i="20"/>
  <c r="R17" i="19"/>
  <c r="R34" i="19"/>
  <c r="X16" i="19"/>
  <c r="R13" i="19"/>
  <c r="R24" i="19"/>
  <c r="G19" i="19"/>
  <c r="B9" i="20"/>
  <c r="G32" i="19"/>
  <c r="G18" i="19"/>
  <c r="G24" i="19"/>
  <c r="G16" i="19"/>
  <c r="G28" i="19"/>
  <c r="G30" i="19"/>
  <c r="G15" i="19"/>
  <c r="G22" i="19"/>
  <c r="G25" i="19"/>
  <c r="G14" i="19"/>
  <c r="G34" i="19"/>
  <c r="G11" i="19"/>
  <c r="G12" i="19"/>
  <c r="G36" i="19"/>
  <c r="G17" i="19"/>
  <c r="G29" i="19"/>
  <c r="G13" i="19"/>
  <c r="S9" i="20"/>
  <c r="X7" i="20"/>
  <c r="DA39" i="19"/>
  <c r="X14" i="20"/>
  <c r="DB15" i="19"/>
  <c r="X10" i="20"/>
  <c r="Y10" i="20" s="1"/>
  <c r="BH10" i="20" s="1"/>
  <c r="DB11" i="19"/>
  <c r="X12" i="20"/>
  <c r="DB13" i="19"/>
  <c r="AH18" i="20"/>
  <c r="I20" i="20"/>
  <c r="AJ21" i="19"/>
  <c r="E25" i="20"/>
  <c r="H12" i="20"/>
  <c r="AF13" i="19"/>
  <c r="T16" i="20"/>
  <c r="CP17" i="19"/>
  <c r="AN7" i="20"/>
  <c r="EM39" i="19"/>
  <c r="CD47" i="19"/>
  <c r="BX13" i="19"/>
  <c r="D39" i="19"/>
  <c r="DF8" i="19"/>
  <c r="FU11" i="19"/>
  <c r="BX11" i="20"/>
  <c r="O13" i="20"/>
  <c r="CK14" i="19"/>
  <c r="CB14" i="19"/>
  <c r="AU13" i="20"/>
  <c r="FD14" i="19"/>
  <c r="FA16" i="19"/>
  <c r="CT17" i="19"/>
  <c r="O17" i="20"/>
  <c r="CK18" i="19"/>
  <c r="CB18" i="19"/>
  <c r="FT20" i="19"/>
  <c r="FM20" i="19" s="1"/>
  <c r="AH21" i="20"/>
  <c r="H22" i="20"/>
  <c r="AF23" i="19"/>
  <c r="E24" i="20"/>
  <c r="AU14" i="20"/>
  <c r="FD15" i="19"/>
  <c r="CC26" i="20"/>
  <c r="JN55" i="19"/>
  <c r="AA7" i="20"/>
  <c r="BG39" i="19"/>
  <c r="CB9" i="19"/>
  <c r="FT12" i="19"/>
  <c r="FM12" i="19" s="1"/>
  <c r="BX18" i="20"/>
  <c r="CH39" i="19"/>
  <c r="R7" i="20"/>
  <c r="CD46" i="19"/>
  <c r="BX12" i="19"/>
  <c r="DF13" i="19"/>
  <c r="F39" i="19"/>
  <c r="I7" i="20"/>
  <c r="AI39" i="19"/>
  <c r="AC7" i="20"/>
  <c r="BL39" i="19"/>
  <c r="DG8" i="19"/>
  <c r="AT7" i="20"/>
  <c r="HE39" i="19"/>
  <c r="X11" i="19"/>
  <c r="DF11" i="19"/>
  <c r="O11" i="20"/>
  <c r="CK12" i="19"/>
  <c r="X11" i="20"/>
  <c r="Y11" i="20" s="1"/>
  <c r="BH11" i="20" s="1"/>
  <c r="DB12" i="19"/>
  <c r="K12" i="20"/>
  <c r="AS13" i="19"/>
  <c r="CB13" i="19"/>
  <c r="GG13" i="19"/>
  <c r="K13" i="20"/>
  <c r="AS14" i="19"/>
  <c r="GG14" i="19"/>
  <c r="FA15" i="19"/>
  <c r="K17" i="20"/>
  <c r="AS18" i="19"/>
  <c r="X19" i="19"/>
  <c r="AL18" i="20"/>
  <c r="EN19" i="19"/>
  <c r="CX20" i="19"/>
  <c r="R22" i="19"/>
  <c r="X25" i="19"/>
  <c r="U28" i="20"/>
  <c r="CT29" i="19"/>
  <c r="M7" i="20"/>
  <c r="BC39" i="19"/>
  <c r="AM7" i="20"/>
  <c r="EJ39" i="19"/>
  <c r="FP39" i="19"/>
  <c r="FA76" i="19" s="1"/>
  <c r="FA45" i="19"/>
  <c r="DB9" i="19"/>
  <c r="P9" i="20"/>
  <c r="CH44" i="19"/>
  <c r="O10" i="20"/>
  <c r="CK11" i="19"/>
  <c r="FU12" i="19"/>
  <c r="G8" i="19"/>
  <c r="BN39" i="19"/>
  <c r="AU7" i="20"/>
  <c r="ET39" i="19"/>
  <c r="BX7" i="20"/>
  <c r="HJ39" i="19"/>
  <c r="HI42" i="19" s="1"/>
  <c r="K11" i="20"/>
  <c r="AS12" i="19"/>
  <c r="X14" i="19"/>
  <c r="H16" i="20"/>
  <c r="AF17" i="19"/>
  <c r="X18" i="19"/>
  <c r="DF23" i="19"/>
  <c r="X24" i="20"/>
  <c r="DB25" i="19"/>
  <c r="AZ25" i="20"/>
  <c r="FU26" i="19"/>
  <c r="FT26" i="19"/>
  <c r="FM26" i="19" s="1"/>
  <c r="BF7" i="20"/>
  <c r="GS39" i="19"/>
  <c r="CX9" i="19"/>
  <c r="AF12" i="19"/>
  <c r="DE39" i="19"/>
  <c r="X9" i="19"/>
  <c r="CE8" i="20"/>
  <c r="IE39" i="19"/>
  <c r="HI49" i="19" s="1"/>
  <c r="AT12" i="20"/>
  <c r="FD13" i="19"/>
  <c r="FS39" i="19"/>
  <c r="K39" i="19"/>
  <c r="BP39" i="19"/>
  <c r="T7" i="20"/>
  <c r="CO39" i="19"/>
  <c r="AD7" i="20"/>
  <c r="DR39" i="19"/>
  <c r="AV7" i="20"/>
  <c r="EW39" i="19"/>
  <c r="AP7" i="20"/>
  <c r="FX41" i="19"/>
  <c r="BY7" i="20"/>
  <c r="HM39" i="19"/>
  <c r="HI43" i="19" s="1"/>
  <c r="AC8" i="20"/>
  <c r="CK9" i="19"/>
  <c r="DF12" i="19"/>
  <c r="X15" i="19"/>
  <c r="AH14" i="20"/>
  <c r="X16" i="20"/>
  <c r="DB17" i="19"/>
  <c r="H18" i="20"/>
  <c r="AF19" i="19"/>
  <c r="AN19" i="19"/>
  <c r="T18" i="20"/>
  <c r="CP19" i="19"/>
  <c r="JG39" i="19"/>
  <c r="CC19" i="20"/>
  <c r="JN48" i="19"/>
  <c r="CT22" i="19"/>
  <c r="AC32" i="20"/>
  <c r="AN33" i="19"/>
  <c r="I12" i="20"/>
  <c r="AJ13" i="19"/>
  <c r="H7" i="20"/>
  <c r="AE39" i="19"/>
  <c r="C7" i="20"/>
  <c r="N39" i="19"/>
  <c r="Z7" i="20"/>
  <c r="BR39" i="19"/>
  <c r="AE7" i="20"/>
  <c r="AG7" i="20" s="1"/>
  <c r="DT39" i="19"/>
  <c r="EZ45" i="19"/>
  <c r="EZ39" i="19"/>
  <c r="EZ76" i="19" s="1"/>
  <c r="AQ7" i="20"/>
  <c r="GA41" i="19"/>
  <c r="BZ7" i="20"/>
  <c r="HP39" i="19"/>
  <c r="HI47" i="19" s="1"/>
  <c r="BX8" i="20"/>
  <c r="AC9" i="20"/>
  <c r="AG9" i="20"/>
  <c r="BX9" i="20"/>
  <c r="AE10" i="20"/>
  <c r="AG10" i="20" s="1"/>
  <c r="IH11" i="19"/>
  <c r="AX10" i="20"/>
  <c r="GG11" i="19"/>
  <c r="DF17" i="19"/>
  <c r="U18" i="20"/>
  <c r="CT19" i="19"/>
  <c r="O19" i="20"/>
  <c r="CK20" i="19"/>
  <c r="CB20" i="19"/>
  <c r="AX19" i="20"/>
  <c r="GG20" i="19"/>
  <c r="AE23" i="20"/>
  <c r="AG23" i="20" s="1"/>
  <c r="IH24" i="19"/>
  <c r="AZ27" i="20"/>
  <c r="FU28" i="19"/>
  <c r="BA7" i="20"/>
  <c r="FJ39" i="19"/>
  <c r="CF39" i="19"/>
  <c r="Q7" i="20"/>
  <c r="Q39" i="19"/>
  <c r="U7" i="20"/>
  <c r="CS39" i="19"/>
  <c r="CK13" i="19"/>
  <c r="AZ12" i="20"/>
  <c r="FU13" i="19"/>
  <c r="T13" i="20"/>
  <c r="CP14" i="19"/>
  <c r="FU16" i="19"/>
  <c r="AG15" i="20"/>
  <c r="BX15" i="20"/>
  <c r="O16" i="20"/>
  <c r="CK17" i="19"/>
  <c r="T17" i="20"/>
  <c r="CP18" i="19"/>
  <c r="T23" i="20"/>
  <c r="O24" i="20"/>
  <c r="CK25" i="19"/>
  <c r="AH25" i="20"/>
  <c r="CX11" i="19"/>
  <c r="CP9" i="19"/>
  <c r="AJ11" i="19"/>
  <c r="AE11" i="20"/>
  <c r="AG11" i="20" s="1"/>
  <c r="IH12" i="19"/>
  <c r="FB49" i="19"/>
  <c r="FD49" i="19" s="1"/>
  <c r="FJ49" i="19" s="1"/>
  <c r="AC12" i="20"/>
  <c r="AN13" i="19"/>
  <c r="T12" i="20"/>
  <c r="CP13" i="19"/>
  <c r="II13" i="19"/>
  <c r="AF15" i="19"/>
  <c r="T14" i="20"/>
  <c r="CP15" i="19"/>
  <c r="AG14" i="20"/>
  <c r="BX14" i="20"/>
  <c r="K16" i="20"/>
  <c r="AS17" i="19"/>
  <c r="CB17" i="19"/>
  <c r="X18" i="20"/>
  <c r="DB19" i="19"/>
  <c r="AC20" i="20"/>
  <c r="AN21" i="19"/>
  <c r="CP24" i="19"/>
  <c r="CB25" i="19"/>
  <c r="G7" i="20"/>
  <c r="AZ19" i="20"/>
  <c r="FU20" i="19"/>
  <c r="DB8" i="19"/>
  <c r="K21" i="20"/>
  <c r="AS22" i="19"/>
  <c r="C39" i="19"/>
  <c r="O9" i="20"/>
  <c r="FT11" i="19"/>
  <c r="FM11" i="19" s="1"/>
  <c r="AH7" i="20"/>
  <c r="DW39" i="19"/>
  <c r="CA7" i="20"/>
  <c r="HS39" i="19"/>
  <c r="HI44" i="19" s="1"/>
  <c r="R8" i="19"/>
  <c r="K7" i="20"/>
  <c r="AR39" i="19"/>
  <c r="BW39" i="19"/>
  <c r="CD42" i="19"/>
  <c r="CT8" i="19"/>
  <c r="AI7" i="20"/>
  <c r="DZ39" i="19"/>
  <c r="GG8" i="19"/>
  <c r="CB7" i="20"/>
  <c r="HV39" i="19"/>
  <c r="HI45" i="19" s="1"/>
  <c r="D7" i="20"/>
  <c r="T39" i="19"/>
  <c r="AS8" i="19"/>
  <c r="BX8" i="19"/>
  <c r="W7" i="20"/>
  <c r="CW39" i="19"/>
  <c r="FD8" i="19"/>
  <c r="CC7" i="20"/>
  <c r="HY39" i="19"/>
  <c r="HI46" i="19" s="1"/>
  <c r="CP11" i="19"/>
  <c r="FD11" i="19"/>
  <c r="X12" i="19"/>
  <c r="FA12" i="19"/>
  <c r="AN14" i="19"/>
  <c r="CT14" i="19"/>
  <c r="U14" i="20"/>
  <c r="CT15" i="19"/>
  <c r="FU15" i="19"/>
  <c r="O15" i="20"/>
  <c r="CK16" i="19"/>
  <c r="X15" i="20"/>
  <c r="DB16" i="19"/>
  <c r="AN18" i="19"/>
  <c r="CT18" i="19"/>
  <c r="FT18" i="19"/>
  <c r="FM18" i="19" s="1"/>
  <c r="BX17" i="20"/>
  <c r="DF19" i="19"/>
  <c r="JS39" i="19"/>
  <c r="D19" i="20"/>
  <c r="K27" i="20"/>
  <c r="AS28" i="19"/>
  <c r="T30" i="20"/>
  <c r="CP31" i="19"/>
  <c r="BE7" i="20"/>
  <c r="GP39" i="19"/>
  <c r="V39" i="19"/>
  <c r="E7" i="20"/>
  <c r="L7" i="20"/>
  <c r="AZ39" i="19"/>
  <c r="O7" i="20"/>
  <c r="CA39" i="19"/>
  <c r="CD7" i="20"/>
  <c r="IB39" i="19"/>
  <c r="HI48" i="19" s="1"/>
  <c r="GG9" i="19"/>
  <c r="AR9" i="20"/>
  <c r="AS9" i="20" s="1"/>
  <c r="U10" i="20"/>
  <c r="CT11" i="19"/>
  <c r="AG13" i="20"/>
  <c r="BX13" i="20"/>
  <c r="K15" i="20"/>
  <c r="AS16" i="19"/>
  <c r="AE19" i="20"/>
  <c r="AG19" i="20" s="1"/>
  <c r="IH20" i="19"/>
  <c r="X23" i="19"/>
  <c r="AC25" i="20"/>
  <c r="AN26" i="19"/>
  <c r="BA29" i="20"/>
  <c r="FT30" i="19"/>
  <c r="FM30" i="19" s="1"/>
  <c r="AJ29" i="20"/>
  <c r="AJ34" i="20"/>
  <c r="AJ32" i="20"/>
  <c r="AJ30" i="20"/>
  <c r="AJ28" i="20"/>
  <c r="AJ33" i="20"/>
  <c r="AC11" i="20"/>
  <c r="P12" i="20"/>
  <c r="CE47" i="19"/>
  <c r="AJ13" i="20"/>
  <c r="FB52" i="19"/>
  <c r="FD52" i="19" s="1"/>
  <c r="AC15" i="20"/>
  <c r="CC17" i="20"/>
  <c r="JN46" i="19"/>
  <c r="FB56" i="19"/>
  <c r="FD56" i="19" s="1"/>
  <c r="IX39" i="19"/>
  <c r="X20" i="19"/>
  <c r="BX20" i="20"/>
  <c r="AJ21" i="20"/>
  <c r="FD22" i="19"/>
  <c r="CC21" i="20"/>
  <c r="JN50" i="19"/>
  <c r="H25" i="20"/>
  <c r="AF26" i="19"/>
  <c r="AN31" i="19"/>
  <c r="O31" i="20"/>
  <c r="CK32" i="19"/>
  <c r="CB32" i="19"/>
  <c r="AE35" i="20"/>
  <c r="AG35" i="20" s="1"/>
  <c r="IH36" i="19"/>
  <c r="JA39" i="19"/>
  <c r="U25" i="20"/>
  <c r="CT26" i="19"/>
  <c r="T27" i="20"/>
  <c r="CP28" i="19"/>
  <c r="FT28" i="19"/>
  <c r="FM28" i="19" s="1"/>
  <c r="JN43" i="19"/>
  <c r="BG9" i="20"/>
  <c r="BQ9" i="20" s="1"/>
  <c r="GG15" i="19"/>
  <c r="BG17" i="20"/>
  <c r="GG19" i="19"/>
  <c r="JD39" i="19"/>
  <c r="CP21" i="19"/>
  <c r="FB58" i="19"/>
  <c r="FD58" i="19" s="1"/>
  <c r="CB22" i="19"/>
  <c r="AJ23" i="19"/>
  <c r="BX22" i="20"/>
  <c r="AS24" i="19"/>
  <c r="AJ23" i="20"/>
  <c r="CC23" i="20"/>
  <c r="JN52" i="19"/>
  <c r="AF25" i="19"/>
  <c r="DF25" i="19"/>
  <c r="AJ26" i="19"/>
  <c r="AU30" i="20"/>
  <c r="FD31" i="19"/>
  <c r="AZ31" i="20"/>
  <c r="FU32" i="19"/>
  <c r="FT32" i="19"/>
  <c r="FM32" i="19" s="1"/>
  <c r="K33" i="20"/>
  <c r="AS34" i="19"/>
  <c r="CH46" i="19"/>
  <c r="FV47" i="19"/>
  <c r="EQ10" i="19" s="1"/>
  <c r="FW51" i="19"/>
  <c r="FG14" i="19" s="1"/>
  <c r="AJ14" i="20"/>
  <c r="AC16" i="20"/>
  <c r="IH18" i="19"/>
  <c r="CC18" i="20"/>
  <c r="JN47" i="19"/>
  <c r="AC24" i="20"/>
  <c r="FB62" i="19"/>
  <c r="FD62" i="19" s="1"/>
  <c r="GG25" i="19"/>
  <c r="AG25" i="20"/>
  <c r="BX25" i="20"/>
  <c r="E27" i="20"/>
  <c r="X28" i="19"/>
  <c r="X30" i="19"/>
  <c r="AF35" i="19"/>
  <c r="X36" i="19"/>
  <c r="R36" i="19"/>
  <c r="AG12" i="20"/>
  <c r="BX12" i="20"/>
  <c r="CX15" i="19"/>
  <c r="AJ17" i="19"/>
  <c r="BX16" i="20"/>
  <c r="CX19" i="19"/>
  <c r="AC19" i="20"/>
  <c r="CT21" i="19"/>
  <c r="GG21" i="19"/>
  <c r="AN23" i="19"/>
  <c r="CP23" i="19"/>
  <c r="FB60" i="19"/>
  <c r="FD60" i="19" s="1"/>
  <c r="X27" i="19"/>
  <c r="AC26" i="20"/>
  <c r="AN27" i="19"/>
  <c r="AI26" i="20"/>
  <c r="ED27" i="19"/>
  <c r="D31" i="20"/>
  <c r="G33" i="19"/>
  <c r="I32" i="20"/>
  <c r="AJ33" i="19"/>
  <c r="AT32" i="20"/>
  <c r="FD33" i="19"/>
  <c r="AH33" i="20"/>
  <c r="ED34" i="19"/>
  <c r="II34" i="19"/>
  <c r="BX19" i="20"/>
  <c r="CC20" i="20"/>
  <c r="JN49" i="19"/>
  <c r="O25" i="20"/>
  <c r="CB26" i="19"/>
  <c r="T26" i="20"/>
  <c r="CP27" i="19"/>
  <c r="AJ26" i="20"/>
  <c r="AE28" i="20"/>
  <c r="AG28" i="20" s="1"/>
  <c r="IH29" i="19"/>
  <c r="P10" i="20"/>
  <c r="CH45" i="19"/>
  <c r="FD12" i="19"/>
  <c r="FB50" i="19"/>
  <c r="FD50" i="19" s="1"/>
  <c r="FJ50" i="19" s="1"/>
  <c r="AC13" i="20"/>
  <c r="IH15" i="19"/>
  <c r="FD16" i="19"/>
  <c r="CC15" i="20"/>
  <c r="JN44" i="19"/>
  <c r="AN17" i="19"/>
  <c r="FB54" i="19"/>
  <c r="FD54" i="19" s="1"/>
  <c r="AC17" i="20"/>
  <c r="IH19" i="19"/>
  <c r="JP39" i="19"/>
  <c r="CX21" i="19"/>
  <c r="ED21" i="19"/>
  <c r="AC21" i="20"/>
  <c r="CK22" i="19"/>
  <c r="R23" i="19"/>
  <c r="CT23" i="19"/>
  <c r="GG23" i="19"/>
  <c r="AN25" i="19"/>
  <c r="CP25" i="19"/>
  <c r="AF28" i="19"/>
  <c r="AH28" i="20"/>
  <c r="ED29" i="19"/>
  <c r="AJ22" i="20"/>
  <c r="CC22" i="20"/>
  <c r="JN51" i="19"/>
  <c r="AJ24" i="20"/>
  <c r="I26" i="20"/>
  <c r="AJ27" i="19"/>
  <c r="BY26" i="20"/>
  <c r="X29" i="19"/>
  <c r="R29" i="19"/>
  <c r="CA28" i="20"/>
  <c r="X29" i="20"/>
  <c r="Y29" i="20" s="1"/>
  <c r="BH29" i="20" s="1"/>
  <c r="U35" i="20"/>
  <c r="CT36" i="19"/>
  <c r="IL39" i="19"/>
  <c r="JV39" i="19"/>
  <c r="DB21" i="19"/>
  <c r="CX23" i="19"/>
  <c r="AC23" i="20"/>
  <c r="CT25" i="19"/>
  <c r="X26" i="19"/>
  <c r="R26" i="19"/>
  <c r="W26" i="20"/>
  <c r="CX27" i="19"/>
  <c r="DF28" i="19"/>
  <c r="FK65" i="19"/>
  <c r="DB30" i="19"/>
  <c r="CX32" i="19"/>
  <c r="CC31" i="20"/>
  <c r="JN60" i="19"/>
  <c r="CT34" i="19"/>
  <c r="FT35" i="19"/>
  <c r="FM35" i="19" s="1"/>
  <c r="AC14" i="20"/>
  <c r="CK15" i="19"/>
  <c r="CF15" i="20"/>
  <c r="CC16" i="20"/>
  <c r="JN45" i="19"/>
  <c r="FB55" i="19"/>
  <c r="FD55" i="19" s="1"/>
  <c r="AC18" i="20"/>
  <c r="CK19" i="19"/>
  <c r="IO39" i="19"/>
  <c r="JY39" i="19"/>
  <c r="CT20" i="19"/>
  <c r="CP22" i="19"/>
  <c r="FB59" i="19"/>
  <c r="FD59" i="19" s="1"/>
  <c r="CB23" i="19"/>
  <c r="AJ24" i="19"/>
  <c r="FU24" i="19"/>
  <c r="BX23" i="20"/>
  <c r="AS25" i="19"/>
  <c r="CK26" i="19"/>
  <c r="O27" i="20"/>
  <c r="CB28" i="19"/>
  <c r="CK28" i="19"/>
  <c r="BX30" i="20"/>
  <c r="AX31" i="20"/>
  <c r="GG32" i="19"/>
  <c r="AN36" i="19"/>
  <c r="FA36" i="19"/>
  <c r="AC27" i="20"/>
  <c r="GG29" i="19"/>
  <c r="II30" i="19"/>
  <c r="AE30" i="20"/>
  <c r="AG30" i="20" s="1"/>
  <c r="X32" i="19"/>
  <c r="FU33" i="19"/>
  <c r="BX32" i="20"/>
  <c r="FD34" i="19"/>
  <c r="AX33" i="20"/>
  <c r="CC33" i="20"/>
  <c r="JN62" i="19"/>
  <c r="AC34" i="20"/>
  <c r="CK35" i="19"/>
  <c r="GG36" i="19"/>
  <c r="FI75" i="19"/>
  <c r="FI72" i="19"/>
  <c r="FI69" i="19"/>
  <c r="FH65" i="19"/>
  <c r="FI60" i="19"/>
  <c r="FI54" i="19"/>
  <c r="FH75" i="19"/>
  <c r="FH72" i="19"/>
  <c r="FH69" i="19"/>
  <c r="FH60" i="19"/>
  <c r="FH54" i="19"/>
  <c r="FH66" i="19"/>
  <c r="FH61" i="19"/>
  <c r="FH73" i="19"/>
  <c r="FH70" i="19"/>
  <c r="FL70" i="19" s="1"/>
  <c r="FI67" i="19"/>
  <c r="FH62" i="19"/>
  <c r="FH56" i="19"/>
  <c r="FI49" i="19"/>
  <c r="FH48" i="19"/>
  <c r="FH67" i="19"/>
  <c r="FI63" i="19"/>
  <c r="FI57" i="19"/>
  <c r="FH49" i="19"/>
  <c r="FH63" i="19"/>
  <c r="FH57" i="19"/>
  <c r="FI74" i="19"/>
  <c r="FI71" i="19"/>
  <c r="FI68" i="19"/>
  <c r="FI64" i="19"/>
  <c r="FI58" i="19"/>
  <c r="FH74" i="19"/>
  <c r="FH71" i="19"/>
  <c r="FH68" i="19"/>
  <c r="FH64" i="19"/>
  <c r="FH58" i="19"/>
  <c r="FI52" i="19"/>
  <c r="FI73" i="19"/>
  <c r="AF36" i="20"/>
  <c r="AE36" i="20"/>
  <c r="AG36" i="20" s="1"/>
  <c r="AG27" i="20"/>
  <c r="BX27" i="20"/>
  <c r="CC28" i="20"/>
  <c r="JN57" i="19"/>
  <c r="IH32" i="19"/>
  <c r="BC33" i="20"/>
  <c r="FU35" i="19"/>
  <c r="AG34" i="20"/>
  <c r="BX34" i="20"/>
  <c r="FD36" i="19"/>
  <c r="AE32" i="20"/>
  <c r="AG32" i="20" s="1"/>
  <c r="CX36" i="19"/>
  <c r="FK70" i="19"/>
  <c r="GG26" i="19"/>
  <c r="AN28" i="19"/>
  <c r="CB29" i="19"/>
  <c r="AJ30" i="19"/>
  <c r="FU30" i="19"/>
  <c r="BX29" i="20"/>
  <c r="AS31" i="19"/>
  <c r="AF32" i="19"/>
  <c r="DF32" i="19"/>
  <c r="DB34" i="19"/>
  <c r="AN35" i="19"/>
  <c r="CP35" i="19"/>
  <c r="FB72" i="19"/>
  <c r="FD72" i="19" s="1"/>
  <c r="CB36" i="19"/>
  <c r="FI45" i="19"/>
  <c r="FH46" i="19"/>
  <c r="AF15" i="20"/>
  <c r="FI62" i="19"/>
  <c r="FI65" i="19"/>
  <c r="BX24" i="20"/>
  <c r="AS26" i="19"/>
  <c r="CC25" i="20"/>
  <c r="JN54" i="19"/>
  <c r="AF27" i="19"/>
  <c r="AC31" i="20"/>
  <c r="GG33" i="19"/>
  <c r="DB36" i="19"/>
  <c r="D78" i="19"/>
  <c r="FI46" i="19"/>
  <c r="FH47" i="19"/>
  <c r="FI66" i="19"/>
  <c r="D83" i="19"/>
  <c r="GG28" i="19"/>
  <c r="AN30" i="19"/>
  <c r="AE29" i="20"/>
  <c r="AG29" i="20" s="1"/>
  <c r="KG30" i="19"/>
  <c r="BX31" i="20"/>
  <c r="CC32" i="20"/>
  <c r="JN61" i="19"/>
  <c r="G78" i="19"/>
  <c r="FW64" i="19"/>
  <c r="FG27" i="19" s="1"/>
  <c r="FV64" i="19"/>
  <c r="EQ27" i="19" s="1"/>
  <c r="BX26" i="20"/>
  <c r="FD28" i="19"/>
  <c r="CC27" i="20"/>
  <c r="JN56" i="19"/>
  <c r="AF29" i="19"/>
  <c r="DF29" i="19"/>
  <c r="DB31" i="19"/>
  <c r="IH31" i="19"/>
  <c r="CX33" i="19"/>
  <c r="AC33" i="20"/>
  <c r="CK34" i="19"/>
  <c r="AS35" i="19"/>
  <c r="Y34" i="20"/>
  <c r="BH34" i="20" s="1"/>
  <c r="FD35" i="19"/>
  <c r="AX34" i="20"/>
  <c r="CC34" i="20"/>
  <c r="JN63" i="19"/>
  <c r="AF36" i="19"/>
  <c r="DF36" i="19"/>
  <c r="FI55" i="19"/>
  <c r="FI59" i="19"/>
  <c r="FW62" i="19"/>
  <c r="FG25" i="19" s="1"/>
  <c r="FV62" i="19"/>
  <c r="EQ25" i="19" s="1"/>
  <c r="FV67" i="19"/>
  <c r="EQ30" i="19" s="1"/>
  <c r="CK29" i="19"/>
  <c r="FT29" i="19"/>
  <c r="FM29" i="19" s="1"/>
  <c r="FB69" i="19"/>
  <c r="FD69" i="19" s="1"/>
  <c r="FU34" i="19"/>
  <c r="BX33" i="20"/>
  <c r="ED35" i="19"/>
  <c r="FT36" i="19"/>
  <c r="FM36" i="19" s="1"/>
  <c r="BX35" i="20"/>
  <c r="DR79" i="19"/>
  <c r="JN53" i="19"/>
  <c r="AJ29" i="19"/>
  <c r="FU29" i="19"/>
  <c r="BX28" i="20"/>
  <c r="AS30" i="19"/>
  <c r="CC29" i="20"/>
  <c r="JN58" i="19"/>
  <c r="AF31" i="19"/>
  <c r="DF31" i="19"/>
  <c r="FA32" i="19"/>
  <c r="DB33" i="19"/>
  <c r="IH33" i="19"/>
  <c r="X35" i="19"/>
  <c r="CB35" i="19"/>
  <c r="AJ36" i="19"/>
  <c r="FU36" i="19"/>
  <c r="DT79" i="19"/>
  <c r="FW58" i="19"/>
  <c r="FG21" i="19" s="1"/>
  <c r="FV58" i="19"/>
  <c r="EQ21" i="19" s="1"/>
  <c r="DB28" i="19"/>
  <c r="CX30" i="19"/>
  <c r="AC30" i="20"/>
  <c r="CK31" i="19"/>
  <c r="CT32" i="19"/>
  <c r="CP34" i="19"/>
  <c r="AE33" i="20"/>
  <c r="AG33" i="20" s="1"/>
  <c r="DB35" i="19"/>
  <c r="IH35" i="19"/>
  <c r="FW56" i="19"/>
  <c r="FG19" i="19" s="1"/>
  <c r="FV56" i="19"/>
  <c r="EQ19" i="19" s="1"/>
  <c r="AF7" i="20"/>
  <c r="AF13" i="20"/>
  <c r="FV55" i="19"/>
  <c r="EQ18" i="19" s="1"/>
  <c r="AF19" i="20"/>
  <c r="FV61" i="19"/>
  <c r="EQ24" i="19" s="1"/>
  <c r="FV66" i="19"/>
  <c r="EQ29" i="19" s="1"/>
  <c r="AF31" i="20"/>
  <c r="AF18" i="20"/>
  <c r="AF17" i="20"/>
  <c r="AF23" i="20"/>
  <c r="AF27" i="20"/>
  <c r="AF30" i="20"/>
  <c r="AF33" i="20"/>
  <c r="AF26" i="20"/>
  <c r="P81" i="17"/>
  <c r="L81" i="17"/>
  <c r="Y18" i="20" l="1"/>
  <c r="BH18" i="20" s="1"/>
  <c r="BG23" i="20"/>
  <c r="BG14" i="20"/>
  <c r="Y8" i="20"/>
  <c r="BH8" i="20" s="1"/>
  <c r="BG35" i="20"/>
  <c r="FJ67" i="19"/>
  <c r="EN38" i="19"/>
  <c r="AL37" i="20"/>
  <c r="AO37" i="20" s="1"/>
  <c r="ED38" i="19"/>
  <c r="AJ37" i="20"/>
  <c r="AK37" i="20" s="1"/>
  <c r="BM36" i="20"/>
  <c r="BO36" i="20" s="1"/>
  <c r="Y23" i="20"/>
  <c r="BH23" i="20" s="1"/>
  <c r="BG16" i="20"/>
  <c r="Y21" i="20"/>
  <c r="BH21" i="20" s="1"/>
  <c r="EN37" i="19"/>
  <c r="AL36" i="20"/>
  <c r="AO36" i="20" s="1"/>
  <c r="ED37" i="19"/>
  <c r="AJ36" i="20"/>
  <c r="AK36" i="20" s="1"/>
  <c r="Y17" i="20"/>
  <c r="BH17" i="20" s="1"/>
  <c r="Y25" i="20"/>
  <c r="BH25" i="20" s="1"/>
  <c r="BG28" i="20"/>
  <c r="II8" i="19"/>
  <c r="FJ75" i="19"/>
  <c r="CF7" i="20"/>
  <c r="II45" i="19" s="1"/>
  <c r="BG15" i="20"/>
  <c r="BQ15" i="20" s="1"/>
  <c r="BS15" i="20" s="1"/>
  <c r="BG29" i="20"/>
  <c r="BQ29" i="20" s="1"/>
  <c r="BS29" i="20" s="1"/>
  <c r="Y33" i="20"/>
  <c r="BH33" i="20" s="1"/>
  <c r="EN17" i="19"/>
  <c r="Y24" i="20"/>
  <c r="BH24" i="20" s="1"/>
  <c r="Y26" i="20"/>
  <c r="BH26" i="20" s="1"/>
  <c r="Y16" i="20"/>
  <c r="BH16" i="20" s="1"/>
  <c r="BG21" i="20"/>
  <c r="BQ21" i="20" s="1"/>
  <c r="BS21" i="20" s="1"/>
  <c r="BG33" i="20"/>
  <c r="BQ33" i="20" s="1"/>
  <c r="BS33" i="20" s="1"/>
  <c r="BG31" i="20"/>
  <c r="BQ32" i="22"/>
  <c r="BS32" i="22" s="1"/>
  <c r="BG32" i="20"/>
  <c r="Y32" i="20"/>
  <c r="BH32" i="20" s="1"/>
  <c r="BG30" i="20"/>
  <c r="BQ30" i="20" s="1"/>
  <c r="BS30" i="20" s="1"/>
  <c r="BG26" i="20"/>
  <c r="AJ17" i="20"/>
  <c r="AK17" i="20" s="1"/>
  <c r="BG22" i="20"/>
  <c r="BQ22" i="20" s="1"/>
  <c r="BS22" i="20" s="1"/>
  <c r="CL8" i="19"/>
  <c r="S7" i="20"/>
  <c r="V7" i="20" s="1"/>
  <c r="Y12" i="20"/>
  <c r="BH12" i="20" s="1"/>
  <c r="FK63" i="19"/>
  <c r="FM63" i="19" s="1"/>
  <c r="AL20" i="20"/>
  <c r="AO20" i="20" s="1"/>
  <c r="BG19" i="20"/>
  <c r="AO22" i="22"/>
  <c r="Y28" i="20"/>
  <c r="BH28" i="20" s="1"/>
  <c r="BG11" i="20"/>
  <c r="BQ11" i="20" s="1"/>
  <c r="BS11" i="20" s="1"/>
  <c r="BG34" i="20"/>
  <c r="BQ34" i="20" s="1"/>
  <c r="BS34" i="20" s="1"/>
  <c r="Y27" i="20"/>
  <c r="BH27" i="20" s="1"/>
  <c r="BT38" i="20"/>
  <c r="C61" i="20" s="1"/>
  <c r="BH17" i="22"/>
  <c r="AJ19" i="20"/>
  <c r="AK19" i="20" s="1"/>
  <c r="AJ20" i="20"/>
  <c r="AK20" i="20" s="1"/>
  <c r="Y14" i="20"/>
  <c r="BH14" i="20" s="1"/>
  <c r="CC38" i="22"/>
  <c r="BX46" i="22" s="1"/>
  <c r="AO13" i="22"/>
  <c r="V25" i="22"/>
  <c r="GU27" i="21" s="1"/>
  <c r="BQ35" i="22"/>
  <c r="BS35" i="22" s="1"/>
  <c r="AA38" i="20"/>
  <c r="C53" i="20" s="1"/>
  <c r="BQ34" i="22"/>
  <c r="O38" i="22"/>
  <c r="Y30" i="20"/>
  <c r="BH30" i="20" s="1"/>
  <c r="AO24" i="22"/>
  <c r="BG13" i="20"/>
  <c r="BQ13" i="20" s="1"/>
  <c r="BS13" i="20" s="1"/>
  <c r="BG25" i="20"/>
  <c r="BQ25" i="20" s="1"/>
  <c r="BS25" i="20" s="1"/>
  <c r="BU38" i="22"/>
  <c r="C62" i="22" s="1"/>
  <c r="AF38" i="22"/>
  <c r="C59" i="22" s="1"/>
  <c r="Y13" i="20"/>
  <c r="BH13" i="20" s="1"/>
  <c r="AE38" i="22"/>
  <c r="C58" i="22" s="1"/>
  <c r="BH28" i="22"/>
  <c r="BG27" i="20"/>
  <c r="BQ27" i="20" s="1"/>
  <c r="BS27" i="20" s="1"/>
  <c r="DG23" i="19"/>
  <c r="CE38" i="20"/>
  <c r="BX48" i="20" s="1"/>
  <c r="BX38" i="22"/>
  <c r="BX41" i="22" s="1"/>
  <c r="AJ18" i="20"/>
  <c r="AK18" i="20" s="1"/>
  <c r="BU38" i="20"/>
  <c r="C62" i="20" s="1"/>
  <c r="II21" i="19"/>
  <c r="X38" i="22"/>
  <c r="Y19" i="20"/>
  <c r="BH19" i="20" s="1"/>
  <c r="Y20" i="20"/>
  <c r="BH20" i="20" s="1"/>
  <c r="T38" i="22"/>
  <c r="AA38" i="22"/>
  <c r="C53" i="22" s="1"/>
  <c r="BO7" i="22"/>
  <c r="CF13" i="20"/>
  <c r="AR22" i="20"/>
  <c r="AS22" i="20" s="1"/>
  <c r="BM22" i="20" s="1"/>
  <c r="BL22" i="22"/>
  <c r="BM22" i="22" s="1"/>
  <c r="BO22" i="22" s="1"/>
  <c r="CF35" i="20"/>
  <c r="II73" i="19" s="1"/>
  <c r="BD29" i="19"/>
  <c r="B34" i="20"/>
  <c r="CF22" i="20"/>
  <c r="AR14" i="20"/>
  <c r="AS14" i="20" s="1"/>
  <c r="BL14" i="20" s="1"/>
  <c r="DG12" i="19"/>
  <c r="B23" i="20"/>
  <c r="G23" i="20"/>
  <c r="J11" i="20"/>
  <c r="KG26" i="19"/>
  <c r="G36" i="20"/>
  <c r="N36" i="20" s="1"/>
  <c r="AL11" i="20"/>
  <c r="AO11" i="20" s="1"/>
  <c r="AO11" i="22"/>
  <c r="AL12" i="20"/>
  <c r="AO12" i="20" s="1"/>
  <c r="AO12" i="22"/>
  <c r="F38" i="20"/>
  <c r="BH19" i="22"/>
  <c r="BT38" i="22"/>
  <c r="C61" i="22" s="1"/>
  <c r="BQ12" i="22"/>
  <c r="BS12" i="22" s="1"/>
  <c r="V14" i="22"/>
  <c r="BH34" i="22"/>
  <c r="G20" i="20"/>
  <c r="II33" i="19"/>
  <c r="DG31" i="19"/>
  <c r="V30" i="22"/>
  <c r="CF30" i="20"/>
  <c r="AR20" i="20"/>
  <c r="AS20" i="20" s="1"/>
  <c r="BL20" i="20" s="1"/>
  <c r="BM20" i="20" s="1"/>
  <c r="G35" i="20"/>
  <c r="AR8" i="20"/>
  <c r="AS8" i="20" s="1"/>
  <c r="Y15" i="20"/>
  <c r="BH15" i="20" s="1"/>
  <c r="AQ38" i="20"/>
  <c r="AO16" i="20"/>
  <c r="B35" i="20"/>
  <c r="G33" i="20"/>
  <c r="AR30" i="20"/>
  <c r="AS30" i="20" s="1"/>
  <c r="CL36" i="19"/>
  <c r="B30" i="20"/>
  <c r="DG33" i="19"/>
  <c r="V32" i="22"/>
  <c r="GU34" i="21" s="1"/>
  <c r="AJ11" i="20"/>
  <c r="AK11" i="20" s="1"/>
  <c r="C38" i="22"/>
  <c r="AC38" i="22"/>
  <c r="C56" i="22" s="1"/>
  <c r="BS8" i="22"/>
  <c r="CF33" i="20"/>
  <c r="CF29" i="20"/>
  <c r="II67" i="19" s="1"/>
  <c r="BH32" i="22"/>
  <c r="BQ30" i="22"/>
  <c r="BS30" i="22" s="1"/>
  <c r="DG28" i="19"/>
  <c r="V27" i="22"/>
  <c r="DG22" i="19"/>
  <c r="V21" i="22"/>
  <c r="B32" i="20"/>
  <c r="DG32" i="19"/>
  <c r="V31" i="22"/>
  <c r="DG16" i="19"/>
  <c r="V15" i="22"/>
  <c r="AR10" i="20"/>
  <c r="AS10" i="20" s="1"/>
  <c r="BL10" i="20" s="1"/>
  <c r="AN38" i="20"/>
  <c r="B11" i="20"/>
  <c r="B31" i="20"/>
  <c r="G32" i="20"/>
  <c r="CF26" i="20"/>
  <c r="AR15" i="20"/>
  <c r="AS15" i="20" s="1"/>
  <c r="BL15" i="20" s="1"/>
  <c r="B22" i="20"/>
  <c r="CF12" i="20"/>
  <c r="II50" i="19" s="1"/>
  <c r="S22" i="20"/>
  <c r="V22" i="20" s="1"/>
  <c r="V22" i="22"/>
  <c r="B25" i="20"/>
  <c r="AJ10" i="20"/>
  <c r="AK10" i="20" s="1"/>
  <c r="AK10" i="22"/>
  <c r="BH25" i="22"/>
  <c r="AO30" i="22"/>
  <c r="GU32" i="21" s="1"/>
  <c r="AO21" i="22"/>
  <c r="AO23" i="22"/>
  <c r="FT25" i="19"/>
  <c r="FM25" i="19" s="1"/>
  <c r="CF14" i="20"/>
  <c r="II52" i="19" s="1"/>
  <c r="G31" i="20"/>
  <c r="G29" i="20"/>
  <c r="G22" i="20"/>
  <c r="CD38" i="20"/>
  <c r="BX47" i="20" s="1"/>
  <c r="AV38" i="20"/>
  <c r="G8" i="20"/>
  <c r="M38" i="20"/>
  <c r="AR13" i="20"/>
  <c r="AS13" i="20" s="1"/>
  <c r="G10" i="20"/>
  <c r="B10" i="20"/>
  <c r="G30" i="20"/>
  <c r="CF21" i="20"/>
  <c r="II59" i="19" s="1"/>
  <c r="AR23" i="20"/>
  <c r="AS23" i="20" s="1"/>
  <c r="J31" i="20"/>
  <c r="B26" i="20"/>
  <c r="AL10" i="20"/>
  <c r="AO10" i="20" s="1"/>
  <c r="AO10" i="22"/>
  <c r="AO34" i="22"/>
  <c r="BQ29" i="22"/>
  <c r="BS29" i="22" s="1"/>
  <c r="AO28" i="22"/>
  <c r="G11" i="20"/>
  <c r="AR35" i="20"/>
  <c r="AS35" i="20" s="1"/>
  <c r="BM35" i="20" s="1"/>
  <c r="G25" i="20"/>
  <c r="DG25" i="19"/>
  <c r="V24" i="22"/>
  <c r="CF23" i="20"/>
  <c r="II61" i="19" s="1"/>
  <c r="II11" i="19"/>
  <c r="B33" i="20"/>
  <c r="AO22" i="19"/>
  <c r="CF20" i="20"/>
  <c r="II58" i="19" s="1"/>
  <c r="B8" i="20"/>
  <c r="B36" i="20"/>
  <c r="DG21" i="19"/>
  <c r="V20" i="22"/>
  <c r="Z38" i="22"/>
  <c r="C55" i="22" s="1"/>
  <c r="AU38" i="22"/>
  <c r="AQ38" i="22"/>
  <c r="BQ14" i="22"/>
  <c r="BS14" i="22" s="1"/>
  <c r="AO31" i="22"/>
  <c r="FA21" i="19"/>
  <c r="AR32" i="20"/>
  <c r="AS32" i="20" s="1"/>
  <c r="BM32" i="20" s="1"/>
  <c r="FJ66" i="19"/>
  <c r="AD38" i="20"/>
  <c r="C57" i="20" s="1"/>
  <c r="DG14" i="19"/>
  <c r="V13" i="22"/>
  <c r="B13" i="20"/>
  <c r="BD16" i="19"/>
  <c r="AR11" i="20"/>
  <c r="AS11" i="20" s="1"/>
  <c r="BL11" i="20" s="1"/>
  <c r="J8" i="20"/>
  <c r="EN8" i="19"/>
  <c r="AR29" i="20"/>
  <c r="AS29" i="20" s="1"/>
  <c r="J10" i="20"/>
  <c r="D38" i="22"/>
  <c r="N13" i="22"/>
  <c r="V34" i="22"/>
  <c r="AO29" i="22"/>
  <c r="BH23" i="22"/>
  <c r="AR28" i="20"/>
  <c r="AS28" i="20" s="1"/>
  <c r="G28" i="20"/>
  <c r="FT14" i="19"/>
  <c r="FM14" i="19" s="1"/>
  <c r="DG13" i="19"/>
  <c r="V12" i="22"/>
  <c r="G24" i="20"/>
  <c r="AR12" i="20"/>
  <c r="AS12" i="20" s="1"/>
  <c r="BL12" i="20" s="1"/>
  <c r="BM12" i="20" s="1"/>
  <c r="BL12" i="22"/>
  <c r="BM12" i="22" s="1"/>
  <c r="BO12" i="22" s="1"/>
  <c r="B24" i="20"/>
  <c r="AT27" i="20"/>
  <c r="AR26" i="20"/>
  <c r="AS26" i="20" s="1"/>
  <c r="BM26" i="20" s="1"/>
  <c r="AO8" i="19"/>
  <c r="S23" i="20"/>
  <c r="V23" i="20" s="1"/>
  <c r="V23" i="22"/>
  <c r="AR21" i="20"/>
  <c r="AS21" i="20" s="1"/>
  <c r="BM21" i="20" s="1"/>
  <c r="AI38" i="22"/>
  <c r="AG38" i="22"/>
  <c r="C60" i="22" s="1"/>
  <c r="AO35" i="22"/>
  <c r="GU37" i="21" s="1"/>
  <c r="V11" i="22"/>
  <c r="B15" i="20"/>
  <c r="AJ12" i="20"/>
  <c r="AK12" i="20" s="1"/>
  <c r="KG35" i="19"/>
  <c r="CF31" i="20"/>
  <c r="Z38" i="20"/>
  <c r="C55" i="20" s="1"/>
  <c r="B21" i="20"/>
  <c r="G15" i="20"/>
  <c r="AZ22" i="20"/>
  <c r="AR34" i="20"/>
  <c r="AS34" i="20" s="1"/>
  <c r="AK13" i="19"/>
  <c r="DH13" i="19" s="1"/>
  <c r="AO15" i="19"/>
  <c r="B20" i="20"/>
  <c r="AJ8" i="20"/>
  <c r="AK8" i="20" s="1"/>
  <c r="S29" i="20"/>
  <c r="V29" i="20" s="1"/>
  <c r="V29" i="22"/>
  <c r="AL14" i="20"/>
  <c r="AO14" i="20" s="1"/>
  <c r="AO14" i="22"/>
  <c r="BQ22" i="22"/>
  <c r="BS22" i="22" s="1"/>
  <c r="AO27" i="22"/>
  <c r="GU29" i="21" s="1"/>
  <c r="BQ21" i="22"/>
  <c r="BS21" i="22" s="1"/>
  <c r="V28" i="22"/>
  <c r="FA27" i="19"/>
  <c r="CF28" i="20"/>
  <c r="AR24" i="20"/>
  <c r="AS24" i="20" s="1"/>
  <c r="BL24" i="22"/>
  <c r="BM24" i="22" s="1"/>
  <c r="BO24" i="22" s="1"/>
  <c r="DG9" i="19"/>
  <c r="BF38" i="20"/>
  <c r="B14" i="20"/>
  <c r="AT25" i="20"/>
  <c r="CF8" i="20"/>
  <c r="II46" i="19" s="1"/>
  <c r="AL8" i="20"/>
  <c r="AO8" i="20" s="1"/>
  <c r="AO8" i="22"/>
  <c r="GU8" i="21" s="1"/>
  <c r="AO17" i="22"/>
  <c r="AX38" i="22"/>
  <c r="BQ24" i="22"/>
  <c r="BS24" i="22" s="1"/>
  <c r="BH21" i="22"/>
  <c r="AO26" i="22"/>
  <c r="V35" i="22"/>
  <c r="BH22" i="22"/>
  <c r="BH8" i="22"/>
  <c r="B28" i="20"/>
  <c r="FA30" i="19"/>
  <c r="ED13" i="19"/>
  <c r="B29" i="20"/>
  <c r="CF27" i="20"/>
  <c r="AT8" i="20"/>
  <c r="ED8" i="19"/>
  <c r="AR33" i="20"/>
  <c r="AS33" i="20" s="1"/>
  <c r="BM33" i="20" s="1"/>
  <c r="BL33" i="22"/>
  <c r="BM33" i="22" s="1"/>
  <c r="BO33" i="22" s="1"/>
  <c r="E38" i="22"/>
  <c r="U38" i="22"/>
  <c r="AO20" i="22"/>
  <c r="GU22" i="21" s="1"/>
  <c r="BH33" i="22"/>
  <c r="BQ15" i="22"/>
  <c r="BS15" i="22" s="1"/>
  <c r="AO33" i="22"/>
  <c r="BH27" i="22"/>
  <c r="AR27" i="20"/>
  <c r="AS27" i="20" s="1"/>
  <c r="AR25" i="20"/>
  <c r="AS25" i="20" s="1"/>
  <c r="BM25" i="20" s="1"/>
  <c r="BL25" i="22"/>
  <c r="BM25" i="22" s="1"/>
  <c r="BO25" i="22" s="1"/>
  <c r="AR31" i="20"/>
  <c r="AS31" i="20" s="1"/>
  <c r="B12" i="20"/>
  <c r="B27" i="20"/>
  <c r="AO34" i="19"/>
  <c r="DG27" i="19"/>
  <c r="V26" i="22"/>
  <c r="CF24" i="20"/>
  <c r="II62" i="19" s="1"/>
  <c r="AK8" i="19"/>
  <c r="DH8" i="19" s="1"/>
  <c r="G21" i="20"/>
  <c r="BD24" i="19"/>
  <c r="AL15" i="20"/>
  <c r="AO15" i="20" s="1"/>
  <c r="AO15" i="22"/>
  <c r="GU17" i="21" s="1"/>
  <c r="AB38" i="20"/>
  <c r="C54" i="20" s="1"/>
  <c r="AO19" i="22"/>
  <c r="Y13" i="22"/>
  <c r="BH13" i="22" s="1"/>
  <c r="BH30" i="22"/>
  <c r="V33" i="22"/>
  <c r="BQ27" i="22"/>
  <c r="BS27" i="22" s="1"/>
  <c r="BZ38" i="22"/>
  <c r="BX43" i="22" s="1"/>
  <c r="CA38" i="22"/>
  <c r="BX44" i="22" s="1"/>
  <c r="AO18" i="20"/>
  <c r="CB38" i="22"/>
  <c r="BX45" i="22" s="1"/>
  <c r="BQ18" i="22"/>
  <c r="BS18" i="22" s="1"/>
  <c r="BF38" i="22"/>
  <c r="BQ19" i="22"/>
  <c r="BS19" i="22" s="1"/>
  <c r="AR19" i="20"/>
  <c r="AS19" i="20" s="1"/>
  <c r="AT19" i="20"/>
  <c r="AR18" i="20"/>
  <c r="AS18" i="20" s="1"/>
  <c r="BL18" i="22"/>
  <c r="AV38" i="22"/>
  <c r="AN38" i="22"/>
  <c r="AO18" i="22"/>
  <c r="AM38" i="20"/>
  <c r="II20" i="19"/>
  <c r="CF18" i="20"/>
  <c r="AD38" i="22"/>
  <c r="C57" i="22" s="1"/>
  <c r="V19" i="22"/>
  <c r="R38" i="20"/>
  <c r="P38" i="22"/>
  <c r="DG19" i="19"/>
  <c r="V18" i="22"/>
  <c r="AB38" i="22"/>
  <c r="C54" i="22" s="1"/>
  <c r="J19" i="20"/>
  <c r="H38" i="22"/>
  <c r="G19" i="20"/>
  <c r="C38" i="20"/>
  <c r="B19" i="20"/>
  <c r="F38" i="22"/>
  <c r="B18" i="20"/>
  <c r="BZ38" i="20"/>
  <c r="BX43" i="20" s="1"/>
  <c r="CE38" i="22"/>
  <c r="BX48" i="22" s="1"/>
  <c r="CD38" i="22"/>
  <c r="BX47" i="22" s="1"/>
  <c r="CB38" i="20"/>
  <c r="BX45" i="20" s="1"/>
  <c r="BY38" i="22"/>
  <c r="BX42" i="22" s="1"/>
  <c r="BE38" i="22"/>
  <c r="BQ17" i="22"/>
  <c r="BS17" i="22" s="1"/>
  <c r="BC38" i="22"/>
  <c r="AR16" i="20"/>
  <c r="AS16" i="20" s="1"/>
  <c r="AR17" i="20"/>
  <c r="AS17" i="20" s="1"/>
  <c r="AP38" i="22"/>
  <c r="BA38" i="22"/>
  <c r="FU17" i="19"/>
  <c r="AT16" i="20"/>
  <c r="AM38" i="22"/>
  <c r="AO16" i="22"/>
  <c r="AH38" i="22"/>
  <c r="CF17" i="20"/>
  <c r="II55" i="19" s="1"/>
  <c r="CF16" i="20"/>
  <c r="II54" i="19" s="1"/>
  <c r="W38" i="22"/>
  <c r="R38" i="22"/>
  <c r="Q38" i="20"/>
  <c r="Q38" i="22"/>
  <c r="V16" i="22"/>
  <c r="DG18" i="19"/>
  <c r="V17" i="22"/>
  <c r="L38" i="20"/>
  <c r="G16" i="20"/>
  <c r="B16" i="20"/>
  <c r="B17" i="20"/>
  <c r="EN12" i="19"/>
  <c r="KG23" i="19"/>
  <c r="II23" i="19"/>
  <c r="AK22" i="19"/>
  <c r="DH22" i="19" s="1"/>
  <c r="FD26" i="19"/>
  <c r="KG22" i="19"/>
  <c r="EN13" i="19"/>
  <c r="EN11" i="19"/>
  <c r="J14" i="20"/>
  <c r="BL13" i="20"/>
  <c r="BM13" i="20" s="1"/>
  <c r="S26" i="20"/>
  <c r="V26" i="20" s="1"/>
  <c r="KG28" i="19"/>
  <c r="II28" i="19"/>
  <c r="FK68" i="19"/>
  <c r="FM68" i="19" s="1"/>
  <c r="ED12" i="19"/>
  <c r="CL33" i="19"/>
  <c r="S32" i="20"/>
  <c r="V32" i="20" s="1"/>
  <c r="FJ51" i="19"/>
  <c r="FL51" i="19" s="1"/>
  <c r="FK51" i="19"/>
  <c r="FM51" i="19" s="1"/>
  <c r="FL50" i="19"/>
  <c r="FK50" i="19"/>
  <c r="FM50" i="19" s="1"/>
  <c r="BB12" i="20" s="1"/>
  <c r="G12" i="20"/>
  <c r="BQ23" i="20"/>
  <c r="BS23" i="20" s="1"/>
  <c r="BQ10" i="20"/>
  <c r="BS10" i="20" s="1"/>
  <c r="FM61" i="19"/>
  <c r="CL24" i="19"/>
  <c r="BQ32" i="20"/>
  <c r="BS32" i="20" s="1"/>
  <c r="BQ36" i="20"/>
  <c r="BS36" i="20" s="1"/>
  <c r="BQ35" i="20"/>
  <c r="BS35" i="20" s="1"/>
  <c r="BQ17" i="20"/>
  <c r="BS17" i="20" s="1"/>
  <c r="BQ16" i="20"/>
  <c r="BS16" i="20" s="1"/>
  <c r="BQ28" i="20"/>
  <c r="BS28" i="20" s="1"/>
  <c r="BQ31" i="20"/>
  <c r="BS31" i="20" s="1"/>
  <c r="BQ18" i="20"/>
  <c r="BS18" i="20" s="1"/>
  <c r="BQ24" i="20"/>
  <c r="BS24" i="20" s="1"/>
  <c r="BQ14" i="20"/>
  <c r="BS14" i="20" s="1"/>
  <c r="BQ26" i="20"/>
  <c r="BS26" i="20" s="1"/>
  <c r="DG24" i="19"/>
  <c r="BQ12" i="20"/>
  <c r="BS12" i="20" s="1"/>
  <c r="BQ19" i="20"/>
  <c r="BS19" i="20" s="1"/>
  <c r="BQ20" i="20"/>
  <c r="BS20" i="20" s="1"/>
  <c r="FK48" i="19"/>
  <c r="FM48" i="19" s="1"/>
  <c r="FJ48" i="19"/>
  <c r="FL48" i="19" s="1"/>
  <c r="KG13" i="19"/>
  <c r="AK30" i="20"/>
  <c r="AK22" i="20"/>
  <c r="AK13" i="20"/>
  <c r="AK32" i="20"/>
  <c r="AK34" i="20"/>
  <c r="AK29" i="20"/>
  <c r="AK23" i="20"/>
  <c r="AK24" i="20"/>
  <c r="FB76" i="19"/>
  <c r="FD76" i="19" s="1"/>
  <c r="CL27" i="19"/>
  <c r="FK73" i="19"/>
  <c r="FM73" i="19" s="1"/>
  <c r="II26" i="19"/>
  <c r="BP38" i="20"/>
  <c r="BS9" i="20"/>
  <c r="BL9" i="20"/>
  <c r="BM9" i="20" s="1"/>
  <c r="BO9" i="20" s="1"/>
  <c r="CF25" i="20"/>
  <c r="II63" i="19" s="1"/>
  <c r="ED10" i="19"/>
  <c r="AJ9" i="20"/>
  <c r="EN10" i="19"/>
  <c r="AL9" i="20"/>
  <c r="AO9" i="20" s="1"/>
  <c r="AO24" i="19"/>
  <c r="FJ71" i="19"/>
  <c r="FL71" i="19" s="1"/>
  <c r="FL53" i="19"/>
  <c r="FM70" i="19"/>
  <c r="FN70" i="19" s="1"/>
  <c r="BD11" i="19"/>
  <c r="AO11" i="19"/>
  <c r="CL30" i="19"/>
  <c r="FK64" i="19"/>
  <c r="FM64" i="19" s="1"/>
  <c r="BD22" i="19"/>
  <c r="DG30" i="19"/>
  <c r="AO29" i="19"/>
  <c r="FU23" i="19"/>
  <c r="FT23" i="19"/>
  <c r="FM23" i="19" s="1"/>
  <c r="J28" i="20"/>
  <c r="BD32" i="19"/>
  <c r="FM75" i="19"/>
  <c r="J33" i="20"/>
  <c r="BM14" i="20"/>
  <c r="II17" i="19"/>
  <c r="S20" i="20"/>
  <c r="V20" i="20" s="1"/>
  <c r="J23" i="20"/>
  <c r="FJ74" i="19"/>
  <c r="FL74" i="19" s="1"/>
  <c r="BL8" i="20"/>
  <c r="BO8" i="20" s="1"/>
  <c r="AK17" i="19"/>
  <c r="DH17" i="19" s="1"/>
  <c r="FK53" i="19"/>
  <c r="FM53" i="19" s="1"/>
  <c r="AG37" i="20"/>
  <c r="AG38" i="20" s="1"/>
  <c r="C60" i="20" s="1"/>
  <c r="FD10" i="19"/>
  <c r="FA10" i="19"/>
  <c r="AO32" i="19"/>
  <c r="KG27" i="19"/>
  <c r="J15" i="20"/>
  <c r="AK16" i="19"/>
  <c r="DH16" i="19" s="1"/>
  <c r="S35" i="20"/>
  <c r="V35" i="20" s="1"/>
  <c r="KG17" i="19"/>
  <c r="FU10" i="19"/>
  <c r="FT10" i="19"/>
  <c r="FM10" i="19" s="1"/>
  <c r="AZ9" i="20"/>
  <c r="BD15" i="19"/>
  <c r="ED9" i="19"/>
  <c r="EN9" i="19"/>
  <c r="J7" i="20"/>
  <c r="N7" i="20" s="1"/>
  <c r="FJ46" i="19"/>
  <c r="FL46" i="19" s="1"/>
  <c r="FK47" i="19"/>
  <c r="FM47" i="19" s="1"/>
  <c r="AJ7" i="20"/>
  <c r="AK31" i="19"/>
  <c r="DH31" i="19" s="1"/>
  <c r="FD9" i="19"/>
  <c r="II9" i="19"/>
  <c r="KG9" i="19"/>
  <c r="BD9" i="19"/>
  <c r="AO9" i="19"/>
  <c r="AL7" i="20"/>
  <c r="AO7" i="20" s="1"/>
  <c r="II15" i="19"/>
  <c r="FK57" i="19"/>
  <c r="FM57" i="19" s="1"/>
  <c r="FG8" i="19"/>
  <c r="KG31" i="19"/>
  <c r="II32" i="19"/>
  <c r="II71" i="19"/>
  <c r="AK37" i="19"/>
  <c r="DH37" i="19" s="1"/>
  <c r="BD8" i="19"/>
  <c r="FA20" i="19"/>
  <c r="FA9" i="19"/>
  <c r="FA28" i="19"/>
  <c r="FD20" i="19"/>
  <c r="FM74" i="19"/>
  <c r="AK26" i="20"/>
  <c r="P38" i="20"/>
  <c r="E38" i="20"/>
  <c r="II47" i="19"/>
  <c r="V9" i="20"/>
  <c r="II65" i="19"/>
  <c r="II64" i="19"/>
  <c r="ED30" i="19"/>
  <c r="ED31" i="19"/>
  <c r="FJ61" i="19"/>
  <c r="FL61" i="19" s="1"/>
  <c r="FL67" i="19"/>
  <c r="AK33" i="20"/>
  <c r="AZ16" i="20"/>
  <c r="AX38" i="20"/>
  <c r="BC38" i="20"/>
  <c r="FA17" i="19"/>
  <c r="FT17" i="19"/>
  <c r="FM17" i="19" s="1"/>
  <c r="FD17" i="19"/>
  <c r="FB45" i="19"/>
  <c r="FD45" i="19" s="1"/>
  <c r="FK45" i="19" s="1"/>
  <c r="FM45" i="19" s="1"/>
  <c r="FT19" i="19"/>
  <c r="FM19" i="19" s="1"/>
  <c r="FM65" i="19"/>
  <c r="FL65" i="19"/>
  <c r="FL68" i="19"/>
  <c r="FL73" i="19"/>
  <c r="FM46" i="19"/>
  <c r="FM71" i="19"/>
  <c r="EG39" i="19"/>
  <c r="ED33" i="19"/>
  <c r="AK25" i="20"/>
  <c r="AK21" i="20"/>
  <c r="AK14" i="20"/>
  <c r="AK28" i="20"/>
  <c r="KG19" i="19"/>
  <c r="II14" i="19"/>
  <c r="II25" i="19"/>
  <c r="II51" i="19"/>
  <c r="KG24" i="19"/>
  <c r="KG14" i="19"/>
  <c r="KG25" i="19"/>
  <c r="II22" i="19"/>
  <c r="II27" i="19"/>
  <c r="II19" i="19"/>
  <c r="II16" i="19"/>
  <c r="II29" i="19"/>
  <c r="KG36" i="19"/>
  <c r="CX39" i="19"/>
  <c r="CP39" i="19"/>
  <c r="CK39" i="19"/>
  <c r="DG36" i="19"/>
  <c r="J21" i="20"/>
  <c r="AO16" i="19"/>
  <c r="BD20" i="19"/>
  <c r="AO20" i="19"/>
  <c r="AO12" i="19"/>
  <c r="BD12" i="19"/>
  <c r="BD34" i="19"/>
  <c r="AN39" i="19"/>
  <c r="AJ39" i="19"/>
  <c r="AF39" i="19"/>
  <c r="AK34" i="19"/>
  <c r="DH34" i="19" s="1"/>
  <c r="AK33" i="19"/>
  <c r="DH33" i="19" s="1"/>
  <c r="AK24" i="19"/>
  <c r="DH24" i="19" s="1"/>
  <c r="AK30" i="19"/>
  <c r="DH30" i="19" s="1"/>
  <c r="AK12" i="19"/>
  <c r="DH12" i="19" s="1"/>
  <c r="AK36" i="19"/>
  <c r="DH36" i="19" s="1"/>
  <c r="AK21" i="19"/>
  <c r="DH21" i="19" s="1"/>
  <c r="X39" i="19"/>
  <c r="AK9" i="19"/>
  <c r="DH9" i="19" s="1"/>
  <c r="FK72" i="19"/>
  <c r="FM72" i="19" s="1"/>
  <c r="FJ72" i="19"/>
  <c r="FL72" i="19" s="1"/>
  <c r="II31" i="19"/>
  <c r="FK58" i="19"/>
  <c r="FM58" i="19" s="1"/>
  <c r="FJ58" i="19"/>
  <c r="FL58" i="19" s="1"/>
  <c r="G13" i="20"/>
  <c r="AK14" i="19"/>
  <c r="DH14" i="19" s="1"/>
  <c r="DG29" i="19"/>
  <c r="AT28" i="20"/>
  <c r="FD29" i="19"/>
  <c r="FA29" i="19"/>
  <c r="G34" i="20"/>
  <c r="AK35" i="19"/>
  <c r="DH35" i="19" s="1"/>
  <c r="AT24" i="20"/>
  <c r="FD25" i="19"/>
  <c r="AZ26" i="20"/>
  <c r="FU27" i="19"/>
  <c r="FT27" i="19"/>
  <c r="FM27" i="19" s="1"/>
  <c r="FL75" i="19"/>
  <c r="AL24" i="20"/>
  <c r="AO24" i="20" s="1"/>
  <c r="EN25" i="19"/>
  <c r="AL26" i="20"/>
  <c r="AO26" i="20" s="1"/>
  <c r="EN27" i="19"/>
  <c r="J26" i="20"/>
  <c r="AO27" i="19"/>
  <c r="BD27" i="19"/>
  <c r="AL29" i="20"/>
  <c r="AO29" i="20" s="1"/>
  <c r="EN30" i="19"/>
  <c r="AL19" i="20"/>
  <c r="AO19" i="20" s="1"/>
  <c r="EN20" i="19"/>
  <c r="II36" i="19"/>
  <c r="CF19" i="20"/>
  <c r="KG20" i="19"/>
  <c r="S15" i="20"/>
  <c r="V15" i="20" s="1"/>
  <c r="CL16" i="19"/>
  <c r="EC39" i="19"/>
  <c r="S12" i="20"/>
  <c r="V12" i="20" s="1"/>
  <c r="CL13" i="19"/>
  <c r="AU38" i="20"/>
  <c r="ED19" i="19"/>
  <c r="S19" i="20"/>
  <c r="V19" i="20" s="1"/>
  <c r="CL20" i="19"/>
  <c r="AT23" i="20"/>
  <c r="FD24" i="19"/>
  <c r="AJ16" i="20"/>
  <c r="ED17" i="19"/>
  <c r="ED18" i="19"/>
  <c r="J12" i="20"/>
  <c r="BD13" i="19"/>
  <c r="AO13" i="19"/>
  <c r="T38" i="20"/>
  <c r="FA25" i="19"/>
  <c r="AC38" i="20"/>
  <c r="C56" i="20" s="1"/>
  <c r="KG29" i="19"/>
  <c r="J22" i="20"/>
  <c r="AO23" i="19"/>
  <c r="BD23" i="19"/>
  <c r="AT26" i="20"/>
  <c r="FD27" i="19"/>
  <c r="AL34" i="20"/>
  <c r="AO34" i="20" s="1"/>
  <c r="EN35" i="19"/>
  <c r="ED25" i="19"/>
  <c r="AL35" i="20"/>
  <c r="AO35" i="20" s="1"/>
  <c r="EN36" i="19"/>
  <c r="AK29" i="19"/>
  <c r="DH29" i="19" s="1"/>
  <c r="CF32" i="20"/>
  <c r="II70" i="19" s="1"/>
  <c r="KG33" i="19"/>
  <c r="S33" i="20"/>
  <c r="V33" i="20" s="1"/>
  <c r="CL34" i="19"/>
  <c r="AJ31" i="20"/>
  <c r="ED32" i="19"/>
  <c r="G26" i="20"/>
  <c r="AK27" i="19"/>
  <c r="DH27" i="19" s="1"/>
  <c r="AK23" i="19"/>
  <c r="DH23" i="19" s="1"/>
  <c r="DG34" i="19"/>
  <c r="AR7" i="20"/>
  <c r="GG41" i="19"/>
  <c r="CA38" i="20"/>
  <c r="BX44" i="20" s="1"/>
  <c r="S16" i="20"/>
  <c r="V16" i="20" s="1"/>
  <c r="CL17" i="19"/>
  <c r="CF10" i="20"/>
  <c r="II48" i="19" s="1"/>
  <c r="KG11" i="19"/>
  <c r="II24" i="19"/>
  <c r="KG18" i="19"/>
  <c r="S8" i="20"/>
  <c r="V8" i="20" s="1"/>
  <c r="CL9" i="19"/>
  <c r="S11" i="20"/>
  <c r="V11" i="20" s="1"/>
  <c r="CL12" i="19"/>
  <c r="S13" i="20"/>
  <c r="V13" i="20" s="1"/>
  <c r="CL14" i="19"/>
  <c r="X38" i="20"/>
  <c r="CF34" i="20"/>
  <c r="II72" i="19" s="1"/>
  <c r="II35" i="19"/>
  <c r="ED24" i="19"/>
  <c r="J32" i="20"/>
  <c r="BD33" i="19"/>
  <c r="AO33" i="19"/>
  <c r="J34" i="20"/>
  <c r="BD35" i="19"/>
  <c r="AO35" i="19"/>
  <c r="FM67" i="19"/>
  <c r="J24" i="20"/>
  <c r="AO25" i="19"/>
  <c r="BD25" i="19"/>
  <c r="AK32" i="19"/>
  <c r="DH32" i="19" s="1"/>
  <c r="DG20" i="19"/>
  <c r="G27" i="20"/>
  <c r="AK28" i="19"/>
  <c r="DH28" i="19" s="1"/>
  <c r="AZ13" i="20"/>
  <c r="FU14" i="19"/>
  <c r="FK56" i="19"/>
  <c r="FM56" i="19" s="1"/>
  <c r="FJ56" i="19"/>
  <c r="FL56" i="19" s="1"/>
  <c r="AL30" i="20"/>
  <c r="AO30" i="20" s="1"/>
  <c r="EN31" i="19"/>
  <c r="O38" i="20"/>
  <c r="AK20" i="19"/>
  <c r="DH20" i="19" s="1"/>
  <c r="J17" i="20"/>
  <c r="BD18" i="19"/>
  <c r="AO18" i="19"/>
  <c r="W38" i="20"/>
  <c r="Y7" i="20"/>
  <c r="FK49" i="19"/>
  <c r="FM49" i="19" s="1"/>
  <c r="FL49" i="19"/>
  <c r="U38" i="20"/>
  <c r="G17" i="20"/>
  <c r="AK18" i="19"/>
  <c r="DH18" i="19" s="1"/>
  <c r="B7" i="20"/>
  <c r="G39" i="19"/>
  <c r="I38" i="20"/>
  <c r="AK25" i="19"/>
  <c r="DH25" i="19" s="1"/>
  <c r="S17" i="20"/>
  <c r="V17" i="20" s="1"/>
  <c r="CL18" i="19"/>
  <c r="AK26" i="19"/>
  <c r="DH26" i="19" s="1"/>
  <c r="AL28" i="20"/>
  <c r="AO28" i="20" s="1"/>
  <c r="EN29" i="19"/>
  <c r="J18" i="20"/>
  <c r="BD19" i="19"/>
  <c r="AO19" i="19"/>
  <c r="J29" i="20"/>
  <c r="AO30" i="19"/>
  <c r="BD30" i="19"/>
  <c r="FM66" i="19"/>
  <c r="FL64" i="19"/>
  <c r="FL57" i="19"/>
  <c r="AW32" i="20"/>
  <c r="AY32" i="20" s="1"/>
  <c r="AT9" i="20"/>
  <c r="AL17" i="20"/>
  <c r="AO17" i="20" s="1"/>
  <c r="EN18" i="19"/>
  <c r="AK11" i="19"/>
  <c r="DH11" i="19" s="1"/>
  <c r="BX39" i="19"/>
  <c r="AI38" i="20"/>
  <c r="AH38" i="20"/>
  <c r="DB39" i="19"/>
  <c r="CF11" i="20"/>
  <c r="II12" i="19"/>
  <c r="KG12" i="19"/>
  <c r="II53" i="19"/>
  <c r="CF47" i="19"/>
  <c r="CE46" i="19" s="1"/>
  <c r="CF46" i="19" s="1"/>
  <c r="CE45" i="19" s="1"/>
  <c r="CF45" i="19" s="1"/>
  <c r="CE44" i="19" s="1"/>
  <c r="CF44" i="19" s="1"/>
  <c r="CE43" i="19" s="1"/>
  <c r="CF43" i="19" s="1"/>
  <c r="CE42" i="19" s="1"/>
  <c r="CF42" i="19" s="1"/>
  <c r="AL22" i="20"/>
  <c r="AO22" i="20" s="1"/>
  <c r="EN23" i="19"/>
  <c r="S25" i="20"/>
  <c r="V25" i="20" s="1"/>
  <c r="DG26" i="19"/>
  <c r="CL26" i="19"/>
  <c r="AZ24" i="20"/>
  <c r="FU25" i="19"/>
  <c r="FK59" i="19"/>
  <c r="FM59" i="19" s="1"/>
  <c r="FJ59" i="19"/>
  <c r="FL59" i="19" s="1"/>
  <c r="AT17" i="20"/>
  <c r="FD18" i="19"/>
  <c r="AF38" i="20"/>
  <c r="C59" i="20" s="1"/>
  <c r="AT20" i="20"/>
  <c r="FD21" i="19"/>
  <c r="FL47" i="19"/>
  <c r="J27" i="20"/>
  <c r="BD28" i="19"/>
  <c r="AO28" i="19"/>
  <c r="FL63" i="19"/>
  <c r="ED23" i="19"/>
  <c r="FK54" i="19"/>
  <c r="FM54" i="19" s="1"/>
  <c r="FJ54" i="19"/>
  <c r="FL54" i="19" s="1"/>
  <c r="ED36" i="19"/>
  <c r="S31" i="20"/>
  <c r="V31" i="20" s="1"/>
  <c r="CL32" i="19"/>
  <c r="AL25" i="20"/>
  <c r="AO25" i="20" s="1"/>
  <c r="EN26" i="19"/>
  <c r="ED14" i="19"/>
  <c r="AS39" i="19"/>
  <c r="CT39" i="19"/>
  <c r="J20" i="20"/>
  <c r="BD21" i="19"/>
  <c r="AO21" i="19"/>
  <c r="ED26" i="19"/>
  <c r="DG17" i="19"/>
  <c r="H38" i="20"/>
  <c r="ED15" i="19"/>
  <c r="BY38" i="20"/>
  <c r="BX42" i="20" s="1"/>
  <c r="FA24" i="19"/>
  <c r="KG16" i="19"/>
  <c r="AJ15" i="20"/>
  <c r="ED16" i="19"/>
  <c r="AL33" i="20"/>
  <c r="AO33" i="20" s="1"/>
  <c r="EN34" i="19"/>
  <c r="AT29" i="20"/>
  <c r="FD30" i="19"/>
  <c r="S14" i="20"/>
  <c r="V14" i="20" s="1"/>
  <c r="CL15" i="19"/>
  <c r="AL23" i="20"/>
  <c r="AO23" i="20" s="1"/>
  <c r="EN24" i="19"/>
  <c r="AL31" i="20"/>
  <c r="AO31" i="20" s="1"/>
  <c r="EN32" i="19"/>
  <c r="J9" i="20"/>
  <c r="N9" i="20" s="1"/>
  <c r="S10" i="20"/>
  <c r="V10" i="20" s="1"/>
  <c r="CL11" i="19"/>
  <c r="S28" i="20"/>
  <c r="V28" i="20" s="1"/>
  <c r="CL29" i="19"/>
  <c r="R39" i="19"/>
  <c r="AT18" i="20"/>
  <c r="FD19" i="19"/>
  <c r="FA19" i="19"/>
  <c r="AZ20" i="20"/>
  <c r="FU21" i="19"/>
  <c r="J16" i="20"/>
  <c r="BD17" i="19"/>
  <c r="AO17" i="19"/>
  <c r="AK35" i="20"/>
  <c r="AJ27" i="20"/>
  <c r="ED28" i="19"/>
  <c r="AZ18" i="20"/>
  <c r="FU19" i="19"/>
  <c r="S30" i="20"/>
  <c r="V30" i="20" s="1"/>
  <c r="CL31" i="19"/>
  <c r="KG32" i="19"/>
  <c r="FL66" i="19"/>
  <c r="J35" i="20"/>
  <c r="BD36" i="19"/>
  <c r="AO36" i="19"/>
  <c r="S27" i="20"/>
  <c r="V27" i="20" s="1"/>
  <c r="CL28" i="19"/>
  <c r="S18" i="20"/>
  <c r="V18" i="20" s="1"/>
  <c r="CL19" i="19"/>
  <c r="J30" i="20"/>
  <c r="BD31" i="19"/>
  <c r="AO31" i="19"/>
  <c r="J25" i="20"/>
  <c r="BD26" i="19"/>
  <c r="AO26" i="19"/>
  <c r="J13" i="20"/>
  <c r="BD14" i="19"/>
  <c r="AO14" i="19"/>
  <c r="D38" i="20"/>
  <c r="S24" i="20"/>
  <c r="V24" i="20" s="1"/>
  <c r="CL25" i="19"/>
  <c r="DG15" i="19"/>
  <c r="G14" i="20"/>
  <c r="AK15" i="19"/>
  <c r="DH15" i="19" s="1"/>
  <c r="AP38" i="20"/>
  <c r="FT21" i="19"/>
  <c r="FM21" i="19" s="1"/>
  <c r="FK52" i="19"/>
  <c r="FM52" i="19" s="1"/>
  <c r="FJ52" i="19"/>
  <c r="FL52" i="19" s="1"/>
  <c r="FK69" i="19"/>
  <c r="FM69" i="19" s="1"/>
  <c r="FJ69" i="19"/>
  <c r="FL69" i="19" s="1"/>
  <c r="S21" i="20"/>
  <c r="V21" i="20" s="1"/>
  <c r="CL22" i="19"/>
  <c r="FK60" i="19"/>
  <c r="FM60" i="19" s="1"/>
  <c r="FJ60" i="19"/>
  <c r="FL60" i="19" s="1"/>
  <c r="FJ62" i="19"/>
  <c r="FL62" i="19" s="1"/>
  <c r="FK62" i="19"/>
  <c r="FM62" i="19" s="1"/>
  <c r="AL21" i="20"/>
  <c r="AO21" i="20" s="1"/>
  <c r="EN22" i="19"/>
  <c r="AL32" i="20"/>
  <c r="AO32" i="20" s="1"/>
  <c r="EN33" i="19"/>
  <c r="IH39" i="19"/>
  <c r="HI50" i="19" s="1"/>
  <c r="HI52" i="19" s="1"/>
  <c r="AE38" i="20"/>
  <c r="C58" i="20" s="1"/>
  <c r="G18" i="20"/>
  <c r="AK19" i="19"/>
  <c r="DH19" i="19" s="1"/>
  <c r="DG11" i="19"/>
  <c r="FA18" i="19"/>
  <c r="S34" i="20"/>
  <c r="V34" i="20" s="1"/>
  <c r="CL35" i="19"/>
  <c r="FK55" i="19"/>
  <c r="FM55" i="19" s="1"/>
  <c r="FJ55" i="19"/>
  <c r="FL55" i="19" s="1"/>
  <c r="DG35" i="19"/>
  <c r="AL13" i="20"/>
  <c r="AO13" i="20" s="1"/>
  <c r="EN14" i="19"/>
  <c r="AL27" i="20"/>
  <c r="AO27" i="20" s="1"/>
  <c r="EN28" i="19"/>
  <c r="BE38" i="20"/>
  <c r="BG7" i="20"/>
  <c r="II18" i="19"/>
  <c r="CC38" i="20"/>
  <c r="BX46" i="20" s="1"/>
  <c r="K38" i="20"/>
  <c r="BA38" i="20"/>
  <c r="BX38" i="20"/>
  <c r="EQ39" i="19"/>
  <c r="DF39" i="19"/>
  <c r="KG15" i="19"/>
  <c r="L82" i="17"/>
  <c r="N8" i="20" l="1"/>
  <c r="GU33" i="21"/>
  <c r="GU18" i="21"/>
  <c r="GU16" i="21"/>
  <c r="N10" i="20"/>
  <c r="GU31" i="21"/>
  <c r="GU28" i="21"/>
  <c r="GU12" i="21"/>
  <c r="GU20" i="21"/>
  <c r="GU35" i="21"/>
  <c r="GU23" i="21"/>
  <c r="GU24" i="21"/>
  <c r="GU19" i="21"/>
  <c r="GU14" i="21"/>
  <c r="GU25" i="21"/>
  <c r="GU13" i="21"/>
  <c r="GU26" i="21"/>
  <c r="GU30" i="21"/>
  <c r="GU21" i="21"/>
  <c r="GU36" i="21"/>
  <c r="GU15" i="21"/>
  <c r="N35" i="20"/>
  <c r="N11" i="20"/>
  <c r="N33" i="20"/>
  <c r="N32" i="20"/>
  <c r="II69" i="19"/>
  <c r="II68" i="19"/>
  <c r="N29" i="20"/>
  <c r="N28" i="20"/>
  <c r="N24" i="20"/>
  <c r="II60" i="19"/>
  <c r="N22" i="20"/>
  <c r="N31" i="20"/>
  <c r="AZ38" i="22"/>
  <c r="N23" i="20"/>
  <c r="BL19" i="20"/>
  <c r="BM19" i="20" s="1"/>
  <c r="BO19" i="20" s="1"/>
  <c r="N25" i="20"/>
  <c r="BS34" i="22"/>
  <c r="N30" i="20"/>
  <c r="BM15" i="20"/>
  <c r="BO15" i="20" s="1"/>
  <c r="N21" i="20"/>
  <c r="N20" i="20"/>
  <c r="BL32" i="22"/>
  <c r="BB30" i="20"/>
  <c r="BD30" i="20" s="1"/>
  <c r="BL31" i="22"/>
  <c r="BM31" i="22" s="1"/>
  <c r="BO31" i="22" s="1"/>
  <c r="BL26" i="22"/>
  <c r="BM26" i="22" s="1"/>
  <c r="BO26" i="22" s="1"/>
  <c r="BL11" i="22"/>
  <c r="BM11" i="22" s="1"/>
  <c r="BO11" i="22" s="1"/>
  <c r="BL8" i="22"/>
  <c r="BL13" i="22"/>
  <c r="BM13" i="22" s="1"/>
  <c r="BO13" i="22" s="1"/>
  <c r="BL21" i="22"/>
  <c r="BM21" i="22" s="1"/>
  <c r="AW33" i="20"/>
  <c r="AY33" i="20" s="1"/>
  <c r="BQ23" i="22"/>
  <c r="BS23" i="22" s="1"/>
  <c r="BL34" i="22"/>
  <c r="BM34" i="22" s="1"/>
  <c r="BO34" i="22" s="1"/>
  <c r="BB37" i="20"/>
  <c r="BD37" i="20" s="1"/>
  <c r="BQ25" i="22"/>
  <c r="BS25" i="22" s="1"/>
  <c r="BL28" i="22"/>
  <c r="BM28" i="22" s="1"/>
  <c r="BL23" i="22"/>
  <c r="BM23" i="22" s="1"/>
  <c r="BO23" i="22" s="1"/>
  <c r="BL20" i="22"/>
  <c r="BM20" i="22" s="1"/>
  <c r="BO20" i="22" s="1"/>
  <c r="BQ31" i="22"/>
  <c r="BS31" i="22" s="1"/>
  <c r="AW30" i="20"/>
  <c r="AY30" i="20" s="1"/>
  <c r="II66" i="19"/>
  <c r="AW27" i="20"/>
  <c r="AY27" i="20" s="1"/>
  <c r="BL10" i="22"/>
  <c r="BM10" i="22" s="1"/>
  <c r="BO10" i="22" s="1"/>
  <c r="BQ26" i="22"/>
  <c r="BS26" i="22" s="1"/>
  <c r="BQ10" i="22"/>
  <c r="BS10" i="22" s="1"/>
  <c r="BL14" i="22"/>
  <c r="BM14" i="22" s="1"/>
  <c r="BO14" i="22" s="1"/>
  <c r="AJ38" i="22"/>
  <c r="BB29" i="20"/>
  <c r="BD29" i="20" s="1"/>
  <c r="BB27" i="20"/>
  <c r="BD27" i="20" s="1"/>
  <c r="BB23" i="20"/>
  <c r="BD23" i="20" s="1"/>
  <c r="BL30" i="22"/>
  <c r="BM30" i="22" s="1"/>
  <c r="BO30" i="22" s="1"/>
  <c r="BQ33" i="22"/>
  <c r="BS33" i="22" s="1"/>
  <c r="BQ28" i="22"/>
  <c r="BS28" i="22" s="1"/>
  <c r="AW11" i="20"/>
  <c r="AY11" i="20" s="1"/>
  <c r="AW29" i="20"/>
  <c r="N15" i="20"/>
  <c r="BB32" i="20"/>
  <c r="BD32" i="20" s="1"/>
  <c r="BL17" i="20"/>
  <c r="BM17" i="20" s="1"/>
  <c r="BO17" i="20" s="1"/>
  <c r="N19" i="20"/>
  <c r="AL38" i="22"/>
  <c r="AO7" i="22"/>
  <c r="BQ11" i="22"/>
  <c r="BS11" i="22" s="1"/>
  <c r="BL35" i="22"/>
  <c r="BM35" i="22" s="1"/>
  <c r="BO35" i="22" s="1"/>
  <c r="AW35" i="20"/>
  <c r="AY35" i="20" s="1"/>
  <c r="BB22" i="20"/>
  <c r="BD22" i="20" s="1"/>
  <c r="BB31" i="20"/>
  <c r="BD31" i="20" s="1"/>
  <c r="BB21" i="20"/>
  <c r="BD21" i="20" s="1"/>
  <c r="AW15" i="20"/>
  <c r="AY15" i="20" s="1"/>
  <c r="BB35" i="20"/>
  <c r="BD35" i="20" s="1"/>
  <c r="BQ13" i="22"/>
  <c r="BS13" i="22" s="1"/>
  <c r="BL16" i="20"/>
  <c r="BL15" i="22"/>
  <c r="BM15" i="22" s="1"/>
  <c r="BO15" i="22" s="1"/>
  <c r="BB25" i="20"/>
  <c r="BD25" i="20" s="1"/>
  <c r="BB20" i="20"/>
  <c r="BD20" i="20" s="1"/>
  <c r="S38" i="22"/>
  <c r="BB26" i="20"/>
  <c r="BD26" i="20" s="1"/>
  <c r="N16" i="20"/>
  <c r="BB28" i="20"/>
  <c r="BD28" i="20" s="1"/>
  <c r="BL27" i="22"/>
  <c r="BM27" i="22" s="1"/>
  <c r="BO27" i="22" s="1"/>
  <c r="BB36" i="20"/>
  <c r="BD36" i="20" s="1"/>
  <c r="BB33" i="20"/>
  <c r="BD33" i="20" s="1"/>
  <c r="BB24" i="20"/>
  <c r="BB34" i="20"/>
  <c r="BD34" i="20" s="1"/>
  <c r="AW13" i="20"/>
  <c r="AY13" i="20" s="1"/>
  <c r="BL18" i="20"/>
  <c r="BM18" i="20" s="1"/>
  <c r="BO18" i="20" s="1"/>
  <c r="BL29" i="22"/>
  <c r="BM29" i="22" s="1"/>
  <c r="BO29" i="22" s="1"/>
  <c r="BB13" i="20"/>
  <c r="BD13" i="20" s="1"/>
  <c r="BB14" i="20"/>
  <c r="BD14" i="20" s="1"/>
  <c r="BB10" i="20"/>
  <c r="BD10" i="20" s="1"/>
  <c r="BB7" i="20"/>
  <c r="BD7" i="22"/>
  <c r="BB15" i="20"/>
  <c r="BD15" i="20" s="1"/>
  <c r="BB8" i="20"/>
  <c r="BD8" i="20" s="1"/>
  <c r="BB9" i="20"/>
  <c r="BD9" i="20" s="1"/>
  <c r="BB11" i="20"/>
  <c r="BD11" i="20" s="1"/>
  <c r="AK38" i="22"/>
  <c r="C47" i="22" s="1"/>
  <c r="AR38" i="22"/>
  <c r="BL19" i="22"/>
  <c r="BM19" i="22" s="1"/>
  <c r="BO19" i="22" s="1"/>
  <c r="AR38" i="20"/>
  <c r="BB19" i="20"/>
  <c r="BD19" i="20" s="1"/>
  <c r="BM18" i="22"/>
  <c r="BO18" i="22" s="1"/>
  <c r="BB18" i="20"/>
  <c r="BD18" i="20" s="1"/>
  <c r="II56" i="19"/>
  <c r="II57" i="19"/>
  <c r="V38" i="22"/>
  <c r="C45" i="22" s="1"/>
  <c r="BQ16" i="22"/>
  <c r="BS16" i="22" s="1"/>
  <c r="BG38" i="22"/>
  <c r="AS38" i="22"/>
  <c r="BL17" i="22"/>
  <c r="BM17" i="22" s="1"/>
  <c r="BO17" i="22" s="1"/>
  <c r="BB17" i="20"/>
  <c r="BD17" i="20" s="1"/>
  <c r="BB16" i="20"/>
  <c r="BD16" i="20" s="1"/>
  <c r="AT38" i="22"/>
  <c r="CF38" i="22"/>
  <c r="BX49" i="22" s="1"/>
  <c r="BX51" i="22" s="1"/>
  <c r="BH16" i="22"/>
  <c r="BH38" i="22" s="1"/>
  <c r="CI45" i="22" s="1"/>
  <c r="Y38" i="22"/>
  <c r="G38" i="22"/>
  <c r="B38" i="22"/>
  <c r="C42" i="22" s="1"/>
  <c r="N14" i="20"/>
  <c r="BM11" i="20"/>
  <c r="BO11" i="20" s="1"/>
  <c r="FN53" i="19"/>
  <c r="FN51" i="19"/>
  <c r="FN50" i="19"/>
  <c r="N12" i="20"/>
  <c r="BM10" i="20"/>
  <c r="BO10" i="20" s="1"/>
  <c r="BM31" i="20"/>
  <c r="BO31" i="20" s="1"/>
  <c r="BM29" i="20"/>
  <c r="BO29" i="20" s="1"/>
  <c r="BO14" i="20"/>
  <c r="BM24" i="20"/>
  <c r="BO24" i="20" s="1"/>
  <c r="BO33" i="20"/>
  <c r="BM30" i="20"/>
  <c r="BO30" i="20" s="1"/>
  <c r="BO25" i="20"/>
  <c r="BO26" i="20"/>
  <c r="BM34" i="20"/>
  <c r="BO34" i="20" s="1"/>
  <c r="BO32" i="20"/>
  <c r="BO22" i="20"/>
  <c r="BO13" i="20"/>
  <c r="BO35" i="20"/>
  <c r="BO20" i="20"/>
  <c r="BM28" i="20"/>
  <c r="BM27" i="20"/>
  <c r="BO27" i="20" s="1"/>
  <c r="BM23" i="20"/>
  <c r="BO23" i="20" s="1"/>
  <c r="BO12" i="20"/>
  <c r="BO21" i="20"/>
  <c r="AW10" i="20"/>
  <c r="AY10" i="20" s="1"/>
  <c r="AK31" i="20"/>
  <c r="AK15" i="20"/>
  <c r="AK9" i="20"/>
  <c r="AK16" i="20"/>
  <c r="AK7" i="20"/>
  <c r="AK27" i="20"/>
  <c r="BX41" i="20"/>
  <c r="BD12" i="20"/>
  <c r="FN68" i="19"/>
  <c r="FN75" i="19"/>
  <c r="AW37" i="20"/>
  <c r="AY37" i="20" s="1"/>
  <c r="GU38" i="19" s="1"/>
  <c r="FN48" i="19"/>
  <c r="FG39" i="19"/>
  <c r="FT8" i="19"/>
  <c r="FM8" i="19" s="1"/>
  <c r="FM39" i="19" s="1"/>
  <c r="AW23" i="20"/>
  <c r="AY23" i="20" s="1"/>
  <c r="FN61" i="19"/>
  <c r="FU8" i="19"/>
  <c r="FU39" i="19" s="1"/>
  <c r="AZ7" i="20"/>
  <c r="FN65" i="19"/>
  <c r="FJ45" i="19"/>
  <c r="FL45" i="19" s="1"/>
  <c r="CF38" i="20"/>
  <c r="AS7" i="20"/>
  <c r="N26" i="20"/>
  <c r="AJ38" i="20"/>
  <c r="FN71" i="19"/>
  <c r="FN73" i="19"/>
  <c r="FN67" i="19"/>
  <c r="FD39" i="19"/>
  <c r="EN39" i="19"/>
  <c r="AL38" i="20"/>
  <c r="ED39" i="19"/>
  <c r="II49" i="19"/>
  <c r="KG39" i="19"/>
  <c r="II39" i="19"/>
  <c r="CL39" i="19"/>
  <c r="DG39" i="19"/>
  <c r="N27" i="20"/>
  <c r="N17" i="20"/>
  <c r="N18" i="20"/>
  <c r="DH39" i="19"/>
  <c r="AW24" i="20"/>
  <c r="AY24" i="20" s="1"/>
  <c r="FN62" i="19"/>
  <c r="AW18" i="20"/>
  <c r="AY18" i="20" s="1"/>
  <c r="FN56" i="19"/>
  <c r="AW31" i="20"/>
  <c r="AY31" i="20" s="1"/>
  <c r="FN69" i="19"/>
  <c r="FN54" i="19"/>
  <c r="AW16" i="20"/>
  <c r="AY16" i="20" s="1"/>
  <c r="AW12" i="20"/>
  <c r="AY12" i="20" s="1"/>
  <c r="AW28" i="20"/>
  <c r="AY28" i="20" s="1"/>
  <c r="FN66" i="19"/>
  <c r="B38" i="20"/>
  <c r="C42" i="20" s="1"/>
  <c r="AW14" i="20"/>
  <c r="AY14" i="20" s="1"/>
  <c r="FN52" i="19"/>
  <c r="FN49" i="19"/>
  <c r="S38" i="20"/>
  <c r="AW8" i="20"/>
  <c r="AY8" i="20" s="1"/>
  <c r="FN46" i="19"/>
  <c r="AW25" i="20"/>
  <c r="AY25" i="20" s="1"/>
  <c r="FN63" i="19"/>
  <c r="AK39" i="19"/>
  <c r="BG38" i="20"/>
  <c r="BD39" i="19"/>
  <c r="AY29" i="20"/>
  <c r="AW21" i="20"/>
  <c r="AY21" i="20" s="1"/>
  <c r="FN59" i="19"/>
  <c r="AW19" i="20"/>
  <c r="AY19" i="20" s="1"/>
  <c r="FN57" i="19"/>
  <c r="V38" i="20"/>
  <c r="C45" i="20" s="1"/>
  <c r="AO39" i="19"/>
  <c r="FN64" i="19"/>
  <c r="AW26" i="20"/>
  <c r="AY26" i="20" s="1"/>
  <c r="N13" i="20"/>
  <c r="AW17" i="20"/>
  <c r="AY17" i="20" s="1"/>
  <c r="FN55" i="19"/>
  <c r="AW36" i="20"/>
  <c r="AY36" i="20" s="1"/>
  <c r="GU37" i="19" s="1"/>
  <c r="FN74" i="19"/>
  <c r="AW22" i="20"/>
  <c r="AY22" i="20" s="1"/>
  <c r="FN60" i="19"/>
  <c r="J38" i="20"/>
  <c r="AW20" i="20"/>
  <c r="AY20" i="20" s="1"/>
  <c r="FN58" i="19"/>
  <c r="BD24" i="20"/>
  <c r="AW34" i="20"/>
  <c r="AY34" i="20" s="1"/>
  <c r="FN72" i="19"/>
  <c r="N34" i="20"/>
  <c r="G38" i="20"/>
  <c r="AO38" i="20"/>
  <c r="C48" i="20" s="1"/>
  <c r="AW9" i="20"/>
  <c r="AY9" i="20" s="1"/>
  <c r="FN47" i="19"/>
  <c r="Y38" i="20"/>
  <c r="BH7" i="20"/>
  <c r="BH38" i="20" s="1"/>
  <c r="CI45" i="20" s="1"/>
  <c r="AT38" i="20"/>
  <c r="P82" i="17"/>
  <c r="BM8" i="22" l="1"/>
  <c r="BO8" i="22" s="1"/>
  <c r="GU33" i="19"/>
  <c r="AO38" i="22"/>
  <c r="C48" i="22" s="1"/>
  <c r="BL16" i="22"/>
  <c r="BM16" i="22" s="1"/>
  <c r="H1" i="22"/>
  <c r="GU34" i="19"/>
  <c r="GU24" i="19"/>
  <c r="GU36" i="19"/>
  <c r="BM16" i="20"/>
  <c r="BO16" i="20" s="1"/>
  <c r="GU31" i="19"/>
  <c r="GU23" i="19"/>
  <c r="N38" i="22"/>
  <c r="BS38" i="22"/>
  <c r="CI47" i="22" s="1"/>
  <c r="AW7" i="20"/>
  <c r="AW38" i="20" s="1"/>
  <c r="BO28" i="22"/>
  <c r="BO21" i="22"/>
  <c r="GU29" i="19"/>
  <c r="BM32" i="22"/>
  <c r="BO32" i="22" s="1"/>
  <c r="BB38" i="20"/>
  <c r="C52" i="22"/>
  <c r="CI43" i="22"/>
  <c r="C51" i="22"/>
  <c r="CI42" i="22"/>
  <c r="BB38" i="22"/>
  <c r="BD38" i="22"/>
  <c r="C50" i="22" s="1"/>
  <c r="BX49" i="20"/>
  <c r="BX51" i="20" s="1"/>
  <c r="II77" i="21"/>
  <c r="C46" i="22"/>
  <c r="CI41" i="22"/>
  <c r="BL7" i="20"/>
  <c r="BL38" i="20" s="1"/>
  <c r="GU22" i="19"/>
  <c r="GU20" i="19"/>
  <c r="GU9" i="19"/>
  <c r="GU16" i="19"/>
  <c r="AK38" i="20"/>
  <c r="C47" i="20" s="1"/>
  <c r="GU26" i="19"/>
  <c r="GU13" i="19"/>
  <c r="GU28" i="19"/>
  <c r="GU25" i="19"/>
  <c r="BO28" i="20"/>
  <c r="GU11" i="19"/>
  <c r="GU12" i="19"/>
  <c r="GU15" i="19"/>
  <c r="II76" i="19"/>
  <c r="GU32" i="19"/>
  <c r="AZ38" i="20"/>
  <c r="GU30" i="19"/>
  <c r="GU21" i="19"/>
  <c r="GU17" i="19"/>
  <c r="GU14" i="19"/>
  <c r="GU10" i="19"/>
  <c r="AS38" i="20"/>
  <c r="C51" i="20" s="1"/>
  <c r="FN45" i="19"/>
  <c r="BD7" i="20"/>
  <c r="GU18" i="19"/>
  <c r="GU35" i="19"/>
  <c r="GU27" i="19"/>
  <c r="GU19" i="19"/>
  <c r="N38" i="20"/>
  <c r="C44" i="20" s="1"/>
  <c r="H1" i="20"/>
  <c r="C46" i="20"/>
  <c r="CI41" i="20"/>
  <c r="BS7" i="20"/>
  <c r="C52" i="20"/>
  <c r="CI43" i="20"/>
  <c r="H81" i="17"/>
  <c r="C44" i="22" l="1"/>
  <c r="BL38" i="22"/>
  <c r="BO16" i="22"/>
  <c r="BO38" i="22" s="1"/>
  <c r="BM38" i="20"/>
  <c r="AY7" i="20"/>
  <c r="AY38" i="20" s="1"/>
  <c r="C49" i="20" s="1"/>
  <c r="BM38" i="22"/>
  <c r="AY7" i="22"/>
  <c r="AW38" i="22"/>
  <c r="BD38" i="20"/>
  <c r="C50" i="20" s="1"/>
  <c r="CI44" i="22"/>
  <c r="BO7" i="20"/>
  <c r="BO38" i="20" s="1"/>
  <c r="BS38" i="20"/>
  <c r="CI47" i="20" s="1"/>
  <c r="CI42" i="20"/>
  <c r="CI44" i="20" s="1"/>
  <c r="H82" i="18"/>
  <c r="H82" i="17"/>
  <c r="GU8" i="19" l="1"/>
  <c r="CI46" i="20"/>
  <c r="GU39" i="19"/>
  <c r="AY38" i="22"/>
  <c r="C49" i="22" s="1"/>
  <c r="C63" i="22" s="1"/>
  <c r="GU40" i="21"/>
  <c r="CI46" i="22"/>
  <c r="CI48" i="22" s="1"/>
  <c r="C63" i="20"/>
  <c r="CI48" i="20"/>
  <c r="HV36" i="17"/>
  <c r="FX35" i="17" l="1"/>
  <c r="HP33" i="17" l="1"/>
  <c r="EW32" i="17" l="1"/>
  <c r="BT33" i="17"/>
  <c r="FU62" i="17" l="1"/>
  <c r="FV62" i="17" s="1"/>
  <c r="FU63" i="17"/>
  <c r="FV63" i="17" s="1"/>
  <c r="FU64" i="17"/>
  <c r="FV64" i="17" s="1"/>
  <c r="FU65" i="17"/>
  <c r="FV65" i="17" s="1"/>
  <c r="FU66" i="17"/>
  <c r="FV66" i="17" s="1"/>
  <c r="FU67" i="17"/>
  <c r="FV67" i="17" s="1"/>
  <c r="FW67" i="17" l="1"/>
  <c r="FW62" i="17"/>
  <c r="FW66" i="17"/>
  <c r="FW63" i="17"/>
  <c r="FW64" i="17"/>
  <c r="FW65" i="17"/>
  <c r="FC28" i="17"/>
  <c r="DR28" i="17"/>
  <c r="FU61" i="17" l="1"/>
  <c r="CD24" i="17"/>
  <c r="BT24" i="17"/>
  <c r="FU60" i="17" l="1"/>
  <c r="FU59" i="17" l="1"/>
  <c r="FU58" i="17" l="1"/>
  <c r="FU57" i="17"/>
  <c r="FU56" i="17" l="1"/>
  <c r="FU55" i="17" l="1"/>
  <c r="Q18" i="17"/>
  <c r="R18" i="17" s="1"/>
  <c r="T18" i="17"/>
  <c r="CE7" i="18" l="1"/>
  <c r="FU54" i="17" l="1"/>
  <c r="FU53" i="17" l="1"/>
  <c r="BN17" i="17" l="1"/>
  <c r="HJ15" i="17" l="1"/>
  <c r="HM15" i="17"/>
  <c r="BY14" i="18" s="1"/>
  <c r="HP15" i="17"/>
  <c r="HS15" i="17"/>
  <c r="HV15" i="17"/>
  <c r="HY15" i="17"/>
  <c r="CC14" i="18" s="1"/>
  <c r="IB15" i="17"/>
  <c r="FU52" i="17"/>
  <c r="FU51" i="17" l="1"/>
  <c r="FU50" i="17"/>
  <c r="FU49" i="17" l="1"/>
  <c r="FU48" i="17"/>
  <c r="FU47" i="17" l="1"/>
  <c r="BR38" i="16" l="1"/>
  <c r="BP38" i="16"/>
  <c r="BN38" i="16"/>
  <c r="BK38" i="16"/>
  <c r="BJ38" i="16"/>
  <c r="BI38" i="16"/>
  <c r="BU37" i="16"/>
  <c r="BT37" i="16"/>
  <c r="BU36" i="16"/>
  <c r="BT36" i="16"/>
  <c r="BU35" i="16"/>
  <c r="BT35" i="16"/>
  <c r="BU34" i="16"/>
  <c r="BT34" i="16"/>
  <c r="BU33" i="16"/>
  <c r="BT33" i="16"/>
  <c r="BU32" i="16"/>
  <c r="BT32" i="16"/>
  <c r="BU31" i="16"/>
  <c r="BT31" i="16"/>
  <c r="BU30" i="16"/>
  <c r="BT30" i="16"/>
  <c r="BU29" i="16"/>
  <c r="BT29" i="16"/>
  <c r="BU28" i="16"/>
  <c r="BT28" i="16"/>
  <c r="BU27" i="16"/>
  <c r="BT27" i="16"/>
  <c r="BU26" i="16"/>
  <c r="BT26" i="16"/>
  <c r="BU25" i="16"/>
  <c r="BT25" i="16"/>
  <c r="BU24" i="16"/>
  <c r="BT24" i="16"/>
  <c r="BU23" i="16"/>
  <c r="BT23" i="16"/>
  <c r="BU22" i="16"/>
  <c r="BT22" i="16"/>
  <c r="BU21" i="16"/>
  <c r="BT21" i="16"/>
  <c r="BU20" i="16"/>
  <c r="BT20" i="16"/>
  <c r="BU19" i="16"/>
  <c r="BT19" i="16"/>
  <c r="BU18" i="16"/>
  <c r="BT18" i="16"/>
  <c r="BU17" i="16"/>
  <c r="BT17" i="16"/>
  <c r="BU16" i="16"/>
  <c r="BT16" i="16"/>
  <c r="BU15" i="16"/>
  <c r="BT15" i="16"/>
  <c r="BU14" i="16"/>
  <c r="BT14" i="16"/>
  <c r="BU13" i="16"/>
  <c r="BT13" i="16"/>
  <c r="BU12" i="16"/>
  <c r="BT12" i="16"/>
  <c r="BU11" i="16"/>
  <c r="BT11" i="16"/>
  <c r="BU10" i="16"/>
  <c r="BT10" i="16"/>
  <c r="BU9" i="16"/>
  <c r="BT9" i="16"/>
  <c r="BU8" i="16"/>
  <c r="BT8" i="16"/>
  <c r="BU7" i="16"/>
  <c r="BT7" i="16"/>
  <c r="BT38" i="16" l="1"/>
  <c r="BU38" i="16"/>
  <c r="BR38" i="18" l="1"/>
  <c r="BP38" i="18"/>
  <c r="BN38" i="18"/>
  <c r="BL38" i="18"/>
  <c r="BK38" i="18"/>
  <c r="BJ38" i="18"/>
  <c r="BI38" i="18"/>
  <c r="FU45" i="17"/>
  <c r="GA36" i="17"/>
  <c r="GA35" i="17"/>
  <c r="GA34" i="17"/>
  <c r="GA33" i="17"/>
  <c r="GA32" i="17"/>
  <c r="GA31" i="17"/>
  <c r="GA30" i="17"/>
  <c r="GA29" i="17"/>
  <c r="GA28" i="17"/>
  <c r="GA27" i="17"/>
  <c r="GA26" i="17"/>
  <c r="GA25" i="17"/>
  <c r="GA24" i="17"/>
  <c r="GA23" i="17"/>
  <c r="GA22" i="17"/>
  <c r="GA21" i="17"/>
  <c r="GA20" i="17"/>
  <c r="GA19" i="17"/>
  <c r="GA18" i="17"/>
  <c r="GA17" i="17"/>
  <c r="GA16" i="17"/>
  <c r="GA15" i="17"/>
  <c r="GA14" i="17"/>
  <c r="GA13" i="17"/>
  <c r="GA12" i="17"/>
  <c r="GA11" i="17"/>
  <c r="GA10" i="17"/>
  <c r="GA9" i="17"/>
  <c r="GA8" i="17"/>
  <c r="DT8" i="17" l="1"/>
  <c r="GP11" i="17"/>
  <c r="BE10" i="18" s="1"/>
  <c r="GP10" i="17"/>
  <c r="BE9" i="18" s="1"/>
  <c r="GP9" i="17"/>
  <c r="BE8" i="18" s="1"/>
  <c r="GP8" i="17"/>
  <c r="BE7" i="18" s="1"/>
  <c r="A8" i="18" l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D82" i="17"/>
  <c r="D81" i="17"/>
  <c r="DT78" i="17"/>
  <c r="DR78" i="17"/>
  <c r="DT77" i="17"/>
  <c r="DR77" i="17"/>
  <c r="DT76" i="17"/>
  <c r="DR76" i="17"/>
  <c r="BU36" i="18"/>
  <c r="IK75" i="17"/>
  <c r="DT75" i="17"/>
  <c r="DR75" i="17"/>
  <c r="J75" i="17"/>
  <c r="G75" i="17"/>
  <c r="BU35" i="18" s="1"/>
  <c r="D75" i="17"/>
  <c r="BT36" i="18" s="1"/>
  <c r="IK74" i="17"/>
  <c r="AZ36" i="18"/>
  <c r="DT74" i="17"/>
  <c r="DR74" i="17"/>
  <c r="J74" i="17"/>
  <c r="G74" i="17"/>
  <c r="BU34" i="18" s="1"/>
  <c r="D74" i="17"/>
  <c r="BT35" i="18" s="1"/>
  <c r="IK73" i="17"/>
  <c r="DT73" i="17"/>
  <c r="DR73" i="17"/>
  <c r="J73" i="17"/>
  <c r="G73" i="17"/>
  <c r="BU33" i="18" s="1"/>
  <c r="D73" i="17"/>
  <c r="BT34" i="18" s="1"/>
  <c r="IK72" i="17"/>
  <c r="DT72" i="17"/>
  <c r="DR72" i="17"/>
  <c r="J72" i="17"/>
  <c r="G72" i="17"/>
  <c r="BU32" i="18" s="1"/>
  <c r="D72" i="17"/>
  <c r="BT33" i="18" s="1"/>
  <c r="IK71" i="17"/>
  <c r="FG34" i="17"/>
  <c r="AZ33" i="18" s="1"/>
  <c r="DT71" i="17"/>
  <c r="DR71" i="17"/>
  <c r="J71" i="17"/>
  <c r="G71" i="17"/>
  <c r="BU31" i="18" s="1"/>
  <c r="D71" i="17"/>
  <c r="BT32" i="18" s="1"/>
  <c r="IK70" i="17"/>
  <c r="FG33" i="17"/>
  <c r="AZ32" i="18" s="1"/>
  <c r="DT70" i="17"/>
  <c r="DR70" i="17"/>
  <c r="J70" i="17"/>
  <c r="G70" i="17"/>
  <c r="BU30" i="18" s="1"/>
  <c r="D70" i="17"/>
  <c r="BT31" i="18" s="1"/>
  <c r="IK69" i="17"/>
  <c r="DT69" i="17"/>
  <c r="DR69" i="17"/>
  <c r="J69" i="17"/>
  <c r="G69" i="17"/>
  <c r="BU29" i="18" s="1"/>
  <c r="D69" i="17"/>
  <c r="BT30" i="18" s="1"/>
  <c r="IK68" i="17"/>
  <c r="FG31" i="17"/>
  <c r="AZ30" i="18" s="1"/>
  <c r="DT68" i="17"/>
  <c r="DR68" i="17"/>
  <c r="J68" i="17"/>
  <c r="G68" i="17"/>
  <c r="BU28" i="18" s="1"/>
  <c r="D68" i="17"/>
  <c r="BT29" i="18" s="1"/>
  <c r="IK67" i="17"/>
  <c r="FG30" i="17"/>
  <c r="AZ29" i="18" s="1"/>
  <c r="DT67" i="17"/>
  <c r="DR67" i="17"/>
  <c r="J67" i="17"/>
  <c r="G67" i="17"/>
  <c r="BU27" i="18" s="1"/>
  <c r="D67" i="17"/>
  <c r="BT28" i="18" s="1"/>
  <c r="IK66" i="17"/>
  <c r="EQ29" i="17"/>
  <c r="DT66" i="17"/>
  <c r="DR66" i="17"/>
  <c r="J66" i="17"/>
  <c r="G66" i="17"/>
  <c r="BU26" i="18" s="1"/>
  <c r="D66" i="17"/>
  <c r="BT27" i="18" s="1"/>
  <c r="IK65" i="17"/>
  <c r="DT65" i="17"/>
  <c r="DR65" i="17"/>
  <c r="J65" i="17"/>
  <c r="G65" i="17"/>
  <c r="BU25" i="18" s="1"/>
  <c r="D65" i="17"/>
  <c r="BT26" i="18" s="1"/>
  <c r="IK64" i="17"/>
  <c r="FG27" i="17"/>
  <c r="DT64" i="17"/>
  <c r="DR64" i="17"/>
  <c r="J64" i="17"/>
  <c r="G64" i="17"/>
  <c r="BU24" i="18" s="1"/>
  <c r="D64" i="17"/>
  <c r="BT25" i="18" s="1"/>
  <c r="IK63" i="17"/>
  <c r="FG26" i="17"/>
  <c r="AZ25" i="18" s="1"/>
  <c r="DT63" i="17"/>
  <c r="DR63" i="17"/>
  <c r="J63" i="17"/>
  <c r="G63" i="17"/>
  <c r="BU23" i="18" s="1"/>
  <c r="D63" i="17"/>
  <c r="BT24" i="18" s="1"/>
  <c r="IK62" i="17"/>
  <c r="DT62" i="17"/>
  <c r="DR62" i="17"/>
  <c r="J62" i="17"/>
  <c r="G62" i="17"/>
  <c r="BU22" i="18" s="1"/>
  <c r="D62" i="17"/>
  <c r="BT23" i="18" s="1"/>
  <c r="IK61" i="17"/>
  <c r="FV61" i="17"/>
  <c r="EQ24" i="17" s="1"/>
  <c r="AT23" i="18" s="1"/>
  <c r="DT61" i="17"/>
  <c r="DR61" i="17"/>
  <c r="J61" i="17"/>
  <c r="G61" i="17"/>
  <c r="BU21" i="18" s="1"/>
  <c r="D61" i="17"/>
  <c r="BT22" i="18" s="1"/>
  <c r="IK60" i="17"/>
  <c r="FW60" i="17"/>
  <c r="FG23" i="17" s="1"/>
  <c r="AZ22" i="18" s="1"/>
  <c r="DT60" i="17"/>
  <c r="DR60" i="17"/>
  <c r="J60" i="17"/>
  <c r="G60" i="17"/>
  <c r="BU20" i="18" s="1"/>
  <c r="D60" i="17"/>
  <c r="BT21" i="18" s="1"/>
  <c r="IK59" i="17"/>
  <c r="FW59" i="17"/>
  <c r="FG22" i="17" s="1"/>
  <c r="AZ21" i="18" s="1"/>
  <c r="DT59" i="17"/>
  <c r="DR59" i="17"/>
  <c r="J59" i="17"/>
  <c r="G59" i="17"/>
  <c r="BU19" i="18" s="1"/>
  <c r="D59" i="17"/>
  <c r="BT20" i="18" s="1"/>
  <c r="IK58" i="17"/>
  <c r="FW58" i="17"/>
  <c r="FG21" i="17" s="1"/>
  <c r="DT58" i="17"/>
  <c r="DR58" i="17"/>
  <c r="J58" i="17"/>
  <c r="G58" i="17"/>
  <c r="BU18" i="18" s="1"/>
  <c r="D58" i="17"/>
  <c r="BT19" i="18" s="1"/>
  <c r="IK57" i="17"/>
  <c r="FW57" i="17"/>
  <c r="FG20" i="17" s="1"/>
  <c r="DT57" i="17"/>
  <c r="DR57" i="17"/>
  <c r="J57" i="17"/>
  <c r="G57" i="17"/>
  <c r="BU17" i="18" s="1"/>
  <c r="D57" i="17"/>
  <c r="BT18" i="18" s="1"/>
  <c r="IK56" i="17"/>
  <c r="FW56" i="17"/>
  <c r="FG19" i="17" s="1"/>
  <c r="AZ18" i="18" s="1"/>
  <c r="DT56" i="17"/>
  <c r="DR56" i="17"/>
  <c r="J56" i="17"/>
  <c r="G56" i="17"/>
  <c r="BU16" i="18" s="1"/>
  <c r="D56" i="17"/>
  <c r="BT17" i="18" s="1"/>
  <c r="IK55" i="17"/>
  <c r="FV55" i="17"/>
  <c r="EQ18" i="17" s="1"/>
  <c r="DT55" i="17"/>
  <c r="DR55" i="17"/>
  <c r="J55" i="17"/>
  <c r="G55" i="17"/>
  <c r="BU15" i="18" s="1"/>
  <c r="D55" i="17"/>
  <c r="BT16" i="18" s="1"/>
  <c r="IK54" i="17"/>
  <c r="FW54" i="17"/>
  <c r="FG17" i="17" s="1"/>
  <c r="DT54" i="17"/>
  <c r="DR54" i="17"/>
  <c r="J54" i="17"/>
  <c r="G54" i="17"/>
  <c r="BU14" i="18" s="1"/>
  <c r="D54" i="17"/>
  <c r="BT15" i="18" s="1"/>
  <c r="IK53" i="17"/>
  <c r="FW53" i="17"/>
  <c r="FG16" i="17" s="1"/>
  <c r="DT53" i="17"/>
  <c r="DR53" i="17"/>
  <c r="J53" i="17"/>
  <c r="G53" i="17"/>
  <c r="BU13" i="18" s="1"/>
  <c r="D53" i="17"/>
  <c r="BT14" i="18" s="1"/>
  <c r="IK52" i="17"/>
  <c r="FW52" i="17"/>
  <c r="FG15" i="17" s="1"/>
  <c r="AZ14" i="18" s="1"/>
  <c r="DT52" i="17"/>
  <c r="DR52" i="17"/>
  <c r="J52" i="17"/>
  <c r="G52" i="17"/>
  <c r="BU12" i="18" s="1"/>
  <c r="D52" i="17"/>
  <c r="BT13" i="18" s="1"/>
  <c r="IK51" i="17"/>
  <c r="FV51" i="17"/>
  <c r="EQ14" i="17" s="1"/>
  <c r="DT51" i="17"/>
  <c r="DR51" i="17"/>
  <c r="J51" i="17"/>
  <c r="G51" i="17"/>
  <c r="BU11" i="18" s="1"/>
  <c r="D51" i="17"/>
  <c r="BT12" i="18" s="1"/>
  <c r="IK50" i="17"/>
  <c r="FW50" i="17"/>
  <c r="FG13" i="17" s="1"/>
  <c r="DT50" i="17"/>
  <c r="DR50" i="17"/>
  <c r="J50" i="17"/>
  <c r="G50" i="17"/>
  <c r="BU10" i="18" s="1"/>
  <c r="D50" i="17"/>
  <c r="BT11" i="18" s="1"/>
  <c r="IK49" i="17"/>
  <c r="FW49" i="17"/>
  <c r="FG12" i="17" s="1"/>
  <c r="AZ11" i="18" s="1"/>
  <c r="DT49" i="17"/>
  <c r="DR49" i="17"/>
  <c r="J49" i="17"/>
  <c r="G49" i="17"/>
  <c r="BU9" i="18" s="1"/>
  <c r="D49" i="17"/>
  <c r="BT10" i="18" s="1"/>
  <c r="IK48" i="17"/>
  <c r="EX48" i="17"/>
  <c r="DT48" i="17"/>
  <c r="DR48" i="17"/>
  <c r="J48" i="17"/>
  <c r="G48" i="17"/>
  <c r="BU8" i="18" s="1"/>
  <c r="D48" i="17"/>
  <c r="BT9" i="18" s="1"/>
  <c r="IK47" i="17"/>
  <c r="J47" i="17"/>
  <c r="G47" i="17"/>
  <c r="D47" i="17"/>
  <c r="BT8" i="18" s="1"/>
  <c r="IK46" i="17"/>
  <c r="FU46" i="17"/>
  <c r="J46" i="17"/>
  <c r="G46" i="17"/>
  <c r="BU7" i="18" s="1"/>
  <c r="D46" i="17"/>
  <c r="IK45" i="17"/>
  <c r="FC45" i="17"/>
  <c r="FI59" i="17" s="1"/>
  <c r="EE40" i="17"/>
  <c r="EC8" i="17" s="1"/>
  <c r="U40" i="17"/>
  <c r="V40" i="17" s="1"/>
  <c r="HC39" i="17"/>
  <c r="GV39" i="17"/>
  <c r="FL39" i="17"/>
  <c r="DO39" i="17"/>
  <c r="DN39" i="17"/>
  <c r="DM39" i="17"/>
  <c r="J39" i="17"/>
  <c r="FA75" i="17"/>
  <c r="EZ75" i="17"/>
  <c r="CE36" i="18"/>
  <c r="CD36" i="18"/>
  <c r="CC36" i="18"/>
  <c r="CB36" i="18"/>
  <c r="CA36" i="18"/>
  <c r="BZ36" i="18"/>
  <c r="BY36" i="18"/>
  <c r="BF36" i="18"/>
  <c r="BE36" i="18"/>
  <c r="AQ36" i="18"/>
  <c r="AP36" i="18"/>
  <c r="FA74" i="17"/>
  <c r="BA36" i="18"/>
  <c r="EZ74" i="17"/>
  <c r="AV36" i="18"/>
  <c r="AU36" i="18"/>
  <c r="AN36" i="18"/>
  <c r="AM36" i="18"/>
  <c r="AI36" i="18"/>
  <c r="AD36" i="18"/>
  <c r="W36" i="18"/>
  <c r="U36" i="18"/>
  <c r="R36" i="18"/>
  <c r="Q36" i="18"/>
  <c r="P36" i="18"/>
  <c r="O36" i="18"/>
  <c r="Z36" i="18"/>
  <c r="AB36" i="18"/>
  <c r="AA36" i="18"/>
  <c r="M36" i="18"/>
  <c r="L36" i="18"/>
  <c r="I36" i="18"/>
  <c r="H36" i="18"/>
  <c r="F36" i="18"/>
  <c r="E36" i="18"/>
  <c r="D36" i="18"/>
  <c r="C36" i="18"/>
  <c r="KE36" i="17"/>
  <c r="KB36" i="17"/>
  <c r="JY36" i="17"/>
  <c r="JV36" i="17"/>
  <c r="JS36" i="17"/>
  <c r="JP36" i="17"/>
  <c r="JM36" i="17"/>
  <c r="JJ36" i="17"/>
  <c r="JG36" i="17"/>
  <c r="JD36" i="17"/>
  <c r="JA36" i="17"/>
  <c r="IX36" i="17"/>
  <c r="IU36" i="17"/>
  <c r="IR36" i="17"/>
  <c r="IO36" i="17"/>
  <c r="IL36" i="17"/>
  <c r="IE36" i="17"/>
  <c r="CE35" i="18" s="1"/>
  <c r="IB36" i="17"/>
  <c r="CD35" i="18" s="1"/>
  <c r="HY36" i="17"/>
  <c r="CC35" i="18" s="1"/>
  <c r="CB35" i="18"/>
  <c r="HS36" i="17"/>
  <c r="CA35" i="18" s="1"/>
  <c r="HP36" i="17"/>
  <c r="BZ35" i="18" s="1"/>
  <c r="HM36" i="17"/>
  <c r="BY35" i="18" s="1"/>
  <c r="HJ36" i="17"/>
  <c r="GW36" i="17"/>
  <c r="GS36" i="17"/>
  <c r="BF35" i="18" s="1"/>
  <c r="GP36" i="17"/>
  <c r="BE35" i="18" s="1"/>
  <c r="GM36" i="17"/>
  <c r="GJ36" i="17"/>
  <c r="GD36" i="17"/>
  <c r="AQ35" i="18"/>
  <c r="FX36" i="17"/>
  <c r="AP35" i="18" s="1"/>
  <c r="FS36" i="17"/>
  <c r="FP36" i="17"/>
  <c r="FA73" i="17" s="1"/>
  <c r="FJ36" i="17"/>
  <c r="BA35" i="18" s="1"/>
  <c r="FC36" i="17"/>
  <c r="EZ36" i="17"/>
  <c r="EZ73" i="17" s="1"/>
  <c r="EW36" i="17"/>
  <c r="AV35" i="18" s="1"/>
  <c r="ET36" i="17"/>
  <c r="AU35" i="18" s="1"/>
  <c r="EM36" i="17"/>
  <c r="AN35" i="18" s="1"/>
  <c r="EJ36" i="17"/>
  <c r="AM35" i="18" s="1"/>
  <c r="DZ36" i="17"/>
  <c r="AI35" i="18" s="1"/>
  <c r="DW36" i="17"/>
  <c r="AH35" i="18" s="1"/>
  <c r="DT36" i="17"/>
  <c r="DR36" i="17"/>
  <c r="AD35" i="18" s="1"/>
  <c r="DE36" i="17"/>
  <c r="DA36" i="17"/>
  <c r="X35" i="18" s="1"/>
  <c r="CW36" i="17"/>
  <c r="W35" i="18" s="1"/>
  <c r="CS36" i="17"/>
  <c r="CO36" i="17"/>
  <c r="T35" i="18" s="1"/>
  <c r="CH36" i="17"/>
  <c r="R35" i="18" s="1"/>
  <c r="CF36" i="17"/>
  <c r="Q35" i="18" s="1"/>
  <c r="CD36" i="17"/>
  <c r="P35" i="18" s="1"/>
  <c r="CA36" i="17"/>
  <c r="CB36" i="17" s="1"/>
  <c r="BW36" i="17"/>
  <c r="BX36" i="17" s="1"/>
  <c r="BT36" i="17"/>
  <c r="BR36" i="17"/>
  <c r="Z35" i="18" s="1"/>
  <c r="BP36" i="17"/>
  <c r="BN36" i="17"/>
  <c r="BL36" i="17"/>
  <c r="BJ36" i="17"/>
  <c r="AB35" i="18" s="1"/>
  <c r="BG36" i="17"/>
  <c r="AA35" i="18" s="1"/>
  <c r="BC36" i="17"/>
  <c r="M35" i="18" s="1"/>
  <c r="AZ36" i="17"/>
  <c r="L35" i="18" s="1"/>
  <c r="AR36" i="17"/>
  <c r="AI36" i="17"/>
  <c r="I35" i="18" s="1"/>
  <c r="AE36" i="17"/>
  <c r="H35" i="18" s="1"/>
  <c r="AB36" i="17"/>
  <c r="F35" i="18" s="1"/>
  <c r="V36" i="17"/>
  <c r="E35" i="18" s="1"/>
  <c r="T36" i="17"/>
  <c r="D35" i="18" s="1"/>
  <c r="Q36" i="17"/>
  <c r="R36" i="17" s="1"/>
  <c r="N36" i="17"/>
  <c r="C35" i="18" s="1"/>
  <c r="K36" i="17"/>
  <c r="F36" i="17"/>
  <c r="D36" i="17"/>
  <c r="C36" i="17"/>
  <c r="A36" i="17"/>
  <c r="KE35" i="17"/>
  <c r="KB35" i="17"/>
  <c r="JY35" i="17"/>
  <c r="JV35" i="17"/>
  <c r="JS35" i="17"/>
  <c r="JP35" i="17"/>
  <c r="JM35" i="17"/>
  <c r="JJ35" i="17"/>
  <c r="JG35" i="17"/>
  <c r="JD35" i="17"/>
  <c r="JA35" i="17"/>
  <c r="IX35" i="17"/>
  <c r="IU35" i="17"/>
  <c r="IR35" i="17"/>
  <c r="IO35" i="17"/>
  <c r="IL35" i="17"/>
  <c r="IE35" i="17"/>
  <c r="CE34" i="18" s="1"/>
  <c r="IB35" i="17"/>
  <c r="CD34" i="18" s="1"/>
  <c r="HY35" i="17"/>
  <c r="HV35" i="17"/>
  <c r="CB34" i="18" s="1"/>
  <c r="HS35" i="17"/>
  <c r="CA34" i="18" s="1"/>
  <c r="HP35" i="17"/>
  <c r="BZ34" i="18" s="1"/>
  <c r="HM35" i="17"/>
  <c r="HJ35" i="17"/>
  <c r="HE35" i="17"/>
  <c r="GW35" i="17"/>
  <c r="GS35" i="17"/>
  <c r="BF34" i="18" s="1"/>
  <c r="GP35" i="17"/>
  <c r="BE34" i="18" s="1"/>
  <c r="GM35" i="17"/>
  <c r="GJ35" i="17"/>
  <c r="GD35" i="17"/>
  <c r="AQ34" i="18"/>
  <c r="AP34" i="18"/>
  <c r="FS35" i="17"/>
  <c r="FP35" i="17"/>
  <c r="FA72" i="17" s="1"/>
  <c r="FJ35" i="17"/>
  <c r="BA34" i="18" s="1"/>
  <c r="FC35" i="17"/>
  <c r="EZ35" i="17"/>
  <c r="EZ72" i="17" s="1"/>
  <c r="EW35" i="17"/>
  <c r="AV34" i="18" s="1"/>
  <c r="EM35" i="17"/>
  <c r="AN34" i="18" s="1"/>
  <c r="EJ35" i="17"/>
  <c r="AM34" i="18" s="1"/>
  <c r="DZ35" i="17"/>
  <c r="AI34" i="18" s="1"/>
  <c r="DW35" i="17"/>
  <c r="AH34" i="18" s="1"/>
  <c r="DT35" i="17"/>
  <c r="DR35" i="17"/>
  <c r="AD34" i="18" s="1"/>
  <c r="DE35" i="17"/>
  <c r="DF35" i="17" s="1"/>
  <c r="DA35" i="17"/>
  <c r="X34" i="18" s="1"/>
  <c r="CW35" i="17"/>
  <c r="CS35" i="17"/>
  <c r="U34" i="18" s="1"/>
  <c r="CO35" i="17"/>
  <c r="CH35" i="17"/>
  <c r="R34" i="18" s="1"/>
  <c r="CF35" i="17"/>
  <c r="Q34" i="18" s="1"/>
  <c r="CD35" i="17"/>
  <c r="P34" i="18" s="1"/>
  <c r="CA35" i="17"/>
  <c r="O34" i="18" s="1"/>
  <c r="BW35" i="17"/>
  <c r="BX35" i="17" s="1"/>
  <c r="BT35" i="17"/>
  <c r="BR35" i="17"/>
  <c r="Z34" i="18" s="1"/>
  <c r="BP35" i="17"/>
  <c r="BN35" i="17"/>
  <c r="BL35" i="17"/>
  <c r="BJ35" i="17"/>
  <c r="AB34" i="18" s="1"/>
  <c r="BG35" i="17"/>
  <c r="AA34" i="18" s="1"/>
  <c r="BC35" i="17"/>
  <c r="M34" i="18" s="1"/>
  <c r="AZ35" i="17"/>
  <c r="L34" i="18" s="1"/>
  <c r="AR35" i="17"/>
  <c r="K34" i="18" s="1"/>
  <c r="AI35" i="17"/>
  <c r="AE35" i="17"/>
  <c r="H34" i="18" s="1"/>
  <c r="AB35" i="17"/>
  <c r="F34" i="18" s="1"/>
  <c r="V35" i="17"/>
  <c r="E34" i="18" s="1"/>
  <c r="T35" i="17"/>
  <c r="Q35" i="17"/>
  <c r="R35" i="17" s="1"/>
  <c r="N35" i="17"/>
  <c r="C34" i="18" s="1"/>
  <c r="K35" i="17"/>
  <c r="F35" i="17"/>
  <c r="D35" i="17"/>
  <c r="C35" i="17"/>
  <c r="KE34" i="17"/>
  <c r="KB34" i="17"/>
  <c r="JY34" i="17"/>
  <c r="JV34" i="17"/>
  <c r="JS34" i="17"/>
  <c r="JP34" i="17"/>
  <c r="JM34" i="17"/>
  <c r="JJ34" i="17"/>
  <c r="JG34" i="17"/>
  <c r="JD34" i="17"/>
  <c r="JA34" i="17"/>
  <c r="IX34" i="17"/>
  <c r="IU34" i="17"/>
  <c r="IR34" i="17"/>
  <c r="IO34" i="17"/>
  <c r="IL34" i="17"/>
  <c r="IE34" i="17"/>
  <c r="CE33" i="18" s="1"/>
  <c r="IB34" i="17"/>
  <c r="CD33" i="18" s="1"/>
  <c r="HY34" i="17"/>
  <c r="CC33" i="18" s="1"/>
  <c r="HV34" i="17"/>
  <c r="CB33" i="18" s="1"/>
  <c r="HS34" i="17"/>
  <c r="CA33" i="18" s="1"/>
  <c r="HP34" i="17"/>
  <c r="BZ33" i="18" s="1"/>
  <c r="HM34" i="17"/>
  <c r="BY33" i="18" s="1"/>
  <c r="HJ34" i="17"/>
  <c r="HE34" i="17"/>
  <c r="GW34" i="17"/>
  <c r="GS34" i="17"/>
  <c r="BF33" i="18" s="1"/>
  <c r="GP34" i="17"/>
  <c r="BE33" i="18" s="1"/>
  <c r="GM34" i="17"/>
  <c r="GJ34" i="17"/>
  <c r="GD34" i="17"/>
  <c r="AQ33" i="18"/>
  <c r="FX34" i="17"/>
  <c r="AP33" i="18" s="1"/>
  <c r="FS34" i="17"/>
  <c r="FP34" i="17"/>
  <c r="FA71" i="17" s="1"/>
  <c r="FJ34" i="17"/>
  <c r="FC34" i="17"/>
  <c r="EZ34" i="17"/>
  <c r="EZ71" i="17" s="1"/>
  <c r="EW34" i="17"/>
  <c r="AV33" i="18" s="1"/>
  <c r="EM34" i="17"/>
  <c r="AN33" i="18" s="1"/>
  <c r="EJ34" i="17"/>
  <c r="DZ34" i="17"/>
  <c r="AI33" i="18" s="1"/>
  <c r="DW34" i="17"/>
  <c r="AH33" i="18" s="1"/>
  <c r="DT34" i="17"/>
  <c r="IH34" i="17" s="1"/>
  <c r="CF33" i="18" s="1"/>
  <c r="DR34" i="17"/>
  <c r="AD33" i="18" s="1"/>
  <c r="DE34" i="17"/>
  <c r="DF34" i="17" s="1"/>
  <c r="DA34" i="17"/>
  <c r="X33" i="18" s="1"/>
  <c r="CW34" i="17"/>
  <c r="W33" i="18" s="1"/>
  <c r="CS34" i="17"/>
  <c r="CO34" i="17"/>
  <c r="T33" i="18" s="1"/>
  <c r="CH34" i="17"/>
  <c r="R33" i="18" s="1"/>
  <c r="CF34" i="17"/>
  <c r="Q33" i="18" s="1"/>
  <c r="CD34" i="17"/>
  <c r="P33" i="18" s="1"/>
  <c r="CA34" i="17"/>
  <c r="BW34" i="17"/>
  <c r="BX34" i="17" s="1"/>
  <c r="BT34" i="17"/>
  <c r="BR34" i="17"/>
  <c r="Z33" i="18" s="1"/>
  <c r="BP34" i="17"/>
  <c r="BN34" i="17"/>
  <c r="BL34" i="17"/>
  <c r="BJ34" i="17"/>
  <c r="AB33" i="18" s="1"/>
  <c r="BG34" i="17"/>
  <c r="AA33" i="18" s="1"/>
  <c r="BC34" i="17"/>
  <c r="M33" i="18" s="1"/>
  <c r="AZ34" i="17"/>
  <c r="L33" i="18" s="1"/>
  <c r="AR34" i="17"/>
  <c r="K33" i="18" s="1"/>
  <c r="AI34" i="17"/>
  <c r="I33" i="18" s="1"/>
  <c r="AE34" i="17"/>
  <c r="AB34" i="17"/>
  <c r="F33" i="18" s="1"/>
  <c r="V34" i="17"/>
  <c r="E33" i="18" s="1"/>
  <c r="T34" i="17"/>
  <c r="Q34" i="17"/>
  <c r="N34" i="17"/>
  <c r="C33" i="18" s="1"/>
  <c r="K34" i="17"/>
  <c r="F34" i="17"/>
  <c r="D34" i="17"/>
  <c r="C34" i="17"/>
  <c r="KE33" i="17"/>
  <c r="KB33" i="17"/>
  <c r="JY33" i="17"/>
  <c r="JV33" i="17"/>
  <c r="JS33" i="17"/>
  <c r="JP33" i="17"/>
  <c r="JM33" i="17"/>
  <c r="JJ33" i="17"/>
  <c r="JG33" i="17"/>
  <c r="JD33" i="17"/>
  <c r="JA33" i="17"/>
  <c r="IX33" i="17"/>
  <c r="IU33" i="17"/>
  <c r="IR33" i="17"/>
  <c r="IO33" i="17"/>
  <c r="IL33" i="17"/>
  <c r="IE33" i="17"/>
  <c r="CE32" i="18" s="1"/>
  <c r="IB33" i="17"/>
  <c r="CD32" i="18" s="1"/>
  <c r="HY33" i="17"/>
  <c r="CC32" i="18" s="1"/>
  <c r="HV33" i="17"/>
  <c r="CB32" i="18" s="1"/>
  <c r="HS33" i="17"/>
  <c r="CA32" i="18" s="1"/>
  <c r="BZ32" i="18"/>
  <c r="HM33" i="17"/>
  <c r="BY32" i="18" s="1"/>
  <c r="HJ33" i="17"/>
  <c r="HE33" i="17"/>
  <c r="GW33" i="17"/>
  <c r="GS33" i="17"/>
  <c r="BF32" i="18" s="1"/>
  <c r="GP33" i="17"/>
  <c r="BE32" i="18" s="1"/>
  <c r="GM33" i="17"/>
  <c r="BC32" i="18" s="1"/>
  <c r="GJ33" i="17"/>
  <c r="AX32" i="18" s="1"/>
  <c r="GD33" i="17"/>
  <c r="AQ32" i="18"/>
  <c r="FX33" i="17"/>
  <c r="AP32" i="18" s="1"/>
  <c r="FS33" i="17"/>
  <c r="FP33" i="17"/>
  <c r="FA70" i="17" s="1"/>
  <c r="FJ33" i="17"/>
  <c r="BA32" i="18" s="1"/>
  <c r="FC33" i="17"/>
  <c r="EZ33" i="17"/>
  <c r="EZ70" i="17" s="1"/>
  <c r="EW33" i="17"/>
  <c r="AV32" i="18" s="1"/>
  <c r="ET33" i="17"/>
  <c r="AU32" i="18" s="1"/>
  <c r="EM33" i="17"/>
  <c r="AN32" i="18" s="1"/>
  <c r="EJ33" i="17"/>
  <c r="AM32" i="18" s="1"/>
  <c r="DZ33" i="17"/>
  <c r="AI32" i="18" s="1"/>
  <c r="DW33" i="17"/>
  <c r="AH32" i="18" s="1"/>
  <c r="DT33" i="17"/>
  <c r="DR33" i="17"/>
  <c r="AD32" i="18" s="1"/>
  <c r="DE33" i="17"/>
  <c r="DF33" i="17" s="1"/>
  <c r="DA33" i="17"/>
  <c r="CW33" i="17"/>
  <c r="W32" i="18" s="1"/>
  <c r="CS33" i="17"/>
  <c r="U32" i="18" s="1"/>
  <c r="CO33" i="17"/>
  <c r="CH33" i="17"/>
  <c r="R32" i="18" s="1"/>
  <c r="CF33" i="17"/>
  <c r="Q32" i="18" s="1"/>
  <c r="CD33" i="17"/>
  <c r="P32" i="18" s="1"/>
  <c r="CA33" i="17"/>
  <c r="CB33" i="17" s="1"/>
  <c r="BW33" i="17"/>
  <c r="BX33" i="17" s="1"/>
  <c r="BR33" i="17"/>
  <c r="Z32" i="18" s="1"/>
  <c r="BP33" i="17"/>
  <c r="BN33" i="17"/>
  <c r="BL33" i="17"/>
  <c r="BJ33" i="17"/>
  <c r="AB32" i="18" s="1"/>
  <c r="BG33" i="17"/>
  <c r="AA32" i="18" s="1"/>
  <c r="BC33" i="17"/>
  <c r="M32" i="18" s="1"/>
  <c r="AZ33" i="17"/>
  <c r="L32" i="18" s="1"/>
  <c r="AR33" i="17"/>
  <c r="K32" i="18" s="1"/>
  <c r="AI33" i="17"/>
  <c r="I32" i="18" s="1"/>
  <c r="AE33" i="17"/>
  <c r="H32" i="18" s="1"/>
  <c r="AB33" i="17"/>
  <c r="F32" i="18" s="1"/>
  <c r="V33" i="17"/>
  <c r="E32" i="18" s="1"/>
  <c r="T33" i="17"/>
  <c r="Q33" i="17"/>
  <c r="R33" i="17" s="1"/>
  <c r="N33" i="17"/>
  <c r="C32" i="18" s="1"/>
  <c r="K33" i="17"/>
  <c r="F33" i="17"/>
  <c r="D33" i="17"/>
  <c r="C33" i="17"/>
  <c r="KE32" i="17"/>
  <c r="KB32" i="17"/>
  <c r="JY32" i="17"/>
  <c r="JV32" i="17"/>
  <c r="JS32" i="17"/>
  <c r="JP32" i="17"/>
  <c r="JM32" i="17"/>
  <c r="JJ32" i="17"/>
  <c r="JG32" i="17"/>
  <c r="JD32" i="17"/>
  <c r="JA32" i="17"/>
  <c r="IX32" i="17"/>
  <c r="IU32" i="17"/>
  <c r="IR32" i="17"/>
  <c r="IO32" i="17"/>
  <c r="IL32" i="17"/>
  <c r="IE32" i="17"/>
  <c r="CE31" i="18" s="1"/>
  <c r="IB32" i="17"/>
  <c r="CD31" i="18" s="1"/>
  <c r="HY32" i="17"/>
  <c r="HV32" i="17"/>
  <c r="CB31" i="18" s="1"/>
  <c r="HS32" i="17"/>
  <c r="CA31" i="18" s="1"/>
  <c r="HP32" i="17"/>
  <c r="BZ31" i="18" s="1"/>
  <c r="HM32" i="17"/>
  <c r="BY31" i="18" s="1"/>
  <c r="HJ32" i="17"/>
  <c r="HE32" i="17"/>
  <c r="GW32" i="17"/>
  <c r="GS32" i="17"/>
  <c r="BF31" i="18" s="1"/>
  <c r="GP32" i="17"/>
  <c r="BE31" i="18" s="1"/>
  <c r="GM32" i="17"/>
  <c r="BC31" i="18" s="1"/>
  <c r="GJ32" i="17"/>
  <c r="AX31" i="18" s="1"/>
  <c r="GD32" i="17"/>
  <c r="AQ31" i="18"/>
  <c r="FX32" i="17"/>
  <c r="AP31" i="18" s="1"/>
  <c r="FS32" i="17"/>
  <c r="FP32" i="17"/>
  <c r="FA69" i="17" s="1"/>
  <c r="FJ32" i="17"/>
  <c r="BA31" i="18" s="1"/>
  <c r="FG32" i="17"/>
  <c r="AZ31" i="18" s="1"/>
  <c r="FC32" i="17"/>
  <c r="EZ32" i="17"/>
  <c r="EZ69" i="17" s="1"/>
  <c r="AV31" i="18"/>
  <c r="ET32" i="17"/>
  <c r="AU31" i="18" s="1"/>
  <c r="EM32" i="17"/>
  <c r="AN31" i="18" s="1"/>
  <c r="EJ32" i="17"/>
  <c r="DZ32" i="17"/>
  <c r="AI31" i="18" s="1"/>
  <c r="DW32" i="17"/>
  <c r="AH31" i="18" s="1"/>
  <c r="DT32" i="17"/>
  <c r="DR32" i="17"/>
  <c r="AD31" i="18" s="1"/>
  <c r="DE32" i="17"/>
  <c r="DF32" i="17" s="1"/>
  <c r="DA32" i="17"/>
  <c r="X31" i="18" s="1"/>
  <c r="CW32" i="17"/>
  <c r="W31" i="18" s="1"/>
  <c r="CS32" i="17"/>
  <c r="U31" i="18" s="1"/>
  <c r="CO32" i="17"/>
  <c r="T31" i="18" s="1"/>
  <c r="CH32" i="17"/>
  <c r="R31" i="18" s="1"/>
  <c r="CF32" i="17"/>
  <c r="Q31" i="18" s="1"/>
  <c r="CD32" i="17"/>
  <c r="P31" i="18" s="1"/>
  <c r="CA32" i="17"/>
  <c r="O31" i="18" s="1"/>
  <c r="BW32" i="17"/>
  <c r="BX32" i="17" s="1"/>
  <c r="BT32" i="17"/>
  <c r="BR32" i="17"/>
  <c r="Z31" i="18" s="1"/>
  <c r="BP32" i="17"/>
  <c r="BN32" i="17"/>
  <c r="BL32" i="17"/>
  <c r="BJ32" i="17"/>
  <c r="AB31" i="18" s="1"/>
  <c r="BG32" i="17"/>
  <c r="AA31" i="18" s="1"/>
  <c r="BC32" i="17"/>
  <c r="M31" i="18" s="1"/>
  <c r="AZ32" i="17"/>
  <c r="L31" i="18" s="1"/>
  <c r="AR32" i="17"/>
  <c r="K31" i="18" s="1"/>
  <c r="AI32" i="17"/>
  <c r="I31" i="18" s="1"/>
  <c r="AE32" i="17"/>
  <c r="H31" i="18" s="1"/>
  <c r="AB32" i="17"/>
  <c r="V32" i="17"/>
  <c r="E31" i="18" s="1"/>
  <c r="T32" i="17"/>
  <c r="D31" i="18" s="1"/>
  <c r="Q32" i="17"/>
  <c r="R32" i="17" s="1"/>
  <c r="N32" i="17"/>
  <c r="C31" i="18" s="1"/>
  <c r="K32" i="17"/>
  <c r="F32" i="17"/>
  <c r="D32" i="17"/>
  <c r="C32" i="17"/>
  <c r="KE31" i="17"/>
  <c r="KB31" i="17"/>
  <c r="JY31" i="17"/>
  <c r="JV31" i="17"/>
  <c r="JS31" i="17"/>
  <c r="JP31" i="17"/>
  <c r="JM31" i="17"/>
  <c r="JJ31" i="17"/>
  <c r="JG31" i="17"/>
  <c r="JD31" i="17"/>
  <c r="JA31" i="17"/>
  <c r="IX31" i="17"/>
  <c r="IU31" i="17"/>
  <c r="IR31" i="17"/>
  <c r="IO31" i="17"/>
  <c r="IL31" i="17"/>
  <c r="IE31" i="17"/>
  <c r="CE30" i="18" s="1"/>
  <c r="IB31" i="17"/>
  <c r="CD30" i="18" s="1"/>
  <c r="HY31" i="17"/>
  <c r="HV31" i="17"/>
  <c r="CB30" i="18" s="1"/>
  <c r="HS31" i="17"/>
  <c r="HP31" i="17"/>
  <c r="BZ30" i="18" s="1"/>
  <c r="HM31" i="17"/>
  <c r="BY30" i="18" s="1"/>
  <c r="HJ31" i="17"/>
  <c r="HE31" i="17"/>
  <c r="GW31" i="17"/>
  <c r="GS31" i="17"/>
  <c r="BF30" i="18" s="1"/>
  <c r="GP31" i="17"/>
  <c r="BE30" i="18" s="1"/>
  <c r="GM31" i="17"/>
  <c r="BC30" i="18" s="1"/>
  <c r="GJ31" i="17"/>
  <c r="AX30" i="18" s="1"/>
  <c r="GD31" i="17"/>
  <c r="AQ30" i="18"/>
  <c r="FX31" i="17"/>
  <c r="AP30" i="18" s="1"/>
  <c r="FS31" i="17"/>
  <c r="FP31" i="17"/>
  <c r="FA68" i="17" s="1"/>
  <c r="FJ31" i="17"/>
  <c r="BA30" i="18" s="1"/>
  <c r="FC31" i="17"/>
  <c r="EZ31" i="17"/>
  <c r="EZ68" i="17" s="1"/>
  <c r="EW31" i="17"/>
  <c r="AV30" i="18" s="1"/>
  <c r="ET31" i="17"/>
  <c r="AU30" i="18" s="1"/>
  <c r="EM31" i="17"/>
  <c r="AN30" i="18" s="1"/>
  <c r="EJ31" i="17"/>
  <c r="AM30" i="18" s="1"/>
  <c r="DZ31" i="17"/>
  <c r="AI30" i="18" s="1"/>
  <c r="DW31" i="17"/>
  <c r="DT31" i="17"/>
  <c r="DR31" i="17"/>
  <c r="AD30" i="18" s="1"/>
  <c r="DE31" i="17"/>
  <c r="DF31" i="17" s="1"/>
  <c r="DA31" i="17"/>
  <c r="X30" i="18" s="1"/>
  <c r="CW31" i="17"/>
  <c r="W30" i="18" s="1"/>
  <c r="CS31" i="17"/>
  <c r="CO31" i="17"/>
  <c r="T30" i="18" s="1"/>
  <c r="CH31" i="17"/>
  <c r="R30" i="18" s="1"/>
  <c r="CF31" i="17"/>
  <c r="Q30" i="18" s="1"/>
  <c r="CD31" i="17"/>
  <c r="P30" i="18" s="1"/>
  <c r="CA31" i="17"/>
  <c r="O30" i="18" s="1"/>
  <c r="BW31" i="17"/>
  <c r="BX31" i="17" s="1"/>
  <c r="BT31" i="17"/>
  <c r="BR31" i="17"/>
  <c r="Z30" i="18" s="1"/>
  <c r="BP31" i="17"/>
  <c r="BN31" i="17"/>
  <c r="BL31" i="17"/>
  <c r="BJ31" i="17"/>
  <c r="AB30" i="18" s="1"/>
  <c r="BG31" i="17"/>
  <c r="AA30" i="18" s="1"/>
  <c r="BC31" i="17"/>
  <c r="M30" i="18" s="1"/>
  <c r="AZ31" i="17"/>
  <c r="L30" i="18" s="1"/>
  <c r="AR31" i="17"/>
  <c r="K30" i="18" s="1"/>
  <c r="AI31" i="17"/>
  <c r="I30" i="18" s="1"/>
  <c r="AE31" i="17"/>
  <c r="H30" i="18" s="1"/>
  <c r="AB31" i="17"/>
  <c r="F30" i="18" s="1"/>
  <c r="V31" i="17"/>
  <c r="E30" i="18" s="1"/>
  <c r="T31" i="17"/>
  <c r="D30" i="18" s="1"/>
  <c r="Q31" i="17"/>
  <c r="N31" i="17"/>
  <c r="C30" i="18" s="1"/>
  <c r="K31" i="17"/>
  <c r="F31" i="17"/>
  <c r="D31" i="17"/>
  <c r="C31" i="17"/>
  <c r="KE30" i="17"/>
  <c r="KB30" i="17"/>
  <c r="JY30" i="17"/>
  <c r="JV30" i="17"/>
  <c r="JS30" i="17"/>
  <c r="JP30" i="17"/>
  <c r="JM30" i="17"/>
  <c r="JJ30" i="17"/>
  <c r="JG30" i="17"/>
  <c r="JD30" i="17"/>
  <c r="JA30" i="17"/>
  <c r="IX30" i="17"/>
  <c r="IU30" i="17"/>
  <c r="IR30" i="17"/>
  <c r="IO30" i="17"/>
  <c r="IL30" i="17"/>
  <c r="IE30" i="17"/>
  <c r="CE29" i="18" s="1"/>
  <c r="IB30" i="17"/>
  <c r="CD29" i="18" s="1"/>
  <c r="HY30" i="17"/>
  <c r="HV30" i="17"/>
  <c r="CB29" i="18" s="1"/>
  <c r="HS30" i="17"/>
  <c r="CA29" i="18" s="1"/>
  <c r="HP30" i="17"/>
  <c r="BZ29" i="18" s="1"/>
  <c r="HM30" i="17"/>
  <c r="BY29" i="18" s="1"/>
  <c r="HJ30" i="17"/>
  <c r="HE30" i="17"/>
  <c r="GW30" i="17"/>
  <c r="GS30" i="17"/>
  <c r="BF29" i="18" s="1"/>
  <c r="GP30" i="17"/>
  <c r="BE29" i="18" s="1"/>
  <c r="GM30" i="17"/>
  <c r="BC29" i="18" s="1"/>
  <c r="GJ30" i="17"/>
  <c r="GD30" i="17"/>
  <c r="AQ29" i="18"/>
  <c r="FX30" i="17"/>
  <c r="AP29" i="18" s="1"/>
  <c r="FS30" i="17"/>
  <c r="FP30" i="17"/>
  <c r="FA67" i="17" s="1"/>
  <c r="FJ30" i="17"/>
  <c r="BA29" i="18" s="1"/>
  <c r="FC30" i="17"/>
  <c r="EZ30" i="17"/>
  <c r="EZ67" i="17" s="1"/>
  <c r="EW30" i="17"/>
  <c r="AV29" i="18" s="1"/>
  <c r="ET30" i="17"/>
  <c r="AU29" i="18" s="1"/>
  <c r="EM30" i="17"/>
  <c r="AN29" i="18" s="1"/>
  <c r="EJ30" i="17"/>
  <c r="AM29" i="18" s="1"/>
  <c r="DZ30" i="17"/>
  <c r="AI29" i="18" s="1"/>
  <c r="DW30" i="17"/>
  <c r="AH29" i="18" s="1"/>
  <c r="DT30" i="17"/>
  <c r="DR30" i="17"/>
  <c r="AD29" i="18" s="1"/>
  <c r="DE30" i="17"/>
  <c r="DF30" i="17" s="1"/>
  <c r="DA30" i="17"/>
  <c r="X29" i="18" s="1"/>
  <c r="CW30" i="17"/>
  <c r="W29" i="18" s="1"/>
  <c r="CS30" i="17"/>
  <c r="U29" i="18" s="1"/>
  <c r="CO30" i="17"/>
  <c r="T29" i="18" s="1"/>
  <c r="CH30" i="17"/>
  <c r="R29" i="18" s="1"/>
  <c r="CF30" i="17"/>
  <c r="Q29" i="18" s="1"/>
  <c r="CD30" i="17"/>
  <c r="P29" i="18" s="1"/>
  <c r="CA30" i="17"/>
  <c r="O29" i="18" s="1"/>
  <c r="BW30" i="17"/>
  <c r="BX30" i="17" s="1"/>
  <c r="BT30" i="17"/>
  <c r="BR30" i="17"/>
  <c r="Z29" i="18" s="1"/>
  <c r="BP30" i="17"/>
  <c r="BN30" i="17"/>
  <c r="BL30" i="17"/>
  <c r="BJ30" i="17"/>
  <c r="AB29" i="18" s="1"/>
  <c r="BG30" i="17"/>
  <c r="AA29" i="18" s="1"/>
  <c r="BC30" i="17"/>
  <c r="M29" i="18" s="1"/>
  <c r="AZ30" i="17"/>
  <c r="L29" i="18" s="1"/>
  <c r="AR30" i="17"/>
  <c r="K29" i="18" s="1"/>
  <c r="AI30" i="17"/>
  <c r="AE30" i="17"/>
  <c r="H29" i="18" s="1"/>
  <c r="AB30" i="17"/>
  <c r="F29" i="18" s="1"/>
  <c r="V30" i="17"/>
  <c r="E29" i="18" s="1"/>
  <c r="T30" i="17"/>
  <c r="D29" i="18" s="1"/>
  <c r="Q30" i="17"/>
  <c r="R30" i="17" s="1"/>
  <c r="N30" i="17"/>
  <c r="C29" i="18" s="1"/>
  <c r="K30" i="17"/>
  <c r="F30" i="17"/>
  <c r="D30" i="17"/>
  <c r="C30" i="17"/>
  <c r="KE29" i="17"/>
  <c r="KB29" i="17"/>
  <c r="JY29" i="17"/>
  <c r="JV29" i="17"/>
  <c r="JS29" i="17"/>
  <c r="JP29" i="17"/>
  <c r="JM29" i="17"/>
  <c r="JJ29" i="17"/>
  <c r="JG29" i="17"/>
  <c r="JD29" i="17"/>
  <c r="JA29" i="17"/>
  <c r="IX29" i="17"/>
  <c r="IU29" i="17"/>
  <c r="IR29" i="17"/>
  <c r="IO29" i="17"/>
  <c r="IL29" i="17"/>
  <c r="IE29" i="17"/>
  <c r="CE28" i="18" s="1"/>
  <c r="IB29" i="17"/>
  <c r="CD28" i="18" s="1"/>
  <c r="HY29" i="17"/>
  <c r="HV29" i="17"/>
  <c r="CB28" i="18" s="1"/>
  <c r="HS29" i="17"/>
  <c r="CA28" i="18" s="1"/>
  <c r="HP29" i="17"/>
  <c r="BZ28" i="18" s="1"/>
  <c r="HM29" i="17"/>
  <c r="BY28" i="18" s="1"/>
  <c r="HJ29" i="17"/>
  <c r="HE29" i="17"/>
  <c r="GW29" i="17"/>
  <c r="GS29" i="17"/>
  <c r="BF28" i="18" s="1"/>
  <c r="GP29" i="17"/>
  <c r="BE28" i="18" s="1"/>
  <c r="GM29" i="17"/>
  <c r="BC28" i="18" s="1"/>
  <c r="GJ29" i="17"/>
  <c r="AX28" i="18" s="1"/>
  <c r="GD29" i="17"/>
  <c r="AQ28" i="18"/>
  <c r="FX29" i="17"/>
  <c r="AP28" i="18" s="1"/>
  <c r="FS29" i="17"/>
  <c r="FP29" i="17"/>
  <c r="FA66" i="17" s="1"/>
  <c r="FJ29" i="17"/>
  <c r="BA28" i="18" s="1"/>
  <c r="FC29" i="17"/>
  <c r="EZ29" i="17"/>
  <c r="EZ66" i="17" s="1"/>
  <c r="EW29" i="17"/>
  <c r="AV28" i="18" s="1"/>
  <c r="ET29" i="17"/>
  <c r="AU28" i="18" s="1"/>
  <c r="EM29" i="17"/>
  <c r="AN28" i="18" s="1"/>
  <c r="EJ29" i="17"/>
  <c r="AM28" i="18" s="1"/>
  <c r="DZ29" i="17"/>
  <c r="AI28" i="18" s="1"/>
  <c r="DW29" i="17"/>
  <c r="AH28" i="18" s="1"/>
  <c r="DT29" i="17"/>
  <c r="DR29" i="17"/>
  <c r="AD28" i="18" s="1"/>
  <c r="DE29" i="17"/>
  <c r="DA29" i="17"/>
  <c r="X28" i="18" s="1"/>
  <c r="CW29" i="17"/>
  <c r="W28" i="18" s="1"/>
  <c r="CS29" i="17"/>
  <c r="U28" i="18" s="1"/>
  <c r="CO29" i="17"/>
  <c r="T28" i="18" s="1"/>
  <c r="CH29" i="17"/>
  <c r="R28" i="18" s="1"/>
  <c r="CF29" i="17"/>
  <c r="Q28" i="18" s="1"/>
  <c r="CD29" i="17"/>
  <c r="P28" i="18" s="1"/>
  <c r="CA29" i="17"/>
  <c r="BW29" i="17"/>
  <c r="BX29" i="17" s="1"/>
  <c r="BT29" i="17"/>
  <c r="BR29" i="17"/>
  <c r="Z28" i="18" s="1"/>
  <c r="BP29" i="17"/>
  <c r="BN29" i="17"/>
  <c r="BL29" i="17"/>
  <c r="BJ29" i="17"/>
  <c r="AB28" i="18" s="1"/>
  <c r="BG29" i="17"/>
  <c r="AA28" i="18" s="1"/>
  <c r="BC29" i="17"/>
  <c r="M28" i="18" s="1"/>
  <c r="AZ29" i="17"/>
  <c r="L28" i="18" s="1"/>
  <c r="AR29" i="17"/>
  <c r="K28" i="18" s="1"/>
  <c r="AI29" i="17"/>
  <c r="I28" i="18" s="1"/>
  <c r="AE29" i="17"/>
  <c r="H28" i="18" s="1"/>
  <c r="AB29" i="17"/>
  <c r="F28" i="18" s="1"/>
  <c r="V29" i="17"/>
  <c r="E28" i="18" s="1"/>
  <c r="T29" i="17"/>
  <c r="D28" i="18" s="1"/>
  <c r="Q29" i="17"/>
  <c r="R29" i="17" s="1"/>
  <c r="N29" i="17"/>
  <c r="C28" i="18" s="1"/>
  <c r="K29" i="17"/>
  <c r="F29" i="17"/>
  <c r="D29" i="17"/>
  <c r="C29" i="17"/>
  <c r="KE28" i="17"/>
  <c r="KB28" i="17"/>
  <c r="JY28" i="17"/>
  <c r="JV28" i="17"/>
  <c r="JS28" i="17"/>
  <c r="JP28" i="17"/>
  <c r="JM28" i="17"/>
  <c r="JJ28" i="17"/>
  <c r="JG28" i="17"/>
  <c r="JD28" i="17"/>
  <c r="JA28" i="17"/>
  <c r="IX28" i="17"/>
  <c r="IU28" i="17"/>
  <c r="IR28" i="17"/>
  <c r="IO28" i="17"/>
  <c r="IL28" i="17"/>
  <c r="IE28" i="17"/>
  <c r="CE27" i="18" s="1"/>
  <c r="IB28" i="17"/>
  <c r="CD27" i="18" s="1"/>
  <c r="HY28" i="17"/>
  <c r="CC27" i="18" s="1"/>
  <c r="HV28" i="17"/>
  <c r="CB27" i="18" s="1"/>
  <c r="HS28" i="17"/>
  <c r="CA27" i="18" s="1"/>
  <c r="HP28" i="17"/>
  <c r="BZ27" i="18" s="1"/>
  <c r="HM28" i="17"/>
  <c r="HJ28" i="17"/>
  <c r="HE28" i="17"/>
  <c r="GW28" i="17"/>
  <c r="GS28" i="17"/>
  <c r="BF27" i="18" s="1"/>
  <c r="GP28" i="17"/>
  <c r="BE27" i="18" s="1"/>
  <c r="GM28" i="17"/>
  <c r="BC27" i="18" s="1"/>
  <c r="GJ28" i="17"/>
  <c r="AX27" i="18" s="1"/>
  <c r="GD28" i="17"/>
  <c r="AQ27" i="18"/>
  <c r="FX28" i="17"/>
  <c r="AP27" i="18" s="1"/>
  <c r="FS28" i="17"/>
  <c r="FP28" i="17"/>
  <c r="FA65" i="17" s="1"/>
  <c r="FJ28" i="17"/>
  <c r="BA27" i="18" s="1"/>
  <c r="EZ28" i="17"/>
  <c r="EZ65" i="17" s="1"/>
  <c r="EW28" i="17"/>
  <c r="AV27" i="18" s="1"/>
  <c r="ET28" i="17"/>
  <c r="AU27" i="18" s="1"/>
  <c r="EM28" i="17"/>
  <c r="AN27" i="18" s="1"/>
  <c r="EJ28" i="17"/>
  <c r="AM27" i="18" s="1"/>
  <c r="DZ28" i="17"/>
  <c r="AI27" i="18" s="1"/>
  <c r="DW28" i="17"/>
  <c r="AH27" i="18" s="1"/>
  <c r="DT28" i="17"/>
  <c r="AD27" i="18"/>
  <c r="DE28" i="17"/>
  <c r="DA28" i="17"/>
  <c r="X27" i="18" s="1"/>
  <c r="CW28" i="17"/>
  <c r="W27" i="18" s="1"/>
  <c r="CS28" i="17"/>
  <c r="U27" i="18" s="1"/>
  <c r="CO28" i="17"/>
  <c r="CH28" i="17"/>
  <c r="R27" i="18" s="1"/>
  <c r="CF28" i="17"/>
  <c r="Q27" i="18" s="1"/>
  <c r="CD28" i="17"/>
  <c r="P27" i="18" s="1"/>
  <c r="CA28" i="17"/>
  <c r="O27" i="18" s="1"/>
  <c r="BW28" i="17"/>
  <c r="BX28" i="17" s="1"/>
  <c r="BT28" i="17"/>
  <c r="BR28" i="17"/>
  <c r="Z27" i="18" s="1"/>
  <c r="BP28" i="17"/>
  <c r="BN28" i="17"/>
  <c r="BL28" i="17"/>
  <c r="BJ28" i="17"/>
  <c r="AB27" i="18" s="1"/>
  <c r="BG28" i="17"/>
  <c r="AA27" i="18" s="1"/>
  <c r="BC28" i="17"/>
  <c r="M27" i="18" s="1"/>
  <c r="AZ28" i="17"/>
  <c r="L27" i="18" s="1"/>
  <c r="AR28" i="17"/>
  <c r="K27" i="18" s="1"/>
  <c r="AI28" i="17"/>
  <c r="I27" i="18" s="1"/>
  <c r="AE28" i="17"/>
  <c r="H27" i="18" s="1"/>
  <c r="AB28" i="17"/>
  <c r="F27" i="18" s="1"/>
  <c r="V28" i="17"/>
  <c r="E27" i="18" s="1"/>
  <c r="T28" i="17"/>
  <c r="D27" i="18" s="1"/>
  <c r="Q28" i="17"/>
  <c r="N28" i="17"/>
  <c r="C27" i="18" s="1"/>
  <c r="K28" i="17"/>
  <c r="F28" i="17"/>
  <c r="D28" i="17"/>
  <c r="C28" i="17"/>
  <c r="KE27" i="17"/>
  <c r="KB27" i="17"/>
  <c r="JY27" i="17"/>
  <c r="JV27" i="17"/>
  <c r="JS27" i="17"/>
  <c r="JP27" i="17"/>
  <c r="JM27" i="17"/>
  <c r="JJ27" i="17"/>
  <c r="JG27" i="17"/>
  <c r="JD27" i="17"/>
  <c r="JA27" i="17"/>
  <c r="IX27" i="17"/>
  <c r="IU27" i="17"/>
  <c r="IR27" i="17"/>
  <c r="IO27" i="17"/>
  <c r="IL27" i="17"/>
  <c r="IE27" i="17"/>
  <c r="CE26" i="18" s="1"/>
  <c r="IB27" i="17"/>
  <c r="CD26" i="18" s="1"/>
  <c r="HY27" i="17"/>
  <c r="HV27" i="17"/>
  <c r="CB26" i="18" s="1"/>
  <c r="HS27" i="17"/>
  <c r="CA26" i="18" s="1"/>
  <c r="HP27" i="17"/>
  <c r="BZ26" i="18" s="1"/>
  <c r="HM27" i="17"/>
  <c r="BY26" i="18" s="1"/>
  <c r="HJ27" i="17"/>
  <c r="HE27" i="17"/>
  <c r="GW27" i="17"/>
  <c r="GS27" i="17"/>
  <c r="BF26" i="18" s="1"/>
  <c r="GP27" i="17"/>
  <c r="BE26" i="18" s="1"/>
  <c r="GM27" i="17"/>
  <c r="BC26" i="18" s="1"/>
  <c r="GJ27" i="17"/>
  <c r="AX26" i="18" s="1"/>
  <c r="GD27" i="17"/>
  <c r="AQ26" i="18"/>
  <c r="FX27" i="17"/>
  <c r="AP26" i="18" s="1"/>
  <c r="FS27" i="17"/>
  <c r="FP27" i="17"/>
  <c r="FA64" i="17" s="1"/>
  <c r="FJ27" i="17"/>
  <c r="BA26" i="18" s="1"/>
  <c r="FC27" i="17"/>
  <c r="EZ27" i="17"/>
  <c r="EZ64" i="17" s="1"/>
  <c r="EW27" i="17"/>
  <c r="AV26" i="18" s="1"/>
  <c r="ET27" i="17"/>
  <c r="AU26" i="18" s="1"/>
  <c r="EM27" i="17"/>
  <c r="AN26" i="18" s="1"/>
  <c r="EJ27" i="17"/>
  <c r="DZ27" i="17"/>
  <c r="AI26" i="18" s="1"/>
  <c r="DW27" i="17"/>
  <c r="AH26" i="18" s="1"/>
  <c r="DT27" i="17"/>
  <c r="DR27" i="17"/>
  <c r="AD26" i="18" s="1"/>
  <c r="DE27" i="17"/>
  <c r="DF27" i="17" s="1"/>
  <c r="DA27" i="17"/>
  <c r="X26" i="18" s="1"/>
  <c r="CW27" i="17"/>
  <c r="W26" i="18" s="1"/>
  <c r="CS27" i="17"/>
  <c r="U26" i="18" s="1"/>
  <c r="CO27" i="17"/>
  <c r="T26" i="18" s="1"/>
  <c r="CH27" i="17"/>
  <c r="R26" i="18" s="1"/>
  <c r="CF27" i="17"/>
  <c r="Q26" i="18" s="1"/>
  <c r="CD27" i="17"/>
  <c r="P26" i="18" s="1"/>
  <c r="CA27" i="17"/>
  <c r="O26" i="18" s="1"/>
  <c r="BW27" i="17"/>
  <c r="BX27" i="17" s="1"/>
  <c r="BT27" i="17"/>
  <c r="BR27" i="17"/>
  <c r="Z26" i="18" s="1"/>
  <c r="BP27" i="17"/>
  <c r="BN27" i="17"/>
  <c r="BL27" i="17"/>
  <c r="BJ27" i="17"/>
  <c r="AB26" i="18" s="1"/>
  <c r="BG27" i="17"/>
  <c r="AA26" i="18" s="1"/>
  <c r="BC27" i="17"/>
  <c r="M26" i="18" s="1"/>
  <c r="AZ27" i="17"/>
  <c r="L26" i="18" s="1"/>
  <c r="AR27" i="17"/>
  <c r="K26" i="18" s="1"/>
  <c r="AI27" i="17"/>
  <c r="I26" i="18" s="1"/>
  <c r="AE27" i="17"/>
  <c r="H26" i="18" s="1"/>
  <c r="AB27" i="17"/>
  <c r="V27" i="17"/>
  <c r="E26" i="18" s="1"/>
  <c r="T27" i="17"/>
  <c r="D26" i="18" s="1"/>
  <c r="Q27" i="17"/>
  <c r="R27" i="17" s="1"/>
  <c r="N27" i="17"/>
  <c r="C26" i="18" s="1"/>
  <c r="K27" i="17"/>
  <c r="F27" i="17"/>
  <c r="D27" i="17"/>
  <c r="C27" i="17"/>
  <c r="KE26" i="17"/>
  <c r="KB26" i="17"/>
  <c r="JY26" i="17"/>
  <c r="JV26" i="17"/>
  <c r="JS26" i="17"/>
  <c r="JP26" i="17"/>
  <c r="JM26" i="17"/>
  <c r="JJ26" i="17"/>
  <c r="JG26" i="17"/>
  <c r="JD26" i="17"/>
  <c r="JA26" i="17"/>
  <c r="IX26" i="17"/>
  <c r="IU26" i="17"/>
  <c r="IR26" i="17"/>
  <c r="IO26" i="17"/>
  <c r="IL26" i="17"/>
  <c r="IE26" i="17"/>
  <c r="CE25" i="18" s="1"/>
  <c r="IB26" i="17"/>
  <c r="CD25" i="18" s="1"/>
  <c r="HY26" i="17"/>
  <c r="HV26" i="17"/>
  <c r="CB25" i="18" s="1"/>
  <c r="HS26" i="17"/>
  <c r="HP26" i="17"/>
  <c r="BZ25" i="18" s="1"/>
  <c r="HM26" i="17"/>
  <c r="BY25" i="18" s="1"/>
  <c r="HJ26" i="17"/>
  <c r="HE26" i="17"/>
  <c r="GW26" i="17"/>
  <c r="GS26" i="17"/>
  <c r="BF25" i="18" s="1"/>
  <c r="GP26" i="17"/>
  <c r="BE25" i="18" s="1"/>
  <c r="GM26" i="17"/>
  <c r="BC25" i="18" s="1"/>
  <c r="GJ26" i="17"/>
  <c r="AX25" i="18" s="1"/>
  <c r="GD26" i="17"/>
  <c r="AQ25" i="18"/>
  <c r="FX26" i="17"/>
  <c r="AP25" i="18" s="1"/>
  <c r="FS26" i="17"/>
  <c r="FP26" i="17"/>
  <c r="FA63" i="17" s="1"/>
  <c r="FJ26" i="17"/>
  <c r="BA25" i="18" s="1"/>
  <c r="FC26" i="17"/>
  <c r="EZ26" i="17"/>
  <c r="EZ63" i="17" s="1"/>
  <c r="EW26" i="17"/>
  <c r="AV25" i="18" s="1"/>
  <c r="ET26" i="17"/>
  <c r="AU25" i="18" s="1"/>
  <c r="EM26" i="17"/>
  <c r="AN25" i="18" s="1"/>
  <c r="EJ26" i="17"/>
  <c r="AM25" i="18" s="1"/>
  <c r="DZ26" i="17"/>
  <c r="AI25" i="18" s="1"/>
  <c r="DW26" i="17"/>
  <c r="DT26" i="17"/>
  <c r="DR26" i="17"/>
  <c r="AD25" i="18" s="1"/>
  <c r="DE26" i="17"/>
  <c r="DA26" i="17"/>
  <c r="X25" i="18" s="1"/>
  <c r="CW26" i="17"/>
  <c r="W25" i="18" s="1"/>
  <c r="CS26" i="17"/>
  <c r="CO26" i="17"/>
  <c r="T25" i="18" s="1"/>
  <c r="CH26" i="17"/>
  <c r="R25" i="18" s="1"/>
  <c r="CF26" i="17"/>
  <c r="Q25" i="18" s="1"/>
  <c r="CD26" i="17"/>
  <c r="P25" i="18" s="1"/>
  <c r="CA26" i="17"/>
  <c r="O25" i="18" s="1"/>
  <c r="BW26" i="17"/>
  <c r="BX26" i="17" s="1"/>
  <c r="BT26" i="17"/>
  <c r="BR26" i="17"/>
  <c r="Z25" i="18" s="1"/>
  <c r="BP26" i="17"/>
  <c r="BN26" i="17"/>
  <c r="BL26" i="17"/>
  <c r="BJ26" i="17"/>
  <c r="AB25" i="18" s="1"/>
  <c r="BG26" i="17"/>
  <c r="AA25" i="18" s="1"/>
  <c r="BC26" i="17"/>
  <c r="M25" i="18" s="1"/>
  <c r="AZ26" i="17"/>
  <c r="L25" i="18" s="1"/>
  <c r="AR26" i="17"/>
  <c r="K25" i="18" s="1"/>
  <c r="AI26" i="17"/>
  <c r="I25" i="18" s="1"/>
  <c r="AE26" i="17"/>
  <c r="H25" i="18" s="1"/>
  <c r="AB26" i="17"/>
  <c r="F25" i="18" s="1"/>
  <c r="V26" i="17"/>
  <c r="E25" i="18" s="1"/>
  <c r="T26" i="17"/>
  <c r="D25" i="18" s="1"/>
  <c r="Q26" i="17"/>
  <c r="N26" i="17"/>
  <c r="C25" i="18" s="1"/>
  <c r="K26" i="17"/>
  <c r="F26" i="17"/>
  <c r="D26" i="17"/>
  <c r="C26" i="17"/>
  <c r="KE25" i="17"/>
  <c r="KB25" i="17"/>
  <c r="JY25" i="17"/>
  <c r="JV25" i="17"/>
  <c r="JS25" i="17"/>
  <c r="JP25" i="17"/>
  <c r="JM25" i="17"/>
  <c r="JJ25" i="17"/>
  <c r="JG25" i="17"/>
  <c r="JD25" i="17"/>
  <c r="JA25" i="17"/>
  <c r="IX25" i="17"/>
  <c r="IU25" i="17"/>
  <c r="IR25" i="17"/>
  <c r="IO25" i="17"/>
  <c r="IL25" i="17"/>
  <c r="IE25" i="17"/>
  <c r="CE24" i="18" s="1"/>
  <c r="IB25" i="17"/>
  <c r="CD24" i="18" s="1"/>
  <c r="HY25" i="17"/>
  <c r="HV25" i="17"/>
  <c r="CB24" i="18" s="1"/>
  <c r="HS25" i="17"/>
  <c r="CA24" i="18" s="1"/>
  <c r="HP25" i="17"/>
  <c r="BZ24" i="18" s="1"/>
  <c r="HM25" i="17"/>
  <c r="BY24" i="18" s="1"/>
  <c r="HJ25" i="17"/>
  <c r="HE25" i="17"/>
  <c r="GW25" i="17"/>
  <c r="GS25" i="17"/>
  <c r="BF24" i="18" s="1"/>
  <c r="GP25" i="17"/>
  <c r="BE24" i="18" s="1"/>
  <c r="GM25" i="17"/>
  <c r="BC24" i="18" s="1"/>
  <c r="GJ25" i="17"/>
  <c r="AX24" i="18" s="1"/>
  <c r="GD25" i="17"/>
  <c r="AQ24" i="18"/>
  <c r="FX25" i="17"/>
  <c r="AP24" i="18" s="1"/>
  <c r="FS25" i="17"/>
  <c r="FP25" i="17"/>
  <c r="FA62" i="17" s="1"/>
  <c r="FJ25" i="17"/>
  <c r="BA24" i="18" s="1"/>
  <c r="FC25" i="17"/>
  <c r="EZ25" i="17"/>
  <c r="EZ62" i="17" s="1"/>
  <c r="EW25" i="17"/>
  <c r="AV24" i="18" s="1"/>
  <c r="ET25" i="17"/>
  <c r="AU24" i="18" s="1"/>
  <c r="EM25" i="17"/>
  <c r="AN24" i="18" s="1"/>
  <c r="EJ25" i="17"/>
  <c r="AM24" i="18" s="1"/>
  <c r="DZ25" i="17"/>
  <c r="AI24" i="18" s="1"/>
  <c r="DW25" i="17"/>
  <c r="AH24" i="18" s="1"/>
  <c r="DT25" i="17"/>
  <c r="DR25" i="17"/>
  <c r="AD24" i="18" s="1"/>
  <c r="DE25" i="17"/>
  <c r="DF25" i="17" s="1"/>
  <c r="DA25" i="17"/>
  <c r="X24" i="18" s="1"/>
  <c r="CW25" i="17"/>
  <c r="W24" i="18" s="1"/>
  <c r="CS25" i="17"/>
  <c r="U24" i="18" s="1"/>
  <c r="CO25" i="17"/>
  <c r="T24" i="18" s="1"/>
  <c r="CH25" i="17"/>
  <c r="R24" i="18" s="1"/>
  <c r="CF25" i="17"/>
  <c r="Q24" i="18" s="1"/>
  <c r="CD25" i="17"/>
  <c r="P24" i="18" s="1"/>
  <c r="CA25" i="17"/>
  <c r="O24" i="18" s="1"/>
  <c r="BW25" i="17"/>
  <c r="BX25" i="17" s="1"/>
  <c r="BT25" i="17"/>
  <c r="BR25" i="17"/>
  <c r="Z24" i="18" s="1"/>
  <c r="BP25" i="17"/>
  <c r="BN25" i="17"/>
  <c r="BL25" i="17"/>
  <c r="BJ25" i="17"/>
  <c r="AB24" i="18" s="1"/>
  <c r="BG25" i="17"/>
  <c r="AA24" i="18" s="1"/>
  <c r="BC25" i="17"/>
  <c r="M24" i="18" s="1"/>
  <c r="AZ25" i="17"/>
  <c r="L24" i="18" s="1"/>
  <c r="AR25" i="17"/>
  <c r="K24" i="18" s="1"/>
  <c r="AI25" i="17"/>
  <c r="I24" i="18" s="1"/>
  <c r="AE25" i="17"/>
  <c r="H24" i="18" s="1"/>
  <c r="AB25" i="17"/>
  <c r="F24" i="18" s="1"/>
  <c r="V25" i="17"/>
  <c r="E24" i="18" s="1"/>
  <c r="T25" i="17"/>
  <c r="D24" i="18" s="1"/>
  <c r="Q25" i="17"/>
  <c r="N25" i="17"/>
  <c r="C24" i="18" s="1"/>
  <c r="K25" i="17"/>
  <c r="F25" i="17"/>
  <c r="D25" i="17"/>
  <c r="C25" i="17"/>
  <c r="KE24" i="17"/>
  <c r="KB24" i="17"/>
  <c r="JY24" i="17"/>
  <c r="JV24" i="17"/>
  <c r="JS24" i="17"/>
  <c r="JP24" i="17"/>
  <c r="JM24" i="17"/>
  <c r="JJ24" i="17"/>
  <c r="JG24" i="17"/>
  <c r="JD24" i="17"/>
  <c r="JA24" i="17"/>
  <c r="IX24" i="17"/>
  <c r="IU24" i="17"/>
  <c r="IR24" i="17"/>
  <c r="IO24" i="17"/>
  <c r="IL24" i="17"/>
  <c r="IE24" i="17"/>
  <c r="CE23" i="18" s="1"/>
  <c r="IB24" i="17"/>
  <c r="CD23" i="18" s="1"/>
  <c r="HY24" i="17"/>
  <c r="HV24" i="17"/>
  <c r="CB23" i="18" s="1"/>
  <c r="HS24" i="17"/>
  <c r="CA23" i="18" s="1"/>
  <c r="HP24" i="17"/>
  <c r="BZ23" i="18" s="1"/>
  <c r="HM24" i="17"/>
  <c r="BY23" i="18" s="1"/>
  <c r="HJ24" i="17"/>
  <c r="HE24" i="17"/>
  <c r="GW24" i="17"/>
  <c r="GS24" i="17"/>
  <c r="BF23" i="18" s="1"/>
  <c r="GP24" i="17"/>
  <c r="BE23" i="18" s="1"/>
  <c r="GM24" i="17"/>
  <c r="BC23" i="18" s="1"/>
  <c r="GJ24" i="17"/>
  <c r="GD24" i="17"/>
  <c r="AQ23" i="18"/>
  <c r="FX24" i="17"/>
  <c r="AP23" i="18" s="1"/>
  <c r="FS24" i="17"/>
  <c r="FP24" i="17"/>
  <c r="FA61" i="17" s="1"/>
  <c r="FJ24" i="17"/>
  <c r="BA23" i="18" s="1"/>
  <c r="FC24" i="17"/>
  <c r="EZ24" i="17"/>
  <c r="EZ61" i="17" s="1"/>
  <c r="EW24" i="17"/>
  <c r="AV23" i="18" s="1"/>
  <c r="ET24" i="17"/>
  <c r="AU23" i="18" s="1"/>
  <c r="EM24" i="17"/>
  <c r="AN23" i="18" s="1"/>
  <c r="EJ24" i="17"/>
  <c r="AM23" i="18" s="1"/>
  <c r="DZ24" i="17"/>
  <c r="AI23" i="18" s="1"/>
  <c r="DW24" i="17"/>
  <c r="AH23" i="18" s="1"/>
  <c r="DT24" i="17"/>
  <c r="DR24" i="17"/>
  <c r="AD23" i="18" s="1"/>
  <c r="DE24" i="17"/>
  <c r="DF24" i="17" s="1"/>
  <c r="DA24" i="17"/>
  <c r="X23" i="18" s="1"/>
  <c r="CW24" i="17"/>
  <c r="CS24" i="17"/>
  <c r="U23" i="18" s="1"/>
  <c r="CO24" i="17"/>
  <c r="T23" i="18" s="1"/>
  <c r="CH24" i="17"/>
  <c r="R23" i="18" s="1"/>
  <c r="CF24" i="17"/>
  <c r="Q23" i="18" s="1"/>
  <c r="P23" i="18"/>
  <c r="CA24" i="17"/>
  <c r="O23" i="18" s="1"/>
  <c r="BW24" i="17"/>
  <c r="BX24" i="17" s="1"/>
  <c r="BR24" i="17"/>
  <c r="Z23" i="18" s="1"/>
  <c r="BP24" i="17"/>
  <c r="BN24" i="17"/>
  <c r="BL24" i="17"/>
  <c r="BJ24" i="17"/>
  <c r="AB23" i="18" s="1"/>
  <c r="BG24" i="17"/>
  <c r="AA23" i="18" s="1"/>
  <c r="BC24" i="17"/>
  <c r="M23" i="18" s="1"/>
  <c r="AZ24" i="17"/>
  <c r="L23" i="18" s="1"/>
  <c r="AR24" i="17"/>
  <c r="K23" i="18" s="1"/>
  <c r="AI24" i="17"/>
  <c r="I23" i="18" s="1"/>
  <c r="AE24" i="17"/>
  <c r="H23" i="18" s="1"/>
  <c r="AB24" i="17"/>
  <c r="F23" i="18" s="1"/>
  <c r="V24" i="17"/>
  <c r="E23" i="18" s="1"/>
  <c r="T24" i="17"/>
  <c r="Q24" i="17"/>
  <c r="R24" i="17" s="1"/>
  <c r="N24" i="17"/>
  <c r="C23" i="18" s="1"/>
  <c r="K24" i="17"/>
  <c r="F24" i="17"/>
  <c r="D24" i="17"/>
  <c r="C24" i="17"/>
  <c r="KE23" i="17"/>
  <c r="KB23" i="17"/>
  <c r="JY23" i="17"/>
  <c r="JV23" i="17"/>
  <c r="JS23" i="17"/>
  <c r="JP23" i="17"/>
  <c r="JM23" i="17"/>
  <c r="JJ23" i="17"/>
  <c r="JG23" i="17"/>
  <c r="JD23" i="17"/>
  <c r="JA23" i="17"/>
  <c r="IX23" i="17"/>
  <c r="IU23" i="17"/>
  <c r="IR23" i="17"/>
  <c r="IO23" i="17"/>
  <c r="IL23" i="17"/>
  <c r="IE23" i="17"/>
  <c r="CE22" i="18" s="1"/>
  <c r="IB23" i="17"/>
  <c r="CD22" i="18" s="1"/>
  <c r="HY23" i="17"/>
  <c r="HV23" i="17"/>
  <c r="CB22" i="18" s="1"/>
  <c r="HS23" i="17"/>
  <c r="CA22" i="18" s="1"/>
  <c r="HP23" i="17"/>
  <c r="BZ22" i="18" s="1"/>
  <c r="HM23" i="17"/>
  <c r="BY22" i="18" s="1"/>
  <c r="HJ23" i="17"/>
  <c r="HE23" i="17"/>
  <c r="GW23" i="17"/>
  <c r="GS23" i="17"/>
  <c r="BF22" i="18" s="1"/>
  <c r="GP23" i="17"/>
  <c r="BE22" i="18" s="1"/>
  <c r="GM23" i="17"/>
  <c r="BC22" i="18" s="1"/>
  <c r="GJ23" i="17"/>
  <c r="AX22" i="18" s="1"/>
  <c r="GD23" i="17"/>
  <c r="AQ22" i="18"/>
  <c r="FX23" i="17"/>
  <c r="AP22" i="18" s="1"/>
  <c r="FS23" i="17"/>
  <c r="FP23" i="17"/>
  <c r="FA60" i="17" s="1"/>
  <c r="FJ23" i="17"/>
  <c r="BA22" i="18" s="1"/>
  <c r="FC23" i="17"/>
  <c r="EZ23" i="17"/>
  <c r="EZ60" i="17" s="1"/>
  <c r="EW23" i="17"/>
  <c r="AV22" i="18" s="1"/>
  <c r="ET23" i="17"/>
  <c r="AU22" i="18" s="1"/>
  <c r="EM23" i="17"/>
  <c r="AN22" i="18" s="1"/>
  <c r="EJ23" i="17"/>
  <c r="AM22" i="18" s="1"/>
  <c r="DZ23" i="17"/>
  <c r="AI22" i="18" s="1"/>
  <c r="DW23" i="17"/>
  <c r="AH22" i="18" s="1"/>
  <c r="DT23" i="17"/>
  <c r="DR23" i="17"/>
  <c r="AD22" i="18" s="1"/>
  <c r="DE23" i="17"/>
  <c r="DF23" i="17" s="1"/>
  <c r="DA23" i="17"/>
  <c r="X22" i="18" s="1"/>
  <c r="CW23" i="17"/>
  <c r="W22" i="18" s="1"/>
  <c r="CS23" i="17"/>
  <c r="U22" i="18" s="1"/>
  <c r="CO23" i="17"/>
  <c r="T22" i="18" s="1"/>
  <c r="CH23" i="17"/>
  <c r="R22" i="18" s="1"/>
  <c r="CF23" i="17"/>
  <c r="Q22" i="18" s="1"/>
  <c r="CD23" i="17"/>
  <c r="P22" i="18" s="1"/>
  <c r="CA23" i="17"/>
  <c r="O22" i="18" s="1"/>
  <c r="BW23" i="17"/>
  <c r="BX23" i="17" s="1"/>
  <c r="BT23" i="17"/>
  <c r="BR23" i="17"/>
  <c r="Z22" i="18" s="1"/>
  <c r="BP23" i="17"/>
  <c r="BN23" i="17"/>
  <c r="BL23" i="17"/>
  <c r="BJ23" i="17"/>
  <c r="AB22" i="18" s="1"/>
  <c r="BG23" i="17"/>
  <c r="AA22" i="18" s="1"/>
  <c r="BC23" i="17"/>
  <c r="M22" i="18" s="1"/>
  <c r="AZ23" i="17"/>
  <c r="L22" i="18" s="1"/>
  <c r="AR23" i="17"/>
  <c r="K22" i="18" s="1"/>
  <c r="AI23" i="17"/>
  <c r="I22" i="18" s="1"/>
  <c r="AE23" i="17"/>
  <c r="H22" i="18" s="1"/>
  <c r="AB23" i="17"/>
  <c r="F22" i="18" s="1"/>
  <c r="V23" i="17"/>
  <c r="E22" i="18" s="1"/>
  <c r="T23" i="17"/>
  <c r="D22" i="18" s="1"/>
  <c r="Q23" i="17"/>
  <c r="N23" i="17"/>
  <c r="C22" i="18" s="1"/>
  <c r="K23" i="17"/>
  <c r="F23" i="17"/>
  <c r="D23" i="17"/>
  <c r="C23" i="17"/>
  <c r="KE22" i="17"/>
  <c r="KB22" i="17"/>
  <c r="JY22" i="17"/>
  <c r="JV22" i="17"/>
  <c r="JS22" i="17"/>
  <c r="JP22" i="17"/>
  <c r="JM22" i="17"/>
  <c r="JJ22" i="17"/>
  <c r="JG22" i="17"/>
  <c r="JD22" i="17"/>
  <c r="JA22" i="17"/>
  <c r="IX22" i="17"/>
  <c r="IU22" i="17"/>
  <c r="IR22" i="17"/>
  <c r="IO22" i="17"/>
  <c r="IL22" i="17"/>
  <c r="IE22" i="17"/>
  <c r="CE21" i="18" s="1"/>
  <c r="IB22" i="17"/>
  <c r="CD21" i="18" s="1"/>
  <c r="HY22" i="17"/>
  <c r="HV22" i="17"/>
  <c r="CB21" i="18" s="1"/>
  <c r="HS22" i="17"/>
  <c r="CA21" i="18" s="1"/>
  <c r="HP22" i="17"/>
  <c r="BZ21" i="18" s="1"/>
  <c r="HM22" i="17"/>
  <c r="BY21" i="18" s="1"/>
  <c r="HJ22" i="17"/>
  <c r="HE22" i="17"/>
  <c r="GW22" i="17"/>
  <c r="GS22" i="17"/>
  <c r="BF21" i="18" s="1"/>
  <c r="GP22" i="17"/>
  <c r="BE21" i="18" s="1"/>
  <c r="GM22" i="17"/>
  <c r="BC21" i="18" s="1"/>
  <c r="GJ22" i="17"/>
  <c r="AX21" i="18" s="1"/>
  <c r="GD22" i="17"/>
  <c r="AQ21" i="18"/>
  <c r="FX22" i="17"/>
  <c r="AP21" i="18" s="1"/>
  <c r="FS22" i="17"/>
  <c r="FP22" i="17"/>
  <c r="FA59" i="17" s="1"/>
  <c r="FJ22" i="17"/>
  <c r="BA21" i="18" s="1"/>
  <c r="FC22" i="17"/>
  <c r="EZ22" i="17"/>
  <c r="EZ59" i="17" s="1"/>
  <c r="EW22" i="17"/>
  <c r="AV21" i="18" s="1"/>
  <c r="ET22" i="17"/>
  <c r="AU21" i="18" s="1"/>
  <c r="EM22" i="17"/>
  <c r="AN21" i="18" s="1"/>
  <c r="EJ22" i="17"/>
  <c r="AM21" i="18" s="1"/>
  <c r="DZ22" i="17"/>
  <c r="AI21" i="18" s="1"/>
  <c r="DW22" i="17"/>
  <c r="AH21" i="18" s="1"/>
  <c r="DT22" i="17"/>
  <c r="DR22" i="17"/>
  <c r="AD21" i="18" s="1"/>
  <c r="DE22" i="17"/>
  <c r="DA22" i="17"/>
  <c r="CW22" i="17"/>
  <c r="W21" i="18" s="1"/>
  <c r="CS22" i="17"/>
  <c r="U21" i="18" s="1"/>
  <c r="CO22" i="17"/>
  <c r="T21" i="18" s="1"/>
  <c r="CH22" i="17"/>
  <c r="R21" i="18" s="1"/>
  <c r="CF22" i="17"/>
  <c r="Q21" i="18" s="1"/>
  <c r="CD22" i="17"/>
  <c r="P21" i="18" s="1"/>
  <c r="CA22" i="17"/>
  <c r="O21" i="18" s="1"/>
  <c r="BW22" i="17"/>
  <c r="BX22" i="17" s="1"/>
  <c r="BT22" i="17"/>
  <c r="BR22" i="17"/>
  <c r="Z21" i="18" s="1"/>
  <c r="BP22" i="17"/>
  <c r="BN22" i="17"/>
  <c r="BL22" i="17"/>
  <c r="BJ22" i="17"/>
  <c r="AB21" i="18" s="1"/>
  <c r="BG22" i="17"/>
  <c r="AA21" i="18" s="1"/>
  <c r="BC22" i="17"/>
  <c r="M21" i="18" s="1"/>
  <c r="AZ22" i="17"/>
  <c r="L21" i="18" s="1"/>
  <c r="AR22" i="17"/>
  <c r="K21" i="18" s="1"/>
  <c r="AI22" i="17"/>
  <c r="I21" i="18" s="1"/>
  <c r="AE22" i="17"/>
  <c r="H21" i="18" s="1"/>
  <c r="AB22" i="17"/>
  <c r="F21" i="18" s="1"/>
  <c r="V22" i="17"/>
  <c r="E21" i="18" s="1"/>
  <c r="T22" i="17"/>
  <c r="D21" i="18" s="1"/>
  <c r="Q22" i="17"/>
  <c r="R22" i="17" s="1"/>
  <c r="N22" i="17"/>
  <c r="C21" i="18" s="1"/>
  <c r="K22" i="17"/>
  <c r="F22" i="17"/>
  <c r="D22" i="17"/>
  <c r="C22" i="17"/>
  <c r="KE21" i="17"/>
  <c r="KB21" i="17"/>
  <c r="JY21" i="17"/>
  <c r="JV21" i="17"/>
  <c r="JS21" i="17"/>
  <c r="JP21" i="17"/>
  <c r="JM21" i="17"/>
  <c r="JJ21" i="17"/>
  <c r="JG21" i="17"/>
  <c r="JD21" i="17"/>
  <c r="JA21" i="17"/>
  <c r="IX21" i="17"/>
  <c r="IU21" i="17"/>
  <c r="IR21" i="17"/>
  <c r="IO21" i="17"/>
  <c r="IL21" i="17"/>
  <c r="IE21" i="17"/>
  <c r="CE20" i="18" s="1"/>
  <c r="IB21" i="17"/>
  <c r="CD20" i="18" s="1"/>
  <c r="HY21" i="17"/>
  <c r="CC20" i="18" s="1"/>
  <c r="HV21" i="17"/>
  <c r="CB20" i="18" s="1"/>
  <c r="HS21" i="17"/>
  <c r="CA20" i="18" s="1"/>
  <c r="HP21" i="17"/>
  <c r="BZ20" i="18" s="1"/>
  <c r="HM21" i="17"/>
  <c r="BY20" i="18" s="1"/>
  <c r="HJ21" i="17"/>
  <c r="HE21" i="17"/>
  <c r="GW21" i="17"/>
  <c r="GS21" i="17"/>
  <c r="BF20" i="18" s="1"/>
  <c r="GP21" i="17"/>
  <c r="BE20" i="18" s="1"/>
  <c r="GM21" i="17"/>
  <c r="BC20" i="18" s="1"/>
  <c r="GJ21" i="17"/>
  <c r="AX20" i="18" s="1"/>
  <c r="GD21" i="17"/>
  <c r="AQ20" i="18"/>
  <c r="FX21" i="17"/>
  <c r="AP20" i="18" s="1"/>
  <c r="FS21" i="17"/>
  <c r="FP21" i="17"/>
  <c r="FA58" i="17" s="1"/>
  <c r="FC21" i="17"/>
  <c r="EZ21" i="17"/>
  <c r="EZ58" i="17" s="1"/>
  <c r="ET21" i="17"/>
  <c r="AU20" i="18" s="1"/>
  <c r="EM21" i="17"/>
  <c r="AN20" i="18" s="1"/>
  <c r="EJ21" i="17"/>
  <c r="AM20" i="18" s="1"/>
  <c r="DZ21" i="17"/>
  <c r="AI20" i="18" s="1"/>
  <c r="DW21" i="17"/>
  <c r="AH20" i="18" s="1"/>
  <c r="DT21" i="17"/>
  <c r="DR21" i="17"/>
  <c r="AD20" i="18" s="1"/>
  <c r="DE21" i="17"/>
  <c r="DF21" i="17" s="1"/>
  <c r="DA21" i="17"/>
  <c r="X20" i="18" s="1"/>
  <c r="CW21" i="17"/>
  <c r="W20" i="18" s="1"/>
  <c r="CS21" i="17"/>
  <c r="U20" i="18" s="1"/>
  <c r="CO21" i="17"/>
  <c r="T20" i="18" s="1"/>
  <c r="CH21" i="17"/>
  <c r="R20" i="18" s="1"/>
  <c r="CF21" i="17"/>
  <c r="Q20" i="18" s="1"/>
  <c r="CD21" i="17"/>
  <c r="P20" i="18" s="1"/>
  <c r="CA21" i="17"/>
  <c r="O20" i="18" s="1"/>
  <c r="BW21" i="17"/>
  <c r="BX21" i="17" s="1"/>
  <c r="BT21" i="17"/>
  <c r="BR21" i="17"/>
  <c r="Z20" i="18" s="1"/>
  <c r="BP21" i="17"/>
  <c r="BN21" i="17"/>
  <c r="BL21" i="17"/>
  <c r="BJ21" i="17"/>
  <c r="AB20" i="18" s="1"/>
  <c r="BG21" i="17"/>
  <c r="AA20" i="18" s="1"/>
  <c r="BC21" i="17"/>
  <c r="M20" i="18" s="1"/>
  <c r="AZ21" i="17"/>
  <c r="L20" i="18" s="1"/>
  <c r="AR21" i="17"/>
  <c r="K20" i="18" s="1"/>
  <c r="AI21" i="17"/>
  <c r="I20" i="18" s="1"/>
  <c r="AE21" i="17"/>
  <c r="H20" i="18" s="1"/>
  <c r="AB21" i="17"/>
  <c r="F20" i="18" s="1"/>
  <c r="V21" i="17"/>
  <c r="E20" i="18" s="1"/>
  <c r="T21" i="17"/>
  <c r="D20" i="18" s="1"/>
  <c r="Q21" i="17"/>
  <c r="R21" i="17" s="1"/>
  <c r="N21" i="17"/>
  <c r="C20" i="18" s="1"/>
  <c r="K21" i="17"/>
  <c r="F21" i="17"/>
  <c r="D21" i="17"/>
  <c r="KE20" i="17"/>
  <c r="KB20" i="17"/>
  <c r="JY20" i="17"/>
  <c r="JV20" i="17"/>
  <c r="JS20" i="17"/>
  <c r="JP20" i="17"/>
  <c r="JM20" i="17"/>
  <c r="JJ20" i="17"/>
  <c r="JG20" i="17"/>
  <c r="JD20" i="17"/>
  <c r="JA20" i="17"/>
  <c r="IX20" i="17"/>
  <c r="IU20" i="17"/>
  <c r="IR20" i="17"/>
  <c r="IO20" i="17"/>
  <c r="IL20" i="17"/>
  <c r="IE20" i="17"/>
  <c r="CE19" i="18" s="1"/>
  <c r="IB20" i="17"/>
  <c r="CD19" i="18" s="1"/>
  <c r="HY20" i="17"/>
  <c r="HV20" i="17"/>
  <c r="CB19" i="18" s="1"/>
  <c r="HS20" i="17"/>
  <c r="CA19" i="18" s="1"/>
  <c r="HP20" i="17"/>
  <c r="BZ19" i="18" s="1"/>
  <c r="HM20" i="17"/>
  <c r="BY19" i="18" s="1"/>
  <c r="HJ20" i="17"/>
  <c r="HE20" i="17"/>
  <c r="GW20" i="17"/>
  <c r="GS20" i="17"/>
  <c r="BF19" i="18" s="1"/>
  <c r="GP20" i="17"/>
  <c r="BE19" i="18" s="1"/>
  <c r="GM20" i="17"/>
  <c r="BC19" i="18" s="1"/>
  <c r="GJ20" i="17"/>
  <c r="AX19" i="18" s="1"/>
  <c r="GD20" i="17"/>
  <c r="AQ19" i="18"/>
  <c r="FX20" i="17"/>
  <c r="AP19" i="18" s="1"/>
  <c r="FS20" i="17"/>
  <c r="FP20" i="17"/>
  <c r="FA57" i="17" s="1"/>
  <c r="FJ20" i="17"/>
  <c r="BA19" i="18" s="1"/>
  <c r="FC20" i="17"/>
  <c r="EZ20" i="17"/>
  <c r="EZ57" i="17" s="1"/>
  <c r="EW21" i="17"/>
  <c r="AV20" i="18" s="1"/>
  <c r="ET20" i="17"/>
  <c r="AU19" i="18" s="1"/>
  <c r="EM20" i="17"/>
  <c r="AN19" i="18" s="1"/>
  <c r="EJ20" i="17"/>
  <c r="AM19" i="18" s="1"/>
  <c r="DZ20" i="17"/>
  <c r="AI19" i="18" s="1"/>
  <c r="DW20" i="17"/>
  <c r="AH19" i="18" s="1"/>
  <c r="DT20" i="17"/>
  <c r="DR20" i="17"/>
  <c r="AD19" i="18" s="1"/>
  <c r="DE20" i="17"/>
  <c r="DF20" i="17" s="1"/>
  <c r="DA20" i="17"/>
  <c r="X19" i="18" s="1"/>
  <c r="CW20" i="17"/>
  <c r="W19" i="18" s="1"/>
  <c r="CS20" i="17"/>
  <c r="U19" i="18" s="1"/>
  <c r="CO20" i="17"/>
  <c r="T19" i="18" s="1"/>
  <c r="CH20" i="17"/>
  <c r="R19" i="18" s="1"/>
  <c r="CF20" i="17"/>
  <c r="Q19" i="18" s="1"/>
  <c r="CD20" i="17"/>
  <c r="P19" i="18" s="1"/>
  <c r="CA20" i="17"/>
  <c r="O19" i="18" s="1"/>
  <c r="BW20" i="17"/>
  <c r="BX20" i="17" s="1"/>
  <c r="BT20" i="17"/>
  <c r="BR20" i="17"/>
  <c r="Z19" i="18" s="1"/>
  <c r="BP20" i="17"/>
  <c r="BN20" i="17"/>
  <c r="BL20" i="17"/>
  <c r="BJ20" i="17"/>
  <c r="AB19" i="18" s="1"/>
  <c r="BG20" i="17"/>
  <c r="AA19" i="18" s="1"/>
  <c r="BC20" i="17"/>
  <c r="M19" i="18" s="1"/>
  <c r="AZ20" i="17"/>
  <c r="L19" i="18" s="1"/>
  <c r="AR20" i="17"/>
  <c r="K19" i="18" s="1"/>
  <c r="AI20" i="17"/>
  <c r="I19" i="18" s="1"/>
  <c r="AE20" i="17"/>
  <c r="H19" i="18" s="1"/>
  <c r="AB20" i="17"/>
  <c r="F19" i="18" s="1"/>
  <c r="V20" i="17"/>
  <c r="E19" i="18" s="1"/>
  <c r="T20" i="17"/>
  <c r="D19" i="18" s="1"/>
  <c r="Q20" i="17"/>
  <c r="N20" i="17"/>
  <c r="C19" i="18" s="1"/>
  <c r="K20" i="17"/>
  <c r="F20" i="17"/>
  <c r="D20" i="17"/>
  <c r="C20" i="17"/>
  <c r="KE19" i="17"/>
  <c r="KB19" i="17"/>
  <c r="JY19" i="17"/>
  <c r="JV19" i="17"/>
  <c r="JS19" i="17"/>
  <c r="JP19" i="17"/>
  <c r="JM19" i="17"/>
  <c r="JJ19" i="17"/>
  <c r="JG19" i="17"/>
  <c r="JD19" i="17"/>
  <c r="JA19" i="17"/>
  <c r="IX19" i="17"/>
  <c r="IU19" i="17"/>
  <c r="IR19" i="17"/>
  <c r="IO19" i="17"/>
  <c r="IL19" i="17"/>
  <c r="IE19" i="17"/>
  <c r="CE18" i="18" s="1"/>
  <c r="IB19" i="17"/>
  <c r="CD18" i="18" s="1"/>
  <c r="HY19" i="17"/>
  <c r="CC18" i="18" s="1"/>
  <c r="HV19" i="17"/>
  <c r="CB18" i="18" s="1"/>
  <c r="HS19" i="17"/>
  <c r="HP19" i="17"/>
  <c r="BZ18" i="18" s="1"/>
  <c r="HM19" i="17"/>
  <c r="BY18" i="18" s="1"/>
  <c r="HJ19" i="17"/>
  <c r="HE19" i="17"/>
  <c r="GW19" i="17"/>
  <c r="GS19" i="17"/>
  <c r="BF18" i="18" s="1"/>
  <c r="GP19" i="17"/>
  <c r="BE18" i="18" s="1"/>
  <c r="GM19" i="17"/>
  <c r="BC18" i="18" s="1"/>
  <c r="GJ19" i="17"/>
  <c r="AX18" i="18" s="1"/>
  <c r="FX19" i="17"/>
  <c r="AP18" i="18" s="1"/>
  <c r="FS19" i="17"/>
  <c r="FP19" i="17"/>
  <c r="FA56" i="17" s="1"/>
  <c r="FJ19" i="17"/>
  <c r="BA18" i="18" s="1"/>
  <c r="FC19" i="17"/>
  <c r="EZ19" i="17"/>
  <c r="EZ56" i="17" s="1"/>
  <c r="EW19" i="17"/>
  <c r="AV18" i="18" s="1"/>
  <c r="ET19" i="17"/>
  <c r="AU18" i="18" s="1"/>
  <c r="EM19" i="17"/>
  <c r="AN18" i="18" s="1"/>
  <c r="EJ19" i="17"/>
  <c r="AM18" i="18" s="1"/>
  <c r="DZ19" i="17"/>
  <c r="AI18" i="18" s="1"/>
  <c r="DW19" i="17"/>
  <c r="DT19" i="17"/>
  <c r="DR19" i="17"/>
  <c r="AD18" i="18" s="1"/>
  <c r="DE19" i="17"/>
  <c r="DA19" i="17"/>
  <c r="CW19" i="17"/>
  <c r="W18" i="18" s="1"/>
  <c r="CS19" i="17"/>
  <c r="U18" i="18" s="1"/>
  <c r="CO19" i="17"/>
  <c r="T18" i="18" s="1"/>
  <c r="CH19" i="17"/>
  <c r="R18" i="18" s="1"/>
  <c r="CF19" i="17"/>
  <c r="Q18" i="18" s="1"/>
  <c r="CD19" i="17"/>
  <c r="P18" i="18" s="1"/>
  <c r="CA19" i="17"/>
  <c r="O18" i="18" s="1"/>
  <c r="BW19" i="17"/>
  <c r="BX19" i="17" s="1"/>
  <c r="BT19" i="17"/>
  <c r="BR19" i="17"/>
  <c r="Z18" i="18" s="1"/>
  <c r="BP19" i="17"/>
  <c r="BN19" i="17"/>
  <c r="BL19" i="17"/>
  <c r="BJ19" i="17"/>
  <c r="AB18" i="18" s="1"/>
  <c r="BG19" i="17"/>
  <c r="AA18" i="18" s="1"/>
  <c r="BC19" i="17"/>
  <c r="M18" i="18" s="1"/>
  <c r="AZ19" i="17"/>
  <c r="L18" i="18" s="1"/>
  <c r="AR19" i="17"/>
  <c r="K18" i="18" s="1"/>
  <c r="AI19" i="17"/>
  <c r="I18" i="18" s="1"/>
  <c r="AE19" i="17"/>
  <c r="AB19" i="17"/>
  <c r="F18" i="18" s="1"/>
  <c r="V19" i="17"/>
  <c r="E18" i="18" s="1"/>
  <c r="T19" i="17"/>
  <c r="D18" i="18" s="1"/>
  <c r="Q19" i="17"/>
  <c r="R19" i="17" s="1"/>
  <c r="N19" i="17"/>
  <c r="C18" i="18" s="1"/>
  <c r="K19" i="17"/>
  <c r="F19" i="17"/>
  <c r="D19" i="17"/>
  <c r="C19" i="17"/>
  <c r="IE18" i="17"/>
  <c r="CE17" i="18" s="1"/>
  <c r="IB18" i="17"/>
  <c r="CD17" i="18" s="1"/>
  <c r="HY18" i="17"/>
  <c r="CC17" i="18" s="1"/>
  <c r="HV18" i="17"/>
  <c r="CB17" i="18" s="1"/>
  <c r="HS18" i="17"/>
  <c r="CA17" i="18" s="1"/>
  <c r="HP18" i="17"/>
  <c r="BZ17" i="18" s="1"/>
  <c r="HM18" i="17"/>
  <c r="BY17" i="18" s="1"/>
  <c r="HJ18" i="17"/>
  <c r="HE18" i="17"/>
  <c r="GW18" i="17"/>
  <c r="GS18" i="17"/>
  <c r="BF17" i="18" s="1"/>
  <c r="GP18" i="17"/>
  <c r="BE17" i="18" s="1"/>
  <c r="GM18" i="17"/>
  <c r="GJ18" i="17"/>
  <c r="AX17" i="18" s="1"/>
  <c r="GD19" i="17"/>
  <c r="FX18" i="17"/>
  <c r="AP17" i="18" s="1"/>
  <c r="FS18" i="17"/>
  <c r="FP18" i="17"/>
  <c r="FA55" i="17" s="1"/>
  <c r="FJ18" i="17"/>
  <c r="BA17" i="18" s="1"/>
  <c r="FC18" i="17"/>
  <c r="EZ18" i="17"/>
  <c r="EZ55" i="17" s="1"/>
  <c r="EW18" i="17"/>
  <c r="AV17" i="18" s="1"/>
  <c r="ET18" i="17"/>
  <c r="AU17" i="18" s="1"/>
  <c r="EM18" i="17"/>
  <c r="AN17" i="18" s="1"/>
  <c r="EJ18" i="17"/>
  <c r="AM17" i="18" s="1"/>
  <c r="DZ18" i="17"/>
  <c r="AI17" i="18" s="1"/>
  <c r="DW18" i="17"/>
  <c r="AH17" i="18" s="1"/>
  <c r="DT18" i="17"/>
  <c r="DR18" i="17"/>
  <c r="AD17" i="18" s="1"/>
  <c r="DE18" i="17"/>
  <c r="DF18" i="17" s="1"/>
  <c r="DA18" i="17"/>
  <c r="X17" i="18" s="1"/>
  <c r="CW18" i="17"/>
  <c r="W17" i="18" s="1"/>
  <c r="CS18" i="17"/>
  <c r="U17" i="18" s="1"/>
  <c r="CO18" i="17"/>
  <c r="T17" i="18" s="1"/>
  <c r="CH18" i="17"/>
  <c r="R17" i="18" s="1"/>
  <c r="CF18" i="17"/>
  <c r="Q17" i="18" s="1"/>
  <c r="CD18" i="17"/>
  <c r="P17" i="18" s="1"/>
  <c r="CA18" i="17"/>
  <c r="O17" i="18" s="1"/>
  <c r="BW18" i="17"/>
  <c r="BX18" i="17" s="1"/>
  <c r="BT18" i="17"/>
  <c r="BR18" i="17"/>
  <c r="Z17" i="18" s="1"/>
  <c r="BP18" i="17"/>
  <c r="BN18" i="17"/>
  <c r="BL18" i="17"/>
  <c r="BJ18" i="17"/>
  <c r="AB17" i="18" s="1"/>
  <c r="BG18" i="17"/>
  <c r="AA17" i="18" s="1"/>
  <c r="BC18" i="17"/>
  <c r="M17" i="18" s="1"/>
  <c r="AZ18" i="17"/>
  <c r="L17" i="18" s="1"/>
  <c r="AR18" i="17"/>
  <c r="K17" i="18" s="1"/>
  <c r="AI18" i="17"/>
  <c r="I17" i="18" s="1"/>
  <c r="AE18" i="17"/>
  <c r="H17" i="18" s="1"/>
  <c r="AB18" i="17"/>
  <c r="F17" i="18" s="1"/>
  <c r="V18" i="17"/>
  <c r="E17" i="18" s="1"/>
  <c r="D17" i="18"/>
  <c r="N18" i="17"/>
  <c r="C17" i="18" s="1"/>
  <c r="K18" i="17"/>
  <c r="F18" i="17"/>
  <c r="D18" i="17"/>
  <c r="C18" i="17"/>
  <c r="IE17" i="17"/>
  <c r="CE16" i="18" s="1"/>
  <c r="IB17" i="17"/>
  <c r="CD16" i="18" s="1"/>
  <c r="HY17" i="17"/>
  <c r="CC16" i="18" s="1"/>
  <c r="HV17" i="17"/>
  <c r="CB16" i="18" s="1"/>
  <c r="HS17" i="17"/>
  <c r="HP17" i="17"/>
  <c r="BZ16" i="18" s="1"/>
  <c r="HM17" i="17"/>
  <c r="BY16" i="18" s="1"/>
  <c r="HJ17" i="17"/>
  <c r="HE17" i="17"/>
  <c r="GW17" i="17"/>
  <c r="GS17" i="17"/>
  <c r="BF16" i="18" s="1"/>
  <c r="GP17" i="17"/>
  <c r="BE16" i="18" s="1"/>
  <c r="GM17" i="17"/>
  <c r="BC16" i="18" s="1"/>
  <c r="GJ17" i="17"/>
  <c r="AX16" i="18" s="1"/>
  <c r="GD17" i="17"/>
  <c r="AQ16" i="18"/>
  <c r="FX17" i="17"/>
  <c r="AP16" i="18" s="1"/>
  <c r="FS17" i="17"/>
  <c r="FP17" i="17"/>
  <c r="FA54" i="17" s="1"/>
  <c r="FJ17" i="17"/>
  <c r="BA16" i="18" s="1"/>
  <c r="FC17" i="17"/>
  <c r="EZ17" i="17"/>
  <c r="EZ54" i="17" s="1"/>
  <c r="EW17" i="17"/>
  <c r="AV16" i="18" s="1"/>
  <c r="ET17" i="17"/>
  <c r="AU16" i="18" s="1"/>
  <c r="EM17" i="17"/>
  <c r="AN16" i="18" s="1"/>
  <c r="EJ17" i="17"/>
  <c r="AM16" i="18" s="1"/>
  <c r="DZ17" i="17"/>
  <c r="AI16" i="18" s="1"/>
  <c r="DW17" i="17"/>
  <c r="DT17" i="17"/>
  <c r="DR17" i="17"/>
  <c r="AD16" i="18" s="1"/>
  <c r="DE17" i="17"/>
  <c r="DA17" i="17"/>
  <c r="X16" i="18" s="1"/>
  <c r="CW17" i="17"/>
  <c r="W16" i="18" s="1"/>
  <c r="CS17" i="17"/>
  <c r="U16" i="18" s="1"/>
  <c r="CO17" i="17"/>
  <c r="T16" i="18" s="1"/>
  <c r="CH17" i="17"/>
  <c r="R16" i="18" s="1"/>
  <c r="CF17" i="17"/>
  <c r="Q16" i="18" s="1"/>
  <c r="CD17" i="17"/>
  <c r="P16" i="18" s="1"/>
  <c r="CA17" i="17"/>
  <c r="O16" i="18" s="1"/>
  <c r="BW17" i="17"/>
  <c r="BX17" i="17" s="1"/>
  <c r="BT17" i="17"/>
  <c r="BR17" i="17"/>
  <c r="Z16" i="18" s="1"/>
  <c r="BP17" i="17"/>
  <c r="BL17" i="17"/>
  <c r="BJ17" i="17"/>
  <c r="AB16" i="18" s="1"/>
  <c r="BG17" i="17"/>
  <c r="AA16" i="18" s="1"/>
  <c r="BC17" i="17"/>
  <c r="M16" i="18" s="1"/>
  <c r="AZ17" i="17"/>
  <c r="L16" i="18" s="1"/>
  <c r="AR17" i="17"/>
  <c r="K16" i="18" s="1"/>
  <c r="AI17" i="17"/>
  <c r="AE17" i="17"/>
  <c r="H16" i="18" s="1"/>
  <c r="AB17" i="17"/>
  <c r="F16" i="18" s="1"/>
  <c r="V17" i="17"/>
  <c r="E16" i="18" s="1"/>
  <c r="T17" i="17"/>
  <c r="Q17" i="17"/>
  <c r="N17" i="17"/>
  <c r="C16" i="18" s="1"/>
  <c r="K17" i="17"/>
  <c r="F17" i="17"/>
  <c r="D17" i="17"/>
  <c r="C17" i="17"/>
  <c r="IE16" i="17"/>
  <c r="CE15" i="18" s="1"/>
  <c r="HM16" i="17"/>
  <c r="BY15" i="18" s="1"/>
  <c r="HE16" i="17"/>
  <c r="GW16" i="17"/>
  <c r="GS16" i="17"/>
  <c r="BF15" i="18" s="1"/>
  <c r="GP16" i="17"/>
  <c r="BE15" i="18" s="1"/>
  <c r="GM16" i="17"/>
  <c r="BC15" i="18" s="1"/>
  <c r="GJ16" i="17"/>
  <c r="AX15" i="18" s="1"/>
  <c r="GD16" i="17"/>
  <c r="AQ15" i="18"/>
  <c r="FX16" i="17"/>
  <c r="AP15" i="18" s="1"/>
  <c r="FS16" i="17"/>
  <c r="FP16" i="17"/>
  <c r="FA53" i="17" s="1"/>
  <c r="FJ16" i="17"/>
  <c r="BA15" i="18" s="1"/>
  <c r="FC16" i="17"/>
  <c r="EZ16" i="17"/>
  <c r="EZ53" i="17" s="1"/>
  <c r="EW16" i="17"/>
  <c r="AV15" i="18" s="1"/>
  <c r="ET16" i="17"/>
  <c r="AU15" i="18" s="1"/>
  <c r="EM16" i="17"/>
  <c r="AN15" i="18" s="1"/>
  <c r="EJ16" i="17"/>
  <c r="AM15" i="18" s="1"/>
  <c r="DZ16" i="17"/>
  <c r="AI15" i="18" s="1"/>
  <c r="DW16" i="17"/>
  <c r="AH15" i="18" s="1"/>
  <c r="DT16" i="17"/>
  <c r="DR16" i="17"/>
  <c r="AD15" i="18" s="1"/>
  <c r="DE16" i="17"/>
  <c r="DA16" i="17"/>
  <c r="X15" i="18" s="1"/>
  <c r="CW16" i="17"/>
  <c r="W15" i="18" s="1"/>
  <c r="CS16" i="17"/>
  <c r="U15" i="18" s="1"/>
  <c r="CO16" i="17"/>
  <c r="T15" i="18" s="1"/>
  <c r="CH16" i="17"/>
  <c r="R15" i="18" s="1"/>
  <c r="CF16" i="17"/>
  <c r="Q15" i="18" s="1"/>
  <c r="CD16" i="17"/>
  <c r="P15" i="18" s="1"/>
  <c r="CA16" i="17"/>
  <c r="O15" i="18" s="1"/>
  <c r="BW16" i="17"/>
  <c r="BX16" i="17" s="1"/>
  <c r="BT16" i="17"/>
  <c r="BR16" i="17"/>
  <c r="Z15" i="18" s="1"/>
  <c r="BP16" i="17"/>
  <c r="BN16" i="17"/>
  <c r="BL16" i="17"/>
  <c r="BJ16" i="17"/>
  <c r="AB15" i="18" s="1"/>
  <c r="BG16" i="17"/>
  <c r="AA15" i="18" s="1"/>
  <c r="BC16" i="17"/>
  <c r="M15" i="18" s="1"/>
  <c r="AZ16" i="17"/>
  <c r="L15" i="18" s="1"/>
  <c r="AR16" i="17"/>
  <c r="K15" i="18" s="1"/>
  <c r="AI16" i="17"/>
  <c r="I15" i="18" s="1"/>
  <c r="AE16" i="17"/>
  <c r="H15" i="18" s="1"/>
  <c r="AB16" i="17"/>
  <c r="F15" i="18" s="1"/>
  <c r="V16" i="17"/>
  <c r="E15" i="18" s="1"/>
  <c r="T16" i="17"/>
  <c r="Q16" i="17"/>
  <c r="R16" i="17" s="1"/>
  <c r="N16" i="17"/>
  <c r="C15" i="18" s="1"/>
  <c r="K16" i="17"/>
  <c r="F16" i="17"/>
  <c r="D16" i="17"/>
  <c r="C16" i="17"/>
  <c r="IE15" i="17"/>
  <c r="CE14" i="18" s="1"/>
  <c r="CD14" i="18"/>
  <c r="HY16" i="17"/>
  <c r="CC15" i="18" s="1"/>
  <c r="CB14" i="18"/>
  <c r="HV16" i="17"/>
  <c r="CB15" i="18" s="1"/>
  <c r="CA14" i="18"/>
  <c r="HS16" i="17"/>
  <c r="CA15" i="18" s="1"/>
  <c r="BZ14" i="18"/>
  <c r="HJ16" i="17"/>
  <c r="HE15" i="17"/>
  <c r="GW15" i="17"/>
  <c r="GS15" i="17"/>
  <c r="BF14" i="18" s="1"/>
  <c r="GP15" i="17"/>
  <c r="BE14" i="18" s="1"/>
  <c r="GM15" i="17"/>
  <c r="BC14" i="18" s="1"/>
  <c r="GJ15" i="17"/>
  <c r="AX14" i="18" s="1"/>
  <c r="GD15" i="17"/>
  <c r="AQ14" i="18"/>
  <c r="FX15" i="17"/>
  <c r="AP14" i="18" s="1"/>
  <c r="FS15" i="17"/>
  <c r="FP15" i="17"/>
  <c r="FJ15" i="17"/>
  <c r="BA14" i="18" s="1"/>
  <c r="FC15" i="17"/>
  <c r="EZ15" i="17"/>
  <c r="EZ52" i="17" s="1"/>
  <c r="EW15" i="17"/>
  <c r="AV14" i="18" s="1"/>
  <c r="ET15" i="17"/>
  <c r="AU14" i="18" s="1"/>
  <c r="EM15" i="17"/>
  <c r="AN14" i="18" s="1"/>
  <c r="EJ15" i="17"/>
  <c r="DZ15" i="17"/>
  <c r="AI14" i="18" s="1"/>
  <c r="DW15" i="17"/>
  <c r="DT15" i="17"/>
  <c r="DR15" i="17"/>
  <c r="AD14" i="18" s="1"/>
  <c r="DE15" i="17"/>
  <c r="DA15" i="17"/>
  <c r="X14" i="18" s="1"/>
  <c r="CW15" i="17"/>
  <c r="W14" i="18" s="1"/>
  <c r="CS15" i="17"/>
  <c r="U14" i="18" s="1"/>
  <c r="CO15" i="17"/>
  <c r="T14" i="18" s="1"/>
  <c r="CH15" i="17"/>
  <c r="R14" i="18" s="1"/>
  <c r="CF15" i="17"/>
  <c r="Q14" i="18" s="1"/>
  <c r="CD15" i="17"/>
  <c r="P14" i="18" s="1"/>
  <c r="CA15" i="17"/>
  <c r="O14" i="18" s="1"/>
  <c r="BW15" i="17"/>
  <c r="BX15" i="17" s="1"/>
  <c r="BT15" i="17"/>
  <c r="BR15" i="17"/>
  <c r="Z14" i="18" s="1"/>
  <c r="BP15" i="17"/>
  <c r="BN15" i="17"/>
  <c r="BL15" i="17"/>
  <c r="BJ15" i="17"/>
  <c r="AB14" i="18" s="1"/>
  <c r="BG15" i="17"/>
  <c r="AA14" i="18" s="1"/>
  <c r="BC15" i="17"/>
  <c r="M14" i="18" s="1"/>
  <c r="AZ15" i="17"/>
  <c r="L14" i="18" s="1"/>
  <c r="AR15" i="17"/>
  <c r="K14" i="18" s="1"/>
  <c r="AI15" i="17"/>
  <c r="I14" i="18" s="1"/>
  <c r="AE15" i="17"/>
  <c r="AB15" i="17"/>
  <c r="F14" i="18" s="1"/>
  <c r="V15" i="17"/>
  <c r="E14" i="18" s="1"/>
  <c r="T15" i="17"/>
  <c r="Q15" i="17"/>
  <c r="N15" i="17"/>
  <c r="C14" i="18" s="1"/>
  <c r="K15" i="17"/>
  <c r="F15" i="17"/>
  <c r="D15" i="17"/>
  <c r="C15" i="17"/>
  <c r="IE14" i="17"/>
  <c r="CE13" i="18" s="1"/>
  <c r="IB14" i="17"/>
  <c r="CD13" i="18" s="1"/>
  <c r="HY14" i="17"/>
  <c r="CC13" i="18" s="1"/>
  <c r="HV14" i="17"/>
  <c r="CB13" i="18" s="1"/>
  <c r="HS14" i="17"/>
  <c r="CA13" i="18" s="1"/>
  <c r="HP14" i="17"/>
  <c r="BZ13" i="18" s="1"/>
  <c r="HM14" i="17"/>
  <c r="BY13" i="18" s="1"/>
  <c r="HJ14" i="17"/>
  <c r="HE14" i="17"/>
  <c r="GW14" i="17"/>
  <c r="GS14" i="17"/>
  <c r="BF13" i="18" s="1"/>
  <c r="GP14" i="17"/>
  <c r="BE13" i="18" s="1"/>
  <c r="GM14" i="17"/>
  <c r="BC13" i="18" s="1"/>
  <c r="GJ14" i="17"/>
  <c r="AX13" i="18" s="1"/>
  <c r="GD14" i="17"/>
  <c r="AQ13" i="18"/>
  <c r="FX14" i="17"/>
  <c r="AP13" i="18" s="1"/>
  <c r="FS14" i="17"/>
  <c r="FP14" i="17"/>
  <c r="FA51" i="17" s="1"/>
  <c r="FJ14" i="17"/>
  <c r="BA13" i="18" s="1"/>
  <c r="FC14" i="17"/>
  <c r="EZ14" i="17"/>
  <c r="EZ51" i="17" s="1"/>
  <c r="EW14" i="17"/>
  <c r="AV13" i="18" s="1"/>
  <c r="ET14" i="17"/>
  <c r="AU13" i="18" s="1"/>
  <c r="EM14" i="17"/>
  <c r="AN13" i="18" s="1"/>
  <c r="EJ14" i="17"/>
  <c r="AM13" i="18" s="1"/>
  <c r="DZ14" i="17"/>
  <c r="AI13" i="18" s="1"/>
  <c r="DW14" i="17"/>
  <c r="AH13" i="18" s="1"/>
  <c r="DT14" i="17"/>
  <c r="DR14" i="17"/>
  <c r="AD13" i="18" s="1"/>
  <c r="DE14" i="17"/>
  <c r="DF14" i="17" s="1"/>
  <c r="DA14" i="17"/>
  <c r="X13" i="18" s="1"/>
  <c r="CW14" i="17"/>
  <c r="W13" i="18" s="1"/>
  <c r="CS14" i="17"/>
  <c r="U13" i="18" s="1"/>
  <c r="CO14" i="17"/>
  <c r="T13" i="18" s="1"/>
  <c r="CH14" i="17"/>
  <c r="R13" i="18" s="1"/>
  <c r="CF14" i="17"/>
  <c r="Q13" i="18" s="1"/>
  <c r="CD14" i="17"/>
  <c r="P13" i="18" s="1"/>
  <c r="CA14" i="17"/>
  <c r="BW14" i="17"/>
  <c r="BX14" i="17" s="1"/>
  <c r="BT14" i="17"/>
  <c r="BR14" i="17"/>
  <c r="Z13" i="18" s="1"/>
  <c r="BP14" i="17"/>
  <c r="BN14" i="17"/>
  <c r="BL14" i="17"/>
  <c r="BJ14" i="17"/>
  <c r="AB13" i="18" s="1"/>
  <c r="BG14" i="17"/>
  <c r="AA13" i="18" s="1"/>
  <c r="BC14" i="17"/>
  <c r="M13" i="18" s="1"/>
  <c r="AZ14" i="17"/>
  <c r="L13" i="18" s="1"/>
  <c r="AR14" i="17"/>
  <c r="K13" i="18" s="1"/>
  <c r="AI14" i="17"/>
  <c r="I13" i="18" s="1"/>
  <c r="AE14" i="17"/>
  <c r="H13" i="18" s="1"/>
  <c r="AB14" i="17"/>
  <c r="F13" i="18" s="1"/>
  <c r="V14" i="17"/>
  <c r="E13" i="18" s="1"/>
  <c r="T14" i="17"/>
  <c r="D13" i="18" s="1"/>
  <c r="Q14" i="17"/>
  <c r="N14" i="17"/>
  <c r="C13" i="18" s="1"/>
  <c r="K14" i="17"/>
  <c r="F14" i="17"/>
  <c r="D14" i="17"/>
  <c r="C14" i="17"/>
  <c r="IE13" i="17"/>
  <c r="CE12" i="18" s="1"/>
  <c r="IB13" i="17"/>
  <c r="CD12" i="18" s="1"/>
  <c r="HY13" i="17"/>
  <c r="CC12" i="18" s="1"/>
  <c r="HV13" i="17"/>
  <c r="CB12" i="18" s="1"/>
  <c r="HS13" i="17"/>
  <c r="HP13" i="17"/>
  <c r="BZ12" i="18" s="1"/>
  <c r="HM13" i="17"/>
  <c r="BY12" i="18" s="1"/>
  <c r="HJ13" i="17"/>
  <c r="HE13" i="17"/>
  <c r="GW13" i="17"/>
  <c r="GS13" i="17"/>
  <c r="BF12" i="18" s="1"/>
  <c r="GP13" i="17"/>
  <c r="BE12" i="18" s="1"/>
  <c r="GM13" i="17"/>
  <c r="BC12" i="18" s="1"/>
  <c r="GJ13" i="17"/>
  <c r="AX12" i="18" s="1"/>
  <c r="GD13" i="17"/>
  <c r="AQ12" i="18"/>
  <c r="FX13" i="17"/>
  <c r="AP12" i="18" s="1"/>
  <c r="FS13" i="17"/>
  <c r="FP13" i="17"/>
  <c r="FA50" i="17" s="1"/>
  <c r="FJ13" i="17"/>
  <c r="BA12" i="18" s="1"/>
  <c r="FC13" i="17"/>
  <c r="EZ13" i="17"/>
  <c r="EZ50" i="17" s="1"/>
  <c r="EW13" i="17"/>
  <c r="AV12" i="18" s="1"/>
  <c r="ET13" i="17"/>
  <c r="AU12" i="18" s="1"/>
  <c r="EM13" i="17"/>
  <c r="EJ13" i="17"/>
  <c r="AM12" i="18" s="1"/>
  <c r="DZ13" i="17"/>
  <c r="AI12" i="18" s="1"/>
  <c r="DW13" i="17"/>
  <c r="AH12" i="18" s="1"/>
  <c r="DT13" i="17"/>
  <c r="DR13" i="17"/>
  <c r="AD12" i="18" s="1"/>
  <c r="DE13" i="17"/>
  <c r="DF13" i="17" s="1"/>
  <c r="DA13" i="17"/>
  <c r="X12" i="18" s="1"/>
  <c r="CW13" i="17"/>
  <c r="W12" i="18" s="1"/>
  <c r="CS13" i="17"/>
  <c r="U12" i="18" s="1"/>
  <c r="CO13" i="17"/>
  <c r="T12" i="18" s="1"/>
  <c r="CH13" i="17"/>
  <c r="R12" i="18" s="1"/>
  <c r="CF13" i="17"/>
  <c r="Q12" i="18" s="1"/>
  <c r="CD13" i="17"/>
  <c r="CA13" i="17"/>
  <c r="O12" i="18" s="1"/>
  <c r="BW13" i="17"/>
  <c r="CD47" i="17" s="1"/>
  <c r="BT13" i="17"/>
  <c r="BR13" i="17"/>
  <c r="Z12" i="18" s="1"/>
  <c r="BP13" i="17"/>
  <c r="BN13" i="17"/>
  <c r="BL13" i="17"/>
  <c r="BJ13" i="17"/>
  <c r="AB12" i="18" s="1"/>
  <c r="BG13" i="17"/>
  <c r="AA12" i="18" s="1"/>
  <c r="BC13" i="17"/>
  <c r="M12" i="18" s="1"/>
  <c r="AZ13" i="17"/>
  <c r="L12" i="18" s="1"/>
  <c r="AR13" i="17"/>
  <c r="K12" i="18" s="1"/>
  <c r="AI13" i="17"/>
  <c r="AE13" i="17"/>
  <c r="H12" i="18" s="1"/>
  <c r="AB13" i="17"/>
  <c r="F12" i="18" s="1"/>
  <c r="V13" i="17"/>
  <c r="E12" i="18" s="1"/>
  <c r="T13" i="17"/>
  <c r="Q13" i="17"/>
  <c r="R13" i="17" s="1"/>
  <c r="N13" i="17"/>
  <c r="C12" i="18" s="1"/>
  <c r="K13" i="17"/>
  <c r="F13" i="17"/>
  <c r="D13" i="17"/>
  <c r="C13" i="17"/>
  <c r="IE12" i="17"/>
  <c r="CE11" i="18" s="1"/>
  <c r="IB12" i="17"/>
  <c r="CD11" i="18" s="1"/>
  <c r="HY12" i="17"/>
  <c r="CC11" i="18" s="1"/>
  <c r="HV12" i="17"/>
  <c r="CB11" i="18" s="1"/>
  <c r="HS12" i="17"/>
  <c r="CA11" i="18" s="1"/>
  <c r="HP12" i="17"/>
  <c r="BZ11" i="18" s="1"/>
  <c r="HM12" i="17"/>
  <c r="BY11" i="18" s="1"/>
  <c r="HJ12" i="17"/>
  <c r="HE12" i="17"/>
  <c r="GW12" i="17"/>
  <c r="GS12" i="17"/>
  <c r="BF11" i="18" s="1"/>
  <c r="GP12" i="17"/>
  <c r="BE11" i="18" s="1"/>
  <c r="GM12" i="17"/>
  <c r="BC11" i="18" s="1"/>
  <c r="GJ12" i="17"/>
  <c r="AX11" i="18" s="1"/>
  <c r="GD12" i="17"/>
  <c r="AQ11" i="18"/>
  <c r="FX12" i="17"/>
  <c r="AP11" i="18" s="1"/>
  <c r="FS12" i="17"/>
  <c r="FP12" i="17"/>
  <c r="FA49" i="17" s="1"/>
  <c r="FJ12" i="17"/>
  <c r="BA11" i="18" s="1"/>
  <c r="FC12" i="17"/>
  <c r="EZ12" i="17"/>
  <c r="EZ49" i="17" s="1"/>
  <c r="EW12" i="17"/>
  <c r="AV11" i="18" s="1"/>
  <c r="ET12" i="17"/>
  <c r="AU11" i="18" s="1"/>
  <c r="EM12" i="17"/>
  <c r="AN11" i="18" s="1"/>
  <c r="EJ12" i="17"/>
  <c r="AM11" i="18" s="1"/>
  <c r="DZ12" i="17"/>
  <c r="AI11" i="18" s="1"/>
  <c r="DW12" i="17"/>
  <c r="AH11" i="18" s="1"/>
  <c r="DT12" i="17"/>
  <c r="DR12" i="17"/>
  <c r="AD11" i="18" s="1"/>
  <c r="DE12" i="17"/>
  <c r="DF12" i="17" s="1"/>
  <c r="DA12" i="17"/>
  <c r="X11" i="18" s="1"/>
  <c r="CW12" i="17"/>
  <c r="W11" i="18" s="1"/>
  <c r="CS12" i="17"/>
  <c r="U11" i="18" s="1"/>
  <c r="CO12" i="17"/>
  <c r="T11" i="18" s="1"/>
  <c r="CH12" i="17"/>
  <c r="R11" i="18" s="1"/>
  <c r="CF12" i="17"/>
  <c r="Q11" i="18" s="1"/>
  <c r="CD12" i="17"/>
  <c r="CA12" i="17"/>
  <c r="O11" i="18" s="1"/>
  <c r="BW12" i="17"/>
  <c r="CD46" i="17" s="1"/>
  <c r="BT12" i="17"/>
  <c r="BR12" i="17"/>
  <c r="Z11" i="18" s="1"/>
  <c r="BP12" i="17"/>
  <c r="BN12" i="17"/>
  <c r="BL12" i="17"/>
  <c r="BJ12" i="17"/>
  <c r="AB11" i="18" s="1"/>
  <c r="BG12" i="17"/>
  <c r="AA11" i="18" s="1"/>
  <c r="BC12" i="17"/>
  <c r="M11" i="18" s="1"/>
  <c r="AZ12" i="17"/>
  <c r="L11" i="18" s="1"/>
  <c r="AR12" i="17"/>
  <c r="K11" i="18" s="1"/>
  <c r="AI12" i="17"/>
  <c r="I11" i="18" s="1"/>
  <c r="AE12" i="17"/>
  <c r="AB12" i="17"/>
  <c r="F11" i="18" s="1"/>
  <c r="V12" i="17"/>
  <c r="E11" i="18" s="1"/>
  <c r="T12" i="17"/>
  <c r="D11" i="18" s="1"/>
  <c r="Q12" i="17"/>
  <c r="R12" i="17" s="1"/>
  <c r="N12" i="17"/>
  <c r="C11" i="18" s="1"/>
  <c r="K12" i="17"/>
  <c r="F12" i="17"/>
  <c r="D12" i="17"/>
  <c r="C12" i="17"/>
  <c r="IE11" i="17"/>
  <c r="CE10" i="18" s="1"/>
  <c r="IB11" i="17"/>
  <c r="CD10" i="18" s="1"/>
  <c r="HY11" i="17"/>
  <c r="CC10" i="18" s="1"/>
  <c r="HV11" i="17"/>
  <c r="CB10" i="18" s="1"/>
  <c r="HS11" i="17"/>
  <c r="CA10" i="18" s="1"/>
  <c r="HP11" i="17"/>
  <c r="BZ10" i="18" s="1"/>
  <c r="HM11" i="17"/>
  <c r="BY10" i="18" s="1"/>
  <c r="HJ11" i="17"/>
  <c r="HE11" i="17"/>
  <c r="GW11" i="17"/>
  <c r="GS11" i="17"/>
  <c r="BF10" i="18" s="1"/>
  <c r="GM11" i="17"/>
  <c r="BC10" i="18" s="1"/>
  <c r="GJ11" i="17"/>
  <c r="AX10" i="18" s="1"/>
  <c r="GD11" i="17"/>
  <c r="FX11" i="17"/>
  <c r="AP10" i="18" s="1"/>
  <c r="FS11" i="17"/>
  <c r="FP11" i="17"/>
  <c r="FA48" i="17" s="1"/>
  <c r="FJ11" i="17"/>
  <c r="BA10" i="18" s="1"/>
  <c r="FC11" i="17"/>
  <c r="EZ11" i="17"/>
  <c r="EZ48" i="17" s="1"/>
  <c r="EW11" i="17"/>
  <c r="AV10" i="18" s="1"/>
  <c r="ET11" i="17"/>
  <c r="AU10" i="18" s="1"/>
  <c r="EM11" i="17"/>
  <c r="AN10" i="18" s="1"/>
  <c r="EJ11" i="17"/>
  <c r="AM10" i="18" s="1"/>
  <c r="DZ11" i="17"/>
  <c r="AI10" i="18" s="1"/>
  <c r="DW11" i="17"/>
  <c r="AH10" i="18" s="1"/>
  <c r="DT11" i="17"/>
  <c r="DR11" i="17"/>
  <c r="AD10" i="18" s="1"/>
  <c r="DE11" i="17"/>
  <c r="DA11" i="17"/>
  <c r="CW11" i="17"/>
  <c r="W10" i="18" s="1"/>
  <c r="CS11" i="17"/>
  <c r="U10" i="18" s="1"/>
  <c r="CO11" i="17"/>
  <c r="CH11" i="17"/>
  <c r="R10" i="18" s="1"/>
  <c r="CF11" i="17"/>
  <c r="Q10" i="18" s="1"/>
  <c r="CD11" i="17"/>
  <c r="CA11" i="17"/>
  <c r="O10" i="18" s="1"/>
  <c r="BW11" i="17"/>
  <c r="CD45" i="17" s="1"/>
  <c r="BT11" i="17"/>
  <c r="BR11" i="17"/>
  <c r="Z10" i="18" s="1"/>
  <c r="BP11" i="17"/>
  <c r="BN11" i="17"/>
  <c r="BL11" i="17"/>
  <c r="BJ11" i="17"/>
  <c r="AB10" i="18" s="1"/>
  <c r="BG11" i="17"/>
  <c r="AA10" i="18" s="1"/>
  <c r="BC11" i="17"/>
  <c r="M10" i="18" s="1"/>
  <c r="AZ11" i="17"/>
  <c r="L10" i="18" s="1"/>
  <c r="AR11" i="17"/>
  <c r="K10" i="18" s="1"/>
  <c r="AI11" i="17"/>
  <c r="I10" i="18" s="1"/>
  <c r="AE11" i="17"/>
  <c r="H10" i="18" s="1"/>
  <c r="AB11" i="17"/>
  <c r="F10" i="18" s="1"/>
  <c r="V11" i="17"/>
  <c r="E10" i="18" s="1"/>
  <c r="T11" i="17"/>
  <c r="D10" i="18" s="1"/>
  <c r="Q11" i="17"/>
  <c r="R11" i="17" s="1"/>
  <c r="N11" i="17"/>
  <c r="C10" i="18" s="1"/>
  <c r="K11" i="17"/>
  <c r="F11" i="17"/>
  <c r="D11" i="17"/>
  <c r="C11" i="17"/>
  <c r="IE10" i="17"/>
  <c r="CE9" i="18" s="1"/>
  <c r="IB10" i="17"/>
  <c r="CD9" i="18" s="1"/>
  <c r="HY10" i="17"/>
  <c r="CC9" i="18" s="1"/>
  <c r="HV10" i="17"/>
  <c r="CB9" i="18" s="1"/>
  <c r="HS10" i="17"/>
  <c r="CA9" i="18" s="1"/>
  <c r="HM10" i="17"/>
  <c r="BY9" i="18" s="1"/>
  <c r="HJ10" i="17"/>
  <c r="HE10" i="17"/>
  <c r="GW10" i="17"/>
  <c r="GS10" i="17"/>
  <c r="BF9" i="18" s="1"/>
  <c r="GM10" i="17"/>
  <c r="BC9" i="18" s="1"/>
  <c r="GJ10" i="17"/>
  <c r="AX9" i="18" s="1"/>
  <c r="GD10" i="17"/>
  <c r="FX10" i="17"/>
  <c r="AP9" i="18" s="1"/>
  <c r="FS10" i="17"/>
  <c r="FP10" i="17"/>
  <c r="FA47" i="17" s="1"/>
  <c r="FJ10" i="17"/>
  <c r="BA9" i="18" s="1"/>
  <c r="FC10" i="17"/>
  <c r="EZ10" i="17"/>
  <c r="EZ47" i="17" s="1"/>
  <c r="EW10" i="17"/>
  <c r="AV9" i="18" s="1"/>
  <c r="ET10" i="17"/>
  <c r="EM10" i="17"/>
  <c r="AN9" i="18" s="1"/>
  <c r="EJ10" i="17"/>
  <c r="AM9" i="18" s="1"/>
  <c r="DZ10" i="17"/>
  <c r="AI9" i="18" s="1"/>
  <c r="DW10" i="17"/>
  <c r="AH9" i="18" s="1"/>
  <c r="DT10" i="17"/>
  <c r="DR10" i="17"/>
  <c r="AD9" i="18" s="1"/>
  <c r="DE10" i="17"/>
  <c r="DF10" i="17" s="1"/>
  <c r="DA10" i="17"/>
  <c r="X9" i="18" s="1"/>
  <c r="CW10" i="17"/>
  <c r="W9" i="18" s="1"/>
  <c r="CS10" i="17"/>
  <c r="U9" i="18" s="1"/>
  <c r="CO10" i="17"/>
  <c r="T9" i="18" s="1"/>
  <c r="CH10" i="17"/>
  <c r="R9" i="18" s="1"/>
  <c r="CF10" i="17"/>
  <c r="Q9" i="18" s="1"/>
  <c r="CD10" i="17"/>
  <c r="CA10" i="17"/>
  <c r="O9" i="18" s="1"/>
  <c r="BW10" i="17"/>
  <c r="CD44" i="17" s="1"/>
  <c r="BT10" i="17"/>
  <c r="BR10" i="17"/>
  <c r="Z9" i="18" s="1"/>
  <c r="BP10" i="17"/>
  <c r="BN10" i="17"/>
  <c r="BL10" i="17"/>
  <c r="BJ10" i="17"/>
  <c r="AB9" i="18" s="1"/>
  <c r="BG10" i="17"/>
  <c r="AA9" i="18" s="1"/>
  <c r="BC10" i="17"/>
  <c r="M9" i="18" s="1"/>
  <c r="AZ10" i="17"/>
  <c r="L9" i="18" s="1"/>
  <c r="AR10" i="17"/>
  <c r="K9" i="18" s="1"/>
  <c r="AI10" i="17"/>
  <c r="I9" i="18" s="1"/>
  <c r="AE10" i="17"/>
  <c r="H9" i="18" s="1"/>
  <c r="AB10" i="17"/>
  <c r="F9" i="18" s="1"/>
  <c r="V10" i="17"/>
  <c r="E9" i="18" s="1"/>
  <c r="T10" i="17"/>
  <c r="D9" i="18" s="1"/>
  <c r="Q10" i="17"/>
  <c r="N10" i="17"/>
  <c r="C9" i="18" s="1"/>
  <c r="K10" i="17"/>
  <c r="F10" i="17"/>
  <c r="D10" i="17"/>
  <c r="C10" i="17"/>
  <c r="IE9" i="17"/>
  <c r="CE8" i="18" s="1"/>
  <c r="IB9" i="17"/>
  <c r="CD8" i="18" s="1"/>
  <c r="HY9" i="17"/>
  <c r="CC8" i="18" s="1"/>
  <c r="HV9" i="17"/>
  <c r="CB8" i="18" s="1"/>
  <c r="HS9" i="17"/>
  <c r="CA8" i="18" s="1"/>
  <c r="HP10" i="17"/>
  <c r="BZ9" i="18" s="1"/>
  <c r="HM9" i="17"/>
  <c r="BY8" i="18" s="1"/>
  <c r="HJ9" i="17"/>
  <c r="HE9" i="17"/>
  <c r="GW9" i="17"/>
  <c r="GS9" i="17"/>
  <c r="BF8" i="18" s="1"/>
  <c r="GM9" i="17"/>
  <c r="BC8" i="18" s="1"/>
  <c r="GJ9" i="17"/>
  <c r="AX8" i="18" s="1"/>
  <c r="GD9" i="17"/>
  <c r="FX9" i="17"/>
  <c r="AP8" i="18" s="1"/>
  <c r="FS9" i="17"/>
  <c r="FP9" i="17"/>
  <c r="FA46" i="17" s="1"/>
  <c r="FJ9" i="17"/>
  <c r="BA8" i="18" s="1"/>
  <c r="FC9" i="17"/>
  <c r="EZ9" i="17"/>
  <c r="EZ46" i="17" s="1"/>
  <c r="EW9" i="17"/>
  <c r="AV8" i="18" s="1"/>
  <c r="ET9" i="17"/>
  <c r="AU8" i="18" s="1"/>
  <c r="EM9" i="17"/>
  <c r="AN8" i="18" s="1"/>
  <c r="EJ9" i="17"/>
  <c r="AM8" i="18" s="1"/>
  <c r="DZ9" i="17"/>
  <c r="AI8" i="18" s="1"/>
  <c r="DW9" i="17"/>
  <c r="AH8" i="18" s="1"/>
  <c r="DT9" i="17"/>
  <c r="DR9" i="17"/>
  <c r="AD8" i="18" s="1"/>
  <c r="DE9" i="17"/>
  <c r="DF9" i="17" s="1"/>
  <c r="DA9" i="17"/>
  <c r="X8" i="18" s="1"/>
  <c r="CW9" i="17"/>
  <c r="W8" i="18" s="1"/>
  <c r="CS9" i="17"/>
  <c r="U8" i="18" s="1"/>
  <c r="CO9" i="17"/>
  <c r="T8" i="18" s="1"/>
  <c r="CH9" i="17"/>
  <c r="R8" i="18" s="1"/>
  <c r="CF9" i="17"/>
  <c r="Q8" i="18" s="1"/>
  <c r="CD9" i="17"/>
  <c r="P8" i="18" s="1"/>
  <c r="CA9" i="17"/>
  <c r="O8" i="18" s="1"/>
  <c r="BW9" i="17"/>
  <c r="CD43" i="17" s="1"/>
  <c r="BT9" i="17"/>
  <c r="BR9" i="17"/>
  <c r="Z8" i="18" s="1"/>
  <c r="BP9" i="17"/>
  <c r="BN9" i="17"/>
  <c r="BL9" i="17"/>
  <c r="BJ9" i="17"/>
  <c r="AB8" i="18" s="1"/>
  <c r="BG9" i="17"/>
  <c r="AA8" i="18" s="1"/>
  <c r="BC9" i="17"/>
  <c r="M8" i="18" s="1"/>
  <c r="AZ9" i="17"/>
  <c r="L8" i="18" s="1"/>
  <c r="AR9" i="17"/>
  <c r="K8" i="18" s="1"/>
  <c r="AI9" i="17"/>
  <c r="I8" i="18" s="1"/>
  <c r="AE9" i="17"/>
  <c r="H8" i="18" s="1"/>
  <c r="AB9" i="17"/>
  <c r="F8" i="18" s="1"/>
  <c r="V9" i="17"/>
  <c r="E8" i="18" s="1"/>
  <c r="T9" i="17"/>
  <c r="D8" i="18" s="1"/>
  <c r="Q9" i="17"/>
  <c r="R9" i="17" s="1"/>
  <c r="N9" i="17"/>
  <c r="C8" i="18" s="1"/>
  <c r="K9" i="17"/>
  <c r="F9" i="17"/>
  <c r="D9" i="17"/>
  <c r="C9" i="17"/>
  <c r="IB8" i="17"/>
  <c r="HY8" i="17"/>
  <c r="CC7" i="18" s="1"/>
  <c r="HV8" i="17"/>
  <c r="HS8" i="17"/>
  <c r="HP8" i="17"/>
  <c r="HM8" i="17"/>
  <c r="BY7" i="18" s="1"/>
  <c r="HJ8" i="17"/>
  <c r="HE8" i="17"/>
  <c r="GW8" i="17"/>
  <c r="GS8" i="17"/>
  <c r="BF7" i="18" s="1"/>
  <c r="GM8" i="17"/>
  <c r="BC7" i="18" s="1"/>
  <c r="GJ8" i="17"/>
  <c r="AX7" i="18" s="1"/>
  <c r="GD8" i="17"/>
  <c r="FX8" i="17"/>
  <c r="AP7" i="18" s="1"/>
  <c r="FS8" i="17"/>
  <c r="FP8" i="17"/>
  <c r="FJ8" i="17"/>
  <c r="BA7" i="18" s="1"/>
  <c r="FC8" i="17"/>
  <c r="EZ8" i="17"/>
  <c r="EW8" i="17"/>
  <c r="ET8" i="17"/>
  <c r="EM8" i="17"/>
  <c r="EJ8" i="17"/>
  <c r="DZ8" i="17"/>
  <c r="AI7" i="18" s="1"/>
  <c r="DW8" i="17"/>
  <c r="IH8" i="17"/>
  <c r="DR8" i="17"/>
  <c r="DE8" i="17"/>
  <c r="DA8" i="17"/>
  <c r="CW8" i="17"/>
  <c r="W7" i="18" s="1"/>
  <c r="CS8" i="17"/>
  <c r="U7" i="18" s="1"/>
  <c r="CO8" i="17"/>
  <c r="CH8" i="17"/>
  <c r="CF8" i="17"/>
  <c r="CD8" i="17"/>
  <c r="P7" i="18" s="1"/>
  <c r="CA8" i="17"/>
  <c r="BW8" i="17"/>
  <c r="BX8" i="17" s="1"/>
  <c r="BT8" i="17"/>
  <c r="BR8" i="17"/>
  <c r="BP8" i="17"/>
  <c r="BN8" i="17"/>
  <c r="BL8" i="17"/>
  <c r="BJ8" i="17"/>
  <c r="AB7" i="18" s="1"/>
  <c r="BG8" i="17"/>
  <c r="AA7" i="18" s="1"/>
  <c r="BC8" i="17"/>
  <c r="AZ8" i="17"/>
  <c r="L7" i="18" s="1"/>
  <c r="AR8" i="17"/>
  <c r="AS8" i="17" s="1"/>
  <c r="AI8" i="17"/>
  <c r="AJ8" i="17" s="1"/>
  <c r="AE8" i="17"/>
  <c r="AF8" i="17" s="1"/>
  <c r="AB8" i="17"/>
  <c r="F7" i="18" s="1"/>
  <c r="V8" i="17"/>
  <c r="E7" i="18" s="1"/>
  <c r="T8" i="17"/>
  <c r="Q8" i="17"/>
  <c r="N8" i="17"/>
  <c r="K8" i="17"/>
  <c r="F8" i="17"/>
  <c r="D8" i="17"/>
  <c r="C8" i="17"/>
  <c r="A8" i="17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E9" i="18" l="1"/>
  <c r="ED8" i="17"/>
  <c r="AE14" i="18"/>
  <c r="AG14" i="18" s="1"/>
  <c r="AC14" i="18"/>
  <c r="AC10" i="18"/>
  <c r="AC12" i="18"/>
  <c r="AE21" i="18"/>
  <c r="AG21" i="18" s="1"/>
  <c r="CB8" i="17"/>
  <c r="O7" i="18"/>
  <c r="AC11" i="18"/>
  <c r="BX18" i="18"/>
  <c r="AC16" i="18"/>
  <c r="AC17" i="18"/>
  <c r="AG9" i="18"/>
  <c r="AC13" i="18"/>
  <c r="AC9" i="18"/>
  <c r="AC8" i="18"/>
  <c r="AC7" i="18"/>
  <c r="AC15" i="18"/>
  <c r="CK14" i="17"/>
  <c r="S13" i="18" s="1"/>
  <c r="O13" i="18"/>
  <c r="BG27" i="18"/>
  <c r="BS27" i="18" s="1"/>
  <c r="AF12" i="18"/>
  <c r="AF25" i="18"/>
  <c r="GG35" i="17"/>
  <c r="AR34" i="18" s="1"/>
  <c r="AS34" i="18" s="1"/>
  <c r="D83" i="17"/>
  <c r="GG34" i="17"/>
  <c r="AR33" i="18" s="1"/>
  <c r="AS33" i="18" s="1"/>
  <c r="AE16" i="18"/>
  <c r="AG16" i="18" s="1"/>
  <c r="AF10" i="18"/>
  <c r="EG8" i="17"/>
  <c r="AE24" i="18"/>
  <c r="AG24" i="18" s="1"/>
  <c r="AF21" i="18"/>
  <c r="AF35" i="18"/>
  <c r="AE15" i="18"/>
  <c r="AG15" i="18" s="1"/>
  <c r="H83" i="17"/>
  <c r="JN62" i="17"/>
  <c r="AF20" i="18"/>
  <c r="AE27" i="18"/>
  <c r="AG27" i="18" s="1"/>
  <c r="AE34" i="18"/>
  <c r="AG34" i="18" s="1"/>
  <c r="AE13" i="18"/>
  <c r="AG13" i="18" s="1"/>
  <c r="CK24" i="17"/>
  <c r="S23" i="18" s="1"/>
  <c r="V23" i="18" s="1"/>
  <c r="AE36" i="18"/>
  <c r="AG36" i="18" s="1"/>
  <c r="AF14" i="18"/>
  <c r="CX29" i="17"/>
  <c r="BG29" i="18"/>
  <c r="BS29" i="18" s="1"/>
  <c r="AF9" i="18"/>
  <c r="BX12" i="17"/>
  <c r="AS18" i="17"/>
  <c r="Y22" i="18"/>
  <c r="BH22" i="18" s="1"/>
  <c r="EG13" i="17"/>
  <c r="AL12" i="18" s="1"/>
  <c r="EG21" i="17"/>
  <c r="EG29" i="17"/>
  <c r="AL28" i="18" s="1"/>
  <c r="AO28" i="18" s="1"/>
  <c r="EC11" i="17"/>
  <c r="AJ10" i="18" s="1"/>
  <c r="AK10" i="18" s="1"/>
  <c r="EC19" i="17"/>
  <c r="AJ18" i="18" s="1"/>
  <c r="EC27" i="17"/>
  <c r="AJ26" i="18" s="1"/>
  <c r="AK26" i="18" s="1"/>
  <c r="EC35" i="17"/>
  <c r="AJ34" i="18" s="1"/>
  <c r="AK34" i="18" s="1"/>
  <c r="EG33" i="17"/>
  <c r="AL32" i="18" s="1"/>
  <c r="AO32" i="18" s="1"/>
  <c r="EC23" i="17"/>
  <c r="AJ22" i="18" s="1"/>
  <c r="AK22" i="18" s="1"/>
  <c r="EG9" i="17"/>
  <c r="EC18" i="17"/>
  <c r="AJ17" i="18" s="1"/>
  <c r="AK17" i="18" s="1"/>
  <c r="EG14" i="17"/>
  <c r="EG22" i="17"/>
  <c r="AL21" i="18" s="1"/>
  <c r="AO21" i="18" s="1"/>
  <c r="EG30" i="17"/>
  <c r="AL29" i="18" s="1"/>
  <c r="AO29" i="18" s="1"/>
  <c r="EC12" i="17"/>
  <c r="AJ11" i="18" s="1"/>
  <c r="AK11" i="18" s="1"/>
  <c r="EC20" i="17"/>
  <c r="AJ19" i="18" s="1"/>
  <c r="AK19" i="18" s="1"/>
  <c r="EC28" i="17"/>
  <c r="AJ27" i="18" s="1"/>
  <c r="EC36" i="17"/>
  <c r="AJ35" i="18" s="1"/>
  <c r="AK35" i="18" s="1"/>
  <c r="EG25" i="17"/>
  <c r="AL24" i="18" s="1"/>
  <c r="EC31" i="17"/>
  <c r="AJ30" i="18" s="1"/>
  <c r="EG34" i="17"/>
  <c r="AL33" i="18" s="1"/>
  <c r="EC32" i="17"/>
  <c r="AJ31" i="18" s="1"/>
  <c r="AK31" i="18" s="1"/>
  <c r="EC34" i="17"/>
  <c r="AJ33" i="18" s="1"/>
  <c r="AK33" i="18" s="1"/>
  <c r="EG15" i="17"/>
  <c r="AL14" i="18" s="1"/>
  <c r="EG23" i="17"/>
  <c r="EG31" i="17"/>
  <c r="AL30" i="18" s="1"/>
  <c r="AO30" i="18" s="1"/>
  <c r="EG12" i="17"/>
  <c r="EC13" i="17"/>
  <c r="AJ12" i="18" s="1"/>
  <c r="AK12" i="18" s="1"/>
  <c r="EC21" i="17"/>
  <c r="AJ20" i="18" s="1"/>
  <c r="EC29" i="17"/>
  <c r="AJ28" i="18" s="1"/>
  <c r="AK28" i="18" s="1"/>
  <c r="AJ36" i="18"/>
  <c r="EG17" i="17"/>
  <c r="EC15" i="17"/>
  <c r="AJ14" i="18" s="1"/>
  <c r="EG26" i="17"/>
  <c r="AL25" i="18" s="1"/>
  <c r="AO25" i="18" s="1"/>
  <c r="EC24" i="17"/>
  <c r="AJ23" i="18" s="1"/>
  <c r="AK23" i="18" s="1"/>
  <c r="EC26" i="17"/>
  <c r="AJ25" i="18" s="1"/>
  <c r="EG16" i="17"/>
  <c r="EG24" i="17"/>
  <c r="AL23" i="18" s="1"/>
  <c r="AO23" i="18" s="1"/>
  <c r="EG32" i="17"/>
  <c r="AL31" i="18" s="1"/>
  <c r="EG11" i="17"/>
  <c r="EC14" i="17"/>
  <c r="AJ13" i="18" s="1"/>
  <c r="AK13" i="18" s="1"/>
  <c r="EC22" i="17"/>
  <c r="AJ21" i="18" s="1"/>
  <c r="AK21" i="18" s="1"/>
  <c r="EC30" i="17"/>
  <c r="AJ29" i="18" s="1"/>
  <c r="EG10" i="17"/>
  <c r="AL9" i="18" s="1"/>
  <c r="AO9" i="18" s="1"/>
  <c r="EG18" i="17"/>
  <c r="EC16" i="17"/>
  <c r="AJ15" i="18" s="1"/>
  <c r="AK15" i="18" s="1"/>
  <c r="EC10" i="17"/>
  <c r="AJ9" i="18" s="1"/>
  <c r="AK9" i="18" s="1"/>
  <c r="EG19" i="17"/>
  <c r="EG27" i="17"/>
  <c r="AL26" i="18" s="1"/>
  <c r="EG35" i="17"/>
  <c r="AL34" i="18" s="1"/>
  <c r="EC9" i="17"/>
  <c r="AJ8" i="18" s="1"/>
  <c r="EC17" i="17"/>
  <c r="AJ16" i="18" s="1"/>
  <c r="EC25" i="17"/>
  <c r="AJ24" i="18" s="1"/>
  <c r="AK24" i="18" s="1"/>
  <c r="EC33" i="17"/>
  <c r="AJ32" i="18" s="1"/>
  <c r="AK32" i="18" s="1"/>
  <c r="EG20" i="17"/>
  <c r="EG28" i="17"/>
  <c r="AL27" i="18" s="1"/>
  <c r="AO27" i="18" s="1"/>
  <c r="EG36" i="17"/>
  <c r="AL35" i="18" s="1"/>
  <c r="AO35" i="18" s="1"/>
  <c r="FI49" i="17"/>
  <c r="AF15" i="18"/>
  <c r="AE31" i="18"/>
  <c r="AG31" i="18" s="1"/>
  <c r="AE32" i="18"/>
  <c r="AG32" i="18" s="1"/>
  <c r="AE8" i="18"/>
  <c r="AG8" i="18" s="1"/>
  <c r="CP21" i="17"/>
  <c r="AE30" i="18"/>
  <c r="AG30" i="18" s="1"/>
  <c r="AE19" i="18"/>
  <c r="AG19" i="18" s="1"/>
  <c r="AB38" i="18"/>
  <c r="C54" i="18" s="1"/>
  <c r="AE26" i="18"/>
  <c r="AG26" i="18" s="1"/>
  <c r="AF30" i="17"/>
  <c r="AE10" i="18"/>
  <c r="AG10" i="18" s="1"/>
  <c r="AE22" i="18"/>
  <c r="AG22" i="18" s="1"/>
  <c r="AE25" i="18"/>
  <c r="AG25" i="18" s="1"/>
  <c r="EQ36" i="17"/>
  <c r="AT35" i="18" s="1"/>
  <c r="FW47" i="17"/>
  <c r="FG10" i="17" s="1"/>
  <c r="AZ9" i="18" s="1"/>
  <c r="FV48" i="17"/>
  <c r="EQ11" i="17" s="1"/>
  <c r="FA11" i="17" s="1"/>
  <c r="FW48" i="17"/>
  <c r="FG11" i="17" s="1"/>
  <c r="AZ10" i="18" s="1"/>
  <c r="FW46" i="17"/>
  <c r="FG9" i="17" s="1"/>
  <c r="AZ8" i="18" s="1"/>
  <c r="P83" i="17"/>
  <c r="AF35" i="17"/>
  <c r="AF25" i="17"/>
  <c r="DB27" i="17"/>
  <c r="G29" i="17"/>
  <c r="B28" i="18" s="1"/>
  <c r="G20" i="17"/>
  <c r="B19" i="18" s="1"/>
  <c r="FH48" i="17"/>
  <c r="FH56" i="17"/>
  <c r="DE39" i="17"/>
  <c r="AE11" i="18"/>
  <c r="AG11" i="18" s="1"/>
  <c r="DB15" i="17"/>
  <c r="AE23" i="18"/>
  <c r="AG23" i="18" s="1"/>
  <c r="CK32" i="17"/>
  <c r="S31" i="18" s="1"/>
  <c r="AE18" i="18"/>
  <c r="AG18" i="18" s="1"/>
  <c r="AC25" i="18"/>
  <c r="FH47" i="17"/>
  <c r="FH53" i="17"/>
  <c r="AF22" i="18"/>
  <c r="JM39" i="17"/>
  <c r="AN20" i="17"/>
  <c r="J19" i="18" s="1"/>
  <c r="AJ10" i="17"/>
  <c r="AE29" i="18"/>
  <c r="AG29" i="18" s="1"/>
  <c r="CX36" i="17"/>
  <c r="FV47" i="17"/>
  <c r="AI38" i="18"/>
  <c r="AE28" i="18"/>
  <c r="AG28" i="18" s="1"/>
  <c r="AS30" i="17"/>
  <c r="AS34" i="17"/>
  <c r="BU38" i="18"/>
  <c r="C62" i="18" s="1"/>
  <c r="AF16" i="18"/>
  <c r="G15" i="17"/>
  <c r="B14" i="18" s="1"/>
  <c r="FH62" i="17"/>
  <c r="CK15" i="17"/>
  <c r="S14" i="18" s="1"/>
  <c r="CK21" i="17"/>
  <c r="S20" i="18" s="1"/>
  <c r="V20" i="18" s="1"/>
  <c r="FI46" i="17"/>
  <c r="AF8" i="18"/>
  <c r="AF18" i="18"/>
  <c r="FI67" i="17"/>
  <c r="FW45" i="17"/>
  <c r="FG8" i="17" s="1"/>
  <c r="AZ7" i="18" s="1"/>
  <c r="FB74" i="17"/>
  <c r="FD74" i="17" s="1"/>
  <c r="FK74" i="17" s="1"/>
  <c r="L83" i="17"/>
  <c r="AT17" i="18"/>
  <c r="FW51" i="17"/>
  <c r="FG14" i="17" s="1"/>
  <c r="AZ13" i="18" s="1"/>
  <c r="FG36" i="17"/>
  <c r="FU36" i="17" s="1"/>
  <c r="EQ25" i="17"/>
  <c r="FG25" i="17"/>
  <c r="AZ24" i="18" s="1"/>
  <c r="FV50" i="17"/>
  <c r="FW61" i="17"/>
  <c r="FG24" i="17" s="1"/>
  <c r="AZ23" i="18" s="1"/>
  <c r="FW55" i="17"/>
  <c r="FG18" i="17" s="1"/>
  <c r="AZ17" i="18" s="1"/>
  <c r="FV60" i="17"/>
  <c r="FV54" i="17"/>
  <c r="FV57" i="17"/>
  <c r="FV53" i="17"/>
  <c r="FG29" i="17"/>
  <c r="FU29" i="17" s="1"/>
  <c r="FV56" i="17"/>
  <c r="FV59" i="17"/>
  <c r="FV52" i="17"/>
  <c r="AT28" i="18"/>
  <c r="FV45" i="17"/>
  <c r="EQ8" i="17" s="1"/>
  <c r="FB58" i="17"/>
  <c r="FD58" i="17" s="1"/>
  <c r="FK58" i="17" s="1"/>
  <c r="FB67" i="17"/>
  <c r="FD67" i="17" s="1"/>
  <c r="FJ67" i="17" s="1"/>
  <c r="FB70" i="17"/>
  <c r="FD70" i="17" s="1"/>
  <c r="FK70" i="17" s="1"/>
  <c r="FB53" i="17"/>
  <c r="FD53" i="17" s="1"/>
  <c r="FK53" i="17" s="1"/>
  <c r="FB73" i="17"/>
  <c r="FD73" i="17" s="1"/>
  <c r="FJ73" i="17" s="1"/>
  <c r="FB64" i="17"/>
  <c r="FD64" i="17" s="1"/>
  <c r="FK64" i="17" s="1"/>
  <c r="FB63" i="17"/>
  <c r="FD63" i="17" s="1"/>
  <c r="FK63" i="17" s="1"/>
  <c r="FB66" i="17"/>
  <c r="FD66" i="17" s="1"/>
  <c r="FK66" i="17" s="1"/>
  <c r="FB75" i="17"/>
  <c r="FD75" i="17" s="1"/>
  <c r="FK75" i="17" s="1"/>
  <c r="FU33" i="17"/>
  <c r="BG36" i="18"/>
  <c r="BG18" i="18"/>
  <c r="GG21" i="17"/>
  <c r="AR20" i="18" s="1"/>
  <c r="AS20" i="18" s="1"/>
  <c r="AR36" i="18"/>
  <c r="AS36" i="18" s="1"/>
  <c r="BO36" i="18" s="1"/>
  <c r="GG33" i="17"/>
  <c r="AR32" i="18" s="1"/>
  <c r="AS32" i="18" s="1"/>
  <c r="IH15" i="17"/>
  <c r="CF14" i="18" s="1"/>
  <c r="IH22" i="17"/>
  <c r="CF21" i="18" s="1"/>
  <c r="IH27" i="17"/>
  <c r="CF26" i="18" s="1"/>
  <c r="CF36" i="18"/>
  <c r="DB29" i="17"/>
  <c r="DB23" i="17"/>
  <c r="DB17" i="17"/>
  <c r="Y20" i="18"/>
  <c r="BH20" i="18" s="1"/>
  <c r="DB32" i="17"/>
  <c r="CX10" i="17"/>
  <c r="CX12" i="17"/>
  <c r="CX11" i="17"/>
  <c r="CT27" i="17"/>
  <c r="CT35" i="17"/>
  <c r="CP13" i="17"/>
  <c r="CP14" i="17"/>
  <c r="CB30" i="17"/>
  <c r="CB27" i="17"/>
  <c r="CK30" i="17"/>
  <c r="DG30" i="17" s="1"/>
  <c r="CK27" i="17"/>
  <c r="S26" i="18" s="1"/>
  <c r="V26" i="18" s="1"/>
  <c r="CK35" i="17"/>
  <c r="DG35" i="17" s="1"/>
  <c r="AN16" i="17"/>
  <c r="J15" i="18" s="1"/>
  <c r="AC26" i="18"/>
  <c r="AN22" i="17"/>
  <c r="AO22" i="17" s="1"/>
  <c r="AN28" i="17"/>
  <c r="J27" i="18" s="1"/>
  <c r="AS12" i="17"/>
  <c r="AS17" i="17"/>
  <c r="AS23" i="17"/>
  <c r="AS29" i="17"/>
  <c r="AJ25" i="17"/>
  <c r="AJ34" i="17"/>
  <c r="AJ36" i="17"/>
  <c r="AF24" i="17"/>
  <c r="G14" i="17"/>
  <c r="B13" i="18" s="1"/>
  <c r="G16" i="17"/>
  <c r="B15" i="18" s="1"/>
  <c r="G28" i="17"/>
  <c r="B27" i="18" s="1"/>
  <c r="C39" i="17"/>
  <c r="G23" i="17"/>
  <c r="B22" i="18" s="1"/>
  <c r="G34" i="17"/>
  <c r="B33" i="18" s="1"/>
  <c r="G18" i="17"/>
  <c r="B17" i="18" s="1"/>
  <c r="G10" i="17"/>
  <c r="B9" i="18" s="1"/>
  <c r="G12" i="17"/>
  <c r="B11" i="18" s="1"/>
  <c r="CK8" i="17"/>
  <c r="IB16" i="17"/>
  <c r="CD15" i="18" s="1"/>
  <c r="HY39" i="17"/>
  <c r="HI46" i="17" s="1"/>
  <c r="HP16" i="17"/>
  <c r="BZ15" i="18" s="1"/>
  <c r="HP9" i="17"/>
  <c r="BZ8" i="18" s="1"/>
  <c r="KG8" i="17"/>
  <c r="BG8" i="18"/>
  <c r="BG21" i="18"/>
  <c r="BG23" i="18"/>
  <c r="BG24" i="18"/>
  <c r="BG9" i="18"/>
  <c r="BG17" i="18"/>
  <c r="BS17" i="18" s="1"/>
  <c r="BG32" i="18"/>
  <c r="BC35" i="18"/>
  <c r="GG27" i="17"/>
  <c r="AR26" i="18" s="1"/>
  <c r="AS26" i="18" s="1"/>
  <c r="GG28" i="17"/>
  <c r="AR27" i="18" s="1"/>
  <c r="AS27" i="18" s="1"/>
  <c r="BO27" i="18" s="1"/>
  <c r="GD18" i="17"/>
  <c r="FB54" i="17"/>
  <c r="FD54" i="17" s="1"/>
  <c r="FK54" i="17" s="1"/>
  <c r="FT34" i="17"/>
  <c r="FM34" i="17" s="1"/>
  <c r="FB60" i="17"/>
  <c r="FD60" i="17" s="1"/>
  <c r="FK60" i="17" s="1"/>
  <c r="FB61" i="17"/>
  <c r="FD61" i="17" s="1"/>
  <c r="FK61" i="17" s="1"/>
  <c r="FT31" i="17"/>
  <c r="FM31" i="17" s="1"/>
  <c r="FT13" i="17"/>
  <c r="FM13" i="17" s="1"/>
  <c r="FB55" i="17"/>
  <c r="FD55" i="17" s="1"/>
  <c r="FK55" i="17" s="1"/>
  <c r="FB51" i="17"/>
  <c r="FD51" i="17" s="1"/>
  <c r="FK51" i="17" s="1"/>
  <c r="FB71" i="17"/>
  <c r="FD71" i="17" s="1"/>
  <c r="FK71" i="17" s="1"/>
  <c r="FB68" i="17"/>
  <c r="FD68" i="17" s="1"/>
  <c r="FK68" i="17" s="1"/>
  <c r="FB72" i="17"/>
  <c r="FD72" i="17" s="1"/>
  <c r="FJ72" i="17" s="1"/>
  <c r="FT33" i="17"/>
  <c r="FM33" i="17" s="1"/>
  <c r="FT23" i="17"/>
  <c r="FM23" i="17" s="1"/>
  <c r="FT32" i="17"/>
  <c r="FM32" i="17" s="1"/>
  <c r="FU23" i="17"/>
  <c r="FT26" i="17"/>
  <c r="FM26" i="17" s="1"/>
  <c r="FU32" i="17"/>
  <c r="FT27" i="17"/>
  <c r="FM27" i="17" s="1"/>
  <c r="FT30" i="17"/>
  <c r="FM30" i="17" s="1"/>
  <c r="FT12" i="17"/>
  <c r="FM12" i="17" s="1"/>
  <c r="FT15" i="17"/>
  <c r="FM15" i="17" s="1"/>
  <c r="FT22" i="17"/>
  <c r="FM22" i="17" s="1"/>
  <c r="EW20" i="17"/>
  <c r="AV19" i="18" s="1"/>
  <c r="FA24" i="17"/>
  <c r="AK27" i="18"/>
  <c r="IH9" i="17"/>
  <c r="CF8" i="18" s="1"/>
  <c r="IH12" i="17"/>
  <c r="CF11" i="18" s="1"/>
  <c r="IH11" i="17"/>
  <c r="KG11" i="17" s="1"/>
  <c r="KG34" i="17"/>
  <c r="IH23" i="17"/>
  <c r="CF22" i="18" s="1"/>
  <c r="IH14" i="17"/>
  <c r="CF13" i="18" s="1"/>
  <c r="IH24" i="17"/>
  <c r="CF23" i="18" s="1"/>
  <c r="DB13" i="17"/>
  <c r="Y15" i="18"/>
  <c r="BH15" i="18" s="1"/>
  <c r="DB21" i="17"/>
  <c r="DB16" i="17"/>
  <c r="DB18" i="17"/>
  <c r="Y24" i="18"/>
  <c r="BH24" i="18" s="1"/>
  <c r="DB35" i="17"/>
  <c r="Y35" i="18"/>
  <c r="BH35" i="18" s="1"/>
  <c r="DB12" i="17"/>
  <c r="Y25" i="18"/>
  <c r="BH25" i="18" s="1"/>
  <c r="Y28" i="18"/>
  <c r="BH28" i="18" s="1"/>
  <c r="DB26" i="17"/>
  <c r="Y30" i="18"/>
  <c r="BH30" i="18" s="1"/>
  <c r="DB36" i="17"/>
  <c r="DB31" i="17"/>
  <c r="Y33" i="18"/>
  <c r="BH33" i="18" s="1"/>
  <c r="Y12" i="18"/>
  <c r="BH12" i="18" s="1"/>
  <c r="DB14" i="17"/>
  <c r="DB20" i="17"/>
  <c r="DB34" i="17"/>
  <c r="CX14" i="17"/>
  <c r="CX13" i="17"/>
  <c r="CX25" i="17"/>
  <c r="CX20" i="17"/>
  <c r="CX19" i="17"/>
  <c r="CX22" i="17"/>
  <c r="CX18" i="17"/>
  <c r="CX23" i="17"/>
  <c r="CX28" i="17"/>
  <c r="CX33" i="17"/>
  <c r="CT10" i="17"/>
  <c r="CT21" i="17"/>
  <c r="CT32" i="17"/>
  <c r="CT30" i="17"/>
  <c r="CT13" i="17"/>
  <c r="CT24" i="17"/>
  <c r="CT11" i="17"/>
  <c r="CT25" i="17"/>
  <c r="CP10" i="17"/>
  <c r="CP20" i="17"/>
  <c r="CP31" i="17"/>
  <c r="CP18" i="17"/>
  <c r="CP15" i="17"/>
  <c r="CP23" i="17"/>
  <c r="CP26" i="17"/>
  <c r="CP34" i="17"/>
  <c r="CP17" i="17"/>
  <c r="CP27" i="17"/>
  <c r="CP29" i="17"/>
  <c r="CP16" i="17"/>
  <c r="CB11" i="17"/>
  <c r="CB32" i="17"/>
  <c r="CB35" i="17"/>
  <c r="CB12" i="17"/>
  <c r="CK23" i="17"/>
  <c r="DG23" i="17" s="1"/>
  <c r="CK11" i="17"/>
  <c r="S10" i="18" s="1"/>
  <c r="CB19" i="17"/>
  <c r="CK31" i="17"/>
  <c r="S30" i="18" s="1"/>
  <c r="CK18" i="17"/>
  <c r="CK20" i="17"/>
  <c r="CK26" i="17"/>
  <c r="S25" i="18" s="1"/>
  <c r="CK12" i="17"/>
  <c r="S11" i="18" s="1"/>
  <c r="CB9" i="17"/>
  <c r="CB21" i="17"/>
  <c r="CB24" i="17"/>
  <c r="CK17" i="17"/>
  <c r="CB28" i="17"/>
  <c r="CB22" i="17"/>
  <c r="DG14" i="17"/>
  <c r="BX11" i="17"/>
  <c r="BX10" i="17"/>
  <c r="BX9" i="17"/>
  <c r="AN14" i="17"/>
  <c r="J13" i="18" s="1"/>
  <c r="AN21" i="17"/>
  <c r="J20" i="18" s="1"/>
  <c r="AN19" i="17"/>
  <c r="AO19" i="17" s="1"/>
  <c r="AN17" i="17"/>
  <c r="AO17" i="17" s="1"/>
  <c r="AN29" i="17"/>
  <c r="J28" i="18" s="1"/>
  <c r="AC30" i="18"/>
  <c r="AC31" i="18"/>
  <c r="AC34" i="18"/>
  <c r="BN39" i="17"/>
  <c r="AN12" i="17"/>
  <c r="AO12" i="17" s="1"/>
  <c r="AN18" i="17"/>
  <c r="J17" i="18" s="1"/>
  <c r="AN23" i="17"/>
  <c r="J22" i="18" s="1"/>
  <c r="AN10" i="17"/>
  <c r="J9" i="18" s="1"/>
  <c r="AS10" i="17"/>
  <c r="AS35" i="17"/>
  <c r="AS9" i="17"/>
  <c r="AS20" i="17"/>
  <c r="AS13" i="17"/>
  <c r="AS14" i="17"/>
  <c r="AS16" i="17"/>
  <c r="AS33" i="17"/>
  <c r="AS15" i="17"/>
  <c r="AS26" i="17"/>
  <c r="AS31" i="17"/>
  <c r="AS24" i="17"/>
  <c r="AJ12" i="17"/>
  <c r="AJ18" i="17"/>
  <c r="AJ33" i="17"/>
  <c r="AJ16" i="17"/>
  <c r="AJ19" i="17"/>
  <c r="AJ20" i="17"/>
  <c r="AJ22" i="17"/>
  <c r="AJ23" i="17"/>
  <c r="AJ29" i="17"/>
  <c r="AJ28" i="17"/>
  <c r="AF27" i="17"/>
  <c r="AF32" i="17"/>
  <c r="AF9" i="17"/>
  <c r="AF21" i="17"/>
  <c r="AF33" i="17"/>
  <c r="X28" i="17"/>
  <c r="G27" i="18" s="1"/>
  <c r="G22" i="17"/>
  <c r="B21" i="18" s="1"/>
  <c r="G31" i="17"/>
  <c r="B30" i="18" s="1"/>
  <c r="G26" i="17"/>
  <c r="B25" i="18" s="1"/>
  <c r="X21" i="17"/>
  <c r="G20" i="18" s="1"/>
  <c r="X30" i="17"/>
  <c r="G29" i="18" s="1"/>
  <c r="X20" i="17"/>
  <c r="G19" i="18" s="1"/>
  <c r="X10" i="17"/>
  <c r="G9" i="18" s="1"/>
  <c r="X36" i="17"/>
  <c r="G35" i="18" s="1"/>
  <c r="X22" i="17"/>
  <c r="G21" i="18" s="1"/>
  <c r="X23" i="17"/>
  <c r="G22" i="18" s="1"/>
  <c r="G36" i="18"/>
  <c r="X25" i="17"/>
  <c r="G24" i="18" s="1"/>
  <c r="X9" i="17"/>
  <c r="G8" i="18" s="1"/>
  <c r="X12" i="17"/>
  <c r="G11" i="18" s="1"/>
  <c r="R25" i="17"/>
  <c r="X19" i="17"/>
  <c r="G18" i="18" s="1"/>
  <c r="G24" i="17"/>
  <c r="B23" i="18" s="1"/>
  <c r="G32" i="17"/>
  <c r="B31" i="18" s="1"/>
  <c r="G36" i="17"/>
  <c r="B35" i="18" s="1"/>
  <c r="B36" i="18"/>
  <c r="G17" i="17"/>
  <c r="B16" i="18" s="1"/>
  <c r="G27" i="17"/>
  <c r="B26" i="18" s="1"/>
  <c r="G30" i="17"/>
  <c r="B29" i="18" s="1"/>
  <c r="G11" i="17"/>
  <c r="B10" i="18" s="1"/>
  <c r="G9" i="17"/>
  <c r="B8" i="18" s="1"/>
  <c r="G21" i="17"/>
  <c r="B20" i="18" s="1"/>
  <c r="G25" i="17"/>
  <c r="B24" i="18" s="1"/>
  <c r="G35" i="17"/>
  <c r="B34" i="18" s="1"/>
  <c r="G33" i="17"/>
  <c r="B32" i="18" s="1"/>
  <c r="G19" i="17"/>
  <c r="B18" i="18" s="1"/>
  <c r="G8" i="17"/>
  <c r="B7" i="18" s="1"/>
  <c r="X8" i="17"/>
  <c r="AK8" i="17" s="1"/>
  <c r="DH8" i="17" s="1"/>
  <c r="AQ7" i="18"/>
  <c r="Q7" i="18"/>
  <c r="Q38" i="18" s="1"/>
  <c r="CF39" i="17"/>
  <c r="CB13" i="17"/>
  <c r="BX22" i="18"/>
  <c r="CC23" i="18"/>
  <c r="JN52" i="17"/>
  <c r="CA30" i="18"/>
  <c r="AZ16" i="18"/>
  <c r="FU17" i="17"/>
  <c r="D39" i="17"/>
  <c r="R7" i="18"/>
  <c r="R38" i="18" s="1"/>
  <c r="CH39" i="17"/>
  <c r="DF8" i="17"/>
  <c r="FS39" i="17"/>
  <c r="DB9" i="17"/>
  <c r="CE38" i="18"/>
  <c r="BX48" i="18" s="1"/>
  <c r="IE39" i="17"/>
  <c r="HI49" i="17" s="1"/>
  <c r="R10" i="17"/>
  <c r="Y9" i="18"/>
  <c r="BH9" i="18" s="1"/>
  <c r="IH10" i="17"/>
  <c r="CF9" i="18" s="1"/>
  <c r="DF11" i="17"/>
  <c r="X13" i="17"/>
  <c r="G12" i="18" s="1"/>
  <c r="BX13" i="18"/>
  <c r="DF19" i="17"/>
  <c r="IO39" i="17"/>
  <c r="JY39" i="17"/>
  <c r="AZ20" i="18"/>
  <c r="AX23" i="18"/>
  <c r="GG24" i="17"/>
  <c r="AR23" i="18" s="1"/>
  <c r="AS23" i="18" s="1"/>
  <c r="U30" i="18"/>
  <c r="CT31" i="17"/>
  <c r="D32" i="18"/>
  <c r="X33" i="17"/>
  <c r="G32" i="18" s="1"/>
  <c r="AZ26" i="18"/>
  <c r="FU27" i="17"/>
  <c r="GG17" i="17"/>
  <c r="AR16" i="18" s="1"/>
  <c r="AS16" i="18" s="1"/>
  <c r="BC17" i="18"/>
  <c r="GG18" i="17"/>
  <c r="AR17" i="18" s="1"/>
  <c r="F39" i="17"/>
  <c r="I7" i="18"/>
  <c r="AI39" i="17"/>
  <c r="BL39" i="17"/>
  <c r="HE39" i="17"/>
  <c r="X11" i="17"/>
  <c r="G10" i="18" s="1"/>
  <c r="H11" i="18"/>
  <c r="AF12" i="17"/>
  <c r="FB49" i="17"/>
  <c r="FD49" i="17" s="1"/>
  <c r="CA12" i="18"/>
  <c r="CB14" i="17"/>
  <c r="DF15" i="17"/>
  <c r="D15" i="18"/>
  <c r="X16" i="17"/>
  <c r="G15" i="18" s="1"/>
  <c r="AZ15" i="18"/>
  <c r="FU16" i="17"/>
  <c r="FT16" i="17"/>
  <c r="FM16" i="17" s="1"/>
  <c r="AZ19" i="18"/>
  <c r="FU20" i="17"/>
  <c r="FT20" i="17"/>
  <c r="FM20" i="17" s="1"/>
  <c r="O33" i="18"/>
  <c r="CB34" i="17"/>
  <c r="CK34" i="17"/>
  <c r="DG34" i="17" s="1"/>
  <c r="T34" i="18"/>
  <c r="CP35" i="17"/>
  <c r="DZ39" i="17"/>
  <c r="W23" i="18"/>
  <c r="Y23" i="18" s="1"/>
  <c r="BH23" i="18" s="1"/>
  <c r="CX24" i="17"/>
  <c r="CK10" i="17"/>
  <c r="BX10" i="18"/>
  <c r="GG12" i="17"/>
  <c r="AR11" i="18" s="1"/>
  <c r="AS11" i="18" s="1"/>
  <c r="BM11" i="18" s="1"/>
  <c r="D12" i="18"/>
  <c r="X14" i="17"/>
  <c r="G13" i="18" s="1"/>
  <c r="R14" i="17"/>
  <c r="AT13" i="18"/>
  <c r="FD14" i="17"/>
  <c r="EN22" i="17"/>
  <c r="BG39" i="17"/>
  <c r="BX7" i="18"/>
  <c r="T7" i="18"/>
  <c r="AV7" i="18"/>
  <c r="HM39" i="17"/>
  <c r="HI43" i="17" s="1"/>
  <c r="CK9" i="17"/>
  <c r="CB10" i="17"/>
  <c r="AN11" i="17"/>
  <c r="CK13" i="17"/>
  <c r="S12" i="18" s="1"/>
  <c r="GG13" i="17"/>
  <c r="AR12" i="18" s="1"/>
  <c r="AS12" i="18" s="1"/>
  <c r="BM12" i="18" s="1"/>
  <c r="X17" i="17"/>
  <c r="G16" i="18" s="1"/>
  <c r="R17" i="17"/>
  <c r="AH16" i="18"/>
  <c r="AH18" i="18"/>
  <c r="AH25" i="18"/>
  <c r="F26" i="18"/>
  <c r="X27" i="17"/>
  <c r="BY27" i="18"/>
  <c r="AN7" i="18"/>
  <c r="EM39" i="17"/>
  <c r="AN12" i="18"/>
  <c r="H18" i="18"/>
  <c r="AF19" i="17"/>
  <c r="AU7" i="18"/>
  <c r="K39" i="17"/>
  <c r="BP39" i="17"/>
  <c r="AD7" i="18"/>
  <c r="DR39" i="17"/>
  <c r="AP38" i="18"/>
  <c r="FX41" i="17"/>
  <c r="DB10" i="17"/>
  <c r="FB50" i="17"/>
  <c r="FD50" i="17" s="1"/>
  <c r="GG15" i="17"/>
  <c r="AR14" i="18" s="1"/>
  <c r="AS14" i="18" s="1"/>
  <c r="BM14" i="18" s="1"/>
  <c r="C7" i="18"/>
  <c r="C38" i="18" s="1"/>
  <c r="N39" i="17"/>
  <c r="AN8" i="17"/>
  <c r="Z7" i="18"/>
  <c r="Z38" i="18" s="1"/>
  <c r="BR39" i="17"/>
  <c r="CP8" i="17"/>
  <c r="AE7" i="18"/>
  <c r="AG7" i="18" s="1"/>
  <c r="DT39" i="17"/>
  <c r="EZ39" i="17"/>
  <c r="EZ45" i="17"/>
  <c r="BZ7" i="18"/>
  <c r="AJ9" i="17"/>
  <c r="BX8" i="18"/>
  <c r="P9" i="18"/>
  <c r="CH44" i="17"/>
  <c r="BX9" i="18"/>
  <c r="AF11" i="17"/>
  <c r="AQ10" i="18"/>
  <c r="CP12" i="17"/>
  <c r="BG11" i="18"/>
  <c r="AE12" i="18"/>
  <c r="AG12" i="18" s="1"/>
  <c r="IH13" i="17"/>
  <c r="CF12" i="18" s="1"/>
  <c r="X15" i="17"/>
  <c r="G14" i="18" s="1"/>
  <c r="R15" i="17"/>
  <c r="D16" i="18"/>
  <c r="BX17" i="18"/>
  <c r="JA39" i="17"/>
  <c r="FD24" i="17"/>
  <c r="AM26" i="18"/>
  <c r="AC29" i="18"/>
  <c r="AN30" i="17"/>
  <c r="X18" i="18"/>
  <c r="Y18" i="18" s="1"/>
  <c r="BH18" i="18" s="1"/>
  <c r="DB19" i="17"/>
  <c r="Q39" i="17"/>
  <c r="CA7" i="18"/>
  <c r="HS39" i="17"/>
  <c r="HI44" i="17" s="1"/>
  <c r="AH14" i="18"/>
  <c r="X26" i="17"/>
  <c r="G25" i="18" s="1"/>
  <c r="R26" i="17"/>
  <c r="O28" i="18"/>
  <c r="CK29" i="17"/>
  <c r="CB29" i="17"/>
  <c r="CS39" i="17"/>
  <c r="AH7" i="18"/>
  <c r="DW39" i="17"/>
  <c r="T10" i="18"/>
  <c r="CP11" i="17"/>
  <c r="D14" i="18"/>
  <c r="R8" i="17"/>
  <c r="K7" i="18"/>
  <c r="AR39" i="17"/>
  <c r="BW39" i="17"/>
  <c r="CD42" i="17"/>
  <c r="CT8" i="17"/>
  <c r="GG8" i="17"/>
  <c r="HV39" i="17"/>
  <c r="HI45" i="17" s="1"/>
  <c r="CB7" i="18"/>
  <c r="CB38" i="18" s="1"/>
  <c r="BX45" i="18" s="1"/>
  <c r="AN9" i="17"/>
  <c r="CP9" i="17"/>
  <c r="FB46" i="17"/>
  <c r="FD46" i="17" s="1"/>
  <c r="AQ8" i="18"/>
  <c r="AF10" i="17"/>
  <c r="AU9" i="18"/>
  <c r="AQ9" i="18"/>
  <c r="AJ11" i="17"/>
  <c r="GG11" i="17"/>
  <c r="AR10" i="18" s="1"/>
  <c r="Y11" i="18"/>
  <c r="BH11" i="18" s="1"/>
  <c r="AF13" i="17"/>
  <c r="CL14" i="17"/>
  <c r="FA14" i="17"/>
  <c r="CX16" i="17"/>
  <c r="JN44" i="17"/>
  <c r="FT19" i="17"/>
  <c r="FM19" i="17" s="1"/>
  <c r="CA18" i="18"/>
  <c r="F31" i="18"/>
  <c r="X32" i="17"/>
  <c r="G31" i="18" s="1"/>
  <c r="AM31" i="18"/>
  <c r="H7" i="18"/>
  <c r="AE39" i="17"/>
  <c r="D7" i="18"/>
  <c r="T39" i="17"/>
  <c r="AN15" i="17"/>
  <c r="AQ18" i="18"/>
  <c r="AQ17" i="18"/>
  <c r="X21" i="18"/>
  <c r="DB22" i="17"/>
  <c r="D23" i="18"/>
  <c r="X24" i="17"/>
  <c r="G23" i="18" s="1"/>
  <c r="T27" i="18"/>
  <c r="CP28" i="17"/>
  <c r="AH30" i="18"/>
  <c r="FA45" i="17"/>
  <c r="FP39" i="17"/>
  <c r="CW39" i="17"/>
  <c r="AJ7" i="18"/>
  <c r="AK8" i="18"/>
  <c r="I12" i="18"/>
  <c r="AJ13" i="17"/>
  <c r="AZ12" i="18"/>
  <c r="FU13" i="17"/>
  <c r="CT17" i="17"/>
  <c r="FT17" i="17"/>
  <c r="FM17" i="17" s="1"/>
  <c r="V39" i="17"/>
  <c r="L38" i="18"/>
  <c r="AZ39" i="17"/>
  <c r="CA39" i="17"/>
  <c r="CX8" i="17"/>
  <c r="CD7" i="18"/>
  <c r="CT9" i="17"/>
  <c r="GG9" i="17"/>
  <c r="AR8" i="18" s="1"/>
  <c r="FB47" i="17"/>
  <c r="FD47" i="17" s="1"/>
  <c r="GG10" i="17"/>
  <c r="AR9" i="18" s="1"/>
  <c r="G13" i="17"/>
  <c r="B12" i="18" s="1"/>
  <c r="AN13" i="17"/>
  <c r="AJ14" i="17"/>
  <c r="H14" i="18"/>
  <c r="AF15" i="17"/>
  <c r="I16" i="18"/>
  <c r="AJ17" i="17"/>
  <c r="Y16" i="18"/>
  <c r="BH16" i="18" s="1"/>
  <c r="CX17" i="17"/>
  <c r="CA16" i="18"/>
  <c r="X18" i="17"/>
  <c r="G17" i="18" s="1"/>
  <c r="CT19" i="17"/>
  <c r="U25" i="18"/>
  <c r="CT26" i="17"/>
  <c r="CA25" i="18"/>
  <c r="AX35" i="18"/>
  <c r="GG36" i="17"/>
  <c r="AR35" i="18" s="1"/>
  <c r="AS35" i="18" s="1"/>
  <c r="M7" i="18"/>
  <c r="M38" i="18" s="1"/>
  <c r="BC39" i="17"/>
  <c r="X7" i="18"/>
  <c r="DA39" i="17"/>
  <c r="BX11" i="18"/>
  <c r="CT14" i="17"/>
  <c r="CT15" i="17"/>
  <c r="AM14" i="18"/>
  <c r="FA52" i="17"/>
  <c r="FB52" i="17" s="1"/>
  <c r="FD52" i="17" s="1"/>
  <c r="FU15" i="17"/>
  <c r="GG16" i="17"/>
  <c r="AR15" i="18" s="1"/>
  <c r="AS15" i="18" s="1"/>
  <c r="BM15" i="18" s="1"/>
  <c r="IH16" i="17"/>
  <c r="CF15" i="18" s="1"/>
  <c r="AE20" i="18"/>
  <c r="AG20" i="18" s="1"/>
  <c r="IH21" i="17"/>
  <c r="II21" i="17" s="1"/>
  <c r="I29" i="18"/>
  <c r="AJ30" i="17"/>
  <c r="X31" i="17"/>
  <c r="G30" i="18" s="1"/>
  <c r="R31" i="17"/>
  <c r="BE38" i="18"/>
  <c r="GP39" i="17"/>
  <c r="CF7" i="18"/>
  <c r="Y8" i="18"/>
  <c r="BH8" i="18" s="1"/>
  <c r="DB8" i="17"/>
  <c r="AM7" i="18"/>
  <c r="EJ39" i="17"/>
  <c r="BF38" i="18"/>
  <c r="GS39" i="17"/>
  <c r="II8" i="17"/>
  <c r="CX9" i="17"/>
  <c r="AS11" i="17"/>
  <c r="X10" i="18"/>
  <c r="Y10" i="18" s="1"/>
  <c r="BH10" i="18" s="1"/>
  <c r="DB11" i="17"/>
  <c r="P11" i="18"/>
  <c r="CH46" i="17"/>
  <c r="FU12" i="17"/>
  <c r="BX13" i="17"/>
  <c r="ED14" i="17"/>
  <c r="AJ15" i="17"/>
  <c r="Y14" i="18"/>
  <c r="BH14" i="18" s="1"/>
  <c r="CX15" i="17"/>
  <c r="BX15" i="18"/>
  <c r="CK16" i="17"/>
  <c r="CB16" i="17"/>
  <c r="JN45" i="17"/>
  <c r="AE17" i="18"/>
  <c r="AG17" i="18" s="1"/>
  <c r="IH18" i="17"/>
  <c r="AX29" i="18"/>
  <c r="GG30" i="17"/>
  <c r="AR29" i="18" s="1"/>
  <c r="AS29" i="18" s="1"/>
  <c r="BG15" i="18"/>
  <c r="IH19" i="17"/>
  <c r="CF18" i="18" s="1"/>
  <c r="JP39" i="17"/>
  <c r="AK20" i="18"/>
  <c r="AC24" i="18"/>
  <c r="CK25" i="17"/>
  <c r="DG25" i="17" s="1"/>
  <c r="GG26" i="17"/>
  <c r="AR25" i="18" s="1"/>
  <c r="AS25" i="18" s="1"/>
  <c r="FB65" i="17"/>
  <c r="FD65" i="17" s="1"/>
  <c r="X29" i="17"/>
  <c r="G28" i="18" s="1"/>
  <c r="BG28" i="18"/>
  <c r="FU30" i="17"/>
  <c r="GG31" i="17"/>
  <c r="AR30" i="18" s="1"/>
  <c r="AS30" i="18" s="1"/>
  <c r="I34" i="18"/>
  <c r="AJ35" i="17"/>
  <c r="AE35" i="18"/>
  <c r="AG35" i="18" s="1"/>
  <c r="IH36" i="17"/>
  <c r="K36" i="18"/>
  <c r="JS39" i="17"/>
  <c r="BX24" i="18"/>
  <c r="CC25" i="18"/>
  <c r="JN54" i="17"/>
  <c r="IH29" i="17"/>
  <c r="BX29" i="18"/>
  <c r="CC30" i="18"/>
  <c r="JN59" i="17"/>
  <c r="BX31" i="18"/>
  <c r="X34" i="17"/>
  <c r="G33" i="18" s="1"/>
  <c r="R34" i="17"/>
  <c r="ET35" i="17"/>
  <c r="AU34" i="18" s="1"/>
  <c r="ET34" i="17"/>
  <c r="AU33" i="18" s="1"/>
  <c r="IL39" i="17"/>
  <c r="JV39" i="17"/>
  <c r="FB57" i="17"/>
  <c r="FD57" i="17" s="1"/>
  <c r="BX19" i="18"/>
  <c r="AS21" i="17"/>
  <c r="AF22" i="17"/>
  <c r="DF22" i="17"/>
  <c r="DB24" i="17"/>
  <c r="CX26" i="17"/>
  <c r="R28" i="17"/>
  <c r="CT28" i="17"/>
  <c r="CP30" i="17"/>
  <c r="CX31" i="17"/>
  <c r="DG32" i="17"/>
  <c r="D33" i="18"/>
  <c r="AN35" i="17"/>
  <c r="JN49" i="17"/>
  <c r="FB48" i="17"/>
  <c r="FD48" i="17" s="1"/>
  <c r="BG12" i="18"/>
  <c r="GG14" i="17"/>
  <c r="AR13" i="18" s="1"/>
  <c r="AS13" i="18" s="1"/>
  <c r="BM13" i="18" s="1"/>
  <c r="AF16" i="17"/>
  <c r="DF16" i="17"/>
  <c r="CB17" i="17"/>
  <c r="BG16" i="18"/>
  <c r="CT18" i="17"/>
  <c r="AC18" i="18"/>
  <c r="CK19" i="17"/>
  <c r="R20" i="17"/>
  <c r="CT20" i="17"/>
  <c r="CX21" i="17"/>
  <c r="ED21" i="17"/>
  <c r="AC21" i="18"/>
  <c r="CK22" i="17"/>
  <c r="DG22" i="17" s="1"/>
  <c r="R23" i="17"/>
  <c r="CT23" i="17"/>
  <c r="GG23" i="17"/>
  <c r="AR22" i="18" s="1"/>
  <c r="AS22" i="18" s="1"/>
  <c r="AN25" i="17"/>
  <c r="CP25" i="17"/>
  <c r="FB62" i="17"/>
  <c r="FD62" i="17" s="1"/>
  <c r="CB26" i="17"/>
  <c r="BG25" i="18"/>
  <c r="AJ27" i="17"/>
  <c r="BX26" i="18"/>
  <c r="AS28" i="17"/>
  <c r="Y27" i="18"/>
  <c r="BH27" i="18" s="1"/>
  <c r="AF29" i="17"/>
  <c r="DF29" i="17"/>
  <c r="AK29" i="18"/>
  <c r="CB31" i="17"/>
  <c r="BG30" i="18"/>
  <c r="AJ32" i="17"/>
  <c r="T32" i="18"/>
  <c r="CP33" i="17"/>
  <c r="W34" i="18"/>
  <c r="Y34" i="18" s="1"/>
  <c r="BH34" i="18" s="1"/>
  <c r="CX35" i="17"/>
  <c r="BY34" i="18"/>
  <c r="CP36" i="17"/>
  <c r="AH36" i="18"/>
  <c r="P12" i="18"/>
  <c r="CH47" i="17"/>
  <c r="CE47" i="17"/>
  <c r="CF47" i="17" s="1"/>
  <c r="CE46" i="17" s="1"/>
  <c r="CF46" i="17" s="1"/>
  <c r="CE45" i="17" s="1"/>
  <c r="CF45" i="17" s="1"/>
  <c r="CE44" i="17" s="1"/>
  <c r="CF44" i="17" s="1"/>
  <c r="CE43" i="17" s="1"/>
  <c r="CF43" i="17" s="1"/>
  <c r="Y13" i="18"/>
  <c r="BH13" i="18" s="1"/>
  <c r="HJ39" i="17"/>
  <c r="HI42" i="17" s="1"/>
  <c r="IH17" i="17"/>
  <c r="CF16" i="18" s="1"/>
  <c r="Y17" i="18"/>
  <c r="BH17" i="18" s="1"/>
  <c r="FU19" i="17"/>
  <c r="IR39" i="17"/>
  <c r="KB39" i="17"/>
  <c r="Y19" i="18"/>
  <c r="BH19" i="18" s="1"/>
  <c r="FJ21" i="17"/>
  <c r="BA20" i="18" s="1"/>
  <c r="BG20" i="18"/>
  <c r="FU22" i="17"/>
  <c r="BX21" i="18"/>
  <c r="CC22" i="18"/>
  <c r="JN51" i="17"/>
  <c r="IH26" i="17"/>
  <c r="CF25" i="18" s="1"/>
  <c r="ED28" i="17"/>
  <c r="AC28" i="18"/>
  <c r="IH31" i="17"/>
  <c r="CF30" i="18" s="1"/>
  <c r="AC33" i="18"/>
  <c r="AN34" i="17"/>
  <c r="AX33" i="18"/>
  <c r="AN36" i="17"/>
  <c r="U35" i="18"/>
  <c r="CT36" i="17"/>
  <c r="BT7" i="18"/>
  <c r="D78" i="17"/>
  <c r="IU39" i="17"/>
  <c r="KE39" i="17"/>
  <c r="AC23" i="18"/>
  <c r="GG25" i="17"/>
  <c r="AR24" i="18" s="1"/>
  <c r="AS24" i="18" s="1"/>
  <c r="AN27" i="17"/>
  <c r="BX28" i="18"/>
  <c r="Y29" i="18"/>
  <c r="BH29" i="18" s="1"/>
  <c r="AN32" i="17"/>
  <c r="CP32" i="17"/>
  <c r="FB69" i="17"/>
  <c r="FD69" i="17" s="1"/>
  <c r="CT33" i="17"/>
  <c r="H33" i="18"/>
  <c r="AF34" i="17"/>
  <c r="AF36" i="17"/>
  <c r="BG13" i="18"/>
  <c r="AF17" i="17"/>
  <c r="DF17" i="17"/>
  <c r="CB18" i="17"/>
  <c r="CP19" i="17"/>
  <c r="FB56" i="17"/>
  <c r="FD56" i="17" s="1"/>
  <c r="IX39" i="17"/>
  <c r="CB20" i="17"/>
  <c r="GG20" i="17"/>
  <c r="AR19" i="18" s="1"/>
  <c r="AS19" i="18" s="1"/>
  <c r="CP22" i="17"/>
  <c r="FB59" i="17"/>
  <c r="FD59" i="17" s="1"/>
  <c r="CB23" i="17"/>
  <c r="BG22" i="18"/>
  <c r="AJ24" i="17"/>
  <c r="BX23" i="18"/>
  <c r="AS25" i="17"/>
  <c r="CC24" i="18"/>
  <c r="JN53" i="17"/>
  <c r="AF26" i="17"/>
  <c r="DF26" i="17"/>
  <c r="DB28" i="17"/>
  <c r="IH28" i="17"/>
  <c r="CF27" i="18" s="1"/>
  <c r="CX30" i="17"/>
  <c r="ED30" i="17"/>
  <c r="CC29" i="18"/>
  <c r="JN58" i="17"/>
  <c r="AF31" i="17"/>
  <c r="GG32" i="17"/>
  <c r="AR31" i="18" s="1"/>
  <c r="AS31" i="18" s="1"/>
  <c r="CC31" i="18"/>
  <c r="JN60" i="17"/>
  <c r="BX32" i="18"/>
  <c r="BG33" i="18"/>
  <c r="AL36" i="18"/>
  <c r="AO36" i="18" s="1"/>
  <c r="FG28" i="17"/>
  <c r="EQ28" i="17"/>
  <c r="CC19" i="18"/>
  <c r="JN48" i="17"/>
  <c r="U33" i="18"/>
  <c r="CT34" i="17"/>
  <c r="BA33" i="18"/>
  <c r="FU34" i="17"/>
  <c r="D34" i="18"/>
  <c r="X35" i="17"/>
  <c r="G34" i="18" s="1"/>
  <c r="CC34" i="18"/>
  <c r="JN63" i="17"/>
  <c r="BX12" i="18"/>
  <c r="BX16" i="18"/>
  <c r="GG19" i="17"/>
  <c r="AR18" i="18" s="1"/>
  <c r="JD39" i="17"/>
  <c r="AC20" i="18"/>
  <c r="CT22" i="17"/>
  <c r="GG22" i="17"/>
  <c r="AR21" i="18" s="1"/>
  <c r="AS21" i="18" s="1"/>
  <c r="AN24" i="17"/>
  <c r="CP24" i="17"/>
  <c r="CB25" i="17"/>
  <c r="AO24" i="18"/>
  <c r="AJ26" i="17"/>
  <c r="FU26" i="17"/>
  <c r="BX25" i="18"/>
  <c r="AS27" i="17"/>
  <c r="Y26" i="18"/>
  <c r="BH26" i="18" s="1"/>
  <c r="CC26" i="18"/>
  <c r="JN55" i="17"/>
  <c r="AF28" i="17"/>
  <c r="DF28" i="17"/>
  <c r="DB30" i="17"/>
  <c r="AJ31" i="17"/>
  <c r="FU31" i="17"/>
  <c r="BX30" i="18"/>
  <c r="AS32" i="17"/>
  <c r="Y31" i="18"/>
  <c r="BH31" i="18" s="1"/>
  <c r="X32" i="18"/>
  <c r="Y32" i="18" s="1"/>
  <c r="BH32" i="18" s="1"/>
  <c r="DB33" i="17"/>
  <c r="AX34" i="18"/>
  <c r="P10" i="18"/>
  <c r="CH45" i="17"/>
  <c r="BG10" i="18"/>
  <c r="CT12" i="17"/>
  <c r="AF14" i="17"/>
  <c r="CB15" i="17"/>
  <c r="BG14" i="18"/>
  <c r="CT16" i="17"/>
  <c r="AF18" i="17"/>
  <c r="AS19" i="17"/>
  <c r="JN47" i="17"/>
  <c r="JG39" i="17"/>
  <c r="AF20" i="17"/>
  <c r="BG19" i="18"/>
  <c r="AJ21" i="17"/>
  <c r="BX20" i="18"/>
  <c r="AS22" i="17"/>
  <c r="Y21" i="18"/>
  <c r="BH21" i="18" s="1"/>
  <c r="CC21" i="18"/>
  <c r="JN50" i="17"/>
  <c r="AF23" i="17"/>
  <c r="DB25" i="17"/>
  <c r="IH25" i="17"/>
  <c r="CF24" i="18" s="1"/>
  <c r="CX27" i="17"/>
  <c r="AC27" i="18"/>
  <c r="CK28" i="17"/>
  <c r="DG28" i="17" s="1"/>
  <c r="CT29" i="17"/>
  <c r="GG29" i="17"/>
  <c r="AR28" i="18" s="1"/>
  <c r="AS28" i="18" s="1"/>
  <c r="IH30" i="17"/>
  <c r="CF29" i="18" s="1"/>
  <c r="V31" i="18"/>
  <c r="CX32" i="17"/>
  <c r="BG31" i="18"/>
  <c r="IH32" i="17"/>
  <c r="CF31" i="18" s="1"/>
  <c r="O32" i="18"/>
  <c r="CK33" i="17"/>
  <c r="DG33" i="17" s="1"/>
  <c r="CX34" i="17"/>
  <c r="O35" i="18"/>
  <c r="CK36" i="17"/>
  <c r="DG36" i="17" s="1"/>
  <c r="DF36" i="17"/>
  <c r="JJ39" i="17"/>
  <c r="AC19" i="18"/>
  <c r="IH20" i="17"/>
  <c r="KG20" i="17" s="1"/>
  <c r="AC22" i="18"/>
  <c r="AN26" i="17"/>
  <c r="BG26" i="18"/>
  <c r="BX27" i="18"/>
  <c r="FD29" i="17"/>
  <c r="CC28" i="18"/>
  <c r="JN57" i="17"/>
  <c r="AN31" i="17"/>
  <c r="AM33" i="18"/>
  <c r="IH35" i="17"/>
  <c r="CF34" i="18" s="1"/>
  <c r="K35" i="18"/>
  <c r="AS36" i="17"/>
  <c r="X36" i="18"/>
  <c r="Y36" i="18" s="1"/>
  <c r="BH36" i="18" s="1"/>
  <c r="JN46" i="17"/>
  <c r="JN56" i="17"/>
  <c r="II34" i="17"/>
  <c r="BG35" i="18"/>
  <c r="G78" i="17"/>
  <c r="FI47" i="17"/>
  <c r="FI48" i="17"/>
  <c r="AF11" i="18"/>
  <c r="FI56" i="17"/>
  <c r="FI62" i="17"/>
  <c r="FH70" i="17"/>
  <c r="AF30" i="18"/>
  <c r="FH55" i="17"/>
  <c r="AF17" i="18"/>
  <c r="FH61" i="17"/>
  <c r="JN61" i="17"/>
  <c r="AF23" i="18"/>
  <c r="FH66" i="17"/>
  <c r="AF27" i="18"/>
  <c r="FI70" i="17"/>
  <c r="FG35" i="17"/>
  <c r="FT35" i="17" s="1"/>
  <c r="FM35" i="17" s="1"/>
  <c r="EQ35" i="17"/>
  <c r="FI55" i="17"/>
  <c r="FI61" i="17"/>
  <c r="FI66" i="17"/>
  <c r="IH33" i="17"/>
  <c r="CF32" i="18" s="1"/>
  <c r="BX33" i="18"/>
  <c r="II71" i="17" s="1"/>
  <c r="BC34" i="18"/>
  <c r="AC35" i="18"/>
  <c r="AX36" i="18"/>
  <c r="FH54" i="17"/>
  <c r="FV58" i="17"/>
  <c r="EQ21" i="17" s="1"/>
  <c r="FH60" i="17"/>
  <c r="EQ31" i="17"/>
  <c r="FH69" i="17"/>
  <c r="FH74" i="17"/>
  <c r="AE33" i="18"/>
  <c r="AG33" i="18" s="1"/>
  <c r="AO34" i="18"/>
  <c r="BG34" i="18"/>
  <c r="BX35" i="18"/>
  <c r="BC36" i="18"/>
  <c r="AF7" i="18"/>
  <c r="DR79" i="17"/>
  <c r="FI54" i="17"/>
  <c r="FI60" i="17"/>
  <c r="FH65" i="17"/>
  <c r="AF26" i="18"/>
  <c r="FI69" i="17"/>
  <c r="AF31" i="18"/>
  <c r="DT79" i="17"/>
  <c r="FH59" i="17"/>
  <c r="FI65" i="17"/>
  <c r="FI71" i="17"/>
  <c r="FI75" i="17"/>
  <c r="AC32" i="18"/>
  <c r="FV46" i="17"/>
  <c r="EQ9" i="17" s="1"/>
  <c r="FA9" i="17" s="1"/>
  <c r="FV49" i="17"/>
  <c r="EQ12" i="17" s="1"/>
  <c r="FH52" i="17"/>
  <c r="FI53" i="17"/>
  <c r="EQ30" i="17"/>
  <c r="AF29" i="18"/>
  <c r="EQ33" i="17"/>
  <c r="FH75" i="17"/>
  <c r="FH71" i="17"/>
  <c r="FH72" i="17"/>
  <c r="FI73" i="17"/>
  <c r="FH73" i="17"/>
  <c r="FI74" i="17"/>
  <c r="FI52" i="17"/>
  <c r="FH58" i="17"/>
  <c r="FH64" i="17"/>
  <c r="FH68" i="17"/>
  <c r="FH51" i="17"/>
  <c r="FI58" i="17"/>
  <c r="FI64" i="17"/>
  <c r="FI68" i="17"/>
  <c r="FI72" i="17"/>
  <c r="AN33" i="17"/>
  <c r="BC33" i="18"/>
  <c r="BX34" i="18"/>
  <c r="AC36" i="18"/>
  <c r="BX36" i="18"/>
  <c r="II74" i="17" s="1"/>
  <c r="FH45" i="17"/>
  <c r="FH50" i="17"/>
  <c r="FI51" i="17"/>
  <c r="AF13" i="18"/>
  <c r="FH57" i="17"/>
  <c r="AF19" i="18"/>
  <c r="FH63" i="17"/>
  <c r="FI45" i="17"/>
  <c r="FH46" i="17"/>
  <c r="FH49" i="17"/>
  <c r="FI50" i="17"/>
  <c r="FI57" i="17"/>
  <c r="FI63" i="17"/>
  <c r="AF24" i="18"/>
  <c r="FH67" i="17"/>
  <c r="AF28" i="18"/>
  <c r="AF34" i="18"/>
  <c r="AF33" i="18"/>
  <c r="AF36" i="18"/>
  <c r="AF32" i="18"/>
  <c r="P81" i="15"/>
  <c r="L81" i="15"/>
  <c r="P82" i="15"/>
  <c r="L82" i="15"/>
  <c r="II22" i="17" l="1"/>
  <c r="EW39" i="17"/>
  <c r="FJ53" i="17"/>
  <c r="FL53" i="17" s="1"/>
  <c r="AW15" i="18" s="1"/>
  <c r="S34" i="18"/>
  <c r="EN25" i="17"/>
  <c r="EN31" i="17"/>
  <c r="FJ75" i="17"/>
  <c r="FL75" i="17" s="1"/>
  <c r="KG22" i="17"/>
  <c r="ED27" i="17"/>
  <c r="BD20" i="17"/>
  <c r="FU14" i="17"/>
  <c r="FD36" i="17"/>
  <c r="FA36" i="17"/>
  <c r="CL35" i="17"/>
  <c r="EN35" i="17"/>
  <c r="ED36" i="17"/>
  <c r="II72" i="17"/>
  <c r="II70" i="17"/>
  <c r="II60" i="17"/>
  <c r="EN34" i="17"/>
  <c r="II64" i="17"/>
  <c r="AO33" i="18"/>
  <c r="EN32" i="17"/>
  <c r="II69" i="17"/>
  <c r="CL32" i="17"/>
  <c r="II67" i="17"/>
  <c r="AZ28" i="18"/>
  <c r="AO28" i="17"/>
  <c r="FJ64" i="17"/>
  <c r="FL64" i="17" s="1"/>
  <c r="AW26" i="18" s="1"/>
  <c r="EN28" i="17"/>
  <c r="EN27" i="17"/>
  <c r="AO26" i="18"/>
  <c r="II65" i="17"/>
  <c r="BD28" i="17"/>
  <c r="II59" i="17"/>
  <c r="II54" i="17"/>
  <c r="II53" i="17"/>
  <c r="II68" i="17"/>
  <c r="II56" i="17"/>
  <c r="II61" i="17"/>
  <c r="II62" i="17"/>
  <c r="ED25" i="17"/>
  <c r="II63" i="17"/>
  <c r="EN24" i="17"/>
  <c r="KG24" i="17"/>
  <c r="II24" i="17"/>
  <c r="FU24" i="17"/>
  <c r="AV38" i="18"/>
  <c r="AO20" i="17"/>
  <c r="ED22" i="17"/>
  <c r="EN36" i="17"/>
  <c r="ED24" i="17"/>
  <c r="AO31" i="18"/>
  <c r="CL11" i="17"/>
  <c r="EN33" i="17"/>
  <c r="ED34" i="17"/>
  <c r="FJ74" i="17"/>
  <c r="FL74" i="17" s="1"/>
  <c r="AW36" i="18" s="1"/>
  <c r="AK36" i="18"/>
  <c r="ED33" i="17"/>
  <c r="FJ66" i="17"/>
  <c r="FL66" i="17" s="1"/>
  <c r="AW28" i="18" s="1"/>
  <c r="AY28" i="18" s="1"/>
  <c r="FJ58" i="17"/>
  <c r="FL58" i="17" s="1"/>
  <c r="ED19" i="17"/>
  <c r="ED35" i="17"/>
  <c r="DG27" i="17"/>
  <c r="FU25" i="17"/>
  <c r="AK18" i="18"/>
  <c r="DG24" i="17"/>
  <c r="FJ54" i="17"/>
  <c r="FL54" i="17" s="1"/>
  <c r="AW16" i="18" s="1"/>
  <c r="FM74" i="17"/>
  <c r="BB36" i="18" s="1"/>
  <c r="BD36" i="18" s="1"/>
  <c r="FT29" i="17"/>
  <c r="FM29" i="17" s="1"/>
  <c r="ED26" i="17"/>
  <c r="FK73" i="17"/>
  <c r="FM73" i="17" s="1"/>
  <c r="BB35" i="18" s="1"/>
  <c r="AK25" i="18"/>
  <c r="ED29" i="17"/>
  <c r="BS18" i="18"/>
  <c r="AL22" i="18"/>
  <c r="AO22" i="18" s="1"/>
  <c r="DG20" i="17"/>
  <c r="S19" i="18"/>
  <c r="V19" i="18" s="1"/>
  <c r="AL20" i="18"/>
  <c r="AO20" i="18" s="1"/>
  <c r="AL19" i="18"/>
  <c r="AO19" i="18" s="1"/>
  <c r="AL10" i="18"/>
  <c r="AO10" i="18" s="1"/>
  <c r="AL11" i="18"/>
  <c r="AO11" i="18" s="1"/>
  <c r="EN8" i="17"/>
  <c r="AL7" i="18"/>
  <c r="DG10" i="17"/>
  <c r="S9" i="18"/>
  <c r="AL18" i="18"/>
  <c r="AO18" i="18" s="1"/>
  <c r="AL15" i="18"/>
  <c r="AO15" i="18" s="1"/>
  <c r="CL8" i="17"/>
  <c r="S7" i="18"/>
  <c r="V7" i="18" s="1"/>
  <c r="DG18" i="17"/>
  <c r="S17" i="18"/>
  <c r="V17" i="18" s="1"/>
  <c r="AL13" i="18"/>
  <c r="AO13" i="18" s="1"/>
  <c r="AL17" i="18"/>
  <c r="AO17" i="18" s="1"/>
  <c r="DG19" i="17"/>
  <c r="S18" i="18"/>
  <c r="V18" i="18" s="1"/>
  <c r="AL8" i="18"/>
  <c r="AO8" i="18" s="1"/>
  <c r="DG16" i="17"/>
  <c r="S15" i="18"/>
  <c r="V15" i="18" s="1"/>
  <c r="DG17" i="17"/>
  <c r="S16" i="18"/>
  <c r="V16" i="18" s="1"/>
  <c r="AL16" i="18"/>
  <c r="AO16" i="18" s="1"/>
  <c r="DG9" i="17"/>
  <c r="S8" i="18"/>
  <c r="V8" i="18" s="1"/>
  <c r="BQ11" i="18"/>
  <c r="BS11" i="18" s="1"/>
  <c r="BS16" i="18"/>
  <c r="BQ15" i="18"/>
  <c r="BS15" i="18" s="1"/>
  <c r="BQ14" i="18"/>
  <c r="BS14" i="18" s="1"/>
  <c r="BQ12" i="18"/>
  <c r="BS12" i="18" s="1"/>
  <c r="BQ10" i="18"/>
  <c r="BS10" i="18" s="1"/>
  <c r="BQ9" i="18"/>
  <c r="BS9" i="18" s="1"/>
  <c r="BQ13" i="18"/>
  <c r="BS13" i="18" s="1"/>
  <c r="BQ8" i="18"/>
  <c r="BS8" i="18" s="1"/>
  <c r="AK14" i="18"/>
  <c r="ED9" i="17"/>
  <c r="ED17" i="17"/>
  <c r="ED16" i="17"/>
  <c r="S29" i="18"/>
  <c r="V29" i="18" s="1"/>
  <c r="BS23" i="18"/>
  <c r="BS21" i="18"/>
  <c r="BS36" i="18"/>
  <c r="ED18" i="17"/>
  <c r="ED32" i="17"/>
  <c r="BD19" i="17"/>
  <c r="BS32" i="18"/>
  <c r="BS24" i="18"/>
  <c r="EN18" i="17"/>
  <c r="EN26" i="17"/>
  <c r="ED15" i="17"/>
  <c r="AK16" i="18"/>
  <c r="CL17" i="17"/>
  <c r="CL21" i="17"/>
  <c r="EN15" i="17"/>
  <c r="AO14" i="18"/>
  <c r="V34" i="18"/>
  <c r="DG21" i="17"/>
  <c r="FT36" i="17"/>
  <c r="FM36" i="17" s="1"/>
  <c r="AZ35" i="18"/>
  <c r="J21" i="18"/>
  <c r="N21" i="18" s="1"/>
  <c r="ED20" i="17"/>
  <c r="EN21" i="17"/>
  <c r="CL30" i="17"/>
  <c r="AO12" i="18"/>
  <c r="EN14" i="17"/>
  <c r="DG15" i="17"/>
  <c r="V30" i="18"/>
  <c r="CL15" i="17"/>
  <c r="EN17" i="17"/>
  <c r="ED31" i="17"/>
  <c r="ED23" i="17"/>
  <c r="AK30" i="18"/>
  <c r="EN20" i="17"/>
  <c r="FU11" i="17"/>
  <c r="FT11" i="17"/>
  <c r="FM11" i="17" s="1"/>
  <c r="EN9" i="17"/>
  <c r="FT8" i="17"/>
  <c r="FM8" i="17" s="1"/>
  <c r="EN10" i="17"/>
  <c r="FU8" i="17"/>
  <c r="EN13" i="17"/>
  <c r="ED13" i="17"/>
  <c r="FD11" i="17"/>
  <c r="EN11" i="17"/>
  <c r="EN12" i="17"/>
  <c r="ED12" i="17"/>
  <c r="ED11" i="17"/>
  <c r="II49" i="17"/>
  <c r="BD12" i="17"/>
  <c r="J11" i="18"/>
  <c r="N11" i="18" s="1"/>
  <c r="EN30" i="17"/>
  <c r="CL24" i="17"/>
  <c r="CL27" i="17"/>
  <c r="EN23" i="17"/>
  <c r="EN16" i="17"/>
  <c r="II51" i="17"/>
  <c r="FT24" i="17"/>
  <c r="FM24" i="17" s="1"/>
  <c r="KG12" i="17"/>
  <c r="CL31" i="17"/>
  <c r="EN19" i="17"/>
  <c r="FK67" i="17"/>
  <c r="FM67" i="17" s="1"/>
  <c r="BB29" i="18" s="1"/>
  <c r="BD29" i="18" s="1"/>
  <c r="EN29" i="17"/>
  <c r="FM63" i="17"/>
  <c r="BB25" i="18" s="1"/>
  <c r="BD25" i="18" s="1"/>
  <c r="FJ71" i="17"/>
  <c r="FL71" i="17" s="1"/>
  <c r="AW33" i="18" s="1"/>
  <c r="FT25" i="17"/>
  <c r="FM25" i="17" s="1"/>
  <c r="FU9" i="17"/>
  <c r="FT9" i="17"/>
  <c r="FM9" i="17" s="1"/>
  <c r="FT10" i="17"/>
  <c r="FM10" i="17" s="1"/>
  <c r="II47" i="17"/>
  <c r="ED10" i="17"/>
  <c r="EC39" i="17"/>
  <c r="AJ38" i="18"/>
  <c r="KG33" i="17"/>
  <c r="BC38" i="18"/>
  <c r="F38" i="18"/>
  <c r="EG39" i="17"/>
  <c r="II12" i="17"/>
  <c r="AX38" i="18"/>
  <c r="P38" i="18"/>
  <c r="AN38" i="18"/>
  <c r="EQ27" i="17"/>
  <c r="FA27" i="17" s="1"/>
  <c r="EQ34" i="17"/>
  <c r="FD34" i="17" s="1"/>
  <c r="EQ17" i="17"/>
  <c r="FU10" i="17"/>
  <c r="EQ26" i="17"/>
  <c r="AT25" i="18" s="1"/>
  <c r="EQ23" i="17"/>
  <c r="EQ22" i="17"/>
  <c r="AT21" i="18" s="1"/>
  <c r="EQ32" i="17"/>
  <c r="EQ19" i="17"/>
  <c r="AT18" i="18" s="1"/>
  <c r="EQ16" i="17"/>
  <c r="AT15" i="18" s="1"/>
  <c r="EQ13" i="17"/>
  <c r="AT12" i="18" s="1"/>
  <c r="EQ15" i="17"/>
  <c r="AT14" i="18" s="1"/>
  <c r="EQ20" i="17"/>
  <c r="FD20" i="17" s="1"/>
  <c r="AT10" i="18"/>
  <c r="EQ10" i="17"/>
  <c r="BX39" i="17"/>
  <c r="K38" i="18"/>
  <c r="I38" i="18"/>
  <c r="O38" i="18"/>
  <c r="AE38" i="18"/>
  <c r="C58" i="18" s="1"/>
  <c r="AS17" i="18"/>
  <c r="BA38" i="18"/>
  <c r="AQ38" i="18"/>
  <c r="AD38" i="18"/>
  <c r="C57" i="18" s="1"/>
  <c r="AM38" i="18"/>
  <c r="X38" i="18"/>
  <c r="W38" i="18"/>
  <c r="C55" i="18"/>
  <c r="II10" i="17"/>
  <c r="E38" i="18"/>
  <c r="D38" i="18"/>
  <c r="BT38" i="18"/>
  <c r="C61" i="18" s="1"/>
  <c r="AH38" i="18"/>
  <c r="AU38" i="18"/>
  <c r="AA38" i="18"/>
  <c r="C53" i="18" s="1"/>
  <c r="B38" i="18"/>
  <c r="C42" i="18" s="1"/>
  <c r="AF38" i="18"/>
  <c r="C59" i="18" s="1"/>
  <c r="H38" i="18"/>
  <c r="KG10" i="17"/>
  <c r="U38" i="18"/>
  <c r="AC38" i="18"/>
  <c r="C56" i="18" s="1"/>
  <c r="FD8" i="17"/>
  <c r="FL67" i="17"/>
  <c r="AW29" i="18" s="1"/>
  <c r="FJ63" i="17"/>
  <c r="FL63" i="17" s="1"/>
  <c r="FJ70" i="17"/>
  <c r="FL70" i="17" s="1"/>
  <c r="AW32" i="18" s="1"/>
  <c r="FJ55" i="17"/>
  <c r="FL55" i="17" s="1"/>
  <c r="FU18" i="17"/>
  <c r="FM66" i="17"/>
  <c r="BB28" i="18" s="1"/>
  <c r="FM54" i="17"/>
  <c r="BB16" i="18" s="1"/>
  <c r="BD16" i="18" s="1"/>
  <c r="FT14" i="17"/>
  <c r="FM14" i="17" s="1"/>
  <c r="KG9" i="17"/>
  <c r="DG8" i="17"/>
  <c r="FD18" i="17"/>
  <c r="FT18" i="17"/>
  <c r="FM18" i="17" s="1"/>
  <c r="FA18" i="17"/>
  <c r="AT24" i="18"/>
  <c r="FD25" i="17"/>
  <c r="FA25" i="17"/>
  <c r="FG39" i="17"/>
  <c r="AT7" i="18"/>
  <c r="FA8" i="17"/>
  <c r="FA29" i="17"/>
  <c r="JN43" i="17"/>
  <c r="CC38" i="18"/>
  <c r="BX46" i="18" s="1"/>
  <c r="II50" i="17"/>
  <c r="II46" i="17"/>
  <c r="HP39" i="17"/>
  <c r="HI47" i="17" s="1"/>
  <c r="BZ38" i="18"/>
  <c r="BX43" i="18" s="1"/>
  <c r="AS9" i="18"/>
  <c r="FM71" i="17"/>
  <c r="BB33" i="18" s="1"/>
  <c r="BD33" i="18" s="1"/>
  <c r="FJ51" i="17"/>
  <c r="FL51" i="17" s="1"/>
  <c r="FJ68" i="17"/>
  <c r="FL68" i="17" s="1"/>
  <c r="AW30" i="18" s="1"/>
  <c r="FM58" i="17"/>
  <c r="BB20" i="18" s="1"/>
  <c r="BD20" i="18" s="1"/>
  <c r="FJ61" i="17"/>
  <c r="FL61" i="17" s="1"/>
  <c r="AW23" i="18" s="1"/>
  <c r="AY23" i="18" s="1"/>
  <c r="FM51" i="17"/>
  <c r="BB13" i="18" s="1"/>
  <c r="BD13" i="18" s="1"/>
  <c r="FJ39" i="17"/>
  <c r="FK72" i="17"/>
  <c r="FM72" i="17" s="1"/>
  <c r="FM64" i="17"/>
  <c r="BB26" i="18" s="1"/>
  <c r="BD26" i="18" s="1"/>
  <c r="FM61" i="17"/>
  <c r="BB23" i="18" s="1"/>
  <c r="BD23" i="18" s="1"/>
  <c r="II27" i="17"/>
  <c r="KG16" i="17"/>
  <c r="II28" i="17"/>
  <c r="II9" i="17"/>
  <c r="KG13" i="17"/>
  <c r="KG27" i="17"/>
  <c r="II13" i="17"/>
  <c r="KG26" i="17"/>
  <c r="II14" i="17"/>
  <c r="KG23" i="17"/>
  <c r="AO21" i="17"/>
  <c r="N28" i="18"/>
  <c r="BD16" i="17"/>
  <c r="BD17" i="17"/>
  <c r="J16" i="18"/>
  <c r="N16" i="18" s="1"/>
  <c r="BD29" i="17"/>
  <c r="AO16" i="17"/>
  <c r="AO29" i="17"/>
  <c r="AO14" i="17"/>
  <c r="BD22" i="17"/>
  <c r="J18" i="18"/>
  <c r="N18" i="18" s="1"/>
  <c r="AS39" i="17"/>
  <c r="BD21" i="17"/>
  <c r="BD10" i="17"/>
  <c r="AO10" i="17"/>
  <c r="BD14" i="17"/>
  <c r="N19" i="18"/>
  <c r="AK9" i="17"/>
  <c r="DH9" i="17" s="1"/>
  <c r="AK20" i="17"/>
  <c r="DH20" i="17" s="1"/>
  <c r="CD38" i="18"/>
  <c r="BX47" i="18" s="1"/>
  <c r="IB39" i="17"/>
  <c r="HI48" i="17" s="1"/>
  <c r="AS10" i="18"/>
  <c r="BM10" i="18" s="1"/>
  <c r="AS8" i="18"/>
  <c r="BM8" i="18" s="1"/>
  <c r="AS18" i="18"/>
  <c r="FM55" i="17"/>
  <c r="BB17" i="18" s="1"/>
  <c r="BD17" i="18" s="1"/>
  <c r="FL73" i="17"/>
  <c r="FJ60" i="17"/>
  <c r="FL60" i="17" s="1"/>
  <c r="FM70" i="17"/>
  <c r="BB32" i="18" s="1"/>
  <c r="BD32" i="18" s="1"/>
  <c r="FL72" i="17"/>
  <c r="AW34" i="18" s="1"/>
  <c r="FM60" i="17"/>
  <c r="BB22" i="18" s="1"/>
  <c r="BD22" i="18" s="1"/>
  <c r="FM75" i="17"/>
  <c r="II25" i="17"/>
  <c r="II33" i="17"/>
  <c r="KG32" i="17"/>
  <c r="II17" i="17"/>
  <c r="KG14" i="17"/>
  <c r="II23" i="17"/>
  <c r="CF10" i="18"/>
  <c r="II48" i="17" s="1"/>
  <c r="II11" i="17"/>
  <c r="V25" i="18"/>
  <c r="V14" i="18"/>
  <c r="V10" i="18"/>
  <c r="DG11" i="17"/>
  <c r="CL20" i="17"/>
  <c r="CL18" i="17"/>
  <c r="S22" i="18"/>
  <c r="V22" i="18" s="1"/>
  <c r="CL23" i="17"/>
  <c r="CL26" i="17"/>
  <c r="DG26" i="17"/>
  <c r="DG31" i="17"/>
  <c r="V11" i="18"/>
  <c r="CL12" i="17"/>
  <c r="DG12" i="17"/>
  <c r="BD18" i="17"/>
  <c r="AO18" i="17"/>
  <c r="N17" i="18"/>
  <c r="AO23" i="17"/>
  <c r="BD23" i="17"/>
  <c r="N9" i="18"/>
  <c r="N20" i="18"/>
  <c r="N27" i="18"/>
  <c r="N22" i="18"/>
  <c r="AJ39" i="17"/>
  <c r="AF39" i="17"/>
  <c r="AK36" i="17"/>
  <c r="DH36" i="17" s="1"/>
  <c r="AK28" i="17"/>
  <c r="DH28" i="17" s="1"/>
  <c r="AK12" i="17"/>
  <c r="DH12" i="17" s="1"/>
  <c r="AK33" i="17"/>
  <c r="DH33" i="17" s="1"/>
  <c r="AK25" i="17"/>
  <c r="DH25" i="17" s="1"/>
  <c r="AK10" i="17"/>
  <c r="DH10" i="17" s="1"/>
  <c r="AK23" i="17"/>
  <c r="DH23" i="17" s="1"/>
  <c r="AK22" i="17"/>
  <c r="DH22" i="17" s="1"/>
  <c r="G7" i="18"/>
  <c r="AK30" i="17"/>
  <c r="DH30" i="17" s="1"/>
  <c r="AK21" i="17"/>
  <c r="DH21" i="17" s="1"/>
  <c r="AK34" i="17"/>
  <c r="DH34" i="17" s="1"/>
  <c r="AK19" i="17"/>
  <c r="DH19" i="17" s="1"/>
  <c r="AK15" i="17"/>
  <c r="DH15" i="17" s="1"/>
  <c r="AK32" i="17"/>
  <c r="DH32" i="17" s="1"/>
  <c r="AK17" i="17"/>
  <c r="DH17" i="17" s="1"/>
  <c r="AK31" i="17"/>
  <c r="DH31" i="17" s="1"/>
  <c r="N13" i="18"/>
  <c r="AK35" i="17"/>
  <c r="DH35" i="17" s="1"/>
  <c r="AK11" i="17"/>
  <c r="DH11" i="17" s="1"/>
  <c r="AK24" i="17"/>
  <c r="DH24" i="17" s="1"/>
  <c r="AK18" i="17"/>
  <c r="DH18" i="17" s="1"/>
  <c r="X39" i="17"/>
  <c r="AK26" i="17"/>
  <c r="DH26" i="17" s="1"/>
  <c r="AK29" i="17"/>
  <c r="DH29" i="17" s="1"/>
  <c r="BO28" i="18"/>
  <c r="BO25" i="18"/>
  <c r="BO19" i="18"/>
  <c r="BO24" i="18"/>
  <c r="BO11" i="18"/>
  <c r="BO21" i="18"/>
  <c r="FK62" i="17"/>
  <c r="FM62" i="17" s="1"/>
  <c r="BB24" i="18" s="1"/>
  <c r="BD24" i="18" s="1"/>
  <c r="FJ62" i="17"/>
  <c r="FL62" i="17" s="1"/>
  <c r="FK47" i="17"/>
  <c r="FM47" i="17" s="1"/>
  <c r="BB9" i="18" s="1"/>
  <c r="BD9" i="18" s="1"/>
  <c r="FJ47" i="17"/>
  <c r="FL47" i="17" s="1"/>
  <c r="J30" i="18"/>
  <c r="N30" i="18" s="1"/>
  <c r="BD31" i="17"/>
  <c r="AO31" i="17"/>
  <c r="AT27" i="18"/>
  <c r="FD28" i="17"/>
  <c r="FA28" i="17"/>
  <c r="J34" i="18"/>
  <c r="N34" i="18" s="1"/>
  <c r="AO35" i="17"/>
  <c r="BD35" i="17"/>
  <c r="CF17" i="18"/>
  <c r="II55" i="17" s="1"/>
  <c r="KG18" i="17"/>
  <c r="FK46" i="17"/>
  <c r="FM46" i="17" s="1"/>
  <c r="BB8" i="18" s="1"/>
  <c r="BD8" i="18" s="1"/>
  <c r="FJ46" i="17"/>
  <c r="FL46" i="17" s="1"/>
  <c r="R39" i="17"/>
  <c r="KG31" i="17"/>
  <c r="BS19" i="18"/>
  <c r="S33" i="18"/>
  <c r="V33" i="18" s="1"/>
  <c r="CL34" i="17"/>
  <c r="FK49" i="17"/>
  <c r="FM49" i="17" s="1"/>
  <c r="BB11" i="18" s="1"/>
  <c r="BD11" i="18" s="1"/>
  <c r="FJ49" i="17"/>
  <c r="FL49" i="17" s="1"/>
  <c r="II75" i="17"/>
  <c r="BO34" i="18"/>
  <c r="BO26" i="18"/>
  <c r="KG17" i="17"/>
  <c r="J12" i="18"/>
  <c r="N12" i="18" s="1"/>
  <c r="BD13" i="17"/>
  <c r="AO13" i="17"/>
  <c r="J8" i="18"/>
  <c r="N8" i="18" s="1"/>
  <c r="AO9" i="17"/>
  <c r="BD9" i="17"/>
  <c r="S32" i="18"/>
  <c r="V32" i="18" s="1"/>
  <c r="CL33" i="17"/>
  <c r="J32" i="18"/>
  <c r="N32" i="18" s="1"/>
  <c r="BD33" i="17"/>
  <c r="AO33" i="17"/>
  <c r="AT29" i="18"/>
  <c r="FD30" i="17"/>
  <c r="S27" i="18"/>
  <c r="V27" i="18" s="1"/>
  <c r="CL28" i="17"/>
  <c r="KG35" i="17"/>
  <c r="FT28" i="17"/>
  <c r="FM28" i="17" s="1"/>
  <c r="BO35" i="18"/>
  <c r="J35" i="18"/>
  <c r="N35" i="18" s="1"/>
  <c r="BD36" i="17"/>
  <c r="AO36" i="17"/>
  <c r="BS35" i="18"/>
  <c r="BO14" i="18"/>
  <c r="FM53" i="17"/>
  <c r="BB15" i="18" s="1"/>
  <c r="BD15" i="18" s="1"/>
  <c r="BO15" i="18"/>
  <c r="II35" i="17"/>
  <c r="BS30" i="18"/>
  <c r="CL19" i="17"/>
  <c r="BO13" i="18"/>
  <c r="Y7" i="18"/>
  <c r="CA38" i="18"/>
  <c r="BX44" i="18" s="1"/>
  <c r="ET39" i="17"/>
  <c r="G26" i="18"/>
  <c r="AK27" i="17"/>
  <c r="DH27" i="17" s="1"/>
  <c r="CL9" i="17"/>
  <c r="FA30" i="17"/>
  <c r="DF39" i="17"/>
  <c r="BS34" i="18"/>
  <c r="J23" i="18"/>
  <c r="N23" i="18" s="1"/>
  <c r="AO24" i="17"/>
  <c r="BD24" i="17"/>
  <c r="FK59" i="17"/>
  <c r="FM59" i="17" s="1"/>
  <c r="BB21" i="18" s="1"/>
  <c r="BD21" i="18" s="1"/>
  <c r="FJ59" i="17"/>
  <c r="FL59" i="17" s="1"/>
  <c r="S24" i="18"/>
  <c r="V24" i="18" s="1"/>
  <c r="CL25" i="17"/>
  <c r="II45" i="17"/>
  <c r="FM68" i="17"/>
  <c r="BB30" i="18" s="1"/>
  <c r="BD30" i="18" s="1"/>
  <c r="AT30" i="18"/>
  <c r="FD31" i="17"/>
  <c r="FA31" i="17"/>
  <c r="BS31" i="18"/>
  <c r="FK69" i="17"/>
  <c r="FM69" i="17" s="1"/>
  <c r="BB31" i="18" s="1"/>
  <c r="BD31" i="18" s="1"/>
  <c r="FJ69" i="17"/>
  <c r="FL69" i="17" s="1"/>
  <c r="J33" i="18"/>
  <c r="N33" i="18" s="1"/>
  <c r="AO34" i="17"/>
  <c r="BD34" i="17"/>
  <c r="BX14" i="18"/>
  <c r="KG15" i="17"/>
  <c r="II15" i="17"/>
  <c r="AR7" i="18"/>
  <c r="AR38" i="18" s="1"/>
  <c r="GG41" i="17"/>
  <c r="AK14" i="17"/>
  <c r="DH14" i="17" s="1"/>
  <c r="AK16" i="17"/>
  <c r="DH16" i="17" s="1"/>
  <c r="CK39" i="17"/>
  <c r="J25" i="18"/>
  <c r="N25" i="18" s="1"/>
  <c r="BD26" i="17"/>
  <c r="AO26" i="17"/>
  <c r="BO32" i="18"/>
  <c r="CF35" i="18"/>
  <c r="II73" i="17" s="1"/>
  <c r="II36" i="17"/>
  <c r="BO31" i="18"/>
  <c r="AT11" i="18"/>
  <c r="FA12" i="17"/>
  <c r="FD12" i="17"/>
  <c r="BO29" i="18"/>
  <c r="BS28" i="18"/>
  <c r="BO22" i="18"/>
  <c r="FB45" i="17"/>
  <c r="FD45" i="17" s="1"/>
  <c r="BY38" i="18"/>
  <c r="BX42" i="18" s="1"/>
  <c r="CL10" i="17"/>
  <c r="N15" i="18"/>
  <c r="AT32" i="18"/>
  <c r="FD33" i="17"/>
  <c r="FA33" i="17"/>
  <c r="DB39" i="17"/>
  <c r="AT36" i="18"/>
  <c r="FK48" i="17"/>
  <c r="FM48" i="17" s="1"/>
  <c r="BB10" i="18" s="1"/>
  <c r="BD10" i="18" s="1"/>
  <c r="FJ48" i="17"/>
  <c r="FL48" i="17" s="1"/>
  <c r="BO20" i="18"/>
  <c r="BO12" i="18"/>
  <c r="KG19" i="17"/>
  <c r="KG30" i="17"/>
  <c r="BS25" i="18"/>
  <c r="S21" i="18"/>
  <c r="V21" i="18" s="1"/>
  <c r="CL22" i="17"/>
  <c r="FK57" i="17"/>
  <c r="FM57" i="17" s="1"/>
  <c r="BB19" i="18" s="1"/>
  <c r="BD19" i="18" s="1"/>
  <c r="FJ57" i="17"/>
  <c r="FL57" i="17" s="1"/>
  <c r="IH39" i="17"/>
  <c r="HI50" i="17" s="1"/>
  <c r="CF20" i="18"/>
  <c r="II58" i="17" s="1"/>
  <c r="KG21" i="17"/>
  <c r="J14" i="18"/>
  <c r="N14" i="18" s="1"/>
  <c r="BD15" i="17"/>
  <c r="AO15" i="17"/>
  <c r="CT39" i="17"/>
  <c r="S28" i="18"/>
  <c r="V28" i="18" s="1"/>
  <c r="CL29" i="17"/>
  <c r="FK50" i="17"/>
  <c r="FM50" i="17" s="1"/>
  <c r="BB12" i="18" s="1"/>
  <c r="BD12" i="18" s="1"/>
  <c r="FJ50" i="17"/>
  <c r="FL50" i="17" s="1"/>
  <c r="BO33" i="18"/>
  <c r="II30" i="17"/>
  <c r="BO16" i="18"/>
  <c r="J24" i="18"/>
  <c r="N24" i="18" s="1"/>
  <c r="BD25" i="17"/>
  <c r="AO25" i="17"/>
  <c r="AT34" i="18"/>
  <c r="FD35" i="17"/>
  <c r="J31" i="18"/>
  <c r="N31" i="18" s="1"/>
  <c r="AO32" i="17"/>
  <c r="BD32" i="17"/>
  <c r="AT20" i="18"/>
  <c r="FD21" i="17"/>
  <c r="AZ34" i="18"/>
  <c r="FU35" i="17"/>
  <c r="CF19" i="18"/>
  <c r="II57" i="17" s="1"/>
  <c r="II20" i="17"/>
  <c r="S35" i="18"/>
  <c r="V35" i="18" s="1"/>
  <c r="CL36" i="17"/>
  <c r="J36" i="18"/>
  <c r="N36" i="18" s="1"/>
  <c r="CF28" i="18"/>
  <c r="II66" i="17" s="1"/>
  <c r="KG29" i="17"/>
  <c r="II29" i="17"/>
  <c r="CL16" i="17"/>
  <c r="II31" i="17"/>
  <c r="FA21" i="17"/>
  <c r="CE42" i="17"/>
  <c r="CF42" i="17" s="1"/>
  <c r="II18" i="17"/>
  <c r="GA41" i="17"/>
  <c r="AZ27" i="18"/>
  <c r="FU28" i="17"/>
  <c r="J7" i="18"/>
  <c r="AN39" i="17"/>
  <c r="BD8" i="17"/>
  <c r="AO8" i="17"/>
  <c r="FK52" i="17"/>
  <c r="FM52" i="17" s="1"/>
  <c r="BB14" i="18" s="1"/>
  <c r="BD14" i="18" s="1"/>
  <c r="FJ52" i="17"/>
  <c r="FL52" i="17" s="1"/>
  <c r="S36" i="18"/>
  <c r="BO23" i="18"/>
  <c r="T36" i="18"/>
  <c r="T38" i="18" s="1"/>
  <c r="CP39" i="17"/>
  <c r="FT21" i="17"/>
  <c r="FM21" i="17" s="1"/>
  <c r="V12" i="18"/>
  <c r="CL13" i="17"/>
  <c r="DG13" i="17"/>
  <c r="CO39" i="17"/>
  <c r="BS20" i="18"/>
  <c r="J26" i="18"/>
  <c r="AO27" i="17"/>
  <c r="BD27" i="17"/>
  <c r="AT8" i="18"/>
  <c r="FD9" i="17"/>
  <c r="BS26" i="18"/>
  <c r="BO30" i="18"/>
  <c r="BS22" i="18"/>
  <c r="FK56" i="17"/>
  <c r="FM56" i="17" s="1"/>
  <c r="BB18" i="18" s="1"/>
  <c r="BD18" i="18" s="1"/>
  <c r="FJ56" i="17"/>
  <c r="FL56" i="17" s="1"/>
  <c r="FK65" i="17"/>
  <c r="FM65" i="17" s="1"/>
  <c r="BB27" i="18" s="1"/>
  <c r="FJ65" i="17"/>
  <c r="FL65" i="17" s="1"/>
  <c r="KG36" i="17"/>
  <c r="FA35" i="17"/>
  <c r="BS33" i="18"/>
  <c r="DG29" i="17"/>
  <c r="KG25" i="17"/>
  <c r="II32" i="17"/>
  <c r="II16" i="17"/>
  <c r="BG7" i="18"/>
  <c r="II26" i="17"/>
  <c r="CX39" i="17"/>
  <c r="II19" i="17"/>
  <c r="AK7" i="18"/>
  <c r="J29" i="18"/>
  <c r="N29" i="18" s="1"/>
  <c r="BD30" i="17"/>
  <c r="AO30" i="17"/>
  <c r="J10" i="18"/>
  <c r="N10" i="18" s="1"/>
  <c r="BD11" i="17"/>
  <c r="AO11" i="17"/>
  <c r="KG28" i="17"/>
  <c r="AK13" i="17"/>
  <c r="DH13" i="17" s="1"/>
  <c r="G39" i="17"/>
  <c r="V13" i="18"/>
  <c r="FU21" i="17"/>
  <c r="H82" i="15"/>
  <c r="H81" i="15"/>
  <c r="H82" i="13"/>
  <c r="H81" i="13"/>
  <c r="L81" i="13"/>
  <c r="D82" i="15"/>
  <c r="D81" i="15"/>
  <c r="FP38" i="15"/>
  <c r="DT78" i="15"/>
  <c r="DR78" i="15"/>
  <c r="J77" i="15"/>
  <c r="J76" i="15"/>
  <c r="BD28" i="18" l="1"/>
  <c r="FN67" i="17"/>
  <c r="BX38" i="18"/>
  <c r="BX41" i="18" s="1"/>
  <c r="II52" i="17"/>
  <c r="II76" i="17" s="1"/>
  <c r="FN74" i="17"/>
  <c r="FA34" i="17"/>
  <c r="AL38" i="18"/>
  <c r="FA26" i="17"/>
  <c r="FA20" i="17"/>
  <c r="Y38" i="18"/>
  <c r="BH7" i="18"/>
  <c r="BO17" i="18"/>
  <c r="BO18" i="18"/>
  <c r="BM9" i="18"/>
  <c r="BO9" i="18" s="1"/>
  <c r="BQ7" i="18"/>
  <c r="BS7" i="18" s="1"/>
  <c r="AO7" i="18"/>
  <c r="AO38" i="18" s="1"/>
  <c r="C48" i="18" s="1"/>
  <c r="FD26" i="17"/>
  <c r="BD35" i="18"/>
  <c r="FD13" i="17"/>
  <c r="BO10" i="18"/>
  <c r="ED39" i="17"/>
  <c r="EN39" i="17"/>
  <c r="FA15" i="17"/>
  <c r="FD27" i="17"/>
  <c r="AT26" i="18"/>
  <c r="AY26" i="18" s="1"/>
  <c r="AZ38" i="18"/>
  <c r="EQ39" i="17"/>
  <c r="FD15" i="17"/>
  <c r="FA13" i="17"/>
  <c r="BG38" i="18"/>
  <c r="FN73" i="17"/>
  <c r="G38" i="18"/>
  <c r="BO8" i="18"/>
  <c r="AT33" i="18"/>
  <c r="AY33" i="18" s="1"/>
  <c r="GU34" i="17" s="1"/>
  <c r="AT19" i="18"/>
  <c r="FD32" i="17"/>
  <c r="FA32" i="17"/>
  <c r="AY15" i="18"/>
  <c r="GU16" i="17" s="1"/>
  <c r="FA16" i="17"/>
  <c r="AT31" i="18"/>
  <c r="FD17" i="17"/>
  <c r="FA17" i="17"/>
  <c r="FD16" i="17"/>
  <c r="FA22" i="17"/>
  <c r="FD22" i="17"/>
  <c r="AT16" i="18"/>
  <c r="AY16" i="18" s="1"/>
  <c r="GU17" i="17" s="1"/>
  <c r="FA23" i="17"/>
  <c r="FD23" i="17"/>
  <c r="AT22" i="18"/>
  <c r="FA19" i="17"/>
  <c r="FD19" i="17"/>
  <c r="FA10" i="17"/>
  <c r="FD10" i="17"/>
  <c r="AT9" i="18"/>
  <c r="AG38" i="18"/>
  <c r="C60" i="18" s="1"/>
  <c r="S38" i="18"/>
  <c r="J38" i="18"/>
  <c r="AK38" i="18"/>
  <c r="C47" i="18" s="1"/>
  <c r="AW35" i="18"/>
  <c r="AY35" i="18" s="1"/>
  <c r="FN75" i="17"/>
  <c r="HI52" i="17"/>
  <c r="BB34" i="18"/>
  <c r="BD34" i="18" s="1"/>
  <c r="FN72" i="17"/>
  <c r="FN70" i="17"/>
  <c r="FN71" i="17"/>
  <c r="FU39" i="17"/>
  <c r="FN54" i="17"/>
  <c r="CF38" i="18"/>
  <c r="BX49" i="18" s="1"/>
  <c r="BX51" i="18" s="1"/>
  <c r="N7" i="18"/>
  <c r="AS7" i="18"/>
  <c r="BM7" i="18" s="1"/>
  <c r="KG39" i="17"/>
  <c r="FM39" i="17"/>
  <c r="AY32" i="18"/>
  <c r="GU33" i="17" s="1"/>
  <c r="FN64" i="17"/>
  <c r="FN61" i="17"/>
  <c r="FN66" i="17"/>
  <c r="GU24" i="17"/>
  <c r="AY36" i="18"/>
  <c r="AY30" i="18"/>
  <c r="GU31" i="17" s="1"/>
  <c r="GU29" i="17"/>
  <c r="II39" i="17"/>
  <c r="DG39" i="17"/>
  <c r="V9" i="18"/>
  <c r="BD39" i="17"/>
  <c r="N26" i="18"/>
  <c r="DH39" i="17"/>
  <c r="AW21" i="18"/>
  <c r="AY21" i="18" s="1"/>
  <c r="GU22" i="17" s="1"/>
  <c r="FN59" i="17"/>
  <c r="AW8" i="18"/>
  <c r="AY8" i="18" s="1"/>
  <c r="H1" i="18" s="1"/>
  <c r="FN46" i="17"/>
  <c r="AW27" i="18"/>
  <c r="AY27" i="18" s="1"/>
  <c r="FN65" i="17"/>
  <c r="AW31" i="18"/>
  <c r="FN69" i="17"/>
  <c r="FK45" i="17"/>
  <c r="FM45" i="17" s="1"/>
  <c r="BB7" i="18" s="1"/>
  <c r="FJ45" i="17"/>
  <c r="FL45" i="17" s="1"/>
  <c r="AW25" i="18"/>
  <c r="AY25" i="18" s="1"/>
  <c r="GU26" i="17" s="1"/>
  <c r="FN63" i="17"/>
  <c r="AW11" i="18"/>
  <c r="AY11" i="18" s="1"/>
  <c r="GU12" i="17" s="1"/>
  <c r="FN49" i="17"/>
  <c r="AK39" i="17"/>
  <c r="AW18" i="18"/>
  <c r="AY18" i="18" s="1"/>
  <c r="GU19" i="17" s="1"/>
  <c r="FN56" i="17"/>
  <c r="FN68" i="17"/>
  <c r="AW20" i="18"/>
  <c r="AY20" i="18" s="1"/>
  <c r="GU21" i="17" s="1"/>
  <c r="FN58" i="17"/>
  <c r="AW22" i="18"/>
  <c r="FN60" i="17"/>
  <c r="AO39" i="17"/>
  <c r="FN53" i="17"/>
  <c r="AW13" i="18"/>
  <c r="AY13" i="18" s="1"/>
  <c r="GU14" i="17" s="1"/>
  <c r="FN51" i="17"/>
  <c r="AW19" i="18"/>
  <c r="FN57" i="17"/>
  <c r="CL39" i="17"/>
  <c r="AW10" i="18"/>
  <c r="AY10" i="18" s="1"/>
  <c r="GU11" i="17" s="1"/>
  <c r="FN48" i="17"/>
  <c r="AW17" i="18"/>
  <c r="AY17" i="18" s="1"/>
  <c r="GU18" i="17" s="1"/>
  <c r="FN55" i="17"/>
  <c r="AW9" i="18"/>
  <c r="FN47" i="17"/>
  <c r="AW12" i="18"/>
  <c r="AY12" i="18" s="1"/>
  <c r="GU13" i="17" s="1"/>
  <c r="FN50" i="17"/>
  <c r="BD27" i="18"/>
  <c r="AW14" i="18"/>
  <c r="AY14" i="18" s="1"/>
  <c r="GU15" i="17" s="1"/>
  <c r="FN52" i="17"/>
  <c r="V36" i="18"/>
  <c r="AY34" i="18"/>
  <c r="AY29" i="18"/>
  <c r="GU30" i="17" s="1"/>
  <c r="FN62" i="17"/>
  <c r="AW24" i="18"/>
  <c r="AY24" i="18" s="1"/>
  <c r="GU25" i="17" s="1"/>
  <c r="CM36" i="15"/>
  <c r="BQ38" i="18" l="1"/>
  <c r="GU36" i="17"/>
  <c r="AY9" i="18"/>
  <c r="BB38" i="18"/>
  <c r="BM38" i="18"/>
  <c r="AY19" i="18"/>
  <c r="GU20" i="17" s="1"/>
  <c r="AY22" i="18"/>
  <c r="GU23" i="17" s="1"/>
  <c r="FD39" i="17"/>
  <c r="AT38" i="18"/>
  <c r="AY31" i="18"/>
  <c r="GU32" i="17" s="1"/>
  <c r="V38" i="18"/>
  <c r="BH38" i="18"/>
  <c r="AS38" i="18"/>
  <c r="C51" i="18" s="1"/>
  <c r="N38" i="18"/>
  <c r="C44" i="18" s="1"/>
  <c r="GU9" i="17"/>
  <c r="GU27" i="17"/>
  <c r="GU28" i="17"/>
  <c r="GU35" i="17"/>
  <c r="GU10" i="17"/>
  <c r="BO7" i="18"/>
  <c r="CI43" i="18"/>
  <c r="C52" i="18"/>
  <c r="C46" i="18"/>
  <c r="CI41" i="18"/>
  <c r="AW7" i="18"/>
  <c r="AW38" i="18" s="1"/>
  <c r="FN45" i="17"/>
  <c r="BD7" i="18"/>
  <c r="ER34" i="15"/>
  <c r="CI45" i="18" l="1"/>
  <c r="C45" i="18"/>
  <c r="BO38" i="18"/>
  <c r="CI46" i="18" s="1"/>
  <c r="BS38" i="18"/>
  <c r="CI47" i="18" s="1"/>
  <c r="BD38" i="18"/>
  <c r="C50" i="18" s="1"/>
  <c r="CI42" i="18"/>
  <c r="CI44" i="18" s="1"/>
  <c r="AY7" i="18"/>
  <c r="AY38" i="18" s="1"/>
  <c r="FU69" i="15"/>
  <c r="CI48" i="18" l="1"/>
  <c r="C49" i="18"/>
  <c r="C63" i="18" s="1"/>
  <c r="GU8" i="17"/>
  <c r="GU39" i="17" s="1"/>
  <c r="FU67" i="15"/>
  <c r="GH30" i="15" l="1"/>
  <c r="GM30" i="15"/>
  <c r="FU66" i="15" l="1"/>
  <c r="GA30" i="15"/>
  <c r="GA31" i="15"/>
  <c r="GA32" i="15"/>
  <c r="GA33" i="15"/>
  <c r="GA34" i="15"/>
  <c r="GA35" i="15"/>
  <c r="GA36" i="15"/>
  <c r="GA37" i="15"/>
  <c r="GA38" i="15"/>
  <c r="GA29" i="15"/>
  <c r="FU65" i="15" l="1"/>
  <c r="GA28" i="15" l="1"/>
  <c r="FU64" i="15" l="1"/>
  <c r="GM27" i="15"/>
  <c r="GA27" i="15"/>
  <c r="FU63" i="15" l="1"/>
  <c r="GM26" i="15"/>
  <c r="GA26" i="15"/>
  <c r="FU62" i="15" l="1"/>
  <c r="GA25" i="15"/>
  <c r="FU60" i="15" l="1"/>
  <c r="GA24" i="15"/>
  <c r="FP24" i="15"/>
  <c r="GA23" i="15"/>
  <c r="FU59" i="15" l="1"/>
  <c r="GA22" i="15"/>
  <c r="FU58" i="15"/>
  <c r="GA21" i="15"/>
  <c r="FH20" i="15" l="1"/>
  <c r="FE20" i="15"/>
  <c r="EU20" i="15"/>
  <c r="FU57" i="15"/>
  <c r="GA20" i="15"/>
  <c r="FU56" i="15" l="1"/>
  <c r="FU55" i="15" l="1"/>
  <c r="GB18" i="15"/>
  <c r="FY18" i="15"/>
  <c r="GA19" i="15" s="1"/>
  <c r="GA18" i="15" l="1"/>
  <c r="FU53" i="15"/>
  <c r="IA15" i="15"/>
  <c r="HZ15" i="15"/>
  <c r="HX15" i="15"/>
  <c r="HW15" i="15"/>
  <c r="HU15" i="15"/>
  <c r="HT15" i="15"/>
  <c r="HR15" i="15"/>
  <c r="HQ15" i="15"/>
  <c r="HO15" i="15"/>
  <c r="HN15" i="15"/>
  <c r="HI15" i="15" l="1"/>
  <c r="GA17" i="15" l="1"/>
  <c r="GA16" i="15"/>
  <c r="EM17" i="15"/>
  <c r="HH15" i="15" l="1"/>
  <c r="FU52" i="15"/>
  <c r="GA15" i="15"/>
  <c r="FU51" i="15" l="1"/>
  <c r="GA14" i="15"/>
  <c r="FU50" i="15" l="1"/>
  <c r="GA13" i="15"/>
  <c r="FU49" i="15" l="1"/>
  <c r="GA12" i="15"/>
  <c r="FU48" i="15" l="1"/>
  <c r="FY11" i="15"/>
  <c r="HN9" i="15" l="1"/>
  <c r="FU46" i="15"/>
  <c r="FU45" i="15" l="1"/>
  <c r="FW45" i="15" s="1"/>
  <c r="FG8" i="15" s="1"/>
  <c r="HP8" i="15"/>
  <c r="BZ7" i="16" s="1"/>
  <c r="GJ9" i="15"/>
  <c r="GJ10" i="15"/>
  <c r="GJ11" i="15"/>
  <c r="GJ12" i="15"/>
  <c r="GJ13" i="15"/>
  <c r="AX12" i="16" s="1"/>
  <c r="GJ14" i="15"/>
  <c r="AX13" i="16" s="1"/>
  <c r="GJ15" i="15"/>
  <c r="AX14" i="16" s="1"/>
  <c r="GJ16" i="15"/>
  <c r="AX15" i="16" s="1"/>
  <c r="GJ17" i="15"/>
  <c r="AX16" i="16" s="1"/>
  <c r="GJ18" i="15"/>
  <c r="AX17" i="16" s="1"/>
  <c r="GJ19" i="15"/>
  <c r="GJ20" i="15"/>
  <c r="AX19" i="16" s="1"/>
  <c r="GJ21" i="15"/>
  <c r="GJ22" i="15"/>
  <c r="AX21" i="16" s="1"/>
  <c r="GJ23" i="15"/>
  <c r="GJ24" i="15"/>
  <c r="GJ25" i="15"/>
  <c r="AX24" i="16" s="1"/>
  <c r="GJ26" i="15"/>
  <c r="AX25" i="16" s="1"/>
  <c r="GJ27" i="15"/>
  <c r="AX26" i="16" s="1"/>
  <c r="GJ28" i="15"/>
  <c r="AX27" i="16" s="1"/>
  <c r="GJ29" i="15"/>
  <c r="AX28" i="16" s="1"/>
  <c r="GJ30" i="15"/>
  <c r="AX29" i="16" s="1"/>
  <c r="GJ31" i="15"/>
  <c r="GJ32" i="15"/>
  <c r="GJ33" i="15"/>
  <c r="GJ34" i="15"/>
  <c r="GJ35" i="15"/>
  <c r="GJ36" i="15"/>
  <c r="GJ37" i="15"/>
  <c r="GJ38" i="15"/>
  <c r="GJ8" i="15"/>
  <c r="AX7" i="16" s="1"/>
  <c r="EG32" i="15"/>
  <c r="EG33" i="15"/>
  <c r="EG34" i="15"/>
  <c r="EG35" i="15"/>
  <c r="EG36" i="15"/>
  <c r="EG37" i="15"/>
  <c r="EG38" i="15"/>
  <c r="EC32" i="15"/>
  <c r="EC33" i="15"/>
  <c r="AJ32" i="16" s="1"/>
  <c r="EC34" i="15"/>
  <c r="EC35" i="15"/>
  <c r="EC36" i="15"/>
  <c r="EC37" i="15"/>
  <c r="EC38" i="15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CE7" i="16"/>
  <c r="H83" i="15"/>
  <c r="D83" i="15"/>
  <c r="DT77" i="15"/>
  <c r="DR77" i="15"/>
  <c r="G77" i="15"/>
  <c r="D77" i="15"/>
  <c r="DT76" i="15"/>
  <c r="DR76" i="15"/>
  <c r="G76" i="15"/>
  <c r="D76" i="15"/>
  <c r="IK75" i="15"/>
  <c r="FU75" i="15"/>
  <c r="FW75" i="15" s="1"/>
  <c r="FG38" i="15" s="1"/>
  <c r="DT75" i="15"/>
  <c r="DR75" i="15"/>
  <c r="J75" i="15"/>
  <c r="G75" i="15"/>
  <c r="D75" i="15"/>
  <c r="IK74" i="15"/>
  <c r="FU74" i="15"/>
  <c r="FW74" i="15" s="1"/>
  <c r="FG37" i="15" s="1"/>
  <c r="AZ36" i="16" s="1"/>
  <c r="DT74" i="15"/>
  <c r="DR74" i="15"/>
  <c r="J74" i="15"/>
  <c r="G74" i="15"/>
  <c r="D74" i="15"/>
  <c r="IK73" i="15"/>
  <c r="FU73" i="15"/>
  <c r="FW73" i="15" s="1"/>
  <c r="FG36" i="15" s="1"/>
  <c r="DT73" i="15"/>
  <c r="DR73" i="15"/>
  <c r="J73" i="15"/>
  <c r="G73" i="15"/>
  <c r="D73" i="15"/>
  <c r="IK72" i="15"/>
  <c r="FU72" i="15"/>
  <c r="DT72" i="15"/>
  <c r="DR72" i="15"/>
  <c r="J72" i="15"/>
  <c r="G72" i="15"/>
  <c r="D72" i="15"/>
  <c r="IK71" i="15"/>
  <c r="FU71" i="15"/>
  <c r="FW71" i="15" s="1"/>
  <c r="FG34" i="15" s="1"/>
  <c r="AZ33" i="16" s="1"/>
  <c r="DT71" i="15"/>
  <c r="DR71" i="15"/>
  <c r="J71" i="15"/>
  <c r="G71" i="15"/>
  <c r="D71" i="15"/>
  <c r="IK70" i="15"/>
  <c r="FU70" i="15"/>
  <c r="FW70" i="15" s="1"/>
  <c r="FG33" i="15" s="1"/>
  <c r="DT70" i="15"/>
  <c r="DR70" i="15"/>
  <c r="J70" i="15"/>
  <c r="G70" i="15"/>
  <c r="D70" i="15"/>
  <c r="IK69" i="15"/>
  <c r="FW69" i="15"/>
  <c r="DT69" i="15"/>
  <c r="DR69" i="15"/>
  <c r="J69" i="15"/>
  <c r="G69" i="15"/>
  <c r="D69" i="15"/>
  <c r="IK68" i="15"/>
  <c r="FU68" i="15"/>
  <c r="DT68" i="15"/>
  <c r="DR68" i="15"/>
  <c r="J68" i="15"/>
  <c r="G68" i="15"/>
  <c r="D68" i="15"/>
  <c r="IK67" i="15"/>
  <c r="FW67" i="15"/>
  <c r="FG30" i="15" s="1"/>
  <c r="DT67" i="15"/>
  <c r="DR67" i="15"/>
  <c r="J67" i="15"/>
  <c r="G67" i="15"/>
  <c r="D67" i="15"/>
  <c r="IK66" i="15"/>
  <c r="FW66" i="15"/>
  <c r="FG29" i="15" s="1"/>
  <c r="AZ28" i="16" s="1"/>
  <c r="DT66" i="15"/>
  <c r="DR66" i="15"/>
  <c r="J66" i="15"/>
  <c r="G66" i="15"/>
  <c r="D66" i="15"/>
  <c r="IK65" i="15"/>
  <c r="FW65" i="15"/>
  <c r="FG28" i="15" s="1"/>
  <c r="AZ27" i="16" s="1"/>
  <c r="DT65" i="15"/>
  <c r="DR65" i="15"/>
  <c r="J65" i="15"/>
  <c r="G65" i="15"/>
  <c r="D65" i="15"/>
  <c r="IK64" i="15"/>
  <c r="DT64" i="15"/>
  <c r="DR64" i="15"/>
  <c r="J64" i="15"/>
  <c r="G64" i="15"/>
  <c r="D64" i="15"/>
  <c r="IK63" i="15"/>
  <c r="FW63" i="15"/>
  <c r="FG26" i="15" s="1"/>
  <c r="AZ25" i="16" s="1"/>
  <c r="DT63" i="15"/>
  <c r="DR63" i="15"/>
  <c r="J63" i="15"/>
  <c r="G63" i="15"/>
  <c r="D63" i="15"/>
  <c r="IK62" i="15"/>
  <c r="FW62" i="15"/>
  <c r="FG25" i="15" s="1"/>
  <c r="DT62" i="15"/>
  <c r="DR62" i="15"/>
  <c r="J62" i="15"/>
  <c r="G62" i="15"/>
  <c r="D62" i="15"/>
  <c r="IK61" i="15"/>
  <c r="FU61" i="15"/>
  <c r="DT61" i="15"/>
  <c r="DR61" i="15"/>
  <c r="J61" i="15"/>
  <c r="G61" i="15"/>
  <c r="D61" i="15"/>
  <c r="IK60" i="15"/>
  <c r="FW60" i="15"/>
  <c r="FG23" i="15" s="1"/>
  <c r="DT60" i="15"/>
  <c r="DR60" i="15"/>
  <c r="J60" i="15"/>
  <c r="G60" i="15"/>
  <c r="D60" i="15"/>
  <c r="IK59" i="15"/>
  <c r="DT59" i="15"/>
  <c r="DR59" i="15"/>
  <c r="J59" i="15"/>
  <c r="G59" i="15"/>
  <c r="D59" i="15"/>
  <c r="IK58" i="15"/>
  <c r="FW58" i="15"/>
  <c r="FG21" i="15" s="1"/>
  <c r="AZ20" i="16" s="1"/>
  <c r="DT58" i="15"/>
  <c r="DR58" i="15"/>
  <c r="J58" i="15"/>
  <c r="G58" i="15"/>
  <c r="D58" i="15"/>
  <c r="IK57" i="15"/>
  <c r="FW57" i="15"/>
  <c r="FG20" i="15" s="1"/>
  <c r="AZ19" i="16" s="1"/>
  <c r="DT57" i="15"/>
  <c r="DR57" i="15"/>
  <c r="J57" i="15"/>
  <c r="G57" i="15"/>
  <c r="D57" i="15"/>
  <c r="IK56" i="15"/>
  <c r="FW56" i="15"/>
  <c r="FG19" i="15" s="1"/>
  <c r="AZ18" i="16" s="1"/>
  <c r="DT56" i="15"/>
  <c r="DR56" i="15"/>
  <c r="J56" i="15"/>
  <c r="G56" i="15"/>
  <c r="D56" i="15"/>
  <c r="IK55" i="15"/>
  <c r="FW55" i="15"/>
  <c r="FG18" i="15" s="1"/>
  <c r="DT55" i="15"/>
  <c r="DR55" i="15"/>
  <c r="J55" i="15"/>
  <c r="G55" i="15"/>
  <c r="D55" i="15"/>
  <c r="IK54" i="15"/>
  <c r="FU54" i="15"/>
  <c r="FV54" i="15" s="1"/>
  <c r="EQ17" i="15" s="1"/>
  <c r="AT16" i="16" s="1"/>
  <c r="DT54" i="15"/>
  <c r="DR54" i="15"/>
  <c r="J54" i="15"/>
  <c r="G54" i="15"/>
  <c r="D54" i="15"/>
  <c r="IK53" i="15"/>
  <c r="FW53" i="15"/>
  <c r="FG16" i="15" s="1"/>
  <c r="AZ15" i="16" s="1"/>
  <c r="DT53" i="15"/>
  <c r="DR53" i="15"/>
  <c r="J53" i="15"/>
  <c r="G53" i="15"/>
  <c r="D53" i="15"/>
  <c r="IK52" i="15"/>
  <c r="FW52" i="15"/>
  <c r="FG15" i="15" s="1"/>
  <c r="AZ14" i="16" s="1"/>
  <c r="FV52" i="15"/>
  <c r="EQ15" i="15" s="1"/>
  <c r="AT14" i="16" s="1"/>
  <c r="DT52" i="15"/>
  <c r="DR52" i="15"/>
  <c r="J52" i="15"/>
  <c r="G52" i="15"/>
  <c r="D52" i="15"/>
  <c r="IK51" i="15"/>
  <c r="FW51" i="15"/>
  <c r="FG14" i="15" s="1"/>
  <c r="AZ13" i="16" s="1"/>
  <c r="DT51" i="15"/>
  <c r="DR51" i="15"/>
  <c r="J51" i="15"/>
  <c r="G51" i="15"/>
  <c r="D51" i="15"/>
  <c r="IK50" i="15"/>
  <c r="FW50" i="15"/>
  <c r="FG13" i="15" s="1"/>
  <c r="AZ12" i="16" s="1"/>
  <c r="DT50" i="15"/>
  <c r="DR50" i="15"/>
  <c r="J50" i="15"/>
  <c r="G50" i="15"/>
  <c r="D50" i="15"/>
  <c r="IK49" i="15"/>
  <c r="FW49" i="15"/>
  <c r="DT49" i="15"/>
  <c r="DR49" i="15"/>
  <c r="J49" i="15"/>
  <c r="G49" i="15"/>
  <c r="D49" i="15"/>
  <c r="IK48" i="15"/>
  <c r="FW48" i="15"/>
  <c r="FG11" i="15" s="1"/>
  <c r="AZ10" i="16" s="1"/>
  <c r="EX48" i="15"/>
  <c r="DT48" i="15"/>
  <c r="DR48" i="15"/>
  <c r="J48" i="15"/>
  <c r="G48" i="15"/>
  <c r="D48" i="15"/>
  <c r="IK47" i="15"/>
  <c r="FU47" i="15"/>
  <c r="FW47" i="15" s="1"/>
  <c r="J47" i="15"/>
  <c r="G47" i="15"/>
  <c r="D47" i="15"/>
  <c r="IK46" i="15"/>
  <c r="J46" i="15"/>
  <c r="G46" i="15"/>
  <c r="D46" i="15"/>
  <c r="IK45" i="15"/>
  <c r="FC45" i="15"/>
  <c r="FI53" i="15" s="1"/>
  <c r="EE40" i="15"/>
  <c r="U40" i="15"/>
  <c r="V40" i="15" s="1"/>
  <c r="HC39" i="15"/>
  <c r="GV39" i="15"/>
  <c r="FL39" i="15"/>
  <c r="DO39" i="15"/>
  <c r="DN39" i="15"/>
  <c r="DM39" i="15"/>
  <c r="J39" i="15"/>
  <c r="KE38" i="15"/>
  <c r="KB38" i="15"/>
  <c r="JY38" i="15"/>
  <c r="JV38" i="15"/>
  <c r="JS38" i="15"/>
  <c r="JP38" i="15"/>
  <c r="JM38" i="15"/>
  <c r="JJ38" i="15"/>
  <c r="JG38" i="15"/>
  <c r="JD38" i="15"/>
  <c r="JA38" i="15"/>
  <c r="IX38" i="15"/>
  <c r="IU38" i="15"/>
  <c r="IR38" i="15"/>
  <c r="IO38" i="15"/>
  <c r="IL38" i="15"/>
  <c r="IE38" i="15"/>
  <c r="IB38" i="15"/>
  <c r="CD37" i="16" s="1"/>
  <c r="HY38" i="15"/>
  <c r="CB37" i="16" s="1"/>
  <c r="HV38" i="15"/>
  <c r="CA37" i="16" s="1"/>
  <c r="HS38" i="15"/>
  <c r="BZ37" i="16" s="1"/>
  <c r="HP38" i="15"/>
  <c r="CC37" i="16" s="1"/>
  <c r="HM38" i="15"/>
  <c r="BY37" i="16" s="1"/>
  <c r="HJ38" i="15"/>
  <c r="BX37" i="16" s="1"/>
  <c r="GW38" i="15"/>
  <c r="GS38" i="15"/>
  <c r="BF37" i="16" s="1"/>
  <c r="GP38" i="15"/>
  <c r="BE37" i="16" s="1"/>
  <c r="GM38" i="15"/>
  <c r="GD38" i="15"/>
  <c r="AQ37" i="16"/>
  <c r="FX38" i="15"/>
  <c r="AP37" i="16" s="1"/>
  <c r="FS38" i="15"/>
  <c r="FJ38" i="15"/>
  <c r="BA37" i="16" s="1"/>
  <c r="FC38" i="15"/>
  <c r="EZ38" i="15"/>
  <c r="EZ75" i="15" s="1"/>
  <c r="EW38" i="15"/>
  <c r="AV37" i="16" s="1"/>
  <c r="ET38" i="15"/>
  <c r="AU37" i="16" s="1"/>
  <c r="EM38" i="15"/>
  <c r="AN37" i="16" s="1"/>
  <c r="EJ38" i="15"/>
  <c r="AM37" i="16" s="1"/>
  <c r="DZ38" i="15"/>
  <c r="AI37" i="16" s="1"/>
  <c r="DW38" i="15"/>
  <c r="AH37" i="16" s="1"/>
  <c r="DT38" i="15"/>
  <c r="DR38" i="15"/>
  <c r="AD37" i="16" s="1"/>
  <c r="DE38" i="15"/>
  <c r="DA38" i="15"/>
  <c r="X37" i="16" s="1"/>
  <c r="CW38" i="15"/>
  <c r="W37" i="16" s="1"/>
  <c r="CS38" i="15"/>
  <c r="U37" i="16" s="1"/>
  <c r="CO38" i="15"/>
  <c r="T37" i="16" s="1"/>
  <c r="CH38" i="15"/>
  <c r="R37" i="16" s="1"/>
  <c r="CF38" i="15"/>
  <c r="Q37" i="16" s="1"/>
  <c r="CD38" i="15"/>
  <c r="P37" i="16" s="1"/>
  <c r="CA38" i="15"/>
  <c r="O37" i="16" s="1"/>
  <c r="BW38" i="15"/>
  <c r="BX38" i="15" s="1"/>
  <c r="BT38" i="15"/>
  <c r="BR38" i="15"/>
  <c r="BP38" i="15"/>
  <c r="BN38" i="15"/>
  <c r="BL38" i="15"/>
  <c r="BJ38" i="15"/>
  <c r="AB37" i="16" s="1"/>
  <c r="BG38" i="15"/>
  <c r="AA37" i="16" s="1"/>
  <c r="BC38" i="15"/>
  <c r="M37" i="16" s="1"/>
  <c r="AZ38" i="15"/>
  <c r="L37" i="16" s="1"/>
  <c r="AR38" i="15"/>
  <c r="K37" i="16" s="1"/>
  <c r="AI38" i="15"/>
  <c r="I37" i="16" s="1"/>
  <c r="AE38" i="15"/>
  <c r="H37" i="16" s="1"/>
  <c r="AB38" i="15"/>
  <c r="F37" i="16" s="1"/>
  <c r="V38" i="15"/>
  <c r="E37" i="16" s="1"/>
  <c r="T38" i="15"/>
  <c r="D37" i="16" s="1"/>
  <c r="Q38" i="15"/>
  <c r="R38" i="15" s="1"/>
  <c r="N38" i="15"/>
  <c r="C37" i="16" s="1"/>
  <c r="K38" i="15"/>
  <c r="F38" i="15"/>
  <c r="D38" i="15"/>
  <c r="C38" i="15"/>
  <c r="KE37" i="15"/>
  <c r="KB37" i="15"/>
  <c r="JY37" i="15"/>
  <c r="JV37" i="15"/>
  <c r="JS37" i="15"/>
  <c r="JP37" i="15"/>
  <c r="JM37" i="15"/>
  <c r="JJ37" i="15"/>
  <c r="JG37" i="15"/>
  <c r="JD37" i="15"/>
  <c r="JA37" i="15"/>
  <c r="IX37" i="15"/>
  <c r="IU37" i="15"/>
  <c r="IR37" i="15"/>
  <c r="IO37" i="15"/>
  <c r="IL37" i="15"/>
  <c r="IE37" i="15"/>
  <c r="CE36" i="16" s="1"/>
  <c r="IB37" i="15"/>
  <c r="CD36" i="16" s="1"/>
  <c r="HY37" i="15"/>
  <c r="CC36" i="16" s="1"/>
  <c r="HV37" i="15"/>
  <c r="CB36" i="16" s="1"/>
  <c r="HS37" i="15"/>
  <c r="CA36" i="16" s="1"/>
  <c r="HP37" i="15"/>
  <c r="BZ36" i="16" s="1"/>
  <c r="HM37" i="15"/>
  <c r="BY36" i="16" s="1"/>
  <c r="HJ37" i="15"/>
  <c r="BX36" i="16" s="1"/>
  <c r="GW37" i="15"/>
  <c r="GS37" i="15"/>
  <c r="BF36" i="16" s="1"/>
  <c r="GP37" i="15"/>
  <c r="BE36" i="16" s="1"/>
  <c r="GM37" i="15"/>
  <c r="GD37" i="15"/>
  <c r="AQ36" i="16"/>
  <c r="FX37" i="15"/>
  <c r="AP36" i="16" s="1"/>
  <c r="FS37" i="15"/>
  <c r="FP37" i="15"/>
  <c r="FA74" i="15" s="1"/>
  <c r="FJ37" i="15"/>
  <c r="BA36" i="16" s="1"/>
  <c r="FC37" i="15"/>
  <c r="EZ37" i="15"/>
  <c r="EZ74" i="15" s="1"/>
  <c r="EW37" i="15"/>
  <c r="AV36" i="16" s="1"/>
  <c r="ET37" i="15"/>
  <c r="AU36" i="16" s="1"/>
  <c r="EM37" i="15"/>
  <c r="AN36" i="16" s="1"/>
  <c r="EJ37" i="15"/>
  <c r="AM36" i="16" s="1"/>
  <c r="DZ37" i="15"/>
  <c r="AI36" i="16" s="1"/>
  <c r="DW37" i="15"/>
  <c r="DT37" i="15"/>
  <c r="DR37" i="15"/>
  <c r="AD36" i="16" s="1"/>
  <c r="DE37" i="15"/>
  <c r="DF37" i="15" s="1"/>
  <c r="DA37" i="15"/>
  <c r="CW37" i="15"/>
  <c r="W36" i="16" s="1"/>
  <c r="CS37" i="15"/>
  <c r="CO37" i="15"/>
  <c r="T36" i="16" s="1"/>
  <c r="CH37" i="15"/>
  <c r="R36" i="16" s="1"/>
  <c r="CF37" i="15"/>
  <c r="Q36" i="16" s="1"/>
  <c r="CD37" i="15"/>
  <c r="P36" i="16" s="1"/>
  <c r="CA37" i="15"/>
  <c r="O36" i="16" s="1"/>
  <c r="BW37" i="15"/>
  <c r="BX37" i="15" s="1"/>
  <c r="BT37" i="15"/>
  <c r="BR37" i="15"/>
  <c r="Z36" i="16" s="1"/>
  <c r="BP37" i="15"/>
  <c r="BN37" i="15"/>
  <c r="BL37" i="15"/>
  <c r="BJ37" i="15"/>
  <c r="AB36" i="16" s="1"/>
  <c r="BG37" i="15"/>
  <c r="AA36" i="16" s="1"/>
  <c r="BC37" i="15"/>
  <c r="M36" i="16" s="1"/>
  <c r="AZ37" i="15"/>
  <c r="L36" i="16" s="1"/>
  <c r="AR37" i="15"/>
  <c r="K36" i="16" s="1"/>
  <c r="AI37" i="15"/>
  <c r="I36" i="16" s="1"/>
  <c r="AE37" i="15"/>
  <c r="H36" i="16" s="1"/>
  <c r="AB37" i="15"/>
  <c r="F36" i="16" s="1"/>
  <c r="V37" i="15"/>
  <c r="E36" i="16" s="1"/>
  <c r="T37" i="15"/>
  <c r="D36" i="16" s="1"/>
  <c r="Q37" i="15"/>
  <c r="N37" i="15"/>
  <c r="C36" i="16" s="1"/>
  <c r="K37" i="15"/>
  <c r="F37" i="15"/>
  <c r="D37" i="15"/>
  <c r="C37" i="15"/>
  <c r="KE36" i="15"/>
  <c r="KB36" i="15"/>
  <c r="JY36" i="15"/>
  <c r="JV36" i="15"/>
  <c r="JS36" i="15"/>
  <c r="JP36" i="15"/>
  <c r="JM36" i="15"/>
  <c r="JJ36" i="15"/>
  <c r="JG36" i="15"/>
  <c r="JD36" i="15"/>
  <c r="JA36" i="15"/>
  <c r="IX36" i="15"/>
  <c r="IU36" i="15"/>
  <c r="IR36" i="15"/>
  <c r="IO36" i="15"/>
  <c r="IL36" i="15"/>
  <c r="IE36" i="15"/>
  <c r="CE35" i="16" s="1"/>
  <c r="IB36" i="15"/>
  <c r="CD35" i="16" s="1"/>
  <c r="HY36" i="15"/>
  <c r="CC35" i="16" s="1"/>
  <c r="HV36" i="15"/>
  <c r="CB35" i="16" s="1"/>
  <c r="HS36" i="15"/>
  <c r="CA35" i="16" s="1"/>
  <c r="HP36" i="15"/>
  <c r="BZ35" i="16" s="1"/>
  <c r="HM36" i="15"/>
  <c r="BY35" i="16" s="1"/>
  <c r="HJ36" i="15"/>
  <c r="BX35" i="16" s="1"/>
  <c r="GW36" i="15"/>
  <c r="GS36" i="15"/>
  <c r="GP36" i="15"/>
  <c r="BE35" i="16" s="1"/>
  <c r="GM36" i="15"/>
  <c r="GD36" i="15"/>
  <c r="FX36" i="15"/>
  <c r="AP35" i="16" s="1"/>
  <c r="FS36" i="15"/>
  <c r="FP36" i="15"/>
  <c r="FA73" i="15" s="1"/>
  <c r="FJ36" i="15"/>
  <c r="BA35" i="16" s="1"/>
  <c r="FC36" i="15"/>
  <c r="EZ36" i="15"/>
  <c r="EZ73" i="15" s="1"/>
  <c r="EW36" i="15"/>
  <c r="AV35" i="16" s="1"/>
  <c r="ET36" i="15"/>
  <c r="AU35" i="16" s="1"/>
  <c r="EM36" i="15"/>
  <c r="AN35" i="16" s="1"/>
  <c r="EJ36" i="15"/>
  <c r="AM35" i="16" s="1"/>
  <c r="DZ36" i="15"/>
  <c r="AI35" i="16" s="1"/>
  <c r="DW36" i="15"/>
  <c r="AH35" i="16" s="1"/>
  <c r="DT36" i="15"/>
  <c r="DR36" i="15"/>
  <c r="AD35" i="16" s="1"/>
  <c r="DE36" i="15"/>
  <c r="DA36" i="15"/>
  <c r="X35" i="16" s="1"/>
  <c r="CW36" i="15"/>
  <c r="W35" i="16" s="1"/>
  <c r="CS36" i="15"/>
  <c r="U35" i="16" s="1"/>
  <c r="CO36" i="15"/>
  <c r="T35" i="16" s="1"/>
  <c r="CH36" i="15"/>
  <c r="R35" i="16" s="1"/>
  <c r="CF36" i="15"/>
  <c r="Q35" i="16" s="1"/>
  <c r="CD36" i="15"/>
  <c r="P35" i="16" s="1"/>
  <c r="CA36" i="15"/>
  <c r="BW36" i="15"/>
  <c r="BX36" i="15" s="1"/>
  <c r="BT36" i="15"/>
  <c r="BR36" i="15"/>
  <c r="Z35" i="16" s="1"/>
  <c r="BP36" i="15"/>
  <c r="BN36" i="15"/>
  <c r="BL36" i="15"/>
  <c r="BJ36" i="15"/>
  <c r="AB35" i="16" s="1"/>
  <c r="BG36" i="15"/>
  <c r="AA35" i="16" s="1"/>
  <c r="BC36" i="15"/>
  <c r="M35" i="16" s="1"/>
  <c r="AZ36" i="15"/>
  <c r="L35" i="16" s="1"/>
  <c r="AR36" i="15"/>
  <c r="K35" i="16" s="1"/>
  <c r="AI36" i="15"/>
  <c r="I35" i="16" s="1"/>
  <c r="AE36" i="15"/>
  <c r="H35" i="16" s="1"/>
  <c r="AB36" i="15"/>
  <c r="F35" i="16" s="1"/>
  <c r="V36" i="15"/>
  <c r="T36" i="15"/>
  <c r="D35" i="16" s="1"/>
  <c r="Q36" i="15"/>
  <c r="R36" i="15" s="1"/>
  <c r="N36" i="15"/>
  <c r="C35" i="16" s="1"/>
  <c r="K36" i="15"/>
  <c r="F36" i="15"/>
  <c r="D36" i="15"/>
  <c r="C36" i="15"/>
  <c r="A36" i="15"/>
  <c r="KE35" i="15"/>
  <c r="KB35" i="15"/>
  <c r="JY35" i="15"/>
  <c r="JV35" i="15"/>
  <c r="JS35" i="15"/>
  <c r="JP35" i="15"/>
  <c r="JM35" i="15"/>
  <c r="JJ35" i="15"/>
  <c r="JG35" i="15"/>
  <c r="JD35" i="15"/>
  <c r="JA35" i="15"/>
  <c r="IX35" i="15"/>
  <c r="IU35" i="15"/>
  <c r="IR35" i="15"/>
  <c r="IO35" i="15"/>
  <c r="IL35" i="15"/>
  <c r="IE35" i="15"/>
  <c r="CE34" i="16" s="1"/>
  <c r="IB35" i="15"/>
  <c r="CD34" i="16" s="1"/>
  <c r="HY35" i="15"/>
  <c r="CC34" i="16" s="1"/>
  <c r="HV35" i="15"/>
  <c r="CB34" i="16" s="1"/>
  <c r="HS35" i="15"/>
  <c r="CA34" i="16" s="1"/>
  <c r="HP35" i="15"/>
  <c r="BZ34" i="16" s="1"/>
  <c r="HM35" i="15"/>
  <c r="BY34" i="16" s="1"/>
  <c r="HJ35" i="15"/>
  <c r="BX34" i="16" s="1"/>
  <c r="HE35" i="15"/>
  <c r="GW35" i="15"/>
  <c r="GS35" i="15"/>
  <c r="BF34" i="16" s="1"/>
  <c r="GP35" i="15"/>
  <c r="BE34" i="16" s="1"/>
  <c r="GM35" i="15"/>
  <c r="GD35" i="15"/>
  <c r="AQ34" i="16"/>
  <c r="FX35" i="15"/>
  <c r="AP34" i="16" s="1"/>
  <c r="FS35" i="15"/>
  <c r="FP35" i="15"/>
  <c r="FA72" i="15" s="1"/>
  <c r="FJ35" i="15"/>
  <c r="BA34" i="16" s="1"/>
  <c r="FC35" i="15"/>
  <c r="EZ35" i="15"/>
  <c r="EZ72" i="15" s="1"/>
  <c r="EW35" i="15"/>
  <c r="AV34" i="16" s="1"/>
  <c r="ET35" i="15"/>
  <c r="AU34" i="16" s="1"/>
  <c r="EM35" i="15"/>
  <c r="AN34" i="16" s="1"/>
  <c r="EJ35" i="15"/>
  <c r="AM34" i="16" s="1"/>
  <c r="DZ35" i="15"/>
  <c r="AI34" i="16" s="1"/>
  <c r="DW35" i="15"/>
  <c r="DT35" i="15"/>
  <c r="DR35" i="15"/>
  <c r="AD34" i="16" s="1"/>
  <c r="DE35" i="15"/>
  <c r="DF35" i="15" s="1"/>
  <c r="CH35" i="15"/>
  <c r="R34" i="16" s="1"/>
  <c r="BP35" i="15"/>
  <c r="BJ35" i="15"/>
  <c r="AB34" i="16" s="1"/>
  <c r="BG35" i="15"/>
  <c r="AA34" i="16" s="1"/>
  <c r="V35" i="15"/>
  <c r="E34" i="16" s="1"/>
  <c r="T35" i="15"/>
  <c r="D34" i="16" s="1"/>
  <c r="K35" i="15"/>
  <c r="F35" i="15"/>
  <c r="D35" i="15"/>
  <c r="C35" i="15"/>
  <c r="KE34" i="15"/>
  <c r="KB34" i="15"/>
  <c r="JY34" i="15"/>
  <c r="JV34" i="15"/>
  <c r="JS34" i="15"/>
  <c r="JP34" i="15"/>
  <c r="JM34" i="15"/>
  <c r="JJ34" i="15"/>
  <c r="JG34" i="15"/>
  <c r="JD34" i="15"/>
  <c r="JA34" i="15"/>
  <c r="IX34" i="15"/>
  <c r="IU34" i="15"/>
  <c r="IR34" i="15"/>
  <c r="IO34" i="15"/>
  <c r="IL34" i="15"/>
  <c r="IE34" i="15"/>
  <c r="CE33" i="16" s="1"/>
  <c r="IB34" i="15"/>
  <c r="CD33" i="16" s="1"/>
  <c r="HY34" i="15"/>
  <c r="CC33" i="16" s="1"/>
  <c r="HV34" i="15"/>
  <c r="CB33" i="16" s="1"/>
  <c r="HS34" i="15"/>
  <c r="CA33" i="16" s="1"/>
  <c r="HP34" i="15"/>
  <c r="BZ33" i="16" s="1"/>
  <c r="HM34" i="15"/>
  <c r="BY33" i="16" s="1"/>
  <c r="HJ34" i="15"/>
  <c r="BX33" i="16" s="1"/>
  <c r="HE34" i="15"/>
  <c r="GW34" i="15"/>
  <c r="GS34" i="15"/>
  <c r="BF33" i="16" s="1"/>
  <c r="GP34" i="15"/>
  <c r="BE33" i="16" s="1"/>
  <c r="GM34" i="15"/>
  <c r="GD34" i="15"/>
  <c r="AQ33" i="16"/>
  <c r="FX34" i="15"/>
  <c r="AP33" i="16" s="1"/>
  <c r="FS34" i="15"/>
  <c r="FP34" i="15"/>
  <c r="FA71" i="15" s="1"/>
  <c r="FJ34" i="15"/>
  <c r="BA33" i="16" s="1"/>
  <c r="FC34" i="15"/>
  <c r="EZ34" i="15"/>
  <c r="EZ71" i="15" s="1"/>
  <c r="EW34" i="15"/>
  <c r="AV33" i="16" s="1"/>
  <c r="ET34" i="15"/>
  <c r="AU33" i="16" s="1"/>
  <c r="EM34" i="15"/>
  <c r="AN33" i="16" s="1"/>
  <c r="EJ34" i="15"/>
  <c r="AM33" i="16" s="1"/>
  <c r="DZ34" i="15"/>
  <c r="AI33" i="16" s="1"/>
  <c r="DW34" i="15"/>
  <c r="AH33" i="16" s="1"/>
  <c r="DT34" i="15"/>
  <c r="DR34" i="15"/>
  <c r="AD33" i="16" s="1"/>
  <c r="DE34" i="15"/>
  <c r="DF34" i="15" s="1"/>
  <c r="CH34" i="15"/>
  <c r="R33" i="16" s="1"/>
  <c r="BR35" i="15"/>
  <c r="Z34" i="16" s="1"/>
  <c r="BP34" i="15"/>
  <c r="BJ34" i="15"/>
  <c r="AB33" i="16" s="1"/>
  <c r="BG34" i="15"/>
  <c r="AA33" i="16" s="1"/>
  <c r="AB34" i="15"/>
  <c r="F33" i="16" s="1"/>
  <c r="AB35" i="15"/>
  <c r="F34" i="16" s="1"/>
  <c r="V34" i="15"/>
  <c r="E33" i="16" s="1"/>
  <c r="T34" i="15"/>
  <c r="D33" i="16" s="1"/>
  <c r="K34" i="15"/>
  <c r="F34" i="15"/>
  <c r="D34" i="15"/>
  <c r="C34" i="15"/>
  <c r="KE33" i="15"/>
  <c r="KB33" i="15"/>
  <c r="JY33" i="15"/>
  <c r="JV33" i="15"/>
  <c r="JS33" i="15"/>
  <c r="JP33" i="15"/>
  <c r="JM33" i="15"/>
  <c r="JJ33" i="15"/>
  <c r="JG33" i="15"/>
  <c r="JD33" i="15"/>
  <c r="JA33" i="15"/>
  <c r="IX33" i="15"/>
  <c r="IU33" i="15"/>
  <c r="IR33" i="15"/>
  <c r="IO33" i="15"/>
  <c r="IL33" i="15"/>
  <c r="IE33" i="15"/>
  <c r="CE32" i="16" s="1"/>
  <c r="IB33" i="15"/>
  <c r="CD32" i="16" s="1"/>
  <c r="HY33" i="15"/>
  <c r="HV33" i="15"/>
  <c r="CB32" i="16" s="1"/>
  <c r="HS33" i="15"/>
  <c r="CA32" i="16" s="1"/>
  <c r="HP33" i="15"/>
  <c r="BZ32" i="16" s="1"/>
  <c r="HM33" i="15"/>
  <c r="BY32" i="16" s="1"/>
  <c r="HJ33" i="15"/>
  <c r="BX32" i="16" s="1"/>
  <c r="HE33" i="15"/>
  <c r="GW33" i="15"/>
  <c r="GS33" i="15"/>
  <c r="BF32" i="16" s="1"/>
  <c r="GP33" i="15"/>
  <c r="BE32" i="16" s="1"/>
  <c r="GM33" i="15"/>
  <c r="BC32" i="16" s="1"/>
  <c r="GD33" i="15"/>
  <c r="AQ32" i="16"/>
  <c r="FX33" i="15"/>
  <c r="AP32" i="16" s="1"/>
  <c r="FS33" i="15"/>
  <c r="FP33" i="15"/>
  <c r="FA70" i="15" s="1"/>
  <c r="FJ33" i="15"/>
  <c r="BA32" i="16" s="1"/>
  <c r="FC33" i="15"/>
  <c r="EZ33" i="15"/>
  <c r="EZ70" i="15" s="1"/>
  <c r="EW33" i="15"/>
  <c r="AV32" i="16" s="1"/>
  <c r="ET33" i="15"/>
  <c r="AU32" i="16" s="1"/>
  <c r="EM33" i="15"/>
  <c r="AN32" i="16" s="1"/>
  <c r="EJ33" i="15"/>
  <c r="AM32" i="16" s="1"/>
  <c r="DZ33" i="15"/>
  <c r="AI32" i="16" s="1"/>
  <c r="DW33" i="15"/>
  <c r="AH32" i="16" s="1"/>
  <c r="DT33" i="15"/>
  <c r="DR33" i="15"/>
  <c r="AD32" i="16" s="1"/>
  <c r="DE33" i="15"/>
  <c r="DF33" i="15" s="1"/>
  <c r="CH33" i="15"/>
  <c r="R32" i="16" s="1"/>
  <c r="BP33" i="15"/>
  <c r="BJ33" i="15"/>
  <c r="AB32" i="16" s="1"/>
  <c r="BG33" i="15"/>
  <c r="AA32" i="16" s="1"/>
  <c r="BC33" i="15"/>
  <c r="M32" i="16" s="1"/>
  <c r="AB33" i="15"/>
  <c r="F32" i="16" s="1"/>
  <c r="V33" i="15"/>
  <c r="E32" i="16" s="1"/>
  <c r="T33" i="15"/>
  <c r="D32" i="16" s="1"/>
  <c r="N33" i="15"/>
  <c r="C32" i="16" s="1"/>
  <c r="K33" i="15"/>
  <c r="F33" i="15"/>
  <c r="D33" i="15"/>
  <c r="C33" i="15"/>
  <c r="KE32" i="15"/>
  <c r="KB32" i="15"/>
  <c r="JY32" i="15"/>
  <c r="JV32" i="15"/>
  <c r="JS32" i="15"/>
  <c r="JP32" i="15"/>
  <c r="JM32" i="15"/>
  <c r="JJ32" i="15"/>
  <c r="JG32" i="15"/>
  <c r="JD32" i="15"/>
  <c r="JA32" i="15"/>
  <c r="IX32" i="15"/>
  <c r="IU32" i="15"/>
  <c r="IR32" i="15"/>
  <c r="IO32" i="15"/>
  <c r="IL32" i="15"/>
  <c r="IE32" i="15"/>
  <c r="CE31" i="16" s="1"/>
  <c r="IB32" i="15"/>
  <c r="CD31" i="16" s="1"/>
  <c r="HY32" i="15"/>
  <c r="HV32" i="15"/>
  <c r="CB31" i="16" s="1"/>
  <c r="HS32" i="15"/>
  <c r="CA31" i="16" s="1"/>
  <c r="HP32" i="15"/>
  <c r="BZ31" i="16" s="1"/>
  <c r="HM32" i="15"/>
  <c r="BY31" i="16" s="1"/>
  <c r="HJ32" i="15"/>
  <c r="BX31" i="16" s="1"/>
  <c r="HE32" i="15"/>
  <c r="GW32" i="15"/>
  <c r="GS32" i="15"/>
  <c r="BF31" i="16" s="1"/>
  <c r="GP32" i="15"/>
  <c r="BE31" i="16" s="1"/>
  <c r="GM32" i="15"/>
  <c r="BC31" i="16" s="1"/>
  <c r="AX31" i="16"/>
  <c r="GD32" i="15"/>
  <c r="AQ31" i="16"/>
  <c r="FX32" i="15"/>
  <c r="AP31" i="16" s="1"/>
  <c r="FS32" i="15"/>
  <c r="FP32" i="15"/>
  <c r="FA69" i="15" s="1"/>
  <c r="FJ32" i="15"/>
  <c r="BA31" i="16" s="1"/>
  <c r="FC32" i="15"/>
  <c r="EZ32" i="15"/>
  <c r="EZ69" i="15" s="1"/>
  <c r="EW32" i="15"/>
  <c r="AV31" i="16" s="1"/>
  <c r="ET32" i="15"/>
  <c r="AU31" i="16" s="1"/>
  <c r="EM32" i="15"/>
  <c r="AN31" i="16" s="1"/>
  <c r="EJ32" i="15"/>
  <c r="AM31" i="16" s="1"/>
  <c r="DZ32" i="15"/>
  <c r="AI31" i="16" s="1"/>
  <c r="DW32" i="15"/>
  <c r="AH31" i="16" s="1"/>
  <c r="DT32" i="15"/>
  <c r="DR32" i="15"/>
  <c r="AD31" i="16" s="1"/>
  <c r="DE32" i="15"/>
  <c r="DF32" i="15" s="1"/>
  <c r="DA32" i="15"/>
  <c r="CO32" i="15"/>
  <c r="T31" i="16" s="1"/>
  <c r="CH32" i="15"/>
  <c r="R31" i="16" s="1"/>
  <c r="CD32" i="15"/>
  <c r="P31" i="16" s="1"/>
  <c r="BW32" i="15"/>
  <c r="BX32" i="15" s="1"/>
  <c r="BT32" i="15"/>
  <c r="BR33" i="15"/>
  <c r="Z32" i="16" s="1"/>
  <c r="BP32" i="15"/>
  <c r="BN32" i="15"/>
  <c r="BJ32" i="15"/>
  <c r="AB31" i="16" s="1"/>
  <c r="BG32" i="15"/>
  <c r="AA31" i="16" s="1"/>
  <c r="BC32" i="15"/>
  <c r="M31" i="16" s="1"/>
  <c r="AZ32" i="15"/>
  <c r="L31" i="16" s="1"/>
  <c r="AZ33" i="15"/>
  <c r="L32" i="16" s="1"/>
  <c r="AR32" i="15"/>
  <c r="K31" i="16" s="1"/>
  <c r="AI32" i="15"/>
  <c r="AE33" i="15"/>
  <c r="AB32" i="15"/>
  <c r="F31" i="16" s="1"/>
  <c r="V32" i="15"/>
  <c r="E31" i="16" s="1"/>
  <c r="T32" i="15"/>
  <c r="D31" i="16" s="1"/>
  <c r="Q32" i="15"/>
  <c r="N32" i="15"/>
  <c r="C31" i="16" s="1"/>
  <c r="K32" i="15"/>
  <c r="F32" i="15"/>
  <c r="D32" i="15"/>
  <c r="C32" i="15"/>
  <c r="KE31" i="15"/>
  <c r="KB31" i="15"/>
  <c r="JY31" i="15"/>
  <c r="JV31" i="15"/>
  <c r="JS31" i="15"/>
  <c r="JP31" i="15"/>
  <c r="JM31" i="15"/>
  <c r="JJ31" i="15"/>
  <c r="JG31" i="15"/>
  <c r="JD31" i="15"/>
  <c r="JA31" i="15"/>
  <c r="IX31" i="15"/>
  <c r="IU31" i="15"/>
  <c r="IR31" i="15"/>
  <c r="IO31" i="15"/>
  <c r="IL31" i="15"/>
  <c r="IE31" i="15"/>
  <c r="CE30" i="16" s="1"/>
  <c r="IB31" i="15"/>
  <c r="CD30" i="16" s="1"/>
  <c r="HY31" i="15"/>
  <c r="HV31" i="15"/>
  <c r="CB30" i="16" s="1"/>
  <c r="HS31" i="15"/>
  <c r="CA30" i="16" s="1"/>
  <c r="HP31" i="15"/>
  <c r="BZ30" i="16" s="1"/>
  <c r="HM31" i="15"/>
  <c r="BY30" i="16" s="1"/>
  <c r="HJ31" i="15"/>
  <c r="BX30" i="16" s="1"/>
  <c r="HE31" i="15"/>
  <c r="GW31" i="15"/>
  <c r="GS31" i="15"/>
  <c r="BF30" i="16" s="1"/>
  <c r="GP31" i="15"/>
  <c r="BE30" i="16" s="1"/>
  <c r="GM31" i="15"/>
  <c r="BC30" i="16" s="1"/>
  <c r="AX30" i="16"/>
  <c r="GD31" i="15"/>
  <c r="AQ30" i="16"/>
  <c r="FX31" i="15"/>
  <c r="AP30" i="16" s="1"/>
  <c r="FS31" i="15"/>
  <c r="FP31" i="15"/>
  <c r="FA68" i="15" s="1"/>
  <c r="FJ31" i="15"/>
  <c r="BA30" i="16" s="1"/>
  <c r="FC31" i="15"/>
  <c r="EZ31" i="15"/>
  <c r="EZ68" i="15" s="1"/>
  <c r="EW31" i="15"/>
  <c r="AV30" i="16" s="1"/>
  <c r="ET31" i="15"/>
  <c r="AU30" i="16" s="1"/>
  <c r="EM31" i="15"/>
  <c r="AN30" i="16" s="1"/>
  <c r="EJ31" i="15"/>
  <c r="AM30" i="16" s="1"/>
  <c r="DZ31" i="15"/>
  <c r="AI30" i="16" s="1"/>
  <c r="DW31" i="15"/>
  <c r="AH30" i="16" s="1"/>
  <c r="DT31" i="15"/>
  <c r="DR31" i="15"/>
  <c r="AD30" i="16" s="1"/>
  <c r="DE31" i="15"/>
  <c r="DF31" i="15" s="1"/>
  <c r="DA31" i="15"/>
  <c r="X30" i="16" s="1"/>
  <c r="CW31" i="15"/>
  <c r="W30" i="16" s="1"/>
  <c r="CS31" i="15"/>
  <c r="U30" i="16" s="1"/>
  <c r="CO31" i="15"/>
  <c r="T30" i="16" s="1"/>
  <c r="CH31" i="15"/>
  <c r="R30" i="16" s="1"/>
  <c r="CF31" i="15"/>
  <c r="Q30" i="16" s="1"/>
  <c r="CD31" i="15"/>
  <c r="P30" i="16" s="1"/>
  <c r="CA31" i="15"/>
  <c r="O30" i="16" s="1"/>
  <c r="BW31" i="15"/>
  <c r="BX31" i="15" s="1"/>
  <c r="BT31" i="15"/>
  <c r="BR31" i="15"/>
  <c r="Z30" i="16" s="1"/>
  <c r="BP31" i="15"/>
  <c r="BN31" i="15"/>
  <c r="BL31" i="15"/>
  <c r="BJ31" i="15"/>
  <c r="AB30" i="16" s="1"/>
  <c r="BG31" i="15"/>
  <c r="AA30" i="16" s="1"/>
  <c r="BC31" i="15"/>
  <c r="M30" i="16" s="1"/>
  <c r="AZ31" i="15"/>
  <c r="L30" i="16" s="1"/>
  <c r="AR31" i="15"/>
  <c r="K30" i="16" s="1"/>
  <c r="AI31" i="15"/>
  <c r="I30" i="16" s="1"/>
  <c r="AE31" i="15"/>
  <c r="H30" i="16" s="1"/>
  <c r="AB31" i="15"/>
  <c r="F30" i="16" s="1"/>
  <c r="V31" i="15"/>
  <c r="E30" i="16" s="1"/>
  <c r="T31" i="15"/>
  <c r="D30" i="16" s="1"/>
  <c r="Q31" i="15"/>
  <c r="R31" i="15" s="1"/>
  <c r="N31" i="15"/>
  <c r="C30" i="16" s="1"/>
  <c r="K31" i="15"/>
  <c r="F31" i="15"/>
  <c r="D31" i="15"/>
  <c r="C31" i="15"/>
  <c r="KE30" i="15"/>
  <c r="KB30" i="15"/>
  <c r="JY30" i="15"/>
  <c r="JV30" i="15"/>
  <c r="JS30" i="15"/>
  <c r="JP30" i="15"/>
  <c r="JM30" i="15"/>
  <c r="JJ30" i="15"/>
  <c r="JG30" i="15"/>
  <c r="JD30" i="15"/>
  <c r="JA30" i="15"/>
  <c r="IX30" i="15"/>
  <c r="IU30" i="15"/>
  <c r="IR30" i="15"/>
  <c r="IO30" i="15"/>
  <c r="IL30" i="15"/>
  <c r="IE30" i="15"/>
  <c r="CE29" i="16" s="1"/>
  <c r="IB30" i="15"/>
  <c r="CD29" i="16" s="1"/>
  <c r="HY30" i="15"/>
  <c r="HV30" i="15"/>
  <c r="CB29" i="16" s="1"/>
  <c r="HS30" i="15"/>
  <c r="CA29" i="16" s="1"/>
  <c r="HP30" i="15"/>
  <c r="BZ29" i="16" s="1"/>
  <c r="HM30" i="15"/>
  <c r="BY29" i="16" s="1"/>
  <c r="HJ30" i="15"/>
  <c r="BX29" i="16" s="1"/>
  <c r="HE30" i="15"/>
  <c r="GW30" i="15"/>
  <c r="GS30" i="15"/>
  <c r="BF29" i="16" s="1"/>
  <c r="GP30" i="15"/>
  <c r="BE29" i="16" s="1"/>
  <c r="BC29" i="16"/>
  <c r="GD30" i="15"/>
  <c r="FX30" i="15"/>
  <c r="AP29" i="16" s="1"/>
  <c r="FS30" i="15"/>
  <c r="FP30" i="15"/>
  <c r="FA67" i="15" s="1"/>
  <c r="FJ30" i="15"/>
  <c r="BA29" i="16" s="1"/>
  <c r="FC30" i="15"/>
  <c r="EZ30" i="15"/>
  <c r="EZ67" i="15" s="1"/>
  <c r="EW30" i="15"/>
  <c r="AV29" i="16" s="1"/>
  <c r="ET30" i="15"/>
  <c r="AU29" i="16" s="1"/>
  <c r="EM30" i="15"/>
  <c r="AN29" i="16" s="1"/>
  <c r="EJ30" i="15"/>
  <c r="AM29" i="16" s="1"/>
  <c r="DZ30" i="15"/>
  <c r="AI29" i="16" s="1"/>
  <c r="DW30" i="15"/>
  <c r="AH29" i="16" s="1"/>
  <c r="DT30" i="15"/>
  <c r="AE29" i="16" s="1"/>
  <c r="DR30" i="15"/>
  <c r="AD29" i="16" s="1"/>
  <c r="DE30" i="15"/>
  <c r="DF30" i="15" s="1"/>
  <c r="DA30" i="15"/>
  <c r="CW30" i="15"/>
  <c r="W29" i="16" s="1"/>
  <c r="CS30" i="15"/>
  <c r="U29" i="16" s="1"/>
  <c r="CO30" i="15"/>
  <c r="T29" i="16" s="1"/>
  <c r="CH30" i="15"/>
  <c r="R29" i="16" s="1"/>
  <c r="CF30" i="15"/>
  <c r="Q29" i="16" s="1"/>
  <c r="CD30" i="15"/>
  <c r="P29" i="16" s="1"/>
  <c r="CA30" i="15"/>
  <c r="BW30" i="15"/>
  <c r="BX30" i="15" s="1"/>
  <c r="BT30" i="15"/>
  <c r="BR30" i="15"/>
  <c r="Z29" i="16" s="1"/>
  <c r="BP30" i="15"/>
  <c r="BN30" i="15"/>
  <c r="BL30" i="15"/>
  <c r="BJ30" i="15"/>
  <c r="AB29" i="16" s="1"/>
  <c r="BG30" i="15"/>
  <c r="AA29" i="16" s="1"/>
  <c r="BC30" i="15"/>
  <c r="M29" i="16" s="1"/>
  <c r="AZ30" i="15"/>
  <c r="L29" i="16" s="1"/>
  <c r="AR30" i="15"/>
  <c r="K29" i="16" s="1"/>
  <c r="AI30" i="15"/>
  <c r="I29" i="16" s="1"/>
  <c r="AE30" i="15"/>
  <c r="H29" i="16" s="1"/>
  <c r="AB30" i="15"/>
  <c r="F29" i="16" s="1"/>
  <c r="V30" i="15"/>
  <c r="E29" i="16" s="1"/>
  <c r="T30" i="15"/>
  <c r="D29" i="16" s="1"/>
  <c r="Q30" i="15"/>
  <c r="R30" i="15" s="1"/>
  <c r="N30" i="15"/>
  <c r="C29" i="16" s="1"/>
  <c r="K30" i="15"/>
  <c r="F30" i="15"/>
  <c r="D30" i="15"/>
  <c r="C30" i="15"/>
  <c r="KE29" i="15"/>
  <c r="KB29" i="15"/>
  <c r="JY29" i="15"/>
  <c r="JV29" i="15"/>
  <c r="JS29" i="15"/>
  <c r="JP29" i="15"/>
  <c r="JM29" i="15"/>
  <c r="JJ29" i="15"/>
  <c r="JG29" i="15"/>
  <c r="JD29" i="15"/>
  <c r="JA29" i="15"/>
  <c r="IX29" i="15"/>
  <c r="IU29" i="15"/>
  <c r="IR29" i="15"/>
  <c r="IO29" i="15"/>
  <c r="IL29" i="15"/>
  <c r="IE29" i="15"/>
  <c r="CE28" i="16" s="1"/>
  <c r="IB29" i="15"/>
  <c r="CD28" i="16" s="1"/>
  <c r="HY29" i="15"/>
  <c r="HV29" i="15"/>
  <c r="CB28" i="16" s="1"/>
  <c r="HS29" i="15"/>
  <c r="CA28" i="16" s="1"/>
  <c r="HP29" i="15"/>
  <c r="BZ28" i="16" s="1"/>
  <c r="HM29" i="15"/>
  <c r="BY28" i="16" s="1"/>
  <c r="HJ29" i="15"/>
  <c r="BX28" i="16" s="1"/>
  <c r="HE29" i="15"/>
  <c r="GW29" i="15"/>
  <c r="GS29" i="15"/>
  <c r="BF28" i="16" s="1"/>
  <c r="GP29" i="15"/>
  <c r="BE28" i="16" s="1"/>
  <c r="GM29" i="15"/>
  <c r="BC28" i="16" s="1"/>
  <c r="GD29" i="15"/>
  <c r="AQ28" i="16"/>
  <c r="FX29" i="15"/>
  <c r="AP28" i="16" s="1"/>
  <c r="FS29" i="15"/>
  <c r="FP29" i="15"/>
  <c r="FA66" i="15" s="1"/>
  <c r="FJ29" i="15"/>
  <c r="BA28" i="16" s="1"/>
  <c r="FC29" i="15"/>
  <c r="EZ29" i="15"/>
  <c r="EZ66" i="15" s="1"/>
  <c r="EW29" i="15"/>
  <c r="AV28" i="16" s="1"/>
  <c r="ET29" i="15"/>
  <c r="AU28" i="16" s="1"/>
  <c r="EM29" i="15"/>
  <c r="AN28" i="16" s="1"/>
  <c r="EJ29" i="15"/>
  <c r="AM28" i="16" s="1"/>
  <c r="DZ29" i="15"/>
  <c r="AI28" i="16" s="1"/>
  <c r="DW29" i="15"/>
  <c r="AH28" i="16" s="1"/>
  <c r="DT29" i="15"/>
  <c r="DR29" i="15"/>
  <c r="AD28" i="16" s="1"/>
  <c r="DE29" i="15"/>
  <c r="DA29" i="15"/>
  <c r="X28" i="16" s="1"/>
  <c r="CW29" i="15"/>
  <c r="W28" i="16" s="1"/>
  <c r="CS29" i="15"/>
  <c r="U28" i="16" s="1"/>
  <c r="CO29" i="15"/>
  <c r="T28" i="16" s="1"/>
  <c r="CH29" i="15"/>
  <c r="R28" i="16" s="1"/>
  <c r="CF29" i="15"/>
  <c r="Q28" i="16" s="1"/>
  <c r="CD29" i="15"/>
  <c r="P28" i="16" s="1"/>
  <c r="CA29" i="15"/>
  <c r="O28" i="16" s="1"/>
  <c r="BW29" i="15"/>
  <c r="BX29" i="15" s="1"/>
  <c r="BT29" i="15"/>
  <c r="BR29" i="15"/>
  <c r="Z28" i="16" s="1"/>
  <c r="BP29" i="15"/>
  <c r="BN29" i="15"/>
  <c r="BL29" i="15"/>
  <c r="BJ29" i="15"/>
  <c r="AB28" i="16" s="1"/>
  <c r="BG29" i="15"/>
  <c r="AA28" i="16" s="1"/>
  <c r="BC29" i="15"/>
  <c r="M28" i="16" s="1"/>
  <c r="AZ29" i="15"/>
  <c r="L28" i="16" s="1"/>
  <c r="AR29" i="15"/>
  <c r="K28" i="16" s="1"/>
  <c r="AI29" i="15"/>
  <c r="I28" i="16" s="1"/>
  <c r="AE29" i="15"/>
  <c r="H28" i="16" s="1"/>
  <c r="AB29" i="15"/>
  <c r="F28" i="16" s="1"/>
  <c r="V29" i="15"/>
  <c r="E28" i="16" s="1"/>
  <c r="T29" i="15"/>
  <c r="D28" i="16" s="1"/>
  <c r="Q29" i="15"/>
  <c r="N29" i="15"/>
  <c r="C28" i="16" s="1"/>
  <c r="K29" i="15"/>
  <c r="F29" i="15"/>
  <c r="D29" i="15"/>
  <c r="C29" i="15"/>
  <c r="KE28" i="15"/>
  <c r="KB28" i="15"/>
  <c r="JY28" i="15"/>
  <c r="JV28" i="15"/>
  <c r="JS28" i="15"/>
  <c r="JP28" i="15"/>
  <c r="JM28" i="15"/>
  <c r="JJ28" i="15"/>
  <c r="JG28" i="15"/>
  <c r="JD28" i="15"/>
  <c r="JA28" i="15"/>
  <c r="IX28" i="15"/>
  <c r="IU28" i="15"/>
  <c r="IR28" i="15"/>
  <c r="IO28" i="15"/>
  <c r="IL28" i="15"/>
  <c r="IE28" i="15"/>
  <c r="CE27" i="16" s="1"/>
  <c r="IB28" i="15"/>
  <c r="CD27" i="16" s="1"/>
  <c r="HY28" i="15"/>
  <c r="CC27" i="16" s="1"/>
  <c r="HV28" i="15"/>
  <c r="CB27" i="16" s="1"/>
  <c r="HS28" i="15"/>
  <c r="CA27" i="16" s="1"/>
  <c r="HP28" i="15"/>
  <c r="BZ27" i="16" s="1"/>
  <c r="HM28" i="15"/>
  <c r="BY27" i="16" s="1"/>
  <c r="HJ28" i="15"/>
  <c r="BX27" i="16" s="1"/>
  <c r="HE28" i="15"/>
  <c r="GW28" i="15"/>
  <c r="GS28" i="15"/>
  <c r="GP28" i="15"/>
  <c r="BE27" i="16" s="1"/>
  <c r="GM28" i="15"/>
  <c r="BC27" i="16" s="1"/>
  <c r="GD28" i="15"/>
  <c r="FX28" i="15"/>
  <c r="AP27" i="16" s="1"/>
  <c r="FS28" i="15"/>
  <c r="FP28" i="15"/>
  <c r="FA65" i="15" s="1"/>
  <c r="FJ28" i="15"/>
  <c r="BA27" i="16" s="1"/>
  <c r="FC28" i="15"/>
  <c r="EZ28" i="15"/>
  <c r="EZ65" i="15" s="1"/>
  <c r="EW28" i="15"/>
  <c r="AV27" i="16" s="1"/>
  <c r="ET28" i="15"/>
  <c r="AU27" i="16" s="1"/>
  <c r="EM28" i="15"/>
  <c r="AN27" i="16" s="1"/>
  <c r="EJ28" i="15"/>
  <c r="AM27" i="16" s="1"/>
  <c r="DZ28" i="15"/>
  <c r="AI27" i="16" s="1"/>
  <c r="DW28" i="15"/>
  <c r="AH27" i="16" s="1"/>
  <c r="DT28" i="15"/>
  <c r="DR28" i="15"/>
  <c r="AD27" i="16" s="1"/>
  <c r="DE28" i="15"/>
  <c r="DA28" i="15"/>
  <c r="X27" i="16" s="1"/>
  <c r="CW28" i="15"/>
  <c r="W27" i="16" s="1"/>
  <c r="CS28" i="15"/>
  <c r="U27" i="16" s="1"/>
  <c r="CO28" i="15"/>
  <c r="T27" i="16" s="1"/>
  <c r="CH28" i="15"/>
  <c r="R27" i="16" s="1"/>
  <c r="CF28" i="15"/>
  <c r="Q27" i="16" s="1"/>
  <c r="CD28" i="15"/>
  <c r="P27" i="16" s="1"/>
  <c r="CA28" i="15"/>
  <c r="O27" i="16" s="1"/>
  <c r="BW28" i="15"/>
  <c r="BX28" i="15" s="1"/>
  <c r="BT28" i="15"/>
  <c r="BR28" i="15"/>
  <c r="Z27" i="16" s="1"/>
  <c r="BP28" i="15"/>
  <c r="BN28" i="15"/>
  <c r="BL28" i="15"/>
  <c r="BJ28" i="15"/>
  <c r="AB27" i="16" s="1"/>
  <c r="BG28" i="15"/>
  <c r="AA27" i="16" s="1"/>
  <c r="BC28" i="15"/>
  <c r="M27" i="16" s="1"/>
  <c r="AZ28" i="15"/>
  <c r="L27" i="16" s="1"/>
  <c r="AR28" i="15"/>
  <c r="K27" i="16" s="1"/>
  <c r="AI28" i="15"/>
  <c r="I27" i="16" s="1"/>
  <c r="AE28" i="15"/>
  <c r="AB28" i="15"/>
  <c r="V28" i="15"/>
  <c r="E27" i="16" s="1"/>
  <c r="T28" i="15"/>
  <c r="D27" i="16" s="1"/>
  <c r="Q28" i="15"/>
  <c r="R28" i="15" s="1"/>
  <c r="N28" i="15"/>
  <c r="C27" i="16" s="1"/>
  <c r="K28" i="15"/>
  <c r="F28" i="15"/>
  <c r="D28" i="15"/>
  <c r="C28" i="15"/>
  <c r="KE27" i="15"/>
  <c r="KB27" i="15"/>
  <c r="JY27" i="15"/>
  <c r="JV27" i="15"/>
  <c r="JS27" i="15"/>
  <c r="JP27" i="15"/>
  <c r="JM27" i="15"/>
  <c r="JJ27" i="15"/>
  <c r="JG27" i="15"/>
  <c r="JD27" i="15"/>
  <c r="JA27" i="15"/>
  <c r="IX27" i="15"/>
  <c r="IU27" i="15"/>
  <c r="IR27" i="15"/>
  <c r="IO27" i="15"/>
  <c r="IL27" i="15"/>
  <c r="IE27" i="15"/>
  <c r="CE26" i="16" s="1"/>
  <c r="IB27" i="15"/>
  <c r="CD26" i="16" s="1"/>
  <c r="HY27" i="15"/>
  <c r="HV27" i="15"/>
  <c r="CB26" i="16" s="1"/>
  <c r="HS27" i="15"/>
  <c r="HP27" i="15"/>
  <c r="BZ26" i="16" s="1"/>
  <c r="HM27" i="15"/>
  <c r="BY26" i="16" s="1"/>
  <c r="HJ27" i="15"/>
  <c r="BX26" i="16" s="1"/>
  <c r="HE27" i="15"/>
  <c r="GW27" i="15"/>
  <c r="GS27" i="15"/>
  <c r="BF26" i="16" s="1"/>
  <c r="GP27" i="15"/>
  <c r="BE26" i="16" s="1"/>
  <c r="BC26" i="16"/>
  <c r="GD27" i="15"/>
  <c r="FX27" i="15"/>
  <c r="AP26" i="16" s="1"/>
  <c r="FS27" i="15"/>
  <c r="FP27" i="15"/>
  <c r="FA64" i="15" s="1"/>
  <c r="FJ27" i="15"/>
  <c r="BA26" i="16" s="1"/>
  <c r="FC27" i="15"/>
  <c r="EZ27" i="15"/>
  <c r="EZ64" i="15" s="1"/>
  <c r="EW27" i="15"/>
  <c r="AV26" i="16" s="1"/>
  <c r="ET27" i="15"/>
  <c r="AU26" i="16" s="1"/>
  <c r="EM27" i="15"/>
  <c r="AN26" i="16" s="1"/>
  <c r="EJ27" i="15"/>
  <c r="AM26" i="16" s="1"/>
  <c r="DZ27" i="15"/>
  <c r="AI26" i="16" s="1"/>
  <c r="DW27" i="15"/>
  <c r="DT27" i="15"/>
  <c r="DR27" i="15"/>
  <c r="AD26" i="16" s="1"/>
  <c r="DE27" i="15"/>
  <c r="DA27" i="15"/>
  <c r="X26" i="16" s="1"/>
  <c r="CW27" i="15"/>
  <c r="W26" i="16" s="1"/>
  <c r="CS27" i="15"/>
  <c r="U26" i="16" s="1"/>
  <c r="CO27" i="15"/>
  <c r="T26" i="16" s="1"/>
  <c r="CH27" i="15"/>
  <c r="R26" i="16" s="1"/>
  <c r="CF27" i="15"/>
  <c r="Q26" i="16" s="1"/>
  <c r="CD27" i="15"/>
  <c r="P26" i="16" s="1"/>
  <c r="CA27" i="15"/>
  <c r="O26" i="16" s="1"/>
  <c r="BW27" i="15"/>
  <c r="BX27" i="15" s="1"/>
  <c r="BT27" i="15"/>
  <c r="BR27" i="15"/>
  <c r="Z26" i="16" s="1"/>
  <c r="BP27" i="15"/>
  <c r="BN27" i="15"/>
  <c r="BL27" i="15"/>
  <c r="BJ27" i="15"/>
  <c r="AB26" i="16" s="1"/>
  <c r="BG27" i="15"/>
  <c r="AA26" i="16" s="1"/>
  <c r="BC27" i="15"/>
  <c r="M26" i="16" s="1"/>
  <c r="AZ27" i="15"/>
  <c r="L26" i="16" s="1"/>
  <c r="AR27" i="15"/>
  <c r="AI27" i="15"/>
  <c r="I26" i="16" s="1"/>
  <c r="AE27" i="15"/>
  <c r="H26" i="16" s="1"/>
  <c r="AB27" i="15"/>
  <c r="F26" i="16" s="1"/>
  <c r="V27" i="15"/>
  <c r="E26" i="16" s="1"/>
  <c r="T27" i="15"/>
  <c r="D26" i="16" s="1"/>
  <c r="Q27" i="15"/>
  <c r="N27" i="15"/>
  <c r="C26" i="16" s="1"/>
  <c r="K27" i="15"/>
  <c r="F27" i="15"/>
  <c r="D27" i="15"/>
  <c r="C27" i="15"/>
  <c r="KE26" i="15"/>
  <c r="KB26" i="15"/>
  <c r="JY26" i="15"/>
  <c r="JV26" i="15"/>
  <c r="JS26" i="15"/>
  <c r="JP26" i="15"/>
  <c r="JM26" i="15"/>
  <c r="JJ26" i="15"/>
  <c r="JG26" i="15"/>
  <c r="JD26" i="15"/>
  <c r="JA26" i="15"/>
  <c r="IX26" i="15"/>
  <c r="IU26" i="15"/>
  <c r="IR26" i="15"/>
  <c r="IO26" i="15"/>
  <c r="IL26" i="15"/>
  <c r="IE26" i="15"/>
  <c r="CE25" i="16" s="1"/>
  <c r="IB26" i="15"/>
  <c r="CD25" i="16" s="1"/>
  <c r="HY26" i="15"/>
  <c r="HV26" i="15"/>
  <c r="CB25" i="16" s="1"/>
  <c r="HS26" i="15"/>
  <c r="HP26" i="15"/>
  <c r="BZ25" i="16" s="1"/>
  <c r="HM26" i="15"/>
  <c r="BY25" i="16" s="1"/>
  <c r="HJ26" i="15"/>
  <c r="BX25" i="16" s="1"/>
  <c r="HE26" i="15"/>
  <c r="GW26" i="15"/>
  <c r="GS26" i="15"/>
  <c r="BF25" i="16" s="1"/>
  <c r="GP26" i="15"/>
  <c r="BE25" i="16" s="1"/>
  <c r="BC25" i="16"/>
  <c r="GD26" i="15"/>
  <c r="AQ25" i="16"/>
  <c r="FX26" i="15"/>
  <c r="AP25" i="16" s="1"/>
  <c r="FS26" i="15"/>
  <c r="FP26" i="15"/>
  <c r="FA63" i="15" s="1"/>
  <c r="FJ26" i="15"/>
  <c r="BA25" i="16" s="1"/>
  <c r="FC26" i="15"/>
  <c r="EZ26" i="15"/>
  <c r="EZ63" i="15" s="1"/>
  <c r="EW26" i="15"/>
  <c r="AV25" i="16" s="1"/>
  <c r="ET26" i="15"/>
  <c r="AU25" i="16" s="1"/>
  <c r="EM26" i="15"/>
  <c r="AN25" i="16" s="1"/>
  <c r="EJ26" i="15"/>
  <c r="AM25" i="16" s="1"/>
  <c r="DZ26" i="15"/>
  <c r="AI25" i="16" s="1"/>
  <c r="DW26" i="15"/>
  <c r="DT26" i="15"/>
  <c r="DR26" i="15"/>
  <c r="AD25" i="16" s="1"/>
  <c r="DE26" i="15"/>
  <c r="DA26" i="15"/>
  <c r="X25" i="16" s="1"/>
  <c r="CW26" i="15"/>
  <c r="W25" i="16" s="1"/>
  <c r="CS26" i="15"/>
  <c r="CO26" i="15"/>
  <c r="T25" i="16" s="1"/>
  <c r="CH26" i="15"/>
  <c r="R25" i="16" s="1"/>
  <c r="CF26" i="15"/>
  <c r="Q25" i="16" s="1"/>
  <c r="CD26" i="15"/>
  <c r="P25" i="16" s="1"/>
  <c r="CA26" i="15"/>
  <c r="O25" i="16" s="1"/>
  <c r="BW26" i="15"/>
  <c r="BX26" i="15" s="1"/>
  <c r="BT26" i="15"/>
  <c r="BR26" i="15"/>
  <c r="Z25" i="16" s="1"/>
  <c r="BP26" i="15"/>
  <c r="BN26" i="15"/>
  <c r="BL26" i="15"/>
  <c r="BJ26" i="15"/>
  <c r="AB25" i="16" s="1"/>
  <c r="BG26" i="15"/>
  <c r="AA25" i="16" s="1"/>
  <c r="BC26" i="15"/>
  <c r="M25" i="16" s="1"/>
  <c r="AZ26" i="15"/>
  <c r="L25" i="16" s="1"/>
  <c r="AR26" i="15"/>
  <c r="K25" i="16" s="1"/>
  <c r="AI26" i="15"/>
  <c r="AE26" i="15"/>
  <c r="H25" i="16" s="1"/>
  <c r="AB26" i="15"/>
  <c r="F25" i="16" s="1"/>
  <c r="V26" i="15"/>
  <c r="E25" i="16" s="1"/>
  <c r="T26" i="15"/>
  <c r="D25" i="16" s="1"/>
  <c r="Q26" i="15"/>
  <c r="N26" i="15"/>
  <c r="C25" i="16" s="1"/>
  <c r="K26" i="15"/>
  <c r="F26" i="15"/>
  <c r="D26" i="15"/>
  <c r="C26" i="15"/>
  <c r="KE25" i="15"/>
  <c r="KB25" i="15"/>
  <c r="JY25" i="15"/>
  <c r="JV25" i="15"/>
  <c r="JS25" i="15"/>
  <c r="JP25" i="15"/>
  <c r="JM25" i="15"/>
  <c r="JJ25" i="15"/>
  <c r="JG25" i="15"/>
  <c r="JD25" i="15"/>
  <c r="JA25" i="15"/>
  <c r="IX25" i="15"/>
  <c r="IU25" i="15"/>
  <c r="IR25" i="15"/>
  <c r="IO25" i="15"/>
  <c r="IL25" i="15"/>
  <c r="IE25" i="15"/>
  <c r="CE24" i="16" s="1"/>
  <c r="IB25" i="15"/>
  <c r="CD24" i="16" s="1"/>
  <c r="HY25" i="15"/>
  <c r="HV25" i="15"/>
  <c r="CB24" i="16" s="1"/>
  <c r="HS25" i="15"/>
  <c r="CA24" i="16" s="1"/>
  <c r="HP25" i="15"/>
  <c r="BZ24" i="16" s="1"/>
  <c r="HM25" i="15"/>
  <c r="BY24" i="16" s="1"/>
  <c r="HJ25" i="15"/>
  <c r="BX24" i="16" s="1"/>
  <c r="HE25" i="15"/>
  <c r="GW25" i="15"/>
  <c r="GS25" i="15"/>
  <c r="BF24" i="16" s="1"/>
  <c r="GP25" i="15"/>
  <c r="BE24" i="16" s="1"/>
  <c r="GM25" i="15"/>
  <c r="BC24" i="16" s="1"/>
  <c r="GD25" i="15"/>
  <c r="FX25" i="15"/>
  <c r="AP24" i="16" s="1"/>
  <c r="FS25" i="15"/>
  <c r="FP25" i="15"/>
  <c r="FA62" i="15" s="1"/>
  <c r="FJ25" i="15"/>
  <c r="BA24" i="16" s="1"/>
  <c r="FC25" i="15"/>
  <c r="EZ25" i="15"/>
  <c r="EZ62" i="15" s="1"/>
  <c r="EW25" i="15"/>
  <c r="AV24" i="16" s="1"/>
  <c r="ET25" i="15"/>
  <c r="AU24" i="16" s="1"/>
  <c r="EM25" i="15"/>
  <c r="AN24" i="16" s="1"/>
  <c r="EJ25" i="15"/>
  <c r="AM24" i="16" s="1"/>
  <c r="DZ25" i="15"/>
  <c r="AI24" i="16" s="1"/>
  <c r="DW25" i="15"/>
  <c r="AH24" i="16" s="1"/>
  <c r="DT25" i="15"/>
  <c r="DR25" i="15"/>
  <c r="AD24" i="16" s="1"/>
  <c r="DE25" i="15"/>
  <c r="DF25" i="15" s="1"/>
  <c r="DA25" i="15"/>
  <c r="X24" i="16" s="1"/>
  <c r="CW25" i="15"/>
  <c r="W24" i="16" s="1"/>
  <c r="CS25" i="15"/>
  <c r="U24" i="16" s="1"/>
  <c r="CO25" i="15"/>
  <c r="T24" i="16" s="1"/>
  <c r="CH25" i="15"/>
  <c r="R24" i="16" s="1"/>
  <c r="CF25" i="15"/>
  <c r="Q24" i="16" s="1"/>
  <c r="CD25" i="15"/>
  <c r="P24" i="16" s="1"/>
  <c r="CA25" i="15"/>
  <c r="BW25" i="15"/>
  <c r="BX25" i="15" s="1"/>
  <c r="BT25" i="15"/>
  <c r="BR25" i="15"/>
  <c r="Z24" i="16" s="1"/>
  <c r="BP25" i="15"/>
  <c r="BN25" i="15"/>
  <c r="BL25" i="15"/>
  <c r="BJ25" i="15"/>
  <c r="AB24" i="16" s="1"/>
  <c r="BG25" i="15"/>
  <c r="AA24" i="16" s="1"/>
  <c r="BC25" i="15"/>
  <c r="M24" i="16" s="1"/>
  <c r="AZ25" i="15"/>
  <c r="L24" i="16" s="1"/>
  <c r="AR25" i="15"/>
  <c r="K24" i="16" s="1"/>
  <c r="AI25" i="15"/>
  <c r="I24" i="16" s="1"/>
  <c r="AE25" i="15"/>
  <c r="H24" i="16" s="1"/>
  <c r="AB25" i="15"/>
  <c r="F24" i="16" s="1"/>
  <c r="V25" i="15"/>
  <c r="E24" i="16" s="1"/>
  <c r="T25" i="15"/>
  <c r="Q25" i="15"/>
  <c r="R25" i="15" s="1"/>
  <c r="N25" i="15"/>
  <c r="C24" i="16" s="1"/>
  <c r="K25" i="15"/>
  <c r="F25" i="15"/>
  <c r="D25" i="15"/>
  <c r="C25" i="15"/>
  <c r="KE24" i="15"/>
  <c r="KB24" i="15"/>
  <c r="JY24" i="15"/>
  <c r="JV24" i="15"/>
  <c r="JS24" i="15"/>
  <c r="JP24" i="15"/>
  <c r="JM24" i="15"/>
  <c r="JJ24" i="15"/>
  <c r="JG24" i="15"/>
  <c r="JD24" i="15"/>
  <c r="JA24" i="15"/>
  <c r="IX24" i="15"/>
  <c r="IU24" i="15"/>
  <c r="IR24" i="15"/>
  <c r="IO24" i="15"/>
  <c r="IL24" i="15"/>
  <c r="IE24" i="15"/>
  <c r="CE23" i="16" s="1"/>
  <c r="IB24" i="15"/>
  <c r="CD23" i="16" s="1"/>
  <c r="HY24" i="15"/>
  <c r="HV24" i="15"/>
  <c r="CB23" i="16" s="1"/>
  <c r="HS24" i="15"/>
  <c r="CA23" i="16" s="1"/>
  <c r="HP24" i="15"/>
  <c r="BZ23" i="16" s="1"/>
  <c r="HM24" i="15"/>
  <c r="BY23" i="16" s="1"/>
  <c r="HJ24" i="15"/>
  <c r="BX23" i="16" s="1"/>
  <c r="HE24" i="15"/>
  <c r="GW24" i="15"/>
  <c r="GS24" i="15"/>
  <c r="BF23" i="16" s="1"/>
  <c r="GP24" i="15"/>
  <c r="BE23" i="16" s="1"/>
  <c r="GM24" i="15"/>
  <c r="BC23" i="16" s="1"/>
  <c r="GD24" i="15"/>
  <c r="FX24" i="15"/>
  <c r="AP23" i="16" s="1"/>
  <c r="FS24" i="15"/>
  <c r="FA61" i="15"/>
  <c r="FJ24" i="15"/>
  <c r="BA23" i="16" s="1"/>
  <c r="FC24" i="15"/>
  <c r="EZ24" i="15"/>
  <c r="EZ61" i="15" s="1"/>
  <c r="EW24" i="15"/>
  <c r="AV23" i="16" s="1"/>
  <c r="ET24" i="15"/>
  <c r="AU23" i="16" s="1"/>
  <c r="EM24" i="15"/>
  <c r="AN23" i="16" s="1"/>
  <c r="EJ24" i="15"/>
  <c r="AM23" i="16" s="1"/>
  <c r="DZ24" i="15"/>
  <c r="AI23" i="16" s="1"/>
  <c r="DW24" i="15"/>
  <c r="AH23" i="16" s="1"/>
  <c r="DT24" i="15"/>
  <c r="DR24" i="15"/>
  <c r="AD23" i="16" s="1"/>
  <c r="DE24" i="15"/>
  <c r="DF24" i="15" s="1"/>
  <c r="DA24" i="15"/>
  <c r="X23" i="16" s="1"/>
  <c r="CW24" i="15"/>
  <c r="CS24" i="15"/>
  <c r="U23" i="16" s="1"/>
  <c r="CO24" i="15"/>
  <c r="CH24" i="15"/>
  <c r="R23" i="16" s="1"/>
  <c r="CF24" i="15"/>
  <c r="Q23" i="16" s="1"/>
  <c r="CD24" i="15"/>
  <c r="P23" i="16" s="1"/>
  <c r="CA24" i="15"/>
  <c r="O23" i="16" s="1"/>
  <c r="BW24" i="15"/>
  <c r="BX24" i="15" s="1"/>
  <c r="BT24" i="15"/>
  <c r="BR24" i="15"/>
  <c r="Z23" i="16" s="1"/>
  <c r="BP24" i="15"/>
  <c r="BN24" i="15"/>
  <c r="BL24" i="15"/>
  <c r="BJ24" i="15"/>
  <c r="AB23" i="16" s="1"/>
  <c r="BG24" i="15"/>
  <c r="AA23" i="16" s="1"/>
  <c r="BC24" i="15"/>
  <c r="M23" i="16" s="1"/>
  <c r="AZ24" i="15"/>
  <c r="L23" i="16" s="1"/>
  <c r="AR24" i="15"/>
  <c r="K23" i="16" s="1"/>
  <c r="AI24" i="15"/>
  <c r="I23" i="16" s="1"/>
  <c r="AE24" i="15"/>
  <c r="H23" i="16" s="1"/>
  <c r="AB24" i="15"/>
  <c r="F23" i="16" s="1"/>
  <c r="V24" i="15"/>
  <c r="E23" i="16" s="1"/>
  <c r="T24" i="15"/>
  <c r="D23" i="16" s="1"/>
  <c r="Q24" i="15"/>
  <c r="R24" i="15" s="1"/>
  <c r="N24" i="15"/>
  <c r="C23" i="16" s="1"/>
  <c r="K24" i="15"/>
  <c r="F24" i="15"/>
  <c r="D24" i="15"/>
  <c r="C24" i="15"/>
  <c r="KE23" i="15"/>
  <c r="KB23" i="15"/>
  <c r="JY23" i="15"/>
  <c r="JV23" i="15"/>
  <c r="JS23" i="15"/>
  <c r="JP23" i="15"/>
  <c r="JM23" i="15"/>
  <c r="JJ23" i="15"/>
  <c r="JG23" i="15"/>
  <c r="JD23" i="15"/>
  <c r="JA23" i="15"/>
  <c r="IX23" i="15"/>
  <c r="IU23" i="15"/>
  <c r="IR23" i="15"/>
  <c r="IO23" i="15"/>
  <c r="IL23" i="15"/>
  <c r="IE23" i="15"/>
  <c r="CE22" i="16" s="1"/>
  <c r="IB23" i="15"/>
  <c r="CD22" i="16" s="1"/>
  <c r="HY23" i="15"/>
  <c r="HV23" i="15"/>
  <c r="CB22" i="16" s="1"/>
  <c r="HS23" i="15"/>
  <c r="CA22" i="16" s="1"/>
  <c r="HP23" i="15"/>
  <c r="BZ22" i="16" s="1"/>
  <c r="HM23" i="15"/>
  <c r="BY22" i="16" s="1"/>
  <c r="HJ23" i="15"/>
  <c r="BX22" i="16" s="1"/>
  <c r="HE23" i="15"/>
  <c r="GW23" i="15"/>
  <c r="GS23" i="15"/>
  <c r="GP23" i="15"/>
  <c r="BE22" i="16" s="1"/>
  <c r="GM23" i="15"/>
  <c r="AX22" i="16"/>
  <c r="GD23" i="15"/>
  <c r="FX23" i="15"/>
  <c r="AP22" i="16" s="1"/>
  <c r="FS23" i="15"/>
  <c r="FP23" i="15"/>
  <c r="FA60" i="15" s="1"/>
  <c r="FJ23" i="15"/>
  <c r="BA22" i="16" s="1"/>
  <c r="FC23" i="15"/>
  <c r="EZ23" i="15"/>
  <c r="EZ60" i="15" s="1"/>
  <c r="EW23" i="15"/>
  <c r="AV22" i="16" s="1"/>
  <c r="ET23" i="15"/>
  <c r="AU22" i="16" s="1"/>
  <c r="EM23" i="15"/>
  <c r="AN22" i="16" s="1"/>
  <c r="EJ23" i="15"/>
  <c r="AM22" i="16" s="1"/>
  <c r="DZ23" i="15"/>
  <c r="AI22" i="16" s="1"/>
  <c r="DW23" i="15"/>
  <c r="AH22" i="16" s="1"/>
  <c r="DT23" i="15"/>
  <c r="DR23" i="15"/>
  <c r="AD22" i="16" s="1"/>
  <c r="DE23" i="15"/>
  <c r="DF23" i="15" s="1"/>
  <c r="DA23" i="15"/>
  <c r="CW23" i="15"/>
  <c r="W22" i="16" s="1"/>
  <c r="CS23" i="15"/>
  <c r="U22" i="16" s="1"/>
  <c r="CO23" i="15"/>
  <c r="T22" i="16" s="1"/>
  <c r="CH23" i="15"/>
  <c r="R22" i="16" s="1"/>
  <c r="CF23" i="15"/>
  <c r="Q22" i="16" s="1"/>
  <c r="CD23" i="15"/>
  <c r="P22" i="16" s="1"/>
  <c r="CA23" i="15"/>
  <c r="CB23" i="15" s="1"/>
  <c r="BW23" i="15"/>
  <c r="BX23" i="15" s="1"/>
  <c r="BT23" i="15"/>
  <c r="BR23" i="15"/>
  <c r="Z22" i="16" s="1"/>
  <c r="BP23" i="15"/>
  <c r="BN23" i="15"/>
  <c r="BL23" i="15"/>
  <c r="BJ23" i="15"/>
  <c r="AB22" i="16" s="1"/>
  <c r="BG23" i="15"/>
  <c r="AA22" i="16" s="1"/>
  <c r="BC23" i="15"/>
  <c r="M22" i="16" s="1"/>
  <c r="AZ23" i="15"/>
  <c r="L22" i="16" s="1"/>
  <c r="AR23" i="15"/>
  <c r="K22" i="16" s="1"/>
  <c r="AI23" i="15"/>
  <c r="I22" i="16" s="1"/>
  <c r="AE23" i="15"/>
  <c r="H22" i="16" s="1"/>
  <c r="AB23" i="15"/>
  <c r="F22" i="16" s="1"/>
  <c r="V23" i="15"/>
  <c r="T23" i="15"/>
  <c r="D22" i="16" s="1"/>
  <c r="Q23" i="15"/>
  <c r="R23" i="15" s="1"/>
  <c r="N23" i="15"/>
  <c r="C22" i="16" s="1"/>
  <c r="K23" i="15"/>
  <c r="F23" i="15"/>
  <c r="D23" i="15"/>
  <c r="C23" i="15"/>
  <c r="KE22" i="15"/>
  <c r="KB22" i="15"/>
  <c r="JY22" i="15"/>
  <c r="JV22" i="15"/>
  <c r="JS22" i="15"/>
  <c r="JP22" i="15"/>
  <c r="JM22" i="15"/>
  <c r="JJ22" i="15"/>
  <c r="JG22" i="15"/>
  <c r="JD22" i="15"/>
  <c r="JA22" i="15"/>
  <c r="IX22" i="15"/>
  <c r="IU22" i="15"/>
  <c r="IR22" i="15"/>
  <c r="IO22" i="15"/>
  <c r="IL22" i="15"/>
  <c r="IE22" i="15"/>
  <c r="CE21" i="16" s="1"/>
  <c r="IB22" i="15"/>
  <c r="CD21" i="16" s="1"/>
  <c r="HY22" i="15"/>
  <c r="HV22" i="15"/>
  <c r="CB21" i="16" s="1"/>
  <c r="HS22" i="15"/>
  <c r="CA21" i="16" s="1"/>
  <c r="HP22" i="15"/>
  <c r="BZ21" i="16" s="1"/>
  <c r="HM22" i="15"/>
  <c r="BY21" i="16" s="1"/>
  <c r="HJ22" i="15"/>
  <c r="BX21" i="16" s="1"/>
  <c r="HE22" i="15"/>
  <c r="GW22" i="15"/>
  <c r="GS22" i="15"/>
  <c r="BF21" i="16" s="1"/>
  <c r="GP22" i="15"/>
  <c r="BE21" i="16" s="1"/>
  <c r="GM22" i="15"/>
  <c r="BC21" i="16" s="1"/>
  <c r="GD22" i="15"/>
  <c r="AQ21" i="16"/>
  <c r="FX22" i="15"/>
  <c r="AP21" i="16" s="1"/>
  <c r="FS22" i="15"/>
  <c r="FP22" i="15"/>
  <c r="FA59" i="15" s="1"/>
  <c r="FJ22" i="15"/>
  <c r="BA21" i="16" s="1"/>
  <c r="FC22" i="15"/>
  <c r="EZ22" i="15"/>
  <c r="EZ59" i="15" s="1"/>
  <c r="EW22" i="15"/>
  <c r="AV21" i="16" s="1"/>
  <c r="ET22" i="15"/>
  <c r="AU21" i="16" s="1"/>
  <c r="EM22" i="15"/>
  <c r="AN21" i="16" s="1"/>
  <c r="EJ22" i="15"/>
  <c r="AM21" i="16" s="1"/>
  <c r="DZ22" i="15"/>
  <c r="AI21" i="16" s="1"/>
  <c r="DW22" i="15"/>
  <c r="DT22" i="15"/>
  <c r="DR22" i="15"/>
  <c r="AD21" i="16" s="1"/>
  <c r="DE22" i="15"/>
  <c r="DF22" i="15" s="1"/>
  <c r="DA22" i="15"/>
  <c r="CW22" i="15"/>
  <c r="W21" i="16" s="1"/>
  <c r="CS22" i="15"/>
  <c r="CO22" i="15"/>
  <c r="T21" i="16" s="1"/>
  <c r="CH22" i="15"/>
  <c r="R21" i="16" s="1"/>
  <c r="CF22" i="15"/>
  <c r="Q21" i="16" s="1"/>
  <c r="CD22" i="15"/>
  <c r="P21" i="16" s="1"/>
  <c r="CA22" i="15"/>
  <c r="O21" i="16" s="1"/>
  <c r="BW22" i="15"/>
  <c r="BX22" i="15" s="1"/>
  <c r="BT22" i="15"/>
  <c r="BR22" i="15"/>
  <c r="Z21" i="16" s="1"/>
  <c r="BP22" i="15"/>
  <c r="BN22" i="15"/>
  <c r="BL22" i="15"/>
  <c r="BJ22" i="15"/>
  <c r="AB21" i="16" s="1"/>
  <c r="BG22" i="15"/>
  <c r="AA21" i="16" s="1"/>
  <c r="BC22" i="15"/>
  <c r="M21" i="16" s="1"/>
  <c r="AZ22" i="15"/>
  <c r="L21" i="16" s="1"/>
  <c r="AR22" i="15"/>
  <c r="K21" i="16" s="1"/>
  <c r="AI22" i="15"/>
  <c r="I21" i="16" s="1"/>
  <c r="AE22" i="15"/>
  <c r="H21" i="16" s="1"/>
  <c r="AB22" i="15"/>
  <c r="F21" i="16" s="1"/>
  <c r="V22" i="15"/>
  <c r="E21" i="16" s="1"/>
  <c r="T22" i="15"/>
  <c r="D21" i="16" s="1"/>
  <c r="Q22" i="15"/>
  <c r="R22" i="15" s="1"/>
  <c r="N22" i="15"/>
  <c r="C21" i="16" s="1"/>
  <c r="K22" i="15"/>
  <c r="F22" i="15"/>
  <c r="D22" i="15"/>
  <c r="C22" i="15"/>
  <c r="KE21" i="15"/>
  <c r="KB21" i="15"/>
  <c r="JY21" i="15"/>
  <c r="JV21" i="15"/>
  <c r="JS21" i="15"/>
  <c r="JP21" i="15"/>
  <c r="JM21" i="15"/>
  <c r="JJ21" i="15"/>
  <c r="JG21" i="15"/>
  <c r="JD21" i="15"/>
  <c r="JA21" i="15"/>
  <c r="IX21" i="15"/>
  <c r="IU21" i="15"/>
  <c r="IR21" i="15"/>
  <c r="IO21" i="15"/>
  <c r="IL21" i="15"/>
  <c r="IE21" i="15"/>
  <c r="CE20" i="16" s="1"/>
  <c r="IB21" i="15"/>
  <c r="CD20" i="16" s="1"/>
  <c r="HY21" i="15"/>
  <c r="HV21" i="15"/>
  <c r="CB20" i="16" s="1"/>
  <c r="HS21" i="15"/>
  <c r="CA20" i="16" s="1"/>
  <c r="HP21" i="15"/>
  <c r="BZ20" i="16" s="1"/>
  <c r="HM21" i="15"/>
  <c r="BY20" i="16" s="1"/>
  <c r="HJ21" i="15"/>
  <c r="BX20" i="16" s="1"/>
  <c r="HE21" i="15"/>
  <c r="GW21" i="15"/>
  <c r="GS21" i="15"/>
  <c r="BF20" i="16" s="1"/>
  <c r="GP21" i="15"/>
  <c r="BE20" i="16" s="1"/>
  <c r="GM21" i="15"/>
  <c r="BC20" i="16" s="1"/>
  <c r="GD21" i="15"/>
  <c r="FX21" i="15"/>
  <c r="AP20" i="16" s="1"/>
  <c r="FS21" i="15"/>
  <c r="FP21" i="15"/>
  <c r="FJ21" i="15"/>
  <c r="BA20" i="16" s="1"/>
  <c r="FC21" i="15"/>
  <c r="EZ21" i="15"/>
  <c r="EZ58" i="15" s="1"/>
  <c r="EW21" i="15"/>
  <c r="AV20" i="16" s="1"/>
  <c r="ET21" i="15"/>
  <c r="AU20" i="16" s="1"/>
  <c r="EM21" i="15"/>
  <c r="AN20" i="16" s="1"/>
  <c r="EJ21" i="15"/>
  <c r="AM20" i="16" s="1"/>
  <c r="DZ21" i="15"/>
  <c r="AI20" i="16" s="1"/>
  <c r="DW21" i="15"/>
  <c r="AH20" i="16" s="1"/>
  <c r="DT21" i="15"/>
  <c r="DR21" i="15"/>
  <c r="AD20" i="16" s="1"/>
  <c r="DE21" i="15"/>
  <c r="DA21" i="15"/>
  <c r="X20" i="16" s="1"/>
  <c r="CW21" i="15"/>
  <c r="CS21" i="15"/>
  <c r="U20" i="16" s="1"/>
  <c r="CO21" i="15"/>
  <c r="T20" i="16" s="1"/>
  <c r="CH21" i="15"/>
  <c r="R20" i="16" s="1"/>
  <c r="CF21" i="15"/>
  <c r="Q20" i="16" s="1"/>
  <c r="CD21" i="15"/>
  <c r="P20" i="16" s="1"/>
  <c r="CA21" i="15"/>
  <c r="O20" i="16" s="1"/>
  <c r="BW21" i="15"/>
  <c r="BX21" i="15" s="1"/>
  <c r="BT21" i="15"/>
  <c r="BR21" i="15"/>
  <c r="Z20" i="16" s="1"/>
  <c r="BP21" i="15"/>
  <c r="BN21" i="15"/>
  <c r="BL21" i="15"/>
  <c r="BJ21" i="15"/>
  <c r="AB20" i="16" s="1"/>
  <c r="BG21" i="15"/>
  <c r="AA20" i="16" s="1"/>
  <c r="BC21" i="15"/>
  <c r="M20" i="16" s="1"/>
  <c r="AZ21" i="15"/>
  <c r="L20" i="16" s="1"/>
  <c r="AR21" i="15"/>
  <c r="K20" i="16" s="1"/>
  <c r="AI21" i="15"/>
  <c r="AE21" i="15"/>
  <c r="H20" i="16" s="1"/>
  <c r="AB21" i="15"/>
  <c r="F20" i="16" s="1"/>
  <c r="V21" i="15"/>
  <c r="E20" i="16" s="1"/>
  <c r="T21" i="15"/>
  <c r="D20" i="16" s="1"/>
  <c r="Q21" i="15"/>
  <c r="N21" i="15"/>
  <c r="C20" i="16" s="1"/>
  <c r="K21" i="15"/>
  <c r="F21" i="15"/>
  <c r="D21" i="15"/>
  <c r="C21" i="15"/>
  <c r="KE20" i="15"/>
  <c r="KB20" i="15"/>
  <c r="JY20" i="15"/>
  <c r="JV20" i="15"/>
  <c r="JS20" i="15"/>
  <c r="JP20" i="15"/>
  <c r="JM20" i="15"/>
  <c r="JJ20" i="15"/>
  <c r="JG20" i="15"/>
  <c r="JD20" i="15"/>
  <c r="JA20" i="15"/>
  <c r="IX20" i="15"/>
  <c r="IU20" i="15"/>
  <c r="IR20" i="15"/>
  <c r="IO20" i="15"/>
  <c r="IL20" i="15"/>
  <c r="IE20" i="15"/>
  <c r="CE19" i="16" s="1"/>
  <c r="IB20" i="15"/>
  <c r="CD19" i="16" s="1"/>
  <c r="HY20" i="15"/>
  <c r="HV20" i="15"/>
  <c r="CB19" i="16" s="1"/>
  <c r="HS20" i="15"/>
  <c r="CA19" i="16" s="1"/>
  <c r="HP20" i="15"/>
  <c r="BZ19" i="16" s="1"/>
  <c r="HM20" i="15"/>
  <c r="BY19" i="16" s="1"/>
  <c r="HJ20" i="15"/>
  <c r="BX19" i="16" s="1"/>
  <c r="HE20" i="15"/>
  <c r="GW20" i="15"/>
  <c r="GS20" i="15"/>
  <c r="GP20" i="15"/>
  <c r="BE19" i="16" s="1"/>
  <c r="GM20" i="15"/>
  <c r="BC19" i="16" s="1"/>
  <c r="GD20" i="15"/>
  <c r="FX20" i="15"/>
  <c r="AP19" i="16" s="1"/>
  <c r="FS20" i="15"/>
  <c r="FP20" i="15"/>
  <c r="FA57" i="15" s="1"/>
  <c r="FJ20" i="15"/>
  <c r="BA19" i="16" s="1"/>
  <c r="FC20" i="15"/>
  <c r="EZ20" i="15"/>
  <c r="EZ57" i="15" s="1"/>
  <c r="EW20" i="15"/>
  <c r="AV19" i="16" s="1"/>
  <c r="ET20" i="15"/>
  <c r="AU19" i="16" s="1"/>
  <c r="EM20" i="15"/>
  <c r="AN19" i="16" s="1"/>
  <c r="EJ20" i="15"/>
  <c r="AM19" i="16" s="1"/>
  <c r="DZ20" i="15"/>
  <c r="AI19" i="16" s="1"/>
  <c r="DW20" i="15"/>
  <c r="AH19" i="16" s="1"/>
  <c r="DT20" i="15"/>
  <c r="DR20" i="15"/>
  <c r="AD19" i="16" s="1"/>
  <c r="DE20" i="15"/>
  <c r="DA20" i="15"/>
  <c r="X19" i="16" s="1"/>
  <c r="CW20" i="15"/>
  <c r="W19" i="16" s="1"/>
  <c r="CS20" i="15"/>
  <c r="U19" i="16" s="1"/>
  <c r="CO20" i="15"/>
  <c r="T19" i="16" s="1"/>
  <c r="CH20" i="15"/>
  <c r="R19" i="16" s="1"/>
  <c r="CF20" i="15"/>
  <c r="Q19" i="16" s="1"/>
  <c r="CD20" i="15"/>
  <c r="P19" i="16" s="1"/>
  <c r="CA20" i="15"/>
  <c r="BW20" i="15"/>
  <c r="BX20" i="15" s="1"/>
  <c r="BT20" i="15"/>
  <c r="BR20" i="15"/>
  <c r="Z19" i="16" s="1"/>
  <c r="BP20" i="15"/>
  <c r="BN20" i="15"/>
  <c r="BL20" i="15"/>
  <c r="BJ20" i="15"/>
  <c r="AB19" i="16" s="1"/>
  <c r="BG20" i="15"/>
  <c r="AA19" i="16" s="1"/>
  <c r="BC20" i="15"/>
  <c r="M19" i="16" s="1"/>
  <c r="AZ20" i="15"/>
  <c r="L19" i="16" s="1"/>
  <c r="AR20" i="15"/>
  <c r="K19" i="16" s="1"/>
  <c r="AI20" i="15"/>
  <c r="I19" i="16" s="1"/>
  <c r="AE20" i="15"/>
  <c r="H19" i="16" s="1"/>
  <c r="AB20" i="15"/>
  <c r="F19" i="16" s="1"/>
  <c r="V20" i="15"/>
  <c r="E19" i="16" s="1"/>
  <c r="T20" i="15"/>
  <c r="Q20" i="15"/>
  <c r="N20" i="15"/>
  <c r="C19" i="16" s="1"/>
  <c r="K20" i="15"/>
  <c r="F20" i="15"/>
  <c r="D20" i="15"/>
  <c r="C20" i="15"/>
  <c r="KE19" i="15"/>
  <c r="KB19" i="15"/>
  <c r="JY19" i="15"/>
  <c r="JV19" i="15"/>
  <c r="JS19" i="15"/>
  <c r="JP19" i="15"/>
  <c r="JM19" i="15"/>
  <c r="JJ19" i="15"/>
  <c r="JG19" i="15"/>
  <c r="JD19" i="15"/>
  <c r="JA19" i="15"/>
  <c r="IX19" i="15"/>
  <c r="IU19" i="15"/>
  <c r="IR19" i="15"/>
  <c r="IO19" i="15"/>
  <c r="IL19" i="15"/>
  <c r="IE19" i="15"/>
  <c r="CE18" i="16" s="1"/>
  <c r="IB19" i="15"/>
  <c r="CD18" i="16" s="1"/>
  <c r="HY19" i="15"/>
  <c r="HV19" i="15"/>
  <c r="CB18" i="16" s="1"/>
  <c r="HS19" i="15"/>
  <c r="CA18" i="16" s="1"/>
  <c r="HP19" i="15"/>
  <c r="BZ18" i="16" s="1"/>
  <c r="HM19" i="15"/>
  <c r="BY18" i="16" s="1"/>
  <c r="HJ19" i="15"/>
  <c r="BX18" i="16" s="1"/>
  <c r="HE19" i="15"/>
  <c r="GW19" i="15"/>
  <c r="GS19" i="15"/>
  <c r="BF18" i="16" s="1"/>
  <c r="GP19" i="15"/>
  <c r="BE18" i="16" s="1"/>
  <c r="GM19" i="15"/>
  <c r="BC18" i="16" s="1"/>
  <c r="AX18" i="16"/>
  <c r="GD19" i="15"/>
  <c r="FX19" i="15"/>
  <c r="AP18" i="16" s="1"/>
  <c r="FS19" i="15"/>
  <c r="FP19" i="15"/>
  <c r="FA56" i="15" s="1"/>
  <c r="FJ19" i="15"/>
  <c r="BA18" i="16" s="1"/>
  <c r="FC19" i="15"/>
  <c r="EZ19" i="15"/>
  <c r="EZ56" i="15" s="1"/>
  <c r="EW19" i="15"/>
  <c r="AV18" i="16" s="1"/>
  <c r="ET19" i="15"/>
  <c r="AU18" i="16" s="1"/>
  <c r="EM19" i="15"/>
  <c r="AN18" i="16" s="1"/>
  <c r="EJ19" i="15"/>
  <c r="AM18" i="16" s="1"/>
  <c r="DZ19" i="15"/>
  <c r="AI18" i="16" s="1"/>
  <c r="DW19" i="15"/>
  <c r="DT19" i="15"/>
  <c r="DR19" i="15"/>
  <c r="AD18" i="16" s="1"/>
  <c r="DE19" i="15"/>
  <c r="DF19" i="15" s="1"/>
  <c r="DA19" i="15"/>
  <c r="CW19" i="15"/>
  <c r="CS19" i="15"/>
  <c r="U18" i="16" s="1"/>
  <c r="CO19" i="15"/>
  <c r="T18" i="16" s="1"/>
  <c r="CH19" i="15"/>
  <c r="R18" i="16" s="1"/>
  <c r="CF19" i="15"/>
  <c r="Q18" i="16" s="1"/>
  <c r="CD19" i="15"/>
  <c r="P18" i="16" s="1"/>
  <c r="CA19" i="15"/>
  <c r="O18" i="16" s="1"/>
  <c r="BW19" i="15"/>
  <c r="BX19" i="15" s="1"/>
  <c r="BT19" i="15"/>
  <c r="BR19" i="15"/>
  <c r="Z18" i="16" s="1"/>
  <c r="BP19" i="15"/>
  <c r="BN19" i="15"/>
  <c r="BL19" i="15"/>
  <c r="BJ19" i="15"/>
  <c r="AB18" i="16" s="1"/>
  <c r="BG19" i="15"/>
  <c r="AA18" i="16" s="1"/>
  <c r="BC19" i="15"/>
  <c r="M18" i="16" s="1"/>
  <c r="AZ19" i="15"/>
  <c r="L18" i="16" s="1"/>
  <c r="AR19" i="15"/>
  <c r="K18" i="16" s="1"/>
  <c r="AI19" i="15"/>
  <c r="I18" i="16" s="1"/>
  <c r="AE19" i="15"/>
  <c r="H18" i="16" s="1"/>
  <c r="AB19" i="15"/>
  <c r="F18" i="16" s="1"/>
  <c r="V19" i="15"/>
  <c r="E18" i="16" s="1"/>
  <c r="T19" i="15"/>
  <c r="D18" i="16" s="1"/>
  <c r="Q19" i="15"/>
  <c r="R19" i="15" s="1"/>
  <c r="N19" i="15"/>
  <c r="C18" i="16" s="1"/>
  <c r="K19" i="15"/>
  <c r="F19" i="15"/>
  <c r="D19" i="15"/>
  <c r="C19" i="15"/>
  <c r="IE18" i="15"/>
  <c r="CE17" i="16" s="1"/>
  <c r="IB18" i="15"/>
  <c r="CD17" i="16" s="1"/>
  <c r="HY18" i="15"/>
  <c r="CC17" i="16" s="1"/>
  <c r="HV18" i="15"/>
  <c r="CB17" i="16" s="1"/>
  <c r="HS18" i="15"/>
  <c r="CA17" i="16" s="1"/>
  <c r="HP18" i="15"/>
  <c r="BZ17" i="16" s="1"/>
  <c r="HM18" i="15"/>
  <c r="BY17" i="16" s="1"/>
  <c r="HJ18" i="15"/>
  <c r="BX17" i="16" s="1"/>
  <c r="HE18" i="15"/>
  <c r="GW18" i="15"/>
  <c r="GS18" i="15"/>
  <c r="BF17" i="16" s="1"/>
  <c r="GP18" i="15"/>
  <c r="BE17" i="16" s="1"/>
  <c r="GM18" i="15"/>
  <c r="BC17" i="16" s="1"/>
  <c r="GD18" i="15"/>
  <c r="AQ17" i="16"/>
  <c r="FX18" i="15"/>
  <c r="AP17" i="16" s="1"/>
  <c r="FS18" i="15"/>
  <c r="FP18" i="15"/>
  <c r="FA55" i="15" s="1"/>
  <c r="FJ18" i="15"/>
  <c r="BA17" i="16" s="1"/>
  <c r="FC18" i="15"/>
  <c r="EZ18" i="15"/>
  <c r="EZ55" i="15" s="1"/>
  <c r="EW18" i="15"/>
  <c r="AV17" i="16" s="1"/>
  <c r="ET18" i="15"/>
  <c r="AU17" i="16" s="1"/>
  <c r="EM18" i="15"/>
  <c r="AN17" i="16" s="1"/>
  <c r="EJ18" i="15"/>
  <c r="AM17" i="16" s="1"/>
  <c r="DZ18" i="15"/>
  <c r="AI17" i="16" s="1"/>
  <c r="DW18" i="15"/>
  <c r="AH17" i="16" s="1"/>
  <c r="DT18" i="15"/>
  <c r="DR18" i="15"/>
  <c r="AD17" i="16" s="1"/>
  <c r="DE18" i="15"/>
  <c r="DF18" i="15" s="1"/>
  <c r="DA18" i="15"/>
  <c r="DB18" i="15" s="1"/>
  <c r="CW18" i="15"/>
  <c r="W17" i="16" s="1"/>
  <c r="CS18" i="15"/>
  <c r="U17" i="16" s="1"/>
  <c r="CO18" i="15"/>
  <c r="T17" i="16" s="1"/>
  <c r="CH18" i="15"/>
  <c r="R17" i="16" s="1"/>
  <c r="CF18" i="15"/>
  <c r="Q17" i="16" s="1"/>
  <c r="CD18" i="15"/>
  <c r="P17" i="16" s="1"/>
  <c r="CA18" i="15"/>
  <c r="O17" i="16" s="1"/>
  <c r="BW18" i="15"/>
  <c r="BX18" i="15" s="1"/>
  <c r="BT18" i="15"/>
  <c r="BR18" i="15"/>
  <c r="Z17" i="16" s="1"/>
  <c r="BP18" i="15"/>
  <c r="BN18" i="15"/>
  <c r="BL18" i="15"/>
  <c r="BJ18" i="15"/>
  <c r="AB17" i="16" s="1"/>
  <c r="BG18" i="15"/>
  <c r="AA17" i="16" s="1"/>
  <c r="BC18" i="15"/>
  <c r="M17" i="16" s="1"/>
  <c r="AZ18" i="15"/>
  <c r="L17" i="16" s="1"/>
  <c r="AR18" i="15"/>
  <c r="K17" i="16" s="1"/>
  <c r="AI18" i="15"/>
  <c r="I17" i="16" s="1"/>
  <c r="AE18" i="15"/>
  <c r="H17" i="16" s="1"/>
  <c r="AB18" i="15"/>
  <c r="F17" i="16" s="1"/>
  <c r="V18" i="15"/>
  <c r="E17" i="16" s="1"/>
  <c r="T18" i="15"/>
  <c r="D17" i="16" s="1"/>
  <c r="Q18" i="15"/>
  <c r="R18" i="15" s="1"/>
  <c r="N18" i="15"/>
  <c r="C17" i="16" s="1"/>
  <c r="K18" i="15"/>
  <c r="F18" i="15"/>
  <c r="D18" i="15"/>
  <c r="C18" i="15"/>
  <c r="IE17" i="15"/>
  <c r="CE16" i="16" s="1"/>
  <c r="IB17" i="15"/>
  <c r="CD16" i="16" s="1"/>
  <c r="HY17" i="15"/>
  <c r="HV17" i="15"/>
  <c r="CB16" i="16" s="1"/>
  <c r="HS17" i="15"/>
  <c r="CA16" i="16" s="1"/>
  <c r="HP17" i="15"/>
  <c r="BZ16" i="16" s="1"/>
  <c r="HM17" i="15"/>
  <c r="BY16" i="16" s="1"/>
  <c r="HJ17" i="15"/>
  <c r="BX16" i="16" s="1"/>
  <c r="HE17" i="15"/>
  <c r="GW17" i="15"/>
  <c r="GS17" i="15"/>
  <c r="BF16" i="16" s="1"/>
  <c r="GP17" i="15"/>
  <c r="BE16" i="16" s="1"/>
  <c r="GM17" i="15"/>
  <c r="BC16" i="16" s="1"/>
  <c r="GD17" i="15"/>
  <c r="AQ16" i="16"/>
  <c r="FX17" i="15"/>
  <c r="AP16" i="16" s="1"/>
  <c r="FS17" i="15"/>
  <c r="FP17" i="15"/>
  <c r="FA54" i="15" s="1"/>
  <c r="FJ17" i="15"/>
  <c r="BA16" i="16" s="1"/>
  <c r="FC17" i="15"/>
  <c r="EZ17" i="15"/>
  <c r="EZ54" i="15" s="1"/>
  <c r="EW17" i="15"/>
  <c r="AV16" i="16" s="1"/>
  <c r="ET17" i="15"/>
  <c r="AU16" i="16" s="1"/>
  <c r="AN16" i="16"/>
  <c r="EJ17" i="15"/>
  <c r="AM16" i="16" s="1"/>
  <c r="DZ17" i="15"/>
  <c r="AI16" i="16" s="1"/>
  <c r="DW17" i="15"/>
  <c r="AH16" i="16" s="1"/>
  <c r="DT17" i="15"/>
  <c r="DR17" i="15"/>
  <c r="AD16" i="16" s="1"/>
  <c r="DE17" i="15"/>
  <c r="DA17" i="15"/>
  <c r="X16" i="16" s="1"/>
  <c r="CW17" i="15"/>
  <c r="W16" i="16" s="1"/>
  <c r="CS17" i="15"/>
  <c r="U16" i="16" s="1"/>
  <c r="CO17" i="15"/>
  <c r="T16" i="16" s="1"/>
  <c r="CH17" i="15"/>
  <c r="R16" i="16" s="1"/>
  <c r="CF17" i="15"/>
  <c r="Q16" i="16" s="1"/>
  <c r="CD17" i="15"/>
  <c r="P16" i="16" s="1"/>
  <c r="CA17" i="15"/>
  <c r="O16" i="16" s="1"/>
  <c r="BW17" i="15"/>
  <c r="BX17" i="15" s="1"/>
  <c r="BT17" i="15"/>
  <c r="BR17" i="15"/>
  <c r="Z16" i="16" s="1"/>
  <c r="BP17" i="15"/>
  <c r="BN17" i="15"/>
  <c r="BL17" i="15"/>
  <c r="BJ17" i="15"/>
  <c r="AB16" i="16" s="1"/>
  <c r="BG17" i="15"/>
  <c r="AA16" i="16" s="1"/>
  <c r="BC17" i="15"/>
  <c r="M16" i="16" s="1"/>
  <c r="AZ17" i="15"/>
  <c r="L16" i="16" s="1"/>
  <c r="AR17" i="15"/>
  <c r="K16" i="16" s="1"/>
  <c r="AI17" i="15"/>
  <c r="I16" i="16" s="1"/>
  <c r="AE17" i="15"/>
  <c r="H16" i="16" s="1"/>
  <c r="AB17" i="15"/>
  <c r="F16" i="16" s="1"/>
  <c r="V17" i="15"/>
  <c r="E16" i="16" s="1"/>
  <c r="T17" i="15"/>
  <c r="D16" i="16" s="1"/>
  <c r="Q17" i="15"/>
  <c r="N17" i="15"/>
  <c r="C16" i="16" s="1"/>
  <c r="K17" i="15"/>
  <c r="F17" i="15"/>
  <c r="D17" i="15"/>
  <c r="C17" i="15"/>
  <c r="IE16" i="15"/>
  <c r="CE15" i="16" s="1"/>
  <c r="IB16" i="15"/>
  <c r="CD15" i="16" s="1"/>
  <c r="HY16" i="15"/>
  <c r="HV16" i="15"/>
  <c r="CB15" i="16" s="1"/>
  <c r="HS16" i="15"/>
  <c r="CA15" i="16" s="1"/>
  <c r="HP16" i="15"/>
  <c r="BZ15" i="16" s="1"/>
  <c r="HM16" i="15"/>
  <c r="BY15" i="16" s="1"/>
  <c r="HJ16" i="15"/>
  <c r="BX15" i="16" s="1"/>
  <c r="HE16" i="15"/>
  <c r="GW16" i="15"/>
  <c r="GS16" i="15"/>
  <c r="BF15" i="16" s="1"/>
  <c r="GP16" i="15"/>
  <c r="BE15" i="16" s="1"/>
  <c r="GM16" i="15"/>
  <c r="BC15" i="16" s="1"/>
  <c r="GD16" i="15"/>
  <c r="FX16" i="15"/>
  <c r="AP15" i="16" s="1"/>
  <c r="FS16" i="15"/>
  <c r="FP16" i="15"/>
  <c r="FA53" i="15" s="1"/>
  <c r="FJ16" i="15"/>
  <c r="BA15" i="16" s="1"/>
  <c r="FC16" i="15"/>
  <c r="EZ16" i="15"/>
  <c r="EZ53" i="15" s="1"/>
  <c r="EW16" i="15"/>
  <c r="AV15" i="16" s="1"/>
  <c r="ET16" i="15"/>
  <c r="AU15" i="16" s="1"/>
  <c r="EM16" i="15"/>
  <c r="AN15" i="16" s="1"/>
  <c r="EJ16" i="15"/>
  <c r="AM15" i="16" s="1"/>
  <c r="DZ16" i="15"/>
  <c r="AI15" i="16" s="1"/>
  <c r="DW16" i="15"/>
  <c r="AH15" i="16" s="1"/>
  <c r="DT16" i="15"/>
  <c r="DR16" i="15"/>
  <c r="AD15" i="16" s="1"/>
  <c r="DE16" i="15"/>
  <c r="DF16" i="15" s="1"/>
  <c r="DA16" i="15"/>
  <c r="X15" i="16" s="1"/>
  <c r="CW16" i="15"/>
  <c r="W15" i="16" s="1"/>
  <c r="CS16" i="15"/>
  <c r="U15" i="16" s="1"/>
  <c r="CO16" i="15"/>
  <c r="T15" i="16" s="1"/>
  <c r="CH16" i="15"/>
  <c r="R15" i="16" s="1"/>
  <c r="CF16" i="15"/>
  <c r="Q15" i="16" s="1"/>
  <c r="CD16" i="15"/>
  <c r="P15" i="16" s="1"/>
  <c r="CA16" i="15"/>
  <c r="O15" i="16" s="1"/>
  <c r="BW16" i="15"/>
  <c r="BX16" i="15" s="1"/>
  <c r="BT16" i="15"/>
  <c r="BR16" i="15"/>
  <c r="Z15" i="16" s="1"/>
  <c r="BP16" i="15"/>
  <c r="BN16" i="15"/>
  <c r="BL16" i="15"/>
  <c r="BJ16" i="15"/>
  <c r="AB15" i="16" s="1"/>
  <c r="BG16" i="15"/>
  <c r="AA15" i="16" s="1"/>
  <c r="BC16" i="15"/>
  <c r="M15" i="16" s="1"/>
  <c r="AZ16" i="15"/>
  <c r="L15" i="16" s="1"/>
  <c r="AR16" i="15"/>
  <c r="K15" i="16" s="1"/>
  <c r="AI16" i="15"/>
  <c r="I15" i="16" s="1"/>
  <c r="AE16" i="15"/>
  <c r="H15" i="16" s="1"/>
  <c r="AB16" i="15"/>
  <c r="F15" i="16" s="1"/>
  <c r="V16" i="15"/>
  <c r="E15" i="16" s="1"/>
  <c r="T16" i="15"/>
  <c r="D15" i="16" s="1"/>
  <c r="Q16" i="15"/>
  <c r="R16" i="15" s="1"/>
  <c r="N16" i="15"/>
  <c r="C15" i="16" s="1"/>
  <c r="K16" i="15"/>
  <c r="F16" i="15"/>
  <c r="D16" i="15"/>
  <c r="C16" i="15"/>
  <c r="IE15" i="15"/>
  <c r="CE14" i="16" s="1"/>
  <c r="IB15" i="15"/>
  <c r="CD14" i="16" s="1"/>
  <c r="HY15" i="15"/>
  <c r="HV15" i="15"/>
  <c r="CB14" i="16" s="1"/>
  <c r="HS15" i="15"/>
  <c r="CA14" i="16" s="1"/>
  <c r="HP15" i="15"/>
  <c r="BZ14" i="16" s="1"/>
  <c r="HM15" i="15"/>
  <c r="BY14" i="16" s="1"/>
  <c r="HJ15" i="15"/>
  <c r="BX14" i="16" s="1"/>
  <c r="HE15" i="15"/>
  <c r="GW15" i="15"/>
  <c r="GS15" i="15"/>
  <c r="BF14" i="16" s="1"/>
  <c r="GP15" i="15"/>
  <c r="BE14" i="16" s="1"/>
  <c r="GM15" i="15"/>
  <c r="BC14" i="16" s="1"/>
  <c r="GD15" i="15"/>
  <c r="FX15" i="15"/>
  <c r="AP14" i="16" s="1"/>
  <c r="FS15" i="15"/>
  <c r="FP15" i="15"/>
  <c r="FA52" i="15" s="1"/>
  <c r="FJ15" i="15"/>
  <c r="BA14" i="16" s="1"/>
  <c r="FC15" i="15"/>
  <c r="EZ15" i="15"/>
  <c r="EZ52" i="15" s="1"/>
  <c r="EW15" i="15"/>
  <c r="AV14" i="16" s="1"/>
  <c r="ET15" i="15"/>
  <c r="AU14" i="16" s="1"/>
  <c r="EM15" i="15"/>
  <c r="AN14" i="16" s="1"/>
  <c r="EJ15" i="15"/>
  <c r="AM14" i="16" s="1"/>
  <c r="DZ15" i="15"/>
  <c r="AI14" i="16" s="1"/>
  <c r="DW15" i="15"/>
  <c r="AH14" i="16" s="1"/>
  <c r="DT15" i="15"/>
  <c r="DR15" i="15"/>
  <c r="AD14" i="16" s="1"/>
  <c r="DE15" i="15"/>
  <c r="DA15" i="15"/>
  <c r="X14" i="16" s="1"/>
  <c r="CW15" i="15"/>
  <c r="W14" i="16" s="1"/>
  <c r="CS15" i="15"/>
  <c r="U14" i="16" s="1"/>
  <c r="CO15" i="15"/>
  <c r="T14" i="16" s="1"/>
  <c r="CH15" i="15"/>
  <c r="R14" i="16" s="1"/>
  <c r="CF15" i="15"/>
  <c r="Q14" i="16" s="1"/>
  <c r="CD15" i="15"/>
  <c r="P14" i="16" s="1"/>
  <c r="CA15" i="15"/>
  <c r="O14" i="16" s="1"/>
  <c r="BW15" i="15"/>
  <c r="BX15" i="15" s="1"/>
  <c r="BT15" i="15"/>
  <c r="BR15" i="15"/>
  <c r="Z14" i="16" s="1"/>
  <c r="BP15" i="15"/>
  <c r="BN15" i="15"/>
  <c r="BL15" i="15"/>
  <c r="BJ15" i="15"/>
  <c r="AB14" i="16" s="1"/>
  <c r="BG15" i="15"/>
  <c r="AA14" i="16" s="1"/>
  <c r="BC15" i="15"/>
  <c r="M14" i="16" s="1"/>
  <c r="AZ15" i="15"/>
  <c r="L14" i="16" s="1"/>
  <c r="AR15" i="15"/>
  <c r="K14" i="16" s="1"/>
  <c r="AI15" i="15"/>
  <c r="I14" i="16" s="1"/>
  <c r="AE15" i="15"/>
  <c r="H14" i="16" s="1"/>
  <c r="AB15" i="15"/>
  <c r="F14" i="16" s="1"/>
  <c r="V15" i="15"/>
  <c r="E14" i="16" s="1"/>
  <c r="T15" i="15"/>
  <c r="D14" i="16" s="1"/>
  <c r="Q15" i="15"/>
  <c r="R15" i="15" s="1"/>
  <c r="N15" i="15"/>
  <c r="C14" i="16" s="1"/>
  <c r="K15" i="15"/>
  <c r="F15" i="15"/>
  <c r="D15" i="15"/>
  <c r="C15" i="15"/>
  <c r="IE14" i="15"/>
  <c r="CE13" i="16" s="1"/>
  <c r="IB14" i="15"/>
  <c r="CD13" i="16" s="1"/>
  <c r="HY14" i="15"/>
  <c r="CC13" i="16" s="1"/>
  <c r="HV14" i="15"/>
  <c r="CB13" i="16" s="1"/>
  <c r="HS14" i="15"/>
  <c r="CA13" i="16" s="1"/>
  <c r="HP14" i="15"/>
  <c r="BZ13" i="16" s="1"/>
  <c r="HM14" i="15"/>
  <c r="BY13" i="16" s="1"/>
  <c r="HJ14" i="15"/>
  <c r="BX13" i="16" s="1"/>
  <c r="HE14" i="15"/>
  <c r="GW14" i="15"/>
  <c r="GS14" i="15"/>
  <c r="BF13" i="16" s="1"/>
  <c r="GP14" i="15"/>
  <c r="BE13" i="16" s="1"/>
  <c r="GM14" i="15"/>
  <c r="BC13" i="16" s="1"/>
  <c r="GD14" i="15"/>
  <c r="AQ13" i="16"/>
  <c r="FX14" i="15"/>
  <c r="AP13" i="16" s="1"/>
  <c r="FS14" i="15"/>
  <c r="FP14" i="15"/>
  <c r="FA51" i="15" s="1"/>
  <c r="FJ14" i="15"/>
  <c r="BA13" i="16" s="1"/>
  <c r="FC14" i="15"/>
  <c r="EZ14" i="15"/>
  <c r="EZ51" i="15" s="1"/>
  <c r="EW14" i="15"/>
  <c r="AV13" i="16" s="1"/>
  <c r="ET14" i="15"/>
  <c r="AU13" i="16" s="1"/>
  <c r="EM14" i="15"/>
  <c r="AN13" i="16" s="1"/>
  <c r="EJ14" i="15"/>
  <c r="AM13" i="16" s="1"/>
  <c r="DZ14" i="15"/>
  <c r="AI13" i="16" s="1"/>
  <c r="DW14" i="15"/>
  <c r="AH13" i="16" s="1"/>
  <c r="DT14" i="15"/>
  <c r="DR14" i="15"/>
  <c r="AD13" i="16" s="1"/>
  <c r="DE14" i="15"/>
  <c r="DF14" i="15" s="1"/>
  <c r="DA14" i="15"/>
  <c r="X13" i="16" s="1"/>
  <c r="CW14" i="15"/>
  <c r="W13" i="16" s="1"/>
  <c r="CS14" i="15"/>
  <c r="U13" i="16" s="1"/>
  <c r="CO14" i="15"/>
  <c r="T13" i="16" s="1"/>
  <c r="CH14" i="15"/>
  <c r="R13" i="16" s="1"/>
  <c r="CF14" i="15"/>
  <c r="Q13" i="16" s="1"/>
  <c r="CD14" i="15"/>
  <c r="P13" i="16" s="1"/>
  <c r="CA14" i="15"/>
  <c r="O13" i="16" s="1"/>
  <c r="BW14" i="15"/>
  <c r="BX14" i="15" s="1"/>
  <c r="BT14" i="15"/>
  <c r="BR14" i="15"/>
  <c r="Z13" i="16" s="1"/>
  <c r="BP14" i="15"/>
  <c r="BN14" i="15"/>
  <c r="BL14" i="15"/>
  <c r="BJ14" i="15"/>
  <c r="AB13" i="16" s="1"/>
  <c r="BG14" i="15"/>
  <c r="AA13" i="16" s="1"/>
  <c r="BC14" i="15"/>
  <c r="M13" i="16" s="1"/>
  <c r="AZ14" i="15"/>
  <c r="L13" i="16" s="1"/>
  <c r="AR14" i="15"/>
  <c r="K13" i="16" s="1"/>
  <c r="AI14" i="15"/>
  <c r="I13" i="16" s="1"/>
  <c r="AE14" i="15"/>
  <c r="H13" i="16" s="1"/>
  <c r="AB14" i="15"/>
  <c r="F13" i="16" s="1"/>
  <c r="V14" i="15"/>
  <c r="E13" i="16" s="1"/>
  <c r="T14" i="15"/>
  <c r="D13" i="16" s="1"/>
  <c r="Q14" i="15"/>
  <c r="R14" i="15" s="1"/>
  <c r="N14" i="15"/>
  <c r="C13" i="16" s="1"/>
  <c r="K14" i="15"/>
  <c r="F14" i="15"/>
  <c r="D14" i="15"/>
  <c r="C14" i="15"/>
  <c r="IE13" i="15"/>
  <c r="CE12" i="16" s="1"/>
  <c r="IB13" i="15"/>
  <c r="CD12" i="16" s="1"/>
  <c r="HY13" i="15"/>
  <c r="CC12" i="16" s="1"/>
  <c r="HV13" i="15"/>
  <c r="CB12" i="16" s="1"/>
  <c r="HS13" i="15"/>
  <c r="CA12" i="16" s="1"/>
  <c r="HP13" i="15"/>
  <c r="BZ12" i="16" s="1"/>
  <c r="HM13" i="15"/>
  <c r="BY12" i="16" s="1"/>
  <c r="HJ13" i="15"/>
  <c r="BX12" i="16" s="1"/>
  <c r="HE13" i="15"/>
  <c r="GW13" i="15"/>
  <c r="GS13" i="15"/>
  <c r="BF12" i="16" s="1"/>
  <c r="GP13" i="15"/>
  <c r="BE12" i="16" s="1"/>
  <c r="GM13" i="15"/>
  <c r="BC12" i="16" s="1"/>
  <c r="GD13" i="15"/>
  <c r="AQ12" i="16"/>
  <c r="FX13" i="15"/>
  <c r="AP12" i="16" s="1"/>
  <c r="FS13" i="15"/>
  <c r="FP13" i="15"/>
  <c r="FA50" i="15" s="1"/>
  <c r="FJ13" i="15"/>
  <c r="BA12" i="16" s="1"/>
  <c r="FC13" i="15"/>
  <c r="EZ13" i="15"/>
  <c r="EZ50" i="15" s="1"/>
  <c r="EW13" i="15"/>
  <c r="AV12" i="16" s="1"/>
  <c r="ET13" i="15"/>
  <c r="AU12" i="16" s="1"/>
  <c r="EM13" i="15"/>
  <c r="AN12" i="16" s="1"/>
  <c r="EJ13" i="15"/>
  <c r="AM12" i="16" s="1"/>
  <c r="DZ13" i="15"/>
  <c r="AI12" i="16" s="1"/>
  <c r="DW13" i="15"/>
  <c r="AH12" i="16" s="1"/>
  <c r="DT13" i="15"/>
  <c r="DR13" i="15"/>
  <c r="AD12" i="16" s="1"/>
  <c r="DE13" i="15"/>
  <c r="DA13" i="15"/>
  <c r="X12" i="16" s="1"/>
  <c r="CW13" i="15"/>
  <c r="W12" i="16" s="1"/>
  <c r="CS13" i="15"/>
  <c r="U12" i="16" s="1"/>
  <c r="CO13" i="15"/>
  <c r="T12" i="16" s="1"/>
  <c r="CH13" i="15"/>
  <c r="R12" i="16" s="1"/>
  <c r="CF13" i="15"/>
  <c r="Q12" i="16" s="1"/>
  <c r="CD13" i="15"/>
  <c r="CA13" i="15"/>
  <c r="O12" i="16" s="1"/>
  <c r="BW13" i="15"/>
  <c r="CD47" i="15" s="1"/>
  <c r="BT13" i="15"/>
  <c r="BR13" i="15"/>
  <c r="Z12" i="16" s="1"/>
  <c r="BP13" i="15"/>
  <c r="BN13" i="15"/>
  <c r="BL13" i="15"/>
  <c r="BJ13" i="15"/>
  <c r="AB12" i="16" s="1"/>
  <c r="BG13" i="15"/>
  <c r="AA12" i="16" s="1"/>
  <c r="BC13" i="15"/>
  <c r="M12" i="16" s="1"/>
  <c r="AZ13" i="15"/>
  <c r="L12" i="16" s="1"/>
  <c r="AR13" i="15"/>
  <c r="K12" i="16" s="1"/>
  <c r="AI13" i="15"/>
  <c r="I12" i="16" s="1"/>
  <c r="AE13" i="15"/>
  <c r="H12" i="16" s="1"/>
  <c r="AB13" i="15"/>
  <c r="F12" i="16" s="1"/>
  <c r="V13" i="15"/>
  <c r="E12" i="16" s="1"/>
  <c r="T13" i="15"/>
  <c r="D12" i="16" s="1"/>
  <c r="Q13" i="15"/>
  <c r="N13" i="15"/>
  <c r="C12" i="16" s="1"/>
  <c r="K13" i="15"/>
  <c r="F13" i="15"/>
  <c r="D13" i="15"/>
  <c r="C13" i="15"/>
  <c r="IE12" i="15"/>
  <c r="CE11" i="16" s="1"/>
  <c r="IB12" i="15"/>
  <c r="CD11" i="16" s="1"/>
  <c r="HY12" i="15"/>
  <c r="CC11" i="16" s="1"/>
  <c r="HV12" i="15"/>
  <c r="CB11" i="16" s="1"/>
  <c r="HS12" i="15"/>
  <c r="CA11" i="16" s="1"/>
  <c r="HP12" i="15"/>
  <c r="BZ11" i="16" s="1"/>
  <c r="HM12" i="15"/>
  <c r="BY11" i="16" s="1"/>
  <c r="HJ12" i="15"/>
  <c r="BX11" i="16" s="1"/>
  <c r="HE12" i="15"/>
  <c r="GW12" i="15"/>
  <c r="GS12" i="15"/>
  <c r="BF11" i="16" s="1"/>
  <c r="GP12" i="15"/>
  <c r="BE11" i="16" s="1"/>
  <c r="GM12" i="15"/>
  <c r="BC11" i="16" s="1"/>
  <c r="AX11" i="16"/>
  <c r="GD12" i="15"/>
  <c r="FX12" i="15"/>
  <c r="AP11" i="16" s="1"/>
  <c r="FS12" i="15"/>
  <c r="FP12" i="15"/>
  <c r="FA49" i="15" s="1"/>
  <c r="FJ12" i="15"/>
  <c r="BA11" i="16" s="1"/>
  <c r="FG12" i="15"/>
  <c r="AZ11" i="16" s="1"/>
  <c r="FC12" i="15"/>
  <c r="EZ12" i="15"/>
  <c r="EZ49" i="15" s="1"/>
  <c r="EW12" i="15"/>
  <c r="AV11" i="16" s="1"/>
  <c r="ET12" i="15"/>
  <c r="AU11" i="16" s="1"/>
  <c r="EM12" i="15"/>
  <c r="AN11" i="16" s="1"/>
  <c r="EJ12" i="15"/>
  <c r="AM11" i="16" s="1"/>
  <c r="DZ12" i="15"/>
  <c r="AI11" i="16" s="1"/>
  <c r="DW12" i="15"/>
  <c r="AH11" i="16" s="1"/>
  <c r="DT12" i="15"/>
  <c r="DR12" i="15"/>
  <c r="AD11" i="16" s="1"/>
  <c r="DE12" i="15"/>
  <c r="DF12" i="15" s="1"/>
  <c r="DA12" i="15"/>
  <c r="X11" i="16" s="1"/>
  <c r="CW12" i="15"/>
  <c r="W11" i="16" s="1"/>
  <c r="CS12" i="15"/>
  <c r="U11" i="16" s="1"/>
  <c r="CO12" i="15"/>
  <c r="T11" i="16" s="1"/>
  <c r="CH12" i="15"/>
  <c r="R11" i="16" s="1"/>
  <c r="CF12" i="15"/>
  <c r="Q11" i="16" s="1"/>
  <c r="CD12" i="15"/>
  <c r="CA12" i="15"/>
  <c r="O11" i="16" s="1"/>
  <c r="BW12" i="15"/>
  <c r="CD46" i="15" s="1"/>
  <c r="BT12" i="15"/>
  <c r="BR12" i="15"/>
  <c r="Z11" i="16" s="1"/>
  <c r="BP12" i="15"/>
  <c r="BN12" i="15"/>
  <c r="BL12" i="15"/>
  <c r="BJ12" i="15"/>
  <c r="AB11" i="16" s="1"/>
  <c r="BG12" i="15"/>
  <c r="AA11" i="16" s="1"/>
  <c r="BC12" i="15"/>
  <c r="M11" i="16" s="1"/>
  <c r="AZ12" i="15"/>
  <c r="L11" i="16" s="1"/>
  <c r="AR12" i="15"/>
  <c r="K11" i="16" s="1"/>
  <c r="AI12" i="15"/>
  <c r="I11" i="16" s="1"/>
  <c r="AE12" i="15"/>
  <c r="H11" i="16" s="1"/>
  <c r="AB12" i="15"/>
  <c r="F11" i="16" s="1"/>
  <c r="V12" i="15"/>
  <c r="E11" i="16" s="1"/>
  <c r="T12" i="15"/>
  <c r="D11" i="16" s="1"/>
  <c r="Q12" i="15"/>
  <c r="R12" i="15" s="1"/>
  <c r="N12" i="15"/>
  <c r="C11" i="16" s="1"/>
  <c r="K12" i="15"/>
  <c r="F12" i="15"/>
  <c r="D12" i="15"/>
  <c r="C12" i="15"/>
  <c r="IE11" i="15"/>
  <c r="CE10" i="16" s="1"/>
  <c r="IB11" i="15"/>
  <c r="CD10" i="16" s="1"/>
  <c r="HY11" i="15"/>
  <c r="CC10" i="16" s="1"/>
  <c r="HV11" i="15"/>
  <c r="CB10" i="16" s="1"/>
  <c r="HS11" i="15"/>
  <c r="CA10" i="16" s="1"/>
  <c r="HP11" i="15"/>
  <c r="BZ10" i="16" s="1"/>
  <c r="HM11" i="15"/>
  <c r="BY10" i="16" s="1"/>
  <c r="HJ11" i="15"/>
  <c r="BX10" i="16" s="1"/>
  <c r="HE11" i="15"/>
  <c r="GW11" i="15"/>
  <c r="GS11" i="15"/>
  <c r="BF10" i="16" s="1"/>
  <c r="GP11" i="15"/>
  <c r="BE10" i="16" s="1"/>
  <c r="GM11" i="15"/>
  <c r="BC10" i="16" s="1"/>
  <c r="AX10" i="16"/>
  <c r="GD11" i="15"/>
  <c r="FX11" i="15"/>
  <c r="AP10" i="16" s="1"/>
  <c r="FS11" i="15"/>
  <c r="FP11" i="15"/>
  <c r="FA48" i="15" s="1"/>
  <c r="FJ11" i="15"/>
  <c r="BA10" i="16" s="1"/>
  <c r="FC11" i="15"/>
  <c r="EZ11" i="15"/>
  <c r="EZ48" i="15" s="1"/>
  <c r="EW11" i="15"/>
  <c r="AV10" i="16" s="1"/>
  <c r="ET11" i="15"/>
  <c r="AU10" i="16" s="1"/>
  <c r="EM11" i="15"/>
  <c r="AN10" i="16" s="1"/>
  <c r="EJ11" i="15"/>
  <c r="AM10" i="16" s="1"/>
  <c r="DZ11" i="15"/>
  <c r="AI10" i="16" s="1"/>
  <c r="DW11" i="15"/>
  <c r="AH10" i="16" s="1"/>
  <c r="DT11" i="15"/>
  <c r="DR11" i="15"/>
  <c r="AD10" i="16" s="1"/>
  <c r="DE11" i="15"/>
  <c r="DA11" i="15"/>
  <c r="X10" i="16" s="1"/>
  <c r="CW11" i="15"/>
  <c r="W10" i="16" s="1"/>
  <c r="CS11" i="15"/>
  <c r="U10" i="16" s="1"/>
  <c r="CO11" i="15"/>
  <c r="T10" i="16" s="1"/>
  <c r="CH11" i="15"/>
  <c r="R10" i="16" s="1"/>
  <c r="CF11" i="15"/>
  <c r="Q10" i="16" s="1"/>
  <c r="CD11" i="15"/>
  <c r="CA11" i="15"/>
  <c r="O10" i="16" s="1"/>
  <c r="BW11" i="15"/>
  <c r="CD45" i="15" s="1"/>
  <c r="BT11" i="15"/>
  <c r="BR11" i="15"/>
  <c r="Z10" i="16" s="1"/>
  <c r="BP11" i="15"/>
  <c r="BN11" i="15"/>
  <c r="BL11" i="15"/>
  <c r="BJ11" i="15"/>
  <c r="AB10" i="16" s="1"/>
  <c r="BG11" i="15"/>
  <c r="AA10" i="16" s="1"/>
  <c r="BC11" i="15"/>
  <c r="M10" i="16" s="1"/>
  <c r="AZ11" i="15"/>
  <c r="L10" i="16" s="1"/>
  <c r="AR11" i="15"/>
  <c r="K10" i="16" s="1"/>
  <c r="AI11" i="15"/>
  <c r="I10" i="16" s="1"/>
  <c r="AE11" i="15"/>
  <c r="H10" i="16" s="1"/>
  <c r="AB11" i="15"/>
  <c r="F10" i="16" s="1"/>
  <c r="V11" i="15"/>
  <c r="E10" i="16" s="1"/>
  <c r="T11" i="15"/>
  <c r="D10" i="16" s="1"/>
  <c r="Q11" i="15"/>
  <c r="R11" i="15" s="1"/>
  <c r="N11" i="15"/>
  <c r="C10" i="16" s="1"/>
  <c r="K11" i="15"/>
  <c r="F11" i="15"/>
  <c r="D11" i="15"/>
  <c r="C11" i="15"/>
  <c r="IE10" i="15"/>
  <c r="CE9" i="16" s="1"/>
  <c r="IB10" i="15"/>
  <c r="CD9" i="16" s="1"/>
  <c r="HY10" i="15"/>
  <c r="CC9" i="16" s="1"/>
  <c r="HV10" i="15"/>
  <c r="CB9" i="16" s="1"/>
  <c r="HS10" i="15"/>
  <c r="CA9" i="16" s="1"/>
  <c r="HP10" i="15"/>
  <c r="BZ9" i="16" s="1"/>
  <c r="HM10" i="15"/>
  <c r="BY9" i="16" s="1"/>
  <c r="HJ10" i="15"/>
  <c r="BX9" i="16" s="1"/>
  <c r="HE10" i="15"/>
  <c r="GW10" i="15"/>
  <c r="GS10" i="15"/>
  <c r="BF9" i="16" s="1"/>
  <c r="GP10" i="15"/>
  <c r="BE9" i="16" s="1"/>
  <c r="GM10" i="15"/>
  <c r="BC9" i="16" s="1"/>
  <c r="AX9" i="16"/>
  <c r="GD10" i="15"/>
  <c r="FX10" i="15"/>
  <c r="AP9" i="16" s="1"/>
  <c r="FS10" i="15"/>
  <c r="FP10" i="15"/>
  <c r="FA47" i="15" s="1"/>
  <c r="FJ10" i="15"/>
  <c r="BA9" i="16" s="1"/>
  <c r="FG10" i="15"/>
  <c r="AZ9" i="16" s="1"/>
  <c r="FC10" i="15"/>
  <c r="EZ10" i="15"/>
  <c r="EZ47" i="15" s="1"/>
  <c r="EW10" i="15"/>
  <c r="AV9" i="16" s="1"/>
  <c r="ET10" i="15"/>
  <c r="AU9" i="16" s="1"/>
  <c r="EM10" i="15"/>
  <c r="AN9" i="16" s="1"/>
  <c r="EJ10" i="15"/>
  <c r="AM9" i="16" s="1"/>
  <c r="DZ10" i="15"/>
  <c r="AI9" i="16" s="1"/>
  <c r="DW10" i="15"/>
  <c r="AH9" i="16" s="1"/>
  <c r="DT10" i="15"/>
  <c r="DR10" i="15"/>
  <c r="AD9" i="16" s="1"/>
  <c r="DE10" i="15"/>
  <c r="DF10" i="15" s="1"/>
  <c r="DA10" i="15"/>
  <c r="X9" i="16" s="1"/>
  <c r="CW10" i="15"/>
  <c r="W9" i="16" s="1"/>
  <c r="CS10" i="15"/>
  <c r="U9" i="16" s="1"/>
  <c r="CO10" i="15"/>
  <c r="T9" i="16" s="1"/>
  <c r="CH10" i="15"/>
  <c r="R9" i="16" s="1"/>
  <c r="CF10" i="15"/>
  <c r="Q9" i="16" s="1"/>
  <c r="CD10" i="15"/>
  <c r="CA10" i="15"/>
  <c r="O9" i="16" s="1"/>
  <c r="BW10" i="15"/>
  <c r="CD44" i="15" s="1"/>
  <c r="BT10" i="15"/>
  <c r="BR10" i="15"/>
  <c r="Z9" i="16" s="1"/>
  <c r="BP10" i="15"/>
  <c r="BN10" i="15"/>
  <c r="BL10" i="15"/>
  <c r="BJ10" i="15"/>
  <c r="AB9" i="16" s="1"/>
  <c r="BG10" i="15"/>
  <c r="AA9" i="16" s="1"/>
  <c r="BC10" i="15"/>
  <c r="M9" i="16" s="1"/>
  <c r="AZ10" i="15"/>
  <c r="L9" i="16" s="1"/>
  <c r="AR10" i="15"/>
  <c r="K9" i="16" s="1"/>
  <c r="AI10" i="15"/>
  <c r="I9" i="16" s="1"/>
  <c r="AE10" i="15"/>
  <c r="H9" i="16" s="1"/>
  <c r="AB10" i="15"/>
  <c r="F9" i="16" s="1"/>
  <c r="V10" i="15"/>
  <c r="E9" i="16" s="1"/>
  <c r="T10" i="15"/>
  <c r="D9" i="16" s="1"/>
  <c r="Q10" i="15"/>
  <c r="R10" i="15" s="1"/>
  <c r="N10" i="15"/>
  <c r="C9" i="16" s="1"/>
  <c r="K10" i="15"/>
  <c r="F10" i="15"/>
  <c r="D10" i="15"/>
  <c r="C10" i="15"/>
  <c r="IE9" i="15"/>
  <c r="IB9" i="15"/>
  <c r="CD8" i="16" s="1"/>
  <c r="HY9" i="15"/>
  <c r="CC8" i="16" s="1"/>
  <c r="HV9" i="15"/>
  <c r="CB8" i="16" s="1"/>
  <c r="HS9" i="15"/>
  <c r="CA8" i="16" s="1"/>
  <c r="HP9" i="15"/>
  <c r="BZ8" i="16" s="1"/>
  <c r="HM9" i="15"/>
  <c r="BY8" i="16" s="1"/>
  <c r="HJ9" i="15"/>
  <c r="BX8" i="16" s="1"/>
  <c r="HE9" i="15"/>
  <c r="GW9" i="15"/>
  <c r="GS9" i="15"/>
  <c r="BF8" i="16" s="1"/>
  <c r="GP9" i="15"/>
  <c r="BE8" i="16" s="1"/>
  <c r="GM9" i="15"/>
  <c r="BC8" i="16" s="1"/>
  <c r="AX8" i="16"/>
  <c r="GD9" i="15"/>
  <c r="FX9" i="15"/>
  <c r="AP8" i="16" s="1"/>
  <c r="FS9" i="15"/>
  <c r="FP9" i="15"/>
  <c r="FA46" i="15" s="1"/>
  <c r="FJ9" i="15"/>
  <c r="BA8" i="16" s="1"/>
  <c r="FC9" i="15"/>
  <c r="EZ9" i="15"/>
  <c r="EZ46" i="15" s="1"/>
  <c r="EW9" i="15"/>
  <c r="AV8" i="16" s="1"/>
  <c r="ET9" i="15"/>
  <c r="AU8" i="16" s="1"/>
  <c r="EM9" i="15"/>
  <c r="AN8" i="16" s="1"/>
  <c r="EJ9" i="15"/>
  <c r="AM8" i="16" s="1"/>
  <c r="DZ9" i="15"/>
  <c r="AI8" i="16" s="1"/>
  <c r="DW9" i="15"/>
  <c r="AH8" i="16" s="1"/>
  <c r="DT9" i="15"/>
  <c r="AE8" i="16" s="1"/>
  <c r="DR9" i="15"/>
  <c r="AD8" i="16" s="1"/>
  <c r="DE9" i="15"/>
  <c r="DA9" i="15"/>
  <c r="X8" i="16" s="1"/>
  <c r="CW9" i="15"/>
  <c r="W8" i="16" s="1"/>
  <c r="CS9" i="15"/>
  <c r="U8" i="16" s="1"/>
  <c r="CO9" i="15"/>
  <c r="T8" i="16" s="1"/>
  <c r="CH9" i="15"/>
  <c r="R8" i="16" s="1"/>
  <c r="CF9" i="15"/>
  <c r="Q8" i="16" s="1"/>
  <c r="CD9" i="15"/>
  <c r="P8" i="16" s="1"/>
  <c r="CA9" i="15"/>
  <c r="O8" i="16" s="1"/>
  <c r="BW9" i="15"/>
  <c r="CD43" i="15" s="1"/>
  <c r="BT9" i="15"/>
  <c r="BR9" i="15"/>
  <c r="Z8" i="16" s="1"/>
  <c r="BP9" i="15"/>
  <c r="BN9" i="15"/>
  <c r="BL9" i="15"/>
  <c r="BJ9" i="15"/>
  <c r="AB8" i="16" s="1"/>
  <c r="BG9" i="15"/>
  <c r="AA8" i="16" s="1"/>
  <c r="BC9" i="15"/>
  <c r="M8" i="16" s="1"/>
  <c r="AZ9" i="15"/>
  <c r="L8" i="16" s="1"/>
  <c r="AR9" i="15"/>
  <c r="K8" i="16" s="1"/>
  <c r="AI9" i="15"/>
  <c r="I8" i="16" s="1"/>
  <c r="AE9" i="15"/>
  <c r="H8" i="16" s="1"/>
  <c r="AB9" i="15"/>
  <c r="F8" i="16" s="1"/>
  <c r="V9" i="15"/>
  <c r="E8" i="16" s="1"/>
  <c r="T9" i="15"/>
  <c r="D8" i="16" s="1"/>
  <c r="Q9" i="15"/>
  <c r="N9" i="15"/>
  <c r="C8" i="16" s="1"/>
  <c r="K9" i="15"/>
  <c r="F9" i="15"/>
  <c r="D9" i="15"/>
  <c r="C9" i="15"/>
  <c r="IB8" i="15"/>
  <c r="HY8" i="15"/>
  <c r="HV8" i="15"/>
  <c r="HS8" i="15"/>
  <c r="HM8" i="15"/>
  <c r="BY7" i="16" s="1"/>
  <c r="HJ8" i="15"/>
  <c r="BX7" i="16" s="1"/>
  <c r="HE8" i="15"/>
  <c r="GW8" i="15"/>
  <c r="GS8" i="15"/>
  <c r="GA8" i="15" s="1"/>
  <c r="GP8" i="15"/>
  <c r="GM8" i="15"/>
  <c r="BC7" i="16" s="1"/>
  <c r="GD8" i="15"/>
  <c r="FX8" i="15"/>
  <c r="FS8" i="15"/>
  <c r="FP8" i="15"/>
  <c r="FJ8" i="15"/>
  <c r="FC8" i="15"/>
  <c r="EZ8" i="15"/>
  <c r="EW8" i="15"/>
  <c r="ET8" i="15"/>
  <c r="EM8" i="15"/>
  <c r="EJ8" i="15"/>
  <c r="DZ8" i="15"/>
  <c r="DW8" i="15"/>
  <c r="DT8" i="15"/>
  <c r="IH8" i="15" s="1"/>
  <c r="DR8" i="15"/>
  <c r="DE8" i="15"/>
  <c r="DA8" i="15"/>
  <c r="DB8" i="15" s="1"/>
  <c r="CW8" i="15"/>
  <c r="CX8" i="15" s="1"/>
  <c r="CS8" i="15"/>
  <c r="CT8" i="15" s="1"/>
  <c r="CO8" i="15"/>
  <c r="CP8" i="15" s="1"/>
  <c r="CH8" i="15"/>
  <c r="CF8" i="15"/>
  <c r="CD8" i="15"/>
  <c r="P7" i="16" s="1"/>
  <c r="CA8" i="15"/>
  <c r="CK8" i="15" s="1"/>
  <c r="BW8" i="15"/>
  <c r="BT8" i="15"/>
  <c r="BR8" i="15"/>
  <c r="BP8" i="15"/>
  <c r="BN8" i="15"/>
  <c r="BL8" i="15"/>
  <c r="BJ8" i="15"/>
  <c r="AB7" i="16" s="1"/>
  <c r="BG8" i="15"/>
  <c r="BC8" i="15"/>
  <c r="AZ8" i="15"/>
  <c r="AR8" i="15"/>
  <c r="AS8" i="15" s="1"/>
  <c r="AI8" i="15"/>
  <c r="AE8" i="15"/>
  <c r="AF8" i="15" s="1"/>
  <c r="AB8" i="15"/>
  <c r="F7" i="16" s="1"/>
  <c r="V8" i="15"/>
  <c r="T8" i="15"/>
  <c r="Q8" i="15"/>
  <c r="R8" i="15" s="1"/>
  <c r="N8" i="15"/>
  <c r="K8" i="15"/>
  <c r="F8" i="15"/>
  <c r="D8" i="15"/>
  <c r="C8" i="15"/>
  <c r="A8" i="15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GG35" i="15" l="1"/>
  <c r="AR34" i="16" s="1"/>
  <c r="AE10" i="16"/>
  <c r="BG36" i="16"/>
  <c r="BQ36" i="16" s="1"/>
  <c r="BS36" i="16" s="1"/>
  <c r="GG34" i="15"/>
  <c r="AR33" i="16" s="1"/>
  <c r="AE13" i="16"/>
  <c r="AE20" i="16"/>
  <c r="AE27" i="16"/>
  <c r="AE35" i="16"/>
  <c r="AG35" i="16" s="1"/>
  <c r="JN47" i="15"/>
  <c r="AE12" i="16"/>
  <c r="AE17" i="16"/>
  <c r="AG17" i="16" s="1"/>
  <c r="AE24" i="16"/>
  <c r="AG24" i="16" s="1"/>
  <c r="AF18" i="16"/>
  <c r="AF32" i="16"/>
  <c r="AF36" i="16"/>
  <c r="BX38" i="16"/>
  <c r="BY38" i="16"/>
  <c r="AC15" i="16"/>
  <c r="BZ38" i="16"/>
  <c r="BX43" i="16" s="1"/>
  <c r="AF35" i="16"/>
  <c r="GG38" i="15"/>
  <c r="AR37" i="16" s="1"/>
  <c r="AE11" i="16"/>
  <c r="AG11" i="16" s="1"/>
  <c r="AE16" i="16"/>
  <c r="AG16" i="16" s="1"/>
  <c r="AE18" i="16"/>
  <c r="AG18" i="16" s="1"/>
  <c r="FH48" i="15"/>
  <c r="AN9" i="15"/>
  <c r="J8" i="16" s="1"/>
  <c r="AE25" i="16"/>
  <c r="AG25" i="16" s="1"/>
  <c r="FH46" i="15"/>
  <c r="FI56" i="15"/>
  <c r="AE15" i="16"/>
  <c r="AE26" i="16"/>
  <c r="AG26" i="16" s="1"/>
  <c r="AE14" i="16"/>
  <c r="AG14" i="16" s="1"/>
  <c r="AF9" i="16"/>
  <c r="CX37" i="15"/>
  <c r="EG30" i="15"/>
  <c r="EG31" i="15"/>
  <c r="EC31" i="15"/>
  <c r="AJ30" i="16" s="1"/>
  <c r="AK30" i="16" s="1"/>
  <c r="EC30" i="15"/>
  <c r="FI45" i="15"/>
  <c r="AE31" i="16"/>
  <c r="AG31" i="16" s="1"/>
  <c r="AE19" i="16"/>
  <c r="AE22" i="16"/>
  <c r="AG22" i="16" s="1"/>
  <c r="FH64" i="15"/>
  <c r="AE9" i="16"/>
  <c r="AG9" i="16" s="1"/>
  <c r="CX38" i="15"/>
  <c r="FH54" i="15"/>
  <c r="AF15" i="16"/>
  <c r="AZ37" i="16"/>
  <c r="FT38" i="15"/>
  <c r="FM38" i="15" s="1"/>
  <c r="AE32" i="16"/>
  <c r="AG32" i="16" s="1"/>
  <c r="FG32" i="15"/>
  <c r="AZ31" i="16" s="1"/>
  <c r="AF31" i="15"/>
  <c r="EG8" i="15"/>
  <c r="EG29" i="15"/>
  <c r="EC29" i="15"/>
  <c r="EC28" i="15"/>
  <c r="AJ27" i="16" s="1"/>
  <c r="AK27" i="16" s="1"/>
  <c r="EG28" i="15"/>
  <c r="EC27" i="15"/>
  <c r="AJ26" i="16" s="1"/>
  <c r="EG27" i="15"/>
  <c r="EC26" i="15"/>
  <c r="ED26" i="15" s="1"/>
  <c r="EG26" i="15"/>
  <c r="EG25" i="15"/>
  <c r="EC25" i="15"/>
  <c r="EC24" i="15"/>
  <c r="AJ23" i="16" s="1"/>
  <c r="AK23" i="16" s="1"/>
  <c r="EG23" i="15"/>
  <c r="EC23" i="15"/>
  <c r="EG24" i="15"/>
  <c r="EC22" i="15"/>
  <c r="AJ21" i="16" s="1"/>
  <c r="EG22" i="15"/>
  <c r="BG31" i="16"/>
  <c r="BQ31" i="16" s="1"/>
  <c r="BS31" i="16" s="1"/>
  <c r="FH47" i="15"/>
  <c r="DT79" i="15"/>
  <c r="AF13" i="16"/>
  <c r="GG37" i="15"/>
  <c r="AR36" i="16" s="1"/>
  <c r="AS36" i="16" s="1"/>
  <c r="BM36" i="16" s="1"/>
  <c r="BO36" i="16" s="1"/>
  <c r="AC37" i="16"/>
  <c r="FH45" i="15"/>
  <c r="FI47" i="15"/>
  <c r="FH56" i="15"/>
  <c r="BG29" i="16"/>
  <c r="BQ29" i="16" s="1"/>
  <c r="BS29" i="16" s="1"/>
  <c r="G28" i="15"/>
  <c r="B27" i="16" s="1"/>
  <c r="AN28" i="15"/>
  <c r="AO28" i="15" s="1"/>
  <c r="GG27" i="15"/>
  <c r="AR26" i="16" s="1"/>
  <c r="FV63" i="15"/>
  <c r="EQ26" i="15" s="1"/>
  <c r="AT25" i="16" s="1"/>
  <c r="Y24" i="16"/>
  <c r="BH24" i="16" s="1"/>
  <c r="AJ23" i="15"/>
  <c r="CK24" i="15"/>
  <c r="S23" i="16" s="1"/>
  <c r="CX23" i="15"/>
  <c r="CK28" i="15"/>
  <c r="S27" i="16" s="1"/>
  <c r="V27" i="16" s="1"/>
  <c r="FI48" i="15"/>
  <c r="AF12" i="16"/>
  <c r="IH11" i="15"/>
  <c r="CF10" i="16" s="1"/>
  <c r="IL39" i="15"/>
  <c r="JV39" i="15"/>
  <c r="IH25" i="15"/>
  <c r="CF24" i="16" s="1"/>
  <c r="AE23" i="16"/>
  <c r="AG23" i="16" s="1"/>
  <c r="CK27" i="15"/>
  <c r="S26" i="16" s="1"/>
  <c r="V26" i="16" s="1"/>
  <c r="AC29" i="16"/>
  <c r="BG32" i="16"/>
  <c r="BQ32" i="16" s="1"/>
  <c r="BS32" i="16" s="1"/>
  <c r="BG33" i="16"/>
  <c r="BQ33" i="16" s="1"/>
  <c r="BS33" i="16" s="1"/>
  <c r="FB72" i="15"/>
  <c r="FD72" i="15" s="1"/>
  <c r="FJ72" i="15" s="1"/>
  <c r="AF38" i="15"/>
  <c r="DB38" i="15"/>
  <c r="AF14" i="16"/>
  <c r="AF11" i="16"/>
  <c r="AF19" i="16"/>
  <c r="CX22" i="15"/>
  <c r="AC26" i="16"/>
  <c r="CP27" i="15"/>
  <c r="DB28" i="15"/>
  <c r="AE30" i="16"/>
  <c r="AG30" i="16" s="1"/>
  <c r="G32" i="15"/>
  <c r="B31" i="16" s="1"/>
  <c r="FI55" i="15"/>
  <c r="AF24" i="16"/>
  <c r="JA39" i="15"/>
  <c r="BG28" i="16"/>
  <c r="AF21" i="16"/>
  <c r="FI75" i="15"/>
  <c r="FV70" i="15"/>
  <c r="EQ33" i="15" s="1"/>
  <c r="AT32" i="16" s="1"/>
  <c r="BG13" i="16"/>
  <c r="BQ13" i="16" s="1"/>
  <c r="BS13" i="16" s="1"/>
  <c r="BG15" i="16"/>
  <c r="BQ15" i="16" s="1"/>
  <c r="BS15" i="16" s="1"/>
  <c r="CB28" i="15"/>
  <c r="AF30" i="15"/>
  <c r="GG31" i="15"/>
  <c r="AR30" i="16" s="1"/>
  <c r="AS30" i="16" s="1"/>
  <c r="BM30" i="16" s="1"/>
  <c r="BO30" i="16" s="1"/>
  <c r="X32" i="15"/>
  <c r="G31" i="16" s="1"/>
  <c r="AF37" i="15"/>
  <c r="CK38" i="15"/>
  <c r="S37" i="16" s="1"/>
  <c r="FI46" i="15"/>
  <c r="FI49" i="15"/>
  <c r="AF16" i="16"/>
  <c r="EC8" i="15"/>
  <c r="ED8" i="15" s="1"/>
  <c r="AF10" i="16"/>
  <c r="AF28" i="16"/>
  <c r="CB37" i="15"/>
  <c r="CP38" i="15"/>
  <c r="IH23" i="15"/>
  <c r="CF22" i="16" s="1"/>
  <c r="AS25" i="15"/>
  <c r="JN56" i="15"/>
  <c r="CT31" i="15"/>
  <c r="AE33" i="16"/>
  <c r="AG33" i="16" s="1"/>
  <c r="CX36" i="15"/>
  <c r="EG21" i="15"/>
  <c r="EC21" i="15"/>
  <c r="EG20" i="15"/>
  <c r="EC20" i="15"/>
  <c r="AJ19" i="16" s="1"/>
  <c r="AK19" i="16" s="1"/>
  <c r="EG19" i="15"/>
  <c r="EC19" i="15"/>
  <c r="AJ18" i="16" s="1"/>
  <c r="EG18" i="15"/>
  <c r="EC18" i="15"/>
  <c r="EG17" i="15"/>
  <c r="EC17" i="15"/>
  <c r="EG16" i="15"/>
  <c r="EC16" i="15"/>
  <c r="AJ15" i="16" s="1"/>
  <c r="AK15" i="16" s="1"/>
  <c r="EC15" i="15"/>
  <c r="EG15" i="15"/>
  <c r="EG14" i="15"/>
  <c r="EC14" i="15"/>
  <c r="AJ13" i="16" s="1"/>
  <c r="AK13" i="16" s="1"/>
  <c r="EC13" i="15"/>
  <c r="ED13" i="15" s="1"/>
  <c r="EG13" i="15"/>
  <c r="EG12" i="15"/>
  <c r="EC12" i="15"/>
  <c r="AJ11" i="16" s="1"/>
  <c r="AK11" i="16" s="1"/>
  <c r="EG11" i="15"/>
  <c r="AL10" i="16" s="1"/>
  <c r="AO10" i="16" s="1"/>
  <c r="EC11" i="15"/>
  <c r="EG9" i="15"/>
  <c r="AL8" i="16" s="1"/>
  <c r="AO8" i="16" s="1"/>
  <c r="EG10" i="15"/>
  <c r="EC9" i="15"/>
  <c r="EC10" i="15"/>
  <c r="BG21" i="16"/>
  <c r="BQ21" i="16" s="1"/>
  <c r="BS21" i="16" s="1"/>
  <c r="DB21" i="15"/>
  <c r="CP21" i="15"/>
  <c r="CK21" i="15"/>
  <c r="S20" i="16" s="1"/>
  <c r="V20" i="16" s="1"/>
  <c r="AF21" i="15"/>
  <c r="FV57" i="15"/>
  <c r="EQ20" i="15" s="1"/>
  <c r="AT19" i="16" s="1"/>
  <c r="CK19" i="15"/>
  <c r="S18" i="16" s="1"/>
  <c r="AS20" i="15"/>
  <c r="BG17" i="16"/>
  <c r="BQ17" i="16" s="1"/>
  <c r="BS17" i="16" s="1"/>
  <c r="BG18" i="16"/>
  <c r="BQ18" i="16" s="1"/>
  <c r="BS18" i="16" s="1"/>
  <c r="AS19" i="15"/>
  <c r="FV55" i="15"/>
  <c r="EQ18" i="15" s="1"/>
  <c r="AT17" i="16" s="1"/>
  <c r="FW54" i="15"/>
  <c r="FG17" i="15" s="1"/>
  <c r="AZ16" i="16" s="1"/>
  <c r="CK18" i="15"/>
  <c r="DG18" i="15" s="1"/>
  <c r="AF16" i="15"/>
  <c r="P83" i="15"/>
  <c r="CX15" i="15"/>
  <c r="AC13" i="16"/>
  <c r="AJ15" i="15"/>
  <c r="CK14" i="15"/>
  <c r="S13" i="16" s="1"/>
  <c r="V13" i="16" s="1"/>
  <c r="AF14" i="15"/>
  <c r="CT12" i="15"/>
  <c r="FV50" i="15"/>
  <c r="EQ13" i="15" s="1"/>
  <c r="AT12" i="16" s="1"/>
  <c r="CX13" i="15"/>
  <c r="CP13" i="15"/>
  <c r="AN13" i="15"/>
  <c r="J12" i="16" s="1"/>
  <c r="AF12" i="15"/>
  <c r="X13" i="15"/>
  <c r="AK13" i="15" s="1"/>
  <c r="DH13" i="15" s="1"/>
  <c r="BG11" i="16"/>
  <c r="DB11" i="15"/>
  <c r="BX12" i="15"/>
  <c r="AS12" i="15"/>
  <c r="GA9" i="15"/>
  <c r="AQ8" i="16" s="1"/>
  <c r="BG9" i="16"/>
  <c r="BQ9" i="16" s="1"/>
  <c r="BS9" i="16" s="1"/>
  <c r="CX11" i="15"/>
  <c r="AN11" i="15"/>
  <c r="AO11" i="15" s="1"/>
  <c r="CK10" i="15"/>
  <c r="S9" i="16" s="1"/>
  <c r="G9" i="15"/>
  <c r="B8" i="16" s="1"/>
  <c r="L83" i="15"/>
  <c r="BG8" i="16"/>
  <c r="BQ8" i="16" s="1"/>
  <c r="BS8" i="16" s="1"/>
  <c r="GG8" i="15"/>
  <c r="AR7" i="16" s="1"/>
  <c r="FB46" i="15"/>
  <c r="FD46" i="15" s="1"/>
  <c r="FK46" i="15" s="1"/>
  <c r="BG30" i="16"/>
  <c r="BQ30" i="16" s="1"/>
  <c r="BS30" i="16" s="1"/>
  <c r="BG24" i="16"/>
  <c r="BQ24" i="16" s="1"/>
  <c r="BS24" i="16" s="1"/>
  <c r="BG34" i="16"/>
  <c r="BQ34" i="16" s="1"/>
  <c r="BS34" i="16" s="1"/>
  <c r="BG12" i="16"/>
  <c r="BG16" i="16"/>
  <c r="BQ16" i="16" s="1"/>
  <c r="BS16" i="16" s="1"/>
  <c r="BG25" i="16"/>
  <c r="BQ25" i="16" s="1"/>
  <c r="BS25" i="16" s="1"/>
  <c r="GG28" i="15"/>
  <c r="AR27" i="16" s="1"/>
  <c r="GG14" i="15"/>
  <c r="AR13" i="16" s="1"/>
  <c r="AS13" i="16" s="1"/>
  <c r="BM13" i="16" s="1"/>
  <c r="BO13" i="16" s="1"/>
  <c r="GG10" i="15"/>
  <c r="AR9" i="16" s="1"/>
  <c r="GG25" i="15"/>
  <c r="AR24" i="16" s="1"/>
  <c r="FB50" i="15"/>
  <c r="FD50" i="15" s="1"/>
  <c r="FK50" i="15" s="1"/>
  <c r="IH28" i="15"/>
  <c r="CF27" i="16" s="1"/>
  <c r="IH36" i="15"/>
  <c r="CF35" i="16" s="1"/>
  <c r="IH24" i="15"/>
  <c r="CF23" i="16" s="1"/>
  <c r="IH27" i="15"/>
  <c r="CF26" i="16" s="1"/>
  <c r="IH15" i="15"/>
  <c r="CF14" i="16" s="1"/>
  <c r="IH20" i="15"/>
  <c r="CF19" i="16" s="1"/>
  <c r="Y9" i="16"/>
  <c r="BH9" i="16" s="1"/>
  <c r="Y11" i="16"/>
  <c r="BH11" i="16" s="1"/>
  <c r="Y19" i="16"/>
  <c r="BH19" i="16" s="1"/>
  <c r="DB20" i="15"/>
  <c r="DB24" i="15"/>
  <c r="DB27" i="15"/>
  <c r="DB15" i="15"/>
  <c r="DB36" i="15"/>
  <c r="Y15" i="16"/>
  <c r="BH15" i="16" s="1"/>
  <c r="Y28" i="16"/>
  <c r="BH28" i="16" s="1"/>
  <c r="Y13" i="16"/>
  <c r="BH13" i="16" s="1"/>
  <c r="CX9" i="15"/>
  <c r="CX26" i="15"/>
  <c r="CX30" i="15"/>
  <c r="CX17" i="15"/>
  <c r="CX25" i="15"/>
  <c r="CX29" i="15"/>
  <c r="CT14" i="15"/>
  <c r="CB9" i="15"/>
  <c r="CB15" i="15"/>
  <c r="CK31" i="15"/>
  <c r="S30" i="16" s="1"/>
  <c r="V30" i="16" s="1"/>
  <c r="CK26" i="15"/>
  <c r="S25" i="16" s="1"/>
  <c r="CB19" i="15"/>
  <c r="CB27" i="15"/>
  <c r="CB17" i="15"/>
  <c r="CB31" i="15"/>
  <c r="CB22" i="15"/>
  <c r="CB11" i="15"/>
  <c r="CB13" i="15"/>
  <c r="AN19" i="15"/>
  <c r="J18" i="16" s="1"/>
  <c r="AN27" i="15"/>
  <c r="J26" i="16" s="1"/>
  <c r="AC9" i="16"/>
  <c r="AC11" i="16"/>
  <c r="AN8" i="15"/>
  <c r="BD8" i="15" s="1"/>
  <c r="AN21" i="15"/>
  <c r="BD21" i="15" s="1"/>
  <c r="AN29" i="15"/>
  <c r="AO29" i="15" s="1"/>
  <c r="AN15" i="15"/>
  <c r="BD15" i="15" s="1"/>
  <c r="AC17" i="16"/>
  <c r="AN37" i="15"/>
  <c r="J36" i="16" s="1"/>
  <c r="AN22" i="15"/>
  <c r="BD22" i="15" s="1"/>
  <c r="AS24" i="15"/>
  <c r="AS38" i="15"/>
  <c r="AS30" i="15"/>
  <c r="AS29" i="15"/>
  <c r="AS16" i="15"/>
  <c r="AS21" i="15"/>
  <c r="AJ29" i="15"/>
  <c r="AJ20" i="15"/>
  <c r="AJ9" i="15"/>
  <c r="AJ13" i="15"/>
  <c r="AJ36" i="15"/>
  <c r="AJ31" i="15"/>
  <c r="AF19" i="15"/>
  <c r="AF25" i="15"/>
  <c r="AF10" i="15"/>
  <c r="AF18" i="15"/>
  <c r="AF22" i="15"/>
  <c r="X10" i="15"/>
  <c r="G9" i="16" s="1"/>
  <c r="G11" i="15"/>
  <c r="B10" i="16" s="1"/>
  <c r="G36" i="15"/>
  <c r="B35" i="16" s="1"/>
  <c r="G13" i="15"/>
  <c r="B12" i="16" s="1"/>
  <c r="G20" i="15"/>
  <c r="B19" i="16" s="1"/>
  <c r="G19" i="15"/>
  <c r="B18" i="16" s="1"/>
  <c r="G17" i="15"/>
  <c r="B16" i="16" s="1"/>
  <c r="G38" i="15"/>
  <c r="B37" i="16" s="1"/>
  <c r="G15" i="15"/>
  <c r="B14" i="16" s="1"/>
  <c r="G25" i="15"/>
  <c r="B24" i="16" s="1"/>
  <c r="G10" i="15"/>
  <c r="B9" i="16" s="1"/>
  <c r="G12" i="15"/>
  <c r="B11" i="16" s="1"/>
  <c r="G34" i="15"/>
  <c r="B33" i="16" s="1"/>
  <c r="G37" i="15"/>
  <c r="B36" i="16" s="1"/>
  <c r="G23" i="15"/>
  <c r="B22" i="16" s="1"/>
  <c r="G16" i="15"/>
  <c r="B15" i="16" s="1"/>
  <c r="G30" i="15"/>
  <c r="B29" i="16" s="1"/>
  <c r="G35" i="15"/>
  <c r="B34" i="16" s="1"/>
  <c r="G22" i="15"/>
  <c r="B21" i="16" s="1"/>
  <c r="G29" i="15"/>
  <c r="B28" i="16" s="1"/>
  <c r="X19" i="15"/>
  <c r="G18" i="16" s="1"/>
  <c r="X9" i="15"/>
  <c r="G8" i="16" s="1"/>
  <c r="X23" i="15"/>
  <c r="G22" i="16" s="1"/>
  <c r="X14" i="15"/>
  <c r="G13" i="16" s="1"/>
  <c r="X16" i="15"/>
  <c r="G15" i="16" s="1"/>
  <c r="X18" i="15"/>
  <c r="G17" i="16" s="1"/>
  <c r="X31" i="15"/>
  <c r="G30" i="16" s="1"/>
  <c r="X21" i="15"/>
  <c r="G20" i="16" s="1"/>
  <c r="X29" i="15"/>
  <c r="G28" i="16" s="1"/>
  <c r="X12" i="15"/>
  <c r="G11" i="16" s="1"/>
  <c r="X17" i="15"/>
  <c r="G16" i="16" s="1"/>
  <c r="X20" i="15"/>
  <c r="G19" i="16" s="1"/>
  <c r="X8" i="15"/>
  <c r="G7" i="16" s="1"/>
  <c r="G31" i="15"/>
  <c r="B30" i="16" s="1"/>
  <c r="G14" i="15"/>
  <c r="B13" i="16" s="1"/>
  <c r="G27" i="15"/>
  <c r="B26" i="16" s="1"/>
  <c r="G33" i="15"/>
  <c r="B32" i="16" s="1"/>
  <c r="G18" i="15"/>
  <c r="B17" i="16" s="1"/>
  <c r="G24" i="15"/>
  <c r="B23" i="16" s="1"/>
  <c r="FV61" i="15"/>
  <c r="EQ24" i="15" s="1"/>
  <c r="FW61" i="15"/>
  <c r="FG24" i="15" s="1"/>
  <c r="AZ23" i="16" s="1"/>
  <c r="FV66" i="15"/>
  <c r="EQ29" i="15" s="1"/>
  <c r="AT28" i="16" s="1"/>
  <c r="FV74" i="15"/>
  <c r="EQ37" i="15" s="1"/>
  <c r="AT36" i="16" s="1"/>
  <c r="FV62" i="15"/>
  <c r="EQ25" i="15" s="1"/>
  <c r="AT24" i="16" s="1"/>
  <c r="FV45" i="15"/>
  <c r="EQ8" i="15" s="1"/>
  <c r="FT12" i="15"/>
  <c r="FM12" i="15" s="1"/>
  <c r="FB73" i="15"/>
  <c r="FD73" i="15" s="1"/>
  <c r="FK73" i="15" s="1"/>
  <c r="FU14" i="15"/>
  <c r="FB60" i="15"/>
  <c r="FD60" i="15" s="1"/>
  <c r="FK60" i="15" s="1"/>
  <c r="FT10" i="15"/>
  <c r="FM10" i="15" s="1"/>
  <c r="FU23" i="15"/>
  <c r="FB62" i="15"/>
  <c r="FD62" i="15" s="1"/>
  <c r="FJ62" i="15" s="1"/>
  <c r="KG8" i="15"/>
  <c r="FU10" i="15"/>
  <c r="CT18" i="15"/>
  <c r="CL19" i="15"/>
  <c r="FT25" i="15"/>
  <c r="FM25" i="15" s="1"/>
  <c r="FT26" i="15"/>
  <c r="FM26" i="15" s="1"/>
  <c r="FT33" i="15"/>
  <c r="FM33" i="15" s="1"/>
  <c r="CP29" i="15"/>
  <c r="FT13" i="15"/>
  <c r="FM13" i="15" s="1"/>
  <c r="CT20" i="15"/>
  <c r="CT24" i="15"/>
  <c r="FB55" i="15"/>
  <c r="FD55" i="15" s="1"/>
  <c r="FK55" i="15" s="1"/>
  <c r="FB59" i="15"/>
  <c r="FD59" i="15" s="1"/>
  <c r="FJ59" i="15" s="1"/>
  <c r="FB66" i="15"/>
  <c r="FD66" i="15" s="1"/>
  <c r="FK66" i="15" s="1"/>
  <c r="FB67" i="15"/>
  <c r="FD67" i="15" s="1"/>
  <c r="FJ67" i="15" s="1"/>
  <c r="FB68" i="15"/>
  <c r="FD68" i="15" s="1"/>
  <c r="FJ68" i="15" s="1"/>
  <c r="FT34" i="15"/>
  <c r="FM34" i="15" s="1"/>
  <c r="AJ28" i="15"/>
  <c r="CP17" i="15"/>
  <c r="AJ19" i="15"/>
  <c r="FB56" i="15"/>
  <c r="FD56" i="15" s="1"/>
  <c r="FK56" i="15" s="1"/>
  <c r="FM56" i="15" s="1"/>
  <c r="BB18" i="16" s="1"/>
  <c r="BD18" i="16" s="1"/>
  <c r="AJ24" i="15"/>
  <c r="FB61" i="15"/>
  <c r="FD61" i="15" s="1"/>
  <c r="FK61" i="15" s="1"/>
  <c r="CT25" i="15"/>
  <c r="CP26" i="15"/>
  <c r="FU34" i="15"/>
  <c r="CP30" i="15"/>
  <c r="CT10" i="15"/>
  <c r="FT16" i="15"/>
  <c r="FM16" i="15" s="1"/>
  <c r="CP37" i="15"/>
  <c r="AJ11" i="15"/>
  <c r="FB54" i="15"/>
  <c r="FD54" i="15" s="1"/>
  <c r="FK54" i="15" s="1"/>
  <c r="FT15" i="15"/>
  <c r="FM15" i="15" s="1"/>
  <c r="FB64" i="15"/>
  <c r="FD64" i="15" s="1"/>
  <c r="FJ64" i="15" s="1"/>
  <c r="FT29" i="15"/>
  <c r="FM29" i="15" s="1"/>
  <c r="CP22" i="15"/>
  <c r="CP9" i="15"/>
  <c r="FT11" i="15"/>
  <c r="FM11" i="15" s="1"/>
  <c r="FT19" i="15"/>
  <c r="FM19" i="15" s="1"/>
  <c r="FT20" i="15"/>
  <c r="FM20" i="15" s="1"/>
  <c r="DZ39" i="15"/>
  <c r="FT14" i="15"/>
  <c r="FM14" i="15" s="1"/>
  <c r="CT16" i="15"/>
  <c r="AJ17" i="15"/>
  <c r="FU19" i="15"/>
  <c r="FU20" i="15"/>
  <c r="FT21" i="15"/>
  <c r="FM21" i="15" s="1"/>
  <c r="CT28" i="15"/>
  <c r="CF7" i="16"/>
  <c r="CC15" i="16"/>
  <c r="JN44" i="15"/>
  <c r="U21" i="16"/>
  <c r="CT22" i="15"/>
  <c r="Q33" i="15"/>
  <c r="D7" i="16"/>
  <c r="T39" i="15"/>
  <c r="R20" i="15"/>
  <c r="ED33" i="15"/>
  <c r="AJ36" i="16"/>
  <c r="AJ34" i="16"/>
  <c r="AJ33" i="16"/>
  <c r="AK33" i="16" s="1"/>
  <c r="AJ31" i="16"/>
  <c r="AK31" i="16" s="1"/>
  <c r="E7" i="16"/>
  <c r="V39" i="15"/>
  <c r="O7" i="16"/>
  <c r="CD7" i="16"/>
  <c r="CD38" i="16" s="1"/>
  <c r="BX47" i="16" s="1"/>
  <c r="IB39" i="15"/>
  <c r="HI48" i="15" s="1"/>
  <c r="R9" i="15"/>
  <c r="CT9" i="15"/>
  <c r="GG9" i="15"/>
  <c r="AR8" i="16" s="1"/>
  <c r="AF11" i="15"/>
  <c r="DF11" i="15"/>
  <c r="EN11" i="15"/>
  <c r="CB12" i="15"/>
  <c r="R13" i="15"/>
  <c r="CT13" i="15"/>
  <c r="GG13" i="15"/>
  <c r="AR12" i="16" s="1"/>
  <c r="AS12" i="16" s="1"/>
  <c r="BM12" i="16" s="1"/>
  <c r="BO12" i="16" s="1"/>
  <c r="AF15" i="15"/>
  <c r="DF15" i="15"/>
  <c r="CB16" i="15"/>
  <c r="R17" i="15"/>
  <c r="CT17" i="15"/>
  <c r="GG17" i="15"/>
  <c r="AR16" i="16" s="1"/>
  <c r="AS16" i="16" s="1"/>
  <c r="BM16" i="16" s="1"/>
  <c r="BO16" i="16" s="1"/>
  <c r="CP18" i="15"/>
  <c r="GG18" i="15"/>
  <c r="AR17" i="16" s="1"/>
  <c r="AS17" i="16" s="1"/>
  <c r="BM17" i="16" s="1"/>
  <c r="BO17" i="16" s="1"/>
  <c r="IO39" i="15"/>
  <c r="JY39" i="15"/>
  <c r="D19" i="16"/>
  <c r="W20" i="16"/>
  <c r="Y20" i="16" s="1"/>
  <c r="BH20" i="16" s="1"/>
  <c r="CX21" i="15"/>
  <c r="AQ20" i="16"/>
  <c r="X26" i="15"/>
  <c r="G25" i="16" s="1"/>
  <c r="R26" i="15"/>
  <c r="CT27" i="15"/>
  <c r="FT28" i="15"/>
  <c r="FM28" i="15" s="1"/>
  <c r="R32" i="15"/>
  <c r="CD33" i="15"/>
  <c r="P32" i="16" s="1"/>
  <c r="BR34" i="15"/>
  <c r="Z33" i="16" s="1"/>
  <c r="CX16" i="15"/>
  <c r="CC24" i="16"/>
  <c r="JN53" i="15"/>
  <c r="AL33" i="16"/>
  <c r="AO33" i="16" s="1"/>
  <c r="EN34" i="15"/>
  <c r="AH36" i="16"/>
  <c r="ED37" i="15"/>
  <c r="L7" i="16"/>
  <c r="AZ7" i="16"/>
  <c r="M7" i="16"/>
  <c r="CB8" i="15"/>
  <c r="X7" i="16"/>
  <c r="BA7" i="16"/>
  <c r="BA38" i="16" s="1"/>
  <c r="FJ39" i="15"/>
  <c r="BE7" i="16"/>
  <c r="GP39" i="15"/>
  <c r="AS9" i="15"/>
  <c r="BX9" i="15"/>
  <c r="Y8" i="16"/>
  <c r="BH8" i="16" s="1"/>
  <c r="AJ8" i="16"/>
  <c r="AK8" i="16" s="1"/>
  <c r="AN10" i="15"/>
  <c r="CP10" i="15"/>
  <c r="FB47" i="15"/>
  <c r="FD47" i="15" s="1"/>
  <c r="GA10" i="15"/>
  <c r="AQ9" i="16" s="1"/>
  <c r="AC10" i="16"/>
  <c r="CK11" i="15"/>
  <c r="DG11" i="15" s="1"/>
  <c r="P11" i="16"/>
  <c r="CH46" i="15"/>
  <c r="DB12" i="15"/>
  <c r="IH12" i="15"/>
  <c r="CF11" i="16" s="1"/>
  <c r="AS13" i="15"/>
  <c r="BX13" i="15"/>
  <c r="Y12" i="16"/>
  <c r="BH12" i="16" s="1"/>
  <c r="AN14" i="15"/>
  <c r="CP14" i="15"/>
  <c r="FB51" i="15"/>
  <c r="FD51" i="15" s="1"/>
  <c r="AC14" i="16"/>
  <c r="CK15" i="15"/>
  <c r="DG15" i="15" s="1"/>
  <c r="DB16" i="15"/>
  <c r="IH16" i="15"/>
  <c r="CF15" i="16" s="1"/>
  <c r="AS17" i="15"/>
  <c r="Y16" i="16"/>
  <c r="BH16" i="16" s="1"/>
  <c r="AJ16" i="16"/>
  <c r="AK16" i="16" s="1"/>
  <c r="FD17" i="15"/>
  <c r="JN45" i="15"/>
  <c r="CC16" i="16"/>
  <c r="AN18" i="15"/>
  <c r="CT19" i="15"/>
  <c r="IR39" i="15"/>
  <c r="KB39" i="15"/>
  <c r="GG20" i="15"/>
  <c r="AR19" i="16" s="1"/>
  <c r="G21" i="15"/>
  <c r="B20" i="16" s="1"/>
  <c r="X21" i="16"/>
  <c r="Y21" i="16" s="1"/>
  <c r="BH21" i="16" s="1"/>
  <c r="DB22" i="15"/>
  <c r="AC25" i="16"/>
  <c r="AN26" i="15"/>
  <c r="X30" i="15"/>
  <c r="G29" i="16" s="1"/>
  <c r="AS34" i="16"/>
  <c r="X17" i="16"/>
  <c r="Y17" i="16" s="1"/>
  <c r="BH17" i="16" s="1"/>
  <c r="T23" i="16"/>
  <c r="CP24" i="15"/>
  <c r="AH25" i="16"/>
  <c r="BT33" i="15"/>
  <c r="EJ39" i="15"/>
  <c r="AM7" i="16"/>
  <c r="AM38" i="16" s="1"/>
  <c r="GS39" i="15"/>
  <c r="BF7" i="16"/>
  <c r="II8" i="15"/>
  <c r="FU11" i="15"/>
  <c r="AG10" i="16"/>
  <c r="FU15" i="15"/>
  <c r="W18" i="16"/>
  <c r="CX19" i="15"/>
  <c r="IU39" i="15"/>
  <c r="KE39" i="15"/>
  <c r="CC19" i="16"/>
  <c r="JN48" i="15"/>
  <c r="AX20" i="16"/>
  <c r="GG21" i="15"/>
  <c r="AR20" i="16" s="1"/>
  <c r="CC20" i="16"/>
  <c r="JN49" i="15"/>
  <c r="E22" i="16"/>
  <c r="W23" i="16"/>
  <c r="Y23" i="16" s="1"/>
  <c r="BH23" i="16" s="1"/>
  <c r="CX24" i="15"/>
  <c r="O24" i="16"/>
  <c r="CK25" i="15"/>
  <c r="DG25" i="15" s="1"/>
  <c r="CB25" i="15"/>
  <c r="U25" i="16"/>
  <c r="CT26" i="15"/>
  <c r="CF33" i="15"/>
  <c r="Q32" i="16" s="1"/>
  <c r="JN61" i="15"/>
  <c r="CC32" i="16"/>
  <c r="R37" i="15"/>
  <c r="X37" i="15"/>
  <c r="DE39" i="15"/>
  <c r="CC18" i="16"/>
  <c r="P10" i="16"/>
  <c r="CH45" i="15"/>
  <c r="AH18" i="16"/>
  <c r="CA33" i="15"/>
  <c r="CC7" i="16"/>
  <c r="HY39" i="15"/>
  <c r="HI46" i="15" s="1"/>
  <c r="FA17" i="15"/>
  <c r="FP39" i="15"/>
  <c r="FA45" i="15"/>
  <c r="AZ17" i="16"/>
  <c r="FU18" i="15"/>
  <c r="IH18" i="15"/>
  <c r="CF17" i="16" s="1"/>
  <c r="X18" i="16"/>
  <c r="DB19" i="15"/>
  <c r="CA25" i="16"/>
  <c r="K26" i="16"/>
  <c r="AS27" i="15"/>
  <c r="BL32" i="15"/>
  <c r="AC31" i="16" s="1"/>
  <c r="AI34" i="15"/>
  <c r="AI35" i="15"/>
  <c r="DA33" i="15"/>
  <c r="AX32" i="16"/>
  <c r="GG33" i="15"/>
  <c r="AR32" i="16" s="1"/>
  <c r="AS32" i="16" s="1"/>
  <c r="BM32" i="16" s="1"/>
  <c r="BO32" i="16" s="1"/>
  <c r="JN46" i="15"/>
  <c r="AJ14" i="15"/>
  <c r="C39" i="15"/>
  <c r="AN7" i="16"/>
  <c r="AN38" i="16" s="1"/>
  <c r="EM39" i="15"/>
  <c r="FS39" i="15"/>
  <c r="IH9" i="15"/>
  <c r="CF8" i="16" s="1"/>
  <c r="AS10" i="15"/>
  <c r="BX10" i="15"/>
  <c r="AJ9" i="16"/>
  <c r="AK9" i="16" s="1"/>
  <c r="CP11" i="15"/>
  <c r="FB48" i="15"/>
  <c r="FD48" i="15" s="1"/>
  <c r="GA11" i="15"/>
  <c r="AQ10" i="16" s="1"/>
  <c r="CK12" i="15"/>
  <c r="DG12" i="15" s="1"/>
  <c r="P12" i="16"/>
  <c r="CH47" i="15"/>
  <c r="CE47" i="15"/>
  <c r="CF47" i="15" s="1"/>
  <c r="CE46" i="15" s="1"/>
  <c r="CF46" i="15" s="1"/>
  <c r="CE45" i="15" s="1"/>
  <c r="CF45" i="15" s="1"/>
  <c r="CE44" i="15" s="1"/>
  <c r="CF44" i="15" s="1"/>
  <c r="CE43" i="15" s="1"/>
  <c r="CF43" i="15" s="1"/>
  <c r="DB13" i="15"/>
  <c r="IH13" i="15"/>
  <c r="CF12" i="16" s="1"/>
  <c r="AS14" i="15"/>
  <c r="CP15" i="15"/>
  <c r="FB52" i="15"/>
  <c r="FD52" i="15" s="1"/>
  <c r="AQ14" i="16"/>
  <c r="CK16" i="15"/>
  <c r="DG16" i="15" s="1"/>
  <c r="DB17" i="15"/>
  <c r="IH17" i="15"/>
  <c r="CF16" i="16" s="1"/>
  <c r="AS18" i="15"/>
  <c r="CX18" i="15"/>
  <c r="AF20" i="15"/>
  <c r="DF21" i="15"/>
  <c r="CC23" i="16"/>
  <c r="JN52" i="15"/>
  <c r="F27" i="16"/>
  <c r="F38" i="16" s="1"/>
  <c r="X28" i="15"/>
  <c r="AC30" i="16"/>
  <c r="AN31" i="15"/>
  <c r="H32" i="16"/>
  <c r="AF33" i="15"/>
  <c r="BN33" i="15"/>
  <c r="AI33" i="15"/>
  <c r="BC35" i="16"/>
  <c r="GG36" i="15"/>
  <c r="AR35" i="16" s="1"/>
  <c r="FW59" i="15"/>
  <c r="FG22" i="15" s="1"/>
  <c r="FT22" i="15" s="1"/>
  <c r="FM22" i="15" s="1"/>
  <c r="FV59" i="15"/>
  <c r="EQ22" i="15" s="1"/>
  <c r="BT34" i="15"/>
  <c r="BT35" i="15"/>
  <c r="W7" i="16"/>
  <c r="AJ18" i="15"/>
  <c r="CP19" i="15"/>
  <c r="I20" i="16"/>
  <c r="AJ21" i="15"/>
  <c r="CA32" i="15"/>
  <c r="AA7" i="16"/>
  <c r="AA38" i="16" s="1"/>
  <c r="C53" i="16" s="1"/>
  <c r="BG39" i="15"/>
  <c r="IE39" i="15"/>
  <c r="HI49" i="15" s="1"/>
  <c r="CE8" i="16"/>
  <c r="CE38" i="16" s="1"/>
  <c r="BX48" i="16" s="1"/>
  <c r="AB38" i="16"/>
  <c r="C54" i="16" s="1"/>
  <c r="S7" i="16"/>
  <c r="FT8" i="15"/>
  <c r="FM8" i="15" s="1"/>
  <c r="CX10" i="15"/>
  <c r="AJ12" i="15"/>
  <c r="FU12" i="15"/>
  <c r="CX14" i="15"/>
  <c r="FA15" i="15"/>
  <c r="AJ16" i="15"/>
  <c r="FU16" i="15"/>
  <c r="AG15" i="16"/>
  <c r="JD39" i="15"/>
  <c r="BF19" i="16"/>
  <c r="BG19" i="16" s="1"/>
  <c r="BQ19" i="16" s="1"/>
  <c r="BS19" i="16" s="1"/>
  <c r="AQ19" i="16"/>
  <c r="IH21" i="15"/>
  <c r="AE21" i="16"/>
  <c r="AG21" i="16" s="1"/>
  <c r="IH22" i="15"/>
  <c r="CF21" i="16" s="1"/>
  <c r="AX23" i="16"/>
  <c r="GG24" i="15"/>
  <c r="AR23" i="16" s="1"/>
  <c r="AZ24" i="16"/>
  <c r="FU25" i="15"/>
  <c r="AF26" i="15"/>
  <c r="H27" i="16"/>
  <c r="AF28" i="15"/>
  <c r="AE28" i="16"/>
  <c r="AG28" i="16" s="1"/>
  <c r="IH29" i="15"/>
  <c r="II29" i="15" s="1"/>
  <c r="X29" i="16"/>
  <c r="Y29" i="16" s="1"/>
  <c r="BH29" i="16" s="1"/>
  <c r="DB30" i="15"/>
  <c r="I31" i="16"/>
  <c r="AJ32" i="15"/>
  <c r="CO33" i="15"/>
  <c r="BC34" i="15"/>
  <c r="M33" i="16" s="1"/>
  <c r="BC35" i="15"/>
  <c r="M34" i="16" s="1"/>
  <c r="AZ22" i="16"/>
  <c r="FT23" i="15"/>
  <c r="FM23" i="15" s="1"/>
  <c r="X31" i="16"/>
  <c r="DB32" i="15"/>
  <c r="AE36" i="16"/>
  <c r="AG36" i="16" s="1"/>
  <c r="IH37" i="15"/>
  <c r="II37" i="15" s="1"/>
  <c r="AJ10" i="15"/>
  <c r="CX12" i="15"/>
  <c r="AG13" i="16"/>
  <c r="Q7" i="16"/>
  <c r="D39" i="15"/>
  <c r="DF8" i="15"/>
  <c r="DB9" i="15"/>
  <c r="I7" i="16"/>
  <c r="AC7" i="16"/>
  <c r="DG8" i="15"/>
  <c r="HE39" i="15"/>
  <c r="G8" i="15"/>
  <c r="CL8" i="15"/>
  <c r="ET39" i="15"/>
  <c r="AU7" i="16"/>
  <c r="AU38" i="16" s="1"/>
  <c r="FU8" i="15"/>
  <c r="HJ39" i="15"/>
  <c r="HI42" i="15" s="1"/>
  <c r="AF9" i="15"/>
  <c r="DF9" i="15"/>
  <c r="CB10" i="15"/>
  <c r="CT11" i="15"/>
  <c r="GG11" i="15"/>
  <c r="AR10" i="16" s="1"/>
  <c r="AF13" i="15"/>
  <c r="DF13" i="15"/>
  <c r="CB14" i="15"/>
  <c r="CT15" i="15"/>
  <c r="GG15" i="15"/>
  <c r="AR14" i="16" s="1"/>
  <c r="AF17" i="15"/>
  <c r="DF17" i="15"/>
  <c r="CB18" i="15"/>
  <c r="DG19" i="15"/>
  <c r="JG39" i="15"/>
  <c r="AH21" i="16"/>
  <c r="X22" i="16"/>
  <c r="Y22" i="16" s="1"/>
  <c r="BH22" i="16" s="1"/>
  <c r="I25" i="16"/>
  <c r="AJ26" i="15"/>
  <c r="X27" i="15"/>
  <c r="G26" i="16" s="1"/>
  <c r="FB65" i="15"/>
  <c r="FD65" i="15" s="1"/>
  <c r="Z37" i="16"/>
  <c r="AN38" i="15"/>
  <c r="CD42" i="15"/>
  <c r="AN17" i="15"/>
  <c r="AC23" i="16"/>
  <c r="AN24" i="15"/>
  <c r="AJ7" i="16"/>
  <c r="R7" i="16"/>
  <c r="R38" i="16" s="1"/>
  <c r="CH39" i="15"/>
  <c r="F39" i="15"/>
  <c r="AJ8" i="15"/>
  <c r="K39" i="15"/>
  <c r="BP39" i="15"/>
  <c r="T7" i="16"/>
  <c r="AD7" i="16"/>
  <c r="AD38" i="16" s="1"/>
  <c r="C57" i="16" s="1"/>
  <c r="DR39" i="15"/>
  <c r="AV7" i="16"/>
  <c r="AV38" i="16" s="1"/>
  <c r="EW39" i="15"/>
  <c r="AP7" i="16"/>
  <c r="FX41" i="15"/>
  <c r="HM39" i="15"/>
  <c r="HI43" i="15" s="1"/>
  <c r="AC8" i="16"/>
  <c r="CK9" i="15"/>
  <c r="P9" i="16"/>
  <c r="CH44" i="15"/>
  <c r="DB10" i="15"/>
  <c r="IH10" i="15"/>
  <c r="II10" i="15" s="1"/>
  <c r="AS11" i="15"/>
  <c r="BX11" i="15"/>
  <c r="Y10" i="16"/>
  <c r="BH10" i="16" s="1"/>
  <c r="AN12" i="15"/>
  <c r="CP12" i="15"/>
  <c r="FB49" i="15"/>
  <c r="FD49" i="15" s="1"/>
  <c r="AQ11" i="16"/>
  <c r="AC12" i="16"/>
  <c r="CK13" i="15"/>
  <c r="DG13" i="15" s="1"/>
  <c r="DB14" i="15"/>
  <c r="IH14" i="15"/>
  <c r="CF13" i="16" s="1"/>
  <c r="AS15" i="15"/>
  <c r="Y14" i="16"/>
  <c r="BH14" i="16" s="1"/>
  <c r="FD15" i="15"/>
  <c r="CC14" i="16"/>
  <c r="JN43" i="15"/>
  <c r="AN16" i="15"/>
  <c r="CP16" i="15"/>
  <c r="FB53" i="15"/>
  <c r="FD53" i="15" s="1"/>
  <c r="AQ15" i="16"/>
  <c r="AC16" i="16"/>
  <c r="CK17" i="15"/>
  <c r="CX20" i="15"/>
  <c r="DB23" i="15"/>
  <c r="BC22" i="16"/>
  <c r="GG23" i="15"/>
  <c r="AR22" i="16" s="1"/>
  <c r="X24" i="15"/>
  <c r="D24" i="16"/>
  <c r="X25" i="15"/>
  <c r="G24" i="16" s="1"/>
  <c r="DF26" i="15"/>
  <c r="R27" i="15"/>
  <c r="AH26" i="16"/>
  <c r="CA26" i="16"/>
  <c r="BF27" i="16"/>
  <c r="BG27" i="16" s="1"/>
  <c r="BQ27" i="16" s="1"/>
  <c r="BS27" i="16" s="1"/>
  <c r="AQ27" i="16"/>
  <c r="O29" i="16"/>
  <c r="CK30" i="15"/>
  <c r="DG30" i="15" s="1"/>
  <c r="CP32" i="15"/>
  <c r="K7" i="16"/>
  <c r="FJ54" i="15"/>
  <c r="FL54" i="15" s="1"/>
  <c r="O19" i="16"/>
  <c r="CK20" i="15"/>
  <c r="DG20" i="15" s="1"/>
  <c r="CB20" i="15"/>
  <c r="AI7" i="16"/>
  <c r="AI38" i="16" s="1"/>
  <c r="BX8" i="15"/>
  <c r="DF20" i="15"/>
  <c r="H7" i="16"/>
  <c r="C7" i="16"/>
  <c r="Z7" i="16"/>
  <c r="AE7" i="16"/>
  <c r="DT39" i="15"/>
  <c r="EZ39" i="15"/>
  <c r="EZ45" i="15"/>
  <c r="AQ7" i="16"/>
  <c r="HP39" i="15"/>
  <c r="HI47" i="15" s="1"/>
  <c r="AG8" i="16"/>
  <c r="FU13" i="15"/>
  <c r="AG12" i="16"/>
  <c r="FT18" i="15"/>
  <c r="FM18" i="15" s="1"/>
  <c r="AC18" i="16"/>
  <c r="GG19" i="15"/>
  <c r="AR18" i="16" s="1"/>
  <c r="JM39" i="15"/>
  <c r="X22" i="15"/>
  <c r="O22" i="16"/>
  <c r="CK23" i="15"/>
  <c r="G26" i="15"/>
  <c r="B25" i="16" s="1"/>
  <c r="II28" i="15"/>
  <c r="CB30" i="15"/>
  <c r="AZ29" i="16"/>
  <c r="FU30" i="15"/>
  <c r="FT30" i="15"/>
  <c r="FM30" i="15" s="1"/>
  <c r="AR33" i="15"/>
  <c r="CS33" i="15"/>
  <c r="N35" i="15"/>
  <c r="C34" i="16" s="1"/>
  <c r="N34" i="15"/>
  <c r="C33" i="16" s="1"/>
  <c r="AZ32" i="16"/>
  <c r="FU33" i="15"/>
  <c r="CB7" i="16"/>
  <c r="CB38" i="16" s="1"/>
  <c r="BX45" i="16" s="1"/>
  <c r="HV39" i="15"/>
  <c r="HI45" i="15" s="1"/>
  <c r="U7" i="16"/>
  <c r="AH7" i="16"/>
  <c r="DW39" i="15"/>
  <c r="CA7" i="16"/>
  <c r="HS39" i="15"/>
  <c r="HI44" i="15" s="1"/>
  <c r="X11" i="15"/>
  <c r="BG10" i="16"/>
  <c r="BQ10" i="16" s="1"/>
  <c r="BS10" i="16" s="1"/>
  <c r="GG12" i="15"/>
  <c r="AR11" i="16" s="1"/>
  <c r="X15" i="15"/>
  <c r="BG14" i="16"/>
  <c r="GG16" i="15"/>
  <c r="AR15" i="16" s="1"/>
  <c r="AG19" i="16"/>
  <c r="AJ20" i="16"/>
  <c r="AK20" i="16" s="1"/>
  <c r="FA58" i="15"/>
  <c r="FB58" i="15" s="1"/>
  <c r="FD58" i="15" s="1"/>
  <c r="FU21" i="15"/>
  <c r="BF22" i="16"/>
  <c r="BG22" i="16" s="1"/>
  <c r="BQ22" i="16" s="1"/>
  <c r="BS22" i="16" s="1"/>
  <c r="AQ22" i="16"/>
  <c r="DF28" i="15"/>
  <c r="CW33" i="15"/>
  <c r="AC20" i="16"/>
  <c r="GG22" i="15"/>
  <c r="AR21" i="16" s="1"/>
  <c r="AS21" i="16" s="1"/>
  <c r="BM21" i="16" s="1"/>
  <c r="BO21" i="16" s="1"/>
  <c r="AQ23" i="16"/>
  <c r="FU26" i="15"/>
  <c r="Y26" i="16"/>
  <c r="BH26" i="16" s="1"/>
  <c r="CC26" i="16"/>
  <c r="JN55" i="15"/>
  <c r="IH30" i="15"/>
  <c r="CF29" i="16" s="1"/>
  <c r="AS33" i="16"/>
  <c r="O35" i="16"/>
  <c r="CK36" i="15"/>
  <c r="DG36" i="15" s="1"/>
  <c r="FT37" i="15"/>
  <c r="FM37" i="15" s="1"/>
  <c r="C62" i="16"/>
  <c r="AQ18" i="16"/>
  <c r="IX39" i="15"/>
  <c r="AG20" i="16"/>
  <c r="AS22" i="15"/>
  <c r="CC21" i="16"/>
  <c r="JN50" i="15"/>
  <c r="AF23" i="15"/>
  <c r="DB25" i="15"/>
  <c r="CX27" i="15"/>
  <c r="AC27" i="16"/>
  <c r="R29" i="15"/>
  <c r="CT29" i="15"/>
  <c r="GG29" i="15"/>
  <c r="AR28" i="16" s="1"/>
  <c r="AS28" i="16" s="1"/>
  <c r="BM28" i="16" s="1"/>
  <c r="BO28" i="16" s="1"/>
  <c r="CP31" i="15"/>
  <c r="CS32" i="15"/>
  <c r="IH33" i="15"/>
  <c r="CF32" i="16" s="1"/>
  <c r="CB36" i="15"/>
  <c r="BF35" i="16"/>
  <c r="BG35" i="16" s="1"/>
  <c r="BQ35" i="16" s="1"/>
  <c r="BS35" i="16" s="1"/>
  <c r="AQ35" i="16"/>
  <c r="AC22" i="16"/>
  <c r="FB63" i="15"/>
  <c r="FD63" i="15" s="1"/>
  <c r="BG26" i="16"/>
  <c r="BQ26" i="16" s="1"/>
  <c r="BS26" i="16" s="1"/>
  <c r="FU28" i="15"/>
  <c r="AG27" i="16"/>
  <c r="CC28" i="16"/>
  <c r="JN57" i="15"/>
  <c r="FB69" i="15"/>
  <c r="FD69" i="15" s="1"/>
  <c r="AZ35" i="16"/>
  <c r="FT36" i="15"/>
  <c r="FM36" i="15" s="1"/>
  <c r="D78" i="15"/>
  <c r="C61" i="16"/>
  <c r="U36" i="16"/>
  <c r="CT37" i="15"/>
  <c r="G78" i="15"/>
  <c r="AC24" i="16"/>
  <c r="GG26" i="15"/>
  <c r="AR25" i="16" s="1"/>
  <c r="AS25" i="16" s="1"/>
  <c r="BM25" i="16" s="1"/>
  <c r="BO25" i="16" s="1"/>
  <c r="CP28" i="15"/>
  <c r="CB29" i="15"/>
  <c r="AJ30" i="15"/>
  <c r="AG29" i="16"/>
  <c r="AS31" i="15"/>
  <c r="Y30" i="16"/>
  <c r="BH30" i="16" s="1"/>
  <c r="CC30" i="16"/>
  <c r="JN59" i="15"/>
  <c r="AS32" i="15"/>
  <c r="CF32" i="15"/>
  <c r="Q31" i="16" s="1"/>
  <c r="CW32" i="15"/>
  <c r="GG32" i="15"/>
  <c r="AR31" i="16" s="1"/>
  <c r="AS31" i="16" s="1"/>
  <c r="BM31" i="16" s="1"/>
  <c r="BO31" i="16" s="1"/>
  <c r="FB71" i="15"/>
  <c r="FD71" i="15" s="1"/>
  <c r="DF38" i="15"/>
  <c r="V18" i="16"/>
  <c r="JJ39" i="15"/>
  <c r="AC19" i="16"/>
  <c r="R21" i="15"/>
  <c r="CT21" i="15"/>
  <c r="AN23" i="15"/>
  <c r="CP23" i="15"/>
  <c r="CB24" i="15"/>
  <c r="BG23" i="16"/>
  <c r="BQ23" i="16" s="1"/>
  <c r="BS23" i="16" s="1"/>
  <c r="AJ25" i="15"/>
  <c r="AS26" i="15"/>
  <c r="Y25" i="16"/>
  <c r="BH25" i="16" s="1"/>
  <c r="CC25" i="16"/>
  <c r="JN54" i="15"/>
  <c r="AF27" i="15"/>
  <c r="DF27" i="15"/>
  <c r="DB29" i="15"/>
  <c r="CX31" i="15"/>
  <c r="AE32" i="15"/>
  <c r="BR32" i="15"/>
  <c r="Z31" i="16" s="1"/>
  <c r="CC31" i="16"/>
  <c r="JN60" i="15"/>
  <c r="AN30" i="15"/>
  <c r="AQ29" i="16"/>
  <c r="E35" i="16"/>
  <c r="X36" i="16"/>
  <c r="Y36" i="16" s="1"/>
  <c r="BH36" i="16" s="1"/>
  <c r="DB37" i="15"/>
  <c r="FB74" i="15"/>
  <c r="FD74" i="15" s="1"/>
  <c r="AE37" i="16"/>
  <c r="AG37" i="16" s="1"/>
  <c r="IH38" i="15"/>
  <c r="CF37" i="16" s="1"/>
  <c r="IH19" i="15"/>
  <c r="CF18" i="16" s="1"/>
  <c r="JP39" i="15"/>
  <c r="AC21" i="16"/>
  <c r="CK22" i="15"/>
  <c r="DG22" i="15" s="1"/>
  <c r="CT23" i="15"/>
  <c r="AN25" i="15"/>
  <c r="CP25" i="15"/>
  <c r="AQ24" i="16"/>
  <c r="CB26" i="15"/>
  <c r="AJ27" i="15"/>
  <c r="AS28" i="15"/>
  <c r="Y27" i="16"/>
  <c r="BH27" i="16" s="1"/>
  <c r="AF29" i="15"/>
  <c r="DF29" i="15"/>
  <c r="DB31" i="15"/>
  <c r="IH31" i="15"/>
  <c r="CF30" i="16" s="1"/>
  <c r="FB70" i="15"/>
  <c r="FD70" i="15" s="1"/>
  <c r="IH34" i="15"/>
  <c r="CF33" i="16" s="1"/>
  <c r="X36" i="15"/>
  <c r="G35" i="16" s="1"/>
  <c r="FU36" i="15"/>
  <c r="FA75" i="15"/>
  <c r="FB75" i="15" s="1"/>
  <c r="FD75" i="15" s="1"/>
  <c r="FU38" i="15"/>
  <c r="JS39" i="15"/>
  <c r="AN20" i="15"/>
  <c r="CP20" i="15"/>
  <c r="FB57" i="15"/>
  <c r="FD57" i="15" s="1"/>
  <c r="CB21" i="15"/>
  <c r="BG20" i="16"/>
  <c r="AJ22" i="15"/>
  <c r="AS23" i="15"/>
  <c r="CC22" i="16"/>
  <c r="JN51" i="15"/>
  <c r="AF24" i="15"/>
  <c r="DB26" i="15"/>
  <c r="IH26" i="15"/>
  <c r="CF25" i="16" s="1"/>
  <c r="CX28" i="15"/>
  <c r="AC28" i="16"/>
  <c r="CK29" i="15"/>
  <c r="CT30" i="15"/>
  <c r="GG30" i="15"/>
  <c r="AR29" i="16" s="1"/>
  <c r="IH32" i="15"/>
  <c r="AK32" i="16"/>
  <c r="AE34" i="16"/>
  <c r="AG34" i="16" s="1"/>
  <c r="IH35" i="15"/>
  <c r="CF34" i="16" s="1"/>
  <c r="FW46" i="15"/>
  <c r="FG9" i="15" s="1"/>
  <c r="FV46" i="15"/>
  <c r="EQ9" i="15" s="1"/>
  <c r="AQ26" i="16"/>
  <c r="FU29" i="15"/>
  <c r="CC29" i="16"/>
  <c r="JN58" i="15"/>
  <c r="AH34" i="16"/>
  <c r="ED35" i="15"/>
  <c r="JN62" i="15"/>
  <c r="FV53" i="15"/>
  <c r="EQ16" i="15" s="1"/>
  <c r="FH55" i="15"/>
  <c r="AF17" i="16"/>
  <c r="FI60" i="15"/>
  <c r="AF37" i="16"/>
  <c r="AF20" i="16"/>
  <c r="AX34" i="16"/>
  <c r="AF36" i="15"/>
  <c r="DF36" i="15"/>
  <c r="AS37" i="15"/>
  <c r="AX36" i="16"/>
  <c r="AJ38" i="15"/>
  <c r="FV58" i="15"/>
  <c r="EQ21" i="15" s="1"/>
  <c r="FH62" i="15"/>
  <c r="BC34" i="16"/>
  <c r="AC35" i="16"/>
  <c r="BC36" i="16"/>
  <c r="AS37" i="16"/>
  <c r="BM37" i="16" s="1"/>
  <c r="BO37" i="16" s="1"/>
  <c r="AF7" i="16"/>
  <c r="DR79" i="15"/>
  <c r="AF8" i="16"/>
  <c r="FV51" i="15"/>
  <c r="EQ14" i="15" s="1"/>
  <c r="FA14" i="15" s="1"/>
  <c r="FI54" i="15"/>
  <c r="FH59" i="15"/>
  <c r="FI62" i="15"/>
  <c r="FW64" i="15"/>
  <c r="FG27" i="15" s="1"/>
  <c r="FV64" i="15"/>
  <c r="EQ27" i="15" s="1"/>
  <c r="FA27" i="15" s="1"/>
  <c r="FV65" i="15"/>
  <c r="EQ28" i="15" s="1"/>
  <c r="FI66" i="15"/>
  <c r="FH67" i="15"/>
  <c r="FH53" i="15"/>
  <c r="FI59" i="15"/>
  <c r="JN63" i="15"/>
  <c r="FI67" i="15"/>
  <c r="KG36" i="15"/>
  <c r="FV49" i="15"/>
  <c r="EQ12" i="15" s="1"/>
  <c r="FA12" i="15" s="1"/>
  <c r="FH52" i="15"/>
  <c r="AN36" i="15"/>
  <c r="CP36" i="15"/>
  <c r="CT38" i="15"/>
  <c r="FI72" i="15"/>
  <c r="FI68" i="15"/>
  <c r="FI64" i="15"/>
  <c r="FH72" i="15"/>
  <c r="FH68" i="15"/>
  <c r="FI73" i="15"/>
  <c r="FI69" i="15"/>
  <c r="FI65" i="15"/>
  <c r="FH73" i="15"/>
  <c r="FH69" i="15"/>
  <c r="FH65" i="15"/>
  <c r="FH60" i="15"/>
  <c r="FH74" i="15"/>
  <c r="FH70" i="15"/>
  <c r="FH66" i="15"/>
  <c r="FV47" i="15"/>
  <c r="EQ10" i="15" s="1"/>
  <c r="FV48" i="15"/>
  <c r="EQ11" i="15" s="1"/>
  <c r="FI52" i="15"/>
  <c r="FV56" i="15"/>
  <c r="EQ19" i="15" s="1"/>
  <c r="FA19" i="15" s="1"/>
  <c r="FH58" i="15"/>
  <c r="FV60" i="15"/>
  <c r="EQ23" i="15" s="1"/>
  <c r="FW68" i="15"/>
  <c r="FG31" i="15" s="1"/>
  <c r="FV68" i="15"/>
  <c r="EQ31" i="15" s="1"/>
  <c r="FV69" i="15"/>
  <c r="EQ32" i="15" s="1"/>
  <c r="FA32" i="15" s="1"/>
  <c r="FI70" i="15"/>
  <c r="FH71" i="15"/>
  <c r="Y37" i="16"/>
  <c r="BH37" i="16" s="1"/>
  <c r="AX37" i="16"/>
  <c r="FH51" i="15"/>
  <c r="FI58" i="15"/>
  <c r="FH61" i="15"/>
  <c r="FH63" i="15"/>
  <c r="FI71" i="15"/>
  <c r="AX33" i="16"/>
  <c r="CT36" i="15"/>
  <c r="AC36" i="16"/>
  <c r="CK37" i="15"/>
  <c r="V37" i="16"/>
  <c r="BC37" i="16"/>
  <c r="FH50" i="15"/>
  <c r="FI51" i="15"/>
  <c r="FH57" i="15"/>
  <c r="FI61" i="15"/>
  <c r="FI63" i="15"/>
  <c r="ED34" i="15"/>
  <c r="BC33" i="16"/>
  <c r="AS36" i="15"/>
  <c r="Y35" i="16"/>
  <c r="BH35" i="16" s="1"/>
  <c r="AX35" i="16"/>
  <c r="AJ37" i="15"/>
  <c r="FU37" i="15"/>
  <c r="X38" i="15"/>
  <c r="G37" i="16" s="1"/>
  <c r="CB38" i="15"/>
  <c r="BG37" i="16"/>
  <c r="BQ37" i="16" s="1"/>
  <c r="BS37" i="16" s="1"/>
  <c r="FH49" i="15"/>
  <c r="FI50" i="15"/>
  <c r="FI57" i="15"/>
  <c r="FW72" i="15"/>
  <c r="FG35" i="15" s="1"/>
  <c r="FV72" i="15"/>
  <c r="EQ35" i="15" s="1"/>
  <c r="FV73" i="15"/>
  <c r="EQ36" i="15" s="1"/>
  <c r="FA36" i="15" s="1"/>
  <c r="FI74" i="15"/>
  <c r="FH75" i="15"/>
  <c r="AF23" i="16"/>
  <c r="AF27" i="16"/>
  <c r="AF31" i="16"/>
  <c r="AF22" i="16"/>
  <c r="AF26" i="16"/>
  <c r="AF30" i="16"/>
  <c r="AF34" i="16"/>
  <c r="FV67" i="15"/>
  <c r="EQ30" i="15" s="1"/>
  <c r="FV71" i="15"/>
  <c r="EQ34" i="15" s="1"/>
  <c r="FV75" i="15"/>
  <c r="EQ38" i="15" s="1"/>
  <c r="AF25" i="16"/>
  <c r="AF29" i="16"/>
  <c r="AF33" i="16"/>
  <c r="ED12" i="15" l="1"/>
  <c r="ED24" i="15"/>
  <c r="FM55" i="15"/>
  <c r="BB17" i="16" s="1"/>
  <c r="AS26" i="16"/>
  <c r="DG21" i="15"/>
  <c r="CL24" i="15"/>
  <c r="BD9" i="15"/>
  <c r="CL21" i="15"/>
  <c r="AO9" i="15"/>
  <c r="DG24" i="15"/>
  <c r="V23" i="16"/>
  <c r="N8" i="16"/>
  <c r="J27" i="16"/>
  <c r="FT32" i="15"/>
  <c r="FM32" i="15" s="1"/>
  <c r="FU32" i="15"/>
  <c r="FD20" i="15"/>
  <c r="FK72" i="15"/>
  <c r="FM72" i="15" s="1"/>
  <c r="BB34" i="16" s="1"/>
  <c r="FA20" i="15"/>
  <c r="BD13" i="15"/>
  <c r="AJ25" i="16"/>
  <c r="AK25" i="16" s="1"/>
  <c r="ED20" i="15"/>
  <c r="BD28" i="15"/>
  <c r="S17" i="16"/>
  <c r="V17" i="16" s="1"/>
  <c r="BQ20" i="16"/>
  <c r="BS20" i="16" s="1"/>
  <c r="BM34" i="16"/>
  <c r="BO34" i="16" s="1"/>
  <c r="BQ14" i="16"/>
  <c r="BS14" i="16" s="1"/>
  <c r="BM26" i="16"/>
  <c r="BO26" i="16" s="1"/>
  <c r="BM33" i="16"/>
  <c r="BL33" i="16" s="1"/>
  <c r="BL38" i="16" s="1"/>
  <c r="KG23" i="15"/>
  <c r="BQ12" i="16"/>
  <c r="BS12" i="16" s="1"/>
  <c r="BQ11" i="16"/>
  <c r="BS11" i="16" s="1"/>
  <c r="BQ28" i="16"/>
  <c r="BS28" i="16" s="1"/>
  <c r="FK68" i="15"/>
  <c r="FL64" i="15"/>
  <c r="AW26" i="16" s="1"/>
  <c r="KG11" i="15"/>
  <c r="ED16" i="15"/>
  <c r="II27" i="15"/>
  <c r="FD26" i="15"/>
  <c r="DG38" i="15"/>
  <c r="FA37" i="15"/>
  <c r="CL38" i="15"/>
  <c r="FA33" i="15"/>
  <c r="FD33" i="15"/>
  <c r="AK32" i="15"/>
  <c r="DH32" i="15" s="1"/>
  <c r="FA26" i="15"/>
  <c r="II48" i="15"/>
  <c r="AS8" i="16"/>
  <c r="BM8" i="16" s="1"/>
  <c r="BO8" i="16" s="1"/>
  <c r="AK34" i="16"/>
  <c r="EN9" i="15"/>
  <c r="II72" i="15"/>
  <c r="II11" i="15"/>
  <c r="II36" i="15"/>
  <c r="FM46" i="15"/>
  <c r="BB8" i="16" s="1"/>
  <c r="DG27" i="15"/>
  <c r="CL27" i="15"/>
  <c r="DG28" i="15"/>
  <c r="CL28" i="15"/>
  <c r="AS27" i="16"/>
  <c r="BM27" i="16" s="1"/>
  <c r="BO27" i="16" s="1"/>
  <c r="KG28" i="15"/>
  <c r="BD27" i="15"/>
  <c r="AO27" i="15"/>
  <c r="II25" i="15"/>
  <c r="KG25" i="15"/>
  <c r="FD25" i="15"/>
  <c r="AJ12" i="16"/>
  <c r="AK12" i="16" s="1"/>
  <c r="AS24" i="16"/>
  <c r="BM24" i="16" s="1"/>
  <c r="BO24" i="16" s="1"/>
  <c r="KG38" i="15"/>
  <c r="II33" i="15"/>
  <c r="AS22" i="16"/>
  <c r="BM22" i="16" s="1"/>
  <c r="BO22" i="16" s="1"/>
  <c r="V25" i="16"/>
  <c r="II75" i="15"/>
  <c r="II70" i="15"/>
  <c r="FA25" i="15"/>
  <c r="II23" i="15"/>
  <c r="KG20" i="15"/>
  <c r="J20" i="16"/>
  <c r="N20" i="16" s="1"/>
  <c r="AO21" i="15"/>
  <c r="II20" i="15"/>
  <c r="CL18" i="15"/>
  <c r="FJ56" i="15"/>
  <c r="FL56" i="15" s="1"/>
  <c r="AW18" i="16" s="1"/>
  <c r="FA18" i="15"/>
  <c r="N18" i="16"/>
  <c r="FT17" i="15"/>
  <c r="FM17" i="15" s="1"/>
  <c r="FU17" i="15"/>
  <c r="FD18" i="15"/>
  <c r="II17" i="15"/>
  <c r="AK17" i="15"/>
  <c r="DH17" i="15" s="1"/>
  <c r="KG15" i="15"/>
  <c r="KG16" i="15"/>
  <c r="CL14" i="15"/>
  <c r="AO15" i="15"/>
  <c r="J14" i="16"/>
  <c r="FJ50" i="15"/>
  <c r="FL50" i="15" s="1"/>
  <c r="DG14" i="15"/>
  <c r="AO13" i="15"/>
  <c r="FA13" i="15"/>
  <c r="FD13" i="15"/>
  <c r="G12" i="16"/>
  <c r="N12" i="16" s="1"/>
  <c r="AS11" i="16"/>
  <c r="BM11" i="16" s="1"/>
  <c r="BO11" i="16" s="1"/>
  <c r="BD11" i="15"/>
  <c r="J10" i="16"/>
  <c r="AK12" i="15"/>
  <c r="DH12" i="15" s="1"/>
  <c r="AS9" i="16"/>
  <c r="FJ46" i="15"/>
  <c r="FL46" i="15" s="1"/>
  <c r="CL10" i="15"/>
  <c r="DG10" i="15"/>
  <c r="AK10" i="15"/>
  <c r="DH10" i="15" s="1"/>
  <c r="AK9" i="15"/>
  <c r="DH9" i="15" s="1"/>
  <c r="II46" i="15"/>
  <c r="J7" i="16"/>
  <c r="N7" i="16" s="1"/>
  <c r="AS10" i="16"/>
  <c r="AS35" i="16"/>
  <c r="BM35" i="16" s="1"/>
  <c r="BO35" i="16" s="1"/>
  <c r="BC38" i="16"/>
  <c r="AS14" i="16"/>
  <c r="BM14" i="16" s="1"/>
  <c r="BO14" i="16" s="1"/>
  <c r="AS18" i="16"/>
  <c r="AS29" i="16"/>
  <c r="BM29" i="16" s="1"/>
  <c r="BO29" i="16" s="1"/>
  <c r="AS20" i="16"/>
  <c r="BM20" i="16" s="1"/>
  <c r="BO20" i="16" s="1"/>
  <c r="AX38" i="16"/>
  <c r="AS19" i="16"/>
  <c r="BM19" i="16" s="1"/>
  <c r="BO19" i="16" s="1"/>
  <c r="AS23" i="16"/>
  <c r="BM23" i="16" s="1"/>
  <c r="BO23" i="16" s="1"/>
  <c r="AS15" i="16"/>
  <c r="BM15" i="16" s="1"/>
  <c r="BO15" i="16" s="1"/>
  <c r="GA41" i="15"/>
  <c r="FJ61" i="15"/>
  <c r="FL61" i="15" s="1"/>
  <c r="AW23" i="16" s="1"/>
  <c r="FB45" i="15"/>
  <c r="FD45" i="15" s="1"/>
  <c r="FK45" i="15" s="1"/>
  <c r="FM45" i="15" s="1"/>
  <c r="BB7" i="16" s="1"/>
  <c r="BD7" i="16" s="1"/>
  <c r="FK62" i="15"/>
  <c r="FM62" i="15" s="1"/>
  <c r="BB24" i="16" s="1"/>
  <c r="BD24" i="16" s="1"/>
  <c r="FT24" i="15"/>
  <c r="FM24" i="15" s="1"/>
  <c r="FK59" i="15"/>
  <c r="FM59" i="15" s="1"/>
  <c r="BB21" i="16" s="1"/>
  <c r="FJ55" i="15"/>
  <c r="FL55" i="15" s="1"/>
  <c r="AW17" i="16" s="1"/>
  <c r="AY17" i="16" s="1"/>
  <c r="FK67" i="15"/>
  <c r="FM67" i="15" s="1"/>
  <c r="BB29" i="16" s="1"/>
  <c r="BD29" i="16" s="1"/>
  <c r="FL72" i="15"/>
  <c r="AW34" i="16" s="1"/>
  <c r="FM50" i="15"/>
  <c r="BB12" i="16" s="1"/>
  <c r="BD12" i="16" s="1"/>
  <c r="FA29" i="15"/>
  <c r="AK36" i="16"/>
  <c r="ED27" i="15"/>
  <c r="AK26" i="16"/>
  <c r="ED10" i="15"/>
  <c r="ED32" i="15"/>
  <c r="ED14" i="15"/>
  <c r="II64" i="15"/>
  <c r="II53" i="15"/>
  <c r="II24" i="15"/>
  <c r="II54" i="15"/>
  <c r="II22" i="15"/>
  <c r="II9" i="15"/>
  <c r="II15" i="15"/>
  <c r="KG33" i="15"/>
  <c r="II50" i="15"/>
  <c r="KG13" i="15"/>
  <c r="II73" i="15"/>
  <c r="II65" i="15"/>
  <c r="KG27" i="15"/>
  <c r="KG24" i="15"/>
  <c r="Y18" i="16"/>
  <c r="BH18" i="16" s="1"/>
  <c r="CL31" i="15"/>
  <c r="DG31" i="15"/>
  <c r="DG26" i="15"/>
  <c r="CL26" i="15"/>
  <c r="AO37" i="15"/>
  <c r="J21" i="16"/>
  <c r="AO19" i="15"/>
  <c r="BD19" i="15"/>
  <c r="AO8" i="15"/>
  <c r="BD29" i="15"/>
  <c r="J28" i="16"/>
  <c r="N28" i="16" s="1"/>
  <c r="AO22" i="15"/>
  <c r="BD37" i="15"/>
  <c r="N26" i="16"/>
  <c r="AI39" i="15"/>
  <c r="AK26" i="15"/>
  <c r="DH26" i="15" s="1"/>
  <c r="AK19" i="15"/>
  <c r="DH19" i="15" s="1"/>
  <c r="AK29" i="15"/>
  <c r="DH29" i="15" s="1"/>
  <c r="AK23" i="15"/>
  <c r="DH23" i="15" s="1"/>
  <c r="AK16" i="15"/>
  <c r="DH16" i="15" s="1"/>
  <c r="AK8" i="15"/>
  <c r="DH8" i="15" s="1"/>
  <c r="AK20" i="15"/>
  <c r="DH20" i="15" s="1"/>
  <c r="AK14" i="15"/>
  <c r="DH14" i="15" s="1"/>
  <c r="AK38" i="15"/>
  <c r="DH38" i="15" s="1"/>
  <c r="AK30" i="15"/>
  <c r="DH30" i="15" s="1"/>
  <c r="AK31" i="15"/>
  <c r="DH31" i="15" s="1"/>
  <c r="AK25" i="15"/>
  <c r="DH25" i="15" s="1"/>
  <c r="AK18" i="15"/>
  <c r="DH18" i="15" s="1"/>
  <c r="AK36" i="15"/>
  <c r="DH36" i="15" s="1"/>
  <c r="AK21" i="15"/>
  <c r="DH21" i="15" s="1"/>
  <c r="AT23" i="16"/>
  <c r="FA24" i="15"/>
  <c r="FD24" i="15"/>
  <c r="FD37" i="15"/>
  <c r="FU24" i="15"/>
  <c r="FD29" i="15"/>
  <c r="FD8" i="15"/>
  <c r="AT7" i="16"/>
  <c r="FA8" i="15"/>
  <c r="FM60" i="15"/>
  <c r="BB22" i="16" s="1"/>
  <c r="BD22" i="16" s="1"/>
  <c r="FJ73" i="15"/>
  <c r="FL73" i="15" s="1"/>
  <c r="FM73" i="15"/>
  <c r="BB35" i="16" s="1"/>
  <c r="BD35" i="16" s="1"/>
  <c r="FK64" i="15"/>
  <c r="FM64" i="15" s="1"/>
  <c r="BB26" i="16" s="1"/>
  <c r="FM61" i="15"/>
  <c r="BB23" i="16" s="1"/>
  <c r="BD23" i="16" s="1"/>
  <c r="FJ60" i="15"/>
  <c r="FL60" i="15" s="1"/>
  <c r="FL67" i="15"/>
  <c r="AW29" i="16" s="1"/>
  <c r="FM54" i="15"/>
  <c r="BB16" i="16" s="1"/>
  <c r="BD16" i="16" s="1"/>
  <c r="II62" i="15"/>
  <c r="II52" i="15"/>
  <c r="CA38" i="16"/>
  <c r="BX44" i="16" s="1"/>
  <c r="II59" i="15"/>
  <c r="ED21" i="15"/>
  <c r="FL59" i="15"/>
  <c r="FJ66" i="15"/>
  <c r="FL66" i="15" s="1"/>
  <c r="ED31" i="15"/>
  <c r="ED19" i="15"/>
  <c r="AK18" i="16"/>
  <c r="FM68" i="15"/>
  <c r="BB30" i="16" s="1"/>
  <c r="FM66" i="15"/>
  <c r="BB28" i="16" s="1"/>
  <c r="BD28" i="16" s="1"/>
  <c r="FK75" i="15"/>
  <c r="FM75" i="15" s="1"/>
  <c r="BB37" i="16" s="1"/>
  <c r="BD37" i="16" s="1"/>
  <c r="FJ75" i="15"/>
  <c r="FL75" i="15" s="1"/>
  <c r="AW16" i="16"/>
  <c r="AY16" i="16" s="1"/>
  <c r="FK58" i="15"/>
  <c r="FM58" i="15" s="1"/>
  <c r="BB20" i="16" s="1"/>
  <c r="BD20" i="16" s="1"/>
  <c r="FJ58" i="15"/>
  <c r="FL58" i="15" s="1"/>
  <c r="O31" i="16"/>
  <c r="CB32" i="15"/>
  <c r="AT27" i="16"/>
  <c r="FD28" i="15"/>
  <c r="AT8" i="16"/>
  <c r="FA9" i="15"/>
  <c r="FD9" i="15"/>
  <c r="W31" i="16"/>
  <c r="Y31" i="16" s="1"/>
  <c r="BH31" i="16" s="1"/>
  <c r="CX32" i="15"/>
  <c r="II63" i="15"/>
  <c r="U32" i="16"/>
  <c r="CT33" i="15"/>
  <c r="J16" i="16"/>
  <c r="N16" i="16" s="1"/>
  <c r="BD17" i="15"/>
  <c r="AO17" i="15"/>
  <c r="II51" i="15"/>
  <c r="V9" i="16"/>
  <c r="I32" i="16"/>
  <c r="AJ33" i="15"/>
  <c r="S11" i="16"/>
  <c r="V11" i="16" s="1"/>
  <c r="CL12" i="15"/>
  <c r="AL34" i="16"/>
  <c r="AO34" i="16" s="1"/>
  <c r="EN35" i="15"/>
  <c r="BD17" i="16"/>
  <c r="O32" i="16"/>
  <c r="CB33" i="15"/>
  <c r="J17" i="16"/>
  <c r="N17" i="16" s="1"/>
  <c r="BD18" i="15"/>
  <c r="AO18" i="15"/>
  <c r="S14" i="16"/>
  <c r="V14" i="16" s="1"/>
  <c r="CL15" i="15"/>
  <c r="M38" i="16"/>
  <c r="AL11" i="16"/>
  <c r="AO11" i="16" s="1"/>
  <c r="EN12" i="15"/>
  <c r="AL36" i="16"/>
  <c r="AO36" i="16" s="1"/>
  <c r="EN37" i="15"/>
  <c r="AL35" i="16"/>
  <c r="AO35" i="16" s="1"/>
  <c r="EN36" i="15"/>
  <c r="FK70" i="15"/>
  <c r="FM70" i="15" s="1"/>
  <c r="BB32" i="16" s="1"/>
  <c r="BD32" i="16" s="1"/>
  <c r="FJ70" i="15"/>
  <c r="FL70" i="15" s="1"/>
  <c r="II18" i="15"/>
  <c r="BF38" i="16"/>
  <c r="BC39" i="15"/>
  <c r="AT33" i="16"/>
  <c r="FD34" i="15"/>
  <c r="AZ8" i="16"/>
  <c r="FU9" i="15"/>
  <c r="ED28" i="15"/>
  <c r="II55" i="15"/>
  <c r="II38" i="15"/>
  <c r="K32" i="16"/>
  <c r="AS33" i="15"/>
  <c r="FA28" i="15"/>
  <c r="G23" i="16"/>
  <c r="AK24" i="15"/>
  <c r="DH24" i="15" s="1"/>
  <c r="FK53" i="15"/>
  <c r="FM53" i="15" s="1"/>
  <c r="BB15" i="16" s="1"/>
  <c r="BD15" i="16" s="1"/>
  <c r="FJ53" i="15"/>
  <c r="FL53" i="15" s="1"/>
  <c r="CO34" i="15"/>
  <c r="CO35" i="15"/>
  <c r="AT21" i="16"/>
  <c r="FD22" i="15"/>
  <c r="FA22" i="15"/>
  <c r="CK32" i="15"/>
  <c r="DG32" i="15" s="1"/>
  <c r="KG18" i="15"/>
  <c r="CA35" i="15"/>
  <c r="CK35" i="15" s="1"/>
  <c r="CA34" i="15"/>
  <c r="CK34" i="15" s="1"/>
  <c r="FG39" i="15"/>
  <c r="AL26" i="16"/>
  <c r="AO26" i="16" s="1"/>
  <c r="EN27" i="15"/>
  <c r="AL20" i="16"/>
  <c r="AO20" i="16" s="1"/>
  <c r="EN21" i="15"/>
  <c r="KG17" i="15"/>
  <c r="KG9" i="15"/>
  <c r="U31" i="16"/>
  <c r="CT32" i="15"/>
  <c r="AE35" i="15"/>
  <c r="AE34" i="15"/>
  <c r="AL18" i="16"/>
  <c r="AO18" i="16" s="1"/>
  <c r="EN19" i="15"/>
  <c r="J30" i="16"/>
  <c r="N30" i="16" s="1"/>
  <c r="BD31" i="15"/>
  <c r="AO31" i="15"/>
  <c r="AL22" i="16"/>
  <c r="AO22" i="16" s="1"/>
  <c r="EN23" i="15"/>
  <c r="AT22" i="16"/>
  <c r="FD23" i="15"/>
  <c r="FA23" i="15"/>
  <c r="AT29" i="16"/>
  <c r="FD30" i="15"/>
  <c r="FA30" i="15"/>
  <c r="AT11" i="16"/>
  <c r="FD12" i="15"/>
  <c r="AR34" i="15"/>
  <c r="AR35" i="15"/>
  <c r="CF9" i="16"/>
  <c r="II47" i="15" s="1"/>
  <c r="KG10" i="15"/>
  <c r="CE42" i="15"/>
  <c r="CF42" i="15" s="1"/>
  <c r="BX41" i="16"/>
  <c r="II45" i="15"/>
  <c r="T32" i="16"/>
  <c r="CP33" i="15"/>
  <c r="AL17" i="16"/>
  <c r="AO17" i="16" s="1"/>
  <c r="EN18" i="15"/>
  <c r="FK48" i="15"/>
  <c r="FM48" i="15" s="1"/>
  <c r="BB10" i="16" s="1"/>
  <c r="BD10" i="16" s="1"/>
  <c r="FJ48" i="15"/>
  <c r="FL48" i="15" s="1"/>
  <c r="AL16" i="16"/>
  <c r="AO16" i="16" s="1"/>
  <c r="EN17" i="15"/>
  <c r="CK33" i="15"/>
  <c r="FJ51" i="15"/>
  <c r="FL51" i="15" s="1"/>
  <c r="FK51" i="15"/>
  <c r="FM51" i="15" s="1"/>
  <c r="BB13" i="16" s="1"/>
  <c r="BD13" i="16" s="1"/>
  <c r="KG35" i="15"/>
  <c r="AL15" i="16"/>
  <c r="AO15" i="16" s="1"/>
  <c r="EN16" i="15"/>
  <c r="AJ28" i="16"/>
  <c r="AK28" i="16" s="1"/>
  <c r="ED29" i="15"/>
  <c r="AJ22" i="16"/>
  <c r="AK22" i="16" s="1"/>
  <c r="ED23" i="15"/>
  <c r="DG9" i="15"/>
  <c r="AT30" i="16"/>
  <c r="FD31" i="15"/>
  <c r="S28" i="16"/>
  <c r="V28" i="16" s="1"/>
  <c r="CL29" i="15"/>
  <c r="AZ34" i="16"/>
  <c r="FU35" i="15"/>
  <c r="AT18" i="16"/>
  <c r="FD19" i="15"/>
  <c r="AZ26" i="16"/>
  <c r="FU27" i="15"/>
  <c r="FT27" i="15"/>
  <c r="FM27" i="15" s="1"/>
  <c r="AT15" i="16"/>
  <c r="FD16" i="15"/>
  <c r="G10" i="16"/>
  <c r="AK11" i="15"/>
  <c r="DH11" i="15" s="1"/>
  <c r="II34" i="15"/>
  <c r="II30" i="15"/>
  <c r="AE38" i="16"/>
  <c r="C58" i="16" s="1"/>
  <c r="AZ35" i="15"/>
  <c r="L34" i="16" s="1"/>
  <c r="AZ34" i="15"/>
  <c r="J15" i="16"/>
  <c r="N15" i="16" s="1"/>
  <c r="AO16" i="15"/>
  <c r="BD16" i="15"/>
  <c r="S12" i="16"/>
  <c r="V12" i="16" s="1"/>
  <c r="CL13" i="15"/>
  <c r="AJ24" i="16"/>
  <c r="AK24" i="16" s="1"/>
  <c r="ED25" i="15"/>
  <c r="AG7" i="16"/>
  <c r="AG38" i="16" s="1"/>
  <c r="C60" i="16" s="1"/>
  <c r="II13" i="15"/>
  <c r="AZ21" i="16"/>
  <c r="FU22" i="15"/>
  <c r="BN35" i="15"/>
  <c r="BN34" i="15"/>
  <c r="G27" i="16"/>
  <c r="AK28" i="15"/>
  <c r="DH28" i="15" s="1"/>
  <c r="X32" i="16"/>
  <c r="DB33" i="15"/>
  <c r="AL28" i="16"/>
  <c r="AO28" i="16" s="1"/>
  <c r="EN29" i="15"/>
  <c r="AL27" i="16"/>
  <c r="AO27" i="16" s="1"/>
  <c r="EN28" i="15"/>
  <c r="J23" i="16"/>
  <c r="BD24" i="15"/>
  <c r="AO24" i="15"/>
  <c r="AL19" i="16"/>
  <c r="AO19" i="16" s="1"/>
  <c r="EN20" i="15"/>
  <c r="AL31" i="16"/>
  <c r="AO31" i="16" s="1"/>
  <c r="EN32" i="15"/>
  <c r="FL68" i="15"/>
  <c r="J24" i="16"/>
  <c r="N24" i="16" s="1"/>
  <c r="AO25" i="15"/>
  <c r="BD25" i="15"/>
  <c r="FA34" i="15"/>
  <c r="KG34" i="15"/>
  <c r="S22" i="16"/>
  <c r="V22" i="16" s="1"/>
  <c r="CL23" i="15"/>
  <c r="J37" i="16"/>
  <c r="N37" i="16" s="1"/>
  <c r="AO38" i="15"/>
  <c r="BD38" i="15"/>
  <c r="CF36" i="16"/>
  <c r="II74" i="15" s="1"/>
  <c r="KG37" i="15"/>
  <c r="II49" i="15"/>
  <c r="DA35" i="15"/>
  <c r="DA34" i="15"/>
  <c r="KG19" i="15"/>
  <c r="CF35" i="15"/>
  <c r="Q34" i="16" s="1"/>
  <c r="CF34" i="15"/>
  <c r="Q33" i="16" s="1"/>
  <c r="KG30" i="15"/>
  <c r="J13" i="16"/>
  <c r="N13" i="16" s="1"/>
  <c r="BD14" i="15"/>
  <c r="AO14" i="15"/>
  <c r="S10" i="16"/>
  <c r="V10" i="16" s="1"/>
  <c r="CL11" i="15"/>
  <c r="BE38" i="16"/>
  <c r="BG7" i="16"/>
  <c r="BQ7" i="16" s="1"/>
  <c r="V7" i="16"/>
  <c r="AJ29" i="16"/>
  <c r="AK29" i="16" s="1"/>
  <c r="ED30" i="15"/>
  <c r="KG22" i="15"/>
  <c r="S16" i="16"/>
  <c r="V16" i="16" s="1"/>
  <c r="CL17" i="15"/>
  <c r="J35" i="16"/>
  <c r="N35" i="16" s="1"/>
  <c r="AO36" i="15"/>
  <c r="BD36" i="15"/>
  <c r="II57" i="15"/>
  <c r="AQ38" i="16"/>
  <c r="S36" i="16"/>
  <c r="V36" i="16" s="1"/>
  <c r="CL37" i="15"/>
  <c r="AT9" i="16"/>
  <c r="FD10" i="15"/>
  <c r="AK27" i="15"/>
  <c r="DH27" i="15" s="1"/>
  <c r="II71" i="15"/>
  <c r="BR39" i="15"/>
  <c r="DG23" i="15"/>
  <c r="DF39" i="15"/>
  <c r="I34" i="16"/>
  <c r="AJ35" i="15"/>
  <c r="II19" i="15"/>
  <c r="AJ17" i="16"/>
  <c r="AK17" i="16" s="1"/>
  <c r="ED18" i="15"/>
  <c r="AL29" i="16"/>
  <c r="AO29" i="16" s="1"/>
  <c r="EN30" i="15"/>
  <c r="II61" i="15"/>
  <c r="CD35" i="15"/>
  <c r="P34" i="16" s="1"/>
  <c r="CD34" i="15"/>
  <c r="P33" i="16" s="1"/>
  <c r="II60" i="15"/>
  <c r="AL23" i="16"/>
  <c r="AO23" i="16" s="1"/>
  <c r="EN24" i="15"/>
  <c r="AL12" i="16"/>
  <c r="AO12" i="16" s="1"/>
  <c r="EN13" i="15"/>
  <c r="CS34" i="15"/>
  <c r="CS35" i="15"/>
  <c r="AP38" i="16"/>
  <c r="AS7" i="16"/>
  <c r="AT34" i="16"/>
  <c r="FD35" i="15"/>
  <c r="FA35" i="15"/>
  <c r="S21" i="16"/>
  <c r="V21" i="16" s="1"/>
  <c r="CL22" i="15"/>
  <c r="FK74" i="15"/>
  <c r="FM74" i="15" s="1"/>
  <c r="BB36" i="16" s="1"/>
  <c r="BD36" i="16" s="1"/>
  <c r="FJ74" i="15"/>
  <c r="FL74" i="15" s="1"/>
  <c r="AL14" i="16"/>
  <c r="AO14" i="16" s="1"/>
  <c r="EN15" i="15"/>
  <c r="AL21" i="16"/>
  <c r="AO21" i="16" s="1"/>
  <c r="EN22" i="15"/>
  <c r="Z38" i="16"/>
  <c r="C55" i="16" s="1"/>
  <c r="AN32" i="15"/>
  <c r="FK49" i="15"/>
  <c r="FM49" i="15" s="1"/>
  <c r="BB11" i="16" s="1"/>
  <c r="BD11" i="16" s="1"/>
  <c r="FJ49" i="15"/>
  <c r="FL49" i="15" s="1"/>
  <c r="S8" i="16"/>
  <c r="V8" i="16" s="1"/>
  <c r="CL9" i="15"/>
  <c r="KG12" i="15"/>
  <c r="Y7" i="16"/>
  <c r="BH7" i="16" s="1"/>
  <c r="KG31" i="15"/>
  <c r="I33" i="16"/>
  <c r="AJ34" i="15"/>
  <c r="KG26" i="15"/>
  <c r="GG41" i="15"/>
  <c r="E38" i="16"/>
  <c r="II12" i="15"/>
  <c r="II16" i="15"/>
  <c r="FK52" i="15"/>
  <c r="FM52" i="15" s="1"/>
  <c r="BB14" i="16" s="1"/>
  <c r="BD14" i="16" s="1"/>
  <c r="FJ52" i="15"/>
  <c r="FL52" i="15" s="1"/>
  <c r="G36" i="16"/>
  <c r="N36" i="16" s="1"/>
  <c r="AK37" i="15"/>
  <c r="DH37" i="15" s="1"/>
  <c r="AT35" i="16"/>
  <c r="FD36" i="15"/>
  <c r="AT26" i="16"/>
  <c r="FD27" i="15"/>
  <c r="AT13" i="16"/>
  <c r="FD14" i="15"/>
  <c r="CF31" i="16"/>
  <c r="II69" i="15" s="1"/>
  <c r="II32" i="15"/>
  <c r="II35" i="15"/>
  <c r="J22" i="16"/>
  <c r="N22" i="16" s="1"/>
  <c r="AO23" i="15"/>
  <c r="BD23" i="15"/>
  <c r="FK71" i="15"/>
  <c r="FM71" i="15" s="1"/>
  <c r="BB33" i="16" s="1"/>
  <c r="BD33" i="16" s="1"/>
  <c r="FJ71" i="15"/>
  <c r="FL71" i="15" s="1"/>
  <c r="FJ63" i="15"/>
  <c r="FL63" i="15" s="1"/>
  <c r="FK63" i="15"/>
  <c r="FM63" i="15" s="1"/>
  <c r="BB25" i="16" s="1"/>
  <c r="BD25" i="16" s="1"/>
  <c r="G14" i="16"/>
  <c r="AK15" i="15"/>
  <c r="DH15" i="15" s="1"/>
  <c r="G21" i="16"/>
  <c r="AK22" i="15"/>
  <c r="DH22" i="15" s="1"/>
  <c r="AJ14" i="16"/>
  <c r="AK14" i="16" s="1"/>
  <c r="ED15" i="15"/>
  <c r="II31" i="15"/>
  <c r="II26" i="15"/>
  <c r="II56" i="15"/>
  <c r="AR38" i="16"/>
  <c r="ED17" i="15"/>
  <c r="FK47" i="15"/>
  <c r="FM47" i="15" s="1"/>
  <c r="BB9" i="16" s="1"/>
  <c r="BD9" i="16" s="1"/>
  <c r="FJ47" i="15"/>
  <c r="FL47" i="15" s="1"/>
  <c r="AL7" i="16"/>
  <c r="EG39" i="15"/>
  <c r="EN8" i="15"/>
  <c r="FA31" i="15"/>
  <c r="AL24" i="16"/>
  <c r="AO24" i="16" s="1"/>
  <c r="EN25" i="15"/>
  <c r="D38" i="16"/>
  <c r="IH39" i="15"/>
  <c r="HI50" i="15" s="1"/>
  <c r="HI52" i="15" s="1"/>
  <c r="FA16" i="15"/>
  <c r="J19" i="16"/>
  <c r="N19" i="16" s="1"/>
  <c r="AO20" i="15"/>
  <c r="BD20" i="15"/>
  <c r="H31" i="16"/>
  <c r="AF32" i="15"/>
  <c r="AL37" i="16"/>
  <c r="AO37" i="16" s="1"/>
  <c r="EN38" i="15"/>
  <c r="AZ30" i="16"/>
  <c r="FU31" i="15"/>
  <c r="FT31" i="15"/>
  <c r="FM31" i="15" s="1"/>
  <c r="BW33" i="15"/>
  <c r="EQ39" i="15"/>
  <c r="AT37" i="16"/>
  <c r="FD38" i="15"/>
  <c r="FA38" i="15"/>
  <c r="FL62" i="15"/>
  <c r="FK57" i="15"/>
  <c r="FM57" i="15" s="1"/>
  <c r="BB19" i="16" s="1"/>
  <c r="BD19" i="16" s="1"/>
  <c r="FJ57" i="15"/>
  <c r="FL57" i="15" s="1"/>
  <c r="DG37" i="15"/>
  <c r="J29" i="16"/>
  <c r="N29" i="16" s="1"/>
  <c r="AO30" i="15"/>
  <c r="BD30" i="15"/>
  <c r="II67" i="15"/>
  <c r="KG32" i="15"/>
  <c r="S35" i="16"/>
  <c r="V35" i="16" s="1"/>
  <c r="CL36" i="15"/>
  <c r="CW35" i="15"/>
  <c r="CW34" i="15"/>
  <c r="KG14" i="15"/>
  <c r="AH38" i="16"/>
  <c r="AK7" i="16"/>
  <c r="S29" i="16"/>
  <c r="V29" i="16" s="1"/>
  <c r="CL30" i="15"/>
  <c r="J11" i="16"/>
  <c r="N11" i="16" s="1"/>
  <c r="AO12" i="15"/>
  <c r="BD12" i="15"/>
  <c r="EC39" i="15"/>
  <c r="ED22" i="15"/>
  <c r="AL9" i="16"/>
  <c r="AO9" i="16" s="1"/>
  <c r="EN10" i="15"/>
  <c r="CF28" i="16"/>
  <c r="II66" i="15" s="1"/>
  <c r="KG29" i="15"/>
  <c r="II68" i="15"/>
  <c r="BL33" i="15"/>
  <c r="ED9" i="15"/>
  <c r="AL30" i="16"/>
  <c r="AO30" i="16" s="1"/>
  <c r="EN31" i="15"/>
  <c r="AJ37" i="16"/>
  <c r="AK37" i="16" s="1"/>
  <c r="ED38" i="15"/>
  <c r="X33" i="15"/>
  <c r="R33" i="15"/>
  <c r="C38" i="16"/>
  <c r="AL13" i="16"/>
  <c r="AO13" i="16" s="1"/>
  <c r="EN14" i="15"/>
  <c r="S24" i="16"/>
  <c r="V24" i="16" s="1"/>
  <c r="CL25" i="15"/>
  <c r="CC38" i="16"/>
  <c r="BX46" i="16" s="1"/>
  <c r="AT10" i="16"/>
  <c r="FD11" i="15"/>
  <c r="FA11" i="15"/>
  <c r="AT31" i="16"/>
  <c r="FD32" i="15"/>
  <c r="AF38" i="16"/>
  <c r="C59" i="16" s="1"/>
  <c r="AT20" i="16"/>
  <c r="FA21" i="15"/>
  <c r="FD21" i="15"/>
  <c r="FT35" i="15"/>
  <c r="FM35" i="15" s="1"/>
  <c r="FK69" i="15"/>
  <c r="FM69" i="15" s="1"/>
  <c r="BB31" i="16" s="1"/>
  <c r="BD31" i="16" s="1"/>
  <c r="FJ69" i="15"/>
  <c r="FL69" i="15" s="1"/>
  <c r="W32" i="16"/>
  <c r="CX33" i="15"/>
  <c r="II14" i="15"/>
  <c r="N39" i="15"/>
  <c r="S19" i="16"/>
  <c r="V19" i="16" s="1"/>
  <c r="CL20" i="15"/>
  <c r="DG17" i="15"/>
  <c r="AJ10" i="16"/>
  <c r="AK10" i="16" s="1"/>
  <c r="ED11" i="15"/>
  <c r="BX42" i="16"/>
  <c r="FK65" i="15"/>
  <c r="FM65" i="15" s="1"/>
  <c r="BB27" i="16" s="1"/>
  <c r="BD27" i="16" s="1"/>
  <c r="FJ65" i="15"/>
  <c r="FL65" i="15" s="1"/>
  <c r="AK21" i="16"/>
  <c r="B7" i="16"/>
  <c r="G39" i="15"/>
  <c r="CF20" i="16"/>
  <c r="II21" i="15"/>
  <c r="KG21" i="15"/>
  <c r="S15" i="16"/>
  <c r="V15" i="16" s="1"/>
  <c r="CL16" i="15"/>
  <c r="DG29" i="15"/>
  <c r="J25" i="16"/>
  <c r="N25" i="16" s="1"/>
  <c r="BD26" i="15"/>
  <c r="AO26" i="15"/>
  <c r="J9" i="16"/>
  <c r="N9" i="16" s="1"/>
  <c r="BD10" i="15"/>
  <c r="AO10" i="15"/>
  <c r="AL32" i="16"/>
  <c r="AO32" i="16" s="1"/>
  <c r="EN33" i="15"/>
  <c r="AL25" i="16"/>
  <c r="AO25" i="16" s="1"/>
  <c r="EN26" i="15"/>
  <c r="AJ35" i="16"/>
  <c r="AK35" i="16" s="1"/>
  <c r="ED36" i="15"/>
  <c r="Q35" i="15"/>
  <c r="Q34" i="15"/>
  <c r="FA10" i="15"/>
  <c r="FT9" i="15"/>
  <c r="FM9" i="15" s="1"/>
  <c r="FU75" i="13"/>
  <c r="GJ38" i="13"/>
  <c r="N27" i="16" l="1"/>
  <c r="BD8" i="16"/>
  <c r="FN46" i="15"/>
  <c r="BS7" i="16"/>
  <c r="BS38" i="16" s="1"/>
  <c r="BQ38" i="16"/>
  <c r="BM7" i="16"/>
  <c r="BO7" i="16" s="1"/>
  <c r="BM18" i="16"/>
  <c r="BO18" i="16" s="1"/>
  <c r="AR39" i="15"/>
  <c r="BM10" i="16"/>
  <c r="BO10" i="16" s="1"/>
  <c r="BM9" i="16"/>
  <c r="BO9" i="16" s="1"/>
  <c r="Q38" i="16"/>
  <c r="AZ38" i="16"/>
  <c r="CS39" i="15"/>
  <c r="Y32" i="16"/>
  <c r="BH32" i="16" s="1"/>
  <c r="AE39" i="15"/>
  <c r="AW8" i="16"/>
  <c r="AY8" i="16" s="1"/>
  <c r="GU9" i="15" s="1"/>
  <c r="AY23" i="16"/>
  <c r="BN39" i="15"/>
  <c r="DA39" i="15"/>
  <c r="BG38" i="16"/>
  <c r="C52" i="16" s="1"/>
  <c r="CA39" i="15"/>
  <c r="N21" i="16"/>
  <c r="FN56" i="15"/>
  <c r="N14" i="16"/>
  <c r="FN50" i="15"/>
  <c r="N10" i="16"/>
  <c r="FJ45" i="15"/>
  <c r="FL45" i="15" s="1"/>
  <c r="AW7" i="16" s="1"/>
  <c r="AW12" i="16"/>
  <c r="AY12" i="16" s="1"/>
  <c r="GU13" i="15" s="1"/>
  <c r="FN59" i="15"/>
  <c r="BD30" i="16"/>
  <c r="FN61" i="15"/>
  <c r="FN67" i="15"/>
  <c r="CF38" i="16"/>
  <c r="BX49" i="16" s="1"/>
  <c r="BX51" i="16" s="1"/>
  <c r="CW39" i="15"/>
  <c r="CF39" i="15"/>
  <c r="P38" i="16"/>
  <c r="AJ39" i="15"/>
  <c r="AW21" i="16"/>
  <c r="AY21" i="16" s="1"/>
  <c r="FN55" i="15"/>
  <c r="FM39" i="15"/>
  <c r="AW35" i="16"/>
  <c r="AY35" i="16" s="1"/>
  <c r="GU36" i="15" s="1"/>
  <c r="FN73" i="15"/>
  <c r="AW22" i="16"/>
  <c r="AY22" i="16" s="1"/>
  <c r="GU23" i="15" s="1"/>
  <c r="FN60" i="15"/>
  <c r="FU39" i="15"/>
  <c r="BD26" i="16"/>
  <c r="FN72" i="15"/>
  <c r="AY18" i="16"/>
  <c r="GU19" i="15" s="1"/>
  <c r="BD21" i="16"/>
  <c r="FN54" i="15"/>
  <c r="BD34" i="16"/>
  <c r="II39" i="15"/>
  <c r="AW28" i="16"/>
  <c r="AY28" i="16" s="1"/>
  <c r="GU29" i="15" s="1"/>
  <c r="FN66" i="15"/>
  <c r="I38" i="16"/>
  <c r="AW15" i="16"/>
  <c r="AY15" i="16" s="1"/>
  <c r="GU16" i="15" s="1"/>
  <c r="FN53" i="15"/>
  <c r="AW14" i="16"/>
  <c r="AY14" i="16" s="1"/>
  <c r="FN52" i="15"/>
  <c r="AW31" i="16"/>
  <c r="AY31" i="16" s="1"/>
  <c r="FN69" i="15"/>
  <c r="AW20" i="16"/>
  <c r="AY20" i="16" s="1"/>
  <c r="GU21" i="15" s="1"/>
  <c r="FN58" i="15"/>
  <c r="AW36" i="16"/>
  <c r="AY36" i="16" s="1"/>
  <c r="GU37" i="15" s="1"/>
  <c r="FN74" i="15"/>
  <c r="AW33" i="16"/>
  <c r="AY33" i="16" s="1"/>
  <c r="FN71" i="15"/>
  <c r="AW11" i="16"/>
  <c r="AY11" i="16" s="1"/>
  <c r="GU12" i="15" s="1"/>
  <c r="FN49" i="15"/>
  <c r="AW13" i="16"/>
  <c r="AY13" i="16" s="1"/>
  <c r="GU14" i="15" s="1"/>
  <c r="FN51" i="15"/>
  <c r="AW27" i="16"/>
  <c r="AY27" i="16" s="1"/>
  <c r="GU28" i="15" s="1"/>
  <c r="FN65" i="15"/>
  <c r="AW37" i="16"/>
  <c r="AY37" i="16" s="1"/>
  <c r="GU38" i="15" s="1"/>
  <c r="FN75" i="15"/>
  <c r="AW25" i="16"/>
  <c r="AY25" i="16" s="1"/>
  <c r="GU26" i="15" s="1"/>
  <c r="FN63" i="15"/>
  <c r="O33" i="16"/>
  <c r="CB34" i="15"/>
  <c r="AC32" i="16"/>
  <c r="AY34" i="16"/>
  <c r="S34" i="16"/>
  <c r="CL35" i="15"/>
  <c r="O34" i="16"/>
  <c r="CB35" i="15"/>
  <c r="AT38" i="16"/>
  <c r="J31" i="16"/>
  <c r="N31" i="16" s="1"/>
  <c r="BD32" i="15"/>
  <c r="AO32" i="15"/>
  <c r="AS38" i="16"/>
  <c r="AW10" i="16"/>
  <c r="AY10" i="16" s="1"/>
  <c r="FN48" i="15"/>
  <c r="N23" i="16"/>
  <c r="EN39" i="15"/>
  <c r="II58" i="15"/>
  <c r="II76" i="15" s="1"/>
  <c r="KG39" i="15"/>
  <c r="S31" i="16"/>
  <c r="V31" i="16" s="1"/>
  <c r="CL32" i="15"/>
  <c r="GU18" i="15"/>
  <c r="ED39" i="15"/>
  <c r="X34" i="15"/>
  <c r="R34" i="15"/>
  <c r="Q39" i="15"/>
  <c r="U34" i="16"/>
  <c r="CT35" i="15"/>
  <c r="FD39" i="15"/>
  <c r="AW32" i="16"/>
  <c r="AY32" i="16" s="1"/>
  <c r="FN70" i="15"/>
  <c r="R35" i="15"/>
  <c r="X35" i="15"/>
  <c r="BX33" i="15"/>
  <c r="AK38" i="16"/>
  <c r="C47" i="16" s="1"/>
  <c r="BW35" i="15"/>
  <c r="BX35" i="15" s="1"/>
  <c r="BW34" i="15"/>
  <c r="BX34" i="15" s="1"/>
  <c r="AL38" i="16"/>
  <c r="AO7" i="16"/>
  <c r="AO38" i="16" s="1"/>
  <c r="C48" i="16" s="1"/>
  <c r="U33" i="16"/>
  <c r="CT34" i="15"/>
  <c r="K34" i="16"/>
  <c r="AS35" i="15"/>
  <c r="GU17" i="15"/>
  <c r="H34" i="16"/>
  <c r="AF35" i="15"/>
  <c r="S32" i="16"/>
  <c r="V32" i="16" s="1"/>
  <c r="CL33" i="15"/>
  <c r="DG33" i="15"/>
  <c r="S33" i="16"/>
  <c r="CL34" i="15"/>
  <c r="BL35" i="15"/>
  <c r="AC34" i="16" s="1"/>
  <c r="BL34" i="15"/>
  <c r="AC33" i="16" s="1"/>
  <c r="B38" i="16"/>
  <c r="C42" i="16" s="1"/>
  <c r="G32" i="16"/>
  <c r="AK33" i="15"/>
  <c r="DH33" i="15" s="1"/>
  <c r="AW9" i="16"/>
  <c r="AY9" i="16" s="1"/>
  <c r="GU10" i="15" s="1"/>
  <c r="FN47" i="15"/>
  <c r="K33" i="16"/>
  <c r="AS34" i="15"/>
  <c r="AY29" i="16"/>
  <c r="GU30" i="15" s="1"/>
  <c r="CK39" i="15"/>
  <c r="AW19" i="16"/>
  <c r="AY19" i="16" s="1"/>
  <c r="GU20" i="15" s="1"/>
  <c r="FN57" i="15"/>
  <c r="T34" i="16"/>
  <c r="CP35" i="15"/>
  <c r="AY26" i="16"/>
  <c r="GU27" i="15" s="1"/>
  <c r="AJ38" i="16"/>
  <c r="W33" i="16"/>
  <c r="CX34" i="15"/>
  <c r="AN33" i="15"/>
  <c r="X33" i="16"/>
  <c r="DB34" i="15"/>
  <c r="AW30" i="16"/>
  <c r="AY30" i="16" s="1"/>
  <c r="FN68" i="15"/>
  <c r="L33" i="16"/>
  <c r="L38" i="16" s="1"/>
  <c r="AZ39" i="15"/>
  <c r="T33" i="16"/>
  <c r="CP34" i="15"/>
  <c r="CO39" i="15"/>
  <c r="BB38" i="16"/>
  <c r="W34" i="16"/>
  <c r="CX35" i="15"/>
  <c r="AW24" i="16"/>
  <c r="AY24" i="16" s="1"/>
  <c r="GU25" i="15" s="1"/>
  <c r="FN62" i="15"/>
  <c r="X34" i="16"/>
  <c r="DB35" i="15"/>
  <c r="FN64" i="15"/>
  <c r="H33" i="16"/>
  <c r="AF34" i="15"/>
  <c r="GU11" i="15" l="1"/>
  <c r="BO38" i="16"/>
  <c r="BM38" i="16"/>
  <c r="GU32" i="15"/>
  <c r="DB39" i="15"/>
  <c r="CX39" i="15"/>
  <c r="H38" i="16"/>
  <c r="AN34" i="15"/>
  <c r="AO34" i="15" s="1"/>
  <c r="CI43" i="16"/>
  <c r="BW39" i="15"/>
  <c r="AN35" i="15"/>
  <c r="J34" i="16" s="1"/>
  <c r="CP39" i="15"/>
  <c r="BL39" i="15"/>
  <c r="GU24" i="15"/>
  <c r="CI47" i="16"/>
  <c r="GU22" i="15"/>
  <c r="DG34" i="15"/>
  <c r="GU15" i="15"/>
  <c r="FN45" i="15"/>
  <c r="GU31" i="15"/>
  <c r="BD38" i="16"/>
  <c r="C50" i="16" s="1"/>
  <c r="Y33" i="16"/>
  <c r="BH33" i="16" s="1"/>
  <c r="BH38" i="16" s="1"/>
  <c r="U38" i="16"/>
  <c r="CL39" i="15"/>
  <c r="AC38" i="16"/>
  <c r="C56" i="16" s="1"/>
  <c r="AS39" i="15"/>
  <c r="K38" i="16"/>
  <c r="AF39" i="15"/>
  <c r="T38" i="16"/>
  <c r="CT39" i="15"/>
  <c r="CI42" i="16"/>
  <c r="C51" i="16"/>
  <c r="G33" i="16"/>
  <c r="AK34" i="15"/>
  <c r="DH34" i="15" s="1"/>
  <c r="V33" i="16"/>
  <c r="O38" i="16"/>
  <c r="S38" i="16"/>
  <c r="W38" i="16"/>
  <c r="G34" i="16"/>
  <c r="AK35" i="15"/>
  <c r="DH35" i="15" s="1"/>
  <c r="AW38" i="16"/>
  <c r="AY7" i="16"/>
  <c r="Y34" i="16"/>
  <c r="BH34" i="16" s="1"/>
  <c r="X38" i="16"/>
  <c r="V34" i="16"/>
  <c r="DG35" i="15"/>
  <c r="DG39" i="15" s="1"/>
  <c r="J32" i="16"/>
  <c r="AO33" i="15"/>
  <c r="BD33" i="15"/>
  <c r="X39" i="15"/>
  <c r="BX39" i="15"/>
  <c r="R39" i="15"/>
  <c r="CI46" i="16" l="1"/>
  <c r="Y38" i="16"/>
  <c r="C46" i="16" s="1"/>
  <c r="BD34" i="15"/>
  <c r="J33" i="16"/>
  <c r="J38" i="16" s="1"/>
  <c r="AO35" i="15"/>
  <c r="AO39" i="15" s="1"/>
  <c r="AN39" i="15"/>
  <c r="BD35" i="15"/>
  <c r="BD39" i="15" s="1"/>
  <c r="CI45" i="16"/>
  <c r="CI48" i="16" s="1"/>
  <c r="G38" i="16"/>
  <c r="DH39" i="15"/>
  <c r="V38" i="16"/>
  <c r="C45" i="16" s="1"/>
  <c r="N32" i="16"/>
  <c r="GU33" i="15" s="1"/>
  <c r="AK39" i="15"/>
  <c r="N34" i="16"/>
  <c r="GU35" i="15" s="1"/>
  <c r="AY38" i="16"/>
  <c r="C49" i="16" s="1"/>
  <c r="GU8" i="15"/>
  <c r="FU74" i="13"/>
  <c r="GJ37" i="13"/>
  <c r="CI41" i="16" l="1"/>
  <c r="CI44" i="16" s="1"/>
  <c r="N33" i="16"/>
  <c r="GU34" i="15" s="1"/>
  <c r="GU39" i="15" s="1"/>
  <c r="P82" i="13"/>
  <c r="P81" i="13"/>
  <c r="L82" i="13"/>
  <c r="N38" i="16" l="1"/>
  <c r="C44" i="16" s="1"/>
  <c r="C63" i="16" s="1"/>
  <c r="FU73" i="13"/>
  <c r="GJ36" i="13"/>
  <c r="FU72" i="13" l="1"/>
  <c r="FU71" i="13" l="1"/>
  <c r="CC32" i="13"/>
  <c r="CC33" i="13" s="1"/>
  <c r="CC34" i="13" s="1"/>
  <c r="BS33" i="13"/>
  <c r="BS34" i="13" s="1"/>
  <c r="BA33" i="13"/>
  <c r="BA34" i="13" s="1"/>
  <c r="AX32" i="13"/>
  <c r="AX33" i="13" s="1"/>
  <c r="AX34" i="13" s="1"/>
  <c r="AL32" i="13"/>
  <c r="AL33" i="13" s="1"/>
  <c r="AL34" i="13" s="1"/>
  <c r="AA33" i="13"/>
  <c r="AA34" i="13" s="1"/>
  <c r="FU70" i="13" l="1"/>
  <c r="L33" i="13"/>
  <c r="L34" i="13" s="1"/>
  <c r="CY32" i="13" l="1"/>
  <c r="CY33" i="13" s="1"/>
  <c r="CY34" i="13" s="1"/>
  <c r="CU32" i="13"/>
  <c r="CU33" i="13" s="1"/>
  <c r="CU34" i="13" s="1"/>
  <c r="CQ32" i="13"/>
  <c r="CQ33" i="13" s="1"/>
  <c r="CQ34" i="13" s="1"/>
  <c r="CM32" i="13"/>
  <c r="CM33" i="13" s="1"/>
  <c r="CM34" i="13" s="1"/>
  <c r="CI32" i="13"/>
  <c r="CI33" i="13" s="1"/>
  <c r="CI34" i="13" s="1"/>
  <c r="CE32" i="13"/>
  <c r="CE33" i="13" s="1"/>
  <c r="CE34" i="13" s="1"/>
  <c r="BY32" i="13"/>
  <c r="BY33" i="13" s="1"/>
  <c r="BY34" i="13" s="1"/>
  <c r="BU32" i="13"/>
  <c r="BU33" i="13" s="1"/>
  <c r="BU34" i="13" s="1"/>
  <c r="BQ32" i="13"/>
  <c r="BQ33" i="13" s="1"/>
  <c r="BQ34" i="13" s="1"/>
  <c r="BM32" i="13"/>
  <c r="BM33" i="13" s="1"/>
  <c r="BM34" i="13" s="1"/>
  <c r="BK32" i="13"/>
  <c r="BK33" i="13" s="1"/>
  <c r="BK34" i="13" s="1"/>
  <c r="AP32" i="13"/>
  <c r="AP33" i="13" s="1"/>
  <c r="AP34" i="13" s="1"/>
  <c r="AG32" i="13"/>
  <c r="AG33" i="13" s="1"/>
  <c r="AG34" i="13" s="1"/>
  <c r="AC32" i="13"/>
  <c r="AC33" i="13" s="1"/>
  <c r="AC34" i="13" s="1"/>
  <c r="O32" i="13"/>
  <c r="O33" i="13" s="1"/>
  <c r="O34" i="13" s="1"/>
  <c r="FU69" i="13" l="1"/>
  <c r="FU68" i="13" l="1"/>
  <c r="FU67" i="13" l="1"/>
  <c r="FU66" i="13" l="1"/>
  <c r="FU65" i="13" l="1"/>
  <c r="FU63" i="13" l="1"/>
  <c r="FU62" i="13" l="1"/>
  <c r="FU61" i="13" l="1"/>
  <c r="FU60" i="13" l="1"/>
  <c r="FU59" i="13" l="1"/>
  <c r="FU58" i="13" l="1"/>
  <c r="FU56" i="13" l="1"/>
  <c r="FU55" i="13" l="1"/>
  <c r="FU54" i="13" l="1"/>
  <c r="FU53" i="13" l="1"/>
  <c r="FU52" i="13" l="1"/>
  <c r="FU51" i="13" l="1"/>
  <c r="FU49" i="13" l="1"/>
  <c r="FU48" i="13" l="1"/>
  <c r="FU47" i="13" l="1"/>
  <c r="DQ54" i="11" l="1"/>
  <c r="DQ55" i="11"/>
  <c r="DQ56" i="11"/>
  <c r="DQ57" i="11"/>
  <c r="DQ58" i="11"/>
  <c r="DQ59" i="11"/>
  <c r="DQ60" i="11"/>
  <c r="DQ61" i="11"/>
  <c r="DQ62" i="11"/>
  <c r="DQ63" i="11"/>
  <c r="DQ64" i="11"/>
  <c r="DQ65" i="11"/>
  <c r="DQ66" i="11"/>
  <c r="DQ67" i="11"/>
  <c r="DQ68" i="11"/>
  <c r="DQ69" i="11"/>
  <c r="DQ70" i="11"/>
  <c r="DQ71" i="11"/>
  <c r="DQ72" i="11"/>
  <c r="DQ73" i="11"/>
  <c r="DQ74" i="11"/>
  <c r="DQ75" i="11"/>
  <c r="DQ76" i="11"/>
  <c r="DQ77" i="11"/>
  <c r="DQ78" i="11"/>
  <c r="DQ52" i="11"/>
  <c r="DQ53" i="11"/>
  <c r="FU45" i="13" l="1"/>
  <c r="BR38" i="14" l="1"/>
  <c r="BP38" i="14"/>
  <c r="BN38" i="14"/>
  <c r="BK38" i="14"/>
  <c r="BJ38" i="14"/>
  <c r="BI38" i="14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D82" i="13"/>
  <c r="H83" i="13"/>
  <c r="D81" i="13"/>
  <c r="DT78" i="13"/>
  <c r="DR78" i="13"/>
  <c r="DT77" i="13"/>
  <c r="DR77" i="13"/>
  <c r="AF36" i="14" s="1"/>
  <c r="G77" i="13"/>
  <c r="BU37" i="14" s="1"/>
  <c r="D77" i="13"/>
  <c r="DT76" i="13"/>
  <c r="DR76" i="13"/>
  <c r="G76" i="13"/>
  <c r="BU36" i="14" s="1"/>
  <c r="D76" i="13"/>
  <c r="BT37" i="14" s="1"/>
  <c r="IK75" i="13"/>
  <c r="FW75" i="13"/>
  <c r="FV75" i="13"/>
  <c r="EQ38" i="13" s="1"/>
  <c r="AT37" i="14" s="1"/>
  <c r="DT75" i="13"/>
  <c r="DR75" i="13"/>
  <c r="J75" i="13"/>
  <c r="G75" i="13"/>
  <c r="BU35" i="14" s="1"/>
  <c r="D75" i="13"/>
  <c r="BT36" i="14" s="1"/>
  <c r="IK74" i="13"/>
  <c r="FV74" i="13"/>
  <c r="DT74" i="13"/>
  <c r="DR74" i="13"/>
  <c r="J74" i="13"/>
  <c r="G74" i="13"/>
  <c r="BU34" i="14" s="1"/>
  <c r="D74" i="13"/>
  <c r="BT35" i="14" s="1"/>
  <c r="IK73" i="13"/>
  <c r="FW73" i="13"/>
  <c r="FG36" i="13" s="1"/>
  <c r="AZ35" i="14" s="1"/>
  <c r="DT73" i="13"/>
  <c r="DR73" i="13"/>
  <c r="AF32" i="14" s="1"/>
  <c r="J73" i="13"/>
  <c r="G73" i="13"/>
  <c r="BU33" i="14" s="1"/>
  <c r="D73" i="13"/>
  <c r="BT34" i="14" s="1"/>
  <c r="IK72" i="13"/>
  <c r="FV72" i="13"/>
  <c r="DT72" i="13"/>
  <c r="DR72" i="13"/>
  <c r="J72" i="13"/>
  <c r="G72" i="13"/>
  <c r="BU32" i="14" s="1"/>
  <c r="D72" i="13"/>
  <c r="BT33" i="14" s="1"/>
  <c r="IK71" i="13"/>
  <c r="FW71" i="13"/>
  <c r="FG34" i="13" s="1"/>
  <c r="DT71" i="13"/>
  <c r="DR71" i="13"/>
  <c r="J71" i="13"/>
  <c r="G71" i="13"/>
  <c r="BU31" i="14" s="1"/>
  <c r="D71" i="13"/>
  <c r="BT32" i="14" s="1"/>
  <c r="IK70" i="13"/>
  <c r="FW70" i="13"/>
  <c r="FG33" i="13" s="1"/>
  <c r="DT70" i="13"/>
  <c r="DR70" i="13"/>
  <c r="J70" i="13"/>
  <c r="G70" i="13"/>
  <c r="BU30" i="14" s="1"/>
  <c r="D70" i="13"/>
  <c r="BT31" i="14" s="1"/>
  <c r="IK69" i="13"/>
  <c r="FW69" i="13"/>
  <c r="DT69" i="13"/>
  <c r="DR69" i="13"/>
  <c r="J69" i="13"/>
  <c r="G69" i="13"/>
  <c r="BU29" i="14" s="1"/>
  <c r="D69" i="13"/>
  <c r="BT30" i="14" s="1"/>
  <c r="IK68" i="13"/>
  <c r="FW68" i="13"/>
  <c r="FG31" i="13" s="1"/>
  <c r="AZ30" i="14" s="1"/>
  <c r="DT68" i="13"/>
  <c r="DR68" i="13"/>
  <c r="J68" i="13"/>
  <c r="G68" i="13"/>
  <c r="BU28" i="14" s="1"/>
  <c r="D68" i="13"/>
  <c r="BT29" i="14" s="1"/>
  <c r="IK67" i="13"/>
  <c r="FW67" i="13"/>
  <c r="FG30" i="13" s="1"/>
  <c r="AZ29" i="14" s="1"/>
  <c r="DT67" i="13"/>
  <c r="DR67" i="13"/>
  <c r="J67" i="13"/>
  <c r="G67" i="13"/>
  <c r="BU27" i="14" s="1"/>
  <c r="D67" i="13"/>
  <c r="BT28" i="14" s="1"/>
  <c r="IK66" i="13"/>
  <c r="FW66" i="13"/>
  <c r="DT66" i="13"/>
  <c r="DR66" i="13"/>
  <c r="J66" i="13"/>
  <c r="G66" i="13"/>
  <c r="BU26" i="14" s="1"/>
  <c r="D66" i="13"/>
  <c r="BT27" i="14" s="1"/>
  <c r="IK65" i="13"/>
  <c r="FW65" i="13"/>
  <c r="FG28" i="13" s="1"/>
  <c r="AZ27" i="14" s="1"/>
  <c r="DT65" i="13"/>
  <c r="DR65" i="13"/>
  <c r="J65" i="13"/>
  <c r="G65" i="13"/>
  <c r="BU25" i="14" s="1"/>
  <c r="D65" i="13"/>
  <c r="BT26" i="14" s="1"/>
  <c r="IK64" i="13"/>
  <c r="FU64" i="13"/>
  <c r="FW64" i="13" s="1"/>
  <c r="FG27" i="13" s="1"/>
  <c r="DT64" i="13"/>
  <c r="DR64" i="13"/>
  <c r="J64" i="13"/>
  <c r="G64" i="13"/>
  <c r="BU24" i="14" s="1"/>
  <c r="D64" i="13"/>
  <c r="BT25" i="14" s="1"/>
  <c r="IK63" i="13"/>
  <c r="FW63" i="13"/>
  <c r="DT63" i="13"/>
  <c r="DR63" i="13"/>
  <c r="J63" i="13"/>
  <c r="G63" i="13"/>
  <c r="BU23" i="14" s="1"/>
  <c r="D63" i="13"/>
  <c r="BT24" i="14" s="1"/>
  <c r="IK62" i="13"/>
  <c r="FW62" i="13"/>
  <c r="DT62" i="13"/>
  <c r="DR62" i="13"/>
  <c r="J62" i="13"/>
  <c r="G62" i="13"/>
  <c r="BU22" i="14" s="1"/>
  <c r="D62" i="13"/>
  <c r="BT23" i="14" s="1"/>
  <c r="IK61" i="13"/>
  <c r="FV61" i="13"/>
  <c r="EQ24" i="13" s="1"/>
  <c r="AT23" i="14" s="1"/>
  <c r="DT61" i="13"/>
  <c r="DR61" i="13"/>
  <c r="J61" i="13"/>
  <c r="G61" i="13"/>
  <c r="BU21" i="14" s="1"/>
  <c r="D61" i="13"/>
  <c r="BT22" i="14" s="1"/>
  <c r="IK60" i="13"/>
  <c r="FV60" i="13"/>
  <c r="DT60" i="13"/>
  <c r="DR60" i="13"/>
  <c r="J60" i="13"/>
  <c r="G60" i="13"/>
  <c r="BU20" i="14" s="1"/>
  <c r="D60" i="13"/>
  <c r="BT21" i="14" s="1"/>
  <c r="IK59" i="13"/>
  <c r="FW59" i="13"/>
  <c r="FG22" i="13" s="1"/>
  <c r="DT59" i="13"/>
  <c r="DR59" i="13"/>
  <c r="J59" i="13"/>
  <c r="G59" i="13"/>
  <c r="BU19" i="14" s="1"/>
  <c r="D59" i="13"/>
  <c r="BT20" i="14" s="1"/>
  <c r="IK58" i="13"/>
  <c r="DT58" i="13"/>
  <c r="DR58" i="13"/>
  <c r="J58" i="13"/>
  <c r="G58" i="13"/>
  <c r="BU18" i="14" s="1"/>
  <c r="D58" i="13"/>
  <c r="BT19" i="14" s="1"/>
  <c r="IK57" i="13"/>
  <c r="FU57" i="13"/>
  <c r="FW57" i="13" s="1"/>
  <c r="DT57" i="13"/>
  <c r="DR57" i="13"/>
  <c r="J57" i="13"/>
  <c r="G57" i="13"/>
  <c r="BU17" i="14" s="1"/>
  <c r="D57" i="13"/>
  <c r="BT18" i="14" s="1"/>
  <c r="IK56" i="13"/>
  <c r="FW56" i="13"/>
  <c r="FG19" i="13" s="1"/>
  <c r="DT56" i="13"/>
  <c r="DR56" i="13"/>
  <c r="J56" i="13"/>
  <c r="G56" i="13"/>
  <c r="BU16" i="14" s="1"/>
  <c r="D56" i="13"/>
  <c r="BT17" i="14" s="1"/>
  <c r="IK55" i="13"/>
  <c r="FV55" i="13"/>
  <c r="EQ18" i="13" s="1"/>
  <c r="AT17" i="14" s="1"/>
  <c r="FW55" i="13"/>
  <c r="FG18" i="13" s="1"/>
  <c r="AZ17" i="14" s="1"/>
  <c r="DT55" i="13"/>
  <c r="DR55" i="13"/>
  <c r="J55" i="13"/>
  <c r="G55" i="13"/>
  <c r="BU15" i="14" s="1"/>
  <c r="D55" i="13"/>
  <c r="BT16" i="14" s="1"/>
  <c r="IK54" i="13"/>
  <c r="FW54" i="13"/>
  <c r="FG17" i="13" s="1"/>
  <c r="AZ16" i="14" s="1"/>
  <c r="DT54" i="13"/>
  <c r="DR54" i="13"/>
  <c r="J54" i="13"/>
  <c r="G54" i="13"/>
  <c r="BU14" i="14" s="1"/>
  <c r="D54" i="13"/>
  <c r="BT15" i="14" s="1"/>
  <c r="IK53" i="13"/>
  <c r="FV53" i="13"/>
  <c r="DT53" i="13"/>
  <c r="DR53" i="13"/>
  <c r="J53" i="13"/>
  <c r="G53" i="13"/>
  <c r="BU13" i="14" s="1"/>
  <c r="D53" i="13"/>
  <c r="BT14" i="14" s="1"/>
  <c r="IK52" i="13"/>
  <c r="FW52" i="13"/>
  <c r="FG15" i="13" s="1"/>
  <c r="AZ14" i="14" s="1"/>
  <c r="DT52" i="13"/>
  <c r="DR52" i="13"/>
  <c r="J52" i="13"/>
  <c r="G52" i="13"/>
  <c r="BU12" i="14" s="1"/>
  <c r="D52" i="13"/>
  <c r="BT13" i="14" s="1"/>
  <c r="IK51" i="13"/>
  <c r="FV51" i="13"/>
  <c r="EQ14" i="13" s="1"/>
  <c r="AT13" i="14" s="1"/>
  <c r="DT51" i="13"/>
  <c r="DR51" i="13"/>
  <c r="J51" i="13"/>
  <c r="G51" i="13"/>
  <c r="BU11" i="14" s="1"/>
  <c r="D51" i="13"/>
  <c r="BT12" i="14" s="1"/>
  <c r="IK50" i="13"/>
  <c r="FU50" i="13"/>
  <c r="FW50" i="13" s="1"/>
  <c r="DT50" i="13"/>
  <c r="DR50" i="13"/>
  <c r="J50" i="13"/>
  <c r="G50" i="13"/>
  <c r="BU10" i="14" s="1"/>
  <c r="D50" i="13"/>
  <c r="BT11" i="14" s="1"/>
  <c r="IK49" i="13"/>
  <c r="FW49" i="13"/>
  <c r="FG12" i="13" s="1"/>
  <c r="AZ11" i="14" s="1"/>
  <c r="DT49" i="13"/>
  <c r="DR49" i="13"/>
  <c r="J49" i="13"/>
  <c r="G49" i="13"/>
  <c r="BU9" i="14" s="1"/>
  <c r="D49" i="13"/>
  <c r="BT10" i="14" s="1"/>
  <c r="IK48" i="13"/>
  <c r="FW48" i="13"/>
  <c r="FG11" i="13" s="1"/>
  <c r="AZ10" i="14" s="1"/>
  <c r="EX48" i="13"/>
  <c r="DT48" i="13"/>
  <c r="DR48" i="13"/>
  <c r="J48" i="13"/>
  <c r="G48" i="13"/>
  <c r="BU8" i="14" s="1"/>
  <c r="D48" i="13"/>
  <c r="BT9" i="14" s="1"/>
  <c r="IK47" i="13"/>
  <c r="FW47" i="13"/>
  <c r="J47" i="13"/>
  <c r="G47" i="13"/>
  <c r="BU7" i="14" s="1"/>
  <c r="D47" i="13"/>
  <c r="BT8" i="14" s="1"/>
  <c r="IK46" i="13"/>
  <c r="FU46" i="13"/>
  <c r="FV46" i="13" s="1"/>
  <c r="J46" i="13"/>
  <c r="G46" i="13"/>
  <c r="D46" i="13"/>
  <c r="IK45" i="13"/>
  <c r="FW45" i="13"/>
  <c r="FG8" i="13" s="1"/>
  <c r="FC45" i="13"/>
  <c r="FH75" i="13" s="1"/>
  <c r="EE40" i="13"/>
  <c r="EG8" i="13" s="1"/>
  <c r="U40" i="13"/>
  <c r="V40" i="13" s="1"/>
  <c r="HC39" i="13"/>
  <c r="GV39" i="13"/>
  <c r="FL39" i="13"/>
  <c r="DO39" i="13"/>
  <c r="DN39" i="13"/>
  <c r="DM39" i="13"/>
  <c r="J39" i="13"/>
  <c r="KE38" i="13"/>
  <c r="KB38" i="13"/>
  <c r="JY38" i="13"/>
  <c r="JV38" i="13"/>
  <c r="JS38" i="13"/>
  <c r="JP38" i="13"/>
  <c r="JM38" i="13"/>
  <c r="JJ38" i="13"/>
  <c r="JG38" i="13"/>
  <c r="JD38" i="13"/>
  <c r="JA38" i="13"/>
  <c r="IX38" i="13"/>
  <c r="IU38" i="13"/>
  <c r="IR38" i="13"/>
  <c r="IO38" i="13"/>
  <c r="IL38" i="13"/>
  <c r="IE38" i="13"/>
  <c r="IB38" i="13"/>
  <c r="CD37" i="14" s="1"/>
  <c r="HY38" i="13"/>
  <c r="CB37" i="14" s="1"/>
  <c r="HV38" i="13"/>
  <c r="CA37" i="14" s="1"/>
  <c r="HS38" i="13"/>
  <c r="BZ37" i="14" s="1"/>
  <c r="HP38" i="13"/>
  <c r="CC37" i="14" s="1"/>
  <c r="HM38" i="13"/>
  <c r="BY37" i="14" s="1"/>
  <c r="HJ38" i="13"/>
  <c r="GW38" i="13"/>
  <c r="GS38" i="13"/>
  <c r="BF37" i="14" s="1"/>
  <c r="GP38" i="13"/>
  <c r="BE37" i="14" s="1"/>
  <c r="GM38" i="13"/>
  <c r="GD38" i="13"/>
  <c r="FX38" i="13"/>
  <c r="AP37" i="14" s="1"/>
  <c r="FS38" i="13"/>
  <c r="FP38" i="13"/>
  <c r="FA75" i="13" s="1"/>
  <c r="FJ38" i="13"/>
  <c r="BA37" i="14" s="1"/>
  <c r="FG38" i="13"/>
  <c r="FC38" i="13"/>
  <c r="EZ38" i="13"/>
  <c r="EZ75" i="13" s="1"/>
  <c r="EW38" i="13"/>
  <c r="AV37" i="14" s="1"/>
  <c r="ET38" i="13"/>
  <c r="AU37" i="14" s="1"/>
  <c r="EM38" i="13"/>
  <c r="AN37" i="14" s="1"/>
  <c r="EJ38" i="13"/>
  <c r="AM37" i="14" s="1"/>
  <c r="DZ38" i="13"/>
  <c r="AI37" i="14" s="1"/>
  <c r="DW38" i="13"/>
  <c r="AH37" i="14" s="1"/>
  <c r="DT38" i="13"/>
  <c r="DR38" i="13"/>
  <c r="AD37" i="14" s="1"/>
  <c r="DE38" i="13"/>
  <c r="DF38" i="13" s="1"/>
  <c r="DA38" i="13"/>
  <c r="X37" i="14" s="1"/>
  <c r="CW38" i="13"/>
  <c r="W37" i="14" s="1"/>
  <c r="CS38" i="13"/>
  <c r="U37" i="14" s="1"/>
  <c r="CO38" i="13"/>
  <c r="T37" i="14" s="1"/>
  <c r="CH38" i="13"/>
  <c r="R37" i="14" s="1"/>
  <c r="CF38" i="13"/>
  <c r="Q37" i="14" s="1"/>
  <c r="CD38" i="13"/>
  <c r="P37" i="14" s="1"/>
  <c r="CA38" i="13"/>
  <c r="BW38" i="13"/>
  <c r="BX38" i="13" s="1"/>
  <c r="BT38" i="13"/>
  <c r="BR38" i="13"/>
  <c r="Z37" i="14" s="1"/>
  <c r="BP38" i="13"/>
  <c r="BN38" i="13"/>
  <c r="BL38" i="13"/>
  <c r="BJ38" i="13"/>
  <c r="AB37" i="14" s="1"/>
  <c r="BG38" i="13"/>
  <c r="AA37" i="14" s="1"/>
  <c r="BC38" i="13"/>
  <c r="M37" i="14" s="1"/>
  <c r="AZ38" i="13"/>
  <c r="L37" i="14" s="1"/>
  <c r="AR38" i="13"/>
  <c r="K37" i="14" s="1"/>
  <c r="AI38" i="13"/>
  <c r="I37" i="14" s="1"/>
  <c r="AE38" i="13"/>
  <c r="H37" i="14" s="1"/>
  <c r="AB38" i="13"/>
  <c r="F37" i="14" s="1"/>
  <c r="V38" i="13"/>
  <c r="E37" i="14" s="1"/>
  <c r="T38" i="13"/>
  <c r="Q38" i="13"/>
  <c r="R38" i="13" s="1"/>
  <c r="N38" i="13"/>
  <c r="C37" i="14" s="1"/>
  <c r="K38" i="13"/>
  <c r="F38" i="13"/>
  <c r="D38" i="13"/>
  <c r="C38" i="13"/>
  <c r="KE37" i="13"/>
  <c r="KB37" i="13"/>
  <c r="JY37" i="13"/>
  <c r="JV37" i="13"/>
  <c r="JS37" i="13"/>
  <c r="JP37" i="13"/>
  <c r="JM37" i="13"/>
  <c r="JJ37" i="13"/>
  <c r="JG37" i="13"/>
  <c r="JD37" i="13"/>
  <c r="JA37" i="13"/>
  <c r="IX37" i="13"/>
  <c r="IU37" i="13"/>
  <c r="IR37" i="13"/>
  <c r="IO37" i="13"/>
  <c r="IL37" i="13"/>
  <c r="IE37" i="13"/>
  <c r="CE36" i="14" s="1"/>
  <c r="IB37" i="13"/>
  <c r="CD36" i="14" s="1"/>
  <c r="HY37" i="13"/>
  <c r="CC36" i="14" s="1"/>
  <c r="HV37" i="13"/>
  <c r="CB36" i="14" s="1"/>
  <c r="HS37" i="13"/>
  <c r="CA36" i="14" s="1"/>
  <c r="HP37" i="13"/>
  <c r="BZ36" i="14" s="1"/>
  <c r="HM37" i="13"/>
  <c r="BY36" i="14" s="1"/>
  <c r="HJ37" i="13"/>
  <c r="GW37" i="13"/>
  <c r="GS37" i="13"/>
  <c r="BF36" i="14" s="1"/>
  <c r="GP37" i="13"/>
  <c r="BE36" i="14" s="1"/>
  <c r="GM37" i="13"/>
  <c r="GD37" i="13"/>
  <c r="FX37" i="13"/>
  <c r="AP36" i="14" s="1"/>
  <c r="FS37" i="13"/>
  <c r="FP37" i="13"/>
  <c r="FA74" i="13" s="1"/>
  <c r="FJ37" i="13"/>
  <c r="BA36" i="14" s="1"/>
  <c r="FC37" i="13"/>
  <c r="EZ37" i="13"/>
  <c r="EZ74" i="13" s="1"/>
  <c r="EW37" i="13"/>
  <c r="AV36" i="14" s="1"/>
  <c r="ET37" i="13"/>
  <c r="AU36" i="14" s="1"/>
  <c r="EQ37" i="13"/>
  <c r="EM37" i="13"/>
  <c r="AN36" i="14" s="1"/>
  <c r="EJ37" i="13"/>
  <c r="AM36" i="14" s="1"/>
  <c r="DZ37" i="13"/>
  <c r="AI36" i="14" s="1"/>
  <c r="DW37" i="13"/>
  <c r="DT37" i="13"/>
  <c r="AE36" i="14" s="1"/>
  <c r="DR37" i="13"/>
  <c r="AD36" i="14" s="1"/>
  <c r="DE37" i="13"/>
  <c r="DF37" i="13" s="1"/>
  <c r="DA37" i="13"/>
  <c r="X36" i="14" s="1"/>
  <c r="CW37" i="13"/>
  <c r="W36" i="14" s="1"/>
  <c r="CS37" i="13"/>
  <c r="CO37" i="13"/>
  <c r="T36" i="14" s="1"/>
  <c r="CH37" i="13"/>
  <c r="R36" i="14" s="1"/>
  <c r="CF37" i="13"/>
  <c r="Q36" i="14" s="1"/>
  <c r="CD37" i="13"/>
  <c r="P36" i="14" s="1"/>
  <c r="CA37" i="13"/>
  <c r="O36" i="14" s="1"/>
  <c r="BW37" i="13"/>
  <c r="BX37" i="13" s="1"/>
  <c r="BT37" i="13"/>
  <c r="BR37" i="13"/>
  <c r="Z36" i="14" s="1"/>
  <c r="BP37" i="13"/>
  <c r="BN37" i="13"/>
  <c r="BL37" i="13"/>
  <c r="BJ37" i="13"/>
  <c r="AB36" i="14" s="1"/>
  <c r="BG37" i="13"/>
  <c r="AA36" i="14" s="1"/>
  <c r="BC37" i="13"/>
  <c r="M36" i="14" s="1"/>
  <c r="AZ37" i="13"/>
  <c r="L36" i="14" s="1"/>
  <c r="AR37" i="13"/>
  <c r="K36" i="14" s="1"/>
  <c r="AI37" i="13"/>
  <c r="I36" i="14" s="1"/>
  <c r="AE37" i="13"/>
  <c r="H36" i="14" s="1"/>
  <c r="AB37" i="13"/>
  <c r="F36" i="14" s="1"/>
  <c r="V37" i="13"/>
  <c r="E36" i="14" s="1"/>
  <c r="T37" i="13"/>
  <c r="D36" i="14" s="1"/>
  <c r="Q37" i="13"/>
  <c r="N37" i="13"/>
  <c r="C36" i="14" s="1"/>
  <c r="K37" i="13"/>
  <c r="F37" i="13"/>
  <c r="D37" i="13"/>
  <c r="C37" i="13"/>
  <c r="KE36" i="13"/>
  <c r="KB36" i="13"/>
  <c r="JY36" i="13"/>
  <c r="JV36" i="13"/>
  <c r="JS36" i="13"/>
  <c r="JP36" i="13"/>
  <c r="JM36" i="13"/>
  <c r="JJ36" i="13"/>
  <c r="JG36" i="13"/>
  <c r="JD36" i="13"/>
  <c r="JA36" i="13"/>
  <c r="IX36" i="13"/>
  <c r="IU36" i="13"/>
  <c r="IR36" i="13"/>
  <c r="IO36" i="13"/>
  <c r="IL36" i="13"/>
  <c r="IE36" i="13"/>
  <c r="CE35" i="14" s="1"/>
  <c r="IB36" i="13"/>
  <c r="CD35" i="14" s="1"/>
  <c r="HY36" i="13"/>
  <c r="CC35" i="14" s="1"/>
  <c r="HV36" i="13"/>
  <c r="CB35" i="14" s="1"/>
  <c r="HS36" i="13"/>
  <c r="CA35" i="14" s="1"/>
  <c r="HP36" i="13"/>
  <c r="BZ35" i="14" s="1"/>
  <c r="HM36" i="13"/>
  <c r="BY35" i="14" s="1"/>
  <c r="HJ36" i="13"/>
  <c r="GW36" i="13"/>
  <c r="GS36" i="13"/>
  <c r="GP36" i="13"/>
  <c r="BE35" i="14" s="1"/>
  <c r="GM36" i="13"/>
  <c r="GD36" i="13"/>
  <c r="FX36" i="13"/>
  <c r="AP35" i="14" s="1"/>
  <c r="FS36" i="13"/>
  <c r="FP36" i="13"/>
  <c r="FJ36" i="13"/>
  <c r="BA35" i="14" s="1"/>
  <c r="FC36" i="13"/>
  <c r="EZ36" i="13"/>
  <c r="EZ73" i="13" s="1"/>
  <c r="EW36" i="13"/>
  <c r="AV35" i="14" s="1"/>
  <c r="ET36" i="13"/>
  <c r="AU35" i="14" s="1"/>
  <c r="EM36" i="13"/>
  <c r="AN35" i="14" s="1"/>
  <c r="EJ36" i="13"/>
  <c r="DZ36" i="13"/>
  <c r="AI35" i="14" s="1"/>
  <c r="DW36" i="13"/>
  <c r="DT36" i="13"/>
  <c r="AE35" i="14" s="1"/>
  <c r="DR36" i="13"/>
  <c r="AD35" i="14" s="1"/>
  <c r="DE36" i="13"/>
  <c r="DA36" i="13"/>
  <c r="X35" i="14" s="1"/>
  <c r="CW36" i="13"/>
  <c r="CS36" i="13"/>
  <c r="U35" i="14" s="1"/>
  <c r="CO36" i="13"/>
  <c r="T35" i="14" s="1"/>
  <c r="CH36" i="13"/>
  <c r="R35" i="14" s="1"/>
  <c r="CF36" i="13"/>
  <c r="Q35" i="14" s="1"/>
  <c r="CD36" i="13"/>
  <c r="P35" i="14" s="1"/>
  <c r="CA36" i="13"/>
  <c r="O35" i="14" s="1"/>
  <c r="BW36" i="13"/>
  <c r="BX36" i="13" s="1"/>
  <c r="BT36" i="13"/>
  <c r="BR36" i="13"/>
  <c r="Z35" i="14" s="1"/>
  <c r="BP36" i="13"/>
  <c r="BN36" i="13"/>
  <c r="BL36" i="13"/>
  <c r="BJ36" i="13"/>
  <c r="AB35" i="14" s="1"/>
  <c r="BG36" i="13"/>
  <c r="AA35" i="14" s="1"/>
  <c r="BC36" i="13"/>
  <c r="M35" i="14" s="1"/>
  <c r="AZ36" i="13"/>
  <c r="L35" i="14" s="1"/>
  <c r="AR36" i="13"/>
  <c r="K35" i="14" s="1"/>
  <c r="AI36" i="13"/>
  <c r="I35" i="14" s="1"/>
  <c r="AE36" i="13"/>
  <c r="AB36" i="13"/>
  <c r="F35" i="14" s="1"/>
  <c r="V36" i="13"/>
  <c r="E35" i="14" s="1"/>
  <c r="T36" i="13"/>
  <c r="Q36" i="13"/>
  <c r="N36" i="13"/>
  <c r="C35" i="14" s="1"/>
  <c r="K36" i="13"/>
  <c r="F36" i="13"/>
  <c r="D36" i="13"/>
  <c r="C36" i="13"/>
  <c r="A36" i="13"/>
  <c r="KE35" i="13"/>
  <c r="KB35" i="13"/>
  <c r="JY35" i="13"/>
  <c r="JV35" i="13"/>
  <c r="JS35" i="13"/>
  <c r="JP35" i="13"/>
  <c r="JM35" i="13"/>
  <c r="JJ35" i="13"/>
  <c r="JG35" i="13"/>
  <c r="JD35" i="13"/>
  <c r="JA35" i="13"/>
  <c r="IX35" i="13"/>
  <c r="IU35" i="13"/>
  <c r="IR35" i="13"/>
  <c r="IO35" i="13"/>
  <c r="IL35" i="13"/>
  <c r="IE35" i="13"/>
  <c r="CE34" i="14" s="1"/>
  <c r="IB35" i="13"/>
  <c r="CD34" i="14" s="1"/>
  <c r="HY35" i="13"/>
  <c r="HV35" i="13"/>
  <c r="CB34" i="14" s="1"/>
  <c r="HS35" i="13"/>
  <c r="CA34" i="14" s="1"/>
  <c r="HP35" i="13"/>
  <c r="BZ34" i="14" s="1"/>
  <c r="HM35" i="13"/>
  <c r="BY34" i="14" s="1"/>
  <c r="HJ35" i="13"/>
  <c r="HE35" i="13"/>
  <c r="GW35" i="13"/>
  <c r="GS35" i="13"/>
  <c r="BF34" i="14" s="1"/>
  <c r="GP35" i="13"/>
  <c r="BE34" i="14" s="1"/>
  <c r="GM35" i="13"/>
  <c r="GJ35" i="13"/>
  <c r="GD35" i="13"/>
  <c r="FX35" i="13"/>
  <c r="AP34" i="14" s="1"/>
  <c r="FS35" i="13"/>
  <c r="FP35" i="13"/>
  <c r="FA72" i="13" s="1"/>
  <c r="FJ35" i="13"/>
  <c r="BA34" i="14" s="1"/>
  <c r="FC35" i="13"/>
  <c r="EZ35" i="13"/>
  <c r="EZ72" i="13" s="1"/>
  <c r="EW35" i="13"/>
  <c r="AV34" i="14" s="1"/>
  <c r="ET35" i="13"/>
  <c r="AU34" i="14" s="1"/>
  <c r="EM35" i="13"/>
  <c r="AN34" i="14" s="1"/>
  <c r="EJ35" i="13"/>
  <c r="AM34" i="14" s="1"/>
  <c r="DZ35" i="13"/>
  <c r="AI34" i="14" s="1"/>
  <c r="DW35" i="13"/>
  <c r="DT35" i="13"/>
  <c r="DR35" i="13"/>
  <c r="AD34" i="14" s="1"/>
  <c r="DE35" i="13"/>
  <c r="DF35" i="13" s="1"/>
  <c r="DA35" i="13"/>
  <c r="CW35" i="13"/>
  <c r="CS35" i="13"/>
  <c r="U34" i="14" s="1"/>
  <c r="CO35" i="13"/>
  <c r="T34" i="14" s="1"/>
  <c r="CH35" i="13"/>
  <c r="R34" i="14" s="1"/>
  <c r="CF35" i="13"/>
  <c r="Q34" i="14" s="1"/>
  <c r="CD35" i="13"/>
  <c r="P34" i="14" s="1"/>
  <c r="CA35" i="13"/>
  <c r="O34" i="14" s="1"/>
  <c r="BW35" i="13"/>
  <c r="BX35" i="13" s="1"/>
  <c r="BT35" i="13"/>
  <c r="BR35" i="13"/>
  <c r="Z34" i="14" s="1"/>
  <c r="BP35" i="13"/>
  <c r="BN35" i="13"/>
  <c r="BL35" i="13"/>
  <c r="BJ35" i="13"/>
  <c r="AB34" i="14" s="1"/>
  <c r="BG35" i="13"/>
  <c r="AA34" i="14" s="1"/>
  <c r="BC35" i="13"/>
  <c r="M34" i="14" s="1"/>
  <c r="AZ35" i="13"/>
  <c r="L34" i="14" s="1"/>
  <c r="AR35" i="13"/>
  <c r="K34" i="14" s="1"/>
  <c r="AI35" i="13"/>
  <c r="AE35" i="13"/>
  <c r="H34" i="14" s="1"/>
  <c r="AB35" i="13"/>
  <c r="F34" i="14" s="1"/>
  <c r="V35" i="13"/>
  <c r="E34" i="14" s="1"/>
  <c r="T35" i="13"/>
  <c r="D34" i="14" s="1"/>
  <c r="Q35" i="13"/>
  <c r="N35" i="13"/>
  <c r="C34" i="14" s="1"/>
  <c r="K35" i="13"/>
  <c r="F35" i="13"/>
  <c r="D35" i="13"/>
  <c r="C35" i="13"/>
  <c r="KE34" i="13"/>
  <c r="KB34" i="13"/>
  <c r="JY34" i="13"/>
  <c r="JV34" i="13"/>
  <c r="JS34" i="13"/>
  <c r="JP34" i="13"/>
  <c r="JM34" i="13"/>
  <c r="JJ34" i="13"/>
  <c r="JG34" i="13"/>
  <c r="JD34" i="13"/>
  <c r="JA34" i="13"/>
  <c r="IX34" i="13"/>
  <c r="IU34" i="13"/>
  <c r="IR34" i="13"/>
  <c r="IO34" i="13"/>
  <c r="IL34" i="13"/>
  <c r="IE34" i="13"/>
  <c r="CE33" i="14" s="1"/>
  <c r="IB34" i="13"/>
  <c r="CD33" i="14" s="1"/>
  <c r="HY34" i="13"/>
  <c r="HV34" i="13"/>
  <c r="HS34" i="13"/>
  <c r="CA33" i="14" s="1"/>
  <c r="HP34" i="13"/>
  <c r="BZ33" i="14" s="1"/>
  <c r="HM34" i="13"/>
  <c r="BY33" i="14" s="1"/>
  <c r="HJ34" i="13"/>
  <c r="HE34" i="13"/>
  <c r="GW34" i="13"/>
  <c r="GS34" i="13"/>
  <c r="BF33" i="14" s="1"/>
  <c r="GP34" i="13"/>
  <c r="BE33" i="14" s="1"/>
  <c r="GM34" i="13"/>
  <c r="GJ34" i="13"/>
  <c r="GD34" i="13"/>
  <c r="FX34" i="13"/>
  <c r="AP33" i="14" s="1"/>
  <c r="FS34" i="13"/>
  <c r="FP34" i="13"/>
  <c r="FA71" i="13" s="1"/>
  <c r="FJ34" i="13"/>
  <c r="BA33" i="14" s="1"/>
  <c r="FC34" i="13"/>
  <c r="EZ34" i="13"/>
  <c r="EZ71" i="13" s="1"/>
  <c r="EW34" i="13"/>
  <c r="AV33" i="14" s="1"/>
  <c r="ET34" i="13"/>
  <c r="AU33" i="14" s="1"/>
  <c r="EM34" i="13"/>
  <c r="AN33" i="14" s="1"/>
  <c r="EJ34" i="13"/>
  <c r="AM33" i="14" s="1"/>
  <c r="DZ34" i="13"/>
  <c r="AI33" i="14" s="1"/>
  <c r="DW34" i="13"/>
  <c r="DT34" i="13"/>
  <c r="DR34" i="13"/>
  <c r="AD33" i="14" s="1"/>
  <c r="DE34" i="13"/>
  <c r="DF34" i="13" s="1"/>
  <c r="DA34" i="13"/>
  <c r="X33" i="14" s="1"/>
  <c r="CW34" i="13"/>
  <c r="W33" i="14" s="1"/>
  <c r="CS34" i="13"/>
  <c r="U33" i="14" s="1"/>
  <c r="CO34" i="13"/>
  <c r="T33" i="14" s="1"/>
  <c r="CH34" i="13"/>
  <c r="R33" i="14" s="1"/>
  <c r="CF34" i="13"/>
  <c r="Q33" i="14" s="1"/>
  <c r="CD34" i="13"/>
  <c r="P33" i="14" s="1"/>
  <c r="CA34" i="13"/>
  <c r="O33" i="14" s="1"/>
  <c r="BW34" i="13"/>
  <c r="BX34" i="13" s="1"/>
  <c r="BT34" i="13"/>
  <c r="BR34" i="13"/>
  <c r="Z33" i="14" s="1"/>
  <c r="BP34" i="13"/>
  <c r="BN34" i="13"/>
  <c r="BL34" i="13"/>
  <c r="BJ34" i="13"/>
  <c r="AB33" i="14" s="1"/>
  <c r="BG34" i="13"/>
  <c r="AA33" i="14" s="1"/>
  <c r="BC34" i="13"/>
  <c r="M33" i="14" s="1"/>
  <c r="AZ34" i="13"/>
  <c r="L33" i="14" s="1"/>
  <c r="AR34" i="13"/>
  <c r="AI34" i="13"/>
  <c r="I33" i="14" s="1"/>
  <c r="AE34" i="13"/>
  <c r="H33" i="14" s="1"/>
  <c r="AB34" i="13"/>
  <c r="F33" i="14" s="1"/>
  <c r="V34" i="13"/>
  <c r="E33" i="14" s="1"/>
  <c r="T34" i="13"/>
  <c r="D33" i="14" s="1"/>
  <c r="Q34" i="13"/>
  <c r="N34" i="13"/>
  <c r="C33" i="14" s="1"/>
  <c r="K34" i="13"/>
  <c r="F34" i="13"/>
  <c r="D34" i="13"/>
  <c r="C34" i="13"/>
  <c r="KE33" i="13"/>
  <c r="KB33" i="13"/>
  <c r="JY33" i="13"/>
  <c r="JV33" i="13"/>
  <c r="JS33" i="13"/>
  <c r="JP33" i="13"/>
  <c r="JM33" i="13"/>
  <c r="JJ33" i="13"/>
  <c r="JG33" i="13"/>
  <c r="JD33" i="13"/>
  <c r="JA33" i="13"/>
  <c r="IX33" i="13"/>
  <c r="IU33" i="13"/>
  <c r="IR33" i="13"/>
  <c r="IO33" i="13"/>
  <c r="IL33" i="13"/>
  <c r="IE33" i="13"/>
  <c r="CE32" i="14" s="1"/>
  <c r="IB33" i="13"/>
  <c r="CD32" i="14" s="1"/>
  <c r="HY33" i="13"/>
  <c r="HV33" i="13"/>
  <c r="CB32" i="14" s="1"/>
  <c r="HS33" i="13"/>
  <c r="CA32" i="14" s="1"/>
  <c r="HP33" i="13"/>
  <c r="BZ32" i="14" s="1"/>
  <c r="HM33" i="13"/>
  <c r="BY32" i="14" s="1"/>
  <c r="HJ33" i="13"/>
  <c r="HE33" i="13"/>
  <c r="GW33" i="13"/>
  <c r="GS33" i="13"/>
  <c r="BF32" i="14" s="1"/>
  <c r="GP33" i="13"/>
  <c r="BE32" i="14" s="1"/>
  <c r="GM33" i="13"/>
  <c r="BC32" i="14" s="1"/>
  <c r="GJ33" i="13"/>
  <c r="AX32" i="14" s="1"/>
  <c r="GD33" i="13"/>
  <c r="FX33" i="13"/>
  <c r="AP32" i="14" s="1"/>
  <c r="FS33" i="13"/>
  <c r="FP33" i="13"/>
  <c r="FA70" i="13" s="1"/>
  <c r="FJ33" i="13"/>
  <c r="BA32" i="14" s="1"/>
  <c r="FC33" i="13"/>
  <c r="EZ33" i="13"/>
  <c r="EZ70" i="13" s="1"/>
  <c r="EW33" i="13"/>
  <c r="AV32" i="14" s="1"/>
  <c r="ET33" i="13"/>
  <c r="AU32" i="14" s="1"/>
  <c r="EM33" i="13"/>
  <c r="AN32" i="14" s="1"/>
  <c r="EJ33" i="13"/>
  <c r="AM32" i="14" s="1"/>
  <c r="DZ33" i="13"/>
  <c r="AI32" i="14" s="1"/>
  <c r="DW33" i="13"/>
  <c r="AH32" i="14" s="1"/>
  <c r="DT33" i="13"/>
  <c r="DR33" i="13"/>
  <c r="AD32" i="14" s="1"/>
  <c r="DE33" i="13"/>
  <c r="DF33" i="13" s="1"/>
  <c r="DA33" i="13"/>
  <c r="X32" i="14" s="1"/>
  <c r="CW33" i="13"/>
  <c r="W32" i="14" s="1"/>
  <c r="CS33" i="13"/>
  <c r="U32" i="14" s="1"/>
  <c r="CO33" i="13"/>
  <c r="T32" i="14" s="1"/>
  <c r="CH33" i="13"/>
  <c r="R32" i="14" s="1"/>
  <c r="CF33" i="13"/>
  <c r="Q32" i="14" s="1"/>
  <c r="CD33" i="13"/>
  <c r="P32" i="14" s="1"/>
  <c r="CA33" i="13"/>
  <c r="O32" i="14" s="1"/>
  <c r="BW33" i="13"/>
  <c r="BX33" i="13" s="1"/>
  <c r="BT33" i="13"/>
  <c r="BR33" i="13"/>
  <c r="Z32" i="14" s="1"/>
  <c r="BP33" i="13"/>
  <c r="BN33" i="13"/>
  <c r="BL33" i="13"/>
  <c r="BJ33" i="13"/>
  <c r="AB32" i="14" s="1"/>
  <c r="BG33" i="13"/>
  <c r="AA32" i="14" s="1"/>
  <c r="BC33" i="13"/>
  <c r="M32" i="14" s="1"/>
  <c r="AZ33" i="13"/>
  <c r="L32" i="14" s="1"/>
  <c r="AR33" i="13"/>
  <c r="K32" i="14" s="1"/>
  <c r="AI33" i="13"/>
  <c r="AE33" i="13"/>
  <c r="H32" i="14" s="1"/>
  <c r="AB33" i="13"/>
  <c r="F32" i="14" s="1"/>
  <c r="V33" i="13"/>
  <c r="E32" i="14" s="1"/>
  <c r="T33" i="13"/>
  <c r="D32" i="14" s="1"/>
  <c r="Q33" i="13"/>
  <c r="N33" i="13"/>
  <c r="C32" i="14" s="1"/>
  <c r="K33" i="13"/>
  <c r="F33" i="13"/>
  <c r="D33" i="13"/>
  <c r="C33" i="13"/>
  <c r="KE32" i="13"/>
  <c r="KB32" i="13"/>
  <c r="JY32" i="13"/>
  <c r="JV32" i="13"/>
  <c r="JS32" i="13"/>
  <c r="JP32" i="13"/>
  <c r="JM32" i="13"/>
  <c r="JJ32" i="13"/>
  <c r="JG32" i="13"/>
  <c r="JD32" i="13"/>
  <c r="JA32" i="13"/>
  <c r="IX32" i="13"/>
  <c r="IU32" i="13"/>
  <c r="IR32" i="13"/>
  <c r="IO32" i="13"/>
  <c r="IL32" i="13"/>
  <c r="IE32" i="13"/>
  <c r="CE31" i="14" s="1"/>
  <c r="IB32" i="13"/>
  <c r="CD31" i="14" s="1"/>
  <c r="HY32" i="13"/>
  <c r="HV32" i="13"/>
  <c r="CB31" i="14" s="1"/>
  <c r="HS32" i="13"/>
  <c r="CA31" i="14" s="1"/>
  <c r="HP32" i="13"/>
  <c r="BZ31" i="14" s="1"/>
  <c r="HM32" i="13"/>
  <c r="BY31" i="14" s="1"/>
  <c r="HJ32" i="13"/>
  <c r="HE32" i="13"/>
  <c r="GW32" i="13"/>
  <c r="GS32" i="13"/>
  <c r="BF31" i="14" s="1"/>
  <c r="GP32" i="13"/>
  <c r="BE31" i="14" s="1"/>
  <c r="GM32" i="13"/>
  <c r="BC31" i="14" s="1"/>
  <c r="GJ32" i="13"/>
  <c r="GD32" i="13"/>
  <c r="FX32" i="13"/>
  <c r="AP31" i="14" s="1"/>
  <c r="FS32" i="13"/>
  <c r="FP32" i="13"/>
  <c r="FA69" i="13" s="1"/>
  <c r="FJ32" i="13"/>
  <c r="BA31" i="14" s="1"/>
  <c r="FG32" i="13"/>
  <c r="FC32" i="13"/>
  <c r="EZ32" i="13"/>
  <c r="EZ69" i="13" s="1"/>
  <c r="EW32" i="13"/>
  <c r="AV31" i="14" s="1"/>
  <c r="ET32" i="13"/>
  <c r="AU31" i="14" s="1"/>
  <c r="EM32" i="13"/>
  <c r="AN31" i="14" s="1"/>
  <c r="EJ32" i="13"/>
  <c r="AM31" i="14" s="1"/>
  <c r="DZ32" i="13"/>
  <c r="AI31" i="14" s="1"/>
  <c r="DW32" i="13"/>
  <c r="AH31" i="14" s="1"/>
  <c r="DT32" i="13"/>
  <c r="DR32" i="13"/>
  <c r="AD31" i="14" s="1"/>
  <c r="DE32" i="13"/>
  <c r="DF32" i="13" s="1"/>
  <c r="DA32" i="13"/>
  <c r="X31" i="14" s="1"/>
  <c r="CW32" i="13"/>
  <c r="W31" i="14" s="1"/>
  <c r="CS32" i="13"/>
  <c r="U31" i="14" s="1"/>
  <c r="CO32" i="13"/>
  <c r="T31" i="14" s="1"/>
  <c r="CH32" i="13"/>
  <c r="R31" i="14" s="1"/>
  <c r="CF32" i="13"/>
  <c r="Q31" i="14" s="1"/>
  <c r="CD32" i="13"/>
  <c r="P31" i="14" s="1"/>
  <c r="CA32" i="13"/>
  <c r="BW32" i="13"/>
  <c r="BX32" i="13" s="1"/>
  <c r="BT32" i="13"/>
  <c r="BR32" i="13"/>
  <c r="Z31" i="14" s="1"/>
  <c r="BP32" i="13"/>
  <c r="BN32" i="13"/>
  <c r="BL32" i="13"/>
  <c r="BJ32" i="13"/>
  <c r="AB31" i="14" s="1"/>
  <c r="BG32" i="13"/>
  <c r="AA31" i="14" s="1"/>
  <c r="BC32" i="13"/>
  <c r="M31" i="14" s="1"/>
  <c r="AZ32" i="13"/>
  <c r="L31" i="14" s="1"/>
  <c r="AR32" i="13"/>
  <c r="K31" i="14" s="1"/>
  <c r="AI32" i="13"/>
  <c r="I31" i="14" s="1"/>
  <c r="AE32" i="13"/>
  <c r="H31" i="14" s="1"/>
  <c r="AB32" i="13"/>
  <c r="F31" i="14" s="1"/>
  <c r="V32" i="13"/>
  <c r="E31" i="14" s="1"/>
  <c r="T32" i="13"/>
  <c r="Q32" i="13"/>
  <c r="R32" i="13" s="1"/>
  <c r="N32" i="13"/>
  <c r="C31" i="14" s="1"/>
  <c r="K32" i="13"/>
  <c r="F32" i="13"/>
  <c r="D32" i="13"/>
  <c r="C32" i="13"/>
  <c r="KE31" i="13"/>
  <c r="KB31" i="13"/>
  <c r="JY31" i="13"/>
  <c r="JV31" i="13"/>
  <c r="JS31" i="13"/>
  <c r="JP31" i="13"/>
  <c r="JM31" i="13"/>
  <c r="JJ31" i="13"/>
  <c r="JG31" i="13"/>
  <c r="JD31" i="13"/>
  <c r="JA31" i="13"/>
  <c r="IX31" i="13"/>
  <c r="IU31" i="13"/>
  <c r="IR31" i="13"/>
  <c r="IO31" i="13"/>
  <c r="IL31" i="13"/>
  <c r="IE31" i="13"/>
  <c r="CE30" i="14" s="1"/>
  <c r="IB31" i="13"/>
  <c r="CD30" i="14" s="1"/>
  <c r="HY31" i="13"/>
  <c r="HV31" i="13"/>
  <c r="CB30" i="14" s="1"/>
  <c r="HS31" i="13"/>
  <c r="CA30" i="14" s="1"/>
  <c r="HP31" i="13"/>
  <c r="BZ30" i="14" s="1"/>
  <c r="HM31" i="13"/>
  <c r="BY30" i="14" s="1"/>
  <c r="HJ31" i="13"/>
  <c r="HE31" i="13"/>
  <c r="GW31" i="13"/>
  <c r="GS31" i="13"/>
  <c r="BF30" i="14" s="1"/>
  <c r="GP31" i="13"/>
  <c r="BE30" i="14" s="1"/>
  <c r="GM31" i="13"/>
  <c r="BC30" i="14" s="1"/>
  <c r="GJ31" i="13"/>
  <c r="AX30" i="14" s="1"/>
  <c r="GD31" i="13"/>
  <c r="FX31" i="13"/>
  <c r="AP30" i="14" s="1"/>
  <c r="FS31" i="13"/>
  <c r="FP31" i="13"/>
  <c r="FA68" i="13" s="1"/>
  <c r="FJ31" i="13"/>
  <c r="BA30" i="14" s="1"/>
  <c r="FC31" i="13"/>
  <c r="EZ31" i="13"/>
  <c r="EZ68" i="13" s="1"/>
  <c r="EW31" i="13"/>
  <c r="AV30" i="14" s="1"/>
  <c r="ET31" i="13"/>
  <c r="AU30" i="14" s="1"/>
  <c r="EM31" i="13"/>
  <c r="AN30" i="14" s="1"/>
  <c r="EJ31" i="13"/>
  <c r="AM30" i="14" s="1"/>
  <c r="DZ31" i="13"/>
  <c r="AI30" i="14" s="1"/>
  <c r="DW31" i="13"/>
  <c r="AH30" i="14" s="1"/>
  <c r="DT31" i="13"/>
  <c r="AE30" i="14" s="1"/>
  <c r="DR31" i="13"/>
  <c r="AD30" i="14" s="1"/>
  <c r="DE31" i="13"/>
  <c r="DA31" i="13"/>
  <c r="X30" i="14" s="1"/>
  <c r="CW31" i="13"/>
  <c r="W30" i="14" s="1"/>
  <c r="CS31" i="13"/>
  <c r="U30" i="14" s="1"/>
  <c r="CO31" i="13"/>
  <c r="CH31" i="13"/>
  <c r="R30" i="14" s="1"/>
  <c r="CF31" i="13"/>
  <c r="Q30" i="14" s="1"/>
  <c r="CD31" i="13"/>
  <c r="P30" i="14" s="1"/>
  <c r="CA31" i="13"/>
  <c r="O30" i="14" s="1"/>
  <c r="BW31" i="13"/>
  <c r="BX31" i="13" s="1"/>
  <c r="BT31" i="13"/>
  <c r="BR31" i="13"/>
  <c r="Z30" i="14" s="1"/>
  <c r="BP31" i="13"/>
  <c r="BN31" i="13"/>
  <c r="BL31" i="13"/>
  <c r="BJ31" i="13"/>
  <c r="AB30" i="14" s="1"/>
  <c r="BG31" i="13"/>
  <c r="AA30" i="14" s="1"/>
  <c r="BC31" i="13"/>
  <c r="M30" i="14" s="1"/>
  <c r="AZ31" i="13"/>
  <c r="L30" i="14" s="1"/>
  <c r="AR31" i="13"/>
  <c r="K30" i="14" s="1"/>
  <c r="AI31" i="13"/>
  <c r="I30" i="14" s="1"/>
  <c r="AE31" i="13"/>
  <c r="H30" i="14" s="1"/>
  <c r="AB31" i="13"/>
  <c r="F30" i="14" s="1"/>
  <c r="V31" i="13"/>
  <c r="E30" i="14" s="1"/>
  <c r="T31" i="13"/>
  <c r="D30" i="14" s="1"/>
  <c r="Q31" i="13"/>
  <c r="R31" i="13" s="1"/>
  <c r="N31" i="13"/>
  <c r="C30" i="14" s="1"/>
  <c r="K31" i="13"/>
  <c r="F31" i="13"/>
  <c r="D31" i="13"/>
  <c r="C31" i="13"/>
  <c r="KE30" i="13"/>
  <c r="KB30" i="13"/>
  <c r="JY30" i="13"/>
  <c r="JV30" i="13"/>
  <c r="JS30" i="13"/>
  <c r="JP30" i="13"/>
  <c r="JM30" i="13"/>
  <c r="JJ30" i="13"/>
  <c r="JG30" i="13"/>
  <c r="JD30" i="13"/>
  <c r="JA30" i="13"/>
  <c r="IX30" i="13"/>
  <c r="IU30" i="13"/>
  <c r="IR30" i="13"/>
  <c r="IO30" i="13"/>
  <c r="IL30" i="13"/>
  <c r="IE30" i="13"/>
  <c r="CE29" i="14" s="1"/>
  <c r="IB30" i="13"/>
  <c r="CD29" i="14" s="1"/>
  <c r="HY30" i="13"/>
  <c r="HV30" i="13"/>
  <c r="CB29" i="14" s="1"/>
  <c r="HS30" i="13"/>
  <c r="CA29" i="14" s="1"/>
  <c r="HP30" i="13"/>
  <c r="BZ29" i="14" s="1"/>
  <c r="HM30" i="13"/>
  <c r="BY29" i="14" s="1"/>
  <c r="HJ30" i="13"/>
  <c r="HE30" i="13"/>
  <c r="GW30" i="13"/>
  <c r="GS30" i="13"/>
  <c r="GP30" i="13"/>
  <c r="BE29" i="14" s="1"/>
  <c r="GM30" i="13"/>
  <c r="BC29" i="14" s="1"/>
  <c r="GJ30" i="13"/>
  <c r="AX29" i="14" s="1"/>
  <c r="GD30" i="13"/>
  <c r="FX30" i="13"/>
  <c r="AP29" i="14" s="1"/>
  <c r="FS30" i="13"/>
  <c r="FP30" i="13"/>
  <c r="FA67" i="13" s="1"/>
  <c r="FJ30" i="13"/>
  <c r="FC30" i="13"/>
  <c r="EZ30" i="13"/>
  <c r="EZ67" i="13" s="1"/>
  <c r="EW30" i="13"/>
  <c r="AV29" i="14" s="1"/>
  <c r="ET30" i="13"/>
  <c r="AU29" i="14" s="1"/>
  <c r="EM30" i="13"/>
  <c r="AN29" i="14" s="1"/>
  <c r="EJ30" i="13"/>
  <c r="AM29" i="14" s="1"/>
  <c r="DZ30" i="13"/>
  <c r="AI29" i="14" s="1"/>
  <c r="DW30" i="13"/>
  <c r="AH29" i="14" s="1"/>
  <c r="DT30" i="13"/>
  <c r="DR30" i="13"/>
  <c r="AD29" i="14" s="1"/>
  <c r="DE30" i="13"/>
  <c r="DF30" i="13" s="1"/>
  <c r="DA30" i="13"/>
  <c r="DB30" i="13" s="1"/>
  <c r="CW30" i="13"/>
  <c r="W29" i="14" s="1"/>
  <c r="CS30" i="13"/>
  <c r="U29" i="14" s="1"/>
  <c r="CO30" i="13"/>
  <c r="T29" i="14" s="1"/>
  <c r="CH30" i="13"/>
  <c r="R29" i="14" s="1"/>
  <c r="CF30" i="13"/>
  <c r="Q29" i="14" s="1"/>
  <c r="CD30" i="13"/>
  <c r="P29" i="14" s="1"/>
  <c r="CA30" i="13"/>
  <c r="O29" i="14" s="1"/>
  <c r="BW30" i="13"/>
  <c r="BX30" i="13" s="1"/>
  <c r="BT30" i="13"/>
  <c r="BR30" i="13"/>
  <c r="Z29" i="14" s="1"/>
  <c r="BP30" i="13"/>
  <c r="BN30" i="13"/>
  <c r="BL30" i="13"/>
  <c r="BJ30" i="13"/>
  <c r="AB29" i="14" s="1"/>
  <c r="BG30" i="13"/>
  <c r="BC30" i="13"/>
  <c r="M29" i="14" s="1"/>
  <c r="AZ30" i="13"/>
  <c r="L29" i="14" s="1"/>
  <c r="AR30" i="13"/>
  <c r="K29" i="14" s="1"/>
  <c r="AI30" i="13"/>
  <c r="I29" i="14" s="1"/>
  <c r="AE30" i="13"/>
  <c r="AB30" i="13"/>
  <c r="F29" i="14" s="1"/>
  <c r="V30" i="13"/>
  <c r="E29" i="14" s="1"/>
  <c r="T30" i="13"/>
  <c r="D29" i="14" s="1"/>
  <c r="Q30" i="13"/>
  <c r="N30" i="13"/>
  <c r="C29" i="14" s="1"/>
  <c r="K30" i="13"/>
  <c r="F30" i="13"/>
  <c r="D30" i="13"/>
  <c r="C30" i="13"/>
  <c r="KE29" i="13"/>
  <c r="KB29" i="13"/>
  <c r="JY29" i="13"/>
  <c r="JV29" i="13"/>
  <c r="JS29" i="13"/>
  <c r="JP29" i="13"/>
  <c r="JM29" i="13"/>
  <c r="JJ29" i="13"/>
  <c r="JG29" i="13"/>
  <c r="JD29" i="13"/>
  <c r="JA29" i="13"/>
  <c r="IX29" i="13"/>
  <c r="IU29" i="13"/>
  <c r="IR29" i="13"/>
  <c r="IO29" i="13"/>
  <c r="IL29" i="13"/>
  <c r="IE29" i="13"/>
  <c r="CE28" i="14" s="1"/>
  <c r="IB29" i="13"/>
  <c r="CD28" i="14" s="1"/>
  <c r="HY29" i="13"/>
  <c r="HV29" i="13"/>
  <c r="CB28" i="14" s="1"/>
  <c r="HS29" i="13"/>
  <c r="CA28" i="14" s="1"/>
  <c r="HP29" i="13"/>
  <c r="BZ28" i="14" s="1"/>
  <c r="HM29" i="13"/>
  <c r="BY28" i="14" s="1"/>
  <c r="HJ29" i="13"/>
  <c r="HE29" i="13"/>
  <c r="GW29" i="13"/>
  <c r="GS29" i="13"/>
  <c r="BF28" i="14" s="1"/>
  <c r="GP29" i="13"/>
  <c r="BE28" i="14" s="1"/>
  <c r="GM29" i="13"/>
  <c r="BC28" i="14" s="1"/>
  <c r="GJ29" i="13"/>
  <c r="AX28" i="14" s="1"/>
  <c r="GD29" i="13"/>
  <c r="FX29" i="13"/>
  <c r="AP28" i="14" s="1"/>
  <c r="FS29" i="13"/>
  <c r="FP29" i="13"/>
  <c r="FA66" i="13" s="1"/>
  <c r="FJ29" i="13"/>
  <c r="BA28" i="14" s="1"/>
  <c r="FG29" i="13"/>
  <c r="AZ28" i="14" s="1"/>
  <c r="FC29" i="13"/>
  <c r="EZ29" i="13"/>
  <c r="EZ66" i="13" s="1"/>
  <c r="EW29" i="13"/>
  <c r="AV28" i="14" s="1"/>
  <c r="ET29" i="13"/>
  <c r="AU28" i="14" s="1"/>
  <c r="EM29" i="13"/>
  <c r="AN28" i="14" s="1"/>
  <c r="EJ29" i="13"/>
  <c r="AM28" i="14" s="1"/>
  <c r="DZ29" i="13"/>
  <c r="AI28" i="14" s="1"/>
  <c r="DW29" i="13"/>
  <c r="DT29" i="13"/>
  <c r="AE28" i="14" s="1"/>
  <c r="DR29" i="13"/>
  <c r="AD28" i="14" s="1"/>
  <c r="DE29" i="13"/>
  <c r="DF29" i="13" s="1"/>
  <c r="DA29" i="13"/>
  <c r="X28" i="14" s="1"/>
  <c r="CW29" i="13"/>
  <c r="W28" i="14" s="1"/>
  <c r="CS29" i="13"/>
  <c r="U28" i="14" s="1"/>
  <c r="CO29" i="13"/>
  <c r="T28" i="14" s="1"/>
  <c r="CH29" i="13"/>
  <c r="R28" i="14" s="1"/>
  <c r="CF29" i="13"/>
  <c r="Q28" i="14" s="1"/>
  <c r="CD29" i="13"/>
  <c r="P28" i="14" s="1"/>
  <c r="CA29" i="13"/>
  <c r="O28" i="14" s="1"/>
  <c r="BW29" i="13"/>
  <c r="BX29" i="13" s="1"/>
  <c r="BT29" i="13"/>
  <c r="BR29" i="13"/>
  <c r="Z28" i="14" s="1"/>
  <c r="BP29" i="13"/>
  <c r="BN29" i="13"/>
  <c r="BL29" i="13"/>
  <c r="BJ29" i="13"/>
  <c r="AB28" i="14" s="1"/>
  <c r="BG29" i="13"/>
  <c r="AA28" i="14" s="1"/>
  <c r="BC29" i="13"/>
  <c r="M28" i="14" s="1"/>
  <c r="AZ29" i="13"/>
  <c r="L28" i="14" s="1"/>
  <c r="AR29" i="13"/>
  <c r="AI29" i="13"/>
  <c r="I28" i="14" s="1"/>
  <c r="AE29" i="13"/>
  <c r="H28" i="14" s="1"/>
  <c r="AB29" i="13"/>
  <c r="F28" i="14" s="1"/>
  <c r="V29" i="13"/>
  <c r="E28" i="14" s="1"/>
  <c r="T29" i="13"/>
  <c r="D28" i="14" s="1"/>
  <c r="Q29" i="13"/>
  <c r="N29" i="13"/>
  <c r="C28" i="14" s="1"/>
  <c r="K29" i="13"/>
  <c r="F29" i="13"/>
  <c r="D29" i="13"/>
  <c r="C29" i="13"/>
  <c r="KE28" i="13"/>
  <c r="KB28" i="13"/>
  <c r="JY28" i="13"/>
  <c r="JV28" i="13"/>
  <c r="JS28" i="13"/>
  <c r="JP28" i="13"/>
  <c r="JM28" i="13"/>
  <c r="JJ28" i="13"/>
  <c r="JG28" i="13"/>
  <c r="JD28" i="13"/>
  <c r="JA28" i="13"/>
  <c r="IX28" i="13"/>
  <c r="IU28" i="13"/>
  <c r="IR28" i="13"/>
  <c r="IO28" i="13"/>
  <c r="IL28" i="13"/>
  <c r="IE28" i="13"/>
  <c r="CE27" i="14" s="1"/>
  <c r="IB28" i="13"/>
  <c r="CD27" i="14" s="1"/>
  <c r="HY28" i="13"/>
  <c r="HV28" i="13"/>
  <c r="CB27" i="14" s="1"/>
  <c r="HS28" i="13"/>
  <c r="CA27" i="14" s="1"/>
  <c r="HP28" i="13"/>
  <c r="BZ27" i="14" s="1"/>
  <c r="HM28" i="13"/>
  <c r="BY27" i="14" s="1"/>
  <c r="HJ28" i="13"/>
  <c r="HE28" i="13"/>
  <c r="GW28" i="13"/>
  <c r="GS28" i="13"/>
  <c r="BF27" i="14" s="1"/>
  <c r="GP28" i="13"/>
  <c r="BE27" i="14" s="1"/>
  <c r="GM28" i="13"/>
  <c r="BC27" i="14" s="1"/>
  <c r="GJ28" i="13"/>
  <c r="AX27" i="14" s="1"/>
  <c r="GD28" i="13"/>
  <c r="FX28" i="13"/>
  <c r="AP27" i="14" s="1"/>
  <c r="FS28" i="13"/>
  <c r="FP28" i="13"/>
  <c r="FA65" i="13" s="1"/>
  <c r="FJ28" i="13"/>
  <c r="BA27" i="14" s="1"/>
  <c r="FC28" i="13"/>
  <c r="EZ28" i="13"/>
  <c r="EZ65" i="13" s="1"/>
  <c r="EW28" i="13"/>
  <c r="AV27" i="14" s="1"/>
  <c r="ET28" i="13"/>
  <c r="AU27" i="14" s="1"/>
  <c r="EM28" i="13"/>
  <c r="AN27" i="14" s="1"/>
  <c r="EJ28" i="13"/>
  <c r="AM27" i="14" s="1"/>
  <c r="DZ28" i="13"/>
  <c r="AI27" i="14" s="1"/>
  <c r="DW28" i="13"/>
  <c r="AH27" i="14" s="1"/>
  <c r="DT28" i="13"/>
  <c r="AE27" i="14" s="1"/>
  <c r="DR28" i="13"/>
  <c r="AD27" i="14" s="1"/>
  <c r="DE28" i="13"/>
  <c r="DF28" i="13" s="1"/>
  <c r="DA28" i="13"/>
  <c r="X27" i="14" s="1"/>
  <c r="CW28" i="13"/>
  <c r="W27" i="14" s="1"/>
  <c r="CS28" i="13"/>
  <c r="U27" i="14" s="1"/>
  <c r="CO28" i="13"/>
  <c r="T27" i="14" s="1"/>
  <c r="CH28" i="13"/>
  <c r="R27" i="14" s="1"/>
  <c r="CF28" i="13"/>
  <c r="Q27" i="14" s="1"/>
  <c r="CD28" i="13"/>
  <c r="P27" i="14" s="1"/>
  <c r="CA28" i="13"/>
  <c r="O27" i="14" s="1"/>
  <c r="BW28" i="13"/>
  <c r="BX28" i="13" s="1"/>
  <c r="BT28" i="13"/>
  <c r="BR28" i="13"/>
  <c r="Z27" i="14" s="1"/>
  <c r="BP28" i="13"/>
  <c r="BN28" i="13"/>
  <c r="BL28" i="13"/>
  <c r="BJ28" i="13"/>
  <c r="AB27" i="14" s="1"/>
  <c r="BG28" i="13"/>
  <c r="AA27" i="14" s="1"/>
  <c r="BC28" i="13"/>
  <c r="M27" i="14" s="1"/>
  <c r="AZ28" i="13"/>
  <c r="L27" i="14" s="1"/>
  <c r="AR28" i="13"/>
  <c r="K27" i="14" s="1"/>
  <c r="AI28" i="13"/>
  <c r="AE28" i="13"/>
  <c r="H27" i="14" s="1"/>
  <c r="AB28" i="13"/>
  <c r="F27" i="14" s="1"/>
  <c r="V28" i="13"/>
  <c r="E27" i="14" s="1"/>
  <c r="T28" i="13"/>
  <c r="D27" i="14" s="1"/>
  <c r="Q28" i="13"/>
  <c r="R28" i="13" s="1"/>
  <c r="N28" i="13"/>
  <c r="C27" i="14" s="1"/>
  <c r="K28" i="13"/>
  <c r="F28" i="13"/>
  <c r="D28" i="13"/>
  <c r="C28" i="13"/>
  <c r="KE27" i="13"/>
  <c r="KB27" i="13"/>
  <c r="JY27" i="13"/>
  <c r="JV27" i="13"/>
  <c r="JS27" i="13"/>
  <c r="JP27" i="13"/>
  <c r="JM27" i="13"/>
  <c r="JJ27" i="13"/>
  <c r="JG27" i="13"/>
  <c r="JD27" i="13"/>
  <c r="JA27" i="13"/>
  <c r="IX27" i="13"/>
  <c r="IU27" i="13"/>
  <c r="IR27" i="13"/>
  <c r="IO27" i="13"/>
  <c r="IL27" i="13"/>
  <c r="IE27" i="13"/>
  <c r="CE26" i="14" s="1"/>
  <c r="IB27" i="13"/>
  <c r="CD26" i="14" s="1"/>
  <c r="HY27" i="13"/>
  <c r="HV27" i="13"/>
  <c r="CB26" i="14" s="1"/>
  <c r="HS27" i="13"/>
  <c r="CA26" i="14" s="1"/>
  <c r="HP27" i="13"/>
  <c r="BZ26" i="14" s="1"/>
  <c r="HM27" i="13"/>
  <c r="BY26" i="14" s="1"/>
  <c r="HJ27" i="13"/>
  <c r="HE27" i="13"/>
  <c r="GW27" i="13"/>
  <c r="GS27" i="13"/>
  <c r="BF26" i="14" s="1"/>
  <c r="GP27" i="13"/>
  <c r="BE26" i="14" s="1"/>
  <c r="GM27" i="13"/>
  <c r="BC26" i="14" s="1"/>
  <c r="GJ27" i="13"/>
  <c r="GD27" i="13"/>
  <c r="FX27" i="13"/>
  <c r="AP26" i="14" s="1"/>
  <c r="FS27" i="13"/>
  <c r="FP27" i="13"/>
  <c r="FA64" i="13" s="1"/>
  <c r="FJ27" i="13"/>
  <c r="BA26" i="14" s="1"/>
  <c r="FC27" i="13"/>
  <c r="EZ27" i="13"/>
  <c r="EZ64" i="13" s="1"/>
  <c r="EW27" i="13"/>
  <c r="AV26" i="14" s="1"/>
  <c r="ET27" i="13"/>
  <c r="AU26" i="14" s="1"/>
  <c r="EM27" i="13"/>
  <c r="AN26" i="14" s="1"/>
  <c r="EJ27" i="13"/>
  <c r="AM26" i="14" s="1"/>
  <c r="DZ27" i="13"/>
  <c r="AI26" i="14" s="1"/>
  <c r="DW27" i="13"/>
  <c r="AH26" i="14" s="1"/>
  <c r="DT27" i="13"/>
  <c r="DR27" i="13"/>
  <c r="AD26" i="14" s="1"/>
  <c r="DE27" i="13"/>
  <c r="DA27" i="13"/>
  <c r="X26" i="14" s="1"/>
  <c r="CW27" i="13"/>
  <c r="W26" i="14" s="1"/>
  <c r="CS27" i="13"/>
  <c r="U26" i="14" s="1"/>
  <c r="CO27" i="13"/>
  <c r="T26" i="14" s="1"/>
  <c r="CH27" i="13"/>
  <c r="R26" i="14" s="1"/>
  <c r="CF27" i="13"/>
  <c r="Q26" i="14" s="1"/>
  <c r="CD27" i="13"/>
  <c r="P26" i="14" s="1"/>
  <c r="CA27" i="13"/>
  <c r="BW27" i="13"/>
  <c r="BX27" i="13" s="1"/>
  <c r="BT27" i="13"/>
  <c r="BR27" i="13"/>
  <c r="Z26" i="14" s="1"/>
  <c r="BP27" i="13"/>
  <c r="BN27" i="13"/>
  <c r="BL27" i="13"/>
  <c r="BJ27" i="13"/>
  <c r="AB26" i="14" s="1"/>
  <c r="BG27" i="13"/>
  <c r="AA26" i="14" s="1"/>
  <c r="BC27" i="13"/>
  <c r="M26" i="14" s="1"/>
  <c r="AZ27" i="13"/>
  <c r="L26" i="14" s="1"/>
  <c r="AR27" i="13"/>
  <c r="K26" i="14" s="1"/>
  <c r="AI27" i="13"/>
  <c r="I26" i="14" s="1"/>
  <c r="AE27" i="13"/>
  <c r="H26" i="14" s="1"/>
  <c r="AB27" i="13"/>
  <c r="F26" i="14" s="1"/>
  <c r="V27" i="13"/>
  <c r="E26" i="14" s="1"/>
  <c r="T27" i="13"/>
  <c r="Q27" i="13"/>
  <c r="R27" i="13" s="1"/>
  <c r="N27" i="13"/>
  <c r="C26" i="14" s="1"/>
  <c r="K27" i="13"/>
  <c r="F27" i="13"/>
  <c r="D27" i="13"/>
  <c r="C27" i="13"/>
  <c r="KE26" i="13"/>
  <c r="KB26" i="13"/>
  <c r="JY26" i="13"/>
  <c r="JV26" i="13"/>
  <c r="JS26" i="13"/>
  <c r="JP26" i="13"/>
  <c r="JM26" i="13"/>
  <c r="JJ26" i="13"/>
  <c r="JG26" i="13"/>
  <c r="JD26" i="13"/>
  <c r="JA26" i="13"/>
  <c r="IX26" i="13"/>
  <c r="IU26" i="13"/>
  <c r="IR26" i="13"/>
  <c r="IO26" i="13"/>
  <c r="IL26" i="13"/>
  <c r="IE26" i="13"/>
  <c r="CE25" i="14" s="1"/>
  <c r="IB26" i="13"/>
  <c r="CD25" i="14" s="1"/>
  <c r="HY26" i="13"/>
  <c r="HV26" i="13"/>
  <c r="CB25" i="14" s="1"/>
  <c r="HS26" i="13"/>
  <c r="CA25" i="14" s="1"/>
  <c r="HP26" i="13"/>
  <c r="BZ25" i="14" s="1"/>
  <c r="HM26" i="13"/>
  <c r="BY25" i="14" s="1"/>
  <c r="HJ26" i="13"/>
  <c r="HE26" i="13"/>
  <c r="GW26" i="13"/>
  <c r="GS26" i="13"/>
  <c r="BF25" i="14" s="1"/>
  <c r="GP26" i="13"/>
  <c r="BE25" i="14" s="1"/>
  <c r="GM26" i="13"/>
  <c r="BC25" i="14" s="1"/>
  <c r="GJ26" i="13"/>
  <c r="AX25" i="14" s="1"/>
  <c r="GD26" i="13"/>
  <c r="FX26" i="13"/>
  <c r="AP25" i="14" s="1"/>
  <c r="FS26" i="13"/>
  <c r="FP26" i="13"/>
  <c r="FA63" i="13" s="1"/>
  <c r="FJ26" i="13"/>
  <c r="BA25" i="14" s="1"/>
  <c r="FG26" i="13"/>
  <c r="AZ25" i="14" s="1"/>
  <c r="FC26" i="13"/>
  <c r="EZ26" i="13"/>
  <c r="EZ63" i="13" s="1"/>
  <c r="EW26" i="13"/>
  <c r="AV25" i="14" s="1"/>
  <c r="ET26" i="13"/>
  <c r="AU25" i="14" s="1"/>
  <c r="EM26" i="13"/>
  <c r="AN25" i="14" s="1"/>
  <c r="EJ26" i="13"/>
  <c r="AM25" i="14" s="1"/>
  <c r="DZ26" i="13"/>
  <c r="AI25" i="14" s="1"/>
  <c r="DW26" i="13"/>
  <c r="AH25" i="14" s="1"/>
  <c r="DT26" i="13"/>
  <c r="DR26" i="13"/>
  <c r="AD25" i="14" s="1"/>
  <c r="DE26" i="13"/>
  <c r="DA26" i="13"/>
  <c r="X25" i="14" s="1"/>
  <c r="CW26" i="13"/>
  <c r="W25" i="14" s="1"/>
  <c r="CS26" i="13"/>
  <c r="U25" i="14" s="1"/>
  <c r="CO26" i="13"/>
  <c r="CH26" i="13"/>
  <c r="R25" i="14" s="1"/>
  <c r="CF26" i="13"/>
  <c r="Q25" i="14" s="1"/>
  <c r="CD26" i="13"/>
  <c r="P25" i="14" s="1"/>
  <c r="CA26" i="13"/>
  <c r="O25" i="14" s="1"/>
  <c r="BW26" i="13"/>
  <c r="BX26" i="13" s="1"/>
  <c r="BT26" i="13"/>
  <c r="BR26" i="13"/>
  <c r="Z25" i="14" s="1"/>
  <c r="BP26" i="13"/>
  <c r="BN26" i="13"/>
  <c r="BL26" i="13"/>
  <c r="BJ26" i="13"/>
  <c r="AB25" i="14" s="1"/>
  <c r="BG26" i="13"/>
  <c r="AA25" i="14" s="1"/>
  <c r="BC26" i="13"/>
  <c r="M25" i="14" s="1"/>
  <c r="AZ26" i="13"/>
  <c r="L25" i="14" s="1"/>
  <c r="AR26" i="13"/>
  <c r="K25" i="14" s="1"/>
  <c r="AI26" i="13"/>
  <c r="I25" i="14" s="1"/>
  <c r="AE26" i="13"/>
  <c r="H25" i="14" s="1"/>
  <c r="AB26" i="13"/>
  <c r="F25" i="14" s="1"/>
  <c r="V26" i="13"/>
  <c r="E25" i="14" s="1"/>
  <c r="T26" i="13"/>
  <c r="D25" i="14" s="1"/>
  <c r="Q26" i="13"/>
  <c r="R26" i="13" s="1"/>
  <c r="N26" i="13"/>
  <c r="C25" i="14" s="1"/>
  <c r="K26" i="13"/>
  <c r="F26" i="13"/>
  <c r="D26" i="13"/>
  <c r="C26" i="13"/>
  <c r="KE25" i="13"/>
  <c r="KB25" i="13"/>
  <c r="JY25" i="13"/>
  <c r="JV25" i="13"/>
  <c r="JS25" i="13"/>
  <c r="JP25" i="13"/>
  <c r="JM25" i="13"/>
  <c r="JJ25" i="13"/>
  <c r="JG25" i="13"/>
  <c r="JD25" i="13"/>
  <c r="JA25" i="13"/>
  <c r="IX25" i="13"/>
  <c r="IU25" i="13"/>
  <c r="IR25" i="13"/>
  <c r="IO25" i="13"/>
  <c r="IL25" i="13"/>
  <c r="IE25" i="13"/>
  <c r="CE24" i="14" s="1"/>
  <c r="IB25" i="13"/>
  <c r="CD24" i="14" s="1"/>
  <c r="HY25" i="13"/>
  <c r="CC24" i="14" s="1"/>
  <c r="HV25" i="13"/>
  <c r="CB24" i="14" s="1"/>
  <c r="HS25" i="13"/>
  <c r="CA24" i="14" s="1"/>
  <c r="HP25" i="13"/>
  <c r="BZ24" i="14" s="1"/>
  <c r="HM25" i="13"/>
  <c r="BY24" i="14" s="1"/>
  <c r="HJ25" i="13"/>
  <c r="HE25" i="13"/>
  <c r="GW25" i="13"/>
  <c r="GS25" i="13"/>
  <c r="GP25" i="13"/>
  <c r="BE24" i="14" s="1"/>
  <c r="GM25" i="13"/>
  <c r="BC24" i="14" s="1"/>
  <c r="GJ25" i="13"/>
  <c r="AX24" i="14" s="1"/>
  <c r="GD25" i="13"/>
  <c r="FX25" i="13"/>
  <c r="AP24" i="14" s="1"/>
  <c r="FS25" i="13"/>
  <c r="FP25" i="13"/>
  <c r="FA62" i="13" s="1"/>
  <c r="FJ25" i="13"/>
  <c r="BA24" i="14" s="1"/>
  <c r="FG25" i="13"/>
  <c r="AZ24" i="14" s="1"/>
  <c r="FC25" i="13"/>
  <c r="EZ25" i="13"/>
  <c r="EZ62" i="13" s="1"/>
  <c r="EW25" i="13"/>
  <c r="AV24" i="14" s="1"/>
  <c r="ET25" i="13"/>
  <c r="AU24" i="14" s="1"/>
  <c r="EM25" i="13"/>
  <c r="AN24" i="14" s="1"/>
  <c r="EJ25" i="13"/>
  <c r="DZ25" i="13"/>
  <c r="AI24" i="14" s="1"/>
  <c r="DW25" i="13"/>
  <c r="AH24" i="14" s="1"/>
  <c r="DT25" i="13"/>
  <c r="DR25" i="13"/>
  <c r="AD24" i="14" s="1"/>
  <c r="DE25" i="13"/>
  <c r="DA25" i="13"/>
  <c r="X24" i="14" s="1"/>
  <c r="CW25" i="13"/>
  <c r="W24" i="14" s="1"/>
  <c r="CS25" i="13"/>
  <c r="U24" i="14" s="1"/>
  <c r="CO25" i="13"/>
  <c r="T24" i="14" s="1"/>
  <c r="CH25" i="13"/>
  <c r="R24" i="14" s="1"/>
  <c r="CF25" i="13"/>
  <c r="Q24" i="14" s="1"/>
  <c r="CD25" i="13"/>
  <c r="P24" i="14" s="1"/>
  <c r="CA25" i="13"/>
  <c r="O24" i="14" s="1"/>
  <c r="BW25" i="13"/>
  <c r="BX25" i="13" s="1"/>
  <c r="BT25" i="13"/>
  <c r="BR25" i="13"/>
  <c r="Z24" i="14" s="1"/>
  <c r="BP25" i="13"/>
  <c r="BN25" i="13"/>
  <c r="BL25" i="13"/>
  <c r="BJ25" i="13"/>
  <c r="AB24" i="14" s="1"/>
  <c r="BG25" i="13"/>
  <c r="AA24" i="14" s="1"/>
  <c r="BC25" i="13"/>
  <c r="M24" i="14" s="1"/>
  <c r="AZ25" i="13"/>
  <c r="L24" i="14" s="1"/>
  <c r="AR25" i="13"/>
  <c r="K24" i="14" s="1"/>
  <c r="AI25" i="13"/>
  <c r="I24" i="14" s="1"/>
  <c r="AE25" i="13"/>
  <c r="AB25" i="13"/>
  <c r="F24" i="14" s="1"/>
  <c r="V25" i="13"/>
  <c r="E24" i="14" s="1"/>
  <c r="T25" i="13"/>
  <c r="D24" i="14" s="1"/>
  <c r="Q25" i="13"/>
  <c r="N25" i="13"/>
  <c r="C24" i="14" s="1"/>
  <c r="K25" i="13"/>
  <c r="F25" i="13"/>
  <c r="D25" i="13"/>
  <c r="C25" i="13"/>
  <c r="KE24" i="13"/>
  <c r="KB24" i="13"/>
  <c r="JY24" i="13"/>
  <c r="JV24" i="13"/>
  <c r="JS24" i="13"/>
  <c r="JP24" i="13"/>
  <c r="JM24" i="13"/>
  <c r="JJ24" i="13"/>
  <c r="JG24" i="13"/>
  <c r="JD24" i="13"/>
  <c r="JA24" i="13"/>
  <c r="IX24" i="13"/>
  <c r="IU24" i="13"/>
  <c r="IR24" i="13"/>
  <c r="IO24" i="13"/>
  <c r="IL24" i="13"/>
  <c r="IE24" i="13"/>
  <c r="CE23" i="14" s="1"/>
  <c r="IB24" i="13"/>
  <c r="CD23" i="14" s="1"/>
  <c r="HY24" i="13"/>
  <c r="CC23" i="14" s="1"/>
  <c r="HV24" i="13"/>
  <c r="CB23" i="14" s="1"/>
  <c r="HS24" i="13"/>
  <c r="CA23" i="14" s="1"/>
  <c r="HP24" i="13"/>
  <c r="BZ23" i="14" s="1"/>
  <c r="HM24" i="13"/>
  <c r="BY23" i="14" s="1"/>
  <c r="HJ24" i="13"/>
  <c r="HE24" i="13"/>
  <c r="GW24" i="13"/>
  <c r="GS24" i="13"/>
  <c r="BF23" i="14" s="1"/>
  <c r="GP24" i="13"/>
  <c r="BE23" i="14" s="1"/>
  <c r="GM24" i="13"/>
  <c r="BC23" i="14" s="1"/>
  <c r="GJ24" i="13"/>
  <c r="AX23" i="14" s="1"/>
  <c r="GD24" i="13"/>
  <c r="FX24" i="13"/>
  <c r="AP23" i="14" s="1"/>
  <c r="FS24" i="13"/>
  <c r="FP24" i="13"/>
  <c r="FA61" i="13" s="1"/>
  <c r="FJ24" i="13"/>
  <c r="BA23" i="14" s="1"/>
  <c r="FC24" i="13"/>
  <c r="EZ24" i="13"/>
  <c r="EZ61" i="13" s="1"/>
  <c r="EW24" i="13"/>
  <c r="AV23" i="14" s="1"/>
  <c r="ET24" i="13"/>
  <c r="AU23" i="14" s="1"/>
  <c r="EM24" i="13"/>
  <c r="AN23" i="14" s="1"/>
  <c r="EJ24" i="13"/>
  <c r="AM23" i="14" s="1"/>
  <c r="DZ24" i="13"/>
  <c r="AI23" i="14" s="1"/>
  <c r="DW24" i="13"/>
  <c r="DT24" i="13"/>
  <c r="AE23" i="14" s="1"/>
  <c r="DR24" i="13"/>
  <c r="AD23" i="14" s="1"/>
  <c r="DE24" i="13"/>
  <c r="DF24" i="13" s="1"/>
  <c r="DA24" i="13"/>
  <c r="X23" i="14" s="1"/>
  <c r="CW24" i="13"/>
  <c r="W23" i="14" s="1"/>
  <c r="CS24" i="13"/>
  <c r="U23" i="14" s="1"/>
  <c r="CO24" i="13"/>
  <c r="T23" i="14" s="1"/>
  <c r="CH24" i="13"/>
  <c r="R23" i="14" s="1"/>
  <c r="CF24" i="13"/>
  <c r="Q23" i="14" s="1"/>
  <c r="CD24" i="13"/>
  <c r="P23" i="14" s="1"/>
  <c r="CA24" i="13"/>
  <c r="O23" i="14" s="1"/>
  <c r="BW24" i="13"/>
  <c r="BX24" i="13" s="1"/>
  <c r="BT24" i="13"/>
  <c r="BR24" i="13"/>
  <c r="Z23" i="14" s="1"/>
  <c r="BP24" i="13"/>
  <c r="BN24" i="13"/>
  <c r="BL24" i="13"/>
  <c r="BJ24" i="13"/>
  <c r="AB23" i="14" s="1"/>
  <c r="BG24" i="13"/>
  <c r="AA23" i="14" s="1"/>
  <c r="BC24" i="13"/>
  <c r="M23" i="14" s="1"/>
  <c r="AZ24" i="13"/>
  <c r="L23" i="14" s="1"/>
  <c r="AR24" i="13"/>
  <c r="AI24" i="13"/>
  <c r="I23" i="14" s="1"/>
  <c r="AE24" i="13"/>
  <c r="H23" i="14" s="1"/>
  <c r="AB24" i="13"/>
  <c r="F23" i="14" s="1"/>
  <c r="V24" i="13"/>
  <c r="E23" i="14" s="1"/>
  <c r="T24" i="13"/>
  <c r="D23" i="14" s="1"/>
  <c r="Q24" i="13"/>
  <c r="N24" i="13"/>
  <c r="C23" i="14" s="1"/>
  <c r="K24" i="13"/>
  <c r="F24" i="13"/>
  <c r="D24" i="13"/>
  <c r="C24" i="13"/>
  <c r="KE23" i="13"/>
  <c r="KB23" i="13"/>
  <c r="JY23" i="13"/>
  <c r="JV23" i="13"/>
  <c r="JS23" i="13"/>
  <c r="JP23" i="13"/>
  <c r="JM23" i="13"/>
  <c r="JJ23" i="13"/>
  <c r="JG23" i="13"/>
  <c r="JD23" i="13"/>
  <c r="JA23" i="13"/>
  <c r="IX23" i="13"/>
  <c r="IU23" i="13"/>
  <c r="IR23" i="13"/>
  <c r="IO23" i="13"/>
  <c r="IL23" i="13"/>
  <c r="IE23" i="13"/>
  <c r="CE22" i="14" s="1"/>
  <c r="IB23" i="13"/>
  <c r="CD22" i="14" s="1"/>
  <c r="HY23" i="13"/>
  <c r="HV23" i="13"/>
  <c r="CB22" i="14" s="1"/>
  <c r="HS23" i="13"/>
  <c r="CA22" i="14" s="1"/>
  <c r="HP23" i="13"/>
  <c r="BZ22" i="14" s="1"/>
  <c r="HM23" i="13"/>
  <c r="BY22" i="14" s="1"/>
  <c r="HJ23" i="13"/>
  <c r="HE23" i="13"/>
  <c r="GW23" i="13"/>
  <c r="GS23" i="13"/>
  <c r="BF22" i="14" s="1"/>
  <c r="GP23" i="13"/>
  <c r="BE22" i="14" s="1"/>
  <c r="GM23" i="13"/>
  <c r="BC22" i="14" s="1"/>
  <c r="GJ23" i="13"/>
  <c r="AX22" i="14" s="1"/>
  <c r="GD23" i="13"/>
  <c r="FX23" i="13"/>
  <c r="AP22" i="14" s="1"/>
  <c r="FS23" i="13"/>
  <c r="FP23" i="13"/>
  <c r="FA60" i="13" s="1"/>
  <c r="FJ23" i="13"/>
  <c r="BA22" i="14" s="1"/>
  <c r="FC23" i="13"/>
  <c r="EZ23" i="13"/>
  <c r="EZ60" i="13" s="1"/>
  <c r="EW23" i="13"/>
  <c r="AV22" i="14" s="1"/>
  <c r="ET23" i="13"/>
  <c r="AU22" i="14" s="1"/>
  <c r="EM23" i="13"/>
  <c r="AN22" i="14" s="1"/>
  <c r="EJ23" i="13"/>
  <c r="AM22" i="14" s="1"/>
  <c r="DZ23" i="13"/>
  <c r="AI22" i="14" s="1"/>
  <c r="DW23" i="13"/>
  <c r="AH22" i="14" s="1"/>
  <c r="DT23" i="13"/>
  <c r="DR23" i="13"/>
  <c r="AD22" i="14" s="1"/>
  <c r="DE23" i="13"/>
  <c r="DF23" i="13" s="1"/>
  <c r="DA23" i="13"/>
  <c r="X22" i="14" s="1"/>
  <c r="CW23" i="13"/>
  <c r="W22" i="14" s="1"/>
  <c r="CS23" i="13"/>
  <c r="U22" i="14" s="1"/>
  <c r="CO23" i="13"/>
  <c r="T22" i="14" s="1"/>
  <c r="CH23" i="13"/>
  <c r="R22" i="14" s="1"/>
  <c r="CF23" i="13"/>
  <c r="Q22" i="14" s="1"/>
  <c r="CD23" i="13"/>
  <c r="P22" i="14" s="1"/>
  <c r="CA23" i="13"/>
  <c r="O22" i="14" s="1"/>
  <c r="BW23" i="13"/>
  <c r="BX23" i="13" s="1"/>
  <c r="BT23" i="13"/>
  <c r="BR23" i="13"/>
  <c r="Z22" i="14" s="1"/>
  <c r="BP23" i="13"/>
  <c r="BN23" i="13"/>
  <c r="BL23" i="13"/>
  <c r="BJ23" i="13"/>
  <c r="AB22" i="14" s="1"/>
  <c r="BG23" i="13"/>
  <c r="AA22" i="14" s="1"/>
  <c r="BC23" i="13"/>
  <c r="M22" i="14" s="1"/>
  <c r="AZ23" i="13"/>
  <c r="L22" i="14" s="1"/>
  <c r="AR23" i="13"/>
  <c r="K22" i="14" s="1"/>
  <c r="AI23" i="13"/>
  <c r="AE23" i="13"/>
  <c r="H22" i="14" s="1"/>
  <c r="AB23" i="13"/>
  <c r="F22" i="14" s="1"/>
  <c r="V23" i="13"/>
  <c r="E22" i="14" s="1"/>
  <c r="T23" i="13"/>
  <c r="D22" i="14" s="1"/>
  <c r="Q23" i="13"/>
  <c r="R23" i="13" s="1"/>
  <c r="N23" i="13"/>
  <c r="C22" i="14" s="1"/>
  <c r="K23" i="13"/>
  <c r="F23" i="13"/>
  <c r="D23" i="13"/>
  <c r="C23" i="13"/>
  <c r="KE22" i="13"/>
  <c r="KB22" i="13"/>
  <c r="JY22" i="13"/>
  <c r="JV22" i="13"/>
  <c r="JS22" i="13"/>
  <c r="JP22" i="13"/>
  <c r="JM22" i="13"/>
  <c r="JJ22" i="13"/>
  <c r="JG22" i="13"/>
  <c r="JD22" i="13"/>
  <c r="JA22" i="13"/>
  <c r="IX22" i="13"/>
  <c r="IU22" i="13"/>
  <c r="IR22" i="13"/>
  <c r="IO22" i="13"/>
  <c r="IL22" i="13"/>
  <c r="IE22" i="13"/>
  <c r="CE21" i="14" s="1"/>
  <c r="IB22" i="13"/>
  <c r="CD21" i="14" s="1"/>
  <c r="HY22" i="13"/>
  <c r="HV22" i="13"/>
  <c r="CB21" i="14" s="1"/>
  <c r="HS22" i="13"/>
  <c r="CA21" i="14" s="1"/>
  <c r="HP22" i="13"/>
  <c r="BZ21" i="14" s="1"/>
  <c r="HM22" i="13"/>
  <c r="BY21" i="14" s="1"/>
  <c r="HJ22" i="13"/>
  <c r="HE22" i="13"/>
  <c r="GW22" i="13"/>
  <c r="GS22" i="13"/>
  <c r="BF21" i="14" s="1"/>
  <c r="GP22" i="13"/>
  <c r="BE21" i="14" s="1"/>
  <c r="GM22" i="13"/>
  <c r="BC21" i="14" s="1"/>
  <c r="GJ22" i="13"/>
  <c r="GD22" i="13"/>
  <c r="FX22" i="13"/>
  <c r="AP21" i="14" s="1"/>
  <c r="FS22" i="13"/>
  <c r="FP22" i="13"/>
  <c r="FA59" i="13" s="1"/>
  <c r="FJ22" i="13"/>
  <c r="BA21" i="14" s="1"/>
  <c r="FC22" i="13"/>
  <c r="EZ22" i="13"/>
  <c r="EZ59" i="13" s="1"/>
  <c r="EW22" i="13"/>
  <c r="AV21" i="14" s="1"/>
  <c r="ET22" i="13"/>
  <c r="AU21" i="14" s="1"/>
  <c r="EM22" i="13"/>
  <c r="AN21" i="14" s="1"/>
  <c r="EJ22" i="13"/>
  <c r="AM21" i="14" s="1"/>
  <c r="DZ22" i="13"/>
  <c r="AI21" i="14" s="1"/>
  <c r="DW22" i="13"/>
  <c r="AH21" i="14" s="1"/>
  <c r="DT22" i="13"/>
  <c r="AE21" i="14" s="1"/>
  <c r="DR22" i="13"/>
  <c r="AD21" i="14" s="1"/>
  <c r="DE22" i="13"/>
  <c r="DA22" i="13"/>
  <c r="X21" i="14" s="1"/>
  <c r="CW22" i="13"/>
  <c r="W21" i="14" s="1"/>
  <c r="CS22" i="13"/>
  <c r="U21" i="14" s="1"/>
  <c r="CO22" i="13"/>
  <c r="T21" i="14" s="1"/>
  <c r="CH22" i="13"/>
  <c r="R21" i="14" s="1"/>
  <c r="CF22" i="13"/>
  <c r="Q21" i="14" s="1"/>
  <c r="CD22" i="13"/>
  <c r="P21" i="14" s="1"/>
  <c r="CA22" i="13"/>
  <c r="BW22" i="13"/>
  <c r="BX22" i="13" s="1"/>
  <c r="BT22" i="13"/>
  <c r="BR22" i="13"/>
  <c r="Z21" i="14" s="1"/>
  <c r="BP22" i="13"/>
  <c r="BN22" i="13"/>
  <c r="BL22" i="13"/>
  <c r="BJ22" i="13"/>
  <c r="AB21" i="14" s="1"/>
  <c r="BG22" i="13"/>
  <c r="AA21" i="14" s="1"/>
  <c r="BC22" i="13"/>
  <c r="M21" i="14" s="1"/>
  <c r="AZ22" i="13"/>
  <c r="L21" i="14" s="1"/>
  <c r="AR22" i="13"/>
  <c r="K21" i="14" s="1"/>
  <c r="AI22" i="13"/>
  <c r="I21" i="14" s="1"/>
  <c r="AE22" i="13"/>
  <c r="H21" i="14" s="1"/>
  <c r="AB22" i="13"/>
  <c r="F21" i="14" s="1"/>
  <c r="V22" i="13"/>
  <c r="E21" i="14" s="1"/>
  <c r="T22" i="13"/>
  <c r="Q22" i="13"/>
  <c r="R22" i="13" s="1"/>
  <c r="N22" i="13"/>
  <c r="C21" i="14" s="1"/>
  <c r="K22" i="13"/>
  <c r="F22" i="13"/>
  <c r="D22" i="13"/>
  <c r="C22" i="13"/>
  <c r="KE21" i="13"/>
  <c r="KB21" i="13"/>
  <c r="JY21" i="13"/>
  <c r="JV21" i="13"/>
  <c r="JS21" i="13"/>
  <c r="JP21" i="13"/>
  <c r="JM21" i="13"/>
  <c r="JJ21" i="13"/>
  <c r="JG21" i="13"/>
  <c r="JD21" i="13"/>
  <c r="JA21" i="13"/>
  <c r="IX21" i="13"/>
  <c r="IU21" i="13"/>
  <c r="IR21" i="13"/>
  <c r="IO21" i="13"/>
  <c r="IL21" i="13"/>
  <c r="IE21" i="13"/>
  <c r="CE20" i="14" s="1"/>
  <c r="IB21" i="13"/>
  <c r="CD20" i="14" s="1"/>
  <c r="HY21" i="13"/>
  <c r="HV21" i="13"/>
  <c r="CB20" i="14" s="1"/>
  <c r="HS21" i="13"/>
  <c r="CA20" i="14" s="1"/>
  <c r="HP21" i="13"/>
  <c r="BZ20" i="14" s="1"/>
  <c r="HM21" i="13"/>
  <c r="BY20" i="14" s="1"/>
  <c r="HJ21" i="13"/>
  <c r="HE21" i="13"/>
  <c r="GW21" i="13"/>
  <c r="GS21" i="13"/>
  <c r="BF20" i="14" s="1"/>
  <c r="GP21" i="13"/>
  <c r="BE20" i="14" s="1"/>
  <c r="GM21" i="13"/>
  <c r="BC20" i="14" s="1"/>
  <c r="GJ21" i="13"/>
  <c r="AX20" i="14" s="1"/>
  <c r="GD21" i="13"/>
  <c r="FX21" i="13"/>
  <c r="AP20" i="14" s="1"/>
  <c r="FS21" i="13"/>
  <c r="FP21" i="13"/>
  <c r="FA58" i="13" s="1"/>
  <c r="FJ21" i="13"/>
  <c r="BA20" i="14" s="1"/>
  <c r="FC21" i="13"/>
  <c r="EZ21" i="13"/>
  <c r="EZ58" i="13" s="1"/>
  <c r="EW21" i="13"/>
  <c r="AV20" i="14" s="1"/>
  <c r="ET21" i="13"/>
  <c r="AU20" i="14" s="1"/>
  <c r="EM21" i="13"/>
  <c r="AN20" i="14" s="1"/>
  <c r="EJ21" i="13"/>
  <c r="AM20" i="14" s="1"/>
  <c r="DZ21" i="13"/>
  <c r="AI20" i="14" s="1"/>
  <c r="DW21" i="13"/>
  <c r="AH20" i="14" s="1"/>
  <c r="DT21" i="13"/>
  <c r="AE20" i="14" s="1"/>
  <c r="DR21" i="13"/>
  <c r="AD20" i="14" s="1"/>
  <c r="DE21" i="13"/>
  <c r="DA21" i="13"/>
  <c r="X20" i="14" s="1"/>
  <c r="CW21" i="13"/>
  <c r="W20" i="14" s="1"/>
  <c r="CS21" i="13"/>
  <c r="U20" i="14" s="1"/>
  <c r="CO21" i="13"/>
  <c r="CH21" i="13"/>
  <c r="R20" i="14" s="1"/>
  <c r="CF21" i="13"/>
  <c r="Q20" i="14" s="1"/>
  <c r="CD21" i="13"/>
  <c r="P20" i="14" s="1"/>
  <c r="CA21" i="13"/>
  <c r="O20" i="14" s="1"/>
  <c r="BW21" i="13"/>
  <c r="BX21" i="13" s="1"/>
  <c r="BT21" i="13"/>
  <c r="BR21" i="13"/>
  <c r="Z20" i="14" s="1"/>
  <c r="BP21" i="13"/>
  <c r="BN21" i="13"/>
  <c r="BL21" i="13"/>
  <c r="BJ21" i="13"/>
  <c r="AB20" i="14" s="1"/>
  <c r="BG21" i="13"/>
  <c r="AA20" i="14" s="1"/>
  <c r="BC21" i="13"/>
  <c r="M20" i="14" s="1"/>
  <c r="AZ21" i="13"/>
  <c r="L20" i="14" s="1"/>
  <c r="AR21" i="13"/>
  <c r="K20" i="14" s="1"/>
  <c r="AI21" i="13"/>
  <c r="I20" i="14" s="1"/>
  <c r="AE21" i="13"/>
  <c r="AB21" i="13"/>
  <c r="F20" i="14" s="1"/>
  <c r="V21" i="13"/>
  <c r="E20" i="14" s="1"/>
  <c r="T21" i="13"/>
  <c r="D20" i="14" s="1"/>
  <c r="Q21" i="13"/>
  <c r="R21" i="13" s="1"/>
  <c r="N21" i="13"/>
  <c r="C20" i="14" s="1"/>
  <c r="K21" i="13"/>
  <c r="F21" i="13"/>
  <c r="D21" i="13"/>
  <c r="C21" i="13"/>
  <c r="KE20" i="13"/>
  <c r="KB20" i="13"/>
  <c r="JY20" i="13"/>
  <c r="JV20" i="13"/>
  <c r="JS20" i="13"/>
  <c r="JP20" i="13"/>
  <c r="JM20" i="13"/>
  <c r="JJ20" i="13"/>
  <c r="JG20" i="13"/>
  <c r="JD20" i="13"/>
  <c r="JA20" i="13"/>
  <c r="IX20" i="13"/>
  <c r="IU20" i="13"/>
  <c r="IR20" i="13"/>
  <c r="IO20" i="13"/>
  <c r="IL20" i="13"/>
  <c r="IE20" i="13"/>
  <c r="CE19" i="14" s="1"/>
  <c r="IB20" i="13"/>
  <c r="CD19" i="14" s="1"/>
  <c r="HY20" i="13"/>
  <c r="CC19" i="14" s="1"/>
  <c r="HV20" i="13"/>
  <c r="CB19" i="14" s="1"/>
  <c r="HS20" i="13"/>
  <c r="CA19" i="14" s="1"/>
  <c r="HP20" i="13"/>
  <c r="BZ19" i="14" s="1"/>
  <c r="HM20" i="13"/>
  <c r="BY19" i="14" s="1"/>
  <c r="HJ20" i="13"/>
  <c r="HE20" i="13"/>
  <c r="GW20" i="13"/>
  <c r="GS20" i="13"/>
  <c r="BF19" i="14" s="1"/>
  <c r="GP20" i="13"/>
  <c r="BE19" i="14" s="1"/>
  <c r="GM20" i="13"/>
  <c r="BC19" i="14" s="1"/>
  <c r="GJ20" i="13"/>
  <c r="AX19" i="14" s="1"/>
  <c r="GD20" i="13"/>
  <c r="FX20" i="13"/>
  <c r="AP19" i="14" s="1"/>
  <c r="FS20" i="13"/>
  <c r="FP20" i="13"/>
  <c r="FA57" i="13" s="1"/>
  <c r="FJ20" i="13"/>
  <c r="FG20" i="13"/>
  <c r="AZ19" i="14" s="1"/>
  <c r="FC20" i="13"/>
  <c r="EZ20" i="13"/>
  <c r="EZ57" i="13" s="1"/>
  <c r="EW20" i="13"/>
  <c r="AV19" i="14" s="1"/>
  <c r="ET20" i="13"/>
  <c r="AU19" i="14" s="1"/>
  <c r="EM20" i="13"/>
  <c r="AN19" i="14" s="1"/>
  <c r="EJ20" i="13"/>
  <c r="AM19" i="14" s="1"/>
  <c r="DZ20" i="13"/>
  <c r="AI19" i="14" s="1"/>
  <c r="DW20" i="13"/>
  <c r="AH19" i="14" s="1"/>
  <c r="DT20" i="13"/>
  <c r="DR20" i="13"/>
  <c r="AD19" i="14" s="1"/>
  <c r="DE20" i="13"/>
  <c r="DF20" i="13" s="1"/>
  <c r="DA20" i="13"/>
  <c r="CW20" i="13"/>
  <c r="W19" i="14" s="1"/>
  <c r="CS20" i="13"/>
  <c r="U19" i="14" s="1"/>
  <c r="CO20" i="13"/>
  <c r="T19" i="14" s="1"/>
  <c r="CH20" i="13"/>
  <c r="R19" i="14" s="1"/>
  <c r="CF20" i="13"/>
  <c r="Q19" i="14" s="1"/>
  <c r="CD20" i="13"/>
  <c r="P19" i="14" s="1"/>
  <c r="CA20" i="13"/>
  <c r="O19" i="14" s="1"/>
  <c r="BW20" i="13"/>
  <c r="BX20" i="13" s="1"/>
  <c r="BT20" i="13"/>
  <c r="BR20" i="13"/>
  <c r="Z19" i="14" s="1"/>
  <c r="BP20" i="13"/>
  <c r="BN20" i="13"/>
  <c r="BL20" i="13"/>
  <c r="BJ20" i="13"/>
  <c r="AB19" i="14" s="1"/>
  <c r="BG20" i="13"/>
  <c r="AA19" i="14" s="1"/>
  <c r="BC20" i="13"/>
  <c r="M19" i="14" s="1"/>
  <c r="AZ20" i="13"/>
  <c r="L19" i="14" s="1"/>
  <c r="AR20" i="13"/>
  <c r="AI20" i="13"/>
  <c r="I19" i="14" s="1"/>
  <c r="AE20" i="13"/>
  <c r="H19" i="14" s="1"/>
  <c r="AB20" i="13"/>
  <c r="F19" i="14" s="1"/>
  <c r="V20" i="13"/>
  <c r="E19" i="14" s="1"/>
  <c r="T20" i="13"/>
  <c r="D19" i="14" s="1"/>
  <c r="Q20" i="13"/>
  <c r="R20" i="13" s="1"/>
  <c r="N20" i="13"/>
  <c r="C19" i="14" s="1"/>
  <c r="K20" i="13"/>
  <c r="F20" i="13"/>
  <c r="D20" i="13"/>
  <c r="C20" i="13"/>
  <c r="KE19" i="13"/>
  <c r="KB19" i="13"/>
  <c r="JY19" i="13"/>
  <c r="JV19" i="13"/>
  <c r="JS19" i="13"/>
  <c r="JP19" i="13"/>
  <c r="JM19" i="13"/>
  <c r="JJ19" i="13"/>
  <c r="JG19" i="13"/>
  <c r="JD19" i="13"/>
  <c r="JA19" i="13"/>
  <c r="IX19" i="13"/>
  <c r="IU19" i="13"/>
  <c r="IR19" i="13"/>
  <c r="IO19" i="13"/>
  <c r="IL19" i="13"/>
  <c r="IE19" i="13"/>
  <c r="CE18" i="14" s="1"/>
  <c r="IB19" i="13"/>
  <c r="CD18" i="14" s="1"/>
  <c r="HY19" i="13"/>
  <c r="CC18" i="14" s="1"/>
  <c r="HV19" i="13"/>
  <c r="CB18" i="14" s="1"/>
  <c r="HS19" i="13"/>
  <c r="CA18" i="14" s="1"/>
  <c r="HP19" i="13"/>
  <c r="BZ18" i="14" s="1"/>
  <c r="HM19" i="13"/>
  <c r="BY18" i="14" s="1"/>
  <c r="HJ19" i="13"/>
  <c r="HE19" i="13"/>
  <c r="GW19" i="13"/>
  <c r="GS19" i="13"/>
  <c r="BF18" i="14" s="1"/>
  <c r="GP19" i="13"/>
  <c r="BE18" i="14" s="1"/>
  <c r="GM19" i="13"/>
  <c r="GJ19" i="13"/>
  <c r="AX18" i="14" s="1"/>
  <c r="GD19" i="13"/>
  <c r="FX19" i="13"/>
  <c r="AP18" i="14" s="1"/>
  <c r="FS19" i="13"/>
  <c r="FP19" i="13"/>
  <c r="FA56" i="13" s="1"/>
  <c r="FJ19" i="13"/>
  <c r="BA18" i="14" s="1"/>
  <c r="FC19" i="13"/>
  <c r="EZ19" i="13"/>
  <c r="EZ56" i="13" s="1"/>
  <c r="EW19" i="13"/>
  <c r="AV18" i="14" s="1"/>
  <c r="ET19" i="13"/>
  <c r="AU18" i="14" s="1"/>
  <c r="EM19" i="13"/>
  <c r="AN18" i="14" s="1"/>
  <c r="EJ19" i="13"/>
  <c r="AM18" i="14" s="1"/>
  <c r="DZ19" i="13"/>
  <c r="AI18" i="14" s="1"/>
  <c r="DW19" i="13"/>
  <c r="AH18" i="14" s="1"/>
  <c r="DT19" i="13"/>
  <c r="DR19" i="13"/>
  <c r="AD18" i="14" s="1"/>
  <c r="DE19" i="13"/>
  <c r="DF19" i="13" s="1"/>
  <c r="DA19" i="13"/>
  <c r="X18" i="14" s="1"/>
  <c r="CW19" i="13"/>
  <c r="W18" i="14" s="1"/>
  <c r="CS19" i="13"/>
  <c r="CO19" i="13"/>
  <c r="T18" i="14" s="1"/>
  <c r="CH19" i="13"/>
  <c r="R18" i="14" s="1"/>
  <c r="CF19" i="13"/>
  <c r="Q18" i="14" s="1"/>
  <c r="CD19" i="13"/>
  <c r="P18" i="14" s="1"/>
  <c r="CA19" i="13"/>
  <c r="O18" i="14" s="1"/>
  <c r="BW19" i="13"/>
  <c r="BX19" i="13" s="1"/>
  <c r="BT19" i="13"/>
  <c r="BR19" i="13"/>
  <c r="Z18" i="14" s="1"/>
  <c r="BP19" i="13"/>
  <c r="BN19" i="13"/>
  <c r="BL19" i="13"/>
  <c r="BJ19" i="13"/>
  <c r="AB18" i="14" s="1"/>
  <c r="BG19" i="13"/>
  <c r="AA18" i="14" s="1"/>
  <c r="BC19" i="13"/>
  <c r="M18" i="14" s="1"/>
  <c r="AZ19" i="13"/>
  <c r="L18" i="14" s="1"/>
  <c r="AR19" i="13"/>
  <c r="K18" i="14" s="1"/>
  <c r="AI19" i="13"/>
  <c r="I18" i="14" s="1"/>
  <c r="AE19" i="13"/>
  <c r="AB19" i="13"/>
  <c r="F18" i="14" s="1"/>
  <c r="V19" i="13"/>
  <c r="T19" i="13"/>
  <c r="D18" i="14" s="1"/>
  <c r="Q19" i="13"/>
  <c r="R19" i="13" s="1"/>
  <c r="N19" i="13"/>
  <c r="C18" i="14" s="1"/>
  <c r="K19" i="13"/>
  <c r="F19" i="13"/>
  <c r="D19" i="13"/>
  <c r="C19" i="13"/>
  <c r="IE18" i="13"/>
  <c r="CE17" i="14" s="1"/>
  <c r="IB18" i="13"/>
  <c r="CD17" i="14" s="1"/>
  <c r="HY18" i="13"/>
  <c r="HV18" i="13"/>
  <c r="CB17" i="14" s="1"/>
  <c r="HS18" i="13"/>
  <c r="CA17" i="14" s="1"/>
  <c r="HP18" i="13"/>
  <c r="BZ17" i="14" s="1"/>
  <c r="HM18" i="13"/>
  <c r="BY17" i="14" s="1"/>
  <c r="HJ18" i="13"/>
  <c r="HE18" i="13"/>
  <c r="GW18" i="13"/>
  <c r="GS18" i="13"/>
  <c r="BF17" i="14" s="1"/>
  <c r="GP18" i="13"/>
  <c r="BE17" i="14" s="1"/>
  <c r="GM18" i="13"/>
  <c r="BC17" i="14" s="1"/>
  <c r="GJ18" i="13"/>
  <c r="GD18" i="13"/>
  <c r="FX18" i="13"/>
  <c r="AP17" i="14" s="1"/>
  <c r="FS18" i="13"/>
  <c r="FP18" i="13"/>
  <c r="FA55" i="13" s="1"/>
  <c r="FJ18" i="13"/>
  <c r="BA17" i="14" s="1"/>
  <c r="FC18" i="13"/>
  <c r="EZ18" i="13"/>
  <c r="EZ55" i="13" s="1"/>
  <c r="EW18" i="13"/>
  <c r="AV17" i="14" s="1"/>
  <c r="ET18" i="13"/>
  <c r="AU17" i="14" s="1"/>
  <c r="EM18" i="13"/>
  <c r="AN17" i="14" s="1"/>
  <c r="EJ18" i="13"/>
  <c r="AM17" i="14" s="1"/>
  <c r="DZ18" i="13"/>
  <c r="AI17" i="14" s="1"/>
  <c r="DW18" i="13"/>
  <c r="AH17" i="14" s="1"/>
  <c r="DT18" i="13"/>
  <c r="DR18" i="13"/>
  <c r="AD17" i="14" s="1"/>
  <c r="DE18" i="13"/>
  <c r="DF18" i="13" s="1"/>
  <c r="DA18" i="13"/>
  <c r="CW18" i="13"/>
  <c r="W17" i="14" s="1"/>
  <c r="CS18" i="13"/>
  <c r="U17" i="14" s="1"/>
  <c r="CO18" i="13"/>
  <c r="T17" i="14" s="1"/>
  <c r="CH18" i="13"/>
  <c r="R17" i="14" s="1"/>
  <c r="CF18" i="13"/>
  <c r="Q17" i="14" s="1"/>
  <c r="CD18" i="13"/>
  <c r="P17" i="14" s="1"/>
  <c r="CA18" i="13"/>
  <c r="O17" i="14" s="1"/>
  <c r="BW18" i="13"/>
  <c r="BX18" i="13" s="1"/>
  <c r="BT18" i="13"/>
  <c r="BR18" i="13"/>
  <c r="Z17" i="14" s="1"/>
  <c r="BP18" i="13"/>
  <c r="BN18" i="13"/>
  <c r="BL18" i="13"/>
  <c r="BJ18" i="13"/>
  <c r="AB17" i="14" s="1"/>
  <c r="BG18" i="13"/>
  <c r="AA17" i="14" s="1"/>
  <c r="BC18" i="13"/>
  <c r="M17" i="14" s="1"/>
  <c r="AZ18" i="13"/>
  <c r="L17" i="14" s="1"/>
  <c r="AR18" i="13"/>
  <c r="K17" i="14" s="1"/>
  <c r="AI18" i="13"/>
  <c r="I17" i="14" s="1"/>
  <c r="AE18" i="13"/>
  <c r="H17" i="14" s="1"/>
  <c r="AB18" i="13"/>
  <c r="F17" i="14" s="1"/>
  <c r="V18" i="13"/>
  <c r="E17" i="14" s="1"/>
  <c r="T18" i="13"/>
  <c r="D17" i="14" s="1"/>
  <c r="Q18" i="13"/>
  <c r="N18" i="13"/>
  <c r="C17" i="14" s="1"/>
  <c r="K18" i="13"/>
  <c r="F18" i="13"/>
  <c r="D18" i="13"/>
  <c r="C18" i="13"/>
  <c r="IE17" i="13"/>
  <c r="CE16" i="14" s="1"/>
  <c r="IB17" i="13"/>
  <c r="CD16" i="14" s="1"/>
  <c r="HY17" i="13"/>
  <c r="HV17" i="13"/>
  <c r="CB16" i="14" s="1"/>
  <c r="HS17" i="13"/>
  <c r="CA16" i="14" s="1"/>
  <c r="HP17" i="13"/>
  <c r="BZ16" i="14" s="1"/>
  <c r="HM17" i="13"/>
  <c r="BY16" i="14" s="1"/>
  <c r="HJ17" i="13"/>
  <c r="HE17" i="13"/>
  <c r="GW17" i="13"/>
  <c r="GS17" i="13"/>
  <c r="BF16" i="14" s="1"/>
  <c r="GP17" i="13"/>
  <c r="BE16" i="14" s="1"/>
  <c r="GM17" i="13"/>
  <c r="BC16" i="14" s="1"/>
  <c r="GJ17" i="13"/>
  <c r="AX16" i="14" s="1"/>
  <c r="GD17" i="13"/>
  <c r="FX17" i="13"/>
  <c r="AP16" i="14" s="1"/>
  <c r="FS17" i="13"/>
  <c r="FP17" i="13"/>
  <c r="FA54" i="13" s="1"/>
  <c r="FJ17" i="13"/>
  <c r="BA16" i="14" s="1"/>
  <c r="FC17" i="13"/>
  <c r="EZ17" i="13"/>
  <c r="EZ54" i="13" s="1"/>
  <c r="EW17" i="13"/>
  <c r="AV16" i="14" s="1"/>
  <c r="ET17" i="13"/>
  <c r="AU16" i="14" s="1"/>
  <c r="EM17" i="13"/>
  <c r="AN16" i="14" s="1"/>
  <c r="EJ17" i="13"/>
  <c r="AM16" i="14" s="1"/>
  <c r="DZ17" i="13"/>
  <c r="AI16" i="14" s="1"/>
  <c r="DW17" i="13"/>
  <c r="AH16" i="14" s="1"/>
  <c r="DT17" i="13"/>
  <c r="AE16" i="14" s="1"/>
  <c r="DR17" i="13"/>
  <c r="AD16" i="14" s="1"/>
  <c r="DE17" i="13"/>
  <c r="DF17" i="13" s="1"/>
  <c r="DA17" i="13"/>
  <c r="X16" i="14" s="1"/>
  <c r="CW17" i="13"/>
  <c r="W16" i="14" s="1"/>
  <c r="CS17" i="13"/>
  <c r="U16" i="14" s="1"/>
  <c r="CO17" i="13"/>
  <c r="T16" i="14" s="1"/>
  <c r="CH17" i="13"/>
  <c r="R16" i="14" s="1"/>
  <c r="CF17" i="13"/>
  <c r="Q16" i="14" s="1"/>
  <c r="CD17" i="13"/>
  <c r="P16" i="14" s="1"/>
  <c r="CA17" i="13"/>
  <c r="O16" i="14" s="1"/>
  <c r="BW17" i="13"/>
  <c r="BX17" i="13" s="1"/>
  <c r="BT17" i="13"/>
  <c r="BR17" i="13"/>
  <c r="Z16" i="14" s="1"/>
  <c r="BP17" i="13"/>
  <c r="BN17" i="13"/>
  <c r="BL17" i="13"/>
  <c r="BJ17" i="13"/>
  <c r="AB16" i="14" s="1"/>
  <c r="BG17" i="13"/>
  <c r="AA16" i="14" s="1"/>
  <c r="BC17" i="13"/>
  <c r="M16" i="14" s="1"/>
  <c r="AZ17" i="13"/>
  <c r="L16" i="14" s="1"/>
  <c r="AR17" i="13"/>
  <c r="K16" i="14" s="1"/>
  <c r="AI17" i="13"/>
  <c r="I16" i="14" s="1"/>
  <c r="AE17" i="13"/>
  <c r="H16" i="14" s="1"/>
  <c r="AB17" i="13"/>
  <c r="F16" i="14" s="1"/>
  <c r="V17" i="13"/>
  <c r="E16" i="14" s="1"/>
  <c r="T17" i="13"/>
  <c r="D16" i="14" s="1"/>
  <c r="Q17" i="13"/>
  <c r="R17" i="13" s="1"/>
  <c r="N17" i="13"/>
  <c r="C16" i="14" s="1"/>
  <c r="K17" i="13"/>
  <c r="F17" i="13"/>
  <c r="D17" i="13"/>
  <c r="C17" i="13"/>
  <c r="IE16" i="13"/>
  <c r="CE15" i="14" s="1"/>
  <c r="IB16" i="13"/>
  <c r="CD15" i="14" s="1"/>
  <c r="HY16" i="13"/>
  <c r="HV16" i="13"/>
  <c r="CB15" i="14" s="1"/>
  <c r="HS16" i="13"/>
  <c r="CA15" i="14" s="1"/>
  <c r="HP16" i="13"/>
  <c r="BZ15" i="14" s="1"/>
  <c r="HM16" i="13"/>
  <c r="BY15" i="14" s="1"/>
  <c r="HJ16" i="13"/>
  <c r="HE16" i="13"/>
  <c r="GW16" i="13"/>
  <c r="GS16" i="13"/>
  <c r="BF15" i="14" s="1"/>
  <c r="GP16" i="13"/>
  <c r="BE15" i="14" s="1"/>
  <c r="GM16" i="13"/>
  <c r="BC15" i="14" s="1"/>
  <c r="GJ16" i="13"/>
  <c r="AX15" i="14" s="1"/>
  <c r="GD16" i="13"/>
  <c r="FX16" i="13"/>
  <c r="AP15" i="14" s="1"/>
  <c r="FS16" i="13"/>
  <c r="FP16" i="13"/>
  <c r="FA53" i="13" s="1"/>
  <c r="FJ16" i="13"/>
  <c r="BA15" i="14" s="1"/>
  <c r="FC16" i="13"/>
  <c r="EZ16" i="13"/>
  <c r="EZ53" i="13" s="1"/>
  <c r="EW16" i="13"/>
  <c r="AV15" i="14" s="1"/>
  <c r="ET16" i="13"/>
  <c r="AU15" i="14" s="1"/>
  <c r="EM16" i="13"/>
  <c r="AN15" i="14" s="1"/>
  <c r="EJ16" i="13"/>
  <c r="AM15" i="14" s="1"/>
  <c r="DZ16" i="13"/>
  <c r="AI15" i="14" s="1"/>
  <c r="DW16" i="13"/>
  <c r="AH15" i="14" s="1"/>
  <c r="DT16" i="13"/>
  <c r="DR16" i="13"/>
  <c r="AD15" i="14" s="1"/>
  <c r="DE16" i="13"/>
  <c r="DA16" i="13"/>
  <c r="X15" i="14" s="1"/>
  <c r="CW16" i="13"/>
  <c r="W15" i="14" s="1"/>
  <c r="CS16" i="13"/>
  <c r="U15" i="14" s="1"/>
  <c r="CO16" i="13"/>
  <c r="T15" i="14" s="1"/>
  <c r="CH16" i="13"/>
  <c r="R15" i="14" s="1"/>
  <c r="CF16" i="13"/>
  <c r="Q15" i="14" s="1"/>
  <c r="CD16" i="13"/>
  <c r="P15" i="14" s="1"/>
  <c r="CA16" i="13"/>
  <c r="O15" i="14" s="1"/>
  <c r="BW16" i="13"/>
  <c r="BX16" i="13" s="1"/>
  <c r="BT16" i="13"/>
  <c r="BR16" i="13"/>
  <c r="Z15" i="14" s="1"/>
  <c r="BP16" i="13"/>
  <c r="BN16" i="13"/>
  <c r="BL16" i="13"/>
  <c r="BJ16" i="13"/>
  <c r="AB15" i="14" s="1"/>
  <c r="BG16" i="13"/>
  <c r="AA15" i="14" s="1"/>
  <c r="BC16" i="13"/>
  <c r="M15" i="14" s="1"/>
  <c r="AZ16" i="13"/>
  <c r="L15" i="14" s="1"/>
  <c r="AR16" i="13"/>
  <c r="K15" i="14" s="1"/>
  <c r="AI16" i="13"/>
  <c r="I15" i="14" s="1"/>
  <c r="AE16" i="13"/>
  <c r="H15" i="14" s="1"/>
  <c r="AB16" i="13"/>
  <c r="F15" i="14" s="1"/>
  <c r="V16" i="13"/>
  <c r="E15" i="14" s="1"/>
  <c r="T16" i="13"/>
  <c r="D15" i="14" s="1"/>
  <c r="Q16" i="13"/>
  <c r="R16" i="13" s="1"/>
  <c r="N16" i="13"/>
  <c r="C15" i="14" s="1"/>
  <c r="K16" i="13"/>
  <c r="F16" i="13"/>
  <c r="D16" i="13"/>
  <c r="C16" i="13"/>
  <c r="IE15" i="13"/>
  <c r="CE14" i="14" s="1"/>
  <c r="IB15" i="13"/>
  <c r="CD14" i="14" s="1"/>
  <c r="HY15" i="13"/>
  <c r="HV15" i="13"/>
  <c r="CB14" i="14" s="1"/>
  <c r="HS15" i="13"/>
  <c r="CA14" i="14" s="1"/>
  <c r="HP15" i="13"/>
  <c r="BZ14" i="14" s="1"/>
  <c r="HM15" i="13"/>
  <c r="BY14" i="14" s="1"/>
  <c r="HJ15" i="13"/>
  <c r="HE15" i="13"/>
  <c r="GW15" i="13"/>
  <c r="GS15" i="13"/>
  <c r="BF14" i="14" s="1"/>
  <c r="GP15" i="13"/>
  <c r="BE14" i="14" s="1"/>
  <c r="GM15" i="13"/>
  <c r="BC14" i="14" s="1"/>
  <c r="GJ15" i="13"/>
  <c r="AX14" i="14" s="1"/>
  <c r="GD15" i="13"/>
  <c r="FX15" i="13"/>
  <c r="AP14" i="14" s="1"/>
  <c r="FS15" i="13"/>
  <c r="FP15" i="13"/>
  <c r="FA52" i="13" s="1"/>
  <c r="FJ15" i="13"/>
  <c r="BA14" i="14" s="1"/>
  <c r="FC15" i="13"/>
  <c r="EZ15" i="13"/>
  <c r="EZ52" i="13" s="1"/>
  <c r="EW15" i="13"/>
  <c r="AV14" i="14" s="1"/>
  <c r="ET15" i="13"/>
  <c r="AU14" i="14" s="1"/>
  <c r="EM15" i="13"/>
  <c r="AN14" i="14" s="1"/>
  <c r="EJ15" i="13"/>
  <c r="AM14" i="14" s="1"/>
  <c r="DZ15" i="13"/>
  <c r="AI14" i="14" s="1"/>
  <c r="DW15" i="13"/>
  <c r="AH14" i="14" s="1"/>
  <c r="DT15" i="13"/>
  <c r="DR15" i="13"/>
  <c r="AD14" i="14" s="1"/>
  <c r="DE15" i="13"/>
  <c r="DF15" i="13" s="1"/>
  <c r="DA15" i="13"/>
  <c r="X14" i="14" s="1"/>
  <c r="CW15" i="13"/>
  <c r="W14" i="14" s="1"/>
  <c r="CS15" i="13"/>
  <c r="U14" i="14" s="1"/>
  <c r="CO15" i="13"/>
  <c r="T14" i="14" s="1"/>
  <c r="CH15" i="13"/>
  <c r="R14" i="14" s="1"/>
  <c r="CF15" i="13"/>
  <c r="Q14" i="14" s="1"/>
  <c r="CD15" i="13"/>
  <c r="P14" i="14" s="1"/>
  <c r="CA15" i="13"/>
  <c r="O14" i="14" s="1"/>
  <c r="BW15" i="13"/>
  <c r="BX15" i="13" s="1"/>
  <c r="BT15" i="13"/>
  <c r="BR15" i="13"/>
  <c r="Z14" i="14" s="1"/>
  <c r="BP15" i="13"/>
  <c r="BN15" i="13"/>
  <c r="BL15" i="13"/>
  <c r="BJ15" i="13"/>
  <c r="AB14" i="14" s="1"/>
  <c r="BG15" i="13"/>
  <c r="AA14" i="14" s="1"/>
  <c r="BC15" i="13"/>
  <c r="M14" i="14" s="1"/>
  <c r="AZ15" i="13"/>
  <c r="L14" i="14" s="1"/>
  <c r="AR15" i="13"/>
  <c r="K14" i="14" s="1"/>
  <c r="AI15" i="13"/>
  <c r="I14" i="14" s="1"/>
  <c r="AE15" i="13"/>
  <c r="H14" i="14" s="1"/>
  <c r="AB15" i="13"/>
  <c r="F14" i="14" s="1"/>
  <c r="V15" i="13"/>
  <c r="E14" i="14" s="1"/>
  <c r="T15" i="13"/>
  <c r="D14" i="14" s="1"/>
  <c r="Q15" i="13"/>
  <c r="R15" i="13" s="1"/>
  <c r="N15" i="13"/>
  <c r="C14" i="14" s="1"/>
  <c r="K15" i="13"/>
  <c r="F15" i="13"/>
  <c r="D15" i="13"/>
  <c r="C15" i="13"/>
  <c r="IE14" i="13"/>
  <c r="CE13" i="14" s="1"/>
  <c r="IB14" i="13"/>
  <c r="CD13" i="14" s="1"/>
  <c r="HY14" i="13"/>
  <c r="CC13" i="14" s="1"/>
  <c r="HV14" i="13"/>
  <c r="CB13" i="14" s="1"/>
  <c r="HS14" i="13"/>
  <c r="CA13" i="14" s="1"/>
  <c r="HP14" i="13"/>
  <c r="BZ13" i="14" s="1"/>
  <c r="HM14" i="13"/>
  <c r="BY13" i="14" s="1"/>
  <c r="HJ14" i="13"/>
  <c r="HE14" i="13"/>
  <c r="GW14" i="13"/>
  <c r="GS14" i="13"/>
  <c r="BF13" i="14" s="1"/>
  <c r="GP14" i="13"/>
  <c r="BE13" i="14" s="1"/>
  <c r="GM14" i="13"/>
  <c r="BC13" i="14" s="1"/>
  <c r="GJ14" i="13"/>
  <c r="AX13" i="14" s="1"/>
  <c r="GD14" i="13"/>
  <c r="FX14" i="13"/>
  <c r="AP13" i="14" s="1"/>
  <c r="FS14" i="13"/>
  <c r="FP14" i="13"/>
  <c r="FA51" i="13" s="1"/>
  <c r="FJ14" i="13"/>
  <c r="BA13" i="14" s="1"/>
  <c r="FC14" i="13"/>
  <c r="EZ14" i="13"/>
  <c r="EZ51" i="13" s="1"/>
  <c r="EW14" i="13"/>
  <c r="AV13" i="14" s="1"/>
  <c r="ET14" i="13"/>
  <c r="AU13" i="14" s="1"/>
  <c r="EM14" i="13"/>
  <c r="AN13" i="14" s="1"/>
  <c r="EJ14" i="13"/>
  <c r="AM13" i="14" s="1"/>
  <c r="DZ14" i="13"/>
  <c r="AI13" i="14" s="1"/>
  <c r="DW14" i="13"/>
  <c r="AH13" i="14" s="1"/>
  <c r="DT14" i="13"/>
  <c r="AE13" i="14" s="1"/>
  <c r="DR14" i="13"/>
  <c r="AD13" i="14" s="1"/>
  <c r="DE14" i="13"/>
  <c r="DA14" i="13"/>
  <c r="X13" i="14" s="1"/>
  <c r="CW14" i="13"/>
  <c r="W13" i="14" s="1"/>
  <c r="CS14" i="13"/>
  <c r="U13" i="14" s="1"/>
  <c r="CO14" i="13"/>
  <c r="T13" i="14" s="1"/>
  <c r="CH14" i="13"/>
  <c r="R13" i="14" s="1"/>
  <c r="CF14" i="13"/>
  <c r="Q13" i="14" s="1"/>
  <c r="CD14" i="13"/>
  <c r="P13" i="14" s="1"/>
  <c r="CA14" i="13"/>
  <c r="O13" i="14" s="1"/>
  <c r="BW14" i="13"/>
  <c r="BX14" i="13" s="1"/>
  <c r="BT14" i="13"/>
  <c r="BR14" i="13"/>
  <c r="Z13" i="14" s="1"/>
  <c r="BP14" i="13"/>
  <c r="BN14" i="13"/>
  <c r="BL14" i="13"/>
  <c r="BJ14" i="13"/>
  <c r="AB13" i="14" s="1"/>
  <c r="BG14" i="13"/>
  <c r="AA13" i="14" s="1"/>
  <c r="BC14" i="13"/>
  <c r="M13" i="14" s="1"/>
  <c r="AZ14" i="13"/>
  <c r="L13" i="14" s="1"/>
  <c r="AR14" i="13"/>
  <c r="K13" i="14" s="1"/>
  <c r="AI14" i="13"/>
  <c r="I13" i="14" s="1"/>
  <c r="AE14" i="13"/>
  <c r="H13" i="14" s="1"/>
  <c r="AB14" i="13"/>
  <c r="F13" i="14" s="1"/>
  <c r="V14" i="13"/>
  <c r="E13" i="14" s="1"/>
  <c r="T14" i="13"/>
  <c r="D13" i="14" s="1"/>
  <c r="Q14" i="13"/>
  <c r="N14" i="13"/>
  <c r="C13" i="14" s="1"/>
  <c r="K14" i="13"/>
  <c r="F14" i="13"/>
  <c r="D14" i="13"/>
  <c r="C14" i="13"/>
  <c r="IE13" i="13"/>
  <c r="CE12" i="14" s="1"/>
  <c r="IB13" i="13"/>
  <c r="CD12" i="14" s="1"/>
  <c r="HY13" i="13"/>
  <c r="CC12" i="14" s="1"/>
  <c r="HV13" i="13"/>
  <c r="CB12" i="14" s="1"/>
  <c r="HS13" i="13"/>
  <c r="CA12" i="14" s="1"/>
  <c r="HP13" i="13"/>
  <c r="BZ12" i="14" s="1"/>
  <c r="HM13" i="13"/>
  <c r="BY12" i="14" s="1"/>
  <c r="HJ13" i="13"/>
  <c r="BX12" i="14" s="1"/>
  <c r="HE13" i="13"/>
  <c r="GW13" i="13"/>
  <c r="GS13" i="13"/>
  <c r="BF12" i="14" s="1"/>
  <c r="GP13" i="13"/>
  <c r="BE12" i="14" s="1"/>
  <c r="GM13" i="13"/>
  <c r="BC12" i="14" s="1"/>
  <c r="GJ13" i="13"/>
  <c r="AX12" i="14" s="1"/>
  <c r="GD13" i="13"/>
  <c r="FX13" i="13"/>
  <c r="AP12" i="14" s="1"/>
  <c r="FS13" i="13"/>
  <c r="FP13" i="13"/>
  <c r="FA50" i="13" s="1"/>
  <c r="FJ13" i="13"/>
  <c r="BA12" i="14" s="1"/>
  <c r="FG13" i="13"/>
  <c r="AZ12" i="14" s="1"/>
  <c r="FC13" i="13"/>
  <c r="EZ13" i="13"/>
  <c r="EZ50" i="13" s="1"/>
  <c r="EW13" i="13"/>
  <c r="AV12" i="14" s="1"/>
  <c r="ET13" i="13"/>
  <c r="AU12" i="14" s="1"/>
  <c r="EM13" i="13"/>
  <c r="AN12" i="14" s="1"/>
  <c r="EJ13" i="13"/>
  <c r="AM12" i="14" s="1"/>
  <c r="DZ13" i="13"/>
  <c r="AI12" i="14" s="1"/>
  <c r="DW13" i="13"/>
  <c r="AH12" i="14" s="1"/>
  <c r="DT13" i="13"/>
  <c r="DR13" i="13"/>
  <c r="AD12" i="14" s="1"/>
  <c r="DE13" i="13"/>
  <c r="DF13" i="13" s="1"/>
  <c r="DA13" i="13"/>
  <c r="X12" i="14" s="1"/>
  <c r="CW13" i="13"/>
  <c r="W12" i="14" s="1"/>
  <c r="CS13" i="13"/>
  <c r="U12" i="14" s="1"/>
  <c r="CO13" i="13"/>
  <c r="T12" i="14" s="1"/>
  <c r="CH13" i="13"/>
  <c r="R12" i="14" s="1"/>
  <c r="CF13" i="13"/>
  <c r="Q12" i="14" s="1"/>
  <c r="CD13" i="13"/>
  <c r="CA13" i="13"/>
  <c r="O12" i="14" s="1"/>
  <c r="BW13" i="13"/>
  <c r="CD47" i="13" s="1"/>
  <c r="BT13" i="13"/>
  <c r="BR13" i="13"/>
  <c r="Z12" i="14" s="1"/>
  <c r="BP13" i="13"/>
  <c r="BN13" i="13"/>
  <c r="BL13" i="13"/>
  <c r="BJ13" i="13"/>
  <c r="AB12" i="14" s="1"/>
  <c r="BG13" i="13"/>
  <c r="AA12" i="14" s="1"/>
  <c r="BC13" i="13"/>
  <c r="M12" i="14" s="1"/>
  <c r="AZ13" i="13"/>
  <c r="L12" i="14" s="1"/>
  <c r="AR13" i="13"/>
  <c r="K12" i="14" s="1"/>
  <c r="AI13" i="13"/>
  <c r="I12" i="14" s="1"/>
  <c r="AE13" i="13"/>
  <c r="H12" i="14" s="1"/>
  <c r="AB13" i="13"/>
  <c r="F12" i="14" s="1"/>
  <c r="V13" i="13"/>
  <c r="E12" i="14" s="1"/>
  <c r="T13" i="13"/>
  <c r="D12" i="14" s="1"/>
  <c r="Q13" i="13"/>
  <c r="R13" i="13" s="1"/>
  <c r="N13" i="13"/>
  <c r="C12" i="14" s="1"/>
  <c r="K13" i="13"/>
  <c r="F13" i="13"/>
  <c r="D13" i="13"/>
  <c r="C13" i="13"/>
  <c r="IE12" i="13"/>
  <c r="CE11" i="14" s="1"/>
  <c r="IB12" i="13"/>
  <c r="CD11" i="14" s="1"/>
  <c r="HY12" i="13"/>
  <c r="CC11" i="14" s="1"/>
  <c r="HV12" i="13"/>
  <c r="CB11" i="14" s="1"/>
  <c r="HS12" i="13"/>
  <c r="CA11" i="14" s="1"/>
  <c r="HP12" i="13"/>
  <c r="BZ11" i="14" s="1"/>
  <c r="HM12" i="13"/>
  <c r="BY11" i="14" s="1"/>
  <c r="HJ12" i="13"/>
  <c r="HE12" i="13"/>
  <c r="GW12" i="13"/>
  <c r="GS12" i="13"/>
  <c r="BF11" i="14" s="1"/>
  <c r="GP12" i="13"/>
  <c r="BE11" i="14" s="1"/>
  <c r="GM12" i="13"/>
  <c r="BC11" i="14" s="1"/>
  <c r="GJ12" i="13"/>
  <c r="AX11" i="14" s="1"/>
  <c r="GD12" i="13"/>
  <c r="FX12" i="13"/>
  <c r="AP11" i="14" s="1"/>
  <c r="FS12" i="13"/>
  <c r="FP12" i="13"/>
  <c r="FA49" i="13" s="1"/>
  <c r="FJ12" i="13"/>
  <c r="BA11" i="14" s="1"/>
  <c r="FC12" i="13"/>
  <c r="EZ12" i="13"/>
  <c r="EZ49" i="13" s="1"/>
  <c r="EW12" i="13"/>
  <c r="AV11" i="14" s="1"/>
  <c r="ET12" i="13"/>
  <c r="AU11" i="14" s="1"/>
  <c r="EM12" i="13"/>
  <c r="AN11" i="14" s="1"/>
  <c r="EJ12" i="13"/>
  <c r="AM11" i="14" s="1"/>
  <c r="DZ12" i="13"/>
  <c r="AI11" i="14" s="1"/>
  <c r="DW12" i="13"/>
  <c r="AH11" i="14" s="1"/>
  <c r="DT12" i="13"/>
  <c r="AE11" i="14" s="1"/>
  <c r="DR12" i="13"/>
  <c r="AD11" i="14" s="1"/>
  <c r="DE12" i="13"/>
  <c r="DA12" i="13"/>
  <c r="X11" i="14" s="1"/>
  <c r="CW12" i="13"/>
  <c r="W11" i="14" s="1"/>
  <c r="CS12" i="13"/>
  <c r="U11" i="14" s="1"/>
  <c r="CO12" i="13"/>
  <c r="T11" i="14" s="1"/>
  <c r="CH12" i="13"/>
  <c r="R11" i="14" s="1"/>
  <c r="CF12" i="13"/>
  <c r="Q11" i="14" s="1"/>
  <c r="CD12" i="13"/>
  <c r="CA12" i="13"/>
  <c r="O11" i="14" s="1"/>
  <c r="BW12" i="13"/>
  <c r="CD46" i="13" s="1"/>
  <c r="BT12" i="13"/>
  <c r="BR12" i="13"/>
  <c r="Z11" i="14" s="1"/>
  <c r="BP12" i="13"/>
  <c r="BN12" i="13"/>
  <c r="BL12" i="13"/>
  <c r="BJ12" i="13"/>
  <c r="AB11" i="14" s="1"/>
  <c r="BG12" i="13"/>
  <c r="AA11" i="14" s="1"/>
  <c r="BC12" i="13"/>
  <c r="M11" i="14" s="1"/>
  <c r="AZ12" i="13"/>
  <c r="L11" i="14" s="1"/>
  <c r="AR12" i="13"/>
  <c r="K11" i="14" s="1"/>
  <c r="AI12" i="13"/>
  <c r="I11" i="14" s="1"/>
  <c r="AE12" i="13"/>
  <c r="H11" i="14" s="1"/>
  <c r="AB12" i="13"/>
  <c r="F11" i="14" s="1"/>
  <c r="V12" i="13"/>
  <c r="E11" i="14" s="1"/>
  <c r="T12" i="13"/>
  <c r="D11" i="14" s="1"/>
  <c r="Q12" i="13"/>
  <c r="R12" i="13" s="1"/>
  <c r="N12" i="13"/>
  <c r="C11" i="14" s="1"/>
  <c r="K12" i="13"/>
  <c r="F12" i="13"/>
  <c r="D12" i="13"/>
  <c r="C12" i="13"/>
  <c r="IE11" i="13"/>
  <c r="CE10" i="14" s="1"/>
  <c r="IB11" i="13"/>
  <c r="CD10" i="14" s="1"/>
  <c r="HY11" i="13"/>
  <c r="CC10" i="14" s="1"/>
  <c r="HV11" i="13"/>
  <c r="CB10" i="14" s="1"/>
  <c r="HS11" i="13"/>
  <c r="CA10" i="14" s="1"/>
  <c r="HP11" i="13"/>
  <c r="BZ10" i="14" s="1"/>
  <c r="HM11" i="13"/>
  <c r="BY10" i="14" s="1"/>
  <c r="HJ11" i="13"/>
  <c r="HE11" i="13"/>
  <c r="GW11" i="13"/>
  <c r="GS11" i="13"/>
  <c r="BF10" i="14" s="1"/>
  <c r="GP11" i="13"/>
  <c r="BE10" i="14" s="1"/>
  <c r="GM11" i="13"/>
  <c r="BC10" i="14" s="1"/>
  <c r="GJ11" i="13"/>
  <c r="AX10" i="14" s="1"/>
  <c r="GD11" i="13"/>
  <c r="FX11" i="13"/>
  <c r="AP10" i="14" s="1"/>
  <c r="FS11" i="13"/>
  <c r="FP11" i="13"/>
  <c r="FA48" i="13" s="1"/>
  <c r="FJ11" i="13"/>
  <c r="BA10" i="14" s="1"/>
  <c r="FC11" i="13"/>
  <c r="EZ11" i="13"/>
  <c r="EZ48" i="13" s="1"/>
  <c r="EW11" i="13"/>
  <c r="AV10" i="14" s="1"/>
  <c r="ET11" i="13"/>
  <c r="AU10" i="14" s="1"/>
  <c r="EM11" i="13"/>
  <c r="AN10" i="14" s="1"/>
  <c r="EJ11" i="13"/>
  <c r="AM10" i="14" s="1"/>
  <c r="DZ11" i="13"/>
  <c r="AI10" i="14" s="1"/>
  <c r="DW11" i="13"/>
  <c r="AH10" i="14" s="1"/>
  <c r="DT11" i="13"/>
  <c r="DR11" i="13"/>
  <c r="AD10" i="14" s="1"/>
  <c r="DE11" i="13"/>
  <c r="DF11" i="13" s="1"/>
  <c r="DA11" i="13"/>
  <c r="X10" i="14" s="1"/>
  <c r="CS11" i="13"/>
  <c r="U10" i="14" s="1"/>
  <c r="CO11" i="13"/>
  <c r="T10" i="14" s="1"/>
  <c r="CH11" i="13"/>
  <c r="R10" i="14" s="1"/>
  <c r="CF11" i="13"/>
  <c r="Q10" i="14" s="1"/>
  <c r="CD11" i="13"/>
  <c r="CA11" i="13"/>
  <c r="O10" i="14" s="1"/>
  <c r="BW11" i="13"/>
  <c r="CD45" i="13" s="1"/>
  <c r="BT11" i="13"/>
  <c r="BR11" i="13"/>
  <c r="Z10" i="14" s="1"/>
  <c r="BP11" i="13"/>
  <c r="BN11" i="13"/>
  <c r="BL11" i="13"/>
  <c r="BJ11" i="13"/>
  <c r="AB10" i="14" s="1"/>
  <c r="BG11" i="13"/>
  <c r="AA10" i="14" s="1"/>
  <c r="BC11" i="13"/>
  <c r="M10" i="14" s="1"/>
  <c r="AZ11" i="13"/>
  <c r="L10" i="14" s="1"/>
  <c r="AR11" i="13"/>
  <c r="K10" i="14" s="1"/>
  <c r="AI11" i="13"/>
  <c r="I10" i="14" s="1"/>
  <c r="AE11" i="13"/>
  <c r="H10" i="14" s="1"/>
  <c r="AB11" i="13"/>
  <c r="F10" i="14" s="1"/>
  <c r="V11" i="13"/>
  <c r="E10" i="14" s="1"/>
  <c r="T11" i="13"/>
  <c r="D10" i="14" s="1"/>
  <c r="Q11" i="13"/>
  <c r="N11" i="13"/>
  <c r="C10" i="14" s="1"/>
  <c r="K11" i="13"/>
  <c r="F11" i="13"/>
  <c r="D11" i="13"/>
  <c r="C11" i="13"/>
  <c r="IE10" i="13"/>
  <c r="CE9" i="14" s="1"/>
  <c r="IB10" i="13"/>
  <c r="CD9" i="14" s="1"/>
  <c r="HY10" i="13"/>
  <c r="CC9" i="14" s="1"/>
  <c r="HV10" i="13"/>
  <c r="CB9" i="14" s="1"/>
  <c r="HS10" i="13"/>
  <c r="CA9" i="14" s="1"/>
  <c r="HP10" i="13"/>
  <c r="BZ9" i="14" s="1"/>
  <c r="HM10" i="13"/>
  <c r="BY9" i="14" s="1"/>
  <c r="HJ10" i="13"/>
  <c r="HE10" i="13"/>
  <c r="GW10" i="13"/>
  <c r="GS10" i="13"/>
  <c r="BF9" i="14" s="1"/>
  <c r="GP10" i="13"/>
  <c r="BE9" i="14" s="1"/>
  <c r="GM10" i="13"/>
  <c r="BC9" i="14" s="1"/>
  <c r="GJ10" i="13"/>
  <c r="AX9" i="14" s="1"/>
  <c r="GD10" i="13"/>
  <c r="FX10" i="13"/>
  <c r="AP9" i="14" s="1"/>
  <c r="FS10" i="13"/>
  <c r="FP10" i="13"/>
  <c r="FA47" i="13" s="1"/>
  <c r="FJ10" i="13"/>
  <c r="BA9" i="14" s="1"/>
  <c r="FG10" i="13"/>
  <c r="AZ9" i="14" s="1"/>
  <c r="FC10" i="13"/>
  <c r="EZ10" i="13"/>
  <c r="EZ47" i="13" s="1"/>
  <c r="EW10" i="13"/>
  <c r="AV9" i="14" s="1"/>
  <c r="ET10" i="13"/>
  <c r="AU9" i="14" s="1"/>
  <c r="EM10" i="13"/>
  <c r="AN9" i="14" s="1"/>
  <c r="EJ10" i="13"/>
  <c r="AM9" i="14" s="1"/>
  <c r="DZ10" i="13"/>
  <c r="AI9" i="14" s="1"/>
  <c r="DW10" i="13"/>
  <c r="AH9" i="14" s="1"/>
  <c r="DT10" i="13"/>
  <c r="DR10" i="13"/>
  <c r="AD9" i="14" s="1"/>
  <c r="DE10" i="13"/>
  <c r="DA10" i="13"/>
  <c r="X9" i="14" s="1"/>
  <c r="CW11" i="13"/>
  <c r="CS10" i="13"/>
  <c r="U9" i="14" s="1"/>
  <c r="CO10" i="13"/>
  <c r="T9" i="14" s="1"/>
  <c r="CH10" i="13"/>
  <c r="R9" i="14" s="1"/>
  <c r="CF10" i="13"/>
  <c r="Q9" i="14" s="1"/>
  <c r="CD10" i="13"/>
  <c r="CA10" i="13"/>
  <c r="O9" i="14" s="1"/>
  <c r="BW10" i="13"/>
  <c r="CD44" i="13" s="1"/>
  <c r="BT10" i="13"/>
  <c r="BR10" i="13"/>
  <c r="Z9" i="14" s="1"/>
  <c r="BP10" i="13"/>
  <c r="BN10" i="13"/>
  <c r="BL10" i="13"/>
  <c r="BJ10" i="13"/>
  <c r="AB9" i="14" s="1"/>
  <c r="BG10" i="13"/>
  <c r="AA9" i="14" s="1"/>
  <c r="BC10" i="13"/>
  <c r="M9" i="14" s="1"/>
  <c r="AZ10" i="13"/>
  <c r="L9" i="14" s="1"/>
  <c r="AR10" i="13"/>
  <c r="K9" i="14" s="1"/>
  <c r="AI10" i="13"/>
  <c r="I9" i="14" s="1"/>
  <c r="AE10" i="13"/>
  <c r="H9" i="14" s="1"/>
  <c r="AB10" i="13"/>
  <c r="F9" i="14" s="1"/>
  <c r="V10" i="13"/>
  <c r="E9" i="14" s="1"/>
  <c r="T10" i="13"/>
  <c r="D9" i="14" s="1"/>
  <c r="Q10" i="13"/>
  <c r="N10" i="13"/>
  <c r="C9" i="14" s="1"/>
  <c r="K10" i="13"/>
  <c r="F10" i="13"/>
  <c r="D10" i="13"/>
  <c r="C10" i="13"/>
  <c r="IE9" i="13"/>
  <c r="CE8" i="14" s="1"/>
  <c r="IB9" i="13"/>
  <c r="CD8" i="14" s="1"/>
  <c r="HY9" i="13"/>
  <c r="CC8" i="14" s="1"/>
  <c r="HV9" i="13"/>
  <c r="CB8" i="14" s="1"/>
  <c r="HS9" i="13"/>
  <c r="CA8" i="14" s="1"/>
  <c r="HP9" i="13"/>
  <c r="BZ8" i="14" s="1"/>
  <c r="HM9" i="13"/>
  <c r="BY8" i="14" s="1"/>
  <c r="HJ9" i="13"/>
  <c r="HE9" i="13"/>
  <c r="GW9" i="13"/>
  <c r="GS9" i="13"/>
  <c r="BF8" i="14" s="1"/>
  <c r="GP9" i="13"/>
  <c r="BE8" i="14" s="1"/>
  <c r="GM9" i="13"/>
  <c r="BC8" i="14" s="1"/>
  <c r="GJ9" i="13"/>
  <c r="AX8" i="14" s="1"/>
  <c r="GD9" i="13"/>
  <c r="FX9" i="13"/>
  <c r="AP8" i="14" s="1"/>
  <c r="FS9" i="13"/>
  <c r="FP9" i="13"/>
  <c r="FA46" i="13" s="1"/>
  <c r="FJ9" i="13"/>
  <c r="BA8" i="14" s="1"/>
  <c r="FC9" i="13"/>
  <c r="EZ9" i="13"/>
  <c r="EZ46" i="13" s="1"/>
  <c r="EW9" i="13"/>
  <c r="AV8" i="14" s="1"/>
  <c r="ET9" i="13"/>
  <c r="AU8" i="14" s="1"/>
  <c r="EM9" i="13"/>
  <c r="AN8" i="14" s="1"/>
  <c r="EJ9" i="13"/>
  <c r="AM8" i="14" s="1"/>
  <c r="DZ9" i="13"/>
  <c r="AI8" i="14" s="1"/>
  <c r="DW9" i="13"/>
  <c r="AH8" i="14" s="1"/>
  <c r="DT9" i="13"/>
  <c r="DR9" i="13"/>
  <c r="AD8" i="14" s="1"/>
  <c r="DE9" i="13"/>
  <c r="DF9" i="13" s="1"/>
  <c r="DA9" i="13"/>
  <c r="X8" i="14" s="1"/>
  <c r="CW9" i="13"/>
  <c r="W8" i="14" s="1"/>
  <c r="CS9" i="13"/>
  <c r="U8" i="14" s="1"/>
  <c r="CO9" i="13"/>
  <c r="T8" i="14" s="1"/>
  <c r="CH9" i="13"/>
  <c r="R8" i="14" s="1"/>
  <c r="CF9" i="13"/>
  <c r="Q8" i="14" s="1"/>
  <c r="CD9" i="13"/>
  <c r="P8" i="14" s="1"/>
  <c r="CA9" i="13"/>
  <c r="O8" i="14" s="1"/>
  <c r="BW9" i="13"/>
  <c r="CD43" i="13" s="1"/>
  <c r="BT9" i="13"/>
  <c r="BR9" i="13"/>
  <c r="Z8" i="14" s="1"/>
  <c r="BP9" i="13"/>
  <c r="BN9" i="13"/>
  <c r="BL9" i="13"/>
  <c r="BJ9" i="13"/>
  <c r="AB8" i="14" s="1"/>
  <c r="BG9" i="13"/>
  <c r="AA8" i="14" s="1"/>
  <c r="BC9" i="13"/>
  <c r="M8" i="14" s="1"/>
  <c r="AZ9" i="13"/>
  <c r="L8" i="14" s="1"/>
  <c r="AR9" i="13"/>
  <c r="K8" i="14" s="1"/>
  <c r="AI9" i="13"/>
  <c r="I8" i="14" s="1"/>
  <c r="AE9" i="13"/>
  <c r="H8" i="14" s="1"/>
  <c r="AB9" i="13"/>
  <c r="F8" i="14" s="1"/>
  <c r="V9" i="13"/>
  <c r="E8" i="14" s="1"/>
  <c r="T9" i="13"/>
  <c r="D8" i="14" s="1"/>
  <c r="Q9" i="13"/>
  <c r="R9" i="13" s="1"/>
  <c r="N9" i="13"/>
  <c r="C8" i="14" s="1"/>
  <c r="K9" i="13"/>
  <c r="F9" i="13"/>
  <c r="D9" i="13"/>
  <c r="C9" i="13"/>
  <c r="IB8" i="13"/>
  <c r="HY8" i="13"/>
  <c r="HV8" i="13"/>
  <c r="HS8" i="13"/>
  <c r="HP8" i="13"/>
  <c r="HM8" i="13"/>
  <c r="HJ8" i="13"/>
  <c r="HE8" i="13"/>
  <c r="GW8" i="13"/>
  <c r="GS8" i="13"/>
  <c r="GA8" i="13" s="1"/>
  <c r="GP8" i="13"/>
  <c r="GM8" i="13"/>
  <c r="BC7" i="14" s="1"/>
  <c r="GJ8" i="13"/>
  <c r="AX7" i="14" s="1"/>
  <c r="GD8" i="13"/>
  <c r="FX8" i="13"/>
  <c r="FS8" i="13"/>
  <c r="FP8" i="13"/>
  <c r="FJ8" i="13"/>
  <c r="FC8" i="13"/>
  <c r="EZ8" i="13"/>
  <c r="EW8" i="13"/>
  <c r="ET8" i="13"/>
  <c r="EM8" i="13"/>
  <c r="EJ8" i="13"/>
  <c r="DZ8" i="13"/>
  <c r="DW8" i="13"/>
  <c r="DT8" i="13"/>
  <c r="IH8" i="13" s="1"/>
  <c r="CF7" i="14" s="1"/>
  <c r="DR8" i="13"/>
  <c r="DE8" i="13"/>
  <c r="DA8" i="13"/>
  <c r="DB8" i="13" s="1"/>
  <c r="CW8" i="13"/>
  <c r="CS8" i="13"/>
  <c r="CT8" i="13" s="1"/>
  <c r="CO8" i="13"/>
  <c r="CP8" i="13" s="1"/>
  <c r="CH8" i="13"/>
  <c r="CF8" i="13"/>
  <c r="CD8" i="13"/>
  <c r="P7" i="14" s="1"/>
  <c r="CA8" i="13"/>
  <c r="CB8" i="13" s="1"/>
  <c r="BW8" i="13"/>
  <c r="BX8" i="13" s="1"/>
  <c r="BT8" i="13"/>
  <c r="BR8" i="13"/>
  <c r="Z7" i="14" s="1"/>
  <c r="BP8" i="13"/>
  <c r="BN8" i="13"/>
  <c r="BL8" i="13"/>
  <c r="BJ8" i="13"/>
  <c r="AB7" i="14" s="1"/>
  <c r="BG8" i="13"/>
  <c r="BC8" i="13"/>
  <c r="AZ8" i="13"/>
  <c r="AR8" i="13"/>
  <c r="AI8" i="13"/>
  <c r="AJ8" i="13" s="1"/>
  <c r="AE8" i="13"/>
  <c r="AB8" i="13"/>
  <c r="F7" i="14" s="1"/>
  <c r="V8" i="13"/>
  <c r="T8" i="13"/>
  <c r="Q8" i="13"/>
  <c r="R8" i="13" s="1"/>
  <c r="N8" i="13"/>
  <c r="K8" i="13"/>
  <c r="F8" i="13"/>
  <c r="D8" i="13"/>
  <c r="C8" i="13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E9" i="14" l="1"/>
  <c r="AE19" i="14"/>
  <c r="AE31" i="14"/>
  <c r="AE26" i="14"/>
  <c r="AE14" i="14"/>
  <c r="G8" i="13"/>
  <c r="AE8" i="14"/>
  <c r="AF28" i="14"/>
  <c r="AE18" i="14"/>
  <c r="AE10" i="14"/>
  <c r="GA27" i="13"/>
  <c r="AQ26" i="14" s="1"/>
  <c r="AF31" i="14"/>
  <c r="AF14" i="14"/>
  <c r="FH53" i="13"/>
  <c r="D83" i="13"/>
  <c r="AF26" i="14"/>
  <c r="AE12" i="14"/>
  <c r="AG12" i="14" s="1"/>
  <c r="AF24" i="14"/>
  <c r="AE15" i="14"/>
  <c r="AG15" i="14" s="1"/>
  <c r="AE34" i="14"/>
  <c r="AG34" i="14" s="1"/>
  <c r="AF13" i="14"/>
  <c r="AE22" i="14"/>
  <c r="FH54" i="13"/>
  <c r="AE29" i="14"/>
  <c r="AG29" i="14" s="1"/>
  <c r="AE32" i="14"/>
  <c r="AG32" i="14" s="1"/>
  <c r="AE37" i="14"/>
  <c r="AG37" i="14" s="1"/>
  <c r="AE24" i="14"/>
  <c r="AG24" i="14" s="1"/>
  <c r="AE33" i="14"/>
  <c r="AG33" i="14" s="1"/>
  <c r="AF34" i="14"/>
  <c r="EQ9" i="13"/>
  <c r="AT8" i="14" s="1"/>
  <c r="GA18" i="13"/>
  <c r="AQ17" i="14" s="1"/>
  <c r="AE25" i="14"/>
  <c r="AG25" i="14" s="1"/>
  <c r="DT79" i="13"/>
  <c r="AF11" i="14"/>
  <c r="AF21" i="14"/>
  <c r="AF29" i="14"/>
  <c r="AF37" i="14"/>
  <c r="BG37" i="14"/>
  <c r="AF8" i="14"/>
  <c r="AF30" i="14"/>
  <c r="AF25" i="14"/>
  <c r="AF35" i="14"/>
  <c r="GA21" i="13"/>
  <c r="AQ20" i="14" s="1"/>
  <c r="FB59" i="13"/>
  <c r="FD59" i="13" s="1"/>
  <c r="FJ59" i="13" s="1"/>
  <c r="AN24" i="13"/>
  <c r="AO24" i="13" s="1"/>
  <c r="AF27" i="14"/>
  <c r="AN26" i="13"/>
  <c r="AO26" i="13" s="1"/>
  <c r="AF12" i="14"/>
  <c r="AF15" i="14"/>
  <c r="AF22" i="14"/>
  <c r="JS39" i="13"/>
  <c r="GA10" i="13"/>
  <c r="AQ9" i="14" s="1"/>
  <c r="FI75" i="13"/>
  <c r="CX21" i="13"/>
  <c r="DE39" i="13"/>
  <c r="EC8" i="13"/>
  <c r="AJ7" i="14" s="1"/>
  <c r="GA26" i="13"/>
  <c r="AQ25" i="14" s="1"/>
  <c r="JA39" i="13"/>
  <c r="EG38" i="13"/>
  <c r="AL37" i="14" s="1"/>
  <c r="EC38" i="13"/>
  <c r="AJ37" i="14" s="1"/>
  <c r="AK37" i="14" s="1"/>
  <c r="EC37" i="13"/>
  <c r="AJ36" i="14" s="1"/>
  <c r="EG37" i="13"/>
  <c r="AL36" i="14" s="1"/>
  <c r="AO36" i="14" s="1"/>
  <c r="EG36" i="13"/>
  <c r="AL35" i="14" s="1"/>
  <c r="EC36" i="13"/>
  <c r="AJ35" i="14" s="1"/>
  <c r="EG35" i="13"/>
  <c r="AL34" i="14" s="1"/>
  <c r="AO34" i="14" s="1"/>
  <c r="EC35" i="13"/>
  <c r="AJ34" i="14" s="1"/>
  <c r="EC34" i="13"/>
  <c r="AJ33" i="14" s="1"/>
  <c r="EG33" i="13"/>
  <c r="AL32" i="14" s="1"/>
  <c r="EG34" i="13"/>
  <c r="AL33" i="14" s="1"/>
  <c r="AO33" i="14" s="1"/>
  <c r="EC33" i="13"/>
  <c r="AJ32" i="14" s="1"/>
  <c r="EG32" i="13"/>
  <c r="EN32" i="13" s="1"/>
  <c r="EC32" i="13"/>
  <c r="AJ31" i="14" s="1"/>
  <c r="AK31" i="14" s="1"/>
  <c r="EG31" i="13"/>
  <c r="AL30" i="14" s="1"/>
  <c r="AO30" i="14" s="1"/>
  <c r="EC31" i="13"/>
  <c r="AJ30" i="14" s="1"/>
  <c r="AK30" i="14" s="1"/>
  <c r="EG30" i="13"/>
  <c r="AL29" i="14" s="1"/>
  <c r="AO29" i="14" s="1"/>
  <c r="EC30" i="13"/>
  <c r="AJ29" i="14" s="1"/>
  <c r="AK29" i="14" s="1"/>
  <c r="EC29" i="13"/>
  <c r="AJ28" i="14" s="1"/>
  <c r="EG29" i="13"/>
  <c r="AL28" i="14" s="1"/>
  <c r="AO28" i="14" s="1"/>
  <c r="EC28" i="13"/>
  <c r="AJ27" i="14" s="1"/>
  <c r="AK27" i="14" s="1"/>
  <c r="EG28" i="13"/>
  <c r="AL27" i="14" s="1"/>
  <c r="AO27" i="14" s="1"/>
  <c r="EG27" i="13"/>
  <c r="AL26" i="14" s="1"/>
  <c r="AO26" i="14" s="1"/>
  <c r="EC27" i="13"/>
  <c r="AJ26" i="14" s="1"/>
  <c r="AK26" i="14" s="1"/>
  <c r="EG26" i="13"/>
  <c r="AL25" i="14" s="1"/>
  <c r="AO25" i="14" s="1"/>
  <c r="EC26" i="13"/>
  <c r="AJ25" i="14" s="1"/>
  <c r="EG25" i="13"/>
  <c r="AL24" i="14" s="1"/>
  <c r="EC25" i="13"/>
  <c r="AJ24" i="14" s="1"/>
  <c r="AK24" i="14" s="1"/>
  <c r="EC24" i="13"/>
  <c r="AJ23" i="14" s="1"/>
  <c r="EG24" i="13"/>
  <c r="AL23" i="14" s="1"/>
  <c r="AO23" i="14" s="1"/>
  <c r="EG23" i="13"/>
  <c r="AL22" i="14" s="1"/>
  <c r="AO22" i="14" s="1"/>
  <c r="EC23" i="13"/>
  <c r="AJ22" i="14" s="1"/>
  <c r="AK22" i="14" s="1"/>
  <c r="EG22" i="13"/>
  <c r="AL21" i="14" s="1"/>
  <c r="AO21" i="14" s="1"/>
  <c r="EC22" i="13"/>
  <c r="AJ21" i="14" s="1"/>
  <c r="AK21" i="14" s="1"/>
  <c r="EG21" i="13"/>
  <c r="AL20" i="14" s="1"/>
  <c r="AO20" i="14" s="1"/>
  <c r="EC21" i="13"/>
  <c r="AJ20" i="14" s="1"/>
  <c r="EG19" i="13"/>
  <c r="EN19" i="13" s="1"/>
  <c r="EG20" i="13"/>
  <c r="AL19" i="14" s="1"/>
  <c r="AO19" i="14" s="1"/>
  <c r="EC19" i="13"/>
  <c r="AJ18" i="14" s="1"/>
  <c r="AK18" i="14" s="1"/>
  <c r="EC20" i="13"/>
  <c r="AJ19" i="14" s="1"/>
  <c r="AK19" i="14" s="1"/>
  <c r="EC18" i="13"/>
  <c r="AJ17" i="14" s="1"/>
  <c r="AK17" i="14" s="1"/>
  <c r="EG18" i="13"/>
  <c r="AL17" i="14" s="1"/>
  <c r="AO17" i="14" s="1"/>
  <c r="EC17" i="13"/>
  <c r="AJ16" i="14" s="1"/>
  <c r="AK16" i="14" s="1"/>
  <c r="EG17" i="13"/>
  <c r="AL16" i="14" s="1"/>
  <c r="EC16" i="13"/>
  <c r="AJ15" i="14" s="1"/>
  <c r="AK15" i="14" s="1"/>
  <c r="EG16" i="13"/>
  <c r="AL15" i="14" s="1"/>
  <c r="AO15" i="14" s="1"/>
  <c r="EC15" i="13"/>
  <c r="AJ14" i="14" s="1"/>
  <c r="AK14" i="14" s="1"/>
  <c r="EG15" i="13"/>
  <c r="AL14" i="14" s="1"/>
  <c r="AO14" i="14" s="1"/>
  <c r="EC14" i="13"/>
  <c r="AJ13" i="14" s="1"/>
  <c r="AK13" i="14" s="1"/>
  <c r="EG14" i="13"/>
  <c r="AL13" i="14" s="1"/>
  <c r="AO13" i="14" s="1"/>
  <c r="EG13" i="13"/>
  <c r="AL12" i="14" s="1"/>
  <c r="AO12" i="14" s="1"/>
  <c r="EG12" i="13"/>
  <c r="AL11" i="14" s="1"/>
  <c r="AO11" i="14" s="1"/>
  <c r="EC12" i="13"/>
  <c r="AJ11" i="14" s="1"/>
  <c r="AK11" i="14" s="1"/>
  <c r="EC13" i="13"/>
  <c r="AJ12" i="14" s="1"/>
  <c r="AK12" i="14" s="1"/>
  <c r="EC11" i="13"/>
  <c r="AJ10" i="14" s="1"/>
  <c r="AK10" i="14" s="1"/>
  <c r="EG11" i="13"/>
  <c r="AL10" i="14" s="1"/>
  <c r="EG10" i="13"/>
  <c r="AL9" i="14" s="1"/>
  <c r="AO9" i="14" s="1"/>
  <c r="EC10" i="13"/>
  <c r="AJ9" i="14" s="1"/>
  <c r="AK9" i="14" s="1"/>
  <c r="EG9" i="13"/>
  <c r="AL8" i="14" s="1"/>
  <c r="AO8" i="14" s="1"/>
  <c r="EC9" i="13"/>
  <c r="AJ8" i="14" s="1"/>
  <c r="AK8" i="14" s="1"/>
  <c r="AF23" i="14"/>
  <c r="FH74" i="13"/>
  <c r="GA38" i="13"/>
  <c r="AQ37" i="14" s="1"/>
  <c r="AC37" i="14"/>
  <c r="FW74" i="13"/>
  <c r="FG37" i="13" s="1"/>
  <c r="AZ36" i="14" s="1"/>
  <c r="CP37" i="13"/>
  <c r="CK37" i="13"/>
  <c r="S36" i="14" s="1"/>
  <c r="CB37" i="13"/>
  <c r="AF37" i="13"/>
  <c r="GG36" i="13"/>
  <c r="AR35" i="14" s="1"/>
  <c r="AN36" i="13"/>
  <c r="J35" i="14" s="1"/>
  <c r="AJ36" i="13"/>
  <c r="EQ35" i="13"/>
  <c r="AT34" i="14" s="1"/>
  <c r="CP35" i="13"/>
  <c r="CK35" i="13"/>
  <c r="S34" i="14" s="1"/>
  <c r="V34" i="14" s="1"/>
  <c r="CK34" i="13"/>
  <c r="S33" i="14" s="1"/>
  <c r="V33" i="14" s="1"/>
  <c r="GA34" i="13"/>
  <c r="AQ33" i="14" s="1"/>
  <c r="GA33" i="13"/>
  <c r="AQ32" i="14" s="1"/>
  <c r="AX33" i="14"/>
  <c r="BC33" i="14"/>
  <c r="AF35" i="13"/>
  <c r="Y33" i="14"/>
  <c r="BH33" i="14" s="1"/>
  <c r="CT34" i="13"/>
  <c r="CB34" i="13"/>
  <c r="AF34" i="13"/>
  <c r="X34" i="13"/>
  <c r="G33" i="14" s="1"/>
  <c r="G34" i="13"/>
  <c r="B33" i="14" s="1"/>
  <c r="GA32" i="13"/>
  <c r="AQ31" i="14" s="1"/>
  <c r="Y31" i="14"/>
  <c r="BH31" i="14" s="1"/>
  <c r="CP33" i="13"/>
  <c r="CB33" i="13"/>
  <c r="CK33" i="13"/>
  <c r="DG33" i="13" s="1"/>
  <c r="FB69" i="13"/>
  <c r="FD69" i="13" s="1"/>
  <c r="FJ69" i="13" s="1"/>
  <c r="AN32" i="13"/>
  <c r="J31" i="14" s="1"/>
  <c r="AF32" i="13"/>
  <c r="CK31" i="13"/>
  <c r="S30" i="14" s="1"/>
  <c r="IH30" i="13"/>
  <c r="CF29" i="14" s="1"/>
  <c r="GG30" i="13"/>
  <c r="AR29" i="14" s="1"/>
  <c r="CK30" i="13"/>
  <c r="S29" i="14" s="1"/>
  <c r="V29" i="14" s="1"/>
  <c r="GG29" i="13"/>
  <c r="AR28" i="14" s="1"/>
  <c r="IH29" i="13"/>
  <c r="CF28" i="14" s="1"/>
  <c r="AF29" i="13"/>
  <c r="X29" i="13"/>
  <c r="G28" i="14" s="1"/>
  <c r="FB65" i="13"/>
  <c r="FD65" i="13" s="1"/>
  <c r="FJ65" i="13" s="1"/>
  <c r="BG26" i="14"/>
  <c r="BS26" i="14" s="1"/>
  <c r="CP28" i="13"/>
  <c r="CK28" i="13"/>
  <c r="S27" i="14" s="1"/>
  <c r="V27" i="14" s="1"/>
  <c r="AS28" i="13"/>
  <c r="G28" i="13"/>
  <c r="B27" i="14" s="1"/>
  <c r="G27" i="13"/>
  <c r="B26" i="14" s="1"/>
  <c r="CK24" i="13"/>
  <c r="S23" i="14" s="1"/>
  <c r="V23" i="14" s="1"/>
  <c r="AN25" i="13"/>
  <c r="J24" i="14" s="1"/>
  <c r="FW61" i="13"/>
  <c r="FG24" i="13" s="1"/>
  <c r="AZ23" i="14" s="1"/>
  <c r="GA23" i="13"/>
  <c r="AQ22" i="14" s="1"/>
  <c r="GG24" i="13"/>
  <c r="AR23" i="14" s="1"/>
  <c r="CB24" i="13"/>
  <c r="GA22" i="13"/>
  <c r="AQ21" i="14" s="1"/>
  <c r="FB60" i="13"/>
  <c r="FD60" i="13" s="1"/>
  <c r="FJ60" i="13" s="1"/>
  <c r="CB23" i="13"/>
  <c r="Y21" i="14"/>
  <c r="AN22" i="13"/>
  <c r="J21" i="14" s="1"/>
  <c r="GA20" i="13"/>
  <c r="AQ19" i="14" s="1"/>
  <c r="GA19" i="13"/>
  <c r="AQ18" i="14" s="1"/>
  <c r="AN21" i="13"/>
  <c r="J20" i="14" s="1"/>
  <c r="AC19" i="14"/>
  <c r="CK19" i="13"/>
  <c r="S18" i="14" s="1"/>
  <c r="AC17" i="14"/>
  <c r="AC18" i="14"/>
  <c r="AN18" i="13"/>
  <c r="J17" i="14" s="1"/>
  <c r="AF18" i="13"/>
  <c r="FV54" i="13"/>
  <c r="EQ17" i="13" s="1"/>
  <c r="AT16" i="14" s="1"/>
  <c r="BG16" i="14"/>
  <c r="BQ16" i="14" s="1"/>
  <c r="EQ16" i="13"/>
  <c r="AT15" i="14" s="1"/>
  <c r="GA15" i="13"/>
  <c r="AQ14" i="14" s="1"/>
  <c r="CK15" i="13"/>
  <c r="S14" i="14" s="1"/>
  <c r="V14" i="14" s="1"/>
  <c r="CB16" i="13"/>
  <c r="GA14" i="13"/>
  <c r="AQ13" i="14" s="1"/>
  <c r="IH13" i="13"/>
  <c r="CF12" i="14" s="1"/>
  <c r="II50" i="13" s="1"/>
  <c r="FW51" i="13"/>
  <c r="FG14" i="13" s="1"/>
  <c r="AZ13" i="14" s="1"/>
  <c r="G14" i="13"/>
  <c r="B13" i="14" s="1"/>
  <c r="G13" i="13"/>
  <c r="B12" i="14" s="1"/>
  <c r="L83" i="13"/>
  <c r="FV49" i="13"/>
  <c r="EQ12" i="13" s="1"/>
  <c r="AT11" i="14" s="1"/>
  <c r="GA11" i="13"/>
  <c r="AQ10" i="14" s="1"/>
  <c r="CX12" i="13"/>
  <c r="G11" i="13"/>
  <c r="B10" i="14" s="1"/>
  <c r="CP10" i="13"/>
  <c r="BG10" i="14"/>
  <c r="CK11" i="13"/>
  <c r="S10" i="14" s="1"/>
  <c r="AC9" i="14"/>
  <c r="P83" i="13"/>
  <c r="IH9" i="13"/>
  <c r="CF8" i="14" s="1"/>
  <c r="BG9" i="14"/>
  <c r="GG10" i="13"/>
  <c r="AR9" i="14" s="1"/>
  <c r="FB47" i="13"/>
  <c r="FD47" i="13" s="1"/>
  <c r="FJ47" i="13" s="1"/>
  <c r="Y8" i="14"/>
  <c r="BH8" i="14" s="1"/>
  <c r="CB10" i="13"/>
  <c r="AS9" i="13"/>
  <c r="FW46" i="13"/>
  <c r="FG9" i="13" s="1"/>
  <c r="AZ8" i="14" s="1"/>
  <c r="FW53" i="13"/>
  <c r="FG16" i="13" s="1"/>
  <c r="AZ15" i="14" s="1"/>
  <c r="FV48" i="13"/>
  <c r="EQ11" i="13" s="1"/>
  <c r="AT10" i="14" s="1"/>
  <c r="FW60" i="13"/>
  <c r="FG23" i="13" s="1"/>
  <c r="AZ22" i="14" s="1"/>
  <c r="FV73" i="13"/>
  <c r="EQ36" i="13" s="1"/>
  <c r="AT35" i="14" s="1"/>
  <c r="EQ23" i="13"/>
  <c r="AT22" i="14" s="1"/>
  <c r="FV56" i="13"/>
  <c r="EQ19" i="13" s="1"/>
  <c r="FA19" i="13" s="1"/>
  <c r="FW72" i="13"/>
  <c r="FG35" i="13" s="1"/>
  <c r="AZ34" i="14" s="1"/>
  <c r="FV45" i="13"/>
  <c r="EQ8" i="13" s="1"/>
  <c r="FA8" i="13" s="1"/>
  <c r="FI74" i="13"/>
  <c r="BG18" i="14"/>
  <c r="BQ18" i="14" s="1"/>
  <c r="BG8" i="14"/>
  <c r="BG12" i="14"/>
  <c r="BG22" i="14"/>
  <c r="BS22" i="14" s="1"/>
  <c r="BG27" i="14"/>
  <c r="BG14" i="14"/>
  <c r="BQ14" i="14" s="1"/>
  <c r="BG23" i="14"/>
  <c r="BS23" i="14" s="1"/>
  <c r="BG31" i="14"/>
  <c r="BG32" i="14"/>
  <c r="BG20" i="14"/>
  <c r="BQ20" i="14" s="1"/>
  <c r="BG15" i="14"/>
  <c r="BQ15" i="14" s="1"/>
  <c r="BG30" i="14"/>
  <c r="BG13" i="14"/>
  <c r="BG17" i="14"/>
  <c r="BQ17" i="14" s="1"/>
  <c r="BG19" i="14"/>
  <c r="BQ19" i="14" s="1"/>
  <c r="BG25" i="14"/>
  <c r="BS25" i="14" s="1"/>
  <c r="BG11" i="14"/>
  <c r="BC37" i="14"/>
  <c r="GG17" i="13"/>
  <c r="AR16" i="14" s="1"/>
  <c r="GG11" i="13"/>
  <c r="AR10" i="14" s="1"/>
  <c r="GG37" i="13"/>
  <c r="AR36" i="14" s="1"/>
  <c r="GG20" i="13"/>
  <c r="AR19" i="14" s="1"/>
  <c r="GG13" i="13"/>
  <c r="AR12" i="14" s="1"/>
  <c r="GG26" i="13"/>
  <c r="AR25" i="14" s="1"/>
  <c r="GG15" i="13"/>
  <c r="AR14" i="14" s="1"/>
  <c r="GG8" i="13"/>
  <c r="AR7" i="14" s="1"/>
  <c r="GG14" i="13"/>
  <c r="AR13" i="14" s="1"/>
  <c r="GG21" i="13"/>
  <c r="AR20" i="14" s="1"/>
  <c r="FB75" i="13"/>
  <c r="FD75" i="13" s="1"/>
  <c r="FK75" i="13" s="1"/>
  <c r="FB51" i="13"/>
  <c r="FD51" i="13" s="1"/>
  <c r="FJ51" i="13" s="1"/>
  <c r="FB58" i="13"/>
  <c r="FD58" i="13" s="1"/>
  <c r="FJ58" i="13" s="1"/>
  <c r="FB64" i="13"/>
  <c r="FD64" i="13" s="1"/>
  <c r="FJ64" i="13" s="1"/>
  <c r="FB57" i="13"/>
  <c r="FD57" i="13" s="1"/>
  <c r="FJ57" i="13" s="1"/>
  <c r="FB71" i="13"/>
  <c r="FD71" i="13" s="1"/>
  <c r="FJ71" i="13" s="1"/>
  <c r="FB72" i="13"/>
  <c r="FD72" i="13" s="1"/>
  <c r="FJ72" i="13" s="1"/>
  <c r="FB67" i="13"/>
  <c r="FD67" i="13" s="1"/>
  <c r="FJ67" i="13" s="1"/>
  <c r="FU29" i="13"/>
  <c r="FU26" i="13"/>
  <c r="FT28" i="13"/>
  <c r="FM28" i="13" s="1"/>
  <c r="FD18" i="13"/>
  <c r="AO37" i="14"/>
  <c r="AO32" i="14"/>
  <c r="AK32" i="14"/>
  <c r="IH25" i="13"/>
  <c r="CF24" i="14" s="1"/>
  <c r="IH12" i="13"/>
  <c r="CF11" i="14" s="1"/>
  <c r="IH17" i="13"/>
  <c r="CF16" i="14" s="1"/>
  <c r="IH38" i="13"/>
  <c r="CF37" i="14" s="1"/>
  <c r="IH24" i="13"/>
  <c r="CF23" i="14" s="1"/>
  <c r="IH34" i="13"/>
  <c r="CF33" i="14" s="1"/>
  <c r="IH16" i="13"/>
  <c r="CF15" i="14" s="1"/>
  <c r="Y24" i="14"/>
  <c r="DB25" i="13"/>
  <c r="Y32" i="14"/>
  <c r="BH32" i="14" s="1"/>
  <c r="Y37" i="14"/>
  <c r="BH37" i="14" s="1"/>
  <c r="Y12" i="14"/>
  <c r="DB34" i="13"/>
  <c r="Y36" i="14"/>
  <c r="BH36" i="14" s="1"/>
  <c r="Y26" i="14"/>
  <c r="DB36" i="13"/>
  <c r="Y16" i="14"/>
  <c r="CX16" i="13"/>
  <c r="CX38" i="13"/>
  <c r="CX19" i="13"/>
  <c r="CX15" i="13"/>
  <c r="CX14" i="13"/>
  <c r="CT30" i="13"/>
  <c r="CT35" i="13"/>
  <c r="CT11" i="13"/>
  <c r="CT21" i="13"/>
  <c r="CP22" i="13"/>
  <c r="CP23" i="13"/>
  <c r="CP19" i="13"/>
  <c r="CP18" i="13"/>
  <c r="CB28" i="13"/>
  <c r="CB12" i="13"/>
  <c r="CB20" i="13"/>
  <c r="CB21" i="13"/>
  <c r="CB29" i="13"/>
  <c r="CB26" i="13"/>
  <c r="CB14" i="13"/>
  <c r="CK23" i="13"/>
  <c r="DG23" i="13" s="1"/>
  <c r="CB31" i="13"/>
  <c r="CB35" i="13"/>
  <c r="CK20" i="13"/>
  <c r="S19" i="14" s="1"/>
  <c r="V19" i="14" s="1"/>
  <c r="CK29" i="13"/>
  <c r="CB36" i="13"/>
  <c r="BX9" i="13"/>
  <c r="AN8" i="13"/>
  <c r="AO8" i="13" s="1"/>
  <c r="AC14" i="14"/>
  <c r="AC8" i="14"/>
  <c r="AN27" i="13"/>
  <c r="J26" i="14" s="1"/>
  <c r="AC10" i="14"/>
  <c r="AN14" i="13"/>
  <c r="J13" i="14" s="1"/>
  <c r="AN30" i="13"/>
  <c r="BD30" i="13" s="1"/>
  <c r="AN31" i="13"/>
  <c r="J30" i="14" s="1"/>
  <c r="AS25" i="13"/>
  <c r="AS27" i="13"/>
  <c r="AS30" i="13"/>
  <c r="AS38" i="13"/>
  <c r="AS22" i="13"/>
  <c r="AS23" i="13"/>
  <c r="AS31" i="13"/>
  <c r="AS32" i="13"/>
  <c r="AS33" i="13"/>
  <c r="AJ17" i="13"/>
  <c r="AJ24" i="13"/>
  <c r="AJ13" i="13"/>
  <c r="AJ37" i="13"/>
  <c r="AJ31" i="13"/>
  <c r="AJ32" i="13"/>
  <c r="AJ14" i="13"/>
  <c r="AJ12" i="13"/>
  <c r="AJ34" i="13"/>
  <c r="AJ29" i="13"/>
  <c r="AF11" i="13"/>
  <c r="AF15" i="13"/>
  <c r="AF28" i="13"/>
  <c r="AF10" i="13"/>
  <c r="AF33" i="13"/>
  <c r="AF38" i="13"/>
  <c r="AF23" i="13"/>
  <c r="AF9" i="13"/>
  <c r="AF13" i="13"/>
  <c r="AF17" i="13"/>
  <c r="AF24" i="13"/>
  <c r="F38" i="14"/>
  <c r="X16" i="13"/>
  <c r="G15" i="14" s="1"/>
  <c r="X25" i="13"/>
  <c r="G24" i="14" s="1"/>
  <c r="X24" i="13"/>
  <c r="G23" i="14" s="1"/>
  <c r="X30" i="13"/>
  <c r="G29" i="14" s="1"/>
  <c r="X11" i="13"/>
  <c r="G10" i="14" s="1"/>
  <c r="X15" i="13"/>
  <c r="G14" i="14" s="1"/>
  <c r="X35" i="13"/>
  <c r="G34" i="14" s="1"/>
  <c r="X10" i="13"/>
  <c r="G9" i="14" s="1"/>
  <c r="X14" i="13"/>
  <c r="AK14" i="13" s="1"/>
  <c r="DH14" i="13" s="1"/>
  <c r="X26" i="13"/>
  <c r="G25" i="14" s="1"/>
  <c r="X21" i="13"/>
  <c r="G20" i="14" s="1"/>
  <c r="X23" i="13"/>
  <c r="G22" i="14" s="1"/>
  <c r="X36" i="13"/>
  <c r="G35" i="14" s="1"/>
  <c r="X18" i="13"/>
  <c r="G17" i="14" s="1"/>
  <c r="X31" i="13"/>
  <c r="G30" i="14" s="1"/>
  <c r="X33" i="13"/>
  <c r="G32" i="14" s="1"/>
  <c r="R34" i="13"/>
  <c r="R11" i="13"/>
  <c r="X28" i="13"/>
  <c r="G27" i="14" s="1"/>
  <c r="X12" i="13"/>
  <c r="G11" i="14" s="1"/>
  <c r="G31" i="13"/>
  <c r="B30" i="14" s="1"/>
  <c r="G16" i="13"/>
  <c r="B15" i="14" s="1"/>
  <c r="G32" i="13"/>
  <c r="B31" i="14" s="1"/>
  <c r="G10" i="13"/>
  <c r="B9" i="14" s="1"/>
  <c r="G15" i="13"/>
  <c r="B14" i="14" s="1"/>
  <c r="G37" i="13"/>
  <c r="B36" i="14" s="1"/>
  <c r="G24" i="13"/>
  <c r="B23" i="14" s="1"/>
  <c r="G29" i="13"/>
  <c r="B28" i="14" s="1"/>
  <c r="G9" i="13"/>
  <c r="B8" i="14" s="1"/>
  <c r="G33" i="13"/>
  <c r="B32" i="14" s="1"/>
  <c r="G36" i="13"/>
  <c r="B35" i="14" s="1"/>
  <c r="G38" i="13"/>
  <c r="B37" i="14" s="1"/>
  <c r="G19" i="13"/>
  <c r="B18" i="14" s="1"/>
  <c r="G21" i="13"/>
  <c r="B20" i="14" s="1"/>
  <c r="G25" i="13"/>
  <c r="B24" i="14" s="1"/>
  <c r="G30" i="13"/>
  <c r="B29" i="14" s="1"/>
  <c r="G18" i="13"/>
  <c r="B17" i="14" s="1"/>
  <c r="G22" i="13"/>
  <c r="B21" i="14" s="1"/>
  <c r="G23" i="13"/>
  <c r="B22" i="14" s="1"/>
  <c r="G26" i="13"/>
  <c r="B25" i="14" s="1"/>
  <c r="G12" i="13"/>
  <c r="B11" i="14" s="1"/>
  <c r="G17" i="13"/>
  <c r="B16" i="14" s="1"/>
  <c r="C39" i="13"/>
  <c r="G20" i="13"/>
  <c r="B19" i="14" s="1"/>
  <c r="CK8" i="13"/>
  <c r="CL8" i="13" s="1"/>
  <c r="FT8" i="13"/>
  <c r="FM8" i="13" s="1"/>
  <c r="AJ25" i="13"/>
  <c r="AO16" i="14"/>
  <c r="FT17" i="13"/>
  <c r="FM17" i="13" s="1"/>
  <c r="FT31" i="13"/>
  <c r="FM31" i="13" s="1"/>
  <c r="FU31" i="13"/>
  <c r="FT34" i="13"/>
  <c r="FM34" i="13" s="1"/>
  <c r="CT17" i="13"/>
  <c r="AJ21" i="13"/>
  <c r="CT26" i="13"/>
  <c r="FU15" i="13"/>
  <c r="FT13" i="13"/>
  <c r="FM13" i="13" s="1"/>
  <c r="CT15" i="13"/>
  <c r="FT15" i="13"/>
  <c r="FM15" i="13" s="1"/>
  <c r="FB49" i="13"/>
  <c r="FD49" i="13" s="1"/>
  <c r="FJ49" i="13" s="1"/>
  <c r="CP20" i="13"/>
  <c r="AJ22" i="13"/>
  <c r="FT32" i="13"/>
  <c r="FM32" i="13" s="1"/>
  <c r="FB70" i="13"/>
  <c r="FD70" i="13" s="1"/>
  <c r="FJ70" i="13" s="1"/>
  <c r="CT9" i="13"/>
  <c r="FT11" i="13"/>
  <c r="FM11" i="13" s="1"/>
  <c r="FT12" i="13"/>
  <c r="FM12" i="13" s="1"/>
  <c r="ED25" i="13"/>
  <c r="CP27" i="13"/>
  <c r="CT31" i="13"/>
  <c r="FB46" i="13"/>
  <c r="FD46" i="13" s="1"/>
  <c r="FJ46" i="13" s="1"/>
  <c r="FT10" i="13"/>
  <c r="FM10" i="13" s="1"/>
  <c r="FU11" i="13"/>
  <c r="CT13" i="13"/>
  <c r="AJ19" i="13"/>
  <c r="FB56" i="13"/>
  <c r="FD56" i="13" s="1"/>
  <c r="FJ56" i="13" s="1"/>
  <c r="CT20" i="13"/>
  <c r="CT23" i="13"/>
  <c r="FA24" i="13"/>
  <c r="AJ26" i="13"/>
  <c r="CP32" i="13"/>
  <c r="CP30" i="13"/>
  <c r="FT33" i="13"/>
  <c r="FM33" i="13" s="1"/>
  <c r="FU8" i="13"/>
  <c r="AJ16" i="13"/>
  <c r="CP25" i="13"/>
  <c r="FT26" i="13"/>
  <c r="FM26" i="13" s="1"/>
  <c r="AJ27" i="13"/>
  <c r="FT29" i="13"/>
  <c r="FM29" i="13" s="1"/>
  <c r="AJ30" i="13"/>
  <c r="FT36" i="13"/>
  <c r="FM36" i="13" s="1"/>
  <c r="FB74" i="13"/>
  <c r="FD74" i="13" s="1"/>
  <c r="FK74" i="13" s="1"/>
  <c r="W10" i="14"/>
  <c r="Y10" i="14" s="1"/>
  <c r="CX11" i="13"/>
  <c r="B7" i="14"/>
  <c r="AQ7" i="14"/>
  <c r="AM7" i="14"/>
  <c r="EJ39" i="13"/>
  <c r="BX13" i="13"/>
  <c r="FA45" i="13"/>
  <c r="FP39" i="13"/>
  <c r="CX9" i="13"/>
  <c r="E18" i="14"/>
  <c r="AB38" i="14"/>
  <c r="C54" i="14" s="1"/>
  <c r="DF8" i="13"/>
  <c r="KG8" i="13"/>
  <c r="CB9" i="13"/>
  <c r="R10" i="13"/>
  <c r="CT29" i="13"/>
  <c r="I34" i="14"/>
  <c r="AJ35" i="13"/>
  <c r="AC7" i="14"/>
  <c r="BL39" i="13"/>
  <c r="HE39" i="13"/>
  <c r="DB9" i="13"/>
  <c r="AS10" i="13"/>
  <c r="BX10" i="13"/>
  <c r="AF12" i="13"/>
  <c r="DF12" i="13"/>
  <c r="X13" i="13"/>
  <c r="G12" i="14" s="1"/>
  <c r="CB13" i="13"/>
  <c r="R14" i="13"/>
  <c r="CT14" i="13"/>
  <c r="AF16" i="13"/>
  <c r="DF16" i="13"/>
  <c r="X17" i="13"/>
  <c r="G16" i="14" s="1"/>
  <c r="CB17" i="13"/>
  <c r="AS18" i="13"/>
  <c r="CX18" i="13"/>
  <c r="BC18" i="14"/>
  <c r="GG19" i="13"/>
  <c r="AR18" i="14" s="1"/>
  <c r="JJ39" i="13"/>
  <c r="AJ20" i="13"/>
  <c r="H20" i="14"/>
  <c r="AF21" i="13"/>
  <c r="BF24" i="14"/>
  <c r="BG24" i="14" s="1"/>
  <c r="BS24" i="14" s="1"/>
  <c r="GA25" i="13"/>
  <c r="AQ24" i="14" s="1"/>
  <c r="BX25" i="14"/>
  <c r="AC27" i="14"/>
  <c r="AN28" i="13"/>
  <c r="AX34" i="14"/>
  <c r="GG35" i="13"/>
  <c r="AR34" i="14" s="1"/>
  <c r="AX37" i="14"/>
  <c r="GG38" i="13"/>
  <c r="AR37" i="14" s="1"/>
  <c r="FD38" i="13"/>
  <c r="FI48" i="13"/>
  <c r="AN7" i="14"/>
  <c r="AN38" i="14" s="1"/>
  <c r="EM39" i="13"/>
  <c r="DB12" i="13"/>
  <c r="CX13" i="13"/>
  <c r="CX17" i="13"/>
  <c r="R18" i="13"/>
  <c r="F39" i="13"/>
  <c r="BN39" i="13"/>
  <c r="AU7" i="14"/>
  <c r="AU38" i="14" s="1"/>
  <c r="ET39" i="13"/>
  <c r="BX7" i="14"/>
  <c r="HJ39" i="13"/>
  <c r="HI42" i="13" s="1"/>
  <c r="CW10" i="13"/>
  <c r="AN11" i="13"/>
  <c r="CP11" i="13"/>
  <c r="FB48" i="13"/>
  <c r="FD48" i="13" s="1"/>
  <c r="FK48" i="13" s="1"/>
  <c r="AC11" i="14"/>
  <c r="CK12" i="13"/>
  <c r="DG12" i="13" s="1"/>
  <c r="P12" i="14"/>
  <c r="CH47" i="13"/>
  <c r="CE47" i="13"/>
  <c r="CF47" i="13" s="1"/>
  <c r="CE46" i="13" s="1"/>
  <c r="CF46" i="13" s="1"/>
  <c r="CE45" i="13" s="1"/>
  <c r="CF45" i="13" s="1"/>
  <c r="CE44" i="13" s="1"/>
  <c r="CF44" i="13" s="1"/>
  <c r="CE43" i="13" s="1"/>
  <c r="CF43" i="13" s="1"/>
  <c r="DB13" i="13"/>
  <c r="AS14" i="13"/>
  <c r="Y13" i="14"/>
  <c r="FD14" i="13"/>
  <c r="AN15" i="13"/>
  <c r="CP15" i="13"/>
  <c r="FB52" i="13"/>
  <c r="FD52" i="13" s="1"/>
  <c r="FJ52" i="13" s="1"/>
  <c r="AC15" i="14"/>
  <c r="CK16" i="13"/>
  <c r="DG16" i="13" s="1"/>
  <c r="DB17" i="13"/>
  <c r="CB18" i="13"/>
  <c r="X17" i="14"/>
  <c r="Y17" i="14" s="1"/>
  <c r="DB18" i="13"/>
  <c r="H18" i="14"/>
  <c r="AF19" i="13"/>
  <c r="JM39" i="13"/>
  <c r="I22" i="14"/>
  <c r="AJ23" i="13"/>
  <c r="DF25" i="13"/>
  <c r="X29" i="14"/>
  <c r="Y29" i="14" s="1"/>
  <c r="BH29" i="14" s="1"/>
  <c r="CX32" i="13"/>
  <c r="G35" i="13"/>
  <c r="B34" i="14" s="1"/>
  <c r="R36" i="13"/>
  <c r="FD9" i="13"/>
  <c r="AA7" i="14"/>
  <c r="BG39" i="13"/>
  <c r="ED9" i="13"/>
  <c r="CT24" i="13"/>
  <c r="R7" i="14"/>
  <c r="R38" i="14" s="1"/>
  <c r="CH39" i="13"/>
  <c r="AZ21" i="14"/>
  <c r="FU22" i="13"/>
  <c r="FT22" i="13"/>
  <c r="FM22" i="13" s="1"/>
  <c r="CX27" i="13"/>
  <c r="FB50" i="13"/>
  <c r="FD50" i="13" s="1"/>
  <c r="FJ50" i="13" s="1"/>
  <c r="I7" i="14"/>
  <c r="AI39" i="13"/>
  <c r="K39" i="13"/>
  <c r="BP39" i="13"/>
  <c r="T7" i="14"/>
  <c r="CO39" i="13"/>
  <c r="AD7" i="14"/>
  <c r="AD38" i="14" s="1"/>
  <c r="C57" i="14" s="1"/>
  <c r="DR39" i="13"/>
  <c r="AV7" i="14"/>
  <c r="AV38" i="14" s="1"/>
  <c r="EW39" i="13"/>
  <c r="AP7" i="14"/>
  <c r="FX41" i="13"/>
  <c r="BY7" i="14"/>
  <c r="BY38" i="14" s="1"/>
  <c r="BX42" i="14" s="1"/>
  <c r="HM39" i="13"/>
  <c r="HI43" i="13" s="1"/>
  <c r="FU12" i="13"/>
  <c r="BX11" i="14"/>
  <c r="AG11" i="14"/>
  <c r="BX15" i="14"/>
  <c r="AZ18" i="14"/>
  <c r="FU19" i="13"/>
  <c r="IH19" i="13"/>
  <c r="CF18" i="14" s="1"/>
  <c r="JP39" i="13"/>
  <c r="AN20" i="13"/>
  <c r="D21" i="14"/>
  <c r="K23" i="14"/>
  <c r="AS24" i="13"/>
  <c r="T25" i="14"/>
  <c r="CP26" i="13"/>
  <c r="AG30" i="14"/>
  <c r="BX30" i="14"/>
  <c r="CC31" i="14"/>
  <c r="JN60" i="13"/>
  <c r="AH36" i="14"/>
  <c r="FH47" i="13"/>
  <c r="FH64" i="13"/>
  <c r="AN10" i="13"/>
  <c r="AH35" i="14"/>
  <c r="AS13" i="13"/>
  <c r="FS39" i="13"/>
  <c r="CT10" i="13"/>
  <c r="AG10" i="14"/>
  <c r="BX10" i="14"/>
  <c r="X19" i="13"/>
  <c r="G18" i="14" s="1"/>
  <c r="AX26" i="14"/>
  <c r="GG27" i="13"/>
  <c r="AR26" i="14" s="1"/>
  <c r="Z38" i="14"/>
  <c r="C55" i="14" s="1"/>
  <c r="EZ45" i="13"/>
  <c r="EZ39" i="13"/>
  <c r="BZ7" i="14"/>
  <c r="BZ38" i="14" s="1"/>
  <c r="BX43" i="14" s="1"/>
  <c r="HP39" i="13"/>
  <c r="HI47" i="13" s="1"/>
  <c r="CK9" i="13"/>
  <c r="DG9" i="13" s="1"/>
  <c r="P9" i="14"/>
  <c r="CH44" i="13"/>
  <c r="FT18" i="13"/>
  <c r="FM18" i="13" s="1"/>
  <c r="BX17" i="14"/>
  <c r="U18" i="14"/>
  <c r="CT19" i="13"/>
  <c r="K19" i="14"/>
  <c r="AS20" i="13"/>
  <c r="X19" i="14"/>
  <c r="Y19" i="14" s="1"/>
  <c r="DF21" i="13"/>
  <c r="O26" i="14"/>
  <c r="CK27" i="13"/>
  <c r="CB27" i="13"/>
  <c r="K28" i="14"/>
  <c r="AS29" i="13"/>
  <c r="BF29" i="14"/>
  <c r="BG29" i="14" s="1"/>
  <c r="GA30" i="13"/>
  <c r="AQ29" i="14" s="1"/>
  <c r="AX31" i="14"/>
  <c r="GG32" i="13"/>
  <c r="AR31" i="14" s="1"/>
  <c r="AC32" i="14"/>
  <c r="AN33" i="13"/>
  <c r="S32" i="14"/>
  <c r="V32" i="14" s="1"/>
  <c r="CL33" i="13"/>
  <c r="CB33" i="14"/>
  <c r="AC36" i="14"/>
  <c r="AN37" i="13"/>
  <c r="BX14" i="14"/>
  <c r="AG14" i="14"/>
  <c r="C7" i="14"/>
  <c r="C38" i="14" s="1"/>
  <c r="N39" i="13"/>
  <c r="AE7" i="14"/>
  <c r="AG7" i="14" s="1"/>
  <c r="DT39" i="13"/>
  <c r="Q39" i="13"/>
  <c r="U7" i="14"/>
  <c r="CS39" i="13"/>
  <c r="AH7" i="14"/>
  <c r="DW39" i="13"/>
  <c r="CA7" i="14"/>
  <c r="CA38" i="14" s="1"/>
  <c r="BX44" i="14" s="1"/>
  <c r="HS39" i="13"/>
  <c r="HI44" i="13" s="1"/>
  <c r="AJ9" i="13"/>
  <c r="AG8" i="14"/>
  <c r="BX8" i="14"/>
  <c r="II46" i="13" s="1"/>
  <c r="DB10" i="13"/>
  <c r="IH10" i="13"/>
  <c r="CF9" i="14" s="1"/>
  <c r="AS11" i="13"/>
  <c r="BX11" i="13"/>
  <c r="AN12" i="13"/>
  <c r="CP12" i="13"/>
  <c r="GA12" i="13"/>
  <c r="AQ11" i="14" s="1"/>
  <c r="AC12" i="14"/>
  <c r="CK13" i="13"/>
  <c r="DG13" i="13" s="1"/>
  <c r="DB14" i="13"/>
  <c r="IH14" i="13"/>
  <c r="CF13" i="14" s="1"/>
  <c r="AS15" i="13"/>
  <c r="Y14" i="14"/>
  <c r="CC14" i="14"/>
  <c r="JN43" i="13"/>
  <c r="AN16" i="13"/>
  <c r="CP16" i="13"/>
  <c r="FB53" i="13"/>
  <c r="FD53" i="13" s="1"/>
  <c r="FJ53" i="13" s="1"/>
  <c r="FL53" i="13" s="1"/>
  <c r="GA16" i="13"/>
  <c r="AQ15" i="14" s="1"/>
  <c r="AC16" i="14"/>
  <c r="CK17" i="13"/>
  <c r="FU18" i="13"/>
  <c r="AN19" i="13"/>
  <c r="DB20" i="13"/>
  <c r="BX24" i="14"/>
  <c r="AZ26" i="14"/>
  <c r="FU27" i="13"/>
  <c r="AA29" i="14"/>
  <c r="GG34" i="13"/>
  <c r="AR33" i="14" s="1"/>
  <c r="CC33" i="14"/>
  <c r="JN62" i="13"/>
  <c r="BF7" i="14"/>
  <c r="GS39" i="13"/>
  <c r="T20" i="14"/>
  <c r="CP21" i="13"/>
  <c r="H7" i="14"/>
  <c r="AE39" i="13"/>
  <c r="AS17" i="13"/>
  <c r="CC16" i="14"/>
  <c r="JN45" i="13"/>
  <c r="O21" i="14"/>
  <c r="CK22" i="13"/>
  <c r="DG22" i="13" s="1"/>
  <c r="CB22" i="13"/>
  <c r="CC26" i="14"/>
  <c r="JN55" i="13"/>
  <c r="CB7" i="14"/>
  <c r="HV39" i="13"/>
  <c r="HI45" i="13" s="1"/>
  <c r="FU13" i="13"/>
  <c r="FU17" i="13"/>
  <c r="AG16" i="14"/>
  <c r="BX16" i="14"/>
  <c r="CK18" i="13"/>
  <c r="DG18" i="13" s="1"/>
  <c r="AL18" i="14"/>
  <c r="AO18" i="14" s="1"/>
  <c r="IO39" i="13"/>
  <c r="JY39" i="13"/>
  <c r="CC21" i="14"/>
  <c r="JN50" i="13"/>
  <c r="R24" i="13"/>
  <c r="AH23" i="14"/>
  <c r="I27" i="14"/>
  <c r="AJ28" i="13"/>
  <c r="BA29" i="14"/>
  <c r="FU30" i="13"/>
  <c r="FT30" i="13"/>
  <c r="FM30" i="13" s="1"/>
  <c r="O31" i="14"/>
  <c r="CK32" i="13"/>
  <c r="CB32" i="13"/>
  <c r="AC34" i="14"/>
  <c r="AN35" i="13"/>
  <c r="AZ32" i="14"/>
  <c r="FU33" i="13"/>
  <c r="P11" i="14"/>
  <c r="CH46" i="13"/>
  <c r="X9" i="13"/>
  <c r="G8" i="14" s="1"/>
  <c r="AJ11" i="13"/>
  <c r="FA14" i="13"/>
  <c r="AJ15" i="13"/>
  <c r="K7" i="14"/>
  <c r="AR39" i="13"/>
  <c r="AI7" i="14"/>
  <c r="AI38" i="14" s="1"/>
  <c r="DZ39" i="13"/>
  <c r="D7" i="14"/>
  <c r="T39" i="13"/>
  <c r="AS8" i="13"/>
  <c r="W7" i="14"/>
  <c r="CC7" i="14"/>
  <c r="HY39" i="13"/>
  <c r="HI46" i="13" s="1"/>
  <c r="AN9" i="13"/>
  <c r="CP9" i="13"/>
  <c r="GA9" i="13"/>
  <c r="AQ8" i="14" s="1"/>
  <c r="CK10" i="13"/>
  <c r="DF10" i="13"/>
  <c r="CB11" i="13"/>
  <c r="AO10" i="14"/>
  <c r="CT12" i="13"/>
  <c r="GG12" i="13"/>
  <c r="AR11" i="14" s="1"/>
  <c r="AF14" i="13"/>
  <c r="DF14" i="13"/>
  <c r="CB15" i="13"/>
  <c r="CT16" i="13"/>
  <c r="GG16" i="13"/>
  <c r="AR15" i="14" s="1"/>
  <c r="IH20" i="13"/>
  <c r="CX22" i="13"/>
  <c r="AX21" i="14"/>
  <c r="GG22" i="13"/>
  <c r="AR21" i="14" s="1"/>
  <c r="FT25" i="13"/>
  <c r="FM25" i="13" s="1"/>
  <c r="R29" i="13"/>
  <c r="AH28" i="14"/>
  <c r="T30" i="14"/>
  <c r="CP31" i="13"/>
  <c r="K33" i="14"/>
  <c r="AS34" i="13"/>
  <c r="BF35" i="14"/>
  <c r="BG35" i="14" s="1"/>
  <c r="GA36" i="13"/>
  <c r="AQ35" i="14" s="1"/>
  <c r="Q7" i="14"/>
  <c r="Q38" i="14" s="1"/>
  <c r="CF39" i="13"/>
  <c r="II8" i="13"/>
  <c r="DB16" i="13"/>
  <c r="CT18" i="13"/>
  <c r="AH33" i="14"/>
  <c r="EN8" i="13"/>
  <c r="BW39" i="13"/>
  <c r="CD42" i="13"/>
  <c r="E7" i="14"/>
  <c r="V39" i="13"/>
  <c r="L7" i="14"/>
  <c r="L38" i="14" s="1"/>
  <c r="AZ39" i="13"/>
  <c r="O7" i="14"/>
  <c r="CA39" i="13"/>
  <c r="CX8" i="13"/>
  <c r="AZ7" i="14"/>
  <c r="CD7" i="14"/>
  <c r="CD38" i="14" s="1"/>
  <c r="BX47" i="14" s="1"/>
  <c r="IB39" i="13"/>
  <c r="HI48" i="13" s="1"/>
  <c r="AJ10" i="13"/>
  <c r="P10" i="14"/>
  <c r="CH45" i="13"/>
  <c r="DB11" i="13"/>
  <c r="IH11" i="13"/>
  <c r="II11" i="13" s="1"/>
  <c r="AS12" i="13"/>
  <c r="BX12" i="13"/>
  <c r="Y11" i="14"/>
  <c r="AN13" i="13"/>
  <c r="CP13" i="13"/>
  <c r="GA13" i="13"/>
  <c r="AQ12" i="14" s="1"/>
  <c r="AC13" i="14"/>
  <c r="CK14" i="13"/>
  <c r="DG14" i="13" s="1"/>
  <c r="DB15" i="13"/>
  <c r="IH15" i="13"/>
  <c r="AS16" i="13"/>
  <c r="Y15" i="14"/>
  <c r="CC15" i="14"/>
  <c r="JN44" i="13"/>
  <c r="AN17" i="13"/>
  <c r="CP17" i="13"/>
  <c r="FB54" i="13"/>
  <c r="FD54" i="13" s="1"/>
  <c r="FJ54" i="13" s="1"/>
  <c r="GA17" i="13"/>
  <c r="AQ16" i="14" s="1"/>
  <c r="AJ18" i="13"/>
  <c r="AE17" i="14"/>
  <c r="AG17" i="14" s="1"/>
  <c r="IH18" i="13"/>
  <c r="KG18" i="13" s="1"/>
  <c r="FB55" i="13"/>
  <c r="FD55" i="13" s="1"/>
  <c r="FJ55" i="13" s="1"/>
  <c r="CB19" i="13"/>
  <c r="DB19" i="13"/>
  <c r="FT19" i="13"/>
  <c r="FM19" i="13" s="1"/>
  <c r="BX20" i="14"/>
  <c r="AG20" i="14"/>
  <c r="D26" i="14"/>
  <c r="FT27" i="13"/>
  <c r="FM27" i="13" s="1"/>
  <c r="BR39" i="13"/>
  <c r="CP14" i="13"/>
  <c r="D39" i="13"/>
  <c r="AF8" i="13"/>
  <c r="X8" i="13"/>
  <c r="AK8" i="13" s="1"/>
  <c r="BC39" i="13"/>
  <c r="M7" i="14"/>
  <c r="M38" i="14" s="1"/>
  <c r="X7" i="14"/>
  <c r="DA39" i="13"/>
  <c r="AL7" i="14"/>
  <c r="BA7" i="14"/>
  <c r="FJ39" i="13"/>
  <c r="BE7" i="14"/>
  <c r="GP39" i="13"/>
  <c r="CE7" i="14"/>
  <c r="CE38" i="14" s="1"/>
  <c r="BX48" i="14" s="1"/>
  <c r="IE39" i="13"/>
  <c r="HI49" i="13" s="1"/>
  <c r="GG9" i="13"/>
  <c r="AR8" i="14" s="1"/>
  <c r="FU10" i="13"/>
  <c r="AG9" i="14"/>
  <c r="BX9" i="14"/>
  <c r="BX13" i="14"/>
  <c r="AG13" i="14"/>
  <c r="FA18" i="13"/>
  <c r="AX17" i="14"/>
  <c r="GG18" i="13"/>
  <c r="AR17" i="14" s="1"/>
  <c r="CC17" i="14"/>
  <c r="JN46" i="13"/>
  <c r="IX39" i="13"/>
  <c r="X20" i="13"/>
  <c r="BA19" i="14"/>
  <c r="FU20" i="13"/>
  <c r="FT20" i="13"/>
  <c r="FM20" i="13" s="1"/>
  <c r="AC22" i="14"/>
  <c r="AN23" i="13"/>
  <c r="H24" i="14"/>
  <c r="AF25" i="13"/>
  <c r="AM24" i="14"/>
  <c r="H29" i="14"/>
  <c r="AF30" i="13"/>
  <c r="D31" i="14"/>
  <c r="X32" i="13"/>
  <c r="G31" i="14" s="1"/>
  <c r="AZ31" i="14"/>
  <c r="FU32" i="13"/>
  <c r="I32" i="14"/>
  <c r="AJ33" i="13"/>
  <c r="FI54" i="13"/>
  <c r="JD39" i="13"/>
  <c r="X22" i="13"/>
  <c r="G21" i="14" s="1"/>
  <c r="BG21" i="14"/>
  <c r="BS21" i="14" s="1"/>
  <c r="BX22" i="14"/>
  <c r="AG22" i="14"/>
  <c r="Y23" i="14"/>
  <c r="FD24" i="13"/>
  <c r="FB63" i="13"/>
  <c r="FD63" i="13" s="1"/>
  <c r="FJ63" i="13" s="1"/>
  <c r="X27" i="13"/>
  <c r="G26" i="14" s="1"/>
  <c r="FU28" i="13"/>
  <c r="AG27" i="14"/>
  <c r="BX27" i="14"/>
  <c r="Y28" i="14"/>
  <c r="BH28" i="14" s="1"/>
  <c r="CC28" i="14"/>
  <c r="JN57" i="13"/>
  <c r="FB68" i="13"/>
  <c r="FD68" i="13" s="1"/>
  <c r="FJ68" i="13" s="1"/>
  <c r="GA31" i="13"/>
  <c r="AQ30" i="14" s="1"/>
  <c r="BX32" i="14"/>
  <c r="AH34" i="14"/>
  <c r="D35" i="14"/>
  <c r="FH45" i="13"/>
  <c r="FH55" i="13"/>
  <c r="FH63" i="13"/>
  <c r="FH69" i="13"/>
  <c r="AS19" i="13"/>
  <c r="Y18" i="14"/>
  <c r="JG39" i="13"/>
  <c r="AF20" i="13"/>
  <c r="AK20" i="14"/>
  <c r="DB22" i="13"/>
  <c r="IH22" i="13"/>
  <c r="CF21" i="14" s="1"/>
  <c r="CX24" i="13"/>
  <c r="AC24" i="14"/>
  <c r="CK25" i="13"/>
  <c r="DG25" i="13" s="1"/>
  <c r="AK25" i="14"/>
  <c r="DB27" i="13"/>
  <c r="IH27" i="13"/>
  <c r="CF26" i="14" s="1"/>
  <c r="CX29" i="13"/>
  <c r="AC29" i="14"/>
  <c r="DB32" i="13"/>
  <c r="IH32" i="13"/>
  <c r="CF31" i="14" s="1"/>
  <c r="CX34" i="13"/>
  <c r="AZ33" i="14"/>
  <c r="FU34" i="13"/>
  <c r="BG33" i="14"/>
  <c r="U36" i="14"/>
  <c r="CT37" i="13"/>
  <c r="AG36" i="14"/>
  <c r="BX36" i="14"/>
  <c r="FH46" i="13"/>
  <c r="FH50" i="13"/>
  <c r="FH52" i="13"/>
  <c r="FH60" i="13"/>
  <c r="FU25" i="13"/>
  <c r="GA28" i="13"/>
  <c r="AQ27" i="14" s="1"/>
  <c r="BG28" i="14"/>
  <c r="GG31" i="13"/>
  <c r="AR30" i="14" s="1"/>
  <c r="FA73" i="13"/>
  <c r="FB73" i="13" s="1"/>
  <c r="FD73" i="13" s="1"/>
  <c r="FJ73" i="13" s="1"/>
  <c r="FU36" i="13"/>
  <c r="O37" i="14"/>
  <c r="CK38" i="13"/>
  <c r="DG38" i="13" s="1"/>
  <c r="CB38" i="13"/>
  <c r="JN47" i="13"/>
  <c r="FH56" i="13"/>
  <c r="FH59" i="13"/>
  <c r="FH68" i="13"/>
  <c r="AG19" i="14"/>
  <c r="BX19" i="14"/>
  <c r="AS21" i="13"/>
  <c r="Y20" i="14"/>
  <c r="CC20" i="14"/>
  <c r="JN49" i="13"/>
  <c r="AF22" i="13"/>
  <c r="DF22" i="13"/>
  <c r="DB24" i="13"/>
  <c r="AS26" i="13"/>
  <c r="Y25" i="14"/>
  <c r="CC25" i="14"/>
  <c r="JN54" i="13"/>
  <c r="AF27" i="13"/>
  <c r="DF27" i="13"/>
  <c r="DB29" i="13"/>
  <c r="BX29" i="14"/>
  <c r="Y30" i="14"/>
  <c r="BH30" i="14" s="1"/>
  <c r="CC30" i="14"/>
  <c r="JN59" i="13"/>
  <c r="H35" i="14"/>
  <c r="AF36" i="13"/>
  <c r="AM35" i="14"/>
  <c r="FH58" i="13"/>
  <c r="ED21" i="13"/>
  <c r="AC21" i="14"/>
  <c r="GG23" i="13"/>
  <c r="AR22" i="14" s="1"/>
  <c r="FB62" i="13"/>
  <c r="FD62" i="13" s="1"/>
  <c r="FJ62" i="13" s="1"/>
  <c r="CX26" i="13"/>
  <c r="AC26" i="14"/>
  <c r="CT28" i="13"/>
  <c r="GG28" i="13"/>
  <c r="AR27" i="14" s="1"/>
  <c r="CX31" i="13"/>
  <c r="AC31" i="14"/>
  <c r="R33" i="13"/>
  <c r="CT33" i="13"/>
  <c r="GG33" i="13"/>
  <c r="AR32" i="14" s="1"/>
  <c r="R35" i="13"/>
  <c r="AS35" i="13"/>
  <c r="W34" i="14"/>
  <c r="CX35" i="13"/>
  <c r="BX34" i="14"/>
  <c r="CT36" i="13"/>
  <c r="AZ37" i="14"/>
  <c r="FU38" i="13"/>
  <c r="JN52" i="13"/>
  <c r="JN53" i="13"/>
  <c r="FW58" i="13"/>
  <c r="FG21" i="13" s="1"/>
  <c r="FV58" i="13"/>
  <c r="EQ21" i="13" s="1"/>
  <c r="FH67" i="13"/>
  <c r="BX21" i="14"/>
  <c r="AG21" i="14"/>
  <c r="Y22" i="14"/>
  <c r="CC22" i="14"/>
  <c r="JN51" i="13"/>
  <c r="BX26" i="14"/>
  <c r="AG26" i="14"/>
  <c r="Y27" i="14"/>
  <c r="BH27" i="14" s="1"/>
  <c r="CC27" i="14"/>
  <c r="JN56" i="13"/>
  <c r="AG31" i="14"/>
  <c r="BX31" i="14"/>
  <c r="CC32" i="14"/>
  <c r="JN61" i="13"/>
  <c r="X34" i="14"/>
  <c r="DB35" i="13"/>
  <c r="W35" i="14"/>
  <c r="Y35" i="14" s="1"/>
  <c r="BH35" i="14" s="1"/>
  <c r="CX36" i="13"/>
  <c r="AT36" i="14"/>
  <c r="FD37" i="13"/>
  <c r="IL39" i="13"/>
  <c r="JV39" i="13"/>
  <c r="DB21" i="13"/>
  <c r="IH21" i="13"/>
  <c r="CF20" i="14" s="1"/>
  <c r="CX23" i="13"/>
  <c r="AC23" i="14"/>
  <c r="R25" i="13"/>
  <c r="CT25" i="13"/>
  <c r="GG25" i="13"/>
  <c r="AR24" i="14" s="1"/>
  <c r="DB26" i="13"/>
  <c r="IH26" i="13"/>
  <c r="CF25" i="14" s="1"/>
  <c r="CX28" i="13"/>
  <c r="AC28" i="14"/>
  <c r="R30" i="13"/>
  <c r="DB31" i="13"/>
  <c r="IH31" i="13"/>
  <c r="CF30" i="14" s="1"/>
  <c r="CX33" i="13"/>
  <c r="ED33" i="13"/>
  <c r="AC33" i="14"/>
  <c r="FV57" i="13"/>
  <c r="EQ20" i="13" s="1"/>
  <c r="FH66" i="13"/>
  <c r="BX23" i="14"/>
  <c r="AG23" i="14"/>
  <c r="AG28" i="14"/>
  <c r="BX28" i="14"/>
  <c r="AX35" i="14"/>
  <c r="D37" i="14"/>
  <c r="X38" i="13"/>
  <c r="G37" i="14" s="1"/>
  <c r="FT38" i="13"/>
  <c r="FM38" i="13" s="1"/>
  <c r="AF10" i="14"/>
  <c r="AG18" i="14"/>
  <c r="BX18" i="14"/>
  <c r="IR39" i="13"/>
  <c r="KB39" i="13"/>
  <c r="JN48" i="13"/>
  <c r="DB23" i="13"/>
  <c r="IH23" i="13"/>
  <c r="CF22" i="14" s="1"/>
  <c r="CX25" i="13"/>
  <c r="AF26" i="13"/>
  <c r="DF26" i="13"/>
  <c r="DB28" i="13"/>
  <c r="IH28" i="13"/>
  <c r="CF27" i="14" s="1"/>
  <c r="CC29" i="14"/>
  <c r="JN58" i="13"/>
  <c r="AF31" i="13"/>
  <c r="DF31" i="13"/>
  <c r="DB33" i="13"/>
  <c r="IH33" i="13"/>
  <c r="CF32" i="14" s="1"/>
  <c r="AS36" i="13"/>
  <c r="DF36" i="13"/>
  <c r="X37" i="13"/>
  <c r="G36" i="14" s="1"/>
  <c r="R37" i="13"/>
  <c r="AF20" i="14"/>
  <c r="FH65" i="13"/>
  <c r="IU39" i="13"/>
  <c r="KE39" i="13"/>
  <c r="CX20" i="13"/>
  <c r="ED20" i="13"/>
  <c r="AC20" i="14"/>
  <c r="CK21" i="13"/>
  <c r="DG21" i="13" s="1"/>
  <c r="CT22" i="13"/>
  <c r="CP24" i="13"/>
  <c r="FB61" i="13"/>
  <c r="FD61" i="13" s="1"/>
  <c r="FJ61" i="13" s="1"/>
  <c r="GA24" i="13"/>
  <c r="AQ23" i="14" s="1"/>
  <c r="CB25" i="13"/>
  <c r="AC25" i="14"/>
  <c r="CK26" i="13"/>
  <c r="DG26" i="13" s="1"/>
  <c r="CT27" i="13"/>
  <c r="AN29" i="13"/>
  <c r="CP29" i="13"/>
  <c r="FB66" i="13"/>
  <c r="FD66" i="13" s="1"/>
  <c r="FJ66" i="13" s="1"/>
  <c r="GA29" i="13"/>
  <c r="AQ28" i="14" s="1"/>
  <c r="AS28" i="14" s="1"/>
  <c r="CB30" i="13"/>
  <c r="CX30" i="13"/>
  <c r="AC30" i="14"/>
  <c r="CT32" i="13"/>
  <c r="AN34" i="13"/>
  <c r="CP34" i="13"/>
  <c r="CC34" i="14"/>
  <c r="JN63" i="13"/>
  <c r="FA37" i="13"/>
  <c r="FH48" i="13"/>
  <c r="FH70" i="13"/>
  <c r="BC35" i="14"/>
  <c r="DB38" i="13"/>
  <c r="FV50" i="13"/>
  <c r="EQ13" i="13" s="1"/>
  <c r="FA13" i="13" s="1"/>
  <c r="FV59" i="13"/>
  <c r="EQ22" i="13" s="1"/>
  <c r="FV70" i="13"/>
  <c r="EQ33" i="13" s="1"/>
  <c r="FH71" i="13"/>
  <c r="GA35" i="13"/>
  <c r="AQ34" i="14" s="1"/>
  <c r="IH36" i="13"/>
  <c r="CF35" i="14" s="1"/>
  <c r="GA37" i="13"/>
  <c r="AQ36" i="14" s="1"/>
  <c r="FH49" i="13"/>
  <c r="FH57" i="13"/>
  <c r="DR79" i="13"/>
  <c r="AF7" i="14"/>
  <c r="BX37" i="14"/>
  <c r="D78" i="13"/>
  <c r="BT7" i="14"/>
  <c r="BT38" i="14" s="1"/>
  <c r="C61" i="14" s="1"/>
  <c r="FV62" i="13"/>
  <c r="EQ25" i="13" s="1"/>
  <c r="FV69" i="13"/>
  <c r="EQ32" i="13" s="1"/>
  <c r="AS37" i="13"/>
  <c r="AX36" i="14"/>
  <c r="AJ38" i="13"/>
  <c r="G78" i="13"/>
  <c r="FV52" i="13"/>
  <c r="EQ15" i="13" s="1"/>
  <c r="FA15" i="13" s="1"/>
  <c r="FV63" i="13"/>
  <c r="EQ26" i="13" s="1"/>
  <c r="BX33" i="14"/>
  <c r="BC34" i="14"/>
  <c r="AC35" i="14"/>
  <c r="CK36" i="13"/>
  <c r="DG36" i="13" s="1"/>
  <c r="AG35" i="14"/>
  <c r="BX35" i="14"/>
  <c r="CX37" i="13"/>
  <c r="BC36" i="14"/>
  <c r="FV47" i="13"/>
  <c r="EQ10" i="13" s="1"/>
  <c r="FH51" i="13"/>
  <c r="AF16" i="14"/>
  <c r="FH61" i="13"/>
  <c r="FV64" i="13"/>
  <c r="EQ27" i="13" s="1"/>
  <c r="FV65" i="13"/>
  <c r="EQ28" i="13" s="1"/>
  <c r="FV66" i="13"/>
  <c r="EQ29" i="13" s="1"/>
  <c r="FV67" i="13"/>
  <c r="EQ30" i="13" s="1"/>
  <c r="FA30" i="13" s="1"/>
  <c r="FV68" i="13"/>
  <c r="EQ31" i="13" s="1"/>
  <c r="BG34" i="14"/>
  <c r="BG36" i="14"/>
  <c r="IH37" i="13"/>
  <c r="CF36" i="14" s="1"/>
  <c r="AN38" i="13"/>
  <c r="CP38" i="13"/>
  <c r="AF17" i="14"/>
  <c r="FH62" i="13"/>
  <c r="FH72" i="13"/>
  <c r="IH35" i="13"/>
  <c r="CF34" i="14" s="1"/>
  <c r="DB37" i="13"/>
  <c r="FA38" i="13"/>
  <c r="AF9" i="14"/>
  <c r="AF18" i="14"/>
  <c r="FV71" i="13"/>
  <c r="EQ34" i="13" s="1"/>
  <c r="FA34" i="13" s="1"/>
  <c r="FH73" i="13"/>
  <c r="CP36" i="13"/>
  <c r="CT38" i="13"/>
  <c r="BU38" i="14"/>
  <c r="C62" i="14" s="1"/>
  <c r="AF19" i="14"/>
  <c r="FI73" i="13"/>
  <c r="AF33" i="14"/>
  <c r="FU74" i="11"/>
  <c r="FF74" i="11"/>
  <c r="FG74" i="11" s="1"/>
  <c r="AS26" i="14" l="1"/>
  <c r="CL15" i="13"/>
  <c r="DG24" i="13"/>
  <c r="EN31" i="13"/>
  <c r="ED19" i="13"/>
  <c r="AS13" i="14"/>
  <c r="BH13" i="14" s="1"/>
  <c r="ED26" i="13"/>
  <c r="ED38" i="13"/>
  <c r="EN14" i="13"/>
  <c r="EN12" i="13"/>
  <c r="FT37" i="13"/>
  <c r="FM37" i="13" s="1"/>
  <c r="FA9" i="13"/>
  <c r="FU37" i="13"/>
  <c r="EN29" i="13"/>
  <c r="EN37" i="13"/>
  <c r="AS19" i="14"/>
  <c r="BL19" i="14" s="1"/>
  <c r="EN17" i="13"/>
  <c r="KG19" i="13"/>
  <c r="II38" i="13"/>
  <c r="KG13" i="13"/>
  <c r="EN35" i="13"/>
  <c r="EN23" i="13"/>
  <c r="ED11" i="13"/>
  <c r="AS23" i="14"/>
  <c r="BL23" i="14" s="1"/>
  <c r="DG35" i="13"/>
  <c r="ED29" i="13"/>
  <c r="II30" i="13"/>
  <c r="EN13" i="13"/>
  <c r="FL67" i="13"/>
  <c r="AW29" i="14" s="1"/>
  <c r="V36" i="14"/>
  <c r="AK28" i="14"/>
  <c r="CL35" i="13"/>
  <c r="EN30" i="13"/>
  <c r="ED17" i="13"/>
  <c r="FD35" i="13"/>
  <c r="EN25" i="13"/>
  <c r="FD23" i="13"/>
  <c r="ED37" i="13"/>
  <c r="FA35" i="13"/>
  <c r="BD22" i="13"/>
  <c r="AO24" i="14"/>
  <c r="AK36" i="14"/>
  <c r="ED14" i="13"/>
  <c r="FA23" i="13"/>
  <c r="FM75" i="13"/>
  <c r="BB37" i="14" s="1"/>
  <c r="BD37" i="14" s="1"/>
  <c r="EN22" i="13"/>
  <c r="AS21" i="14"/>
  <c r="BL21" i="14" s="1"/>
  <c r="EN10" i="13"/>
  <c r="BD18" i="13"/>
  <c r="AT18" i="14"/>
  <c r="ED24" i="13"/>
  <c r="AS33" i="14"/>
  <c r="BO33" i="14" s="1"/>
  <c r="BD26" i="13"/>
  <c r="FL54" i="13"/>
  <c r="AW16" i="14" s="1"/>
  <c r="AY16" i="14" s="1"/>
  <c r="AS17" i="14"/>
  <c r="BL17" i="14" s="1"/>
  <c r="AS36" i="14"/>
  <c r="BO36" i="14" s="1"/>
  <c r="KG25" i="13"/>
  <c r="II62" i="13"/>
  <c r="ED12" i="13"/>
  <c r="AO35" i="14"/>
  <c r="AS35" i="14"/>
  <c r="BO35" i="14" s="1"/>
  <c r="EN20" i="13"/>
  <c r="ED32" i="13"/>
  <c r="AS37" i="14"/>
  <c r="BM37" i="14" s="1"/>
  <c r="EN21" i="13"/>
  <c r="BD24" i="13"/>
  <c r="BM28" i="14"/>
  <c r="ED15" i="13"/>
  <c r="ED10" i="13"/>
  <c r="AK30" i="13"/>
  <c r="DH30" i="13" s="1"/>
  <c r="EN27" i="13"/>
  <c r="EN9" i="13"/>
  <c r="EN16" i="13"/>
  <c r="ED8" i="13"/>
  <c r="EN28" i="13"/>
  <c r="EN34" i="13"/>
  <c r="DG28" i="13"/>
  <c r="J23" i="14"/>
  <c r="N23" i="14" s="1"/>
  <c r="FD8" i="13"/>
  <c r="EN33" i="13"/>
  <c r="ED22" i="13"/>
  <c r="AS25" i="14"/>
  <c r="BL25" i="14" s="1"/>
  <c r="AS31" i="14"/>
  <c r="BO31" i="14" s="1"/>
  <c r="AO25" i="13"/>
  <c r="CL31" i="13"/>
  <c r="II9" i="13"/>
  <c r="ED35" i="13"/>
  <c r="FL65" i="13"/>
  <c r="AW27" i="14" s="1"/>
  <c r="ED31" i="13"/>
  <c r="AK34" i="14"/>
  <c r="ED23" i="13"/>
  <c r="V30" i="14"/>
  <c r="EN15" i="13"/>
  <c r="KG9" i="13"/>
  <c r="EN11" i="13"/>
  <c r="BD25" i="13"/>
  <c r="ED27" i="13"/>
  <c r="AK10" i="13"/>
  <c r="DH10" i="13" s="1"/>
  <c r="EN18" i="13"/>
  <c r="EN24" i="13"/>
  <c r="V18" i="14"/>
  <c r="II13" i="13"/>
  <c r="FU23" i="13"/>
  <c r="ED13" i="13"/>
  <c r="ED30" i="13"/>
  <c r="BD21" i="13"/>
  <c r="ED36" i="13"/>
  <c r="AK35" i="14"/>
  <c r="BS38" i="14"/>
  <c r="AS32" i="14"/>
  <c r="BO32" i="14" s="1"/>
  <c r="AS22" i="14"/>
  <c r="BL22" i="14" s="1"/>
  <c r="AS9" i="14"/>
  <c r="BM9" i="14" s="1"/>
  <c r="CL24" i="13"/>
  <c r="EN38" i="13"/>
  <c r="KG29" i="13"/>
  <c r="ED28" i="13"/>
  <c r="II29" i="13"/>
  <c r="EG39" i="13"/>
  <c r="EC39" i="13"/>
  <c r="AK23" i="14"/>
  <c r="J25" i="14"/>
  <c r="N25" i="14" s="1"/>
  <c r="BL26" i="14"/>
  <c r="AL31" i="14"/>
  <c r="AO31" i="14" s="1"/>
  <c r="FL69" i="13"/>
  <c r="AW31" i="14" s="1"/>
  <c r="ED34" i="13"/>
  <c r="AJ38" i="14"/>
  <c r="FU9" i="13"/>
  <c r="EN26" i="13"/>
  <c r="KG30" i="13"/>
  <c r="EN36" i="13"/>
  <c r="FU14" i="13"/>
  <c r="AK33" i="14"/>
  <c r="DG15" i="13"/>
  <c r="ED18" i="13"/>
  <c r="FL47" i="13"/>
  <c r="AW9" i="14" s="1"/>
  <c r="ED16" i="13"/>
  <c r="FA17" i="13"/>
  <c r="AS20" i="14"/>
  <c r="BL20" i="14" s="1"/>
  <c r="FT14" i="13"/>
  <c r="FM14" i="13" s="1"/>
  <c r="II69" i="13"/>
  <c r="BQ38" i="14"/>
  <c r="AK12" i="13"/>
  <c r="DH12" i="13" s="1"/>
  <c r="BM31" i="14"/>
  <c r="AS14" i="14"/>
  <c r="BL14" i="14" s="1"/>
  <c r="FJ75" i="13"/>
  <c r="FL75" i="13" s="1"/>
  <c r="AW37" i="14" s="1"/>
  <c r="AY37" i="14" s="1"/>
  <c r="DG37" i="13"/>
  <c r="CL37" i="13"/>
  <c r="BD36" i="13"/>
  <c r="AO36" i="13"/>
  <c r="AK36" i="13"/>
  <c r="DH36" i="13" s="1"/>
  <c r="N35" i="14"/>
  <c r="CL34" i="13"/>
  <c r="DG34" i="13"/>
  <c r="BD32" i="13"/>
  <c r="AO32" i="13"/>
  <c r="AK34" i="13"/>
  <c r="DH34" i="13" s="1"/>
  <c r="AK33" i="13"/>
  <c r="DH33" i="13" s="1"/>
  <c r="CB38" i="14"/>
  <c r="BX45" i="14" s="1"/>
  <c r="KG34" i="13"/>
  <c r="II34" i="13"/>
  <c r="AS34" i="14"/>
  <c r="FU35" i="13"/>
  <c r="FT35" i="13"/>
  <c r="FM35" i="13" s="1"/>
  <c r="DG31" i="13"/>
  <c r="KG32" i="13"/>
  <c r="AO31" i="13"/>
  <c r="BD31" i="13"/>
  <c r="AS29" i="14"/>
  <c r="BM29" i="14" s="1"/>
  <c r="FL68" i="13"/>
  <c r="AW30" i="14" s="1"/>
  <c r="DG30" i="13"/>
  <c r="CL30" i="13"/>
  <c r="J29" i="14"/>
  <c r="N29" i="14" s="1"/>
  <c r="AK29" i="13"/>
  <c r="DH29" i="13" s="1"/>
  <c r="KG28" i="13"/>
  <c r="CL28" i="13"/>
  <c r="AK28" i="13"/>
  <c r="DH28" i="13" s="1"/>
  <c r="II64" i="13"/>
  <c r="II25" i="13"/>
  <c r="AK25" i="13"/>
  <c r="DH25" i="13" s="1"/>
  <c r="AK26" i="13"/>
  <c r="DH26" i="13" s="1"/>
  <c r="FU24" i="13"/>
  <c r="FT24" i="13"/>
  <c r="FM24" i="13" s="1"/>
  <c r="II61" i="13"/>
  <c r="N24" i="14"/>
  <c r="II59" i="13"/>
  <c r="CL23" i="13"/>
  <c r="S22" i="14"/>
  <c r="V22" i="14" s="1"/>
  <c r="AO22" i="13"/>
  <c r="AK23" i="13"/>
  <c r="DH23" i="13" s="1"/>
  <c r="AO21" i="13"/>
  <c r="FD19" i="13"/>
  <c r="AS18" i="14"/>
  <c r="BL18" i="14" s="1"/>
  <c r="N20" i="14"/>
  <c r="DG19" i="13"/>
  <c r="CL19" i="13"/>
  <c r="FT16" i="13"/>
  <c r="FM16" i="13" s="1"/>
  <c r="FU16" i="13"/>
  <c r="FD17" i="13"/>
  <c r="AO18" i="13"/>
  <c r="FD16" i="13"/>
  <c r="FA16" i="13"/>
  <c r="AS16" i="14"/>
  <c r="BL16" i="14" s="1"/>
  <c r="II17" i="13"/>
  <c r="KG17" i="13"/>
  <c r="FA12" i="13"/>
  <c r="AS12" i="14"/>
  <c r="BH12" i="14" s="1"/>
  <c r="G13" i="14"/>
  <c r="N13" i="14" s="1"/>
  <c r="FD12" i="13"/>
  <c r="II49" i="13"/>
  <c r="KG12" i="13"/>
  <c r="II12" i="13"/>
  <c r="AS10" i="14"/>
  <c r="BH10" i="14" s="1"/>
  <c r="V10" i="14"/>
  <c r="CL11" i="13"/>
  <c r="II47" i="13"/>
  <c r="DG11" i="13"/>
  <c r="AT7" i="14"/>
  <c r="J7" i="14"/>
  <c r="FB45" i="13"/>
  <c r="FD45" i="13" s="1"/>
  <c r="FJ45" i="13" s="1"/>
  <c r="FL45" i="13" s="1"/>
  <c r="AW7" i="14" s="1"/>
  <c r="FG39" i="13"/>
  <c r="FT9" i="13"/>
  <c r="FM9" i="13" s="1"/>
  <c r="DG8" i="13"/>
  <c r="S7" i="14"/>
  <c r="V7" i="14" s="1"/>
  <c r="BD8" i="13"/>
  <c r="FA11" i="13"/>
  <c r="FT23" i="13"/>
  <c r="FM23" i="13" s="1"/>
  <c r="FD11" i="13"/>
  <c r="FD36" i="13"/>
  <c r="FA36" i="13"/>
  <c r="II54" i="13"/>
  <c r="AS24" i="14"/>
  <c r="BL24" i="14" s="1"/>
  <c r="BC38" i="14"/>
  <c r="AS30" i="14"/>
  <c r="AS8" i="14"/>
  <c r="BM8" i="14" s="1"/>
  <c r="AX38" i="14"/>
  <c r="AS15" i="14"/>
  <c r="BL15" i="14" s="1"/>
  <c r="AS11" i="14"/>
  <c r="BH11" i="14" s="1"/>
  <c r="AS27" i="14"/>
  <c r="BM27" i="14" s="1"/>
  <c r="FK54" i="13"/>
  <c r="FM54" i="13" s="1"/>
  <c r="BB16" i="14" s="1"/>
  <c r="BD16" i="14" s="1"/>
  <c r="FL51" i="13"/>
  <c r="AW13" i="14" s="1"/>
  <c r="AY13" i="14" s="1"/>
  <c r="FL71" i="13"/>
  <c r="AW33" i="14" s="1"/>
  <c r="FJ74" i="13"/>
  <c r="FL74" i="13" s="1"/>
  <c r="AW36" i="14" s="1"/>
  <c r="AY36" i="14" s="1"/>
  <c r="FL52" i="13"/>
  <c r="AW14" i="14" s="1"/>
  <c r="FK73" i="13"/>
  <c r="FM73" i="13" s="1"/>
  <c r="BB35" i="14" s="1"/>
  <c r="BD35" i="14" s="1"/>
  <c r="FL59" i="13"/>
  <c r="AW21" i="14" s="1"/>
  <c r="FL73" i="13"/>
  <c r="FL49" i="13"/>
  <c r="AW11" i="14" s="1"/>
  <c r="AY11" i="14" s="1"/>
  <c r="II24" i="13"/>
  <c r="II19" i="13"/>
  <c r="KG24" i="13"/>
  <c r="II16" i="13"/>
  <c r="II56" i="13"/>
  <c r="KG27" i="13"/>
  <c r="AG38" i="14"/>
  <c r="C60" i="14" s="1"/>
  <c r="KG38" i="13"/>
  <c r="II75" i="13"/>
  <c r="KG16" i="13"/>
  <c r="DB39" i="13"/>
  <c r="S28" i="14"/>
  <c r="V28" i="14" s="1"/>
  <c r="CL29" i="13"/>
  <c r="CL20" i="13"/>
  <c r="DG20" i="13"/>
  <c r="DG29" i="13"/>
  <c r="CK39" i="13"/>
  <c r="BX39" i="13"/>
  <c r="BD27" i="13"/>
  <c r="AO27" i="13"/>
  <c r="AO14" i="13"/>
  <c r="BD14" i="13"/>
  <c r="AO30" i="13"/>
  <c r="AA38" i="14"/>
  <c r="C53" i="14" s="1"/>
  <c r="N30" i="14"/>
  <c r="N17" i="14"/>
  <c r="AK16" i="13"/>
  <c r="DH16" i="13" s="1"/>
  <c r="AK17" i="13"/>
  <c r="DH17" i="13" s="1"/>
  <c r="AK38" i="13"/>
  <c r="DH38" i="13" s="1"/>
  <c r="AK24" i="13"/>
  <c r="DH24" i="13" s="1"/>
  <c r="AK11" i="13"/>
  <c r="DH11" i="13" s="1"/>
  <c r="AK31" i="13"/>
  <c r="DH31" i="13" s="1"/>
  <c r="AK21" i="13"/>
  <c r="DH21" i="13" s="1"/>
  <c r="AK15" i="13"/>
  <c r="DH15" i="13" s="1"/>
  <c r="E38" i="14"/>
  <c r="AK35" i="13"/>
  <c r="DH35" i="13" s="1"/>
  <c r="N31" i="14"/>
  <c r="AK18" i="13"/>
  <c r="DH18" i="13" s="1"/>
  <c r="AK37" i="13"/>
  <c r="DH37" i="13" s="1"/>
  <c r="R39" i="13"/>
  <c r="N26" i="14"/>
  <c r="N21" i="14"/>
  <c r="AK13" i="13"/>
  <c r="DH13" i="13" s="1"/>
  <c r="AK32" i="13"/>
  <c r="DH32" i="13" s="1"/>
  <c r="AK19" i="13"/>
  <c r="DH19" i="13" s="1"/>
  <c r="G39" i="13"/>
  <c r="II67" i="13"/>
  <c r="II71" i="13"/>
  <c r="II68" i="13"/>
  <c r="DG10" i="13"/>
  <c r="AJ39" i="13"/>
  <c r="FL58" i="13"/>
  <c r="AW20" i="14" s="1"/>
  <c r="FT21" i="13"/>
  <c r="FM21" i="13" s="1"/>
  <c r="CP39" i="13"/>
  <c r="FL70" i="13"/>
  <c r="AW32" i="14" s="1"/>
  <c r="FL60" i="13"/>
  <c r="AW22" i="14" s="1"/>
  <c r="AY22" i="14" s="1"/>
  <c r="FL72" i="13"/>
  <c r="AW34" i="14" s="1"/>
  <c r="AY34" i="14" s="1"/>
  <c r="FL66" i="13"/>
  <c r="AW28" i="14" s="1"/>
  <c r="FL63" i="13"/>
  <c r="AW25" i="14" s="1"/>
  <c r="FM74" i="13"/>
  <c r="BB36" i="14" s="1"/>
  <c r="BD36" i="14" s="1"/>
  <c r="FL57" i="13"/>
  <c r="AW19" i="14" s="1"/>
  <c r="FJ48" i="13"/>
  <c r="FL48" i="13" s="1"/>
  <c r="AW10" i="14" s="1"/>
  <c r="AY10" i="14" s="1"/>
  <c r="FL55" i="13"/>
  <c r="AW17" i="14" s="1"/>
  <c r="AY17" i="14" s="1"/>
  <c r="CT39" i="13"/>
  <c r="AW15" i="14"/>
  <c r="AY15" i="14" s="1"/>
  <c r="DH8" i="13"/>
  <c r="FK58" i="13"/>
  <c r="FI58" i="13"/>
  <c r="J12" i="14"/>
  <c r="N12" i="14" s="1"/>
  <c r="AO13" i="13"/>
  <c r="BD13" i="13"/>
  <c r="AH38" i="14"/>
  <c r="AK7" i="14"/>
  <c r="KG36" i="13"/>
  <c r="AT25" i="14"/>
  <c r="FD26" i="13"/>
  <c r="AT19" i="14"/>
  <c r="FD20" i="13"/>
  <c r="FL46" i="13"/>
  <c r="II60" i="13"/>
  <c r="BE38" i="14"/>
  <c r="BG7" i="14"/>
  <c r="BG38" i="14" s="1"/>
  <c r="Y7" i="14"/>
  <c r="II14" i="13"/>
  <c r="GG41" i="13"/>
  <c r="J18" i="14"/>
  <c r="N18" i="14" s="1"/>
  <c r="AO19" i="13"/>
  <c r="BD19" i="13"/>
  <c r="FL64" i="13"/>
  <c r="J27" i="14"/>
  <c r="N27" i="14" s="1"/>
  <c r="BD28" i="13"/>
  <c r="AO28" i="13"/>
  <c r="AT24" i="14"/>
  <c r="FD25" i="13"/>
  <c r="FA25" i="13"/>
  <c r="FK66" i="13"/>
  <c r="FI66" i="13"/>
  <c r="CW39" i="13"/>
  <c r="J19" i="14"/>
  <c r="AO20" i="13"/>
  <c r="BD20" i="13"/>
  <c r="FK61" i="13"/>
  <c r="FI61" i="13"/>
  <c r="II36" i="13"/>
  <c r="S37" i="14"/>
  <c r="V37" i="14" s="1"/>
  <c r="CL38" i="13"/>
  <c r="KG23" i="13"/>
  <c r="FI63" i="13"/>
  <c r="FK63" i="13"/>
  <c r="CE42" i="13"/>
  <c r="CF42" i="13" s="1"/>
  <c r="S9" i="14"/>
  <c r="V9" i="14" s="1"/>
  <c r="CL10" i="13"/>
  <c r="AS39" i="13"/>
  <c r="AR38" i="14"/>
  <c r="H38" i="14"/>
  <c r="U38" i="14"/>
  <c r="S8" i="14"/>
  <c r="V8" i="14" s="1"/>
  <c r="CL9" i="13"/>
  <c r="FK47" i="13"/>
  <c r="FI47" i="13"/>
  <c r="FK64" i="13"/>
  <c r="FI64" i="13"/>
  <c r="AT29" i="14"/>
  <c r="FD30" i="13"/>
  <c r="AT14" i="14"/>
  <c r="FD15" i="13"/>
  <c r="FK60" i="13"/>
  <c r="FI60" i="13"/>
  <c r="KG37" i="13"/>
  <c r="II65" i="13"/>
  <c r="G19" i="14"/>
  <c r="AK20" i="13"/>
  <c r="DH20" i="13" s="1"/>
  <c r="BA38" i="14"/>
  <c r="AK27" i="13"/>
  <c r="DH27" i="13" s="1"/>
  <c r="J34" i="14"/>
  <c r="N34" i="14" s="1"/>
  <c r="BD35" i="13"/>
  <c r="AO35" i="13"/>
  <c r="J32" i="14"/>
  <c r="N32" i="14" s="1"/>
  <c r="BD33" i="13"/>
  <c r="AO33" i="13"/>
  <c r="S26" i="14"/>
  <c r="V26" i="14" s="1"/>
  <c r="CL27" i="13"/>
  <c r="S15" i="14"/>
  <c r="V15" i="14" s="1"/>
  <c r="CL16" i="13"/>
  <c r="BX38" i="14"/>
  <c r="BX41" i="14" s="1"/>
  <c r="II45" i="13"/>
  <c r="FM48" i="13"/>
  <c r="BB10" i="14" s="1"/>
  <c r="BD10" i="14" s="1"/>
  <c r="KG26" i="13"/>
  <c r="IH39" i="13"/>
  <c r="HI50" i="13" s="1"/>
  <c r="HI52" i="13" s="1"/>
  <c r="II66" i="13"/>
  <c r="KG35" i="13"/>
  <c r="FK68" i="13"/>
  <c r="FI68" i="13"/>
  <c r="II37" i="13"/>
  <c r="AO7" i="14"/>
  <c r="CF17" i="14"/>
  <c r="II55" i="13" s="1"/>
  <c r="II18" i="13"/>
  <c r="CF19" i="14"/>
  <c r="II57" i="13" s="1"/>
  <c r="KG20" i="13"/>
  <c r="D38" i="14"/>
  <c r="II27" i="13"/>
  <c r="S17" i="14"/>
  <c r="V17" i="14" s="1"/>
  <c r="CL18" i="13"/>
  <c r="II26" i="13"/>
  <c r="AT9" i="14"/>
  <c r="FA10" i="13"/>
  <c r="FD10" i="13"/>
  <c r="FK46" i="13"/>
  <c r="FI46" i="13"/>
  <c r="AT28" i="14"/>
  <c r="FD29" i="13"/>
  <c r="FA29" i="13"/>
  <c r="FK71" i="13"/>
  <c r="FI71" i="13"/>
  <c r="FK65" i="13"/>
  <c r="FI65" i="13"/>
  <c r="II35" i="13"/>
  <c r="II74" i="13"/>
  <c r="CF14" i="14"/>
  <c r="II52" i="13" s="1"/>
  <c r="KG15" i="13"/>
  <c r="AN39" i="13"/>
  <c r="FA20" i="13"/>
  <c r="J8" i="14"/>
  <c r="N8" i="14" s="1"/>
  <c r="AO9" i="13"/>
  <c r="BD9" i="13"/>
  <c r="S16" i="14"/>
  <c r="V16" i="14" s="1"/>
  <c r="CL17" i="13"/>
  <c r="AE38" i="14"/>
  <c r="C58" i="14" s="1"/>
  <c r="II53" i="13"/>
  <c r="T38" i="14"/>
  <c r="KG14" i="13"/>
  <c r="AT26" i="14"/>
  <c r="FA27" i="13"/>
  <c r="FD27" i="13"/>
  <c r="AF38" i="14"/>
  <c r="C59" i="14" s="1"/>
  <c r="AT21" i="14"/>
  <c r="FA22" i="13"/>
  <c r="FD22" i="13"/>
  <c r="J33" i="14"/>
  <c r="N33" i="14" s="1"/>
  <c r="BD34" i="13"/>
  <c r="AO34" i="13"/>
  <c r="J28" i="14"/>
  <c r="N28" i="14" s="1"/>
  <c r="BD29" i="13"/>
  <c r="AO29" i="13"/>
  <c r="II23" i="13"/>
  <c r="FK67" i="13"/>
  <c r="FI67" i="13"/>
  <c r="II72" i="13"/>
  <c r="FK59" i="13"/>
  <c r="FI59" i="13"/>
  <c r="FK55" i="13"/>
  <c r="FI55" i="13"/>
  <c r="II70" i="13"/>
  <c r="II20" i="13"/>
  <c r="II15" i="13"/>
  <c r="II32" i="13"/>
  <c r="CF10" i="14"/>
  <c r="II48" i="13" s="1"/>
  <c r="KG11" i="13"/>
  <c r="P38" i="14"/>
  <c r="S31" i="14"/>
  <c r="V31" i="14" s="1"/>
  <c r="CL32" i="13"/>
  <c r="BF38" i="14"/>
  <c r="S12" i="14"/>
  <c r="V12" i="14" s="1"/>
  <c r="CL13" i="13"/>
  <c r="S11" i="14"/>
  <c r="V11" i="14" s="1"/>
  <c r="CL12" i="13"/>
  <c r="II63" i="13"/>
  <c r="AT30" i="14"/>
  <c r="FD31" i="13"/>
  <c r="AT32" i="14"/>
  <c r="FD33" i="13"/>
  <c r="FA33" i="13"/>
  <c r="AT33" i="14"/>
  <c r="FD34" i="13"/>
  <c r="FL62" i="13"/>
  <c r="FI62" i="13"/>
  <c r="FK62" i="13"/>
  <c r="S35" i="14"/>
  <c r="V35" i="14" s="1"/>
  <c r="CL36" i="13"/>
  <c r="FK57" i="13"/>
  <c r="FI57" i="13"/>
  <c r="II33" i="13"/>
  <c r="FI52" i="13"/>
  <c r="FK52" i="13"/>
  <c r="S24" i="14"/>
  <c r="V24" i="14" s="1"/>
  <c r="CL25" i="13"/>
  <c r="X38" i="14"/>
  <c r="KG21" i="13"/>
  <c r="CC38" i="14"/>
  <c r="BX46" i="14" s="1"/>
  <c r="S21" i="14"/>
  <c r="V21" i="14" s="1"/>
  <c r="CL22" i="13"/>
  <c r="DG32" i="13"/>
  <c r="J14" i="14"/>
  <c r="N14" i="14" s="1"/>
  <c r="BD15" i="13"/>
  <c r="AO15" i="13"/>
  <c r="AP38" i="14"/>
  <c r="AS7" i="14"/>
  <c r="AF39" i="13"/>
  <c r="FK72" i="13"/>
  <c r="FI72" i="13"/>
  <c r="II28" i="13"/>
  <c r="FL61" i="13"/>
  <c r="AT12" i="14"/>
  <c r="FD13" i="13"/>
  <c r="S20" i="14"/>
  <c r="V20" i="14" s="1"/>
  <c r="CL21" i="13"/>
  <c r="AT20" i="14"/>
  <c r="FD21" i="13"/>
  <c r="KG33" i="13"/>
  <c r="FK53" i="13"/>
  <c r="FI53" i="13"/>
  <c r="II51" i="13"/>
  <c r="II21" i="13"/>
  <c r="S13" i="14"/>
  <c r="V13" i="14" s="1"/>
  <c r="CL14" i="13"/>
  <c r="O38" i="14"/>
  <c r="K38" i="14"/>
  <c r="KG22" i="13"/>
  <c r="II10" i="13"/>
  <c r="DF39" i="13"/>
  <c r="GA41" i="13"/>
  <c r="W9" i="14"/>
  <c r="Y9" i="14" s="1"/>
  <c r="BH9" i="14" s="1"/>
  <c r="CX10" i="13"/>
  <c r="CX39" i="13" s="1"/>
  <c r="FI69" i="13"/>
  <c r="FK69" i="13"/>
  <c r="B38" i="14"/>
  <c r="C42" i="14" s="1"/>
  <c r="AT27" i="14"/>
  <c r="FD28" i="13"/>
  <c r="FA28" i="13"/>
  <c r="FK49" i="13"/>
  <c r="FI49" i="13"/>
  <c r="FK70" i="13"/>
  <c r="FI70" i="13"/>
  <c r="S25" i="14"/>
  <c r="V25" i="14" s="1"/>
  <c r="CL26" i="13"/>
  <c r="AZ20" i="14"/>
  <c r="AZ38" i="14" s="1"/>
  <c r="FU21" i="13"/>
  <c r="Y34" i="14"/>
  <c r="BH34" i="14" s="1"/>
  <c r="FK56" i="13"/>
  <c r="FI56" i="13"/>
  <c r="FK50" i="13"/>
  <c r="FI50" i="13"/>
  <c r="J22" i="14"/>
  <c r="N22" i="14" s="1"/>
  <c r="BD23" i="13"/>
  <c r="AO23" i="13"/>
  <c r="FA21" i="13"/>
  <c r="J36" i="14"/>
  <c r="N36" i="14" s="1"/>
  <c r="BD37" i="13"/>
  <c r="AO37" i="13"/>
  <c r="KG31" i="13"/>
  <c r="I38" i="14"/>
  <c r="DG27" i="13"/>
  <c r="II22" i="13"/>
  <c r="EQ39" i="13"/>
  <c r="AQ38" i="14"/>
  <c r="DG17" i="13"/>
  <c r="AC38" i="14"/>
  <c r="C56" i="14" s="1"/>
  <c r="FK51" i="13"/>
  <c r="FI51" i="13"/>
  <c r="II73" i="13"/>
  <c r="J37" i="14"/>
  <c r="N37" i="14" s="1"/>
  <c r="AO38" i="13"/>
  <c r="BD38" i="13"/>
  <c r="AT31" i="14"/>
  <c r="FA32" i="13"/>
  <c r="FD32" i="13"/>
  <c r="FL56" i="13"/>
  <c r="FL50" i="13"/>
  <c r="FI45" i="13"/>
  <c r="FA26" i="13"/>
  <c r="G7" i="14"/>
  <c r="X39" i="13"/>
  <c r="II58" i="13"/>
  <c r="J16" i="14"/>
  <c r="N16" i="14" s="1"/>
  <c r="AO17" i="13"/>
  <c r="BD17" i="13"/>
  <c r="AK9" i="13"/>
  <c r="DH9" i="13" s="1"/>
  <c r="J15" i="14"/>
  <c r="N15" i="14" s="1"/>
  <c r="BD16" i="13"/>
  <c r="AO16" i="13"/>
  <c r="J11" i="14"/>
  <c r="N11" i="14" s="1"/>
  <c r="AO12" i="13"/>
  <c r="BD12" i="13"/>
  <c r="J9" i="14"/>
  <c r="N9" i="14" s="1"/>
  <c r="BD10" i="13"/>
  <c r="AO10" i="13"/>
  <c r="II31" i="13"/>
  <c r="AK22" i="13"/>
  <c r="DH22" i="13" s="1"/>
  <c r="J10" i="14"/>
  <c r="N10" i="14" s="1"/>
  <c r="BD11" i="13"/>
  <c r="AO11" i="13"/>
  <c r="FA31" i="13"/>
  <c r="AM38" i="14"/>
  <c r="KG10" i="13"/>
  <c r="H82" i="11"/>
  <c r="H81" i="11"/>
  <c r="P82" i="11"/>
  <c r="P81" i="11"/>
  <c r="L81" i="11"/>
  <c r="L82" i="11"/>
  <c r="BM33" i="14" l="1"/>
  <c r="FN75" i="13"/>
  <c r="BM35" i="14"/>
  <c r="BO37" i="14"/>
  <c r="AL38" i="14"/>
  <c r="BM36" i="14"/>
  <c r="EN39" i="13"/>
  <c r="AO38" i="14"/>
  <c r="C48" i="14" s="1"/>
  <c r="FU39" i="13"/>
  <c r="CI47" i="14"/>
  <c r="BM7" i="14"/>
  <c r="ED39" i="13"/>
  <c r="BM32" i="14"/>
  <c r="AK38" i="14"/>
  <c r="C47" i="14" s="1"/>
  <c r="BL38" i="14"/>
  <c r="BO30" i="14"/>
  <c r="BM30" i="14"/>
  <c r="BO34" i="14"/>
  <c r="BM34" i="14"/>
  <c r="FM66" i="13"/>
  <c r="BB28" i="14" s="1"/>
  <c r="BD28" i="14" s="1"/>
  <c r="FN73" i="13"/>
  <c r="AY30" i="14"/>
  <c r="G38" i="14"/>
  <c r="AY7" i="14"/>
  <c r="FK45" i="13"/>
  <c r="FM45" i="13" s="1"/>
  <c r="FM39" i="13"/>
  <c r="AW35" i="14"/>
  <c r="AY35" i="14" s="1"/>
  <c r="GU36" i="13" s="1"/>
  <c r="AY27" i="14"/>
  <c r="FM49" i="13"/>
  <c r="BB11" i="14" s="1"/>
  <c r="BD11" i="14" s="1"/>
  <c r="GU12" i="13" s="1"/>
  <c r="FM59" i="13"/>
  <c r="BB21" i="14" s="1"/>
  <c r="BD21" i="14" s="1"/>
  <c r="FM63" i="13"/>
  <c r="BB25" i="14" s="1"/>
  <c r="BD25" i="14" s="1"/>
  <c r="FN74" i="13"/>
  <c r="GU37" i="13"/>
  <c r="AY19" i="14"/>
  <c r="AY31" i="14"/>
  <c r="FM64" i="13"/>
  <c r="BB26" i="14" s="1"/>
  <c r="BD26" i="14" s="1"/>
  <c r="GU17" i="13"/>
  <c r="DG39" i="13"/>
  <c r="GU38" i="13"/>
  <c r="II39" i="13"/>
  <c r="KG39" i="13"/>
  <c r="AY28" i="14"/>
  <c r="FM67" i="13"/>
  <c r="FM50" i="13"/>
  <c r="BB12" i="14" s="1"/>
  <c r="BD12" i="14" s="1"/>
  <c r="FM65" i="13"/>
  <c r="BB27" i="14" s="1"/>
  <c r="BD27" i="14" s="1"/>
  <c r="CL39" i="13"/>
  <c r="DH39" i="13"/>
  <c r="BD39" i="13"/>
  <c r="AK39" i="13"/>
  <c r="FM72" i="13"/>
  <c r="BB34" i="14" s="1"/>
  <c r="BD34" i="14" s="1"/>
  <c r="GU35" i="13" s="1"/>
  <c r="FM71" i="13"/>
  <c r="FN54" i="13"/>
  <c r="FM55" i="13"/>
  <c r="BB17" i="14" s="1"/>
  <c r="BD17" i="14" s="1"/>
  <c r="GU18" i="13" s="1"/>
  <c r="FM60" i="13"/>
  <c r="BB22" i="14" s="1"/>
  <c r="BD22" i="14" s="1"/>
  <c r="GU23" i="13" s="1"/>
  <c r="FD39" i="13"/>
  <c r="FM58" i="13"/>
  <c r="AO39" i="13"/>
  <c r="FM52" i="13"/>
  <c r="FM62" i="13"/>
  <c r="BB24" i="14" s="1"/>
  <c r="BD24" i="14" s="1"/>
  <c r="FN48" i="13"/>
  <c r="II76" i="13"/>
  <c r="FM61" i="13"/>
  <c r="BB23" i="14" s="1"/>
  <c r="BD23" i="14" s="1"/>
  <c r="AW24" i="14"/>
  <c r="AY24" i="14" s="1"/>
  <c r="J38" i="14"/>
  <c r="AY25" i="14"/>
  <c r="FM70" i="13"/>
  <c r="V38" i="14"/>
  <c r="C45" i="14" s="1"/>
  <c r="FM47" i="13"/>
  <c r="S38" i="14"/>
  <c r="Y38" i="14"/>
  <c r="BH7" i="14"/>
  <c r="BH38" i="14" s="1"/>
  <c r="CI45" i="14" s="1"/>
  <c r="AY20" i="14"/>
  <c r="AY33" i="14"/>
  <c r="W38" i="14"/>
  <c r="FM69" i="13"/>
  <c r="N7" i="14"/>
  <c r="CI43" i="14"/>
  <c r="C52" i="14"/>
  <c r="CF38" i="14"/>
  <c r="BX49" i="14" s="1"/>
  <c r="BX51" i="14" s="1"/>
  <c r="AW12" i="14"/>
  <c r="AY12" i="14" s="1"/>
  <c r="AW18" i="14"/>
  <c r="AY18" i="14" s="1"/>
  <c r="FM51" i="13"/>
  <c r="FM56" i="13"/>
  <c r="BB18" i="14" s="1"/>
  <c r="BD18" i="14" s="1"/>
  <c r="AS38" i="14"/>
  <c r="FM46" i="13"/>
  <c r="BB8" i="14" s="1"/>
  <c r="BD8" i="14" s="1"/>
  <c r="AY14" i="14"/>
  <c r="AY32" i="14"/>
  <c r="FM57" i="13"/>
  <c r="N19" i="14"/>
  <c r="AY29" i="14"/>
  <c r="AW26" i="14"/>
  <c r="AY26" i="14" s="1"/>
  <c r="GU11" i="13"/>
  <c r="AT38" i="14"/>
  <c r="FM53" i="13"/>
  <c r="AW23" i="14"/>
  <c r="AY23" i="14" s="1"/>
  <c r="AY21" i="14"/>
  <c r="AY9" i="14"/>
  <c r="FM68" i="13"/>
  <c r="AW8" i="14"/>
  <c r="AY8" i="14" s="1"/>
  <c r="BO38" i="14" l="1"/>
  <c r="BM38" i="14"/>
  <c r="GU28" i="13"/>
  <c r="GU29" i="13"/>
  <c r="FN66" i="13"/>
  <c r="GU26" i="13"/>
  <c r="FN49" i="13"/>
  <c r="BB7" i="14"/>
  <c r="BD7" i="14" s="1"/>
  <c r="GU8" i="13" s="1"/>
  <c r="FN45" i="13"/>
  <c r="FN50" i="13"/>
  <c r="FN55" i="13"/>
  <c r="GU22" i="13"/>
  <c r="FN59" i="13"/>
  <c r="GU13" i="13"/>
  <c r="FN64" i="13"/>
  <c r="FN63" i="13"/>
  <c r="GU27" i="13"/>
  <c r="FN61" i="13"/>
  <c r="FN65" i="13"/>
  <c r="GU24" i="13"/>
  <c r="GU9" i="13"/>
  <c r="FN60" i="13"/>
  <c r="FN72" i="13"/>
  <c r="BB33" i="14"/>
  <c r="BD33" i="14" s="1"/>
  <c r="GU34" i="13" s="1"/>
  <c r="FN71" i="13"/>
  <c r="BB20" i="14"/>
  <c r="BD20" i="14" s="1"/>
  <c r="GU21" i="13" s="1"/>
  <c r="FN58" i="13"/>
  <c r="GU25" i="13"/>
  <c r="GU19" i="13"/>
  <c r="BB29" i="14"/>
  <c r="BD29" i="14" s="1"/>
  <c r="GU30" i="13" s="1"/>
  <c r="FN67" i="13"/>
  <c r="BB32" i="14"/>
  <c r="BD32" i="14" s="1"/>
  <c r="GU33" i="13" s="1"/>
  <c r="FN70" i="13"/>
  <c r="BB30" i="14"/>
  <c r="BD30" i="14" s="1"/>
  <c r="GU31" i="13" s="1"/>
  <c r="FN68" i="13"/>
  <c r="C46" i="14"/>
  <c r="CI41" i="14"/>
  <c r="FN62" i="13"/>
  <c r="AY38" i="14"/>
  <c r="C49" i="14" s="1"/>
  <c r="BB14" i="14"/>
  <c r="BD14" i="14" s="1"/>
  <c r="GU15" i="13" s="1"/>
  <c r="FN52" i="13"/>
  <c r="BB15" i="14"/>
  <c r="BD15" i="14" s="1"/>
  <c r="GU16" i="13" s="1"/>
  <c r="FN53" i="13"/>
  <c r="BB19" i="14"/>
  <c r="BD19" i="14" s="1"/>
  <c r="GU20" i="13" s="1"/>
  <c r="FN57" i="13"/>
  <c r="C51" i="14"/>
  <c r="CI42" i="14"/>
  <c r="AW38" i="14"/>
  <c r="BB9" i="14"/>
  <c r="FN47" i="13"/>
  <c r="N38" i="14"/>
  <c r="C44" i="14" s="1"/>
  <c r="BB13" i="14"/>
  <c r="BD13" i="14" s="1"/>
  <c r="GU14" i="13" s="1"/>
  <c r="FN51" i="13"/>
  <c r="BB31" i="14"/>
  <c r="BD31" i="14" s="1"/>
  <c r="GU32" i="13" s="1"/>
  <c r="FN69" i="13"/>
  <c r="FN46" i="13"/>
  <c r="FN56" i="13"/>
  <c r="FQ46" i="11"/>
  <c r="FQ47" i="11"/>
  <c r="FQ48" i="11"/>
  <c r="FQ49" i="11"/>
  <c r="FQ50" i="11"/>
  <c r="FQ51" i="11"/>
  <c r="FQ52" i="11"/>
  <c r="FQ53" i="11"/>
  <c r="FQ54" i="11"/>
  <c r="FQ55" i="11"/>
  <c r="FQ56" i="11"/>
  <c r="FQ57" i="11"/>
  <c r="FQ58" i="11"/>
  <c r="FQ59" i="11"/>
  <c r="FQ60" i="11"/>
  <c r="FQ61" i="11"/>
  <c r="FQ62" i="11"/>
  <c r="FQ63" i="11"/>
  <c r="FQ64" i="11"/>
  <c r="FQ65" i="11"/>
  <c r="FQ66" i="11"/>
  <c r="FQ67" i="11"/>
  <c r="FQ68" i="11"/>
  <c r="FQ69" i="11"/>
  <c r="FQ70" i="11"/>
  <c r="FQ71" i="11"/>
  <c r="FQ45" i="11"/>
  <c r="CI46" i="14" l="1"/>
  <c r="CI48" i="14" s="1"/>
  <c r="BD9" i="14"/>
  <c r="BB38" i="14"/>
  <c r="CI44" i="14"/>
  <c r="FU72" i="11"/>
  <c r="FF73" i="11"/>
  <c r="FG73" i="11" s="1"/>
  <c r="FF72" i="11"/>
  <c r="FG72" i="11" s="1"/>
  <c r="BD38" i="14" l="1"/>
  <c r="C50" i="14" s="1"/>
  <c r="C63" i="14" s="1"/>
  <c r="GU10" i="13"/>
  <c r="GU39" i="13" s="1"/>
  <c r="FF71" i="11" l="1"/>
  <c r="FG71" i="11" s="1"/>
  <c r="FU71" i="11"/>
  <c r="FU70" i="11"/>
  <c r="FF70" i="11"/>
  <c r="FG70" i="11" s="1"/>
  <c r="FU69" i="11" l="1"/>
  <c r="FF69" i="11"/>
  <c r="FG69" i="11" s="1"/>
  <c r="FU68" i="11" l="1"/>
  <c r="FF68" i="11"/>
  <c r="FG68" i="11" s="1"/>
  <c r="FU67" i="11" l="1"/>
  <c r="FF67" i="11"/>
  <c r="FG67" i="11" s="1"/>
  <c r="CI30" i="11"/>
  <c r="FU66" i="11" l="1"/>
  <c r="FF66" i="11"/>
  <c r="FG66" i="11" s="1"/>
  <c r="FF65" i="11"/>
  <c r="FG65" i="11" s="1"/>
  <c r="FU65" i="11"/>
  <c r="HH25" i="11" l="1"/>
  <c r="FF64" i="11"/>
  <c r="FG64" i="11" s="1"/>
  <c r="FU64" i="11"/>
  <c r="CS26" i="11" l="1"/>
  <c r="CO26" i="11"/>
  <c r="GW26" i="11"/>
  <c r="FU63" i="11"/>
  <c r="FF63" i="11"/>
  <c r="FG63" i="11" s="1"/>
  <c r="FU62" i="11" l="1"/>
  <c r="FF62" i="11"/>
  <c r="FG62" i="11" s="1"/>
  <c r="DZ25" i="11"/>
  <c r="FF61" i="11"/>
  <c r="FG61" i="11" s="1"/>
  <c r="FU61" i="11"/>
  <c r="FU60" i="11" l="1"/>
  <c r="FF60" i="11"/>
  <c r="FG60" i="11" s="1"/>
  <c r="FF59" i="11" l="1"/>
  <c r="FG59" i="11" s="1"/>
  <c r="FU59" i="11"/>
  <c r="FU58" i="11"/>
  <c r="FF58" i="11"/>
  <c r="FG58" i="11" s="1"/>
  <c r="FU57" i="11" l="1"/>
  <c r="FF57" i="11"/>
  <c r="FG57" i="11" s="1"/>
  <c r="FU56" i="11" l="1"/>
  <c r="FF56" i="11"/>
  <c r="FG56" i="11" s="1"/>
  <c r="FF55" i="11" l="1"/>
  <c r="FG55" i="11" s="1"/>
  <c r="FU55" i="11"/>
  <c r="FU54" i="11" l="1"/>
  <c r="FF54" i="11"/>
  <c r="FG54" i="11" s="1"/>
  <c r="FU53" i="11" l="1"/>
  <c r="FF53" i="11"/>
  <c r="FG53" i="11" s="1"/>
  <c r="FU51" i="11" l="1"/>
  <c r="FF52" i="11"/>
  <c r="FG52" i="11" s="1"/>
  <c r="FF51" i="11"/>
  <c r="FG51" i="11" s="1"/>
  <c r="DT13" i="11" l="1"/>
  <c r="FU49" i="11" l="1"/>
  <c r="FF50" i="11"/>
  <c r="FG50" i="11" s="1"/>
  <c r="FF49" i="11"/>
  <c r="FG49" i="11" s="1"/>
  <c r="CU10" i="11" l="1"/>
  <c r="FF48" i="11"/>
  <c r="FG48" i="11" s="1"/>
  <c r="FU48" i="11"/>
  <c r="FU47" i="11" l="1"/>
  <c r="FF47" i="11"/>
  <c r="FG47" i="11" s="1"/>
  <c r="FU45" i="11" l="1"/>
  <c r="FF46" i="11"/>
  <c r="FG46" i="11" s="1"/>
  <c r="EG38" i="11" l="1"/>
  <c r="AL37" i="12" s="1"/>
  <c r="GW9" i="11"/>
  <c r="GW10" i="11"/>
  <c r="GW11" i="11"/>
  <c r="GW12" i="11"/>
  <c r="GW13" i="11"/>
  <c r="GW14" i="11"/>
  <c r="GW15" i="11"/>
  <c r="GW16" i="11"/>
  <c r="GW17" i="11"/>
  <c r="GW18" i="11"/>
  <c r="GW19" i="11"/>
  <c r="GW20" i="11"/>
  <c r="GW21" i="11"/>
  <c r="GW22" i="11"/>
  <c r="GW23" i="11"/>
  <c r="GW24" i="11"/>
  <c r="GW25" i="11"/>
  <c r="GW27" i="11"/>
  <c r="GW28" i="11"/>
  <c r="GW29" i="11"/>
  <c r="GW30" i="11"/>
  <c r="GW31" i="11"/>
  <c r="GW32" i="11"/>
  <c r="GW33" i="11"/>
  <c r="GW34" i="11"/>
  <c r="GW35" i="11"/>
  <c r="GW36" i="11"/>
  <c r="GW37" i="11"/>
  <c r="GW38" i="11"/>
  <c r="EC38" i="11"/>
  <c r="AJ37" i="12" s="1"/>
  <c r="IH7" i="11"/>
  <c r="DE7" i="11"/>
  <c r="DF7" i="11" s="1"/>
  <c r="BR38" i="12"/>
  <c r="BQ38" i="12"/>
  <c r="BN38" i="12"/>
  <c r="BK38" i="12"/>
  <c r="BJ38" i="12"/>
  <c r="BI38" i="12"/>
  <c r="A8" i="12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D82" i="11"/>
  <c r="H83" i="11"/>
  <c r="D81" i="11"/>
  <c r="DT78" i="11"/>
  <c r="DR78" i="11"/>
  <c r="DT77" i="11"/>
  <c r="DR77" i="11"/>
  <c r="G77" i="11"/>
  <c r="BU37" i="12" s="1"/>
  <c r="D77" i="11"/>
  <c r="DT76" i="11"/>
  <c r="DR76" i="11"/>
  <c r="G76" i="11"/>
  <c r="BU36" i="12" s="1"/>
  <c r="D76" i="11"/>
  <c r="BT37" i="12" s="1"/>
  <c r="IK75" i="11"/>
  <c r="FW75" i="11"/>
  <c r="FG38" i="11" s="1"/>
  <c r="FV75" i="11"/>
  <c r="EQ38" i="11" s="1"/>
  <c r="AT37" i="12" s="1"/>
  <c r="DT75" i="11"/>
  <c r="DR75" i="11"/>
  <c r="J75" i="11"/>
  <c r="G75" i="11"/>
  <c r="BU35" i="12" s="1"/>
  <c r="D75" i="11"/>
  <c r="BT36" i="12" s="1"/>
  <c r="IK74" i="11"/>
  <c r="FV74" i="11"/>
  <c r="DT74" i="11"/>
  <c r="DR74" i="11"/>
  <c r="J74" i="11"/>
  <c r="G74" i="11"/>
  <c r="BU34" i="12" s="1"/>
  <c r="D74" i="11"/>
  <c r="BT35" i="12" s="1"/>
  <c r="IK73" i="11"/>
  <c r="FU73" i="11"/>
  <c r="DT73" i="11"/>
  <c r="DR73" i="11"/>
  <c r="J73" i="11"/>
  <c r="G73" i="11"/>
  <c r="BU33" i="12" s="1"/>
  <c r="D73" i="11"/>
  <c r="BT34" i="12" s="1"/>
  <c r="IK72" i="11"/>
  <c r="FW72" i="11"/>
  <c r="FG35" i="11" s="1"/>
  <c r="AZ34" i="12" s="1"/>
  <c r="DT72" i="11"/>
  <c r="DR72" i="11"/>
  <c r="J72" i="11"/>
  <c r="G72" i="11"/>
  <c r="BU32" i="12" s="1"/>
  <c r="D72" i="11"/>
  <c r="BT33" i="12" s="1"/>
  <c r="IK71" i="11"/>
  <c r="FV71" i="11"/>
  <c r="DT71" i="11"/>
  <c r="DR71" i="11"/>
  <c r="J71" i="11"/>
  <c r="G71" i="11"/>
  <c r="BU31" i="12" s="1"/>
  <c r="D71" i="11"/>
  <c r="BT32" i="12" s="1"/>
  <c r="IK70" i="11"/>
  <c r="FW70" i="11"/>
  <c r="FG33" i="11" s="1"/>
  <c r="AZ32" i="12" s="1"/>
  <c r="DT70" i="11"/>
  <c r="DR70" i="11"/>
  <c r="J70" i="11"/>
  <c r="G70" i="11"/>
  <c r="BU30" i="12" s="1"/>
  <c r="D70" i="11"/>
  <c r="BT31" i="12" s="1"/>
  <c r="IK69" i="11"/>
  <c r="FV69" i="11"/>
  <c r="DT69" i="11"/>
  <c r="DR69" i="11"/>
  <c r="J69" i="11"/>
  <c r="G69" i="11"/>
  <c r="BU29" i="12" s="1"/>
  <c r="D69" i="11"/>
  <c r="BT30" i="12" s="1"/>
  <c r="IK68" i="11"/>
  <c r="FV68" i="11"/>
  <c r="DT68" i="11"/>
  <c r="DR68" i="11"/>
  <c r="J68" i="11"/>
  <c r="G68" i="11"/>
  <c r="BU28" i="12" s="1"/>
  <c r="D68" i="11"/>
  <c r="BT29" i="12" s="1"/>
  <c r="IK67" i="11"/>
  <c r="FW67" i="11"/>
  <c r="FG30" i="11" s="1"/>
  <c r="DT67" i="11"/>
  <c r="DR67" i="11"/>
  <c r="J67" i="11"/>
  <c r="G67" i="11"/>
  <c r="BU27" i="12" s="1"/>
  <c r="D67" i="11"/>
  <c r="BT28" i="12" s="1"/>
  <c r="IK66" i="11"/>
  <c r="FV66" i="11"/>
  <c r="DT66" i="11"/>
  <c r="DR66" i="11"/>
  <c r="J66" i="11"/>
  <c r="G66" i="11"/>
  <c r="BU26" i="12" s="1"/>
  <c r="D66" i="11"/>
  <c r="BT27" i="12" s="1"/>
  <c r="IK65" i="11"/>
  <c r="FV65" i="11"/>
  <c r="EQ28" i="11" s="1"/>
  <c r="DT65" i="11"/>
  <c r="DR65" i="11"/>
  <c r="J65" i="11"/>
  <c r="G65" i="11"/>
  <c r="BU25" i="12" s="1"/>
  <c r="D65" i="11"/>
  <c r="BT26" i="12" s="1"/>
  <c r="IK64" i="11"/>
  <c r="DT64" i="11"/>
  <c r="DR64" i="11"/>
  <c r="J64" i="11"/>
  <c r="G64" i="11"/>
  <c r="BU24" i="12" s="1"/>
  <c r="D64" i="11"/>
  <c r="BT25" i="12" s="1"/>
  <c r="IK63" i="11"/>
  <c r="FW63" i="11"/>
  <c r="FG26" i="11" s="1"/>
  <c r="DT63" i="11"/>
  <c r="DR63" i="11"/>
  <c r="J63" i="11"/>
  <c r="G63" i="11"/>
  <c r="BU23" i="12" s="1"/>
  <c r="D63" i="11"/>
  <c r="BT24" i="12" s="1"/>
  <c r="IK62" i="11"/>
  <c r="FW62" i="11"/>
  <c r="FG25" i="11" s="1"/>
  <c r="DT62" i="11"/>
  <c r="DR62" i="11"/>
  <c r="J62" i="11"/>
  <c r="G62" i="11"/>
  <c r="BU22" i="12" s="1"/>
  <c r="D62" i="11"/>
  <c r="BT23" i="12" s="1"/>
  <c r="IK61" i="11"/>
  <c r="FW61" i="11"/>
  <c r="FG24" i="11" s="1"/>
  <c r="AZ23" i="12" s="1"/>
  <c r="DT61" i="11"/>
  <c r="DR61" i="11"/>
  <c r="J61" i="11"/>
  <c r="G61" i="11"/>
  <c r="BU21" i="12" s="1"/>
  <c r="D61" i="11"/>
  <c r="BT22" i="12" s="1"/>
  <c r="IK60" i="11"/>
  <c r="DT60" i="11"/>
  <c r="J60" i="11"/>
  <c r="G60" i="11"/>
  <c r="BU20" i="12" s="1"/>
  <c r="D60" i="11"/>
  <c r="BT21" i="12" s="1"/>
  <c r="IK59" i="11"/>
  <c r="FW59" i="11"/>
  <c r="FG22" i="11" s="1"/>
  <c r="AZ21" i="12" s="1"/>
  <c r="DT59" i="11"/>
  <c r="DR59" i="11"/>
  <c r="J59" i="11"/>
  <c r="G59" i="11"/>
  <c r="BU19" i="12" s="1"/>
  <c r="D59" i="11"/>
  <c r="BT20" i="12" s="1"/>
  <c r="IK58" i="11"/>
  <c r="FV58" i="11"/>
  <c r="EQ21" i="11" s="1"/>
  <c r="AT20" i="12" s="1"/>
  <c r="FW58" i="11"/>
  <c r="FG21" i="11" s="1"/>
  <c r="AZ20" i="12" s="1"/>
  <c r="DT58" i="11"/>
  <c r="DR58" i="11"/>
  <c r="J58" i="11"/>
  <c r="G58" i="11"/>
  <c r="BU18" i="12" s="1"/>
  <c r="D58" i="11"/>
  <c r="BT19" i="12" s="1"/>
  <c r="IK57" i="11"/>
  <c r="DT57" i="11"/>
  <c r="DR57" i="11"/>
  <c r="J57" i="11"/>
  <c r="G57" i="11"/>
  <c r="BU17" i="12" s="1"/>
  <c r="D57" i="11"/>
  <c r="BT18" i="12" s="1"/>
  <c r="IK56" i="11"/>
  <c r="FV56" i="11"/>
  <c r="EQ19" i="11" s="1"/>
  <c r="AT18" i="12" s="1"/>
  <c r="DT56" i="11"/>
  <c r="DR56" i="11"/>
  <c r="J56" i="11"/>
  <c r="G56" i="11"/>
  <c r="BU16" i="12" s="1"/>
  <c r="D56" i="11"/>
  <c r="BT17" i="12" s="1"/>
  <c r="IK55" i="11"/>
  <c r="DT55" i="11"/>
  <c r="DR55" i="11"/>
  <c r="J55" i="11"/>
  <c r="G55" i="11"/>
  <c r="BU15" i="12" s="1"/>
  <c r="D55" i="11"/>
  <c r="BT16" i="12" s="1"/>
  <c r="IK54" i="11"/>
  <c r="FW54" i="11"/>
  <c r="DT54" i="11"/>
  <c r="J54" i="11"/>
  <c r="G54" i="11"/>
  <c r="BU14" i="12" s="1"/>
  <c r="D54" i="11"/>
  <c r="BT15" i="12" s="1"/>
  <c r="IK53" i="11"/>
  <c r="FV53" i="11"/>
  <c r="EQ16" i="11" s="1"/>
  <c r="AT15" i="12" s="1"/>
  <c r="DT53" i="11"/>
  <c r="DR53" i="11"/>
  <c r="DR54" i="11"/>
  <c r="J53" i="11"/>
  <c r="G53" i="11"/>
  <c r="BU13" i="12" s="1"/>
  <c r="D53" i="11"/>
  <c r="BT14" i="12" s="1"/>
  <c r="IK52" i="11"/>
  <c r="FU52" i="11"/>
  <c r="DT52" i="11"/>
  <c r="DR52" i="11"/>
  <c r="J52" i="11"/>
  <c r="G52" i="11"/>
  <c r="BU12" i="12" s="1"/>
  <c r="IK51" i="11"/>
  <c r="FV51" i="11"/>
  <c r="DT51" i="11"/>
  <c r="DR51" i="11"/>
  <c r="J51" i="11"/>
  <c r="G51" i="11"/>
  <c r="BU11" i="12" s="1"/>
  <c r="IK50" i="11"/>
  <c r="FU50" i="11"/>
  <c r="FW50" i="11" s="1"/>
  <c r="FG13" i="11" s="1"/>
  <c r="DT50" i="11"/>
  <c r="DR50" i="11"/>
  <c r="J50" i="11"/>
  <c r="G50" i="11"/>
  <c r="BU10" i="12" s="1"/>
  <c r="D50" i="11"/>
  <c r="BT11" i="12" s="1"/>
  <c r="IK49" i="11"/>
  <c r="DT49" i="11"/>
  <c r="DR49" i="11"/>
  <c r="J49" i="11"/>
  <c r="G49" i="11"/>
  <c r="BU9" i="12" s="1"/>
  <c r="D49" i="11"/>
  <c r="BT10" i="12" s="1"/>
  <c r="IK48" i="11"/>
  <c r="FV48" i="11"/>
  <c r="EQ11" i="11" s="1"/>
  <c r="AT10" i="12" s="1"/>
  <c r="EX48" i="11"/>
  <c r="DT48" i="11"/>
  <c r="DR48" i="11"/>
  <c r="J48" i="11"/>
  <c r="G48" i="11"/>
  <c r="BU8" i="12" s="1"/>
  <c r="D48" i="11"/>
  <c r="BT9" i="12" s="1"/>
  <c r="IK47" i="11"/>
  <c r="FW47" i="11"/>
  <c r="FG10" i="11" s="1"/>
  <c r="AZ9" i="12" s="1"/>
  <c r="J47" i="11"/>
  <c r="G47" i="11"/>
  <c r="D47" i="11"/>
  <c r="BT8" i="12" s="1"/>
  <c r="IK46" i="11"/>
  <c r="FU46" i="11"/>
  <c r="J46" i="11"/>
  <c r="G46" i="11"/>
  <c r="D46" i="11"/>
  <c r="BT7" i="12" s="1"/>
  <c r="IK45" i="11"/>
  <c r="FV45" i="11"/>
  <c r="EQ8" i="11" s="1"/>
  <c r="FF45" i="11"/>
  <c r="FC45" i="11"/>
  <c r="EE40" i="11"/>
  <c r="U40" i="11"/>
  <c r="V40" i="11" s="1"/>
  <c r="HC39" i="11"/>
  <c r="GV39" i="11"/>
  <c r="FL39" i="11"/>
  <c r="DO39" i="11"/>
  <c r="DN39" i="11"/>
  <c r="DM39" i="11"/>
  <c r="J39" i="11"/>
  <c r="KE38" i="11"/>
  <c r="KB38" i="11"/>
  <c r="JY38" i="11"/>
  <c r="JV38" i="11"/>
  <c r="JS38" i="11"/>
  <c r="JP38" i="11"/>
  <c r="JM38" i="11"/>
  <c r="JJ38" i="11"/>
  <c r="JG38" i="11"/>
  <c r="JD38" i="11"/>
  <c r="JA38" i="11"/>
  <c r="IX38" i="11"/>
  <c r="IU38" i="11"/>
  <c r="IR38" i="11"/>
  <c r="IO38" i="11"/>
  <c r="IL38" i="11"/>
  <c r="IE38" i="11"/>
  <c r="IB38" i="11"/>
  <c r="CD37" i="12" s="1"/>
  <c r="HY38" i="11"/>
  <c r="CB37" i="12" s="1"/>
  <c r="HV38" i="11"/>
  <c r="HS38" i="11"/>
  <c r="BZ37" i="12" s="1"/>
  <c r="HP38" i="11"/>
  <c r="CC37" i="12" s="1"/>
  <c r="HM38" i="11"/>
  <c r="BY37" i="12" s="1"/>
  <c r="HJ38" i="11"/>
  <c r="GS38" i="11"/>
  <c r="BF37" i="12" s="1"/>
  <c r="GP38" i="11"/>
  <c r="BE37" i="12" s="1"/>
  <c r="GM38" i="11"/>
  <c r="GJ38" i="11"/>
  <c r="GD38" i="11"/>
  <c r="FX38" i="11"/>
  <c r="AP37" i="12" s="1"/>
  <c r="FS38" i="11"/>
  <c r="FP38" i="11"/>
  <c r="FA75" i="11" s="1"/>
  <c r="FJ38" i="11"/>
  <c r="BA37" i="12" s="1"/>
  <c r="FC38" i="11"/>
  <c r="EZ38" i="11"/>
  <c r="EZ75" i="11" s="1"/>
  <c r="EW38" i="11"/>
  <c r="AV37" i="12" s="1"/>
  <c r="ET38" i="11"/>
  <c r="AU37" i="12" s="1"/>
  <c r="EM38" i="11"/>
  <c r="AN37" i="12" s="1"/>
  <c r="EJ38" i="11"/>
  <c r="AM37" i="12" s="1"/>
  <c r="DZ38" i="11"/>
  <c r="AI37" i="12" s="1"/>
  <c r="DW38" i="11"/>
  <c r="AH37" i="12" s="1"/>
  <c r="DT38" i="11"/>
  <c r="DR38" i="11"/>
  <c r="AD37" i="12" s="1"/>
  <c r="DE38" i="11"/>
  <c r="DF38" i="11" s="1"/>
  <c r="DA38" i="11"/>
  <c r="CW38" i="11"/>
  <c r="W37" i="12" s="1"/>
  <c r="CS38" i="11"/>
  <c r="U37" i="12" s="1"/>
  <c r="CO38" i="11"/>
  <c r="T37" i="12" s="1"/>
  <c r="CH38" i="11"/>
  <c r="R37" i="12" s="1"/>
  <c r="CF38" i="11"/>
  <c r="Q37" i="12" s="1"/>
  <c r="CD38" i="11"/>
  <c r="P37" i="12" s="1"/>
  <c r="CA38" i="11"/>
  <c r="O37" i="12" s="1"/>
  <c r="BW38" i="11"/>
  <c r="BX38" i="11" s="1"/>
  <c r="BT38" i="11"/>
  <c r="BR38" i="11"/>
  <c r="Z37" i="12" s="1"/>
  <c r="BP38" i="11"/>
  <c r="BN38" i="11"/>
  <c r="BL38" i="11"/>
  <c r="BJ38" i="11"/>
  <c r="AB37" i="12" s="1"/>
  <c r="BG38" i="11"/>
  <c r="AA37" i="12" s="1"/>
  <c r="BC38" i="11"/>
  <c r="M37" i="12" s="1"/>
  <c r="AZ38" i="11"/>
  <c r="L37" i="12" s="1"/>
  <c r="AR38" i="11"/>
  <c r="AI38" i="11"/>
  <c r="AE38" i="11"/>
  <c r="H37" i="12" s="1"/>
  <c r="AB38" i="11"/>
  <c r="F37" i="12" s="1"/>
  <c r="V38" i="11"/>
  <c r="E37" i="12" s="1"/>
  <c r="T38" i="11"/>
  <c r="D37" i="12" s="1"/>
  <c r="Q38" i="11"/>
  <c r="R38" i="11" s="1"/>
  <c r="N38" i="11"/>
  <c r="C37" i="12" s="1"/>
  <c r="K38" i="11"/>
  <c r="F38" i="11"/>
  <c r="D38" i="11"/>
  <c r="C38" i="11"/>
  <c r="KE37" i="11"/>
  <c r="KB37" i="11"/>
  <c r="JY37" i="11"/>
  <c r="JV37" i="11"/>
  <c r="JS37" i="11"/>
  <c r="JP37" i="11"/>
  <c r="JM37" i="11"/>
  <c r="JJ37" i="11"/>
  <c r="JG37" i="11"/>
  <c r="JD37" i="11"/>
  <c r="JA37" i="11"/>
  <c r="IX37" i="11"/>
  <c r="IU37" i="11"/>
  <c r="IR37" i="11"/>
  <c r="IO37" i="11"/>
  <c r="IL37" i="11"/>
  <c r="IE37" i="11"/>
  <c r="CE36" i="12" s="1"/>
  <c r="IB37" i="11"/>
  <c r="CD36" i="12" s="1"/>
  <c r="HY37" i="11"/>
  <c r="CC36" i="12" s="1"/>
  <c r="HV37" i="11"/>
  <c r="CB36" i="12" s="1"/>
  <c r="HS37" i="11"/>
  <c r="CA36" i="12" s="1"/>
  <c r="HP37" i="11"/>
  <c r="BZ36" i="12" s="1"/>
  <c r="HM37" i="11"/>
  <c r="BY36" i="12" s="1"/>
  <c r="HJ37" i="11"/>
  <c r="GS37" i="11"/>
  <c r="BF36" i="12" s="1"/>
  <c r="GP37" i="11"/>
  <c r="BE36" i="12" s="1"/>
  <c r="GM37" i="11"/>
  <c r="GJ37" i="11"/>
  <c r="GD37" i="11"/>
  <c r="FX37" i="11"/>
  <c r="AP36" i="12" s="1"/>
  <c r="FS37" i="11"/>
  <c r="FP37" i="11"/>
  <c r="FA74" i="11" s="1"/>
  <c r="FJ37" i="11"/>
  <c r="BA36" i="12" s="1"/>
  <c r="FC37" i="11"/>
  <c r="EZ37" i="11"/>
  <c r="EZ74" i="11" s="1"/>
  <c r="EW37" i="11"/>
  <c r="AV36" i="12" s="1"/>
  <c r="ET37" i="11"/>
  <c r="AU36" i="12" s="1"/>
  <c r="EM37" i="11"/>
  <c r="AN36" i="12" s="1"/>
  <c r="EJ37" i="11"/>
  <c r="AM36" i="12" s="1"/>
  <c r="DZ37" i="11"/>
  <c r="AI36" i="12" s="1"/>
  <c r="DW37" i="11"/>
  <c r="AH36" i="12" s="1"/>
  <c r="DT37" i="11"/>
  <c r="DR37" i="11"/>
  <c r="AD36" i="12" s="1"/>
  <c r="DE37" i="11"/>
  <c r="DF37" i="11" s="1"/>
  <c r="DA37" i="11"/>
  <c r="CW37" i="11"/>
  <c r="W36" i="12" s="1"/>
  <c r="CS37" i="11"/>
  <c r="U36" i="12" s="1"/>
  <c r="CO37" i="11"/>
  <c r="T36" i="12" s="1"/>
  <c r="CH37" i="11"/>
  <c r="R36" i="12" s="1"/>
  <c r="CF37" i="11"/>
  <c r="Q36" i="12" s="1"/>
  <c r="CD37" i="11"/>
  <c r="P36" i="12" s="1"/>
  <c r="CA37" i="11"/>
  <c r="O36" i="12" s="1"/>
  <c r="BW37" i="11"/>
  <c r="BX37" i="11" s="1"/>
  <c r="BT37" i="11"/>
  <c r="BR37" i="11"/>
  <c r="Z36" i="12" s="1"/>
  <c r="BP37" i="11"/>
  <c r="BN37" i="11"/>
  <c r="BL37" i="11"/>
  <c r="BJ37" i="11"/>
  <c r="AB36" i="12" s="1"/>
  <c r="BG37" i="11"/>
  <c r="AA36" i="12" s="1"/>
  <c r="BC37" i="11"/>
  <c r="M36" i="12" s="1"/>
  <c r="AZ37" i="11"/>
  <c r="L36" i="12" s="1"/>
  <c r="AR37" i="11"/>
  <c r="K36" i="12" s="1"/>
  <c r="AI37" i="11"/>
  <c r="AE37" i="11"/>
  <c r="AB37" i="11"/>
  <c r="F36" i="12" s="1"/>
  <c r="V37" i="11"/>
  <c r="E36" i="12" s="1"/>
  <c r="T37" i="11"/>
  <c r="D36" i="12" s="1"/>
  <c r="Q37" i="11"/>
  <c r="N37" i="11"/>
  <c r="C36" i="12" s="1"/>
  <c r="K37" i="11"/>
  <c r="F37" i="11"/>
  <c r="D37" i="11"/>
  <c r="C37" i="11"/>
  <c r="KE36" i="11"/>
  <c r="KB36" i="11"/>
  <c r="JY36" i="11"/>
  <c r="JV36" i="11"/>
  <c r="JS36" i="11"/>
  <c r="JP36" i="11"/>
  <c r="JM36" i="11"/>
  <c r="JJ36" i="11"/>
  <c r="JG36" i="11"/>
  <c r="JD36" i="11"/>
  <c r="JA36" i="11"/>
  <c r="IX36" i="11"/>
  <c r="IU36" i="11"/>
  <c r="IR36" i="11"/>
  <c r="IO36" i="11"/>
  <c r="IL36" i="11"/>
  <c r="IE36" i="11"/>
  <c r="CE35" i="12" s="1"/>
  <c r="IB36" i="11"/>
  <c r="CD35" i="12" s="1"/>
  <c r="HY36" i="11"/>
  <c r="CC35" i="12" s="1"/>
  <c r="HV36" i="11"/>
  <c r="CB35" i="12" s="1"/>
  <c r="HS36" i="11"/>
  <c r="CA35" i="12" s="1"/>
  <c r="HP36" i="11"/>
  <c r="BZ35" i="12" s="1"/>
  <c r="HM36" i="11"/>
  <c r="BY35" i="12" s="1"/>
  <c r="HJ36" i="11"/>
  <c r="GS36" i="11"/>
  <c r="BF35" i="12" s="1"/>
  <c r="GP36" i="11"/>
  <c r="BE35" i="12" s="1"/>
  <c r="GM36" i="11"/>
  <c r="GJ36" i="11"/>
  <c r="GD36" i="11"/>
  <c r="FX36" i="11"/>
  <c r="AP35" i="12" s="1"/>
  <c r="FS36" i="11"/>
  <c r="FP36" i="11"/>
  <c r="FA73" i="11" s="1"/>
  <c r="FJ36" i="11"/>
  <c r="BA35" i="12" s="1"/>
  <c r="FC36" i="11"/>
  <c r="EZ36" i="11"/>
  <c r="EZ73" i="11" s="1"/>
  <c r="EW36" i="11"/>
  <c r="AV35" i="12" s="1"/>
  <c r="ET36" i="11"/>
  <c r="AU35" i="12" s="1"/>
  <c r="EM36" i="11"/>
  <c r="AN35" i="12" s="1"/>
  <c r="EJ36" i="11"/>
  <c r="AM35" i="12" s="1"/>
  <c r="DZ36" i="11"/>
  <c r="AI35" i="12" s="1"/>
  <c r="DW36" i="11"/>
  <c r="AH35" i="12" s="1"/>
  <c r="DT36" i="11"/>
  <c r="DR36" i="11"/>
  <c r="AD35" i="12" s="1"/>
  <c r="DE36" i="11"/>
  <c r="DA36" i="11"/>
  <c r="DB36" i="11" s="1"/>
  <c r="CW36" i="11"/>
  <c r="W35" i="12" s="1"/>
  <c r="CS36" i="11"/>
  <c r="U35" i="12" s="1"/>
  <c r="CO36" i="11"/>
  <c r="T35" i="12" s="1"/>
  <c r="CH36" i="11"/>
  <c r="R35" i="12" s="1"/>
  <c r="CF36" i="11"/>
  <c r="Q35" i="12" s="1"/>
  <c r="CD36" i="11"/>
  <c r="P35" i="12" s="1"/>
  <c r="CA36" i="11"/>
  <c r="O35" i="12" s="1"/>
  <c r="BW36" i="11"/>
  <c r="BX36" i="11" s="1"/>
  <c r="BT36" i="11"/>
  <c r="BR36" i="11"/>
  <c r="Z35" i="12" s="1"/>
  <c r="BP36" i="11"/>
  <c r="BN36" i="11"/>
  <c r="BL36" i="11"/>
  <c r="BJ36" i="11"/>
  <c r="AB35" i="12" s="1"/>
  <c r="BG36" i="11"/>
  <c r="AA35" i="12" s="1"/>
  <c r="BC36" i="11"/>
  <c r="M35" i="12" s="1"/>
  <c r="AZ36" i="11"/>
  <c r="L35" i="12" s="1"/>
  <c r="AR36" i="11"/>
  <c r="K35" i="12" s="1"/>
  <c r="AI36" i="11"/>
  <c r="I35" i="12" s="1"/>
  <c r="AE36" i="11"/>
  <c r="H35" i="12" s="1"/>
  <c r="AB36" i="11"/>
  <c r="F35" i="12" s="1"/>
  <c r="V36" i="11"/>
  <c r="E35" i="12" s="1"/>
  <c r="T36" i="11"/>
  <c r="D35" i="12" s="1"/>
  <c r="Q36" i="11"/>
  <c r="N36" i="11"/>
  <c r="C35" i="12" s="1"/>
  <c r="K36" i="11"/>
  <c r="F36" i="11"/>
  <c r="D36" i="11"/>
  <c r="C36" i="11"/>
  <c r="A36" i="11"/>
  <c r="KE35" i="11"/>
  <c r="KB35" i="11"/>
  <c r="JY35" i="11"/>
  <c r="JV35" i="11"/>
  <c r="JS35" i="11"/>
  <c r="JP35" i="11"/>
  <c r="JM35" i="11"/>
  <c r="JJ35" i="11"/>
  <c r="JG35" i="11"/>
  <c r="JD35" i="11"/>
  <c r="JA35" i="11"/>
  <c r="IX35" i="11"/>
  <c r="IU35" i="11"/>
  <c r="IR35" i="11"/>
  <c r="IO35" i="11"/>
  <c r="IL35" i="11"/>
  <c r="IE35" i="11"/>
  <c r="CE34" i="12" s="1"/>
  <c r="IB35" i="11"/>
  <c r="CD34" i="12" s="1"/>
  <c r="HY35" i="11"/>
  <c r="CC34" i="12" s="1"/>
  <c r="HV35" i="11"/>
  <c r="CB34" i="12" s="1"/>
  <c r="HS35" i="11"/>
  <c r="CA34" i="12" s="1"/>
  <c r="HP35" i="11"/>
  <c r="BZ34" i="12" s="1"/>
  <c r="HM35" i="11"/>
  <c r="BY34" i="12" s="1"/>
  <c r="HJ35" i="11"/>
  <c r="HE35" i="11"/>
  <c r="GS35" i="11"/>
  <c r="GP35" i="11"/>
  <c r="BE34" i="12" s="1"/>
  <c r="GM35" i="11"/>
  <c r="GJ35" i="11"/>
  <c r="GD35" i="11"/>
  <c r="FX35" i="11"/>
  <c r="AP34" i="12" s="1"/>
  <c r="FS35" i="11"/>
  <c r="FP35" i="11"/>
  <c r="FJ35" i="11"/>
  <c r="BA34" i="12" s="1"/>
  <c r="FC35" i="11"/>
  <c r="EZ35" i="11"/>
  <c r="EZ72" i="11" s="1"/>
  <c r="EW35" i="11"/>
  <c r="AV34" i="12" s="1"/>
  <c r="ET35" i="11"/>
  <c r="AU34" i="12" s="1"/>
  <c r="EM35" i="11"/>
  <c r="AN34" i="12" s="1"/>
  <c r="EJ35" i="11"/>
  <c r="DZ35" i="11"/>
  <c r="AI34" i="12" s="1"/>
  <c r="DW35" i="11"/>
  <c r="AH34" i="12" s="1"/>
  <c r="DT35" i="11"/>
  <c r="DR35" i="11"/>
  <c r="AD34" i="12" s="1"/>
  <c r="DE35" i="11"/>
  <c r="DA35" i="11"/>
  <c r="X34" i="12" s="1"/>
  <c r="CW35" i="11"/>
  <c r="W34" i="12" s="1"/>
  <c r="CS35" i="11"/>
  <c r="U34" i="12" s="1"/>
  <c r="CO35" i="11"/>
  <c r="T34" i="12" s="1"/>
  <c r="CH35" i="11"/>
  <c r="R34" i="12" s="1"/>
  <c r="CF35" i="11"/>
  <c r="Q34" i="12" s="1"/>
  <c r="CD35" i="11"/>
  <c r="P34" i="12" s="1"/>
  <c r="CA35" i="11"/>
  <c r="O34" i="12" s="1"/>
  <c r="BW35" i="11"/>
  <c r="BX35" i="11" s="1"/>
  <c r="BT35" i="11"/>
  <c r="BR35" i="11"/>
  <c r="Z34" i="12" s="1"/>
  <c r="BP35" i="11"/>
  <c r="BN35" i="11"/>
  <c r="BL35" i="11"/>
  <c r="BJ35" i="11"/>
  <c r="AB34" i="12" s="1"/>
  <c r="BG35" i="11"/>
  <c r="AA34" i="12" s="1"/>
  <c r="BC35" i="11"/>
  <c r="M34" i="12" s="1"/>
  <c r="AZ35" i="11"/>
  <c r="L34" i="12" s="1"/>
  <c r="AR35" i="11"/>
  <c r="K34" i="12" s="1"/>
  <c r="AI35" i="11"/>
  <c r="I34" i="12" s="1"/>
  <c r="AE35" i="11"/>
  <c r="AB35" i="11"/>
  <c r="F34" i="12" s="1"/>
  <c r="V35" i="11"/>
  <c r="E34" i="12" s="1"/>
  <c r="T35" i="11"/>
  <c r="D34" i="12" s="1"/>
  <c r="Q35" i="11"/>
  <c r="R35" i="11" s="1"/>
  <c r="N35" i="11"/>
  <c r="C34" i="12" s="1"/>
  <c r="K35" i="11"/>
  <c r="F35" i="11"/>
  <c r="D35" i="11"/>
  <c r="C35" i="11"/>
  <c r="KE34" i="11"/>
  <c r="KB34" i="11"/>
  <c r="JY34" i="11"/>
  <c r="JV34" i="11"/>
  <c r="JS34" i="11"/>
  <c r="JP34" i="11"/>
  <c r="JM34" i="11"/>
  <c r="JJ34" i="11"/>
  <c r="JG34" i="11"/>
  <c r="JD34" i="11"/>
  <c r="JA34" i="11"/>
  <c r="IX34" i="11"/>
  <c r="IU34" i="11"/>
  <c r="IR34" i="11"/>
  <c r="IO34" i="11"/>
  <c r="IL34" i="11"/>
  <c r="IE34" i="11"/>
  <c r="CE33" i="12" s="1"/>
  <c r="IB34" i="11"/>
  <c r="CD33" i="12" s="1"/>
  <c r="HY34" i="11"/>
  <c r="HV34" i="11"/>
  <c r="CB33" i="12" s="1"/>
  <c r="HS34" i="11"/>
  <c r="CA33" i="12" s="1"/>
  <c r="HP34" i="11"/>
  <c r="BZ33" i="12" s="1"/>
  <c r="HM34" i="11"/>
  <c r="BY33" i="12" s="1"/>
  <c r="HJ34" i="11"/>
  <c r="HE34" i="11"/>
  <c r="GS34" i="11"/>
  <c r="BF33" i="12" s="1"/>
  <c r="GP34" i="11"/>
  <c r="BE33" i="12" s="1"/>
  <c r="GM34" i="11"/>
  <c r="GJ34" i="11"/>
  <c r="GD34" i="11"/>
  <c r="FX34" i="11"/>
  <c r="AP33" i="12" s="1"/>
  <c r="FS34" i="11"/>
  <c r="FP34" i="11"/>
  <c r="FA71" i="11" s="1"/>
  <c r="FJ34" i="11"/>
  <c r="BA33" i="12" s="1"/>
  <c r="FC34" i="11"/>
  <c r="EZ34" i="11"/>
  <c r="EW34" i="11"/>
  <c r="AV33" i="12" s="1"/>
  <c r="ET34" i="11"/>
  <c r="AU33" i="12" s="1"/>
  <c r="EM34" i="11"/>
  <c r="AN33" i="12" s="1"/>
  <c r="EJ34" i="11"/>
  <c r="AM33" i="12" s="1"/>
  <c r="DZ34" i="11"/>
  <c r="AI33" i="12" s="1"/>
  <c r="DW34" i="11"/>
  <c r="DT34" i="11"/>
  <c r="DR34" i="11"/>
  <c r="AD33" i="12" s="1"/>
  <c r="DE34" i="11"/>
  <c r="DF34" i="11" s="1"/>
  <c r="DA34" i="11"/>
  <c r="X33" i="12" s="1"/>
  <c r="CW34" i="11"/>
  <c r="W33" i="12" s="1"/>
  <c r="CS34" i="11"/>
  <c r="CO34" i="11"/>
  <c r="T33" i="12" s="1"/>
  <c r="CH34" i="11"/>
  <c r="R33" i="12" s="1"/>
  <c r="CF34" i="11"/>
  <c r="Q33" i="12" s="1"/>
  <c r="CD34" i="11"/>
  <c r="P33" i="12" s="1"/>
  <c r="CA34" i="11"/>
  <c r="O33" i="12" s="1"/>
  <c r="BW34" i="11"/>
  <c r="BX34" i="11" s="1"/>
  <c r="BT34" i="11"/>
  <c r="BR34" i="11"/>
  <c r="Z33" i="12" s="1"/>
  <c r="BP34" i="11"/>
  <c r="BN34" i="11"/>
  <c r="BL34" i="11"/>
  <c r="BJ34" i="11"/>
  <c r="AB33" i="12" s="1"/>
  <c r="BG34" i="11"/>
  <c r="AA33" i="12" s="1"/>
  <c r="BC34" i="11"/>
  <c r="M33" i="12" s="1"/>
  <c r="AZ34" i="11"/>
  <c r="L33" i="12" s="1"/>
  <c r="AR34" i="11"/>
  <c r="K33" i="12" s="1"/>
  <c r="AI34" i="11"/>
  <c r="I33" i="12" s="1"/>
  <c r="AE34" i="11"/>
  <c r="H33" i="12" s="1"/>
  <c r="AB34" i="11"/>
  <c r="F33" i="12" s="1"/>
  <c r="V34" i="11"/>
  <c r="E33" i="12" s="1"/>
  <c r="T34" i="11"/>
  <c r="D33" i="12" s="1"/>
  <c r="Q34" i="11"/>
  <c r="N34" i="11"/>
  <c r="C33" i="12" s="1"/>
  <c r="K34" i="11"/>
  <c r="F34" i="11"/>
  <c r="D34" i="11"/>
  <c r="C34" i="11"/>
  <c r="KE33" i="11"/>
  <c r="KB33" i="11"/>
  <c r="JY33" i="11"/>
  <c r="JV33" i="11"/>
  <c r="JS33" i="11"/>
  <c r="JP33" i="11"/>
  <c r="JM33" i="11"/>
  <c r="JJ33" i="11"/>
  <c r="JG33" i="11"/>
  <c r="JD33" i="11"/>
  <c r="JA33" i="11"/>
  <c r="IX33" i="11"/>
  <c r="IU33" i="11"/>
  <c r="IR33" i="11"/>
  <c r="IO33" i="11"/>
  <c r="IL33" i="11"/>
  <c r="IE33" i="11"/>
  <c r="CE32" i="12" s="1"/>
  <c r="IB33" i="11"/>
  <c r="CD32" i="12" s="1"/>
  <c r="HY33" i="11"/>
  <c r="HV33" i="11"/>
  <c r="CB32" i="12" s="1"/>
  <c r="HS33" i="11"/>
  <c r="CA32" i="12" s="1"/>
  <c r="HP33" i="11"/>
  <c r="BZ32" i="12" s="1"/>
  <c r="HM33" i="11"/>
  <c r="BY32" i="12" s="1"/>
  <c r="HJ33" i="11"/>
  <c r="HE33" i="11"/>
  <c r="GS33" i="11"/>
  <c r="BF32" i="12" s="1"/>
  <c r="GP33" i="11"/>
  <c r="BE32" i="12" s="1"/>
  <c r="GM33" i="11"/>
  <c r="BC32" i="12" s="1"/>
  <c r="GJ33" i="11"/>
  <c r="AX32" i="12" s="1"/>
  <c r="GD33" i="11"/>
  <c r="FX33" i="11"/>
  <c r="AP32" i="12" s="1"/>
  <c r="FS33" i="11"/>
  <c r="FP33" i="11"/>
  <c r="FJ33" i="11"/>
  <c r="BA32" i="12" s="1"/>
  <c r="FC33" i="11"/>
  <c r="EZ33" i="11"/>
  <c r="EZ70" i="11" s="1"/>
  <c r="EW33" i="11"/>
  <c r="AV32" i="12" s="1"/>
  <c r="ET33" i="11"/>
  <c r="AU32" i="12" s="1"/>
  <c r="EM33" i="11"/>
  <c r="AN32" i="12" s="1"/>
  <c r="EJ33" i="11"/>
  <c r="AM32" i="12" s="1"/>
  <c r="DZ33" i="11"/>
  <c r="AI32" i="12" s="1"/>
  <c r="DW33" i="11"/>
  <c r="AH32" i="12" s="1"/>
  <c r="DT33" i="11"/>
  <c r="DR33" i="11"/>
  <c r="AD32" i="12" s="1"/>
  <c r="DE33" i="11"/>
  <c r="DA33" i="11"/>
  <c r="X32" i="12" s="1"/>
  <c r="CW33" i="11"/>
  <c r="W32" i="12" s="1"/>
  <c r="CS33" i="11"/>
  <c r="U32" i="12" s="1"/>
  <c r="CO33" i="11"/>
  <c r="T32" i="12" s="1"/>
  <c r="CH33" i="11"/>
  <c r="R32" i="12" s="1"/>
  <c r="CF33" i="11"/>
  <c r="Q32" i="12" s="1"/>
  <c r="CD33" i="11"/>
  <c r="P32" i="12" s="1"/>
  <c r="CA33" i="11"/>
  <c r="O32" i="12" s="1"/>
  <c r="BW33" i="11"/>
  <c r="BX33" i="11" s="1"/>
  <c r="BT33" i="11"/>
  <c r="BR33" i="11"/>
  <c r="Z32" i="12" s="1"/>
  <c r="BP33" i="11"/>
  <c r="BN33" i="11"/>
  <c r="BL33" i="11"/>
  <c r="BJ33" i="11"/>
  <c r="AB32" i="12" s="1"/>
  <c r="BG33" i="11"/>
  <c r="AA32" i="12" s="1"/>
  <c r="BC33" i="11"/>
  <c r="M32" i="12" s="1"/>
  <c r="AZ33" i="11"/>
  <c r="L32" i="12" s="1"/>
  <c r="AR33" i="11"/>
  <c r="K32" i="12" s="1"/>
  <c r="AI33" i="11"/>
  <c r="I32" i="12" s="1"/>
  <c r="AE33" i="11"/>
  <c r="H32" i="12" s="1"/>
  <c r="AB33" i="11"/>
  <c r="F32" i="12" s="1"/>
  <c r="V33" i="11"/>
  <c r="E32" i="12" s="1"/>
  <c r="T33" i="11"/>
  <c r="D32" i="12" s="1"/>
  <c r="Q33" i="11"/>
  <c r="N33" i="11"/>
  <c r="C32" i="12" s="1"/>
  <c r="K33" i="11"/>
  <c r="F33" i="11"/>
  <c r="D33" i="11"/>
  <c r="C33" i="11"/>
  <c r="KE32" i="11"/>
  <c r="KB32" i="11"/>
  <c r="JY32" i="11"/>
  <c r="JV32" i="11"/>
  <c r="JS32" i="11"/>
  <c r="JP32" i="11"/>
  <c r="JM32" i="11"/>
  <c r="JJ32" i="11"/>
  <c r="JG32" i="11"/>
  <c r="JD32" i="11"/>
  <c r="JA32" i="11"/>
  <c r="IX32" i="11"/>
  <c r="IU32" i="11"/>
  <c r="IR32" i="11"/>
  <c r="IO32" i="11"/>
  <c r="IL32" i="11"/>
  <c r="IE32" i="11"/>
  <c r="CE31" i="12" s="1"/>
  <c r="IB32" i="11"/>
  <c r="CD31" i="12" s="1"/>
  <c r="HY32" i="11"/>
  <c r="HV32" i="11"/>
  <c r="HS32" i="11"/>
  <c r="CA31" i="12" s="1"/>
  <c r="HP32" i="11"/>
  <c r="BZ31" i="12" s="1"/>
  <c r="HM32" i="11"/>
  <c r="BY31" i="12" s="1"/>
  <c r="HJ32" i="11"/>
  <c r="HE32" i="11"/>
  <c r="GS32" i="11"/>
  <c r="BF31" i="12" s="1"/>
  <c r="GP32" i="11"/>
  <c r="BE31" i="12" s="1"/>
  <c r="GM32" i="11"/>
  <c r="BC31" i="12" s="1"/>
  <c r="GJ32" i="11"/>
  <c r="AX31" i="12" s="1"/>
  <c r="GD32" i="11"/>
  <c r="FX32" i="11"/>
  <c r="AP31" i="12" s="1"/>
  <c r="FS32" i="11"/>
  <c r="FP32" i="11"/>
  <c r="FA69" i="11" s="1"/>
  <c r="FJ32" i="11"/>
  <c r="BA31" i="12" s="1"/>
  <c r="FC32" i="11"/>
  <c r="EZ32" i="11"/>
  <c r="EZ69" i="11" s="1"/>
  <c r="EW32" i="11"/>
  <c r="AV31" i="12" s="1"/>
  <c r="ET32" i="11"/>
  <c r="AU31" i="12" s="1"/>
  <c r="EM32" i="11"/>
  <c r="AN31" i="12" s="1"/>
  <c r="EJ32" i="11"/>
  <c r="AM31" i="12" s="1"/>
  <c r="DZ32" i="11"/>
  <c r="DW32" i="11"/>
  <c r="AH31" i="12" s="1"/>
  <c r="DT32" i="11"/>
  <c r="DR32" i="11"/>
  <c r="AD31" i="12" s="1"/>
  <c r="DE32" i="11"/>
  <c r="DA32" i="11"/>
  <c r="X31" i="12" s="1"/>
  <c r="CW32" i="11"/>
  <c r="CS32" i="11"/>
  <c r="U31" i="12" s="1"/>
  <c r="CO32" i="11"/>
  <c r="T31" i="12" s="1"/>
  <c r="CH32" i="11"/>
  <c r="R31" i="12" s="1"/>
  <c r="CF32" i="11"/>
  <c r="Q31" i="12" s="1"/>
  <c r="CD32" i="11"/>
  <c r="P31" i="12" s="1"/>
  <c r="CA32" i="11"/>
  <c r="O31" i="12" s="1"/>
  <c r="BW32" i="11"/>
  <c r="BX32" i="11" s="1"/>
  <c r="BT32" i="11"/>
  <c r="BR32" i="11"/>
  <c r="Z31" i="12" s="1"/>
  <c r="BP32" i="11"/>
  <c r="BN32" i="11"/>
  <c r="BL32" i="11"/>
  <c r="BJ32" i="11"/>
  <c r="AB31" i="12" s="1"/>
  <c r="BG32" i="11"/>
  <c r="AA31" i="12" s="1"/>
  <c r="BC32" i="11"/>
  <c r="M31" i="12" s="1"/>
  <c r="AZ32" i="11"/>
  <c r="L31" i="12" s="1"/>
  <c r="AR32" i="11"/>
  <c r="K31" i="12" s="1"/>
  <c r="AI32" i="11"/>
  <c r="I31" i="12" s="1"/>
  <c r="AE32" i="11"/>
  <c r="H31" i="12" s="1"/>
  <c r="AB32" i="11"/>
  <c r="F31" i="12" s="1"/>
  <c r="V32" i="11"/>
  <c r="E31" i="12" s="1"/>
  <c r="T32" i="11"/>
  <c r="Q32" i="11"/>
  <c r="R32" i="11" s="1"/>
  <c r="N32" i="11"/>
  <c r="C31" i="12" s="1"/>
  <c r="K32" i="11"/>
  <c r="F32" i="11"/>
  <c r="D32" i="11"/>
  <c r="C32" i="11"/>
  <c r="KE31" i="11"/>
  <c r="KB31" i="11"/>
  <c r="JY31" i="11"/>
  <c r="JV31" i="11"/>
  <c r="JS31" i="11"/>
  <c r="JP31" i="11"/>
  <c r="JM31" i="11"/>
  <c r="JJ31" i="11"/>
  <c r="JG31" i="11"/>
  <c r="JD31" i="11"/>
  <c r="JA31" i="11"/>
  <c r="IX31" i="11"/>
  <c r="IU31" i="11"/>
  <c r="IR31" i="11"/>
  <c r="IO31" i="11"/>
  <c r="IL31" i="11"/>
  <c r="IE31" i="11"/>
  <c r="CE30" i="12" s="1"/>
  <c r="IB31" i="11"/>
  <c r="CD30" i="12" s="1"/>
  <c r="HY31" i="11"/>
  <c r="HV31" i="11"/>
  <c r="CB30" i="12" s="1"/>
  <c r="HS31" i="11"/>
  <c r="CA30" i="12" s="1"/>
  <c r="HP31" i="11"/>
  <c r="BZ30" i="12" s="1"/>
  <c r="HM31" i="11"/>
  <c r="BY30" i="12" s="1"/>
  <c r="HJ31" i="11"/>
  <c r="HE31" i="11"/>
  <c r="GS31" i="11"/>
  <c r="BF30" i="12" s="1"/>
  <c r="GP31" i="11"/>
  <c r="BE30" i="12" s="1"/>
  <c r="GM31" i="11"/>
  <c r="BC30" i="12" s="1"/>
  <c r="GJ31" i="11"/>
  <c r="AX30" i="12" s="1"/>
  <c r="GD31" i="11"/>
  <c r="FX31" i="11"/>
  <c r="AP30" i="12" s="1"/>
  <c r="FS31" i="11"/>
  <c r="FP31" i="11"/>
  <c r="FA68" i="11" s="1"/>
  <c r="FJ31" i="11"/>
  <c r="BA30" i="12" s="1"/>
  <c r="FC31" i="11"/>
  <c r="EZ31" i="11"/>
  <c r="EZ68" i="11" s="1"/>
  <c r="EW31" i="11"/>
  <c r="AV30" i="12" s="1"/>
  <c r="ET31" i="11"/>
  <c r="AU30" i="12" s="1"/>
  <c r="EM31" i="11"/>
  <c r="AN30" i="12" s="1"/>
  <c r="EJ31" i="11"/>
  <c r="AM30" i="12" s="1"/>
  <c r="DZ31" i="11"/>
  <c r="AI30" i="12" s="1"/>
  <c r="DW31" i="11"/>
  <c r="AH30" i="12" s="1"/>
  <c r="DT31" i="11"/>
  <c r="DR31" i="11"/>
  <c r="AD30" i="12" s="1"/>
  <c r="DE31" i="11"/>
  <c r="DF31" i="11" s="1"/>
  <c r="DA31" i="11"/>
  <c r="X30" i="12" s="1"/>
  <c r="CW31" i="11"/>
  <c r="W30" i="12" s="1"/>
  <c r="CS31" i="11"/>
  <c r="U30" i="12" s="1"/>
  <c r="CO31" i="11"/>
  <c r="T30" i="12" s="1"/>
  <c r="CH31" i="11"/>
  <c r="R30" i="12" s="1"/>
  <c r="CF31" i="11"/>
  <c r="Q30" i="12" s="1"/>
  <c r="CD31" i="11"/>
  <c r="P30" i="12" s="1"/>
  <c r="CA31" i="11"/>
  <c r="O30" i="12" s="1"/>
  <c r="BW31" i="11"/>
  <c r="BX31" i="11" s="1"/>
  <c r="BT31" i="11"/>
  <c r="BR31" i="11"/>
  <c r="Z30" i="12" s="1"/>
  <c r="BP31" i="11"/>
  <c r="BN31" i="11"/>
  <c r="BL31" i="11"/>
  <c r="BJ31" i="11"/>
  <c r="AB30" i="12" s="1"/>
  <c r="BG31" i="11"/>
  <c r="AA30" i="12" s="1"/>
  <c r="BC31" i="11"/>
  <c r="M30" i="12" s="1"/>
  <c r="AZ31" i="11"/>
  <c r="L30" i="12" s="1"/>
  <c r="AR31" i="11"/>
  <c r="K30" i="12" s="1"/>
  <c r="AI31" i="11"/>
  <c r="I30" i="12" s="1"/>
  <c r="AE31" i="11"/>
  <c r="H30" i="12" s="1"/>
  <c r="AB31" i="11"/>
  <c r="F30" i="12" s="1"/>
  <c r="V31" i="11"/>
  <c r="E30" i="12" s="1"/>
  <c r="T31" i="11"/>
  <c r="D30" i="12" s="1"/>
  <c r="Q31" i="11"/>
  <c r="R31" i="11" s="1"/>
  <c r="N31" i="11"/>
  <c r="C30" i="12" s="1"/>
  <c r="K31" i="11"/>
  <c r="F31" i="11"/>
  <c r="D31" i="11"/>
  <c r="C31" i="11"/>
  <c r="KE30" i="11"/>
  <c r="KB30" i="11"/>
  <c r="JY30" i="11"/>
  <c r="JV30" i="11"/>
  <c r="JS30" i="11"/>
  <c r="JP30" i="11"/>
  <c r="JM30" i="11"/>
  <c r="JJ30" i="11"/>
  <c r="JG30" i="11"/>
  <c r="JD30" i="11"/>
  <c r="JA30" i="11"/>
  <c r="IX30" i="11"/>
  <c r="IU30" i="11"/>
  <c r="IR30" i="11"/>
  <c r="IO30" i="11"/>
  <c r="IL30" i="11"/>
  <c r="IE30" i="11"/>
  <c r="CE29" i="12" s="1"/>
  <c r="IB30" i="11"/>
  <c r="CD29" i="12" s="1"/>
  <c r="HY30" i="11"/>
  <c r="HV30" i="11"/>
  <c r="CB29" i="12" s="1"/>
  <c r="HS30" i="11"/>
  <c r="CA29" i="12" s="1"/>
  <c r="HP30" i="11"/>
  <c r="BZ29" i="12" s="1"/>
  <c r="HM30" i="11"/>
  <c r="BY29" i="12" s="1"/>
  <c r="HJ30" i="11"/>
  <c r="HE30" i="11"/>
  <c r="GS30" i="11"/>
  <c r="BF29" i="12" s="1"/>
  <c r="GP30" i="11"/>
  <c r="BE29" i="12" s="1"/>
  <c r="GM30" i="11"/>
  <c r="GJ30" i="11"/>
  <c r="AX29" i="12" s="1"/>
  <c r="GD30" i="11"/>
  <c r="FX30" i="11"/>
  <c r="AP29" i="12" s="1"/>
  <c r="FS30" i="11"/>
  <c r="FP30" i="11"/>
  <c r="FA67" i="11" s="1"/>
  <c r="FJ30" i="11"/>
  <c r="BA29" i="12" s="1"/>
  <c r="FC30" i="11"/>
  <c r="EZ30" i="11"/>
  <c r="EZ67" i="11" s="1"/>
  <c r="EW30" i="11"/>
  <c r="AV29" i="12" s="1"/>
  <c r="ET30" i="11"/>
  <c r="AU29" i="12" s="1"/>
  <c r="EM30" i="11"/>
  <c r="AN29" i="12" s="1"/>
  <c r="EJ30" i="11"/>
  <c r="AM29" i="12" s="1"/>
  <c r="DZ30" i="11"/>
  <c r="AI29" i="12" s="1"/>
  <c r="DW30" i="11"/>
  <c r="AH29" i="12" s="1"/>
  <c r="DT30" i="11"/>
  <c r="DR30" i="11"/>
  <c r="AD29" i="12" s="1"/>
  <c r="DE30" i="11"/>
  <c r="DA30" i="11"/>
  <c r="CW30" i="11"/>
  <c r="W29" i="12" s="1"/>
  <c r="CS30" i="11"/>
  <c r="U29" i="12" s="1"/>
  <c r="CO30" i="11"/>
  <c r="T29" i="12" s="1"/>
  <c r="CH30" i="11"/>
  <c r="R29" i="12" s="1"/>
  <c r="CF30" i="11"/>
  <c r="Q29" i="12" s="1"/>
  <c r="CD30" i="11"/>
  <c r="P29" i="12" s="1"/>
  <c r="CA30" i="11"/>
  <c r="CB30" i="11" s="1"/>
  <c r="BW30" i="11"/>
  <c r="BX30" i="11" s="1"/>
  <c r="BT30" i="11"/>
  <c r="BR30" i="11"/>
  <c r="Z29" i="12" s="1"/>
  <c r="BP30" i="11"/>
  <c r="BN30" i="11"/>
  <c r="BL30" i="11"/>
  <c r="BJ30" i="11"/>
  <c r="AB29" i="12" s="1"/>
  <c r="BG30" i="11"/>
  <c r="AA29" i="12" s="1"/>
  <c r="BC30" i="11"/>
  <c r="M29" i="12" s="1"/>
  <c r="AZ30" i="11"/>
  <c r="L29" i="12" s="1"/>
  <c r="AR30" i="11"/>
  <c r="AS30" i="11" s="1"/>
  <c r="AI30" i="11"/>
  <c r="I29" i="12" s="1"/>
  <c r="AE30" i="11"/>
  <c r="H29" i="12" s="1"/>
  <c r="AB30" i="11"/>
  <c r="F29" i="12" s="1"/>
  <c r="V30" i="11"/>
  <c r="T30" i="11"/>
  <c r="D29" i="12" s="1"/>
  <c r="Q30" i="11"/>
  <c r="R30" i="11" s="1"/>
  <c r="N30" i="11"/>
  <c r="C29" i="12" s="1"/>
  <c r="K30" i="11"/>
  <c r="F30" i="11"/>
  <c r="D30" i="11"/>
  <c r="C30" i="11"/>
  <c r="KE29" i="11"/>
  <c r="KB29" i="11"/>
  <c r="JY29" i="11"/>
  <c r="JV29" i="11"/>
  <c r="JS29" i="11"/>
  <c r="JP29" i="11"/>
  <c r="JM29" i="11"/>
  <c r="JJ29" i="11"/>
  <c r="JG29" i="11"/>
  <c r="JD29" i="11"/>
  <c r="JA29" i="11"/>
  <c r="IX29" i="11"/>
  <c r="IU29" i="11"/>
  <c r="IR29" i="11"/>
  <c r="IO29" i="11"/>
  <c r="IL29" i="11"/>
  <c r="IE29" i="11"/>
  <c r="CE28" i="12" s="1"/>
  <c r="IB29" i="11"/>
  <c r="CD28" i="12" s="1"/>
  <c r="HY29" i="11"/>
  <c r="HV29" i="11"/>
  <c r="CB28" i="12" s="1"/>
  <c r="HS29" i="11"/>
  <c r="CA28" i="12" s="1"/>
  <c r="HP29" i="11"/>
  <c r="BZ28" i="12" s="1"/>
  <c r="HM29" i="11"/>
  <c r="HJ29" i="11"/>
  <c r="HE29" i="11"/>
  <c r="GS29" i="11"/>
  <c r="BF28" i="12" s="1"/>
  <c r="GP29" i="11"/>
  <c r="BE28" i="12" s="1"/>
  <c r="GM29" i="11"/>
  <c r="BC28" i="12" s="1"/>
  <c r="GJ29" i="11"/>
  <c r="AX28" i="12" s="1"/>
  <c r="GD29" i="11"/>
  <c r="FX29" i="11"/>
  <c r="AP28" i="12" s="1"/>
  <c r="FS29" i="11"/>
  <c r="FP29" i="11"/>
  <c r="FA66" i="11" s="1"/>
  <c r="FJ29" i="11"/>
  <c r="BA28" i="12" s="1"/>
  <c r="FC29" i="11"/>
  <c r="EZ29" i="11"/>
  <c r="EZ66" i="11" s="1"/>
  <c r="EW29" i="11"/>
  <c r="ET29" i="11"/>
  <c r="AU28" i="12" s="1"/>
  <c r="EM29" i="11"/>
  <c r="AN28" i="12" s="1"/>
  <c r="EJ29" i="11"/>
  <c r="AM28" i="12" s="1"/>
  <c r="DZ29" i="11"/>
  <c r="DW29" i="11"/>
  <c r="AH28" i="12" s="1"/>
  <c r="DT29" i="11"/>
  <c r="DR29" i="11"/>
  <c r="AD28" i="12" s="1"/>
  <c r="DE29" i="11"/>
  <c r="DA29" i="11"/>
  <c r="X28" i="12" s="1"/>
  <c r="CW29" i="11"/>
  <c r="W28" i="12" s="1"/>
  <c r="CS29" i="11"/>
  <c r="U28" i="12" s="1"/>
  <c r="CO29" i="11"/>
  <c r="T28" i="12" s="1"/>
  <c r="CH29" i="11"/>
  <c r="R28" i="12" s="1"/>
  <c r="CF29" i="11"/>
  <c r="Q28" i="12" s="1"/>
  <c r="CD29" i="11"/>
  <c r="P28" i="12" s="1"/>
  <c r="CA29" i="11"/>
  <c r="O28" i="12" s="1"/>
  <c r="BW29" i="11"/>
  <c r="BX29" i="11" s="1"/>
  <c r="BT29" i="11"/>
  <c r="BR29" i="11"/>
  <c r="Z28" i="12" s="1"/>
  <c r="BP29" i="11"/>
  <c r="BN29" i="11"/>
  <c r="BL29" i="11"/>
  <c r="BJ29" i="11"/>
  <c r="AB28" i="12" s="1"/>
  <c r="BG29" i="11"/>
  <c r="AA28" i="12" s="1"/>
  <c r="BC29" i="11"/>
  <c r="M28" i="12" s="1"/>
  <c r="AZ29" i="11"/>
  <c r="L28" i="12" s="1"/>
  <c r="AR29" i="11"/>
  <c r="AI29" i="11"/>
  <c r="I28" i="12" s="1"/>
  <c r="AE29" i="11"/>
  <c r="H28" i="12" s="1"/>
  <c r="AB29" i="11"/>
  <c r="F28" i="12" s="1"/>
  <c r="V29" i="11"/>
  <c r="E28" i="12" s="1"/>
  <c r="T29" i="11"/>
  <c r="D28" i="12" s="1"/>
  <c r="Q29" i="11"/>
  <c r="R29" i="11" s="1"/>
  <c r="N29" i="11"/>
  <c r="C28" i="12" s="1"/>
  <c r="K29" i="11"/>
  <c r="F29" i="11"/>
  <c r="D29" i="11"/>
  <c r="C29" i="11"/>
  <c r="KE28" i="11"/>
  <c r="KB28" i="11"/>
  <c r="JY28" i="11"/>
  <c r="JV28" i="11"/>
  <c r="JS28" i="11"/>
  <c r="JP28" i="11"/>
  <c r="JM28" i="11"/>
  <c r="JJ28" i="11"/>
  <c r="JG28" i="11"/>
  <c r="JD28" i="11"/>
  <c r="JA28" i="11"/>
  <c r="IX28" i="11"/>
  <c r="IU28" i="11"/>
  <c r="IR28" i="11"/>
  <c r="IO28" i="11"/>
  <c r="IL28" i="11"/>
  <c r="IE28" i="11"/>
  <c r="CE27" i="12" s="1"/>
  <c r="IB28" i="11"/>
  <c r="CD27" i="12" s="1"/>
  <c r="HY28" i="11"/>
  <c r="HV28" i="11"/>
  <c r="CB27" i="12" s="1"/>
  <c r="HS28" i="11"/>
  <c r="CA27" i="12" s="1"/>
  <c r="HP28" i="11"/>
  <c r="BZ27" i="12" s="1"/>
  <c r="HM28" i="11"/>
  <c r="BY27" i="12" s="1"/>
  <c r="HJ28" i="11"/>
  <c r="HE28" i="11"/>
  <c r="GS28" i="11"/>
  <c r="GP28" i="11"/>
  <c r="BE27" i="12" s="1"/>
  <c r="GM28" i="11"/>
  <c r="BC27" i="12" s="1"/>
  <c r="GJ28" i="11"/>
  <c r="AX27" i="12" s="1"/>
  <c r="GD28" i="11"/>
  <c r="FX28" i="11"/>
  <c r="AP27" i="12" s="1"/>
  <c r="FS28" i="11"/>
  <c r="FP28" i="11"/>
  <c r="FJ28" i="11"/>
  <c r="BA27" i="12" s="1"/>
  <c r="FC28" i="11"/>
  <c r="EZ28" i="11"/>
  <c r="EZ65" i="11" s="1"/>
  <c r="EW28" i="11"/>
  <c r="AV27" i="12" s="1"/>
  <c r="ET28" i="11"/>
  <c r="AU27" i="12" s="1"/>
  <c r="EM28" i="11"/>
  <c r="AN27" i="12" s="1"/>
  <c r="EJ28" i="11"/>
  <c r="DZ28" i="11"/>
  <c r="AI27" i="12" s="1"/>
  <c r="DW28" i="11"/>
  <c r="AH27" i="12" s="1"/>
  <c r="DT28" i="11"/>
  <c r="DR28" i="11"/>
  <c r="AD27" i="12" s="1"/>
  <c r="DE28" i="11"/>
  <c r="DA28" i="11"/>
  <c r="X27" i="12" s="1"/>
  <c r="CW28" i="11"/>
  <c r="W27" i="12" s="1"/>
  <c r="CS28" i="11"/>
  <c r="U27" i="12" s="1"/>
  <c r="CO28" i="11"/>
  <c r="T27" i="12" s="1"/>
  <c r="CH28" i="11"/>
  <c r="R27" i="12" s="1"/>
  <c r="CF28" i="11"/>
  <c r="Q27" i="12" s="1"/>
  <c r="CD28" i="11"/>
  <c r="P27" i="12" s="1"/>
  <c r="CA28" i="11"/>
  <c r="O27" i="12" s="1"/>
  <c r="BW28" i="11"/>
  <c r="BX28" i="11" s="1"/>
  <c r="BT28" i="11"/>
  <c r="BR28" i="11"/>
  <c r="Z27" i="12" s="1"/>
  <c r="BP28" i="11"/>
  <c r="BN28" i="11"/>
  <c r="BL28" i="11"/>
  <c r="BJ28" i="11"/>
  <c r="AB27" i="12" s="1"/>
  <c r="BG28" i="11"/>
  <c r="AA27" i="12" s="1"/>
  <c r="BC28" i="11"/>
  <c r="M27" i="12" s="1"/>
  <c r="AZ28" i="11"/>
  <c r="L27" i="12" s="1"/>
  <c r="AR28" i="11"/>
  <c r="K27" i="12" s="1"/>
  <c r="AI28" i="11"/>
  <c r="AE28" i="11"/>
  <c r="AB28" i="11"/>
  <c r="F27" i="12" s="1"/>
  <c r="V28" i="11"/>
  <c r="E27" i="12" s="1"/>
  <c r="T28" i="11"/>
  <c r="D27" i="12" s="1"/>
  <c r="Q28" i="11"/>
  <c r="N28" i="11"/>
  <c r="C27" i="12" s="1"/>
  <c r="K28" i="11"/>
  <c r="F28" i="11"/>
  <c r="D28" i="11"/>
  <c r="C28" i="11"/>
  <c r="KE27" i="11"/>
  <c r="KB27" i="11"/>
  <c r="JY27" i="11"/>
  <c r="JV27" i="11"/>
  <c r="JS27" i="11"/>
  <c r="JP27" i="11"/>
  <c r="JM27" i="11"/>
  <c r="JJ27" i="11"/>
  <c r="JG27" i="11"/>
  <c r="JD27" i="11"/>
  <c r="JA27" i="11"/>
  <c r="IX27" i="11"/>
  <c r="IU27" i="11"/>
  <c r="IR27" i="11"/>
  <c r="IO27" i="11"/>
  <c r="IL27" i="11"/>
  <c r="IE27" i="11"/>
  <c r="CE26" i="12" s="1"/>
  <c r="IB27" i="11"/>
  <c r="CD26" i="12" s="1"/>
  <c r="HY27" i="11"/>
  <c r="HV27" i="11"/>
  <c r="CB26" i="12" s="1"/>
  <c r="HS27" i="11"/>
  <c r="HP27" i="11"/>
  <c r="BZ26" i="12" s="1"/>
  <c r="HM27" i="11"/>
  <c r="BY26" i="12" s="1"/>
  <c r="HJ27" i="11"/>
  <c r="HE27" i="11"/>
  <c r="GS27" i="11"/>
  <c r="GP27" i="11"/>
  <c r="BE26" i="12" s="1"/>
  <c r="GM27" i="11"/>
  <c r="BC26" i="12" s="1"/>
  <c r="GJ27" i="11"/>
  <c r="AX26" i="12" s="1"/>
  <c r="GD27" i="11"/>
  <c r="FX27" i="11"/>
  <c r="AP26" i="12" s="1"/>
  <c r="FS27" i="11"/>
  <c r="FP27" i="11"/>
  <c r="FA64" i="11" s="1"/>
  <c r="FJ27" i="11"/>
  <c r="BA26" i="12" s="1"/>
  <c r="FC27" i="11"/>
  <c r="EZ27" i="11"/>
  <c r="EZ64" i="11" s="1"/>
  <c r="EW27" i="11"/>
  <c r="AV26" i="12" s="1"/>
  <c r="ET27" i="11"/>
  <c r="AU26" i="12" s="1"/>
  <c r="EM27" i="11"/>
  <c r="AN26" i="12" s="1"/>
  <c r="EJ27" i="11"/>
  <c r="AM26" i="12" s="1"/>
  <c r="DZ27" i="11"/>
  <c r="AI26" i="12" s="1"/>
  <c r="DW27" i="11"/>
  <c r="AH26" i="12" s="1"/>
  <c r="DT27" i="11"/>
  <c r="IH27" i="11" s="1"/>
  <c r="CF26" i="12" s="1"/>
  <c r="DR27" i="11"/>
  <c r="AD26" i="12" s="1"/>
  <c r="DE27" i="11"/>
  <c r="DA27" i="11"/>
  <c r="X26" i="12" s="1"/>
  <c r="CW27" i="11"/>
  <c r="W26" i="12" s="1"/>
  <c r="CS27" i="11"/>
  <c r="U26" i="12" s="1"/>
  <c r="CO27" i="11"/>
  <c r="T26" i="12" s="1"/>
  <c r="CH27" i="11"/>
  <c r="R26" i="12" s="1"/>
  <c r="CF27" i="11"/>
  <c r="Q26" i="12" s="1"/>
  <c r="CD27" i="11"/>
  <c r="P26" i="12" s="1"/>
  <c r="CA27" i="11"/>
  <c r="CK27" i="11" s="1"/>
  <c r="BW27" i="11"/>
  <c r="BX27" i="11" s="1"/>
  <c r="BT27" i="11"/>
  <c r="BR27" i="11"/>
  <c r="Z26" i="12" s="1"/>
  <c r="BP27" i="11"/>
  <c r="BN27" i="11"/>
  <c r="BL27" i="11"/>
  <c r="BJ27" i="11"/>
  <c r="AB26" i="12" s="1"/>
  <c r="BG27" i="11"/>
  <c r="AA26" i="12" s="1"/>
  <c r="BC27" i="11"/>
  <c r="M26" i="12" s="1"/>
  <c r="AZ27" i="11"/>
  <c r="L26" i="12" s="1"/>
  <c r="AR27" i="11"/>
  <c r="AI27" i="11"/>
  <c r="AE27" i="11"/>
  <c r="H26" i="12" s="1"/>
  <c r="AB27" i="11"/>
  <c r="F26" i="12" s="1"/>
  <c r="V27" i="11"/>
  <c r="T27" i="11"/>
  <c r="D26" i="12" s="1"/>
  <c r="Q27" i="11"/>
  <c r="N27" i="11"/>
  <c r="C26" i="12" s="1"/>
  <c r="K27" i="11"/>
  <c r="F27" i="11"/>
  <c r="D27" i="11"/>
  <c r="C27" i="11"/>
  <c r="KE26" i="11"/>
  <c r="KB26" i="11"/>
  <c r="JY26" i="11"/>
  <c r="JV26" i="11"/>
  <c r="JS26" i="11"/>
  <c r="JP26" i="11"/>
  <c r="JM26" i="11"/>
  <c r="JJ26" i="11"/>
  <c r="JG26" i="11"/>
  <c r="JD26" i="11"/>
  <c r="JA26" i="11"/>
  <c r="IX26" i="11"/>
  <c r="IU26" i="11"/>
  <c r="IR26" i="11"/>
  <c r="IO26" i="11"/>
  <c r="IL26" i="11"/>
  <c r="IE26" i="11"/>
  <c r="CE25" i="12" s="1"/>
  <c r="IB26" i="11"/>
  <c r="CD25" i="12" s="1"/>
  <c r="HY26" i="11"/>
  <c r="HV26" i="11"/>
  <c r="CB25" i="12" s="1"/>
  <c r="HS26" i="11"/>
  <c r="CA25" i="12" s="1"/>
  <c r="HP26" i="11"/>
  <c r="BZ25" i="12" s="1"/>
  <c r="HM26" i="11"/>
  <c r="BY25" i="12" s="1"/>
  <c r="HJ26" i="11"/>
  <c r="HE26" i="11"/>
  <c r="GS26" i="11"/>
  <c r="BF25" i="12" s="1"/>
  <c r="GP26" i="11"/>
  <c r="BE25" i="12" s="1"/>
  <c r="GM26" i="11"/>
  <c r="GJ26" i="11"/>
  <c r="AX25" i="12" s="1"/>
  <c r="GD26" i="11"/>
  <c r="FX26" i="11"/>
  <c r="AP25" i="12" s="1"/>
  <c r="FS26" i="11"/>
  <c r="FP26" i="11"/>
  <c r="FA63" i="11" s="1"/>
  <c r="FJ26" i="11"/>
  <c r="BA25" i="12" s="1"/>
  <c r="FC26" i="11"/>
  <c r="EZ26" i="11"/>
  <c r="EZ63" i="11" s="1"/>
  <c r="EW26" i="11"/>
  <c r="AV25" i="12" s="1"/>
  <c r="ET26" i="11"/>
  <c r="AU25" i="12" s="1"/>
  <c r="EM26" i="11"/>
  <c r="AN25" i="12" s="1"/>
  <c r="EJ26" i="11"/>
  <c r="AM25" i="12" s="1"/>
  <c r="DZ26" i="11"/>
  <c r="AI25" i="12" s="1"/>
  <c r="DW26" i="11"/>
  <c r="AH25" i="12" s="1"/>
  <c r="DT26" i="11"/>
  <c r="DR26" i="11"/>
  <c r="AD25" i="12" s="1"/>
  <c r="DE26" i="11"/>
  <c r="DF26" i="11" s="1"/>
  <c r="DA26" i="11"/>
  <c r="X25" i="12" s="1"/>
  <c r="CW26" i="11"/>
  <c r="W25" i="12" s="1"/>
  <c r="CH26" i="11"/>
  <c r="R25" i="12" s="1"/>
  <c r="CF26" i="11"/>
  <c r="Q25" i="12" s="1"/>
  <c r="CD26" i="11"/>
  <c r="P25" i="12" s="1"/>
  <c r="CA26" i="11"/>
  <c r="CK26" i="11" s="1"/>
  <c r="BW26" i="11"/>
  <c r="BX26" i="11" s="1"/>
  <c r="BT26" i="11"/>
  <c r="BR26" i="11"/>
  <c r="Z25" i="12" s="1"/>
  <c r="BP26" i="11"/>
  <c r="BN26" i="11"/>
  <c r="BL26" i="11"/>
  <c r="BJ26" i="11"/>
  <c r="AB25" i="12" s="1"/>
  <c r="BG26" i="11"/>
  <c r="AA25" i="12" s="1"/>
  <c r="BC26" i="11"/>
  <c r="M25" i="12" s="1"/>
  <c r="AZ26" i="11"/>
  <c r="L25" i="12" s="1"/>
  <c r="AR26" i="11"/>
  <c r="K25" i="12" s="1"/>
  <c r="AI26" i="11"/>
  <c r="AE26" i="11"/>
  <c r="H25" i="12" s="1"/>
  <c r="AB26" i="11"/>
  <c r="F25" i="12" s="1"/>
  <c r="V26" i="11"/>
  <c r="E25" i="12" s="1"/>
  <c r="T26" i="11"/>
  <c r="D25" i="12" s="1"/>
  <c r="Q26" i="11"/>
  <c r="N26" i="11"/>
  <c r="C25" i="12" s="1"/>
  <c r="K26" i="11"/>
  <c r="F26" i="11"/>
  <c r="D26" i="11"/>
  <c r="C26" i="11"/>
  <c r="KE25" i="11"/>
  <c r="KB25" i="11"/>
  <c r="JY25" i="11"/>
  <c r="JV25" i="11"/>
  <c r="JS25" i="11"/>
  <c r="JP25" i="11"/>
  <c r="JM25" i="11"/>
  <c r="JJ25" i="11"/>
  <c r="JG25" i="11"/>
  <c r="JD25" i="11"/>
  <c r="JA25" i="11"/>
  <c r="IX25" i="11"/>
  <c r="IU25" i="11"/>
  <c r="IR25" i="11"/>
  <c r="IO25" i="11"/>
  <c r="IL25" i="11"/>
  <c r="IE25" i="11"/>
  <c r="CE24" i="12" s="1"/>
  <c r="IB25" i="11"/>
  <c r="CD24" i="12" s="1"/>
  <c r="HY25" i="11"/>
  <c r="HV25" i="11"/>
  <c r="CB24" i="12" s="1"/>
  <c r="HS25" i="11"/>
  <c r="CA24" i="12" s="1"/>
  <c r="HP25" i="11"/>
  <c r="BZ24" i="12" s="1"/>
  <c r="HM25" i="11"/>
  <c r="HJ25" i="11"/>
  <c r="HE25" i="11"/>
  <c r="GS25" i="11"/>
  <c r="GP25" i="11"/>
  <c r="BE24" i="12" s="1"/>
  <c r="GM25" i="11"/>
  <c r="BC24" i="12" s="1"/>
  <c r="GJ25" i="11"/>
  <c r="GD25" i="11"/>
  <c r="FX25" i="11"/>
  <c r="AP24" i="12" s="1"/>
  <c r="FS25" i="11"/>
  <c r="FP25" i="11"/>
  <c r="FA62" i="11" s="1"/>
  <c r="FJ25" i="11"/>
  <c r="BA24" i="12" s="1"/>
  <c r="FC25" i="11"/>
  <c r="EZ25" i="11"/>
  <c r="EZ62" i="11" s="1"/>
  <c r="EW25" i="11"/>
  <c r="ET25" i="11"/>
  <c r="AU24" i="12" s="1"/>
  <c r="EM25" i="11"/>
  <c r="AN24" i="12" s="1"/>
  <c r="EJ25" i="11"/>
  <c r="AM24" i="12" s="1"/>
  <c r="AI24" i="12"/>
  <c r="DW25" i="11"/>
  <c r="AH24" i="12" s="1"/>
  <c r="DT25" i="11"/>
  <c r="DR25" i="11"/>
  <c r="AD24" i="12" s="1"/>
  <c r="DE25" i="11"/>
  <c r="DF25" i="11" s="1"/>
  <c r="DA25" i="11"/>
  <c r="X24" i="12" s="1"/>
  <c r="CW25" i="11"/>
  <c r="CX25" i="11" s="1"/>
  <c r="CS25" i="11"/>
  <c r="U24" i="12" s="1"/>
  <c r="CO25" i="11"/>
  <c r="CH25" i="11"/>
  <c r="R24" i="12" s="1"/>
  <c r="CF25" i="11"/>
  <c r="Q24" i="12" s="1"/>
  <c r="CD25" i="11"/>
  <c r="P24" i="12" s="1"/>
  <c r="CA25" i="11"/>
  <c r="BW25" i="11"/>
  <c r="BX25" i="11" s="1"/>
  <c r="BT25" i="11"/>
  <c r="BR25" i="11"/>
  <c r="Z24" i="12" s="1"/>
  <c r="BP25" i="11"/>
  <c r="BN25" i="11"/>
  <c r="BL25" i="11"/>
  <c r="BJ25" i="11"/>
  <c r="AB24" i="12" s="1"/>
  <c r="BG25" i="11"/>
  <c r="AA24" i="12" s="1"/>
  <c r="BC25" i="11"/>
  <c r="M24" i="12" s="1"/>
  <c r="AZ25" i="11"/>
  <c r="L24" i="12" s="1"/>
  <c r="AR25" i="11"/>
  <c r="K24" i="12" s="1"/>
  <c r="AI25" i="11"/>
  <c r="I24" i="12" s="1"/>
  <c r="AE25" i="11"/>
  <c r="H24" i="12" s="1"/>
  <c r="AB25" i="11"/>
  <c r="F24" i="12" s="1"/>
  <c r="V25" i="11"/>
  <c r="E24" i="12" s="1"/>
  <c r="T25" i="11"/>
  <c r="D24" i="12" s="1"/>
  <c r="Q25" i="11"/>
  <c r="R25" i="11" s="1"/>
  <c r="N25" i="11"/>
  <c r="C24" i="12" s="1"/>
  <c r="K25" i="11"/>
  <c r="F25" i="11"/>
  <c r="D25" i="11"/>
  <c r="C25" i="11"/>
  <c r="KE24" i="11"/>
  <c r="KB24" i="11"/>
  <c r="JY24" i="11"/>
  <c r="JV24" i="11"/>
  <c r="JS24" i="11"/>
  <c r="JP24" i="11"/>
  <c r="JM24" i="11"/>
  <c r="JJ24" i="11"/>
  <c r="JG24" i="11"/>
  <c r="JD24" i="11"/>
  <c r="JA24" i="11"/>
  <c r="IX24" i="11"/>
  <c r="IU24" i="11"/>
  <c r="IR24" i="11"/>
  <c r="IO24" i="11"/>
  <c r="IL24" i="11"/>
  <c r="IE24" i="11"/>
  <c r="CE23" i="12" s="1"/>
  <c r="IB24" i="11"/>
  <c r="CD23" i="12" s="1"/>
  <c r="HY24" i="11"/>
  <c r="HV24" i="11"/>
  <c r="CB23" i="12" s="1"/>
  <c r="HS24" i="11"/>
  <c r="CA23" i="12" s="1"/>
  <c r="HP24" i="11"/>
  <c r="BZ23" i="12" s="1"/>
  <c r="HM24" i="11"/>
  <c r="BY23" i="12" s="1"/>
  <c r="HJ24" i="11"/>
  <c r="HE24" i="11"/>
  <c r="GS24" i="11"/>
  <c r="GP24" i="11"/>
  <c r="BE23" i="12" s="1"/>
  <c r="GM24" i="11"/>
  <c r="BC23" i="12" s="1"/>
  <c r="GJ24" i="11"/>
  <c r="AX23" i="12" s="1"/>
  <c r="GD24" i="11"/>
  <c r="FX24" i="11"/>
  <c r="AP23" i="12" s="1"/>
  <c r="FS24" i="11"/>
  <c r="FP24" i="11"/>
  <c r="FA61" i="11" s="1"/>
  <c r="FJ24" i="11"/>
  <c r="BA23" i="12" s="1"/>
  <c r="FC24" i="11"/>
  <c r="EZ24" i="11"/>
  <c r="EZ61" i="11" s="1"/>
  <c r="EW24" i="11"/>
  <c r="AV23" i="12" s="1"/>
  <c r="ET24" i="11"/>
  <c r="AU23" i="12" s="1"/>
  <c r="EM24" i="11"/>
  <c r="AN23" i="12" s="1"/>
  <c r="EJ24" i="11"/>
  <c r="AM23" i="12" s="1"/>
  <c r="DZ24" i="11"/>
  <c r="AI23" i="12" s="1"/>
  <c r="DW24" i="11"/>
  <c r="AH23" i="12" s="1"/>
  <c r="DT24" i="11"/>
  <c r="IH24" i="11" s="1"/>
  <c r="CF23" i="12" s="1"/>
  <c r="DR24" i="11"/>
  <c r="AD23" i="12" s="1"/>
  <c r="DE24" i="11"/>
  <c r="DF24" i="11" s="1"/>
  <c r="DA24" i="11"/>
  <c r="X23" i="12" s="1"/>
  <c r="CW24" i="11"/>
  <c r="W23" i="12" s="1"/>
  <c r="CS24" i="11"/>
  <c r="U23" i="12" s="1"/>
  <c r="CO24" i="11"/>
  <c r="CH24" i="11"/>
  <c r="R23" i="12" s="1"/>
  <c r="CF24" i="11"/>
  <c r="Q23" i="12" s="1"/>
  <c r="CD24" i="11"/>
  <c r="P23" i="12" s="1"/>
  <c r="CA24" i="11"/>
  <c r="BW24" i="11"/>
  <c r="BX24" i="11" s="1"/>
  <c r="BT24" i="11"/>
  <c r="BR24" i="11"/>
  <c r="Z23" i="12" s="1"/>
  <c r="BP24" i="11"/>
  <c r="BN24" i="11"/>
  <c r="BL24" i="11"/>
  <c r="BJ24" i="11"/>
  <c r="AB23" i="12" s="1"/>
  <c r="BG24" i="11"/>
  <c r="AA23" i="12" s="1"/>
  <c r="BC24" i="11"/>
  <c r="M23" i="12" s="1"/>
  <c r="AZ24" i="11"/>
  <c r="L23" i="12" s="1"/>
  <c r="AR24" i="11"/>
  <c r="K23" i="12" s="1"/>
  <c r="AI24" i="11"/>
  <c r="I23" i="12" s="1"/>
  <c r="AE24" i="11"/>
  <c r="H23" i="12" s="1"/>
  <c r="AB24" i="11"/>
  <c r="F23" i="12" s="1"/>
  <c r="V24" i="11"/>
  <c r="E23" i="12" s="1"/>
  <c r="T24" i="11"/>
  <c r="D23" i="12" s="1"/>
  <c r="Q24" i="11"/>
  <c r="R24" i="11" s="1"/>
  <c r="N24" i="11"/>
  <c r="C23" i="12" s="1"/>
  <c r="K24" i="11"/>
  <c r="F24" i="11"/>
  <c r="D24" i="11"/>
  <c r="C24" i="11"/>
  <c r="KE23" i="11"/>
  <c r="KB23" i="11"/>
  <c r="JY23" i="11"/>
  <c r="JV23" i="11"/>
  <c r="JS23" i="11"/>
  <c r="JP23" i="11"/>
  <c r="JM23" i="11"/>
  <c r="JJ23" i="11"/>
  <c r="JG23" i="11"/>
  <c r="JD23" i="11"/>
  <c r="JA23" i="11"/>
  <c r="IX23" i="11"/>
  <c r="IU23" i="11"/>
  <c r="IR23" i="11"/>
  <c r="IO23" i="11"/>
  <c r="IL23" i="11"/>
  <c r="IE23" i="11"/>
  <c r="CE22" i="12" s="1"/>
  <c r="IB23" i="11"/>
  <c r="CD22" i="12" s="1"/>
  <c r="HY23" i="11"/>
  <c r="HV23" i="11"/>
  <c r="CB22" i="12" s="1"/>
  <c r="HS23" i="11"/>
  <c r="CA22" i="12" s="1"/>
  <c r="HP23" i="11"/>
  <c r="BZ22" i="12" s="1"/>
  <c r="HM23" i="11"/>
  <c r="BY22" i="12" s="1"/>
  <c r="HJ23" i="11"/>
  <c r="HE23" i="11"/>
  <c r="GS23" i="11"/>
  <c r="GP23" i="11"/>
  <c r="BE22" i="12" s="1"/>
  <c r="GM23" i="11"/>
  <c r="BC22" i="12" s="1"/>
  <c r="GJ23" i="11"/>
  <c r="AX22" i="12" s="1"/>
  <c r="GD23" i="11"/>
  <c r="FX23" i="11"/>
  <c r="AP22" i="12" s="1"/>
  <c r="FS23" i="11"/>
  <c r="FP23" i="11"/>
  <c r="FA60" i="11" s="1"/>
  <c r="FJ23" i="11"/>
  <c r="BA22" i="12" s="1"/>
  <c r="FC23" i="11"/>
  <c r="EZ23" i="11"/>
  <c r="EZ60" i="11" s="1"/>
  <c r="EW23" i="11"/>
  <c r="AV22" i="12" s="1"/>
  <c r="ET23" i="11"/>
  <c r="AU22" i="12" s="1"/>
  <c r="EM23" i="11"/>
  <c r="AN22" i="12" s="1"/>
  <c r="EJ23" i="11"/>
  <c r="AM22" i="12" s="1"/>
  <c r="DZ23" i="11"/>
  <c r="AI22" i="12" s="1"/>
  <c r="DW23" i="11"/>
  <c r="DT23" i="11"/>
  <c r="IH23" i="11" s="1"/>
  <c r="CF22" i="12" s="1"/>
  <c r="DR23" i="11"/>
  <c r="AD22" i="12" s="1"/>
  <c r="DE23" i="11"/>
  <c r="DA23" i="11"/>
  <c r="X22" i="12" s="1"/>
  <c r="CW23" i="11"/>
  <c r="CS23" i="11"/>
  <c r="U22" i="12" s="1"/>
  <c r="CO23" i="11"/>
  <c r="CH23" i="11"/>
  <c r="R22" i="12" s="1"/>
  <c r="CF23" i="11"/>
  <c r="Q22" i="12" s="1"/>
  <c r="CD23" i="11"/>
  <c r="P22" i="12" s="1"/>
  <c r="CA23" i="11"/>
  <c r="O22" i="12" s="1"/>
  <c r="BW23" i="11"/>
  <c r="BX23" i="11" s="1"/>
  <c r="BT23" i="11"/>
  <c r="BR23" i="11"/>
  <c r="Z22" i="12" s="1"/>
  <c r="BP23" i="11"/>
  <c r="BN23" i="11"/>
  <c r="BL23" i="11"/>
  <c r="BJ23" i="11"/>
  <c r="AB22" i="12" s="1"/>
  <c r="BG23" i="11"/>
  <c r="AA22" i="12" s="1"/>
  <c r="BC23" i="11"/>
  <c r="M22" i="12" s="1"/>
  <c r="AZ23" i="11"/>
  <c r="L22" i="12" s="1"/>
  <c r="AR23" i="11"/>
  <c r="K22" i="12" s="1"/>
  <c r="AI23" i="11"/>
  <c r="I22" i="12" s="1"/>
  <c r="AE23" i="11"/>
  <c r="H22" i="12" s="1"/>
  <c r="AB23" i="11"/>
  <c r="F22" i="12" s="1"/>
  <c r="V23" i="11"/>
  <c r="E22" i="12" s="1"/>
  <c r="T23" i="11"/>
  <c r="D22" i="12" s="1"/>
  <c r="Q23" i="11"/>
  <c r="N23" i="11"/>
  <c r="C22" i="12" s="1"/>
  <c r="K23" i="11"/>
  <c r="F23" i="11"/>
  <c r="D23" i="11"/>
  <c r="C23" i="11"/>
  <c r="KE22" i="11"/>
  <c r="KB22" i="11"/>
  <c r="JY22" i="11"/>
  <c r="JV22" i="11"/>
  <c r="JS22" i="11"/>
  <c r="JP22" i="11"/>
  <c r="JM22" i="11"/>
  <c r="JJ22" i="11"/>
  <c r="JG22" i="11"/>
  <c r="JD22" i="11"/>
  <c r="JA22" i="11"/>
  <c r="IX22" i="11"/>
  <c r="IU22" i="11"/>
  <c r="IR22" i="11"/>
  <c r="IO22" i="11"/>
  <c r="IL22" i="11"/>
  <c r="IE22" i="11"/>
  <c r="CE21" i="12" s="1"/>
  <c r="IB22" i="11"/>
  <c r="CD21" i="12" s="1"/>
  <c r="HY22" i="11"/>
  <c r="HV22" i="11"/>
  <c r="CB21" i="12" s="1"/>
  <c r="HS22" i="11"/>
  <c r="CA21" i="12" s="1"/>
  <c r="HP22" i="11"/>
  <c r="BZ21" i="12" s="1"/>
  <c r="HM22" i="11"/>
  <c r="BY21" i="12" s="1"/>
  <c r="HJ22" i="11"/>
  <c r="HE22" i="11"/>
  <c r="GS22" i="11"/>
  <c r="BF21" i="12" s="1"/>
  <c r="GP22" i="11"/>
  <c r="BE21" i="12" s="1"/>
  <c r="GM22" i="11"/>
  <c r="BC21" i="12" s="1"/>
  <c r="GJ22" i="11"/>
  <c r="AX21" i="12" s="1"/>
  <c r="GD22" i="11"/>
  <c r="FX22" i="11"/>
  <c r="AP21" i="12" s="1"/>
  <c r="FS22" i="11"/>
  <c r="FP22" i="11"/>
  <c r="FA59" i="11" s="1"/>
  <c r="FJ22" i="11"/>
  <c r="BA21" i="12" s="1"/>
  <c r="FC22" i="11"/>
  <c r="EZ22" i="11"/>
  <c r="EZ59" i="11" s="1"/>
  <c r="EW22" i="11"/>
  <c r="AV21" i="12" s="1"/>
  <c r="ET22" i="11"/>
  <c r="AU21" i="12" s="1"/>
  <c r="EM22" i="11"/>
  <c r="AN21" i="12" s="1"/>
  <c r="EJ22" i="11"/>
  <c r="AM21" i="12" s="1"/>
  <c r="DZ22" i="11"/>
  <c r="AI21" i="12" s="1"/>
  <c r="DW22" i="11"/>
  <c r="AH21" i="12" s="1"/>
  <c r="DT22" i="11"/>
  <c r="DR22" i="11"/>
  <c r="AD21" i="12" s="1"/>
  <c r="DE22" i="11"/>
  <c r="DF22" i="11" s="1"/>
  <c r="DA22" i="11"/>
  <c r="X21" i="12" s="1"/>
  <c r="CW22" i="11"/>
  <c r="W21" i="12" s="1"/>
  <c r="CS22" i="11"/>
  <c r="U21" i="12" s="1"/>
  <c r="CO22" i="11"/>
  <c r="T21" i="12" s="1"/>
  <c r="CH22" i="11"/>
  <c r="R21" i="12" s="1"/>
  <c r="CF22" i="11"/>
  <c r="Q21" i="12" s="1"/>
  <c r="CD22" i="11"/>
  <c r="P21" i="12" s="1"/>
  <c r="CA22" i="11"/>
  <c r="O21" i="12" s="1"/>
  <c r="BW22" i="11"/>
  <c r="BX22" i="11" s="1"/>
  <c r="BT22" i="11"/>
  <c r="BR22" i="11"/>
  <c r="Z21" i="12" s="1"/>
  <c r="BP22" i="11"/>
  <c r="BN22" i="11"/>
  <c r="BL22" i="11"/>
  <c r="BJ22" i="11"/>
  <c r="AB21" i="12" s="1"/>
  <c r="BG22" i="11"/>
  <c r="AA21" i="12" s="1"/>
  <c r="BC22" i="11"/>
  <c r="M21" i="12" s="1"/>
  <c r="AZ22" i="11"/>
  <c r="L21" i="12" s="1"/>
  <c r="AR22" i="11"/>
  <c r="K21" i="12" s="1"/>
  <c r="AI22" i="11"/>
  <c r="I21" i="12" s="1"/>
  <c r="AE22" i="11"/>
  <c r="H21" i="12" s="1"/>
  <c r="AB22" i="11"/>
  <c r="F21" i="12" s="1"/>
  <c r="V22" i="11"/>
  <c r="E21" i="12" s="1"/>
  <c r="T22" i="11"/>
  <c r="D21" i="12" s="1"/>
  <c r="Q22" i="11"/>
  <c r="R22" i="11" s="1"/>
  <c r="N22" i="11"/>
  <c r="C21" i="12" s="1"/>
  <c r="K22" i="11"/>
  <c r="F22" i="11"/>
  <c r="D22" i="11"/>
  <c r="C22" i="11"/>
  <c r="KE21" i="11"/>
  <c r="KB21" i="11"/>
  <c r="JY21" i="11"/>
  <c r="JV21" i="11"/>
  <c r="JS21" i="11"/>
  <c r="JP21" i="11"/>
  <c r="JM21" i="11"/>
  <c r="JJ21" i="11"/>
  <c r="JG21" i="11"/>
  <c r="JD21" i="11"/>
  <c r="JA21" i="11"/>
  <c r="IX21" i="11"/>
  <c r="IU21" i="11"/>
  <c r="IR21" i="11"/>
  <c r="IO21" i="11"/>
  <c r="IL21" i="11"/>
  <c r="IE21" i="11"/>
  <c r="CE20" i="12" s="1"/>
  <c r="IB21" i="11"/>
  <c r="CD20" i="12" s="1"/>
  <c r="HY21" i="11"/>
  <c r="HV21" i="11"/>
  <c r="CB20" i="12" s="1"/>
  <c r="HS21" i="11"/>
  <c r="CA20" i="12" s="1"/>
  <c r="HP21" i="11"/>
  <c r="BZ20" i="12" s="1"/>
  <c r="HM21" i="11"/>
  <c r="BY20" i="12" s="1"/>
  <c r="HJ21" i="11"/>
  <c r="HE21" i="11"/>
  <c r="GS21" i="11"/>
  <c r="BF20" i="12" s="1"/>
  <c r="GP21" i="11"/>
  <c r="BE20" i="12" s="1"/>
  <c r="GM21" i="11"/>
  <c r="BC20" i="12" s="1"/>
  <c r="GJ21" i="11"/>
  <c r="AX20" i="12" s="1"/>
  <c r="GD21" i="11"/>
  <c r="FX21" i="11"/>
  <c r="AP20" i="12" s="1"/>
  <c r="FS21" i="11"/>
  <c r="FP21" i="11"/>
  <c r="FA58" i="11" s="1"/>
  <c r="FJ21" i="11"/>
  <c r="BA20" i="12" s="1"/>
  <c r="FC21" i="11"/>
  <c r="EZ21" i="11"/>
  <c r="EZ58" i="11" s="1"/>
  <c r="EW21" i="11"/>
  <c r="AV20" i="12" s="1"/>
  <c r="ET21" i="11"/>
  <c r="AU20" i="12" s="1"/>
  <c r="EM21" i="11"/>
  <c r="AN20" i="12" s="1"/>
  <c r="EJ21" i="11"/>
  <c r="AM20" i="12" s="1"/>
  <c r="DZ21" i="11"/>
  <c r="AI20" i="12" s="1"/>
  <c r="DW21" i="11"/>
  <c r="AH20" i="12" s="1"/>
  <c r="DT21" i="11"/>
  <c r="DR21" i="11"/>
  <c r="AD20" i="12" s="1"/>
  <c r="DE21" i="11"/>
  <c r="DA21" i="11"/>
  <c r="X20" i="12" s="1"/>
  <c r="CW21" i="11"/>
  <c r="W20" i="12" s="1"/>
  <c r="CS21" i="11"/>
  <c r="U20" i="12" s="1"/>
  <c r="CO21" i="11"/>
  <c r="T20" i="12" s="1"/>
  <c r="CH21" i="11"/>
  <c r="R20" i="12" s="1"/>
  <c r="CF21" i="11"/>
  <c r="Q20" i="12" s="1"/>
  <c r="CD21" i="11"/>
  <c r="P20" i="12" s="1"/>
  <c r="CA21" i="11"/>
  <c r="O20" i="12" s="1"/>
  <c r="BW21" i="11"/>
  <c r="BX21" i="11" s="1"/>
  <c r="BT21" i="11"/>
  <c r="BR21" i="11"/>
  <c r="Z20" i="12" s="1"/>
  <c r="BP21" i="11"/>
  <c r="BN21" i="11"/>
  <c r="BL21" i="11"/>
  <c r="BJ21" i="11"/>
  <c r="AB20" i="12" s="1"/>
  <c r="BG21" i="11"/>
  <c r="AA20" i="12" s="1"/>
  <c r="BC21" i="11"/>
  <c r="M20" i="12" s="1"/>
  <c r="AZ21" i="11"/>
  <c r="L20" i="12" s="1"/>
  <c r="AR21" i="11"/>
  <c r="K20" i="12" s="1"/>
  <c r="AI21" i="11"/>
  <c r="I20" i="12" s="1"/>
  <c r="AE21" i="11"/>
  <c r="H20" i="12" s="1"/>
  <c r="AB21" i="11"/>
  <c r="F20" i="12" s="1"/>
  <c r="V21" i="11"/>
  <c r="E20" i="12" s="1"/>
  <c r="T21" i="11"/>
  <c r="D20" i="12" s="1"/>
  <c r="Q21" i="11"/>
  <c r="R21" i="11" s="1"/>
  <c r="N21" i="11"/>
  <c r="C20" i="12" s="1"/>
  <c r="K21" i="11"/>
  <c r="F21" i="11"/>
  <c r="D21" i="11"/>
  <c r="C21" i="11"/>
  <c r="KE20" i="11"/>
  <c r="KB20" i="11"/>
  <c r="JY20" i="11"/>
  <c r="JV20" i="11"/>
  <c r="JS20" i="11"/>
  <c r="JP20" i="11"/>
  <c r="JM20" i="11"/>
  <c r="JJ20" i="11"/>
  <c r="JG20" i="11"/>
  <c r="JD20" i="11"/>
  <c r="JA20" i="11"/>
  <c r="IX20" i="11"/>
  <c r="IU20" i="11"/>
  <c r="IR20" i="11"/>
  <c r="IO20" i="11"/>
  <c r="IL20" i="11"/>
  <c r="IE20" i="11"/>
  <c r="CE19" i="12" s="1"/>
  <c r="IB20" i="11"/>
  <c r="CD19" i="12" s="1"/>
  <c r="HY20" i="11"/>
  <c r="CC19" i="12" s="1"/>
  <c r="HV20" i="11"/>
  <c r="CB19" i="12" s="1"/>
  <c r="HS20" i="11"/>
  <c r="CA19" i="12" s="1"/>
  <c r="HP20" i="11"/>
  <c r="BZ19" i="12" s="1"/>
  <c r="HM20" i="11"/>
  <c r="BY19" i="12" s="1"/>
  <c r="HJ20" i="11"/>
  <c r="HE20" i="11"/>
  <c r="GS20" i="11"/>
  <c r="BF19" i="12" s="1"/>
  <c r="GP20" i="11"/>
  <c r="BE19" i="12" s="1"/>
  <c r="GM20" i="11"/>
  <c r="BC19" i="12" s="1"/>
  <c r="GJ20" i="11"/>
  <c r="AX19" i="12" s="1"/>
  <c r="GD20" i="11"/>
  <c r="FX20" i="11"/>
  <c r="AP19" i="12" s="1"/>
  <c r="FS20" i="11"/>
  <c r="FP20" i="11"/>
  <c r="FA57" i="11" s="1"/>
  <c r="FJ20" i="11"/>
  <c r="BA19" i="12" s="1"/>
  <c r="FC20" i="11"/>
  <c r="EZ20" i="11"/>
  <c r="EZ57" i="11" s="1"/>
  <c r="EW20" i="11"/>
  <c r="AV19" i="12" s="1"/>
  <c r="ET20" i="11"/>
  <c r="AU19" i="12" s="1"/>
  <c r="EM20" i="11"/>
  <c r="AN19" i="12" s="1"/>
  <c r="EJ20" i="11"/>
  <c r="AM19" i="12" s="1"/>
  <c r="DZ20" i="11"/>
  <c r="AI19" i="12" s="1"/>
  <c r="DW20" i="11"/>
  <c r="AH19" i="12" s="1"/>
  <c r="DT20" i="11"/>
  <c r="DR20" i="11"/>
  <c r="AD19" i="12" s="1"/>
  <c r="DE20" i="11"/>
  <c r="DF20" i="11" s="1"/>
  <c r="DA20" i="11"/>
  <c r="X19" i="12" s="1"/>
  <c r="CW20" i="11"/>
  <c r="W19" i="12" s="1"/>
  <c r="CS20" i="11"/>
  <c r="U19" i="12" s="1"/>
  <c r="CO20" i="11"/>
  <c r="T19" i="12" s="1"/>
  <c r="CH20" i="11"/>
  <c r="R19" i="12" s="1"/>
  <c r="CF20" i="11"/>
  <c r="Q19" i="12" s="1"/>
  <c r="CD20" i="11"/>
  <c r="P19" i="12" s="1"/>
  <c r="CA20" i="11"/>
  <c r="O19" i="12" s="1"/>
  <c r="BW20" i="11"/>
  <c r="BX20" i="11" s="1"/>
  <c r="BT20" i="11"/>
  <c r="BR20" i="11"/>
  <c r="Z19" i="12" s="1"/>
  <c r="BP20" i="11"/>
  <c r="BN20" i="11"/>
  <c r="BL20" i="11"/>
  <c r="BJ20" i="11"/>
  <c r="AB19" i="12" s="1"/>
  <c r="BG20" i="11"/>
  <c r="AA19" i="12" s="1"/>
  <c r="BC20" i="11"/>
  <c r="M19" i="12" s="1"/>
  <c r="AZ20" i="11"/>
  <c r="L19" i="12" s="1"/>
  <c r="AR20" i="11"/>
  <c r="K19" i="12" s="1"/>
  <c r="AI20" i="11"/>
  <c r="I19" i="12" s="1"/>
  <c r="AE20" i="11"/>
  <c r="H19" i="12" s="1"/>
  <c r="AB20" i="11"/>
  <c r="F19" i="12" s="1"/>
  <c r="V20" i="11"/>
  <c r="E19" i="12" s="1"/>
  <c r="T20" i="11"/>
  <c r="D19" i="12" s="1"/>
  <c r="Q20" i="11"/>
  <c r="N20" i="11"/>
  <c r="C19" i="12" s="1"/>
  <c r="K20" i="11"/>
  <c r="F20" i="11"/>
  <c r="D20" i="11"/>
  <c r="C20" i="11"/>
  <c r="KE19" i="11"/>
  <c r="KB19" i="11"/>
  <c r="JY19" i="11"/>
  <c r="JV19" i="11"/>
  <c r="JS19" i="11"/>
  <c r="JP19" i="11"/>
  <c r="JM19" i="11"/>
  <c r="JJ19" i="11"/>
  <c r="JG19" i="11"/>
  <c r="JD19" i="11"/>
  <c r="JA19" i="11"/>
  <c r="IX19" i="11"/>
  <c r="IU19" i="11"/>
  <c r="IR19" i="11"/>
  <c r="IO19" i="11"/>
  <c r="IL19" i="11"/>
  <c r="IE19" i="11"/>
  <c r="CE18" i="12" s="1"/>
  <c r="IB19" i="11"/>
  <c r="CD18" i="12" s="1"/>
  <c r="HY19" i="11"/>
  <c r="HV19" i="11"/>
  <c r="CB18" i="12" s="1"/>
  <c r="HS19" i="11"/>
  <c r="CA18" i="12" s="1"/>
  <c r="HP19" i="11"/>
  <c r="BZ18" i="12" s="1"/>
  <c r="HM19" i="11"/>
  <c r="BY18" i="12" s="1"/>
  <c r="HJ19" i="11"/>
  <c r="HE19" i="11"/>
  <c r="GS19" i="11"/>
  <c r="BF18" i="12" s="1"/>
  <c r="GP19" i="11"/>
  <c r="BE18" i="12" s="1"/>
  <c r="GM19" i="11"/>
  <c r="BC18" i="12" s="1"/>
  <c r="GJ19" i="11"/>
  <c r="AX18" i="12" s="1"/>
  <c r="GD19" i="11"/>
  <c r="FX19" i="11"/>
  <c r="AP18" i="12" s="1"/>
  <c r="FS19" i="11"/>
  <c r="FP19" i="11"/>
  <c r="FA56" i="11" s="1"/>
  <c r="FJ19" i="11"/>
  <c r="BA18" i="12" s="1"/>
  <c r="FC19" i="11"/>
  <c r="EZ19" i="11"/>
  <c r="EZ56" i="11" s="1"/>
  <c r="EW19" i="11"/>
  <c r="AV18" i="12" s="1"/>
  <c r="ET19" i="11"/>
  <c r="AU18" i="12" s="1"/>
  <c r="EM19" i="11"/>
  <c r="AN18" i="12" s="1"/>
  <c r="EJ19" i="11"/>
  <c r="AM18" i="12" s="1"/>
  <c r="DZ19" i="11"/>
  <c r="AI18" i="12" s="1"/>
  <c r="DW19" i="11"/>
  <c r="AH18" i="12" s="1"/>
  <c r="DT19" i="11"/>
  <c r="DR19" i="11"/>
  <c r="AD18" i="12" s="1"/>
  <c r="DE19" i="11"/>
  <c r="DA19" i="11"/>
  <c r="X18" i="12" s="1"/>
  <c r="CW19" i="11"/>
  <c r="W18" i="12" s="1"/>
  <c r="CS19" i="11"/>
  <c r="U18" i="12" s="1"/>
  <c r="CO19" i="11"/>
  <c r="T18" i="12" s="1"/>
  <c r="CH19" i="11"/>
  <c r="R18" i="12" s="1"/>
  <c r="CF19" i="11"/>
  <c r="Q18" i="12" s="1"/>
  <c r="CD19" i="11"/>
  <c r="P18" i="12" s="1"/>
  <c r="CA19" i="11"/>
  <c r="O18" i="12" s="1"/>
  <c r="BW19" i="11"/>
  <c r="BX19" i="11" s="1"/>
  <c r="BT19" i="11"/>
  <c r="BR19" i="11"/>
  <c r="Z18" i="12" s="1"/>
  <c r="BP19" i="11"/>
  <c r="BN19" i="11"/>
  <c r="BL19" i="11"/>
  <c r="BJ19" i="11"/>
  <c r="AB18" i="12" s="1"/>
  <c r="BG19" i="11"/>
  <c r="AA18" i="12" s="1"/>
  <c r="BC19" i="11"/>
  <c r="M18" i="12" s="1"/>
  <c r="AZ19" i="11"/>
  <c r="L18" i="12" s="1"/>
  <c r="AR19" i="11"/>
  <c r="K18" i="12" s="1"/>
  <c r="AI19" i="11"/>
  <c r="I18" i="12" s="1"/>
  <c r="AE19" i="11"/>
  <c r="H18" i="12" s="1"/>
  <c r="AB19" i="11"/>
  <c r="F18" i="12" s="1"/>
  <c r="V19" i="11"/>
  <c r="E18" i="12" s="1"/>
  <c r="T19" i="11"/>
  <c r="D18" i="12" s="1"/>
  <c r="Q19" i="11"/>
  <c r="N19" i="11"/>
  <c r="C18" i="12" s="1"/>
  <c r="K19" i="11"/>
  <c r="F19" i="11"/>
  <c r="D19" i="11"/>
  <c r="C19" i="11"/>
  <c r="IE18" i="11"/>
  <c r="CE17" i="12" s="1"/>
  <c r="IB18" i="11"/>
  <c r="CD17" i="12" s="1"/>
  <c r="HY18" i="11"/>
  <c r="HV18" i="11"/>
  <c r="CB17" i="12" s="1"/>
  <c r="HS18" i="11"/>
  <c r="CA17" i="12" s="1"/>
  <c r="HP18" i="11"/>
  <c r="BZ17" i="12" s="1"/>
  <c r="HM18" i="11"/>
  <c r="BY17" i="12" s="1"/>
  <c r="HJ18" i="11"/>
  <c r="HE18" i="11"/>
  <c r="GS18" i="11"/>
  <c r="BF17" i="12" s="1"/>
  <c r="GP18" i="11"/>
  <c r="BE17" i="12" s="1"/>
  <c r="GM18" i="11"/>
  <c r="BC17" i="12" s="1"/>
  <c r="GJ18" i="11"/>
  <c r="AX17" i="12" s="1"/>
  <c r="GD18" i="11"/>
  <c r="FX18" i="11"/>
  <c r="AP17" i="12" s="1"/>
  <c r="FS18" i="11"/>
  <c r="FP18" i="11"/>
  <c r="FA55" i="11" s="1"/>
  <c r="FJ18" i="11"/>
  <c r="BA17" i="12" s="1"/>
  <c r="FC18" i="11"/>
  <c r="EZ18" i="11"/>
  <c r="EZ55" i="11" s="1"/>
  <c r="EW18" i="11"/>
  <c r="AV17" i="12" s="1"/>
  <c r="ET18" i="11"/>
  <c r="AU17" i="12" s="1"/>
  <c r="EM18" i="11"/>
  <c r="AN17" i="12" s="1"/>
  <c r="EJ18" i="11"/>
  <c r="AM17" i="12" s="1"/>
  <c r="DZ18" i="11"/>
  <c r="AI17" i="12" s="1"/>
  <c r="DW18" i="11"/>
  <c r="AH17" i="12" s="1"/>
  <c r="DT18" i="11"/>
  <c r="DR18" i="11"/>
  <c r="AD17" i="12" s="1"/>
  <c r="DE18" i="11"/>
  <c r="DF18" i="11" s="1"/>
  <c r="DA18" i="11"/>
  <c r="X17" i="12" s="1"/>
  <c r="CW18" i="11"/>
  <c r="W17" i="12" s="1"/>
  <c r="CS18" i="11"/>
  <c r="U17" i="12" s="1"/>
  <c r="CO18" i="11"/>
  <c r="T17" i="12" s="1"/>
  <c r="CH18" i="11"/>
  <c r="R17" i="12" s="1"/>
  <c r="CF18" i="11"/>
  <c r="Q17" i="12" s="1"/>
  <c r="CD18" i="11"/>
  <c r="P17" i="12" s="1"/>
  <c r="CA18" i="11"/>
  <c r="O17" i="12" s="1"/>
  <c r="BW18" i="11"/>
  <c r="BX18" i="11" s="1"/>
  <c r="BT18" i="11"/>
  <c r="BR18" i="11"/>
  <c r="Z17" i="12" s="1"/>
  <c r="BP18" i="11"/>
  <c r="BN18" i="11"/>
  <c r="BL18" i="11"/>
  <c r="BJ18" i="11"/>
  <c r="AB17" i="12" s="1"/>
  <c r="BG18" i="11"/>
  <c r="AA17" i="12" s="1"/>
  <c r="BC18" i="11"/>
  <c r="M17" i="12" s="1"/>
  <c r="AZ18" i="11"/>
  <c r="L17" i="12" s="1"/>
  <c r="AR18" i="11"/>
  <c r="K17" i="12" s="1"/>
  <c r="AI18" i="11"/>
  <c r="I17" i="12" s="1"/>
  <c r="AE18" i="11"/>
  <c r="H17" i="12" s="1"/>
  <c r="AB18" i="11"/>
  <c r="F17" i="12" s="1"/>
  <c r="V18" i="11"/>
  <c r="E17" i="12" s="1"/>
  <c r="T18" i="11"/>
  <c r="D17" i="12" s="1"/>
  <c r="Q18" i="11"/>
  <c r="R18" i="11" s="1"/>
  <c r="N18" i="11"/>
  <c r="C17" i="12" s="1"/>
  <c r="K18" i="11"/>
  <c r="F18" i="11"/>
  <c r="D18" i="11"/>
  <c r="C18" i="11"/>
  <c r="IE17" i="11"/>
  <c r="CE16" i="12" s="1"/>
  <c r="IB17" i="11"/>
  <c r="CD16" i="12" s="1"/>
  <c r="HY17" i="11"/>
  <c r="HV17" i="11"/>
  <c r="CB16" i="12" s="1"/>
  <c r="HS17" i="11"/>
  <c r="CA16" i="12" s="1"/>
  <c r="HP17" i="11"/>
  <c r="BZ16" i="12" s="1"/>
  <c r="HM17" i="11"/>
  <c r="BY16" i="12" s="1"/>
  <c r="HJ17" i="11"/>
  <c r="HE17" i="11"/>
  <c r="GS17" i="11"/>
  <c r="BF16" i="12" s="1"/>
  <c r="GP17" i="11"/>
  <c r="BE16" i="12" s="1"/>
  <c r="GM17" i="11"/>
  <c r="BC16" i="12" s="1"/>
  <c r="GJ17" i="11"/>
  <c r="AX16" i="12" s="1"/>
  <c r="GD17" i="11"/>
  <c r="FX17" i="11"/>
  <c r="AP16" i="12" s="1"/>
  <c r="FS17" i="11"/>
  <c r="FP17" i="11"/>
  <c r="FA54" i="11" s="1"/>
  <c r="FJ17" i="11"/>
  <c r="BA16" i="12" s="1"/>
  <c r="FG17" i="11"/>
  <c r="AZ16" i="12" s="1"/>
  <c r="FC17" i="11"/>
  <c r="EZ17" i="11"/>
  <c r="EZ54" i="11" s="1"/>
  <c r="EW17" i="11"/>
  <c r="AV16" i="12" s="1"/>
  <c r="ET17" i="11"/>
  <c r="AU16" i="12" s="1"/>
  <c r="EM17" i="11"/>
  <c r="AN16" i="12" s="1"/>
  <c r="EJ17" i="11"/>
  <c r="AM16" i="12" s="1"/>
  <c r="DZ17" i="11"/>
  <c r="AI16" i="12" s="1"/>
  <c r="DW17" i="11"/>
  <c r="AH16" i="12" s="1"/>
  <c r="DT17" i="11"/>
  <c r="DR17" i="11"/>
  <c r="AD16" i="12" s="1"/>
  <c r="DE17" i="11"/>
  <c r="DF17" i="11" s="1"/>
  <c r="DA17" i="11"/>
  <c r="X16" i="12" s="1"/>
  <c r="CW17" i="11"/>
  <c r="W16" i="12" s="1"/>
  <c r="CS17" i="11"/>
  <c r="U16" i="12" s="1"/>
  <c r="CO17" i="11"/>
  <c r="T16" i="12" s="1"/>
  <c r="CH17" i="11"/>
  <c r="R16" i="12" s="1"/>
  <c r="CF17" i="11"/>
  <c r="Q16" i="12" s="1"/>
  <c r="CD17" i="11"/>
  <c r="P16" i="12" s="1"/>
  <c r="CA17" i="11"/>
  <c r="O16" i="12" s="1"/>
  <c r="BW17" i="11"/>
  <c r="BX17" i="11" s="1"/>
  <c r="BT17" i="11"/>
  <c r="BR17" i="11"/>
  <c r="Z16" i="12" s="1"/>
  <c r="BP17" i="11"/>
  <c r="BN17" i="11"/>
  <c r="BL17" i="11"/>
  <c r="BJ17" i="11"/>
  <c r="AB16" i="12" s="1"/>
  <c r="BG17" i="11"/>
  <c r="AA16" i="12" s="1"/>
  <c r="BC17" i="11"/>
  <c r="M16" i="12" s="1"/>
  <c r="AZ17" i="11"/>
  <c r="L16" i="12" s="1"/>
  <c r="AR17" i="11"/>
  <c r="K16" i="12" s="1"/>
  <c r="AI17" i="11"/>
  <c r="I16" i="12" s="1"/>
  <c r="AE17" i="11"/>
  <c r="H16" i="12" s="1"/>
  <c r="AB17" i="11"/>
  <c r="F16" i="12" s="1"/>
  <c r="V17" i="11"/>
  <c r="E16" i="12" s="1"/>
  <c r="T17" i="11"/>
  <c r="D16" i="12" s="1"/>
  <c r="Q17" i="11"/>
  <c r="N17" i="11"/>
  <c r="C16" i="12" s="1"/>
  <c r="K17" i="11"/>
  <c r="F17" i="11"/>
  <c r="D17" i="11"/>
  <c r="C17" i="11"/>
  <c r="IE16" i="11"/>
  <c r="CE15" i="12" s="1"/>
  <c r="IB16" i="11"/>
  <c r="CD15" i="12" s="1"/>
  <c r="HY16" i="11"/>
  <c r="HV16" i="11"/>
  <c r="CB15" i="12" s="1"/>
  <c r="HS16" i="11"/>
  <c r="CA15" i="12" s="1"/>
  <c r="HP16" i="11"/>
  <c r="BZ15" i="12" s="1"/>
  <c r="HM16" i="11"/>
  <c r="BY15" i="12" s="1"/>
  <c r="HJ16" i="11"/>
  <c r="HE16" i="11"/>
  <c r="GS16" i="11"/>
  <c r="BF15" i="12" s="1"/>
  <c r="GP16" i="11"/>
  <c r="BE15" i="12" s="1"/>
  <c r="GM16" i="11"/>
  <c r="BC15" i="12" s="1"/>
  <c r="GJ16" i="11"/>
  <c r="AX15" i="12" s="1"/>
  <c r="GD16" i="11"/>
  <c r="FX16" i="11"/>
  <c r="AP15" i="12" s="1"/>
  <c r="FS16" i="11"/>
  <c r="FP16" i="11"/>
  <c r="FA53" i="11" s="1"/>
  <c r="FJ16" i="11"/>
  <c r="BA15" i="12" s="1"/>
  <c r="FC16" i="11"/>
  <c r="EZ16" i="11"/>
  <c r="EZ53" i="11" s="1"/>
  <c r="EW16" i="11"/>
  <c r="AV15" i="12" s="1"/>
  <c r="ET16" i="11"/>
  <c r="AU15" i="12" s="1"/>
  <c r="EM16" i="11"/>
  <c r="AN15" i="12" s="1"/>
  <c r="EJ16" i="11"/>
  <c r="AM15" i="12" s="1"/>
  <c r="DZ16" i="11"/>
  <c r="AI15" i="12" s="1"/>
  <c r="DW16" i="11"/>
  <c r="AH15" i="12" s="1"/>
  <c r="DT16" i="11"/>
  <c r="DR16" i="11"/>
  <c r="AD15" i="12" s="1"/>
  <c r="DE16" i="11"/>
  <c r="DF16" i="11" s="1"/>
  <c r="DA16" i="11"/>
  <c r="X15" i="12" s="1"/>
  <c r="CW16" i="11"/>
  <c r="W15" i="12" s="1"/>
  <c r="CS16" i="11"/>
  <c r="U15" i="12" s="1"/>
  <c r="CO16" i="11"/>
  <c r="T15" i="12" s="1"/>
  <c r="CH16" i="11"/>
  <c r="R15" i="12" s="1"/>
  <c r="CF16" i="11"/>
  <c r="Q15" i="12" s="1"/>
  <c r="CD16" i="11"/>
  <c r="P15" i="12" s="1"/>
  <c r="CA16" i="11"/>
  <c r="O15" i="12" s="1"/>
  <c r="BW16" i="11"/>
  <c r="BX16" i="11" s="1"/>
  <c r="BT16" i="11"/>
  <c r="BR16" i="11"/>
  <c r="Z15" i="12" s="1"/>
  <c r="BP16" i="11"/>
  <c r="BN16" i="11"/>
  <c r="BL16" i="11"/>
  <c r="BJ16" i="11"/>
  <c r="AB15" i="12" s="1"/>
  <c r="BG16" i="11"/>
  <c r="AA15" i="12" s="1"/>
  <c r="BC16" i="11"/>
  <c r="M15" i="12" s="1"/>
  <c r="AZ16" i="11"/>
  <c r="L15" i="12" s="1"/>
  <c r="AR16" i="11"/>
  <c r="K15" i="12" s="1"/>
  <c r="AI16" i="11"/>
  <c r="I15" i="12" s="1"/>
  <c r="AE16" i="11"/>
  <c r="H15" i="12" s="1"/>
  <c r="AB16" i="11"/>
  <c r="F15" i="12" s="1"/>
  <c r="V16" i="11"/>
  <c r="E15" i="12" s="1"/>
  <c r="T16" i="11"/>
  <c r="D15" i="12" s="1"/>
  <c r="N16" i="11"/>
  <c r="C15" i="12" s="1"/>
  <c r="K16" i="11"/>
  <c r="F16" i="11"/>
  <c r="D16" i="11"/>
  <c r="C16" i="11"/>
  <c r="IE15" i="11"/>
  <c r="CE14" i="12" s="1"/>
  <c r="IB15" i="11"/>
  <c r="CD14" i="12" s="1"/>
  <c r="HY15" i="11"/>
  <c r="HV15" i="11"/>
  <c r="CB14" i="12" s="1"/>
  <c r="HS15" i="11"/>
  <c r="CA14" i="12" s="1"/>
  <c r="HP15" i="11"/>
  <c r="BZ14" i="12" s="1"/>
  <c r="HM15" i="11"/>
  <c r="BY14" i="12" s="1"/>
  <c r="HJ15" i="11"/>
  <c r="HE15" i="11"/>
  <c r="GS15" i="11"/>
  <c r="BF14" i="12" s="1"/>
  <c r="GP15" i="11"/>
  <c r="BE14" i="12" s="1"/>
  <c r="GM15" i="11"/>
  <c r="BC14" i="12" s="1"/>
  <c r="GJ15" i="11"/>
  <c r="AX14" i="12" s="1"/>
  <c r="GD15" i="11"/>
  <c r="FX15" i="11"/>
  <c r="AP14" i="12" s="1"/>
  <c r="FS15" i="11"/>
  <c r="FP15" i="11"/>
  <c r="FA52" i="11" s="1"/>
  <c r="FJ15" i="11"/>
  <c r="BA14" i="12" s="1"/>
  <c r="FC15" i="11"/>
  <c r="EZ15" i="11"/>
  <c r="EZ52" i="11" s="1"/>
  <c r="EW15" i="11"/>
  <c r="AV14" i="12" s="1"/>
  <c r="ET15" i="11"/>
  <c r="AU14" i="12" s="1"/>
  <c r="EM15" i="11"/>
  <c r="AN14" i="12" s="1"/>
  <c r="EJ15" i="11"/>
  <c r="AM14" i="12" s="1"/>
  <c r="DZ15" i="11"/>
  <c r="AI14" i="12" s="1"/>
  <c r="DW15" i="11"/>
  <c r="AH14" i="12" s="1"/>
  <c r="DT15" i="11"/>
  <c r="IH15" i="11" s="1"/>
  <c r="CF14" i="12" s="1"/>
  <c r="DR15" i="11"/>
  <c r="AD14" i="12" s="1"/>
  <c r="DE15" i="11"/>
  <c r="DA15" i="11"/>
  <c r="X14" i="12" s="1"/>
  <c r="CW15" i="11"/>
  <c r="W14" i="12" s="1"/>
  <c r="CS15" i="11"/>
  <c r="U14" i="12" s="1"/>
  <c r="CO15" i="11"/>
  <c r="T14" i="12" s="1"/>
  <c r="CH15" i="11"/>
  <c r="R14" i="12" s="1"/>
  <c r="CF15" i="11"/>
  <c r="Q14" i="12" s="1"/>
  <c r="CD15" i="11"/>
  <c r="P14" i="12" s="1"/>
  <c r="CA15" i="11"/>
  <c r="O14" i="12" s="1"/>
  <c r="BW15" i="11"/>
  <c r="BX15" i="11" s="1"/>
  <c r="BT15" i="11"/>
  <c r="BR15" i="11"/>
  <c r="Z14" i="12" s="1"/>
  <c r="BP15" i="11"/>
  <c r="BN15" i="11"/>
  <c r="BL15" i="11"/>
  <c r="BJ15" i="11"/>
  <c r="AB14" i="12" s="1"/>
  <c r="BG15" i="11"/>
  <c r="AA14" i="12" s="1"/>
  <c r="BC15" i="11"/>
  <c r="M14" i="12" s="1"/>
  <c r="AZ15" i="11"/>
  <c r="L14" i="12" s="1"/>
  <c r="AR15" i="11"/>
  <c r="K14" i="12" s="1"/>
  <c r="AI15" i="11"/>
  <c r="I14" i="12" s="1"/>
  <c r="AE15" i="11"/>
  <c r="H14" i="12" s="1"/>
  <c r="AB15" i="11"/>
  <c r="F14" i="12" s="1"/>
  <c r="V15" i="11"/>
  <c r="E14" i="12" s="1"/>
  <c r="T15" i="11"/>
  <c r="D14" i="12" s="1"/>
  <c r="Q16" i="11"/>
  <c r="N15" i="11"/>
  <c r="C14" i="12" s="1"/>
  <c r="K15" i="11"/>
  <c r="F15" i="11"/>
  <c r="D15" i="11"/>
  <c r="C15" i="11"/>
  <c r="IE14" i="11"/>
  <c r="CE13" i="12" s="1"/>
  <c r="IB14" i="11"/>
  <c r="CD13" i="12" s="1"/>
  <c r="HY14" i="11"/>
  <c r="CC13" i="12" s="1"/>
  <c r="HV14" i="11"/>
  <c r="CB13" i="12" s="1"/>
  <c r="HS14" i="11"/>
  <c r="CA13" i="12" s="1"/>
  <c r="HP14" i="11"/>
  <c r="BZ13" i="12" s="1"/>
  <c r="HM14" i="11"/>
  <c r="BY13" i="12" s="1"/>
  <c r="HJ14" i="11"/>
  <c r="HE14" i="11"/>
  <c r="GS14" i="11"/>
  <c r="BF13" i="12" s="1"/>
  <c r="GP14" i="11"/>
  <c r="BE13" i="12" s="1"/>
  <c r="GM14" i="11"/>
  <c r="BC13" i="12" s="1"/>
  <c r="GJ14" i="11"/>
  <c r="AX13" i="12" s="1"/>
  <c r="GD14" i="11"/>
  <c r="FX14" i="11"/>
  <c r="AP13" i="12" s="1"/>
  <c r="FS14" i="11"/>
  <c r="FP14" i="11"/>
  <c r="FA51" i="11" s="1"/>
  <c r="FJ14" i="11"/>
  <c r="BA13" i="12" s="1"/>
  <c r="FC14" i="11"/>
  <c r="EZ14" i="11"/>
  <c r="EZ51" i="11" s="1"/>
  <c r="EW14" i="11"/>
  <c r="AV13" i="12" s="1"/>
  <c r="ET14" i="11"/>
  <c r="AU13" i="12" s="1"/>
  <c r="EM14" i="11"/>
  <c r="AN13" i="12" s="1"/>
  <c r="EJ14" i="11"/>
  <c r="AM13" i="12" s="1"/>
  <c r="DZ14" i="11"/>
  <c r="AI13" i="12" s="1"/>
  <c r="DW14" i="11"/>
  <c r="AH13" i="12" s="1"/>
  <c r="DT14" i="11"/>
  <c r="DR14" i="11"/>
  <c r="AD13" i="12" s="1"/>
  <c r="DE14" i="11"/>
  <c r="DF14" i="11" s="1"/>
  <c r="DA14" i="11"/>
  <c r="X13" i="12" s="1"/>
  <c r="CW14" i="11"/>
  <c r="W13" i="12" s="1"/>
  <c r="CS14" i="11"/>
  <c r="U13" i="12" s="1"/>
  <c r="CO14" i="11"/>
  <c r="T13" i="12" s="1"/>
  <c r="CH14" i="11"/>
  <c r="R13" i="12" s="1"/>
  <c r="CF14" i="11"/>
  <c r="Q13" i="12" s="1"/>
  <c r="CD14" i="11"/>
  <c r="P13" i="12" s="1"/>
  <c r="CA14" i="11"/>
  <c r="O13" i="12" s="1"/>
  <c r="BW14" i="11"/>
  <c r="BX14" i="11" s="1"/>
  <c r="BT14" i="11"/>
  <c r="BR14" i="11"/>
  <c r="Z13" i="12" s="1"/>
  <c r="BP14" i="11"/>
  <c r="BN14" i="11"/>
  <c r="BL14" i="11"/>
  <c r="BJ14" i="11"/>
  <c r="AB13" i="12" s="1"/>
  <c r="BG14" i="11"/>
  <c r="AA13" i="12" s="1"/>
  <c r="BC14" i="11"/>
  <c r="M13" i="12" s="1"/>
  <c r="AZ14" i="11"/>
  <c r="L13" i="12" s="1"/>
  <c r="AR14" i="11"/>
  <c r="K13" i="12" s="1"/>
  <c r="AI14" i="11"/>
  <c r="I13" i="12" s="1"/>
  <c r="AE14" i="11"/>
  <c r="H13" i="12" s="1"/>
  <c r="AB14" i="11"/>
  <c r="F13" i="12" s="1"/>
  <c r="V14" i="11"/>
  <c r="E13" i="12" s="1"/>
  <c r="T14" i="11"/>
  <c r="D13" i="12" s="1"/>
  <c r="Q14" i="11"/>
  <c r="N14" i="11"/>
  <c r="C13" i="12" s="1"/>
  <c r="K14" i="11"/>
  <c r="F14" i="11"/>
  <c r="D14" i="11"/>
  <c r="C14" i="11"/>
  <c r="IE13" i="11"/>
  <c r="CE12" i="12" s="1"/>
  <c r="IB13" i="11"/>
  <c r="CD12" i="12" s="1"/>
  <c r="HY13" i="11"/>
  <c r="CC12" i="12" s="1"/>
  <c r="HV13" i="11"/>
  <c r="CB12" i="12" s="1"/>
  <c r="HS13" i="11"/>
  <c r="CA12" i="12" s="1"/>
  <c r="HP13" i="11"/>
  <c r="BZ12" i="12" s="1"/>
  <c r="HM13" i="11"/>
  <c r="BY12" i="12" s="1"/>
  <c r="HJ13" i="11"/>
  <c r="HE13" i="11"/>
  <c r="GS13" i="11"/>
  <c r="BF12" i="12" s="1"/>
  <c r="GP13" i="11"/>
  <c r="BE12" i="12" s="1"/>
  <c r="GM13" i="11"/>
  <c r="BC12" i="12" s="1"/>
  <c r="GJ13" i="11"/>
  <c r="AX12" i="12" s="1"/>
  <c r="GD13" i="11"/>
  <c r="FX13" i="11"/>
  <c r="AP12" i="12" s="1"/>
  <c r="FS13" i="11"/>
  <c r="FP13" i="11"/>
  <c r="FA50" i="11" s="1"/>
  <c r="FJ13" i="11"/>
  <c r="BA12" i="12" s="1"/>
  <c r="FC13" i="11"/>
  <c r="EZ13" i="11"/>
  <c r="EZ50" i="11" s="1"/>
  <c r="EW13" i="11"/>
  <c r="AV12" i="12" s="1"/>
  <c r="ET13" i="11"/>
  <c r="AU12" i="12" s="1"/>
  <c r="EM13" i="11"/>
  <c r="AN12" i="12" s="1"/>
  <c r="EJ13" i="11"/>
  <c r="AM12" i="12" s="1"/>
  <c r="DZ13" i="11"/>
  <c r="AI12" i="12" s="1"/>
  <c r="DW13" i="11"/>
  <c r="AH12" i="12" s="1"/>
  <c r="DR13" i="11"/>
  <c r="AD12" i="12" s="1"/>
  <c r="DE13" i="11"/>
  <c r="DF13" i="11" s="1"/>
  <c r="DA13" i="11"/>
  <c r="X12" i="12" s="1"/>
  <c r="CW13" i="11"/>
  <c r="W12" i="12" s="1"/>
  <c r="CS13" i="11"/>
  <c r="U12" i="12" s="1"/>
  <c r="CO13" i="11"/>
  <c r="T12" i="12" s="1"/>
  <c r="CH13" i="11"/>
  <c r="R12" i="12" s="1"/>
  <c r="CF13" i="11"/>
  <c r="Q12" i="12" s="1"/>
  <c r="CD13" i="11"/>
  <c r="CA13" i="11"/>
  <c r="O12" i="12" s="1"/>
  <c r="BW13" i="11"/>
  <c r="CD47" i="11" s="1"/>
  <c r="BT13" i="11"/>
  <c r="BR13" i="11"/>
  <c r="Z12" i="12" s="1"/>
  <c r="BP13" i="11"/>
  <c r="BN13" i="11"/>
  <c r="BL13" i="11"/>
  <c r="BJ13" i="11"/>
  <c r="AB12" i="12" s="1"/>
  <c r="BG13" i="11"/>
  <c r="AA12" i="12" s="1"/>
  <c r="BC13" i="11"/>
  <c r="M12" i="12" s="1"/>
  <c r="AZ13" i="11"/>
  <c r="L12" i="12" s="1"/>
  <c r="AR13" i="11"/>
  <c r="K12" i="12" s="1"/>
  <c r="AI13" i="11"/>
  <c r="I12" i="12" s="1"/>
  <c r="AE13" i="11"/>
  <c r="H12" i="12" s="1"/>
  <c r="AB13" i="11"/>
  <c r="F12" i="12" s="1"/>
  <c r="V13" i="11"/>
  <c r="E12" i="12" s="1"/>
  <c r="T13" i="11"/>
  <c r="D12" i="12" s="1"/>
  <c r="Q13" i="11"/>
  <c r="R13" i="11" s="1"/>
  <c r="N13" i="11"/>
  <c r="C12" i="12" s="1"/>
  <c r="K13" i="11"/>
  <c r="F13" i="11"/>
  <c r="D13" i="11"/>
  <c r="C13" i="11"/>
  <c r="IE12" i="11"/>
  <c r="CE11" i="12" s="1"/>
  <c r="IB12" i="11"/>
  <c r="CD11" i="12" s="1"/>
  <c r="HY12" i="11"/>
  <c r="CC11" i="12" s="1"/>
  <c r="HV12" i="11"/>
  <c r="CB11" i="12" s="1"/>
  <c r="HS12" i="11"/>
  <c r="CA11" i="12" s="1"/>
  <c r="HP12" i="11"/>
  <c r="BZ11" i="12" s="1"/>
  <c r="HM12" i="11"/>
  <c r="BY11" i="12" s="1"/>
  <c r="HJ12" i="11"/>
  <c r="HE12" i="11"/>
  <c r="GS12" i="11"/>
  <c r="BF11" i="12" s="1"/>
  <c r="GP12" i="11"/>
  <c r="BE11" i="12" s="1"/>
  <c r="GM12" i="11"/>
  <c r="BC11" i="12" s="1"/>
  <c r="GJ12" i="11"/>
  <c r="AX11" i="12" s="1"/>
  <c r="GD12" i="11"/>
  <c r="FX12" i="11"/>
  <c r="AP11" i="12" s="1"/>
  <c r="FS12" i="11"/>
  <c r="FP12" i="11"/>
  <c r="FA49" i="11" s="1"/>
  <c r="FJ12" i="11"/>
  <c r="BA11" i="12" s="1"/>
  <c r="FC12" i="11"/>
  <c r="EZ12" i="11"/>
  <c r="EZ49" i="11" s="1"/>
  <c r="EW12" i="11"/>
  <c r="AV11" i="12" s="1"/>
  <c r="ET12" i="11"/>
  <c r="AU11" i="12" s="1"/>
  <c r="EM12" i="11"/>
  <c r="AN11" i="12" s="1"/>
  <c r="EJ12" i="11"/>
  <c r="AM11" i="12" s="1"/>
  <c r="DZ12" i="11"/>
  <c r="AI11" i="12" s="1"/>
  <c r="DW12" i="11"/>
  <c r="AH11" i="12" s="1"/>
  <c r="DT12" i="11"/>
  <c r="DR12" i="11"/>
  <c r="AD11" i="12" s="1"/>
  <c r="DE12" i="11"/>
  <c r="DA12" i="11"/>
  <c r="X11" i="12" s="1"/>
  <c r="CW12" i="11"/>
  <c r="W11" i="12" s="1"/>
  <c r="CS12" i="11"/>
  <c r="U11" i="12" s="1"/>
  <c r="CO12" i="11"/>
  <c r="T11" i="12" s="1"/>
  <c r="CH12" i="11"/>
  <c r="R11" i="12" s="1"/>
  <c r="CF12" i="11"/>
  <c r="Q11" i="12" s="1"/>
  <c r="CD12" i="11"/>
  <c r="CA12" i="11"/>
  <c r="O11" i="12" s="1"/>
  <c r="BW12" i="11"/>
  <c r="CD46" i="11" s="1"/>
  <c r="BT12" i="11"/>
  <c r="BR12" i="11"/>
  <c r="Z11" i="12" s="1"/>
  <c r="BP12" i="11"/>
  <c r="BN12" i="11"/>
  <c r="BL12" i="11"/>
  <c r="BJ12" i="11"/>
  <c r="AB11" i="12" s="1"/>
  <c r="BG12" i="11"/>
  <c r="AA11" i="12" s="1"/>
  <c r="BC12" i="11"/>
  <c r="M11" i="12" s="1"/>
  <c r="AZ12" i="11"/>
  <c r="L11" i="12" s="1"/>
  <c r="AR12" i="11"/>
  <c r="K11" i="12" s="1"/>
  <c r="AI12" i="11"/>
  <c r="I11" i="12" s="1"/>
  <c r="AE12" i="11"/>
  <c r="H11" i="12" s="1"/>
  <c r="AB12" i="11"/>
  <c r="F11" i="12" s="1"/>
  <c r="V12" i="11"/>
  <c r="E11" i="12" s="1"/>
  <c r="T12" i="11"/>
  <c r="D11" i="12" s="1"/>
  <c r="Q12" i="11"/>
  <c r="R12" i="11" s="1"/>
  <c r="N12" i="11"/>
  <c r="C11" i="12" s="1"/>
  <c r="K12" i="11"/>
  <c r="F12" i="11"/>
  <c r="D12" i="11"/>
  <c r="C12" i="11"/>
  <c r="IE11" i="11"/>
  <c r="CE10" i="12" s="1"/>
  <c r="IB11" i="11"/>
  <c r="CD10" i="12" s="1"/>
  <c r="HY11" i="11"/>
  <c r="CC10" i="12" s="1"/>
  <c r="HV11" i="11"/>
  <c r="CB10" i="12" s="1"/>
  <c r="HS11" i="11"/>
  <c r="CA10" i="12" s="1"/>
  <c r="HP11" i="11"/>
  <c r="BZ10" i="12" s="1"/>
  <c r="HM11" i="11"/>
  <c r="BY10" i="12" s="1"/>
  <c r="HJ11" i="11"/>
  <c r="HE11" i="11"/>
  <c r="GS11" i="11"/>
  <c r="BF10" i="12" s="1"/>
  <c r="GP11" i="11"/>
  <c r="BE10" i="12" s="1"/>
  <c r="GM11" i="11"/>
  <c r="BC10" i="12" s="1"/>
  <c r="GJ11" i="11"/>
  <c r="AX10" i="12" s="1"/>
  <c r="GD11" i="11"/>
  <c r="FX11" i="11"/>
  <c r="AP10" i="12" s="1"/>
  <c r="FS11" i="11"/>
  <c r="FP11" i="11"/>
  <c r="FA48" i="11" s="1"/>
  <c r="FJ11" i="11"/>
  <c r="BA10" i="12" s="1"/>
  <c r="FC11" i="11"/>
  <c r="EZ11" i="11"/>
  <c r="EZ48" i="11" s="1"/>
  <c r="EW11" i="11"/>
  <c r="AV10" i="12" s="1"/>
  <c r="ET11" i="11"/>
  <c r="AU10" i="12" s="1"/>
  <c r="EM11" i="11"/>
  <c r="AN10" i="12" s="1"/>
  <c r="EJ11" i="11"/>
  <c r="AM10" i="12" s="1"/>
  <c r="DZ11" i="11"/>
  <c r="AI10" i="12" s="1"/>
  <c r="DW11" i="11"/>
  <c r="AH10" i="12" s="1"/>
  <c r="DT11" i="11"/>
  <c r="DR11" i="11"/>
  <c r="AD10" i="12" s="1"/>
  <c r="DE11" i="11"/>
  <c r="DF11" i="11" s="1"/>
  <c r="DA11" i="11"/>
  <c r="X10" i="12" s="1"/>
  <c r="CW11" i="11"/>
  <c r="W10" i="12" s="1"/>
  <c r="CS11" i="11"/>
  <c r="U10" i="12" s="1"/>
  <c r="CO11" i="11"/>
  <c r="T10" i="12" s="1"/>
  <c r="CH11" i="11"/>
  <c r="R10" i="12" s="1"/>
  <c r="CF11" i="11"/>
  <c r="Q10" i="12" s="1"/>
  <c r="CD11" i="11"/>
  <c r="CA11" i="11"/>
  <c r="O10" i="12" s="1"/>
  <c r="BW11" i="11"/>
  <c r="CD45" i="11" s="1"/>
  <c r="BT11" i="11"/>
  <c r="BR11" i="11"/>
  <c r="Z10" i="12" s="1"/>
  <c r="BP11" i="11"/>
  <c r="BN11" i="11"/>
  <c r="BL11" i="11"/>
  <c r="BJ11" i="11"/>
  <c r="AB10" i="12" s="1"/>
  <c r="BG11" i="11"/>
  <c r="AA10" i="12" s="1"/>
  <c r="BC11" i="11"/>
  <c r="M10" i="12" s="1"/>
  <c r="AZ11" i="11"/>
  <c r="L10" i="12" s="1"/>
  <c r="AR11" i="11"/>
  <c r="K10" i="12" s="1"/>
  <c r="AI11" i="11"/>
  <c r="I10" i="12" s="1"/>
  <c r="AE11" i="11"/>
  <c r="H10" i="12" s="1"/>
  <c r="AB11" i="11"/>
  <c r="F10" i="12" s="1"/>
  <c r="V11" i="11"/>
  <c r="E10" i="12" s="1"/>
  <c r="T11" i="11"/>
  <c r="D10" i="12" s="1"/>
  <c r="Q11" i="11"/>
  <c r="R11" i="11" s="1"/>
  <c r="N11" i="11"/>
  <c r="C10" i="12" s="1"/>
  <c r="K11" i="11"/>
  <c r="F11" i="11"/>
  <c r="D11" i="11"/>
  <c r="C11" i="11"/>
  <c r="IE10" i="11"/>
  <c r="CE9" i="12" s="1"/>
  <c r="IB10" i="11"/>
  <c r="CD9" i="12" s="1"/>
  <c r="HY10" i="11"/>
  <c r="CC9" i="12" s="1"/>
  <c r="HV10" i="11"/>
  <c r="CB9" i="12" s="1"/>
  <c r="HS10" i="11"/>
  <c r="CA9" i="12" s="1"/>
  <c r="HP10" i="11"/>
  <c r="BZ9" i="12" s="1"/>
  <c r="HM10" i="11"/>
  <c r="BY9" i="12" s="1"/>
  <c r="HJ10" i="11"/>
  <c r="HE10" i="11"/>
  <c r="GS10" i="11"/>
  <c r="BF9" i="12" s="1"/>
  <c r="GP10" i="11"/>
  <c r="BE9" i="12" s="1"/>
  <c r="GM10" i="11"/>
  <c r="BC9" i="12" s="1"/>
  <c r="GJ10" i="11"/>
  <c r="GD10" i="11"/>
  <c r="FX10" i="11"/>
  <c r="AP9" i="12" s="1"/>
  <c r="FS10" i="11"/>
  <c r="FP10" i="11"/>
  <c r="FA47" i="11" s="1"/>
  <c r="FJ10" i="11"/>
  <c r="BA9" i="12" s="1"/>
  <c r="FC10" i="11"/>
  <c r="EZ10" i="11"/>
  <c r="EZ47" i="11" s="1"/>
  <c r="EW10" i="11"/>
  <c r="AV9" i="12" s="1"/>
  <c r="ET10" i="11"/>
  <c r="AU9" i="12" s="1"/>
  <c r="EM10" i="11"/>
  <c r="AN9" i="12" s="1"/>
  <c r="EJ10" i="11"/>
  <c r="AM9" i="12" s="1"/>
  <c r="DZ10" i="11"/>
  <c r="AI9" i="12" s="1"/>
  <c r="DW10" i="11"/>
  <c r="AH9" i="12" s="1"/>
  <c r="DT10" i="11"/>
  <c r="DR10" i="11"/>
  <c r="AD9" i="12" s="1"/>
  <c r="DE10" i="11"/>
  <c r="DF10" i="11" s="1"/>
  <c r="DA10" i="11"/>
  <c r="X9" i="12" s="1"/>
  <c r="CW10" i="11"/>
  <c r="W9" i="12" s="1"/>
  <c r="CS10" i="11"/>
  <c r="U9" i="12" s="1"/>
  <c r="CO10" i="11"/>
  <c r="T9" i="12" s="1"/>
  <c r="CH10" i="11"/>
  <c r="R9" i="12" s="1"/>
  <c r="CF10" i="11"/>
  <c r="Q9" i="12" s="1"/>
  <c r="CD10" i="11"/>
  <c r="P9" i="12" s="1"/>
  <c r="CA10" i="11"/>
  <c r="O9" i="12" s="1"/>
  <c r="BW10" i="11"/>
  <c r="CD44" i="11" s="1"/>
  <c r="BT10" i="11"/>
  <c r="BR10" i="11"/>
  <c r="Z9" i="12" s="1"/>
  <c r="BP10" i="11"/>
  <c r="BN10" i="11"/>
  <c r="BL10" i="11"/>
  <c r="BJ10" i="11"/>
  <c r="AB9" i="12" s="1"/>
  <c r="BG10" i="11"/>
  <c r="AA9" i="12" s="1"/>
  <c r="BC10" i="11"/>
  <c r="M9" i="12" s="1"/>
  <c r="AZ10" i="11"/>
  <c r="L9" i="12" s="1"/>
  <c r="AR10" i="11"/>
  <c r="K9" i="12" s="1"/>
  <c r="AI10" i="11"/>
  <c r="I9" i="12" s="1"/>
  <c r="AE10" i="11"/>
  <c r="H9" i="12" s="1"/>
  <c r="AB10" i="11"/>
  <c r="F9" i="12" s="1"/>
  <c r="V10" i="11"/>
  <c r="E9" i="12" s="1"/>
  <c r="T10" i="11"/>
  <c r="D9" i="12" s="1"/>
  <c r="Q10" i="11"/>
  <c r="R10" i="11" s="1"/>
  <c r="N10" i="11"/>
  <c r="C9" i="12" s="1"/>
  <c r="K10" i="11"/>
  <c r="F10" i="11"/>
  <c r="D10" i="11"/>
  <c r="C10" i="11"/>
  <c r="IE9" i="11"/>
  <c r="CE8" i="12" s="1"/>
  <c r="IB9" i="11"/>
  <c r="CD8" i="12" s="1"/>
  <c r="HY9" i="11"/>
  <c r="CC8" i="12" s="1"/>
  <c r="HV9" i="11"/>
  <c r="CB8" i="12" s="1"/>
  <c r="HS9" i="11"/>
  <c r="CA8" i="12" s="1"/>
  <c r="HP9" i="11"/>
  <c r="BZ8" i="12" s="1"/>
  <c r="HM9" i="11"/>
  <c r="BY8" i="12" s="1"/>
  <c r="HJ9" i="11"/>
  <c r="HE9" i="11"/>
  <c r="GS9" i="11"/>
  <c r="BF8" i="12" s="1"/>
  <c r="GP9" i="11"/>
  <c r="BE8" i="12" s="1"/>
  <c r="GM9" i="11"/>
  <c r="BC8" i="12" s="1"/>
  <c r="GJ9" i="11"/>
  <c r="AX8" i="12" s="1"/>
  <c r="GD9" i="11"/>
  <c r="FX9" i="11"/>
  <c r="AP8" i="12" s="1"/>
  <c r="FS9" i="11"/>
  <c r="FP9" i="11"/>
  <c r="FA46" i="11" s="1"/>
  <c r="FJ9" i="11"/>
  <c r="BA8" i="12" s="1"/>
  <c r="FC9" i="11"/>
  <c r="EZ9" i="11"/>
  <c r="EZ46" i="11" s="1"/>
  <c r="EW9" i="11"/>
  <c r="AV8" i="12" s="1"/>
  <c r="ET9" i="11"/>
  <c r="AU8" i="12" s="1"/>
  <c r="EM9" i="11"/>
  <c r="AN8" i="12" s="1"/>
  <c r="EJ9" i="11"/>
  <c r="AM8" i="12" s="1"/>
  <c r="DZ9" i="11"/>
  <c r="AI8" i="12" s="1"/>
  <c r="DW9" i="11"/>
  <c r="AH8" i="12" s="1"/>
  <c r="DT9" i="11"/>
  <c r="DR9" i="11"/>
  <c r="AD8" i="12" s="1"/>
  <c r="DE9" i="11"/>
  <c r="DF9" i="11" s="1"/>
  <c r="DA9" i="11"/>
  <c r="X8" i="12" s="1"/>
  <c r="CW9" i="11"/>
  <c r="W8" i="12" s="1"/>
  <c r="CS9" i="11"/>
  <c r="U8" i="12" s="1"/>
  <c r="CO9" i="11"/>
  <c r="T8" i="12" s="1"/>
  <c r="CH9" i="11"/>
  <c r="R8" i="12" s="1"/>
  <c r="CF9" i="11"/>
  <c r="Q8" i="12" s="1"/>
  <c r="CD9" i="11"/>
  <c r="P8" i="12" s="1"/>
  <c r="CA9" i="11"/>
  <c r="O8" i="12" s="1"/>
  <c r="BW9" i="11"/>
  <c r="CD43" i="11" s="1"/>
  <c r="BT9" i="11"/>
  <c r="BR9" i="11"/>
  <c r="Z8" i="12" s="1"/>
  <c r="BP9" i="11"/>
  <c r="BN9" i="11"/>
  <c r="BL9" i="11"/>
  <c r="BJ9" i="11"/>
  <c r="AB8" i="12" s="1"/>
  <c r="BG9" i="11"/>
  <c r="AA8" i="12" s="1"/>
  <c r="BC9" i="11"/>
  <c r="M8" i="12" s="1"/>
  <c r="AZ9" i="11"/>
  <c r="L8" i="12" s="1"/>
  <c r="AR9" i="11"/>
  <c r="K8" i="12" s="1"/>
  <c r="AI9" i="11"/>
  <c r="I8" i="12" s="1"/>
  <c r="AE9" i="11"/>
  <c r="H8" i="12" s="1"/>
  <c r="AB9" i="11"/>
  <c r="F8" i="12" s="1"/>
  <c r="V9" i="11"/>
  <c r="E8" i="12" s="1"/>
  <c r="T9" i="11"/>
  <c r="D8" i="12" s="1"/>
  <c r="Q9" i="11"/>
  <c r="R9" i="11" s="1"/>
  <c r="N9" i="11"/>
  <c r="C8" i="12" s="1"/>
  <c r="K9" i="11"/>
  <c r="F9" i="11"/>
  <c r="D9" i="11"/>
  <c r="C9" i="11"/>
  <c r="IE8" i="11"/>
  <c r="IB8" i="11"/>
  <c r="HY8" i="11"/>
  <c r="HV8" i="11"/>
  <c r="HS8" i="11"/>
  <c r="HP8" i="11"/>
  <c r="HM8" i="11"/>
  <c r="HJ8" i="11"/>
  <c r="HE8" i="11"/>
  <c r="GW8" i="11"/>
  <c r="GS8" i="11"/>
  <c r="GA8" i="11" s="1"/>
  <c r="GP8" i="11"/>
  <c r="GM8" i="11"/>
  <c r="BC7" i="12" s="1"/>
  <c r="GJ8" i="11"/>
  <c r="AX7" i="12" s="1"/>
  <c r="GD8" i="11"/>
  <c r="FX8" i="11"/>
  <c r="FS8" i="11"/>
  <c r="FP8" i="11"/>
  <c r="FJ8" i="11"/>
  <c r="FC8" i="11"/>
  <c r="EZ8" i="11"/>
  <c r="EW8" i="11"/>
  <c r="ET8" i="11"/>
  <c r="EM8" i="11"/>
  <c r="EJ8" i="11"/>
  <c r="DZ8" i="11"/>
  <c r="DW8" i="11"/>
  <c r="AH7" i="12" s="1"/>
  <c r="DT8" i="11"/>
  <c r="IH8" i="11" s="1"/>
  <c r="CF7" i="12" s="1"/>
  <c r="DR8" i="11"/>
  <c r="DE8" i="11"/>
  <c r="DA8" i="11"/>
  <c r="DB8" i="11" s="1"/>
  <c r="CW8" i="11"/>
  <c r="CX8" i="11" s="1"/>
  <c r="CS8" i="11"/>
  <c r="CT8" i="11" s="1"/>
  <c r="CO8" i="11"/>
  <c r="CP8" i="11" s="1"/>
  <c r="CH8" i="11"/>
  <c r="CF8" i="11"/>
  <c r="CD8" i="11"/>
  <c r="P7" i="12" s="1"/>
  <c r="CA8" i="11"/>
  <c r="CK8" i="11" s="1"/>
  <c r="BW8" i="11"/>
  <c r="BX8" i="11" s="1"/>
  <c r="BT8" i="11"/>
  <c r="BR8" i="11"/>
  <c r="Z7" i="12" s="1"/>
  <c r="BP8" i="11"/>
  <c r="BN8" i="11"/>
  <c r="BL8" i="11"/>
  <c r="BJ8" i="11"/>
  <c r="AB7" i="12" s="1"/>
  <c r="BG8" i="11"/>
  <c r="BC8" i="11"/>
  <c r="AZ8" i="11"/>
  <c r="AR8" i="11"/>
  <c r="AS8" i="11" s="1"/>
  <c r="AI8" i="11"/>
  <c r="AJ8" i="11" s="1"/>
  <c r="AE8" i="11"/>
  <c r="AB8" i="11"/>
  <c r="F7" i="12" s="1"/>
  <c r="V8" i="11"/>
  <c r="T8" i="11"/>
  <c r="Q8" i="11"/>
  <c r="R8" i="11" s="1"/>
  <c r="N8" i="11"/>
  <c r="K8" i="11"/>
  <c r="F8" i="11"/>
  <c r="D8" i="11"/>
  <c r="C8" i="11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E8" i="12" l="1"/>
  <c r="FH45" i="11"/>
  <c r="GA26" i="11"/>
  <c r="AQ25" i="12" s="1"/>
  <c r="GA31" i="11"/>
  <c r="AQ30" i="12" s="1"/>
  <c r="EG37" i="11"/>
  <c r="EC37" i="11"/>
  <c r="AJ36" i="12" s="1"/>
  <c r="AK36" i="12" s="1"/>
  <c r="EG36" i="11"/>
  <c r="AL35" i="12" s="1"/>
  <c r="AO35" i="12" s="1"/>
  <c r="EG35" i="11"/>
  <c r="AL34" i="12" s="1"/>
  <c r="EC35" i="11"/>
  <c r="AJ34" i="12" s="1"/>
  <c r="AK34" i="12" s="1"/>
  <c r="EC36" i="11"/>
  <c r="AJ35" i="12" s="1"/>
  <c r="AK35" i="12" s="1"/>
  <c r="EC33" i="11"/>
  <c r="AJ32" i="12" s="1"/>
  <c r="AK32" i="12" s="1"/>
  <c r="EG34" i="11"/>
  <c r="AL33" i="12" s="1"/>
  <c r="AO33" i="12" s="1"/>
  <c r="EG33" i="11"/>
  <c r="AL32" i="12" s="1"/>
  <c r="AO32" i="12" s="1"/>
  <c r="EC34" i="11"/>
  <c r="AJ33" i="12" s="1"/>
  <c r="EG32" i="11"/>
  <c r="AL31" i="12" s="1"/>
  <c r="AO31" i="12" s="1"/>
  <c r="EC32" i="11"/>
  <c r="AJ31" i="12" s="1"/>
  <c r="EG31" i="11"/>
  <c r="AL30" i="12" s="1"/>
  <c r="AO30" i="12" s="1"/>
  <c r="EC31" i="11"/>
  <c r="AJ30" i="12" s="1"/>
  <c r="EG30" i="11"/>
  <c r="EC30" i="11"/>
  <c r="AJ29" i="12" s="1"/>
  <c r="EC28" i="11"/>
  <c r="AJ27" i="12" s="1"/>
  <c r="EG28" i="11"/>
  <c r="AL27" i="12" s="1"/>
  <c r="EG29" i="11"/>
  <c r="AL28" i="12" s="1"/>
  <c r="AO28" i="12" s="1"/>
  <c r="EC29" i="11"/>
  <c r="AJ28" i="12" s="1"/>
  <c r="EC27" i="11"/>
  <c r="AJ26" i="12" s="1"/>
  <c r="AK26" i="12" s="1"/>
  <c r="EG27" i="11"/>
  <c r="AL26" i="12" s="1"/>
  <c r="EC26" i="11"/>
  <c r="AJ25" i="12" s="1"/>
  <c r="EG26" i="11"/>
  <c r="AL25" i="12" s="1"/>
  <c r="AO25" i="12" s="1"/>
  <c r="FH64" i="11"/>
  <c r="FH70" i="11"/>
  <c r="GA29" i="11"/>
  <c r="AQ28" i="12" s="1"/>
  <c r="GA37" i="11"/>
  <c r="AQ36" i="12" s="1"/>
  <c r="GA36" i="11"/>
  <c r="AQ35" i="12" s="1"/>
  <c r="GA34" i="11"/>
  <c r="AQ33" i="12" s="1"/>
  <c r="GA33" i="11"/>
  <c r="AQ32" i="12" s="1"/>
  <c r="AF34" i="11"/>
  <c r="EQ32" i="11"/>
  <c r="AT31" i="12" s="1"/>
  <c r="G32" i="11"/>
  <c r="B31" i="12" s="1"/>
  <c r="EQ31" i="11"/>
  <c r="FA31" i="11" s="1"/>
  <c r="GA30" i="11"/>
  <c r="AQ29" i="12" s="1"/>
  <c r="BG29" i="12"/>
  <c r="EG25" i="11"/>
  <c r="AL24" i="12" s="1"/>
  <c r="EC25" i="11"/>
  <c r="AJ24" i="12" s="1"/>
  <c r="D83" i="11"/>
  <c r="CX26" i="11"/>
  <c r="FH58" i="11"/>
  <c r="AN30" i="11"/>
  <c r="J29" i="12" s="1"/>
  <c r="EC24" i="11"/>
  <c r="AJ23" i="12" s="1"/>
  <c r="AK23" i="12" s="1"/>
  <c r="EG24" i="11"/>
  <c r="AL23" i="12" s="1"/>
  <c r="AO23" i="12" s="1"/>
  <c r="AE12" i="12"/>
  <c r="GA9" i="11"/>
  <c r="AQ8" i="12" s="1"/>
  <c r="BG36" i="12"/>
  <c r="FH75" i="11"/>
  <c r="AF24" i="12"/>
  <c r="AE10" i="12"/>
  <c r="AG10" i="12" s="1"/>
  <c r="G25" i="11"/>
  <c r="B24" i="12" s="1"/>
  <c r="AF32" i="12"/>
  <c r="EQ34" i="11"/>
  <c r="AT33" i="12" s="1"/>
  <c r="FH51" i="11"/>
  <c r="FB62" i="11"/>
  <c r="FD62" i="11" s="1"/>
  <c r="FJ62" i="11" s="1"/>
  <c r="FW65" i="11"/>
  <c r="FG28" i="11" s="1"/>
  <c r="AZ27" i="12" s="1"/>
  <c r="AN13" i="11"/>
  <c r="J12" i="12" s="1"/>
  <c r="FH48" i="11"/>
  <c r="JP39" i="11"/>
  <c r="FV67" i="11"/>
  <c r="EQ30" i="11" s="1"/>
  <c r="AT29" i="12" s="1"/>
  <c r="G29" i="11"/>
  <c r="B28" i="12" s="1"/>
  <c r="EG23" i="11"/>
  <c r="AL22" i="12" s="1"/>
  <c r="EC23" i="11"/>
  <c r="AJ22" i="12" s="1"/>
  <c r="FI59" i="11"/>
  <c r="G24" i="11"/>
  <c r="B23" i="12" s="1"/>
  <c r="AE9" i="12"/>
  <c r="AG9" i="12" s="1"/>
  <c r="IU39" i="11"/>
  <c r="AE21" i="12"/>
  <c r="AG21" i="12" s="1"/>
  <c r="CX29" i="11"/>
  <c r="G31" i="11"/>
  <c r="B30" i="12" s="1"/>
  <c r="FV63" i="11"/>
  <c r="EQ26" i="11" s="1"/>
  <c r="FD26" i="11" s="1"/>
  <c r="JS39" i="11"/>
  <c r="IL39" i="11"/>
  <c r="Y27" i="12"/>
  <c r="BH27" i="12" s="1"/>
  <c r="GG29" i="11"/>
  <c r="AR28" i="12" s="1"/>
  <c r="CX30" i="11"/>
  <c r="CT31" i="11"/>
  <c r="AE32" i="12"/>
  <c r="AG32" i="12" s="1"/>
  <c r="AC34" i="12"/>
  <c r="Y34" i="12"/>
  <c r="BH34" i="12" s="1"/>
  <c r="EC22" i="11"/>
  <c r="AJ21" i="12" s="1"/>
  <c r="AK21" i="12" s="1"/>
  <c r="EG21" i="11"/>
  <c r="AL20" i="12" s="1"/>
  <c r="AO20" i="12" s="1"/>
  <c r="EC21" i="11"/>
  <c r="AJ20" i="12" s="1"/>
  <c r="AK20" i="12" s="1"/>
  <c r="EG22" i="11"/>
  <c r="AL21" i="12" s="1"/>
  <c r="AO21" i="12" s="1"/>
  <c r="EC20" i="11"/>
  <c r="AJ19" i="12" s="1"/>
  <c r="AK19" i="12" s="1"/>
  <c r="EG20" i="11"/>
  <c r="AL19" i="12" s="1"/>
  <c r="EC19" i="11"/>
  <c r="AJ18" i="12" s="1"/>
  <c r="AK18" i="12" s="1"/>
  <c r="EG19" i="11"/>
  <c r="AL18" i="12" s="1"/>
  <c r="AO18" i="12" s="1"/>
  <c r="EC18" i="11"/>
  <c r="AJ17" i="12" s="1"/>
  <c r="AK17" i="12" s="1"/>
  <c r="EG18" i="11"/>
  <c r="AL17" i="12" s="1"/>
  <c r="AO17" i="12" s="1"/>
  <c r="EC17" i="11"/>
  <c r="AJ16" i="12" s="1"/>
  <c r="AK16" i="12" s="1"/>
  <c r="EG17" i="11"/>
  <c r="AL16" i="12" s="1"/>
  <c r="AO16" i="12" s="1"/>
  <c r="EC16" i="11"/>
  <c r="AJ15" i="12" s="1"/>
  <c r="AK15" i="12" s="1"/>
  <c r="EG16" i="11"/>
  <c r="AL15" i="12" s="1"/>
  <c r="AO15" i="12" s="1"/>
  <c r="EG15" i="11"/>
  <c r="AL14" i="12" s="1"/>
  <c r="AO14" i="12" s="1"/>
  <c r="EC15" i="11"/>
  <c r="AJ14" i="12" s="1"/>
  <c r="AK14" i="12" s="1"/>
  <c r="EG14" i="11"/>
  <c r="AL13" i="12" s="1"/>
  <c r="AO13" i="12" s="1"/>
  <c r="EC14" i="11"/>
  <c r="AJ13" i="12" s="1"/>
  <c r="AK13" i="12" s="1"/>
  <c r="EC12" i="11"/>
  <c r="AJ11" i="12" s="1"/>
  <c r="AK11" i="12" s="1"/>
  <c r="EG13" i="11"/>
  <c r="AL12" i="12" s="1"/>
  <c r="AO12" i="12" s="1"/>
  <c r="EC13" i="11"/>
  <c r="AJ12" i="12" s="1"/>
  <c r="AK12" i="12" s="1"/>
  <c r="EG12" i="11"/>
  <c r="AL11" i="12" s="1"/>
  <c r="AO11" i="12" s="1"/>
  <c r="EG11" i="11"/>
  <c r="AL10" i="12" s="1"/>
  <c r="AO10" i="12" s="1"/>
  <c r="EC11" i="11"/>
  <c r="AJ10" i="12" s="1"/>
  <c r="AK10" i="12" s="1"/>
  <c r="EC10" i="11"/>
  <c r="AJ9" i="12" s="1"/>
  <c r="AK9" i="12" s="1"/>
  <c r="EG10" i="11"/>
  <c r="AL9" i="12" s="1"/>
  <c r="AO9" i="12" s="1"/>
  <c r="EG9" i="11"/>
  <c r="AL8" i="12" s="1"/>
  <c r="AO8" i="12" s="1"/>
  <c r="EC9" i="11"/>
  <c r="AJ8" i="12" s="1"/>
  <c r="AK8" i="12" s="1"/>
  <c r="EC8" i="11"/>
  <c r="ED8" i="11" s="1"/>
  <c r="EG8" i="11"/>
  <c r="AF22" i="12"/>
  <c r="FV70" i="11"/>
  <c r="EQ33" i="11" s="1"/>
  <c r="AT32" i="12" s="1"/>
  <c r="AS12" i="11"/>
  <c r="AE13" i="12"/>
  <c r="AG13" i="12" s="1"/>
  <c r="JM39" i="11"/>
  <c r="CX24" i="11"/>
  <c r="CX28" i="11"/>
  <c r="AE27" i="12"/>
  <c r="AG27" i="12" s="1"/>
  <c r="EQ29" i="11"/>
  <c r="AT28" i="12" s="1"/>
  <c r="CB31" i="11"/>
  <c r="CK31" i="11"/>
  <c r="S30" i="12" s="1"/>
  <c r="AE30" i="12"/>
  <c r="AG30" i="12" s="1"/>
  <c r="AN32" i="11"/>
  <c r="BD32" i="11" s="1"/>
  <c r="AN33" i="11"/>
  <c r="BD33" i="11" s="1"/>
  <c r="G34" i="11"/>
  <c r="B33" i="12" s="1"/>
  <c r="AS34" i="11"/>
  <c r="CB34" i="11"/>
  <c r="CX35" i="11"/>
  <c r="AE34" i="12"/>
  <c r="AG34" i="12" s="1"/>
  <c r="FH47" i="11"/>
  <c r="FH53" i="11"/>
  <c r="FI66" i="11"/>
  <c r="AF34" i="12"/>
  <c r="GA21" i="11"/>
  <c r="AQ20" i="12" s="1"/>
  <c r="IH22" i="11"/>
  <c r="CF21" i="12" s="1"/>
  <c r="CT23" i="11"/>
  <c r="CB23" i="11"/>
  <c r="CK23" i="11"/>
  <c r="S22" i="12" s="1"/>
  <c r="AS23" i="11"/>
  <c r="Y20" i="12"/>
  <c r="BH20" i="12" s="1"/>
  <c r="AC21" i="12"/>
  <c r="GA20" i="11"/>
  <c r="AQ19" i="12" s="1"/>
  <c r="CT21" i="11"/>
  <c r="CP21" i="11"/>
  <c r="CK20" i="11"/>
  <c r="S19" i="12" s="1"/>
  <c r="V19" i="12" s="1"/>
  <c r="BG19" i="12"/>
  <c r="AO19" i="12"/>
  <c r="CB20" i="11"/>
  <c r="BG18" i="12"/>
  <c r="AC17" i="12"/>
  <c r="AE18" i="12"/>
  <c r="AG18" i="12" s="1"/>
  <c r="GA17" i="11"/>
  <c r="AQ16" i="12" s="1"/>
  <c r="CB18" i="11"/>
  <c r="CK18" i="11"/>
  <c r="S17" i="12" s="1"/>
  <c r="V17" i="12" s="1"/>
  <c r="GA16" i="11"/>
  <c r="AQ15" i="12" s="1"/>
  <c r="AF17" i="12"/>
  <c r="CK17" i="11"/>
  <c r="S16" i="12" s="1"/>
  <c r="CB17" i="11"/>
  <c r="AS17" i="11"/>
  <c r="AF17" i="11"/>
  <c r="G17" i="11"/>
  <c r="B16" i="12" s="1"/>
  <c r="AE16" i="12"/>
  <c r="AG16" i="12" s="1"/>
  <c r="FW53" i="11"/>
  <c r="FG16" i="11" s="1"/>
  <c r="AZ15" i="12" s="1"/>
  <c r="BG14" i="12"/>
  <c r="CT16" i="11"/>
  <c r="AC15" i="12"/>
  <c r="CX15" i="11"/>
  <c r="AC14" i="12"/>
  <c r="G15" i="11"/>
  <c r="B14" i="12" s="1"/>
  <c r="AE14" i="12"/>
  <c r="AG14" i="12" s="1"/>
  <c r="AF13" i="12"/>
  <c r="FV50" i="11"/>
  <c r="EQ13" i="11" s="1"/>
  <c r="AT12" i="12" s="1"/>
  <c r="EQ14" i="11"/>
  <c r="AT13" i="12" s="1"/>
  <c r="FW51" i="11"/>
  <c r="FG14" i="11" s="1"/>
  <c r="AZ13" i="12" s="1"/>
  <c r="GA13" i="11"/>
  <c r="AQ12" i="12" s="1"/>
  <c r="BG12" i="12"/>
  <c r="Y13" i="12"/>
  <c r="BH13" i="12" s="1"/>
  <c r="CK14" i="11"/>
  <c r="S13" i="12" s="1"/>
  <c r="V13" i="12" s="1"/>
  <c r="AS14" i="11"/>
  <c r="G14" i="11"/>
  <c r="B13" i="12" s="1"/>
  <c r="AF13" i="11"/>
  <c r="G13" i="11"/>
  <c r="B12" i="12" s="1"/>
  <c r="AF10" i="12"/>
  <c r="DB11" i="11"/>
  <c r="CX12" i="11"/>
  <c r="BX12" i="11"/>
  <c r="G12" i="11"/>
  <c r="B11" i="12" s="1"/>
  <c r="P83" i="11"/>
  <c r="GA10" i="11"/>
  <c r="AQ9" i="12" s="1"/>
  <c r="BG9" i="12"/>
  <c r="CX11" i="11"/>
  <c r="CK11" i="11"/>
  <c r="S10" i="12" s="1"/>
  <c r="AC10" i="12"/>
  <c r="G11" i="11"/>
  <c r="B10" i="12" s="1"/>
  <c r="AF9" i="12"/>
  <c r="CK10" i="11"/>
  <c r="S9" i="12" s="1"/>
  <c r="V9" i="12" s="1"/>
  <c r="AN10" i="11"/>
  <c r="BD10" i="11" s="1"/>
  <c r="G10" i="11"/>
  <c r="B9" i="12" s="1"/>
  <c r="AF8" i="12"/>
  <c r="BG8" i="12"/>
  <c r="BU7" i="12"/>
  <c r="BU38" i="12" s="1"/>
  <c r="C62" i="12" s="1"/>
  <c r="Y8" i="12"/>
  <c r="BH8" i="12" s="1"/>
  <c r="L83" i="11"/>
  <c r="FV46" i="11"/>
  <c r="EQ9" i="11" s="1"/>
  <c r="FV59" i="11"/>
  <c r="EQ22" i="11" s="1"/>
  <c r="FW74" i="11"/>
  <c r="FG37" i="11" s="1"/>
  <c r="AZ36" i="12" s="1"/>
  <c r="FW46" i="11"/>
  <c r="FG9" i="11" s="1"/>
  <c r="AZ8" i="12" s="1"/>
  <c r="FV62" i="11"/>
  <c r="EQ25" i="11" s="1"/>
  <c r="AT24" i="12" s="1"/>
  <c r="FW69" i="11"/>
  <c r="FG32" i="11" s="1"/>
  <c r="AZ31" i="12" s="1"/>
  <c r="EQ37" i="11"/>
  <c r="AT36" i="12" s="1"/>
  <c r="FW48" i="11"/>
  <c r="FG11" i="11" s="1"/>
  <c r="AZ10" i="12" s="1"/>
  <c r="FW68" i="11"/>
  <c r="FG31" i="11" s="1"/>
  <c r="AZ30" i="12" s="1"/>
  <c r="FV72" i="11"/>
  <c r="EQ35" i="11" s="1"/>
  <c r="AT34" i="12" s="1"/>
  <c r="FW66" i="11"/>
  <c r="FG29" i="11" s="1"/>
  <c r="AZ28" i="12" s="1"/>
  <c r="FW45" i="11"/>
  <c r="FG8" i="11" s="1"/>
  <c r="AZ7" i="12" s="1"/>
  <c r="AJ12" i="11"/>
  <c r="CP13" i="11"/>
  <c r="ED19" i="11"/>
  <c r="CP33" i="11"/>
  <c r="CT35" i="11"/>
  <c r="CT19" i="11"/>
  <c r="ED25" i="11"/>
  <c r="CP16" i="11"/>
  <c r="CP37" i="11"/>
  <c r="CT38" i="11"/>
  <c r="CT29" i="11"/>
  <c r="CP31" i="11"/>
  <c r="CT37" i="11"/>
  <c r="CP22" i="11"/>
  <c r="FB69" i="11"/>
  <c r="FD69" i="11" s="1"/>
  <c r="FJ69" i="11" s="1"/>
  <c r="BG20" i="12"/>
  <c r="AX33" i="12"/>
  <c r="BG32" i="12"/>
  <c r="BG33" i="12"/>
  <c r="BG31" i="12"/>
  <c r="BG11" i="12"/>
  <c r="BG37" i="12"/>
  <c r="BG28" i="12"/>
  <c r="BG30" i="12"/>
  <c r="BG35" i="12"/>
  <c r="AX35" i="12"/>
  <c r="BC35" i="12"/>
  <c r="GG10" i="11"/>
  <c r="AR9" i="12" s="1"/>
  <c r="GG9" i="11"/>
  <c r="AR8" i="12" s="1"/>
  <c r="GG20" i="11"/>
  <c r="AR19" i="12" s="1"/>
  <c r="GG35" i="11"/>
  <c r="AR34" i="12" s="1"/>
  <c r="GG13" i="11"/>
  <c r="AR12" i="12" s="1"/>
  <c r="GG28" i="11"/>
  <c r="AR27" i="12" s="1"/>
  <c r="GG31" i="11"/>
  <c r="AR30" i="12" s="1"/>
  <c r="AS30" i="12" s="1"/>
  <c r="AX9" i="12"/>
  <c r="GG36" i="11"/>
  <c r="AR35" i="12" s="1"/>
  <c r="GG16" i="11"/>
  <c r="AR15" i="12" s="1"/>
  <c r="GG24" i="11"/>
  <c r="AR23" i="12" s="1"/>
  <c r="GG11" i="11"/>
  <c r="AR10" i="12" s="1"/>
  <c r="FB54" i="11"/>
  <c r="FD54" i="11" s="1"/>
  <c r="FJ54" i="11" s="1"/>
  <c r="FB46" i="11"/>
  <c r="FD46" i="11" s="1"/>
  <c r="FJ46" i="11" s="1"/>
  <c r="FT26" i="11"/>
  <c r="FM26" i="11" s="1"/>
  <c r="FB66" i="11"/>
  <c r="FB47" i="11"/>
  <c r="FD47" i="11" s="1"/>
  <c r="FJ47" i="11" s="1"/>
  <c r="FB50" i="11"/>
  <c r="FD50" i="11" s="1"/>
  <c r="FB58" i="11"/>
  <c r="FD58" i="11" s="1"/>
  <c r="FJ58" i="11" s="1"/>
  <c r="FB73" i="11"/>
  <c r="FD73" i="11" s="1"/>
  <c r="FJ73" i="11" s="1"/>
  <c r="FB53" i="11"/>
  <c r="FD53" i="11" s="1"/>
  <c r="FJ53" i="11" s="1"/>
  <c r="FB63" i="11"/>
  <c r="FD63" i="11" s="1"/>
  <c r="FJ63" i="11" s="1"/>
  <c r="FB57" i="11"/>
  <c r="FD57" i="11" s="1"/>
  <c r="FK57" i="11" s="1"/>
  <c r="FT13" i="11"/>
  <c r="FM13" i="11" s="1"/>
  <c r="FT10" i="11"/>
  <c r="FM10" i="11" s="1"/>
  <c r="FU10" i="11"/>
  <c r="FT24" i="11"/>
  <c r="FM24" i="11" s="1"/>
  <c r="FU24" i="11"/>
  <c r="FT25" i="11"/>
  <c r="FM25" i="11" s="1"/>
  <c r="FT22" i="11"/>
  <c r="FM22" i="11" s="1"/>
  <c r="FT21" i="11"/>
  <c r="FM21" i="11" s="1"/>
  <c r="FU22" i="11"/>
  <c r="FT17" i="11"/>
  <c r="FM17" i="11" s="1"/>
  <c r="FU17" i="11"/>
  <c r="FA38" i="11"/>
  <c r="FD8" i="11"/>
  <c r="FA16" i="11"/>
  <c r="FA19" i="11"/>
  <c r="FA28" i="11"/>
  <c r="FA11" i="11"/>
  <c r="FA21" i="11"/>
  <c r="FD21" i="11"/>
  <c r="AO37" i="12"/>
  <c r="EN8" i="11"/>
  <c r="EN25" i="11"/>
  <c r="AK37" i="12"/>
  <c r="AK25" i="12"/>
  <c r="AE24" i="12"/>
  <c r="AG24" i="12" s="1"/>
  <c r="AE22" i="12"/>
  <c r="AG22" i="12" s="1"/>
  <c r="AE37" i="12"/>
  <c r="AG37" i="12" s="1"/>
  <c r="AE17" i="12"/>
  <c r="AG17" i="12" s="1"/>
  <c r="AE29" i="12"/>
  <c r="AG29" i="12" s="1"/>
  <c r="AE15" i="12"/>
  <c r="AG15" i="12" s="1"/>
  <c r="AE20" i="12"/>
  <c r="AG20" i="12" s="1"/>
  <c r="AE23" i="12"/>
  <c r="AG23" i="12" s="1"/>
  <c r="AE31" i="12"/>
  <c r="AG31" i="12" s="1"/>
  <c r="AE25" i="12"/>
  <c r="AG25" i="12" s="1"/>
  <c r="DT79" i="11"/>
  <c r="AF12" i="12"/>
  <c r="AF11" i="12"/>
  <c r="AE11" i="12" s="1"/>
  <c r="AG11" i="12" s="1"/>
  <c r="AF27" i="12"/>
  <c r="AF15" i="12"/>
  <c r="AF20" i="12"/>
  <c r="AF14" i="12"/>
  <c r="AF18" i="12"/>
  <c r="AF30" i="12"/>
  <c r="AF36" i="12"/>
  <c r="ED38" i="11"/>
  <c r="ED30" i="11"/>
  <c r="IH25" i="11"/>
  <c r="CF24" i="12" s="1"/>
  <c r="IH35" i="11"/>
  <c r="CF34" i="12" s="1"/>
  <c r="IH18" i="11"/>
  <c r="II18" i="11" s="1"/>
  <c r="IH32" i="11"/>
  <c r="CF31" i="12" s="1"/>
  <c r="IH14" i="11"/>
  <c r="CF13" i="12" s="1"/>
  <c r="IH12" i="11"/>
  <c r="CF11" i="12" s="1"/>
  <c r="IH11" i="11"/>
  <c r="IH19" i="11"/>
  <c r="CF18" i="12" s="1"/>
  <c r="IH28" i="11"/>
  <c r="KG28" i="11" s="1"/>
  <c r="IH38" i="11"/>
  <c r="CF37" i="12" s="1"/>
  <c r="DB22" i="11"/>
  <c r="Y12" i="12"/>
  <c r="BH12" i="12" s="1"/>
  <c r="DB14" i="11"/>
  <c r="DB24" i="11"/>
  <c r="Y17" i="12"/>
  <c r="BH17" i="12" s="1"/>
  <c r="DB25" i="11"/>
  <c r="Y15" i="12"/>
  <c r="BH15" i="12" s="1"/>
  <c r="Y16" i="12"/>
  <c r="BH16" i="12" s="1"/>
  <c r="DB18" i="11"/>
  <c r="DB28" i="11"/>
  <c r="DB16" i="11"/>
  <c r="DB17" i="11"/>
  <c r="DB26" i="11"/>
  <c r="DB27" i="11"/>
  <c r="Y32" i="12"/>
  <c r="BH32" i="12" s="1"/>
  <c r="Y33" i="12"/>
  <c r="BH33" i="12" s="1"/>
  <c r="Y21" i="12"/>
  <c r="BH21" i="12" s="1"/>
  <c r="Y23" i="12"/>
  <c r="BH23" i="12" s="1"/>
  <c r="DB35" i="11"/>
  <c r="CX10" i="11"/>
  <c r="CX27" i="11"/>
  <c r="CX37" i="11"/>
  <c r="CX38" i="11"/>
  <c r="CX14" i="11"/>
  <c r="CX36" i="11"/>
  <c r="CX19" i="11"/>
  <c r="CT12" i="11"/>
  <c r="CT18" i="11"/>
  <c r="CT32" i="11"/>
  <c r="CT36" i="11"/>
  <c r="CT28" i="11"/>
  <c r="CT15" i="11"/>
  <c r="CT27" i="11"/>
  <c r="CT11" i="11"/>
  <c r="CT20" i="11"/>
  <c r="CP29" i="11"/>
  <c r="CP19" i="11"/>
  <c r="CP9" i="11"/>
  <c r="CP30" i="11"/>
  <c r="CP18" i="11"/>
  <c r="CP34" i="11"/>
  <c r="CP15" i="11"/>
  <c r="CP36" i="11"/>
  <c r="CB19" i="11"/>
  <c r="CB32" i="11"/>
  <c r="CB33" i="11"/>
  <c r="CK38" i="11"/>
  <c r="DG38" i="11" s="1"/>
  <c r="CB22" i="11"/>
  <c r="CK28" i="11"/>
  <c r="S27" i="12" s="1"/>
  <c r="V27" i="12" s="1"/>
  <c r="CB15" i="11"/>
  <c r="CK33" i="11"/>
  <c r="DG33" i="11" s="1"/>
  <c r="CB37" i="11"/>
  <c r="CB10" i="11"/>
  <c r="CB11" i="11"/>
  <c r="CK22" i="11"/>
  <c r="S21" i="12" s="1"/>
  <c r="V21" i="12" s="1"/>
  <c r="CK35" i="11"/>
  <c r="S34" i="12" s="1"/>
  <c r="V34" i="12" s="1"/>
  <c r="CK37" i="11"/>
  <c r="DG37" i="11" s="1"/>
  <c r="CB38" i="11"/>
  <c r="AN19" i="11"/>
  <c r="J18" i="12" s="1"/>
  <c r="AN9" i="11"/>
  <c r="J8" i="12" s="1"/>
  <c r="AN15" i="11"/>
  <c r="J14" i="12" s="1"/>
  <c r="AN17" i="11"/>
  <c r="AO17" i="11" s="1"/>
  <c r="AN24" i="11"/>
  <c r="J23" i="12" s="1"/>
  <c r="AN20" i="11"/>
  <c r="J19" i="12" s="1"/>
  <c r="AC13" i="12"/>
  <c r="AC33" i="12"/>
  <c r="AC18" i="12"/>
  <c r="AN29" i="11"/>
  <c r="J28" i="12" s="1"/>
  <c r="AC29" i="12"/>
  <c r="AN21" i="11"/>
  <c r="AO21" i="11" s="1"/>
  <c r="AN36" i="11"/>
  <c r="BD36" i="11" s="1"/>
  <c r="AN12" i="11"/>
  <c r="J11" i="12" s="1"/>
  <c r="AS24" i="11"/>
  <c r="K29" i="12"/>
  <c r="AS21" i="11"/>
  <c r="AS25" i="11"/>
  <c r="AS22" i="11"/>
  <c r="AS18" i="11"/>
  <c r="AS15" i="11"/>
  <c r="AS19" i="11"/>
  <c r="AS33" i="11"/>
  <c r="AJ20" i="11"/>
  <c r="AJ32" i="11"/>
  <c r="AJ24" i="11"/>
  <c r="AJ33" i="11"/>
  <c r="AJ9" i="11"/>
  <c r="AJ21" i="11"/>
  <c r="AJ10" i="11"/>
  <c r="AJ13" i="11"/>
  <c r="AJ17" i="11"/>
  <c r="AF16" i="11"/>
  <c r="AF24" i="11"/>
  <c r="AF26" i="11"/>
  <c r="AF18" i="11"/>
  <c r="AF38" i="11"/>
  <c r="AF22" i="11"/>
  <c r="AF9" i="11"/>
  <c r="AF25" i="11"/>
  <c r="AF10" i="11"/>
  <c r="AF20" i="11"/>
  <c r="AF14" i="11"/>
  <c r="X23" i="11"/>
  <c r="G22" i="12" s="1"/>
  <c r="X20" i="11"/>
  <c r="G19" i="12" s="1"/>
  <c r="X10" i="11"/>
  <c r="G9" i="12" s="1"/>
  <c r="X35" i="11"/>
  <c r="AK35" i="11" s="1"/>
  <c r="DH35" i="11" s="1"/>
  <c r="X17" i="11"/>
  <c r="G16" i="12" s="1"/>
  <c r="X31" i="11"/>
  <c r="G30" i="12" s="1"/>
  <c r="X37" i="11"/>
  <c r="G36" i="12" s="1"/>
  <c r="X28" i="11"/>
  <c r="G27" i="12" s="1"/>
  <c r="X36" i="11"/>
  <c r="G35" i="12" s="1"/>
  <c r="X27" i="11"/>
  <c r="G26" i="12" s="1"/>
  <c r="X33" i="11"/>
  <c r="G32" i="12" s="1"/>
  <c r="X19" i="11"/>
  <c r="G18" i="12" s="1"/>
  <c r="R28" i="11"/>
  <c r="R20" i="11"/>
  <c r="R36" i="11"/>
  <c r="R19" i="11"/>
  <c r="R23" i="11"/>
  <c r="G9" i="11"/>
  <c r="B8" i="12" s="1"/>
  <c r="G22" i="11"/>
  <c r="B21" i="12" s="1"/>
  <c r="G16" i="11"/>
  <c r="B15" i="12" s="1"/>
  <c r="G20" i="11"/>
  <c r="B19" i="12" s="1"/>
  <c r="G18" i="11"/>
  <c r="B17" i="12" s="1"/>
  <c r="G36" i="11"/>
  <c r="B35" i="12" s="1"/>
  <c r="G37" i="11"/>
  <c r="B36" i="12" s="1"/>
  <c r="G8" i="11"/>
  <c r="B7" i="12" s="1"/>
  <c r="G33" i="11"/>
  <c r="B32" i="12" s="1"/>
  <c r="G19" i="11"/>
  <c r="B18" i="12" s="1"/>
  <c r="G38" i="11"/>
  <c r="B37" i="12" s="1"/>
  <c r="G21" i="11"/>
  <c r="B20" i="12" s="1"/>
  <c r="G35" i="11"/>
  <c r="B34" i="12" s="1"/>
  <c r="G27" i="11"/>
  <c r="B26" i="12" s="1"/>
  <c r="G23" i="11"/>
  <c r="B22" i="12" s="1"/>
  <c r="G30" i="11"/>
  <c r="B29" i="12" s="1"/>
  <c r="DG7" i="11"/>
  <c r="KG8" i="11"/>
  <c r="II8" i="11"/>
  <c r="FA8" i="11"/>
  <c r="X14" i="11"/>
  <c r="R14" i="11"/>
  <c r="R16" i="11"/>
  <c r="X16" i="11"/>
  <c r="G15" i="12" s="1"/>
  <c r="AQ7" i="12"/>
  <c r="S7" i="12"/>
  <c r="CL8" i="11"/>
  <c r="S25" i="12"/>
  <c r="CL26" i="11"/>
  <c r="DG26" i="11"/>
  <c r="AZ12" i="12"/>
  <c r="FU13" i="11"/>
  <c r="CC20" i="12"/>
  <c r="JN49" i="11"/>
  <c r="BA7" i="12"/>
  <c r="BA38" i="12" s="1"/>
  <c r="FJ39" i="11"/>
  <c r="BX13" i="11"/>
  <c r="X21" i="11"/>
  <c r="G20" i="12" s="1"/>
  <c r="CB21" i="11"/>
  <c r="BX21" i="12"/>
  <c r="BX22" i="12"/>
  <c r="KG23" i="11"/>
  <c r="R27" i="11"/>
  <c r="C39" i="11"/>
  <c r="DE39" i="11"/>
  <c r="CX9" i="11"/>
  <c r="AJ11" i="11"/>
  <c r="BX10" i="12"/>
  <c r="CX13" i="11"/>
  <c r="AN14" i="11"/>
  <c r="CP14" i="11"/>
  <c r="FB51" i="11"/>
  <c r="FD51" i="11" s="1"/>
  <c r="FK51" i="11" s="1"/>
  <c r="GA14" i="11"/>
  <c r="AQ13" i="12" s="1"/>
  <c r="AF15" i="11"/>
  <c r="DF15" i="11"/>
  <c r="KG15" i="11"/>
  <c r="CB16" i="11"/>
  <c r="BG15" i="12"/>
  <c r="R17" i="11"/>
  <c r="CT17" i="11"/>
  <c r="GG17" i="11"/>
  <c r="AR16" i="12" s="1"/>
  <c r="AF19" i="11"/>
  <c r="DF19" i="11"/>
  <c r="JV39" i="11"/>
  <c r="DB21" i="11"/>
  <c r="IH21" i="11"/>
  <c r="CF20" i="12" s="1"/>
  <c r="DF23" i="11"/>
  <c r="AX24" i="12"/>
  <c r="GG25" i="11"/>
  <c r="AR24" i="12" s="1"/>
  <c r="X26" i="11"/>
  <c r="R26" i="11"/>
  <c r="AC26" i="12"/>
  <c r="AN27" i="11"/>
  <c r="AM27" i="12"/>
  <c r="AV28" i="12"/>
  <c r="AL29" i="12"/>
  <c r="AO29" i="12" s="1"/>
  <c r="EN30" i="11"/>
  <c r="AF33" i="11"/>
  <c r="AM34" i="12"/>
  <c r="H36" i="12"/>
  <c r="AF37" i="11"/>
  <c r="FA65" i="11"/>
  <c r="FB65" i="11" s="1"/>
  <c r="FD65" i="11" s="1"/>
  <c r="FK65" i="11" s="1"/>
  <c r="FI67" i="11"/>
  <c r="M7" i="12"/>
  <c r="M38" i="12" s="1"/>
  <c r="BC39" i="11"/>
  <c r="IE39" i="11"/>
  <c r="HI49" i="11" s="1"/>
  <c r="CE7" i="12"/>
  <c r="CE38" i="12" s="1"/>
  <c r="BX48" i="12" s="1"/>
  <c r="CX16" i="11"/>
  <c r="BC25" i="12"/>
  <c r="GG26" i="11"/>
  <c r="AR25" i="12" s="1"/>
  <c r="AS25" i="12" s="1"/>
  <c r="AS32" i="11"/>
  <c r="BG39" i="11"/>
  <c r="AA7" i="12"/>
  <c r="AA38" i="12" s="1"/>
  <c r="C53" i="12" s="1"/>
  <c r="FA45" i="11"/>
  <c r="FP39" i="11"/>
  <c r="FS39" i="11"/>
  <c r="X9" i="11"/>
  <c r="G8" i="12" s="1"/>
  <c r="CT10" i="11"/>
  <c r="AF12" i="11"/>
  <c r="DF12" i="11"/>
  <c r="X13" i="11"/>
  <c r="G12" i="12" s="1"/>
  <c r="CB13" i="11"/>
  <c r="CK15" i="11"/>
  <c r="DG15" i="11" s="1"/>
  <c r="IH16" i="11"/>
  <c r="CF15" i="12" s="1"/>
  <c r="CC16" i="12"/>
  <c r="JN45" i="11"/>
  <c r="AN18" i="11"/>
  <c r="FB55" i="11"/>
  <c r="FD55" i="11" s="1"/>
  <c r="FJ55" i="11" s="1"/>
  <c r="GA18" i="11"/>
  <c r="AQ17" i="12" s="1"/>
  <c r="CK19" i="11"/>
  <c r="DG19" i="11" s="1"/>
  <c r="IO39" i="11"/>
  <c r="JY39" i="11"/>
  <c r="AN22" i="11"/>
  <c r="FB59" i="11"/>
  <c r="FD59" i="11" s="1"/>
  <c r="FK59" i="11" s="1"/>
  <c r="FM59" i="11" s="1"/>
  <c r="BB21" i="12" s="1"/>
  <c r="BD21" i="12" s="1"/>
  <c r="GA22" i="11"/>
  <c r="AQ21" i="12" s="1"/>
  <c r="CC23" i="12"/>
  <c r="JN52" i="11"/>
  <c r="O24" i="12"/>
  <c r="CK25" i="11"/>
  <c r="DG25" i="11" s="1"/>
  <c r="CB25" i="11"/>
  <c r="AV24" i="12"/>
  <c r="T25" i="12"/>
  <c r="CP26" i="11"/>
  <c r="E26" i="12"/>
  <c r="E29" i="12"/>
  <c r="AI31" i="12"/>
  <c r="EZ71" i="11"/>
  <c r="FB71" i="11" s="1"/>
  <c r="FD71" i="11" s="1"/>
  <c r="FJ71" i="11" s="1"/>
  <c r="I36" i="12"/>
  <c r="AJ37" i="11"/>
  <c r="FW60" i="11"/>
  <c r="FG23" i="11" s="1"/>
  <c r="FT23" i="11" s="1"/>
  <c r="FM23" i="11" s="1"/>
  <c r="FV60" i="11"/>
  <c r="EQ23" i="11" s="1"/>
  <c r="FI65" i="11"/>
  <c r="BX19" i="12"/>
  <c r="X7" i="12"/>
  <c r="DA39" i="11"/>
  <c r="CP17" i="11"/>
  <c r="FD13" i="11"/>
  <c r="AJ22" i="11"/>
  <c r="CC24" i="12"/>
  <c r="JN53" i="11"/>
  <c r="AJ31" i="11"/>
  <c r="AN34" i="11"/>
  <c r="FI49" i="11"/>
  <c r="H7" i="12"/>
  <c r="AE39" i="11"/>
  <c r="Q7" i="12"/>
  <c r="Q38" i="12" s="1"/>
  <c r="CF39" i="11"/>
  <c r="EM39" i="11"/>
  <c r="AN7" i="12"/>
  <c r="AN38" i="12" s="1"/>
  <c r="D39" i="11"/>
  <c r="AF8" i="11"/>
  <c r="AB38" i="12"/>
  <c r="C54" i="12" s="1"/>
  <c r="CH39" i="11"/>
  <c r="DF8" i="11"/>
  <c r="CB9" i="11"/>
  <c r="F39" i="11"/>
  <c r="AI39" i="11"/>
  <c r="I7" i="12"/>
  <c r="AC7" i="12"/>
  <c r="DG8" i="11"/>
  <c r="AT7" i="12"/>
  <c r="HE39" i="11"/>
  <c r="DB9" i="11"/>
  <c r="IH9" i="11"/>
  <c r="CF8" i="12" s="1"/>
  <c r="AS10" i="11"/>
  <c r="BX10" i="11"/>
  <c r="Y9" i="12"/>
  <c r="BH9" i="12" s="1"/>
  <c r="AN11" i="11"/>
  <c r="CP11" i="11"/>
  <c r="FB48" i="11"/>
  <c r="FD48" i="11" s="1"/>
  <c r="FJ48" i="11" s="1"/>
  <c r="GA11" i="11"/>
  <c r="AQ10" i="12" s="1"/>
  <c r="AC11" i="12"/>
  <c r="CK12" i="11"/>
  <c r="DG12" i="11" s="1"/>
  <c r="P12" i="12"/>
  <c r="CH47" i="11"/>
  <c r="CE47" i="11"/>
  <c r="CF47" i="11" s="1"/>
  <c r="CE46" i="11" s="1"/>
  <c r="CF46" i="11" s="1"/>
  <c r="CE45" i="11" s="1"/>
  <c r="CF45" i="11" s="1"/>
  <c r="CE44" i="11" s="1"/>
  <c r="CF44" i="11" s="1"/>
  <c r="CE43" i="11" s="1"/>
  <c r="CF43" i="11" s="1"/>
  <c r="DB13" i="11"/>
  <c r="IH13" i="11"/>
  <c r="CF12" i="12" s="1"/>
  <c r="CT14" i="11"/>
  <c r="GG14" i="11"/>
  <c r="AR13" i="12" s="1"/>
  <c r="AJ15" i="11"/>
  <c r="BX14" i="12"/>
  <c r="V16" i="12"/>
  <c r="CX17" i="11"/>
  <c r="AJ19" i="11"/>
  <c r="BX18" i="12"/>
  <c r="IR39" i="11"/>
  <c r="KB39" i="11"/>
  <c r="AS20" i="11"/>
  <c r="Y19" i="12"/>
  <c r="BH19" i="12" s="1"/>
  <c r="AF21" i="11"/>
  <c r="DF21" i="11"/>
  <c r="AC25" i="12"/>
  <c r="AN26" i="11"/>
  <c r="U25" i="12"/>
  <c r="CT26" i="11"/>
  <c r="AZ25" i="12"/>
  <c r="FU26" i="11"/>
  <c r="H27" i="12"/>
  <c r="AF28" i="11"/>
  <c r="AT27" i="12"/>
  <c r="FD28" i="11"/>
  <c r="X30" i="11"/>
  <c r="G29" i="12" s="1"/>
  <c r="FB68" i="11"/>
  <c r="FD68" i="11" s="1"/>
  <c r="FJ68" i="11" s="1"/>
  <c r="BC36" i="12"/>
  <c r="GG37" i="11"/>
  <c r="AR36" i="12" s="1"/>
  <c r="BL39" i="11"/>
  <c r="O7" i="12"/>
  <c r="CA39" i="11"/>
  <c r="CK24" i="11"/>
  <c r="DG24" i="11" s="1"/>
  <c r="O23" i="12"/>
  <c r="CB24" i="11"/>
  <c r="S26" i="12"/>
  <c r="CL27" i="11"/>
  <c r="DB12" i="11"/>
  <c r="AJ18" i="11"/>
  <c r="EN23" i="11"/>
  <c r="FT33" i="11"/>
  <c r="FM33" i="11" s="1"/>
  <c r="G78" i="11"/>
  <c r="BN39" i="11"/>
  <c r="ET39" i="11"/>
  <c r="AU7" i="12"/>
  <c r="AU38" i="12" s="1"/>
  <c r="HJ39" i="11"/>
  <c r="HI42" i="11" s="1"/>
  <c r="BX7" i="12"/>
  <c r="BX11" i="12"/>
  <c r="EN16" i="11"/>
  <c r="BG16" i="12"/>
  <c r="GG18" i="11"/>
  <c r="AR17" i="12" s="1"/>
  <c r="KE39" i="11"/>
  <c r="CX20" i="11"/>
  <c r="AC20" i="12"/>
  <c r="CK21" i="11"/>
  <c r="DG21" i="11" s="1"/>
  <c r="CT22" i="11"/>
  <c r="GG22" i="11"/>
  <c r="AR21" i="12" s="1"/>
  <c r="AF23" i="11"/>
  <c r="AC22" i="12"/>
  <c r="AN23" i="11"/>
  <c r="FB60" i="11"/>
  <c r="FD60" i="11" s="1"/>
  <c r="FK60" i="11" s="1"/>
  <c r="GG23" i="11"/>
  <c r="AR22" i="12" s="1"/>
  <c r="T23" i="12"/>
  <c r="CP24" i="11"/>
  <c r="BF24" i="12"/>
  <c r="BG24" i="12" s="1"/>
  <c r="GA25" i="11"/>
  <c r="AQ24" i="12" s="1"/>
  <c r="ED26" i="11"/>
  <c r="I27" i="12"/>
  <c r="AJ28" i="11"/>
  <c r="K28" i="12"/>
  <c r="AS29" i="11"/>
  <c r="AE28" i="12"/>
  <c r="AG28" i="12" s="1"/>
  <c r="IH29" i="11"/>
  <c r="CF28" i="12" s="1"/>
  <c r="AE33" i="12"/>
  <c r="AG33" i="12" s="1"/>
  <c r="IH34" i="11"/>
  <c r="II34" i="11" s="1"/>
  <c r="H34" i="12"/>
  <c r="AF35" i="11"/>
  <c r="AE35" i="12"/>
  <c r="AG35" i="12" s="1"/>
  <c r="IH36" i="11"/>
  <c r="CF35" i="12" s="1"/>
  <c r="FB74" i="11"/>
  <c r="FD74" i="11" s="1"/>
  <c r="FJ74" i="11" s="1"/>
  <c r="BR39" i="11"/>
  <c r="FI64" i="11"/>
  <c r="AJ14" i="11"/>
  <c r="CC15" i="12"/>
  <c r="JN44" i="11"/>
  <c r="DB19" i="11"/>
  <c r="AS13" i="11"/>
  <c r="CP20" i="11"/>
  <c r="K39" i="11"/>
  <c r="DR39" i="11"/>
  <c r="AD7" i="12"/>
  <c r="AD38" i="12" s="1"/>
  <c r="BY7" i="12"/>
  <c r="HM39" i="11"/>
  <c r="HI43" i="11" s="1"/>
  <c r="FB52" i="11"/>
  <c r="FD52" i="11" s="1"/>
  <c r="FJ52" i="11" s="1"/>
  <c r="CK16" i="11"/>
  <c r="DG16" i="11" s="1"/>
  <c r="IH17" i="11"/>
  <c r="CF16" i="12" s="1"/>
  <c r="CC17" i="12"/>
  <c r="JN46" i="11"/>
  <c r="FB56" i="11"/>
  <c r="FD56" i="11" s="1"/>
  <c r="FJ56" i="11" s="1"/>
  <c r="GA19" i="11"/>
  <c r="AQ18" i="12" s="1"/>
  <c r="IX39" i="11"/>
  <c r="FU21" i="11"/>
  <c r="BX20" i="12"/>
  <c r="CC21" i="12"/>
  <c r="JN50" i="11"/>
  <c r="CC22" i="12"/>
  <c r="JN51" i="11"/>
  <c r="I26" i="12"/>
  <c r="AJ27" i="11"/>
  <c r="DF28" i="11"/>
  <c r="X29" i="12"/>
  <c r="Y29" i="12" s="1"/>
  <c r="BH29" i="12" s="1"/>
  <c r="DB30" i="11"/>
  <c r="BC29" i="12"/>
  <c r="GG30" i="11"/>
  <c r="AR29" i="12" s="1"/>
  <c r="X32" i="11"/>
  <c r="G31" i="12" s="1"/>
  <c r="D31" i="12"/>
  <c r="X34" i="11"/>
  <c r="G33" i="12" s="1"/>
  <c r="R34" i="11"/>
  <c r="AH33" i="12"/>
  <c r="FH46" i="11"/>
  <c r="E7" i="12"/>
  <c r="V39" i="11"/>
  <c r="AL7" i="12"/>
  <c r="CB12" i="11"/>
  <c r="FD16" i="11"/>
  <c r="FA72" i="11"/>
  <c r="FB72" i="11" s="1"/>
  <c r="FD72" i="11" s="1"/>
  <c r="FJ72" i="11" s="1"/>
  <c r="FU35" i="11"/>
  <c r="FT35" i="11"/>
  <c r="FM35" i="11" s="1"/>
  <c r="F38" i="12"/>
  <c r="BX9" i="11"/>
  <c r="CP10" i="11"/>
  <c r="II15" i="11"/>
  <c r="BX17" i="12"/>
  <c r="BF26" i="12"/>
  <c r="BG26" i="12" s="1"/>
  <c r="GA27" i="11"/>
  <c r="AQ26" i="12" s="1"/>
  <c r="BP39" i="11"/>
  <c r="AV7" i="12"/>
  <c r="EW39" i="11"/>
  <c r="GA15" i="11"/>
  <c r="AQ14" i="12" s="1"/>
  <c r="C7" i="12"/>
  <c r="C38" i="12" s="1"/>
  <c r="N39" i="11"/>
  <c r="AN8" i="11"/>
  <c r="Z38" i="12"/>
  <c r="C55" i="12" s="1"/>
  <c r="AE7" i="12"/>
  <c r="AG7" i="12" s="1"/>
  <c r="DT39" i="11"/>
  <c r="EZ45" i="11"/>
  <c r="EZ39" i="11"/>
  <c r="BZ7" i="12"/>
  <c r="BZ38" i="12" s="1"/>
  <c r="BX43" i="12" s="1"/>
  <c r="HP39" i="11"/>
  <c r="HI47" i="11" s="1"/>
  <c r="AC8" i="12"/>
  <c r="CK9" i="11"/>
  <c r="DG9" i="11" s="1"/>
  <c r="DB10" i="11"/>
  <c r="IH10" i="11"/>
  <c r="CF9" i="12" s="1"/>
  <c r="AS11" i="11"/>
  <c r="BX11" i="11"/>
  <c r="Y10" i="12"/>
  <c r="BH10" i="12" s="1"/>
  <c r="FD11" i="11"/>
  <c r="CP12" i="11"/>
  <c r="FB49" i="11"/>
  <c r="FD49" i="11" s="1"/>
  <c r="FK49" i="11" s="1"/>
  <c r="GA12" i="11"/>
  <c r="AQ11" i="12" s="1"/>
  <c r="AC12" i="12"/>
  <c r="CK13" i="11"/>
  <c r="DG13" i="11" s="1"/>
  <c r="CB14" i="11"/>
  <c r="BG13" i="12"/>
  <c r="Q15" i="11"/>
  <c r="AJ16" i="11"/>
  <c r="BX15" i="12"/>
  <c r="CX18" i="11"/>
  <c r="JA39" i="11"/>
  <c r="DB20" i="11"/>
  <c r="IH20" i="11"/>
  <c r="CF19" i="12" s="1"/>
  <c r="CX22" i="11"/>
  <c r="AJ23" i="11"/>
  <c r="T22" i="12"/>
  <c r="CP23" i="11"/>
  <c r="AH22" i="12"/>
  <c r="ED23" i="11"/>
  <c r="CT24" i="11"/>
  <c r="BF23" i="12"/>
  <c r="BG23" i="12" s="1"/>
  <c r="GA24" i="11"/>
  <c r="AQ23" i="12" s="1"/>
  <c r="T24" i="12"/>
  <c r="CP25" i="11"/>
  <c r="AZ24" i="12"/>
  <c r="FU25" i="11"/>
  <c r="CA26" i="12"/>
  <c r="II27" i="11"/>
  <c r="G28" i="11"/>
  <c r="B27" i="12" s="1"/>
  <c r="AI28" i="12"/>
  <c r="AC30" i="12"/>
  <c r="AN31" i="11"/>
  <c r="CB31" i="12"/>
  <c r="DF33" i="11"/>
  <c r="DF35" i="11"/>
  <c r="AE36" i="12"/>
  <c r="AG36" i="12" s="1"/>
  <c r="IH37" i="11"/>
  <c r="II37" i="11" s="1"/>
  <c r="CH44" i="11"/>
  <c r="JN48" i="11"/>
  <c r="BE7" i="12"/>
  <c r="GP39" i="11"/>
  <c r="CT9" i="11"/>
  <c r="AC27" i="12"/>
  <c r="AN28" i="11"/>
  <c r="BF7" i="12"/>
  <c r="GS39" i="11"/>
  <c r="T7" i="12"/>
  <c r="CO39" i="11"/>
  <c r="AP7" i="12"/>
  <c r="FX41" i="11"/>
  <c r="CS39" i="11"/>
  <c r="U7" i="12"/>
  <c r="HS39" i="11"/>
  <c r="HI44" i="11" s="1"/>
  <c r="CA7" i="12"/>
  <c r="BX8" i="12"/>
  <c r="AG8" i="12"/>
  <c r="BX12" i="12"/>
  <c r="AG12" i="12"/>
  <c r="GG15" i="11"/>
  <c r="AR14" i="12" s="1"/>
  <c r="X18" i="11"/>
  <c r="G17" i="12" s="1"/>
  <c r="BG17" i="12"/>
  <c r="GG19" i="11"/>
  <c r="AR18" i="12" s="1"/>
  <c r="JD39" i="11"/>
  <c r="X22" i="11"/>
  <c r="G21" i="12" s="1"/>
  <c r="BG21" i="12"/>
  <c r="I25" i="12"/>
  <c r="AJ26" i="11"/>
  <c r="K26" i="12"/>
  <c r="AS27" i="11"/>
  <c r="O26" i="12"/>
  <c r="CB27" i="11"/>
  <c r="BY28" i="12"/>
  <c r="O29" i="12"/>
  <c r="CK30" i="11"/>
  <c r="DG30" i="11" s="1"/>
  <c r="GG32" i="11"/>
  <c r="AR31" i="12" s="1"/>
  <c r="CC31" i="12"/>
  <c r="JN60" i="11"/>
  <c r="BF34" i="12"/>
  <c r="BG34" i="12" s="1"/>
  <c r="GA35" i="11"/>
  <c r="AQ34" i="12" s="1"/>
  <c r="FH62" i="11"/>
  <c r="R7" i="12"/>
  <c r="R38" i="12" s="1"/>
  <c r="U33" i="12"/>
  <c r="CT34" i="11"/>
  <c r="FJ50" i="11"/>
  <c r="FH50" i="11"/>
  <c r="X8" i="11"/>
  <c r="AK8" i="11" s="1"/>
  <c r="AF11" i="11"/>
  <c r="X12" i="11"/>
  <c r="G11" i="12" s="1"/>
  <c r="BX13" i="12"/>
  <c r="AS16" i="11"/>
  <c r="CX21" i="11"/>
  <c r="DB23" i="11"/>
  <c r="FA70" i="11"/>
  <c r="FB70" i="11" s="1"/>
  <c r="FD70" i="11" s="1"/>
  <c r="FJ70" i="11" s="1"/>
  <c r="FU33" i="11"/>
  <c r="EJ39" i="11"/>
  <c r="AM7" i="12"/>
  <c r="AS9" i="11"/>
  <c r="P11" i="12"/>
  <c r="CH46" i="11"/>
  <c r="K7" i="12"/>
  <c r="AR39" i="11"/>
  <c r="CD42" i="11"/>
  <c r="BW39" i="11"/>
  <c r="DZ39" i="11"/>
  <c r="AI7" i="12"/>
  <c r="GG8" i="11"/>
  <c r="CB7" i="12"/>
  <c r="HV39" i="11"/>
  <c r="HI45" i="11" s="1"/>
  <c r="X11" i="11"/>
  <c r="G10" i="12" s="1"/>
  <c r="BG10" i="12"/>
  <c r="GG12" i="11"/>
  <c r="AR11" i="12" s="1"/>
  <c r="Y14" i="12"/>
  <c r="BH14" i="12" s="1"/>
  <c r="CC14" i="12"/>
  <c r="JN43" i="11"/>
  <c r="AN16" i="11"/>
  <c r="AC16" i="12"/>
  <c r="DG17" i="11"/>
  <c r="Y18" i="12"/>
  <c r="BH18" i="12" s="1"/>
  <c r="FD19" i="11"/>
  <c r="CC18" i="12"/>
  <c r="JN47" i="11"/>
  <c r="JG39" i="11"/>
  <c r="EN20" i="11"/>
  <c r="BF22" i="12"/>
  <c r="BG22" i="12" s="1"/>
  <c r="GA23" i="11"/>
  <c r="AQ22" i="12" s="1"/>
  <c r="W24" i="12"/>
  <c r="Y24" i="12" s="1"/>
  <c r="BH24" i="12" s="1"/>
  <c r="BY24" i="12"/>
  <c r="DG27" i="11"/>
  <c r="GG27" i="11"/>
  <c r="AR26" i="12" s="1"/>
  <c r="BF27" i="12"/>
  <c r="BG27" i="12" s="1"/>
  <c r="GA28" i="11"/>
  <c r="AQ27" i="12" s="1"/>
  <c r="W31" i="12"/>
  <c r="Y31" i="12" s="1"/>
  <c r="BH31" i="12" s="1"/>
  <c r="CX32" i="11"/>
  <c r="AC36" i="12"/>
  <c r="AN37" i="11"/>
  <c r="DW39" i="11"/>
  <c r="L7" i="12"/>
  <c r="L38" i="12" s="1"/>
  <c r="AZ39" i="11"/>
  <c r="CD7" i="12"/>
  <c r="CD38" i="12" s="1"/>
  <c r="BX47" i="12" s="1"/>
  <c r="IB39" i="11"/>
  <c r="HI48" i="11" s="1"/>
  <c r="BX9" i="12"/>
  <c r="CB8" i="11"/>
  <c r="CT13" i="11"/>
  <c r="DB15" i="11"/>
  <c r="T39" i="11"/>
  <c r="D7" i="12"/>
  <c r="W7" i="12"/>
  <c r="CW39" i="11"/>
  <c r="HY39" i="11"/>
  <c r="HI46" i="11" s="1"/>
  <c r="CC7" i="12"/>
  <c r="AC9" i="12"/>
  <c r="P10" i="12"/>
  <c r="CH45" i="11"/>
  <c r="Y11" i="12"/>
  <c r="BH11" i="12" s="1"/>
  <c r="BX16" i="12"/>
  <c r="JJ39" i="11"/>
  <c r="AC19" i="12"/>
  <c r="GG21" i="11"/>
  <c r="AR20" i="12" s="1"/>
  <c r="AS20" i="12" s="1"/>
  <c r="W22" i="12"/>
  <c r="Y22" i="12" s="1"/>
  <c r="BH22" i="12" s="1"/>
  <c r="CX23" i="11"/>
  <c r="AO22" i="12"/>
  <c r="II23" i="11"/>
  <c r="X24" i="11"/>
  <c r="G23" i="12" s="1"/>
  <c r="BX23" i="12"/>
  <c r="II24" i="11"/>
  <c r="KG24" i="11"/>
  <c r="G26" i="11"/>
  <c r="B25" i="12" s="1"/>
  <c r="O25" i="12"/>
  <c r="CB26" i="11"/>
  <c r="AZ29" i="12"/>
  <c r="FU30" i="11"/>
  <c r="FT30" i="11"/>
  <c r="FM30" i="11" s="1"/>
  <c r="BX30" i="12"/>
  <c r="FB61" i="11"/>
  <c r="FD61" i="11" s="1"/>
  <c r="FJ61" i="11" s="1"/>
  <c r="X25" i="11"/>
  <c r="AO24" i="12"/>
  <c r="BX25" i="12"/>
  <c r="Y26" i="12"/>
  <c r="BH26" i="12" s="1"/>
  <c r="CC26" i="12"/>
  <c r="JN55" i="11"/>
  <c r="IH30" i="11"/>
  <c r="AC32" i="12"/>
  <c r="GG34" i="11"/>
  <c r="AR33" i="12" s="1"/>
  <c r="FH65" i="11"/>
  <c r="FH66" i="11"/>
  <c r="BX32" i="12"/>
  <c r="CC33" i="12"/>
  <c r="JN62" i="11"/>
  <c r="AC37" i="12"/>
  <c r="AN38" i="11"/>
  <c r="FI51" i="11"/>
  <c r="AO26" i="12"/>
  <c r="BX27" i="12"/>
  <c r="Y28" i="12"/>
  <c r="BH28" i="12" s="1"/>
  <c r="CC28" i="12"/>
  <c r="JN57" i="11"/>
  <c r="AF30" i="11"/>
  <c r="DF30" i="11"/>
  <c r="AK30" i="12"/>
  <c r="DB32" i="11"/>
  <c r="CX34" i="11"/>
  <c r="BC33" i="12"/>
  <c r="AJ35" i="11"/>
  <c r="BX34" i="12"/>
  <c r="AS36" i="11"/>
  <c r="X38" i="11"/>
  <c r="G37" i="12" s="1"/>
  <c r="AZ37" i="12"/>
  <c r="FU38" i="11"/>
  <c r="FH67" i="11"/>
  <c r="FH68" i="11"/>
  <c r="X35" i="12"/>
  <c r="Y35" i="12" s="1"/>
  <c r="BH35" i="12" s="1"/>
  <c r="FI52" i="11"/>
  <c r="DR60" i="11"/>
  <c r="AF19" i="12" s="1"/>
  <c r="JN63" i="11"/>
  <c r="FV64" i="11"/>
  <c r="EQ27" i="11" s="1"/>
  <c r="FW64" i="11"/>
  <c r="FG27" i="11" s="1"/>
  <c r="FH69" i="11"/>
  <c r="AC24" i="12"/>
  <c r="CP28" i="11"/>
  <c r="X29" i="11"/>
  <c r="CB29" i="11"/>
  <c r="AJ30" i="11"/>
  <c r="BX29" i="12"/>
  <c r="AS31" i="11"/>
  <c r="Y30" i="12"/>
  <c r="BH30" i="12" s="1"/>
  <c r="CC30" i="12"/>
  <c r="JN59" i="11"/>
  <c r="AF32" i="11"/>
  <c r="DF32" i="11"/>
  <c r="DB34" i="11"/>
  <c r="AN35" i="11"/>
  <c r="CP35" i="11"/>
  <c r="CB36" i="11"/>
  <c r="AL36" i="12"/>
  <c r="AO36" i="12" s="1"/>
  <c r="EN37" i="11"/>
  <c r="D51" i="11"/>
  <c r="BT12" i="12" s="1"/>
  <c r="FH54" i="11"/>
  <c r="FI73" i="11"/>
  <c r="AJ25" i="11"/>
  <c r="BX24" i="12"/>
  <c r="AS26" i="11"/>
  <c r="Y25" i="12"/>
  <c r="BH25" i="12" s="1"/>
  <c r="CC25" i="12"/>
  <c r="JN54" i="11"/>
  <c r="AF27" i="11"/>
  <c r="DF27" i="11"/>
  <c r="EN27" i="11"/>
  <c r="AK27" i="12"/>
  <c r="DB29" i="11"/>
  <c r="V30" i="12"/>
  <c r="CX31" i="11"/>
  <c r="ED31" i="11"/>
  <c r="AC31" i="12"/>
  <c r="CK32" i="11"/>
  <c r="DG32" i="11" s="1"/>
  <c r="R33" i="11"/>
  <c r="CT33" i="11"/>
  <c r="GG33" i="11"/>
  <c r="AR32" i="12" s="1"/>
  <c r="R37" i="11"/>
  <c r="AS37" i="11"/>
  <c r="FT38" i="11"/>
  <c r="FM38" i="11" s="1"/>
  <c r="CA37" i="12"/>
  <c r="FG45" i="11"/>
  <c r="FH52" i="11"/>
  <c r="FI57" i="11"/>
  <c r="FB67" i="11"/>
  <c r="FD67" i="11" s="1"/>
  <c r="FK67" i="11" s="1"/>
  <c r="BX31" i="12"/>
  <c r="CC32" i="12"/>
  <c r="JN61" i="11"/>
  <c r="X36" i="12"/>
  <c r="Y36" i="12" s="1"/>
  <c r="BH36" i="12" s="1"/>
  <c r="DB37" i="11"/>
  <c r="I37" i="12"/>
  <c r="AJ38" i="11"/>
  <c r="FW52" i="11"/>
  <c r="FG15" i="11" s="1"/>
  <c r="FV52" i="11"/>
  <c r="EQ15" i="11" s="1"/>
  <c r="FA15" i="11" s="1"/>
  <c r="AN25" i="11"/>
  <c r="BG25" i="12"/>
  <c r="BX26" i="12"/>
  <c r="AS28" i="11"/>
  <c r="CC27" i="12"/>
  <c r="JN56" i="11"/>
  <c r="AF29" i="11"/>
  <c r="DF29" i="11"/>
  <c r="AK29" i="12"/>
  <c r="DB31" i="11"/>
  <c r="IH31" i="11"/>
  <c r="CF30" i="12" s="1"/>
  <c r="CX33" i="11"/>
  <c r="CK34" i="11"/>
  <c r="DG34" i="11" s="1"/>
  <c r="AS35" i="11"/>
  <c r="AX34" i="12"/>
  <c r="AF36" i="11"/>
  <c r="DF36" i="11"/>
  <c r="K37" i="12"/>
  <c r="AS38" i="11"/>
  <c r="X37" i="12"/>
  <c r="Y37" i="12" s="1"/>
  <c r="BH37" i="12" s="1"/>
  <c r="DB38" i="11"/>
  <c r="EN38" i="11"/>
  <c r="FI61" i="11"/>
  <c r="FH71" i="11"/>
  <c r="FH72" i="11"/>
  <c r="FW73" i="11"/>
  <c r="FG36" i="11" s="1"/>
  <c r="FV73" i="11"/>
  <c r="EQ36" i="11" s="1"/>
  <c r="FA36" i="11" s="1"/>
  <c r="FH74" i="11"/>
  <c r="AK24" i="12"/>
  <c r="IH26" i="11"/>
  <c r="CF25" i="12" s="1"/>
  <c r="ED28" i="11"/>
  <c r="AC28" i="12"/>
  <c r="CK29" i="11"/>
  <c r="DG29" i="11" s="1"/>
  <c r="CT30" i="11"/>
  <c r="CP32" i="11"/>
  <c r="GA32" i="11"/>
  <c r="AQ31" i="12" s="1"/>
  <c r="AJ34" i="11"/>
  <c r="BX33" i="12"/>
  <c r="ED35" i="11"/>
  <c r="BC34" i="12"/>
  <c r="AC35" i="12"/>
  <c r="CK36" i="11"/>
  <c r="DG36" i="11" s="1"/>
  <c r="BX35" i="12"/>
  <c r="GG38" i="11"/>
  <c r="AR37" i="12" s="1"/>
  <c r="FH49" i="11"/>
  <c r="D52" i="11"/>
  <c r="FH55" i="11"/>
  <c r="FI60" i="11"/>
  <c r="FH63" i="11"/>
  <c r="AC23" i="12"/>
  <c r="CT25" i="11"/>
  <c r="CP27" i="11"/>
  <c r="AE26" i="12"/>
  <c r="AG26" i="12" s="1"/>
  <c r="FB64" i="11"/>
  <c r="FD64" i="11" s="1"/>
  <c r="FJ64" i="11" s="1"/>
  <c r="FL64" i="11" s="1"/>
  <c r="KG27" i="11"/>
  <c r="CB28" i="11"/>
  <c r="AJ29" i="11"/>
  <c r="BX28" i="12"/>
  <c r="CC29" i="12"/>
  <c r="JN58" i="11"/>
  <c r="AF31" i="11"/>
  <c r="EN31" i="11"/>
  <c r="DB33" i="11"/>
  <c r="IH33" i="11"/>
  <c r="KG33" i="11" s="1"/>
  <c r="CB35" i="11"/>
  <c r="AJ36" i="11"/>
  <c r="BC37" i="12"/>
  <c r="FW49" i="11"/>
  <c r="FG12" i="11" s="1"/>
  <c r="FV49" i="11"/>
  <c r="EQ12" i="11" s="1"/>
  <c r="FW55" i="11"/>
  <c r="FG18" i="11" s="1"/>
  <c r="FV55" i="11"/>
  <c r="EQ18" i="11" s="1"/>
  <c r="FA18" i="11" s="1"/>
  <c r="FW56" i="11"/>
  <c r="FG19" i="11" s="1"/>
  <c r="AF21" i="12"/>
  <c r="AF29" i="12"/>
  <c r="FH60" i="11"/>
  <c r="AX36" i="12"/>
  <c r="BX37" i="12"/>
  <c r="AF7" i="12"/>
  <c r="FH56" i="11"/>
  <c r="FH61" i="11"/>
  <c r="AF31" i="12"/>
  <c r="FI75" i="11"/>
  <c r="AF35" i="12"/>
  <c r="CP38" i="11"/>
  <c r="FV47" i="11"/>
  <c r="EQ10" i="11" s="1"/>
  <c r="FV54" i="11"/>
  <c r="EQ17" i="11" s="1"/>
  <c r="FH57" i="11"/>
  <c r="FH59" i="11"/>
  <c r="FV61" i="11"/>
  <c r="EQ24" i="11" s="1"/>
  <c r="FA24" i="11" s="1"/>
  <c r="AF33" i="12"/>
  <c r="FB75" i="11"/>
  <c r="FD75" i="11" s="1"/>
  <c r="FK75" i="11" s="1"/>
  <c r="GA38" i="11"/>
  <c r="AQ37" i="12" s="1"/>
  <c r="AF16" i="12"/>
  <c r="FW57" i="11"/>
  <c r="FG20" i="11" s="1"/>
  <c r="FV57" i="11"/>
  <c r="EQ20" i="11" s="1"/>
  <c r="FA20" i="11" s="1"/>
  <c r="BX36" i="12"/>
  <c r="FD38" i="11"/>
  <c r="AX37" i="12"/>
  <c r="FW71" i="11"/>
  <c r="FG34" i="11" s="1"/>
  <c r="FT34" i="11" s="1"/>
  <c r="FM34" i="11" s="1"/>
  <c r="FH73" i="11"/>
  <c r="AF23" i="12"/>
  <c r="AF25" i="12"/>
  <c r="AF26" i="12"/>
  <c r="AF28" i="12"/>
  <c r="AF37" i="12"/>
  <c r="CU38" i="9"/>
  <c r="FQ46" i="9"/>
  <c r="FQ47" i="9"/>
  <c r="FQ48" i="9"/>
  <c r="FQ49" i="9"/>
  <c r="FQ50" i="9"/>
  <c r="FQ51" i="9"/>
  <c r="FQ52" i="9"/>
  <c r="FQ53" i="9"/>
  <c r="FQ54" i="9"/>
  <c r="FQ55" i="9"/>
  <c r="FQ56" i="9"/>
  <c r="FQ57" i="9"/>
  <c r="FQ58" i="9"/>
  <c r="FQ59" i="9"/>
  <c r="FQ60" i="9"/>
  <c r="FQ61" i="9"/>
  <c r="FQ62" i="9"/>
  <c r="FQ63" i="9"/>
  <c r="FQ64" i="9"/>
  <c r="FQ65" i="9"/>
  <c r="FQ66" i="9"/>
  <c r="FQ67" i="9"/>
  <c r="FQ68" i="9"/>
  <c r="FQ69" i="9"/>
  <c r="FQ70" i="9"/>
  <c r="FQ71" i="9"/>
  <c r="FQ72" i="9"/>
  <c r="FQ73" i="9"/>
  <c r="FQ74" i="9"/>
  <c r="FQ75" i="9"/>
  <c r="BM30" i="12" l="1"/>
  <c r="EN21" i="11"/>
  <c r="EN36" i="11"/>
  <c r="EN32" i="11"/>
  <c r="FL48" i="11"/>
  <c r="FD31" i="11"/>
  <c r="DG31" i="11"/>
  <c r="CL31" i="11"/>
  <c r="ED14" i="11"/>
  <c r="AO30" i="11"/>
  <c r="ED36" i="11"/>
  <c r="ED13" i="11"/>
  <c r="DG10" i="11"/>
  <c r="AS33" i="12"/>
  <c r="BM33" i="12" s="1"/>
  <c r="AK33" i="12"/>
  <c r="FJ51" i="11"/>
  <c r="FL51" i="11" s="1"/>
  <c r="AW13" i="12" s="1"/>
  <c r="AY13" i="12" s="1"/>
  <c r="EN28" i="11"/>
  <c r="ED37" i="11"/>
  <c r="AS27" i="12"/>
  <c r="BO27" i="12" s="1"/>
  <c r="AO27" i="12"/>
  <c r="BD13" i="11"/>
  <c r="AO13" i="11"/>
  <c r="V10" i="12"/>
  <c r="ED34" i="11"/>
  <c r="N12" i="12"/>
  <c r="EN34" i="11"/>
  <c r="AK28" i="12"/>
  <c r="EN35" i="11"/>
  <c r="ED29" i="11"/>
  <c r="AS36" i="12"/>
  <c r="BM36" i="12" s="1"/>
  <c r="AO34" i="12"/>
  <c r="KG14" i="11"/>
  <c r="EN29" i="11"/>
  <c r="AS32" i="12"/>
  <c r="BM32" i="12" s="1"/>
  <c r="EN18" i="11"/>
  <c r="EN12" i="11"/>
  <c r="ED33" i="11"/>
  <c r="BD30" i="11"/>
  <c r="AO32" i="11"/>
  <c r="AS35" i="12"/>
  <c r="BM35" i="12" s="1"/>
  <c r="EN24" i="11"/>
  <c r="EN33" i="11"/>
  <c r="ED27" i="11"/>
  <c r="EN17" i="11"/>
  <c r="AS28" i="12"/>
  <c r="BO28" i="12" s="1"/>
  <c r="AT30" i="12"/>
  <c r="EN26" i="11"/>
  <c r="AS8" i="12"/>
  <c r="BM8" i="12" s="1"/>
  <c r="EN10" i="11"/>
  <c r="BO25" i="12"/>
  <c r="BM25" i="12"/>
  <c r="AK31" i="11"/>
  <c r="DH31" i="11" s="1"/>
  <c r="II38" i="11"/>
  <c r="KG38" i="11"/>
  <c r="ED32" i="11"/>
  <c r="AK31" i="12"/>
  <c r="AS12" i="12"/>
  <c r="BO12" i="12" s="1"/>
  <c r="C57" i="12"/>
  <c r="CL38" i="11"/>
  <c r="S37" i="12"/>
  <c r="V37" i="12" s="1"/>
  <c r="FA37" i="11"/>
  <c r="FK73" i="11"/>
  <c r="FM73" i="11" s="1"/>
  <c r="BB35" i="12" s="1"/>
  <c r="II72" i="11"/>
  <c r="KG35" i="11"/>
  <c r="J35" i="12"/>
  <c r="N35" i="12" s="1"/>
  <c r="FA32" i="11"/>
  <c r="FD32" i="11"/>
  <c r="FA34" i="11"/>
  <c r="FA33" i="11"/>
  <c r="FU32" i="11"/>
  <c r="AS29" i="12"/>
  <c r="BM29" i="12" s="1"/>
  <c r="FD66" i="11"/>
  <c r="FK66" i="11" s="1"/>
  <c r="FM66" i="11" s="1"/>
  <c r="BB28" i="12" s="1"/>
  <c r="BD28" i="12" s="1"/>
  <c r="FD30" i="11"/>
  <c r="EN15" i="11"/>
  <c r="FL47" i="11"/>
  <c r="AW9" i="12" s="1"/>
  <c r="FD34" i="11"/>
  <c r="II35" i="11"/>
  <c r="AK34" i="11"/>
  <c r="DH34" i="11" s="1"/>
  <c r="G34" i="12"/>
  <c r="J32" i="12"/>
  <c r="N32" i="12" s="1"/>
  <c r="FL58" i="11"/>
  <c r="AW20" i="12" s="1"/>
  <c r="AY20" i="12" s="1"/>
  <c r="ED24" i="11"/>
  <c r="FA26" i="11"/>
  <c r="AT25" i="12"/>
  <c r="AS37" i="12"/>
  <c r="BM37" i="12" s="1"/>
  <c r="KG32" i="11"/>
  <c r="FT37" i="11"/>
  <c r="FM37" i="11" s="1"/>
  <c r="II32" i="11"/>
  <c r="FT28" i="11"/>
  <c r="FM28" i="11" s="1"/>
  <c r="EN13" i="11"/>
  <c r="ED11" i="11"/>
  <c r="J31" i="12"/>
  <c r="N31" i="12" s="1"/>
  <c r="FA30" i="11"/>
  <c r="FD37" i="11"/>
  <c r="FD33" i="11"/>
  <c r="FU37" i="11"/>
  <c r="AK37" i="11"/>
  <c r="DH37" i="11" s="1"/>
  <c r="AK22" i="12"/>
  <c r="EN11" i="11"/>
  <c r="KG19" i="11"/>
  <c r="ED17" i="11"/>
  <c r="DG23" i="11"/>
  <c r="EN9" i="11"/>
  <c r="AS19" i="12"/>
  <c r="BO19" i="12" s="1"/>
  <c r="KG21" i="11"/>
  <c r="ED21" i="11"/>
  <c r="AS24" i="12"/>
  <c r="KG22" i="11"/>
  <c r="EN19" i="11"/>
  <c r="II22" i="11"/>
  <c r="ED12" i="11"/>
  <c r="FU28" i="11"/>
  <c r="II61" i="11"/>
  <c r="FA25" i="11"/>
  <c r="FD25" i="11"/>
  <c r="CL35" i="11"/>
  <c r="FU29" i="11"/>
  <c r="ED9" i="11"/>
  <c r="EN14" i="11"/>
  <c r="FA29" i="11"/>
  <c r="FD29" i="11"/>
  <c r="EN22" i="11"/>
  <c r="ED20" i="11"/>
  <c r="DG35" i="11"/>
  <c r="N29" i="12"/>
  <c r="EC39" i="11"/>
  <c r="FT29" i="11"/>
  <c r="FM29" i="11" s="1"/>
  <c r="FL53" i="11"/>
  <c r="AW15" i="12" s="1"/>
  <c r="AY15" i="12" s="1"/>
  <c r="ED15" i="11"/>
  <c r="II26" i="11"/>
  <c r="V22" i="12"/>
  <c r="CL23" i="11"/>
  <c r="BD24" i="11"/>
  <c r="AO24" i="11"/>
  <c r="II58" i="11"/>
  <c r="AJ7" i="12"/>
  <c r="AJ38" i="12" s="1"/>
  <c r="II51" i="11"/>
  <c r="AS23" i="12"/>
  <c r="ED22" i="11"/>
  <c r="DR79" i="11"/>
  <c r="FJ60" i="11"/>
  <c r="FL60" i="11" s="1"/>
  <c r="AW22" i="12" s="1"/>
  <c r="KG36" i="11"/>
  <c r="AS31" i="12"/>
  <c r="BM31" i="12" s="1"/>
  <c r="II64" i="11"/>
  <c r="AK33" i="11"/>
  <c r="DH33" i="11" s="1"/>
  <c r="II25" i="11"/>
  <c r="II14" i="11"/>
  <c r="AH38" i="12"/>
  <c r="FU16" i="11"/>
  <c r="BX39" i="11"/>
  <c r="FT16" i="11"/>
  <c r="FM16" i="11" s="1"/>
  <c r="ED10" i="11"/>
  <c r="AO33" i="11"/>
  <c r="FT32" i="11"/>
  <c r="FM32" i="11" s="1"/>
  <c r="FU31" i="11"/>
  <c r="BO20" i="12"/>
  <c r="BM20" i="12"/>
  <c r="II73" i="11"/>
  <c r="CL28" i="11"/>
  <c r="V25" i="12"/>
  <c r="KG25" i="11"/>
  <c r="AI38" i="12"/>
  <c r="ED18" i="11"/>
  <c r="EG39" i="11"/>
  <c r="ED16" i="11"/>
  <c r="CL10" i="11"/>
  <c r="AK23" i="11"/>
  <c r="DH23" i="11" s="1"/>
  <c r="CL22" i="11"/>
  <c r="KG20" i="11"/>
  <c r="DG20" i="11"/>
  <c r="CL20" i="11"/>
  <c r="AK20" i="11"/>
  <c r="DH20" i="11" s="1"/>
  <c r="AS16" i="12"/>
  <c r="DG18" i="11"/>
  <c r="CL18" i="11"/>
  <c r="AS15" i="12"/>
  <c r="CL17" i="11"/>
  <c r="J16" i="12"/>
  <c r="N16" i="12" s="1"/>
  <c r="AK17" i="11"/>
  <c r="DH17" i="11" s="1"/>
  <c r="II16" i="11"/>
  <c r="FA13" i="11"/>
  <c r="FU14" i="11"/>
  <c r="FT14" i="11"/>
  <c r="FM14" i="11" s="1"/>
  <c r="DG14" i="11"/>
  <c r="FD14" i="11"/>
  <c r="FA14" i="11"/>
  <c r="CL14" i="11"/>
  <c r="AS9" i="12"/>
  <c r="BO9" i="12" s="1"/>
  <c r="AS10" i="12"/>
  <c r="DG11" i="11"/>
  <c r="CL11" i="11"/>
  <c r="AO10" i="11"/>
  <c r="J9" i="12"/>
  <c r="N9" i="12" s="1"/>
  <c r="CX39" i="11"/>
  <c r="AK9" i="11"/>
  <c r="DH9" i="11" s="1"/>
  <c r="FL73" i="11"/>
  <c r="AW35" i="12" s="1"/>
  <c r="FT9" i="11"/>
  <c r="FM9" i="11" s="1"/>
  <c r="N8" i="12"/>
  <c r="FT8" i="11"/>
  <c r="FM8" i="11" s="1"/>
  <c r="FU8" i="11"/>
  <c r="AT21" i="12"/>
  <c r="FD22" i="11"/>
  <c r="FA22" i="11"/>
  <c r="AT8" i="12"/>
  <c r="FD9" i="11"/>
  <c r="FA9" i="11"/>
  <c r="FA35" i="11"/>
  <c r="FU11" i="11"/>
  <c r="FU9" i="11"/>
  <c r="FT31" i="11"/>
  <c r="FM31" i="11" s="1"/>
  <c r="FT11" i="11"/>
  <c r="FM11" i="11" s="1"/>
  <c r="FD35" i="11"/>
  <c r="II53" i="11"/>
  <c r="CB38" i="12"/>
  <c r="BX45" i="12" s="1"/>
  <c r="II75" i="11"/>
  <c r="II69" i="11"/>
  <c r="FB45" i="11"/>
  <c r="FD45" i="11" s="1"/>
  <c r="FJ45" i="11" s="1"/>
  <c r="FL45" i="11" s="1"/>
  <c r="AW7" i="12" s="1"/>
  <c r="AY7" i="12" s="1"/>
  <c r="BD19" i="11"/>
  <c r="AO15" i="11"/>
  <c r="AO20" i="11"/>
  <c r="BD15" i="11"/>
  <c r="FL62" i="11"/>
  <c r="AW24" i="12" s="1"/>
  <c r="AY24" i="12" s="1"/>
  <c r="AO19" i="11"/>
  <c r="BD20" i="11"/>
  <c r="N18" i="12"/>
  <c r="DG28" i="11"/>
  <c r="DG22" i="11"/>
  <c r="AO36" i="11"/>
  <c r="AV38" i="12"/>
  <c r="BD21" i="11"/>
  <c r="J20" i="12"/>
  <c r="N20" i="12" s="1"/>
  <c r="AS34" i="12"/>
  <c r="BM34" i="12" s="1"/>
  <c r="BC38" i="12"/>
  <c r="AX38" i="12"/>
  <c r="AS13" i="12"/>
  <c r="AS22" i="12"/>
  <c r="AS14" i="12"/>
  <c r="AS21" i="12"/>
  <c r="AS18" i="12"/>
  <c r="AS11" i="12"/>
  <c r="AS26" i="12"/>
  <c r="AS17" i="12"/>
  <c r="FJ49" i="11"/>
  <c r="FL49" i="11" s="1"/>
  <c r="AW11" i="12" s="1"/>
  <c r="FL71" i="11"/>
  <c r="AW33" i="12" s="1"/>
  <c r="AY33" i="12" s="1"/>
  <c r="FJ57" i="11"/>
  <c r="FL57" i="11" s="1"/>
  <c r="FL63" i="11"/>
  <c r="AW25" i="12" s="1"/>
  <c r="FG39" i="11"/>
  <c r="FK52" i="11"/>
  <c r="FM52" i="11" s="1"/>
  <c r="BB14" i="12" s="1"/>
  <c r="FL56" i="11"/>
  <c r="AW18" i="12" s="1"/>
  <c r="AY18" i="12" s="1"/>
  <c r="FL74" i="11"/>
  <c r="AW36" i="12" s="1"/>
  <c r="AY36" i="12" s="1"/>
  <c r="FK61" i="11"/>
  <c r="FM61" i="11" s="1"/>
  <c r="FM60" i="11"/>
  <c r="BB22" i="12" s="1"/>
  <c r="FL72" i="11"/>
  <c r="AW34" i="12" s="1"/>
  <c r="AY34" i="12" s="1"/>
  <c r="FJ75" i="11"/>
  <c r="FL75" i="11" s="1"/>
  <c r="AW37" i="12" s="1"/>
  <c r="AY37" i="12" s="1"/>
  <c r="FL55" i="11"/>
  <c r="AW17" i="12" s="1"/>
  <c r="FL52" i="11"/>
  <c r="AW14" i="12" s="1"/>
  <c r="FM57" i="11"/>
  <c r="BB19" i="12" s="1"/>
  <c r="FL50" i="11"/>
  <c r="AW12" i="12" s="1"/>
  <c r="AY12" i="12" s="1"/>
  <c r="FL61" i="11"/>
  <c r="AW23" i="12" s="1"/>
  <c r="AE19" i="12"/>
  <c r="AG19" i="12" s="1"/>
  <c r="AG38" i="12" s="1"/>
  <c r="C60" i="12" s="1"/>
  <c r="AF38" i="12"/>
  <c r="C59" i="12" s="1"/>
  <c r="II49" i="11"/>
  <c r="II46" i="11"/>
  <c r="KG12" i="11"/>
  <c r="CF27" i="12"/>
  <c r="II65" i="11" s="1"/>
  <c r="II28" i="11"/>
  <c r="II12" i="11"/>
  <c r="CF10" i="12"/>
  <c r="II48" i="11" s="1"/>
  <c r="II11" i="11"/>
  <c r="KG11" i="11"/>
  <c r="KG9" i="11"/>
  <c r="II9" i="11"/>
  <c r="II19" i="11"/>
  <c r="CF17" i="12"/>
  <c r="II55" i="11" s="1"/>
  <c r="KG18" i="11"/>
  <c r="DB39" i="11"/>
  <c r="CT39" i="11"/>
  <c r="CP39" i="11"/>
  <c r="V26" i="12"/>
  <c r="P38" i="12"/>
  <c r="S32" i="12"/>
  <c r="V32" i="12" s="1"/>
  <c r="CL33" i="11"/>
  <c r="S36" i="12"/>
  <c r="V36" i="12" s="1"/>
  <c r="CL37" i="11"/>
  <c r="CK39" i="11"/>
  <c r="AO12" i="11"/>
  <c r="AO9" i="11"/>
  <c r="BD17" i="11"/>
  <c r="BD9" i="11"/>
  <c r="AO29" i="11"/>
  <c r="BD29" i="11"/>
  <c r="BD12" i="11"/>
  <c r="N11" i="12"/>
  <c r="AS39" i="11"/>
  <c r="N19" i="12"/>
  <c r="N23" i="12"/>
  <c r="AJ39" i="11"/>
  <c r="AK21" i="11"/>
  <c r="DH21" i="11" s="1"/>
  <c r="AK28" i="11"/>
  <c r="DH28" i="11" s="1"/>
  <c r="AK16" i="11"/>
  <c r="DH16" i="11" s="1"/>
  <c r="AK27" i="11"/>
  <c r="DH27" i="11" s="1"/>
  <c r="AK19" i="11"/>
  <c r="DH19" i="11" s="1"/>
  <c r="AK10" i="11"/>
  <c r="DH10" i="11" s="1"/>
  <c r="AK38" i="11"/>
  <c r="DH38" i="11" s="1"/>
  <c r="AK36" i="11"/>
  <c r="DH36" i="11" s="1"/>
  <c r="AK13" i="11"/>
  <c r="DH13" i="11" s="1"/>
  <c r="AK11" i="11"/>
  <c r="DH11" i="11" s="1"/>
  <c r="DH8" i="11"/>
  <c r="AW10" i="12"/>
  <c r="AY10" i="12" s="1"/>
  <c r="BO37" i="12"/>
  <c r="AW26" i="12"/>
  <c r="J25" i="12"/>
  <c r="BD26" i="11"/>
  <c r="AO26" i="11"/>
  <c r="S28" i="12"/>
  <c r="V28" i="12" s="1"/>
  <c r="CL29" i="11"/>
  <c r="J37" i="12"/>
  <c r="N37" i="12" s="1"/>
  <c r="AO38" i="11"/>
  <c r="BD38" i="11"/>
  <c r="AZ33" i="12"/>
  <c r="FU34" i="11"/>
  <c r="D78" i="11"/>
  <c r="AZ18" i="12"/>
  <c r="FU19" i="11"/>
  <c r="FT19" i="11"/>
  <c r="FM19" i="11" s="1"/>
  <c r="II66" i="11"/>
  <c r="FK70" i="11"/>
  <c r="FI70" i="11"/>
  <c r="II62" i="11"/>
  <c r="AT26" i="12"/>
  <c r="FD27" i="11"/>
  <c r="FA27" i="11"/>
  <c r="FJ65" i="11"/>
  <c r="FL65" i="11" s="1"/>
  <c r="G24" i="12"/>
  <c r="AK25" i="11"/>
  <c r="DH25" i="11" s="1"/>
  <c r="J15" i="12"/>
  <c r="N15" i="12" s="1"/>
  <c r="AO16" i="11"/>
  <c r="BD16" i="11"/>
  <c r="CE42" i="11"/>
  <c r="CF42" i="11" s="1"/>
  <c r="II10" i="11"/>
  <c r="FK64" i="11"/>
  <c r="FM64" i="11" s="1"/>
  <c r="AC38" i="12"/>
  <c r="C56" i="12" s="1"/>
  <c r="II57" i="11"/>
  <c r="J21" i="12"/>
  <c r="N21" i="12" s="1"/>
  <c r="BD22" i="11"/>
  <c r="AO22" i="11"/>
  <c r="II59" i="11"/>
  <c r="AZ26" i="12"/>
  <c r="FU27" i="11"/>
  <c r="FT27" i="11"/>
  <c r="FM27" i="11" s="1"/>
  <c r="J7" i="12"/>
  <c r="AN39" i="11"/>
  <c r="AO8" i="11"/>
  <c r="BD8" i="11"/>
  <c r="AT17" i="12"/>
  <c r="FD18" i="11"/>
  <c r="FI72" i="11"/>
  <c r="FK72" i="11"/>
  <c r="J24" i="12"/>
  <c r="AO25" i="11"/>
  <c r="BD25" i="11"/>
  <c r="FL70" i="11"/>
  <c r="CF29" i="12"/>
  <c r="KG30" i="11"/>
  <c r="II30" i="11"/>
  <c r="II47" i="11"/>
  <c r="II17" i="11"/>
  <c r="S12" i="12"/>
  <c r="V12" i="12" s="1"/>
  <c r="CL13" i="11"/>
  <c r="S15" i="12"/>
  <c r="V15" i="12" s="1"/>
  <c r="CL16" i="11"/>
  <c r="J22" i="12"/>
  <c r="N22" i="12" s="1"/>
  <c r="AO23" i="11"/>
  <c r="BD23" i="11"/>
  <c r="O38" i="12"/>
  <c r="V7" i="12"/>
  <c r="I38" i="12"/>
  <c r="G13" i="12"/>
  <c r="AK14" i="11"/>
  <c r="DH14" i="11" s="1"/>
  <c r="AZ35" i="12"/>
  <c r="FU36" i="11"/>
  <c r="J30" i="12"/>
  <c r="N30" i="12" s="1"/>
  <c r="BD31" i="11"/>
  <c r="AO31" i="11"/>
  <c r="J10" i="12"/>
  <c r="N10" i="12" s="1"/>
  <c r="BD11" i="11"/>
  <c r="AO11" i="11"/>
  <c r="G25" i="12"/>
  <c r="AK26" i="11"/>
  <c r="DH26" i="11" s="1"/>
  <c r="AZ17" i="12"/>
  <c r="FU18" i="11"/>
  <c r="CF32" i="12"/>
  <c r="II70" i="11" s="1"/>
  <c r="II33" i="11"/>
  <c r="FK71" i="11"/>
  <c r="FI71" i="11"/>
  <c r="G28" i="12"/>
  <c r="N28" i="12" s="1"/>
  <c r="AK29" i="11"/>
  <c r="DH29" i="11" s="1"/>
  <c r="K38" i="12"/>
  <c r="AP38" i="12"/>
  <c r="S8" i="12"/>
  <c r="V8" i="12" s="1"/>
  <c r="CL9" i="11"/>
  <c r="AO7" i="12"/>
  <c r="AL38" i="12"/>
  <c r="B38" i="12"/>
  <c r="C42" i="12" s="1"/>
  <c r="S14" i="12"/>
  <c r="V14" i="12" s="1"/>
  <c r="CL15" i="11"/>
  <c r="AK18" i="11"/>
  <c r="DH18" i="11" s="1"/>
  <c r="FT18" i="11"/>
  <c r="FM18" i="11" s="1"/>
  <c r="II13" i="11"/>
  <c r="AT11" i="12"/>
  <c r="FD12" i="11"/>
  <c r="S29" i="12"/>
  <c r="V29" i="12" s="1"/>
  <c r="CL30" i="11"/>
  <c r="CA38" i="12"/>
  <c r="BX44" i="12" s="1"/>
  <c r="G39" i="11"/>
  <c r="FA12" i="11"/>
  <c r="KG16" i="11"/>
  <c r="FI53" i="11"/>
  <c r="FK53" i="11"/>
  <c r="AZ11" i="12"/>
  <c r="FU12" i="11"/>
  <c r="S33" i="12"/>
  <c r="V33" i="12" s="1"/>
  <c r="CL34" i="11"/>
  <c r="AT14" i="12"/>
  <c r="FD15" i="11"/>
  <c r="KG31" i="11"/>
  <c r="W38" i="12"/>
  <c r="Y7" i="12"/>
  <c r="T38" i="12"/>
  <c r="BE38" i="12"/>
  <c r="BG7" i="12"/>
  <c r="AK24" i="11"/>
  <c r="DH24" i="11" s="1"/>
  <c r="E38" i="12"/>
  <c r="KG13" i="11"/>
  <c r="FM65" i="11"/>
  <c r="BB27" i="12" s="1"/>
  <c r="BD27" i="12" s="1"/>
  <c r="S24" i="12"/>
  <c r="V24" i="12" s="1"/>
  <c r="CL25" i="11"/>
  <c r="FM67" i="11"/>
  <c r="BB29" i="12" s="1"/>
  <c r="BD29" i="12" s="1"/>
  <c r="J13" i="12"/>
  <c r="BD14" i="11"/>
  <c r="AO14" i="11"/>
  <c r="KG10" i="11"/>
  <c r="AZ19" i="12"/>
  <c r="FT20" i="11"/>
  <c r="FM20" i="11" s="1"/>
  <c r="FU20" i="11"/>
  <c r="FJ67" i="11"/>
  <c r="FL67" i="11" s="1"/>
  <c r="FM75" i="11"/>
  <c r="BB37" i="12" s="1"/>
  <c r="BD37" i="12" s="1"/>
  <c r="AZ14" i="12"/>
  <c r="FU15" i="11"/>
  <c r="FT15" i="11"/>
  <c r="FM15" i="11" s="1"/>
  <c r="FI45" i="11"/>
  <c r="FK48" i="11"/>
  <c r="FI48" i="11"/>
  <c r="KG26" i="11"/>
  <c r="II31" i="11"/>
  <c r="II29" i="11"/>
  <c r="AK12" i="11"/>
  <c r="DH12" i="11" s="1"/>
  <c r="BX38" i="12"/>
  <c r="BX41" i="12" s="1"/>
  <c r="II45" i="11"/>
  <c r="DF39" i="11"/>
  <c r="H38" i="12"/>
  <c r="AK30" i="11"/>
  <c r="DH30" i="11" s="1"/>
  <c r="S18" i="12"/>
  <c r="V18" i="12" s="1"/>
  <c r="CL19" i="11"/>
  <c r="AK22" i="11"/>
  <c r="DH22" i="11" s="1"/>
  <c r="GA41" i="11"/>
  <c r="AT16" i="12"/>
  <c r="FA17" i="11"/>
  <c r="FD17" i="11"/>
  <c r="FI63" i="11"/>
  <c r="FK63" i="11"/>
  <c r="FK68" i="11"/>
  <c r="FI68" i="11"/>
  <c r="II68" i="11"/>
  <c r="FI46" i="11"/>
  <c r="FK46" i="11"/>
  <c r="II36" i="11"/>
  <c r="II52" i="11"/>
  <c r="S11" i="12"/>
  <c r="V11" i="12" s="1"/>
  <c r="CL12" i="11"/>
  <c r="FM49" i="11"/>
  <c r="BB11" i="12" s="1"/>
  <c r="AT22" i="12"/>
  <c r="FD23" i="11"/>
  <c r="FA23" i="11"/>
  <c r="AQ38" i="12"/>
  <c r="II21" i="11"/>
  <c r="IH39" i="11"/>
  <c r="HI50" i="11" s="1"/>
  <c r="HI52" i="11" s="1"/>
  <c r="FI47" i="11"/>
  <c r="FK47" i="11"/>
  <c r="FJ59" i="11"/>
  <c r="FL59" i="11" s="1"/>
  <c r="AT9" i="12"/>
  <c r="FD10" i="11"/>
  <c r="FA10" i="11"/>
  <c r="FK56" i="11"/>
  <c r="FI56" i="11"/>
  <c r="FI55" i="11"/>
  <c r="FK55" i="11"/>
  <c r="S35" i="12"/>
  <c r="V35" i="12" s="1"/>
  <c r="CL36" i="11"/>
  <c r="S31" i="12"/>
  <c r="V31" i="12" s="1"/>
  <c r="CL32" i="11"/>
  <c r="FL68" i="11"/>
  <c r="FM51" i="11"/>
  <c r="BB13" i="12" s="1"/>
  <c r="BD13" i="12" s="1"/>
  <c r="D38" i="12"/>
  <c r="J36" i="12"/>
  <c r="N36" i="12" s="1"/>
  <c r="BD37" i="11"/>
  <c r="AO37" i="11"/>
  <c r="AR7" i="12"/>
  <c r="AR38" i="12" s="1"/>
  <c r="GG41" i="11"/>
  <c r="AM38" i="12"/>
  <c r="FI62" i="11"/>
  <c r="FK62" i="11"/>
  <c r="II50" i="11"/>
  <c r="U38" i="12"/>
  <c r="FL46" i="11"/>
  <c r="AK32" i="11"/>
  <c r="DH32" i="11" s="1"/>
  <c r="BY38" i="12"/>
  <c r="BX42" i="12" s="1"/>
  <c r="S20" i="12"/>
  <c r="V20" i="12" s="1"/>
  <c r="CL21" i="11"/>
  <c r="AZ22" i="12"/>
  <c r="FU23" i="11"/>
  <c r="KG17" i="11"/>
  <c r="II54" i="11"/>
  <c r="AT23" i="12"/>
  <c r="FD24" i="11"/>
  <c r="FI58" i="11"/>
  <c r="FK58" i="11"/>
  <c r="FK74" i="11"/>
  <c r="FI74" i="11"/>
  <c r="FK54" i="11"/>
  <c r="FI54" i="11"/>
  <c r="FL69" i="11"/>
  <c r="BF38" i="12"/>
  <c r="R15" i="11"/>
  <c r="R39" i="11" s="1"/>
  <c r="X15" i="11"/>
  <c r="X39" i="11" s="1"/>
  <c r="CF33" i="12"/>
  <c r="II71" i="11" s="1"/>
  <c r="KG34" i="11"/>
  <c r="S23" i="12"/>
  <c r="V23" i="12" s="1"/>
  <c r="CL24" i="11"/>
  <c r="AF39" i="11"/>
  <c r="J33" i="12"/>
  <c r="N33" i="12" s="1"/>
  <c r="BD34" i="11"/>
  <c r="AO34" i="11"/>
  <c r="X38" i="12"/>
  <c r="J17" i="12"/>
  <c r="N17" i="12" s="1"/>
  <c r="BD18" i="11"/>
  <c r="AO18" i="11"/>
  <c r="J26" i="12"/>
  <c r="N26" i="12" s="1"/>
  <c r="AO27" i="11"/>
  <c r="BD27" i="11"/>
  <c r="KG29" i="11"/>
  <c r="FT12" i="11"/>
  <c r="FM12" i="11" s="1"/>
  <c r="FI50" i="11"/>
  <c r="FK50" i="11"/>
  <c r="AT19" i="12"/>
  <c r="FD20" i="11"/>
  <c r="BT13" i="12"/>
  <c r="BT38" i="12" s="1"/>
  <c r="C61" i="12" s="1"/>
  <c r="L52" i="11"/>
  <c r="AT35" i="12"/>
  <c r="FD36" i="11"/>
  <c r="FL54" i="11"/>
  <c r="J34" i="12"/>
  <c r="AO35" i="11"/>
  <c r="BD35" i="11"/>
  <c r="FI69" i="11"/>
  <c r="FK69" i="11"/>
  <c r="II63" i="11"/>
  <c r="CC38" i="12"/>
  <c r="BX46" i="12" s="1"/>
  <c r="G7" i="12"/>
  <c r="II20" i="11"/>
  <c r="Q39" i="11"/>
  <c r="J27" i="12"/>
  <c r="N27" i="12" s="1"/>
  <c r="AO28" i="11"/>
  <c r="BD28" i="11"/>
  <c r="CF36" i="12"/>
  <c r="II74" i="11" s="1"/>
  <c r="KG37" i="11"/>
  <c r="BS38" i="12"/>
  <c r="FT36" i="11"/>
  <c r="FM36" i="11" s="1"/>
  <c r="II56" i="11"/>
  <c r="EQ39" i="11"/>
  <c r="II60" i="11"/>
  <c r="FF75" i="9"/>
  <c r="FG75" i="9" s="1"/>
  <c r="BM27" i="12" l="1"/>
  <c r="AO38" i="12"/>
  <c r="C48" i="12" s="1"/>
  <c r="BO8" i="12"/>
  <c r="N34" i="12"/>
  <c r="BM28" i="12"/>
  <c r="BM12" i="12"/>
  <c r="FJ66" i="11"/>
  <c r="FL66" i="11" s="1"/>
  <c r="AW28" i="12" s="1"/>
  <c r="AY28" i="12" s="1"/>
  <c r="GU29" i="11" s="1"/>
  <c r="BO26" i="12"/>
  <c r="BM26" i="12"/>
  <c r="BM19" i="12"/>
  <c r="BO24" i="12"/>
  <c r="BM24" i="12"/>
  <c r="AY25" i="12"/>
  <c r="EN39" i="11"/>
  <c r="BO23" i="12"/>
  <c r="BM23" i="12"/>
  <c r="ED39" i="11"/>
  <c r="BM22" i="12"/>
  <c r="BO22" i="12"/>
  <c r="BO11" i="12"/>
  <c r="BM11" i="12"/>
  <c r="AK7" i="12"/>
  <c r="AK38" i="12" s="1"/>
  <c r="C47" i="12" s="1"/>
  <c r="BO18" i="12"/>
  <c r="BM18" i="12"/>
  <c r="BM13" i="12"/>
  <c r="BO13" i="12"/>
  <c r="BO15" i="12"/>
  <c r="BM15" i="12"/>
  <c r="BO17" i="12"/>
  <c r="BM17" i="12"/>
  <c r="BO21" i="12"/>
  <c r="BM21" i="12"/>
  <c r="BM9" i="12"/>
  <c r="BM14" i="12"/>
  <c r="BO14" i="12"/>
  <c r="BM16" i="12"/>
  <c r="BO16" i="12"/>
  <c r="AE38" i="12"/>
  <c r="AE41" i="12" s="1"/>
  <c r="DG39" i="11"/>
  <c r="BM10" i="12"/>
  <c r="BO10" i="12"/>
  <c r="FK45" i="11"/>
  <c r="FM45" i="11" s="1"/>
  <c r="FM48" i="11"/>
  <c r="BB10" i="12" s="1"/>
  <c r="BD10" i="12" s="1"/>
  <c r="GU11" i="11" s="1"/>
  <c r="BD35" i="12"/>
  <c r="FM68" i="11"/>
  <c r="BB30" i="12" s="1"/>
  <c r="BD30" i="12" s="1"/>
  <c r="FM74" i="11"/>
  <c r="BB36" i="12" s="1"/>
  <c r="BD36" i="12" s="1"/>
  <c r="GU37" i="11" s="1"/>
  <c r="FN73" i="11"/>
  <c r="FM69" i="11"/>
  <c r="BB31" i="12" s="1"/>
  <c r="BD31" i="12" s="1"/>
  <c r="FM71" i="11"/>
  <c r="BB33" i="12" s="1"/>
  <c r="BD33" i="12" s="1"/>
  <c r="GU34" i="11" s="1"/>
  <c r="FM58" i="11"/>
  <c r="BB20" i="12" s="1"/>
  <c r="BD20" i="12" s="1"/>
  <c r="GU21" i="11" s="1"/>
  <c r="FU39" i="11"/>
  <c r="FM39" i="11"/>
  <c r="BB23" i="12"/>
  <c r="BD23" i="12" s="1"/>
  <c r="FN61" i="11"/>
  <c r="FN60" i="11"/>
  <c r="FM56" i="11"/>
  <c r="BB18" i="12" s="1"/>
  <c r="BD18" i="12" s="1"/>
  <c r="GU19" i="11" s="1"/>
  <c r="FN52" i="11"/>
  <c r="BD14" i="12"/>
  <c r="FM70" i="11"/>
  <c r="BB32" i="12" s="1"/>
  <c r="BD32" i="12" s="1"/>
  <c r="FM50" i="11"/>
  <c r="BB12" i="12" s="1"/>
  <c r="BD12" i="12" s="1"/>
  <c r="GU13" i="11" s="1"/>
  <c r="BD22" i="12"/>
  <c r="AY11" i="12"/>
  <c r="FM72" i="11"/>
  <c r="BB34" i="12" s="1"/>
  <c r="BD34" i="12" s="1"/>
  <c r="GU35" i="11" s="1"/>
  <c r="AY35" i="12"/>
  <c r="AY22" i="12"/>
  <c r="AY14" i="12"/>
  <c r="FM47" i="11"/>
  <c r="BB9" i="12" s="1"/>
  <c r="BD9" i="12" s="1"/>
  <c r="BD19" i="12"/>
  <c r="CF38" i="12"/>
  <c r="BX49" i="12" s="1"/>
  <c r="BX51" i="12" s="1"/>
  <c r="KG39" i="11"/>
  <c r="II39" i="11"/>
  <c r="CL39" i="11"/>
  <c r="N25" i="12"/>
  <c r="N24" i="12"/>
  <c r="AS7" i="12"/>
  <c r="AV41" i="12" s="1"/>
  <c r="AV42" i="12" s="1"/>
  <c r="N7" i="12"/>
  <c r="BB26" i="12"/>
  <c r="BD26" i="12" s="1"/>
  <c r="FN64" i="11"/>
  <c r="AT38" i="12"/>
  <c r="AW8" i="12"/>
  <c r="AY8" i="12" s="1"/>
  <c r="FM55" i="11"/>
  <c r="AW29" i="12"/>
  <c r="AY29" i="12" s="1"/>
  <c r="GU30" i="11" s="1"/>
  <c r="FN67" i="11"/>
  <c r="AW31" i="12"/>
  <c r="AY31" i="12" s="1"/>
  <c r="AY23" i="12"/>
  <c r="FM53" i="11"/>
  <c r="N13" i="12"/>
  <c r="GU14" i="11" s="1"/>
  <c r="FM54" i="11"/>
  <c r="BB16" i="12" s="1"/>
  <c r="BD16" i="12" s="1"/>
  <c r="AW30" i="12"/>
  <c r="AY30" i="12" s="1"/>
  <c r="FM63" i="11"/>
  <c r="AY26" i="12"/>
  <c r="FD39" i="11"/>
  <c r="V38" i="12"/>
  <c r="C45" i="12" s="1"/>
  <c r="II67" i="11"/>
  <c r="II76" i="11" s="1"/>
  <c r="FN49" i="11"/>
  <c r="Y38" i="12"/>
  <c r="BH7" i="12"/>
  <c r="BH38" i="12" s="1"/>
  <c r="CI45" i="12" s="1"/>
  <c r="AW32" i="12"/>
  <c r="AY32" i="12" s="1"/>
  <c r="AY9" i="12"/>
  <c r="FM46" i="11"/>
  <c r="BB8" i="12" s="1"/>
  <c r="BD8" i="12" s="1"/>
  <c r="GU38" i="11"/>
  <c r="AW21" i="12"/>
  <c r="AY21" i="12" s="1"/>
  <c r="GU22" i="11" s="1"/>
  <c r="FN59" i="11"/>
  <c r="BG38" i="12"/>
  <c r="BP38" i="12"/>
  <c r="CI47" i="12" s="1"/>
  <c r="AY17" i="12"/>
  <c r="BD11" i="12"/>
  <c r="J38" i="12"/>
  <c r="FM62" i="11"/>
  <c r="BL38" i="12"/>
  <c r="AZ38" i="12"/>
  <c r="FN51" i="11"/>
  <c r="BD39" i="11"/>
  <c r="G14" i="12"/>
  <c r="N14" i="12" s="1"/>
  <c r="AK15" i="11"/>
  <c r="DH15" i="11" s="1"/>
  <c r="DH39" i="11" s="1"/>
  <c r="AW27" i="12"/>
  <c r="AY27" i="12" s="1"/>
  <c r="GU28" i="11" s="1"/>
  <c r="FN65" i="11"/>
  <c r="AW19" i="12"/>
  <c r="AY19" i="12" s="1"/>
  <c r="FN57" i="11"/>
  <c r="AW16" i="12"/>
  <c r="S38" i="12"/>
  <c r="AO39" i="11"/>
  <c r="FN75" i="11"/>
  <c r="FN66" i="11" l="1"/>
  <c r="FN48" i="11"/>
  <c r="GU12" i="11"/>
  <c r="C58" i="12"/>
  <c r="GU36" i="11"/>
  <c r="GU32" i="11"/>
  <c r="GU10" i="11"/>
  <c r="FN68" i="11"/>
  <c r="GU9" i="11"/>
  <c r="FN70" i="11"/>
  <c r="AS38" i="12"/>
  <c r="C51" i="12" s="1"/>
  <c r="BO7" i="12"/>
  <c r="BM7" i="12"/>
  <c r="BM38" i="12" s="1"/>
  <c r="FN69" i="11"/>
  <c r="GU31" i="11"/>
  <c r="GU20" i="11"/>
  <c r="FN74" i="11"/>
  <c r="GU23" i="11"/>
  <c r="FN58" i="11"/>
  <c r="FN71" i="11"/>
  <c r="FN47" i="11"/>
  <c r="GU24" i="11"/>
  <c r="GU15" i="11"/>
  <c r="FN46" i="11"/>
  <c r="FN54" i="11"/>
  <c r="FN72" i="11"/>
  <c r="GU33" i="11"/>
  <c r="AW38" i="12"/>
  <c r="GU27" i="11"/>
  <c r="FN56" i="11"/>
  <c r="FN50" i="11"/>
  <c r="AK39" i="11"/>
  <c r="C46" i="12"/>
  <c r="CI41" i="12"/>
  <c r="G38" i="12"/>
  <c r="BB7" i="12"/>
  <c r="FN45" i="11"/>
  <c r="AY16" i="12"/>
  <c r="GU17" i="11" s="1"/>
  <c r="BB17" i="12"/>
  <c r="BD17" i="12" s="1"/>
  <c r="GU18" i="11" s="1"/>
  <c r="FN55" i="11"/>
  <c r="N38" i="12"/>
  <c r="C44" i="12" s="1"/>
  <c r="BB15" i="12"/>
  <c r="BD15" i="12" s="1"/>
  <c r="GU16" i="11" s="1"/>
  <c r="FN53" i="11"/>
  <c r="CI43" i="12"/>
  <c r="C52" i="12"/>
  <c r="BB25" i="12"/>
  <c r="BD25" i="12" s="1"/>
  <c r="GU26" i="11" s="1"/>
  <c r="FN63" i="11"/>
  <c r="BB24" i="12"/>
  <c r="BD24" i="12" s="1"/>
  <c r="GU25" i="11" s="1"/>
  <c r="FN62" i="11"/>
  <c r="FU74" i="9"/>
  <c r="FF74" i="9"/>
  <c r="FG74" i="9" s="1"/>
  <c r="P82" i="9"/>
  <c r="L82" i="9"/>
  <c r="CI42" i="12" l="1"/>
  <c r="CI44" i="12" s="1"/>
  <c r="BO38" i="12"/>
  <c r="CI46" i="12" s="1"/>
  <c r="CI48" i="12" s="1"/>
  <c r="AY38" i="12"/>
  <c r="C49" i="12" s="1"/>
  <c r="BB38" i="12"/>
  <c r="BD7" i="12"/>
  <c r="L81" i="9"/>
  <c r="BD38" i="12" l="1"/>
  <c r="C50" i="12" s="1"/>
  <c r="C63" i="12" s="1"/>
  <c r="GU8" i="11"/>
  <c r="GU39" i="11" s="1"/>
  <c r="P81" i="9"/>
  <c r="FF73" i="9" l="1"/>
  <c r="FG73" i="9" s="1"/>
  <c r="FU72" i="9"/>
  <c r="FF72" i="9"/>
  <c r="FG72" i="9" s="1"/>
  <c r="EM36" i="9"/>
  <c r="D81" i="9"/>
  <c r="D82" i="9"/>
  <c r="H81" i="9"/>
  <c r="H82" i="9"/>
  <c r="H81" i="7"/>
  <c r="D83" i="9" l="1"/>
  <c r="FU71" i="9"/>
  <c r="FF71" i="9"/>
  <c r="FG71" i="9" s="1"/>
  <c r="FU70" i="9" l="1"/>
  <c r="FF70" i="9"/>
  <c r="FG70" i="9" s="1"/>
  <c r="FU69" i="9" l="1"/>
  <c r="FF69" i="9"/>
  <c r="FG69" i="9" s="1"/>
  <c r="FU68" i="9"/>
  <c r="FF68" i="9"/>
  <c r="FG68" i="9" s="1"/>
  <c r="FU67" i="9" l="1"/>
  <c r="FF67" i="9"/>
  <c r="FG67" i="9" s="1"/>
  <c r="IB8" i="9" l="1"/>
  <c r="IE8" i="9"/>
  <c r="CE7" i="10" s="1"/>
  <c r="IE38" i="9"/>
  <c r="IE37" i="9"/>
  <c r="CE36" i="10" s="1"/>
  <c r="IE36" i="9"/>
  <c r="CE35" i="10" s="1"/>
  <c r="IE35" i="9"/>
  <c r="CE34" i="10" s="1"/>
  <c r="IE34" i="9"/>
  <c r="CE33" i="10" s="1"/>
  <c r="IE33" i="9"/>
  <c r="CE32" i="10" s="1"/>
  <c r="IE32" i="9"/>
  <c r="CE31" i="10" s="1"/>
  <c r="IE31" i="9"/>
  <c r="CE30" i="10" s="1"/>
  <c r="IE30" i="9"/>
  <c r="CE29" i="10" s="1"/>
  <c r="IE29" i="9"/>
  <c r="CE28" i="10" s="1"/>
  <c r="IE28" i="9"/>
  <c r="CE27" i="10" s="1"/>
  <c r="IE27" i="9"/>
  <c r="CE26" i="10" s="1"/>
  <c r="IE26" i="9"/>
  <c r="CE25" i="10" s="1"/>
  <c r="IE25" i="9"/>
  <c r="CE24" i="10" s="1"/>
  <c r="IE24" i="9"/>
  <c r="CE23" i="10" s="1"/>
  <c r="IE23" i="9"/>
  <c r="CE22" i="10" s="1"/>
  <c r="IE22" i="9"/>
  <c r="CE21" i="10" s="1"/>
  <c r="IE21" i="9"/>
  <c r="CE20" i="10" s="1"/>
  <c r="IE20" i="9"/>
  <c r="CE19" i="10" s="1"/>
  <c r="IE19" i="9"/>
  <c r="CE18" i="10" s="1"/>
  <c r="IE18" i="9"/>
  <c r="CE17" i="10" s="1"/>
  <c r="IE17" i="9"/>
  <c r="CE16" i="10" s="1"/>
  <c r="IE16" i="9"/>
  <c r="CE15" i="10" s="1"/>
  <c r="IE15" i="9"/>
  <c r="CE14" i="10" s="1"/>
  <c r="IE14" i="9"/>
  <c r="CE13" i="10" s="1"/>
  <c r="IE13" i="9"/>
  <c r="CE12" i="10" s="1"/>
  <c r="IE12" i="9"/>
  <c r="CE11" i="10" s="1"/>
  <c r="IE11" i="9"/>
  <c r="CE10" i="10" s="1"/>
  <c r="IE10" i="9"/>
  <c r="CE9" i="10" s="1"/>
  <c r="IE9" i="9"/>
  <c r="CE8" i="10" s="1"/>
  <c r="CE38" i="10" l="1"/>
  <c r="BX48" i="10" s="1"/>
  <c r="IE39" i="9"/>
  <c r="HI49" i="9" s="1"/>
  <c r="FU66" i="9"/>
  <c r="FF66" i="9"/>
  <c r="FG66" i="9" s="1"/>
  <c r="FU65" i="9" l="1"/>
  <c r="FF65" i="9"/>
  <c r="FG65" i="9" s="1"/>
  <c r="FU64" i="9" l="1"/>
  <c r="FF64" i="9"/>
  <c r="FG64" i="9" s="1"/>
  <c r="GW26" i="9" l="1"/>
  <c r="CS26" i="9"/>
  <c r="CO26" i="9"/>
  <c r="FU63" i="9"/>
  <c r="FF63" i="9"/>
  <c r="FG63" i="9" s="1"/>
  <c r="FF62" i="9" l="1"/>
  <c r="FG62" i="9" s="1"/>
  <c r="FF61" i="9"/>
  <c r="FG61" i="9" s="1"/>
  <c r="FU61" i="9"/>
  <c r="FW61" i="9" l="1"/>
  <c r="FV61" i="9"/>
  <c r="FU60" i="9"/>
  <c r="FF60" i="9"/>
  <c r="FG60" i="9" s="1"/>
  <c r="FU58" i="9" l="1"/>
  <c r="FF59" i="9" l="1"/>
  <c r="FG59" i="9" s="1"/>
  <c r="FF58" i="9" l="1"/>
  <c r="FG58" i="9" s="1"/>
  <c r="FU57" i="9" l="1"/>
  <c r="FF57" i="9"/>
  <c r="FG57" i="9" s="1"/>
  <c r="DQ59" i="9"/>
  <c r="FU54" i="9" l="1"/>
  <c r="FF56" i="9"/>
  <c r="FG56" i="9" s="1"/>
  <c r="FF55" i="9"/>
  <c r="FG55" i="9" s="1"/>
  <c r="FF54" i="9"/>
  <c r="FG54" i="9" s="1"/>
  <c r="FU53" i="9" l="1"/>
  <c r="FF53" i="9"/>
  <c r="FG53" i="9" s="1"/>
  <c r="B51" i="9" l="1"/>
  <c r="B50" i="9" s="1"/>
  <c r="FU52" i="9" l="1"/>
  <c r="FF52" i="9"/>
  <c r="FG52" i="9" s="1"/>
  <c r="D56" i="9"/>
  <c r="BT17" i="10" s="1"/>
  <c r="D57" i="9"/>
  <c r="BT18" i="10" s="1"/>
  <c r="D58" i="9"/>
  <c r="BT19" i="10" s="1"/>
  <c r="D59" i="9"/>
  <c r="BT20" i="10" s="1"/>
  <c r="D60" i="9"/>
  <c r="BT21" i="10" s="1"/>
  <c r="D61" i="9"/>
  <c r="BT22" i="10" s="1"/>
  <c r="D62" i="9"/>
  <c r="BT23" i="10" s="1"/>
  <c r="D63" i="9"/>
  <c r="BT24" i="10" s="1"/>
  <c r="D64" i="9"/>
  <c r="BT25" i="10" s="1"/>
  <c r="D65" i="9"/>
  <c r="BT26" i="10" s="1"/>
  <c r="D66" i="9"/>
  <c r="BT27" i="10" s="1"/>
  <c r="D67" i="9"/>
  <c r="BT28" i="10" s="1"/>
  <c r="D68" i="9"/>
  <c r="BT29" i="10" s="1"/>
  <c r="D69" i="9"/>
  <c r="BT30" i="10" s="1"/>
  <c r="D70" i="9"/>
  <c r="BT31" i="10" s="1"/>
  <c r="D71" i="9"/>
  <c r="BT32" i="10" s="1"/>
  <c r="D72" i="9"/>
  <c r="BT33" i="10" s="1"/>
  <c r="D73" i="9"/>
  <c r="BT34" i="10" s="1"/>
  <c r="D74" i="9"/>
  <c r="BT35" i="10" s="1"/>
  <c r="D75" i="9"/>
  <c r="BT36" i="10" s="1"/>
  <c r="D76" i="9"/>
  <c r="BT37" i="10" s="1"/>
  <c r="D77" i="9"/>
  <c r="D47" i="9"/>
  <c r="BT8" i="10" s="1"/>
  <c r="D51" i="9"/>
  <c r="BT12" i="10" s="1"/>
  <c r="D52" i="9"/>
  <c r="D53" i="9"/>
  <c r="BT14" i="10" s="1"/>
  <c r="D54" i="9"/>
  <c r="BT15" i="10" s="1"/>
  <c r="D55" i="9"/>
  <c r="BT16" i="10" s="1"/>
  <c r="D46" i="9"/>
  <c r="BT7" i="10" s="1"/>
  <c r="BT13" i="10" l="1"/>
  <c r="L52" i="9"/>
  <c r="D48" i="9"/>
  <c r="BT9" i="10" s="1"/>
  <c r="D50" i="9"/>
  <c r="BT11" i="10" s="1"/>
  <c r="D49" i="9" l="1"/>
  <c r="BT10" i="10" s="1"/>
  <c r="FU51" i="9" l="1"/>
  <c r="FF51" i="9"/>
  <c r="FG51" i="9" s="1"/>
  <c r="DQ53" i="9"/>
  <c r="O14" i="9"/>
  <c r="O15" i="9" s="1"/>
  <c r="FU50" i="9" l="1"/>
  <c r="FF50" i="9"/>
  <c r="FG50" i="9" s="1"/>
  <c r="DQ51" i="9" l="1"/>
  <c r="DR52" i="9" s="1"/>
  <c r="IB12" i="9" l="1"/>
  <c r="IB13" i="9"/>
  <c r="IB14" i="9"/>
  <c r="IB15" i="9"/>
  <c r="IB16" i="9"/>
  <c r="IB17" i="9"/>
  <c r="IB18" i="9"/>
  <c r="IB19" i="9"/>
  <c r="IB20" i="9"/>
  <c r="IB21" i="9"/>
  <c r="IB22" i="9"/>
  <c r="IB23" i="9"/>
  <c r="IB24" i="9"/>
  <c r="IB25" i="9"/>
  <c r="IB26" i="9"/>
  <c r="IB27" i="9"/>
  <c r="IB28" i="9"/>
  <c r="IB29" i="9"/>
  <c r="IB30" i="9"/>
  <c r="IB31" i="9"/>
  <c r="IB32" i="9"/>
  <c r="IB33" i="9"/>
  <c r="IB34" i="9"/>
  <c r="IB35" i="9"/>
  <c r="IB36" i="9"/>
  <c r="IB37" i="9"/>
  <c r="IB38" i="9"/>
  <c r="CD37" i="10" s="1"/>
  <c r="FU49" i="9"/>
  <c r="FF49" i="9"/>
  <c r="FG49" i="9" s="1"/>
  <c r="IB9" i="9" l="1"/>
  <c r="HY9" i="9"/>
  <c r="HY10" i="9"/>
  <c r="HY11" i="9"/>
  <c r="HY12" i="9"/>
  <c r="HY13" i="9"/>
  <c r="HY14" i="9"/>
  <c r="HY15" i="9"/>
  <c r="HY16" i="9"/>
  <c r="HY17" i="9"/>
  <c r="HY18" i="9"/>
  <c r="HY19" i="9"/>
  <c r="HY20" i="9"/>
  <c r="HY21" i="9"/>
  <c r="HY22" i="9"/>
  <c r="HY23" i="9"/>
  <c r="HY24" i="9"/>
  <c r="HY25" i="9"/>
  <c r="HY26" i="9"/>
  <c r="HY27" i="9"/>
  <c r="HY28" i="9"/>
  <c r="HY29" i="9"/>
  <c r="HY30" i="9"/>
  <c r="HY31" i="9"/>
  <c r="HY32" i="9"/>
  <c r="HY33" i="9"/>
  <c r="HY34" i="9"/>
  <c r="HY35" i="9"/>
  <c r="HY36" i="9"/>
  <c r="HY37" i="9"/>
  <c r="HY38" i="9"/>
  <c r="HY8" i="9"/>
  <c r="HV9" i="9"/>
  <c r="HV10" i="9"/>
  <c r="HV11" i="9"/>
  <c r="HV12" i="9"/>
  <c r="HV13" i="9"/>
  <c r="HV14" i="9"/>
  <c r="HV15" i="9"/>
  <c r="HV16" i="9"/>
  <c r="HV17" i="9"/>
  <c r="HV18" i="9"/>
  <c r="HV19" i="9"/>
  <c r="HV20" i="9"/>
  <c r="HV21" i="9"/>
  <c r="HV22" i="9"/>
  <c r="HV23" i="9"/>
  <c r="HV24" i="9"/>
  <c r="HV25" i="9"/>
  <c r="HV26" i="9"/>
  <c r="HV27" i="9"/>
  <c r="HV28" i="9"/>
  <c r="HV29" i="9"/>
  <c r="HV30" i="9"/>
  <c r="HV31" i="9"/>
  <c r="HV32" i="9"/>
  <c r="HV33" i="9"/>
  <c r="HV34" i="9"/>
  <c r="HV35" i="9"/>
  <c r="HV36" i="9"/>
  <c r="HV37" i="9"/>
  <c r="HV38" i="9"/>
  <c r="HV8" i="9"/>
  <c r="HS9" i="9"/>
  <c r="HS10" i="9"/>
  <c r="HS11" i="9"/>
  <c r="HS12" i="9"/>
  <c r="HS13" i="9"/>
  <c r="HS14" i="9"/>
  <c r="HS15" i="9"/>
  <c r="HS16" i="9"/>
  <c r="HS17" i="9"/>
  <c r="HS18" i="9"/>
  <c r="HS19" i="9"/>
  <c r="HS20" i="9"/>
  <c r="HS21" i="9"/>
  <c r="HS22" i="9"/>
  <c r="HS23" i="9"/>
  <c r="HS24" i="9"/>
  <c r="HS25" i="9"/>
  <c r="HS26" i="9"/>
  <c r="HS27" i="9"/>
  <c r="HS28" i="9"/>
  <c r="HS29" i="9"/>
  <c r="HS30" i="9"/>
  <c r="HS31" i="9"/>
  <c r="HS32" i="9"/>
  <c r="HS33" i="9"/>
  <c r="HS34" i="9"/>
  <c r="HS35" i="9"/>
  <c r="HS36" i="9"/>
  <c r="HS37" i="9"/>
  <c r="HS38" i="9"/>
  <c r="HS8" i="9"/>
  <c r="HP9" i="9"/>
  <c r="HP10" i="9"/>
  <c r="HP11" i="9"/>
  <c r="HP12" i="9"/>
  <c r="HP13" i="9"/>
  <c r="HP14" i="9"/>
  <c r="HP15" i="9"/>
  <c r="HP16" i="9"/>
  <c r="HP17" i="9"/>
  <c r="HP18" i="9"/>
  <c r="HP19" i="9"/>
  <c r="HP20" i="9"/>
  <c r="HP21" i="9"/>
  <c r="HP22" i="9"/>
  <c r="HP23" i="9"/>
  <c r="HP24" i="9"/>
  <c r="HP25" i="9"/>
  <c r="HP26" i="9"/>
  <c r="HP27" i="9"/>
  <c r="HP28" i="9"/>
  <c r="HP29" i="9"/>
  <c r="HP30" i="9"/>
  <c r="HP31" i="9"/>
  <c r="HP32" i="9"/>
  <c r="HP33" i="9"/>
  <c r="HP34" i="9"/>
  <c r="HP35" i="9"/>
  <c r="HP36" i="9"/>
  <c r="HP37" i="9"/>
  <c r="HP38" i="9"/>
  <c r="HP8" i="9"/>
  <c r="CC9" i="10" l="1"/>
  <c r="CC10" i="10"/>
  <c r="CC11" i="10"/>
  <c r="CC12" i="10"/>
  <c r="CC13" i="10"/>
  <c r="CC14" i="10"/>
  <c r="CC15" i="10"/>
  <c r="CC16" i="10"/>
  <c r="CC17" i="10"/>
  <c r="CC18" i="10"/>
  <c r="CC19" i="10"/>
  <c r="CC20" i="10"/>
  <c r="CC21" i="10"/>
  <c r="CC22" i="10"/>
  <c r="CC23" i="10"/>
  <c r="CC24" i="10"/>
  <c r="CC25" i="10"/>
  <c r="CC26" i="10"/>
  <c r="CC27" i="10"/>
  <c r="CC28" i="10"/>
  <c r="CC29" i="10"/>
  <c r="CC30" i="10"/>
  <c r="CC31" i="10"/>
  <c r="CC32" i="10"/>
  <c r="CC33" i="10"/>
  <c r="CC34" i="10"/>
  <c r="CC35" i="10"/>
  <c r="CC36" i="10"/>
  <c r="CD8" i="10"/>
  <c r="CD13" i="10"/>
  <c r="CD14" i="10"/>
  <c r="CD15" i="10"/>
  <c r="CD16" i="10"/>
  <c r="CD17" i="10"/>
  <c r="CD18" i="10"/>
  <c r="CD19" i="10"/>
  <c r="CD20" i="10"/>
  <c r="CD21" i="10"/>
  <c r="CD22" i="10"/>
  <c r="CD23" i="10"/>
  <c r="CD24" i="10"/>
  <c r="CD25" i="10"/>
  <c r="CD26" i="10"/>
  <c r="CD27" i="10"/>
  <c r="CD28" i="10"/>
  <c r="CD29" i="10"/>
  <c r="CD30" i="10"/>
  <c r="CD31" i="10"/>
  <c r="CD32" i="10"/>
  <c r="CD33" i="10"/>
  <c r="CD34" i="10"/>
  <c r="CD35" i="10"/>
  <c r="CD36" i="10"/>
  <c r="CD7" i="10"/>
  <c r="IB11" i="9"/>
  <c r="CD10" i="10" s="1"/>
  <c r="IB10" i="9"/>
  <c r="CD9" i="10" s="1"/>
  <c r="CC8" i="10"/>
  <c r="HY39" i="9"/>
  <c r="CD11" i="10"/>
  <c r="CD12" i="10"/>
  <c r="CD38" i="10" l="1"/>
  <c r="BX47" i="10" s="1"/>
  <c r="CC7" i="10"/>
  <c r="IB39" i="9"/>
  <c r="FF48" i="9"/>
  <c r="FG48" i="9" s="1"/>
  <c r="FU47" i="9"/>
  <c r="FF47" i="9"/>
  <c r="FG47" i="9" s="1"/>
  <c r="HI48" i="9" l="1"/>
  <c r="FF46" i="9"/>
  <c r="FG46" i="9" s="1"/>
  <c r="FU45" i="9"/>
  <c r="IK46" i="9" l="1"/>
  <c r="IK47" i="9"/>
  <c r="IK48" i="9"/>
  <c r="IK49" i="9"/>
  <c r="IK50" i="9"/>
  <c r="IK51" i="9"/>
  <c r="IK52" i="9"/>
  <c r="IK53" i="9"/>
  <c r="IK54" i="9"/>
  <c r="IK55" i="9"/>
  <c r="IK56" i="9"/>
  <c r="IK57" i="9"/>
  <c r="IK58" i="9"/>
  <c r="IK59" i="9"/>
  <c r="IK60" i="9"/>
  <c r="IK61" i="9"/>
  <c r="IK62" i="9"/>
  <c r="IK63" i="9"/>
  <c r="IK64" i="9"/>
  <c r="IK65" i="9"/>
  <c r="IK66" i="9"/>
  <c r="IK67" i="9"/>
  <c r="IK68" i="9"/>
  <c r="IK69" i="9"/>
  <c r="IK70" i="9"/>
  <c r="IK71" i="9"/>
  <c r="IK72" i="9"/>
  <c r="IK73" i="9"/>
  <c r="IK74" i="9"/>
  <c r="IK75" i="9"/>
  <c r="IK45" i="9"/>
  <c r="HJ9" i="9"/>
  <c r="HJ10" i="9"/>
  <c r="HJ11" i="9"/>
  <c r="HJ12" i="9"/>
  <c r="HJ13" i="9"/>
  <c r="HJ14" i="9"/>
  <c r="HJ15" i="9"/>
  <c r="HJ16" i="9"/>
  <c r="HJ17" i="9"/>
  <c r="HJ18" i="9"/>
  <c r="HJ19" i="9"/>
  <c r="HJ20" i="9"/>
  <c r="HJ21" i="9"/>
  <c r="HJ22" i="9"/>
  <c r="HJ23" i="9"/>
  <c r="HJ24" i="9"/>
  <c r="HJ25" i="9"/>
  <c r="HJ26" i="9"/>
  <c r="HJ27" i="9"/>
  <c r="HJ28" i="9"/>
  <c r="HJ29" i="9"/>
  <c r="HJ30" i="9"/>
  <c r="HJ31" i="9"/>
  <c r="HJ32" i="9"/>
  <c r="HJ33" i="9"/>
  <c r="HJ34" i="9"/>
  <c r="HJ35" i="9"/>
  <c r="HJ36" i="9"/>
  <c r="HJ37" i="9"/>
  <c r="IH7" i="9"/>
  <c r="CS9" i="9"/>
  <c r="CT9" i="9" s="1"/>
  <c r="CS10" i="9"/>
  <c r="CT10" i="9" s="1"/>
  <c r="CS11" i="9"/>
  <c r="CT11" i="9" s="1"/>
  <c r="CS12" i="9"/>
  <c r="CT12" i="9" s="1"/>
  <c r="CS13" i="9"/>
  <c r="CT13" i="9" s="1"/>
  <c r="CS14" i="9"/>
  <c r="CT14" i="9" s="1"/>
  <c r="CS15" i="9"/>
  <c r="CT15" i="9" s="1"/>
  <c r="CS16" i="9"/>
  <c r="CT16" i="9" s="1"/>
  <c r="CS17" i="9"/>
  <c r="CT17" i="9" s="1"/>
  <c r="CS18" i="9"/>
  <c r="CT18" i="9" s="1"/>
  <c r="CS19" i="9"/>
  <c r="CT19" i="9" s="1"/>
  <c r="CS20" i="9"/>
  <c r="CT20" i="9" s="1"/>
  <c r="CS21" i="9"/>
  <c r="CT21" i="9" s="1"/>
  <c r="CS22" i="9"/>
  <c r="CT22" i="9" s="1"/>
  <c r="CS23" i="9"/>
  <c r="CT23" i="9" s="1"/>
  <c r="CS24" i="9"/>
  <c r="CT24" i="9" s="1"/>
  <c r="CS25" i="9"/>
  <c r="CT25" i="9" s="1"/>
  <c r="CT26" i="9"/>
  <c r="CS27" i="9"/>
  <c r="CT27" i="9" s="1"/>
  <c r="CS28" i="9"/>
  <c r="CT28" i="9" s="1"/>
  <c r="CS29" i="9"/>
  <c r="CT29" i="9" s="1"/>
  <c r="CS30" i="9"/>
  <c r="CT30" i="9" s="1"/>
  <c r="CS31" i="9"/>
  <c r="U30" i="10" s="1"/>
  <c r="CS32" i="9"/>
  <c r="U31" i="10" s="1"/>
  <c r="CS33" i="9"/>
  <c r="U32" i="10" s="1"/>
  <c r="CS34" i="9"/>
  <c r="CT34" i="9" s="1"/>
  <c r="CS35" i="9"/>
  <c r="CT35" i="9" s="1"/>
  <c r="CS36" i="9"/>
  <c r="CT36" i="9" s="1"/>
  <c r="CS37" i="9"/>
  <c r="U36" i="10" s="1"/>
  <c r="CS38" i="9"/>
  <c r="CT38" i="9" s="1"/>
  <c r="CS8" i="9"/>
  <c r="CT8" i="9" s="1"/>
  <c r="CF9" i="9"/>
  <c r="CF10" i="9"/>
  <c r="Q9" i="10" s="1"/>
  <c r="CF11" i="9"/>
  <c r="Q10" i="10" s="1"/>
  <c r="CF12" i="9"/>
  <c r="Q11" i="10" s="1"/>
  <c r="CF13" i="9"/>
  <c r="CF14" i="9"/>
  <c r="Q13" i="10" s="1"/>
  <c r="CF15" i="9"/>
  <c r="Q14" i="10" s="1"/>
  <c r="CF16" i="9"/>
  <c r="Q15" i="10" s="1"/>
  <c r="CF17" i="9"/>
  <c r="Q16" i="10" s="1"/>
  <c r="CF18" i="9"/>
  <c r="Q17" i="10" s="1"/>
  <c r="CF19" i="9"/>
  <c r="Q18" i="10" s="1"/>
  <c r="CF20" i="9"/>
  <c r="Q19" i="10" s="1"/>
  <c r="CF21" i="9"/>
  <c r="CF22" i="9"/>
  <c r="CF23" i="9"/>
  <c r="Q22" i="10" s="1"/>
  <c r="CF24" i="9"/>
  <c r="Q23" i="10" s="1"/>
  <c r="CF25" i="9"/>
  <c r="Q24" i="10" s="1"/>
  <c r="CF26" i="9"/>
  <c r="Q25" i="10" s="1"/>
  <c r="CF27" i="9"/>
  <c r="Q26" i="10" s="1"/>
  <c r="CF28" i="9"/>
  <c r="Q27" i="10" s="1"/>
  <c r="CF29" i="9"/>
  <c r="Q28" i="10" s="1"/>
  <c r="CF30" i="9"/>
  <c r="Q29" i="10" s="1"/>
  <c r="CF31" i="9"/>
  <c r="CF32" i="9"/>
  <c r="Q31" i="10" s="1"/>
  <c r="CF33" i="9"/>
  <c r="Q32" i="10" s="1"/>
  <c r="CF34" i="9"/>
  <c r="Q33" i="10" s="1"/>
  <c r="CF35" i="9"/>
  <c r="Q34" i="10" s="1"/>
  <c r="CF36" i="9"/>
  <c r="Q35" i="10" s="1"/>
  <c r="CF37" i="9"/>
  <c r="Q36" i="10" s="1"/>
  <c r="CF38" i="9"/>
  <c r="Q37" i="10" s="1"/>
  <c r="CF8" i="9"/>
  <c r="DE7" i="9"/>
  <c r="K7" i="9"/>
  <c r="BR38" i="10"/>
  <c r="BQ38" i="10"/>
  <c r="BN38" i="10"/>
  <c r="BK38" i="10"/>
  <c r="BJ38" i="10"/>
  <c r="BI38" i="10"/>
  <c r="A8" i="10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DT78" i="9"/>
  <c r="DR78" i="9"/>
  <c r="DT77" i="9"/>
  <c r="DR77" i="9"/>
  <c r="G77" i="9"/>
  <c r="DT76" i="9"/>
  <c r="DR76" i="9"/>
  <c r="G76" i="9"/>
  <c r="BU37" i="10" s="1"/>
  <c r="FW75" i="9"/>
  <c r="FG38" i="9" s="1"/>
  <c r="AZ37" i="10" s="1"/>
  <c r="DT75" i="9"/>
  <c r="DR75" i="9"/>
  <c r="J75" i="9"/>
  <c r="G75" i="9"/>
  <c r="BU36" i="10" s="1"/>
  <c r="FW74" i="9"/>
  <c r="FG37" i="9" s="1"/>
  <c r="AZ36" i="10" s="1"/>
  <c r="DT74" i="9"/>
  <c r="DR74" i="9"/>
  <c r="J74" i="9"/>
  <c r="G74" i="9"/>
  <c r="BU35" i="10" s="1"/>
  <c r="FU73" i="9"/>
  <c r="FW73" i="9" s="1"/>
  <c r="FG36" i="9" s="1"/>
  <c r="AZ35" i="10" s="1"/>
  <c r="DT73" i="9"/>
  <c r="DR73" i="9"/>
  <c r="J73" i="9"/>
  <c r="G73" i="9"/>
  <c r="BU34" i="10" s="1"/>
  <c r="FW72" i="9"/>
  <c r="FG35" i="9" s="1"/>
  <c r="AZ34" i="10" s="1"/>
  <c r="DT72" i="9"/>
  <c r="DR72" i="9"/>
  <c r="J72" i="9"/>
  <c r="G72" i="9"/>
  <c r="BU33" i="10" s="1"/>
  <c r="FW71" i="9"/>
  <c r="FG34" i="9" s="1"/>
  <c r="AZ33" i="10" s="1"/>
  <c r="DT71" i="9"/>
  <c r="DR71" i="9"/>
  <c r="J71" i="9"/>
  <c r="G71" i="9"/>
  <c r="BU32" i="10" s="1"/>
  <c r="DT70" i="9"/>
  <c r="DR70" i="9"/>
  <c r="J70" i="9"/>
  <c r="G70" i="9"/>
  <c r="BU31" i="10" s="1"/>
  <c r="FW69" i="9"/>
  <c r="FG32" i="9" s="1"/>
  <c r="AZ31" i="10" s="1"/>
  <c r="DT69" i="9"/>
  <c r="DR69" i="9"/>
  <c r="J69" i="9"/>
  <c r="G69" i="9"/>
  <c r="BU30" i="10" s="1"/>
  <c r="FW68" i="9"/>
  <c r="FG31" i="9" s="1"/>
  <c r="AZ30" i="10" s="1"/>
  <c r="DT68" i="9"/>
  <c r="DR68" i="9"/>
  <c r="J68" i="9"/>
  <c r="G68" i="9"/>
  <c r="BU29" i="10" s="1"/>
  <c r="FW67" i="9"/>
  <c r="FG30" i="9" s="1"/>
  <c r="AZ29" i="10" s="1"/>
  <c r="DT67" i="9"/>
  <c r="DR67" i="9"/>
  <c r="J67" i="9"/>
  <c r="G67" i="9"/>
  <c r="BU28" i="10" s="1"/>
  <c r="FW66" i="9"/>
  <c r="FG29" i="9" s="1"/>
  <c r="AZ28" i="10" s="1"/>
  <c r="DT66" i="9"/>
  <c r="DR66" i="9"/>
  <c r="J66" i="9"/>
  <c r="G66" i="9"/>
  <c r="BU27" i="10" s="1"/>
  <c r="FW65" i="9"/>
  <c r="FG28" i="9" s="1"/>
  <c r="DT65" i="9"/>
  <c r="DR65" i="9"/>
  <c r="J65" i="9"/>
  <c r="G65" i="9"/>
  <c r="BU26" i="10" s="1"/>
  <c r="DT64" i="9"/>
  <c r="DR64" i="9"/>
  <c r="J64" i="9"/>
  <c r="G64" i="9"/>
  <c r="BU25" i="10" s="1"/>
  <c r="FW63" i="9"/>
  <c r="FG26" i="9" s="1"/>
  <c r="DT63" i="9"/>
  <c r="DR63" i="9"/>
  <c r="J63" i="9"/>
  <c r="G63" i="9"/>
  <c r="BU24" i="10" s="1"/>
  <c r="FU62" i="9"/>
  <c r="FV62" i="9" s="1"/>
  <c r="DT62" i="9"/>
  <c r="DR62" i="9"/>
  <c r="J62" i="9"/>
  <c r="G62" i="9"/>
  <c r="BU23" i="10" s="1"/>
  <c r="FG24" i="9"/>
  <c r="AZ23" i="10" s="1"/>
  <c r="DT61" i="9"/>
  <c r="DR61" i="9"/>
  <c r="J61" i="9"/>
  <c r="G61" i="9"/>
  <c r="BU22" i="10" s="1"/>
  <c r="FW60" i="9"/>
  <c r="FG23" i="9" s="1"/>
  <c r="AZ22" i="10" s="1"/>
  <c r="DT60" i="9"/>
  <c r="DR60" i="9"/>
  <c r="J60" i="9"/>
  <c r="G60" i="9"/>
  <c r="BU21" i="10" s="1"/>
  <c r="FU59" i="9"/>
  <c r="FW59" i="9" s="1"/>
  <c r="FG22" i="9" s="1"/>
  <c r="DT59" i="9"/>
  <c r="DR59" i="9"/>
  <c r="J59" i="9"/>
  <c r="G59" i="9"/>
  <c r="BU20" i="10" s="1"/>
  <c r="DT58" i="9"/>
  <c r="DR58" i="9"/>
  <c r="J58" i="9"/>
  <c r="G58" i="9"/>
  <c r="BU19" i="10" s="1"/>
  <c r="FW57" i="9"/>
  <c r="FG20" i="9" s="1"/>
  <c r="DT57" i="9"/>
  <c r="DR57" i="9"/>
  <c r="J57" i="9"/>
  <c r="G57" i="9"/>
  <c r="BU18" i="10" s="1"/>
  <c r="FU56" i="9"/>
  <c r="FV56" i="9" s="1"/>
  <c r="DT56" i="9"/>
  <c r="DR56" i="9"/>
  <c r="J56" i="9"/>
  <c r="G56" i="9"/>
  <c r="BU17" i="10" s="1"/>
  <c r="FU55" i="9"/>
  <c r="FV55" i="9" s="1"/>
  <c r="DT55" i="9"/>
  <c r="J55" i="9"/>
  <c r="G55" i="9"/>
  <c r="BU16" i="10" s="1"/>
  <c r="FW54" i="9"/>
  <c r="DT54" i="9"/>
  <c r="DR55" i="9"/>
  <c r="J54" i="9"/>
  <c r="G54" i="9"/>
  <c r="BU15" i="10" s="1"/>
  <c r="FW53" i="9"/>
  <c r="FG16" i="9" s="1"/>
  <c r="AZ15" i="10" s="1"/>
  <c r="DT53" i="9"/>
  <c r="DR53" i="9"/>
  <c r="J53" i="9"/>
  <c r="G53" i="9"/>
  <c r="BU14" i="10" s="1"/>
  <c r="FW52" i="9"/>
  <c r="FG15" i="9" s="1"/>
  <c r="AZ14" i="10" s="1"/>
  <c r="DT52" i="9"/>
  <c r="J52" i="9"/>
  <c r="G52" i="9"/>
  <c r="BU13" i="10" s="1"/>
  <c r="FW51" i="9"/>
  <c r="FG14" i="9" s="1"/>
  <c r="AZ13" i="10" s="1"/>
  <c r="DT51" i="9"/>
  <c r="DR51" i="9"/>
  <c r="J51" i="9"/>
  <c r="G51" i="9"/>
  <c r="BU12" i="10" s="1"/>
  <c r="FV50" i="9"/>
  <c r="EQ13" i="9" s="1"/>
  <c r="AT12" i="10" s="1"/>
  <c r="DT50" i="9"/>
  <c r="DR50" i="9"/>
  <c r="J50" i="9"/>
  <c r="G50" i="9"/>
  <c r="BU11" i="10" s="1"/>
  <c r="FW49" i="9"/>
  <c r="FG12" i="9" s="1"/>
  <c r="DT49" i="9"/>
  <c r="DR49" i="9"/>
  <c r="J49" i="9"/>
  <c r="G49" i="9"/>
  <c r="BU10" i="10" s="1"/>
  <c r="FU48" i="9"/>
  <c r="FW48" i="9" s="1"/>
  <c r="FG11" i="9" s="1"/>
  <c r="AZ10" i="10" s="1"/>
  <c r="EX48" i="9"/>
  <c r="DT48" i="9"/>
  <c r="DR48" i="9"/>
  <c r="DP48" i="9"/>
  <c r="DP49" i="9" s="1"/>
  <c r="DP50" i="9" s="1"/>
  <c r="DP51" i="9" s="1"/>
  <c r="DP52" i="9" s="1"/>
  <c r="DP53" i="9" s="1"/>
  <c r="DP54" i="9" s="1"/>
  <c r="DP55" i="9" s="1"/>
  <c r="DP56" i="9" s="1"/>
  <c r="DP57" i="9" s="1"/>
  <c r="DP58" i="9" s="1"/>
  <c r="DP59" i="9" s="1"/>
  <c r="DP60" i="9" s="1"/>
  <c r="DP61" i="9" s="1"/>
  <c r="DP62" i="9" s="1"/>
  <c r="DP63" i="9" s="1"/>
  <c r="DP64" i="9" s="1"/>
  <c r="DP65" i="9" s="1"/>
  <c r="DP66" i="9" s="1"/>
  <c r="DP67" i="9" s="1"/>
  <c r="DP68" i="9" s="1"/>
  <c r="DP69" i="9" s="1"/>
  <c r="DP70" i="9" s="1"/>
  <c r="DP71" i="9" s="1"/>
  <c r="DP72" i="9" s="1"/>
  <c r="DP73" i="9" s="1"/>
  <c r="DP74" i="9" s="1"/>
  <c r="J48" i="9"/>
  <c r="G48" i="9"/>
  <c r="BU9" i="10" s="1"/>
  <c r="FV47" i="9"/>
  <c r="EQ10" i="9" s="1"/>
  <c r="AT9" i="10" s="1"/>
  <c r="J47" i="9"/>
  <c r="G47" i="9"/>
  <c r="BU8" i="10" s="1"/>
  <c r="FU46" i="9"/>
  <c r="FW46" i="9" s="1"/>
  <c r="FG9" i="9" s="1"/>
  <c r="AZ8" i="10" s="1"/>
  <c r="J46" i="9"/>
  <c r="G46" i="9"/>
  <c r="BU7" i="10" s="1"/>
  <c r="FW45" i="9"/>
  <c r="FQ45" i="9"/>
  <c r="FF45" i="9" s="1"/>
  <c r="FG45" i="9" s="1"/>
  <c r="FC45" i="9"/>
  <c r="FH60" i="9" s="1"/>
  <c r="EE40" i="9"/>
  <c r="U40" i="9"/>
  <c r="V40" i="9" s="1"/>
  <c r="HC39" i="9"/>
  <c r="GV39" i="9"/>
  <c r="FL39" i="9"/>
  <c r="DO39" i="9"/>
  <c r="DN39" i="9"/>
  <c r="DM39" i="9"/>
  <c r="J39" i="9"/>
  <c r="KE38" i="9"/>
  <c r="KB38" i="9"/>
  <c r="JY38" i="9"/>
  <c r="JV38" i="9"/>
  <c r="JS38" i="9"/>
  <c r="JP38" i="9"/>
  <c r="JM38" i="9"/>
  <c r="JJ38" i="9"/>
  <c r="JG38" i="9"/>
  <c r="JD38" i="9"/>
  <c r="JA38" i="9"/>
  <c r="IX38" i="9"/>
  <c r="IU38" i="9"/>
  <c r="IR38" i="9"/>
  <c r="IO38" i="9"/>
  <c r="IL38" i="9"/>
  <c r="CB37" i="10"/>
  <c r="HM38" i="9"/>
  <c r="BY37" i="10" s="1"/>
  <c r="HJ38" i="9"/>
  <c r="GW38" i="9"/>
  <c r="GS38" i="9"/>
  <c r="BF37" i="10" s="1"/>
  <c r="GP38" i="9"/>
  <c r="BE37" i="10" s="1"/>
  <c r="GM38" i="9"/>
  <c r="GJ38" i="9"/>
  <c r="GD38" i="9"/>
  <c r="FX38" i="9"/>
  <c r="AP37" i="10" s="1"/>
  <c r="FS38" i="9"/>
  <c r="FP38" i="9"/>
  <c r="FJ38" i="9"/>
  <c r="BA37" i="10" s="1"/>
  <c r="FC38" i="9"/>
  <c r="EZ38" i="9"/>
  <c r="EZ75" i="9" s="1"/>
  <c r="EW38" i="9"/>
  <c r="AV37" i="10" s="1"/>
  <c r="ET38" i="9"/>
  <c r="AU37" i="10" s="1"/>
  <c r="EM38" i="9"/>
  <c r="AN37" i="10" s="1"/>
  <c r="EJ38" i="9"/>
  <c r="AM37" i="10" s="1"/>
  <c r="DZ38" i="9"/>
  <c r="AI37" i="10" s="1"/>
  <c r="DW38" i="9"/>
  <c r="AH37" i="10" s="1"/>
  <c r="DT38" i="9"/>
  <c r="DR38" i="9"/>
  <c r="AD37" i="10" s="1"/>
  <c r="DE38" i="9"/>
  <c r="DF38" i="9" s="1"/>
  <c r="DA38" i="9"/>
  <c r="X37" i="10" s="1"/>
  <c r="CW38" i="9"/>
  <c r="W37" i="10" s="1"/>
  <c r="CO38" i="9"/>
  <c r="T37" i="10" s="1"/>
  <c r="CH38" i="9"/>
  <c r="R37" i="10" s="1"/>
  <c r="CD38" i="9"/>
  <c r="P37" i="10" s="1"/>
  <c r="CA38" i="9"/>
  <c r="O37" i="10" s="1"/>
  <c r="BW38" i="9"/>
  <c r="BX38" i="9" s="1"/>
  <c r="BT38" i="9"/>
  <c r="BR38" i="9"/>
  <c r="Z37" i="10" s="1"/>
  <c r="BP38" i="9"/>
  <c r="BN38" i="9"/>
  <c r="BL38" i="9"/>
  <c r="BJ38" i="9"/>
  <c r="AB37" i="10" s="1"/>
  <c r="BG38" i="9"/>
  <c r="AA37" i="10" s="1"/>
  <c r="BC38" i="9"/>
  <c r="M37" i="10" s="1"/>
  <c r="AZ38" i="9"/>
  <c r="L37" i="10" s="1"/>
  <c r="AR38" i="9"/>
  <c r="K37" i="10" s="1"/>
  <c r="AI38" i="9"/>
  <c r="I37" i="10" s="1"/>
  <c r="AE38" i="9"/>
  <c r="AB38" i="9"/>
  <c r="F37" i="10" s="1"/>
  <c r="V38" i="9"/>
  <c r="E37" i="10" s="1"/>
  <c r="T38" i="9"/>
  <c r="D37" i="10" s="1"/>
  <c r="Q38" i="9"/>
  <c r="N38" i="9"/>
  <c r="C37" i="10" s="1"/>
  <c r="K38" i="9"/>
  <c r="F38" i="9"/>
  <c r="D38" i="9"/>
  <c r="C38" i="9"/>
  <c r="KE37" i="9"/>
  <c r="KB37" i="9"/>
  <c r="JY37" i="9"/>
  <c r="JV37" i="9"/>
  <c r="JS37" i="9"/>
  <c r="JP37" i="9"/>
  <c r="JM37" i="9"/>
  <c r="JJ37" i="9"/>
  <c r="JG37" i="9"/>
  <c r="JD37" i="9"/>
  <c r="JA37" i="9"/>
  <c r="IX37" i="9"/>
  <c r="IU37" i="9"/>
  <c r="IR37" i="9"/>
  <c r="IO37" i="9"/>
  <c r="IL37" i="9"/>
  <c r="HM37" i="9"/>
  <c r="BY36" i="10" s="1"/>
  <c r="GW37" i="9"/>
  <c r="GS37" i="9"/>
  <c r="BF36" i="10" s="1"/>
  <c r="GP37" i="9"/>
  <c r="BE36" i="10" s="1"/>
  <c r="GM37" i="9"/>
  <c r="GJ37" i="9"/>
  <c r="GD37" i="9"/>
  <c r="FX37" i="9"/>
  <c r="AP36" i="10" s="1"/>
  <c r="FS37" i="9"/>
  <c r="FP37" i="9"/>
  <c r="FA74" i="9" s="1"/>
  <c r="FJ37" i="9"/>
  <c r="BA36" i="10" s="1"/>
  <c r="FC37" i="9"/>
  <c r="EZ37" i="9"/>
  <c r="EZ74" i="9" s="1"/>
  <c r="EW37" i="9"/>
  <c r="AV36" i="10" s="1"/>
  <c r="ET37" i="9"/>
  <c r="EM37" i="9"/>
  <c r="AN36" i="10" s="1"/>
  <c r="EJ37" i="9"/>
  <c r="AM36" i="10" s="1"/>
  <c r="DZ37" i="9"/>
  <c r="AI36" i="10" s="1"/>
  <c r="DW37" i="9"/>
  <c r="AH36" i="10" s="1"/>
  <c r="DT37" i="9"/>
  <c r="DR37" i="9"/>
  <c r="AD36" i="10" s="1"/>
  <c r="DE37" i="9"/>
  <c r="DA37" i="9"/>
  <c r="X36" i="10" s="1"/>
  <c r="CW37" i="9"/>
  <c r="W36" i="10" s="1"/>
  <c r="CO37" i="9"/>
  <c r="CH37" i="9"/>
  <c r="R36" i="10" s="1"/>
  <c r="CD37" i="9"/>
  <c r="P36" i="10" s="1"/>
  <c r="CA37" i="9"/>
  <c r="O36" i="10" s="1"/>
  <c r="BW37" i="9"/>
  <c r="BX37" i="9" s="1"/>
  <c r="BT37" i="9"/>
  <c r="BR37" i="9"/>
  <c r="Z36" i="10" s="1"/>
  <c r="BP37" i="9"/>
  <c r="BN37" i="9"/>
  <c r="BL37" i="9"/>
  <c r="BJ37" i="9"/>
  <c r="AB36" i="10" s="1"/>
  <c r="BG37" i="9"/>
  <c r="AA36" i="10" s="1"/>
  <c r="BC37" i="9"/>
  <c r="M36" i="10" s="1"/>
  <c r="AZ37" i="9"/>
  <c r="L36" i="10" s="1"/>
  <c r="AR37" i="9"/>
  <c r="K36" i="10" s="1"/>
  <c r="AI37" i="9"/>
  <c r="I36" i="10" s="1"/>
  <c r="AE37" i="9"/>
  <c r="H36" i="10" s="1"/>
  <c r="AB37" i="9"/>
  <c r="F36" i="10" s="1"/>
  <c r="V37" i="9"/>
  <c r="E36" i="10" s="1"/>
  <c r="T37" i="9"/>
  <c r="D36" i="10" s="1"/>
  <c r="Q37" i="9"/>
  <c r="R37" i="9" s="1"/>
  <c r="N37" i="9"/>
  <c r="C36" i="10" s="1"/>
  <c r="K37" i="9"/>
  <c r="F37" i="9"/>
  <c r="D37" i="9"/>
  <c r="C37" i="9"/>
  <c r="KE36" i="9"/>
  <c r="KB36" i="9"/>
  <c r="JY36" i="9"/>
  <c r="JV36" i="9"/>
  <c r="JS36" i="9"/>
  <c r="JP36" i="9"/>
  <c r="JM36" i="9"/>
  <c r="JJ36" i="9"/>
  <c r="JG36" i="9"/>
  <c r="JD36" i="9"/>
  <c r="JA36" i="9"/>
  <c r="IX36" i="9"/>
  <c r="IU36" i="9"/>
  <c r="IR36" i="9"/>
  <c r="IO36" i="9"/>
  <c r="IL36" i="9"/>
  <c r="HM36" i="9"/>
  <c r="BY35" i="10" s="1"/>
  <c r="GW36" i="9"/>
  <c r="GS36" i="9"/>
  <c r="BF35" i="10" s="1"/>
  <c r="GP36" i="9"/>
  <c r="BE35" i="10" s="1"/>
  <c r="GM36" i="9"/>
  <c r="GJ36" i="9"/>
  <c r="GD36" i="9"/>
  <c r="FX36" i="9"/>
  <c r="AP35" i="10" s="1"/>
  <c r="FS36" i="9"/>
  <c r="FP36" i="9"/>
  <c r="FA73" i="9" s="1"/>
  <c r="FJ36" i="9"/>
  <c r="BA35" i="10" s="1"/>
  <c r="FC36" i="9"/>
  <c r="EZ36" i="9"/>
  <c r="EZ73" i="9" s="1"/>
  <c r="EW36" i="9"/>
  <c r="AV35" i="10" s="1"/>
  <c r="ET36" i="9"/>
  <c r="AU35" i="10" s="1"/>
  <c r="AN35" i="10"/>
  <c r="EJ36" i="9"/>
  <c r="AM35" i="10" s="1"/>
  <c r="DZ36" i="9"/>
  <c r="AI35" i="10" s="1"/>
  <c r="DW36" i="9"/>
  <c r="DT36" i="9"/>
  <c r="IH36" i="9" s="1"/>
  <c r="CF35" i="10" s="1"/>
  <c r="DR36" i="9"/>
  <c r="AD35" i="10" s="1"/>
  <c r="DE36" i="9"/>
  <c r="DA36" i="9"/>
  <c r="X35" i="10" s="1"/>
  <c r="CW36" i="9"/>
  <c r="W35" i="10" s="1"/>
  <c r="CO36" i="9"/>
  <c r="T35" i="10" s="1"/>
  <c r="CH36" i="9"/>
  <c r="R35" i="10" s="1"/>
  <c r="CD36" i="9"/>
  <c r="P35" i="10" s="1"/>
  <c r="CA36" i="9"/>
  <c r="O35" i="10" s="1"/>
  <c r="BW36" i="9"/>
  <c r="BX36" i="9" s="1"/>
  <c r="BT36" i="9"/>
  <c r="BR36" i="9"/>
  <c r="Z35" i="10" s="1"/>
  <c r="BP36" i="9"/>
  <c r="BN36" i="9"/>
  <c r="BL36" i="9"/>
  <c r="BJ36" i="9"/>
  <c r="AB35" i="10" s="1"/>
  <c r="BG36" i="9"/>
  <c r="AA35" i="10" s="1"/>
  <c r="BC36" i="9"/>
  <c r="M35" i="10" s="1"/>
  <c r="AZ36" i="9"/>
  <c r="L35" i="10" s="1"/>
  <c r="AR36" i="9"/>
  <c r="AI36" i="9"/>
  <c r="I35" i="10" s="1"/>
  <c r="AE36" i="9"/>
  <c r="H35" i="10" s="1"/>
  <c r="AB36" i="9"/>
  <c r="F35" i="10" s="1"/>
  <c r="V36" i="9"/>
  <c r="E35" i="10" s="1"/>
  <c r="T36" i="9"/>
  <c r="D35" i="10" s="1"/>
  <c r="Q36" i="9"/>
  <c r="N36" i="9"/>
  <c r="C35" i="10" s="1"/>
  <c r="K36" i="9"/>
  <c r="F36" i="9"/>
  <c r="D36" i="9"/>
  <c r="C36" i="9"/>
  <c r="A36" i="9"/>
  <c r="KE35" i="9"/>
  <c r="KB35" i="9"/>
  <c r="JY35" i="9"/>
  <c r="JV35" i="9"/>
  <c r="JS35" i="9"/>
  <c r="JP35" i="9"/>
  <c r="JM35" i="9"/>
  <c r="JJ35" i="9"/>
  <c r="JG35" i="9"/>
  <c r="JD35" i="9"/>
  <c r="JA35" i="9"/>
  <c r="IX35" i="9"/>
  <c r="IU35" i="9"/>
  <c r="IR35" i="9"/>
  <c r="IO35" i="9"/>
  <c r="IL35" i="9"/>
  <c r="HM35" i="9"/>
  <c r="BY34" i="10" s="1"/>
  <c r="HE35" i="9"/>
  <c r="GW35" i="9"/>
  <c r="GS35" i="9"/>
  <c r="GP35" i="9"/>
  <c r="BE34" i="10" s="1"/>
  <c r="GM35" i="9"/>
  <c r="GJ35" i="9"/>
  <c r="GD35" i="9"/>
  <c r="FX35" i="9"/>
  <c r="AP34" i="10" s="1"/>
  <c r="FS35" i="9"/>
  <c r="FP35" i="9"/>
  <c r="FJ35" i="9"/>
  <c r="BA34" i="10" s="1"/>
  <c r="FC35" i="9"/>
  <c r="EZ35" i="9"/>
  <c r="EZ72" i="9" s="1"/>
  <c r="EW35" i="9"/>
  <c r="AV34" i="10" s="1"/>
  <c r="ET35" i="9"/>
  <c r="AU34" i="10" s="1"/>
  <c r="EM35" i="9"/>
  <c r="AN34" i="10" s="1"/>
  <c r="EJ35" i="9"/>
  <c r="DZ35" i="9"/>
  <c r="AI34" i="10" s="1"/>
  <c r="DW35" i="9"/>
  <c r="AH34" i="10" s="1"/>
  <c r="DT35" i="9"/>
  <c r="DR35" i="9"/>
  <c r="AD34" i="10" s="1"/>
  <c r="DE35" i="9"/>
  <c r="DA35" i="9"/>
  <c r="X34" i="10" s="1"/>
  <c r="CW35" i="9"/>
  <c r="W34" i="10" s="1"/>
  <c r="CO35" i="9"/>
  <c r="T34" i="10" s="1"/>
  <c r="CH35" i="9"/>
  <c r="R34" i="10" s="1"/>
  <c r="CD35" i="9"/>
  <c r="P34" i="10" s="1"/>
  <c r="CA35" i="9"/>
  <c r="O34" i="10" s="1"/>
  <c r="BW35" i="9"/>
  <c r="BX35" i="9" s="1"/>
  <c r="BT35" i="9"/>
  <c r="BR35" i="9"/>
  <c r="Z34" i="10" s="1"/>
  <c r="BP35" i="9"/>
  <c r="BN35" i="9"/>
  <c r="BL35" i="9"/>
  <c r="BJ35" i="9"/>
  <c r="AB34" i="10" s="1"/>
  <c r="BG35" i="9"/>
  <c r="AA34" i="10" s="1"/>
  <c r="BC35" i="9"/>
  <c r="M34" i="10" s="1"/>
  <c r="AZ35" i="9"/>
  <c r="L34" i="10" s="1"/>
  <c r="AR35" i="9"/>
  <c r="K34" i="10" s="1"/>
  <c r="AI35" i="9"/>
  <c r="I34" i="10" s="1"/>
  <c r="AE35" i="9"/>
  <c r="AB35" i="9"/>
  <c r="F34" i="10" s="1"/>
  <c r="V35" i="9"/>
  <c r="E34" i="10" s="1"/>
  <c r="T35" i="9"/>
  <c r="D34" i="10" s="1"/>
  <c r="Q35" i="9"/>
  <c r="R35" i="9" s="1"/>
  <c r="N35" i="9"/>
  <c r="C34" i="10" s="1"/>
  <c r="K35" i="9"/>
  <c r="F35" i="9"/>
  <c r="D35" i="9"/>
  <c r="C35" i="9"/>
  <c r="KE34" i="9"/>
  <c r="KB34" i="9"/>
  <c r="JY34" i="9"/>
  <c r="JV34" i="9"/>
  <c r="JS34" i="9"/>
  <c r="JP34" i="9"/>
  <c r="JM34" i="9"/>
  <c r="JJ34" i="9"/>
  <c r="JG34" i="9"/>
  <c r="JD34" i="9"/>
  <c r="JA34" i="9"/>
  <c r="IX34" i="9"/>
  <c r="IU34" i="9"/>
  <c r="IR34" i="9"/>
  <c r="IO34" i="9"/>
  <c r="IL34" i="9"/>
  <c r="HM34" i="9"/>
  <c r="BY33" i="10" s="1"/>
  <c r="HE34" i="9"/>
  <c r="GW34" i="9"/>
  <c r="GS34" i="9"/>
  <c r="BF33" i="10" s="1"/>
  <c r="GP34" i="9"/>
  <c r="BE33" i="10" s="1"/>
  <c r="GM34" i="9"/>
  <c r="GJ34" i="9"/>
  <c r="GD34" i="9"/>
  <c r="FX34" i="9"/>
  <c r="AP33" i="10" s="1"/>
  <c r="FS34" i="9"/>
  <c r="FP34" i="9"/>
  <c r="FA71" i="9" s="1"/>
  <c r="FJ34" i="9"/>
  <c r="BA33" i="10" s="1"/>
  <c r="FC34" i="9"/>
  <c r="EZ34" i="9"/>
  <c r="EZ71" i="9" s="1"/>
  <c r="EW34" i="9"/>
  <c r="AV33" i="10" s="1"/>
  <c r="ET34" i="9"/>
  <c r="AU33" i="10" s="1"/>
  <c r="EM34" i="9"/>
  <c r="AN33" i="10" s="1"/>
  <c r="EJ34" i="9"/>
  <c r="AM33" i="10" s="1"/>
  <c r="DZ34" i="9"/>
  <c r="AI33" i="10" s="1"/>
  <c r="DW34" i="9"/>
  <c r="AH33" i="10" s="1"/>
  <c r="DT34" i="9"/>
  <c r="DR34" i="9"/>
  <c r="AD33" i="10" s="1"/>
  <c r="DE34" i="9"/>
  <c r="DA34" i="9"/>
  <c r="X33" i="10" s="1"/>
  <c r="CW34" i="9"/>
  <c r="W33" i="10" s="1"/>
  <c r="CO34" i="9"/>
  <c r="CH34" i="9"/>
  <c r="R33" i="10" s="1"/>
  <c r="CD34" i="9"/>
  <c r="P33" i="10" s="1"/>
  <c r="CA34" i="9"/>
  <c r="O33" i="10" s="1"/>
  <c r="BW34" i="9"/>
  <c r="BX34" i="9" s="1"/>
  <c r="BT34" i="9"/>
  <c r="BR34" i="9"/>
  <c r="Z33" i="10" s="1"/>
  <c r="BP34" i="9"/>
  <c r="BN34" i="9"/>
  <c r="BL34" i="9"/>
  <c r="BJ34" i="9"/>
  <c r="AB33" i="10" s="1"/>
  <c r="BG34" i="9"/>
  <c r="AA33" i="10" s="1"/>
  <c r="BC34" i="9"/>
  <c r="M33" i="10" s="1"/>
  <c r="AZ34" i="9"/>
  <c r="L33" i="10" s="1"/>
  <c r="AR34" i="9"/>
  <c r="K33" i="10" s="1"/>
  <c r="AI34" i="9"/>
  <c r="I33" i="10" s="1"/>
  <c r="AE34" i="9"/>
  <c r="H33" i="10" s="1"/>
  <c r="AB34" i="9"/>
  <c r="F33" i="10" s="1"/>
  <c r="V34" i="9"/>
  <c r="E33" i="10" s="1"/>
  <c r="T34" i="9"/>
  <c r="D33" i="10" s="1"/>
  <c r="Q34" i="9"/>
  <c r="N34" i="9"/>
  <c r="C33" i="10" s="1"/>
  <c r="K34" i="9"/>
  <c r="F34" i="9"/>
  <c r="D34" i="9"/>
  <c r="C34" i="9"/>
  <c r="KE33" i="9"/>
  <c r="KB33" i="9"/>
  <c r="JY33" i="9"/>
  <c r="JV33" i="9"/>
  <c r="JS33" i="9"/>
  <c r="JP33" i="9"/>
  <c r="JM33" i="9"/>
  <c r="JJ33" i="9"/>
  <c r="JG33" i="9"/>
  <c r="JD33" i="9"/>
  <c r="JA33" i="9"/>
  <c r="IX33" i="9"/>
  <c r="IU33" i="9"/>
  <c r="IR33" i="9"/>
  <c r="IO33" i="9"/>
  <c r="IL33" i="9"/>
  <c r="HM33" i="9"/>
  <c r="BY32" i="10" s="1"/>
  <c r="HE33" i="9"/>
  <c r="GW33" i="9"/>
  <c r="GS33" i="9"/>
  <c r="BF32" i="10" s="1"/>
  <c r="GP33" i="9"/>
  <c r="BE32" i="10" s="1"/>
  <c r="GM33" i="9"/>
  <c r="BC32" i="10" s="1"/>
  <c r="GJ33" i="9"/>
  <c r="GD33" i="9"/>
  <c r="FX33" i="9"/>
  <c r="AP32" i="10" s="1"/>
  <c r="FS33" i="9"/>
  <c r="FP33" i="9"/>
  <c r="FA70" i="9" s="1"/>
  <c r="FJ33" i="9"/>
  <c r="BA32" i="10" s="1"/>
  <c r="FC33" i="9"/>
  <c r="EZ33" i="9"/>
  <c r="EZ70" i="9" s="1"/>
  <c r="EW33" i="9"/>
  <c r="AV32" i="10" s="1"/>
  <c r="ET33" i="9"/>
  <c r="AU32" i="10" s="1"/>
  <c r="EM33" i="9"/>
  <c r="AN32" i="10" s="1"/>
  <c r="EJ33" i="9"/>
  <c r="AM32" i="10" s="1"/>
  <c r="DZ33" i="9"/>
  <c r="AI32" i="10" s="1"/>
  <c r="DW33" i="9"/>
  <c r="AH32" i="10" s="1"/>
  <c r="DT33" i="9"/>
  <c r="DR33" i="9"/>
  <c r="AD32" i="10" s="1"/>
  <c r="DE33" i="9"/>
  <c r="DA33" i="9"/>
  <c r="X32" i="10" s="1"/>
  <c r="CW33" i="9"/>
  <c r="W32" i="10" s="1"/>
  <c r="CO33" i="9"/>
  <c r="T32" i="10" s="1"/>
  <c r="CH33" i="9"/>
  <c r="R32" i="10" s="1"/>
  <c r="CD33" i="9"/>
  <c r="P32" i="10" s="1"/>
  <c r="CA33" i="9"/>
  <c r="BW33" i="9"/>
  <c r="BX33" i="9" s="1"/>
  <c r="BT33" i="9"/>
  <c r="BR33" i="9"/>
  <c r="Z32" i="10" s="1"/>
  <c r="BP33" i="9"/>
  <c r="BN33" i="9"/>
  <c r="BL33" i="9"/>
  <c r="BJ33" i="9"/>
  <c r="AB32" i="10" s="1"/>
  <c r="BG33" i="9"/>
  <c r="AA32" i="10" s="1"/>
  <c r="BC33" i="9"/>
  <c r="M32" i="10" s="1"/>
  <c r="AZ33" i="9"/>
  <c r="L32" i="10" s="1"/>
  <c r="AR33" i="9"/>
  <c r="K32" i="10" s="1"/>
  <c r="AI33" i="9"/>
  <c r="I32" i="10" s="1"/>
  <c r="AE33" i="9"/>
  <c r="H32" i="10" s="1"/>
  <c r="AB33" i="9"/>
  <c r="F32" i="10" s="1"/>
  <c r="V33" i="9"/>
  <c r="E32" i="10" s="1"/>
  <c r="T33" i="9"/>
  <c r="Q33" i="9"/>
  <c r="R33" i="9" s="1"/>
  <c r="N33" i="9"/>
  <c r="C32" i="10" s="1"/>
  <c r="K33" i="9"/>
  <c r="F33" i="9"/>
  <c r="D33" i="9"/>
  <c r="C33" i="9"/>
  <c r="KE32" i="9"/>
  <c r="KB32" i="9"/>
  <c r="JY32" i="9"/>
  <c r="JV32" i="9"/>
  <c r="JS32" i="9"/>
  <c r="JP32" i="9"/>
  <c r="JM32" i="9"/>
  <c r="JJ32" i="9"/>
  <c r="JG32" i="9"/>
  <c r="JD32" i="9"/>
  <c r="JA32" i="9"/>
  <c r="IX32" i="9"/>
  <c r="IU32" i="9"/>
  <c r="IR32" i="9"/>
  <c r="IO32" i="9"/>
  <c r="IL32" i="9"/>
  <c r="HM32" i="9"/>
  <c r="BY31" i="10" s="1"/>
  <c r="HE32" i="9"/>
  <c r="GW32" i="9"/>
  <c r="GS32" i="9"/>
  <c r="BF31" i="10" s="1"/>
  <c r="GP32" i="9"/>
  <c r="BE31" i="10" s="1"/>
  <c r="GM32" i="9"/>
  <c r="BC31" i="10" s="1"/>
  <c r="GJ32" i="9"/>
  <c r="AX31" i="10" s="1"/>
  <c r="GD32" i="9"/>
  <c r="FX32" i="9"/>
  <c r="AP31" i="10" s="1"/>
  <c r="FS32" i="9"/>
  <c r="FP32" i="9"/>
  <c r="FA69" i="9" s="1"/>
  <c r="FJ32" i="9"/>
  <c r="BA31" i="10" s="1"/>
  <c r="FC32" i="9"/>
  <c r="EZ32" i="9"/>
  <c r="EZ69" i="9" s="1"/>
  <c r="EW32" i="9"/>
  <c r="AV31" i="10" s="1"/>
  <c r="ET32" i="9"/>
  <c r="AU31" i="10" s="1"/>
  <c r="EM32" i="9"/>
  <c r="AN31" i="10" s="1"/>
  <c r="EJ32" i="9"/>
  <c r="AM31" i="10" s="1"/>
  <c r="DZ32" i="9"/>
  <c r="AI31" i="10" s="1"/>
  <c r="DW32" i="9"/>
  <c r="AH31" i="10" s="1"/>
  <c r="DT32" i="9"/>
  <c r="DR32" i="9"/>
  <c r="AD31" i="10" s="1"/>
  <c r="DE32" i="9"/>
  <c r="DF32" i="9" s="1"/>
  <c r="DA32" i="9"/>
  <c r="X31" i="10" s="1"/>
  <c r="CW32" i="9"/>
  <c r="W31" i="10" s="1"/>
  <c r="CO32" i="9"/>
  <c r="T31" i="10" s="1"/>
  <c r="CH32" i="9"/>
  <c r="R31" i="10" s="1"/>
  <c r="CD32" i="9"/>
  <c r="P31" i="10" s="1"/>
  <c r="CA32" i="9"/>
  <c r="O31" i="10" s="1"/>
  <c r="BW32" i="9"/>
  <c r="BX32" i="9" s="1"/>
  <c r="BT32" i="9"/>
  <c r="BR32" i="9"/>
  <c r="Z31" i="10" s="1"/>
  <c r="BP32" i="9"/>
  <c r="BN32" i="9"/>
  <c r="BL32" i="9"/>
  <c r="BJ32" i="9"/>
  <c r="AB31" i="10" s="1"/>
  <c r="BG32" i="9"/>
  <c r="AA31" i="10" s="1"/>
  <c r="BC32" i="9"/>
  <c r="M31" i="10" s="1"/>
  <c r="AZ32" i="9"/>
  <c r="L31" i="10" s="1"/>
  <c r="AR32" i="9"/>
  <c r="K31" i="10" s="1"/>
  <c r="AI32" i="9"/>
  <c r="AE32" i="9"/>
  <c r="H31" i="10" s="1"/>
  <c r="AB32" i="9"/>
  <c r="F31" i="10" s="1"/>
  <c r="V32" i="9"/>
  <c r="E31" i="10" s="1"/>
  <c r="T32" i="9"/>
  <c r="D31" i="10" s="1"/>
  <c r="Q32" i="9"/>
  <c r="N32" i="9"/>
  <c r="C31" i="10" s="1"/>
  <c r="K32" i="9"/>
  <c r="F32" i="9"/>
  <c r="D32" i="9"/>
  <c r="C32" i="9"/>
  <c r="KE31" i="9"/>
  <c r="KB31" i="9"/>
  <c r="JY31" i="9"/>
  <c r="JV31" i="9"/>
  <c r="JS31" i="9"/>
  <c r="JP31" i="9"/>
  <c r="JM31" i="9"/>
  <c r="JJ31" i="9"/>
  <c r="JG31" i="9"/>
  <c r="JD31" i="9"/>
  <c r="JA31" i="9"/>
  <c r="IX31" i="9"/>
  <c r="IU31" i="9"/>
  <c r="IR31" i="9"/>
  <c r="IO31" i="9"/>
  <c r="IL31" i="9"/>
  <c r="HM31" i="9"/>
  <c r="BY30" i="10" s="1"/>
  <c r="HE31" i="9"/>
  <c r="GW31" i="9"/>
  <c r="GS31" i="9"/>
  <c r="BF30" i="10" s="1"/>
  <c r="GP31" i="9"/>
  <c r="BE30" i="10" s="1"/>
  <c r="GM31" i="9"/>
  <c r="BC30" i="10" s="1"/>
  <c r="GJ31" i="9"/>
  <c r="AX30" i="10" s="1"/>
  <c r="GD31" i="9"/>
  <c r="FX31" i="9"/>
  <c r="AP30" i="10" s="1"/>
  <c r="FS31" i="9"/>
  <c r="FP31" i="9"/>
  <c r="FA68" i="9" s="1"/>
  <c r="FJ31" i="9"/>
  <c r="BA30" i="10" s="1"/>
  <c r="FC31" i="9"/>
  <c r="EZ31" i="9"/>
  <c r="EZ68" i="9" s="1"/>
  <c r="EW31" i="9"/>
  <c r="AV30" i="10" s="1"/>
  <c r="ET31" i="9"/>
  <c r="AU30" i="10" s="1"/>
  <c r="EM31" i="9"/>
  <c r="AN30" i="10" s="1"/>
  <c r="EJ31" i="9"/>
  <c r="AM30" i="10" s="1"/>
  <c r="DZ31" i="9"/>
  <c r="AI30" i="10" s="1"/>
  <c r="DW31" i="9"/>
  <c r="DT31" i="9"/>
  <c r="IH31" i="9" s="1"/>
  <c r="CF30" i="10" s="1"/>
  <c r="DR31" i="9"/>
  <c r="AD30" i="10" s="1"/>
  <c r="DE31" i="9"/>
  <c r="DA31" i="9"/>
  <c r="X30" i="10" s="1"/>
  <c r="CW31" i="9"/>
  <c r="W30" i="10" s="1"/>
  <c r="CO31" i="9"/>
  <c r="T30" i="10" s="1"/>
  <c r="CH31" i="9"/>
  <c r="R30" i="10" s="1"/>
  <c r="Q30" i="10"/>
  <c r="CD31" i="9"/>
  <c r="P30" i="10" s="1"/>
  <c r="CA31" i="9"/>
  <c r="O30" i="10" s="1"/>
  <c r="BW31" i="9"/>
  <c r="BX31" i="9" s="1"/>
  <c r="BT31" i="9"/>
  <c r="BR31" i="9"/>
  <c r="Z30" i="10" s="1"/>
  <c r="BP31" i="9"/>
  <c r="BN31" i="9"/>
  <c r="BL31" i="9"/>
  <c r="BJ31" i="9"/>
  <c r="AB30" i="10" s="1"/>
  <c r="BG31" i="9"/>
  <c r="AA30" i="10" s="1"/>
  <c r="BC31" i="9"/>
  <c r="M30" i="10" s="1"/>
  <c r="AZ31" i="9"/>
  <c r="L30" i="10" s="1"/>
  <c r="AR31" i="9"/>
  <c r="AI31" i="9"/>
  <c r="I30" i="10" s="1"/>
  <c r="AE31" i="9"/>
  <c r="H30" i="10" s="1"/>
  <c r="AB31" i="9"/>
  <c r="F30" i="10" s="1"/>
  <c r="V31" i="9"/>
  <c r="E30" i="10" s="1"/>
  <c r="T31" i="9"/>
  <c r="D30" i="10" s="1"/>
  <c r="Q31" i="9"/>
  <c r="N31" i="9"/>
  <c r="C30" i="10" s="1"/>
  <c r="K31" i="9"/>
  <c r="F31" i="9"/>
  <c r="D31" i="9"/>
  <c r="C31" i="9"/>
  <c r="KE30" i="9"/>
  <c r="KB30" i="9"/>
  <c r="JY30" i="9"/>
  <c r="JV30" i="9"/>
  <c r="JS30" i="9"/>
  <c r="JP30" i="9"/>
  <c r="JM30" i="9"/>
  <c r="JJ30" i="9"/>
  <c r="JG30" i="9"/>
  <c r="JD30" i="9"/>
  <c r="JA30" i="9"/>
  <c r="IX30" i="9"/>
  <c r="IU30" i="9"/>
  <c r="IR30" i="9"/>
  <c r="IO30" i="9"/>
  <c r="IL30" i="9"/>
  <c r="HM30" i="9"/>
  <c r="BY29" i="10" s="1"/>
  <c r="HE30" i="9"/>
  <c r="GW30" i="9"/>
  <c r="GS30" i="9"/>
  <c r="GP30" i="9"/>
  <c r="BE29" i="10" s="1"/>
  <c r="GM30" i="9"/>
  <c r="BC29" i="10" s="1"/>
  <c r="GJ30" i="9"/>
  <c r="AX29" i="10" s="1"/>
  <c r="GD30" i="9"/>
  <c r="FX30" i="9"/>
  <c r="AP29" i="10" s="1"/>
  <c r="FS30" i="9"/>
  <c r="FP30" i="9"/>
  <c r="FJ30" i="9"/>
  <c r="BA29" i="10" s="1"/>
  <c r="FC30" i="9"/>
  <c r="EZ30" i="9"/>
  <c r="EZ67" i="9" s="1"/>
  <c r="EW30" i="9"/>
  <c r="AV29" i="10" s="1"/>
  <c r="ET30" i="9"/>
  <c r="AU29" i="10" s="1"/>
  <c r="EM30" i="9"/>
  <c r="AN29" i="10" s="1"/>
  <c r="EJ30" i="9"/>
  <c r="DZ30" i="9"/>
  <c r="AI29" i="10" s="1"/>
  <c r="DW30" i="9"/>
  <c r="AH29" i="10" s="1"/>
  <c r="DT30" i="9"/>
  <c r="DR30" i="9"/>
  <c r="AD29" i="10" s="1"/>
  <c r="DE30" i="9"/>
  <c r="DA30" i="9"/>
  <c r="X29" i="10" s="1"/>
  <c r="CW30" i="9"/>
  <c r="W29" i="10" s="1"/>
  <c r="CO30" i="9"/>
  <c r="T29" i="10" s="1"/>
  <c r="CH30" i="9"/>
  <c r="R29" i="10" s="1"/>
  <c r="CD30" i="9"/>
  <c r="P29" i="10" s="1"/>
  <c r="CA30" i="9"/>
  <c r="O29" i="10" s="1"/>
  <c r="BW30" i="9"/>
  <c r="BX30" i="9" s="1"/>
  <c r="BT30" i="9"/>
  <c r="BR30" i="9"/>
  <c r="Z29" i="10" s="1"/>
  <c r="BP30" i="9"/>
  <c r="BN30" i="9"/>
  <c r="BL30" i="9"/>
  <c r="BJ30" i="9"/>
  <c r="AB29" i="10" s="1"/>
  <c r="BG30" i="9"/>
  <c r="AA29" i="10" s="1"/>
  <c r="BC30" i="9"/>
  <c r="M29" i="10" s="1"/>
  <c r="AZ30" i="9"/>
  <c r="L29" i="10" s="1"/>
  <c r="AR30" i="9"/>
  <c r="K29" i="10" s="1"/>
  <c r="AI30" i="9"/>
  <c r="I29" i="10" s="1"/>
  <c r="AE30" i="9"/>
  <c r="AB30" i="9"/>
  <c r="F29" i="10" s="1"/>
  <c r="V30" i="9"/>
  <c r="E29" i="10" s="1"/>
  <c r="T30" i="9"/>
  <c r="D29" i="10" s="1"/>
  <c r="Q30" i="9"/>
  <c r="R30" i="9" s="1"/>
  <c r="N30" i="9"/>
  <c r="C29" i="10" s="1"/>
  <c r="K30" i="9"/>
  <c r="F30" i="9"/>
  <c r="D30" i="9"/>
  <c r="C30" i="9"/>
  <c r="KE29" i="9"/>
  <c r="KB29" i="9"/>
  <c r="JY29" i="9"/>
  <c r="JV29" i="9"/>
  <c r="JS29" i="9"/>
  <c r="JP29" i="9"/>
  <c r="JM29" i="9"/>
  <c r="JJ29" i="9"/>
  <c r="JG29" i="9"/>
  <c r="JD29" i="9"/>
  <c r="JA29" i="9"/>
  <c r="IX29" i="9"/>
  <c r="IU29" i="9"/>
  <c r="IR29" i="9"/>
  <c r="IO29" i="9"/>
  <c r="IL29" i="9"/>
  <c r="HM29" i="9"/>
  <c r="BY28" i="10" s="1"/>
  <c r="HE29" i="9"/>
  <c r="GW29" i="9"/>
  <c r="GS29" i="9"/>
  <c r="BF28" i="10" s="1"/>
  <c r="GP29" i="9"/>
  <c r="BE28" i="10" s="1"/>
  <c r="GM29" i="9"/>
  <c r="BC28" i="10" s="1"/>
  <c r="GJ29" i="9"/>
  <c r="AX28" i="10" s="1"/>
  <c r="GD29" i="9"/>
  <c r="FX29" i="9"/>
  <c r="AP28" i="10" s="1"/>
  <c r="FS29" i="9"/>
  <c r="FP29" i="9"/>
  <c r="FA66" i="9" s="1"/>
  <c r="FJ29" i="9"/>
  <c r="BA28" i="10" s="1"/>
  <c r="FC29" i="9"/>
  <c r="EZ29" i="9"/>
  <c r="EZ66" i="9" s="1"/>
  <c r="EW29" i="9"/>
  <c r="AV28" i="10" s="1"/>
  <c r="ET29" i="9"/>
  <c r="AU28" i="10" s="1"/>
  <c r="EM29" i="9"/>
  <c r="AN28" i="10" s="1"/>
  <c r="EJ29" i="9"/>
  <c r="AM28" i="10" s="1"/>
  <c r="DZ29" i="9"/>
  <c r="AI28" i="10" s="1"/>
  <c r="DW29" i="9"/>
  <c r="AH28" i="10" s="1"/>
  <c r="DT29" i="9"/>
  <c r="DR29" i="9"/>
  <c r="AD28" i="10" s="1"/>
  <c r="DE29" i="9"/>
  <c r="DF29" i="9" s="1"/>
  <c r="DA29" i="9"/>
  <c r="X28" i="10" s="1"/>
  <c r="CW29" i="9"/>
  <c r="W28" i="10" s="1"/>
  <c r="U28" i="10"/>
  <c r="CO29" i="9"/>
  <c r="T28" i="10" s="1"/>
  <c r="CH29" i="9"/>
  <c r="R28" i="10" s="1"/>
  <c r="CD29" i="9"/>
  <c r="P28" i="10" s="1"/>
  <c r="CA29" i="9"/>
  <c r="O28" i="10" s="1"/>
  <c r="BW29" i="9"/>
  <c r="BX29" i="9" s="1"/>
  <c r="BT29" i="9"/>
  <c r="BR29" i="9"/>
  <c r="Z28" i="10" s="1"/>
  <c r="BP29" i="9"/>
  <c r="BN29" i="9"/>
  <c r="BL29" i="9"/>
  <c r="BJ29" i="9"/>
  <c r="AB28" i="10" s="1"/>
  <c r="BG29" i="9"/>
  <c r="AA28" i="10" s="1"/>
  <c r="BC29" i="9"/>
  <c r="M28" i="10" s="1"/>
  <c r="AZ29" i="9"/>
  <c r="L28" i="10" s="1"/>
  <c r="AR29" i="9"/>
  <c r="K28" i="10" s="1"/>
  <c r="AI29" i="9"/>
  <c r="I28" i="10" s="1"/>
  <c r="AE29" i="9"/>
  <c r="H28" i="10" s="1"/>
  <c r="AB29" i="9"/>
  <c r="F28" i="10" s="1"/>
  <c r="V29" i="9"/>
  <c r="E28" i="10" s="1"/>
  <c r="T29" i="9"/>
  <c r="D28" i="10" s="1"/>
  <c r="Q29" i="9"/>
  <c r="R29" i="9" s="1"/>
  <c r="N29" i="9"/>
  <c r="C28" i="10" s="1"/>
  <c r="K29" i="9"/>
  <c r="F29" i="9"/>
  <c r="D29" i="9"/>
  <c r="C29" i="9"/>
  <c r="KE28" i="9"/>
  <c r="KB28" i="9"/>
  <c r="JY28" i="9"/>
  <c r="JV28" i="9"/>
  <c r="JS28" i="9"/>
  <c r="JP28" i="9"/>
  <c r="JM28" i="9"/>
  <c r="JJ28" i="9"/>
  <c r="JG28" i="9"/>
  <c r="JD28" i="9"/>
  <c r="JA28" i="9"/>
  <c r="IX28" i="9"/>
  <c r="IU28" i="9"/>
  <c r="IR28" i="9"/>
  <c r="IO28" i="9"/>
  <c r="IL28" i="9"/>
  <c r="HM28" i="9"/>
  <c r="BY27" i="10" s="1"/>
  <c r="HE28" i="9"/>
  <c r="GW28" i="9"/>
  <c r="GS28" i="9"/>
  <c r="BF27" i="10" s="1"/>
  <c r="GP28" i="9"/>
  <c r="BE27" i="10" s="1"/>
  <c r="GM28" i="9"/>
  <c r="GJ28" i="9"/>
  <c r="AX27" i="10" s="1"/>
  <c r="GD28" i="9"/>
  <c r="FX28" i="9"/>
  <c r="AP27" i="10" s="1"/>
  <c r="FS28" i="9"/>
  <c r="FP28" i="9"/>
  <c r="FA65" i="9" s="1"/>
  <c r="FJ28" i="9"/>
  <c r="BA27" i="10" s="1"/>
  <c r="FC28" i="9"/>
  <c r="EZ28" i="9"/>
  <c r="EZ65" i="9" s="1"/>
  <c r="EW28" i="9"/>
  <c r="AV27" i="10" s="1"/>
  <c r="ET28" i="9"/>
  <c r="AU27" i="10" s="1"/>
  <c r="EM28" i="9"/>
  <c r="AN27" i="10" s="1"/>
  <c r="EJ28" i="9"/>
  <c r="AM27" i="10" s="1"/>
  <c r="DZ28" i="9"/>
  <c r="AI27" i="10" s="1"/>
  <c r="DW28" i="9"/>
  <c r="AH27" i="10" s="1"/>
  <c r="DT28" i="9"/>
  <c r="IH28" i="9" s="1"/>
  <c r="DR28" i="9"/>
  <c r="AD27" i="10" s="1"/>
  <c r="DE28" i="9"/>
  <c r="DF28" i="9" s="1"/>
  <c r="DA28" i="9"/>
  <c r="CW28" i="9"/>
  <c r="W27" i="10" s="1"/>
  <c r="U27" i="10"/>
  <c r="CO28" i="9"/>
  <c r="T27" i="10" s="1"/>
  <c r="CH28" i="9"/>
  <c r="R27" i="10" s="1"/>
  <c r="CD28" i="9"/>
  <c r="P27" i="10" s="1"/>
  <c r="CA28" i="9"/>
  <c r="BW28" i="9"/>
  <c r="BX28" i="9" s="1"/>
  <c r="BT28" i="9"/>
  <c r="BR28" i="9"/>
  <c r="Z27" i="10" s="1"/>
  <c r="BP28" i="9"/>
  <c r="BN28" i="9"/>
  <c r="BL28" i="9"/>
  <c r="BJ28" i="9"/>
  <c r="AB27" i="10" s="1"/>
  <c r="BG28" i="9"/>
  <c r="AA27" i="10" s="1"/>
  <c r="BC28" i="9"/>
  <c r="M27" i="10" s="1"/>
  <c r="AZ28" i="9"/>
  <c r="L27" i="10" s="1"/>
  <c r="AR28" i="9"/>
  <c r="K27" i="10" s="1"/>
  <c r="AI28" i="9"/>
  <c r="I27" i="10" s="1"/>
  <c r="AE28" i="9"/>
  <c r="H27" i="10" s="1"/>
  <c r="AB28" i="9"/>
  <c r="F27" i="10" s="1"/>
  <c r="V28" i="9"/>
  <c r="T28" i="9"/>
  <c r="D27" i="10" s="1"/>
  <c r="Q28" i="9"/>
  <c r="R28" i="9" s="1"/>
  <c r="N28" i="9"/>
  <c r="C27" i="10" s="1"/>
  <c r="K28" i="9"/>
  <c r="F28" i="9"/>
  <c r="D28" i="9"/>
  <c r="C28" i="9"/>
  <c r="KE27" i="9"/>
  <c r="KB27" i="9"/>
  <c r="JY27" i="9"/>
  <c r="JV27" i="9"/>
  <c r="JS27" i="9"/>
  <c r="JP27" i="9"/>
  <c r="JM27" i="9"/>
  <c r="JJ27" i="9"/>
  <c r="JG27" i="9"/>
  <c r="JD27" i="9"/>
  <c r="JA27" i="9"/>
  <c r="IX27" i="9"/>
  <c r="IU27" i="9"/>
  <c r="IR27" i="9"/>
  <c r="IO27" i="9"/>
  <c r="IL27" i="9"/>
  <c r="HM27" i="9"/>
  <c r="BY26" i="10" s="1"/>
  <c r="HE27" i="9"/>
  <c r="GW27" i="9"/>
  <c r="GS27" i="9"/>
  <c r="BF26" i="10" s="1"/>
  <c r="GP27" i="9"/>
  <c r="BE26" i="10" s="1"/>
  <c r="GM27" i="9"/>
  <c r="BC26" i="10" s="1"/>
  <c r="GJ27" i="9"/>
  <c r="AX26" i="10" s="1"/>
  <c r="GD27" i="9"/>
  <c r="FX27" i="9"/>
  <c r="AP26" i="10" s="1"/>
  <c r="FS27" i="9"/>
  <c r="FP27" i="9"/>
  <c r="FA64" i="9" s="1"/>
  <c r="FJ27" i="9"/>
  <c r="BA26" i="10" s="1"/>
  <c r="FC27" i="9"/>
  <c r="EZ27" i="9"/>
  <c r="EZ64" i="9" s="1"/>
  <c r="EW27" i="9"/>
  <c r="AV26" i="10" s="1"/>
  <c r="ET27" i="9"/>
  <c r="AU26" i="10" s="1"/>
  <c r="EM27" i="9"/>
  <c r="AN26" i="10" s="1"/>
  <c r="EJ27" i="9"/>
  <c r="AM26" i="10" s="1"/>
  <c r="DZ27" i="9"/>
  <c r="AI26" i="10" s="1"/>
  <c r="DW27" i="9"/>
  <c r="DT27" i="9"/>
  <c r="DR27" i="9"/>
  <c r="AD26" i="10" s="1"/>
  <c r="DE27" i="9"/>
  <c r="DF27" i="9" s="1"/>
  <c r="DA27" i="9"/>
  <c r="X26" i="10" s="1"/>
  <c r="CW27" i="9"/>
  <c r="CO27" i="9"/>
  <c r="T26" i="10" s="1"/>
  <c r="CH27" i="9"/>
  <c r="R26" i="10" s="1"/>
  <c r="CD27" i="9"/>
  <c r="P26" i="10" s="1"/>
  <c r="CA27" i="9"/>
  <c r="O26" i="10" s="1"/>
  <c r="BW27" i="9"/>
  <c r="BX27" i="9" s="1"/>
  <c r="BT27" i="9"/>
  <c r="BR27" i="9"/>
  <c r="Z26" i="10" s="1"/>
  <c r="BP27" i="9"/>
  <c r="BN27" i="9"/>
  <c r="BL27" i="9"/>
  <c r="BJ27" i="9"/>
  <c r="AB26" i="10" s="1"/>
  <c r="BG27" i="9"/>
  <c r="AA26" i="10" s="1"/>
  <c r="BC27" i="9"/>
  <c r="M26" i="10" s="1"/>
  <c r="AZ27" i="9"/>
  <c r="L26" i="10" s="1"/>
  <c r="AR27" i="9"/>
  <c r="K26" i="10" s="1"/>
  <c r="AI27" i="9"/>
  <c r="I26" i="10" s="1"/>
  <c r="AE27" i="9"/>
  <c r="H26" i="10" s="1"/>
  <c r="AB27" i="9"/>
  <c r="F26" i="10" s="1"/>
  <c r="V27" i="9"/>
  <c r="E26" i="10" s="1"/>
  <c r="T27" i="9"/>
  <c r="Q27" i="9"/>
  <c r="N27" i="9"/>
  <c r="C26" i="10" s="1"/>
  <c r="K27" i="9"/>
  <c r="F27" i="9"/>
  <c r="D27" i="9"/>
  <c r="C27" i="9"/>
  <c r="KE26" i="9"/>
  <c r="KB26" i="9"/>
  <c r="JY26" i="9"/>
  <c r="JV26" i="9"/>
  <c r="JS26" i="9"/>
  <c r="JP26" i="9"/>
  <c r="JM26" i="9"/>
  <c r="JJ26" i="9"/>
  <c r="JG26" i="9"/>
  <c r="JD26" i="9"/>
  <c r="JA26" i="9"/>
  <c r="IX26" i="9"/>
  <c r="IU26" i="9"/>
  <c r="IR26" i="9"/>
  <c r="IO26" i="9"/>
  <c r="IL26" i="9"/>
  <c r="HM26" i="9"/>
  <c r="BY25" i="10" s="1"/>
  <c r="HE26" i="9"/>
  <c r="GS26" i="9"/>
  <c r="GP26" i="9"/>
  <c r="BE25" i="10" s="1"/>
  <c r="GM26" i="9"/>
  <c r="BC25" i="10" s="1"/>
  <c r="GJ26" i="9"/>
  <c r="GD26" i="9"/>
  <c r="FX26" i="9"/>
  <c r="AP25" i="10" s="1"/>
  <c r="FS26" i="9"/>
  <c r="FP26" i="9"/>
  <c r="FA63" i="9" s="1"/>
  <c r="FJ26" i="9"/>
  <c r="BA25" i="10" s="1"/>
  <c r="FC26" i="9"/>
  <c r="EZ26" i="9"/>
  <c r="EZ63" i="9" s="1"/>
  <c r="EW26" i="9"/>
  <c r="AV25" i="10" s="1"/>
  <c r="ET26" i="9"/>
  <c r="AU25" i="10" s="1"/>
  <c r="EM26" i="9"/>
  <c r="AN25" i="10" s="1"/>
  <c r="EJ26" i="9"/>
  <c r="AM25" i="10" s="1"/>
  <c r="DZ26" i="9"/>
  <c r="DW26" i="9"/>
  <c r="AH25" i="10" s="1"/>
  <c r="DT26" i="9"/>
  <c r="DR26" i="9"/>
  <c r="AD25" i="10" s="1"/>
  <c r="DE26" i="9"/>
  <c r="DA26" i="9"/>
  <c r="X25" i="10" s="1"/>
  <c r="CW26" i="9"/>
  <c r="U25" i="10"/>
  <c r="T25" i="10"/>
  <c r="CH26" i="9"/>
  <c r="R25" i="10" s="1"/>
  <c r="CD26" i="9"/>
  <c r="P25" i="10" s="1"/>
  <c r="CA26" i="9"/>
  <c r="O25" i="10" s="1"/>
  <c r="BW26" i="9"/>
  <c r="BX26" i="9" s="1"/>
  <c r="BT26" i="9"/>
  <c r="BR26" i="9"/>
  <c r="Z25" i="10" s="1"/>
  <c r="BP26" i="9"/>
  <c r="BN26" i="9"/>
  <c r="BL26" i="9"/>
  <c r="BJ26" i="9"/>
  <c r="AB25" i="10" s="1"/>
  <c r="BG26" i="9"/>
  <c r="AA25" i="10" s="1"/>
  <c r="BC26" i="9"/>
  <c r="M25" i="10" s="1"/>
  <c r="AZ26" i="9"/>
  <c r="L25" i="10" s="1"/>
  <c r="AR26" i="9"/>
  <c r="K25" i="10" s="1"/>
  <c r="AI26" i="9"/>
  <c r="I25" i="10" s="1"/>
  <c r="AE26" i="9"/>
  <c r="H25" i="10" s="1"/>
  <c r="AB26" i="9"/>
  <c r="F25" i="10" s="1"/>
  <c r="V26" i="9"/>
  <c r="E25" i="10" s="1"/>
  <c r="T26" i="9"/>
  <c r="Q26" i="9"/>
  <c r="R26" i="9" s="1"/>
  <c r="N26" i="9"/>
  <c r="C25" i="10" s="1"/>
  <c r="K26" i="9"/>
  <c r="F26" i="9"/>
  <c r="D26" i="9"/>
  <c r="C26" i="9"/>
  <c r="KE25" i="9"/>
  <c r="KB25" i="9"/>
  <c r="JY25" i="9"/>
  <c r="JV25" i="9"/>
  <c r="JS25" i="9"/>
  <c r="JP25" i="9"/>
  <c r="JM25" i="9"/>
  <c r="JJ25" i="9"/>
  <c r="JG25" i="9"/>
  <c r="JD25" i="9"/>
  <c r="JA25" i="9"/>
  <c r="IX25" i="9"/>
  <c r="IU25" i="9"/>
  <c r="IR25" i="9"/>
  <c r="IO25" i="9"/>
  <c r="IL25" i="9"/>
  <c r="HM25" i="9"/>
  <c r="BY24" i="10" s="1"/>
  <c r="HE25" i="9"/>
  <c r="GW25" i="9"/>
  <c r="GS25" i="9"/>
  <c r="BF24" i="10" s="1"/>
  <c r="GP25" i="9"/>
  <c r="BE24" i="10" s="1"/>
  <c r="GM25" i="9"/>
  <c r="BC24" i="10" s="1"/>
  <c r="GJ25" i="9"/>
  <c r="AX24" i="10" s="1"/>
  <c r="GD25" i="9"/>
  <c r="FX25" i="9"/>
  <c r="AP24" i="10" s="1"/>
  <c r="FS25" i="9"/>
  <c r="FP25" i="9"/>
  <c r="FA62" i="9" s="1"/>
  <c r="FJ25" i="9"/>
  <c r="BA24" i="10" s="1"/>
  <c r="FC25" i="9"/>
  <c r="EZ25" i="9"/>
  <c r="EZ62" i="9" s="1"/>
  <c r="EW25" i="9"/>
  <c r="ET25" i="9"/>
  <c r="AU24" i="10" s="1"/>
  <c r="EM25" i="9"/>
  <c r="AN24" i="10" s="1"/>
  <c r="EJ25" i="9"/>
  <c r="AM24" i="10" s="1"/>
  <c r="DZ25" i="9"/>
  <c r="AI24" i="10" s="1"/>
  <c r="DW25" i="9"/>
  <c r="DT25" i="9"/>
  <c r="DR25" i="9"/>
  <c r="AD24" i="10" s="1"/>
  <c r="DE25" i="9"/>
  <c r="DF25" i="9" s="1"/>
  <c r="CO25" i="9"/>
  <c r="T24" i="10" s="1"/>
  <c r="CH25" i="9"/>
  <c r="R24" i="10" s="1"/>
  <c r="CD25" i="9"/>
  <c r="P24" i="10" s="1"/>
  <c r="CA25" i="9"/>
  <c r="O24" i="10" s="1"/>
  <c r="BW25" i="9"/>
  <c r="BX25" i="9" s="1"/>
  <c r="BT25" i="9"/>
  <c r="BR25" i="9"/>
  <c r="Z24" i="10" s="1"/>
  <c r="BP25" i="9"/>
  <c r="BN25" i="9"/>
  <c r="BL25" i="9"/>
  <c r="BJ25" i="9"/>
  <c r="AB24" i="10" s="1"/>
  <c r="BG25" i="9"/>
  <c r="AA24" i="10" s="1"/>
  <c r="BC25" i="9"/>
  <c r="M24" i="10" s="1"/>
  <c r="AZ25" i="9"/>
  <c r="L24" i="10" s="1"/>
  <c r="AR25" i="9"/>
  <c r="K24" i="10" s="1"/>
  <c r="AI25" i="9"/>
  <c r="I24" i="10" s="1"/>
  <c r="AE25" i="9"/>
  <c r="AB25" i="9"/>
  <c r="F24" i="10" s="1"/>
  <c r="V25" i="9"/>
  <c r="E24" i="10" s="1"/>
  <c r="T25" i="9"/>
  <c r="D24" i="10" s="1"/>
  <c r="Q25" i="9"/>
  <c r="R25" i="9" s="1"/>
  <c r="N25" i="9"/>
  <c r="C24" i="10" s="1"/>
  <c r="K25" i="9"/>
  <c r="F25" i="9"/>
  <c r="D25" i="9"/>
  <c r="C25" i="9"/>
  <c r="KE24" i="9"/>
  <c r="KB24" i="9"/>
  <c r="JY24" i="9"/>
  <c r="JV24" i="9"/>
  <c r="JS24" i="9"/>
  <c r="JP24" i="9"/>
  <c r="JM24" i="9"/>
  <c r="JJ24" i="9"/>
  <c r="JG24" i="9"/>
  <c r="JD24" i="9"/>
  <c r="JA24" i="9"/>
  <c r="IX24" i="9"/>
  <c r="IU24" i="9"/>
  <c r="IR24" i="9"/>
  <c r="IO24" i="9"/>
  <c r="IL24" i="9"/>
  <c r="HM24" i="9"/>
  <c r="BY23" i="10" s="1"/>
  <c r="HE24" i="9"/>
  <c r="GW24" i="9"/>
  <c r="GS24" i="9"/>
  <c r="BF23" i="10" s="1"/>
  <c r="GP24" i="9"/>
  <c r="BE23" i="10" s="1"/>
  <c r="GM24" i="9"/>
  <c r="BC23" i="10" s="1"/>
  <c r="GJ24" i="9"/>
  <c r="AX23" i="10" s="1"/>
  <c r="GD24" i="9"/>
  <c r="FX24" i="9"/>
  <c r="AP23" i="10" s="1"/>
  <c r="FS24" i="9"/>
  <c r="FP24" i="9"/>
  <c r="FA61" i="9" s="1"/>
  <c r="FJ24" i="9"/>
  <c r="BA23" i="10" s="1"/>
  <c r="FC24" i="9"/>
  <c r="EZ24" i="9"/>
  <c r="EZ61" i="9" s="1"/>
  <c r="EW24" i="9"/>
  <c r="AV23" i="10" s="1"/>
  <c r="ET24" i="9"/>
  <c r="AU23" i="10" s="1"/>
  <c r="EM24" i="9"/>
  <c r="AN23" i="10" s="1"/>
  <c r="EJ24" i="9"/>
  <c r="AM23" i="10" s="1"/>
  <c r="DZ24" i="9"/>
  <c r="AI23" i="10" s="1"/>
  <c r="DW24" i="9"/>
  <c r="AH23" i="10" s="1"/>
  <c r="DT24" i="9"/>
  <c r="DR24" i="9"/>
  <c r="AD23" i="10" s="1"/>
  <c r="DE24" i="9"/>
  <c r="DF24" i="9" s="1"/>
  <c r="U23" i="10"/>
  <c r="CO24" i="9"/>
  <c r="CH24" i="9"/>
  <c r="R23" i="10" s="1"/>
  <c r="CD24" i="9"/>
  <c r="P23" i="10" s="1"/>
  <c r="CA24" i="9"/>
  <c r="CB24" i="9" s="1"/>
  <c r="BW24" i="9"/>
  <c r="BX24" i="9" s="1"/>
  <c r="BT24" i="9"/>
  <c r="BR24" i="9"/>
  <c r="Z23" i="10" s="1"/>
  <c r="BP24" i="9"/>
  <c r="BN24" i="9"/>
  <c r="BL24" i="9"/>
  <c r="BJ24" i="9"/>
  <c r="AB23" i="10" s="1"/>
  <c r="BG24" i="9"/>
  <c r="AA23" i="10" s="1"/>
  <c r="BC24" i="9"/>
  <c r="M23" i="10" s="1"/>
  <c r="AZ24" i="9"/>
  <c r="L23" i="10" s="1"/>
  <c r="AR24" i="9"/>
  <c r="K23" i="10" s="1"/>
  <c r="AI24" i="9"/>
  <c r="I23" i="10" s="1"/>
  <c r="AE24" i="9"/>
  <c r="H23" i="10" s="1"/>
  <c r="AB24" i="9"/>
  <c r="F23" i="10" s="1"/>
  <c r="V24" i="9"/>
  <c r="E23" i="10" s="1"/>
  <c r="T24" i="9"/>
  <c r="D23" i="10" s="1"/>
  <c r="Q24" i="9"/>
  <c r="R24" i="9" s="1"/>
  <c r="N24" i="9"/>
  <c r="C23" i="10" s="1"/>
  <c r="K24" i="9"/>
  <c r="F24" i="9"/>
  <c r="D24" i="9"/>
  <c r="C24" i="9"/>
  <c r="KE23" i="9"/>
  <c r="KB23" i="9"/>
  <c r="JY23" i="9"/>
  <c r="JV23" i="9"/>
  <c r="JS23" i="9"/>
  <c r="JP23" i="9"/>
  <c r="JM23" i="9"/>
  <c r="JJ23" i="9"/>
  <c r="JG23" i="9"/>
  <c r="JD23" i="9"/>
  <c r="JA23" i="9"/>
  <c r="IX23" i="9"/>
  <c r="IU23" i="9"/>
  <c r="IR23" i="9"/>
  <c r="IO23" i="9"/>
  <c r="IL23" i="9"/>
  <c r="HM23" i="9"/>
  <c r="BY22" i="10" s="1"/>
  <c r="HE23" i="9"/>
  <c r="GW23" i="9"/>
  <c r="GS23" i="9"/>
  <c r="BF22" i="10" s="1"/>
  <c r="GP23" i="9"/>
  <c r="BE22" i="10" s="1"/>
  <c r="GM23" i="9"/>
  <c r="BC22" i="10" s="1"/>
  <c r="GJ23" i="9"/>
  <c r="GD23" i="9"/>
  <c r="FX23" i="9"/>
  <c r="AP22" i="10" s="1"/>
  <c r="FS23" i="9"/>
  <c r="FP23" i="9"/>
  <c r="FA60" i="9" s="1"/>
  <c r="FJ23" i="9"/>
  <c r="BA22" i="10" s="1"/>
  <c r="FC23" i="9"/>
  <c r="EZ23" i="9"/>
  <c r="EZ60" i="9" s="1"/>
  <c r="EW23" i="9"/>
  <c r="AV22" i="10" s="1"/>
  <c r="ET23" i="9"/>
  <c r="AU22" i="10" s="1"/>
  <c r="EM23" i="9"/>
  <c r="AN22" i="10" s="1"/>
  <c r="EJ23" i="9"/>
  <c r="AM22" i="10" s="1"/>
  <c r="DZ23" i="9"/>
  <c r="AI22" i="10" s="1"/>
  <c r="DW23" i="9"/>
  <c r="DT23" i="9"/>
  <c r="DR23" i="9"/>
  <c r="AD22" i="10" s="1"/>
  <c r="DE23" i="9"/>
  <c r="DF23" i="9" s="1"/>
  <c r="CW23" i="9"/>
  <c r="W22" i="10" s="1"/>
  <c r="CO23" i="9"/>
  <c r="T22" i="10" s="1"/>
  <c r="CH23" i="9"/>
  <c r="R22" i="10" s="1"/>
  <c r="CD23" i="9"/>
  <c r="P22" i="10" s="1"/>
  <c r="CA23" i="9"/>
  <c r="O22" i="10" s="1"/>
  <c r="BW23" i="9"/>
  <c r="BX23" i="9" s="1"/>
  <c r="BT23" i="9"/>
  <c r="BR23" i="9"/>
  <c r="Z22" i="10" s="1"/>
  <c r="BP23" i="9"/>
  <c r="BN23" i="9"/>
  <c r="BL23" i="9"/>
  <c r="BJ23" i="9"/>
  <c r="AB22" i="10" s="1"/>
  <c r="BG23" i="9"/>
  <c r="AA22" i="10" s="1"/>
  <c r="BC23" i="9"/>
  <c r="M22" i="10" s="1"/>
  <c r="AZ23" i="9"/>
  <c r="L22" i="10" s="1"/>
  <c r="AR23" i="9"/>
  <c r="AI23" i="9"/>
  <c r="I22" i="10" s="1"/>
  <c r="AE23" i="9"/>
  <c r="H22" i="10" s="1"/>
  <c r="AB23" i="9"/>
  <c r="F22" i="10" s="1"/>
  <c r="V23" i="9"/>
  <c r="E22" i="10" s="1"/>
  <c r="T23" i="9"/>
  <c r="D22" i="10" s="1"/>
  <c r="Q23" i="9"/>
  <c r="R23" i="9" s="1"/>
  <c r="K23" i="9"/>
  <c r="F23" i="9"/>
  <c r="D23" i="9"/>
  <c r="C23" i="9"/>
  <c r="KE22" i="9"/>
  <c r="KB22" i="9"/>
  <c r="JY22" i="9"/>
  <c r="JV22" i="9"/>
  <c r="JS22" i="9"/>
  <c r="JP22" i="9"/>
  <c r="JM22" i="9"/>
  <c r="JJ22" i="9"/>
  <c r="JG22" i="9"/>
  <c r="JD22" i="9"/>
  <c r="JA22" i="9"/>
  <c r="IX22" i="9"/>
  <c r="IU22" i="9"/>
  <c r="IR22" i="9"/>
  <c r="IO22" i="9"/>
  <c r="IL22" i="9"/>
  <c r="HM22" i="9"/>
  <c r="BY21" i="10" s="1"/>
  <c r="HE22" i="9"/>
  <c r="GW22" i="9"/>
  <c r="GS22" i="9"/>
  <c r="BF21" i="10" s="1"/>
  <c r="GP22" i="9"/>
  <c r="BE21" i="10" s="1"/>
  <c r="GM22" i="9"/>
  <c r="BC21" i="10" s="1"/>
  <c r="GJ22" i="9"/>
  <c r="GD22" i="9"/>
  <c r="FX22" i="9"/>
  <c r="AP21" i="10" s="1"/>
  <c r="FS22" i="9"/>
  <c r="FP22" i="9"/>
  <c r="FA59" i="9" s="1"/>
  <c r="FJ22" i="9"/>
  <c r="BA21" i="10" s="1"/>
  <c r="FC22" i="9"/>
  <c r="EZ22" i="9"/>
  <c r="EZ59" i="9" s="1"/>
  <c r="EW22" i="9"/>
  <c r="AV21" i="10" s="1"/>
  <c r="ET22" i="9"/>
  <c r="AU21" i="10" s="1"/>
  <c r="EM22" i="9"/>
  <c r="AN21" i="10" s="1"/>
  <c r="EJ22" i="9"/>
  <c r="AM21" i="10" s="1"/>
  <c r="DZ22" i="9"/>
  <c r="AI21" i="10" s="1"/>
  <c r="DW22" i="9"/>
  <c r="AH21" i="10" s="1"/>
  <c r="DT22" i="9"/>
  <c r="DR22" i="9"/>
  <c r="AD21" i="10" s="1"/>
  <c r="DE22" i="9"/>
  <c r="DA22" i="9"/>
  <c r="X21" i="10" s="1"/>
  <c r="CW22" i="9"/>
  <c r="CO22" i="9"/>
  <c r="T21" i="10" s="1"/>
  <c r="CH22" i="9"/>
  <c r="R21" i="10" s="1"/>
  <c r="Q21" i="10"/>
  <c r="CD22" i="9"/>
  <c r="P21" i="10" s="1"/>
  <c r="CA22" i="9"/>
  <c r="BW22" i="9"/>
  <c r="BX22" i="9" s="1"/>
  <c r="BT22" i="9"/>
  <c r="BR22" i="9"/>
  <c r="Z21" i="10" s="1"/>
  <c r="BP22" i="9"/>
  <c r="BN22" i="9"/>
  <c r="BL22" i="9"/>
  <c r="BJ22" i="9"/>
  <c r="AB21" i="10" s="1"/>
  <c r="BG22" i="9"/>
  <c r="AA21" i="10" s="1"/>
  <c r="BC22" i="9"/>
  <c r="M21" i="10" s="1"/>
  <c r="AZ22" i="9"/>
  <c r="L21" i="10" s="1"/>
  <c r="AR22" i="9"/>
  <c r="K21" i="10" s="1"/>
  <c r="AI22" i="9"/>
  <c r="I21" i="10" s="1"/>
  <c r="AE22" i="9"/>
  <c r="H21" i="10" s="1"/>
  <c r="AB22" i="9"/>
  <c r="F21" i="10" s="1"/>
  <c r="V22" i="9"/>
  <c r="E21" i="10" s="1"/>
  <c r="T22" i="9"/>
  <c r="Q22" i="9"/>
  <c r="R22" i="9" s="1"/>
  <c r="N22" i="9"/>
  <c r="C21" i="10" s="1"/>
  <c r="K22" i="9"/>
  <c r="F22" i="9"/>
  <c r="D22" i="9"/>
  <c r="C22" i="9"/>
  <c r="KE21" i="9"/>
  <c r="KB21" i="9"/>
  <c r="JY21" i="9"/>
  <c r="JV21" i="9"/>
  <c r="JS21" i="9"/>
  <c r="JP21" i="9"/>
  <c r="JM21" i="9"/>
  <c r="JJ21" i="9"/>
  <c r="JG21" i="9"/>
  <c r="JD21" i="9"/>
  <c r="JA21" i="9"/>
  <c r="IX21" i="9"/>
  <c r="IU21" i="9"/>
  <c r="IR21" i="9"/>
  <c r="IO21" i="9"/>
  <c r="IL21" i="9"/>
  <c r="HM21" i="9"/>
  <c r="BY20" i="10" s="1"/>
  <c r="HE21" i="9"/>
  <c r="GW21" i="9"/>
  <c r="GS21" i="9"/>
  <c r="BF20" i="10" s="1"/>
  <c r="GP21" i="9"/>
  <c r="BE20" i="10" s="1"/>
  <c r="GM21" i="9"/>
  <c r="BC20" i="10" s="1"/>
  <c r="GJ21" i="9"/>
  <c r="AX20" i="10" s="1"/>
  <c r="GD21" i="9"/>
  <c r="FX21" i="9"/>
  <c r="AP20" i="10" s="1"/>
  <c r="FS21" i="9"/>
  <c r="FP21" i="9"/>
  <c r="FA58" i="9" s="1"/>
  <c r="FJ21" i="9"/>
  <c r="BA20" i="10" s="1"/>
  <c r="FC21" i="9"/>
  <c r="EZ21" i="9"/>
  <c r="EZ58" i="9" s="1"/>
  <c r="EW21" i="9"/>
  <c r="AV20" i="10" s="1"/>
  <c r="ET21" i="9"/>
  <c r="AU20" i="10" s="1"/>
  <c r="EM21" i="9"/>
  <c r="AN20" i="10" s="1"/>
  <c r="EJ21" i="9"/>
  <c r="AM20" i="10" s="1"/>
  <c r="DZ21" i="9"/>
  <c r="AI20" i="10" s="1"/>
  <c r="DW21" i="9"/>
  <c r="AH20" i="10" s="1"/>
  <c r="DT21" i="9"/>
  <c r="DR21" i="9"/>
  <c r="AD20" i="10" s="1"/>
  <c r="DE21" i="9"/>
  <c r="DF21" i="9" s="1"/>
  <c r="DA21" i="9"/>
  <c r="X20" i="10" s="1"/>
  <c r="CW21" i="9"/>
  <c r="W20" i="10" s="1"/>
  <c r="CO21" i="9"/>
  <c r="T20" i="10" s="1"/>
  <c r="CH21" i="9"/>
  <c r="R20" i="10" s="1"/>
  <c r="Q20" i="10"/>
  <c r="CD21" i="9"/>
  <c r="P20" i="10" s="1"/>
  <c r="CA21" i="9"/>
  <c r="O20" i="10" s="1"/>
  <c r="BW21" i="9"/>
  <c r="BX21" i="9" s="1"/>
  <c r="BT21" i="9"/>
  <c r="BR21" i="9"/>
  <c r="Z20" i="10" s="1"/>
  <c r="BP21" i="9"/>
  <c r="BN21" i="9"/>
  <c r="BL21" i="9"/>
  <c r="BJ21" i="9"/>
  <c r="AB20" i="10" s="1"/>
  <c r="BG21" i="9"/>
  <c r="AA20" i="10" s="1"/>
  <c r="BC21" i="9"/>
  <c r="M20" i="10" s="1"/>
  <c r="AZ21" i="9"/>
  <c r="L20" i="10" s="1"/>
  <c r="AR21" i="9"/>
  <c r="K20" i="10" s="1"/>
  <c r="AI21" i="9"/>
  <c r="I20" i="10" s="1"/>
  <c r="AE21" i="9"/>
  <c r="H20" i="10" s="1"/>
  <c r="AB21" i="9"/>
  <c r="F20" i="10" s="1"/>
  <c r="V21" i="9"/>
  <c r="E20" i="10" s="1"/>
  <c r="T21" i="9"/>
  <c r="D20" i="10" s="1"/>
  <c r="Q21" i="9"/>
  <c r="N21" i="9"/>
  <c r="C20" i="10" s="1"/>
  <c r="K21" i="9"/>
  <c r="F21" i="9"/>
  <c r="D21" i="9"/>
  <c r="C21" i="9"/>
  <c r="KE20" i="9"/>
  <c r="KB20" i="9"/>
  <c r="JY20" i="9"/>
  <c r="JV20" i="9"/>
  <c r="JS20" i="9"/>
  <c r="JP20" i="9"/>
  <c r="JM20" i="9"/>
  <c r="JJ20" i="9"/>
  <c r="JG20" i="9"/>
  <c r="JD20" i="9"/>
  <c r="JA20" i="9"/>
  <c r="IX20" i="9"/>
  <c r="IU20" i="9"/>
  <c r="IR20" i="9"/>
  <c r="IO20" i="9"/>
  <c r="IL20" i="9"/>
  <c r="HM20" i="9"/>
  <c r="BY19" i="10" s="1"/>
  <c r="HE20" i="9"/>
  <c r="GW20" i="9"/>
  <c r="GS20" i="9"/>
  <c r="BF19" i="10" s="1"/>
  <c r="GP20" i="9"/>
  <c r="BE19" i="10" s="1"/>
  <c r="GM20" i="9"/>
  <c r="BC19" i="10" s="1"/>
  <c r="GJ20" i="9"/>
  <c r="AX19" i="10" s="1"/>
  <c r="GD20" i="9"/>
  <c r="FX20" i="9"/>
  <c r="AP19" i="10" s="1"/>
  <c r="FS20" i="9"/>
  <c r="FP20" i="9"/>
  <c r="FA57" i="9" s="1"/>
  <c r="FJ20" i="9"/>
  <c r="BA19" i="10" s="1"/>
  <c r="FC20" i="9"/>
  <c r="EZ20" i="9"/>
  <c r="EZ57" i="9" s="1"/>
  <c r="EW20" i="9"/>
  <c r="AV19" i="10" s="1"/>
  <c r="ET20" i="9"/>
  <c r="AU19" i="10" s="1"/>
  <c r="EM20" i="9"/>
  <c r="AN19" i="10" s="1"/>
  <c r="EJ20" i="9"/>
  <c r="AM19" i="10" s="1"/>
  <c r="DZ20" i="9"/>
  <c r="DW20" i="9"/>
  <c r="AH19" i="10" s="1"/>
  <c r="DT20" i="9"/>
  <c r="DR20" i="9"/>
  <c r="AD19" i="10" s="1"/>
  <c r="DE20" i="9"/>
  <c r="DF20" i="9" s="1"/>
  <c r="DA20" i="9"/>
  <c r="X19" i="10" s="1"/>
  <c r="CW20" i="9"/>
  <c r="CO20" i="9"/>
  <c r="T19" i="10" s="1"/>
  <c r="CH20" i="9"/>
  <c r="R19" i="10" s="1"/>
  <c r="CD20" i="9"/>
  <c r="P19" i="10" s="1"/>
  <c r="CA20" i="9"/>
  <c r="O19" i="10" s="1"/>
  <c r="BW20" i="9"/>
  <c r="BX20" i="9" s="1"/>
  <c r="BT20" i="9"/>
  <c r="BR20" i="9"/>
  <c r="Z19" i="10" s="1"/>
  <c r="BP20" i="9"/>
  <c r="BN20" i="9"/>
  <c r="BL20" i="9"/>
  <c r="BJ20" i="9"/>
  <c r="AB19" i="10" s="1"/>
  <c r="BG20" i="9"/>
  <c r="AA19" i="10" s="1"/>
  <c r="BC20" i="9"/>
  <c r="M19" i="10" s="1"/>
  <c r="AZ20" i="9"/>
  <c r="L19" i="10" s="1"/>
  <c r="AR20" i="9"/>
  <c r="AI20" i="9"/>
  <c r="I19" i="10" s="1"/>
  <c r="AE20" i="9"/>
  <c r="H19" i="10" s="1"/>
  <c r="AB20" i="9"/>
  <c r="F19" i="10" s="1"/>
  <c r="V20" i="9"/>
  <c r="E19" i="10" s="1"/>
  <c r="T20" i="9"/>
  <c r="Q20" i="9"/>
  <c r="R20" i="9" s="1"/>
  <c r="N20" i="9"/>
  <c r="C19" i="10" s="1"/>
  <c r="K20" i="9"/>
  <c r="F20" i="9"/>
  <c r="D20" i="9"/>
  <c r="C20" i="9"/>
  <c r="KE19" i="9"/>
  <c r="KB19" i="9"/>
  <c r="JY19" i="9"/>
  <c r="JV19" i="9"/>
  <c r="JS19" i="9"/>
  <c r="JP19" i="9"/>
  <c r="JM19" i="9"/>
  <c r="JJ19" i="9"/>
  <c r="JG19" i="9"/>
  <c r="JD19" i="9"/>
  <c r="JA19" i="9"/>
  <c r="IX19" i="9"/>
  <c r="IU19" i="9"/>
  <c r="IR19" i="9"/>
  <c r="IO19" i="9"/>
  <c r="IL19" i="9"/>
  <c r="HM19" i="9"/>
  <c r="BY18" i="10" s="1"/>
  <c r="HE19" i="9"/>
  <c r="GW19" i="9"/>
  <c r="GS19" i="9"/>
  <c r="BF18" i="10" s="1"/>
  <c r="GP19" i="9"/>
  <c r="BE18" i="10" s="1"/>
  <c r="GM19" i="9"/>
  <c r="BC18" i="10" s="1"/>
  <c r="GJ19" i="9"/>
  <c r="AX18" i="10" s="1"/>
  <c r="GD19" i="9"/>
  <c r="FX19" i="9"/>
  <c r="AP18" i="10" s="1"/>
  <c r="FS19" i="9"/>
  <c r="FP19" i="9"/>
  <c r="FA56" i="9" s="1"/>
  <c r="FJ19" i="9"/>
  <c r="BA18" i="10" s="1"/>
  <c r="FC19" i="9"/>
  <c r="EZ19" i="9"/>
  <c r="EZ56" i="9" s="1"/>
  <c r="EW19" i="9"/>
  <c r="AV18" i="10" s="1"/>
  <c r="ET19" i="9"/>
  <c r="AU18" i="10" s="1"/>
  <c r="EM19" i="9"/>
  <c r="AN18" i="10" s="1"/>
  <c r="EJ19" i="9"/>
  <c r="AM18" i="10" s="1"/>
  <c r="DZ19" i="9"/>
  <c r="AI18" i="10" s="1"/>
  <c r="DW19" i="9"/>
  <c r="AH18" i="10" s="1"/>
  <c r="DT19" i="9"/>
  <c r="DR19" i="9"/>
  <c r="AD18" i="10" s="1"/>
  <c r="DE19" i="9"/>
  <c r="DA19" i="9"/>
  <c r="X18" i="10" s="1"/>
  <c r="CW19" i="9"/>
  <c r="W18" i="10" s="1"/>
  <c r="CO19" i="9"/>
  <c r="T18" i="10" s="1"/>
  <c r="CH19" i="9"/>
  <c r="R18" i="10" s="1"/>
  <c r="CD19" i="9"/>
  <c r="P18" i="10" s="1"/>
  <c r="CA19" i="9"/>
  <c r="O18" i="10" s="1"/>
  <c r="BW19" i="9"/>
  <c r="BX19" i="9" s="1"/>
  <c r="BT19" i="9"/>
  <c r="BR19" i="9"/>
  <c r="Z18" i="10" s="1"/>
  <c r="BP19" i="9"/>
  <c r="BN19" i="9"/>
  <c r="BL19" i="9"/>
  <c r="BJ19" i="9"/>
  <c r="AB18" i="10" s="1"/>
  <c r="BG19" i="9"/>
  <c r="AA18" i="10" s="1"/>
  <c r="BC19" i="9"/>
  <c r="M18" i="10" s="1"/>
  <c r="AZ19" i="9"/>
  <c r="L18" i="10" s="1"/>
  <c r="AR19" i="9"/>
  <c r="K18" i="10" s="1"/>
  <c r="AI19" i="9"/>
  <c r="I18" i="10" s="1"/>
  <c r="AE19" i="9"/>
  <c r="H18" i="10" s="1"/>
  <c r="AB19" i="9"/>
  <c r="F18" i="10" s="1"/>
  <c r="V19" i="9"/>
  <c r="E18" i="10" s="1"/>
  <c r="T19" i="9"/>
  <c r="D18" i="10" s="1"/>
  <c r="Q19" i="9"/>
  <c r="N19" i="9"/>
  <c r="C18" i="10" s="1"/>
  <c r="K19" i="9"/>
  <c r="F19" i="9"/>
  <c r="D19" i="9"/>
  <c r="C19" i="9"/>
  <c r="HM18" i="9"/>
  <c r="BY17" i="10" s="1"/>
  <c r="HE18" i="9"/>
  <c r="GW18" i="9"/>
  <c r="GS18" i="9"/>
  <c r="BF17" i="10" s="1"/>
  <c r="GP18" i="9"/>
  <c r="BE17" i="10" s="1"/>
  <c r="GM18" i="9"/>
  <c r="BC17" i="10" s="1"/>
  <c r="GJ18" i="9"/>
  <c r="AX17" i="10" s="1"/>
  <c r="GD18" i="9"/>
  <c r="FX18" i="9"/>
  <c r="AP17" i="10" s="1"/>
  <c r="FS18" i="9"/>
  <c r="FP18" i="9"/>
  <c r="FA55" i="9" s="1"/>
  <c r="FJ18" i="9"/>
  <c r="BA17" i="10" s="1"/>
  <c r="FC18" i="9"/>
  <c r="EZ18" i="9"/>
  <c r="EZ55" i="9" s="1"/>
  <c r="EW18" i="9"/>
  <c r="AV17" i="10" s="1"/>
  <c r="ET18" i="9"/>
  <c r="AU17" i="10" s="1"/>
  <c r="EM18" i="9"/>
  <c r="AN17" i="10" s="1"/>
  <c r="EJ18" i="9"/>
  <c r="AM17" i="10" s="1"/>
  <c r="DZ18" i="9"/>
  <c r="AI17" i="10" s="1"/>
  <c r="DW18" i="9"/>
  <c r="AH17" i="10" s="1"/>
  <c r="DT18" i="9"/>
  <c r="DR18" i="9"/>
  <c r="AD17" i="10" s="1"/>
  <c r="DE18" i="9"/>
  <c r="DF18" i="9" s="1"/>
  <c r="DA18" i="9"/>
  <c r="X17" i="10" s="1"/>
  <c r="CW18" i="9"/>
  <c r="W17" i="10" s="1"/>
  <c r="CO18" i="9"/>
  <c r="T17" i="10" s="1"/>
  <c r="CH18" i="9"/>
  <c r="R17" i="10" s="1"/>
  <c r="CD18" i="9"/>
  <c r="P17" i="10" s="1"/>
  <c r="CA18" i="9"/>
  <c r="O17" i="10" s="1"/>
  <c r="BW18" i="9"/>
  <c r="BX18" i="9" s="1"/>
  <c r="BT18" i="9"/>
  <c r="BR18" i="9"/>
  <c r="Z17" i="10" s="1"/>
  <c r="BP18" i="9"/>
  <c r="BN18" i="9"/>
  <c r="BL18" i="9"/>
  <c r="BJ18" i="9"/>
  <c r="AB17" i="10" s="1"/>
  <c r="BG18" i="9"/>
  <c r="AA17" i="10" s="1"/>
  <c r="BC18" i="9"/>
  <c r="M17" i="10" s="1"/>
  <c r="AZ18" i="9"/>
  <c r="L17" i="10" s="1"/>
  <c r="AR18" i="9"/>
  <c r="K17" i="10" s="1"/>
  <c r="AI18" i="9"/>
  <c r="AE18" i="9"/>
  <c r="H17" i="10" s="1"/>
  <c r="AB18" i="9"/>
  <c r="F17" i="10" s="1"/>
  <c r="V18" i="9"/>
  <c r="E17" i="10" s="1"/>
  <c r="T18" i="9"/>
  <c r="D17" i="10" s="1"/>
  <c r="Q18" i="9"/>
  <c r="R18" i="9" s="1"/>
  <c r="N18" i="9"/>
  <c r="C17" i="10" s="1"/>
  <c r="K18" i="9"/>
  <c r="F18" i="9"/>
  <c r="D18" i="9"/>
  <c r="C18" i="9"/>
  <c r="HM17" i="9"/>
  <c r="BY16" i="10" s="1"/>
  <c r="HE17" i="9"/>
  <c r="GW17" i="9"/>
  <c r="GS17" i="9"/>
  <c r="BF16" i="10" s="1"/>
  <c r="GP17" i="9"/>
  <c r="BE16" i="10" s="1"/>
  <c r="GM17" i="9"/>
  <c r="BC16" i="10" s="1"/>
  <c r="GJ17" i="9"/>
  <c r="AX16" i="10" s="1"/>
  <c r="GD17" i="9"/>
  <c r="FX17" i="9"/>
  <c r="AP16" i="10" s="1"/>
  <c r="FS17" i="9"/>
  <c r="FP17" i="9"/>
  <c r="FA54" i="9" s="1"/>
  <c r="FJ17" i="9"/>
  <c r="BA16" i="10" s="1"/>
  <c r="FG17" i="9"/>
  <c r="AZ16" i="10" s="1"/>
  <c r="FC17" i="9"/>
  <c r="EZ17" i="9"/>
  <c r="EZ54" i="9" s="1"/>
  <c r="EW17" i="9"/>
  <c r="AV16" i="10" s="1"/>
  <c r="ET17" i="9"/>
  <c r="AU16" i="10" s="1"/>
  <c r="EM17" i="9"/>
  <c r="AN16" i="10" s="1"/>
  <c r="EJ17" i="9"/>
  <c r="AM16" i="10" s="1"/>
  <c r="DZ17" i="9"/>
  <c r="AI16" i="10" s="1"/>
  <c r="DW17" i="9"/>
  <c r="AH16" i="10" s="1"/>
  <c r="DT17" i="9"/>
  <c r="DR17" i="9"/>
  <c r="AD16" i="10" s="1"/>
  <c r="DE17" i="9"/>
  <c r="DF17" i="9" s="1"/>
  <c r="DA17" i="9"/>
  <c r="X16" i="10" s="1"/>
  <c r="CW17" i="9"/>
  <c r="W16" i="10" s="1"/>
  <c r="CO17" i="9"/>
  <c r="T16" i="10" s="1"/>
  <c r="CH17" i="9"/>
  <c r="R16" i="10" s="1"/>
  <c r="CD17" i="9"/>
  <c r="P16" i="10" s="1"/>
  <c r="CA17" i="9"/>
  <c r="O16" i="10" s="1"/>
  <c r="BW17" i="9"/>
  <c r="BX17" i="9" s="1"/>
  <c r="BT17" i="9"/>
  <c r="BR17" i="9"/>
  <c r="Z16" i="10" s="1"/>
  <c r="BP17" i="9"/>
  <c r="BN17" i="9"/>
  <c r="BL17" i="9"/>
  <c r="BJ17" i="9"/>
  <c r="AB16" i="10" s="1"/>
  <c r="BG17" i="9"/>
  <c r="AA16" i="10" s="1"/>
  <c r="BC17" i="9"/>
  <c r="M16" i="10" s="1"/>
  <c r="AZ17" i="9"/>
  <c r="L16" i="10" s="1"/>
  <c r="AR17" i="9"/>
  <c r="K16" i="10" s="1"/>
  <c r="AI17" i="9"/>
  <c r="I16" i="10" s="1"/>
  <c r="AE17" i="9"/>
  <c r="H16" i="10" s="1"/>
  <c r="AB17" i="9"/>
  <c r="F16" i="10" s="1"/>
  <c r="V17" i="9"/>
  <c r="E16" i="10" s="1"/>
  <c r="T17" i="9"/>
  <c r="D16" i="10" s="1"/>
  <c r="Q17" i="9"/>
  <c r="N17" i="9"/>
  <c r="C16" i="10" s="1"/>
  <c r="K17" i="9"/>
  <c r="F17" i="9"/>
  <c r="D17" i="9"/>
  <c r="C17" i="9"/>
  <c r="HM16" i="9"/>
  <c r="BY15" i="10" s="1"/>
  <c r="HE16" i="9"/>
  <c r="GW16" i="9"/>
  <c r="GS16" i="9"/>
  <c r="BF15" i="10" s="1"/>
  <c r="GP16" i="9"/>
  <c r="BE15" i="10" s="1"/>
  <c r="GM16" i="9"/>
  <c r="BC15" i="10" s="1"/>
  <c r="GJ16" i="9"/>
  <c r="AX15" i="10" s="1"/>
  <c r="GD16" i="9"/>
  <c r="FX16" i="9"/>
  <c r="AP15" i="10" s="1"/>
  <c r="FS16" i="9"/>
  <c r="FP16" i="9"/>
  <c r="FA53" i="9" s="1"/>
  <c r="FJ16" i="9"/>
  <c r="BA15" i="10" s="1"/>
  <c r="FC16" i="9"/>
  <c r="EZ16" i="9"/>
  <c r="EZ53" i="9" s="1"/>
  <c r="EW16" i="9"/>
  <c r="AV15" i="10" s="1"/>
  <c r="ET16" i="9"/>
  <c r="EM16" i="9"/>
  <c r="AN15" i="10" s="1"/>
  <c r="EJ16" i="9"/>
  <c r="AM15" i="10" s="1"/>
  <c r="DZ16" i="9"/>
  <c r="AI15" i="10" s="1"/>
  <c r="DW16" i="9"/>
  <c r="AH15" i="10" s="1"/>
  <c r="DT16" i="9"/>
  <c r="IH16" i="9" s="1"/>
  <c r="DR16" i="9"/>
  <c r="AD15" i="10" s="1"/>
  <c r="DE16" i="9"/>
  <c r="DF16" i="9" s="1"/>
  <c r="U15" i="10"/>
  <c r="CO16" i="9"/>
  <c r="CH16" i="9"/>
  <c r="R15" i="10" s="1"/>
  <c r="CD16" i="9"/>
  <c r="P15" i="10" s="1"/>
  <c r="CA16" i="9"/>
  <c r="O15" i="10" s="1"/>
  <c r="BW16" i="9"/>
  <c r="BX16" i="9" s="1"/>
  <c r="BT16" i="9"/>
  <c r="BR16" i="9"/>
  <c r="Z15" i="10" s="1"/>
  <c r="BP16" i="9"/>
  <c r="BN16" i="9"/>
  <c r="BL16" i="9"/>
  <c r="BJ16" i="9"/>
  <c r="AB15" i="10" s="1"/>
  <c r="BG16" i="9"/>
  <c r="AA15" i="10" s="1"/>
  <c r="BC16" i="9"/>
  <c r="M15" i="10" s="1"/>
  <c r="AZ16" i="9"/>
  <c r="L15" i="10" s="1"/>
  <c r="AR16" i="9"/>
  <c r="K15" i="10" s="1"/>
  <c r="AI16" i="9"/>
  <c r="I15" i="10" s="1"/>
  <c r="AE16" i="9"/>
  <c r="H15" i="10" s="1"/>
  <c r="AB16" i="9"/>
  <c r="F15" i="10" s="1"/>
  <c r="V16" i="9"/>
  <c r="E15" i="10" s="1"/>
  <c r="T16" i="9"/>
  <c r="D15" i="10" s="1"/>
  <c r="Q16" i="9"/>
  <c r="N16" i="9"/>
  <c r="C15" i="10" s="1"/>
  <c r="K16" i="9"/>
  <c r="F16" i="9"/>
  <c r="D16" i="9"/>
  <c r="C16" i="9"/>
  <c r="HM15" i="9"/>
  <c r="BY14" i="10" s="1"/>
  <c r="HE15" i="9"/>
  <c r="GW15" i="9"/>
  <c r="GS15" i="9"/>
  <c r="BF14" i="10" s="1"/>
  <c r="GP15" i="9"/>
  <c r="BE14" i="10" s="1"/>
  <c r="GM15" i="9"/>
  <c r="BC14" i="10" s="1"/>
  <c r="GJ15" i="9"/>
  <c r="AX14" i="10" s="1"/>
  <c r="GD15" i="9"/>
  <c r="FX15" i="9"/>
  <c r="AP14" i="10" s="1"/>
  <c r="FS15" i="9"/>
  <c r="FP15" i="9"/>
  <c r="FA52" i="9" s="1"/>
  <c r="FJ15" i="9"/>
  <c r="BA14" i="10" s="1"/>
  <c r="FC15" i="9"/>
  <c r="EZ15" i="9"/>
  <c r="EZ52" i="9" s="1"/>
  <c r="EW15" i="9"/>
  <c r="AV14" i="10" s="1"/>
  <c r="ET15" i="9"/>
  <c r="AU14" i="10" s="1"/>
  <c r="EM15" i="9"/>
  <c r="AN14" i="10" s="1"/>
  <c r="EJ15" i="9"/>
  <c r="AM14" i="10" s="1"/>
  <c r="DZ15" i="9"/>
  <c r="AI14" i="10" s="1"/>
  <c r="DW15" i="9"/>
  <c r="AH14" i="10" s="1"/>
  <c r="DT15" i="9"/>
  <c r="DR15" i="9"/>
  <c r="AD14" i="10" s="1"/>
  <c r="DE15" i="9"/>
  <c r="DF15" i="9" s="1"/>
  <c r="CO15" i="9"/>
  <c r="T14" i="10" s="1"/>
  <c r="CH15" i="9"/>
  <c r="R14" i="10" s="1"/>
  <c r="CD15" i="9"/>
  <c r="P14" i="10" s="1"/>
  <c r="CA15" i="9"/>
  <c r="O14" i="10" s="1"/>
  <c r="BW15" i="9"/>
  <c r="BX15" i="9" s="1"/>
  <c r="BT15" i="9"/>
  <c r="BR15" i="9"/>
  <c r="Z14" i="10" s="1"/>
  <c r="BP15" i="9"/>
  <c r="BN15" i="9"/>
  <c r="BL15" i="9"/>
  <c r="BJ15" i="9"/>
  <c r="AB14" i="10" s="1"/>
  <c r="BG15" i="9"/>
  <c r="AA14" i="10" s="1"/>
  <c r="BC15" i="9"/>
  <c r="M14" i="10" s="1"/>
  <c r="AZ15" i="9"/>
  <c r="L14" i="10" s="1"/>
  <c r="AR15" i="9"/>
  <c r="K14" i="10" s="1"/>
  <c r="AI15" i="9"/>
  <c r="I14" i="10" s="1"/>
  <c r="AE15" i="9"/>
  <c r="H14" i="10" s="1"/>
  <c r="AB15" i="9"/>
  <c r="F14" i="10" s="1"/>
  <c r="V15" i="9"/>
  <c r="E14" i="10" s="1"/>
  <c r="T15" i="9"/>
  <c r="D14" i="10" s="1"/>
  <c r="Q15" i="9"/>
  <c r="N15" i="9"/>
  <c r="C14" i="10" s="1"/>
  <c r="K15" i="9"/>
  <c r="F15" i="9"/>
  <c r="D15" i="9"/>
  <c r="C15" i="9"/>
  <c r="HM14" i="9"/>
  <c r="BY13" i="10" s="1"/>
  <c r="HE14" i="9"/>
  <c r="GW14" i="9"/>
  <c r="GS14" i="9"/>
  <c r="BF13" i="10" s="1"/>
  <c r="GP14" i="9"/>
  <c r="BE13" i="10" s="1"/>
  <c r="GM14" i="9"/>
  <c r="BC13" i="10" s="1"/>
  <c r="GJ14" i="9"/>
  <c r="AX13" i="10" s="1"/>
  <c r="GD14" i="9"/>
  <c r="FX14" i="9"/>
  <c r="AP13" i="10" s="1"/>
  <c r="FS14" i="9"/>
  <c r="FP14" i="9"/>
  <c r="FA51" i="9" s="1"/>
  <c r="FJ14" i="9"/>
  <c r="BA13" i="10" s="1"/>
  <c r="FC14" i="9"/>
  <c r="EZ14" i="9"/>
  <c r="EZ51" i="9" s="1"/>
  <c r="EW14" i="9"/>
  <c r="AV13" i="10" s="1"/>
  <c r="ET14" i="9"/>
  <c r="AU13" i="10" s="1"/>
  <c r="EM14" i="9"/>
  <c r="AN13" i="10" s="1"/>
  <c r="EJ14" i="9"/>
  <c r="AM13" i="10" s="1"/>
  <c r="DZ14" i="9"/>
  <c r="AI13" i="10" s="1"/>
  <c r="DW14" i="9"/>
  <c r="DT14" i="9"/>
  <c r="IH14" i="9" s="1"/>
  <c r="CF13" i="10" s="1"/>
  <c r="DR14" i="9"/>
  <c r="AD13" i="10" s="1"/>
  <c r="DE14" i="9"/>
  <c r="DA14" i="9"/>
  <c r="X13" i="10" s="1"/>
  <c r="CW14" i="9"/>
  <c r="W13" i="10" s="1"/>
  <c r="CO14" i="9"/>
  <c r="T13" i="10" s="1"/>
  <c r="CH14" i="9"/>
  <c r="R13" i="10" s="1"/>
  <c r="CD14" i="9"/>
  <c r="P13" i="10" s="1"/>
  <c r="CA14" i="9"/>
  <c r="O13" i="10" s="1"/>
  <c r="BW14" i="9"/>
  <c r="BX14" i="9" s="1"/>
  <c r="BT14" i="9"/>
  <c r="BR14" i="9"/>
  <c r="Z13" i="10" s="1"/>
  <c r="BP14" i="9"/>
  <c r="BN14" i="9"/>
  <c r="BL14" i="9"/>
  <c r="BJ14" i="9"/>
  <c r="AB13" i="10" s="1"/>
  <c r="BG14" i="9"/>
  <c r="AA13" i="10" s="1"/>
  <c r="BC14" i="9"/>
  <c r="M13" i="10" s="1"/>
  <c r="AZ14" i="9"/>
  <c r="L13" i="10" s="1"/>
  <c r="AR14" i="9"/>
  <c r="AI14" i="9"/>
  <c r="I13" i="10" s="1"/>
  <c r="AE14" i="9"/>
  <c r="AB14" i="9"/>
  <c r="F13" i="10" s="1"/>
  <c r="V14" i="9"/>
  <c r="E13" i="10" s="1"/>
  <c r="T14" i="9"/>
  <c r="D13" i="10" s="1"/>
  <c r="Q14" i="9"/>
  <c r="R14" i="9" s="1"/>
  <c r="N14" i="9"/>
  <c r="C13" i="10" s="1"/>
  <c r="K14" i="9"/>
  <c r="F14" i="9"/>
  <c r="D14" i="9"/>
  <c r="C14" i="9"/>
  <c r="HM13" i="9"/>
  <c r="BY12" i="10" s="1"/>
  <c r="HE13" i="9"/>
  <c r="GW13" i="9"/>
  <c r="GS13" i="9"/>
  <c r="BF12" i="10" s="1"/>
  <c r="GP13" i="9"/>
  <c r="BE12" i="10" s="1"/>
  <c r="GM13" i="9"/>
  <c r="BC12" i="10" s="1"/>
  <c r="GJ13" i="9"/>
  <c r="AX12" i="10" s="1"/>
  <c r="GD13" i="9"/>
  <c r="FX13" i="9"/>
  <c r="AP12" i="10" s="1"/>
  <c r="FS13" i="9"/>
  <c r="FP13" i="9"/>
  <c r="FA50" i="9" s="1"/>
  <c r="FJ13" i="9"/>
  <c r="BA12" i="10" s="1"/>
  <c r="FC13" i="9"/>
  <c r="EZ13" i="9"/>
  <c r="EZ50" i="9" s="1"/>
  <c r="EW13" i="9"/>
  <c r="AV12" i="10" s="1"/>
  <c r="ET13" i="9"/>
  <c r="AU12" i="10" s="1"/>
  <c r="EM13" i="9"/>
  <c r="AN12" i="10" s="1"/>
  <c r="EJ13" i="9"/>
  <c r="AM12" i="10" s="1"/>
  <c r="DZ13" i="9"/>
  <c r="DW13" i="9"/>
  <c r="AH12" i="10" s="1"/>
  <c r="DT13" i="9"/>
  <c r="DR13" i="9"/>
  <c r="AD12" i="10" s="1"/>
  <c r="DE13" i="9"/>
  <c r="DF13" i="9" s="1"/>
  <c r="DA13" i="9"/>
  <c r="X12" i="10" s="1"/>
  <c r="CW13" i="9"/>
  <c r="CO13" i="9"/>
  <c r="T12" i="10" s="1"/>
  <c r="CH13" i="9"/>
  <c r="R12" i="10" s="1"/>
  <c r="Q12" i="10"/>
  <c r="CD13" i="9"/>
  <c r="CA13" i="9"/>
  <c r="O12" i="10" s="1"/>
  <c r="BW13" i="9"/>
  <c r="CD47" i="9" s="1"/>
  <c r="BT13" i="9"/>
  <c r="BP13" i="9"/>
  <c r="BN13" i="9"/>
  <c r="BL13" i="9"/>
  <c r="BJ13" i="9"/>
  <c r="AB12" i="10" s="1"/>
  <c r="BG13" i="9"/>
  <c r="AA12" i="10" s="1"/>
  <c r="BC13" i="9"/>
  <c r="M12" i="10" s="1"/>
  <c r="AZ13" i="9"/>
  <c r="L12" i="10" s="1"/>
  <c r="AR13" i="9"/>
  <c r="K12" i="10" s="1"/>
  <c r="AI13" i="9"/>
  <c r="I12" i="10" s="1"/>
  <c r="AE13" i="9"/>
  <c r="H12" i="10" s="1"/>
  <c r="AB13" i="9"/>
  <c r="F12" i="10" s="1"/>
  <c r="V13" i="9"/>
  <c r="E12" i="10" s="1"/>
  <c r="T13" i="9"/>
  <c r="Q13" i="9"/>
  <c r="R13" i="9" s="1"/>
  <c r="N13" i="9"/>
  <c r="C12" i="10" s="1"/>
  <c r="K13" i="9"/>
  <c r="F13" i="9"/>
  <c r="D13" i="9"/>
  <c r="C13" i="9"/>
  <c r="HM12" i="9"/>
  <c r="BY11" i="10" s="1"/>
  <c r="HE12" i="9"/>
  <c r="GW12" i="9"/>
  <c r="GS12" i="9"/>
  <c r="BF11" i="10" s="1"/>
  <c r="GP12" i="9"/>
  <c r="BE11" i="10" s="1"/>
  <c r="GM12" i="9"/>
  <c r="BC11" i="10" s="1"/>
  <c r="GJ12" i="9"/>
  <c r="GD12" i="9"/>
  <c r="FX12" i="9"/>
  <c r="AP11" i="10" s="1"/>
  <c r="FS12" i="9"/>
  <c r="FP12" i="9"/>
  <c r="FA49" i="9" s="1"/>
  <c r="FJ12" i="9"/>
  <c r="BA11" i="10" s="1"/>
  <c r="FC12" i="9"/>
  <c r="EZ12" i="9"/>
  <c r="EZ49" i="9" s="1"/>
  <c r="EW12" i="9"/>
  <c r="AV11" i="10" s="1"/>
  <c r="ET12" i="9"/>
  <c r="AU11" i="10" s="1"/>
  <c r="EM12" i="9"/>
  <c r="AN11" i="10" s="1"/>
  <c r="EJ12" i="9"/>
  <c r="AM11" i="10" s="1"/>
  <c r="DZ12" i="9"/>
  <c r="AI11" i="10" s="1"/>
  <c r="DW12" i="9"/>
  <c r="AH11" i="10" s="1"/>
  <c r="DT12" i="9"/>
  <c r="IH12" i="9" s="1"/>
  <c r="CF11" i="10" s="1"/>
  <c r="DR12" i="9"/>
  <c r="AD11" i="10" s="1"/>
  <c r="DE12" i="9"/>
  <c r="DA12" i="9"/>
  <c r="X11" i="10" s="1"/>
  <c r="CW12" i="9"/>
  <c r="W11" i="10" s="1"/>
  <c r="CO12" i="9"/>
  <c r="CH12" i="9"/>
  <c r="R11" i="10" s="1"/>
  <c r="CD12" i="9"/>
  <c r="CA12" i="9"/>
  <c r="O11" i="10" s="1"/>
  <c r="BW12" i="9"/>
  <c r="CD46" i="9" s="1"/>
  <c r="BT12" i="9"/>
  <c r="BR12" i="9"/>
  <c r="Z11" i="10" s="1"/>
  <c r="BP12" i="9"/>
  <c r="BN12" i="9"/>
  <c r="BL12" i="9"/>
  <c r="BJ12" i="9"/>
  <c r="AB11" i="10" s="1"/>
  <c r="BG12" i="9"/>
  <c r="AA11" i="10" s="1"/>
  <c r="BC12" i="9"/>
  <c r="M11" i="10" s="1"/>
  <c r="AZ12" i="9"/>
  <c r="L11" i="10" s="1"/>
  <c r="AR12" i="9"/>
  <c r="AI12" i="9"/>
  <c r="I11" i="10" s="1"/>
  <c r="AE12" i="9"/>
  <c r="H11" i="10" s="1"/>
  <c r="AB12" i="9"/>
  <c r="F11" i="10" s="1"/>
  <c r="V12" i="9"/>
  <c r="T12" i="9"/>
  <c r="D11" i="10" s="1"/>
  <c r="Q12" i="9"/>
  <c r="R12" i="9" s="1"/>
  <c r="N12" i="9"/>
  <c r="C11" i="10" s="1"/>
  <c r="K12" i="9"/>
  <c r="F12" i="9"/>
  <c r="D12" i="9"/>
  <c r="C12" i="9"/>
  <c r="HM11" i="9"/>
  <c r="BY10" i="10" s="1"/>
  <c r="HE11" i="9"/>
  <c r="GW11" i="9"/>
  <c r="GS11" i="9"/>
  <c r="GP11" i="9"/>
  <c r="BE10" i="10" s="1"/>
  <c r="GM11" i="9"/>
  <c r="BC10" i="10" s="1"/>
  <c r="GJ11" i="9"/>
  <c r="GD11" i="9"/>
  <c r="FX11" i="9"/>
  <c r="AP10" i="10" s="1"/>
  <c r="FS11" i="9"/>
  <c r="FP11" i="9"/>
  <c r="FA48" i="9" s="1"/>
  <c r="FJ11" i="9"/>
  <c r="BA10" i="10" s="1"/>
  <c r="FC11" i="9"/>
  <c r="EZ11" i="9"/>
  <c r="EZ48" i="9" s="1"/>
  <c r="EW11" i="9"/>
  <c r="AV10" i="10" s="1"/>
  <c r="ET11" i="9"/>
  <c r="AU10" i="10" s="1"/>
  <c r="EM11" i="9"/>
  <c r="AN10" i="10" s="1"/>
  <c r="EJ11" i="9"/>
  <c r="AM10" i="10" s="1"/>
  <c r="DZ11" i="9"/>
  <c r="AI10" i="10" s="1"/>
  <c r="DW11" i="9"/>
  <c r="DT11" i="9"/>
  <c r="DR11" i="9"/>
  <c r="AD10" i="10" s="1"/>
  <c r="DE11" i="9"/>
  <c r="DA11" i="9"/>
  <c r="X10" i="10" s="1"/>
  <c r="CW11" i="9"/>
  <c r="CO11" i="9"/>
  <c r="CH11" i="9"/>
  <c r="R10" i="10" s="1"/>
  <c r="CD11" i="9"/>
  <c r="CA11" i="9"/>
  <c r="O10" i="10" s="1"/>
  <c r="BW11" i="9"/>
  <c r="CD45" i="9" s="1"/>
  <c r="BT11" i="9"/>
  <c r="BR11" i="9"/>
  <c r="Z10" i="10" s="1"/>
  <c r="BP11" i="9"/>
  <c r="BN11" i="9"/>
  <c r="BL11" i="9"/>
  <c r="BJ11" i="9"/>
  <c r="AB10" i="10" s="1"/>
  <c r="BG11" i="9"/>
  <c r="AA10" i="10" s="1"/>
  <c r="BC11" i="9"/>
  <c r="M10" i="10" s="1"/>
  <c r="AZ11" i="9"/>
  <c r="L10" i="10" s="1"/>
  <c r="AR11" i="9"/>
  <c r="K10" i="10" s="1"/>
  <c r="AI11" i="9"/>
  <c r="AE11" i="9"/>
  <c r="AB11" i="9"/>
  <c r="F10" i="10" s="1"/>
  <c r="V11" i="9"/>
  <c r="E10" i="10" s="1"/>
  <c r="T11" i="9"/>
  <c r="D10" i="10" s="1"/>
  <c r="Q11" i="9"/>
  <c r="R11" i="9" s="1"/>
  <c r="N11" i="9"/>
  <c r="C10" i="10" s="1"/>
  <c r="K11" i="9"/>
  <c r="F11" i="9"/>
  <c r="D11" i="9"/>
  <c r="C11" i="9"/>
  <c r="HM10" i="9"/>
  <c r="BY9" i="10" s="1"/>
  <c r="HE10" i="9"/>
  <c r="GW10" i="9"/>
  <c r="GS10" i="9"/>
  <c r="BF9" i="10" s="1"/>
  <c r="GP10" i="9"/>
  <c r="BE9" i="10" s="1"/>
  <c r="GM10" i="9"/>
  <c r="BC9" i="10" s="1"/>
  <c r="GJ10" i="9"/>
  <c r="AX9" i="10" s="1"/>
  <c r="GD10" i="9"/>
  <c r="FX10" i="9"/>
  <c r="AP9" i="10" s="1"/>
  <c r="FS10" i="9"/>
  <c r="FP10" i="9"/>
  <c r="FA47" i="9" s="1"/>
  <c r="FJ10" i="9"/>
  <c r="BA9" i="10" s="1"/>
  <c r="FC10" i="9"/>
  <c r="EZ10" i="9"/>
  <c r="EZ47" i="9" s="1"/>
  <c r="EW10" i="9"/>
  <c r="AV9" i="10" s="1"/>
  <c r="ET10" i="9"/>
  <c r="AU9" i="10" s="1"/>
  <c r="EM10" i="9"/>
  <c r="AN9" i="10" s="1"/>
  <c r="EJ10" i="9"/>
  <c r="AM9" i="10" s="1"/>
  <c r="DZ10" i="9"/>
  <c r="AI9" i="10" s="1"/>
  <c r="DW10" i="9"/>
  <c r="AH9" i="10" s="1"/>
  <c r="DT10" i="9"/>
  <c r="DR10" i="9"/>
  <c r="AD9" i="10" s="1"/>
  <c r="DE10" i="9"/>
  <c r="DF10" i="9" s="1"/>
  <c r="DA10" i="9"/>
  <c r="X9" i="10" s="1"/>
  <c r="CW10" i="9"/>
  <c r="W9" i="10" s="1"/>
  <c r="U9" i="10"/>
  <c r="CO10" i="9"/>
  <c r="T9" i="10" s="1"/>
  <c r="CH10" i="9"/>
  <c r="R9" i="10" s="1"/>
  <c r="CD10" i="9"/>
  <c r="CA10" i="9"/>
  <c r="BW10" i="9"/>
  <c r="BT10" i="9"/>
  <c r="BR10" i="9"/>
  <c r="Z9" i="10" s="1"/>
  <c r="BP10" i="9"/>
  <c r="BN10" i="9"/>
  <c r="BL10" i="9"/>
  <c r="BJ10" i="9"/>
  <c r="AB9" i="10" s="1"/>
  <c r="BG10" i="9"/>
  <c r="AA9" i="10" s="1"/>
  <c r="BC10" i="9"/>
  <c r="M9" i="10" s="1"/>
  <c r="AZ10" i="9"/>
  <c r="L9" i="10" s="1"/>
  <c r="AR10" i="9"/>
  <c r="AI10" i="9"/>
  <c r="I9" i="10" s="1"/>
  <c r="AE10" i="9"/>
  <c r="H9" i="10" s="1"/>
  <c r="AB10" i="9"/>
  <c r="F9" i="10" s="1"/>
  <c r="V10" i="9"/>
  <c r="T10" i="9"/>
  <c r="D9" i="10" s="1"/>
  <c r="Q10" i="9"/>
  <c r="N10" i="9"/>
  <c r="C9" i="10" s="1"/>
  <c r="K10" i="9"/>
  <c r="F10" i="9"/>
  <c r="D10" i="9"/>
  <c r="C10" i="9"/>
  <c r="HM9" i="9"/>
  <c r="BY8" i="10" s="1"/>
  <c r="HE9" i="9"/>
  <c r="GW9" i="9"/>
  <c r="GS9" i="9"/>
  <c r="BF8" i="10" s="1"/>
  <c r="GP9" i="9"/>
  <c r="BE8" i="10" s="1"/>
  <c r="GM9" i="9"/>
  <c r="BC8" i="10" s="1"/>
  <c r="GJ9" i="9"/>
  <c r="AX8" i="10" s="1"/>
  <c r="GD9" i="9"/>
  <c r="FX9" i="9"/>
  <c r="AP8" i="10" s="1"/>
  <c r="FS9" i="9"/>
  <c r="FP9" i="9"/>
  <c r="FA46" i="9" s="1"/>
  <c r="FJ9" i="9"/>
  <c r="BA8" i="10" s="1"/>
  <c r="FC9" i="9"/>
  <c r="EZ9" i="9"/>
  <c r="EZ46" i="9" s="1"/>
  <c r="EW9" i="9"/>
  <c r="AV8" i="10" s="1"/>
  <c r="ET9" i="9"/>
  <c r="AU8" i="10" s="1"/>
  <c r="EM9" i="9"/>
  <c r="AN8" i="10" s="1"/>
  <c r="EJ9" i="9"/>
  <c r="AM8" i="10" s="1"/>
  <c r="DZ9" i="9"/>
  <c r="AI8" i="10" s="1"/>
  <c r="DW9" i="9"/>
  <c r="DT9" i="9"/>
  <c r="AE8" i="10" s="1"/>
  <c r="DR9" i="9"/>
  <c r="AD8" i="10" s="1"/>
  <c r="DE9" i="9"/>
  <c r="DF9" i="9" s="1"/>
  <c r="DA9" i="9"/>
  <c r="X8" i="10" s="1"/>
  <c r="CW9" i="9"/>
  <c r="CO9" i="9"/>
  <c r="T8" i="10" s="1"/>
  <c r="CH9" i="9"/>
  <c r="R8" i="10" s="1"/>
  <c r="CD9" i="9"/>
  <c r="P8" i="10" s="1"/>
  <c r="CA9" i="9"/>
  <c r="O8" i="10" s="1"/>
  <c r="BW9" i="9"/>
  <c r="CD43" i="9" s="1"/>
  <c r="BT9" i="9"/>
  <c r="BR9" i="9"/>
  <c r="Z8" i="10" s="1"/>
  <c r="BP9" i="9"/>
  <c r="BN9" i="9"/>
  <c r="BL9" i="9"/>
  <c r="BJ9" i="9"/>
  <c r="AB8" i="10" s="1"/>
  <c r="BG9" i="9"/>
  <c r="AA8" i="10" s="1"/>
  <c r="BC9" i="9"/>
  <c r="M8" i="10" s="1"/>
  <c r="AZ9" i="9"/>
  <c r="L8" i="10" s="1"/>
  <c r="AR9" i="9"/>
  <c r="K8" i="10" s="1"/>
  <c r="AI9" i="9"/>
  <c r="I8" i="10" s="1"/>
  <c r="AE9" i="9"/>
  <c r="H8" i="10" s="1"/>
  <c r="AB9" i="9"/>
  <c r="F8" i="10" s="1"/>
  <c r="V9" i="9"/>
  <c r="E8" i="10" s="1"/>
  <c r="T9" i="9"/>
  <c r="D8" i="10" s="1"/>
  <c r="Q9" i="9"/>
  <c r="R9" i="9" s="1"/>
  <c r="N9" i="9"/>
  <c r="C8" i="10" s="1"/>
  <c r="K9" i="9"/>
  <c r="F9" i="9"/>
  <c r="D9" i="9"/>
  <c r="C9" i="9"/>
  <c r="HM8" i="9"/>
  <c r="BY7" i="10" s="1"/>
  <c r="HJ8" i="9"/>
  <c r="HE8" i="9"/>
  <c r="GW8" i="9"/>
  <c r="GS8" i="9"/>
  <c r="GP8" i="9"/>
  <c r="GM8" i="9"/>
  <c r="BC7" i="10" s="1"/>
  <c r="GJ8" i="9"/>
  <c r="AX7" i="10" s="1"/>
  <c r="GD8" i="9"/>
  <c r="FX8" i="9"/>
  <c r="FS8" i="9"/>
  <c r="FP8" i="9"/>
  <c r="FJ8" i="9"/>
  <c r="FG8" i="9"/>
  <c r="FC8" i="9"/>
  <c r="EZ8" i="9"/>
  <c r="EW8" i="9"/>
  <c r="ET8" i="9"/>
  <c r="EM8" i="9"/>
  <c r="EJ8" i="9"/>
  <c r="DZ8" i="9"/>
  <c r="DW8" i="9"/>
  <c r="DT8" i="9"/>
  <c r="IH8" i="9" s="1"/>
  <c r="DR8" i="9"/>
  <c r="DE8" i="9"/>
  <c r="DA8" i="9"/>
  <c r="DB8" i="9" s="1"/>
  <c r="CW8" i="9"/>
  <c r="W7" i="10" s="1"/>
  <c r="CO8" i="9"/>
  <c r="CP8" i="9" s="1"/>
  <c r="CH8" i="9"/>
  <c r="Q8" i="10"/>
  <c r="CD8" i="9"/>
  <c r="P7" i="10" s="1"/>
  <c r="CA8" i="9"/>
  <c r="CB8" i="9" s="1"/>
  <c r="BW8" i="9"/>
  <c r="BX8" i="9" s="1"/>
  <c r="BT8" i="9"/>
  <c r="BR8" i="9"/>
  <c r="BP8" i="9"/>
  <c r="BN8" i="9"/>
  <c r="BL8" i="9"/>
  <c r="BJ8" i="9"/>
  <c r="AB7" i="10" s="1"/>
  <c r="BG8" i="9"/>
  <c r="BC8" i="9"/>
  <c r="AZ8" i="9"/>
  <c r="AR8" i="9"/>
  <c r="AS8" i="9" s="1"/>
  <c r="AI8" i="9"/>
  <c r="AJ8" i="9" s="1"/>
  <c r="AE8" i="9"/>
  <c r="AF8" i="9" s="1"/>
  <c r="AB8" i="9"/>
  <c r="F7" i="10" s="1"/>
  <c r="V8" i="9"/>
  <c r="T8" i="9"/>
  <c r="Q8" i="9"/>
  <c r="N8" i="9"/>
  <c r="K8" i="9"/>
  <c r="F8" i="9"/>
  <c r="D8" i="9"/>
  <c r="C8" i="9"/>
  <c r="A8" i="9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EQ18" i="9" l="1"/>
  <c r="U16" i="10"/>
  <c r="AE21" i="10"/>
  <c r="GA38" i="9"/>
  <c r="AQ37" i="10" s="1"/>
  <c r="U18" i="10"/>
  <c r="EQ25" i="9"/>
  <c r="AT24" i="10" s="1"/>
  <c r="U17" i="10"/>
  <c r="GA18" i="9"/>
  <c r="AQ17" i="10" s="1"/>
  <c r="EG38" i="9"/>
  <c r="AL37" i="10" s="1"/>
  <c r="AO37" i="10" s="1"/>
  <c r="EC38" i="9"/>
  <c r="AJ37" i="10" s="1"/>
  <c r="EG37" i="9"/>
  <c r="AL36" i="10" s="1"/>
  <c r="AO36" i="10" s="1"/>
  <c r="EC37" i="9"/>
  <c r="AJ36" i="10" s="1"/>
  <c r="AK36" i="10" s="1"/>
  <c r="EC36" i="9"/>
  <c r="AJ35" i="10" s="1"/>
  <c r="EG36" i="9"/>
  <c r="AL35" i="10" s="1"/>
  <c r="AO35" i="10" s="1"/>
  <c r="EG35" i="9"/>
  <c r="AL34" i="10" s="1"/>
  <c r="EC35" i="9"/>
  <c r="AJ34" i="10" s="1"/>
  <c r="AK34" i="10" s="1"/>
  <c r="AE19" i="10"/>
  <c r="AG19" i="10" s="1"/>
  <c r="GA22" i="9"/>
  <c r="AQ21" i="10" s="1"/>
  <c r="II28" i="9"/>
  <c r="GA21" i="9"/>
  <c r="AQ20" i="10" s="1"/>
  <c r="U34" i="10"/>
  <c r="BX24" i="10"/>
  <c r="BX16" i="10"/>
  <c r="AE33" i="10"/>
  <c r="AG33" i="10" s="1"/>
  <c r="BX23" i="10"/>
  <c r="BX19" i="10"/>
  <c r="BX15" i="10"/>
  <c r="II16" i="9"/>
  <c r="II12" i="9"/>
  <c r="BX7" i="10"/>
  <c r="II8" i="9"/>
  <c r="BX20" i="10"/>
  <c r="AE16" i="10"/>
  <c r="AG16" i="10" s="1"/>
  <c r="EQ19" i="9"/>
  <c r="AT18" i="10" s="1"/>
  <c r="GA23" i="9"/>
  <c r="AQ22" i="10" s="1"/>
  <c r="U29" i="10"/>
  <c r="BX26" i="10"/>
  <c r="BX18" i="10"/>
  <c r="BX14" i="10"/>
  <c r="AE29" i="10"/>
  <c r="AG29" i="10" s="1"/>
  <c r="U37" i="10"/>
  <c r="EG34" i="9"/>
  <c r="AL33" i="10" s="1"/>
  <c r="AO33" i="10" s="1"/>
  <c r="EC34" i="9"/>
  <c r="AJ33" i="10" s="1"/>
  <c r="AK33" i="10" s="1"/>
  <c r="EC33" i="9"/>
  <c r="AJ32" i="10" s="1"/>
  <c r="EG33" i="9"/>
  <c r="AL32" i="10" s="1"/>
  <c r="AO32" i="10" s="1"/>
  <c r="EG31" i="9"/>
  <c r="AL30" i="10" s="1"/>
  <c r="AO30" i="10" s="1"/>
  <c r="EC31" i="9"/>
  <c r="AJ30" i="10" s="1"/>
  <c r="EG32" i="9"/>
  <c r="AL31" i="10" s="1"/>
  <c r="AO31" i="10" s="1"/>
  <c r="EC32" i="9"/>
  <c r="AJ31" i="10" s="1"/>
  <c r="AK31" i="10" s="1"/>
  <c r="EC30" i="9"/>
  <c r="AJ29" i="10" s="1"/>
  <c r="AK29" i="10" s="1"/>
  <c r="EG30" i="9"/>
  <c r="AL29" i="10" s="1"/>
  <c r="BX25" i="10"/>
  <c r="BX17" i="10"/>
  <c r="II14" i="9"/>
  <c r="GA34" i="9"/>
  <c r="AQ33" i="10" s="1"/>
  <c r="GA32" i="9"/>
  <c r="AQ31" i="10" s="1"/>
  <c r="BX36" i="10"/>
  <c r="II36" i="9"/>
  <c r="BX35" i="10"/>
  <c r="EG8" i="9"/>
  <c r="EN8" i="9" s="1"/>
  <c r="EC29" i="9"/>
  <c r="AJ28" i="10" s="1"/>
  <c r="AK28" i="10" s="1"/>
  <c r="EG29" i="9"/>
  <c r="AL28" i="10" s="1"/>
  <c r="AO28" i="10" s="1"/>
  <c r="EG28" i="9"/>
  <c r="AL27" i="10" s="1"/>
  <c r="AO27" i="10" s="1"/>
  <c r="EC28" i="9"/>
  <c r="AJ27" i="10" s="1"/>
  <c r="AK27" i="10" s="1"/>
  <c r="EG27" i="9"/>
  <c r="AL26" i="10" s="1"/>
  <c r="AO26" i="10" s="1"/>
  <c r="EC27" i="9"/>
  <c r="AJ26" i="10" s="1"/>
  <c r="EG26" i="9"/>
  <c r="AL25" i="10" s="1"/>
  <c r="AO25" i="10" s="1"/>
  <c r="EC26" i="9"/>
  <c r="AJ25" i="10" s="1"/>
  <c r="EC25" i="9"/>
  <c r="AJ24" i="10" s="1"/>
  <c r="EG24" i="9"/>
  <c r="AL23" i="10" s="1"/>
  <c r="AO23" i="10" s="1"/>
  <c r="EG25" i="9"/>
  <c r="AL24" i="10" s="1"/>
  <c r="AO24" i="10" s="1"/>
  <c r="EC24" i="9"/>
  <c r="AJ23" i="10" s="1"/>
  <c r="AK23" i="10" s="1"/>
  <c r="EC23" i="9"/>
  <c r="AJ22" i="10" s="1"/>
  <c r="EG23" i="9"/>
  <c r="AL22" i="10" s="1"/>
  <c r="AO22" i="10" s="1"/>
  <c r="EG22" i="9"/>
  <c r="AL21" i="10" s="1"/>
  <c r="AO21" i="10" s="1"/>
  <c r="EC22" i="9"/>
  <c r="AJ21" i="10" s="1"/>
  <c r="AK21" i="10" s="1"/>
  <c r="EG21" i="9"/>
  <c r="AL20" i="10" s="1"/>
  <c r="AO20" i="10" s="1"/>
  <c r="EC21" i="9"/>
  <c r="AJ20" i="10" s="1"/>
  <c r="AK20" i="10" s="1"/>
  <c r="EC20" i="9"/>
  <c r="AJ19" i="10" s="1"/>
  <c r="EG20" i="9"/>
  <c r="AL19" i="10" s="1"/>
  <c r="AO19" i="10" s="1"/>
  <c r="EC19" i="9"/>
  <c r="AJ18" i="10" s="1"/>
  <c r="AK18" i="10" s="1"/>
  <c r="EC18" i="9"/>
  <c r="AJ17" i="10" s="1"/>
  <c r="AK17" i="10" s="1"/>
  <c r="EG19" i="9"/>
  <c r="AL18" i="10" s="1"/>
  <c r="AO18" i="10" s="1"/>
  <c r="EG17" i="9"/>
  <c r="AL16" i="10" s="1"/>
  <c r="AO16" i="10" s="1"/>
  <c r="EG18" i="9"/>
  <c r="AL17" i="10" s="1"/>
  <c r="AO17" i="10" s="1"/>
  <c r="EC17" i="9"/>
  <c r="AJ16" i="10" s="1"/>
  <c r="AK16" i="10" s="1"/>
  <c r="EG16" i="9"/>
  <c r="AL15" i="10" s="1"/>
  <c r="AO15" i="10" s="1"/>
  <c r="EC16" i="9"/>
  <c r="AJ15" i="10" s="1"/>
  <c r="AK15" i="10" s="1"/>
  <c r="EC15" i="9"/>
  <c r="AJ14" i="10" s="1"/>
  <c r="AK14" i="10" s="1"/>
  <c r="EG15" i="9"/>
  <c r="AL14" i="10" s="1"/>
  <c r="AO14" i="10" s="1"/>
  <c r="EG14" i="9"/>
  <c r="AL13" i="10" s="1"/>
  <c r="AO13" i="10" s="1"/>
  <c r="EC14" i="9"/>
  <c r="AJ13" i="10" s="1"/>
  <c r="EG13" i="9"/>
  <c r="AL12" i="10" s="1"/>
  <c r="EC13" i="9"/>
  <c r="AJ12" i="10" s="1"/>
  <c r="EC12" i="9"/>
  <c r="AJ11" i="10" s="1"/>
  <c r="AK11" i="10" s="1"/>
  <c r="EG12" i="9"/>
  <c r="AL11" i="10" s="1"/>
  <c r="AO11" i="10" s="1"/>
  <c r="BX34" i="10"/>
  <c r="BX10" i="10"/>
  <c r="BX33" i="10"/>
  <c r="BX9" i="10"/>
  <c r="BX32" i="10"/>
  <c r="BX8" i="10"/>
  <c r="BX31" i="10"/>
  <c r="II31" i="9"/>
  <c r="BX30" i="10"/>
  <c r="GG34" i="9"/>
  <c r="AR33" i="10" s="1"/>
  <c r="BX29" i="10"/>
  <c r="GA29" i="9"/>
  <c r="AQ28" i="10" s="1"/>
  <c r="BX28" i="10"/>
  <c r="BX27" i="10"/>
  <c r="GA27" i="9"/>
  <c r="AQ26" i="10" s="1"/>
  <c r="GA25" i="9"/>
  <c r="AQ24" i="10" s="1"/>
  <c r="GA24" i="9"/>
  <c r="AQ23" i="10" s="1"/>
  <c r="U22" i="10"/>
  <c r="BX22" i="10"/>
  <c r="BX21" i="10"/>
  <c r="GA19" i="9"/>
  <c r="AQ18" i="10" s="1"/>
  <c r="GA17" i="9"/>
  <c r="AQ16" i="10" s="1"/>
  <c r="AE17" i="10"/>
  <c r="AG17" i="10" s="1"/>
  <c r="AJ20" i="9"/>
  <c r="CF15" i="10"/>
  <c r="G16" i="9"/>
  <c r="B15" i="10" s="1"/>
  <c r="AE14" i="10"/>
  <c r="AG14" i="10" s="1"/>
  <c r="BX13" i="10"/>
  <c r="U13" i="10"/>
  <c r="AE10" i="10"/>
  <c r="AG10" i="10" s="1"/>
  <c r="BX11" i="10"/>
  <c r="BX12" i="10"/>
  <c r="U12" i="10"/>
  <c r="U8" i="10"/>
  <c r="AE18" i="10"/>
  <c r="AG18" i="10" s="1"/>
  <c r="G36" i="9"/>
  <c r="B35" i="10" s="1"/>
  <c r="AE23" i="10"/>
  <c r="AG23" i="10" s="1"/>
  <c r="IH17" i="9"/>
  <c r="II17" i="9" s="1"/>
  <c r="U20" i="10"/>
  <c r="AS26" i="9"/>
  <c r="AE36" i="10"/>
  <c r="AG36" i="10" s="1"/>
  <c r="CX31" i="9"/>
  <c r="AF13" i="9"/>
  <c r="G21" i="9"/>
  <c r="B20" i="10" s="1"/>
  <c r="AF23" i="9"/>
  <c r="AF26" i="10"/>
  <c r="CB36" i="9"/>
  <c r="DB20" i="9"/>
  <c r="U35" i="10"/>
  <c r="AF14" i="10"/>
  <c r="FI54" i="9"/>
  <c r="AF15" i="9"/>
  <c r="G24" i="9"/>
  <c r="B23" i="10" s="1"/>
  <c r="CK32" i="9"/>
  <c r="DG32" i="9" s="1"/>
  <c r="BG31" i="10"/>
  <c r="AF21" i="10"/>
  <c r="AF16" i="10"/>
  <c r="AE32" i="10"/>
  <c r="AG32" i="10" s="1"/>
  <c r="FH47" i="9"/>
  <c r="G22" i="9"/>
  <c r="B21" i="10" s="1"/>
  <c r="AS27" i="9"/>
  <c r="Y28" i="10"/>
  <c r="BH28" i="10" s="1"/>
  <c r="CB31" i="9"/>
  <c r="FH51" i="9"/>
  <c r="FH61" i="9"/>
  <c r="IH33" i="9"/>
  <c r="CF32" i="10" s="1"/>
  <c r="FH73" i="9"/>
  <c r="CT37" i="9"/>
  <c r="JM39" i="9"/>
  <c r="U21" i="10"/>
  <c r="Y29" i="10"/>
  <c r="BH29" i="10" s="1"/>
  <c r="AS33" i="9"/>
  <c r="AF29" i="10"/>
  <c r="AE20" i="10"/>
  <c r="AG20" i="10" s="1"/>
  <c r="CB25" i="9"/>
  <c r="G28" i="9"/>
  <c r="B27" i="10" s="1"/>
  <c r="BG32" i="10"/>
  <c r="AE25" i="10"/>
  <c r="AG25" i="10" s="1"/>
  <c r="FW55" i="9"/>
  <c r="FG18" i="9" s="1"/>
  <c r="AZ17" i="10" s="1"/>
  <c r="G12" i="9"/>
  <c r="B11" i="10" s="1"/>
  <c r="FB50" i="9"/>
  <c r="FD50" i="9" s="1"/>
  <c r="FJ50" i="9" s="1"/>
  <c r="CP18" i="9"/>
  <c r="CK19" i="9"/>
  <c r="S18" i="10" s="1"/>
  <c r="V18" i="10" s="1"/>
  <c r="G29" i="9"/>
  <c r="B28" i="10" s="1"/>
  <c r="G34" i="9"/>
  <c r="B33" i="10" s="1"/>
  <c r="AF18" i="10"/>
  <c r="FH62" i="9"/>
  <c r="IH15" i="9"/>
  <c r="II15" i="9" s="1"/>
  <c r="U33" i="10"/>
  <c r="CK35" i="9"/>
  <c r="S34" i="10" s="1"/>
  <c r="V34" i="10" s="1"/>
  <c r="FH74" i="9"/>
  <c r="EC8" i="9"/>
  <c r="ED8" i="9" s="1"/>
  <c r="CK21" i="9"/>
  <c r="S20" i="10" s="1"/>
  <c r="G37" i="9"/>
  <c r="B36" i="10" s="1"/>
  <c r="G38" i="9"/>
  <c r="B37" i="10" s="1"/>
  <c r="AF30" i="10"/>
  <c r="G19" i="9"/>
  <c r="B18" i="10" s="1"/>
  <c r="Y20" i="10"/>
  <c r="BH20" i="10" s="1"/>
  <c r="G26" i="9"/>
  <c r="B25" i="10" s="1"/>
  <c r="AC32" i="10"/>
  <c r="Y32" i="10"/>
  <c r="BH32" i="10" s="1"/>
  <c r="FH56" i="9"/>
  <c r="CT33" i="9"/>
  <c r="IO39" i="9"/>
  <c r="JY39" i="9"/>
  <c r="CT32" i="9"/>
  <c r="DE39" i="9"/>
  <c r="FB53" i="9"/>
  <c r="FD53" i="9" s="1"/>
  <c r="FJ53" i="9" s="1"/>
  <c r="IR39" i="9"/>
  <c r="KB39" i="9"/>
  <c r="G31" i="9"/>
  <c r="B30" i="10" s="1"/>
  <c r="FH45" i="9"/>
  <c r="CT31" i="9"/>
  <c r="BP39" i="9"/>
  <c r="AJ23" i="9"/>
  <c r="BG27" i="10"/>
  <c r="AN30" i="9"/>
  <c r="AO30" i="9" s="1"/>
  <c r="DB30" i="9"/>
  <c r="CB32" i="9"/>
  <c r="Y33" i="10"/>
  <c r="BH33" i="10" s="1"/>
  <c r="BC33" i="10"/>
  <c r="FW50" i="9"/>
  <c r="FG13" i="9" s="1"/>
  <c r="AZ12" i="10" s="1"/>
  <c r="FH55" i="9"/>
  <c r="AF22" i="10"/>
  <c r="FV69" i="9"/>
  <c r="EQ32" i="9" s="1"/>
  <c r="AT31" i="10" s="1"/>
  <c r="X34" i="9"/>
  <c r="G33" i="10" s="1"/>
  <c r="FB55" i="9"/>
  <c r="FD55" i="9" s="1"/>
  <c r="FJ55" i="9" s="1"/>
  <c r="JA39" i="9"/>
  <c r="AS21" i="9"/>
  <c r="CB21" i="9"/>
  <c r="BG30" i="10"/>
  <c r="G35" i="9"/>
  <c r="B34" i="10" s="1"/>
  <c r="FI60" i="9"/>
  <c r="GG35" i="9"/>
  <c r="AR34" i="10" s="1"/>
  <c r="FV68" i="9"/>
  <c r="EQ31" i="9" s="1"/>
  <c r="AT30" i="10" s="1"/>
  <c r="AJ28" i="9"/>
  <c r="AJ38" i="9"/>
  <c r="CB14" i="9"/>
  <c r="AS16" i="9"/>
  <c r="CB16" i="9"/>
  <c r="CK17" i="9"/>
  <c r="S16" i="10" s="1"/>
  <c r="V16" i="10" s="1"/>
  <c r="CP20" i="9"/>
  <c r="AS30" i="9"/>
  <c r="AN35" i="9"/>
  <c r="BD35" i="9" s="1"/>
  <c r="FV46" i="9"/>
  <c r="EQ9" i="9" s="1"/>
  <c r="AT8" i="10" s="1"/>
  <c r="FV65" i="9"/>
  <c r="EQ28" i="9" s="1"/>
  <c r="AT27" i="10" s="1"/>
  <c r="AJ15" i="9"/>
  <c r="G17" i="9"/>
  <c r="B16" i="10" s="1"/>
  <c r="AN20" i="9"/>
  <c r="J19" i="10" s="1"/>
  <c r="X21" i="9"/>
  <c r="G20" i="10" s="1"/>
  <c r="DB27" i="9"/>
  <c r="CX32" i="9"/>
  <c r="GG36" i="9"/>
  <c r="AR35" i="10" s="1"/>
  <c r="FV75" i="9"/>
  <c r="EQ38" i="9" s="1"/>
  <c r="AT37" i="10" s="1"/>
  <c r="CK14" i="9"/>
  <c r="S13" i="10" s="1"/>
  <c r="G30" i="9"/>
  <c r="B29" i="10" s="1"/>
  <c r="AJ31" i="9"/>
  <c r="BG35" i="10"/>
  <c r="EG11" i="9"/>
  <c r="EN11" i="9" s="1"/>
  <c r="EC11" i="9"/>
  <c r="AJ10" i="10" s="1"/>
  <c r="EG10" i="9"/>
  <c r="AL9" i="10" s="1"/>
  <c r="AO9" i="10" s="1"/>
  <c r="EC10" i="9"/>
  <c r="AJ9" i="10" s="1"/>
  <c r="AK9" i="10" s="1"/>
  <c r="EG9" i="9"/>
  <c r="AL8" i="10" s="1"/>
  <c r="AO8" i="10" s="1"/>
  <c r="EC9" i="9"/>
  <c r="AJ8" i="10" s="1"/>
  <c r="AF20" i="10"/>
  <c r="AF28" i="10"/>
  <c r="AF33" i="10"/>
  <c r="Y34" i="10"/>
  <c r="BH34" i="10" s="1"/>
  <c r="H83" i="9"/>
  <c r="BG18" i="10"/>
  <c r="BS18" i="10" s="1"/>
  <c r="AF10" i="10"/>
  <c r="AF9" i="10"/>
  <c r="CK12" i="9"/>
  <c r="DG12" i="9" s="1"/>
  <c r="CK11" i="9"/>
  <c r="DG11" i="9" s="1"/>
  <c r="BX12" i="9"/>
  <c r="AN12" i="9"/>
  <c r="J11" i="10" s="1"/>
  <c r="DB11" i="9"/>
  <c r="CB11" i="9"/>
  <c r="BX11" i="9"/>
  <c r="L83" i="9"/>
  <c r="AE9" i="10"/>
  <c r="AG9" i="10" s="1"/>
  <c r="BU38" i="10"/>
  <c r="C62" i="10" s="1"/>
  <c r="CK9" i="9"/>
  <c r="S8" i="10" s="1"/>
  <c r="G10" i="9"/>
  <c r="B9" i="10" s="1"/>
  <c r="P83" i="9"/>
  <c r="GG9" i="9"/>
  <c r="AR8" i="10" s="1"/>
  <c r="AF8" i="10"/>
  <c r="G9" i="9"/>
  <c r="B8" i="10" s="1"/>
  <c r="BG13" i="10"/>
  <c r="BG21" i="10"/>
  <c r="BS21" i="10" s="1"/>
  <c r="BG8" i="10"/>
  <c r="BP8" i="10" s="1"/>
  <c r="BG24" i="10"/>
  <c r="BG20" i="10"/>
  <c r="BS20" i="10" s="1"/>
  <c r="BG16" i="10"/>
  <c r="BS16" i="10" s="1"/>
  <c r="BG22" i="10"/>
  <c r="BG37" i="10"/>
  <c r="BG11" i="10"/>
  <c r="BP11" i="10" s="1"/>
  <c r="BG28" i="10"/>
  <c r="AX33" i="10"/>
  <c r="BC37" i="10"/>
  <c r="GG14" i="9"/>
  <c r="AR13" i="10" s="1"/>
  <c r="GG24" i="9"/>
  <c r="AR23" i="10" s="1"/>
  <c r="GG31" i="9"/>
  <c r="AR30" i="10" s="1"/>
  <c r="GG37" i="9"/>
  <c r="AR36" i="10" s="1"/>
  <c r="GG20" i="9"/>
  <c r="AR19" i="10" s="1"/>
  <c r="GG32" i="9"/>
  <c r="AR31" i="10" s="1"/>
  <c r="GG18" i="9"/>
  <c r="AR17" i="10" s="1"/>
  <c r="GG10" i="9"/>
  <c r="AR9" i="10" s="1"/>
  <c r="FB52" i="9"/>
  <c r="FD52" i="9" s="1"/>
  <c r="AK37" i="10"/>
  <c r="CF27" i="10"/>
  <c r="IH22" i="9"/>
  <c r="CF21" i="10" s="1"/>
  <c r="IH26" i="9"/>
  <c r="II26" i="9" s="1"/>
  <c r="IH21" i="9"/>
  <c r="II21" i="9" s="1"/>
  <c r="IH34" i="9"/>
  <c r="CF33" i="10" s="1"/>
  <c r="DB10" i="9"/>
  <c r="Y17" i="10"/>
  <c r="BH17" i="10" s="1"/>
  <c r="DB18" i="9"/>
  <c r="DB35" i="9"/>
  <c r="Y16" i="10"/>
  <c r="BH16" i="10" s="1"/>
  <c r="DB13" i="9"/>
  <c r="CX28" i="9"/>
  <c r="CX12" i="9"/>
  <c r="CX34" i="9"/>
  <c r="CX10" i="9"/>
  <c r="CX18" i="9"/>
  <c r="CX38" i="9"/>
  <c r="U19" i="10"/>
  <c r="CP32" i="9"/>
  <c r="CP27" i="9"/>
  <c r="CP10" i="9"/>
  <c r="CP9" i="9"/>
  <c r="CK18" i="9"/>
  <c r="S17" i="10" s="1"/>
  <c r="CB29" i="9"/>
  <c r="CB9" i="9"/>
  <c r="CB17" i="9"/>
  <c r="CK25" i="9"/>
  <c r="S24" i="10" s="1"/>
  <c r="CK30" i="9"/>
  <c r="DG30" i="9" s="1"/>
  <c r="CB27" i="9"/>
  <c r="CB19" i="9"/>
  <c r="CB12" i="9"/>
  <c r="CB26" i="9"/>
  <c r="CK27" i="9"/>
  <c r="S26" i="10" s="1"/>
  <c r="AC8" i="10"/>
  <c r="AC13" i="10"/>
  <c r="AC21" i="10"/>
  <c r="AC24" i="10"/>
  <c r="AN29" i="9"/>
  <c r="BD29" i="9" s="1"/>
  <c r="AN34" i="9"/>
  <c r="J33" i="10" s="1"/>
  <c r="AN26" i="9"/>
  <c r="BD26" i="9" s="1"/>
  <c r="AN24" i="9"/>
  <c r="J23" i="10" s="1"/>
  <c r="AN10" i="9"/>
  <c r="AO10" i="9" s="1"/>
  <c r="AN37" i="9"/>
  <c r="AO37" i="9" s="1"/>
  <c r="AN25" i="9"/>
  <c r="BD25" i="9" s="1"/>
  <c r="AS19" i="9"/>
  <c r="AS35" i="9"/>
  <c r="AS25" i="9"/>
  <c r="AS24" i="9"/>
  <c r="AS11" i="9"/>
  <c r="AS17" i="9"/>
  <c r="AS29" i="9"/>
  <c r="AS22" i="9"/>
  <c r="AJ12" i="9"/>
  <c r="AJ21" i="9"/>
  <c r="AJ25" i="9"/>
  <c r="AJ36" i="9"/>
  <c r="AF18" i="9"/>
  <c r="AF24" i="9"/>
  <c r="AF10" i="9"/>
  <c r="AF12" i="9"/>
  <c r="AF32" i="9"/>
  <c r="AF19" i="9"/>
  <c r="AF20" i="9"/>
  <c r="AF28" i="9"/>
  <c r="AF29" i="9"/>
  <c r="X11" i="9"/>
  <c r="G10" i="10" s="1"/>
  <c r="X18" i="9"/>
  <c r="G17" i="10" s="1"/>
  <c r="X14" i="9"/>
  <c r="AK14" i="9" s="1"/>
  <c r="DH14" i="9" s="1"/>
  <c r="X10" i="9"/>
  <c r="G9" i="10" s="1"/>
  <c r="X17" i="9"/>
  <c r="G16" i="10" s="1"/>
  <c r="X32" i="9"/>
  <c r="AK32" i="9" s="1"/>
  <c r="DH32" i="9" s="1"/>
  <c r="X19" i="9"/>
  <c r="AK19" i="9" s="1"/>
  <c r="DH19" i="9" s="1"/>
  <c r="X31" i="9"/>
  <c r="G30" i="10" s="1"/>
  <c r="X16" i="9"/>
  <c r="G15" i="10" s="1"/>
  <c r="X36" i="9"/>
  <c r="G35" i="10" s="1"/>
  <c r="R32" i="9"/>
  <c r="R34" i="9"/>
  <c r="R10" i="9"/>
  <c r="G15" i="9"/>
  <c r="B14" i="10" s="1"/>
  <c r="G33" i="9"/>
  <c r="B32" i="10" s="1"/>
  <c r="G23" i="9"/>
  <c r="B22" i="10" s="1"/>
  <c r="G20" i="9"/>
  <c r="B19" i="10" s="1"/>
  <c r="G13" i="9"/>
  <c r="B12" i="10" s="1"/>
  <c r="G18" i="9"/>
  <c r="B17" i="10" s="1"/>
  <c r="F39" i="9"/>
  <c r="G14" i="9"/>
  <c r="B13" i="10" s="1"/>
  <c r="G32" i="9"/>
  <c r="B31" i="10" s="1"/>
  <c r="G25" i="9"/>
  <c r="B24" i="10" s="1"/>
  <c r="D39" i="9"/>
  <c r="G27" i="9"/>
  <c r="B26" i="10" s="1"/>
  <c r="DF7" i="9"/>
  <c r="X8" i="9"/>
  <c r="AK8" i="9" s="1"/>
  <c r="DH8" i="9" s="1"/>
  <c r="GG8" i="9"/>
  <c r="AR7" i="10" s="1"/>
  <c r="X38" i="9"/>
  <c r="AK38" i="9" s="1"/>
  <c r="DH38" i="9" s="1"/>
  <c r="CK38" i="9"/>
  <c r="DG38" i="9" s="1"/>
  <c r="GA37" i="9"/>
  <c r="AQ36" i="10" s="1"/>
  <c r="AX36" i="10"/>
  <c r="Y37" i="10"/>
  <c r="BH37" i="10" s="1"/>
  <c r="X37" i="9"/>
  <c r="G36" i="10" s="1"/>
  <c r="BC36" i="10"/>
  <c r="AX37" i="10"/>
  <c r="Y36" i="10"/>
  <c r="BH36" i="10" s="1"/>
  <c r="DB37" i="9"/>
  <c r="AS38" i="9"/>
  <c r="AE35" i="10"/>
  <c r="AG35" i="10" s="1"/>
  <c r="AF23" i="10"/>
  <c r="AE11" i="10"/>
  <c r="AG11" i="10" s="1"/>
  <c r="AE34" i="10"/>
  <c r="AG34" i="10" s="1"/>
  <c r="AE31" i="10"/>
  <c r="AG31" i="10" s="1"/>
  <c r="AE15" i="10"/>
  <c r="AG15" i="10" s="1"/>
  <c r="AF17" i="10"/>
  <c r="AF35" i="10"/>
  <c r="AF31" i="10"/>
  <c r="DT79" i="9"/>
  <c r="AE27" i="10"/>
  <c r="AG27" i="10" s="1"/>
  <c r="AF19" i="10"/>
  <c r="AF27" i="10"/>
  <c r="AF11" i="10"/>
  <c r="AF15" i="10"/>
  <c r="AF34" i="10"/>
  <c r="AE37" i="10"/>
  <c r="AG37" i="10" s="1"/>
  <c r="FV49" i="9"/>
  <c r="EQ12" i="9" s="1"/>
  <c r="AT11" i="10" s="1"/>
  <c r="FV48" i="9"/>
  <c r="EQ11" i="9" s="1"/>
  <c r="AT10" i="10" s="1"/>
  <c r="FW47" i="9"/>
  <c r="FG10" i="9" s="1"/>
  <c r="AZ9" i="10" s="1"/>
  <c r="FV53" i="9"/>
  <c r="EQ16" i="9" s="1"/>
  <c r="AT15" i="10" s="1"/>
  <c r="FV74" i="9"/>
  <c r="EQ37" i="9" s="1"/>
  <c r="AT36" i="10" s="1"/>
  <c r="FV63" i="9"/>
  <c r="EQ26" i="9" s="1"/>
  <c r="AT25" i="10" s="1"/>
  <c r="FW62" i="9"/>
  <c r="FG25" i="9" s="1"/>
  <c r="AZ24" i="10" s="1"/>
  <c r="FT37" i="9"/>
  <c r="FM37" i="9" s="1"/>
  <c r="FV57" i="9"/>
  <c r="EQ20" i="9" s="1"/>
  <c r="AT19" i="10" s="1"/>
  <c r="FV51" i="9"/>
  <c r="EQ14" i="9" s="1"/>
  <c r="AT13" i="10" s="1"/>
  <c r="FT38" i="9"/>
  <c r="FM38" i="9" s="1"/>
  <c r="FW56" i="9"/>
  <c r="FG19" i="9" s="1"/>
  <c r="AZ18" i="10" s="1"/>
  <c r="FU15" i="9"/>
  <c r="FT17" i="9"/>
  <c r="FM17" i="9" s="1"/>
  <c r="FT20" i="9"/>
  <c r="FM20" i="9" s="1"/>
  <c r="FB61" i="9"/>
  <c r="FD61" i="9" s="1"/>
  <c r="FJ61" i="9" s="1"/>
  <c r="FB64" i="9"/>
  <c r="FD64" i="9" s="1"/>
  <c r="FJ64" i="9" s="1"/>
  <c r="FB60" i="9"/>
  <c r="FD60" i="9" s="1"/>
  <c r="FJ60" i="9" s="1"/>
  <c r="FL60" i="9" s="1"/>
  <c r="AW22" i="10" s="1"/>
  <c r="FB63" i="9"/>
  <c r="FD63" i="9" s="1"/>
  <c r="FJ63" i="9" s="1"/>
  <c r="FU32" i="9"/>
  <c r="FT24" i="9"/>
  <c r="FM24" i="9" s="1"/>
  <c r="FB58" i="9"/>
  <c r="FD58" i="9" s="1"/>
  <c r="FJ58" i="9" s="1"/>
  <c r="FB69" i="9"/>
  <c r="FD69" i="9" s="1"/>
  <c r="FJ69" i="9" s="1"/>
  <c r="FB57" i="9"/>
  <c r="FD57" i="9" s="1"/>
  <c r="FJ57" i="9" s="1"/>
  <c r="FT12" i="9"/>
  <c r="FM12" i="9" s="1"/>
  <c r="CP13" i="9"/>
  <c r="FU17" i="9"/>
  <c r="AJ34" i="9"/>
  <c r="FB47" i="9"/>
  <c r="FD47" i="9" s="1"/>
  <c r="FJ47" i="9" s="1"/>
  <c r="FT26" i="9"/>
  <c r="FM26" i="9" s="1"/>
  <c r="CP30" i="9"/>
  <c r="CP35" i="9"/>
  <c r="FT16" i="9"/>
  <c r="FM16" i="9" s="1"/>
  <c r="FB66" i="9"/>
  <c r="FD66" i="9" s="1"/>
  <c r="FJ66" i="9" s="1"/>
  <c r="FB74" i="9"/>
  <c r="FD74" i="9" s="1"/>
  <c r="FK74" i="9" s="1"/>
  <c r="FU16" i="9"/>
  <c r="EN13" i="9"/>
  <c r="CP28" i="9"/>
  <c r="AJ30" i="9"/>
  <c r="FT34" i="9"/>
  <c r="FM34" i="9" s="1"/>
  <c r="AJ35" i="9"/>
  <c r="ED15" i="9"/>
  <c r="FT15" i="9"/>
  <c r="FM15" i="9" s="1"/>
  <c r="FT32" i="9"/>
  <c r="FM32" i="9" s="1"/>
  <c r="FU34" i="9"/>
  <c r="AJ37" i="9"/>
  <c r="FB59" i="9"/>
  <c r="FD59" i="9" s="1"/>
  <c r="FJ59" i="9" s="1"/>
  <c r="AJ24" i="9"/>
  <c r="FB62" i="9"/>
  <c r="FD62" i="9" s="1"/>
  <c r="FK62" i="9" s="1"/>
  <c r="FT29" i="9"/>
  <c r="FM29" i="9" s="1"/>
  <c r="AJ13" i="9"/>
  <c r="CP15" i="9"/>
  <c r="AJ26" i="9"/>
  <c r="AJ27" i="9"/>
  <c r="CP33" i="9"/>
  <c r="FT36" i="9"/>
  <c r="FM36" i="9" s="1"/>
  <c r="FU37" i="9"/>
  <c r="FA13" i="9"/>
  <c r="FT23" i="9"/>
  <c r="FM23" i="9" s="1"/>
  <c r="FA10" i="9"/>
  <c r="AJ17" i="9"/>
  <c r="AZ7" i="10"/>
  <c r="CF7" i="10"/>
  <c r="AJ10" i="9"/>
  <c r="IH10" i="9"/>
  <c r="CF9" i="10" s="1"/>
  <c r="AC10" i="10"/>
  <c r="AN11" i="9"/>
  <c r="U11" i="10"/>
  <c r="AS13" i="9"/>
  <c r="BX13" i="9"/>
  <c r="H13" i="10"/>
  <c r="AF14" i="9"/>
  <c r="K19" i="10"/>
  <c r="AE22" i="10"/>
  <c r="AG22" i="10" s="1"/>
  <c r="IH23" i="9"/>
  <c r="CF22" i="10" s="1"/>
  <c r="K30" i="10"/>
  <c r="AS31" i="9"/>
  <c r="FI45" i="9"/>
  <c r="AI7" i="10"/>
  <c r="DZ39" i="9"/>
  <c r="AS9" i="9"/>
  <c r="AU15" i="10"/>
  <c r="O21" i="10"/>
  <c r="CK22" i="9"/>
  <c r="DG22" i="9" s="1"/>
  <c r="CB22" i="9"/>
  <c r="M7" i="10"/>
  <c r="M38" i="10" s="1"/>
  <c r="BC39" i="9"/>
  <c r="CX8" i="9"/>
  <c r="F38" i="10"/>
  <c r="X7" i="10"/>
  <c r="BA7" i="10"/>
  <c r="BA38" i="10" s="1"/>
  <c r="FJ39" i="9"/>
  <c r="BE7" i="10"/>
  <c r="GP39" i="9"/>
  <c r="X9" i="9"/>
  <c r="G8" i="10" s="1"/>
  <c r="DB9" i="9"/>
  <c r="H10" i="10"/>
  <c r="AF11" i="9"/>
  <c r="T10" i="10"/>
  <c r="CP11" i="9"/>
  <c r="Y11" i="10"/>
  <c r="BH11" i="10" s="1"/>
  <c r="GG13" i="9"/>
  <c r="AR12" i="10" s="1"/>
  <c r="AS20" i="9"/>
  <c r="AH22" i="10"/>
  <c r="AC20" i="10"/>
  <c r="AN21" i="9"/>
  <c r="BX9" i="9"/>
  <c r="W8" i="10"/>
  <c r="Y8" i="10" s="1"/>
  <c r="BH8" i="10" s="1"/>
  <c r="CX9" i="9"/>
  <c r="T11" i="10"/>
  <c r="CP12" i="9"/>
  <c r="AJ16" i="9"/>
  <c r="AZ21" i="10"/>
  <c r="FU22" i="9"/>
  <c r="FT22" i="9"/>
  <c r="FM22" i="9" s="1"/>
  <c r="C39" i="9"/>
  <c r="H7" i="10"/>
  <c r="AE39" i="9"/>
  <c r="AA7" i="10"/>
  <c r="AA38" i="10" s="1"/>
  <c r="C53" i="10" s="1"/>
  <c r="BG39" i="9"/>
  <c r="EJ39" i="9"/>
  <c r="AM7" i="10"/>
  <c r="BF7" i="10"/>
  <c r="GS39" i="9"/>
  <c r="FT9" i="9"/>
  <c r="FM9" i="9" s="1"/>
  <c r="AG8" i="10"/>
  <c r="CD44" i="9"/>
  <c r="BX10" i="9"/>
  <c r="I10" i="10"/>
  <c r="AJ11" i="9"/>
  <c r="U10" i="10"/>
  <c r="P12" i="10"/>
  <c r="CH47" i="9"/>
  <c r="CE47" i="9"/>
  <c r="CF47" i="9" s="1"/>
  <c r="CE46" i="9" s="1"/>
  <c r="CF46" i="9" s="1"/>
  <c r="CE45" i="9" s="1"/>
  <c r="CF45" i="9" s="1"/>
  <c r="AN15" i="9"/>
  <c r="I17" i="10"/>
  <c r="AJ18" i="9"/>
  <c r="FA67" i="9"/>
  <c r="FB67" i="9" s="1"/>
  <c r="FD67" i="9" s="1"/>
  <c r="FJ67" i="9" s="1"/>
  <c r="FU30" i="9"/>
  <c r="FT30" i="9"/>
  <c r="FM30" i="9" s="1"/>
  <c r="T39" i="9"/>
  <c r="D7" i="10"/>
  <c r="BF10" i="10"/>
  <c r="BG10" i="10" s="1"/>
  <c r="BP10" i="10" s="1"/>
  <c r="GA11" i="9"/>
  <c r="AQ10" i="10" s="1"/>
  <c r="Q7" i="10"/>
  <c r="Q38" i="10" s="1"/>
  <c r="CF39" i="9"/>
  <c r="K9" i="10"/>
  <c r="AS10" i="9"/>
  <c r="W10" i="10"/>
  <c r="Y10" i="10" s="1"/>
  <c r="BH10" i="10" s="1"/>
  <c r="CX11" i="9"/>
  <c r="AE12" i="10"/>
  <c r="AG12" i="10" s="1"/>
  <c r="IH13" i="9"/>
  <c r="CF12" i="10" s="1"/>
  <c r="AC7" i="10"/>
  <c r="BL39" i="9"/>
  <c r="FS39" i="9"/>
  <c r="AF9" i="9"/>
  <c r="CH44" i="9"/>
  <c r="P9" i="10"/>
  <c r="G11" i="9"/>
  <c r="B10" i="10" s="1"/>
  <c r="FT11" i="9"/>
  <c r="FM11" i="9" s="1"/>
  <c r="K11" i="10"/>
  <c r="AS12" i="9"/>
  <c r="DF12" i="9"/>
  <c r="FD13" i="9"/>
  <c r="AH13" i="10"/>
  <c r="D19" i="10"/>
  <c r="X20" i="9"/>
  <c r="G19" i="10" s="1"/>
  <c r="AX25" i="10"/>
  <c r="GG26" i="9"/>
  <c r="AR25" i="10" s="1"/>
  <c r="D26" i="10"/>
  <c r="E7" i="10"/>
  <c r="V39" i="9"/>
  <c r="AB38" i="10"/>
  <c r="C54" i="10" s="1"/>
  <c r="O9" i="10"/>
  <c r="CB10" i="9"/>
  <c r="K13" i="10"/>
  <c r="AS14" i="9"/>
  <c r="CH39" i="9"/>
  <c r="R7" i="10"/>
  <c r="R38" i="10" s="1"/>
  <c r="AX11" i="10"/>
  <c r="GG12" i="9"/>
  <c r="AR11" i="10" s="1"/>
  <c r="AI12" i="10"/>
  <c r="DF19" i="9"/>
  <c r="AI19" i="10"/>
  <c r="D21" i="10"/>
  <c r="X22" i="9"/>
  <c r="G21" i="10" s="1"/>
  <c r="W21" i="10"/>
  <c r="Y21" i="10" s="1"/>
  <c r="BH21" i="10" s="1"/>
  <c r="JN50" i="9"/>
  <c r="AV24" i="10"/>
  <c r="AH10" i="10"/>
  <c r="HI46" i="9"/>
  <c r="AN7" i="10"/>
  <c r="AN38" i="10" s="1"/>
  <c r="EM39" i="9"/>
  <c r="K39" i="9"/>
  <c r="FU8" i="9"/>
  <c r="DF11" i="9"/>
  <c r="X15" i="9"/>
  <c r="G14" i="10" s="1"/>
  <c r="R15" i="9"/>
  <c r="AC15" i="10"/>
  <c r="AN16" i="9"/>
  <c r="T15" i="10"/>
  <c r="CP16" i="9"/>
  <c r="AC16" i="10"/>
  <c r="AN17" i="9"/>
  <c r="CX22" i="9"/>
  <c r="AX21" i="10"/>
  <c r="GG22" i="9"/>
  <c r="AR21" i="10" s="1"/>
  <c r="AS21" i="10" s="1"/>
  <c r="BM21" i="10" s="1"/>
  <c r="AZ19" i="10"/>
  <c r="FU20" i="9"/>
  <c r="H37" i="10"/>
  <c r="AF38" i="9"/>
  <c r="FA45" i="9"/>
  <c r="FP39" i="9"/>
  <c r="AT17" i="10"/>
  <c r="FD18" i="9"/>
  <c r="BN39" i="9"/>
  <c r="HE39" i="9"/>
  <c r="AU7" i="10"/>
  <c r="ET39" i="9"/>
  <c r="HJ39" i="9"/>
  <c r="AJ9" i="9"/>
  <c r="C7" i="10"/>
  <c r="AN8" i="9"/>
  <c r="Z7" i="10"/>
  <c r="T7" i="10"/>
  <c r="CO39" i="9"/>
  <c r="AD7" i="10"/>
  <c r="AD38" i="10" s="1"/>
  <c r="C57" i="10" s="1"/>
  <c r="DR39" i="9"/>
  <c r="AV7" i="10"/>
  <c r="EW39" i="9"/>
  <c r="AP7" i="10"/>
  <c r="FX41" i="9"/>
  <c r="HM39" i="9"/>
  <c r="E9" i="10"/>
  <c r="CK10" i="9"/>
  <c r="DG10" i="9" s="1"/>
  <c r="AX10" i="10"/>
  <c r="GG11" i="9"/>
  <c r="AR10" i="10" s="1"/>
  <c r="FA18" i="9"/>
  <c r="AZ11" i="10"/>
  <c r="FU12" i="9"/>
  <c r="JN48" i="9"/>
  <c r="CA39" i="9"/>
  <c r="O7" i="10"/>
  <c r="D12" i="10"/>
  <c r="X13" i="9"/>
  <c r="G12" i="10" s="1"/>
  <c r="H24" i="10"/>
  <c r="AF25" i="9"/>
  <c r="X27" i="9"/>
  <c r="G26" i="10" s="1"/>
  <c r="R27" i="9"/>
  <c r="I7" i="10"/>
  <c r="AI39" i="9"/>
  <c r="CK8" i="9"/>
  <c r="DG8" i="9" s="1"/>
  <c r="EZ39" i="9"/>
  <c r="EZ45" i="9"/>
  <c r="AN9" i="9"/>
  <c r="AH8" i="10"/>
  <c r="GA10" i="9"/>
  <c r="AQ9" i="10" s="1"/>
  <c r="E11" i="10"/>
  <c r="AC17" i="10"/>
  <c r="AN18" i="9"/>
  <c r="DA24" i="9"/>
  <c r="DA25" i="9"/>
  <c r="T23" i="10"/>
  <c r="CP24" i="9"/>
  <c r="DF26" i="9"/>
  <c r="E27" i="10"/>
  <c r="X28" i="9"/>
  <c r="G27" i="10" s="1"/>
  <c r="AZ39" i="9"/>
  <c r="L7" i="10"/>
  <c r="L38" i="10" s="1"/>
  <c r="FU9" i="9"/>
  <c r="DF8" i="9"/>
  <c r="G8" i="9"/>
  <c r="FT8" i="9"/>
  <c r="FM8" i="9" s="1"/>
  <c r="Q39" i="9"/>
  <c r="AE7" i="10"/>
  <c r="DT39" i="9"/>
  <c r="GA8" i="9"/>
  <c r="R8" i="9"/>
  <c r="K7" i="10"/>
  <c r="AR39" i="9"/>
  <c r="BW39" i="9"/>
  <c r="CD42" i="9"/>
  <c r="U7" i="10"/>
  <c r="CS39" i="9"/>
  <c r="AH7" i="10"/>
  <c r="DW39" i="9"/>
  <c r="AC9" i="10"/>
  <c r="P10" i="10"/>
  <c r="CH45" i="9"/>
  <c r="X12" i="9"/>
  <c r="G11" i="10" s="1"/>
  <c r="BR13" i="9"/>
  <c r="W12" i="10"/>
  <c r="Y12" i="10" s="1"/>
  <c r="BH12" i="10" s="1"/>
  <c r="CX13" i="9"/>
  <c r="U14" i="10"/>
  <c r="W19" i="10"/>
  <c r="Y19" i="10" s="1"/>
  <c r="BH19" i="10" s="1"/>
  <c r="CX20" i="9"/>
  <c r="AN23" i="9"/>
  <c r="AU36" i="10"/>
  <c r="Y13" i="10"/>
  <c r="BH13" i="10" s="1"/>
  <c r="GA15" i="9"/>
  <c r="AQ14" i="10" s="1"/>
  <c r="GA16" i="9"/>
  <c r="AQ15" i="10" s="1"/>
  <c r="AC18" i="10"/>
  <c r="IU39" i="9"/>
  <c r="KE39" i="9"/>
  <c r="IH20" i="9"/>
  <c r="II20" i="9" s="1"/>
  <c r="N23" i="9"/>
  <c r="C22" i="10" s="1"/>
  <c r="AX22" i="10"/>
  <c r="GG23" i="9"/>
  <c r="AR22" i="10" s="1"/>
  <c r="JN51" i="9"/>
  <c r="FU24" i="9"/>
  <c r="AE24" i="10"/>
  <c r="AG24" i="10" s="1"/>
  <c r="IH25" i="9"/>
  <c r="II25" i="9" s="1"/>
  <c r="FT28" i="9"/>
  <c r="FM28" i="9" s="1"/>
  <c r="AH30" i="10"/>
  <c r="FA72" i="9"/>
  <c r="FB72" i="9" s="1"/>
  <c r="FD72" i="9" s="1"/>
  <c r="FJ72" i="9" s="1"/>
  <c r="FU35" i="9"/>
  <c r="FT35" i="9"/>
  <c r="FM35" i="9" s="1"/>
  <c r="P11" i="10"/>
  <c r="CH46" i="9"/>
  <c r="DB12" i="9"/>
  <c r="CB13" i="9"/>
  <c r="AO12" i="10"/>
  <c r="BG12" i="10"/>
  <c r="BP12" i="10" s="1"/>
  <c r="CX14" i="9"/>
  <c r="AS15" i="9"/>
  <c r="CP17" i="9"/>
  <c r="FB54" i="9"/>
  <c r="FD54" i="9" s="1"/>
  <c r="FJ54" i="9" s="1"/>
  <c r="AJ19" i="9"/>
  <c r="IX39" i="9"/>
  <c r="CB20" i="9"/>
  <c r="BG19" i="10"/>
  <c r="BS19" i="10" s="1"/>
  <c r="CP21" i="9"/>
  <c r="DB22" i="9"/>
  <c r="CX23" i="9"/>
  <c r="AH24" i="10"/>
  <c r="AK24" i="10" s="1"/>
  <c r="ED25" i="9"/>
  <c r="D25" i="10"/>
  <c r="BF25" i="10"/>
  <c r="BG25" i="10" s="1"/>
  <c r="GA26" i="9"/>
  <c r="AQ25" i="10" s="1"/>
  <c r="AC26" i="10"/>
  <c r="AE26" i="10"/>
  <c r="AG26" i="10" s="1"/>
  <c r="IH27" i="9"/>
  <c r="II27" i="9" s="1"/>
  <c r="H29" i="10"/>
  <c r="AF30" i="9"/>
  <c r="I31" i="10"/>
  <c r="AJ32" i="9"/>
  <c r="ED33" i="9"/>
  <c r="K35" i="10"/>
  <c r="AS36" i="9"/>
  <c r="AH35" i="10"/>
  <c r="EN38" i="9"/>
  <c r="GG15" i="9"/>
  <c r="AR14" i="10" s="1"/>
  <c r="GG16" i="9"/>
  <c r="AR15" i="10" s="1"/>
  <c r="K22" i="10"/>
  <c r="AS23" i="9"/>
  <c r="AH26" i="10"/>
  <c r="AM29" i="10"/>
  <c r="H34" i="10"/>
  <c r="AF35" i="9"/>
  <c r="FB46" i="9"/>
  <c r="FD46" i="9" s="1"/>
  <c r="FJ46" i="9" s="1"/>
  <c r="GA9" i="9"/>
  <c r="AQ8" i="10" s="1"/>
  <c r="FU11" i="9"/>
  <c r="AC11" i="10"/>
  <c r="DB14" i="9"/>
  <c r="CB15" i="9"/>
  <c r="JN43" i="9"/>
  <c r="R16" i="9"/>
  <c r="JN44" i="9"/>
  <c r="R17" i="9"/>
  <c r="GG17" i="9"/>
  <c r="AR16" i="10" s="1"/>
  <c r="AN19" i="9"/>
  <c r="CP19" i="9"/>
  <c r="FB56" i="9"/>
  <c r="FD56" i="9" s="1"/>
  <c r="FJ56" i="9" s="1"/>
  <c r="JD39" i="9"/>
  <c r="R21" i="9"/>
  <c r="GG21" i="9"/>
  <c r="AR20" i="10" s="1"/>
  <c r="AS20" i="10" s="1"/>
  <c r="BM20" i="10" s="1"/>
  <c r="AF22" i="9"/>
  <c r="DF22" i="9"/>
  <c r="CB23" i="9"/>
  <c r="DA23" i="9"/>
  <c r="CP25" i="9"/>
  <c r="X26" i="9"/>
  <c r="G25" i="10" s="1"/>
  <c r="AI25" i="10"/>
  <c r="X27" i="10"/>
  <c r="Y27" i="10" s="1"/>
  <c r="BH27" i="10" s="1"/>
  <c r="DB28" i="9"/>
  <c r="AE28" i="10"/>
  <c r="AG28" i="10" s="1"/>
  <c r="IH29" i="9"/>
  <c r="R31" i="9"/>
  <c r="D32" i="10"/>
  <c r="X33" i="9"/>
  <c r="G32" i="10" s="1"/>
  <c r="JN61" i="9"/>
  <c r="AM34" i="10"/>
  <c r="JN45" i="9"/>
  <c r="JG39" i="9"/>
  <c r="JN49" i="9"/>
  <c r="JN52" i="9"/>
  <c r="U24" i="10"/>
  <c r="BC27" i="10"/>
  <c r="GG28" i="9"/>
  <c r="AR27" i="10" s="1"/>
  <c r="AX32" i="10"/>
  <c r="GG33" i="9"/>
  <c r="AR32" i="10" s="1"/>
  <c r="T33" i="10"/>
  <c r="CP34" i="9"/>
  <c r="FB48" i="9"/>
  <c r="FD48" i="9" s="1"/>
  <c r="FJ48" i="9" s="1"/>
  <c r="AC12" i="10"/>
  <c r="CK13" i="9"/>
  <c r="DG13" i="9" s="1"/>
  <c r="DF14" i="9"/>
  <c r="BG14" i="10"/>
  <c r="BS14" i="10" s="1"/>
  <c r="BG15" i="10"/>
  <c r="BS15" i="10" s="1"/>
  <c r="CX17" i="9"/>
  <c r="AS18" i="9"/>
  <c r="JN46" i="9"/>
  <c r="R19" i="9"/>
  <c r="GG19" i="9"/>
  <c r="AR18" i="10" s="1"/>
  <c r="JJ39" i="9"/>
  <c r="AC19" i="10"/>
  <c r="CK20" i="9"/>
  <c r="DG20" i="9" s="1"/>
  <c r="CX21" i="9"/>
  <c r="AJ22" i="9"/>
  <c r="AG21" i="10"/>
  <c r="X23" i="9"/>
  <c r="O23" i="10"/>
  <c r="CK24" i="9"/>
  <c r="IH24" i="9"/>
  <c r="II24" i="9" s="1"/>
  <c r="AN27" i="9"/>
  <c r="U26" i="10"/>
  <c r="O27" i="10"/>
  <c r="CK28" i="9"/>
  <c r="DG28" i="9" s="1"/>
  <c r="CX33" i="9"/>
  <c r="R36" i="9"/>
  <c r="FT14" i="9"/>
  <c r="FM14" i="9" s="1"/>
  <c r="IH18" i="9"/>
  <c r="II18" i="9" s="1"/>
  <c r="Y18" i="10"/>
  <c r="BH18" i="10" s="1"/>
  <c r="JN47" i="9"/>
  <c r="CK23" i="9"/>
  <c r="AF26" i="9"/>
  <c r="W26" i="10"/>
  <c r="Y26" i="10" s="1"/>
  <c r="BH26" i="10" s="1"/>
  <c r="CX27" i="9"/>
  <c r="CB28" i="9"/>
  <c r="BF29" i="10"/>
  <c r="BG29" i="10" s="1"/>
  <c r="GA30" i="9"/>
  <c r="AQ29" i="10" s="1"/>
  <c r="T36" i="10"/>
  <c r="CP37" i="9"/>
  <c r="IH9" i="9"/>
  <c r="CF8" i="10" s="1"/>
  <c r="Y9" i="10"/>
  <c r="BH9" i="10" s="1"/>
  <c r="FD10" i="9"/>
  <c r="FB49" i="9"/>
  <c r="FD49" i="9" s="1"/>
  <c r="FJ49" i="9" s="1"/>
  <c r="GA12" i="9"/>
  <c r="AQ11" i="10" s="1"/>
  <c r="AJ14" i="9"/>
  <c r="FU14" i="9"/>
  <c r="AC14" i="10"/>
  <c r="CK15" i="9"/>
  <c r="DB17" i="9"/>
  <c r="CB18" i="9"/>
  <c r="BG17" i="10"/>
  <c r="BS17" i="10" s="1"/>
  <c r="CX19" i="9"/>
  <c r="ED19" i="9"/>
  <c r="IH19" i="9"/>
  <c r="II19" i="9" s="1"/>
  <c r="JP39" i="9"/>
  <c r="DB21" i="9"/>
  <c r="AN22" i="9"/>
  <c r="CP22" i="9"/>
  <c r="X24" i="9"/>
  <c r="G23" i="10" s="1"/>
  <c r="BG23" i="10"/>
  <c r="W25" i="10"/>
  <c r="Y25" i="10" s="1"/>
  <c r="BH25" i="10" s="1"/>
  <c r="CX26" i="9"/>
  <c r="FB65" i="9"/>
  <c r="FD65" i="9" s="1"/>
  <c r="FJ65" i="9" s="1"/>
  <c r="CP29" i="9"/>
  <c r="DF30" i="9"/>
  <c r="AC31" i="10"/>
  <c r="AN32" i="9"/>
  <c r="BF34" i="10"/>
  <c r="BG34" i="10" s="1"/>
  <c r="GA35" i="9"/>
  <c r="AQ34" i="10" s="1"/>
  <c r="GA13" i="9"/>
  <c r="AQ12" i="10" s="1"/>
  <c r="JS39" i="9"/>
  <c r="GA20" i="9"/>
  <c r="AQ19" i="10" s="1"/>
  <c r="AC22" i="10"/>
  <c r="FU23" i="9"/>
  <c r="DF35" i="9"/>
  <c r="FI51" i="9"/>
  <c r="BG9" i="10"/>
  <c r="BP9" i="10" s="1"/>
  <c r="IH11" i="9"/>
  <c r="CF10" i="10" s="1"/>
  <c r="AN14" i="9"/>
  <c r="CP14" i="9"/>
  <c r="FB51" i="9"/>
  <c r="FD51" i="9" s="1"/>
  <c r="FK51" i="9" s="1"/>
  <c r="GA14" i="9"/>
  <c r="AQ13" i="10" s="1"/>
  <c r="AF16" i="9"/>
  <c r="CK16" i="9"/>
  <c r="AF17" i="9"/>
  <c r="DB19" i="9"/>
  <c r="IL39" i="9"/>
  <c r="JV39" i="9"/>
  <c r="AF21" i="9"/>
  <c r="EN21" i="9"/>
  <c r="CP23" i="9"/>
  <c r="X25" i="9"/>
  <c r="G24" i="10" s="1"/>
  <c r="DB26" i="9"/>
  <c r="JN54" i="9"/>
  <c r="AZ27" i="10"/>
  <c r="FU28" i="9"/>
  <c r="O32" i="10"/>
  <c r="CK33" i="9"/>
  <c r="DG33" i="9" s="1"/>
  <c r="CB33" i="9"/>
  <c r="X35" i="9"/>
  <c r="FA75" i="9"/>
  <c r="FB75" i="9" s="1"/>
  <c r="FD75" i="9" s="1"/>
  <c r="FU38" i="9"/>
  <c r="AZ25" i="10"/>
  <c r="FU26" i="9"/>
  <c r="FH46" i="9"/>
  <c r="FH48" i="9"/>
  <c r="FH57" i="9"/>
  <c r="FH72" i="9"/>
  <c r="Y30" i="10"/>
  <c r="BH30" i="10" s="1"/>
  <c r="JN59" i="9"/>
  <c r="FB71" i="9"/>
  <c r="FD71" i="9" s="1"/>
  <c r="FJ71" i="9" s="1"/>
  <c r="Y35" i="10"/>
  <c r="BH35" i="10" s="1"/>
  <c r="AX35" i="10"/>
  <c r="AC37" i="10"/>
  <c r="BX37" i="10"/>
  <c r="FH49" i="9"/>
  <c r="GG29" i="9"/>
  <c r="AR28" i="10" s="1"/>
  <c r="AC29" i="10"/>
  <c r="DB33" i="9"/>
  <c r="AC34" i="10"/>
  <c r="CX36" i="9"/>
  <c r="BC35" i="10"/>
  <c r="FH50" i="9"/>
  <c r="FI61" i="9"/>
  <c r="FI62" i="9"/>
  <c r="AF25" i="10"/>
  <c r="JN57" i="9"/>
  <c r="JN55" i="9"/>
  <c r="FH58" i="9"/>
  <c r="FH59" i="9"/>
  <c r="GG27" i="9"/>
  <c r="AR26" i="10" s="1"/>
  <c r="AC27" i="10"/>
  <c r="CX29" i="9"/>
  <c r="DB31" i="9"/>
  <c r="AF33" i="9"/>
  <c r="DF33" i="9"/>
  <c r="AS34" i="9"/>
  <c r="JN62" i="9"/>
  <c r="DB36" i="9"/>
  <c r="AS37" i="9"/>
  <c r="IH37" i="9"/>
  <c r="CF36" i="10" s="1"/>
  <c r="AN38" i="9"/>
  <c r="CP38" i="9"/>
  <c r="FW58" i="9"/>
  <c r="FG21" i="9" s="1"/>
  <c r="FV58" i="9"/>
  <c r="EQ21" i="9" s="1"/>
  <c r="FH63" i="9"/>
  <c r="X29" i="9"/>
  <c r="CX37" i="9"/>
  <c r="AC23" i="10"/>
  <c r="GG25" i="9"/>
  <c r="AR24" i="10" s="1"/>
  <c r="AC25" i="10"/>
  <c r="CK26" i="9"/>
  <c r="DB29" i="9"/>
  <c r="AF31" i="9"/>
  <c r="DF31" i="9"/>
  <c r="AS32" i="9"/>
  <c r="Y31" i="10"/>
  <c r="BH31" i="10" s="1"/>
  <c r="JN60" i="9"/>
  <c r="AJ33" i="9"/>
  <c r="CB34" i="9"/>
  <c r="BG33" i="10"/>
  <c r="AF36" i="9"/>
  <c r="DF36" i="9"/>
  <c r="CB37" i="9"/>
  <c r="BG36" i="10"/>
  <c r="R38" i="9"/>
  <c r="GG38" i="9"/>
  <c r="AR37" i="10" s="1"/>
  <c r="AS37" i="10" s="1"/>
  <c r="IH38" i="9"/>
  <c r="II38" i="9" s="1"/>
  <c r="FI47" i="9"/>
  <c r="DR54" i="9"/>
  <c r="AF13" i="10" s="1"/>
  <c r="FH69" i="9"/>
  <c r="JN53" i="9"/>
  <c r="BG26" i="10"/>
  <c r="AN28" i="9"/>
  <c r="GA28" i="9"/>
  <c r="AQ27" i="10" s="1"/>
  <c r="GG30" i="9"/>
  <c r="AR29" i="10" s="1"/>
  <c r="AC30" i="10"/>
  <c r="CK31" i="9"/>
  <c r="DG31" i="9" s="1"/>
  <c r="FT31" i="9"/>
  <c r="FM31" i="9" s="1"/>
  <c r="IH32" i="9"/>
  <c r="CF31" i="10" s="1"/>
  <c r="DB34" i="9"/>
  <c r="AC35" i="10"/>
  <c r="CK36" i="9"/>
  <c r="DG36" i="9" s="1"/>
  <c r="FH64" i="9"/>
  <c r="FH65" i="9"/>
  <c r="JN58" i="9"/>
  <c r="FU31" i="9"/>
  <c r="AN33" i="9"/>
  <c r="FB70" i="9"/>
  <c r="FD70" i="9" s="1"/>
  <c r="FJ70" i="9" s="1"/>
  <c r="GA33" i="9"/>
  <c r="AQ32" i="10" s="1"/>
  <c r="AX34" i="10"/>
  <c r="JN63" i="9"/>
  <c r="FU36" i="9"/>
  <c r="ED38" i="9"/>
  <c r="D78" i="9"/>
  <c r="BT38" i="10"/>
  <c r="C61" i="10" s="1"/>
  <c r="FJ52" i="9"/>
  <c r="FH52" i="9"/>
  <c r="FW64" i="9"/>
  <c r="FG27" i="9" s="1"/>
  <c r="FV64" i="9"/>
  <c r="EQ27" i="9" s="1"/>
  <c r="FH66" i="9"/>
  <c r="FH67" i="9"/>
  <c r="FH68" i="9"/>
  <c r="FI74" i="9"/>
  <c r="CP26" i="9"/>
  <c r="AC28" i="10"/>
  <c r="CK29" i="9"/>
  <c r="DG29" i="9" s="1"/>
  <c r="CX30" i="9"/>
  <c r="IH30" i="9"/>
  <c r="CF29" i="10" s="1"/>
  <c r="AK31" i="9"/>
  <c r="DH31" i="9" s="1"/>
  <c r="DB32" i="9"/>
  <c r="AK32" i="10"/>
  <c r="AF34" i="9"/>
  <c r="DF34" i="9"/>
  <c r="CX35" i="9"/>
  <c r="BC34" i="10"/>
  <c r="IH35" i="9"/>
  <c r="CF34" i="10" s="1"/>
  <c r="AF37" i="9"/>
  <c r="DF37" i="9"/>
  <c r="CB38" i="9"/>
  <c r="FH53" i="9"/>
  <c r="FI55" i="9"/>
  <c r="AF27" i="9"/>
  <c r="EN27" i="9"/>
  <c r="AS28" i="9"/>
  <c r="JN56" i="9"/>
  <c r="AJ29" i="9"/>
  <c r="FU29" i="9"/>
  <c r="X30" i="9"/>
  <c r="CB30" i="9"/>
  <c r="AN31" i="9"/>
  <c r="CP31" i="9"/>
  <c r="AE30" i="10"/>
  <c r="AG30" i="10" s="1"/>
  <c r="FB68" i="9"/>
  <c r="FD68" i="9" s="1"/>
  <c r="FJ68" i="9" s="1"/>
  <c r="GA31" i="9"/>
  <c r="AQ30" i="10" s="1"/>
  <c r="AC33" i="10"/>
  <c r="CK34" i="9"/>
  <c r="DG34" i="9" s="1"/>
  <c r="CB35" i="9"/>
  <c r="AN36" i="9"/>
  <c r="CP36" i="9"/>
  <c r="FB73" i="9"/>
  <c r="FD73" i="9" s="1"/>
  <c r="FJ73" i="9" s="1"/>
  <c r="GA36" i="9"/>
  <c r="AQ35" i="10" s="1"/>
  <c r="AC36" i="10"/>
  <c r="CK37" i="9"/>
  <c r="DG37" i="9" s="1"/>
  <c r="DB38" i="9"/>
  <c r="FV52" i="9"/>
  <c r="EQ15" i="9" s="1"/>
  <c r="G78" i="9"/>
  <c r="FV59" i="9"/>
  <c r="EQ22" i="9" s="1"/>
  <c r="FV66" i="9"/>
  <c r="EQ29" i="9" s="1"/>
  <c r="FH70" i="9"/>
  <c r="FH75" i="9"/>
  <c r="FV67" i="9"/>
  <c r="EQ30" i="9" s="1"/>
  <c r="FA30" i="9" s="1"/>
  <c r="FW70" i="9"/>
  <c r="FG33" i="9" s="1"/>
  <c r="FV70" i="9"/>
  <c r="EQ33" i="9" s="1"/>
  <c r="FI75" i="9"/>
  <c r="FV45" i="9"/>
  <c r="EQ8" i="9" s="1"/>
  <c r="FA8" i="9" s="1"/>
  <c r="FV54" i="9"/>
  <c r="EQ17" i="9" s="1"/>
  <c r="FV60" i="9"/>
  <c r="EQ23" i="9" s="1"/>
  <c r="AF7" i="10"/>
  <c r="FH71" i="9"/>
  <c r="EQ24" i="9"/>
  <c r="FA24" i="9" s="1"/>
  <c r="FH54" i="9"/>
  <c r="AF12" i="10"/>
  <c r="AF24" i="10"/>
  <c r="AF32" i="10"/>
  <c r="AF36" i="10"/>
  <c r="FV71" i="9"/>
  <c r="EQ34" i="9" s="1"/>
  <c r="FV72" i="9"/>
  <c r="EQ35" i="9" s="1"/>
  <c r="FA35" i="9" s="1"/>
  <c r="FV73" i="9"/>
  <c r="EQ36" i="9" s="1"/>
  <c r="AF37" i="10"/>
  <c r="FD38" i="9" l="1"/>
  <c r="AK26" i="10"/>
  <c r="ED37" i="9"/>
  <c r="ED35" i="9"/>
  <c r="AS17" i="10"/>
  <c r="BM17" i="10" s="1"/>
  <c r="EN32" i="9"/>
  <c r="FD9" i="9"/>
  <c r="EN18" i="9"/>
  <c r="ED29" i="9"/>
  <c r="ED23" i="9"/>
  <c r="AK22" i="10"/>
  <c r="ED36" i="9"/>
  <c r="AK35" i="10"/>
  <c r="AS16" i="10"/>
  <c r="BM16" i="10" s="1"/>
  <c r="AK30" i="10"/>
  <c r="FA25" i="9"/>
  <c r="EN36" i="9"/>
  <c r="FD25" i="9"/>
  <c r="EN25" i="9"/>
  <c r="EN31" i="9"/>
  <c r="ED12" i="9"/>
  <c r="EN24" i="9"/>
  <c r="FL73" i="9"/>
  <c r="EN19" i="9"/>
  <c r="V17" i="10"/>
  <c r="AS22" i="10"/>
  <c r="BM22" i="10" s="1"/>
  <c r="FU25" i="9"/>
  <c r="ED31" i="9"/>
  <c r="EN30" i="9"/>
  <c r="AO29" i="10"/>
  <c r="EN22" i="9"/>
  <c r="ED30" i="9"/>
  <c r="FA28" i="9"/>
  <c r="BO37" i="10"/>
  <c r="BM37" i="10"/>
  <c r="EN37" i="9"/>
  <c r="EN23" i="9"/>
  <c r="ED21" i="9"/>
  <c r="EN34" i="9"/>
  <c r="ED17" i="9"/>
  <c r="EN35" i="9"/>
  <c r="ED13" i="9"/>
  <c r="ED18" i="9"/>
  <c r="AO34" i="10"/>
  <c r="ED27" i="9"/>
  <c r="AK12" i="10"/>
  <c r="EN15" i="9"/>
  <c r="AS33" i="10"/>
  <c r="BO33" i="10" s="1"/>
  <c r="FA38" i="9"/>
  <c r="EN20" i="9"/>
  <c r="EN33" i="9"/>
  <c r="II30" i="9"/>
  <c r="ED34" i="9"/>
  <c r="AS28" i="10"/>
  <c r="ED26" i="9"/>
  <c r="ED28" i="9"/>
  <c r="J36" i="10"/>
  <c r="N36" i="10" s="1"/>
  <c r="FD19" i="9"/>
  <c r="EN28" i="9"/>
  <c r="ED9" i="9"/>
  <c r="AL7" i="10"/>
  <c r="AO7" i="10" s="1"/>
  <c r="ED22" i="9"/>
  <c r="AS31" i="10"/>
  <c r="II10" i="9"/>
  <c r="II22" i="9"/>
  <c r="II11" i="9"/>
  <c r="II13" i="9"/>
  <c r="BD37" i="9"/>
  <c r="ED24" i="9"/>
  <c r="EN12" i="9"/>
  <c r="ED14" i="9"/>
  <c r="ED32" i="9"/>
  <c r="EN17" i="9"/>
  <c r="AO35" i="9"/>
  <c r="CL19" i="9"/>
  <c r="AJ7" i="10"/>
  <c r="AK7" i="10" s="1"/>
  <c r="EN16" i="9"/>
  <c r="ED16" i="9"/>
  <c r="FA19" i="9"/>
  <c r="II23" i="9"/>
  <c r="II9" i="9"/>
  <c r="FA32" i="9"/>
  <c r="FD32" i="9"/>
  <c r="EN29" i="9"/>
  <c r="CF28" i="10"/>
  <c r="II29" i="9"/>
  <c r="AS26" i="10"/>
  <c r="BM26" i="10" s="1"/>
  <c r="AK25" i="10"/>
  <c r="AS23" i="10"/>
  <c r="BM23" i="10" s="1"/>
  <c r="AS34" i="10"/>
  <c r="AS24" i="10"/>
  <c r="BM24" i="10" s="1"/>
  <c r="AK13" i="10"/>
  <c r="FL56" i="9"/>
  <c r="AW18" i="10" s="1"/>
  <c r="AY18" i="10" s="1"/>
  <c r="AK21" i="9"/>
  <c r="DH21" i="9" s="1"/>
  <c r="II34" i="9"/>
  <c r="II32" i="9"/>
  <c r="II35" i="9"/>
  <c r="EN14" i="9"/>
  <c r="J24" i="10"/>
  <c r="N24" i="10" s="1"/>
  <c r="DG35" i="9"/>
  <c r="CL32" i="9"/>
  <c r="AS18" i="10"/>
  <c r="BM18" i="10" s="1"/>
  <c r="EN26" i="9"/>
  <c r="S31" i="10"/>
  <c r="V31" i="10" s="1"/>
  <c r="ED20" i="9"/>
  <c r="ED10" i="9"/>
  <c r="II33" i="9"/>
  <c r="AK19" i="10"/>
  <c r="II37" i="9"/>
  <c r="BP13" i="10"/>
  <c r="BS13" i="10" s="1"/>
  <c r="BS38" i="10" s="1"/>
  <c r="CF26" i="10"/>
  <c r="AO25" i="9"/>
  <c r="FL47" i="9"/>
  <c r="AW9" i="10" s="1"/>
  <c r="AY9" i="10" s="1"/>
  <c r="FK60" i="9"/>
  <c r="FM60" i="9" s="1"/>
  <c r="BB22" i="10" s="1"/>
  <c r="BD22" i="10" s="1"/>
  <c r="CF25" i="10"/>
  <c r="CF20" i="10"/>
  <c r="V20" i="10"/>
  <c r="FD20" i="9"/>
  <c r="FK55" i="9"/>
  <c r="FM55" i="9" s="1"/>
  <c r="BB17" i="10" s="1"/>
  <c r="BD17" i="10" s="1"/>
  <c r="CF19" i="10"/>
  <c r="CF18" i="10"/>
  <c r="CF17" i="10"/>
  <c r="DG19" i="9"/>
  <c r="AK18" i="9"/>
  <c r="DH18" i="9" s="1"/>
  <c r="CF16" i="10"/>
  <c r="V13" i="10"/>
  <c r="FL50" i="9"/>
  <c r="AW12" i="10" s="1"/>
  <c r="AY12" i="10" s="1"/>
  <c r="CF14" i="10"/>
  <c r="DG14" i="9"/>
  <c r="CL14" i="9"/>
  <c r="V8" i="10"/>
  <c r="AK8" i="10"/>
  <c r="AS35" i="10"/>
  <c r="AK15" i="9"/>
  <c r="DH15" i="9" s="1"/>
  <c r="FA9" i="9"/>
  <c r="G37" i="10"/>
  <c r="BD30" i="9"/>
  <c r="J29" i="10"/>
  <c r="CL17" i="9"/>
  <c r="FL55" i="9"/>
  <c r="AW17" i="10" s="1"/>
  <c r="AY17" i="10" s="1"/>
  <c r="DG21" i="9"/>
  <c r="AS19" i="10"/>
  <c r="BM19" i="10" s="1"/>
  <c r="DG17" i="9"/>
  <c r="AL10" i="10"/>
  <c r="AO10" i="10" s="1"/>
  <c r="EG39" i="9"/>
  <c r="AK34" i="9"/>
  <c r="DH34" i="9" s="1"/>
  <c r="EC39" i="9"/>
  <c r="CL11" i="9"/>
  <c r="S10" i="10"/>
  <c r="V10" i="10" s="1"/>
  <c r="FD37" i="9"/>
  <c r="AO34" i="9"/>
  <c r="FA37" i="9"/>
  <c r="FA11" i="9"/>
  <c r="FD28" i="9"/>
  <c r="AO20" i="9"/>
  <c r="CL25" i="9"/>
  <c r="AK10" i="10"/>
  <c r="EN9" i="9"/>
  <c r="FU18" i="9"/>
  <c r="BD24" i="9"/>
  <c r="CL35" i="9"/>
  <c r="FD14" i="9"/>
  <c r="FT13" i="9"/>
  <c r="FM13" i="9" s="1"/>
  <c r="N33" i="10"/>
  <c r="AK16" i="9"/>
  <c r="DH16" i="9" s="1"/>
  <c r="ED11" i="9"/>
  <c r="FT18" i="9"/>
  <c r="FM18" i="9" s="1"/>
  <c r="G13" i="10"/>
  <c r="FL61" i="9"/>
  <c r="AW23" i="10" s="1"/>
  <c r="CL27" i="9"/>
  <c r="DG9" i="9"/>
  <c r="CL21" i="9"/>
  <c r="FA31" i="9"/>
  <c r="FA14" i="9"/>
  <c r="AS30" i="10"/>
  <c r="AS36" i="10"/>
  <c r="DR79" i="9"/>
  <c r="AO24" i="9"/>
  <c r="C38" i="10"/>
  <c r="N39" i="9"/>
  <c r="FK54" i="9"/>
  <c r="FM54" i="9" s="1"/>
  <c r="BB16" i="10" s="1"/>
  <c r="BD16" i="10" s="1"/>
  <c r="J34" i="10"/>
  <c r="V24" i="10"/>
  <c r="EN10" i="9"/>
  <c r="FU13" i="9"/>
  <c r="FD31" i="9"/>
  <c r="FD26" i="9"/>
  <c r="G18" i="10"/>
  <c r="AJ38" i="10"/>
  <c r="DG23" i="9"/>
  <c r="BD20" i="9"/>
  <c r="AS13" i="10"/>
  <c r="BM13" i="10" s="1"/>
  <c r="AS12" i="10"/>
  <c r="BM12" i="10" s="1"/>
  <c r="FD12" i="9"/>
  <c r="FD11" i="9"/>
  <c r="AS10" i="10"/>
  <c r="CL12" i="9"/>
  <c r="S11" i="10"/>
  <c r="V11" i="10" s="1"/>
  <c r="BD12" i="9"/>
  <c r="AO12" i="9"/>
  <c r="BX39" i="9"/>
  <c r="FT10" i="9"/>
  <c r="FM10" i="9" s="1"/>
  <c r="FU10" i="9"/>
  <c r="FK47" i="9"/>
  <c r="FM47" i="9" s="1"/>
  <c r="BB9" i="10" s="1"/>
  <c r="BD9" i="10" s="1"/>
  <c r="CL9" i="9"/>
  <c r="BD10" i="9"/>
  <c r="J9" i="10"/>
  <c r="N9" i="10" s="1"/>
  <c r="FL54" i="9"/>
  <c r="AW16" i="10" s="1"/>
  <c r="FL52" i="9"/>
  <c r="AW14" i="10" s="1"/>
  <c r="AS8" i="10"/>
  <c r="BY38" i="10"/>
  <c r="BX42" i="10" s="1"/>
  <c r="AS29" i="10"/>
  <c r="AS27" i="10"/>
  <c r="BC38" i="10"/>
  <c r="AS9" i="10"/>
  <c r="BM9" i="10" s="1"/>
  <c r="AX38" i="10"/>
  <c r="AS11" i="10"/>
  <c r="BM11" i="10" s="1"/>
  <c r="AS15" i="10"/>
  <c r="BM15" i="10" s="1"/>
  <c r="AS25" i="10"/>
  <c r="BM25" i="10" s="1"/>
  <c r="AS14" i="10"/>
  <c r="BM14" i="10" s="1"/>
  <c r="AS32" i="10"/>
  <c r="FJ74" i="9"/>
  <c r="FL74" i="9" s="1"/>
  <c r="AW36" i="10" s="1"/>
  <c r="AY36" i="10" s="1"/>
  <c r="FU19" i="9"/>
  <c r="AV38" i="10"/>
  <c r="FA16" i="9"/>
  <c r="FA12" i="9"/>
  <c r="FA20" i="9"/>
  <c r="FD16" i="9"/>
  <c r="CP39" i="9"/>
  <c r="P38" i="10"/>
  <c r="DG18" i="9"/>
  <c r="CL18" i="9"/>
  <c r="S29" i="10"/>
  <c r="V29" i="10" s="1"/>
  <c r="CL30" i="9"/>
  <c r="V26" i="10"/>
  <c r="DG27" i="9"/>
  <c r="J28" i="10"/>
  <c r="AO29" i="9"/>
  <c r="AO26" i="9"/>
  <c r="J25" i="10"/>
  <c r="N25" i="10" s="1"/>
  <c r="BD34" i="9"/>
  <c r="N11" i="10"/>
  <c r="AK11" i="9"/>
  <c r="DH11" i="9" s="1"/>
  <c r="AK10" i="9"/>
  <c r="DH10" i="9" s="1"/>
  <c r="G31" i="10"/>
  <c r="AK17" i="9"/>
  <c r="DH17" i="9" s="1"/>
  <c r="AK36" i="9"/>
  <c r="DH36" i="9" s="1"/>
  <c r="AK37" i="9"/>
  <c r="DH37" i="9" s="1"/>
  <c r="N23" i="10"/>
  <c r="AK26" i="9"/>
  <c r="DH26" i="9" s="1"/>
  <c r="AK13" i="9"/>
  <c r="DH13" i="9" s="1"/>
  <c r="G7" i="10"/>
  <c r="AK33" i="9"/>
  <c r="DH33" i="9" s="1"/>
  <c r="AK9" i="9"/>
  <c r="DH9" i="9" s="1"/>
  <c r="AK12" i="9"/>
  <c r="DH12" i="9" s="1"/>
  <c r="DG7" i="9"/>
  <c r="AS39" i="9"/>
  <c r="S37" i="10"/>
  <c r="V37" i="10" s="1"/>
  <c r="CL38" i="9"/>
  <c r="AF39" i="9"/>
  <c r="AF38" i="10"/>
  <c r="C59" i="10" s="1"/>
  <c r="FT25" i="9"/>
  <c r="FM25" i="9" s="1"/>
  <c r="FT19" i="9"/>
  <c r="FM19" i="9" s="1"/>
  <c r="FA26" i="9"/>
  <c r="FK61" i="9"/>
  <c r="FM61" i="9" s="1"/>
  <c r="FL70" i="9"/>
  <c r="AW32" i="10" s="1"/>
  <c r="FL59" i="9"/>
  <c r="AW21" i="10" s="1"/>
  <c r="FJ51" i="9"/>
  <c r="FL51" i="9" s="1"/>
  <c r="AW13" i="10" s="1"/>
  <c r="AY13" i="10" s="1"/>
  <c r="FL58" i="9"/>
  <c r="AW20" i="10" s="1"/>
  <c r="FJ62" i="9"/>
  <c r="FL62" i="9" s="1"/>
  <c r="AW24" i="10" s="1"/>
  <c r="AY24" i="10" s="1"/>
  <c r="FL64" i="9"/>
  <c r="AW26" i="10" s="1"/>
  <c r="FB45" i="9"/>
  <c r="FD45" i="9" s="1"/>
  <c r="FJ45" i="9" s="1"/>
  <c r="FL45" i="9" s="1"/>
  <c r="AW7" i="10" s="1"/>
  <c r="FL63" i="9"/>
  <c r="AW25" i="10" s="1"/>
  <c r="AY25" i="10" s="1"/>
  <c r="FL71" i="9"/>
  <c r="AW33" i="10" s="1"/>
  <c r="FL69" i="9"/>
  <c r="AW31" i="10" s="1"/>
  <c r="AY31" i="10" s="1"/>
  <c r="AI38" i="10"/>
  <c r="FG39" i="9"/>
  <c r="FM74" i="9"/>
  <c r="BB36" i="10" s="1"/>
  <c r="BD36" i="10" s="1"/>
  <c r="AJ39" i="9"/>
  <c r="CT39" i="9"/>
  <c r="FL57" i="9"/>
  <c r="AW19" i="10" s="1"/>
  <c r="AY19" i="10" s="1"/>
  <c r="AW35" i="10"/>
  <c r="AT21" i="10"/>
  <c r="FA22" i="9"/>
  <c r="FD22" i="9"/>
  <c r="CW25" i="9"/>
  <c r="DG25" i="9" s="1"/>
  <c r="CW24" i="9"/>
  <c r="AT33" i="10"/>
  <c r="FD34" i="9"/>
  <c r="AT22" i="10"/>
  <c r="AY22" i="10" s="1"/>
  <c r="FD23" i="9"/>
  <c r="FA23" i="9"/>
  <c r="FL68" i="9"/>
  <c r="G28" i="10"/>
  <c r="AK29" i="9"/>
  <c r="DH29" i="9" s="1"/>
  <c r="FK50" i="9"/>
  <c r="FI50" i="9"/>
  <c r="FK48" i="9"/>
  <c r="FI48" i="9"/>
  <c r="J18" i="10"/>
  <c r="BD19" i="9"/>
  <c r="AO19" i="9"/>
  <c r="K38" i="10"/>
  <c r="X24" i="10"/>
  <c r="DB25" i="9"/>
  <c r="S7" i="10"/>
  <c r="CK39" i="9"/>
  <c r="CL8" i="9"/>
  <c r="AP38" i="10"/>
  <c r="GG41" i="9"/>
  <c r="AK22" i="9"/>
  <c r="DH22" i="9" s="1"/>
  <c r="E38" i="10"/>
  <c r="AK20" i="9"/>
  <c r="DH20" i="9" s="1"/>
  <c r="S21" i="10"/>
  <c r="V21" i="10" s="1"/>
  <c r="CL22" i="9"/>
  <c r="BE38" i="10"/>
  <c r="BG7" i="10"/>
  <c r="AT34" i="10"/>
  <c r="FD35" i="9"/>
  <c r="AT16" i="10"/>
  <c r="FD17" i="9"/>
  <c r="FA17" i="9"/>
  <c r="FK56" i="9"/>
  <c r="FI56" i="9"/>
  <c r="FK52" i="9"/>
  <c r="FI52" i="9"/>
  <c r="CF37" i="10"/>
  <c r="J37" i="10"/>
  <c r="BD38" i="9"/>
  <c r="AO38" i="9"/>
  <c r="FK59" i="9"/>
  <c r="FI59" i="9"/>
  <c r="FL48" i="9"/>
  <c r="S32" i="10"/>
  <c r="V32" i="10" s="1"/>
  <c r="CL33" i="9"/>
  <c r="J21" i="10"/>
  <c r="N21" i="10" s="1"/>
  <c r="AO22" i="9"/>
  <c r="BD22" i="9"/>
  <c r="CF23" i="10"/>
  <c r="S12" i="10"/>
  <c r="V12" i="10" s="1"/>
  <c r="CL13" i="9"/>
  <c r="X22" i="10"/>
  <c r="Y22" i="10" s="1"/>
  <c r="BH22" i="10" s="1"/>
  <c r="DB23" i="9"/>
  <c r="R39" i="9"/>
  <c r="X23" i="10"/>
  <c r="DB24" i="9"/>
  <c r="O38" i="10"/>
  <c r="AR38" i="10"/>
  <c r="N19" i="10"/>
  <c r="BF38" i="10"/>
  <c r="J30" i="10"/>
  <c r="N30" i="10" s="1"/>
  <c r="BD31" i="9"/>
  <c r="AO31" i="9"/>
  <c r="FK53" i="9"/>
  <c r="FI53" i="9"/>
  <c r="FI68" i="9"/>
  <c r="FK68" i="9"/>
  <c r="S23" i="10"/>
  <c r="V23" i="10" s="1"/>
  <c r="CL24" i="9"/>
  <c r="S19" i="10"/>
  <c r="V19" i="10" s="1"/>
  <c r="CL20" i="9"/>
  <c r="I38" i="10"/>
  <c r="AM38" i="10"/>
  <c r="AT28" i="10"/>
  <c r="FD29" i="9"/>
  <c r="S22" i="10"/>
  <c r="V22" i="10" s="1"/>
  <c r="CL23" i="9"/>
  <c r="DF39" i="9"/>
  <c r="J27" i="10"/>
  <c r="N27" i="10" s="1"/>
  <c r="AO28" i="9"/>
  <c r="BD28" i="9"/>
  <c r="J35" i="10"/>
  <c r="N35" i="10" s="1"/>
  <c r="BD36" i="9"/>
  <c r="AO36" i="9"/>
  <c r="AT14" i="10"/>
  <c r="FD15" i="9"/>
  <c r="FL53" i="9"/>
  <c r="FI67" i="9"/>
  <c r="FK67" i="9"/>
  <c r="FL46" i="9"/>
  <c r="J31" i="10"/>
  <c r="BD32" i="9"/>
  <c r="AO32" i="9"/>
  <c r="S14" i="10"/>
  <c r="V14" i="10" s="1"/>
  <c r="CL15" i="9"/>
  <c r="S27" i="10"/>
  <c r="V27" i="10" s="1"/>
  <c r="CL28" i="9"/>
  <c r="AK28" i="9"/>
  <c r="DH28" i="9" s="1"/>
  <c r="J17" i="10"/>
  <c r="N17" i="10" s="1"/>
  <c r="BD18" i="9"/>
  <c r="AO18" i="9"/>
  <c r="J15" i="10"/>
  <c r="N15" i="10" s="1"/>
  <c r="BD16" i="9"/>
  <c r="AO16" i="9"/>
  <c r="AK27" i="9"/>
  <c r="DH27" i="9" s="1"/>
  <c r="X39" i="9"/>
  <c r="AZ26" i="10"/>
  <c r="FU27" i="9"/>
  <c r="FT27" i="9"/>
  <c r="FM27" i="9" s="1"/>
  <c r="J26" i="10"/>
  <c r="N26" i="10" s="1"/>
  <c r="BD27" i="9"/>
  <c r="AO27" i="9"/>
  <c r="J32" i="10"/>
  <c r="N32" i="10" s="1"/>
  <c r="AO33" i="9"/>
  <c r="BD33" i="9"/>
  <c r="FK63" i="9"/>
  <c r="FI63" i="9"/>
  <c r="FK58" i="9"/>
  <c r="FI58" i="9"/>
  <c r="FL72" i="9"/>
  <c r="AE13" i="10"/>
  <c r="AG13" i="10" s="1"/>
  <c r="CW16" i="9"/>
  <c r="CW15" i="9"/>
  <c r="CF24" i="10"/>
  <c r="Z12" i="10"/>
  <c r="Z38" i="10" s="1"/>
  <c r="C55" i="10" s="1"/>
  <c r="AN13" i="9"/>
  <c r="AN39" i="9" s="1"/>
  <c r="AQ7" i="10"/>
  <c r="AQ38" i="10" s="1"/>
  <c r="GA41" i="9"/>
  <c r="IH39" i="9"/>
  <c r="AT32" i="10"/>
  <c r="FA33" i="9"/>
  <c r="FD33" i="9"/>
  <c r="FI49" i="9"/>
  <c r="FK49" i="9"/>
  <c r="FM51" i="9"/>
  <c r="BB13" i="10" s="1"/>
  <c r="BD13" i="10" s="1"/>
  <c r="G22" i="10"/>
  <c r="AK23" i="9"/>
  <c r="DH23" i="9" s="1"/>
  <c r="S9" i="10"/>
  <c r="V9" i="10" s="1"/>
  <c r="CL10" i="9"/>
  <c r="BX38" i="10"/>
  <c r="BX41" i="10" s="1"/>
  <c r="AC38" i="10"/>
  <c r="C56" i="10" s="1"/>
  <c r="FK75" i="9"/>
  <c r="FM75" i="9" s="1"/>
  <c r="BB37" i="10" s="1"/>
  <c r="BD37" i="10" s="1"/>
  <c r="FJ75" i="9"/>
  <c r="FL75" i="9" s="1"/>
  <c r="S15" i="10"/>
  <c r="V15" i="10" s="1"/>
  <c r="CL16" i="9"/>
  <c r="J10" i="10"/>
  <c r="N10" i="10" s="1"/>
  <c r="BD11" i="9"/>
  <c r="AO11" i="9"/>
  <c r="FI73" i="9"/>
  <c r="FK73" i="9"/>
  <c r="AT29" i="10"/>
  <c r="FD30" i="9"/>
  <c r="S28" i="10"/>
  <c r="V28" i="10" s="1"/>
  <c r="CL29" i="9"/>
  <c r="FK66" i="9"/>
  <c r="FI66" i="9"/>
  <c r="FK65" i="9"/>
  <c r="FI65" i="9"/>
  <c r="FL49" i="9"/>
  <c r="FK72" i="9"/>
  <c r="FI72" i="9"/>
  <c r="J13" i="10"/>
  <c r="BD14" i="9"/>
  <c r="AO14" i="9"/>
  <c r="AH38" i="10"/>
  <c r="T38" i="10"/>
  <c r="HI42" i="9"/>
  <c r="D38" i="10"/>
  <c r="CE44" i="9"/>
  <c r="CF44" i="9" s="1"/>
  <c r="CE43" i="9" s="1"/>
  <c r="CF43" i="9" s="1"/>
  <c r="CE42" i="9" s="1"/>
  <c r="CF42" i="9" s="1"/>
  <c r="Y7" i="10"/>
  <c r="G34" i="10"/>
  <c r="AK35" i="9"/>
  <c r="DH35" i="9" s="1"/>
  <c r="FL67" i="9"/>
  <c r="AZ32" i="10"/>
  <c r="FU33" i="9"/>
  <c r="FT33" i="9"/>
  <c r="FM33" i="9" s="1"/>
  <c r="AT23" i="10"/>
  <c r="FD24" i="9"/>
  <c r="S33" i="10"/>
  <c r="V33" i="10" s="1"/>
  <c r="CL34" i="9"/>
  <c r="G29" i="10"/>
  <c r="AK30" i="9"/>
  <c r="DH30" i="9" s="1"/>
  <c r="FL66" i="9"/>
  <c r="FL65" i="9"/>
  <c r="S30" i="10"/>
  <c r="V30" i="10" s="1"/>
  <c r="CL31" i="9"/>
  <c r="S25" i="10"/>
  <c r="V25" i="10" s="1"/>
  <c r="CL26" i="9"/>
  <c r="AT20" i="10"/>
  <c r="FD21" i="9"/>
  <c r="FA21" i="9"/>
  <c r="FM62" i="9"/>
  <c r="BB24" i="10" s="1"/>
  <c r="BD24" i="10" s="1"/>
  <c r="J22" i="10"/>
  <c r="BD23" i="9"/>
  <c r="AO23" i="9"/>
  <c r="J8" i="10"/>
  <c r="N8" i="10" s="1"/>
  <c r="AO9" i="9"/>
  <c r="BD9" i="9"/>
  <c r="BR39" i="9"/>
  <c r="AG7" i="10"/>
  <c r="FA15" i="9"/>
  <c r="AT35" i="10"/>
  <c r="FD36" i="9"/>
  <c r="FA36" i="9"/>
  <c r="AT7" i="10"/>
  <c r="EQ39" i="9"/>
  <c r="FD8" i="9"/>
  <c r="FK71" i="9"/>
  <c r="FI71" i="9"/>
  <c r="FI70" i="9"/>
  <c r="FK70" i="9"/>
  <c r="S35" i="10"/>
  <c r="V35" i="10" s="1"/>
  <c r="CL36" i="9"/>
  <c r="AZ20" i="10"/>
  <c r="FT21" i="9"/>
  <c r="FM21" i="9" s="1"/>
  <c r="FU21" i="9"/>
  <c r="FK46" i="9"/>
  <c r="FI46" i="9"/>
  <c r="AK24" i="9"/>
  <c r="DH24" i="9" s="1"/>
  <c r="U38" i="10"/>
  <c r="FA34" i="9"/>
  <c r="J14" i="10"/>
  <c r="N14" i="10" s="1"/>
  <c r="BD15" i="9"/>
  <c r="AO15" i="9"/>
  <c r="H38" i="10"/>
  <c r="J16" i="10"/>
  <c r="N16" i="10" s="1"/>
  <c r="BD17" i="9"/>
  <c r="AO17" i="9"/>
  <c r="S36" i="10"/>
  <c r="V36" i="10" s="1"/>
  <c r="CL37" i="9"/>
  <c r="AT26" i="10"/>
  <c r="FD27" i="9"/>
  <c r="FA27" i="9"/>
  <c r="FK64" i="9"/>
  <c r="FI64" i="9"/>
  <c r="FI69" i="9"/>
  <c r="FK69" i="9"/>
  <c r="FK57" i="9"/>
  <c r="FI57" i="9"/>
  <c r="DA16" i="9"/>
  <c r="DA15" i="9"/>
  <c r="AK25" i="9"/>
  <c r="DH25" i="9" s="1"/>
  <c r="FA29" i="9"/>
  <c r="B7" i="10"/>
  <c r="G39" i="9"/>
  <c r="DG26" i="9"/>
  <c r="HI43" i="9"/>
  <c r="J7" i="10"/>
  <c r="AO8" i="9"/>
  <c r="BD8" i="9"/>
  <c r="AU38" i="10"/>
  <c r="J20" i="10"/>
  <c r="N20" i="10" s="1"/>
  <c r="BD21" i="9"/>
  <c r="AO21" i="9"/>
  <c r="FQ74" i="7"/>
  <c r="FF74" i="7" s="1"/>
  <c r="BM33" i="10" l="1"/>
  <c r="BO36" i="10"/>
  <c r="BM36" i="10"/>
  <c r="BM34" i="10"/>
  <c r="BO34" i="10"/>
  <c r="BO35" i="10"/>
  <c r="BM35" i="10"/>
  <c r="BO29" i="10"/>
  <c r="BM29" i="10"/>
  <c r="BM28" i="10"/>
  <c r="BL28" i="10"/>
  <c r="ED39" i="9"/>
  <c r="BL26" i="10"/>
  <c r="BO31" i="10"/>
  <c r="BM31" i="10"/>
  <c r="BO30" i="10"/>
  <c r="BM30" i="10"/>
  <c r="BO32" i="10"/>
  <c r="BM32" i="10"/>
  <c r="N29" i="10"/>
  <c r="FN60" i="9"/>
  <c r="GU37" i="9"/>
  <c r="EN39" i="9"/>
  <c r="BM10" i="10"/>
  <c r="BO10" i="10" s="1"/>
  <c r="GU10" i="9"/>
  <c r="BL27" i="10"/>
  <c r="BM27" i="10"/>
  <c r="GU18" i="9"/>
  <c r="HI50" i="9"/>
  <c r="AK38" i="10"/>
  <c r="C47" i="10" s="1"/>
  <c r="N37" i="10"/>
  <c r="N13" i="10"/>
  <c r="GU14" i="9" s="1"/>
  <c r="AL38" i="10"/>
  <c r="AO38" i="10"/>
  <c r="C48" i="10" s="1"/>
  <c r="N18" i="10"/>
  <c r="N28" i="10"/>
  <c r="AZ38" i="10"/>
  <c r="AY14" i="10"/>
  <c r="N34" i="10"/>
  <c r="CF38" i="10"/>
  <c r="BX49" i="10" s="1"/>
  <c r="FN55" i="9"/>
  <c r="BO12" i="10"/>
  <c r="BG38" i="10"/>
  <c r="C52" i="10" s="1"/>
  <c r="BP7" i="10"/>
  <c r="BP38" i="10" s="1"/>
  <c r="CI47" i="10" s="1"/>
  <c r="BO11" i="10"/>
  <c r="BM8" i="10"/>
  <c r="BO8" i="10" s="1"/>
  <c r="BO9" i="10"/>
  <c r="FN54" i="9"/>
  <c r="AY35" i="10"/>
  <c r="FM66" i="9"/>
  <c r="BB28" i="10" s="1"/>
  <c r="BD28" i="10" s="1"/>
  <c r="FK45" i="9"/>
  <c r="FM45" i="9" s="1"/>
  <c r="FN45" i="9" s="1"/>
  <c r="AY20" i="10"/>
  <c r="FN47" i="9"/>
  <c r="FM64" i="9"/>
  <c r="BB26" i="10" s="1"/>
  <c r="BD26" i="10" s="1"/>
  <c r="FN74" i="9"/>
  <c r="N7" i="10"/>
  <c r="N31" i="10"/>
  <c r="G38" i="10"/>
  <c r="DH39" i="9"/>
  <c r="BB23" i="10"/>
  <c r="BD23" i="10" s="1"/>
  <c r="FN61" i="9"/>
  <c r="FM67" i="9"/>
  <c r="BB29" i="10" s="1"/>
  <c r="BD29" i="10" s="1"/>
  <c r="FU39" i="9"/>
  <c r="AY23" i="10"/>
  <c r="FM72" i="9"/>
  <c r="BB34" i="10" s="1"/>
  <c r="BD34" i="10" s="1"/>
  <c r="FM69" i="9"/>
  <c r="BB31" i="10" s="1"/>
  <c r="BD31" i="10" s="1"/>
  <c r="FM49" i="9"/>
  <c r="BB11" i="10" s="1"/>
  <c r="BD11" i="10" s="1"/>
  <c r="FM39" i="9"/>
  <c r="FM63" i="9"/>
  <c r="FM52" i="9"/>
  <c r="BB14" i="10" s="1"/>
  <c r="BD14" i="10" s="1"/>
  <c r="FN62" i="9"/>
  <c r="AY33" i="10"/>
  <c r="FD39" i="9"/>
  <c r="FM65" i="9"/>
  <c r="BB27" i="10" s="1"/>
  <c r="BD27" i="10" s="1"/>
  <c r="FM56" i="9"/>
  <c r="BB18" i="10" s="1"/>
  <c r="BD18" i="10" s="1"/>
  <c r="FM46" i="9"/>
  <c r="BB8" i="10" s="1"/>
  <c r="BD8" i="10" s="1"/>
  <c r="FM48" i="9"/>
  <c r="BB10" i="10" s="1"/>
  <c r="BD10" i="10" s="1"/>
  <c r="FM57" i="9"/>
  <c r="BB19" i="10" s="1"/>
  <c r="BD19" i="10" s="1"/>
  <c r="GU20" i="9" s="1"/>
  <c r="FM68" i="9"/>
  <c r="BB30" i="10" s="1"/>
  <c r="BD30" i="10" s="1"/>
  <c r="AW10" i="10"/>
  <c r="AY10" i="10" s="1"/>
  <c r="AY7" i="10"/>
  <c r="AT38" i="10"/>
  <c r="J12" i="10"/>
  <c r="N12" i="10" s="1"/>
  <c r="AO13" i="9"/>
  <c r="AO39" i="9" s="1"/>
  <c r="BD13" i="9"/>
  <c r="BD39" i="9" s="1"/>
  <c r="AW34" i="10"/>
  <c r="AY34" i="10" s="1"/>
  <c r="FM53" i="9"/>
  <c r="BB15" i="10" s="1"/>
  <c r="BD15" i="10" s="1"/>
  <c r="W23" i="10"/>
  <c r="Y23" i="10" s="1"/>
  <c r="BH23" i="10" s="1"/>
  <c r="CX24" i="9"/>
  <c r="AW28" i="10"/>
  <c r="AY28" i="10" s="1"/>
  <c r="FN51" i="9"/>
  <c r="W24" i="10"/>
  <c r="Y24" i="10" s="1"/>
  <c r="GU25" i="9" s="1"/>
  <c r="CX25" i="9"/>
  <c r="AW11" i="10"/>
  <c r="AY11" i="10" s="1"/>
  <c r="AG38" i="10"/>
  <c r="C60" i="10" s="1"/>
  <c r="AW29" i="10"/>
  <c r="AY29" i="10" s="1"/>
  <c r="FM59" i="9"/>
  <c r="X15" i="10"/>
  <c r="DG16" i="9"/>
  <c r="DB16" i="9"/>
  <c r="FM58" i="9"/>
  <c r="AY16" i="10"/>
  <c r="GU17" i="9" s="1"/>
  <c r="S38" i="10"/>
  <c r="AY32" i="10"/>
  <c r="W14" i="10"/>
  <c r="CX15" i="9"/>
  <c r="CW39" i="9"/>
  <c r="X14" i="10"/>
  <c r="DG15" i="9"/>
  <c r="DB15" i="9"/>
  <c r="DA39" i="9"/>
  <c r="AK39" i="9"/>
  <c r="AW37" i="10"/>
  <c r="AY37" i="10" s="1"/>
  <c r="FN75" i="9"/>
  <c r="W15" i="10"/>
  <c r="CX16" i="9"/>
  <c r="AW8" i="10"/>
  <c r="AY8" i="10" s="1"/>
  <c r="V7" i="10"/>
  <c r="V38" i="10" s="1"/>
  <c r="C45" i="10" s="1"/>
  <c r="AY21" i="10"/>
  <c r="AW15" i="10"/>
  <c r="AY15" i="10" s="1"/>
  <c r="N22" i="10"/>
  <c r="GU23" i="9" s="1"/>
  <c r="AS7" i="10"/>
  <c r="BM7" i="10" s="1"/>
  <c r="BO7" i="10" s="1"/>
  <c r="AW30" i="10"/>
  <c r="AY30" i="10" s="1"/>
  <c r="FM70" i="9"/>
  <c r="BH7" i="10"/>
  <c r="B38" i="10"/>
  <c r="C42" i="10" s="1"/>
  <c r="AY26" i="10"/>
  <c r="FM71" i="9"/>
  <c r="AW27" i="10"/>
  <c r="AY27" i="10" s="1"/>
  <c r="AE38" i="10"/>
  <c r="C58" i="10" s="1"/>
  <c r="FM73" i="9"/>
  <c r="DG24" i="9"/>
  <c r="CL39" i="9"/>
  <c r="FM50" i="9"/>
  <c r="FQ73" i="7"/>
  <c r="FF73" i="7" s="1"/>
  <c r="GU31" i="9" l="1"/>
  <c r="GU9" i="9"/>
  <c r="GU11" i="9"/>
  <c r="GU30" i="9"/>
  <c r="GU35" i="9"/>
  <c r="GU28" i="9"/>
  <c r="GU29" i="9"/>
  <c r="GU32" i="9"/>
  <c r="GU38" i="9"/>
  <c r="GU27" i="9"/>
  <c r="GU24" i="9"/>
  <c r="GU19" i="9"/>
  <c r="GU12" i="9"/>
  <c r="J38" i="10"/>
  <c r="FN68" i="9"/>
  <c r="CI43" i="10"/>
  <c r="BM38" i="10"/>
  <c r="BO38" i="10"/>
  <c r="FN65" i="9"/>
  <c r="BB7" i="10"/>
  <c r="BD7" i="10" s="1"/>
  <c r="GU8" i="9" s="1"/>
  <c r="FN72" i="9"/>
  <c r="FN64" i="9"/>
  <c r="FN67" i="9"/>
  <c r="FN53" i="9"/>
  <c r="FN57" i="9"/>
  <c r="FN66" i="9"/>
  <c r="Y15" i="10"/>
  <c r="GU16" i="9" s="1"/>
  <c r="FN52" i="9"/>
  <c r="FN56" i="9"/>
  <c r="FN69" i="9"/>
  <c r="FN49" i="9"/>
  <c r="FN48" i="9"/>
  <c r="FN46" i="9"/>
  <c r="BB25" i="10"/>
  <c r="BD25" i="10" s="1"/>
  <c r="GU26" i="9" s="1"/>
  <c r="FN63" i="9"/>
  <c r="N38" i="10"/>
  <c r="C44" i="10" s="1"/>
  <c r="CX39" i="9"/>
  <c r="AY38" i="10"/>
  <c r="C49" i="10" s="1"/>
  <c r="AW38" i="10"/>
  <c r="Y14" i="10"/>
  <c r="GU15" i="9" s="1"/>
  <c r="W38" i="10"/>
  <c r="BH24" i="10"/>
  <c r="BB33" i="10"/>
  <c r="BD33" i="10" s="1"/>
  <c r="GU34" i="9" s="1"/>
  <c r="FN71" i="9"/>
  <c r="DB39" i="9"/>
  <c r="BB21" i="10"/>
  <c r="BD21" i="10" s="1"/>
  <c r="GU22" i="9" s="1"/>
  <c r="FN59" i="9"/>
  <c r="DG39" i="9"/>
  <c r="BB32" i="10"/>
  <c r="BD32" i="10" s="1"/>
  <c r="GU33" i="9" s="1"/>
  <c r="FN70" i="9"/>
  <c r="BB20" i="10"/>
  <c r="BD20" i="10" s="1"/>
  <c r="GU21" i="9" s="1"/>
  <c r="FN58" i="9"/>
  <c r="AS38" i="10"/>
  <c r="BL38" i="10"/>
  <c r="BB12" i="10"/>
  <c r="BD12" i="10" s="1"/>
  <c r="GU13" i="9" s="1"/>
  <c r="FN50" i="9"/>
  <c r="BB35" i="10"/>
  <c r="BD35" i="10" s="1"/>
  <c r="GU36" i="9" s="1"/>
  <c r="FN73" i="9"/>
  <c r="X38" i="10"/>
  <c r="HP37" i="7"/>
  <c r="BH15" i="10" l="1"/>
  <c r="CI46" i="10"/>
  <c r="BB38" i="10"/>
  <c r="BH14" i="10"/>
  <c r="BH38" i="10" s="1"/>
  <c r="CI45" i="10" s="1"/>
  <c r="Y38" i="10"/>
  <c r="C51" i="10"/>
  <c r="CI42" i="10"/>
  <c r="BD38" i="10"/>
  <c r="C50" i="10" s="1"/>
  <c r="FU74" i="7"/>
  <c r="FG74" i="7"/>
  <c r="CS35" i="7"/>
  <c r="CS37" i="7"/>
  <c r="CS36" i="7"/>
  <c r="CI48" i="10" l="1"/>
  <c r="GU39" i="9"/>
  <c r="CI41" i="10"/>
  <c r="CI44" i="10" s="1"/>
  <c r="C46" i="10"/>
  <c r="C63" i="10" s="1"/>
  <c r="P82" i="7"/>
  <c r="P81" i="7"/>
  <c r="H82" i="7"/>
  <c r="L82" i="7"/>
  <c r="L81" i="7"/>
  <c r="P83" i="7" l="1"/>
  <c r="HP36" i="7" l="1"/>
  <c r="FU73" i="7"/>
  <c r="FG73" i="7"/>
  <c r="FQ69" i="7" l="1"/>
  <c r="FF69" i="7" s="1"/>
  <c r="FQ70" i="7"/>
  <c r="FF70" i="7" s="1"/>
  <c r="FQ71" i="7"/>
  <c r="FF71" i="7" s="1"/>
  <c r="FQ72" i="7"/>
  <c r="FF72" i="7" s="1"/>
  <c r="HP35" i="7" l="1"/>
  <c r="FU72" i="7"/>
  <c r="FG72" i="7"/>
  <c r="HP34" i="7" l="1"/>
  <c r="HP33" i="7" l="1"/>
  <c r="FU71" i="7"/>
  <c r="FU70" i="7"/>
  <c r="FG71" i="7"/>
  <c r="FG70" i="7"/>
  <c r="HP32" i="7" l="1"/>
  <c r="FU69" i="7"/>
  <c r="FQ46" i="7"/>
  <c r="FF46" i="7" s="1"/>
  <c r="FQ47" i="7"/>
  <c r="FF47" i="7" s="1"/>
  <c r="FQ48" i="7"/>
  <c r="FF48" i="7" s="1"/>
  <c r="FQ49" i="7"/>
  <c r="FF49" i="7" s="1"/>
  <c r="FQ50" i="7"/>
  <c r="FF50" i="7" s="1"/>
  <c r="FQ51" i="7"/>
  <c r="FF51" i="7" s="1"/>
  <c r="FQ52" i="7"/>
  <c r="FF52" i="7" s="1"/>
  <c r="FQ53" i="7"/>
  <c r="FF53" i="7" s="1"/>
  <c r="FQ54" i="7"/>
  <c r="FF54" i="7" s="1"/>
  <c r="FQ55" i="7"/>
  <c r="FF55" i="7" s="1"/>
  <c r="FQ56" i="7"/>
  <c r="FF56" i="7" s="1"/>
  <c r="FQ57" i="7"/>
  <c r="FF57" i="7" s="1"/>
  <c r="FQ58" i="7"/>
  <c r="FF58" i="7" s="1"/>
  <c r="FQ59" i="7"/>
  <c r="FF59" i="7" s="1"/>
  <c r="FQ60" i="7"/>
  <c r="FF60" i="7" s="1"/>
  <c r="FQ61" i="7"/>
  <c r="FF61" i="7" s="1"/>
  <c r="FQ62" i="7"/>
  <c r="FF62" i="7" s="1"/>
  <c r="FQ63" i="7"/>
  <c r="FF63" i="7" s="1"/>
  <c r="FQ64" i="7"/>
  <c r="FF64" i="7" s="1"/>
  <c r="FQ65" i="7"/>
  <c r="FF65" i="7" s="1"/>
  <c r="FQ66" i="7"/>
  <c r="FF66" i="7" s="1"/>
  <c r="FQ67" i="7"/>
  <c r="FF67" i="7" s="1"/>
  <c r="FQ68" i="7"/>
  <c r="FF68" i="7" s="1"/>
  <c r="FG69" i="7" l="1"/>
  <c r="FU68" i="7" l="1"/>
  <c r="FG68" i="7"/>
  <c r="HP31" i="7"/>
  <c r="HP30" i="7"/>
  <c r="FU67" i="7" l="1"/>
  <c r="FG67" i="7"/>
  <c r="HP29" i="7" l="1"/>
  <c r="HP28" i="7"/>
  <c r="HP27" i="7"/>
  <c r="FU66" i="7"/>
  <c r="FG66" i="7"/>
  <c r="GM29" i="7"/>
  <c r="FU65" i="7" l="1"/>
  <c r="FG65" i="7"/>
  <c r="HJ28" i="7" l="1"/>
  <c r="HP26" i="7"/>
  <c r="HJ27" i="7"/>
  <c r="FU63" i="7" l="1"/>
  <c r="FG48" i="7"/>
  <c r="FG49" i="7"/>
  <c r="FG50" i="7"/>
  <c r="FG51" i="7"/>
  <c r="FG52" i="7"/>
  <c r="FG53" i="7"/>
  <c r="FG54" i="7"/>
  <c r="FG55" i="7"/>
  <c r="FG56" i="7"/>
  <c r="FG57" i="7"/>
  <c r="FG58" i="7"/>
  <c r="FG59" i="7"/>
  <c r="FG60" i="7"/>
  <c r="FG61" i="7"/>
  <c r="FG62" i="7"/>
  <c r="FG63" i="7"/>
  <c r="FG64" i="7"/>
  <c r="GJ9" i="7"/>
  <c r="GJ10" i="7"/>
  <c r="GJ11" i="7"/>
  <c r="GJ12" i="7"/>
  <c r="GJ13" i="7"/>
  <c r="GJ14" i="7"/>
  <c r="GJ15" i="7"/>
  <c r="GJ16" i="7"/>
  <c r="GJ17" i="7"/>
  <c r="GJ18" i="7"/>
  <c r="GJ19" i="7"/>
  <c r="GJ20" i="7"/>
  <c r="GJ21" i="7"/>
  <c r="GJ22" i="7"/>
  <c r="GJ23" i="7"/>
  <c r="GJ24" i="7"/>
  <c r="GJ25" i="7"/>
  <c r="GJ26" i="7"/>
  <c r="GJ27" i="7"/>
  <c r="GJ28" i="7"/>
  <c r="GJ29" i="7"/>
  <c r="GJ30" i="7"/>
  <c r="GJ31" i="7"/>
  <c r="GJ32" i="7"/>
  <c r="GJ33" i="7"/>
  <c r="GJ34" i="7"/>
  <c r="GJ35" i="7"/>
  <c r="GJ36" i="7"/>
  <c r="GJ37" i="7"/>
  <c r="GJ38" i="7"/>
  <c r="HJ24" i="7" l="1"/>
  <c r="HW46" i="7" l="1"/>
  <c r="HT46" i="7"/>
  <c r="HQ46" i="7"/>
  <c r="HN46" i="7"/>
  <c r="FU61" i="7"/>
  <c r="CU23" i="7" l="1"/>
  <c r="CU24" i="7" s="1"/>
  <c r="CY23" i="7"/>
  <c r="CY24" i="7" s="1"/>
  <c r="HP23" i="7" l="1"/>
  <c r="FU60" i="7"/>
  <c r="CY38" i="5" l="1"/>
  <c r="CU38" i="5"/>
  <c r="HP22" i="7" l="1"/>
  <c r="FU59" i="7" l="1"/>
  <c r="L22" i="7"/>
  <c r="CF22" i="7"/>
  <c r="HP21" i="7" l="1"/>
  <c r="FU58" i="7" l="1"/>
  <c r="CF21" i="7"/>
  <c r="HP20" i="7" l="1"/>
  <c r="HP19" i="7"/>
  <c r="HP18" i="7"/>
  <c r="FU56" i="7"/>
  <c r="CF20" i="7"/>
  <c r="CF19" i="7"/>
  <c r="FU55" i="7" l="1"/>
  <c r="CF18" i="7"/>
  <c r="HP17" i="7" l="1"/>
  <c r="FU54" i="7"/>
  <c r="CF17" i="7"/>
  <c r="FU53" i="7" l="1"/>
  <c r="HP16" i="7"/>
  <c r="FW53" i="7" l="1"/>
  <c r="FU52" i="7"/>
  <c r="HP15" i="7" l="1"/>
  <c r="DQ54" i="7"/>
  <c r="HP14" i="7" l="1"/>
  <c r="FU51" i="7"/>
  <c r="HP13" i="7"/>
  <c r="HP12" i="7" l="1"/>
  <c r="FU48" i="7"/>
  <c r="FW48" i="7" s="1"/>
  <c r="BQ12" i="7"/>
  <c r="CC11" i="8"/>
  <c r="CC12" i="8"/>
  <c r="CC13" i="8"/>
  <c r="CC14" i="8"/>
  <c r="CC15" i="8"/>
  <c r="CC16" i="8"/>
  <c r="CC17" i="8"/>
  <c r="CC18" i="8"/>
  <c r="CC19" i="8"/>
  <c r="CC20" i="8"/>
  <c r="CC21" i="8"/>
  <c r="CC22" i="8"/>
  <c r="CC25" i="8"/>
  <c r="CC26" i="8"/>
  <c r="CC27" i="8"/>
  <c r="CC28" i="8"/>
  <c r="CC29" i="8"/>
  <c r="CC30" i="8"/>
  <c r="CC31" i="8"/>
  <c r="CC32" i="8"/>
  <c r="CC33" i="8"/>
  <c r="CC34" i="8"/>
  <c r="CC35" i="8"/>
  <c r="CC36" i="8"/>
  <c r="CC37" i="8"/>
  <c r="HP8" i="7"/>
  <c r="CC7" i="8" s="1"/>
  <c r="HP9" i="7"/>
  <c r="CC8" i="8" s="1"/>
  <c r="HP10" i="7"/>
  <c r="CC9" i="8" s="1"/>
  <c r="HP11" i="7"/>
  <c r="CC10" i="8" s="1"/>
  <c r="FV48" i="7" l="1"/>
  <c r="FU47" i="7" l="1"/>
  <c r="P83" i="5"/>
  <c r="L82" i="5"/>
  <c r="L81" i="5" l="1"/>
  <c r="H82" i="5" l="1"/>
  <c r="H81" i="5"/>
  <c r="FW47" i="7" l="1"/>
  <c r="FV47" i="7"/>
  <c r="EQ10" i="7" s="1"/>
  <c r="AT9" i="8" s="1"/>
  <c r="FU45" i="7"/>
  <c r="FW45" i="7" s="1"/>
  <c r="FG8" i="7" s="1"/>
  <c r="FU46" i="7"/>
  <c r="FG11" i="7"/>
  <c r="AZ10" i="8" s="1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9" i="7"/>
  <c r="F8" i="7"/>
  <c r="DT48" i="7"/>
  <c r="CE8" i="7"/>
  <c r="EG38" i="7"/>
  <c r="AL37" i="8" s="1"/>
  <c r="EC38" i="7"/>
  <c r="AJ37" i="8" s="1"/>
  <c r="CD8" i="7"/>
  <c r="CD9" i="7"/>
  <c r="P8" i="8" s="1"/>
  <c r="CD10" i="7"/>
  <c r="CD11" i="7"/>
  <c r="CD12" i="7"/>
  <c r="CD13" i="7"/>
  <c r="CD14" i="7"/>
  <c r="P13" i="8" s="1"/>
  <c r="CD15" i="7"/>
  <c r="P14" i="8" s="1"/>
  <c r="CD16" i="7"/>
  <c r="CD17" i="7"/>
  <c r="P16" i="8" s="1"/>
  <c r="CD18" i="7"/>
  <c r="P17" i="8" s="1"/>
  <c r="CD19" i="7"/>
  <c r="P18" i="8" s="1"/>
  <c r="CD20" i="7"/>
  <c r="P19" i="8" s="1"/>
  <c r="CD21" i="7"/>
  <c r="P20" i="8" s="1"/>
  <c r="CD22" i="7"/>
  <c r="P21" i="8" s="1"/>
  <c r="CD23" i="7"/>
  <c r="P22" i="8" s="1"/>
  <c r="CD24" i="7"/>
  <c r="P23" i="8" s="1"/>
  <c r="CD25" i="7"/>
  <c r="P24" i="8" s="1"/>
  <c r="CD26" i="7"/>
  <c r="P25" i="8" s="1"/>
  <c r="CD27" i="7"/>
  <c r="P26" i="8" s="1"/>
  <c r="CD28" i="7"/>
  <c r="P27" i="8" s="1"/>
  <c r="CD29" i="7"/>
  <c r="P28" i="8" s="1"/>
  <c r="CD30" i="7"/>
  <c r="P29" i="8" s="1"/>
  <c r="CD31" i="7"/>
  <c r="P30" i="8" s="1"/>
  <c r="CD32" i="7"/>
  <c r="P31" i="8" s="1"/>
  <c r="CD33" i="7"/>
  <c r="P32" i="8" s="1"/>
  <c r="CD34" i="7"/>
  <c r="P33" i="8" s="1"/>
  <c r="CD35" i="7"/>
  <c r="P34" i="8" s="1"/>
  <c r="CD36" i="7"/>
  <c r="P35" i="8" s="1"/>
  <c r="CD37" i="7"/>
  <c r="P36" i="8" s="1"/>
  <c r="CD38" i="7"/>
  <c r="P37" i="8" s="1"/>
  <c r="IE46" i="7"/>
  <c r="IE47" i="7"/>
  <c r="IE48" i="7"/>
  <c r="IE49" i="7"/>
  <c r="IE50" i="7"/>
  <c r="IE51" i="7"/>
  <c r="IE52" i="7"/>
  <c r="IE53" i="7"/>
  <c r="IE54" i="7"/>
  <c r="IE55" i="7"/>
  <c r="IE56" i="7"/>
  <c r="IE57" i="7"/>
  <c r="IE58" i="7"/>
  <c r="IE59" i="7"/>
  <c r="IE60" i="7"/>
  <c r="IE61" i="7"/>
  <c r="IE62" i="7"/>
  <c r="IE63" i="7"/>
  <c r="IE64" i="7"/>
  <c r="IE65" i="7"/>
  <c r="IE66" i="7"/>
  <c r="IE67" i="7"/>
  <c r="IE68" i="7"/>
  <c r="IE69" i="7"/>
  <c r="IE70" i="7"/>
  <c r="IE71" i="7"/>
  <c r="IE72" i="7"/>
  <c r="IE73" i="7"/>
  <c r="IE74" i="7"/>
  <c r="IE75" i="7"/>
  <c r="HY9" i="7"/>
  <c r="CB8" i="8" s="1"/>
  <c r="HY10" i="7"/>
  <c r="CB9" i="8" s="1"/>
  <c r="HY11" i="7"/>
  <c r="CB10" i="8" s="1"/>
  <c r="HY12" i="7"/>
  <c r="CB11" i="8" s="1"/>
  <c r="HY13" i="7"/>
  <c r="CB12" i="8" s="1"/>
  <c r="HY14" i="7"/>
  <c r="CB13" i="8" s="1"/>
  <c r="HY15" i="7"/>
  <c r="HY16" i="7"/>
  <c r="HY17" i="7"/>
  <c r="HY18" i="7"/>
  <c r="HY19" i="7"/>
  <c r="CB18" i="8" s="1"/>
  <c r="HY20" i="7"/>
  <c r="HY21" i="7"/>
  <c r="HY22" i="7"/>
  <c r="HY23" i="7"/>
  <c r="HY26" i="7"/>
  <c r="HY27" i="7"/>
  <c r="HY28" i="7"/>
  <c r="CB27" i="8" s="1"/>
  <c r="HY29" i="7"/>
  <c r="HY30" i="7"/>
  <c r="HY31" i="7"/>
  <c r="HY32" i="7"/>
  <c r="CB31" i="8" s="1"/>
  <c r="HY33" i="7"/>
  <c r="CB32" i="8" s="1"/>
  <c r="HY34" i="7"/>
  <c r="HY35" i="7"/>
  <c r="CB34" i="8" s="1"/>
  <c r="HY36" i="7"/>
  <c r="HY37" i="7"/>
  <c r="CB36" i="8" s="1"/>
  <c r="HY38" i="7"/>
  <c r="HV9" i="7"/>
  <c r="CA8" i="8" s="1"/>
  <c r="HV10" i="7"/>
  <c r="CA9" i="8" s="1"/>
  <c r="HV11" i="7"/>
  <c r="CA10" i="8" s="1"/>
  <c r="HV12" i="7"/>
  <c r="CA11" i="8" s="1"/>
  <c r="HV13" i="7"/>
  <c r="CA12" i="8" s="1"/>
  <c r="HV14" i="7"/>
  <c r="CA13" i="8" s="1"/>
  <c r="HV15" i="7"/>
  <c r="HV16" i="7"/>
  <c r="CA15" i="8" s="1"/>
  <c r="HV17" i="7"/>
  <c r="HV18" i="7"/>
  <c r="HV19" i="7"/>
  <c r="HV20" i="7"/>
  <c r="CA19" i="8" s="1"/>
  <c r="HV21" i="7"/>
  <c r="HV22" i="7"/>
  <c r="HV23" i="7"/>
  <c r="HV26" i="7"/>
  <c r="HV27" i="7"/>
  <c r="HV28" i="7"/>
  <c r="HV29" i="7"/>
  <c r="HV30" i="7"/>
  <c r="HV31" i="7"/>
  <c r="HV32" i="7"/>
  <c r="HV33" i="7"/>
  <c r="CA32" i="8" s="1"/>
  <c r="HV34" i="7"/>
  <c r="CA33" i="8" s="1"/>
  <c r="HV35" i="7"/>
  <c r="HV36" i="7"/>
  <c r="CA35" i="8" s="1"/>
  <c r="HV37" i="7"/>
  <c r="CA36" i="8" s="1"/>
  <c r="HV38" i="7"/>
  <c r="CA37" i="8" s="1"/>
  <c r="HS9" i="7"/>
  <c r="HS10" i="7"/>
  <c r="HS11" i="7"/>
  <c r="HS12" i="7"/>
  <c r="HS13" i="7"/>
  <c r="HS14" i="7"/>
  <c r="BZ13" i="8" s="1"/>
  <c r="HS15" i="7"/>
  <c r="HS16" i="7"/>
  <c r="HS17" i="7"/>
  <c r="HS18" i="7"/>
  <c r="HS19" i="7"/>
  <c r="HS20" i="7"/>
  <c r="HS21" i="7"/>
  <c r="HS22" i="7"/>
  <c r="HS23" i="7"/>
  <c r="HS26" i="7"/>
  <c r="HS27" i="7"/>
  <c r="HS28" i="7"/>
  <c r="HS29" i="7"/>
  <c r="HS30" i="7"/>
  <c r="HS31" i="7"/>
  <c r="HS32" i="7"/>
  <c r="HS33" i="7"/>
  <c r="HS34" i="7"/>
  <c r="HS35" i="7"/>
  <c r="BZ34" i="8" s="1"/>
  <c r="HS36" i="7"/>
  <c r="HS37" i="7"/>
  <c r="HS38" i="7"/>
  <c r="BZ37" i="8" s="1"/>
  <c r="BR38" i="8"/>
  <c r="BN38" i="8"/>
  <c r="BK38" i="8"/>
  <c r="BJ38" i="8"/>
  <c r="BI38" i="8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D81" i="7"/>
  <c r="D83" i="7" s="1"/>
  <c r="DT78" i="7"/>
  <c r="DR78" i="7"/>
  <c r="DT77" i="7"/>
  <c r="DR77" i="7"/>
  <c r="G77" i="7"/>
  <c r="D77" i="7"/>
  <c r="DT76" i="7"/>
  <c r="DR76" i="7"/>
  <c r="G76" i="7"/>
  <c r="BU37" i="8" s="1"/>
  <c r="D76" i="7"/>
  <c r="BT37" i="8" s="1"/>
  <c r="FU75" i="7"/>
  <c r="FW75" i="7" s="1"/>
  <c r="FG38" i="7" s="1"/>
  <c r="AZ37" i="8" s="1"/>
  <c r="DT75" i="7"/>
  <c r="DR75" i="7"/>
  <c r="J75" i="7"/>
  <c r="G75" i="7"/>
  <c r="BU36" i="8" s="1"/>
  <c r="D75" i="7"/>
  <c r="BT36" i="8" s="1"/>
  <c r="FV74" i="7"/>
  <c r="DT74" i="7"/>
  <c r="DR74" i="7"/>
  <c r="J74" i="7"/>
  <c r="G74" i="7"/>
  <c r="BU35" i="8" s="1"/>
  <c r="D74" i="7"/>
  <c r="BT35" i="8" s="1"/>
  <c r="DT73" i="7"/>
  <c r="DR73" i="7"/>
  <c r="J73" i="7"/>
  <c r="G73" i="7"/>
  <c r="BU34" i="8" s="1"/>
  <c r="D73" i="7"/>
  <c r="BT34" i="8" s="1"/>
  <c r="FV72" i="7"/>
  <c r="DT72" i="7"/>
  <c r="DR72" i="7"/>
  <c r="J72" i="7"/>
  <c r="G72" i="7"/>
  <c r="BU33" i="8" s="1"/>
  <c r="D72" i="7"/>
  <c r="BT33" i="8" s="1"/>
  <c r="FW71" i="7"/>
  <c r="FG34" i="7" s="1"/>
  <c r="DT71" i="7"/>
  <c r="DR71" i="7"/>
  <c r="J71" i="7"/>
  <c r="G71" i="7"/>
  <c r="BU32" i="8" s="1"/>
  <c r="D71" i="7"/>
  <c r="BT32" i="8" s="1"/>
  <c r="DT70" i="7"/>
  <c r="DR70" i="7"/>
  <c r="J70" i="7"/>
  <c r="G70" i="7"/>
  <c r="BU31" i="8" s="1"/>
  <c r="D70" i="7"/>
  <c r="BT31" i="8" s="1"/>
  <c r="DT69" i="7"/>
  <c r="DR69" i="7"/>
  <c r="J69" i="7"/>
  <c r="G69" i="7"/>
  <c r="BU30" i="8" s="1"/>
  <c r="D69" i="7"/>
  <c r="BT30" i="8" s="1"/>
  <c r="FV68" i="7"/>
  <c r="DT68" i="7"/>
  <c r="DR68" i="7"/>
  <c r="J68" i="7"/>
  <c r="G68" i="7"/>
  <c r="BU29" i="8" s="1"/>
  <c r="D68" i="7"/>
  <c r="BT29" i="8" s="1"/>
  <c r="FW67" i="7"/>
  <c r="FG30" i="7" s="1"/>
  <c r="AZ29" i="8" s="1"/>
  <c r="DT67" i="7"/>
  <c r="DR67" i="7"/>
  <c r="J67" i="7"/>
  <c r="G67" i="7"/>
  <c r="BU28" i="8" s="1"/>
  <c r="D67" i="7"/>
  <c r="BT28" i="8" s="1"/>
  <c r="FW66" i="7"/>
  <c r="FG29" i="7" s="1"/>
  <c r="AZ28" i="8" s="1"/>
  <c r="DT66" i="7"/>
  <c r="DR66" i="7"/>
  <c r="J66" i="7"/>
  <c r="G66" i="7"/>
  <c r="BU27" i="8" s="1"/>
  <c r="D66" i="7"/>
  <c r="BT27" i="8" s="1"/>
  <c r="FW65" i="7"/>
  <c r="FG28" i="7" s="1"/>
  <c r="AZ27" i="8" s="1"/>
  <c r="DT65" i="7"/>
  <c r="DR65" i="7"/>
  <c r="J65" i="7"/>
  <c r="G65" i="7"/>
  <c r="BU26" i="8" s="1"/>
  <c r="D65" i="7"/>
  <c r="BT26" i="8" s="1"/>
  <c r="FU64" i="7"/>
  <c r="FW64" i="7" s="1"/>
  <c r="FG27" i="7" s="1"/>
  <c r="AZ26" i="8" s="1"/>
  <c r="DT64" i="7"/>
  <c r="DR64" i="7"/>
  <c r="J64" i="7"/>
  <c r="G64" i="7"/>
  <c r="BU25" i="8" s="1"/>
  <c r="D64" i="7"/>
  <c r="BT25" i="8" s="1"/>
  <c r="FW63" i="7"/>
  <c r="FG26" i="7" s="1"/>
  <c r="AZ25" i="8" s="1"/>
  <c r="DT63" i="7"/>
  <c r="DR63" i="7"/>
  <c r="J63" i="7"/>
  <c r="G63" i="7"/>
  <c r="BU24" i="8" s="1"/>
  <c r="D63" i="7"/>
  <c r="BT24" i="8" s="1"/>
  <c r="FU62" i="7"/>
  <c r="DT62" i="7"/>
  <c r="DR62" i="7"/>
  <c r="J62" i="7"/>
  <c r="G62" i="7"/>
  <c r="BU23" i="8" s="1"/>
  <c r="D62" i="7"/>
  <c r="BT23" i="8" s="1"/>
  <c r="FW61" i="7"/>
  <c r="FG24" i="7" s="1"/>
  <c r="AZ23" i="8" s="1"/>
  <c r="DT61" i="7"/>
  <c r="DR61" i="7"/>
  <c r="J61" i="7"/>
  <c r="G61" i="7"/>
  <c r="BU22" i="8" s="1"/>
  <c r="D61" i="7"/>
  <c r="BT22" i="8" s="1"/>
  <c r="FW60" i="7"/>
  <c r="FG23" i="7" s="1"/>
  <c r="AZ22" i="8" s="1"/>
  <c r="DT60" i="7"/>
  <c r="DR60" i="7"/>
  <c r="J60" i="7"/>
  <c r="G60" i="7"/>
  <c r="BU21" i="8" s="1"/>
  <c r="D60" i="7"/>
  <c r="BT21" i="8" s="1"/>
  <c r="FW59" i="7"/>
  <c r="FG22" i="7" s="1"/>
  <c r="AZ21" i="8" s="1"/>
  <c r="DT59" i="7"/>
  <c r="DR59" i="7"/>
  <c r="J59" i="7"/>
  <c r="G59" i="7"/>
  <c r="BU20" i="8" s="1"/>
  <c r="D59" i="7"/>
  <c r="BT20" i="8" s="1"/>
  <c r="DT58" i="7"/>
  <c r="DR58" i="7"/>
  <c r="J58" i="7"/>
  <c r="G58" i="7"/>
  <c r="BU19" i="8" s="1"/>
  <c r="D58" i="7"/>
  <c r="BT19" i="8" s="1"/>
  <c r="FU57" i="7"/>
  <c r="FW57" i="7" s="1"/>
  <c r="FG20" i="7" s="1"/>
  <c r="AZ19" i="8" s="1"/>
  <c r="DT57" i="7"/>
  <c r="DR57" i="7"/>
  <c r="J57" i="7"/>
  <c r="G57" i="7"/>
  <c r="BU18" i="8" s="1"/>
  <c r="D57" i="7"/>
  <c r="BT18" i="8" s="1"/>
  <c r="FW56" i="7"/>
  <c r="FG19" i="7" s="1"/>
  <c r="AZ18" i="8" s="1"/>
  <c r="DT56" i="7"/>
  <c r="DR56" i="7"/>
  <c r="J56" i="7"/>
  <c r="G56" i="7"/>
  <c r="BU17" i="8" s="1"/>
  <c r="D56" i="7"/>
  <c r="BT17" i="8" s="1"/>
  <c r="DT55" i="7"/>
  <c r="DR55" i="7"/>
  <c r="J55" i="7"/>
  <c r="G55" i="7"/>
  <c r="BU16" i="8" s="1"/>
  <c r="D55" i="7"/>
  <c r="BT16" i="8" s="1"/>
  <c r="FV54" i="7"/>
  <c r="DT54" i="7"/>
  <c r="DR54" i="7"/>
  <c r="J54" i="7"/>
  <c r="G54" i="7"/>
  <c r="BU15" i="8" s="1"/>
  <c r="D54" i="7"/>
  <c r="BT15" i="8" s="1"/>
  <c r="FG16" i="7"/>
  <c r="DT53" i="7"/>
  <c r="DR53" i="7"/>
  <c r="J53" i="7"/>
  <c r="G53" i="7"/>
  <c r="BU14" i="8" s="1"/>
  <c r="D53" i="7"/>
  <c r="BT14" i="8" s="1"/>
  <c r="DT52" i="7"/>
  <c r="DR52" i="7"/>
  <c r="J52" i="7"/>
  <c r="G52" i="7"/>
  <c r="BU13" i="8" s="1"/>
  <c r="D52" i="7"/>
  <c r="BT13" i="8" s="1"/>
  <c r="FW51" i="7"/>
  <c r="FG14" i="7" s="1"/>
  <c r="AZ13" i="8" s="1"/>
  <c r="DT51" i="7"/>
  <c r="DR51" i="7"/>
  <c r="J51" i="7"/>
  <c r="G51" i="7"/>
  <c r="BU12" i="8" s="1"/>
  <c r="D51" i="7"/>
  <c r="BT12" i="8" s="1"/>
  <c r="FU50" i="7"/>
  <c r="FV50" i="7" s="1"/>
  <c r="DT50" i="7"/>
  <c r="DR50" i="7"/>
  <c r="J50" i="7"/>
  <c r="G50" i="7"/>
  <c r="BU11" i="8" s="1"/>
  <c r="D50" i="7"/>
  <c r="BT11" i="8" s="1"/>
  <c r="FU49" i="7"/>
  <c r="FW49" i="7" s="1"/>
  <c r="FG12" i="7" s="1"/>
  <c r="AZ11" i="8" s="1"/>
  <c r="DT49" i="7"/>
  <c r="DR49" i="7"/>
  <c r="J49" i="7"/>
  <c r="G49" i="7"/>
  <c r="BU10" i="8" s="1"/>
  <c r="D49" i="7"/>
  <c r="BT10" i="8" s="1"/>
  <c r="EX48" i="7"/>
  <c r="DR48" i="7"/>
  <c r="DP48" i="7"/>
  <c r="DP49" i="7" s="1"/>
  <c r="DP50" i="7" s="1"/>
  <c r="DP51" i="7" s="1"/>
  <c r="DP52" i="7" s="1"/>
  <c r="DP53" i="7" s="1"/>
  <c r="DP54" i="7" s="1"/>
  <c r="DP55" i="7" s="1"/>
  <c r="DP56" i="7" s="1"/>
  <c r="DP57" i="7" s="1"/>
  <c r="DP58" i="7" s="1"/>
  <c r="DP59" i="7" s="1"/>
  <c r="DP60" i="7" s="1"/>
  <c r="DP61" i="7" s="1"/>
  <c r="DP62" i="7" s="1"/>
  <c r="DP63" i="7" s="1"/>
  <c r="DP64" i="7" s="1"/>
  <c r="DP65" i="7" s="1"/>
  <c r="DP66" i="7" s="1"/>
  <c r="DP67" i="7" s="1"/>
  <c r="DP68" i="7" s="1"/>
  <c r="DP69" i="7" s="1"/>
  <c r="DP70" i="7" s="1"/>
  <c r="DP71" i="7" s="1"/>
  <c r="DP72" i="7" s="1"/>
  <c r="DP73" i="7" s="1"/>
  <c r="DP74" i="7" s="1"/>
  <c r="J48" i="7"/>
  <c r="G48" i="7"/>
  <c r="BU9" i="8" s="1"/>
  <c r="D48" i="7"/>
  <c r="BT9" i="8" s="1"/>
  <c r="FG47" i="7"/>
  <c r="J47" i="7"/>
  <c r="G47" i="7"/>
  <c r="BU8" i="8" s="1"/>
  <c r="D47" i="7"/>
  <c r="BT8" i="8" s="1"/>
  <c r="FG46" i="7"/>
  <c r="J46" i="7"/>
  <c r="G46" i="7"/>
  <c r="D46" i="7"/>
  <c r="IE45" i="7"/>
  <c r="FQ45" i="7"/>
  <c r="FF45" i="7" s="1"/>
  <c r="FG45" i="7" s="1"/>
  <c r="FC45" i="7"/>
  <c r="FI71" i="7" s="1"/>
  <c r="EE40" i="7"/>
  <c r="EG8" i="7" s="1"/>
  <c r="U40" i="7"/>
  <c r="V40" i="7" s="1"/>
  <c r="HC39" i="7"/>
  <c r="GV39" i="7"/>
  <c r="FL39" i="7"/>
  <c r="DO39" i="7"/>
  <c r="DN39" i="7"/>
  <c r="DM39" i="7"/>
  <c r="J39" i="7"/>
  <c r="JY38" i="7"/>
  <c r="JV38" i="7"/>
  <c r="JS38" i="7"/>
  <c r="JP38" i="7"/>
  <c r="JM38" i="7"/>
  <c r="JJ38" i="7"/>
  <c r="JG38" i="7"/>
  <c r="JD38" i="7"/>
  <c r="JA38" i="7"/>
  <c r="IX38" i="7"/>
  <c r="IU38" i="7"/>
  <c r="IR38" i="7"/>
  <c r="IO38" i="7"/>
  <c r="IL38" i="7"/>
  <c r="II38" i="7"/>
  <c r="IF38" i="7"/>
  <c r="CB37" i="8"/>
  <c r="HM38" i="7"/>
  <c r="BY37" i="8" s="1"/>
  <c r="HJ38" i="7"/>
  <c r="GW38" i="7"/>
  <c r="GS38" i="7"/>
  <c r="BF37" i="8" s="1"/>
  <c r="GP38" i="7"/>
  <c r="GM38" i="7"/>
  <c r="GD38" i="7"/>
  <c r="GA38" i="7"/>
  <c r="AQ37" i="8" s="1"/>
  <c r="FX38" i="7"/>
  <c r="AP37" i="8" s="1"/>
  <c r="FS38" i="7"/>
  <c r="FP38" i="7"/>
  <c r="FJ38" i="7"/>
  <c r="BA37" i="8" s="1"/>
  <c r="FC38" i="7"/>
  <c r="EZ38" i="7"/>
  <c r="EW38" i="7"/>
  <c r="AV37" i="8" s="1"/>
  <c r="ET38" i="7"/>
  <c r="AU37" i="8" s="1"/>
  <c r="EM38" i="7"/>
  <c r="AN37" i="8" s="1"/>
  <c r="EJ38" i="7"/>
  <c r="AM37" i="8" s="1"/>
  <c r="DZ38" i="7"/>
  <c r="AI37" i="8" s="1"/>
  <c r="DW38" i="7"/>
  <c r="AH37" i="8" s="1"/>
  <c r="DT38" i="7"/>
  <c r="DR38" i="7"/>
  <c r="AD37" i="8" s="1"/>
  <c r="DE38" i="7"/>
  <c r="DF38" i="7" s="1"/>
  <c r="DA38" i="7"/>
  <c r="X37" i="8" s="1"/>
  <c r="CW38" i="7"/>
  <c r="W37" i="8" s="1"/>
  <c r="CS38" i="7"/>
  <c r="U37" i="8" s="1"/>
  <c r="CO38" i="7"/>
  <c r="T37" i="8" s="1"/>
  <c r="CH38" i="7"/>
  <c r="R37" i="8" s="1"/>
  <c r="CF38" i="7"/>
  <c r="Q37" i="8" s="1"/>
  <c r="CA38" i="7"/>
  <c r="O37" i="8" s="1"/>
  <c r="BW38" i="7"/>
  <c r="BX38" i="7" s="1"/>
  <c r="BT38" i="7"/>
  <c r="BR38" i="7"/>
  <c r="Z37" i="8" s="1"/>
  <c r="BP38" i="7"/>
  <c r="BN38" i="7"/>
  <c r="BL38" i="7"/>
  <c r="BJ38" i="7"/>
  <c r="AB37" i="8" s="1"/>
  <c r="BG38" i="7"/>
  <c r="AA37" i="8" s="1"/>
  <c r="BC38" i="7"/>
  <c r="M37" i="8" s="1"/>
  <c r="AZ38" i="7"/>
  <c r="L37" i="8" s="1"/>
  <c r="AR38" i="7"/>
  <c r="K37" i="8" s="1"/>
  <c r="AI38" i="7"/>
  <c r="I37" i="8" s="1"/>
  <c r="AE38" i="7"/>
  <c r="H37" i="8" s="1"/>
  <c r="AB38" i="7"/>
  <c r="F37" i="8" s="1"/>
  <c r="V38" i="7"/>
  <c r="E37" i="8" s="1"/>
  <c r="T38" i="7"/>
  <c r="D37" i="8" s="1"/>
  <c r="Q38" i="7"/>
  <c r="N38" i="7"/>
  <c r="C37" i="8" s="1"/>
  <c r="K38" i="7"/>
  <c r="D38" i="7"/>
  <c r="C38" i="7"/>
  <c r="JY37" i="7"/>
  <c r="JV37" i="7"/>
  <c r="JS37" i="7"/>
  <c r="JP37" i="7"/>
  <c r="JM37" i="7"/>
  <c r="JJ37" i="7"/>
  <c r="JG37" i="7"/>
  <c r="JD37" i="7"/>
  <c r="JA37" i="7"/>
  <c r="IX37" i="7"/>
  <c r="IU37" i="7"/>
  <c r="IR37" i="7"/>
  <c r="IO37" i="7"/>
  <c r="IL37" i="7"/>
  <c r="II37" i="7"/>
  <c r="IF37" i="7"/>
  <c r="HM37" i="7"/>
  <c r="BY36" i="8" s="1"/>
  <c r="HJ37" i="7"/>
  <c r="GW37" i="7"/>
  <c r="GS37" i="7"/>
  <c r="BF36" i="8" s="1"/>
  <c r="GP37" i="7"/>
  <c r="GM37" i="7"/>
  <c r="GD37" i="7"/>
  <c r="FX37" i="7"/>
  <c r="AP36" i="8" s="1"/>
  <c r="FS37" i="7"/>
  <c r="FP37" i="7"/>
  <c r="FJ37" i="7"/>
  <c r="BA36" i="8" s="1"/>
  <c r="FC37" i="7"/>
  <c r="EZ37" i="7"/>
  <c r="EW37" i="7"/>
  <c r="AV36" i="8" s="1"/>
  <c r="ET37" i="7"/>
  <c r="AU36" i="8" s="1"/>
  <c r="EM37" i="7"/>
  <c r="AN36" i="8" s="1"/>
  <c r="EJ37" i="7"/>
  <c r="AM36" i="8" s="1"/>
  <c r="DZ37" i="7"/>
  <c r="AI36" i="8" s="1"/>
  <c r="DW37" i="7"/>
  <c r="AH36" i="8" s="1"/>
  <c r="DT37" i="7"/>
  <c r="DR37" i="7"/>
  <c r="AD36" i="8" s="1"/>
  <c r="DE37" i="7"/>
  <c r="DF37" i="7" s="1"/>
  <c r="DA37" i="7"/>
  <c r="X36" i="8" s="1"/>
  <c r="CW37" i="7"/>
  <c r="W36" i="8" s="1"/>
  <c r="U36" i="8"/>
  <c r="CO37" i="7"/>
  <c r="T36" i="8" s="1"/>
  <c r="CH37" i="7"/>
  <c r="R36" i="8" s="1"/>
  <c r="CF37" i="7"/>
  <c r="Q36" i="8" s="1"/>
  <c r="CA37" i="7"/>
  <c r="O36" i="8" s="1"/>
  <c r="BW37" i="7"/>
  <c r="BX37" i="7" s="1"/>
  <c r="BT37" i="7"/>
  <c r="BR37" i="7"/>
  <c r="Z36" i="8" s="1"/>
  <c r="BP37" i="7"/>
  <c r="BN37" i="7"/>
  <c r="BL37" i="7"/>
  <c r="BJ37" i="7"/>
  <c r="AB36" i="8" s="1"/>
  <c r="BG37" i="7"/>
  <c r="AA36" i="8" s="1"/>
  <c r="BC37" i="7"/>
  <c r="M36" i="8" s="1"/>
  <c r="AZ37" i="7"/>
  <c r="L36" i="8" s="1"/>
  <c r="AR37" i="7"/>
  <c r="K36" i="8" s="1"/>
  <c r="AI37" i="7"/>
  <c r="I36" i="8" s="1"/>
  <c r="AE37" i="7"/>
  <c r="H36" i="8" s="1"/>
  <c r="AB37" i="7"/>
  <c r="F36" i="8" s="1"/>
  <c r="V37" i="7"/>
  <c r="E36" i="8" s="1"/>
  <c r="T37" i="7"/>
  <c r="D36" i="8" s="1"/>
  <c r="Q37" i="7"/>
  <c r="N37" i="7"/>
  <c r="C36" i="8" s="1"/>
  <c r="K37" i="7"/>
  <c r="D37" i="7"/>
  <c r="C37" i="7"/>
  <c r="JY36" i="7"/>
  <c r="JV36" i="7"/>
  <c r="JS36" i="7"/>
  <c r="JP36" i="7"/>
  <c r="JM36" i="7"/>
  <c r="JJ36" i="7"/>
  <c r="JG36" i="7"/>
  <c r="JD36" i="7"/>
  <c r="JA36" i="7"/>
  <c r="IX36" i="7"/>
  <c r="IU36" i="7"/>
  <c r="IR36" i="7"/>
  <c r="IO36" i="7"/>
  <c r="IL36" i="7"/>
  <c r="II36" i="7"/>
  <c r="IF36" i="7"/>
  <c r="HM36" i="7"/>
  <c r="BY35" i="8" s="1"/>
  <c r="HJ36" i="7"/>
  <c r="GW36" i="7"/>
  <c r="GS36" i="7"/>
  <c r="BF35" i="8" s="1"/>
  <c r="GP36" i="7"/>
  <c r="GM36" i="7"/>
  <c r="GD36" i="7"/>
  <c r="FX36" i="7"/>
  <c r="AP35" i="8" s="1"/>
  <c r="FS36" i="7"/>
  <c r="FP36" i="7"/>
  <c r="FA73" i="7" s="1"/>
  <c r="FJ36" i="7"/>
  <c r="BA35" i="8" s="1"/>
  <c r="FC36" i="7"/>
  <c r="EZ36" i="7"/>
  <c r="EZ73" i="7" s="1"/>
  <c r="EW36" i="7"/>
  <c r="AV35" i="8" s="1"/>
  <c r="ET36" i="7"/>
  <c r="AU35" i="8" s="1"/>
  <c r="EM36" i="7"/>
  <c r="AN35" i="8" s="1"/>
  <c r="EJ36" i="7"/>
  <c r="AM35" i="8" s="1"/>
  <c r="DZ36" i="7"/>
  <c r="AI35" i="8" s="1"/>
  <c r="DW36" i="7"/>
  <c r="AH35" i="8" s="1"/>
  <c r="DT36" i="7"/>
  <c r="DR36" i="7"/>
  <c r="AD35" i="8" s="1"/>
  <c r="DE36" i="7"/>
  <c r="DF36" i="7" s="1"/>
  <c r="DA36" i="7"/>
  <c r="X35" i="8" s="1"/>
  <c r="CW36" i="7"/>
  <c r="W35" i="8" s="1"/>
  <c r="U35" i="8"/>
  <c r="CO36" i="7"/>
  <c r="T35" i="8" s="1"/>
  <c r="CH36" i="7"/>
  <c r="R35" i="8" s="1"/>
  <c r="CF36" i="7"/>
  <c r="Q35" i="8" s="1"/>
  <c r="CA36" i="7"/>
  <c r="O35" i="8" s="1"/>
  <c r="BW36" i="7"/>
  <c r="BX36" i="7" s="1"/>
  <c r="BT36" i="7"/>
  <c r="BR36" i="7"/>
  <c r="Z35" i="8" s="1"/>
  <c r="BP36" i="7"/>
  <c r="BN36" i="7"/>
  <c r="BL36" i="7"/>
  <c r="BJ36" i="7"/>
  <c r="AB35" i="8" s="1"/>
  <c r="BG36" i="7"/>
  <c r="AA35" i="8" s="1"/>
  <c r="BC36" i="7"/>
  <c r="M35" i="8" s="1"/>
  <c r="AZ36" i="7"/>
  <c r="L35" i="8" s="1"/>
  <c r="AR36" i="7"/>
  <c r="K35" i="8" s="1"/>
  <c r="AI36" i="7"/>
  <c r="I35" i="8" s="1"/>
  <c r="AE36" i="7"/>
  <c r="H35" i="8" s="1"/>
  <c r="AB36" i="7"/>
  <c r="F35" i="8" s="1"/>
  <c r="V36" i="7"/>
  <c r="E35" i="8" s="1"/>
  <c r="T36" i="7"/>
  <c r="D35" i="8" s="1"/>
  <c r="Q36" i="7"/>
  <c r="R36" i="7" s="1"/>
  <c r="N36" i="7"/>
  <c r="C35" i="8" s="1"/>
  <c r="K36" i="7"/>
  <c r="D36" i="7"/>
  <c r="C36" i="7"/>
  <c r="A36" i="7"/>
  <c r="JY35" i="7"/>
  <c r="JV35" i="7"/>
  <c r="JS35" i="7"/>
  <c r="JP35" i="7"/>
  <c r="JM35" i="7"/>
  <c r="JJ35" i="7"/>
  <c r="JG35" i="7"/>
  <c r="JD35" i="7"/>
  <c r="JA35" i="7"/>
  <c r="IX35" i="7"/>
  <c r="IU35" i="7"/>
  <c r="IR35" i="7"/>
  <c r="IO35" i="7"/>
  <c r="IL35" i="7"/>
  <c r="II35" i="7"/>
  <c r="IF35" i="7"/>
  <c r="HM35" i="7"/>
  <c r="BY34" i="8" s="1"/>
  <c r="HJ35" i="7"/>
  <c r="HE35" i="7"/>
  <c r="GW35" i="7"/>
  <c r="GS35" i="7"/>
  <c r="BF34" i="8" s="1"/>
  <c r="GP35" i="7"/>
  <c r="BE34" i="8" s="1"/>
  <c r="GM35" i="7"/>
  <c r="GD35" i="7"/>
  <c r="FX35" i="7"/>
  <c r="AP34" i="8" s="1"/>
  <c r="FS35" i="7"/>
  <c r="FP35" i="7"/>
  <c r="FA72" i="7" s="1"/>
  <c r="FJ35" i="7"/>
  <c r="BA34" i="8" s="1"/>
  <c r="FC35" i="7"/>
  <c r="EZ35" i="7"/>
  <c r="EZ72" i="7" s="1"/>
  <c r="EW35" i="7"/>
  <c r="AV34" i="8" s="1"/>
  <c r="ET35" i="7"/>
  <c r="AU34" i="8" s="1"/>
  <c r="EM35" i="7"/>
  <c r="AN34" i="8" s="1"/>
  <c r="EJ35" i="7"/>
  <c r="AM34" i="8" s="1"/>
  <c r="DZ35" i="7"/>
  <c r="AI34" i="8" s="1"/>
  <c r="DW35" i="7"/>
  <c r="AH34" i="8" s="1"/>
  <c r="DT35" i="7"/>
  <c r="DR35" i="7"/>
  <c r="AD34" i="8" s="1"/>
  <c r="DE35" i="7"/>
  <c r="DF35" i="7" s="1"/>
  <c r="DA35" i="7"/>
  <c r="X34" i="8" s="1"/>
  <c r="CW35" i="7"/>
  <c r="W34" i="8" s="1"/>
  <c r="U34" i="8"/>
  <c r="CO35" i="7"/>
  <c r="T34" i="8" s="1"/>
  <c r="CH35" i="7"/>
  <c r="R34" i="8" s="1"/>
  <c r="CF35" i="7"/>
  <c r="Q34" i="8" s="1"/>
  <c r="CA35" i="7"/>
  <c r="O34" i="8" s="1"/>
  <c r="BW35" i="7"/>
  <c r="BX35" i="7" s="1"/>
  <c r="BT35" i="7"/>
  <c r="BR35" i="7"/>
  <c r="Z34" i="8" s="1"/>
  <c r="BP35" i="7"/>
  <c r="BN35" i="7"/>
  <c r="BL35" i="7"/>
  <c r="BJ35" i="7"/>
  <c r="AB34" i="8" s="1"/>
  <c r="BG35" i="7"/>
  <c r="AA34" i="8" s="1"/>
  <c r="BC35" i="7"/>
  <c r="M34" i="8" s="1"/>
  <c r="AZ35" i="7"/>
  <c r="L34" i="8" s="1"/>
  <c r="AR35" i="7"/>
  <c r="K34" i="8" s="1"/>
  <c r="AI35" i="7"/>
  <c r="I34" i="8" s="1"/>
  <c r="AE35" i="7"/>
  <c r="H34" i="8" s="1"/>
  <c r="AB35" i="7"/>
  <c r="F34" i="8" s="1"/>
  <c r="V35" i="7"/>
  <c r="E34" i="8" s="1"/>
  <c r="T35" i="7"/>
  <c r="D34" i="8" s="1"/>
  <c r="Q35" i="7"/>
  <c r="N35" i="7"/>
  <c r="C34" i="8" s="1"/>
  <c r="K35" i="7"/>
  <c r="D35" i="7"/>
  <c r="C35" i="7"/>
  <c r="JY34" i="7"/>
  <c r="JV34" i="7"/>
  <c r="JS34" i="7"/>
  <c r="JP34" i="7"/>
  <c r="JM34" i="7"/>
  <c r="JJ34" i="7"/>
  <c r="JG34" i="7"/>
  <c r="JD34" i="7"/>
  <c r="JA34" i="7"/>
  <c r="IX34" i="7"/>
  <c r="IU34" i="7"/>
  <c r="IR34" i="7"/>
  <c r="IO34" i="7"/>
  <c r="IL34" i="7"/>
  <c r="II34" i="7"/>
  <c r="IF34" i="7"/>
  <c r="HM34" i="7"/>
  <c r="BY33" i="8" s="1"/>
  <c r="HJ34" i="7"/>
  <c r="HE34" i="7"/>
  <c r="GW34" i="7"/>
  <c r="GS34" i="7"/>
  <c r="GP34" i="7"/>
  <c r="BE33" i="8" s="1"/>
  <c r="GM34" i="7"/>
  <c r="GD34" i="7"/>
  <c r="FX34" i="7"/>
  <c r="AP33" i="8" s="1"/>
  <c r="FS34" i="7"/>
  <c r="FP34" i="7"/>
  <c r="FA71" i="7" s="1"/>
  <c r="FJ34" i="7"/>
  <c r="BA33" i="8" s="1"/>
  <c r="FC34" i="7"/>
  <c r="EZ34" i="7"/>
  <c r="EZ71" i="7" s="1"/>
  <c r="EW34" i="7"/>
  <c r="AV33" i="8" s="1"/>
  <c r="ET34" i="7"/>
  <c r="AU33" i="8" s="1"/>
  <c r="EM34" i="7"/>
  <c r="AN33" i="8" s="1"/>
  <c r="EJ34" i="7"/>
  <c r="AM33" i="8" s="1"/>
  <c r="DZ34" i="7"/>
  <c r="AI33" i="8" s="1"/>
  <c r="DW34" i="7"/>
  <c r="AH33" i="8" s="1"/>
  <c r="DT34" i="7"/>
  <c r="DR34" i="7"/>
  <c r="AD33" i="8" s="1"/>
  <c r="DE34" i="7"/>
  <c r="DF34" i="7" s="1"/>
  <c r="DA34" i="7"/>
  <c r="X33" i="8" s="1"/>
  <c r="CW34" i="7"/>
  <c r="W33" i="8" s="1"/>
  <c r="CS34" i="7"/>
  <c r="U33" i="8" s="1"/>
  <c r="CO34" i="7"/>
  <c r="T33" i="8" s="1"/>
  <c r="CH34" i="7"/>
  <c r="R33" i="8" s="1"/>
  <c r="CF34" i="7"/>
  <c r="Q33" i="8" s="1"/>
  <c r="CA34" i="7"/>
  <c r="BW34" i="7"/>
  <c r="BX34" i="7" s="1"/>
  <c r="BT34" i="7"/>
  <c r="BR34" i="7"/>
  <c r="Z33" i="8" s="1"/>
  <c r="BP34" i="7"/>
  <c r="BN34" i="7"/>
  <c r="BL34" i="7"/>
  <c r="BJ34" i="7"/>
  <c r="AB33" i="8" s="1"/>
  <c r="BG34" i="7"/>
  <c r="AA33" i="8" s="1"/>
  <c r="BC34" i="7"/>
  <c r="M33" i="8" s="1"/>
  <c r="AZ34" i="7"/>
  <c r="L33" i="8" s="1"/>
  <c r="AR34" i="7"/>
  <c r="K33" i="8" s="1"/>
  <c r="AI34" i="7"/>
  <c r="I33" i="8" s="1"/>
  <c r="AE34" i="7"/>
  <c r="H33" i="8" s="1"/>
  <c r="AB34" i="7"/>
  <c r="F33" i="8" s="1"/>
  <c r="V34" i="7"/>
  <c r="E33" i="8" s="1"/>
  <c r="T34" i="7"/>
  <c r="D33" i="8" s="1"/>
  <c r="Q34" i="7"/>
  <c r="R34" i="7" s="1"/>
  <c r="N34" i="7"/>
  <c r="C33" i="8" s="1"/>
  <c r="K34" i="7"/>
  <c r="D34" i="7"/>
  <c r="G34" i="7" s="1"/>
  <c r="B33" i="8" s="1"/>
  <c r="C34" i="7"/>
  <c r="JY33" i="7"/>
  <c r="JV33" i="7"/>
  <c r="JS33" i="7"/>
  <c r="JP33" i="7"/>
  <c r="JM33" i="7"/>
  <c r="JJ33" i="7"/>
  <c r="JG33" i="7"/>
  <c r="JD33" i="7"/>
  <c r="JA33" i="7"/>
  <c r="IX33" i="7"/>
  <c r="IU33" i="7"/>
  <c r="IR33" i="7"/>
  <c r="IO33" i="7"/>
  <c r="IL33" i="7"/>
  <c r="II33" i="7"/>
  <c r="IF33" i="7"/>
  <c r="HM33" i="7"/>
  <c r="HJ33" i="7"/>
  <c r="HE33" i="7"/>
  <c r="GW33" i="7"/>
  <c r="GS33" i="7"/>
  <c r="GP33" i="7"/>
  <c r="BE32" i="8" s="1"/>
  <c r="GM33" i="7"/>
  <c r="BC32" i="8" s="1"/>
  <c r="AX32" i="8"/>
  <c r="GD33" i="7"/>
  <c r="FX33" i="7"/>
  <c r="AP32" i="8" s="1"/>
  <c r="FS33" i="7"/>
  <c r="FP33" i="7"/>
  <c r="FA70" i="7" s="1"/>
  <c r="FJ33" i="7"/>
  <c r="BA32" i="8" s="1"/>
  <c r="FC33" i="7"/>
  <c r="EZ33" i="7"/>
  <c r="EZ70" i="7" s="1"/>
  <c r="EW33" i="7"/>
  <c r="AV32" i="8" s="1"/>
  <c r="ET33" i="7"/>
  <c r="AU32" i="8" s="1"/>
  <c r="EM33" i="7"/>
  <c r="AN32" i="8" s="1"/>
  <c r="EJ33" i="7"/>
  <c r="DZ33" i="7"/>
  <c r="AI32" i="8" s="1"/>
  <c r="DW33" i="7"/>
  <c r="AH32" i="8" s="1"/>
  <c r="DT33" i="7"/>
  <c r="DR33" i="7"/>
  <c r="AD32" i="8" s="1"/>
  <c r="DE33" i="7"/>
  <c r="DF33" i="7" s="1"/>
  <c r="DA33" i="7"/>
  <c r="X32" i="8" s="1"/>
  <c r="CW33" i="7"/>
  <c r="W32" i="8" s="1"/>
  <c r="CS33" i="7"/>
  <c r="U32" i="8" s="1"/>
  <c r="CO33" i="7"/>
  <c r="CH33" i="7"/>
  <c r="R32" i="8" s="1"/>
  <c r="CF33" i="7"/>
  <c r="Q32" i="8" s="1"/>
  <c r="CA33" i="7"/>
  <c r="BW33" i="7"/>
  <c r="BX33" i="7" s="1"/>
  <c r="BT33" i="7"/>
  <c r="BR33" i="7"/>
  <c r="Z32" i="8" s="1"/>
  <c r="BP33" i="7"/>
  <c r="BN33" i="7"/>
  <c r="BL33" i="7"/>
  <c r="BJ33" i="7"/>
  <c r="AB32" i="8" s="1"/>
  <c r="BG33" i="7"/>
  <c r="AA32" i="8" s="1"/>
  <c r="BC33" i="7"/>
  <c r="M32" i="8" s="1"/>
  <c r="AZ33" i="7"/>
  <c r="L32" i="8" s="1"/>
  <c r="AR33" i="7"/>
  <c r="K32" i="8" s="1"/>
  <c r="AI33" i="7"/>
  <c r="I32" i="8" s="1"/>
  <c r="AE33" i="7"/>
  <c r="H32" i="8" s="1"/>
  <c r="AB33" i="7"/>
  <c r="F32" i="8" s="1"/>
  <c r="V33" i="7"/>
  <c r="E32" i="8" s="1"/>
  <c r="T33" i="7"/>
  <c r="D32" i="8" s="1"/>
  <c r="Q33" i="7"/>
  <c r="R33" i="7" s="1"/>
  <c r="N33" i="7"/>
  <c r="C32" i="8" s="1"/>
  <c r="K33" i="7"/>
  <c r="D33" i="7"/>
  <c r="C33" i="7"/>
  <c r="JY32" i="7"/>
  <c r="JV32" i="7"/>
  <c r="JS32" i="7"/>
  <c r="JP32" i="7"/>
  <c r="JM32" i="7"/>
  <c r="JJ32" i="7"/>
  <c r="JG32" i="7"/>
  <c r="JD32" i="7"/>
  <c r="JA32" i="7"/>
  <c r="IX32" i="7"/>
  <c r="IU32" i="7"/>
  <c r="IR32" i="7"/>
  <c r="IO32" i="7"/>
  <c r="IL32" i="7"/>
  <c r="II32" i="7"/>
  <c r="IF32" i="7"/>
  <c r="HM32" i="7"/>
  <c r="BY31" i="8" s="1"/>
  <c r="HJ32" i="7"/>
  <c r="HE32" i="7"/>
  <c r="GW32" i="7"/>
  <c r="GS32" i="7"/>
  <c r="GP32" i="7"/>
  <c r="BE31" i="8" s="1"/>
  <c r="GM32" i="7"/>
  <c r="BC31" i="8" s="1"/>
  <c r="GD32" i="7"/>
  <c r="FX32" i="7"/>
  <c r="AP31" i="8" s="1"/>
  <c r="FS32" i="7"/>
  <c r="FP32" i="7"/>
  <c r="FA69" i="7" s="1"/>
  <c r="FJ32" i="7"/>
  <c r="BA31" i="8" s="1"/>
  <c r="FC32" i="7"/>
  <c r="EZ32" i="7"/>
  <c r="EZ69" i="7" s="1"/>
  <c r="EW32" i="7"/>
  <c r="AV31" i="8" s="1"/>
  <c r="ET32" i="7"/>
  <c r="AU31" i="8" s="1"/>
  <c r="EM32" i="7"/>
  <c r="AN31" i="8" s="1"/>
  <c r="EJ32" i="7"/>
  <c r="AM31" i="8" s="1"/>
  <c r="DZ32" i="7"/>
  <c r="AI31" i="8" s="1"/>
  <c r="DW32" i="7"/>
  <c r="DT32" i="7"/>
  <c r="DR32" i="7"/>
  <c r="AD31" i="8" s="1"/>
  <c r="DE32" i="7"/>
  <c r="DF32" i="7" s="1"/>
  <c r="DA32" i="7"/>
  <c r="X31" i="8" s="1"/>
  <c r="CW32" i="7"/>
  <c r="W31" i="8" s="1"/>
  <c r="CS32" i="7"/>
  <c r="CO32" i="7"/>
  <c r="CH32" i="7"/>
  <c r="R31" i="8" s="1"/>
  <c r="CF32" i="7"/>
  <c r="Q31" i="8" s="1"/>
  <c r="CA32" i="7"/>
  <c r="CB32" i="7" s="1"/>
  <c r="BW32" i="7"/>
  <c r="BX32" i="7" s="1"/>
  <c r="BT32" i="7"/>
  <c r="BR32" i="7"/>
  <c r="Z31" i="8" s="1"/>
  <c r="BP32" i="7"/>
  <c r="BN32" i="7"/>
  <c r="BL32" i="7"/>
  <c r="BJ32" i="7"/>
  <c r="AB31" i="8" s="1"/>
  <c r="BG32" i="7"/>
  <c r="AA31" i="8" s="1"/>
  <c r="BC32" i="7"/>
  <c r="M31" i="8" s="1"/>
  <c r="AZ32" i="7"/>
  <c r="L31" i="8" s="1"/>
  <c r="AR32" i="7"/>
  <c r="K31" i="8" s="1"/>
  <c r="AI32" i="7"/>
  <c r="I31" i="8" s="1"/>
  <c r="AE32" i="7"/>
  <c r="H31" i="8" s="1"/>
  <c r="AB32" i="7"/>
  <c r="F31" i="8" s="1"/>
  <c r="V32" i="7"/>
  <c r="E31" i="8" s="1"/>
  <c r="T32" i="7"/>
  <c r="D31" i="8" s="1"/>
  <c r="Q32" i="7"/>
  <c r="R32" i="7" s="1"/>
  <c r="N32" i="7"/>
  <c r="C31" i="8" s="1"/>
  <c r="K32" i="7"/>
  <c r="D32" i="7"/>
  <c r="C32" i="7"/>
  <c r="JY31" i="7"/>
  <c r="JV31" i="7"/>
  <c r="JS31" i="7"/>
  <c r="JP31" i="7"/>
  <c r="JM31" i="7"/>
  <c r="JJ31" i="7"/>
  <c r="JG31" i="7"/>
  <c r="JD31" i="7"/>
  <c r="JA31" i="7"/>
  <c r="IX31" i="7"/>
  <c r="IU31" i="7"/>
  <c r="IR31" i="7"/>
  <c r="IO31" i="7"/>
  <c r="IL31" i="7"/>
  <c r="II31" i="7"/>
  <c r="IF31" i="7"/>
  <c r="HM31" i="7"/>
  <c r="BY30" i="8" s="1"/>
  <c r="HJ31" i="7"/>
  <c r="HE31" i="7"/>
  <c r="GW31" i="7"/>
  <c r="GS31" i="7"/>
  <c r="BF30" i="8" s="1"/>
  <c r="GP31" i="7"/>
  <c r="BE30" i="8" s="1"/>
  <c r="GM31" i="7"/>
  <c r="BC30" i="8" s="1"/>
  <c r="AX30" i="8"/>
  <c r="GD31" i="7"/>
  <c r="FX31" i="7"/>
  <c r="AP30" i="8" s="1"/>
  <c r="FS31" i="7"/>
  <c r="FP31" i="7"/>
  <c r="FA68" i="7" s="1"/>
  <c r="FJ31" i="7"/>
  <c r="BA30" i="8" s="1"/>
  <c r="FC31" i="7"/>
  <c r="EZ31" i="7"/>
  <c r="EZ68" i="7" s="1"/>
  <c r="EW31" i="7"/>
  <c r="AV30" i="8" s="1"/>
  <c r="ET31" i="7"/>
  <c r="AU30" i="8" s="1"/>
  <c r="EM31" i="7"/>
  <c r="AN30" i="8" s="1"/>
  <c r="EJ31" i="7"/>
  <c r="AM30" i="8" s="1"/>
  <c r="DZ31" i="7"/>
  <c r="DW31" i="7"/>
  <c r="AH30" i="8" s="1"/>
  <c r="DT31" i="7"/>
  <c r="DR31" i="7"/>
  <c r="AD30" i="8" s="1"/>
  <c r="DE31" i="7"/>
  <c r="DA31" i="7"/>
  <c r="X30" i="8" s="1"/>
  <c r="CW31" i="7"/>
  <c r="W30" i="8" s="1"/>
  <c r="CS31" i="7"/>
  <c r="U30" i="8" s="1"/>
  <c r="CO31" i="7"/>
  <c r="T30" i="8" s="1"/>
  <c r="CH31" i="7"/>
  <c r="R30" i="8" s="1"/>
  <c r="CF31" i="7"/>
  <c r="Q30" i="8" s="1"/>
  <c r="CA31" i="7"/>
  <c r="O30" i="8" s="1"/>
  <c r="BW31" i="7"/>
  <c r="BX31" i="7" s="1"/>
  <c r="BT31" i="7"/>
  <c r="BR31" i="7"/>
  <c r="Z30" i="8" s="1"/>
  <c r="BP31" i="7"/>
  <c r="BN31" i="7"/>
  <c r="BL31" i="7"/>
  <c r="BJ31" i="7"/>
  <c r="AB30" i="8" s="1"/>
  <c r="BG31" i="7"/>
  <c r="AA30" i="8" s="1"/>
  <c r="BC31" i="7"/>
  <c r="M30" i="8" s="1"/>
  <c r="AZ31" i="7"/>
  <c r="L30" i="8" s="1"/>
  <c r="AR31" i="7"/>
  <c r="K30" i="8" s="1"/>
  <c r="AI31" i="7"/>
  <c r="I30" i="8" s="1"/>
  <c r="AE31" i="7"/>
  <c r="H30" i="8" s="1"/>
  <c r="AB31" i="7"/>
  <c r="F30" i="8" s="1"/>
  <c r="V31" i="7"/>
  <c r="E30" i="8" s="1"/>
  <c r="T31" i="7"/>
  <c r="D30" i="8" s="1"/>
  <c r="Q31" i="7"/>
  <c r="R31" i="7" s="1"/>
  <c r="N31" i="7"/>
  <c r="C30" i="8" s="1"/>
  <c r="K31" i="7"/>
  <c r="D31" i="7"/>
  <c r="G31" i="7" s="1"/>
  <c r="B30" i="8" s="1"/>
  <c r="C31" i="7"/>
  <c r="JY30" i="7"/>
  <c r="JV30" i="7"/>
  <c r="JS30" i="7"/>
  <c r="JP30" i="7"/>
  <c r="JM30" i="7"/>
  <c r="JJ30" i="7"/>
  <c r="JG30" i="7"/>
  <c r="JD30" i="7"/>
  <c r="JA30" i="7"/>
  <c r="IX30" i="7"/>
  <c r="IU30" i="7"/>
  <c r="IR30" i="7"/>
  <c r="IO30" i="7"/>
  <c r="IL30" i="7"/>
  <c r="II30" i="7"/>
  <c r="IF30" i="7"/>
  <c r="HM30" i="7"/>
  <c r="BY29" i="8" s="1"/>
  <c r="HJ30" i="7"/>
  <c r="HE30" i="7"/>
  <c r="GW30" i="7"/>
  <c r="GS30" i="7"/>
  <c r="BF29" i="8" s="1"/>
  <c r="GP30" i="7"/>
  <c r="BE29" i="8" s="1"/>
  <c r="GM30" i="7"/>
  <c r="BC29" i="8" s="1"/>
  <c r="AX29" i="8"/>
  <c r="GD30" i="7"/>
  <c r="FX30" i="7"/>
  <c r="FS30" i="7"/>
  <c r="FP30" i="7"/>
  <c r="FA67" i="7" s="1"/>
  <c r="FJ30" i="7"/>
  <c r="BA29" i="8" s="1"/>
  <c r="FC30" i="7"/>
  <c r="EZ30" i="7"/>
  <c r="EZ67" i="7" s="1"/>
  <c r="EW30" i="7"/>
  <c r="AV29" i="8" s="1"/>
  <c r="ET30" i="7"/>
  <c r="AU29" i="8" s="1"/>
  <c r="EM30" i="7"/>
  <c r="AN29" i="8" s="1"/>
  <c r="EJ30" i="7"/>
  <c r="AM29" i="8" s="1"/>
  <c r="DZ30" i="7"/>
  <c r="AI29" i="8" s="1"/>
  <c r="DW30" i="7"/>
  <c r="AH29" i="8" s="1"/>
  <c r="DT30" i="7"/>
  <c r="DR30" i="7"/>
  <c r="AD29" i="8" s="1"/>
  <c r="DE30" i="7"/>
  <c r="DF30" i="7" s="1"/>
  <c r="DA30" i="7"/>
  <c r="X29" i="8" s="1"/>
  <c r="CW30" i="7"/>
  <c r="W29" i="8" s="1"/>
  <c r="CS30" i="7"/>
  <c r="U29" i="8" s="1"/>
  <c r="CO30" i="7"/>
  <c r="T29" i="8" s="1"/>
  <c r="CH30" i="7"/>
  <c r="R29" i="8" s="1"/>
  <c r="CF30" i="7"/>
  <c r="Q29" i="8" s="1"/>
  <c r="CA30" i="7"/>
  <c r="O29" i="8" s="1"/>
  <c r="BW30" i="7"/>
  <c r="BX30" i="7" s="1"/>
  <c r="BT30" i="7"/>
  <c r="BR30" i="7"/>
  <c r="Z29" i="8" s="1"/>
  <c r="BP30" i="7"/>
  <c r="BN30" i="7"/>
  <c r="BL30" i="7"/>
  <c r="BJ30" i="7"/>
  <c r="AB29" i="8" s="1"/>
  <c r="BG30" i="7"/>
  <c r="AA29" i="8" s="1"/>
  <c r="BC30" i="7"/>
  <c r="M29" i="8" s="1"/>
  <c r="AZ30" i="7"/>
  <c r="L29" i="8" s="1"/>
  <c r="AR30" i="7"/>
  <c r="K29" i="8" s="1"/>
  <c r="AI30" i="7"/>
  <c r="I29" i="8" s="1"/>
  <c r="AE30" i="7"/>
  <c r="H29" i="8" s="1"/>
  <c r="AB30" i="7"/>
  <c r="F29" i="8" s="1"/>
  <c r="V30" i="7"/>
  <c r="E29" i="8" s="1"/>
  <c r="T30" i="7"/>
  <c r="D29" i="8" s="1"/>
  <c r="Q30" i="7"/>
  <c r="N30" i="7"/>
  <c r="C29" i="8" s="1"/>
  <c r="K30" i="7"/>
  <c r="D30" i="7"/>
  <c r="G30" i="7" s="1"/>
  <c r="B29" i="8" s="1"/>
  <c r="C30" i="7"/>
  <c r="JY29" i="7"/>
  <c r="JV29" i="7"/>
  <c r="JS29" i="7"/>
  <c r="JP29" i="7"/>
  <c r="JM29" i="7"/>
  <c r="JJ29" i="7"/>
  <c r="JG29" i="7"/>
  <c r="JD29" i="7"/>
  <c r="JA29" i="7"/>
  <c r="IX29" i="7"/>
  <c r="IU29" i="7"/>
  <c r="IR29" i="7"/>
  <c r="IO29" i="7"/>
  <c r="IL29" i="7"/>
  <c r="II29" i="7"/>
  <c r="IF29" i="7"/>
  <c r="HM29" i="7"/>
  <c r="BY28" i="8" s="1"/>
  <c r="HJ29" i="7"/>
  <c r="HE29" i="7"/>
  <c r="GW29" i="7"/>
  <c r="GS29" i="7"/>
  <c r="GP29" i="7"/>
  <c r="BE28" i="8" s="1"/>
  <c r="BC28" i="8"/>
  <c r="AX28" i="8"/>
  <c r="GD29" i="7"/>
  <c r="FX29" i="7"/>
  <c r="AP28" i="8" s="1"/>
  <c r="FS29" i="7"/>
  <c r="FP29" i="7"/>
  <c r="FA66" i="7" s="1"/>
  <c r="FJ29" i="7"/>
  <c r="FC29" i="7"/>
  <c r="EZ29" i="7"/>
  <c r="EZ66" i="7" s="1"/>
  <c r="EW29" i="7"/>
  <c r="AV28" i="8" s="1"/>
  <c r="ET29" i="7"/>
  <c r="AU28" i="8" s="1"/>
  <c r="EM29" i="7"/>
  <c r="AN28" i="8" s="1"/>
  <c r="EJ29" i="7"/>
  <c r="AM28" i="8" s="1"/>
  <c r="DZ29" i="7"/>
  <c r="AI28" i="8" s="1"/>
  <c r="DW29" i="7"/>
  <c r="AH28" i="8" s="1"/>
  <c r="DT29" i="7"/>
  <c r="DR29" i="7"/>
  <c r="AD28" i="8" s="1"/>
  <c r="DE29" i="7"/>
  <c r="DA29" i="7"/>
  <c r="X28" i="8" s="1"/>
  <c r="CW29" i="7"/>
  <c r="W28" i="8" s="1"/>
  <c r="CS29" i="7"/>
  <c r="U28" i="8" s="1"/>
  <c r="CO29" i="7"/>
  <c r="T28" i="8" s="1"/>
  <c r="CH29" i="7"/>
  <c r="R28" i="8" s="1"/>
  <c r="CF29" i="7"/>
  <c r="Q28" i="8" s="1"/>
  <c r="CA29" i="7"/>
  <c r="BW29" i="7"/>
  <c r="BX29" i="7" s="1"/>
  <c r="BT29" i="7"/>
  <c r="BR29" i="7"/>
  <c r="Z28" i="8" s="1"/>
  <c r="BP29" i="7"/>
  <c r="BN29" i="7"/>
  <c r="BL29" i="7"/>
  <c r="BJ29" i="7"/>
  <c r="AB28" i="8" s="1"/>
  <c r="BG29" i="7"/>
  <c r="AA28" i="8" s="1"/>
  <c r="BC29" i="7"/>
  <c r="M28" i="8" s="1"/>
  <c r="AZ29" i="7"/>
  <c r="L28" i="8" s="1"/>
  <c r="AR29" i="7"/>
  <c r="AI29" i="7"/>
  <c r="I28" i="8" s="1"/>
  <c r="AE29" i="7"/>
  <c r="H28" i="8" s="1"/>
  <c r="AB29" i="7"/>
  <c r="F28" i="8" s="1"/>
  <c r="V29" i="7"/>
  <c r="E28" i="8" s="1"/>
  <c r="T29" i="7"/>
  <c r="D28" i="8" s="1"/>
  <c r="Q29" i="7"/>
  <c r="N29" i="7"/>
  <c r="C28" i="8" s="1"/>
  <c r="K29" i="7"/>
  <c r="D29" i="7"/>
  <c r="C29" i="7"/>
  <c r="JY28" i="7"/>
  <c r="JV28" i="7"/>
  <c r="JS28" i="7"/>
  <c r="JP28" i="7"/>
  <c r="JM28" i="7"/>
  <c r="JJ28" i="7"/>
  <c r="JG28" i="7"/>
  <c r="JD28" i="7"/>
  <c r="JA28" i="7"/>
  <c r="IX28" i="7"/>
  <c r="IU28" i="7"/>
  <c r="IR28" i="7"/>
  <c r="IO28" i="7"/>
  <c r="IL28" i="7"/>
  <c r="II28" i="7"/>
  <c r="IF28" i="7"/>
  <c r="HM28" i="7"/>
  <c r="HE28" i="7"/>
  <c r="GW28" i="7"/>
  <c r="GS28" i="7"/>
  <c r="GP28" i="7"/>
  <c r="BE27" i="8" s="1"/>
  <c r="GM28" i="7"/>
  <c r="BC27" i="8" s="1"/>
  <c r="AX27" i="8"/>
  <c r="GD28" i="7"/>
  <c r="FX28" i="7"/>
  <c r="AP27" i="8" s="1"/>
  <c r="FS28" i="7"/>
  <c r="FP28" i="7"/>
  <c r="FA65" i="7" s="1"/>
  <c r="FJ28" i="7"/>
  <c r="BA27" i="8" s="1"/>
  <c r="FC28" i="7"/>
  <c r="EZ28" i="7"/>
  <c r="EZ65" i="7" s="1"/>
  <c r="EW28" i="7"/>
  <c r="AV27" i="8" s="1"/>
  <c r="ET28" i="7"/>
  <c r="AU27" i="8" s="1"/>
  <c r="EM28" i="7"/>
  <c r="AN27" i="8" s="1"/>
  <c r="EJ28" i="7"/>
  <c r="AM27" i="8" s="1"/>
  <c r="DZ28" i="7"/>
  <c r="AI27" i="8" s="1"/>
  <c r="DW28" i="7"/>
  <c r="DT28" i="7"/>
  <c r="DR28" i="7"/>
  <c r="AD27" i="8" s="1"/>
  <c r="DE28" i="7"/>
  <c r="DF28" i="7" s="1"/>
  <c r="DA28" i="7"/>
  <c r="X27" i="8" s="1"/>
  <c r="CW28" i="7"/>
  <c r="W27" i="8" s="1"/>
  <c r="CS28" i="7"/>
  <c r="CO28" i="7"/>
  <c r="T27" i="8" s="1"/>
  <c r="CH28" i="7"/>
  <c r="R27" i="8" s="1"/>
  <c r="CF28" i="7"/>
  <c r="Q27" i="8" s="1"/>
  <c r="CA28" i="7"/>
  <c r="O27" i="8" s="1"/>
  <c r="BW28" i="7"/>
  <c r="BX28" i="7" s="1"/>
  <c r="BT28" i="7"/>
  <c r="BR28" i="7"/>
  <c r="BP28" i="7"/>
  <c r="BN28" i="7"/>
  <c r="BL28" i="7"/>
  <c r="BJ28" i="7"/>
  <c r="AB27" i="8" s="1"/>
  <c r="BG28" i="7"/>
  <c r="AA27" i="8" s="1"/>
  <c r="BC28" i="7"/>
  <c r="M27" i="8" s="1"/>
  <c r="AZ28" i="7"/>
  <c r="L27" i="8" s="1"/>
  <c r="AR28" i="7"/>
  <c r="K27" i="8" s="1"/>
  <c r="AI28" i="7"/>
  <c r="I27" i="8" s="1"/>
  <c r="AE28" i="7"/>
  <c r="H27" i="8" s="1"/>
  <c r="AB28" i="7"/>
  <c r="F27" i="8" s="1"/>
  <c r="V28" i="7"/>
  <c r="E27" i="8" s="1"/>
  <c r="T28" i="7"/>
  <c r="Q28" i="7"/>
  <c r="R28" i="7" s="1"/>
  <c r="N28" i="7"/>
  <c r="C27" i="8" s="1"/>
  <c r="K28" i="7"/>
  <c r="D28" i="7"/>
  <c r="C28" i="7"/>
  <c r="JY27" i="7"/>
  <c r="JV27" i="7"/>
  <c r="JS27" i="7"/>
  <c r="JP27" i="7"/>
  <c r="JM27" i="7"/>
  <c r="JJ27" i="7"/>
  <c r="JG27" i="7"/>
  <c r="JD27" i="7"/>
  <c r="JA27" i="7"/>
  <c r="IX27" i="7"/>
  <c r="IU27" i="7"/>
  <c r="IR27" i="7"/>
  <c r="IO27" i="7"/>
  <c r="IL27" i="7"/>
  <c r="II27" i="7"/>
  <c r="IF27" i="7"/>
  <c r="HM27" i="7"/>
  <c r="HE27" i="7"/>
  <c r="GW27" i="7"/>
  <c r="GS27" i="7"/>
  <c r="GP27" i="7"/>
  <c r="BE26" i="8" s="1"/>
  <c r="GM27" i="7"/>
  <c r="BC26" i="8" s="1"/>
  <c r="AX26" i="8"/>
  <c r="GD27" i="7"/>
  <c r="FX27" i="7"/>
  <c r="AP26" i="8" s="1"/>
  <c r="FS27" i="7"/>
  <c r="FP27" i="7"/>
  <c r="FA64" i="7" s="1"/>
  <c r="FJ27" i="7"/>
  <c r="BA26" i="8" s="1"/>
  <c r="FC27" i="7"/>
  <c r="EZ27" i="7"/>
  <c r="EZ64" i="7" s="1"/>
  <c r="EW27" i="7"/>
  <c r="AV26" i="8" s="1"/>
  <c r="ET27" i="7"/>
  <c r="AU26" i="8" s="1"/>
  <c r="EM27" i="7"/>
  <c r="AN26" i="8" s="1"/>
  <c r="EJ27" i="7"/>
  <c r="AM26" i="8" s="1"/>
  <c r="DZ27" i="7"/>
  <c r="AI26" i="8" s="1"/>
  <c r="DW27" i="7"/>
  <c r="AH26" i="8" s="1"/>
  <c r="DR27" i="7"/>
  <c r="AD26" i="8" s="1"/>
  <c r="DE27" i="7"/>
  <c r="DF27" i="7" s="1"/>
  <c r="DA27" i="7"/>
  <c r="X26" i="8" s="1"/>
  <c r="CW27" i="7"/>
  <c r="W26" i="8" s="1"/>
  <c r="CS27" i="7"/>
  <c r="U26" i="8" s="1"/>
  <c r="CO27" i="7"/>
  <c r="T26" i="8" s="1"/>
  <c r="CH27" i="7"/>
  <c r="R26" i="8" s="1"/>
  <c r="CF27" i="7"/>
  <c r="Q26" i="8" s="1"/>
  <c r="CA27" i="7"/>
  <c r="O26" i="8" s="1"/>
  <c r="BW27" i="7"/>
  <c r="BX27" i="7" s="1"/>
  <c r="BT27" i="7"/>
  <c r="BR27" i="7"/>
  <c r="Z26" i="8" s="1"/>
  <c r="BP27" i="7"/>
  <c r="BN27" i="7"/>
  <c r="BL27" i="7"/>
  <c r="BJ27" i="7"/>
  <c r="AB26" i="8" s="1"/>
  <c r="BG27" i="7"/>
  <c r="AA26" i="8" s="1"/>
  <c r="BC27" i="7"/>
  <c r="M26" i="8" s="1"/>
  <c r="AZ27" i="7"/>
  <c r="L26" i="8" s="1"/>
  <c r="AR27" i="7"/>
  <c r="K26" i="8" s="1"/>
  <c r="AI27" i="7"/>
  <c r="I26" i="8" s="1"/>
  <c r="AE27" i="7"/>
  <c r="H26" i="8" s="1"/>
  <c r="AB27" i="7"/>
  <c r="F26" i="8" s="1"/>
  <c r="V27" i="7"/>
  <c r="E26" i="8" s="1"/>
  <c r="T27" i="7"/>
  <c r="D26" i="8" s="1"/>
  <c r="Q27" i="7"/>
  <c r="R27" i="7" s="1"/>
  <c r="N27" i="7"/>
  <c r="C26" i="8" s="1"/>
  <c r="K27" i="7"/>
  <c r="D27" i="7"/>
  <c r="C27" i="7"/>
  <c r="JY26" i="7"/>
  <c r="JV26" i="7"/>
  <c r="JS26" i="7"/>
  <c r="JP26" i="7"/>
  <c r="JM26" i="7"/>
  <c r="JJ26" i="7"/>
  <c r="JG26" i="7"/>
  <c r="JD26" i="7"/>
  <c r="JA26" i="7"/>
  <c r="IX26" i="7"/>
  <c r="IU26" i="7"/>
  <c r="IR26" i="7"/>
  <c r="IO26" i="7"/>
  <c r="IL26" i="7"/>
  <c r="II26" i="7"/>
  <c r="IF26" i="7"/>
  <c r="HM26" i="7"/>
  <c r="BY25" i="8" s="1"/>
  <c r="HJ26" i="7"/>
  <c r="HE26" i="7"/>
  <c r="GW26" i="7"/>
  <c r="GS26" i="7"/>
  <c r="GP26" i="7"/>
  <c r="BE25" i="8" s="1"/>
  <c r="GM26" i="7"/>
  <c r="BC25" i="8" s="1"/>
  <c r="GD26" i="7"/>
  <c r="FX26" i="7"/>
  <c r="AP25" i="8" s="1"/>
  <c r="FS26" i="7"/>
  <c r="FP26" i="7"/>
  <c r="FA63" i="7" s="1"/>
  <c r="FJ26" i="7"/>
  <c r="BA25" i="8" s="1"/>
  <c r="FC26" i="7"/>
  <c r="EZ26" i="7"/>
  <c r="EZ63" i="7" s="1"/>
  <c r="EW26" i="7"/>
  <c r="AV25" i="8" s="1"/>
  <c r="ET26" i="7"/>
  <c r="AU25" i="8" s="1"/>
  <c r="EM26" i="7"/>
  <c r="AN25" i="8" s="1"/>
  <c r="EJ26" i="7"/>
  <c r="AM25" i="8" s="1"/>
  <c r="DZ26" i="7"/>
  <c r="DW26" i="7"/>
  <c r="AH25" i="8" s="1"/>
  <c r="DR26" i="7"/>
  <c r="AD25" i="8" s="1"/>
  <c r="DE26" i="7"/>
  <c r="DF26" i="7" s="1"/>
  <c r="DA26" i="7"/>
  <c r="X25" i="8" s="1"/>
  <c r="CW26" i="7"/>
  <c r="W25" i="8" s="1"/>
  <c r="CS26" i="7"/>
  <c r="U25" i="8" s="1"/>
  <c r="CO26" i="7"/>
  <c r="T25" i="8" s="1"/>
  <c r="CH26" i="7"/>
  <c r="R25" i="8" s="1"/>
  <c r="CF26" i="7"/>
  <c r="Q25" i="8" s="1"/>
  <c r="CA26" i="7"/>
  <c r="BW26" i="7"/>
  <c r="BX26" i="7" s="1"/>
  <c r="BT26" i="7"/>
  <c r="BR26" i="7"/>
  <c r="Z25" i="8" s="1"/>
  <c r="BP26" i="7"/>
  <c r="BN26" i="7"/>
  <c r="BL26" i="7"/>
  <c r="BJ26" i="7"/>
  <c r="AB25" i="8" s="1"/>
  <c r="BG26" i="7"/>
  <c r="AA25" i="8" s="1"/>
  <c r="BC26" i="7"/>
  <c r="M25" i="8" s="1"/>
  <c r="AZ26" i="7"/>
  <c r="L25" i="8" s="1"/>
  <c r="AR26" i="7"/>
  <c r="K25" i="8" s="1"/>
  <c r="AI26" i="7"/>
  <c r="I25" i="8" s="1"/>
  <c r="AE26" i="7"/>
  <c r="H25" i="8" s="1"/>
  <c r="AB26" i="7"/>
  <c r="F25" i="8" s="1"/>
  <c r="V26" i="7"/>
  <c r="E25" i="8" s="1"/>
  <c r="T26" i="7"/>
  <c r="D25" i="8" s="1"/>
  <c r="Q26" i="7"/>
  <c r="N26" i="7"/>
  <c r="C25" i="8" s="1"/>
  <c r="K26" i="7"/>
  <c r="D26" i="7"/>
  <c r="C26" i="7"/>
  <c r="JY25" i="7"/>
  <c r="JV25" i="7"/>
  <c r="JS25" i="7"/>
  <c r="JP25" i="7"/>
  <c r="JM25" i="7"/>
  <c r="JJ25" i="7"/>
  <c r="JG25" i="7"/>
  <c r="JD25" i="7"/>
  <c r="JA25" i="7"/>
  <c r="IX25" i="7"/>
  <c r="IU25" i="7"/>
  <c r="IR25" i="7"/>
  <c r="IO25" i="7"/>
  <c r="IL25" i="7"/>
  <c r="II25" i="7"/>
  <c r="IF25" i="7"/>
  <c r="HM25" i="7"/>
  <c r="BY24" i="8" s="1"/>
  <c r="HJ25" i="7"/>
  <c r="HE25" i="7"/>
  <c r="GW25" i="7"/>
  <c r="GS25" i="7"/>
  <c r="GP25" i="7"/>
  <c r="BE24" i="8" s="1"/>
  <c r="GM25" i="7"/>
  <c r="BC24" i="8" s="1"/>
  <c r="AX24" i="8"/>
  <c r="GD25" i="7"/>
  <c r="FX25" i="7"/>
  <c r="AP24" i="8" s="1"/>
  <c r="FS25" i="7"/>
  <c r="FP25" i="7"/>
  <c r="FA62" i="7" s="1"/>
  <c r="FJ25" i="7"/>
  <c r="BA24" i="8" s="1"/>
  <c r="FC25" i="7"/>
  <c r="EZ25" i="7"/>
  <c r="EZ62" i="7" s="1"/>
  <c r="EW25" i="7"/>
  <c r="AV24" i="8" s="1"/>
  <c r="ET25" i="7"/>
  <c r="EM25" i="7"/>
  <c r="AN24" i="8" s="1"/>
  <c r="EJ25" i="7"/>
  <c r="AM24" i="8" s="1"/>
  <c r="DZ25" i="7"/>
  <c r="AI24" i="8" s="1"/>
  <c r="DW25" i="7"/>
  <c r="AH24" i="8" s="1"/>
  <c r="DT25" i="7"/>
  <c r="DR25" i="7"/>
  <c r="AD24" i="8" s="1"/>
  <c r="DE25" i="7"/>
  <c r="DF25" i="7" s="1"/>
  <c r="DA25" i="7"/>
  <c r="X24" i="8" s="1"/>
  <c r="CW25" i="7"/>
  <c r="W24" i="8" s="1"/>
  <c r="CS25" i="7"/>
  <c r="U24" i="8" s="1"/>
  <c r="CO25" i="7"/>
  <c r="CH25" i="7"/>
  <c r="R24" i="8" s="1"/>
  <c r="CF25" i="7"/>
  <c r="Q24" i="8" s="1"/>
  <c r="CA25" i="7"/>
  <c r="O24" i="8" s="1"/>
  <c r="BW25" i="7"/>
  <c r="BX25" i="7" s="1"/>
  <c r="BT25" i="7"/>
  <c r="BR25" i="7"/>
  <c r="Z24" i="8" s="1"/>
  <c r="BP25" i="7"/>
  <c r="BN25" i="7"/>
  <c r="BL25" i="7"/>
  <c r="BJ25" i="7"/>
  <c r="AB24" i="8" s="1"/>
  <c r="BG25" i="7"/>
  <c r="AA24" i="8" s="1"/>
  <c r="BC25" i="7"/>
  <c r="M24" i="8" s="1"/>
  <c r="AZ25" i="7"/>
  <c r="L24" i="8" s="1"/>
  <c r="AR25" i="7"/>
  <c r="K24" i="8" s="1"/>
  <c r="AI25" i="7"/>
  <c r="I24" i="8" s="1"/>
  <c r="AE25" i="7"/>
  <c r="H24" i="8" s="1"/>
  <c r="AB25" i="7"/>
  <c r="F24" i="8" s="1"/>
  <c r="V25" i="7"/>
  <c r="E24" i="8" s="1"/>
  <c r="T25" i="7"/>
  <c r="D24" i="8" s="1"/>
  <c r="Q25" i="7"/>
  <c r="N25" i="7"/>
  <c r="C24" i="8" s="1"/>
  <c r="K25" i="7"/>
  <c r="D25" i="7"/>
  <c r="C25" i="7"/>
  <c r="JY24" i="7"/>
  <c r="JV24" i="7"/>
  <c r="JS24" i="7"/>
  <c r="JP24" i="7"/>
  <c r="JM24" i="7"/>
  <c r="JJ24" i="7"/>
  <c r="JG24" i="7"/>
  <c r="JD24" i="7"/>
  <c r="JA24" i="7"/>
  <c r="IX24" i="7"/>
  <c r="IU24" i="7"/>
  <c r="IR24" i="7"/>
  <c r="IO24" i="7"/>
  <c r="IL24" i="7"/>
  <c r="II24" i="7"/>
  <c r="IF24" i="7"/>
  <c r="HM24" i="7"/>
  <c r="HE24" i="7"/>
  <c r="GW24" i="7"/>
  <c r="GS24" i="7"/>
  <c r="GP24" i="7"/>
  <c r="BE23" i="8" s="1"/>
  <c r="GM24" i="7"/>
  <c r="BC23" i="8" s="1"/>
  <c r="AX23" i="8"/>
  <c r="GD24" i="7"/>
  <c r="FX24" i="7"/>
  <c r="AP23" i="8" s="1"/>
  <c r="FS24" i="7"/>
  <c r="FP24" i="7"/>
  <c r="FA61" i="7" s="1"/>
  <c r="FJ24" i="7"/>
  <c r="FC24" i="7"/>
  <c r="EZ24" i="7"/>
  <c r="EZ61" i="7" s="1"/>
  <c r="EW24" i="7"/>
  <c r="AV23" i="8" s="1"/>
  <c r="ET24" i="7"/>
  <c r="AU23" i="8" s="1"/>
  <c r="EM24" i="7"/>
  <c r="AN23" i="8" s="1"/>
  <c r="EJ24" i="7"/>
  <c r="AM23" i="8" s="1"/>
  <c r="DZ24" i="7"/>
  <c r="AI23" i="8" s="1"/>
  <c r="DW24" i="7"/>
  <c r="AH23" i="8" s="1"/>
  <c r="DT24" i="7"/>
  <c r="IB24" i="7" s="1"/>
  <c r="DR24" i="7"/>
  <c r="AD23" i="8" s="1"/>
  <c r="DE24" i="7"/>
  <c r="DA24" i="7"/>
  <c r="X23" i="8" s="1"/>
  <c r="CW24" i="7"/>
  <c r="W23" i="8" s="1"/>
  <c r="CS24" i="7"/>
  <c r="U23" i="8" s="1"/>
  <c r="CO24" i="7"/>
  <c r="T23" i="8" s="1"/>
  <c r="CH24" i="7"/>
  <c r="R23" i="8" s="1"/>
  <c r="CF24" i="7"/>
  <c r="Q23" i="8" s="1"/>
  <c r="CA24" i="7"/>
  <c r="O23" i="8" s="1"/>
  <c r="BW24" i="7"/>
  <c r="BX24" i="7" s="1"/>
  <c r="BT24" i="7"/>
  <c r="BR24" i="7"/>
  <c r="Z23" i="8" s="1"/>
  <c r="BP24" i="7"/>
  <c r="BN24" i="7"/>
  <c r="BL24" i="7"/>
  <c r="BJ24" i="7"/>
  <c r="AB23" i="8" s="1"/>
  <c r="BG24" i="7"/>
  <c r="AA23" i="8" s="1"/>
  <c r="BC24" i="7"/>
  <c r="M23" i="8" s="1"/>
  <c r="AZ24" i="7"/>
  <c r="L23" i="8" s="1"/>
  <c r="AR24" i="7"/>
  <c r="K23" i="8" s="1"/>
  <c r="AI24" i="7"/>
  <c r="I23" i="8" s="1"/>
  <c r="AE24" i="7"/>
  <c r="H23" i="8" s="1"/>
  <c r="AB24" i="7"/>
  <c r="F23" i="8" s="1"/>
  <c r="V24" i="7"/>
  <c r="E23" i="8" s="1"/>
  <c r="T24" i="7"/>
  <c r="D23" i="8" s="1"/>
  <c r="Q24" i="7"/>
  <c r="N24" i="7"/>
  <c r="C23" i="8" s="1"/>
  <c r="K24" i="7"/>
  <c r="D24" i="7"/>
  <c r="C24" i="7"/>
  <c r="JY23" i="7"/>
  <c r="JV23" i="7"/>
  <c r="JS23" i="7"/>
  <c r="JP23" i="7"/>
  <c r="JM23" i="7"/>
  <c r="JJ23" i="7"/>
  <c r="JG23" i="7"/>
  <c r="JD23" i="7"/>
  <c r="JA23" i="7"/>
  <c r="IX23" i="7"/>
  <c r="IU23" i="7"/>
  <c r="IR23" i="7"/>
  <c r="IO23" i="7"/>
  <c r="IL23" i="7"/>
  <c r="II23" i="7"/>
  <c r="IF23" i="7"/>
  <c r="HM23" i="7"/>
  <c r="BY22" i="8" s="1"/>
  <c r="HJ23" i="7"/>
  <c r="HE23" i="7"/>
  <c r="GW23" i="7"/>
  <c r="GS23" i="7"/>
  <c r="GP23" i="7"/>
  <c r="BE22" i="8" s="1"/>
  <c r="GM23" i="7"/>
  <c r="BC22" i="8" s="1"/>
  <c r="AX22" i="8"/>
  <c r="GD23" i="7"/>
  <c r="FX23" i="7"/>
  <c r="AP22" i="8" s="1"/>
  <c r="FS23" i="7"/>
  <c r="FP23" i="7"/>
  <c r="FA60" i="7" s="1"/>
  <c r="FJ23" i="7"/>
  <c r="BA22" i="8" s="1"/>
  <c r="FC23" i="7"/>
  <c r="EZ23" i="7"/>
  <c r="EZ60" i="7" s="1"/>
  <c r="EW23" i="7"/>
  <c r="AV22" i="8" s="1"/>
  <c r="ET23" i="7"/>
  <c r="AU22" i="8" s="1"/>
  <c r="EM23" i="7"/>
  <c r="AN22" i="8" s="1"/>
  <c r="EJ23" i="7"/>
  <c r="AM22" i="8" s="1"/>
  <c r="DZ23" i="7"/>
  <c r="AI22" i="8" s="1"/>
  <c r="DW23" i="7"/>
  <c r="DT23" i="7"/>
  <c r="DR23" i="7"/>
  <c r="AD22" i="8" s="1"/>
  <c r="DE23" i="7"/>
  <c r="DA23" i="7"/>
  <c r="X22" i="8" s="1"/>
  <c r="CW23" i="7"/>
  <c r="W22" i="8" s="1"/>
  <c r="CS23" i="7"/>
  <c r="CO23" i="7"/>
  <c r="T22" i="8" s="1"/>
  <c r="CH23" i="7"/>
  <c r="R22" i="8" s="1"/>
  <c r="Q22" i="8"/>
  <c r="CA23" i="7"/>
  <c r="BW23" i="7"/>
  <c r="BX23" i="7" s="1"/>
  <c r="BT23" i="7"/>
  <c r="BR23" i="7"/>
  <c r="BP23" i="7"/>
  <c r="BN23" i="7"/>
  <c r="BL23" i="7"/>
  <c r="BJ23" i="7"/>
  <c r="AB22" i="8" s="1"/>
  <c r="BG23" i="7"/>
  <c r="AA22" i="8" s="1"/>
  <c r="BC23" i="7"/>
  <c r="M22" i="8" s="1"/>
  <c r="AZ23" i="7"/>
  <c r="L22" i="8" s="1"/>
  <c r="AR23" i="7"/>
  <c r="K22" i="8" s="1"/>
  <c r="AI23" i="7"/>
  <c r="I22" i="8" s="1"/>
  <c r="AE23" i="7"/>
  <c r="H22" i="8" s="1"/>
  <c r="AB23" i="7"/>
  <c r="F22" i="8" s="1"/>
  <c r="V23" i="7"/>
  <c r="E22" i="8" s="1"/>
  <c r="T23" i="7"/>
  <c r="Q23" i="7"/>
  <c r="R23" i="7" s="1"/>
  <c r="K23" i="7"/>
  <c r="D23" i="7"/>
  <c r="G23" i="7" s="1"/>
  <c r="B22" i="8" s="1"/>
  <c r="C23" i="7"/>
  <c r="JY22" i="7"/>
  <c r="JV22" i="7"/>
  <c r="JS22" i="7"/>
  <c r="JP22" i="7"/>
  <c r="JM22" i="7"/>
  <c r="JJ22" i="7"/>
  <c r="JG22" i="7"/>
  <c r="JD22" i="7"/>
  <c r="JA22" i="7"/>
  <c r="IX22" i="7"/>
  <c r="IU22" i="7"/>
  <c r="IR22" i="7"/>
  <c r="IO22" i="7"/>
  <c r="IL22" i="7"/>
  <c r="II22" i="7"/>
  <c r="IF22" i="7"/>
  <c r="HM22" i="7"/>
  <c r="BY21" i="8" s="1"/>
  <c r="HJ22" i="7"/>
  <c r="HE22" i="7"/>
  <c r="GW22" i="7"/>
  <c r="GS22" i="7"/>
  <c r="BF21" i="8" s="1"/>
  <c r="GP22" i="7"/>
  <c r="BE21" i="8" s="1"/>
  <c r="GM22" i="7"/>
  <c r="BC21" i="8" s="1"/>
  <c r="AX21" i="8"/>
  <c r="GD22" i="7"/>
  <c r="FX22" i="7"/>
  <c r="AP21" i="8" s="1"/>
  <c r="FS22" i="7"/>
  <c r="FP22" i="7"/>
  <c r="FA59" i="7" s="1"/>
  <c r="FJ22" i="7"/>
  <c r="BA21" i="8" s="1"/>
  <c r="FC22" i="7"/>
  <c r="EZ22" i="7"/>
  <c r="EZ59" i="7" s="1"/>
  <c r="EW22" i="7"/>
  <c r="AV21" i="8" s="1"/>
  <c r="ET22" i="7"/>
  <c r="AU21" i="8" s="1"/>
  <c r="EM22" i="7"/>
  <c r="AN21" i="8" s="1"/>
  <c r="EJ22" i="7"/>
  <c r="AM21" i="8" s="1"/>
  <c r="DZ22" i="7"/>
  <c r="AI21" i="8" s="1"/>
  <c r="DW22" i="7"/>
  <c r="AH21" i="8" s="1"/>
  <c r="DT22" i="7"/>
  <c r="DR22" i="7"/>
  <c r="AD21" i="8" s="1"/>
  <c r="DE22" i="7"/>
  <c r="DF22" i="7" s="1"/>
  <c r="DA22" i="7"/>
  <c r="X21" i="8" s="1"/>
  <c r="CW22" i="7"/>
  <c r="W21" i="8" s="1"/>
  <c r="CS22" i="7"/>
  <c r="U21" i="8" s="1"/>
  <c r="CO22" i="7"/>
  <c r="T21" i="8" s="1"/>
  <c r="CH22" i="7"/>
  <c r="R21" i="8" s="1"/>
  <c r="Q21" i="8"/>
  <c r="CA22" i="7"/>
  <c r="O21" i="8" s="1"/>
  <c r="BW22" i="7"/>
  <c r="BX22" i="7" s="1"/>
  <c r="BT22" i="7"/>
  <c r="BR22" i="7"/>
  <c r="Z21" i="8" s="1"/>
  <c r="BP22" i="7"/>
  <c r="BN22" i="7"/>
  <c r="BL22" i="7"/>
  <c r="BJ22" i="7"/>
  <c r="AB21" i="8" s="1"/>
  <c r="BG22" i="7"/>
  <c r="AA21" i="8" s="1"/>
  <c r="BC22" i="7"/>
  <c r="M21" i="8" s="1"/>
  <c r="AZ22" i="7"/>
  <c r="L21" i="8" s="1"/>
  <c r="AR22" i="7"/>
  <c r="K21" i="8" s="1"/>
  <c r="AI22" i="7"/>
  <c r="I21" i="8" s="1"/>
  <c r="AE22" i="7"/>
  <c r="H21" i="8" s="1"/>
  <c r="AB22" i="7"/>
  <c r="F21" i="8" s="1"/>
  <c r="V22" i="7"/>
  <c r="E21" i="8" s="1"/>
  <c r="T22" i="7"/>
  <c r="D21" i="8" s="1"/>
  <c r="Q22" i="7"/>
  <c r="R22" i="7" s="1"/>
  <c r="K22" i="7"/>
  <c r="D22" i="7"/>
  <c r="G22" i="7" s="1"/>
  <c r="B21" i="8" s="1"/>
  <c r="C22" i="7"/>
  <c r="JY21" i="7"/>
  <c r="JV21" i="7"/>
  <c r="JS21" i="7"/>
  <c r="JP21" i="7"/>
  <c r="JM21" i="7"/>
  <c r="JJ21" i="7"/>
  <c r="JG21" i="7"/>
  <c r="JD21" i="7"/>
  <c r="JA21" i="7"/>
  <c r="IX21" i="7"/>
  <c r="IU21" i="7"/>
  <c r="IR21" i="7"/>
  <c r="IO21" i="7"/>
  <c r="IL21" i="7"/>
  <c r="II21" i="7"/>
  <c r="IF21" i="7"/>
  <c r="HM21" i="7"/>
  <c r="BY20" i="8" s="1"/>
  <c r="HJ21" i="7"/>
  <c r="HE21" i="7"/>
  <c r="GW21" i="7"/>
  <c r="GS21" i="7"/>
  <c r="GP21" i="7"/>
  <c r="BE20" i="8" s="1"/>
  <c r="GM21" i="7"/>
  <c r="BC20" i="8" s="1"/>
  <c r="GD21" i="7"/>
  <c r="FX21" i="7"/>
  <c r="AP20" i="8" s="1"/>
  <c r="FS21" i="7"/>
  <c r="FP21" i="7"/>
  <c r="FA58" i="7" s="1"/>
  <c r="FJ21" i="7"/>
  <c r="BA20" i="8" s="1"/>
  <c r="FC21" i="7"/>
  <c r="EZ21" i="7"/>
  <c r="EZ58" i="7" s="1"/>
  <c r="EW21" i="7"/>
  <c r="AV20" i="8" s="1"/>
  <c r="ET21" i="7"/>
  <c r="AU20" i="8" s="1"/>
  <c r="EM21" i="7"/>
  <c r="AN20" i="8" s="1"/>
  <c r="EJ21" i="7"/>
  <c r="AM20" i="8" s="1"/>
  <c r="DZ21" i="7"/>
  <c r="AI20" i="8" s="1"/>
  <c r="DW21" i="7"/>
  <c r="AH20" i="8" s="1"/>
  <c r="DT21" i="7"/>
  <c r="DR21" i="7"/>
  <c r="AD20" i="8" s="1"/>
  <c r="DE21" i="7"/>
  <c r="DF21" i="7" s="1"/>
  <c r="DA21" i="7"/>
  <c r="X20" i="8" s="1"/>
  <c r="CW21" i="7"/>
  <c r="W20" i="8" s="1"/>
  <c r="CS21" i="7"/>
  <c r="U20" i="8" s="1"/>
  <c r="CO21" i="7"/>
  <c r="T20" i="8" s="1"/>
  <c r="CH21" i="7"/>
  <c r="R20" i="8" s="1"/>
  <c r="Q20" i="8"/>
  <c r="CA21" i="7"/>
  <c r="BW21" i="7"/>
  <c r="BX21" i="7" s="1"/>
  <c r="BT21" i="7"/>
  <c r="BR21" i="7"/>
  <c r="Z20" i="8" s="1"/>
  <c r="BP21" i="7"/>
  <c r="BN21" i="7"/>
  <c r="BL21" i="7"/>
  <c r="BJ21" i="7"/>
  <c r="AB20" i="8" s="1"/>
  <c r="BG21" i="7"/>
  <c r="AA20" i="8" s="1"/>
  <c r="BC21" i="7"/>
  <c r="M20" i="8" s="1"/>
  <c r="AZ21" i="7"/>
  <c r="L20" i="8" s="1"/>
  <c r="AR21" i="7"/>
  <c r="K20" i="8" s="1"/>
  <c r="AI21" i="7"/>
  <c r="AE21" i="7"/>
  <c r="H20" i="8" s="1"/>
  <c r="AB21" i="7"/>
  <c r="F20" i="8" s="1"/>
  <c r="V21" i="7"/>
  <c r="E20" i="8" s="1"/>
  <c r="T21" i="7"/>
  <c r="D20" i="8" s="1"/>
  <c r="Q21" i="7"/>
  <c r="N21" i="7"/>
  <c r="C20" i="8" s="1"/>
  <c r="K21" i="7"/>
  <c r="D21" i="7"/>
  <c r="C21" i="7"/>
  <c r="JY20" i="7"/>
  <c r="JV20" i="7"/>
  <c r="JS20" i="7"/>
  <c r="JP20" i="7"/>
  <c r="JM20" i="7"/>
  <c r="JJ20" i="7"/>
  <c r="JG20" i="7"/>
  <c r="JD20" i="7"/>
  <c r="JA20" i="7"/>
  <c r="IX20" i="7"/>
  <c r="IU20" i="7"/>
  <c r="IR20" i="7"/>
  <c r="IO20" i="7"/>
  <c r="IL20" i="7"/>
  <c r="II20" i="7"/>
  <c r="IF20" i="7"/>
  <c r="HM20" i="7"/>
  <c r="BY19" i="8" s="1"/>
  <c r="HJ20" i="7"/>
  <c r="HE20" i="7"/>
  <c r="GW20" i="7"/>
  <c r="GS20" i="7"/>
  <c r="GP20" i="7"/>
  <c r="BE19" i="8" s="1"/>
  <c r="GM20" i="7"/>
  <c r="BC19" i="8" s="1"/>
  <c r="AX19" i="8"/>
  <c r="GD20" i="7"/>
  <c r="FX20" i="7"/>
  <c r="AP19" i="8" s="1"/>
  <c r="FS20" i="7"/>
  <c r="FP20" i="7"/>
  <c r="FA57" i="7" s="1"/>
  <c r="FJ20" i="7"/>
  <c r="BA19" i="8" s="1"/>
  <c r="FC20" i="7"/>
  <c r="EZ20" i="7"/>
  <c r="EZ57" i="7" s="1"/>
  <c r="EW20" i="7"/>
  <c r="AV19" i="8" s="1"/>
  <c r="ET20" i="7"/>
  <c r="AU19" i="8" s="1"/>
  <c r="EM20" i="7"/>
  <c r="AN19" i="8" s="1"/>
  <c r="EJ20" i="7"/>
  <c r="AM19" i="8" s="1"/>
  <c r="DZ20" i="7"/>
  <c r="AI19" i="8" s="1"/>
  <c r="DW20" i="7"/>
  <c r="AH19" i="8" s="1"/>
  <c r="DT20" i="7"/>
  <c r="IB20" i="7" s="1"/>
  <c r="CD19" i="8" s="1"/>
  <c r="DR20" i="7"/>
  <c r="AD19" i="8" s="1"/>
  <c r="DE20" i="7"/>
  <c r="DF20" i="7" s="1"/>
  <c r="DA20" i="7"/>
  <c r="X19" i="8" s="1"/>
  <c r="CW20" i="7"/>
  <c r="W19" i="8" s="1"/>
  <c r="CS20" i="7"/>
  <c r="U19" i="8" s="1"/>
  <c r="CO20" i="7"/>
  <c r="CH20" i="7"/>
  <c r="R19" i="8" s="1"/>
  <c r="Q19" i="8"/>
  <c r="CA20" i="7"/>
  <c r="O19" i="8" s="1"/>
  <c r="BW20" i="7"/>
  <c r="BX20" i="7" s="1"/>
  <c r="BT20" i="7"/>
  <c r="BR20" i="7"/>
  <c r="Z19" i="8" s="1"/>
  <c r="BP20" i="7"/>
  <c r="BN20" i="7"/>
  <c r="BL20" i="7"/>
  <c r="BJ20" i="7"/>
  <c r="AB19" i="8" s="1"/>
  <c r="BG20" i="7"/>
  <c r="AA19" i="8" s="1"/>
  <c r="BC20" i="7"/>
  <c r="M19" i="8" s="1"/>
  <c r="AZ20" i="7"/>
  <c r="L19" i="8" s="1"/>
  <c r="AR20" i="7"/>
  <c r="K19" i="8" s="1"/>
  <c r="AI20" i="7"/>
  <c r="I19" i="8" s="1"/>
  <c r="AE20" i="7"/>
  <c r="H19" i="8" s="1"/>
  <c r="AB20" i="7"/>
  <c r="F19" i="8" s="1"/>
  <c r="V20" i="7"/>
  <c r="E19" i="8" s="1"/>
  <c r="T20" i="7"/>
  <c r="D19" i="8" s="1"/>
  <c r="Q20" i="7"/>
  <c r="N20" i="7"/>
  <c r="C19" i="8" s="1"/>
  <c r="K20" i="7"/>
  <c r="D20" i="7"/>
  <c r="C20" i="7"/>
  <c r="JY19" i="7"/>
  <c r="JV19" i="7"/>
  <c r="JS19" i="7"/>
  <c r="JP19" i="7"/>
  <c r="JM19" i="7"/>
  <c r="JJ19" i="7"/>
  <c r="JG19" i="7"/>
  <c r="JD19" i="7"/>
  <c r="JA19" i="7"/>
  <c r="IX19" i="7"/>
  <c r="IU19" i="7"/>
  <c r="IR19" i="7"/>
  <c r="IO19" i="7"/>
  <c r="IL19" i="7"/>
  <c r="II19" i="7"/>
  <c r="IF19" i="7"/>
  <c r="HM19" i="7"/>
  <c r="BY18" i="8" s="1"/>
  <c r="HJ19" i="7"/>
  <c r="HE19" i="7"/>
  <c r="GW19" i="7"/>
  <c r="GS19" i="7"/>
  <c r="GP19" i="7"/>
  <c r="BE18" i="8" s="1"/>
  <c r="GM19" i="7"/>
  <c r="BC18" i="8" s="1"/>
  <c r="AX18" i="8"/>
  <c r="GD19" i="7"/>
  <c r="FX19" i="7"/>
  <c r="AP18" i="8" s="1"/>
  <c r="FS19" i="7"/>
  <c r="FP19" i="7"/>
  <c r="FA56" i="7" s="1"/>
  <c r="FJ19" i="7"/>
  <c r="FC19" i="7"/>
  <c r="EZ19" i="7"/>
  <c r="EZ56" i="7" s="1"/>
  <c r="EW19" i="7"/>
  <c r="AV18" i="8" s="1"/>
  <c r="ET19" i="7"/>
  <c r="AU18" i="8" s="1"/>
  <c r="EM19" i="7"/>
  <c r="AN18" i="8" s="1"/>
  <c r="EJ19" i="7"/>
  <c r="AM18" i="8" s="1"/>
  <c r="DZ19" i="7"/>
  <c r="AI18" i="8" s="1"/>
  <c r="DW19" i="7"/>
  <c r="AH18" i="8" s="1"/>
  <c r="DT19" i="7"/>
  <c r="DR19" i="7"/>
  <c r="AD18" i="8" s="1"/>
  <c r="DE19" i="7"/>
  <c r="DA19" i="7"/>
  <c r="X18" i="8" s="1"/>
  <c r="CW19" i="7"/>
  <c r="W18" i="8" s="1"/>
  <c r="CS19" i="7"/>
  <c r="U18" i="8" s="1"/>
  <c r="CO19" i="7"/>
  <c r="T18" i="8" s="1"/>
  <c r="CH19" i="7"/>
  <c r="R18" i="8" s="1"/>
  <c r="Q18" i="8"/>
  <c r="CA19" i="7"/>
  <c r="BW19" i="7"/>
  <c r="BX19" i="7" s="1"/>
  <c r="BT19" i="7"/>
  <c r="BR19" i="7"/>
  <c r="Z18" i="8" s="1"/>
  <c r="BP19" i="7"/>
  <c r="BN19" i="7"/>
  <c r="BL19" i="7"/>
  <c r="BJ19" i="7"/>
  <c r="AB18" i="8" s="1"/>
  <c r="BG19" i="7"/>
  <c r="AA18" i="8" s="1"/>
  <c r="BC19" i="7"/>
  <c r="M18" i="8" s="1"/>
  <c r="AZ19" i="7"/>
  <c r="L18" i="8" s="1"/>
  <c r="AR19" i="7"/>
  <c r="K18" i="8" s="1"/>
  <c r="AI19" i="7"/>
  <c r="I18" i="8" s="1"/>
  <c r="AE19" i="7"/>
  <c r="H18" i="8" s="1"/>
  <c r="AB19" i="7"/>
  <c r="F18" i="8" s="1"/>
  <c r="V19" i="7"/>
  <c r="E18" i="8" s="1"/>
  <c r="T19" i="7"/>
  <c r="D18" i="8" s="1"/>
  <c r="Q19" i="7"/>
  <c r="N19" i="7"/>
  <c r="C18" i="8" s="1"/>
  <c r="K19" i="7"/>
  <c r="D19" i="7"/>
  <c r="C19" i="7"/>
  <c r="HM18" i="7"/>
  <c r="BY17" i="8" s="1"/>
  <c r="HJ18" i="7"/>
  <c r="HE18" i="7"/>
  <c r="GW18" i="7"/>
  <c r="GS18" i="7"/>
  <c r="GP18" i="7"/>
  <c r="BE17" i="8" s="1"/>
  <c r="GM18" i="7"/>
  <c r="BC17" i="8" s="1"/>
  <c r="AX17" i="8"/>
  <c r="GD18" i="7"/>
  <c r="FX18" i="7"/>
  <c r="AP17" i="8" s="1"/>
  <c r="FS18" i="7"/>
  <c r="FP18" i="7"/>
  <c r="FA55" i="7" s="1"/>
  <c r="FJ18" i="7"/>
  <c r="BA17" i="8" s="1"/>
  <c r="FC18" i="7"/>
  <c r="EZ18" i="7"/>
  <c r="EZ55" i="7" s="1"/>
  <c r="EW18" i="7"/>
  <c r="AV17" i="8" s="1"/>
  <c r="ET18" i="7"/>
  <c r="AU17" i="8" s="1"/>
  <c r="EM18" i="7"/>
  <c r="AN17" i="8" s="1"/>
  <c r="EJ18" i="7"/>
  <c r="AM17" i="8" s="1"/>
  <c r="DZ18" i="7"/>
  <c r="AI17" i="8" s="1"/>
  <c r="DW18" i="7"/>
  <c r="DT18" i="7"/>
  <c r="DR18" i="7"/>
  <c r="AD17" i="8" s="1"/>
  <c r="DE18" i="7"/>
  <c r="DA18" i="7"/>
  <c r="X17" i="8" s="1"/>
  <c r="CW18" i="7"/>
  <c r="W17" i="8" s="1"/>
  <c r="CS18" i="7"/>
  <c r="CO18" i="7"/>
  <c r="T17" i="8" s="1"/>
  <c r="CH18" i="7"/>
  <c r="R17" i="8" s="1"/>
  <c r="Q17" i="8"/>
  <c r="CA18" i="7"/>
  <c r="O17" i="8" s="1"/>
  <c r="BW18" i="7"/>
  <c r="BX18" i="7" s="1"/>
  <c r="BT18" i="7"/>
  <c r="BR18" i="7"/>
  <c r="BP18" i="7"/>
  <c r="BN18" i="7"/>
  <c r="BL18" i="7"/>
  <c r="BJ18" i="7"/>
  <c r="AB17" i="8" s="1"/>
  <c r="BG18" i="7"/>
  <c r="AA17" i="8" s="1"/>
  <c r="BC18" i="7"/>
  <c r="M17" i="8" s="1"/>
  <c r="AZ18" i="7"/>
  <c r="L17" i="8" s="1"/>
  <c r="AR18" i="7"/>
  <c r="K17" i="8" s="1"/>
  <c r="AI18" i="7"/>
  <c r="I17" i="8" s="1"/>
  <c r="AE18" i="7"/>
  <c r="AB18" i="7"/>
  <c r="F17" i="8" s="1"/>
  <c r="V18" i="7"/>
  <c r="E17" i="8" s="1"/>
  <c r="T18" i="7"/>
  <c r="Q18" i="7"/>
  <c r="R18" i="7" s="1"/>
  <c r="N18" i="7"/>
  <c r="C17" i="8" s="1"/>
  <c r="K18" i="7"/>
  <c r="D18" i="7"/>
  <c r="G18" i="7" s="1"/>
  <c r="B17" i="8" s="1"/>
  <c r="C18" i="7"/>
  <c r="HM17" i="7"/>
  <c r="BY16" i="8" s="1"/>
  <c r="HJ17" i="7"/>
  <c r="HE17" i="7"/>
  <c r="GW17" i="7"/>
  <c r="GS17" i="7"/>
  <c r="GP17" i="7"/>
  <c r="BE16" i="8" s="1"/>
  <c r="GM17" i="7"/>
  <c r="BC16" i="8" s="1"/>
  <c r="AX16" i="8"/>
  <c r="GD17" i="7"/>
  <c r="FX17" i="7"/>
  <c r="AP16" i="8" s="1"/>
  <c r="FS17" i="7"/>
  <c r="FP17" i="7"/>
  <c r="FA54" i="7" s="1"/>
  <c r="FJ17" i="7"/>
  <c r="FC17" i="7"/>
  <c r="EZ17" i="7"/>
  <c r="EZ54" i="7" s="1"/>
  <c r="EW17" i="7"/>
  <c r="AV16" i="8" s="1"/>
  <c r="ET17" i="7"/>
  <c r="AU16" i="8" s="1"/>
  <c r="EM17" i="7"/>
  <c r="AN16" i="8" s="1"/>
  <c r="EJ17" i="7"/>
  <c r="AM16" i="8" s="1"/>
  <c r="DZ17" i="7"/>
  <c r="AI16" i="8" s="1"/>
  <c r="DW17" i="7"/>
  <c r="AH16" i="8" s="1"/>
  <c r="DT17" i="7"/>
  <c r="DR17" i="7"/>
  <c r="AD16" i="8" s="1"/>
  <c r="DE17" i="7"/>
  <c r="DF17" i="7" s="1"/>
  <c r="DA17" i="7"/>
  <c r="X16" i="8" s="1"/>
  <c r="CW17" i="7"/>
  <c r="W16" i="8" s="1"/>
  <c r="CS17" i="7"/>
  <c r="U16" i="8" s="1"/>
  <c r="CO17" i="7"/>
  <c r="T16" i="8" s="1"/>
  <c r="CH17" i="7"/>
  <c r="R16" i="8" s="1"/>
  <c r="Q16" i="8"/>
  <c r="CA17" i="7"/>
  <c r="O16" i="8" s="1"/>
  <c r="BW17" i="7"/>
  <c r="BX17" i="7" s="1"/>
  <c r="BT17" i="7"/>
  <c r="BR17" i="7"/>
  <c r="Z16" i="8" s="1"/>
  <c r="BP17" i="7"/>
  <c r="BN17" i="7"/>
  <c r="BL17" i="7"/>
  <c r="BJ17" i="7"/>
  <c r="AB16" i="8" s="1"/>
  <c r="BG17" i="7"/>
  <c r="AA16" i="8" s="1"/>
  <c r="BC17" i="7"/>
  <c r="M16" i="8" s="1"/>
  <c r="AZ17" i="7"/>
  <c r="L16" i="8" s="1"/>
  <c r="AR17" i="7"/>
  <c r="AI17" i="7"/>
  <c r="I16" i="8" s="1"/>
  <c r="AE17" i="7"/>
  <c r="AB17" i="7"/>
  <c r="F16" i="8" s="1"/>
  <c r="V17" i="7"/>
  <c r="E16" i="8" s="1"/>
  <c r="T17" i="7"/>
  <c r="D16" i="8" s="1"/>
  <c r="Q17" i="7"/>
  <c r="R17" i="7" s="1"/>
  <c r="N17" i="7"/>
  <c r="C16" i="8" s="1"/>
  <c r="K17" i="7"/>
  <c r="D17" i="7"/>
  <c r="C17" i="7"/>
  <c r="HM16" i="7"/>
  <c r="BY15" i="8" s="1"/>
  <c r="HJ16" i="7"/>
  <c r="HE16" i="7"/>
  <c r="GW16" i="7"/>
  <c r="GS16" i="7"/>
  <c r="GP16" i="7"/>
  <c r="BE15" i="8" s="1"/>
  <c r="GM16" i="7"/>
  <c r="BC15" i="8" s="1"/>
  <c r="AX15" i="8"/>
  <c r="GD16" i="7"/>
  <c r="FX16" i="7"/>
  <c r="AP15" i="8" s="1"/>
  <c r="FS16" i="7"/>
  <c r="FP16" i="7"/>
  <c r="FA53" i="7" s="1"/>
  <c r="FJ16" i="7"/>
  <c r="BA15" i="8" s="1"/>
  <c r="FC16" i="7"/>
  <c r="EZ16" i="7"/>
  <c r="EZ53" i="7" s="1"/>
  <c r="EW16" i="7"/>
  <c r="AV15" i="8" s="1"/>
  <c r="ET16" i="7"/>
  <c r="AU15" i="8" s="1"/>
  <c r="EM16" i="7"/>
  <c r="AN15" i="8" s="1"/>
  <c r="EJ16" i="7"/>
  <c r="AM15" i="8" s="1"/>
  <c r="DZ16" i="7"/>
  <c r="AI15" i="8" s="1"/>
  <c r="DW16" i="7"/>
  <c r="AH15" i="8" s="1"/>
  <c r="DT16" i="7"/>
  <c r="IB16" i="7" s="1"/>
  <c r="CD15" i="8" s="1"/>
  <c r="DR16" i="7"/>
  <c r="AD15" i="8" s="1"/>
  <c r="DE16" i="7"/>
  <c r="CS16" i="7"/>
  <c r="U15" i="8" s="1"/>
  <c r="CO16" i="7"/>
  <c r="T15" i="8" s="1"/>
  <c r="CH16" i="7"/>
  <c r="R15" i="8" s="1"/>
  <c r="Q15" i="8"/>
  <c r="P15" i="8"/>
  <c r="CA16" i="7"/>
  <c r="BW16" i="7"/>
  <c r="BX16" i="7" s="1"/>
  <c r="BT16" i="7"/>
  <c r="BR16" i="7"/>
  <c r="Z15" i="8" s="1"/>
  <c r="BP16" i="7"/>
  <c r="BN16" i="7"/>
  <c r="BL16" i="7"/>
  <c r="BJ16" i="7"/>
  <c r="AB15" i="8" s="1"/>
  <c r="BG16" i="7"/>
  <c r="AA15" i="8" s="1"/>
  <c r="BC16" i="7"/>
  <c r="M15" i="8" s="1"/>
  <c r="AZ16" i="7"/>
  <c r="L15" i="8" s="1"/>
  <c r="AR16" i="7"/>
  <c r="AI16" i="7"/>
  <c r="AE16" i="7"/>
  <c r="H15" i="8" s="1"/>
  <c r="AB16" i="7"/>
  <c r="F15" i="8" s="1"/>
  <c r="V16" i="7"/>
  <c r="E15" i="8" s="1"/>
  <c r="T16" i="7"/>
  <c r="D15" i="8" s="1"/>
  <c r="Q16" i="7"/>
  <c r="R16" i="7" s="1"/>
  <c r="N16" i="7"/>
  <c r="C15" i="8" s="1"/>
  <c r="K16" i="7"/>
  <c r="D16" i="7"/>
  <c r="C16" i="7"/>
  <c r="HM15" i="7"/>
  <c r="BY14" i="8" s="1"/>
  <c r="HJ15" i="7"/>
  <c r="HE15" i="7"/>
  <c r="GW15" i="7"/>
  <c r="GS15" i="7"/>
  <c r="GP15" i="7"/>
  <c r="BE14" i="8" s="1"/>
  <c r="GM15" i="7"/>
  <c r="BC14" i="8" s="1"/>
  <c r="AX14" i="8"/>
  <c r="GD15" i="7"/>
  <c r="FX15" i="7"/>
  <c r="AP14" i="8" s="1"/>
  <c r="FS15" i="7"/>
  <c r="FP15" i="7"/>
  <c r="FA52" i="7" s="1"/>
  <c r="FJ15" i="7"/>
  <c r="BA14" i="8" s="1"/>
  <c r="FC15" i="7"/>
  <c r="EZ15" i="7"/>
  <c r="EZ52" i="7" s="1"/>
  <c r="EW15" i="7"/>
  <c r="AV14" i="8" s="1"/>
  <c r="ET15" i="7"/>
  <c r="AU14" i="8" s="1"/>
  <c r="EM15" i="7"/>
  <c r="AN14" i="8" s="1"/>
  <c r="EJ15" i="7"/>
  <c r="AM14" i="8" s="1"/>
  <c r="DZ15" i="7"/>
  <c r="AI14" i="8" s="1"/>
  <c r="DW15" i="7"/>
  <c r="AH14" i="8" s="1"/>
  <c r="DT15" i="7"/>
  <c r="IB15" i="7" s="1"/>
  <c r="CD14" i="8" s="1"/>
  <c r="DR15" i="7"/>
  <c r="AD14" i="8" s="1"/>
  <c r="DE15" i="7"/>
  <c r="DF15" i="7" s="1"/>
  <c r="CS15" i="7"/>
  <c r="U14" i="8" s="1"/>
  <c r="CO15" i="7"/>
  <c r="CH15" i="7"/>
  <c r="R14" i="8" s="1"/>
  <c r="CF15" i="7"/>
  <c r="Q14" i="8" s="1"/>
  <c r="CA15" i="7"/>
  <c r="CK15" i="7" s="1"/>
  <c r="BW15" i="7"/>
  <c r="BX15" i="7" s="1"/>
  <c r="BT15" i="7"/>
  <c r="BR15" i="7"/>
  <c r="Z14" i="8" s="1"/>
  <c r="BP15" i="7"/>
  <c r="BN15" i="7"/>
  <c r="BL15" i="7"/>
  <c r="BJ15" i="7"/>
  <c r="AB14" i="8" s="1"/>
  <c r="BG15" i="7"/>
  <c r="AA14" i="8" s="1"/>
  <c r="BC15" i="7"/>
  <c r="M14" i="8" s="1"/>
  <c r="AZ15" i="7"/>
  <c r="L14" i="8" s="1"/>
  <c r="AR15" i="7"/>
  <c r="K14" i="8" s="1"/>
  <c r="AI15" i="7"/>
  <c r="AE15" i="7"/>
  <c r="H14" i="8" s="1"/>
  <c r="AB15" i="7"/>
  <c r="F14" i="8" s="1"/>
  <c r="V15" i="7"/>
  <c r="E14" i="8" s="1"/>
  <c r="T15" i="7"/>
  <c r="D14" i="8" s="1"/>
  <c r="Q15" i="7"/>
  <c r="R15" i="7" s="1"/>
  <c r="N15" i="7"/>
  <c r="C14" i="8" s="1"/>
  <c r="K15" i="7"/>
  <c r="D15" i="7"/>
  <c r="C15" i="7"/>
  <c r="HM14" i="7"/>
  <c r="BY13" i="8" s="1"/>
  <c r="HJ14" i="7"/>
  <c r="HE14" i="7"/>
  <c r="GW14" i="7"/>
  <c r="GS14" i="7"/>
  <c r="GP14" i="7"/>
  <c r="BE13" i="8" s="1"/>
  <c r="GM14" i="7"/>
  <c r="BC13" i="8" s="1"/>
  <c r="AX13" i="8"/>
  <c r="GD14" i="7"/>
  <c r="FX14" i="7"/>
  <c r="AP13" i="8" s="1"/>
  <c r="FS14" i="7"/>
  <c r="FP14" i="7"/>
  <c r="FA51" i="7" s="1"/>
  <c r="FJ14" i="7"/>
  <c r="BA13" i="8" s="1"/>
  <c r="FC14" i="7"/>
  <c r="EZ14" i="7"/>
  <c r="EZ51" i="7" s="1"/>
  <c r="EW14" i="7"/>
  <c r="AV13" i="8" s="1"/>
  <c r="ET14" i="7"/>
  <c r="AU13" i="8" s="1"/>
  <c r="EM14" i="7"/>
  <c r="AN13" i="8" s="1"/>
  <c r="EJ14" i="7"/>
  <c r="AM13" i="8" s="1"/>
  <c r="DZ14" i="7"/>
  <c r="AI13" i="8" s="1"/>
  <c r="DW14" i="7"/>
  <c r="AH13" i="8" s="1"/>
  <c r="DT14" i="7"/>
  <c r="DR14" i="7"/>
  <c r="AD13" i="8" s="1"/>
  <c r="DE14" i="7"/>
  <c r="DA14" i="7"/>
  <c r="CW14" i="7"/>
  <c r="CS14" i="7"/>
  <c r="U13" i="8" s="1"/>
  <c r="CO14" i="7"/>
  <c r="T13" i="8" s="1"/>
  <c r="CH14" i="7"/>
  <c r="R13" i="8" s="1"/>
  <c r="CF14" i="7"/>
  <c r="Q13" i="8" s="1"/>
  <c r="CA14" i="7"/>
  <c r="O13" i="8" s="1"/>
  <c r="BW14" i="7"/>
  <c r="BX14" i="7" s="1"/>
  <c r="BT14" i="7"/>
  <c r="BR14" i="7"/>
  <c r="Z13" i="8" s="1"/>
  <c r="BP14" i="7"/>
  <c r="BN14" i="7"/>
  <c r="BL14" i="7"/>
  <c r="BJ14" i="7"/>
  <c r="AB13" i="8" s="1"/>
  <c r="BG14" i="7"/>
  <c r="AA13" i="8" s="1"/>
  <c r="BC14" i="7"/>
  <c r="M13" i="8" s="1"/>
  <c r="AZ14" i="7"/>
  <c r="L13" i="8" s="1"/>
  <c r="AR14" i="7"/>
  <c r="AI14" i="7"/>
  <c r="I13" i="8" s="1"/>
  <c r="AE14" i="7"/>
  <c r="H13" i="8" s="1"/>
  <c r="AB14" i="7"/>
  <c r="F13" i="8" s="1"/>
  <c r="V14" i="7"/>
  <c r="E13" i="8" s="1"/>
  <c r="T14" i="7"/>
  <c r="D13" i="8" s="1"/>
  <c r="Q14" i="7"/>
  <c r="R14" i="7" s="1"/>
  <c r="N14" i="7"/>
  <c r="C13" i="8" s="1"/>
  <c r="K14" i="7"/>
  <c r="D14" i="7"/>
  <c r="C14" i="7"/>
  <c r="HM13" i="7"/>
  <c r="BY12" i="8" s="1"/>
  <c r="HJ13" i="7"/>
  <c r="HE13" i="7"/>
  <c r="GW13" i="7"/>
  <c r="GS13" i="7"/>
  <c r="GP13" i="7"/>
  <c r="BE12" i="8" s="1"/>
  <c r="GM13" i="7"/>
  <c r="BC12" i="8" s="1"/>
  <c r="AX12" i="8"/>
  <c r="GD13" i="7"/>
  <c r="FX13" i="7"/>
  <c r="AP12" i="8" s="1"/>
  <c r="FS13" i="7"/>
  <c r="FP13" i="7"/>
  <c r="FA50" i="7" s="1"/>
  <c r="FJ13" i="7"/>
  <c r="BA12" i="8" s="1"/>
  <c r="FC13" i="7"/>
  <c r="EZ13" i="7"/>
  <c r="EZ50" i="7" s="1"/>
  <c r="EW13" i="7"/>
  <c r="AV12" i="8" s="1"/>
  <c r="ET13" i="7"/>
  <c r="AU12" i="8" s="1"/>
  <c r="EM13" i="7"/>
  <c r="AN12" i="8" s="1"/>
  <c r="EJ13" i="7"/>
  <c r="AM12" i="8" s="1"/>
  <c r="DZ13" i="7"/>
  <c r="AI12" i="8" s="1"/>
  <c r="DW13" i="7"/>
  <c r="AH12" i="8" s="1"/>
  <c r="DT13" i="7"/>
  <c r="DR13" i="7"/>
  <c r="AD12" i="8" s="1"/>
  <c r="DE13" i="7"/>
  <c r="DA13" i="7"/>
  <c r="X12" i="8" s="1"/>
  <c r="CW13" i="7"/>
  <c r="W12" i="8" s="1"/>
  <c r="CS13" i="7"/>
  <c r="U12" i="8" s="1"/>
  <c r="CO13" i="7"/>
  <c r="T12" i="8" s="1"/>
  <c r="CH13" i="7"/>
  <c r="R12" i="8" s="1"/>
  <c r="CF13" i="7"/>
  <c r="Q12" i="8" s="1"/>
  <c r="CA13" i="7"/>
  <c r="O12" i="8" s="1"/>
  <c r="BW13" i="7"/>
  <c r="CD47" i="7" s="1"/>
  <c r="BT13" i="7"/>
  <c r="BR13" i="7"/>
  <c r="Z12" i="8" s="1"/>
  <c r="BP13" i="7"/>
  <c r="BN13" i="7"/>
  <c r="BL13" i="7"/>
  <c r="BJ13" i="7"/>
  <c r="AB12" i="8" s="1"/>
  <c r="BG13" i="7"/>
  <c r="AA12" i="8" s="1"/>
  <c r="BC13" i="7"/>
  <c r="M12" i="8" s="1"/>
  <c r="AZ13" i="7"/>
  <c r="L12" i="8" s="1"/>
  <c r="AR13" i="7"/>
  <c r="K12" i="8" s="1"/>
  <c r="AI13" i="7"/>
  <c r="I12" i="8" s="1"/>
  <c r="AE13" i="7"/>
  <c r="H12" i="8" s="1"/>
  <c r="AB13" i="7"/>
  <c r="F12" i="8" s="1"/>
  <c r="V13" i="7"/>
  <c r="E12" i="8" s="1"/>
  <c r="T13" i="7"/>
  <c r="D12" i="8" s="1"/>
  <c r="Q13" i="7"/>
  <c r="R13" i="7" s="1"/>
  <c r="N13" i="7"/>
  <c r="C12" i="8" s="1"/>
  <c r="K13" i="7"/>
  <c r="D13" i="7"/>
  <c r="C13" i="7"/>
  <c r="HM12" i="7"/>
  <c r="BY11" i="8" s="1"/>
  <c r="HJ12" i="7"/>
  <c r="HE12" i="7"/>
  <c r="GW12" i="7"/>
  <c r="GS12" i="7"/>
  <c r="BF11" i="8" s="1"/>
  <c r="GP12" i="7"/>
  <c r="BE11" i="8" s="1"/>
  <c r="GM12" i="7"/>
  <c r="BC11" i="8" s="1"/>
  <c r="AX11" i="8"/>
  <c r="GD12" i="7"/>
  <c r="FX12" i="7"/>
  <c r="AP11" i="8" s="1"/>
  <c r="FS12" i="7"/>
  <c r="FP12" i="7"/>
  <c r="FA49" i="7" s="1"/>
  <c r="FJ12" i="7"/>
  <c r="BA11" i="8" s="1"/>
  <c r="FC12" i="7"/>
  <c r="EZ12" i="7"/>
  <c r="EZ49" i="7" s="1"/>
  <c r="EW12" i="7"/>
  <c r="AV11" i="8" s="1"/>
  <c r="ET12" i="7"/>
  <c r="AU11" i="8" s="1"/>
  <c r="EM12" i="7"/>
  <c r="AN11" i="8" s="1"/>
  <c r="EJ12" i="7"/>
  <c r="AM11" i="8" s="1"/>
  <c r="DZ12" i="7"/>
  <c r="AI11" i="8" s="1"/>
  <c r="DW12" i="7"/>
  <c r="AH11" i="8" s="1"/>
  <c r="DT12" i="7"/>
  <c r="DR12" i="7"/>
  <c r="AD11" i="8" s="1"/>
  <c r="DE12" i="7"/>
  <c r="DF12" i="7" s="1"/>
  <c r="DA12" i="7"/>
  <c r="X11" i="8" s="1"/>
  <c r="CW12" i="7"/>
  <c r="W11" i="8" s="1"/>
  <c r="CS12" i="7"/>
  <c r="U11" i="8" s="1"/>
  <c r="CO12" i="7"/>
  <c r="T11" i="8" s="1"/>
  <c r="CH12" i="7"/>
  <c r="R11" i="8" s="1"/>
  <c r="CA12" i="7"/>
  <c r="BW12" i="7"/>
  <c r="CD46" i="7" s="1"/>
  <c r="BT12" i="7"/>
  <c r="BR12" i="7"/>
  <c r="Z11" i="8" s="1"/>
  <c r="BP12" i="7"/>
  <c r="BN12" i="7"/>
  <c r="BL12" i="7"/>
  <c r="BJ12" i="7"/>
  <c r="AB11" i="8" s="1"/>
  <c r="BG12" i="7"/>
  <c r="AA11" i="8" s="1"/>
  <c r="BC12" i="7"/>
  <c r="M11" i="8" s="1"/>
  <c r="AZ12" i="7"/>
  <c r="L11" i="8" s="1"/>
  <c r="AR12" i="7"/>
  <c r="K11" i="8" s="1"/>
  <c r="AI12" i="7"/>
  <c r="I11" i="8" s="1"/>
  <c r="AE12" i="7"/>
  <c r="H11" i="8" s="1"/>
  <c r="AB12" i="7"/>
  <c r="F11" i="8" s="1"/>
  <c r="V12" i="7"/>
  <c r="E11" i="8" s="1"/>
  <c r="T12" i="7"/>
  <c r="D11" i="8" s="1"/>
  <c r="Q12" i="7"/>
  <c r="R12" i="7" s="1"/>
  <c r="N12" i="7"/>
  <c r="C11" i="8" s="1"/>
  <c r="K12" i="7"/>
  <c r="D12" i="7"/>
  <c r="C12" i="7"/>
  <c r="HM11" i="7"/>
  <c r="BY10" i="8" s="1"/>
  <c r="HJ11" i="7"/>
  <c r="HE11" i="7"/>
  <c r="GW11" i="7"/>
  <c r="GS11" i="7"/>
  <c r="GP11" i="7"/>
  <c r="BE10" i="8" s="1"/>
  <c r="GM11" i="7"/>
  <c r="BC10" i="8" s="1"/>
  <c r="AX10" i="8"/>
  <c r="GD11" i="7"/>
  <c r="FX11" i="7"/>
  <c r="AP10" i="8" s="1"/>
  <c r="FS11" i="7"/>
  <c r="FP11" i="7"/>
  <c r="FA48" i="7" s="1"/>
  <c r="FJ11" i="7"/>
  <c r="BA10" i="8" s="1"/>
  <c r="FC11" i="7"/>
  <c r="EZ11" i="7"/>
  <c r="EZ48" i="7" s="1"/>
  <c r="EW11" i="7"/>
  <c r="AV10" i="8" s="1"/>
  <c r="ET11" i="7"/>
  <c r="AU10" i="8" s="1"/>
  <c r="EM11" i="7"/>
  <c r="AN10" i="8" s="1"/>
  <c r="EJ11" i="7"/>
  <c r="AM10" i="8" s="1"/>
  <c r="DZ11" i="7"/>
  <c r="AI10" i="8" s="1"/>
  <c r="DW11" i="7"/>
  <c r="AH10" i="8" s="1"/>
  <c r="DT11" i="7"/>
  <c r="DR11" i="7"/>
  <c r="AD10" i="8" s="1"/>
  <c r="DE11" i="7"/>
  <c r="DA11" i="7"/>
  <c r="X10" i="8" s="1"/>
  <c r="CW11" i="7"/>
  <c r="W10" i="8" s="1"/>
  <c r="CS11" i="7"/>
  <c r="U10" i="8" s="1"/>
  <c r="CO11" i="7"/>
  <c r="T10" i="8" s="1"/>
  <c r="CH11" i="7"/>
  <c r="R10" i="8" s="1"/>
  <c r="CF12" i="7"/>
  <c r="Q11" i="8" s="1"/>
  <c r="CA11" i="7"/>
  <c r="BW11" i="7"/>
  <c r="CD45" i="7" s="1"/>
  <c r="BT11" i="7"/>
  <c r="BR11" i="7"/>
  <c r="Z10" i="8" s="1"/>
  <c r="BP11" i="7"/>
  <c r="BN11" i="7"/>
  <c r="BL11" i="7"/>
  <c r="BJ11" i="7"/>
  <c r="AB10" i="8" s="1"/>
  <c r="BG11" i="7"/>
  <c r="AA10" i="8" s="1"/>
  <c r="BC11" i="7"/>
  <c r="M10" i="8" s="1"/>
  <c r="AZ11" i="7"/>
  <c r="L10" i="8" s="1"/>
  <c r="AR11" i="7"/>
  <c r="AI11" i="7"/>
  <c r="I10" i="8" s="1"/>
  <c r="AE11" i="7"/>
  <c r="H10" i="8" s="1"/>
  <c r="AB11" i="7"/>
  <c r="F10" i="8" s="1"/>
  <c r="V11" i="7"/>
  <c r="E10" i="8" s="1"/>
  <c r="T11" i="7"/>
  <c r="D10" i="8" s="1"/>
  <c r="Q11" i="7"/>
  <c r="N11" i="7"/>
  <c r="C10" i="8" s="1"/>
  <c r="K11" i="7"/>
  <c r="D11" i="7"/>
  <c r="C11" i="7"/>
  <c r="HM10" i="7"/>
  <c r="BY9" i="8" s="1"/>
  <c r="HJ10" i="7"/>
  <c r="HE10" i="7"/>
  <c r="GW10" i="7"/>
  <c r="GS10" i="7"/>
  <c r="GP10" i="7"/>
  <c r="BE9" i="8" s="1"/>
  <c r="GM10" i="7"/>
  <c r="BC9" i="8" s="1"/>
  <c r="AX9" i="8"/>
  <c r="GD10" i="7"/>
  <c r="FX10" i="7"/>
  <c r="AP9" i="8" s="1"/>
  <c r="FS10" i="7"/>
  <c r="FP10" i="7"/>
  <c r="FA47" i="7" s="1"/>
  <c r="FJ10" i="7"/>
  <c r="BA9" i="8" s="1"/>
  <c r="FG10" i="7"/>
  <c r="AZ9" i="8" s="1"/>
  <c r="FC10" i="7"/>
  <c r="EZ10" i="7"/>
  <c r="EZ47" i="7" s="1"/>
  <c r="EW10" i="7"/>
  <c r="AV9" i="8" s="1"/>
  <c r="ET10" i="7"/>
  <c r="AU9" i="8" s="1"/>
  <c r="EM10" i="7"/>
  <c r="AN9" i="8" s="1"/>
  <c r="EJ10" i="7"/>
  <c r="AM9" i="8" s="1"/>
  <c r="DZ10" i="7"/>
  <c r="AI9" i="8" s="1"/>
  <c r="DW10" i="7"/>
  <c r="AH9" i="8" s="1"/>
  <c r="DT10" i="7"/>
  <c r="DR10" i="7"/>
  <c r="AD9" i="8" s="1"/>
  <c r="DE10" i="7"/>
  <c r="DF10" i="7" s="1"/>
  <c r="DA10" i="7"/>
  <c r="X9" i="8" s="1"/>
  <c r="CW10" i="7"/>
  <c r="W9" i="8" s="1"/>
  <c r="CS10" i="7"/>
  <c r="U9" i="8" s="1"/>
  <c r="CO10" i="7"/>
  <c r="T9" i="8" s="1"/>
  <c r="CH10" i="7"/>
  <c r="R9" i="8" s="1"/>
  <c r="CA10" i="7"/>
  <c r="O9" i="8" s="1"/>
  <c r="BW10" i="7"/>
  <c r="CD44" i="7" s="1"/>
  <c r="BT10" i="7"/>
  <c r="BR10" i="7"/>
  <c r="Z9" i="8" s="1"/>
  <c r="BP10" i="7"/>
  <c r="BN10" i="7"/>
  <c r="BL10" i="7"/>
  <c r="BJ10" i="7"/>
  <c r="AB9" i="8" s="1"/>
  <c r="BG10" i="7"/>
  <c r="AA9" i="8" s="1"/>
  <c r="BC10" i="7"/>
  <c r="M9" i="8" s="1"/>
  <c r="AZ10" i="7"/>
  <c r="L9" i="8" s="1"/>
  <c r="AR10" i="7"/>
  <c r="K9" i="8" s="1"/>
  <c r="AI10" i="7"/>
  <c r="I9" i="8" s="1"/>
  <c r="AE10" i="7"/>
  <c r="H9" i="8" s="1"/>
  <c r="AB10" i="7"/>
  <c r="F9" i="8" s="1"/>
  <c r="V10" i="7"/>
  <c r="E9" i="8" s="1"/>
  <c r="T10" i="7"/>
  <c r="D9" i="8" s="1"/>
  <c r="Q10" i="7"/>
  <c r="R10" i="7" s="1"/>
  <c r="N10" i="7"/>
  <c r="C9" i="8" s="1"/>
  <c r="K10" i="7"/>
  <c r="D10" i="7"/>
  <c r="C10" i="7"/>
  <c r="HM9" i="7"/>
  <c r="BY8" i="8" s="1"/>
  <c r="HJ9" i="7"/>
  <c r="HE9" i="7"/>
  <c r="GW9" i="7"/>
  <c r="GS9" i="7"/>
  <c r="GP9" i="7"/>
  <c r="BE8" i="8" s="1"/>
  <c r="GM9" i="7"/>
  <c r="BC8" i="8" s="1"/>
  <c r="AX8" i="8"/>
  <c r="GD9" i="7"/>
  <c r="FX9" i="7"/>
  <c r="AP8" i="8" s="1"/>
  <c r="FS9" i="7"/>
  <c r="FP9" i="7"/>
  <c r="FA46" i="7" s="1"/>
  <c r="FJ9" i="7"/>
  <c r="BA8" i="8" s="1"/>
  <c r="FC9" i="7"/>
  <c r="EZ9" i="7"/>
  <c r="EZ46" i="7" s="1"/>
  <c r="EW9" i="7"/>
  <c r="AV8" i="8" s="1"/>
  <c r="ET9" i="7"/>
  <c r="AU8" i="8" s="1"/>
  <c r="EM9" i="7"/>
  <c r="AN8" i="8" s="1"/>
  <c r="EJ9" i="7"/>
  <c r="AM8" i="8" s="1"/>
  <c r="DZ9" i="7"/>
  <c r="AI8" i="8" s="1"/>
  <c r="DW9" i="7"/>
  <c r="AH8" i="8" s="1"/>
  <c r="DT9" i="7"/>
  <c r="IB9" i="7" s="1"/>
  <c r="CD8" i="8" s="1"/>
  <c r="DR9" i="7"/>
  <c r="AD8" i="8" s="1"/>
  <c r="DE9" i="7"/>
  <c r="DF9" i="7" s="1"/>
  <c r="DA9" i="7"/>
  <c r="X8" i="8" s="1"/>
  <c r="CW9" i="7"/>
  <c r="W8" i="8" s="1"/>
  <c r="CS9" i="7"/>
  <c r="U8" i="8" s="1"/>
  <c r="CO9" i="7"/>
  <c r="T8" i="8" s="1"/>
  <c r="CH9" i="7"/>
  <c r="R8" i="8" s="1"/>
  <c r="CA9" i="7"/>
  <c r="BW9" i="7"/>
  <c r="CD43" i="7" s="1"/>
  <c r="BT9" i="7"/>
  <c r="BR9" i="7"/>
  <c r="Z8" i="8" s="1"/>
  <c r="BP9" i="7"/>
  <c r="BN9" i="7"/>
  <c r="BL9" i="7"/>
  <c r="BJ9" i="7"/>
  <c r="AB8" i="8" s="1"/>
  <c r="BG9" i="7"/>
  <c r="AA8" i="8" s="1"/>
  <c r="BC9" i="7"/>
  <c r="M8" i="8" s="1"/>
  <c r="AZ9" i="7"/>
  <c r="L8" i="8" s="1"/>
  <c r="AR9" i="7"/>
  <c r="K8" i="8" s="1"/>
  <c r="AI9" i="7"/>
  <c r="I8" i="8" s="1"/>
  <c r="AE9" i="7"/>
  <c r="H8" i="8" s="1"/>
  <c r="AB9" i="7"/>
  <c r="F8" i="8" s="1"/>
  <c r="V9" i="7"/>
  <c r="E8" i="8" s="1"/>
  <c r="T9" i="7"/>
  <c r="D8" i="8" s="1"/>
  <c r="Q9" i="7"/>
  <c r="N9" i="7"/>
  <c r="C8" i="8" s="1"/>
  <c r="K9" i="7"/>
  <c r="D9" i="7"/>
  <c r="C9" i="7"/>
  <c r="HY8" i="7"/>
  <c r="HV8" i="7"/>
  <c r="HS8" i="7"/>
  <c r="HM8" i="7"/>
  <c r="HJ8" i="7"/>
  <c r="HE8" i="7"/>
  <c r="GW8" i="7"/>
  <c r="GS8" i="7"/>
  <c r="GP8" i="7"/>
  <c r="BE7" i="8" s="1"/>
  <c r="GM8" i="7"/>
  <c r="BC7" i="8" s="1"/>
  <c r="GJ8" i="7"/>
  <c r="AX7" i="8" s="1"/>
  <c r="GD8" i="7"/>
  <c r="FX8" i="7"/>
  <c r="AP7" i="8" s="1"/>
  <c r="FS8" i="7"/>
  <c r="FP8" i="7"/>
  <c r="FJ8" i="7"/>
  <c r="FC8" i="7"/>
  <c r="EZ8" i="7"/>
  <c r="EW8" i="7"/>
  <c r="ET8" i="7"/>
  <c r="EM8" i="7"/>
  <c r="EJ8" i="7"/>
  <c r="DZ8" i="7"/>
  <c r="DW8" i="7"/>
  <c r="DT8" i="7"/>
  <c r="DR8" i="7"/>
  <c r="DE8" i="7"/>
  <c r="DA8" i="7"/>
  <c r="CW8" i="7"/>
  <c r="CX8" i="7" s="1"/>
  <c r="CS8" i="7"/>
  <c r="CO8" i="7"/>
  <c r="CP8" i="7" s="1"/>
  <c r="CH8" i="7"/>
  <c r="P7" i="8"/>
  <c r="CA8" i="7"/>
  <c r="O7" i="8" s="1"/>
  <c r="BW8" i="7"/>
  <c r="BT8" i="7"/>
  <c r="BR8" i="7"/>
  <c r="BP8" i="7"/>
  <c r="BN8" i="7"/>
  <c r="BL8" i="7"/>
  <c r="BJ8" i="7"/>
  <c r="AB7" i="8" s="1"/>
  <c r="BG8" i="7"/>
  <c r="BC8" i="7"/>
  <c r="AZ8" i="7"/>
  <c r="AR8" i="7"/>
  <c r="AS8" i="7" s="1"/>
  <c r="AI8" i="7"/>
  <c r="AE8" i="7"/>
  <c r="AF8" i="7" s="1"/>
  <c r="AB8" i="7"/>
  <c r="F7" i="8" s="1"/>
  <c r="V8" i="7"/>
  <c r="T8" i="7"/>
  <c r="Q8" i="7"/>
  <c r="N8" i="7"/>
  <c r="K8" i="7"/>
  <c r="D8" i="7"/>
  <c r="C8" i="7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G35" i="7" l="1"/>
  <c r="B34" i="8" s="1"/>
  <c r="AE37" i="8"/>
  <c r="G20" i="7"/>
  <c r="B19" i="8" s="1"/>
  <c r="GA37" i="7"/>
  <c r="AQ36" i="8" s="1"/>
  <c r="Y9" i="8"/>
  <c r="G27" i="7"/>
  <c r="B26" i="8" s="1"/>
  <c r="Y11" i="8"/>
  <c r="BH11" i="8" s="1"/>
  <c r="GA12" i="7"/>
  <c r="AQ11" i="8" s="1"/>
  <c r="Y21" i="8"/>
  <c r="BH21" i="8" s="1"/>
  <c r="Y17" i="8"/>
  <c r="BH17" i="8" s="1"/>
  <c r="BC35" i="8"/>
  <c r="G38" i="7"/>
  <c r="B37" i="8" s="1"/>
  <c r="GA31" i="7"/>
  <c r="AQ30" i="8" s="1"/>
  <c r="Y18" i="8"/>
  <c r="BH18" i="8" s="1"/>
  <c r="Y26" i="8"/>
  <c r="BH26" i="8" s="1"/>
  <c r="EC9" i="7"/>
  <c r="AJ8" i="8" s="1"/>
  <c r="AK8" i="8" s="1"/>
  <c r="Y12" i="8"/>
  <c r="BH12" i="8" s="1"/>
  <c r="EG9" i="7"/>
  <c r="AL8" i="8" s="1"/>
  <c r="AO8" i="8" s="1"/>
  <c r="Y16" i="8"/>
  <c r="BH16" i="8" s="1"/>
  <c r="GA22" i="7"/>
  <c r="AQ21" i="8" s="1"/>
  <c r="G14" i="7"/>
  <c r="B13" i="8" s="1"/>
  <c r="Y20" i="8"/>
  <c r="BH20" i="8" s="1"/>
  <c r="G26" i="7"/>
  <c r="B25" i="8" s="1"/>
  <c r="Y10" i="8"/>
  <c r="BH10" i="8" s="1"/>
  <c r="BG11" i="8"/>
  <c r="Y22" i="8"/>
  <c r="BH22" i="8" s="1"/>
  <c r="BX15" i="8"/>
  <c r="IC16" i="7"/>
  <c r="GA21" i="7"/>
  <c r="AQ20" i="8" s="1"/>
  <c r="BF20" i="8"/>
  <c r="BG20" i="8" s="1"/>
  <c r="BY23" i="8"/>
  <c r="GA26" i="7"/>
  <c r="AQ25" i="8" s="1"/>
  <c r="BF25" i="8"/>
  <c r="BG25" i="8" s="1"/>
  <c r="BY26" i="8"/>
  <c r="GA29" i="7"/>
  <c r="AQ28" i="8" s="1"/>
  <c r="BF28" i="8"/>
  <c r="BG28" i="8" s="1"/>
  <c r="IC9" i="7"/>
  <c r="GA16" i="7"/>
  <c r="AQ15" i="8" s="1"/>
  <c r="BF15" i="8"/>
  <c r="BG15" i="8" s="1"/>
  <c r="GA25" i="7"/>
  <c r="AQ24" i="8" s="1"/>
  <c r="BF24" i="8"/>
  <c r="BG24" i="8" s="1"/>
  <c r="Y25" i="8"/>
  <c r="BH25" i="8" s="1"/>
  <c r="AE36" i="8"/>
  <c r="AG36" i="8" s="1"/>
  <c r="CK8" i="7"/>
  <c r="CL8" i="7" s="1"/>
  <c r="GA9" i="7"/>
  <c r="AQ8" i="8" s="1"/>
  <c r="BF8" i="8"/>
  <c r="BG8" i="8" s="1"/>
  <c r="GA10" i="7"/>
  <c r="AQ9" i="8" s="1"/>
  <c r="BF9" i="8"/>
  <c r="BG9" i="8" s="1"/>
  <c r="GA11" i="7"/>
  <c r="AQ10" i="8" s="1"/>
  <c r="BF10" i="8"/>
  <c r="BG10" i="8" s="1"/>
  <c r="GA13" i="7"/>
  <c r="AQ12" i="8" s="1"/>
  <c r="BF12" i="8"/>
  <c r="BG12" i="8" s="1"/>
  <c r="W13" i="8"/>
  <c r="CU15" i="7"/>
  <c r="IC15" i="7"/>
  <c r="GA18" i="7"/>
  <c r="AQ17" i="8" s="1"/>
  <c r="BF17" i="8"/>
  <c r="BG17" i="8" s="1"/>
  <c r="GA19" i="7"/>
  <c r="AQ18" i="8" s="1"/>
  <c r="BF18" i="8"/>
  <c r="BG18" i="8" s="1"/>
  <c r="Y19" i="8"/>
  <c r="BH19" i="8" s="1"/>
  <c r="BG21" i="8"/>
  <c r="G28" i="7"/>
  <c r="B27" i="8" s="1"/>
  <c r="Y35" i="8"/>
  <c r="BH35" i="8" s="1"/>
  <c r="AC36" i="8"/>
  <c r="FV45" i="7"/>
  <c r="EQ8" i="7" s="1"/>
  <c r="GA20" i="7"/>
  <c r="AQ19" i="8" s="1"/>
  <c r="BF19" i="8"/>
  <c r="BG19" i="8" s="1"/>
  <c r="GA23" i="7"/>
  <c r="AQ22" i="8" s="1"/>
  <c r="BF22" i="8"/>
  <c r="BG22" i="8" s="1"/>
  <c r="GA24" i="7"/>
  <c r="AQ23" i="8" s="1"/>
  <c r="BF23" i="8"/>
  <c r="BG23" i="8" s="1"/>
  <c r="BY27" i="8"/>
  <c r="Y8" i="8"/>
  <c r="BH8" i="8" s="1"/>
  <c r="GA17" i="7"/>
  <c r="AQ16" i="8" s="1"/>
  <c r="BF16" i="8"/>
  <c r="BG16" i="8" s="1"/>
  <c r="GA27" i="7"/>
  <c r="AQ26" i="8" s="1"/>
  <c r="BF26" i="8"/>
  <c r="BG26" i="8" s="1"/>
  <c r="GA28" i="7"/>
  <c r="AQ27" i="8" s="1"/>
  <c r="BF27" i="8"/>
  <c r="BG27" i="8" s="1"/>
  <c r="GA8" i="7"/>
  <c r="AQ7" i="8" s="1"/>
  <c r="BF7" i="8"/>
  <c r="BG7" i="8" s="1"/>
  <c r="X13" i="8"/>
  <c r="CY15" i="7"/>
  <c r="GA14" i="7"/>
  <c r="AQ13" i="8" s="1"/>
  <c r="BF13" i="8"/>
  <c r="BG13" i="8" s="1"/>
  <c r="GA15" i="7"/>
  <c r="AQ14" i="8" s="1"/>
  <c r="BF14" i="8"/>
  <c r="BG14" i="8" s="1"/>
  <c r="G17" i="7"/>
  <c r="B16" i="8" s="1"/>
  <c r="IC20" i="7"/>
  <c r="Y23" i="8"/>
  <c r="HN44" i="7"/>
  <c r="Y24" i="8"/>
  <c r="BH24" i="8" s="1"/>
  <c r="Y27" i="8"/>
  <c r="BH27" i="8" s="1"/>
  <c r="AN36" i="7"/>
  <c r="J35" i="8" s="1"/>
  <c r="AC35" i="8"/>
  <c r="EG37" i="7"/>
  <c r="AL36" i="8" s="1"/>
  <c r="AO36" i="8" s="1"/>
  <c r="EC37" i="7"/>
  <c r="AJ36" i="8" s="1"/>
  <c r="AK36" i="8" s="1"/>
  <c r="EC36" i="7"/>
  <c r="AJ35" i="8" s="1"/>
  <c r="EG36" i="7"/>
  <c r="AL35" i="8" s="1"/>
  <c r="AO35" i="8" s="1"/>
  <c r="EC35" i="7"/>
  <c r="AJ34" i="8" s="1"/>
  <c r="AK34" i="8" s="1"/>
  <c r="EG35" i="7"/>
  <c r="AL34" i="8" s="1"/>
  <c r="AO34" i="8" s="1"/>
  <c r="EG33" i="7"/>
  <c r="AL32" i="8" s="1"/>
  <c r="EG34" i="7"/>
  <c r="AL33" i="8" s="1"/>
  <c r="AO33" i="8" s="1"/>
  <c r="EC34" i="7"/>
  <c r="AJ33" i="8" s="1"/>
  <c r="AK33" i="8" s="1"/>
  <c r="EC33" i="7"/>
  <c r="AJ32" i="8" s="1"/>
  <c r="AK32" i="8" s="1"/>
  <c r="EG32" i="7"/>
  <c r="AL31" i="8" s="1"/>
  <c r="AO31" i="8" s="1"/>
  <c r="EC32" i="7"/>
  <c r="AJ31" i="8" s="1"/>
  <c r="EG31" i="7"/>
  <c r="AL30" i="8" s="1"/>
  <c r="AO30" i="8" s="1"/>
  <c r="EC31" i="7"/>
  <c r="AJ30" i="8" s="1"/>
  <c r="EG30" i="7"/>
  <c r="AL29" i="8" s="1"/>
  <c r="AO29" i="8" s="1"/>
  <c r="EC30" i="7"/>
  <c r="AJ29" i="8" s="1"/>
  <c r="AK29" i="8" s="1"/>
  <c r="EG29" i="7"/>
  <c r="EN29" i="7" s="1"/>
  <c r="EC29" i="7"/>
  <c r="AJ28" i="8" s="1"/>
  <c r="EG28" i="7"/>
  <c r="AL27" i="8" s="1"/>
  <c r="AO27" i="8" s="1"/>
  <c r="EC28" i="7"/>
  <c r="AJ27" i="8" s="1"/>
  <c r="EG27" i="7"/>
  <c r="AL26" i="8" s="1"/>
  <c r="AO26" i="8" s="1"/>
  <c r="EC26" i="7"/>
  <c r="AJ25" i="8" s="1"/>
  <c r="EC27" i="7"/>
  <c r="AJ26" i="8" s="1"/>
  <c r="AK26" i="8" s="1"/>
  <c r="EG26" i="7"/>
  <c r="AL25" i="8" s="1"/>
  <c r="AO25" i="8" s="1"/>
  <c r="EG25" i="7"/>
  <c r="AL24" i="8" s="1"/>
  <c r="AO24" i="8" s="1"/>
  <c r="EC25" i="7"/>
  <c r="AJ24" i="8" s="1"/>
  <c r="AK24" i="8" s="1"/>
  <c r="EG24" i="7"/>
  <c r="AL23" i="8" s="1"/>
  <c r="AO23" i="8" s="1"/>
  <c r="EC24" i="7"/>
  <c r="AJ23" i="8" s="1"/>
  <c r="AK23" i="8" s="1"/>
  <c r="EG23" i="7"/>
  <c r="AL22" i="8" s="1"/>
  <c r="AO22" i="8" s="1"/>
  <c r="EC23" i="7"/>
  <c r="AJ22" i="8" s="1"/>
  <c r="EG22" i="7"/>
  <c r="AL21" i="8" s="1"/>
  <c r="AO21" i="8" s="1"/>
  <c r="EC22" i="7"/>
  <c r="AJ21" i="8" s="1"/>
  <c r="AK21" i="8" s="1"/>
  <c r="EG21" i="7"/>
  <c r="AL20" i="8" s="1"/>
  <c r="AO20" i="8" s="1"/>
  <c r="EC21" i="7"/>
  <c r="AJ20" i="8" s="1"/>
  <c r="AK20" i="8" s="1"/>
  <c r="EG20" i="7"/>
  <c r="AL19" i="8" s="1"/>
  <c r="AO19" i="8" s="1"/>
  <c r="EC20" i="7"/>
  <c r="AJ19" i="8" s="1"/>
  <c r="AK19" i="8" s="1"/>
  <c r="EG19" i="7"/>
  <c r="AL18" i="8" s="1"/>
  <c r="AO18" i="8" s="1"/>
  <c r="EC19" i="7"/>
  <c r="AJ18" i="8" s="1"/>
  <c r="AK18" i="8" s="1"/>
  <c r="EG18" i="7"/>
  <c r="AL17" i="8" s="1"/>
  <c r="AO17" i="8" s="1"/>
  <c r="EC18" i="7"/>
  <c r="AJ17" i="8" s="1"/>
  <c r="EG17" i="7"/>
  <c r="AL16" i="8" s="1"/>
  <c r="AO16" i="8" s="1"/>
  <c r="EC17" i="7"/>
  <c r="AJ16" i="8" s="1"/>
  <c r="AK16" i="8" s="1"/>
  <c r="EC16" i="7"/>
  <c r="AJ15" i="8" s="1"/>
  <c r="AK15" i="8" s="1"/>
  <c r="EG16" i="7"/>
  <c r="AL15" i="8" s="1"/>
  <c r="AO15" i="8" s="1"/>
  <c r="EG15" i="7"/>
  <c r="AL14" i="8" s="1"/>
  <c r="AO14" i="8" s="1"/>
  <c r="EC15" i="7"/>
  <c r="AJ14" i="8" s="1"/>
  <c r="AK14" i="8" s="1"/>
  <c r="EC14" i="7"/>
  <c r="AJ13" i="8" s="1"/>
  <c r="AK13" i="8" s="1"/>
  <c r="EG14" i="7"/>
  <c r="AL13" i="8" s="1"/>
  <c r="AO13" i="8" s="1"/>
  <c r="EG12" i="7"/>
  <c r="AL11" i="8" s="1"/>
  <c r="AO11" i="8" s="1"/>
  <c r="EC12" i="7"/>
  <c r="AJ11" i="8" s="1"/>
  <c r="AK11" i="8" s="1"/>
  <c r="EG13" i="7"/>
  <c r="AL12" i="8" s="1"/>
  <c r="AO12" i="8" s="1"/>
  <c r="EC13" i="7"/>
  <c r="AJ12" i="8" s="1"/>
  <c r="AK12" i="8" s="1"/>
  <c r="BZ36" i="8"/>
  <c r="AG37" i="8"/>
  <c r="AF37" i="8"/>
  <c r="BC37" i="8"/>
  <c r="BE37" i="8"/>
  <c r="BG37" i="8" s="1"/>
  <c r="AX37" i="8"/>
  <c r="AO37" i="8"/>
  <c r="AK37" i="8"/>
  <c r="Y37" i="8"/>
  <c r="Y36" i="8"/>
  <c r="BH36" i="8" s="1"/>
  <c r="AC37" i="8"/>
  <c r="BZ35" i="8"/>
  <c r="AF35" i="8"/>
  <c r="AF36" i="8"/>
  <c r="IB36" i="7"/>
  <c r="CD35" i="8" s="1"/>
  <c r="AE35" i="8"/>
  <c r="AG35" i="8" s="1"/>
  <c r="GA36" i="7"/>
  <c r="AQ35" i="8" s="1"/>
  <c r="BE35" i="8"/>
  <c r="BG35" i="8" s="1"/>
  <c r="BP35" i="8" s="1"/>
  <c r="AX35" i="8"/>
  <c r="BC36" i="8"/>
  <c r="BE36" i="8"/>
  <c r="BG36" i="8" s="1"/>
  <c r="BP36" i="8" s="1"/>
  <c r="AX36" i="8"/>
  <c r="AK35" i="8"/>
  <c r="AJ37" i="7"/>
  <c r="GA35" i="7"/>
  <c r="AQ34" i="8" s="1"/>
  <c r="Y34" i="8"/>
  <c r="BH34" i="8" s="1"/>
  <c r="BZ33" i="8"/>
  <c r="BZ32" i="8"/>
  <c r="BZ31" i="8"/>
  <c r="BG34" i="8"/>
  <c r="BP34" i="8" s="1"/>
  <c r="GA34" i="7"/>
  <c r="AQ33" i="8" s="1"/>
  <c r="BF33" i="8"/>
  <c r="BG33" i="8" s="1"/>
  <c r="Y33" i="8"/>
  <c r="BH33" i="8" s="1"/>
  <c r="GA33" i="7"/>
  <c r="AQ32" i="8" s="1"/>
  <c r="BF32" i="8"/>
  <c r="BG32" i="8" s="1"/>
  <c r="Y32" i="8"/>
  <c r="BH32" i="8" s="1"/>
  <c r="GA32" i="7"/>
  <c r="AQ31" i="8" s="1"/>
  <c r="BF31" i="8"/>
  <c r="BG31" i="8" s="1"/>
  <c r="AF31" i="8"/>
  <c r="Y31" i="8"/>
  <c r="GA30" i="7"/>
  <c r="AQ29" i="8" s="1"/>
  <c r="BG30" i="8"/>
  <c r="BG29" i="8"/>
  <c r="FX41" i="7"/>
  <c r="AP29" i="8"/>
  <c r="AP38" i="8" s="1"/>
  <c r="Y29" i="8"/>
  <c r="BH29" i="8" s="1"/>
  <c r="Y28" i="8"/>
  <c r="BH28" i="8" s="1"/>
  <c r="Y30" i="8"/>
  <c r="BH30" i="8" s="1"/>
  <c r="CK30" i="7"/>
  <c r="S29" i="8" s="1"/>
  <c r="AF26" i="8"/>
  <c r="AX25" i="8"/>
  <c r="GG26" i="7"/>
  <c r="AR25" i="8" s="1"/>
  <c r="CD23" i="8"/>
  <c r="AF23" i="8"/>
  <c r="AF22" i="8"/>
  <c r="BZ19" i="8"/>
  <c r="FB57" i="7"/>
  <c r="FD57" i="7" s="1"/>
  <c r="FJ57" i="7" s="1"/>
  <c r="AF15" i="8"/>
  <c r="AF13" i="8"/>
  <c r="AS15" i="7"/>
  <c r="G15" i="7"/>
  <c r="B14" i="8" s="1"/>
  <c r="BZ12" i="8"/>
  <c r="AF12" i="8"/>
  <c r="BZ11" i="8"/>
  <c r="BX13" i="7"/>
  <c r="G11" i="7"/>
  <c r="B10" i="8" s="1"/>
  <c r="FH48" i="7"/>
  <c r="CB18" i="7"/>
  <c r="X20" i="7"/>
  <c r="G19" i="8" s="1"/>
  <c r="AS26" i="7"/>
  <c r="AJ28" i="7"/>
  <c r="AE30" i="8"/>
  <c r="AG30" i="8" s="1"/>
  <c r="AN33" i="7"/>
  <c r="J32" i="8" s="1"/>
  <c r="CB35" i="7"/>
  <c r="CK37" i="7"/>
  <c r="S36" i="8" s="1"/>
  <c r="V36" i="8" s="1"/>
  <c r="EQ35" i="7"/>
  <c r="AT34" i="8" s="1"/>
  <c r="G16" i="7"/>
  <c r="B15" i="8" s="1"/>
  <c r="F39" i="7"/>
  <c r="FW46" i="7"/>
  <c r="FG9" i="7" s="1"/>
  <c r="AZ8" i="8" s="1"/>
  <c r="GG18" i="7"/>
  <c r="AR17" i="8" s="1"/>
  <c r="IF39" i="7"/>
  <c r="G9" i="7"/>
  <c r="B8" i="8" s="1"/>
  <c r="AE15" i="8"/>
  <c r="AG15" i="8" s="1"/>
  <c r="AE20" i="8"/>
  <c r="AG20" i="8" s="1"/>
  <c r="AE23" i="8"/>
  <c r="AG23" i="8" s="1"/>
  <c r="AE33" i="8"/>
  <c r="AG33" i="8" s="1"/>
  <c r="AE34" i="8"/>
  <c r="AG34" i="8" s="1"/>
  <c r="EC8" i="7"/>
  <c r="ED8" i="7" s="1"/>
  <c r="EG11" i="7"/>
  <c r="AL10" i="8" s="1"/>
  <c r="AO10" i="8" s="1"/>
  <c r="EC11" i="7"/>
  <c r="AJ10" i="8" s="1"/>
  <c r="AK10" i="8" s="1"/>
  <c r="EG10" i="7"/>
  <c r="AL9" i="8" s="1"/>
  <c r="AO9" i="8" s="1"/>
  <c r="EC10" i="7"/>
  <c r="AJ9" i="8" s="1"/>
  <c r="AK9" i="8" s="1"/>
  <c r="FW72" i="7"/>
  <c r="FG35" i="7" s="1"/>
  <c r="AZ34" i="8" s="1"/>
  <c r="AF34" i="8"/>
  <c r="FV46" i="7"/>
  <c r="EQ9" i="7" s="1"/>
  <c r="BZ10" i="8"/>
  <c r="BZ9" i="8"/>
  <c r="BZ8" i="8"/>
  <c r="AC11" i="8"/>
  <c r="EQ11" i="7"/>
  <c r="AT10" i="8" s="1"/>
  <c r="G37" i="7"/>
  <c r="B36" i="8" s="1"/>
  <c r="G13" i="7"/>
  <c r="B12" i="8" s="1"/>
  <c r="G36" i="7"/>
  <c r="B35" i="8" s="1"/>
  <c r="G21" i="7"/>
  <c r="B20" i="8" s="1"/>
  <c r="G29" i="7"/>
  <c r="B28" i="8" s="1"/>
  <c r="G12" i="7"/>
  <c r="B11" i="8" s="1"/>
  <c r="G25" i="7"/>
  <c r="B24" i="8" s="1"/>
  <c r="G32" i="7"/>
  <c r="B31" i="8" s="1"/>
  <c r="O8" i="8"/>
  <c r="CK9" i="7"/>
  <c r="S8" i="8" s="1"/>
  <c r="O18" i="8"/>
  <c r="CB19" i="7"/>
  <c r="O28" i="8"/>
  <c r="CK29" i="7"/>
  <c r="S28" i="8" s="1"/>
  <c r="O22" i="8"/>
  <c r="CB23" i="7"/>
  <c r="K28" i="8"/>
  <c r="AS29" i="7"/>
  <c r="FV62" i="7"/>
  <c r="EQ25" i="7" s="1"/>
  <c r="FW62" i="7"/>
  <c r="FG25" i="7" s="1"/>
  <c r="AZ24" i="8" s="1"/>
  <c r="JP39" i="7"/>
  <c r="JM39" i="7"/>
  <c r="FI46" i="7"/>
  <c r="O10" i="8"/>
  <c r="CK11" i="7"/>
  <c r="S10" i="8" s="1"/>
  <c r="K39" i="7"/>
  <c r="K10" i="8"/>
  <c r="AS11" i="7"/>
  <c r="AN11" i="7"/>
  <c r="J10" i="8" s="1"/>
  <c r="O11" i="8"/>
  <c r="CK12" i="7"/>
  <c r="S11" i="8" s="1"/>
  <c r="CB12" i="7"/>
  <c r="CK17" i="7"/>
  <c r="S16" i="8" s="1"/>
  <c r="V16" i="8" s="1"/>
  <c r="CK19" i="7"/>
  <c r="S18" i="8" s="1"/>
  <c r="I20" i="8"/>
  <c r="AJ21" i="7"/>
  <c r="FH65" i="7"/>
  <c r="FH54" i="7"/>
  <c r="FH70" i="7"/>
  <c r="FH57" i="7"/>
  <c r="FH46" i="7"/>
  <c r="FH60" i="7"/>
  <c r="FH45" i="7"/>
  <c r="FH71" i="7"/>
  <c r="FI51" i="7"/>
  <c r="FI56" i="7"/>
  <c r="FB55" i="7"/>
  <c r="FD55" i="7" s="1"/>
  <c r="FJ55" i="7" s="1"/>
  <c r="CK27" i="7"/>
  <c r="S26" i="8" s="1"/>
  <c r="V26" i="8" s="1"/>
  <c r="AN38" i="7"/>
  <c r="J37" i="8" s="1"/>
  <c r="FI59" i="7"/>
  <c r="CB22" i="7"/>
  <c r="CK22" i="7"/>
  <c r="S21" i="8" s="1"/>
  <c r="V21" i="8" s="1"/>
  <c r="AE21" i="8"/>
  <c r="AG21" i="8" s="1"/>
  <c r="CK24" i="7"/>
  <c r="S23" i="8" s="1"/>
  <c r="V23" i="8" s="1"/>
  <c r="X29" i="7"/>
  <c r="G28" i="8" s="1"/>
  <c r="CX32" i="7"/>
  <c r="AS33" i="7"/>
  <c r="FB70" i="7"/>
  <c r="FD70" i="7" s="1"/>
  <c r="FJ70" i="7" s="1"/>
  <c r="FW50" i="7"/>
  <c r="FG13" i="7" s="1"/>
  <c r="FT13" i="7" s="1"/>
  <c r="FM13" i="7" s="1"/>
  <c r="FI53" i="7"/>
  <c r="FW54" i="7"/>
  <c r="FG17" i="7" s="1"/>
  <c r="AZ16" i="8" s="1"/>
  <c r="FI62" i="7"/>
  <c r="L83" i="7"/>
  <c r="FI65" i="7"/>
  <c r="CX14" i="7"/>
  <c r="CX13" i="7"/>
  <c r="AE12" i="8"/>
  <c r="AG12" i="8" s="1"/>
  <c r="AN19" i="7"/>
  <c r="J18" i="8" s="1"/>
  <c r="AE18" i="8"/>
  <c r="AG18" i="8" s="1"/>
  <c r="CB20" i="7"/>
  <c r="X21" i="7"/>
  <c r="G20" i="8" s="1"/>
  <c r="AN21" i="7"/>
  <c r="J20" i="8" s="1"/>
  <c r="AC21" i="8"/>
  <c r="AE31" i="8"/>
  <c r="AG31" i="8" s="1"/>
  <c r="AF33" i="7"/>
  <c r="CP36" i="7"/>
  <c r="GG36" i="7"/>
  <c r="AR35" i="8" s="1"/>
  <c r="FI47" i="7"/>
  <c r="AF17" i="8"/>
  <c r="FW68" i="7"/>
  <c r="FG31" i="7" s="1"/>
  <c r="AZ30" i="8" s="1"/>
  <c r="EQ31" i="7"/>
  <c r="AT30" i="8" s="1"/>
  <c r="CB9" i="7"/>
  <c r="AE14" i="8"/>
  <c r="AG14" i="8" s="1"/>
  <c r="AE10" i="8"/>
  <c r="AG10" i="8" s="1"/>
  <c r="AE11" i="8"/>
  <c r="AG11" i="8" s="1"/>
  <c r="AF9" i="8"/>
  <c r="AE29" i="8"/>
  <c r="AG29" i="8" s="1"/>
  <c r="AE24" i="8"/>
  <c r="AG24" i="8" s="1"/>
  <c r="AE28" i="8"/>
  <c r="AG28" i="8" s="1"/>
  <c r="AF8" i="8"/>
  <c r="AF25" i="8"/>
  <c r="AF11" i="8"/>
  <c r="AF18" i="8"/>
  <c r="AF27" i="8"/>
  <c r="AF33" i="8"/>
  <c r="AE8" i="8"/>
  <c r="AG8" i="8" s="1"/>
  <c r="AE19" i="8"/>
  <c r="AG19" i="8" s="1"/>
  <c r="AF24" i="8"/>
  <c r="AF29" i="8"/>
  <c r="AE32" i="8"/>
  <c r="AG32" i="8" s="1"/>
  <c r="AE9" i="8"/>
  <c r="AG9" i="8" s="1"/>
  <c r="FV73" i="7"/>
  <c r="EQ36" i="7" s="1"/>
  <c r="AT35" i="8" s="1"/>
  <c r="FV66" i="7"/>
  <c r="EQ29" i="7" s="1"/>
  <c r="FW73" i="7"/>
  <c r="FG36" i="7" s="1"/>
  <c r="AZ35" i="8" s="1"/>
  <c r="EQ17" i="7"/>
  <c r="AT16" i="8" s="1"/>
  <c r="EQ37" i="7"/>
  <c r="EQ13" i="7"/>
  <c r="AT12" i="8" s="1"/>
  <c r="FV71" i="7"/>
  <c r="EQ34" i="7" s="1"/>
  <c r="FV49" i="7"/>
  <c r="EQ12" i="7" s="1"/>
  <c r="FV67" i="7"/>
  <c r="EQ30" i="7" s="1"/>
  <c r="FW74" i="7"/>
  <c r="FG37" i="7" s="1"/>
  <c r="AZ36" i="8" s="1"/>
  <c r="FV64" i="7"/>
  <c r="EQ27" i="7" s="1"/>
  <c r="AX34" i="8"/>
  <c r="AX33" i="8"/>
  <c r="BC33" i="8"/>
  <c r="GG9" i="7"/>
  <c r="AR8" i="8" s="1"/>
  <c r="AS8" i="8" s="1"/>
  <c r="GG12" i="7"/>
  <c r="AR11" i="8" s="1"/>
  <c r="GG14" i="7"/>
  <c r="AR13" i="8" s="1"/>
  <c r="GG17" i="7"/>
  <c r="AR16" i="8" s="1"/>
  <c r="GG13" i="7"/>
  <c r="AR12" i="8" s="1"/>
  <c r="GG15" i="7"/>
  <c r="AR14" i="8" s="1"/>
  <c r="GG28" i="7"/>
  <c r="AR27" i="8" s="1"/>
  <c r="GG30" i="7"/>
  <c r="GG10" i="7"/>
  <c r="AR9" i="8" s="1"/>
  <c r="GG22" i="7"/>
  <c r="AR21" i="8" s="1"/>
  <c r="GG23" i="7"/>
  <c r="AR22" i="8" s="1"/>
  <c r="GG27" i="7"/>
  <c r="AR26" i="8" s="1"/>
  <c r="FB54" i="7"/>
  <c r="FD54" i="7" s="1"/>
  <c r="FJ54" i="7" s="1"/>
  <c r="FB63" i="7"/>
  <c r="FD63" i="7" s="1"/>
  <c r="FJ63" i="7" s="1"/>
  <c r="FB58" i="7"/>
  <c r="FD58" i="7" s="1"/>
  <c r="FJ58" i="7" s="1"/>
  <c r="FB49" i="7"/>
  <c r="FD49" i="7" s="1"/>
  <c r="FJ49" i="7" s="1"/>
  <c r="FB46" i="7"/>
  <c r="FD46" i="7" s="1"/>
  <c r="FJ46" i="7" s="1"/>
  <c r="FB71" i="7"/>
  <c r="FD71" i="7" s="1"/>
  <c r="FJ71" i="7" s="1"/>
  <c r="FB60" i="7"/>
  <c r="FD60" i="7" s="1"/>
  <c r="FJ60" i="7" s="1"/>
  <c r="FT14" i="7"/>
  <c r="FM14" i="7" s="1"/>
  <c r="FT30" i="7"/>
  <c r="FM30" i="7" s="1"/>
  <c r="EN15" i="7"/>
  <c r="ED38" i="7"/>
  <c r="IB21" i="7"/>
  <c r="CD20" i="8" s="1"/>
  <c r="IB31" i="7"/>
  <c r="CD30" i="8" s="1"/>
  <c r="IB37" i="7"/>
  <c r="CD36" i="8" s="1"/>
  <c r="IB25" i="7"/>
  <c r="IB34" i="7"/>
  <c r="CD33" i="8" s="1"/>
  <c r="IB32" i="7"/>
  <c r="CD31" i="8" s="1"/>
  <c r="IB19" i="7"/>
  <c r="CD18" i="8" s="1"/>
  <c r="IB35" i="7"/>
  <c r="CD34" i="8" s="1"/>
  <c r="DB12" i="7"/>
  <c r="DB33" i="7"/>
  <c r="DB34" i="7"/>
  <c r="DB19" i="7"/>
  <c r="CX18" i="7"/>
  <c r="CX11" i="7"/>
  <c r="CX23" i="7"/>
  <c r="CX38" i="7"/>
  <c r="CX9" i="7"/>
  <c r="CX33" i="7"/>
  <c r="CT27" i="7"/>
  <c r="CT31" i="7"/>
  <c r="CT37" i="7"/>
  <c r="CT34" i="7"/>
  <c r="CP28" i="7"/>
  <c r="CP13" i="7"/>
  <c r="CB28" i="7"/>
  <c r="CB11" i="7"/>
  <c r="CB36" i="7"/>
  <c r="CB24" i="7"/>
  <c r="CB17" i="7"/>
  <c r="CB27" i="7"/>
  <c r="CB25" i="7"/>
  <c r="CB29" i="7"/>
  <c r="CB30" i="7"/>
  <c r="CK35" i="7"/>
  <c r="CL35" i="7" s="1"/>
  <c r="CB37" i="7"/>
  <c r="AN24" i="7"/>
  <c r="J23" i="8" s="1"/>
  <c r="AN26" i="7"/>
  <c r="J25" i="8" s="1"/>
  <c r="AN10" i="7"/>
  <c r="J9" i="8" s="1"/>
  <c r="AN29" i="7"/>
  <c r="J28" i="8" s="1"/>
  <c r="AC29" i="8"/>
  <c r="AN32" i="7"/>
  <c r="J31" i="8" s="1"/>
  <c r="AC33" i="8"/>
  <c r="AC8" i="8"/>
  <c r="AC13" i="8"/>
  <c r="AC26" i="8"/>
  <c r="AC14" i="8"/>
  <c r="AN20" i="7"/>
  <c r="AO20" i="7" s="1"/>
  <c r="AN25" i="7"/>
  <c r="J24" i="8" s="1"/>
  <c r="AN31" i="7"/>
  <c r="J30" i="8" s="1"/>
  <c r="AB38" i="8"/>
  <c r="C54" i="8" s="1"/>
  <c r="AS28" i="7"/>
  <c r="AS34" i="7"/>
  <c r="AS36" i="7"/>
  <c r="AS10" i="7"/>
  <c r="AS21" i="7"/>
  <c r="AS32" i="7"/>
  <c r="AJ34" i="7"/>
  <c r="AJ9" i="7"/>
  <c r="AJ27" i="7"/>
  <c r="AF10" i="7"/>
  <c r="AF9" i="7"/>
  <c r="AF24" i="7"/>
  <c r="AF16" i="7"/>
  <c r="AF34" i="7"/>
  <c r="AF12" i="7"/>
  <c r="X31" i="7"/>
  <c r="G30" i="8" s="1"/>
  <c r="F38" i="8"/>
  <c r="X25" i="7"/>
  <c r="G24" i="8" s="1"/>
  <c r="X9" i="7"/>
  <c r="G8" i="8" s="1"/>
  <c r="X34" i="7"/>
  <c r="G33" i="8" s="1"/>
  <c r="X14" i="7"/>
  <c r="G13" i="8" s="1"/>
  <c r="X13" i="7"/>
  <c r="G12" i="8" s="1"/>
  <c r="X24" i="7"/>
  <c r="G23" i="8" s="1"/>
  <c r="X19" i="7"/>
  <c r="G18" i="8" s="1"/>
  <c r="X11" i="7"/>
  <c r="G10" i="8" s="1"/>
  <c r="X32" i="7"/>
  <c r="G31" i="8" s="1"/>
  <c r="X35" i="7"/>
  <c r="G34" i="8" s="1"/>
  <c r="X37" i="7"/>
  <c r="X16" i="7"/>
  <c r="G15" i="8" s="1"/>
  <c r="X36" i="7"/>
  <c r="G35" i="8" s="1"/>
  <c r="CB8" i="7"/>
  <c r="X8" i="7"/>
  <c r="AK8" i="7" s="1"/>
  <c r="DH8" i="7" s="1"/>
  <c r="G33" i="7"/>
  <c r="B32" i="8" s="1"/>
  <c r="G10" i="7"/>
  <c r="B9" i="8" s="1"/>
  <c r="D39" i="7"/>
  <c r="KA9" i="7"/>
  <c r="KA15" i="7"/>
  <c r="KA16" i="7"/>
  <c r="CP10" i="7"/>
  <c r="CP14" i="7"/>
  <c r="CT22" i="7"/>
  <c r="AJ26" i="7"/>
  <c r="CP27" i="7"/>
  <c r="FT28" i="7"/>
  <c r="FM28" i="7" s="1"/>
  <c r="CT30" i="7"/>
  <c r="CP35" i="7"/>
  <c r="CP38" i="7"/>
  <c r="CP19" i="7"/>
  <c r="FU28" i="7"/>
  <c r="AJ36" i="7"/>
  <c r="CT36" i="7"/>
  <c r="CT14" i="7"/>
  <c r="FT20" i="7"/>
  <c r="FM20" i="7" s="1"/>
  <c r="AJ35" i="7"/>
  <c r="CT35" i="7"/>
  <c r="FU20" i="7"/>
  <c r="CP11" i="7"/>
  <c r="FT12" i="7"/>
  <c r="FM12" i="7" s="1"/>
  <c r="CT15" i="7"/>
  <c r="CP16" i="7"/>
  <c r="CP24" i="7"/>
  <c r="CP31" i="7"/>
  <c r="FB47" i="7"/>
  <c r="FD47" i="7" s="1"/>
  <c r="FJ47" i="7" s="1"/>
  <c r="FU12" i="7"/>
  <c r="FB56" i="7"/>
  <c r="FD56" i="7" s="1"/>
  <c r="FJ56" i="7" s="1"/>
  <c r="AJ20" i="7"/>
  <c r="CT20" i="7"/>
  <c r="CT25" i="7"/>
  <c r="CT12" i="7"/>
  <c r="FB52" i="7"/>
  <c r="FD52" i="7" s="1"/>
  <c r="FJ52" i="7" s="1"/>
  <c r="CT16" i="7"/>
  <c r="FT29" i="7"/>
  <c r="FM29" i="7" s="1"/>
  <c r="AJ33" i="7"/>
  <c r="EN9" i="7"/>
  <c r="FT23" i="7"/>
  <c r="FM23" i="7" s="1"/>
  <c r="FB61" i="7"/>
  <c r="FD61" i="7" s="1"/>
  <c r="FJ61" i="7" s="1"/>
  <c r="AJ25" i="7"/>
  <c r="FB65" i="7"/>
  <c r="FD65" i="7" s="1"/>
  <c r="FJ65" i="7" s="1"/>
  <c r="FB72" i="7"/>
  <c r="FD72" i="7" s="1"/>
  <c r="FK72" i="7" s="1"/>
  <c r="CP37" i="7"/>
  <c r="CP17" i="7"/>
  <c r="FT22" i="7"/>
  <c r="FM22" i="7" s="1"/>
  <c r="FU23" i="7"/>
  <c r="FT8" i="7"/>
  <c r="FM8" i="7" s="1"/>
  <c r="CT17" i="7"/>
  <c r="CP18" i="7"/>
  <c r="CP22" i="7"/>
  <c r="CP23" i="7"/>
  <c r="FB62" i="7"/>
  <c r="FD62" i="7" s="1"/>
  <c r="FK62" i="7" s="1"/>
  <c r="FU30" i="7"/>
  <c r="S14" i="8"/>
  <c r="CL15" i="7"/>
  <c r="CB13" i="7"/>
  <c r="DB13" i="7"/>
  <c r="DB14" i="7"/>
  <c r="CA14" i="8"/>
  <c r="I15" i="8"/>
  <c r="AJ16" i="7"/>
  <c r="X17" i="7"/>
  <c r="G16" i="8" s="1"/>
  <c r="DB18" i="7"/>
  <c r="AF19" i="7"/>
  <c r="AJ22" i="7"/>
  <c r="BZ22" i="8"/>
  <c r="DB24" i="7"/>
  <c r="CX26" i="7"/>
  <c r="BX29" i="8"/>
  <c r="CX31" i="7"/>
  <c r="GG31" i="7"/>
  <c r="AR30" i="8" s="1"/>
  <c r="AZ15" i="8"/>
  <c r="FU16" i="7"/>
  <c r="BY32" i="8"/>
  <c r="AL7" i="8"/>
  <c r="AN12" i="7"/>
  <c r="X15" i="7"/>
  <c r="G14" i="8" s="1"/>
  <c r="CB30" i="8"/>
  <c r="JH59" i="7"/>
  <c r="II39" i="7"/>
  <c r="AN7" i="8"/>
  <c r="AN38" i="8" s="1"/>
  <c r="EM39" i="7"/>
  <c r="JV39" i="7"/>
  <c r="FD10" i="7"/>
  <c r="CF11" i="7"/>
  <c r="Q10" i="8" s="1"/>
  <c r="CP12" i="7"/>
  <c r="P12" i="8"/>
  <c r="CH47" i="7"/>
  <c r="CE47" i="7"/>
  <c r="CF47" i="7" s="1"/>
  <c r="CE46" i="7" s="1"/>
  <c r="CF46" i="7" s="1"/>
  <c r="CE45" i="7" s="1"/>
  <c r="CF45" i="7" s="1"/>
  <c r="CE44" i="7" s="1"/>
  <c r="CF44" i="7" s="1"/>
  <c r="CE43" i="7" s="1"/>
  <c r="CF43" i="7" s="1"/>
  <c r="DF13" i="7"/>
  <c r="BX13" i="8"/>
  <c r="CB14" i="8"/>
  <c r="JH43" i="7"/>
  <c r="BA16" i="8"/>
  <c r="AS18" i="7"/>
  <c r="R20" i="7"/>
  <c r="U22" i="8"/>
  <c r="CT23" i="7"/>
  <c r="CA22" i="8"/>
  <c r="T24" i="8"/>
  <c r="CP25" i="7"/>
  <c r="BX24" i="8"/>
  <c r="BA28" i="8"/>
  <c r="FU29" i="7"/>
  <c r="AI39" i="7"/>
  <c r="I7" i="8"/>
  <c r="DE39" i="7"/>
  <c r="FA45" i="7"/>
  <c r="FP39" i="7"/>
  <c r="IL39" i="7"/>
  <c r="BH9" i="8"/>
  <c r="IB10" i="7"/>
  <c r="CD9" i="8" s="1"/>
  <c r="AJ11" i="7"/>
  <c r="C7" i="8"/>
  <c r="AC7" i="8"/>
  <c r="BL39" i="7"/>
  <c r="R7" i="8"/>
  <c r="R38" i="8" s="1"/>
  <c r="CH39" i="7"/>
  <c r="DF8" i="7"/>
  <c r="EN8" i="7"/>
  <c r="FS39" i="7"/>
  <c r="IO39" i="7"/>
  <c r="JY39" i="7"/>
  <c r="AS9" i="7"/>
  <c r="CP9" i="7"/>
  <c r="CB10" i="7"/>
  <c r="CX10" i="7"/>
  <c r="AC10" i="8"/>
  <c r="DF11" i="7"/>
  <c r="AS12" i="7"/>
  <c r="AF13" i="7"/>
  <c r="AF14" i="7"/>
  <c r="DF14" i="7"/>
  <c r="FU14" i="7"/>
  <c r="K15" i="8"/>
  <c r="AS16" i="7"/>
  <c r="FT16" i="7"/>
  <c r="FM16" i="7" s="1"/>
  <c r="AC16" i="8"/>
  <c r="AN17" i="7"/>
  <c r="G19" i="7"/>
  <c r="B18" i="8" s="1"/>
  <c r="FT27" i="7"/>
  <c r="FM27" i="7" s="1"/>
  <c r="AF29" i="7"/>
  <c r="AN30" i="7"/>
  <c r="CB35" i="8"/>
  <c r="X7" i="8"/>
  <c r="AN9" i="7"/>
  <c r="AE16" i="8"/>
  <c r="AG16" i="8" s="1"/>
  <c r="IB17" i="7"/>
  <c r="CD16" i="8" s="1"/>
  <c r="Z27" i="8"/>
  <c r="AN28" i="7"/>
  <c r="JS39" i="7"/>
  <c r="CT10" i="7"/>
  <c r="AJ8" i="7"/>
  <c r="P9" i="8"/>
  <c r="CH44" i="7"/>
  <c r="FT11" i="7"/>
  <c r="FM11" i="7" s="1"/>
  <c r="X12" i="7"/>
  <c r="FB50" i="7"/>
  <c r="FD50" i="7" s="1"/>
  <c r="FJ50" i="7" s="1"/>
  <c r="CK14" i="7"/>
  <c r="DG14" i="7" s="1"/>
  <c r="I14" i="8"/>
  <c r="AJ15" i="7"/>
  <c r="H16" i="8"/>
  <c r="AF17" i="7"/>
  <c r="AE17" i="8"/>
  <c r="AG17" i="8" s="1"/>
  <c r="IB18" i="7"/>
  <c r="CD17" i="8" s="1"/>
  <c r="N23" i="7"/>
  <c r="C22" i="8" s="1"/>
  <c r="N22" i="7"/>
  <c r="C21" i="8" s="1"/>
  <c r="Z22" i="8"/>
  <c r="AN23" i="7"/>
  <c r="BA23" i="8"/>
  <c r="FU24" i="7"/>
  <c r="FT24" i="7"/>
  <c r="FM24" i="7" s="1"/>
  <c r="AE27" i="8"/>
  <c r="AG27" i="8" s="1"/>
  <c r="IB28" i="7"/>
  <c r="CD27" i="8" s="1"/>
  <c r="GP39" i="7"/>
  <c r="IR39" i="7"/>
  <c r="HJ45" i="7" s="1"/>
  <c r="R8" i="7"/>
  <c r="AU7" i="8"/>
  <c r="ET39" i="7"/>
  <c r="BX7" i="8"/>
  <c r="HJ39" i="7"/>
  <c r="IU39" i="7"/>
  <c r="BX9" i="7"/>
  <c r="CT9" i="7"/>
  <c r="DB10" i="7"/>
  <c r="R11" i="7"/>
  <c r="FU11" i="7"/>
  <c r="BX10" i="8"/>
  <c r="BX12" i="7"/>
  <c r="IB12" i="7"/>
  <c r="IC12" i="7" s="1"/>
  <c r="AJ13" i="7"/>
  <c r="AC12" i="8"/>
  <c r="AN13" i="7"/>
  <c r="CK13" i="7"/>
  <c r="AJ14" i="7"/>
  <c r="T14" i="8"/>
  <c r="CP15" i="7"/>
  <c r="O15" i="8"/>
  <c r="CB16" i="7"/>
  <c r="BZ15" i="8"/>
  <c r="AH17" i="8"/>
  <c r="AH27" i="8"/>
  <c r="AH31" i="8"/>
  <c r="FW69" i="7"/>
  <c r="FG32" i="7" s="1"/>
  <c r="FT32" i="7" s="1"/>
  <c r="FM32" i="7" s="1"/>
  <c r="FV69" i="7"/>
  <c r="EQ32" i="7" s="1"/>
  <c r="AE39" i="7"/>
  <c r="H7" i="8"/>
  <c r="O14" i="8"/>
  <c r="CB15" i="7"/>
  <c r="D22" i="8"/>
  <c r="CB14" i="7"/>
  <c r="Z17" i="8"/>
  <c r="AN18" i="7"/>
  <c r="AA7" i="8"/>
  <c r="AA38" i="8" s="1"/>
  <c r="C53" i="8" s="1"/>
  <c r="BG39" i="7"/>
  <c r="BX8" i="8"/>
  <c r="BX10" i="7"/>
  <c r="DB11" i="7"/>
  <c r="BN39" i="7"/>
  <c r="FU8" i="7"/>
  <c r="D7" i="8"/>
  <c r="T39" i="7"/>
  <c r="K7" i="8"/>
  <c r="AR39" i="7"/>
  <c r="Z7" i="8"/>
  <c r="BR39" i="7"/>
  <c r="CO39" i="7"/>
  <c r="T7" i="8"/>
  <c r="AD7" i="8"/>
  <c r="AD38" i="8" s="1"/>
  <c r="C57" i="8" s="1"/>
  <c r="DR39" i="7"/>
  <c r="AV7" i="8"/>
  <c r="AV38" i="8" s="1"/>
  <c r="EW39" i="7"/>
  <c r="BY7" i="8"/>
  <c r="HM39" i="7"/>
  <c r="IX39" i="7"/>
  <c r="AJ10" i="7"/>
  <c r="CX12" i="7"/>
  <c r="IB13" i="7"/>
  <c r="IC13" i="7" s="1"/>
  <c r="AN15" i="7"/>
  <c r="DF16" i="7"/>
  <c r="AJ17" i="7"/>
  <c r="BZ16" i="8"/>
  <c r="CX21" i="7"/>
  <c r="AS23" i="7"/>
  <c r="X26" i="7"/>
  <c r="G25" i="8" s="1"/>
  <c r="O25" i="8"/>
  <c r="CK26" i="7"/>
  <c r="DG26" i="7" s="1"/>
  <c r="CB26" i="7"/>
  <c r="D27" i="8"/>
  <c r="CA39" i="7"/>
  <c r="O20" i="8"/>
  <c r="CK21" i="7"/>
  <c r="DG21" i="7" s="1"/>
  <c r="CB21" i="7"/>
  <c r="BA7" i="8"/>
  <c r="FJ39" i="7"/>
  <c r="BX11" i="8"/>
  <c r="DB8" i="7"/>
  <c r="AN8" i="7"/>
  <c r="BP39" i="7"/>
  <c r="AE7" i="8"/>
  <c r="AG7" i="8" s="1"/>
  <c r="EZ39" i="7"/>
  <c r="EZ45" i="7"/>
  <c r="BZ7" i="8"/>
  <c r="JA39" i="7"/>
  <c r="AC9" i="8"/>
  <c r="FB48" i="7"/>
  <c r="FD48" i="7" s="1"/>
  <c r="FJ48" i="7" s="1"/>
  <c r="AN14" i="7"/>
  <c r="AE13" i="8"/>
  <c r="AG13" i="8" s="1"/>
  <c r="IB14" i="7"/>
  <c r="IC14" i="7" s="1"/>
  <c r="FB51" i="7"/>
  <c r="FD51" i="7" s="1"/>
  <c r="GG16" i="7"/>
  <c r="AR15" i="8" s="1"/>
  <c r="CB15" i="8"/>
  <c r="JH44" i="7"/>
  <c r="D17" i="8"/>
  <c r="BZ17" i="8"/>
  <c r="BX19" i="8"/>
  <c r="KA20" i="7"/>
  <c r="AX20" i="8"/>
  <c r="GG21" i="7"/>
  <c r="AR20" i="8" s="1"/>
  <c r="AI25" i="8"/>
  <c r="X30" i="7"/>
  <c r="R30" i="7"/>
  <c r="AI30" i="8"/>
  <c r="M7" i="8"/>
  <c r="M38" i="8" s="1"/>
  <c r="BC39" i="7"/>
  <c r="CB25" i="8"/>
  <c r="JH54" i="7"/>
  <c r="GS39" i="7"/>
  <c r="BW39" i="7"/>
  <c r="CD42" i="7"/>
  <c r="AH7" i="8"/>
  <c r="DW39" i="7"/>
  <c r="CA7" i="8"/>
  <c r="CK10" i="7"/>
  <c r="DG10" i="7" s="1"/>
  <c r="FT10" i="7"/>
  <c r="FM10" i="7" s="1"/>
  <c r="P11" i="8"/>
  <c r="CH46" i="7"/>
  <c r="FB53" i="7"/>
  <c r="FD53" i="7" s="1"/>
  <c r="K16" i="8"/>
  <c r="AS17" i="7"/>
  <c r="DB17" i="7"/>
  <c r="CA17" i="8"/>
  <c r="T19" i="8"/>
  <c r="CP20" i="7"/>
  <c r="AE22" i="8"/>
  <c r="AG22" i="8" s="1"/>
  <c r="IB23" i="7"/>
  <c r="CD22" i="8" s="1"/>
  <c r="R25" i="7"/>
  <c r="AU24" i="8"/>
  <c r="AJ32" i="7"/>
  <c r="H17" i="8"/>
  <c r="AF18" i="7"/>
  <c r="AF11" i="7"/>
  <c r="AM7" i="8"/>
  <c r="EJ39" i="7"/>
  <c r="E7" i="8"/>
  <c r="E38" i="8" s="1"/>
  <c r="V39" i="7"/>
  <c r="CS39" i="7"/>
  <c r="U7" i="8"/>
  <c r="JD39" i="7"/>
  <c r="BX8" i="7"/>
  <c r="CT8" i="7"/>
  <c r="AI7" i="8"/>
  <c r="DZ39" i="7"/>
  <c r="GG8" i="7"/>
  <c r="CB7" i="8"/>
  <c r="JG39" i="7"/>
  <c r="DB9" i="7"/>
  <c r="FU10" i="7"/>
  <c r="BX9" i="8"/>
  <c r="BX11" i="7"/>
  <c r="CT11" i="7"/>
  <c r="GG11" i="7"/>
  <c r="AR10" i="8" s="1"/>
  <c r="AS13" i="7"/>
  <c r="CT13" i="7"/>
  <c r="K13" i="8"/>
  <c r="AS14" i="7"/>
  <c r="CK16" i="7"/>
  <c r="AH22" i="8"/>
  <c r="AK22" i="8" s="1"/>
  <c r="G24" i="7"/>
  <c r="B23" i="8" s="1"/>
  <c r="BZ27" i="8"/>
  <c r="DB29" i="7"/>
  <c r="AZ7" i="8"/>
  <c r="X10" i="7"/>
  <c r="G9" i="8" s="1"/>
  <c r="FA10" i="7"/>
  <c r="P10" i="8"/>
  <c r="CH45" i="7"/>
  <c r="G8" i="7"/>
  <c r="R9" i="7"/>
  <c r="Q39" i="7"/>
  <c r="HE39" i="7"/>
  <c r="C39" i="7"/>
  <c r="L7" i="8"/>
  <c r="L38" i="8" s="1"/>
  <c r="AZ39" i="7"/>
  <c r="W7" i="8"/>
  <c r="IB8" i="7"/>
  <c r="IC8" i="7" s="1"/>
  <c r="JJ39" i="7"/>
  <c r="IB11" i="7"/>
  <c r="IC11" i="7" s="1"/>
  <c r="AJ12" i="7"/>
  <c r="BX14" i="8"/>
  <c r="AC15" i="8"/>
  <c r="AN16" i="7"/>
  <c r="U17" i="8"/>
  <c r="CT18" i="7"/>
  <c r="BA18" i="8"/>
  <c r="FU19" i="7"/>
  <c r="FT19" i="7"/>
  <c r="FM19" i="7" s="1"/>
  <c r="FB64" i="7"/>
  <c r="FD64" i="7" s="1"/>
  <c r="FJ64" i="7" s="1"/>
  <c r="U27" i="8"/>
  <c r="CT28" i="7"/>
  <c r="CA27" i="8"/>
  <c r="FB66" i="7"/>
  <c r="FD66" i="7" s="1"/>
  <c r="CX34" i="7"/>
  <c r="X18" i="7"/>
  <c r="G17" i="8" s="1"/>
  <c r="CB17" i="8"/>
  <c r="JH46" i="7"/>
  <c r="X23" i="7"/>
  <c r="G22" i="8" s="1"/>
  <c r="CB22" i="8"/>
  <c r="JH51" i="7"/>
  <c r="X28" i="7"/>
  <c r="G27" i="8" s="1"/>
  <c r="T31" i="8"/>
  <c r="CP32" i="7"/>
  <c r="CB33" i="8"/>
  <c r="JH62" i="7"/>
  <c r="FI48" i="7"/>
  <c r="BZ14" i="8"/>
  <c r="BX16" i="8"/>
  <c r="AJ19" i="7"/>
  <c r="DF19" i="7"/>
  <c r="AS20" i="7"/>
  <c r="AF21" i="7"/>
  <c r="DB21" i="7"/>
  <c r="AN22" i="7"/>
  <c r="FU22" i="7"/>
  <c r="BX21" i="8"/>
  <c r="AJ24" i="7"/>
  <c r="DF24" i="7"/>
  <c r="AS25" i="7"/>
  <c r="AF26" i="7"/>
  <c r="DB26" i="7"/>
  <c r="AN27" i="7"/>
  <c r="FU27" i="7"/>
  <c r="BX26" i="8"/>
  <c r="AJ29" i="7"/>
  <c r="DF29" i="7"/>
  <c r="CP30" i="7"/>
  <c r="FB67" i="7"/>
  <c r="FD67" i="7" s="1"/>
  <c r="FJ67" i="7" s="1"/>
  <c r="BZ29" i="8"/>
  <c r="CB31" i="7"/>
  <c r="U31" i="8"/>
  <c r="CT32" i="7"/>
  <c r="GG34" i="7"/>
  <c r="FI45" i="7"/>
  <c r="AC18" i="8"/>
  <c r="GG20" i="7"/>
  <c r="AR19" i="8" s="1"/>
  <c r="CB19" i="8"/>
  <c r="JH48" i="7"/>
  <c r="AC23" i="8"/>
  <c r="GG25" i="7"/>
  <c r="AR24" i="8" s="1"/>
  <c r="CX28" i="7"/>
  <c r="AC28" i="8"/>
  <c r="AS30" i="7"/>
  <c r="CA29" i="8"/>
  <c r="AF31" i="7"/>
  <c r="DB31" i="7"/>
  <c r="BH31" i="8"/>
  <c r="O32" i="8"/>
  <c r="CB33" i="7"/>
  <c r="AN37" i="7"/>
  <c r="J36" i="8" s="1"/>
  <c r="GG38" i="7"/>
  <c r="FI54" i="7"/>
  <c r="BX18" i="8"/>
  <c r="FB59" i="7"/>
  <c r="FD59" i="7" s="1"/>
  <c r="BZ21" i="8"/>
  <c r="BX23" i="8"/>
  <c r="BZ26" i="8"/>
  <c r="BX28" i="8"/>
  <c r="CB29" i="8"/>
  <c r="JH58" i="7"/>
  <c r="O33" i="8"/>
  <c r="CK34" i="7"/>
  <c r="DG34" i="7" s="1"/>
  <c r="CB34" i="7"/>
  <c r="JH47" i="7"/>
  <c r="FI57" i="7"/>
  <c r="FI60" i="7"/>
  <c r="CA16" i="8"/>
  <c r="R19" i="7"/>
  <c r="CX20" i="7"/>
  <c r="AC20" i="8"/>
  <c r="AS22" i="7"/>
  <c r="CA21" i="8"/>
  <c r="AF23" i="7"/>
  <c r="DB23" i="7"/>
  <c r="R24" i="7"/>
  <c r="CX25" i="7"/>
  <c r="AC25" i="8"/>
  <c r="AS27" i="7"/>
  <c r="CA26" i="8"/>
  <c r="AF28" i="7"/>
  <c r="DB28" i="7"/>
  <c r="R29" i="7"/>
  <c r="IB30" i="7"/>
  <c r="CD29" i="8" s="1"/>
  <c r="AJ31" i="7"/>
  <c r="DF31" i="7"/>
  <c r="BX31" i="8"/>
  <c r="AC34" i="8"/>
  <c r="AN35" i="7"/>
  <c r="BX36" i="8"/>
  <c r="CB16" i="8"/>
  <c r="JH45" i="7"/>
  <c r="BZ18" i="8"/>
  <c r="BX20" i="8"/>
  <c r="X22" i="7"/>
  <c r="G21" i="8" s="1"/>
  <c r="CB21" i="8"/>
  <c r="JH50" i="7"/>
  <c r="FT26" i="7"/>
  <c r="FM26" i="7" s="1"/>
  <c r="X27" i="7"/>
  <c r="G26" i="8" s="1"/>
  <c r="CB26" i="8"/>
  <c r="JH55" i="7"/>
  <c r="CP29" i="7"/>
  <c r="BZ28" i="8"/>
  <c r="V29" i="8"/>
  <c r="CX30" i="7"/>
  <c r="AC30" i="8"/>
  <c r="CK31" i="7"/>
  <c r="DG31" i="7" s="1"/>
  <c r="DB32" i="7"/>
  <c r="FW52" i="7"/>
  <c r="FG15" i="7" s="1"/>
  <c r="FV52" i="7"/>
  <c r="FI64" i="7"/>
  <c r="AJ18" i="7"/>
  <c r="DF18" i="7"/>
  <c r="AS19" i="7"/>
  <c r="CA18" i="8"/>
  <c r="AF20" i="7"/>
  <c r="DB20" i="7"/>
  <c r="R21" i="7"/>
  <c r="IB22" i="7"/>
  <c r="CD21" i="8" s="1"/>
  <c r="AJ23" i="7"/>
  <c r="DF23" i="7"/>
  <c r="AS24" i="7"/>
  <c r="AF25" i="7"/>
  <c r="DB25" i="7"/>
  <c r="R26" i="7"/>
  <c r="FU26" i="7"/>
  <c r="BX25" i="8"/>
  <c r="AK28" i="8"/>
  <c r="CA28" i="8"/>
  <c r="BX30" i="8"/>
  <c r="O31" i="8"/>
  <c r="CK32" i="7"/>
  <c r="DG32" i="7" s="1"/>
  <c r="CK33" i="7"/>
  <c r="CK38" i="7"/>
  <c r="CB38" i="7"/>
  <c r="FW55" i="7"/>
  <c r="FG18" i="7" s="1"/>
  <c r="FT18" i="7" s="1"/>
  <c r="FM18" i="7" s="1"/>
  <c r="FV55" i="7"/>
  <c r="EQ18" i="7" s="1"/>
  <c r="FW58" i="7"/>
  <c r="FG21" i="7" s="1"/>
  <c r="FT21" i="7" s="1"/>
  <c r="FM21" i="7" s="1"/>
  <c r="FV58" i="7"/>
  <c r="EQ21" i="7" s="1"/>
  <c r="FI63" i="7"/>
  <c r="AF15" i="7"/>
  <c r="CX17" i="7"/>
  <c r="AC17" i="8"/>
  <c r="CK18" i="7"/>
  <c r="DG18" i="7" s="1"/>
  <c r="CT19" i="7"/>
  <c r="GG19" i="7"/>
  <c r="AR18" i="8" s="1"/>
  <c r="CP21" i="7"/>
  <c r="BZ20" i="8"/>
  <c r="CX22" i="7"/>
  <c r="AC22" i="8"/>
  <c r="CK23" i="7"/>
  <c r="DG23" i="7" s="1"/>
  <c r="CT24" i="7"/>
  <c r="GG24" i="7"/>
  <c r="AR23" i="8" s="1"/>
  <c r="CP26" i="7"/>
  <c r="CX27" i="7"/>
  <c r="AC27" i="8"/>
  <c r="CK28" i="7"/>
  <c r="DG28" i="7" s="1"/>
  <c r="CT29" i="7"/>
  <c r="GG29" i="7"/>
  <c r="AR28" i="8" s="1"/>
  <c r="AF30" i="7"/>
  <c r="DB30" i="7"/>
  <c r="CA31" i="8"/>
  <c r="AC32" i="8"/>
  <c r="AZ33" i="8"/>
  <c r="FU34" i="7"/>
  <c r="FT34" i="7"/>
  <c r="FM34" i="7" s="1"/>
  <c r="FU38" i="7"/>
  <c r="FT38" i="7"/>
  <c r="FM38" i="7" s="1"/>
  <c r="FW70" i="7"/>
  <c r="FG33" i="7" s="1"/>
  <c r="FV70" i="7"/>
  <c r="EQ33" i="7" s="1"/>
  <c r="BX17" i="8"/>
  <c r="CA20" i="8"/>
  <c r="BX22" i="8"/>
  <c r="BH23" i="8"/>
  <c r="BZ25" i="8"/>
  <c r="BX27" i="8"/>
  <c r="CB28" i="8"/>
  <c r="JH57" i="7"/>
  <c r="FB68" i="7"/>
  <c r="FD68" i="7" s="1"/>
  <c r="FJ68" i="7" s="1"/>
  <c r="BZ30" i="8"/>
  <c r="T32" i="8"/>
  <c r="CP33" i="7"/>
  <c r="X38" i="7"/>
  <c r="G37" i="8" s="1"/>
  <c r="BX12" i="8"/>
  <c r="CX19" i="7"/>
  <c r="AC19" i="8"/>
  <c r="CK20" i="7"/>
  <c r="DG20" i="7" s="1"/>
  <c r="CT21" i="7"/>
  <c r="CB20" i="8"/>
  <c r="JH49" i="7"/>
  <c r="AF22" i="7"/>
  <c r="DB22" i="7"/>
  <c r="CX24" i="7"/>
  <c r="AC24" i="8"/>
  <c r="CK25" i="7"/>
  <c r="DG25" i="7" s="1"/>
  <c r="CT26" i="7"/>
  <c r="CA25" i="8"/>
  <c r="AF27" i="7"/>
  <c r="DB27" i="7"/>
  <c r="CX29" i="7"/>
  <c r="IB29" i="7"/>
  <c r="KA29" i="7" s="1"/>
  <c r="AJ30" i="7"/>
  <c r="AS31" i="7"/>
  <c r="CA30" i="8"/>
  <c r="AF32" i="7"/>
  <c r="FB69" i="7"/>
  <c r="FD69" i="7" s="1"/>
  <c r="FJ69" i="7" s="1"/>
  <c r="AX31" i="8"/>
  <c r="GG32" i="7"/>
  <c r="AR31" i="8" s="1"/>
  <c r="X33" i="7"/>
  <c r="G32" i="8" s="1"/>
  <c r="BX32" i="8"/>
  <c r="JH56" i="7"/>
  <c r="BX34" i="8"/>
  <c r="FH63" i="7"/>
  <c r="FH64" i="7"/>
  <c r="FI72" i="7"/>
  <c r="FI73" i="7"/>
  <c r="R35" i="7"/>
  <c r="CX36" i="7"/>
  <c r="R37" i="7"/>
  <c r="AF38" i="7"/>
  <c r="DB38" i="7"/>
  <c r="FH49" i="7"/>
  <c r="FV61" i="7"/>
  <c r="EQ24" i="7" s="1"/>
  <c r="AF21" i="8"/>
  <c r="JH63" i="7"/>
  <c r="FV65" i="7"/>
  <c r="EQ28" i="7" s="1"/>
  <c r="EZ74" i="7"/>
  <c r="FA75" i="7"/>
  <c r="FI49" i="7"/>
  <c r="AF10" i="8"/>
  <c r="FI74" i="7"/>
  <c r="AC31" i="8"/>
  <c r="CT33" i="7"/>
  <c r="GG33" i="7"/>
  <c r="AR32" i="8" s="1"/>
  <c r="AS35" i="7"/>
  <c r="CA34" i="8"/>
  <c r="AF36" i="7"/>
  <c r="DB36" i="7"/>
  <c r="AS37" i="7"/>
  <c r="AJ38" i="7"/>
  <c r="EN38" i="7"/>
  <c r="FH52" i="7"/>
  <c r="FH55" i="7"/>
  <c r="FH58" i="7"/>
  <c r="JH60" i="7"/>
  <c r="FH74" i="7"/>
  <c r="FI75" i="7"/>
  <c r="IB33" i="7"/>
  <c r="CD32" i="8" s="1"/>
  <c r="GG35" i="7"/>
  <c r="GG37" i="7"/>
  <c r="BX37" i="8"/>
  <c r="D78" i="7"/>
  <c r="BT7" i="8"/>
  <c r="BT38" i="8" s="1"/>
  <c r="C61" i="8" s="1"/>
  <c r="DR79" i="7"/>
  <c r="FI52" i="7"/>
  <c r="FV53" i="7"/>
  <c r="FI55" i="7"/>
  <c r="FV56" i="7"/>
  <c r="EQ19" i="7" s="1"/>
  <c r="AF16" i="8"/>
  <c r="FI58" i="7"/>
  <c r="FV59" i="7"/>
  <c r="AF19" i="8"/>
  <c r="FH61" i="7"/>
  <c r="AF7" i="8"/>
  <c r="G78" i="7"/>
  <c r="BU7" i="8"/>
  <c r="BU38" i="8" s="1"/>
  <c r="C62" i="8" s="1"/>
  <c r="DT79" i="7"/>
  <c r="FH50" i="7"/>
  <c r="FI61" i="7"/>
  <c r="AN34" i="7"/>
  <c r="BX33" i="8"/>
  <c r="CX35" i="7"/>
  <c r="BC34" i="8"/>
  <c r="CK36" i="7"/>
  <c r="BX35" i="8"/>
  <c r="CX37" i="7"/>
  <c r="R38" i="7"/>
  <c r="FI50" i="7"/>
  <c r="FV51" i="7"/>
  <c r="EQ14" i="7" s="1"/>
  <c r="AM32" i="8"/>
  <c r="EZ75" i="7"/>
  <c r="FH53" i="7"/>
  <c r="FH56" i="7"/>
  <c r="FH59" i="7"/>
  <c r="CP34" i="7"/>
  <c r="AF35" i="7"/>
  <c r="DB35" i="7"/>
  <c r="AF37" i="7"/>
  <c r="DB37" i="7"/>
  <c r="AS38" i="7"/>
  <c r="FH47" i="7"/>
  <c r="AF14" i="8"/>
  <c r="FV57" i="7"/>
  <c r="EQ20" i="7" s="1"/>
  <c r="FV60" i="7"/>
  <c r="EQ23" i="7" s="1"/>
  <c r="JH61" i="7"/>
  <c r="FH62" i="7"/>
  <c r="FV63" i="7"/>
  <c r="H83" i="7"/>
  <c r="FB73" i="7"/>
  <c r="FD73" i="7" s="1"/>
  <c r="FJ73" i="7" s="1"/>
  <c r="FA74" i="7"/>
  <c r="CT38" i="7"/>
  <c r="IB38" i="7"/>
  <c r="FH72" i="7"/>
  <c r="FH73" i="7"/>
  <c r="FH75" i="7"/>
  <c r="FI66" i="7"/>
  <c r="FI67" i="7"/>
  <c r="FH66" i="7"/>
  <c r="FH67" i="7"/>
  <c r="FH68" i="7"/>
  <c r="FH69" i="7"/>
  <c r="FH51" i="7"/>
  <c r="AF20" i="8"/>
  <c r="FI69" i="7"/>
  <c r="FI70" i="7"/>
  <c r="AF32" i="8"/>
  <c r="FV75" i="7"/>
  <c r="FI68" i="7"/>
  <c r="AF30" i="8"/>
  <c r="AF28" i="8"/>
  <c r="ED23" i="7" l="1"/>
  <c r="ED26" i="7"/>
  <c r="EN35" i="7"/>
  <c r="AK31" i="8"/>
  <c r="ED20" i="7"/>
  <c r="AS31" i="8"/>
  <c r="BM31" i="8" s="1"/>
  <c r="BO31" i="8" s="1"/>
  <c r="AO38" i="7"/>
  <c r="BD38" i="7"/>
  <c r="ED34" i="7"/>
  <c r="AL28" i="8"/>
  <c r="AO28" i="8" s="1"/>
  <c r="AS9" i="8"/>
  <c r="BL9" i="8" s="1"/>
  <c r="BO9" i="8" s="1"/>
  <c r="BD21" i="7"/>
  <c r="ED22" i="7"/>
  <c r="ED17" i="7"/>
  <c r="ED33" i="7"/>
  <c r="ED29" i="7"/>
  <c r="ED21" i="7"/>
  <c r="AK31" i="7"/>
  <c r="DH31" i="7" s="1"/>
  <c r="AS30" i="8"/>
  <c r="BM30" i="8" s="1"/>
  <c r="BO30" i="8" s="1"/>
  <c r="DG8" i="7"/>
  <c r="EN18" i="7"/>
  <c r="AO36" i="7"/>
  <c r="AO32" i="8"/>
  <c r="EN32" i="7"/>
  <c r="ED36" i="7"/>
  <c r="AS24" i="8"/>
  <c r="BO24" i="8" s="1"/>
  <c r="S7" i="8"/>
  <c r="AS21" i="8"/>
  <c r="BO21" i="8" s="1"/>
  <c r="AS11" i="8"/>
  <c r="BL11" i="8" s="1"/>
  <c r="BO11" i="8" s="1"/>
  <c r="ED16" i="7"/>
  <c r="EN20" i="7"/>
  <c r="N35" i="8"/>
  <c r="EN24" i="7"/>
  <c r="FL48" i="7"/>
  <c r="AW10" i="8" s="1"/>
  <c r="AY10" i="8" s="1"/>
  <c r="ED27" i="7"/>
  <c r="ED14" i="7"/>
  <c r="AS25" i="8"/>
  <c r="BO25" i="8" s="1"/>
  <c r="ED31" i="7"/>
  <c r="AK30" i="8"/>
  <c r="ED12" i="7"/>
  <c r="Y13" i="8"/>
  <c r="BH13" i="8" s="1"/>
  <c r="ED19" i="7"/>
  <c r="ED37" i="7"/>
  <c r="ED25" i="7"/>
  <c r="EN31" i="7"/>
  <c r="ED10" i="7"/>
  <c r="ED9" i="7"/>
  <c r="BL8" i="8"/>
  <c r="IC60" i="7"/>
  <c r="ED28" i="7"/>
  <c r="EN30" i="7"/>
  <c r="N37" i="8"/>
  <c r="EN13" i="7"/>
  <c r="KA36" i="7"/>
  <c r="EN22" i="7"/>
  <c r="EN33" i="7"/>
  <c r="AS13" i="8"/>
  <c r="BL13" i="8" s="1"/>
  <c r="BO13" i="8" s="1"/>
  <c r="AS10" i="8"/>
  <c r="BL10" i="8" s="1"/>
  <c r="BO10" i="8" s="1"/>
  <c r="EN10" i="7"/>
  <c r="AS16" i="8"/>
  <c r="BL16" i="8" s="1"/>
  <c r="EN34" i="7"/>
  <c r="BD36" i="7"/>
  <c r="AS32" i="8"/>
  <c r="BM32" i="8" s="1"/>
  <c r="BO32" i="8" s="1"/>
  <c r="EN28" i="7"/>
  <c r="IC46" i="7"/>
  <c r="AK17" i="8"/>
  <c r="EN14" i="7"/>
  <c r="IC74" i="7"/>
  <c r="BF38" i="8"/>
  <c r="IC65" i="7"/>
  <c r="AS35" i="8"/>
  <c r="BM35" i="8" s="1"/>
  <c r="BO35" i="8" s="1"/>
  <c r="KA28" i="7"/>
  <c r="ED15" i="7"/>
  <c r="IC33" i="7"/>
  <c r="AS12" i="8"/>
  <c r="BL12" i="8" s="1"/>
  <c r="IC18" i="7"/>
  <c r="AK25" i="8"/>
  <c r="AS27" i="8"/>
  <c r="BM27" i="8" s="1"/>
  <c r="BO27" i="8" s="1"/>
  <c r="AS15" i="8"/>
  <c r="BL15" i="8" s="1"/>
  <c r="AS20" i="8"/>
  <c r="BO20" i="8" s="1"/>
  <c r="AS23" i="8"/>
  <c r="BO23" i="8" s="1"/>
  <c r="IC72" i="7"/>
  <c r="AS26" i="8"/>
  <c r="BO26" i="8" s="1"/>
  <c r="AS18" i="8"/>
  <c r="BO18" i="8" s="1"/>
  <c r="IC19" i="7"/>
  <c r="AS22" i="8"/>
  <c r="BO22" i="8" s="1"/>
  <c r="AQ38" i="8"/>
  <c r="AS14" i="8"/>
  <c r="BL14" i="8" s="1"/>
  <c r="BO14" i="8" s="1"/>
  <c r="AS17" i="8"/>
  <c r="BL17" i="8" s="1"/>
  <c r="BO17" i="8" s="1"/>
  <c r="AS19" i="8"/>
  <c r="BO19" i="8" s="1"/>
  <c r="AS28" i="8"/>
  <c r="BM28" i="8" s="1"/>
  <c r="BO28" i="8" s="1"/>
  <c r="AT7" i="8"/>
  <c r="FA8" i="7"/>
  <c r="FD8" i="7"/>
  <c r="IC29" i="7"/>
  <c r="AK36" i="7"/>
  <c r="DH36" i="7" s="1"/>
  <c r="IC55" i="7"/>
  <c r="IC59" i="7"/>
  <c r="IC47" i="7"/>
  <c r="EN27" i="7"/>
  <c r="EN19" i="7"/>
  <c r="AO33" i="7"/>
  <c r="ED24" i="7"/>
  <c r="AO21" i="7"/>
  <c r="ED30" i="7"/>
  <c r="IC58" i="7"/>
  <c r="BD33" i="7"/>
  <c r="EN26" i="7"/>
  <c r="EN16" i="7"/>
  <c r="IC56" i="7"/>
  <c r="AJ7" i="8"/>
  <c r="AJ38" i="8" s="1"/>
  <c r="AR7" i="8"/>
  <c r="AS7" i="8" s="1"/>
  <c r="BL7" i="8" s="1"/>
  <c r="KA10" i="7"/>
  <c r="EN17" i="7"/>
  <c r="AK27" i="8"/>
  <c r="HJ44" i="7"/>
  <c r="EN21" i="7"/>
  <c r="EN25" i="7"/>
  <c r="EN36" i="7"/>
  <c r="BP38" i="8"/>
  <c r="IC34" i="7"/>
  <c r="IC35" i="7"/>
  <c r="IC36" i="7"/>
  <c r="DA15" i="7"/>
  <c r="DA16" i="7"/>
  <c r="IC17" i="7"/>
  <c r="CW16" i="7"/>
  <c r="CW15" i="7"/>
  <c r="IC68" i="7"/>
  <c r="IC70" i="7"/>
  <c r="IC23" i="7"/>
  <c r="IC10" i="7"/>
  <c r="IC22" i="7"/>
  <c r="IC53" i="7"/>
  <c r="AK25" i="7"/>
  <c r="DH25" i="7" s="1"/>
  <c r="EN23" i="7"/>
  <c r="IC67" i="7"/>
  <c r="FA31" i="7"/>
  <c r="IC32" i="7"/>
  <c r="IC28" i="7"/>
  <c r="ED35" i="7"/>
  <c r="IC54" i="7"/>
  <c r="IC52" i="7"/>
  <c r="EN12" i="7"/>
  <c r="ED13" i="7"/>
  <c r="KA31" i="7"/>
  <c r="IC57" i="7"/>
  <c r="DG30" i="7"/>
  <c r="ED32" i="7"/>
  <c r="ED18" i="7"/>
  <c r="EN37" i="7"/>
  <c r="IC37" i="7"/>
  <c r="IC30" i="7"/>
  <c r="IC21" i="7"/>
  <c r="IC31" i="7"/>
  <c r="BE38" i="8"/>
  <c r="BH37" i="8"/>
  <c r="AR37" i="8"/>
  <c r="AS37" i="8" s="1"/>
  <c r="BL37" i="8" s="1"/>
  <c r="DG38" i="7"/>
  <c r="S37" i="8"/>
  <c r="V37" i="8" s="1"/>
  <c r="DG37" i="7"/>
  <c r="AK37" i="7"/>
  <c r="DH37" i="7" s="1"/>
  <c r="G36" i="8"/>
  <c r="N36" i="8" s="1"/>
  <c r="DG36" i="7"/>
  <c r="S35" i="8"/>
  <c r="V35" i="8" s="1"/>
  <c r="IC73" i="7"/>
  <c r="FT36" i="7"/>
  <c r="FM36" i="7" s="1"/>
  <c r="FU36" i="7"/>
  <c r="AR36" i="8"/>
  <c r="AS36" i="8" s="1"/>
  <c r="FD37" i="7"/>
  <c r="AT36" i="8"/>
  <c r="IC71" i="7"/>
  <c r="IC69" i="7"/>
  <c r="AR34" i="8"/>
  <c r="AS34" i="8" s="1"/>
  <c r="BM34" i="8" s="1"/>
  <c r="BO34" i="8" s="1"/>
  <c r="FT35" i="7"/>
  <c r="FM35" i="7" s="1"/>
  <c r="FU35" i="7"/>
  <c r="FK71" i="7"/>
  <c r="FM71" i="7" s="1"/>
  <c r="BB33" i="8" s="1"/>
  <c r="BD33" i="8" s="1"/>
  <c r="FA35" i="7"/>
  <c r="FD35" i="7"/>
  <c r="AR33" i="8"/>
  <c r="AS33" i="8" s="1"/>
  <c r="KA34" i="7"/>
  <c r="FL65" i="7"/>
  <c r="AW27" i="8" s="1"/>
  <c r="GA41" i="7"/>
  <c r="AO32" i="7"/>
  <c r="BG38" i="8"/>
  <c r="CG43" i="8" s="1"/>
  <c r="FK69" i="7"/>
  <c r="FM69" i="7" s="1"/>
  <c r="BB31" i="8" s="1"/>
  <c r="AK32" i="7"/>
  <c r="DH32" i="7" s="1"/>
  <c r="FU31" i="7"/>
  <c r="AR29" i="8"/>
  <c r="AS29" i="8" s="1"/>
  <c r="GG41" i="7"/>
  <c r="AK20" i="7"/>
  <c r="DH20" i="7" s="1"/>
  <c r="N32" i="8"/>
  <c r="CL30" i="7"/>
  <c r="DG29" i="7"/>
  <c r="AK29" i="7"/>
  <c r="DH29" i="7" s="1"/>
  <c r="HY24" i="7"/>
  <c r="HY25" i="7"/>
  <c r="HV24" i="7"/>
  <c r="HV25" i="7"/>
  <c r="CA24" i="8" s="1"/>
  <c r="HP24" i="7"/>
  <c r="HP25" i="7"/>
  <c r="CC24" i="8" s="1"/>
  <c r="HS24" i="7"/>
  <c r="HS25" i="7"/>
  <c r="FJ62" i="7"/>
  <c r="FL62" i="7" s="1"/>
  <c r="AO24" i="7"/>
  <c r="CD24" i="8"/>
  <c r="FT25" i="7"/>
  <c r="FM25" i="7" s="1"/>
  <c r="FU25" i="7"/>
  <c r="AO25" i="7"/>
  <c r="BD25" i="7"/>
  <c r="FK61" i="7"/>
  <c r="FM61" i="7" s="1"/>
  <c r="BB23" i="8" s="1"/>
  <c r="BD23" i="8" s="1"/>
  <c r="BD24" i="7"/>
  <c r="AK24" i="7"/>
  <c r="DH24" i="7" s="1"/>
  <c r="CL19" i="7"/>
  <c r="FK58" i="7"/>
  <c r="FM58" i="7" s="1"/>
  <c r="BB20" i="8" s="1"/>
  <c r="AO19" i="7"/>
  <c r="FT17" i="7"/>
  <c r="FM17" i="7" s="1"/>
  <c r="FK55" i="7"/>
  <c r="FM55" i="7" s="1"/>
  <c r="BB17" i="8" s="1"/>
  <c r="FL54" i="7"/>
  <c r="AW16" i="8" s="1"/>
  <c r="AY16" i="8" s="1"/>
  <c r="FL55" i="7"/>
  <c r="AW17" i="8" s="1"/>
  <c r="FA17" i="7"/>
  <c r="FD17" i="7"/>
  <c r="DG17" i="7"/>
  <c r="FL52" i="7"/>
  <c r="AW14" i="8" s="1"/>
  <c r="EN11" i="7"/>
  <c r="FU13" i="7"/>
  <c r="AZ12" i="8"/>
  <c r="AK14" i="7"/>
  <c r="DH14" i="7" s="1"/>
  <c r="CL12" i="7"/>
  <c r="DG12" i="7"/>
  <c r="AT8" i="8"/>
  <c r="FD9" i="7"/>
  <c r="FA9" i="7"/>
  <c r="FD13" i="7"/>
  <c r="FU9" i="7"/>
  <c r="FT9" i="7"/>
  <c r="FM9" i="7" s="1"/>
  <c r="FK70" i="7"/>
  <c r="FM70" i="7" s="1"/>
  <c r="BB32" i="8" s="1"/>
  <c r="FL58" i="7"/>
  <c r="AW20" i="8" s="1"/>
  <c r="CL37" i="7"/>
  <c r="FK50" i="7"/>
  <c r="FM50" i="7" s="1"/>
  <c r="BB12" i="8" s="1"/>
  <c r="EC39" i="7"/>
  <c r="CL9" i="7"/>
  <c r="BY38" i="8"/>
  <c r="BX42" i="8" s="1"/>
  <c r="DG19" i="7"/>
  <c r="ED11" i="7"/>
  <c r="FL71" i="7"/>
  <c r="AW33" i="8" s="1"/>
  <c r="FL57" i="7"/>
  <c r="AW19" i="8" s="1"/>
  <c r="FK60" i="7"/>
  <c r="FM60" i="7" s="1"/>
  <c r="BB22" i="8" s="1"/>
  <c r="BD22" i="8" s="1"/>
  <c r="FA13" i="7"/>
  <c r="FK68" i="7"/>
  <c r="FM68" i="7" s="1"/>
  <c r="BB30" i="8" s="1"/>
  <c r="BD30" i="8" s="1"/>
  <c r="AK21" i="7"/>
  <c r="DH21" i="7" s="1"/>
  <c r="CL17" i="7"/>
  <c r="DG24" i="7"/>
  <c r="FU17" i="7"/>
  <c r="EG39" i="7"/>
  <c r="FU37" i="7"/>
  <c r="FL70" i="7"/>
  <c r="AW32" i="8" s="1"/>
  <c r="N31" i="8"/>
  <c r="FL60" i="7"/>
  <c r="AW22" i="8" s="1"/>
  <c r="N28" i="8"/>
  <c r="FL46" i="7"/>
  <c r="AW8" i="8" s="1"/>
  <c r="V18" i="8"/>
  <c r="N23" i="8"/>
  <c r="N20" i="8"/>
  <c r="N18" i="8"/>
  <c r="V28" i="8"/>
  <c r="FA11" i="7"/>
  <c r="FD11" i="7"/>
  <c r="FM62" i="7"/>
  <c r="BB24" i="8" s="1"/>
  <c r="BD24" i="8" s="1"/>
  <c r="CL11" i="7"/>
  <c r="DG11" i="7"/>
  <c r="BD11" i="7"/>
  <c r="DG9" i="7"/>
  <c r="FK47" i="7"/>
  <c r="FM47" i="7" s="1"/>
  <c r="BB9" i="8" s="1"/>
  <c r="BD9" i="8" s="1"/>
  <c r="AT33" i="8"/>
  <c r="FA34" i="7"/>
  <c r="FD34" i="7"/>
  <c r="AT24" i="8"/>
  <c r="FD25" i="7"/>
  <c r="FA25" i="7"/>
  <c r="FA36" i="7"/>
  <c r="FL61" i="7"/>
  <c r="AW23" i="8" s="1"/>
  <c r="Z38" i="8"/>
  <c r="C55" i="8" s="1"/>
  <c r="CL29" i="7"/>
  <c r="FK63" i="7"/>
  <c r="FM63" i="7" s="1"/>
  <c r="BB25" i="8" s="1"/>
  <c r="BD25" i="8" s="1"/>
  <c r="AO29" i="7"/>
  <c r="FK57" i="7"/>
  <c r="FM57" i="7" s="1"/>
  <c r="BB19" i="8" s="1"/>
  <c r="BD19" i="8" s="1"/>
  <c r="CL22" i="7"/>
  <c r="BD29" i="7"/>
  <c r="N9" i="8"/>
  <c r="AO10" i="7"/>
  <c r="AO11" i="7"/>
  <c r="DG22" i="7"/>
  <c r="AK9" i="7"/>
  <c r="DH9" i="7" s="1"/>
  <c r="FA37" i="7"/>
  <c r="KA37" i="7"/>
  <c r="KA19" i="7"/>
  <c r="BD10" i="7"/>
  <c r="N30" i="8"/>
  <c r="FD31" i="7"/>
  <c r="S34" i="8"/>
  <c r="V34" i="8" s="1"/>
  <c r="KA32" i="7"/>
  <c r="FK54" i="7"/>
  <c r="FM54" i="7" s="1"/>
  <c r="BB16" i="8" s="1"/>
  <c r="BD16" i="8" s="1"/>
  <c r="FK49" i="7"/>
  <c r="FM49" i="7" s="1"/>
  <c r="BB11" i="8" s="1"/>
  <c r="BD11" i="8" s="1"/>
  <c r="CL27" i="7"/>
  <c r="BD26" i="7"/>
  <c r="HJ46" i="7"/>
  <c r="DG27" i="7"/>
  <c r="BD19" i="7"/>
  <c r="V11" i="8"/>
  <c r="BD32" i="7"/>
  <c r="KA35" i="7"/>
  <c r="N10" i="8"/>
  <c r="N24" i="8"/>
  <c r="CL24" i="7"/>
  <c r="FT31" i="7"/>
  <c r="FM31" i="7" s="1"/>
  <c r="FK46" i="7"/>
  <c r="FM46" i="7" s="1"/>
  <c r="BB8" i="8" s="1"/>
  <c r="BD8" i="8" s="1"/>
  <c r="G7" i="8"/>
  <c r="AF38" i="8"/>
  <c r="C59" i="8" s="1"/>
  <c r="AT11" i="8"/>
  <c r="FD12" i="7"/>
  <c r="FA12" i="7"/>
  <c r="AT28" i="8"/>
  <c r="FD29" i="7"/>
  <c r="FA29" i="7"/>
  <c r="AT26" i="8"/>
  <c r="FD27" i="7"/>
  <c r="FA27" i="7"/>
  <c r="FA30" i="7"/>
  <c r="AT29" i="8"/>
  <c r="FD30" i="7"/>
  <c r="EQ15" i="7"/>
  <c r="FA15" i="7" s="1"/>
  <c r="FT37" i="7"/>
  <c r="FM37" i="7" s="1"/>
  <c r="FD36" i="7"/>
  <c r="FA14" i="7"/>
  <c r="EQ26" i="7"/>
  <c r="FA26" i="7" s="1"/>
  <c r="EQ38" i="7"/>
  <c r="EQ22" i="7"/>
  <c r="AT21" i="8" s="1"/>
  <c r="EQ16" i="7"/>
  <c r="FA16" i="7" s="1"/>
  <c r="BS38" i="8"/>
  <c r="BC38" i="8"/>
  <c r="AX38" i="8"/>
  <c r="BQ38" i="8"/>
  <c r="FL49" i="7"/>
  <c r="AW11" i="8" s="1"/>
  <c r="FL63" i="7"/>
  <c r="AW25" i="8" s="1"/>
  <c r="FL68" i="7"/>
  <c r="AW30" i="8" s="1"/>
  <c r="AY30" i="8" s="1"/>
  <c r="FK65" i="7"/>
  <c r="FM65" i="7" s="1"/>
  <c r="BB27" i="8" s="1"/>
  <c r="BD27" i="8" s="1"/>
  <c r="FK48" i="7"/>
  <c r="FM48" i="7" s="1"/>
  <c r="FL69" i="7"/>
  <c r="AW31" i="8" s="1"/>
  <c r="FL47" i="7"/>
  <c r="AW9" i="8" s="1"/>
  <c r="AY9" i="8" s="1"/>
  <c r="FL56" i="7"/>
  <c r="AW18" i="8" s="1"/>
  <c r="FL67" i="7"/>
  <c r="AW29" i="8" s="1"/>
  <c r="FK67" i="7"/>
  <c r="FM67" i="7" s="1"/>
  <c r="BB29" i="8" s="1"/>
  <c r="BD29" i="8" s="1"/>
  <c r="FK56" i="7"/>
  <c r="FM56" i="7" s="1"/>
  <c r="BB18" i="8" s="1"/>
  <c r="BD18" i="8" s="1"/>
  <c r="FL50" i="7"/>
  <c r="FK52" i="7"/>
  <c r="FM52" i="7" s="1"/>
  <c r="BB14" i="8" s="1"/>
  <c r="KA18" i="7"/>
  <c r="KA21" i="7"/>
  <c r="KA17" i="7"/>
  <c r="P38" i="8"/>
  <c r="V10" i="8"/>
  <c r="DG35" i="7"/>
  <c r="N25" i="8"/>
  <c r="BD20" i="7"/>
  <c r="J19" i="8"/>
  <c r="N19" i="8" s="1"/>
  <c r="AO26" i="7"/>
  <c r="BD31" i="7"/>
  <c r="AO31" i="7"/>
  <c r="AS39" i="7"/>
  <c r="AF39" i="7"/>
  <c r="AK34" i="7"/>
  <c r="DH34" i="7" s="1"/>
  <c r="AK35" i="7"/>
  <c r="DH35" i="7" s="1"/>
  <c r="AK19" i="7"/>
  <c r="DH19" i="7" s="1"/>
  <c r="AK11" i="7"/>
  <c r="DH11" i="7" s="1"/>
  <c r="AK16" i="7"/>
  <c r="DH16" i="7" s="1"/>
  <c r="AK13" i="7"/>
  <c r="DH13" i="7" s="1"/>
  <c r="AK17" i="7"/>
  <c r="DH17" i="7" s="1"/>
  <c r="AK33" i="7"/>
  <c r="DH33" i="7" s="1"/>
  <c r="AK26" i="7"/>
  <c r="DH26" i="7" s="1"/>
  <c r="AK15" i="7"/>
  <c r="DH15" i="7" s="1"/>
  <c r="FJ72" i="7"/>
  <c r="FL72" i="7" s="1"/>
  <c r="U38" i="8"/>
  <c r="FM72" i="7"/>
  <c r="BB34" i="8" s="1"/>
  <c r="BD34" i="8" s="1"/>
  <c r="CP39" i="7"/>
  <c r="CK39" i="7"/>
  <c r="AT19" i="8"/>
  <c r="FD20" i="7"/>
  <c r="CL36" i="7"/>
  <c r="FB74" i="7"/>
  <c r="FD74" i="7" s="1"/>
  <c r="CL38" i="7"/>
  <c r="CD7" i="8"/>
  <c r="IC45" i="7" s="1"/>
  <c r="KA8" i="7"/>
  <c r="G29" i="8"/>
  <c r="AK30" i="7"/>
  <c r="DH30" i="7" s="1"/>
  <c r="AK10" i="7"/>
  <c r="DH10" i="7" s="1"/>
  <c r="V14" i="8"/>
  <c r="KA33" i="7"/>
  <c r="J22" i="8"/>
  <c r="N22" i="8" s="1"/>
  <c r="AO23" i="7"/>
  <c r="BD23" i="7"/>
  <c r="BD37" i="7"/>
  <c r="AO37" i="7"/>
  <c r="J7" i="8"/>
  <c r="AN39" i="7"/>
  <c r="BD8" i="7"/>
  <c r="AO8" i="7"/>
  <c r="HJ43" i="7"/>
  <c r="HI43" i="7"/>
  <c r="AU38" i="8"/>
  <c r="AC38" i="8"/>
  <c r="C56" i="8" s="1"/>
  <c r="I38" i="8"/>
  <c r="AZ17" i="8"/>
  <c r="FU18" i="7"/>
  <c r="FJ53" i="7"/>
  <c r="FL53" i="7" s="1"/>
  <c r="FK53" i="7"/>
  <c r="FM53" i="7" s="1"/>
  <c r="BB15" i="8" s="1"/>
  <c r="BD15" i="8" s="1"/>
  <c r="AK38" i="7"/>
  <c r="DH38" i="7" s="1"/>
  <c r="FL64" i="7"/>
  <c r="KA30" i="7"/>
  <c r="FK51" i="7"/>
  <c r="FM51" i="7" s="1"/>
  <c r="BB13" i="8" s="1"/>
  <c r="BD13" i="8" s="1"/>
  <c r="FJ51" i="7"/>
  <c r="FL51" i="7" s="1"/>
  <c r="K38" i="8"/>
  <c r="H38" i="8"/>
  <c r="R39" i="7"/>
  <c r="AJ39" i="7"/>
  <c r="N39" i="7"/>
  <c r="S22" i="8"/>
  <c r="V22" i="8" s="1"/>
  <c r="CL23" i="7"/>
  <c r="J34" i="8"/>
  <c r="N34" i="8" s="1"/>
  <c r="BD35" i="7"/>
  <c r="AO35" i="7"/>
  <c r="AK18" i="7"/>
  <c r="DH18" i="7" s="1"/>
  <c r="CD13" i="8"/>
  <c r="IC51" i="7" s="1"/>
  <c r="KA14" i="7"/>
  <c r="AK28" i="7"/>
  <c r="DH28" i="7" s="1"/>
  <c r="S12" i="8"/>
  <c r="V12" i="8" s="1"/>
  <c r="CL13" i="7"/>
  <c r="S13" i="8"/>
  <c r="V13" i="8" s="1"/>
  <c r="CL14" i="7"/>
  <c r="DG13" i="7"/>
  <c r="C38" i="8"/>
  <c r="FG39" i="7"/>
  <c r="AT32" i="8"/>
  <c r="FD33" i="7"/>
  <c r="FA33" i="7"/>
  <c r="AK22" i="7"/>
  <c r="DH22" i="7" s="1"/>
  <c r="B7" i="8"/>
  <c r="G39" i="7"/>
  <c r="AH38" i="8"/>
  <c r="D38" i="8"/>
  <c r="AT31" i="8"/>
  <c r="FD32" i="7"/>
  <c r="FA32" i="7"/>
  <c r="J12" i="8"/>
  <c r="N12" i="8" s="1"/>
  <c r="AO13" i="7"/>
  <c r="BD13" i="7"/>
  <c r="FA20" i="7"/>
  <c r="AT13" i="8"/>
  <c r="FD14" i="7"/>
  <c r="FB75" i="7"/>
  <c r="FD75" i="7" s="1"/>
  <c r="AT27" i="8"/>
  <c r="FD28" i="7"/>
  <c r="FA28" i="7"/>
  <c r="AZ32" i="8"/>
  <c r="FU33" i="7"/>
  <c r="FT33" i="7"/>
  <c r="FM33" i="7" s="1"/>
  <c r="S32" i="8"/>
  <c r="V32" i="8" s="1"/>
  <c r="CL33" i="7"/>
  <c r="DG33" i="7"/>
  <c r="J26" i="8"/>
  <c r="N26" i="8" s="1"/>
  <c r="BD27" i="7"/>
  <c r="AO27" i="7"/>
  <c r="AK27" i="7"/>
  <c r="DH27" i="7" s="1"/>
  <c r="FJ66" i="7"/>
  <c r="FL66" i="7" s="1"/>
  <c r="FK66" i="7"/>
  <c r="FM66" i="7" s="1"/>
  <c r="BB28" i="8" s="1"/>
  <c r="BD28" i="8" s="1"/>
  <c r="CD10" i="8"/>
  <c r="IC48" i="7" s="1"/>
  <c r="KA11" i="7"/>
  <c r="CE42" i="7"/>
  <c r="CF42" i="7" s="1"/>
  <c r="J13" i="8"/>
  <c r="N13" i="8" s="1"/>
  <c r="AO14" i="7"/>
  <c r="BD14" i="7"/>
  <c r="J17" i="8"/>
  <c r="N17" i="8" s="1"/>
  <c r="AO18" i="7"/>
  <c r="BD18" i="7"/>
  <c r="CF10" i="7"/>
  <c r="Q9" i="8" s="1"/>
  <c r="J27" i="8"/>
  <c r="N27" i="8" s="1"/>
  <c r="AO28" i="7"/>
  <c r="BD28" i="7"/>
  <c r="J16" i="8"/>
  <c r="N16" i="8" s="1"/>
  <c r="BD17" i="7"/>
  <c r="AO17" i="7"/>
  <c r="CD37" i="8"/>
  <c r="IC75" i="7" s="1"/>
  <c r="IC38" i="7"/>
  <c r="S17" i="8"/>
  <c r="V17" i="8" s="1"/>
  <c r="CL18" i="7"/>
  <c r="AT18" i="8"/>
  <c r="FD19" i="7"/>
  <c r="FA19" i="7"/>
  <c r="S24" i="8"/>
  <c r="V24" i="8" s="1"/>
  <c r="CL25" i="7"/>
  <c r="KA38" i="7"/>
  <c r="S30" i="8"/>
  <c r="V30" i="8" s="1"/>
  <c r="CL31" i="7"/>
  <c r="Y7" i="8"/>
  <c r="AM38" i="8"/>
  <c r="AZ31" i="8"/>
  <c r="FU32" i="7"/>
  <c r="KA23" i="7"/>
  <c r="FJ59" i="7"/>
  <c r="FL59" i="7" s="1"/>
  <c r="FK59" i="7"/>
  <c r="FM59" i="7" s="1"/>
  <c r="BB21" i="8" s="1"/>
  <c r="BD21" i="8" s="1"/>
  <c r="J33" i="8"/>
  <c r="N33" i="8" s="1"/>
  <c r="AO34" i="7"/>
  <c r="BD34" i="7"/>
  <c r="CD28" i="8"/>
  <c r="IC66" i="7" s="1"/>
  <c r="FK73" i="7"/>
  <c r="FM73" i="7" s="1"/>
  <c r="BB35" i="8" s="1"/>
  <c r="BD35" i="8" s="1"/>
  <c r="DT26" i="7"/>
  <c r="DT27" i="7"/>
  <c r="AT20" i="8"/>
  <c r="FA21" i="7"/>
  <c r="FD21" i="7"/>
  <c r="FK64" i="7"/>
  <c r="FM64" i="7" s="1"/>
  <c r="BB26" i="8" s="1"/>
  <c r="BD26" i="8" s="1"/>
  <c r="J15" i="8"/>
  <c r="N15" i="8" s="1"/>
  <c r="AO16" i="7"/>
  <c r="BD16" i="7"/>
  <c r="S15" i="8"/>
  <c r="V15" i="8" s="1"/>
  <c r="CL16" i="7"/>
  <c r="AI38" i="8"/>
  <c r="FB45" i="7"/>
  <c r="FD45" i="7" s="1"/>
  <c r="BA38" i="8"/>
  <c r="S25" i="8"/>
  <c r="V25" i="8" s="1"/>
  <c r="CL26" i="7"/>
  <c r="CD11" i="8"/>
  <c r="IC49" i="7" s="1"/>
  <c r="KA12" i="7"/>
  <c r="G11" i="8"/>
  <c r="AK12" i="7"/>
  <c r="DH12" i="7" s="1"/>
  <c r="J29" i="8"/>
  <c r="BD30" i="7"/>
  <c r="AO30" i="7"/>
  <c r="KA22" i="7"/>
  <c r="X39" i="7"/>
  <c r="S9" i="8"/>
  <c r="CL10" i="7"/>
  <c r="AL38" i="8"/>
  <c r="AO7" i="8"/>
  <c r="AT23" i="8"/>
  <c r="FD24" i="7"/>
  <c r="FA24" i="7"/>
  <c r="AZ20" i="8"/>
  <c r="FU21" i="7"/>
  <c r="S33" i="8"/>
  <c r="V33" i="8" s="1"/>
  <c r="CL34" i="7"/>
  <c r="O38" i="8"/>
  <c r="CT39" i="7"/>
  <c r="J11" i="8"/>
  <c r="BD12" i="7"/>
  <c r="AO12" i="7"/>
  <c r="J8" i="8"/>
  <c r="N8" i="8" s="1"/>
  <c r="BD9" i="7"/>
  <c r="AO9" i="7"/>
  <c r="AT22" i="8"/>
  <c r="FD23" i="7"/>
  <c r="FA23" i="7"/>
  <c r="S27" i="8"/>
  <c r="V27" i="8" s="1"/>
  <c r="CL28" i="7"/>
  <c r="CD12" i="8"/>
  <c r="IC50" i="7" s="1"/>
  <c r="KA13" i="7"/>
  <c r="BX38" i="8"/>
  <c r="BX41" i="8" s="1"/>
  <c r="FL73" i="7"/>
  <c r="AW35" i="8" s="1"/>
  <c r="AY35" i="8" s="1"/>
  <c r="S19" i="8"/>
  <c r="V19" i="8" s="1"/>
  <c r="CL20" i="7"/>
  <c r="AT17" i="8"/>
  <c r="FD18" i="7"/>
  <c r="FA18" i="7"/>
  <c r="S31" i="8"/>
  <c r="V31" i="8" s="1"/>
  <c r="CL32" i="7"/>
  <c r="AZ14" i="8"/>
  <c r="FU15" i="7"/>
  <c r="FT15" i="7"/>
  <c r="FM15" i="7" s="1"/>
  <c r="J21" i="8"/>
  <c r="N21" i="8" s="1"/>
  <c r="BD22" i="7"/>
  <c r="AO22" i="7"/>
  <c r="BX39" i="7"/>
  <c r="S20" i="8"/>
  <c r="V20" i="8" s="1"/>
  <c r="CL21" i="7"/>
  <c r="J14" i="8"/>
  <c r="N14" i="8" s="1"/>
  <c r="BD15" i="7"/>
  <c r="AO15" i="7"/>
  <c r="T38" i="8"/>
  <c r="AK23" i="7"/>
  <c r="DH23" i="7" s="1"/>
  <c r="HJ42" i="7"/>
  <c r="HI42" i="7"/>
  <c r="DF39" i="7"/>
  <c r="BO33" i="6"/>
  <c r="AO38" i="8" l="1"/>
  <c r="C48" i="8" s="1"/>
  <c r="AK7" i="8"/>
  <c r="GU17" i="7"/>
  <c r="BO16" i="8"/>
  <c r="ED39" i="7"/>
  <c r="AK38" i="8"/>
  <c r="C47" i="8" s="1"/>
  <c r="DG16" i="7"/>
  <c r="GU36" i="7"/>
  <c r="BO12" i="8"/>
  <c r="IC25" i="7"/>
  <c r="BO15" i="8"/>
  <c r="BM29" i="8"/>
  <c r="BO29" i="8" s="1"/>
  <c r="GU31" i="7"/>
  <c r="BM36" i="8"/>
  <c r="BO36" i="8" s="1"/>
  <c r="AY8" i="8"/>
  <c r="IC24" i="7"/>
  <c r="BM33" i="8"/>
  <c r="BO33" i="8" s="1"/>
  <c r="W14" i="8"/>
  <c r="CW39" i="7"/>
  <c r="CX15" i="7"/>
  <c r="X15" i="8"/>
  <c r="DB16" i="7"/>
  <c r="AR38" i="8"/>
  <c r="EN39" i="7"/>
  <c r="W15" i="8"/>
  <c r="CX16" i="7"/>
  <c r="X14" i="8"/>
  <c r="DA39" i="7"/>
  <c r="DG15" i="7"/>
  <c r="DB15" i="7"/>
  <c r="CG47" i="8"/>
  <c r="FA38" i="7"/>
  <c r="AT37" i="8"/>
  <c r="FN71" i="7"/>
  <c r="C52" i="8"/>
  <c r="BZ24" i="8"/>
  <c r="KA25" i="7"/>
  <c r="HS39" i="7"/>
  <c r="HI44" i="7" s="1"/>
  <c r="BZ23" i="8"/>
  <c r="KA24" i="7"/>
  <c r="CC23" i="8"/>
  <c r="CC38" i="8" s="1"/>
  <c r="BX46" i="8" s="1"/>
  <c r="HP39" i="7"/>
  <c r="HI47" i="7" s="1"/>
  <c r="CA23" i="8"/>
  <c r="CA38" i="8" s="1"/>
  <c r="BX44" i="8" s="1"/>
  <c r="HV39" i="7"/>
  <c r="HI45" i="7" s="1"/>
  <c r="CB24" i="8"/>
  <c r="JH53" i="7"/>
  <c r="HY39" i="7"/>
  <c r="HI46" i="7" s="1"/>
  <c r="CB23" i="8"/>
  <c r="JH52" i="7"/>
  <c r="FD26" i="7"/>
  <c r="AT25" i="8"/>
  <c r="AY25" i="8" s="1"/>
  <c r="EQ39" i="7"/>
  <c r="AT15" i="8"/>
  <c r="FD16" i="7"/>
  <c r="AT14" i="8"/>
  <c r="AY14" i="8" s="1"/>
  <c r="BD12" i="8"/>
  <c r="FN50" i="7"/>
  <c r="FD38" i="7"/>
  <c r="FN62" i="7"/>
  <c r="FD15" i="7"/>
  <c r="FN63" i="7"/>
  <c r="AY33" i="8"/>
  <c r="GU34" i="7" s="1"/>
  <c r="BD17" i="8"/>
  <c r="AY20" i="8"/>
  <c r="FN55" i="7"/>
  <c r="AW24" i="8"/>
  <c r="AY24" i="8" s="1"/>
  <c r="GU25" i="7" s="1"/>
  <c r="AY11" i="8"/>
  <c r="AW12" i="8"/>
  <c r="AY12" i="8" s="1"/>
  <c r="FN47" i="7"/>
  <c r="FN46" i="7"/>
  <c r="AY17" i="8"/>
  <c r="GU18" i="7" s="1"/>
  <c r="AY22" i="8"/>
  <c r="GU23" i="7" s="1"/>
  <c r="FA22" i="7"/>
  <c r="FD22" i="7"/>
  <c r="AY29" i="8"/>
  <c r="BL38" i="8"/>
  <c r="AS38" i="8"/>
  <c r="CG42" i="8" s="1"/>
  <c r="FM39" i="7"/>
  <c r="AY32" i="8"/>
  <c r="FN49" i="7"/>
  <c r="FN54" i="7"/>
  <c r="FN57" i="7"/>
  <c r="BB10" i="8"/>
  <c r="BD10" i="8" s="1"/>
  <c r="GU11" i="7" s="1"/>
  <c r="FN48" i="7"/>
  <c r="FN58" i="7"/>
  <c r="BD20" i="8"/>
  <c r="FN61" i="7"/>
  <c r="FN65" i="7"/>
  <c r="FN72" i="7"/>
  <c r="AW34" i="8"/>
  <c r="AY34" i="8" s="1"/>
  <c r="GU35" i="7" s="1"/>
  <c r="FN52" i="7"/>
  <c r="AY23" i="8"/>
  <c r="GU24" i="7" s="1"/>
  <c r="BD14" i="8"/>
  <c r="FN56" i="7"/>
  <c r="CL39" i="7"/>
  <c r="V9" i="8"/>
  <c r="GU10" i="7" s="1"/>
  <c r="DH39" i="7"/>
  <c r="FN68" i="7"/>
  <c r="AY19" i="8"/>
  <c r="GU20" i="7" s="1"/>
  <c r="S38" i="8"/>
  <c r="BD31" i="8"/>
  <c r="N11" i="8"/>
  <c r="AY31" i="8"/>
  <c r="FU39" i="7"/>
  <c r="AW21" i="8"/>
  <c r="AY21" i="8" s="1"/>
  <c r="GU22" i="7" s="1"/>
  <c r="FN59" i="7"/>
  <c r="AW15" i="8"/>
  <c r="FN53" i="7"/>
  <c r="AW26" i="8"/>
  <c r="AY26" i="8" s="1"/>
  <c r="FN64" i="7"/>
  <c r="AE26" i="8"/>
  <c r="AG26" i="8" s="1"/>
  <c r="IB27" i="7"/>
  <c r="IC27" i="7" s="1"/>
  <c r="J38" i="8"/>
  <c r="AE25" i="8"/>
  <c r="IB26" i="7"/>
  <c r="IC26" i="7" s="1"/>
  <c r="DT39" i="7"/>
  <c r="AY18" i="8"/>
  <c r="GU19" i="7" s="1"/>
  <c r="N7" i="8"/>
  <c r="FN67" i="7"/>
  <c r="FN73" i="7"/>
  <c r="AW28" i="8"/>
  <c r="AY28" i="8" s="1"/>
  <c r="GU29" i="7" s="1"/>
  <c r="FN66" i="7"/>
  <c r="AW13" i="8"/>
  <c r="AY13" i="8" s="1"/>
  <c r="GU14" i="7" s="1"/>
  <c r="FN51" i="7"/>
  <c r="FN60" i="7"/>
  <c r="FN69" i="7"/>
  <c r="N29" i="8"/>
  <c r="FJ74" i="7"/>
  <c r="FL74" i="7" s="1"/>
  <c r="AW36" i="8" s="1"/>
  <c r="AY36" i="8" s="1"/>
  <c r="FK74" i="7"/>
  <c r="FM74" i="7" s="1"/>
  <c r="BB36" i="8" s="1"/>
  <c r="BD36" i="8" s="1"/>
  <c r="FJ75" i="7"/>
  <c r="FL75" i="7" s="1"/>
  <c r="AW37" i="8" s="1"/>
  <c r="FK75" i="7"/>
  <c r="FM75" i="7" s="1"/>
  <c r="BB37" i="8" s="1"/>
  <c r="BD37" i="8" s="1"/>
  <c r="BD32" i="8"/>
  <c r="FN70" i="7"/>
  <c r="B38" i="8"/>
  <c r="C42" i="8" s="1"/>
  <c r="G38" i="8"/>
  <c r="BH7" i="8"/>
  <c r="AZ38" i="8"/>
  <c r="AK39" i="7"/>
  <c r="AO39" i="7"/>
  <c r="FJ45" i="7"/>
  <c r="FL45" i="7" s="1"/>
  <c r="FK45" i="7"/>
  <c r="FM45" i="7" s="1"/>
  <c r="BB7" i="8" s="1"/>
  <c r="AY27" i="8"/>
  <c r="GU28" i="7" s="1"/>
  <c r="BD39" i="7"/>
  <c r="HV36" i="5"/>
  <c r="HV37" i="5"/>
  <c r="HV38" i="5"/>
  <c r="HS36" i="5"/>
  <c r="HS37" i="5"/>
  <c r="HS38" i="5"/>
  <c r="HP36" i="5"/>
  <c r="HP37" i="5"/>
  <c r="HP38" i="5"/>
  <c r="IB73" i="5"/>
  <c r="IB74" i="5"/>
  <c r="IB75" i="5"/>
  <c r="FU75" i="5"/>
  <c r="FG75" i="5"/>
  <c r="FG74" i="5"/>
  <c r="FU74" i="5"/>
  <c r="FW74" i="5" s="1"/>
  <c r="FG37" i="5" s="1"/>
  <c r="FG73" i="5"/>
  <c r="FG72" i="5"/>
  <c r="FU73" i="5"/>
  <c r="FV73" i="5" s="1"/>
  <c r="FU72" i="5"/>
  <c r="FV72" i="5" s="1"/>
  <c r="GU12" i="7" l="1"/>
  <c r="DG39" i="7"/>
  <c r="GU30" i="7"/>
  <c r="GU13" i="7"/>
  <c r="GU32" i="7"/>
  <c r="IC62" i="7"/>
  <c r="GU33" i="7"/>
  <c r="GU27" i="7"/>
  <c r="GU21" i="7"/>
  <c r="GU37" i="7"/>
  <c r="W38" i="8"/>
  <c r="BO38" i="8"/>
  <c r="FW72" i="5"/>
  <c r="FG35" i="5" s="1"/>
  <c r="FD39" i="7"/>
  <c r="IC61" i="7"/>
  <c r="Y14" i="8"/>
  <c r="X38" i="8"/>
  <c r="Y15" i="8"/>
  <c r="CX39" i="7"/>
  <c r="BM38" i="8"/>
  <c r="DB39" i="7"/>
  <c r="AY37" i="8"/>
  <c r="GU38" i="7" s="1"/>
  <c r="C51" i="8"/>
  <c r="AY15" i="8"/>
  <c r="AT38" i="8"/>
  <c r="CB38" i="8"/>
  <c r="BX45" i="8" s="1"/>
  <c r="BZ38" i="8"/>
  <c r="BX43" i="8" s="1"/>
  <c r="EQ35" i="5"/>
  <c r="FW73" i="5"/>
  <c r="FG36" i="5" s="1"/>
  <c r="FV74" i="5"/>
  <c r="EQ37" i="5" s="1"/>
  <c r="FV75" i="5"/>
  <c r="EQ38" i="5" s="1"/>
  <c r="EQ36" i="5"/>
  <c r="FW75" i="5"/>
  <c r="FG38" i="5" s="1"/>
  <c r="FN74" i="7"/>
  <c r="FN75" i="7"/>
  <c r="CD26" i="8"/>
  <c r="IC64" i="7" s="1"/>
  <c r="KA27" i="7"/>
  <c r="CF8" i="7"/>
  <c r="AG25" i="8"/>
  <c r="AG38" i="8" s="1"/>
  <c r="C60" i="8" s="1"/>
  <c r="AE38" i="8"/>
  <c r="C58" i="8" s="1"/>
  <c r="CF9" i="7"/>
  <c r="Q8" i="8" s="1"/>
  <c r="V8" i="8" s="1"/>
  <c r="GU9" i="7" s="1"/>
  <c r="BB38" i="8"/>
  <c r="BD7" i="8"/>
  <c r="N38" i="8"/>
  <c r="C44" i="8" s="1"/>
  <c r="AW7" i="8"/>
  <c r="FN45" i="7"/>
  <c r="CD25" i="8"/>
  <c r="IC63" i="7" s="1"/>
  <c r="KA26" i="7"/>
  <c r="IC39" i="7"/>
  <c r="IB39" i="7"/>
  <c r="FJ33" i="5"/>
  <c r="CG46" i="8" l="1"/>
  <c r="BH14" i="8"/>
  <c r="GU15" i="7"/>
  <c r="Y38" i="8"/>
  <c r="BH15" i="8"/>
  <c r="GU16" i="7"/>
  <c r="BD38" i="8"/>
  <c r="C50" i="8" s="1"/>
  <c r="GU26" i="7"/>
  <c r="KA39" i="7"/>
  <c r="HJ48" i="7"/>
  <c r="HI48" i="7"/>
  <c r="HI51" i="7" s="1"/>
  <c r="HJ47" i="7"/>
  <c r="HJ51" i="7" s="1"/>
  <c r="Q7" i="8"/>
  <c r="CF39" i="7"/>
  <c r="IC76" i="7"/>
  <c r="CD38" i="8"/>
  <c r="BX47" i="8" s="1"/>
  <c r="BX49" i="8" s="1"/>
  <c r="AW38" i="8"/>
  <c r="AY7" i="8"/>
  <c r="AY38" i="8" s="1"/>
  <c r="FU71" i="5"/>
  <c r="FV71" i="5" s="1"/>
  <c r="EQ34" i="5" s="1"/>
  <c r="FW71" i="5" l="1"/>
  <c r="FG34" i="5" s="1"/>
  <c r="CG41" i="8"/>
  <c r="CG44" i="8" s="1"/>
  <c r="C46" i="8"/>
  <c r="BH38" i="8"/>
  <c r="CG45" i="8" s="1"/>
  <c r="CG48" i="8" s="1"/>
  <c r="C49" i="8"/>
  <c r="Q38" i="8"/>
  <c r="V7" i="8"/>
  <c r="GU8" i="7" s="1"/>
  <c r="FG71" i="5"/>
  <c r="V38" i="8" l="1"/>
  <c r="C45" i="8" s="1"/>
  <c r="C63" i="8" s="1"/>
  <c r="GU39" i="7"/>
  <c r="FU70" i="5"/>
  <c r="FG70" i="5"/>
  <c r="FV70" i="5" l="1"/>
  <c r="EQ33" i="5" s="1"/>
  <c r="FW70" i="5"/>
  <c r="FG33" i="5" s="1"/>
  <c r="HS32" i="5" l="1"/>
  <c r="HV32" i="5"/>
  <c r="IB69" i="5"/>
  <c r="FU69" i="5"/>
  <c r="FW69" i="5" s="1"/>
  <c r="FG32" i="5" s="1"/>
  <c r="FG69" i="5"/>
  <c r="FV69" i="5" l="1"/>
  <c r="EQ32" i="5" s="1"/>
  <c r="FU68" i="5"/>
  <c r="FW68" i="5" s="1"/>
  <c r="FG31" i="5" s="1"/>
  <c r="FG68" i="5"/>
  <c r="FV68" i="5" l="1"/>
  <c r="EQ31" i="5" s="1"/>
  <c r="GW9" i="5"/>
  <c r="GW10" i="5"/>
  <c r="GW11" i="5"/>
  <c r="GW12" i="5"/>
  <c r="GW13" i="5"/>
  <c r="GW14" i="5"/>
  <c r="GW15" i="5"/>
  <c r="GW16" i="5"/>
  <c r="GW17" i="5"/>
  <c r="GW18" i="5"/>
  <c r="GW19" i="5"/>
  <c r="GW20" i="5"/>
  <c r="GW21" i="5"/>
  <c r="GW22" i="5"/>
  <c r="GW23" i="5"/>
  <c r="GW24" i="5"/>
  <c r="GW25" i="5"/>
  <c r="GW26" i="5"/>
  <c r="GW27" i="5"/>
  <c r="GW28" i="5"/>
  <c r="GW29" i="5"/>
  <c r="GW30" i="5"/>
  <c r="GW31" i="5"/>
  <c r="GW32" i="5"/>
  <c r="GW33" i="5"/>
  <c r="GW34" i="5"/>
  <c r="GW35" i="5"/>
  <c r="GW36" i="5"/>
  <c r="GW37" i="5"/>
  <c r="GW38" i="5"/>
  <c r="IB68" i="5"/>
  <c r="HS31" i="5"/>
  <c r="HS30" i="5"/>
  <c r="HV31" i="5"/>
  <c r="HP31" i="5"/>
  <c r="HP30" i="5"/>
  <c r="HS29" i="5" l="1"/>
  <c r="HP29" i="5"/>
  <c r="IB67" i="5"/>
  <c r="IB66" i="5"/>
  <c r="HT29" i="5"/>
  <c r="HV30" i="5" s="1"/>
  <c r="HV29" i="5" l="1"/>
  <c r="FU67" i="5"/>
  <c r="FU66" i="5"/>
  <c r="FW66" i="5" s="1"/>
  <c r="FG29" i="5" s="1"/>
  <c r="FV66" i="5" l="1"/>
  <c r="EQ29" i="5" s="1"/>
  <c r="FW67" i="5"/>
  <c r="FG30" i="5" s="1"/>
  <c r="FV67" i="5"/>
  <c r="EQ30" i="5" s="1"/>
  <c r="FG67" i="5"/>
  <c r="FG66" i="5"/>
  <c r="FG46" i="5" l="1"/>
  <c r="FG47" i="5"/>
  <c r="FG48" i="5"/>
  <c r="FG49" i="5"/>
  <c r="FG50" i="5"/>
  <c r="FG51" i="5"/>
  <c r="FG52" i="5"/>
  <c r="FG53" i="5"/>
  <c r="FG54" i="5"/>
  <c r="FG55" i="5"/>
  <c r="FG56" i="5"/>
  <c r="FG57" i="5"/>
  <c r="FG58" i="5"/>
  <c r="FG59" i="5"/>
  <c r="FG60" i="5"/>
  <c r="FG61" i="5"/>
  <c r="FG62" i="5"/>
  <c r="FG63" i="5"/>
  <c r="FG64" i="5"/>
  <c r="FQ46" i="5"/>
  <c r="FQ47" i="5"/>
  <c r="FQ48" i="5"/>
  <c r="FQ49" i="5"/>
  <c r="FQ50" i="5"/>
  <c r="FQ51" i="5"/>
  <c r="FQ52" i="5"/>
  <c r="FQ53" i="5"/>
  <c r="FQ54" i="5"/>
  <c r="FQ55" i="5"/>
  <c r="FQ56" i="5"/>
  <c r="FQ57" i="5"/>
  <c r="FQ58" i="5"/>
  <c r="FQ59" i="5"/>
  <c r="FQ60" i="5"/>
  <c r="FQ61" i="5"/>
  <c r="FQ62" i="5"/>
  <c r="FQ63" i="5"/>
  <c r="FQ64" i="5"/>
  <c r="HV28" i="5" l="1"/>
  <c r="HS28" i="5"/>
  <c r="IB65" i="5"/>
  <c r="FU65" i="5"/>
  <c r="FW65" i="5" s="1"/>
  <c r="FG28" i="5" s="1"/>
  <c r="FG65" i="5"/>
  <c r="FV65" i="5" l="1"/>
  <c r="EQ28" i="5" s="1"/>
  <c r="GM27" i="5"/>
  <c r="GJ27" i="5"/>
  <c r="GM26" i="5"/>
  <c r="GJ26" i="5"/>
  <c r="HV27" i="5"/>
  <c r="HS27" i="5"/>
  <c r="IB64" i="5"/>
  <c r="FU64" i="5"/>
  <c r="FV64" i="5" s="1"/>
  <c r="EQ27" i="5" s="1"/>
  <c r="FW64" i="5" l="1"/>
  <c r="FG27" i="5" s="1"/>
  <c r="HV26" i="5"/>
  <c r="HS26" i="5"/>
  <c r="IB63" i="5"/>
  <c r="FU63" i="5" l="1"/>
  <c r="FW63" i="5" s="1"/>
  <c r="FG26" i="5" s="1"/>
  <c r="FV63" i="5" l="1"/>
  <c r="EQ26" i="5" s="1"/>
  <c r="HV25" i="5"/>
  <c r="HS25" i="5"/>
  <c r="HP25" i="5"/>
  <c r="IB62" i="5"/>
  <c r="FU62" i="5"/>
  <c r="FV62" i="5" s="1"/>
  <c r="EQ25" i="5" s="1"/>
  <c r="HV24" i="5"/>
  <c r="HS24" i="5"/>
  <c r="IB61" i="5"/>
  <c r="FW62" i="5" l="1"/>
  <c r="FG25" i="5" s="1"/>
  <c r="FU61" i="5"/>
  <c r="HV23" i="5"/>
  <c r="HV22" i="5"/>
  <c r="HS23" i="5"/>
  <c r="HS22" i="5"/>
  <c r="IB60" i="5"/>
  <c r="IB59" i="5"/>
  <c r="FV61" i="5" l="1"/>
  <c r="EQ24" i="5" s="1"/>
  <c r="FW61" i="5"/>
  <c r="FG24" i="5" s="1"/>
  <c r="FU60" i="5" l="1"/>
  <c r="FU59" i="5"/>
  <c r="DQ61" i="5"/>
  <c r="L22" i="5"/>
  <c r="FV60" i="5" l="1"/>
  <c r="EQ23" i="5" s="1"/>
  <c r="FV59" i="5"/>
  <c r="EQ22" i="5" s="1"/>
  <c r="FW60" i="5"/>
  <c r="FG23" i="5" s="1"/>
  <c r="FW59" i="5"/>
  <c r="FG22" i="5" s="1"/>
  <c r="HS21" i="5"/>
  <c r="HV21" i="5"/>
  <c r="IB58" i="5"/>
  <c r="FU58" i="5" l="1"/>
  <c r="FV58" i="5" l="1"/>
  <c r="EQ21" i="5" s="1"/>
  <c r="FW58" i="5"/>
  <c r="FG21" i="5" s="1"/>
  <c r="HV20" i="5"/>
  <c r="HS20" i="5"/>
  <c r="IB57" i="5"/>
  <c r="FU57" i="5"/>
  <c r="FV57" i="5" l="1"/>
  <c r="EQ20" i="5" s="1"/>
  <c r="FW57" i="5"/>
  <c r="FG20" i="5" s="1"/>
  <c r="HV19" i="5"/>
  <c r="HV18" i="5"/>
  <c r="HS19" i="5"/>
  <c r="HS18" i="5"/>
  <c r="IB56" i="5"/>
  <c r="IB55" i="5"/>
  <c r="FU56" i="5" l="1"/>
  <c r="FW56" i="5" s="1"/>
  <c r="FG19" i="5" s="1"/>
  <c r="FV56" i="5" l="1"/>
  <c r="EQ19" i="5" s="1"/>
  <c r="FU55" i="5" l="1"/>
  <c r="FV55" i="5" l="1"/>
  <c r="EQ18" i="5" s="1"/>
  <c r="FW55" i="5"/>
  <c r="FG18" i="5" s="1"/>
  <c r="FU54" i="5"/>
  <c r="FV54" i="5" l="1"/>
  <c r="EQ17" i="5" s="1"/>
  <c r="FW54" i="5"/>
  <c r="FG17" i="5" s="1"/>
  <c r="FU53" i="5"/>
  <c r="FV53" i="5" s="1"/>
  <c r="FU52" i="5"/>
  <c r="FW52" i="5" s="1"/>
  <c r="FG15" i="5" s="1"/>
  <c r="FV52" i="5" l="1"/>
  <c r="EQ15" i="5" s="1"/>
  <c r="FW53" i="5"/>
  <c r="FG16" i="5" s="1"/>
  <c r="EQ16" i="5"/>
  <c r="FG45" i="5" l="1"/>
  <c r="FQ45" i="5"/>
  <c r="FU51" i="5" l="1"/>
  <c r="FW51" i="5" s="1"/>
  <c r="FG14" i="5" s="1"/>
  <c r="FV51" i="5" l="1"/>
  <c r="EQ14" i="5" s="1"/>
  <c r="FG9" i="5" l="1"/>
  <c r="FG10" i="5"/>
  <c r="FG11" i="5"/>
  <c r="FG8" i="5"/>
  <c r="EQ9" i="5"/>
  <c r="EQ10" i="5"/>
  <c r="EQ11" i="5"/>
  <c r="EQ8" i="5"/>
  <c r="FU50" i="5"/>
  <c r="FV50" i="5" s="1"/>
  <c r="EQ13" i="5" s="1"/>
  <c r="FU49" i="5"/>
  <c r="FW49" i="5" s="1"/>
  <c r="FG12" i="5" s="1"/>
  <c r="FV49" i="5" l="1"/>
  <c r="EQ12" i="5" s="1"/>
  <c r="FW50" i="5"/>
  <c r="FG13" i="5" s="1"/>
  <c r="JV9" i="5" l="1"/>
  <c r="JV10" i="5"/>
  <c r="JV11" i="5"/>
  <c r="JV12" i="5"/>
  <c r="JV13" i="5"/>
  <c r="JV14" i="5"/>
  <c r="JV15" i="5"/>
  <c r="JV16" i="5"/>
  <c r="JV17" i="5"/>
  <c r="JV18" i="5"/>
  <c r="JV19" i="5"/>
  <c r="JV20" i="5"/>
  <c r="JV21" i="5"/>
  <c r="JV22" i="5"/>
  <c r="JV23" i="5"/>
  <c r="JV24" i="5"/>
  <c r="JV25" i="5"/>
  <c r="JV26" i="5"/>
  <c r="JV27" i="5"/>
  <c r="JV28" i="5"/>
  <c r="JV29" i="5"/>
  <c r="JV30" i="5"/>
  <c r="JV31" i="5"/>
  <c r="JV32" i="5"/>
  <c r="JV33" i="5"/>
  <c r="JV34" i="5"/>
  <c r="JV35" i="5"/>
  <c r="JV36" i="5"/>
  <c r="JV37" i="5"/>
  <c r="JV38" i="5"/>
  <c r="JV8" i="5"/>
  <c r="JS9" i="5"/>
  <c r="JS10" i="5"/>
  <c r="JS11" i="5"/>
  <c r="JS12" i="5"/>
  <c r="JS13" i="5"/>
  <c r="JS14" i="5"/>
  <c r="JS15" i="5"/>
  <c r="JS16" i="5"/>
  <c r="JS17" i="5"/>
  <c r="JS18" i="5"/>
  <c r="JS19" i="5"/>
  <c r="JS20" i="5"/>
  <c r="JS21" i="5"/>
  <c r="JS22" i="5"/>
  <c r="JS23" i="5"/>
  <c r="JS24" i="5"/>
  <c r="JS25" i="5"/>
  <c r="JS26" i="5"/>
  <c r="JS27" i="5"/>
  <c r="JS28" i="5"/>
  <c r="JS29" i="5"/>
  <c r="JS30" i="5"/>
  <c r="JS31" i="5"/>
  <c r="JS32" i="5"/>
  <c r="JS33" i="5"/>
  <c r="JS34" i="5"/>
  <c r="JS35" i="5"/>
  <c r="JS36" i="5"/>
  <c r="JS37" i="5"/>
  <c r="JS38" i="5"/>
  <c r="JS8" i="5"/>
  <c r="JP9" i="5"/>
  <c r="JP10" i="5"/>
  <c r="JP11" i="5"/>
  <c r="JP12" i="5"/>
  <c r="JP13" i="5"/>
  <c r="JP14" i="5"/>
  <c r="JP15" i="5"/>
  <c r="JP16" i="5"/>
  <c r="JP17" i="5"/>
  <c r="JP18" i="5"/>
  <c r="JP19" i="5"/>
  <c r="JP20" i="5"/>
  <c r="JP21" i="5"/>
  <c r="JP22" i="5"/>
  <c r="JP23" i="5"/>
  <c r="JP24" i="5"/>
  <c r="JP25" i="5"/>
  <c r="JP26" i="5"/>
  <c r="JP27" i="5"/>
  <c r="JP28" i="5"/>
  <c r="JP29" i="5"/>
  <c r="JP30" i="5"/>
  <c r="JP31" i="5"/>
  <c r="JP32" i="5"/>
  <c r="JP33" i="5"/>
  <c r="JP34" i="5"/>
  <c r="JP35" i="5"/>
  <c r="JP36" i="5"/>
  <c r="JP37" i="5"/>
  <c r="JP8" i="5"/>
  <c r="JM9" i="5"/>
  <c r="JM10" i="5"/>
  <c r="JM11" i="5"/>
  <c r="JM12" i="5"/>
  <c r="JM13" i="5"/>
  <c r="JM14" i="5"/>
  <c r="JM15" i="5"/>
  <c r="JM16" i="5"/>
  <c r="JM17" i="5"/>
  <c r="JM18" i="5"/>
  <c r="JM19" i="5"/>
  <c r="JM20" i="5"/>
  <c r="JM21" i="5"/>
  <c r="JM22" i="5"/>
  <c r="JM23" i="5"/>
  <c r="JM24" i="5"/>
  <c r="JM25" i="5"/>
  <c r="JM26" i="5"/>
  <c r="JM27" i="5"/>
  <c r="JM28" i="5"/>
  <c r="JM29" i="5"/>
  <c r="JM30" i="5"/>
  <c r="JM31" i="5"/>
  <c r="JM32" i="5"/>
  <c r="JM33" i="5"/>
  <c r="JM34" i="5"/>
  <c r="JM35" i="5"/>
  <c r="JM36" i="5"/>
  <c r="JM37" i="5"/>
  <c r="JM38" i="5"/>
  <c r="JM8" i="5"/>
  <c r="JJ9" i="5"/>
  <c r="JJ10" i="5"/>
  <c r="JJ11" i="5"/>
  <c r="JJ12" i="5"/>
  <c r="JJ13" i="5"/>
  <c r="JJ14" i="5"/>
  <c r="JJ15" i="5"/>
  <c r="JJ16" i="5"/>
  <c r="JJ17" i="5"/>
  <c r="JJ18" i="5"/>
  <c r="JJ19" i="5"/>
  <c r="JJ20" i="5"/>
  <c r="JJ21" i="5"/>
  <c r="JJ22" i="5"/>
  <c r="JJ23" i="5"/>
  <c r="JJ24" i="5"/>
  <c r="JJ25" i="5"/>
  <c r="JJ26" i="5"/>
  <c r="JJ27" i="5"/>
  <c r="JJ28" i="5"/>
  <c r="JJ29" i="5"/>
  <c r="JJ30" i="5"/>
  <c r="JJ31" i="5"/>
  <c r="JJ32" i="5"/>
  <c r="JJ33" i="5"/>
  <c r="JJ34" i="5"/>
  <c r="JJ35" i="5"/>
  <c r="JJ36" i="5"/>
  <c r="JJ37" i="5"/>
  <c r="JJ38" i="5"/>
  <c r="JJ8" i="5"/>
  <c r="JG9" i="5"/>
  <c r="JG10" i="5"/>
  <c r="JG11" i="5"/>
  <c r="JG12" i="5"/>
  <c r="JG13" i="5"/>
  <c r="JG14" i="5"/>
  <c r="JG15" i="5"/>
  <c r="JG16" i="5"/>
  <c r="JG17" i="5"/>
  <c r="JG18" i="5"/>
  <c r="JG19" i="5"/>
  <c r="JG20" i="5"/>
  <c r="JG21" i="5"/>
  <c r="JG22" i="5"/>
  <c r="JG23" i="5"/>
  <c r="JG24" i="5"/>
  <c r="JG25" i="5"/>
  <c r="JG26" i="5"/>
  <c r="JG27" i="5"/>
  <c r="JG28" i="5"/>
  <c r="JG29" i="5"/>
  <c r="JG30" i="5"/>
  <c r="JG31" i="5"/>
  <c r="JG32" i="5"/>
  <c r="JG33" i="5"/>
  <c r="JG34" i="5"/>
  <c r="JG35" i="5"/>
  <c r="JG36" i="5"/>
  <c r="JG37" i="5"/>
  <c r="JG38" i="5"/>
  <c r="JG8" i="5"/>
  <c r="JD9" i="5"/>
  <c r="JD10" i="5"/>
  <c r="JD11" i="5"/>
  <c r="JD12" i="5"/>
  <c r="JD13" i="5"/>
  <c r="JD14" i="5"/>
  <c r="JD15" i="5"/>
  <c r="JD16" i="5"/>
  <c r="JD17" i="5"/>
  <c r="JD18" i="5"/>
  <c r="JD19" i="5"/>
  <c r="JD20" i="5"/>
  <c r="JD21" i="5"/>
  <c r="JD22" i="5"/>
  <c r="JD23" i="5"/>
  <c r="JD24" i="5"/>
  <c r="JD25" i="5"/>
  <c r="JD26" i="5"/>
  <c r="JD27" i="5"/>
  <c r="JD28" i="5"/>
  <c r="JD29" i="5"/>
  <c r="JD30" i="5"/>
  <c r="JD31" i="5"/>
  <c r="JD32" i="5"/>
  <c r="JD33" i="5"/>
  <c r="JD34" i="5"/>
  <c r="JD35" i="5"/>
  <c r="JD36" i="5"/>
  <c r="JD37" i="5"/>
  <c r="JD38" i="5"/>
  <c r="JD8" i="5"/>
  <c r="JA9" i="5"/>
  <c r="JA10" i="5"/>
  <c r="JA11" i="5"/>
  <c r="JA12" i="5"/>
  <c r="JA13" i="5"/>
  <c r="JA14" i="5"/>
  <c r="JA15" i="5"/>
  <c r="JA16" i="5"/>
  <c r="JA17" i="5"/>
  <c r="JA18" i="5"/>
  <c r="JA19" i="5"/>
  <c r="JA20" i="5"/>
  <c r="JA21" i="5"/>
  <c r="JA22" i="5"/>
  <c r="JA23" i="5"/>
  <c r="JA24" i="5"/>
  <c r="JA25" i="5"/>
  <c r="JA26" i="5"/>
  <c r="JA27" i="5"/>
  <c r="JA28" i="5"/>
  <c r="JA29" i="5"/>
  <c r="JA30" i="5"/>
  <c r="JA31" i="5"/>
  <c r="JA32" i="5"/>
  <c r="JA33" i="5"/>
  <c r="JA34" i="5"/>
  <c r="JA35" i="5"/>
  <c r="JA36" i="5"/>
  <c r="JA37" i="5"/>
  <c r="JA38" i="5"/>
  <c r="JA8" i="5"/>
  <c r="IX9" i="5"/>
  <c r="IX10" i="5"/>
  <c r="IX11" i="5"/>
  <c r="IX12" i="5"/>
  <c r="IX13" i="5"/>
  <c r="IX14" i="5"/>
  <c r="IX15" i="5"/>
  <c r="IX16" i="5"/>
  <c r="IX17" i="5"/>
  <c r="IX18" i="5"/>
  <c r="IX19" i="5"/>
  <c r="IX20" i="5"/>
  <c r="IX21" i="5"/>
  <c r="IX22" i="5"/>
  <c r="IX23" i="5"/>
  <c r="IX24" i="5"/>
  <c r="IX25" i="5"/>
  <c r="IX26" i="5"/>
  <c r="IX27" i="5"/>
  <c r="IX28" i="5"/>
  <c r="IX29" i="5"/>
  <c r="IX30" i="5"/>
  <c r="IX31" i="5"/>
  <c r="IX32" i="5"/>
  <c r="IX33" i="5"/>
  <c r="IX34" i="5"/>
  <c r="IX35" i="5"/>
  <c r="IX36" i="5"/>
  <c r="IX37" i="5"/>
  <c r="IX38" i="5"/>
  <c r="IX8" i="5"/>
  <c r="IU9" i="5"/>
  <c r="IU10" i="5"/>
  <c r="IU11" i="5"/>
  <c r="IU12" i="5"/>
  <c r="IU13" i="5"/>
  <c r="IU14" i="5"/>
  <c r="IU15" i="5"/>
  <c r="IU16" i="5"/>
  <c r="IU17" i="5"/>
  <c r="IU18" i="5"/>
  <c r="IU19" i="5"/>
  <c r="IU20" i="5"/>
  <c r="IU21" i="5"/>
  <c r="IU22" i="5"/>
  <c r="IU23" i="5"/>
  <c r="IU24" i="5"/>
  <c r="IU25" i="5"/>
  <c r="IU26" i="5"/>
  <c r="IU27" i="5"/>
  <c r="IU28" i="5"/>
  <c r="IU29" i="5"/>
  <c r="IU30" i="5"/>
  <c r="IU31" i="5"/>
  <c r="IU32" i="5"/>
  <c r="IU33" i="5"/>
  <c r="IU34" i="5"/>
  <c r="IU35" i="5"/>
  <c r="IU36" i="5"/>
  <c r="IU37" i="5"/>
  <c r="IU38" i="5"/>
  <c r="IU8" i="5"/>
  <c r="IR9" i="5"/>
  <c r="IR10" i="5"/>
  <c r="IR11" i="5"/>
  <c r="IR12" i="5"/>
  <c r="IR13" i="5"/>
  <c r="IR14" i="5"/>
  <c r="IR15" i="5"/>
  <c r="IR16" i="5"/>
  <c r="IR17" i="5"/>
  <c r="IR18" i="5"/>
  <c r="IR19" i="5"/>
  <c r="IR20" i="5"/>
  <c r="IR21" i="5"/>
  <c r="IR22" i="5"/>
  <c r="IR23" i="5"/>
  <c r="IR24" i="5"/>
  <c r="IR25" i="5"/>
  <c r="IR26" i="5"/>
  <c r="IR27" i="5"/>
  <c r="IR28" i="5"/>
  <c r="IR29" i="5"/>
  <c r="IR30" i="5"/>
  <c r="IR31" i="5"/>
  <c r="IR32" i="5"/>
  <c r="IR33" i="5"/>
  <c r="IR34" i="5"/>
  <c r="IR35" i="5"/>
  <c r="IR36" i="5"/>
  <c r="IR37" i="5"/>
  <c r="IR38" i="5"/>
  <c r="IO9" i="5"/>
  <c r="IO10" i="5"/>
  <c r="IO11" i="5"/>
  <c r="IO12" i="5"/>
  <c r="IO13" i="5"/>
  <c r="IO14" i="5"/>
  <c r="IO15" i="5"/>
  <c r="IO16" i="5"/>
  <c r="IO17" i="5"/>
  <c r="IO18" i="5"/>
  <c r="IO19" i="5"/>
  <c r="IO20" i="5"/>
  <c r="IO21" i="5"/>
  <c r="IO22" i="5"/>
  <c r="IO23" i="5"/>
  <c r="IO24" i="5"/>
  <c r="IO25" i="5"/>
  <c r="IO26" i="5"/>
  <c r="IO27" i="5"/>
  <c r="IO28" i="5"/>
  <c r="IO29" i="5"/>
  <c r="IO30" i="5"/>
  <c r="IO31" i="5"/>
  <c r="IO32" i="5"/>
  <c r="IO33" i="5"/>
  <c r="IO34" i="5"/>
  <c r="IO35" i="5"/>
  <c r="IO36" i="5"/>
  <c r="IO37" i="5"/>
  <c r="IO38" i="5"/>
  <c r="IR8" i="5"/>
  <c r="IO8" i="5"/>
  <c r="IL9" i="5"/>
  <c r="IL10" i="5"/>
  <c r="IL11" i="5"/>
  <c r="IL12" i="5"/>
  <c r="IL13" i="5"/>
  <c r="IL14" i="5"/>
  <c r="IL15" i="5"/>
  <c r="IL16" i="5"/>
  <c r="IL17" i="5"/>
  <c r="IL18" i="5"/>
  <c r="IL19" i="5"/>
  <c r="IL20" i="5"/>
  <c r="IL21" i="5"/>
  <c r="IL22" i="5"/>
  <c r="IL23" i="5"/>
  <c r="IL24" i="5"/>
  <c r="IL25" i="5"/>
  <c r="IL26" i="5"/>
  <c r="IL27" i="5"/>
  <c r="IL8" i="5"/>
  <c r="II9" i="5"/>
  <c r="II10" i="5"/>
  <c r="II11" i="5"/>
  <c r="II12" i="5"/>
  <c r="II13" i="5"/>
  <c r="II14" i="5"/>
  <c r="II15" i="5"/>
  <c r="II16" i="5"/>
  <c r="II17" i="5"/>
  <c r="II18" i="5"/>
  <c r="II19" i="5"/>
  <c r="II20" i="5"/>
  <c r="II21" i="5"/>
  <c r="II22" i="5"/>
  <c r="II23" i="5"/>
  <c r="II24" i="5"/>
  <c r="II25" i="5"/>
  <c r="II26" i="5"/>
  <c r="II8" i="5"/>
  <c r="IF9" i="5"/>
  <c r="IF10" i="5"/>
  <c r="IF11" i="5"/>
  <c r="IF12" i="5"/>
  <c r="IF13" i="5"/>
  <c r="IF14" i="5"/>
  <c r="IF15" i="5"/>
  <c r="IF16" i="5"/>
  <c r="IF17" i="5"/>
  <c r="IF18" i="5"/>
  <c r="IF19" i="5"/>
  <c r="IF20" i="5"/>
  <c r="IF21" i="5"/>
  <c r="IF22" i="5"/>
  <c r="IF23" i="5"/>
  <c r="IF24" i="5"/>
  <c r="IF25" i="5"/>
  <c r="IF26" i="5"/>
  <c r="IF27" i="5"/>
  <c r="IF28" i="5"/>
  <c r="IF29" i="5"/>
  <c r="IF30" i="5"/>
  <c r="IF31" i="5"/>
  <c r="IF32" i="5"/>
  <c r="IF33" i="5"/>
  <c r="IF34" i="5"/>
  <c r="IF35" i="5"/>
  <c r="IF8" i="5"/>
  <c r="IC9" i="5"/>
  <c r="IC10" i="5"/>
  <c r="IC11" i="5"/>
  <c r="IC12" i="5"/>
  <c r="IC13" i="5"/>
  <c r="IC14" i="5"/>
  <c r="IC15" i="5"/>
  <c r="IC16" i="5"/>
  <c r="IC17" i="5"/>
  <c r="IC18" i="5"/>
  <c r="IC19" i="5"/>
  <c r="IC20" i="5"/>
  <c r="IC21" i="5"/>
  <c r="IC22" i="5"/>
  <c r="IC23" i="5"/>
  <c r="IC24" i="5"/>
  <c r="IC25" i="5"/>
  <c r="IC26" i="5"/>
  <c r="IC27" i="5"/>
  <c r="IC28" i="5"/>
  <c r="IC29" i="5"/>
  <c r="IC30" i="5"/>
  <c r="IC31" i="5"/>
  <c r="IC32" i="5"/>
  <c r="IC33" i="5"/>
  <c r="IC34" i="5"/>
  <c r="IC35" i="5"/>
  <c r="IC36" i="5"/>
  <c r="IC37" i="5"/>
  <c r="IC38" i="5"/>
  <c r="IC8" i="5"/>
  <c r="HV8" i="5" l="1"/>
  <c r="CB7" i="6" s="1"/>
  <c r="HV9" i="5"/>
  <c r="CB8" i="6" s="1"/>
  <c r="HV10" i="5"/>
  <c r="CB9" i="6" s="1"/>
  <c r="HV11" i="5"/>
  <c r="CB10" i="6" s="1"/>
  <c r="HV12" i="5"/>
  <c r="CB11" i="6" s="1"/>
  <c r="HV13" i="5"/>
  <c r="CB12" i="6" s="1"/>
  <c r="HV14" i="5"/>
  <c r="CB13" i="6" s="1"/>
  <c r="HS8" i="5"/>
  <c r="CA7" i="6" s="1"/>
  <c r="HS9" i="5"/>
  <c r="CA8" i="6" s="1"/>
  <c r="HS10" i="5"/>
  <c r="CA9" i="6" s="1"/>
  <c r="HS11" i="5"/>
  <c r="CA10" i="6" s="1"/>
  <c r="HS12" i="5"/>
  <c r="CA11" i="6" s="1"/>
  <c r="HS13" i="5"/>
  <c r="CA12" i="6" s="1"/>
  <c r="HS14" i="5"/>
  <c r="CA13" i="6" s="1"/>
  <c r="HP8" i="5"/>
  <c r="BZ7" i="6" s="1"/>
  <c r="HP9" i="5"/>
  <c r="BZ8" i="6" s="1"/>
  <c r="HP10" i="5"/>
  <c r="BZ9" i="6" s="1"/>
  <c r="HP11" i="5"/>
  <c r="BZ10" i="6" s="1"/>
  <c r="HP12" i="5"/>
  <c r="BZ11" i="6" s="1"/>
  <c r="HP13" i="5"/>
  <c r="BZ12" i="6" s="1"/>
  <c r="HP14" i="5"/>
  <c r="BZ13" i="6" s="1"/>
  <c r="HM8" i="5"/>
  <c r="BY7" i="6" s="1"/>
  <c r="HM9" i="5"/>
  <c r="BY8" i="6" s="1"/>
  <c r="HM10" i="5"/>
  <c r="BY9" i="6" s="1"/>
  <c r="HM11" i="5"/>
  <c r="BY10" i="6" s="1"/>
  <c r="HM12" i="5"/>
  <c r="BY11" i="6" s="1"/>
  <c r="HM13" i="5"/>
  <c r="BY12" i="6" s="1"/>
  <c r="HM14" i="5"/>
  <c r="BY13" i="6" s="1"/>
  <c r="HJ8" i="5"/>
  <c r="BX7" i="6" s="1"/>
  <c r="HJ9" i="5"/>
  <c r="HJ10" i="5"/>
  <c r="HJ11" i="5"/>
  <c r="HJ12" i="5"/>
  <c r="HJ13" i="5"/>
  <c r="HJ14" i="5"/>
  <c r="BX8" i="6" l="1"/>
  <c r="BX13" i="6"/>
  <c r="BX11" i="6"/>
  <c r="BX12" i="6"/>
  <c r="BX10" i="6"/>
  <c r="BX9" i="6"/>
  <c r="BR38" i="6" l="1"/>
  <c r="BP38" i="6"/>
  <c r="BN38" i="6"/>
  <c r="BK38" i="6"/>
  <c r="BJ38" i="6"/>
  <c r="BI38" i="6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D81" i="5"/>
  <c r="D83" i="5" s="1"/>
  <c r="DT78" i="5"/>
  <c r="DR78" i="5"/>
  <c r="DT77" i="5"/>
  <c r="DR77" i="5"/>
  <c r="G77" i="5"/>
  <c r="D77" i="5"/>
  <c r="DT76" i="5"/>
  <c r="DR76" i="5"/>
  <c r="G76" i="5"/>
  <c r="BU37" i="6" s="1"/>
  <c r="D76" i="5"/>
  <c r="BT37" i="6" s="1"/>
  <c r="DT75" i="5"/>
  <c r="DR75" i="5"/>
  <c r="J75" i="5"/>
  <c r="G75" i="5"/>
  <c r="BU36" i="6" s="1"/>
  <c r="D75" i="5"/>
  <c r="BT36" i="6" s="1"/>
  <c r="DT74" i="5"/>
  <c r="DR74" i="5"/>
  <c r="J74" i="5"/>
  <c r="G74" i="5"/>
  <c r="BU35" i="6" s="1"/>
  <c r="D74" i="5"/>
  <c r="BT35" i="6" s="1"/>
  <c r="DT73" i="5"/>
  <c r="DR73" i="5"/>
  <c r="J73" i="5"/>
  <c r="G73" i="5"/>
  <c r="BU34" i="6" s="1"/>
  <c r="D73" i="5"/>
  <c r="BT34" i="6" s="1"/>
  <c r="IB72" i="5"/>
  <c r="DT72" i="5"/>
  <c r="DR72" i="5"/>
  <c r="J72" i="5"/>
  <c r="G72" i="5"/>
  <c r="BU33" i="6" s="1"/>
  <c r="D72" i="5"/>
  <c r="BT33" i="6" s="1"/>
  <c r="IB71" i="5"/>
  <c r="DT71" i="5"/>
  <c r="DR71" i="5"/>
  <c r="J71" i="5"/>
  <c r="G71" i="5"/>
  <c r="BU32" i="6" s="1"/>
  <c r="D71" i="5"/>
  <c r="BT32" i="6" s="1"/>
  <c r="IB70" i="5"/>
  <c r="DT70" i="5"/>
  <c r="DR70" i="5"/>
  <c r="J70" i="5"/>
  <c r="G70" i="5"/>
  <c r="BU31" i="6" s="1"/>
  <c r="D70" i="5"/>
  <c r="BT31" i="6" s="1"/>
  <c r="DT69" i="5"/>
  <c r="DR69" i="5"/>
  <c r="J69" i="5"/>
  <c r="G69" i="5"/>
  <c r="BU30" i="6" s="1"/>
  <c r="D69" i="5"/>
  <c r="BT30" i="6" s="1"/>
  <c r="DT68" i="5"/>
  <c r="DR68" i="5"/>
  <c r="J68" i="5"/>
  <c r="G68" i="5"/>
  <c r="BU29" i="6" s="1"/>
  <c r="D68" i="5"/>
  <c r="BT29" i="6" s="1"/>
  <c r="DT67" i="5"/>
  <c r="J67" i="5"/>
  <c r="G67" i="5"/>
  <c r="BU28" i="6" s="1"/>
  <c r="D67" i="5"/>
  <c r="BT28" i="6" s="1"/>
  <c r="DT66" i="5"/>
  <c r="J66" i="5"/>
  <c r="G66" i="5"/>
  <c r="BU27" i="6" s="1"/>
  <c r="D66" i="5"/>
  <c r="BT27" i="6" s="1"/>
  <c r="DT65" i="5"/>
  <c r="DR65" i="5"/>
  <c r="DQ66" i="5" s="1"/>
  <c r="DR67" i="5" s="1"/>
  <c r="J65" i="5"/>
  <c r="G65" i="5"/>
  <c r="BU26" i="6" s="1"/>
  <c r="D65" i="5"/>
  <c r="BT26" i="6" s="1"/>
  <c r="DT64" i="5"/>
  <c r="DR64" i="5"/>
  <c r="J64" i="5"/>
  <c r="G64" i="5"/>
  <c r="BU25" i="6" s="1"/>
  <c r="D64" i="5"/>
  <c r="BT25" i="6" s="1"/>
  <c r="DT63" i="5"/>
  <c r="DR63" i="5"/>
  <c r="J63" i="5"/>
  <c r="G63" i="5"/>
  <c r="BU24" i="6" s="1"/>
  <c r="D63" i="5"/>
  <c r="BT24" i="6" s="1"/>
  <c r="DT62" i="5"/>
  <c r="DR62" i="5"/>
  <c r="J62" i="5"/>
  <c r="G62" i="5"/>
  <c r="BU23" i="6" s="1"/>
  <c r="D62" i="5"/>
  <c r="BT23" i="6" s="1"/>
  <c r="DT61" i="5"/>
  <c r="DR61" i="5"/>
  <c r="J61" i="5"/>
  <c r="G61" i="5"/>
  <c r="BU22" i="6" s="1"/>
  <c r="D61" i="5"/>
  <c r="BT22" i="6" s="1"/>
  <c r="DT60" i="5"/>
  <c r="DR60" i="5"/>
  <c r="J60" i="5"/>
  <c r="G60" i="5"/>
  <c r="BU21" i="6" s="1"/>
  <c r="D60" i="5"/>
  <c r="BT21" i="6" s="1"/>
  <c r="DT59" i="5"/>
  <c r="DR59" i="5"/>
  <c r="J59" i="5"/>
  <c r="G59" i="5"/>
  <c r="BU20" i="6" s="1"/>
  <c r="D59" i="5"/>
  <c r="BT20" i="6" s="1"/>
  <c r="DT58" i="5"/>
  <c r="DR58" i="5"/>
  <c r="J58" i="5"/>
  <c r="G58" i="5"/>
  <c r="BU19" i="6" s="1"/>
  <c r="D58" i="5"/>
  <c r="BT19" i="6" s="1"/>
  <c r="DT57" i="5"/>
  <c r="DR57" i="5"/>
  <c r="J57" i="5"/>
  <c r="G57" i="5"/>
  <c r="BU18" i="6" s="1"/>
  <c r="D57" i="5"/>
  <c r="BT18" i="6" s="1"/>
  <c r="DT56" i="5"/>
  <c r="DR56" i="5"/>
  <c r="J56" i="5"/>
  <c r="G56" i="5"/>
  <c r="BU17" i="6" s="1"/>
  <c r="D56" i="5"/>
  <c r="BT17" i="6" s="1"/>
  <c r="DT55" i="5"/>
  <c r="DR55" i="5"/>
  <c r="J55" i="5"/>
  <c r="G55" i="5"/>
  <c r="BU16" i="6" s="1"/>
  <c r="D55" i="5"/>
  <c r="BT16" i="6" s="1"/>
  <c r="IB54" i="5"/>
  <c r="DT54" i="5"/>
  <c r="DR54" i="5"/>
  <c r="J54" i="5"/>
  <c r="G54" i="5"/>
  <c r="BU15" i="6" s="1"/>
  <c r="D54" i="5"/>
  <c r="BT15" i="6" s="1"/>
  <c r="IB53" i="5"/>
  <c r="DT53" i="5"/>
  <c r="DR53" i="5"/>
  <c r="J53" i="5"/>
  <c r="G53" i="5"/>
  <c r="BU14" i="6" s="1"/>
  <c r="D53" i="5"/>
  <c r="BT14" i="6" s="1"/>
  <c r="IB52" i="5"/>
  <c r="DT52" i="5"/>
  <c r="DR52" i="5"/>
  <c r="J52" i="5"/>
  <c r="G52" i="5"/>
  <c r="BU13" i="6" s="1"/>
  <c r="D52" i="5"/>
  <c r="BT13" i="6" s="1"/>
  <c r="IB51" i="5"/>
  <c r="DT51" i="5"/>
  <c r="DR51" i="5"/>
  <c r="J51" i="5"/>
  <c r="G51" i="5"/>
  <c r="BU12" i="6" s="1"/>
  <c r="D51" i="5"/>
  <c r="BT12" i="6" s="1"/>
  <c r="IB50" i="5"/>
  <c r="DT50" i="5"/>
  <c r="DR50" i="5"/>
  <c r="J50" i="5"/>
  <c r="G50" i="5"/>
  <c r="BU11" i="6" s="1"/>
  <c r="D50" i="5"/>
  <c r="BT11" i="6" s="1"/>
  <c r="IB49" i="5"/>
  <c r="DT49" i="5"/>
  <c r="DR49" i="5"/>
  <c r="J49" i="5"/>
  <c r="G49" i="5"/>
  <c r="BU10" i="6" s="1"/>
  <c r="D49" i="5"/>
  <c r="BT10" i="6" s="1"/>
  <c r="IB48" i="5"/>
  <c r="EX48" i="5"/>
  <c r="DT48" i="5"/>
  <c r="DR48" i="5"/>
  <c r="DP48" i="5"/>
  <c r="DP49" i="5" s="1"/>
  <c r="DP50" i="5" s="1"/>
  <c r="DP51" i="5" s="1"/>
  <c r="DP52" i="5" s="1"/>
  <c r="DP53" i="5" s="1"/>
  <c r="DP54" i="5" s="1"/>
  <c r="DP55" i="5" s="1"/>
  <c r="DP56" i="5" s="1"/>
  <c r="DP57" i="5" s="1"/>
  <c r="DP58" i="5" s="1"/>
  <c r="DP59" i="5" s="1"/>
  <c r="DP60" i="5" s="1"/>
  <c r="DP61" i="5" s="1"/>
  <c r="DP62" i="5" s="1"/>
  <c r="DP63" i="5" s="1"/>
  <c r="DP64" i="5" s="1"/>
  <c r="DP65" i="5" s="1"/>
  <c r="DP66" i="5" s="1"/>
  <c r="DP67" i="5" s="1"/>
  <c r="DP68" i="5" s="1"/>
  <c r="DP69" i="5" s="1"/>
  <c r="DP70" i="5" s="1"/>
  <c r="DP71" i="5" s="1"/>
  <c r="DP72" i="5" s="1"/>
  <c r="DP73" i="5" s="1"/>
  <c r="DP74" i="5" s="1"/>
  <c r="J48" i="5"/>
  <c r="G48" i="5"/>
  <c r="BU9" i="6" s="1"/>
  <c r="D48" i="5"/>
  <c r="BT9" i="6" s="1"/>
  <c r="IB47" i="5"/>
  <c r="J47" i="5"/>
  <c r="G47" i="5"/>
  <c r="BU8" i="6" s="1"/>
  <c r="D47" i="5"/>
  <c r="BT8" i="6" s="1"/>
  <c r="IB46" i="5"/>
  <c r="J46" i="5"/>
  <c r="G46" i="5"/>
  <c r="BU7" i="6" s="1"/>
  <c r="D46" i="5"/>
  <c r="IB45" i="5"/>
  <c r="FC45" i="5"/>
  <c r="EE40" i="5"/>
  <c r="U40" i="5"/>
  <c r="V40" i="5" s="1"/>
  <c r="GV39" i="5"/>
  <c r="FL39" i="5"/>
  <c r="DO39" i="5"/>
  <c r="DN39" i="5"/>
  <c r="DM39" i="5"/>
  <c r="J39" i="5"/>
  <c r="JP38" i="5"/>
  <c r="IL38" i="5"/>
  <c r="II38" i="5"/>
  <c r="IF38" i="5"/>
  <c r="CB37" i="6"/>
  <c r="CA37" i="6"/>
  <c r="BZ37" i="6"/>
  <c r="HM38" i="5"/>
  <c r="BY37" i="6" s="1"/>
  <c r="HJ38" i="5"/>
  <c r="GS38" i="5"/>
  <c r="BF37" i="6" s="1"/>
  <c r="GP38" i="5"/>
  <c r="BE37" i="6" s="1"/>
  <c r="GM38" i="5"/>
  <c r="BC37" i="6" s="1"/>
  <c r="GJ38" i="5"/>
  <c r="AX37" i="6" s="1"/>
  <c r="GD38" i="5"/>
  <c r="FX38" i="5"/>
  <c r="AP37" i="6" s="1"/>
  <c r="FS38" i="5"/>
  <c r="FP38" i="5"/>
  <c r="FJ38" i="5"/>
  <c r="BA37" i="6" s="1"/>
  <c r="AZ37" i="6"/>
  <c r="FC38" i="5"/>
  <c r="EZ38" i="5"/>
  <c r="EW38" i="5"/>
  <c r="AV37" i="6" s="1"/>
  <c r="ET38" i="5"/>
  <c r="AU37" i="6" s="1"/>
  <c r="AT37" i="6"/>
  <c r="EM38" i="5"/>
  <c r="AN37" i="6" s="1"/>
  <c r="EJ38" i="5"/>
  <c r="AM37" i="6" s="1"/>
  <c r="DZ38" i="5"/>
  <c r="AI37" i="6" s="1"/>
  <c r="DW38" i="5"/>
  <c r="AH37" i="6" s="1"/>
  <c r="DT38" i="5"/>
  <c r="DR38" i="5"/>
  <c r="AD37" i="6" s="1"/>
  <c r="DE38" i="5"/>
  <c r="DF38" i="5" s="1"/>
  <c r="DA38" i="5"/>
  <c r="X37" i="6" s="1"/>
  <c r="CW38" i="5"/>
  <c r="W37" i="6" s="1"/>
  <c r="CS38" i="5"/>
  <c r="U37" i="6" s="1"/>
  <c r="CO38" i="5"/>
  <c r="T37" i="6" s="1"/>
  <c r="CH38" i="5"/>
  <c r="R37" i="6" s="1"/>
  <c r="CF38" i="5"/>
  <c r="Q37" i="6" s="1"/>
  <c r="CD38" i="5"/>
  <c r="P37" i="6" s="1"/>
  <c r="CA38" i="5"/>
  <c r="O37" i="6" s="1"/>
  <c r="BW38" i="5"/>
  <c r="BX38" i="5" s="1"/>
  <c r="BT38" i="5"/>
  <c r="BR38" i="5"/>
  <c r="Z37" i="6" s="1"/>
  <c r="BP38" i="5"/>
  <c r="BN38" i="5"/>
  <c r="BL38" i="5"/>
  <c r="BJ38" i="5"/>
  <c r="AB37" i="6" s="1"/>
  <c r="BG38" i="5"/>
  <c r="AA37" i="6" s="1"/>
  <c r="BC38" i="5"/>
  <c r="M37" i="6" s="1"/>
  <c r="AZ38" i="5"/>
  <c r="L37" i="6" s="1"/>
  <c r="AW38" i="5"/>
  <c r="AU38" i="5"/>
  <c r="AR38" i="5"/>
  <c r="K37" i="6" s="1"/>
  <c r="AI38" i="5"/>
  <c r="I37" i="6" s="1"/>
  <c r="AE38" i="5"/>
  <c r="H37" i="6" s="1"/>
  <c r="AB38" i="5"/>
  <c r="F37" i="6" s="1"/>
  <c r="Z38" i="5"/>
  <c r="V38" i="5"/>
  <c r="E37" i="6" s="1"/>
  <c r="T38" i="5"/>
  <c r="D37" i="6" s="1"/>
  <c r="Q38" i="5"/>
  <c r="R38" i="5" s="1"/>
  <c r="N38" i="5"/>
  <c r="C37" i="6" s="1"/>
  <c r="K38" i="5"/>
  <c r="F38" i="5"/>
  <c r="D38" i="5"/>
  <c r="C38" i="5"/>
  <c r="IL37" i="5"/>
  <c r="II37" i="5"/>
  <c r="IF37" i="5"/>
  <c r="CB36" i="6"/>
  <c r="CA36" i="6"/>
  <c r="BZ36" i="6"/>
  <c r="HM37" i="5"/>
  <c r="BY36" i="6" s="1"/>
  <c r="HJ37" i="5"/>
  <c r="GS37" i="5"/>
  <c r="BF36" i="6" s="1"/>
  <c r="GP37" i="5"/>
  <c r="BE36" i="6" s="1"/>
  <c r="GM37" i="5"/>
  <c r="GJ37" i="5"/>
  <c r="GD37" i="5"/>
  <c r="FX37" i="5"/>
  <c r="AP36" i="6" s="1"/>
  <c r="FS37" i="5"/>
  <c r="FP37" i="5"/>
  <c r="FJ37" i="5"/>
  <c r="BA36" i="6" s="1"/>
  <c r="AZ36" i="6"/>
  <c r="FC37" i="5"/>
  <c r="EZ37" i="5"/>
  <c r="EW37" i="5"/>
  <c r="AV36" i="6" s="1"/>
  <c r="ET37" i="5"/>
  <c r="AU36" i="6" s="1"/>
  <c r="AT36" i="6"/>
  <c r="EM37" i="5"/>
  <c r="AN36" i="6" s="1"/>
  <c r="EJ37" i="5"/>
  <c r="AM36" i="6" s="1"/>
  <c r="DZ37" i="5"/>
  <c r="DW37" i="5"/>
  <c r="AH36" i="6" s="1"/>
  <c r="DT37" i="5"/>
  <c r="DR37" i="5"/>
  <c r="AD36" i="6" s="1"/>
  <c r="DE37" i="5"/>
  <c r="DF37" i="5" s="1"/>
  <c r="DA37" i="5"/>
  <c r="X36" i="6" s="1"/>
  <c r="CW37" i="5"/>
  <c r="W36" i="6" s="1"/>
  <c r="CS37" i="5"/>
  <c r="U36" i="6" s="1"/>
  <c r="CO37" i="5"/>
  <c r="T36" i="6" s="1"/>
  <c r="CH37" i="5"/>
  <c r="R36" i="6" s="1"/>
  <c r="CF37" i="5"/>
  <c r="Q36" i="6" s="1"/>
  <c r="CD37" i="5"/>
  <c r="P36" i="6" s="1"/>
  <c r="CA37" i="5"/>
  <c r="O36" i="6" s="1"/>
  <c r="BW37" i="5"/>
  <c r="BX37" i="5" s="1"/>
  <c r="BT37" i="5"/>
  <c r="BR37" i="5"/>
  <c r="Z36" i="6" s="1"/>
  <c r="BP37" i="5"/>
  <c r="BN37" i="5"/>
  <c r="BL37" i="5"/>
  <c r="BJ37" i="5"/>
  <c r="AB36" i="6" s="1"/>
  <c r="BG37" i="5"/>
  <c r="AA36" i="6" s="1"/>
  <c r="BC37" i="5"/>
  <c r="M36" i="6" s="1"/>
  <c r="AZ37" i="5"/>
  <c r="L36" i="6" s="1"/>
  <c r="AW37" i="5"/>
  <c r="AU37" i="5"/>
  <c r="AR37" i="5"/>
  <c r="K36" i="6" s="1"/>
  <c r="AI37" i="5"/>
  <c r="I36" i="6" s="1"/>
  <c r="AE37" i="5"/>
  <c r="H36" i="6" s="1"/>
  <c r="AB37" i="5"/>
  <c r="F36" i="6" s="1"/>
  <c r="Z37" i="5"/>
  <c r="V37" i="5"/>
  <c r="E36" i="6" s="1"/>
  <c r="T37" i="5"/>
  <c r="D36" i="6" s="1"/>
  <c r="Q37" i="5"/>
  <c r="R37" i="5" s="1"/>
  <c r="N37" i="5"/>
  <c r="C36" i="6" s="1"/>
  <c r="K37" i="5"/>
  <c r="F37" i="5"/>
  <c r="D37" i="5"/>
  <c r="C37" i="5"/>
  <c r="IL36" i="5"/>
  <c r="II36" i="5"/>
  <c r="IF36" i="5"/>
  <c r="CB35" i="6"/>
  <c r="CA35" i="6"/>
  <c r="BZ35" i="6"/>
  <c r="HM36" i="5"/>
  <c r="BY35" i="6" s="1"/>
  <c r="HJ36" i="5"/>
  <c r="GS36" i="5"/>
  <c r="BF35" i="6" s="1"/>
  <c r="GP36" i="5"/>
  <c r="BE35" i="6" s="1"/>
  <c r="GM36" i="5"/>
  <c r="GJ36" i="5"/>
  <c r="GD36" i="5"/>
  <c r="FX36" i="5"/>
  <c r="AP35" i="6" s="1"/>
  <c r="FS36" i="5"/>
  <c r="FP36" i="5"/>
  <c r="FA73" i="5" s="1"/>
  <c r="FJ36" i="5"/>
  <c r="BA35" i="6" s="1"/>
  <c r="AZ35" i="6"/>
  <c r="FC36" i="5"/>
  <c r="EZ36" i="5"/>
  <c r="EZ73" i="5" s="1"/>
  <c r="EW36" i="5"/>
  <c r="AV35" i="6" s="1"/>
  <c r="ET36" i="5"/>
  <c r="AU35" i="6" s="1"/>
  <c r="AT35" i="6"/>
  <c r="EM36" i="5"/>
  <c r="AN35" i="6" s="1"/>
  <c r="EJ36" i="5"/>
  <c r="AM35" i="6" s="1"/>
  <c r="DZ36" i="5"/>
  <c r="AI35" i="6" s="1"/>
  <c r="DW36" i="5"/>
  <c r="AH35" i="6" s="1"/>
  <c r="DT36" i="5"/>
  <c r="DR36" i="5"/>
  <c r="AD35" i="6" s="1"/>
  <c r="DE36" i="5"/>
  <c r="DF36" i="5" s="1"/>
  <c r="DA36" i="5"/>
  <c r="X35" i="6" s="1"/>
  <c r="CW36" i="5"/>
  <c r="W35" i="6" s="1"/>
  <c r="CS36" i="5"/>
  <c r="U35" i="6" s="1"/>
  <c r="CO36" i="5"/>
  <c r="T35" i="6" s="1"/>
  <c r="CH36" i="5"/>
  <c r="R35" i="6" s="1"/>
  <c r="CF36" i="5"/>
  <c r="Q35" i="6" s="1"/>
  <c r="CD36" i="5"/>
  <c r="P35" i="6" s="1"/>
  <c r="CA36" i="5"/>
  <c r="O35" i="6" s="1"/>
  <c r="BW36" i="5"/>
  <c r="BX36" i="5" s="1"/>
  <c r="BT36" i="5"/>
  <c r="BR36" i="5"/>
  <c r="Z35" i="6" s="1"/>
  <c r="BP36" i="5"/>
  <c r="BN36" i="5"/>
  <c r="BL36" i="5"/>
  <c r="BJ36" i="5"/>
  <c r="AB35" i="6" s="1"/>
  <c r="BG36" i="5"/>
  <c r="AA35" i="6" s="1"/>
  <c r="BC36" i="5"/>
  <c r="M35" i="6" s="1"/>
  <c r="AZ36" i="5"/>
  <c r="L35" i="6" s="1"/>
  <c r="AW36" i="5"/>
  <c r="AU36" i="5"/>
  <c r="AR36" i="5"/>
  <c r="K35" i="6" s="1"/>
  <c r="AI36" i="5"/>
  <c r="I35" i="6" s="1"/>
  <c r="AE36" i="5"/>
  <c r="H35" i="6" s="1"/>
  <c r="AB36" i="5"/>
  <c r="F35" i="6" s="1"/>
  <c r="Z36" i="5"/>
  <c r="V36" i="5"/>
  <c r="E35" i="6" s="1"/>
  <c r="T36" i="5"/>
  <c r="D35" i="6" s="1"/>
  <c r="Q36" i="5"/>
  <c r="N36" i="5"/>
  <c r="C35" i="6" s="1"/>
  <c r="K36" i="5"/>
  <c r="F36" i="5"/>
  <c r="D36" i="5"/>
  <c r="C36" i="5"/>
  <c r="A36" i="5"/>
  <c r="IL35" i="5"/>
  <c r="II35" i="5"/>
  <c r="HV35" i="5"/>
  <c r="CB34" i="6" s="1"/>
  <c r="HS35" i="5"/>
  <c r="CA34" i="6" s="1"/>
  <c r="HP35" i="5"/>
  <c r="BZ34" i="6" s="1"/>
  <c r="HM35" i="5"/>
  <c r="BY34" i="6" s="1"/>
  <c r="HJ35" i="5"/>
  <c r="HE35" i="5"/>
  <c r="GS35" i="5"/>
  <c r="GP35" i="5"/>
  <c r="BE34" i="6" s="1"/>
  <c r="GM35" i="5"/>
  <c r="GJ35" i="5"/>
  <c r="GD35" i="5"/>
  <c r="FX35" i="5"/>
  <c r="AP34" i="6" s="1"/>
  <c r="FS35" i="5"/>
  <c r="FP35" i="5"/>
  <c r="FA72" i="5" s="1"/>
  <c r="FJ35" i="5"/>
  <c r="BA34" i="6" s="1"/>
  <c r="AZ34" i="6"/>
  <c r="FC35" i="5"/>
  <c r="EZ35" i="5"/>
  <c r="EZ72" i="5" s="1"/>
  <c r="EW35" i="5"/>
  <c r="AV34" i="6" s="1"/>
  <c r="ET35" i="5"/>
  <c r="AU34" i="6" s="1"/>
  <c r="EM35" i="5"/>
  <c r="AN34" i="6" s="1"/>
  <c r="EJ35" i="5"/>
  <c r="AM34" i="6" s="1"/>
  <c r="DZ35" i="5"/>
  <c r="AI34" i="6" s="1"/>
  <c r="DW35" i="5"/>
  <c r="AH34" i="6" s="1"/>
  <c r="DT35" i="5"/>
  <c r="DR35" i="5"/>
  <c r="AD34" i="6" s="1"/>
  <c r="DE35" i="5"/>
  <c r="DF35" i="5" s="1"/>
  <c r="DA35" i="5"/>
  <c r="X34" i="6" s="1"/>
  <c r="CW35" i="5"/>
  <c r="W34" i="6" s="1"/>
  <c r="CS35" i="5"/>
  <c r="U34" i="6" s="1"/>
  <c r="CO35" i="5"/>
  <c r="T34" i="6" s="1"/>
  <c r="CH35" i="5"/>
  <c r="R34" i="6" s="1"/>
  <c r="CF35" i="5"/>
  <c r="Q34" i="6" s="1"/>
  <c r="CD35" i="5"/>
  <c r="P34" i="6" s="1"/>
  <c r="CA35" i="5"/>
  <c r="CK35" i="5" s="1"/>
  <c r="S34" i="6" s="1"/>
  <c r="BW35" i="5"/>
  <c r="BX35" i="5" s="1"/>
  <c r="BT35" i="5"/>
  <c r="BR35" i="5"/>
  <c r="Z34" i="6" s="1"/>
  <c r="BP35" i="5"/>
  <c r="BN35" i="5"/>
  <c r="BL35" i="5"/>
  <c r="BJ35" i="5"/>
  <c r="AB34" i="6" s="1"/>
  <c r="BG35" i="5"/>
  <c r="AA34" i="6" s="1"/>
  <c r="BC35" i="5"/>
  <c r="M34" i="6" s="1"/>
  <c r="AZ35" i="5"/>
  <c r="L34" i="6" s="1"/>
  <c r="AW35" i="5"/>
  <c r="AU35" i="5"/>
  <c r="AR35" i="5"/>
  <c r="K34" i="6" s="1"/>
  <c r="AI35" i="5"/>
  <c r="I34" i="6" s="1"/>
  <c r="AE35" i="5"/>
  <c r="H34" i="6" s="1"/>
  <c r="AB35" i="5"/>
  <c r="F34" i="6" s="1"/>
  <c r="Z35" i="5"/>
  <c r="V35" i="5"/>
  <c r="E34" i="6" s="1"/>
  <c r="T35" i="5"/>
  <c r="D34" i="6" s="1"/>
  <c r="Q35" i="5"/>
  <c r="N35" i="5"/>
  <c r="C34" i="6" s="1"/>
  <c r="K35" i="5"/>
  <c r="F35" i="5"/>
  <c r="D35" i="5"/>
  <c r="C35" i="5"/>
  <c r="IL34" i="5"/>
  <c r="II34" i="5"/>
  <c r="HV34" i="5"/>
  <c r="CB33" i="6" s="1"/>
  <c r="HS34" i="5"/>
  <c r="CA33" i="6" s="1"/>
  <c r="HP34" i="5"/>
  <c r="BZ33" i="6" s="1"/>
  <c r="HM34" i="5"/>
  <c r="BY33" i="6" s="1"/>
  <c r="HJ34" i="5"/>
  <c r="GS34" i="5"/>
  <c r="BF33" i="6" s="1"/>
  <c r="GP34" i="5"/>
  <c r="GM34" i="5"/>
  <c r="GJ34" i="5"/>
  <c r="GD34" i="5"/>
  <c r="FX34" i="5"/>
  <c r="AP33" i="6" s="1"/>
  <c r="FS34" i="5"/>
  <c r="FP34" i="5"/>
  <c r="FA71" i="5" s="1"/>
  <c r="FJ34" i="5"/>
  <c r="FC34" i="5"/>
  <c r="EZ34" i="5"/>
  <c r="EZ71" i="5" s="1"/>
  <c r="EW34" i="5"/>
  <c r="AV33" i="6" s="1"/>
  <c r="ET34" i="5"/>
  <c r="AU33" i="6" s="1"/>
  <c r="AT33" i="6"/>
  <c r="EM34" i="5"/>
  <c r="AN33" i="6" s="1"/>
  <c r="EJ34" i="5"/>
  <c r="AM33" i="6" s="1"/>
  <c r="DZ34" i="5"/>
  <c r="AI33" i="6" s="1"/>
  <c r="DW34" i="5"/>
  <c r="AH33" i="6" s="1"/>
  <c r="DT34" i="5"/>
  <c r="HY34" i="5" s="1"/>
  <c r="CC33" i="6" s="1"/>
  <c r="DR34" i="5"/>
  <c r="AD33" i="6" s="1"/>
  <c r="DE34" i="5"/>
  <c r="DA34" i="5"/>
  <c r="CW34" i="5"/>
  <c r="W33" i="6" s="1"/>
  <c r="CS34" i="5"/>
  <c r="U33" i="6" s="1"/>
  <c r="CO34" i="5"/>
  <c r="CH34" i="5"/>
  <c r="R33" i="6" s="1"/>
  <c r="CF34" i="5"/>
  <c r="Q33" i="6" s="1"/>
  <c r="CD34" i="5"/>
  <c r="P33" i="6" s="1"/>
  <c r="CA34" i="5"/>
  <c r="CB34" i="5" s="1"/>
  <c r="BW34" i="5"/>
  <c r="BX34" i="5" s="1"/>
  <c r="BT34" i="5"/>
  <c r="BR34" i="5"/>
  <c r="Z33" i="6" s="1"/>
  <c r="BP34" i="5"/>
  <c r="BN34" i="5"/>
  <c r="BL34" i="5"/>
  <c r="BJ34" i="5"/>
  <c r="AB33" i="6" s="1"/>
  <c r="BG34" i="5"/>
  <c r="AA33" i="6" s="1"/>
  <c r="BC34" i="5"/>
  <c r="M33" i="6" s="1"/>
  <c r="AZ34" i="5"/>
  <c r="L33" i="6" s="1"/>
  <c r="AW34" i="5"/>
  <c r="AU34" i="5"/>
  <c r="AR34" i="5"/>
  <c r="K33" i="6" s="1"/>
  <c r="AI34" i="5"/>
  <c r="I33" i="6" s="1"/>
  <c r="AE34" i="5"/>
  <c r="AB34" i="5"/>
  <c r="F33" i="6" s="1"/>
  <c r="Z34" i="5"/>
  <c r="V34" i="5"/>
  <c r="E33" i="6" s="1"/>
  <c r="T34" i="5"/>
  <c r="D33" i="6" s="1"/>
  <c r="Q34" i="5"/>
  <c r="R34" i="5" s="1"/>
  <c r="N34" i="5"/>
  <c r="C33" i="6" s="1"/>
  <c r="K34" i="5"/>
  <c r="F34" i="5"/>
  <c r="D34" i="5"/>
  <c r="C34" i="5"/>
  <c r="IL33" i="5"/>
  <c r="II33" i="5"/>
  <c r="HV33" i="5"/>
  <c r="CB32" i="6" s="1"/>
  <c r="HS33" i="5"/>
  <c r="CA32" i="6" s="1"/>
  <c r="HP33" i="5"/>
  <c r="BZ32" i="6" s="1"/>
  <c r="HM33" i="5"/>
  <c r="BY32" i="6" s="1"/>
  <c r="HJ33" i="5"/>
  <c r="HE33" i="5"/>
  <c r="GS33" i="5"/>
  <c r="GP33" i="5"/>
  <c r="BE32" i="6" s="1"/>
  <c r="GM33" i="5"/>
  <c r="BC32" i="6" s="1"/>
  <c r="GJ33" i="5"/>
  <c r="AX32" i="6" s="1"/>
  <c r="GD33" i="5"/>
  <c r="FX33" i="5"/>
  <c r="AP32" i="6" s="1"/>
  <c r="FS33" i="5"/>
  <c r="FP33" i="5"/>
  <c r="BA32" i="6"/>
  <c r="AZ32" i="6"/>
  <c r="FC33" i="5"/>
  <c r="EZ33" i="5"/>
  <c r="EZ70" i="5" s="1"/>
  <c r="EW33" i="5"/>
  <c r="AV32" i="6" s="1"/>
  <c r="ET33" i="5"/>
  <c r="AU32" i="6" s="1"/>
  <c r="AT32" i="6"/>
  <c r="EM33" i="5"/>
  <c r="EJ33" i="5"/>
  <c r="AM32" i="6" s="1"/>
  <c r="DZ33" i="5"/>
  <c r="AI32" i="6" s="1"/>
  <c r="DW33" i="5"/>
  <c r="DT33" i="5"/>
  <c r="DR33" i="5"/>
  <c r="AD32" i="6" s="1"/>
  <c r="DE33" i="5"/>
  <c r="DA33" i="5"/>
  <c r="X32" i="6" s="1"/>
  <c r="CW33" i="5"/>
  <c r="W32" i="6" s="1"/>
  <c r="CS33" i="5"/>
  <c r="CO33" i="5"/>
  <c r="T32" i="6" s="1"/>
  <c r="CH33" i="5"/>
  <c r="R32" i="6" s="1"/>
  <c r="CF33" i="5"/>
  <c r="Q32" i="6" s="1"/>
  <c r="CD33" i="5"/>
  <c r="P32" i="6" s="1"/>
  <c r="CA33" i="5"/>
  <c r="O32" i="6" s="1"/>
  <c r="BW33" i="5"/>
  <c r="BX33" i="5" s="1"/>
  <c r="BT33" i="5"/>
  <c r="BR33" i="5"/>
  <c r="BP33" i="5"/>
  <c r="BN33" i="5"/>
  <c r="BL33" i="5"/>
  <c r="BJ33" i="5"/>
  <c r="AB32" i="6" s="1"/>
  <c r="BG33" i="5"/>
  <c r="AA32" i="6" s="1"/>
  <c r="BC33" i="5"/>
  <c r="M32" i="6" s="1"/>
  <c r="AZ33" i="5"/>
  <c r="L32" i="6" s="1"/>
  <c r="AW33" i="5"/>
  <c r="AU33" i="5"/>
  <c r="AR33" i="5"/>
  <c r="K32" i="6" s="1"/>
  <c r="AI33" i="5"/>
  <c r="AE33" i="5"/>
  <c r="H32" i="6" s="1"/>
  <c r="AB33" i="5"/>
  <c r="F32" i="6" s="1"/>
  <c r="Z33" i="5"/>
  <c r="V33" i="5"/>
  <c r="E32" i="6" s="1"/>
  <c r="T33" i="5"/>
  <c r="Q33" i="5"/>
  <c r="N33" i="5"/>
  <c r="C32" i="6" s="1"/>
  <c r="K33" i="5"/>
  <c r="F33" i="5"/>
  <c r="D33" i="5"/>
  <c r="C33" i="5"/>
  <c r="IL32" i="5"/>
  <c r="II32" i="5"/>
  <c r="CB31" i="6"/>
  <c r="CA31" i="6"/>
  <c r="HP32" i="5"/>
  <c r="BZ31" i="6" s="1"/>
  <c r="HM32" i="5"/>
  <c r="BY31" i="6" s="1"/>
  <c r="HJ32" i="5"/>
  <c r="HE32" i="5"/>
  <c r="GS32" i="5"/>
  <c r="GP32" i="5"/>
  <c r="BE31" i="6" s="1"/>
  <c r="GM32" i="5"/>
  <c r="BC31" i="6" s="1"/>
  <c r="GJ32" i="5"/>
  <c r="GD32" i="5"/>
  <c r="FX32" i="5"/>
  <c r="AP31" i="6" s="1"/>
  <c r="FS32" i="5"/>
  <c r="FP32" i="5"/>
  <c r="FA69" i="5" s="1"/>
  <c r="FJ32" i="5"/>
  <c r="BA31" i="6" s="1"/>
  <c r="FC32" i="5"/>
  <c r="EZ32" i="5"/>
  <c r="EW32" i="5"/>
  <c r="AV31" i="6" s="1"/>
  <c r="ET32" i="5"/>
  <c r="AU31" i="6" s="1"/>
  <c r="EM32" i="5"/>
  <c r="AN31" i="6" s="1"/>
  <c r="EJ32" i="5"/>
  <c r="AM31" i="6" s="1"/>
  <c r="DZ32" i="5"/>
  <c r="AI31" i="6" s="1"/>
  <c r="DW32" i="5"/>
  <c r="AH31" i="6" s="1"/>
  <c r="DT32" i="5"/>
  <c r="DR32" i="5"/>
  <c r="AD31" i="6" s="1"/>
  <c r="DE32" i="5"/>
  <c r="DF32" i="5" s="1"/>
  <c r="DA32" i="5"/>
  <c r="X31" i="6" s="1"/>
  <c r="CW32" i="5"/>
  <c r="W31" i="6" s="1"/>
  <c r="CS32" i="5"/>
  <c r="U31" i="6" s="1"/>
  <c r="CO32" i="5"/>
  <c r="T31" i="6" s="1"/>
  <c r="CH32" i="5"/>
  <c r="R31" i="6" s="1"/>
  <c r="CF32" i="5"/>
  <c r="Q31" i="6" s="1"/>
  <c r="CD32" i="5"/>
  <c r="P31" i="6" s="1"/>
  <c r="CA32" i="5"/>
  <c r="CK32" i="5" s="1"/>
  <c r="BW32" i="5"/>
  <c r="BX32" i="5" s="1"/>
  <c r="BT32" i="5"/>
  <c r="BR32" i="5"/>
  <c r="Z31" i="6" s="1"/>
  <c r="BP32" i="5"/>
  <c r="BN32" i="5"/>
  <c r="BL32" i="5"/>
  <c r="BJ32" i="5"/>
  <c r="AB31" i="6" s="1"/>
  <c r="BG32" i="5"/>
  <c r="AA31" i="6" s="1"/>
  <c r="BC32" i="5"/>
  <c r="M31" i="6" s="1"/>
  <c r="AZ32" i="5"/>
  <c r="L31" i="6" s="1"/>
  <c r="AW32" i="5"/>
  <c r="AU32" i="5"/>
  <c r="AR32" i="5"/>
  <c r="K31" i="6" s="1"/>
  <c r="AI32" i="5"/>
  <c r="I31" i="6" s="1"/>
  <c r="AE32" i="5"/>
  <c r="H31" i="6" s="1"/>
  <c r="AB32" i="5"/>
  <c r="F31" i="6" s="1"/>
  <c r="Z32" i="5"/>
  <c r="V32" i="5"/>
  <c r="E31" i="6" s="1"/>
  <c r="T32" i="5"/>
  <c r="D31" i="6" s="1"/>
  <c r="Q32" i="5"/>
  <c r="N32" i="5"/>
  <c r="C31" i="6" s="1"/>
  <c r="K32" i="5"/>
  <c r="F32" i="5"/>
  <c r="D32" i="5"/>
  <c r="C32" i="5"/>
  <c r="IL31" i="5"/>
  <c r="II31" i="5"/>
  <c r="CB30" i="6"/>
  <c r="CA30" i="6"/>
  <c r="BZ30" i="6"/>
  <c r="HM31" i="5"/>
  <c r="BY30" i="6" s="1"/>
  <c r="GS31" i="5"/>
  <c r="GP31" i="5"/>
  <c r="BE30" i="6" s="1"/>
  <c r="GM31" i="5"/>
  <c r="GJ31" i="5"/>
  <c r="AX30" i="6" s="1"/>
  <c r="GD31" i="5"/>
  <c r="FX31" i="5"/>
  <c r="AP30" i="6" s="1"/>
  <c r="FS31" i="5"/>
  <c r="FP31" i="5"/>
  <c r="FA68" i="5" s="1"/>
  <c r="FJ31" i="5"/>
  <c r="BA30" i="6" s="1"/>
  <c r="FC31" i="5"/>
  <c r="EZ31" i="5"/>
  <c r="EZ68" i="5" s="1"/>
  <c r="EW31" i="5"/>
  <c r="AV30" i="6" s="1"/>
  <c r="ET31" i="5"/>
  <c r="AU30" i="6" s="1"/>
  <c r="AT30" i="6"/>
  <c r="EM31" i="5"/>
  <c r="AN30" i="6" s="1"/>
  <c r="EJ31" i="5"/>
  <c r="AM30" i="6" s="1"/>
  <c r="DZ31" i="5"/>
  <c r="AI30" i="6" s="1"/>
  <c r="DW31" i="5"/>
  <c r="AH30" i="6" s="1"/>
  <c r="DT31" i="5"/>
  <c r="DR31" i="5"/>
  <c r="AD30" i="6" s="1"/>
  <c r="DE31" i="5"/>
  <c r="DA31" i="5"/>
  <c r="CW31" i="5"/>
  <c r="W30" i="6" s="1"/>
  <c r="CS31" i="5"/>
  <c r="U30" i="6" s="1"/>
  <c r="CO31" i="5"/>
  <c r="T30" i="6" s="1"/>
  <c r="CH31" i="5"/>
  <c r="R30" i="6" s="1"/>
  <c r="CF31" i="5"/>
  <c r="Q30" i="6" s="1"/>
  <c r="CD31" i="5"/>
  <c r="P30" i="6" s="1"/>
  <c r="CA31" i="5"/>
  <c r="CB31" i="5" s="1"/>
  <c r="BW31" i="5"/>
  <c r="BX31" i="5" s="1"/>
  <c r="BT31" i="5"/>
  <c r="BR31" i="5"/>
  <c r="Z30" i="6" s="1"/>
  <c r="BP31" i="5"/>
  <c r="BN31" i="5"/>
  <c r="BL31" i="5"/>
  <c r="BJ31" i="5"/>
  <c r="AB30" i="6" s="1"/>
  <c r="BG31" i="5"/>
  <c r="AA30" i="6" s="1"/>
  <c r="BC31" i="5"/>
  <c r="M30" i="6" s="1"/>
  <c r="AZ31" i="5"/>
  <c r="L30" i="6" s="1"/>
  <c r="AW31" i="5"/>
  <c r="AU31" i="5"/>
  <c r="AR31" i="5"/>
  <c r="AI31" i="5"/>
  <c r="I30" i="6" s="1"/>
  <c r="AE31" i="5"/>
  <c r="AB31" i="5"/>
  <c r="F30" i="6" s="1"/>
  <c r="Z31" i="5"/>
  <c r="V31" i="5"/>
  <c r="E30" i="6" s="1"/>
  <c r="T31" i="5"/>
  <c r="Q31" i="5"/>
  <c r="R31" i="5" s="1"/>
  <c r="N31" i="5"/>
  <c r="C30" i="6" s="1"/>
  <c r="K31" i="5"/>
  <c r="F31" i="5"/>
  <c r="D31" i="5"/>
  <c r="C31" i="5"/>
  <c r="IL30" i="5"/>
  <c r="II30" i="5"/>
  <c r="CB29" i="6"/>
  <c r="CA29" i="6"/>
  <c r="BZ29" i="6"/>
  <c r="HM30" i="5"/>
  <c r="BY29" i="6" s="1"/>
  <c r="HE30" i="5"/>
  <c r="GS30" i="5"/>
  <c r="GP30" i="5"/>
  <c r="BE29" i="6" s="1"/>
  <c r="GM30" i="5"/>
  <c r="BC29" i="6" s="1"/>
  <c r="GJ30" i="5"/>
  <c r="AX29" i="6" s="1"/>
  <c r="GD30" i="5"/>
  <c r="FX30" i="5"/>
  <c r="AP29" i="6" s="1"/>
  <c r="FS30" i="5"/>
  <c r="FP30" i="5"/>
  <c r="FA67" i="5" s="1"/>
  <c r="FJ30" i="5"/>
  <c r="BA29" i="6" s="1"/>
  <c r="AZ29" i="6"/>
  <c r="FC30" i="5"/>
  <c r="EZ30" i="5"/>
  <c r="EW30" i="5"/>
  <c r="AV29" i="6" s="1"/>
  <c r="ET30" i="5"/>
  <c r="AU29" i="6" s="1"/>
  <c r="AT29" i="6"/>
  <c r="EM30" i="5"/>
  <c r="AN29" i="6" s="1"/>
  <c r="EJ30" i="5"/>
  <c r="AM29" i="6" s="1"/>
  <c r="DZ30" i="5"/>
  <c r="AI29" i="6" s="1"/>
  <c r="DW30" i="5"/>
  <c r="DT30" i="5"/>
  <c r="DR30" i="5"/>
  <c r="AD29" i="6" s="1"/>
  <c r="DE30" i="5"/>
  <c r="DA30" i="5"/>
  <c r="CW30" i="5"/>
  <c r="W29" i="6" s="1"/>
  <c r="CS30" i="5"/>
  <c r="CO30" i="5"/>
  <c r="T29" i="6" s="1"/>
  <c r="CH30" i="5"/>
  <c r="R29" i="6" s="1"/>
  <c r="CF30" i="5"/>
  <c r="Q29" i="6" s="1"/>
  <c r="CD30" i="5"/>
  <c r="P29" i="6" s="1"/>
  <c r="CA30" i="5"/>
  <c r="O29" i="6" s="1"/>
  <c r="BW30" i="5"/>
  <c r="BX30" i="5" s="1"/>
  <c r="BT30" i="5"/>
  <c r="BR30" i="5"/>
  <c r="BP30" i="5"/>
  <c r="BN30" i="5"/>
  <c r="BL30" i="5"/>
  <c r="BJ30" i="5"/>
  <c r="AB29" i="6" s="1"/>
  <c r="BG30" i="5"/>
  <c r="AA29" i="6" s="1"/>
  <c r="BC30" i="5"/>
  <c r="M29" i="6" s="1"/>
  <c r="AZ30" i="5"/>
  <c r="L29" i="6" s="1"/>
  <c r="AW30" i="5"/>
  <c r="AU30" i="5"/>
  <c r="AR30" i="5"/>
  <c r="K29" i="6" s="1"/>
  <c r="AI30" i="5"/>
  <c r="I29" i="6" s="1"/>
  <c r="AE30" i="5"/>
  <c r="AB30" i="5"/>
  <c r="F29" i="6" s="1"/>
  <c r="Z30" i="5"/>
  <c r="V30" i="5"/>
  <c r="E29" i="6" s="1"/>
  <c r="T30" i="5"/>
  <c r="Q30" i="5"/>
  <c r="N30" i="5"/>
  <c r="C29" i="6" s="1"/>
  <c r="K30" i="5"/>
  <c r="F30" i="5"/>
  <c r="D30" i="5"/>
  <c r="C30" i="5"/>
  <c r="IL29" i="5"/>
  <c r="II29" i="5"/>
  <c r="CB28" i="6"/>
  <c r="CA28" i="6"/>
  <c r="BZ28" i="6"/>
  <c r="HM29" i="5"/>
  <c r="BY28" i="6" s="1"/>
  <c r="GS29" i="5"/>
  <c r="GP29" i="5"/>
  <c r="BE28" i="6" s="1"/>
  <c r="GM29" i="5"/>
  <c r="BC28" i="6" s="1"/>
  <c r="GJ29" i="5"/>
  <c r="GD29" i="5"/>
  <c r="FX29" i="5"/>
  <c r="AP28" i="6" s="1"/>
  <c r="FS29" i="5"/>
  <c r="FP29" i="5"/>
  <c r="FA66" i="5" s="1"/>
  <c r="FJ29" i="5"/>
  <c r="BA28" i="6" s="1"/>
  <c r="FC29" i="5"/>
  <c r="EZ29" i="5"/>
  <c r="EZ66" i="5" s="1"/>
  <c r="EW29" i="5"/>
  <c r="AV28" i="6" s="1"/>
  <c r="ET29" i="5"/>
  <c r="AU28" i="6" s="1"/>
  <c r="AT28" i="6"/>
  <c r="EM29" i="5"/>
  <c r="AN28" i="6" s="1"/>
  <c r="EJ29" i="5"/>
  <c r="AM28" i="6" s="1"/>
  <c r="DZ29" i="5"/>
  <c r="AI28" i="6" s="1"/>
  <c r="DW29" i="5"/>
  <c r="AH28" i="6" s="1"/>
  <c r="DT29" i="5"/>
  <c r="DR29" i="5"/>
  <c r="AD28" i="6" s="1"/>
  <c r="DE29" i="5"/>
  <c r="DF29" i="5" s="1"/>
  <c r="DA29" i="5"/>
  <c r="X28" i="6" s="1"/>
  <c r="CW29" i="5"/>
  <c r="W28" i="6" s="1"/>
  <c r="CS29" i="5"/>
  <c r="CO29" i="5"/>
  <c r="CH29" i="5"/>
  <c r="R28" i="6" s="1"/>
  <c r="CF29" i="5"/>
  <c r="Q28" i="6" s="1"/>
  <c r="CD29" i="5"/>
  <c r="P28" i="6" s="1"/>
  <c r="CA29" i="5"/>
  <c r="O28" i="6" s="1"/>
  <c r="BW29" i="5"/>
  <c r="BX29" i="5" s="1"/>
  <c r="BT29" i="5"/>
  <c r="BR29" i="5"/>
  <c r="Z28" i="6" s="1"/>
  <c r="BP29" i="5"/>
  <c r="BN29" i="5"/>
  <c r="BL29" i="5"/>
  <c r="BJ29" i="5"/>
  <c r="AB28" i="6" s="1"/>
  <c r="BG29" i="5"/>
  <c r="AA28" i="6" s="1"/>
  <c r="BC29" i="5"/>
  <c r="M28" i="6" s="1"/>
  <c r="AZ29" i="5"/>
  <c r="L28" i="6" s="1"/>
  <c r="AW29" i="5"/>
  <c r="AU29" i="5"/>
  <c r="AR29" i="5"/>
  <c r="K28" i="6" s="1"/>
  <c r="AI29" i="5"/>
  <c r="AE29" i="5"/>
  <c r="H28" i="6" s="1"/>
  <c r="AB29" i="5"/>
  <c r="F28" i="6" s="1"/>
  <c r="Z29" i="5"/>
  <c r="V29" i="5"/>
  <c r="E28" i="6" s="1"/>
  <c r="T29" i="5"/>
  <c r="D28" i="6" s="1"/>
  <c r="Q29" i="5"/>
  <c r="R29" i="5" s="1"/>
  <c r="N29" i="5"/>
  <c r="C28" i="6" s="1"/>
  <c r="K29" i="5"/>
  <c r="F29" i="5"/>
  <c r="D29" i="5"/>
  <c r="C29" i="5"/>
  <c r="IL28" i="5"/>
  <c r="II28" i="5"/>
  <c r="CB27" i="6"/>
  <c r="CA27" i="6"/>
  <c r="HP28" i="5"/>
  <c r="BZ27" i="6" s="1"/>
  <c r="HM28" i="5"/>
  <c r="BY27" i="6" s="1"/>
  <c r="HJ28" i="5"/>
  <c r="GS28" i="5"/>
  <c r="GP28" i="5"/>
  <c r="BE27" i="6" s="1"/>
  <c r="GM28" i="5"/>
  <c r="BC27" i="6" s="1"/>
  <c r="GJ28" i="5"/>
  <c r="AX27" i="6" s="1"/>
  <c r="GD28" i="5"/>
  <c r="FX28" i="5"/>
  <c r="AP27" i="6" s="1"/>
  <c r="FS28" i="5"/>
  <c r="FP28" i="5"/>
  <c r="FA65" i="5" s="1"/>
  <c r="FJ28" i="5"/>
  <c r="BA27" i="6" s="1"/>
  <c r="FC28" i="5"/>
  <c r="EZ28" i="5"/>
  <c r="EZ65" i="5" s="1"/>
  <c r="EW28" i="5"/>
  <c r="AV27" i="6" s="1"/>
  <c r="ET28" i="5"/>
  <c r="AU27" i="6" s="1"/>
  <c r="AT27" i="6"/>
  <c r="EM28" i="5"/>
  <c r="AN27" i="6" s="1"/>
  <c r="EJ28" i="5"/>
  <c r="AM27" i="6" s="1"/>
  <c r="DZ28" i="5"/>
  <c r="AI27" i="6" s="1"/>
  <c r="DW28" i="5"/>
  <c r="AH27" i="6" s="1"/>
  <c r="DT28" i="5"/>
  <c r="DR28" i="5"/>
  <c r="AD27" i="6" s="1"/>
  <c r="DE28" i="5"/>
  <c r="DF28" i="5" s="1"/>
  <c r="CW28" i="5"/>
  <c r="W27" i="6" s="1"/>
  <c r="CS28" i="5"/>
  <c r="U27" i="6" s="1"/>
  <c r="CO28" i="5"/>
  <c r="T27" i="6" s="1"/>
  <c r="CH28" i="5"/>
  <c r="R27" i="6" s="1"/>
  <c r="CF28" i="5"/>
  <c r="Q27" i="6" s="1"/>
  <c r="CD28" i="5"/>
  <c r="P27" i="6" s="1"/>
  <c r="CA28" i="5"/>
  <c r="O27" i="6" s="1"/>
  <c r="BW28" i="5"/>
  <c r="BX28" i="5" s="1"/>
  <c r="BT28" i="5"/>
  <c r="BR28" i="5"/>
  <c r="Z27" i="6" s="1"/>
  <c r="BP28" i="5"/>
  <c r="BN28" i="5"/>
  <c r="BJ28" i="5"/>
  <c r="AB27" i="6" s="1"/>
  <c r="BG28" i="5"/>
  <c r="AA27" i="6" s="1"/>
  <c r="BC28" i="5"/>
  <c r="M27" i="6" s="1"/>
  <c r="AZ28" i="5"/>
  <c r="L27" i="6" s="1"/>
  <c r="AW28" i="5"/>
  <c r="AU28" i="5"/>
  <c r="AR28" i="5"/>
  <c r="K27" i="6" s="1"/>
  <c r="AI28" i="5"/>
  <c r="I27" i="6" s="1"/>
  <c r="AE28" i="5"/>
  <c r="AB28" i="5"/>
  <c r="F27" i="6" s="1"/>
  <c r="Z28" i="5"/>
  <c r="V28" i="5"/>
  <c r="E27" i="6" s="1"/>
  <c r="T28" i="5"/>
  <c r="D27" i="6" s="1"/>
  <c r="Q28" i="5"/>
  <c r="R28" i="5" s="1"/>
  <c r="N28" i="5"/>
  <c r="C27" i="6" s="1"/>
  <c r="K28" i="5"/>
  <c r="F28" i="5"/>
  <c r="D28" i="5"/>
  <c r="C28" i="5"/>
  <c r="II27" i="5"/>
  <c r="CB26" i="6"/>
  <c r="CA26" i="6"/>
  <c r="HP27" i="5"/>
  <c r="BZ26" i="6" s="1"/>
  <c r="HM27" i="5"/>
  <c r="BY26" i="6" s="1"/>
  <c r="HJ27" i="5"/>
  <c r="GS27" i="5"/>
  <c r="BF26" i="6" s="1"/>
  <c r="GP27" i="5"/>
  <c r="BE26" i="6" s="1"/>
  <c r="BC26" i="6"/>
  <c r="GD27" i="5"/>
  <c r="FX27" i="5"/>
  <c r="AP26" i="6" s="1"/>
  <c r="FS27" i="5"/>
  <c r="FP27" i="5"/>
  <c r="FA64" i="5" s="1"/>
  <c r="FJ27" i="5"/>
  <c r="BA26" i="6" s="1"/>
  <c r="AZ26" i="6"/>
  <c r="FC27" i="5"/>
  <c r="EZ27" i="5"/>
  <c r="EZ64" i="5" s="1"/>
  <c r="EW27" i="5"/>
  <c r="AV26" i="6" s="1"/>
  <c r="ET27" i="5"/>
  <c r="AT26" i="6"/>
  <c r="EM27" i="5"/>
  <c r="AN26" i="6" s="1"/>
  <c r="EJ27" i="5"/>
  <c r="AM26" i="6" s="1"/>
  <c r="DZ27" i="5"/>
  <c r="AI26" i="6" s="1"/>
  <c r="DW27" i="5"/>
  <c r="AH26" i="6" s="1"/>
  <c r="DR27" i="5"/>
  <c r="AD26" i="6" s="1"/>
  <c r="DE27" i="5"/>
  <c r="DF27" i="5" s="1"/>
  <c r="CW27" i="5"/>
  <c r="CS27" i="5"/>
  <c r="U26" i="6" s="1"/>
  <c r="CO27" i="5"/>
  <c r="T26" i="6" s="1"/>
  <c r="CH27" i="5"/>
  <c r="R26" i="6" s="1"/>
  <c r="CF27" i="5"/>
  <c r="Q26" i="6" s="1"/>
  <c r="CD27" i="5"/>
  <c r="P26" i="6" s="1"/>
  <c r="CA27" i="5"/>
  <c r="O26" i="6" s="1"/>
  <c r="BW27" i="5"/>
  <c r="BX27" i="5" s="1"/>
  <c r="BT27" i="5"/>
  <c r="BR27" i="5"/>
  <c r="Z26" i="6" s="1"/>
  <c r="BP27" i="5"/>
  <c r="BN27" i="5"/>
  <c r="BJ27" i="5"/>
  <c r="AB26" i="6" s="1"/>
  <c r="BG27" i="5"/>
  <c r="AA26" i="6" s="1"/>
  <c r="BC27" i="5"/>
  <c r="M26" i="6" s="1"/>
  <c r="AZ27" i="5"/>
  <c r="L26" i="6" s="1"/>
  <c r="AW27" i="5"/>
  <c r="AU27" i="5"/>
  <c r="AR27" i="5"/>
  <c r="K26" i="6" s="1"/>
  <c r="AI27" i="5"/>
  <c r="AE27" i="5"/>
  <c r="H26" i="6" s="1"/>
  <c r="AB27" i="5"/>
  <c r="F26" i="6" s="1"/>
  <c r="Z27" i="5"/>
  <c r="V27" i="5"/>
  <c r="E26" i="6" s="1"/>
  <c r="T27" i="5"/>
  <c r="D26" i="6" s="1"/>
  <c r="Q27" i="5"/>
  <c r="N27" i="5"/>
  <c r="C26" i="6" s="1"/>
  <c r="K27" i="5"/>
  <c r="F27" i="5"/>
  <c r="D27" i="5"/>
  <c r="C27" i="5"/>
  <c r="CB25" i="6"/>
  <c r="CA25" i="6"/>
  <c r="HP26" i="5"/>
  <c r="BZ25" i="6" s="1"/>
  <c r="HM26" i="5"/>
  <c r="BY25" i="6" s="1"/>
  <c r="HJ26" i="5"/>
  <c r="GS26" i="5"/>
  <c r="BF25" i="6" s="1"/>
  <c r="GP26" i="5"/>
  <c r="BE25" i="6" s="1"/>
  <c r="BC25" i="6"/>
  <c r="AX25" i="6"/>
  <c r="GD26" i="5"/>
  <c r="FX26" i="5"/>
  <c r="AP25" i="6" s="1"/>
  <c r="FS26" i="5"/>
  <c r="FP26" i="5"/>
  <c r="FA63" i="5" s="1"/>
  <c r="FJ26" i="5"/>
  <c r="BA25" i="6" s="1"/>
  <c r="AZ25" i="6"/>
  <c r="FC26" i="5"/>
  <c r="EZ26" i="5"/>
  <c r="EZ63" i="5" s="1"/>
  <c r="EW26" i="5"/>
  <c r="AV25" i="6" s="1"/>
  <c r="ET26" i="5"/>
  <c r="AT25" i="6"/>
  <c r="EM26" i="5"/>
  <c r="AN25" i="6" s="1"/>
  <c r="EJ26" i="5"/>
  <c r="AM25" i="6" s="1"/>
  <c r="DZ26" i="5"/>
  <c r="AI25" i="6" s="1"/>
  <c r="DW26" i="5"/>
  <c r="DR26" i="5"/>
  <c r="AD25" i="6" s="1"/>
  <c r="DE26" i="5"/>
  <c r="DF26" i="5" s="1"/>
  <c r="DA26" i="5"/>
  <c r="X25" i="6" s="1"/>
  <c r="CW26" i="5"/>
  <c r="CS26" i="5"/>
  <c r="U25" i="6" s="1"/>
  <c r="CO26" i="5"/>
  <c r="T25" i="6" s="1"/>
  <c r="CH26" i="5"/>
  <c r="R25" i="6" s="1"/>
  <c r="CF26" i="5"/>
  <c r="Q25" i="6" s="1"/>
  <c r="CD26" i="5"/>
  <c r="P25" i="6" s="1"/>
  <c r="CA26" i="5"/>
  <c r="O25" i="6" s="1"/>
  <c r="BW26" i="5"/>
  <c r="BX26" i="5" s="1"/>
  <c r="BT26" i="5"/>
  <c r="BR26" i="5"/>
  <c r="Z25" i="6" s="1"/>
  <c r="BP26" i="5"/>
  <c r="BN26" i="5"/>
  <c r="BL26" i="5"/>
  <c r="BJ26" i="5"/>
  <c r="AB25" i="6" s="1"/>
  <c r="BG26" i="5"/>
  <c r="AA25" i="6" s="1"/>
  <c r="BC26" i="5"/>
  <c r="M25" i="6" s="1"/>
  <c r="AZ26" i="5"/>
  <c r="L25" i="6" s="1"/>
  <c r="AW26" i="5"/>
  <c r="AU26" i="5"/>
  <c r="AR26" i="5"/>
  <c r="K25" i="6" s="1"/>
  <c r="AI26" i="5"/>
  <c r="I25" i="6" s="1"/>
  <c r="AE26" i="5"/>
  <c r="H25" i="6" s="1"/>
  <c r="AB26" i="5"/>
  <c r="F25" i="6" s="1"/>
  <c r="Z26" i="5"/>
  <c r="V26" i="5"/>
  <c r="E25" i="6" s="1"/>
  <c r="T26" i="5"/>
  <c r="D25" i="6" s="1"/>
  <c r="Q26" i="5"/>
  <c r="N26" i="5"/>
  <c r="C25" i="6" s="1"/>
  <c r="K26" i="5"/>
  <c r="F26" i="5"/>
  <c r="D26" i="5"/>
  <c r="C26" i="5"/>
  <c r="CB24" i="6"/>
  <c r="CA24" i="6"/>
  <c r="BZ24" i="6"/>
  <c r="HM25" i="5"/>
  <c r="BY24" i="6" s="1"/>
  <c r="HJ25" i="5"/>
  <c r="GS25" i="5"/>
  <c r="GP25" i="5"/>
  <c r="BE24" i="6" s="1"/>
  <c r="GM25" i="5"/>
  <c r="GJ25" i="5"/>
  <c r="AX24" i="6" s="1"/>
  <c r="GD25" i="5"/>
  <c r="FX25" i="5"/>
  <c r="AP24" i="6" s="1"/>
  <c r="FS25" i="5"/>
  <c r="FP25" i="5"/>
  <c r="FA62" i="5" s="1"/>
  <c r="FJ25" i="5"/>
  <c r="BA24" i="6" s="1"/>
  <c r="FC25" i="5"/>
  <c r="EZ25" i="5"/>
  <c r="EZ62" i="5" s="1"/>
  <c r="EW25" i="5"/>
  <c r="ET25" i="5"/>
  <c r="AU24" i="6" s="1"/>
  <c r="AT24" i="6"/>
  <c r="EM25" i="5"/>
  <c r="AN24" i="6" s="1"/>
  <c r="EJ25" i="5"/>
  <c r="AM24" i="6" s="1"/>
  <c r="DZ25" i="5"/>
  <c r="AI24" i="6" s="1"/>
  <c r="DW25" i="5"/>
  <c r="AH24" i="6" s="1"/>
  <c r="DT25" i="5"/>
  <c r="DR25" i="5"/>
  <c r="AD24" i="6" s="1"/>
  <c r="DE25" i="5"/>
  <c r="DA25" i="5"/>
  <c r="X24" i="6" s="1"/>
  <c r="CW25" i="5"/>
  <c r="W24" i="6" s="1"/>
  <c r="CS25" i="5"/>
  <c r="U24" i="6" s="1"/>
  <c r="CO25" i="5"/>
  <c r="CH25" i="5"/>
  <c r="R24" i="6" s="1"/>
  <c r="CF25" i="5"/>
  <c r="Q24" i="6" s="1"/>
  <c r="CD25" i="5"/>
  <c r="P24" i="6" s="1"/>
  <c r="CA25" i="5"/>
  <c r="BW25" i="5"/>
  <c r="BX25" i="5" s="1"/>
  <c r="BT25" i="5"/>
  <c r="BR25" i="5"/>
  <c r="Z24" i="6" s="1"/>
  <c r="BP25" i="5"/>
  <c r="BN25" i="5"/>
  <c r="BL25" i="5"/>
  <c r="BJ25" i="5"/>
  <c r="AB24" i="6" s="1"/>
  <c r="BG25" i="5"/>
  <c r="AA24" i="6" s="1"/>
  <c r="BC25" i="5"/>
  <c r="M24" i="6" s="1"/>
  <c r="AZ25" i="5"/>
  <c r="L24" i="6" s="1"/>
  <c r="AW25" i="5"/>
  <c r="AU25" i="5"/>
  <c r="AR25" i="5"/>
  <c r="K24" i="6" s="1"/>
  <c r="AI25" i="5"/>
  <c r="I24" i="6" s="1"/>
  <c r="AE25" i="5"/>
  <c r="H24" i="6" s="1"/>
  <c r="AB25" i="5"/>
  <c r="F24" i="6" s="1"/>
  <c r="Z25" i="5"/>
  <c r="V25" i="5"/>
  <c r="E24" i="6" s="1"/>
  <c r="T25" i="5"/>
  <c r="D24" i="6" s="1"/>
  <c r="Q25" i="5"/>
  <c r="R25" i="5" s="1"/>
  <c r="N25" i="5"/>
  <c r="C24" i="6" s="1"/>
  <c r="K25" i="5"/>
  <c r="F25" i="5"/>
  <c r="D25" i="5"/>
  <c r="C25" i="5"/>
  <c r="CB23" i="6"/>
  <c r="CA23" i="6"/>
  <c r="HP24" i="5"/>
  <c r="BZ23" i="6" s="1"/>
  <c r="HM24" i="5"/>
  <c r="BY23" i="6" s="1"/>
  <c r="HJ24" i="5"/>
  <c r="BX23" i="6" s="1"/>
  <c r="HE24" i="5"/>
  <c r="GS24" i="5"/>
  <c r="GP24" i="5"/>
  <c r="BE23" i="6" s="1"/>
  <c r="GM24" i="5"/>
  <c r="BC23" i="6" s="1"/>
  <c r="GJ24" i="5"/>
  <c r="AX23" i="6" s="1"/>
  <c r="GD24" i="5"/>
  <c r="FX24" i="5"/>
  <c r="AP23" i="6" s="1"/>
  <c r="FS24" i="5"/>
  <c r="FP24" i="5"/>
  <c r="FJ24" i="5"/>
  <c r="BA23" i="6" s="1"/>
  <c r="FC24" i="5"/>
  <c r="EZ24" i="5"/>
  <c r="EW24" i="5"/>
  <c r="AV23" i="6" s="1"/>
  <c r="ET24" i="5"/>
  <c r="AU23" i="6" s="1"/>
  <c r="AT23" i="6"/>
  <c r="EM24" i="5"/>
  <c r="EJ24" i="5"/>
  <c r="AM23" i="6" s="1"/>
  <c r="DZ24" i="5"/>
  <c r="AI23" i="6" s="1"/>
  <c r="DW24" i="5"/>
  <c r="AH23" i="6" s="1"/>
  <c r="DT24" i="5"/>
  <c r="DR24" i="5"/>
  <c r="AD23" i="6" s="1"/>
  <c r="DE24" i="5"/>
  <c r="DA24" i="5"/>
  <c r="X23" i="6" s="1"/>
  <c r="CW24" i="5"/>
  <c r="W23" i="6" s="1"/>
  <c r="CS24" i="5"/>
  <c r="U23" i="6" s="1"/>
  <c r="CO24" i="5"/>
  <c r="T23" i="6" s="1"/>
  <c r="CH24" i="5"/>
  <c r="R23" i="6" s="1"/>
  <c r="CF24" i="5"/>
  <c r="Q23" i="6" s="1"/>
  <c r="CD24" i="5"/>
  <c r="P23" i="6" s="1"/>
  <c r="CA24" i="5"/>
  <c r="O23" i="6" s="1"/>
  <c r="BW24" i="5"/>
  <c r="BX24" i="5" s="1"/>
  <c r="BT24" i="5"/>
  <c r="BR24" i="5"/>
  <c r="Z23" i="6" s="1"/>
  <c r="BP24" i="5"/>
  <c r="BN24" i="5"/>
  <c r="BL24" i="5"/>
  <c r="BJ24" i="5"/>
  <c r="AB23" i="6" s="1"/>
  <c r="BG24" i="5"/>
  <c r="AA23" i="6" s="1"/>
  <c r="BC24" i="5"/>
  <c r="M23" i="6" s="1"/>
  <c r="AZ24" i="5"/>
  <c r="L23" i="6" s="1"/>
  <c r="AW24" i="5"/>
  <c r="AU24" i="5"/>
  <c r="AR24" i="5"/>
  <c r="AI24" i="5"/>
  <c r="AE24" i="5"/>
  <c r="H23" i="6" s="1"/>
  <c r="AB24" i="5"/>
  <c r="F23" i="6" s="1"/>
  <c r="Z24" i="5"/>
  <c r="V24" i="5"/>
  <c r="E23" i="6" s="1"/>
  <c r="T24" i="5"/>
  <c r="Q24" i="5"/>
  <c r="R24" i="5" s="1"/>
  <c r="N24" i="5"/>
  <c r="C23" i="6" s="1"/>
  <c r="K24" i="5"/>
  <c r="F24" i="5"/>
  <c r="D24" i="5"/>
  <c r="C24" i="5"/>
  <c r="CB22" i="6"/>
  <c r="CA22" i="6"/>
  <c r="HP23" i="5"/>
  <c r="BZ22" i="6" s="1"/>
  <c r="HM23" i="5"/>
  <c r="BY22" i="6" s="1"/>
  <c r="HJ23" i="5"/>
  <c r="BX22" i="6" s="1"/>
  <c r="HE23" i="5"/>
  <c r="GS23" i="5"/>
  <c r="GP23" i="5"/>
  <c r="BE22" i="6" s="1"/>
  <c r="GM23" i="5"/>
  <c r="BC22" i="6" s="1"/>
  <c r="GJ23" i="5"/>
  <c r="GD23" i="5"/>
  <c r="FX23" i="5"/>
  <c r="AP22" i="6" s="1"/>
  <c r="FS23" i="5"/>
  <c r="FP23" i="5"/>
  <c r="FA60" i="5" s="1"/>
  <c r="FJ23" i="5"/>
  <c r="BA22" i="6" s="1"/>
  <c r="FC23" i="5"/>
  <c r="EZ23" i="5"/>
  <c r="EZ60" i="5" s="1"/>
  <c r="EW23" i="5"/>
  <c r="AV22" i="6" s="1"/>
  <c r="ET23" i="5"/>
  <c r="AU22" i="6" s="1"/>
  <c r="AT22" i="6"/>
  <c r="EM23" i="5"/>
  <c r="AN22" i="6" s="1"/>
  <c r="EJ23" i="5"/>
  <c r="AM22" i="6" s="1"/>
  <c r="DZ23" i="5"/>
  <c r="AI22" i="6" s="1"/>
  <c r="DW23" i="5"/>
  <c r="AH22" i="6" s="1"/>
  <c r="DT23" i="5"/>
  <c r="DR23" i="5"/>
  <c r="AD22" i="6" s="1"/>
  <c r="DE23" i="5"/>
  <c r="DF23" i="5" s="1"/>
  <c r="DA23" i="5"/>
  <c r="X22" i="6" s="1"/>
  <c r="CW23" i="5"/>
  <c r="CS23" i="5"/>
  <c r="U22" i="6" s="1"/>
  <c r="CO23" i="5"/>
  <c r="T22" i="6" s="1"/>
  <c r="CH23" i="5"/>
  <c r="R22" i="6" s="1"/>
  <c r="CF23" i="5"/>
  <c r="Q22" i="6" s="1"/>
  <c r="CD23" i="5"/>
  <c r="P22" i="6" s="1"/>
  <c r="CA23" i="5"/>
  <c r="O22" i="6" s="1"/>
  <c r="BW23" i="5"/>
  <c r="BX23" i="5" s="1"/>
  <c r="BT23" i="5"/>
  <c r="BR23" i="5"/>
  <c r="Z22" i="6" s="1"/>
  <c r="BP23" i="5"/>
  <c r="BN23" i="5"/>
  <c r="BL23" i="5"/>
  <c r="BJ23" i="5"/>
  <c r="AB22" i="6" s="1"/>
  <c r="BG23" i="5"/>
  <c r="AA22" i="6" s="1"/>
  <c r="BC23" i="5"/>
  <c r="M22" i="6" s="1"/>
  <c r="AZ23" i="5"/>
  <c r="L22" i="6" s="1"/>
  <c r="AW23" i="5"/>
  <c r="AU23" i="5"/>
  <c r="AR23" i="5"/>
  <c r="K22" i="6" s="1"/>
  <c r="AI23" i="5"/>
  <c r="I22" i="6" s="1"/>
  <c r="AE23" i="5"/>
  <c r="H22" i="6" s="1"/>
  <c r="AB23" i="5"/>
  <c r="F22" i="6" s="1"/>
  <c r="Z23" i="5"/>
  <c r="V23" i="5"/>
  <c r="E22" i="6" s="1"/>
  <c r="T23" i="5"/>
  <c r="D22" i="6" s="1"/>
  <c r="Q23" i="5"/>
  <c r="N23" i="5"/>
  <c r="C22" i="6" s="1"/>
  <c r="K23" i="5"/>
  <c r="F23" i="5"/>
  <c r="D23" i="5"/>
  <c r="C23" i="5"/>
  <c r="CB21" i="6"/>
  <c r="CA21" i="6"/>
  <c r="HP22" i="5"/>
  <c r="BZ21" i="6" s="1"/>
  <c r="HM22" i="5"/>
  <c r="BY21" i="6" s="1"/>
  <c r="HJ22" i="5"/>
  <c r="BX21" i="6" s="1"/>
  <c r="GS22" i="5"/>
  <c r="GP22" i="5"/>
  <c r="BE21" i="6" s="1"/>
  <c r="GM22" i="5"/>
  <c r="GJ22" i="5"/>
  <c r="AX21" i="6" s="1"/>
  <c r="GD22" i="5"/>
  <c r="FX22" i="5"/>
  <c r="AP21" i="6" s="1"/>
  <c r="FS22" i="5"/>
  <c r="FP22" i="5"/>
  <c r="FA59" i="5" s="1"/>
  <c r="FJ22" i="5"/>
  <c r="BA21" i="6" s="1"/>
  <c r="FC22" i="5"/>
  <c r="EZ22" i="5"/>
  <c r="EZ59" i="5" s="1"/>
  <c r="EW22" i="5"/>
  <c r="ET22" i="5"/>
  <c r="AU21" i="6" s="1"/>
  <c r="AT21" i="6"/>
  <c r="EM22" i="5"/>
  <c r="AN21" i="6" s="1"/>
  <c r="EJ22" i="5"/>
  <c r="AM21" i="6" s="1"/>
  <c r="DZ22" i="5"/>
  <c r="AI21" i="6" s="1"/>
  <c r="DW22" i="5"/>
  <c r="AH21" i="6" s="1"/>
  <c r="DT22" i="5"/>
  <c r="DR22" i="5"/>
  <c r="AD21" i="6" s="1"/>
  <c r="DE22" i="5"/>
  <c r="DA22" i="5"/>
  <c r="X21" i="6" s="1"/>
  <c r="CW22" i="5"/>
  <c r="W21" i="6" s="1"/>
  <c r="CS22" i="5"/>
  <c r="U21" i="6" s="1"/>
  <c r="CO22" i="5"/>
  <c r="CH22" i="5"/>
  <c r="R21" i="6" s="1"/>
  <c r="CF22" i="5"/>
  <c r="Q21" i="6" s="1"/>
  <c r="CD22" i="5"/>
  <c r="P21" i="6" s="1"/>
  <c r="CA22" i="5"/>
  <c r="BW22" i="5"/>
  <c r="BX22" i="5" s="1"/>
  <c r="BT22" i="5"/>
  <c r="BR22" i="5"/>
  <c r="Z21" i="6" s="1"/>
  <c r="BP22" i="5"/>
  <c r="BN22" i="5"/>
  <c r="BL22" i="5"/>
  <c r="BJ22" i="5"/>
  <c r="AB21" i="6" s="1"/>
  <c r="BG22" i="5"/>
  <c r="AA21" i="6" s="1"/>
  <c r="BC22" i="5"/>
  <c r="M21" i="6" s="1"/>
  <c r="AZ22" i="5"/>
  <c r="L21" i="6" s="1"/>
  <c r="AW22" i="5"/>
  <c r="AU22" i="5"/>
  <c r="AR22" i="5"/>
  <c r="K21" i="6" s="1"/>
  <c r="AI22" i="5"/>
  <c r="I21" i="6" s="1"/>
  <c r="AE22" i="5"/>
  <c r="H21" i="6" s="1"/>
  <c r="AB22" i="5"/>
  <c r="F21" i="6" s="1"/>
  <c r="Z22" i="5"/>
  <c r="V22" i="5"/>
  <c r="E21" i="6" s="1"/>
  <c r="T22" i="5"/>
  <c r="D21" i="6" s="1"/>
  <c r="Q22" i="5"/>
  <c r="R22" i="5" s="1"/>
  <c r="N22" i="5"/>
  <c r="C21" i="6" s="1"/>
  <c r="K22" i="5"/>
  <c r="F22" i="5"/>
  <c r="D22" i="5"/>
  <c r="C22" i="5"/>
  <c r="CB20" i="6"/>
  <c r="CA20" i="6"/>
  <c r="HP21" i="5"/>
  <c r="BZ20" i="6" s="1"/>
  <c r="HM21" i="5"/>
  <c r="BY20" i="6" s="1"/>
  <c r="HJ21" i="5"/>
  <c r="BX20" i="6" s="1"/>
  <c r="HE21" i="5"/>
  <c r="GS21" i="5"/>
  <c r="GP21" i="5"/>
  <c r="BE20" i="6" s="1"/>
  <c r="GM21" i="5"/>
  <c r="BC20" i="6" s="1"/>
  <c r="GJ21" i="5"/>
  <c r="AX20" i="6" s="1"/>
  <c r="GD21" i="5"/>
  <c r="FX21" i="5"/>
  <c r="AP20" i="6" s="1"/>
  <c r="FS21" i="5"/>
  <c r="FP21" i="5"/>
  <c r="FJ21" i="5"/>
  <c r="BA20" i="6" s="1"/>
  <c r="FC21" i="5"/>
  <c r="EZ21" i="5"/>
  <c r="EW21" i="5"/>
  <c r="AV20" i="6" s="1"/>
  <c r="ET21" i="5"/>
  <c r="AU20" i="6" s="1"/>
  <c r="AT20" i="6"/>
  <c r="EM21" i="5"/>
  <c r="EJ21" i="5"/>
  <c r="AM20" i="6" s="1"/>
  <c r="DZ21" i="5"/>
  <c r="AI20" i="6" s="1"/>
  <c r="DW21" i="5"/>
  <c r="AH20" i="6" s="1"/>
  <c r="DT21" i="5"/>
  <c r="DR21" i="5"/>
  <c r="AD20" i="6" s="1"/>
  <c r="DE21" i="5"/>
  <c r="DA21" i="5"/>
  <c r="X20" i="6" s="1"/>
  <c r="CW21" i="5"/>
  <c r="W20" i="6" s="1"/>
  <c r="CS21" i="5"/>
  <c r="U20" i="6" s="1"/>
  <c r="CO21" i="5"/>
  <c r="T20" i="6" s="1"/>
  <c r="CH21" i="5"/>
  <c r="R20" i="6" s="1"/>
  <c r="CF21" i="5"/>
  <c r="Q20" i="6" s="1"/>
  <c r="CD21" i="5"/>
  <c r="P20" i="6" s="1"/>
  <c r="CA21" i="5"/>
  <c r="O20" i="6" s="1"/>
  <c r="BW21" i="5"/>
  <c r="BX21" i="5" s="1"/>
  <c r="BT21" i="5"/>
  <c r="BR21" i="5"/>
  <c r="Z20" i="6" s="1"/>
  <c r="BP21" i="5"/>
  <c r="BN21" i="5"/>
  <c r="BL21" i="5"/>
  <c r="BJ21" i="5"/>
  <c r="AB20" i="6" s="1"/>
  <c r="BG21" i="5"/>
  <c r="AA20" i="6" s="1"/>
  <c r="BC21" i="5"/>
  <c r="M20" i="6" s="1"/>
  <c r="AZ21" i="5"/>
  <c r="L20" i="6" s="1"/>
  <c r="AW21" i="5"/>
  <c r="AU21" i="5"/>
  <c r="AR21" i="5"/>
  <c r="AI21" i="5"/>
  <c r="AE21" i="5"/>
  <c r="H20" i="6" s="1"/>
  <c r="AB21" i="5"/>
  <c r="F20" i="6" s="1"/>
  <c r="Z21" i="5"/>
  <c r="V21" i="5"/>
  <c r="E20" i="6" s="1"/>
  <c r="T21" i="5"/>
  <c r="Q21" i="5"/>
  <c r="R21" i="5" s="1"/>
  <c r="N21" i="5"/>
  <c r="C20" i="6" s="1"/>
  <c r="K21" i="5"/>
  <c r="F21" i="5"/>
  <c r="D21" i="5"/>
  <c r="C21" i="5"/>
  <c r="CB19" i="6"/>
  <c r="CA19" i="6"/>
  <c r="HP20" i="5"/>
  <c r="BZ19" i="6" s="1"/>
  <c r="HM20" i="5"/>
  <c r="BY19" i="6" s="1"/>
  <c r="HJ20" i="5"/>
  <c r="BX19" i="6" s="1"/>
  <c r="HE20" i="5"/>
  <c r="GS20" i="5"/>
  <c r="GP20" i="5"/>
  <c r="BE19" i="6" s="1"/>
  <c r="GM20" i="5"/>
  <c r="BC19" i="6" s="1"/>
  <c r="GJ20" i="5"/>
  <c r="GD20" i="5"/>
  <c r="FX20" i="5"/>
  <c r="AP19" i="6" s="1"/>
  <c r="FS20" i="5"/>
  <c r="FP20" i="5"/>
  <c r="FA57" i="5" s="1"/>
  <c r="FJ20" i="5"/>
  <c r="BA19" i="6" s="1"/>
  <c r="FC20" i="5"/>
  <c r="EZ20" i="5"/>
  <c r="EZ57" i="5" s="1"/>
  <c r="EW20" i="5"/>
  <c r="AV19" i="6" s="1"/>
  <c r="ET20" i="5"/>
  <c r="AU19" i="6" s="1"/>
  <c r="AT19" i="6"/>
  <c r="EM20" i="5"/>
  <c r="AN19" i="6" s="1"/>
  <c r="EJ20" i="5"/>
  <c r="AM19" i="6" s="1"/>
  <c r="DZ20" i="5"/>
  <c r="AI19" i="6" s="1"/>
  <c r="DW20" i="5"/>
  <c r="AH19" i="6" s="1"/>
  <c r="DT20" i="5"/>
  <c r="DR20" i="5"/>
  <c r="AD19" i="6" s="1"/>
  <c r="DE20" i="5"/>
  <c r="DF20" i="5" s="1"/>
  <c r="DA20" i="5"/>
  <c r="X19" i="6" s="1"/>
  <c r="CW20" i="5"/>
  <c r="CS20" i="5"/>
  <c r="U19" i="6" s="1"/>
  <c r="CO20" i="5"/>
  <c r="T19" i="6" s="1"/>
  <c r="CH20" i="5"/>
  <c r="R19" i="6" s="1"/>
  <c r="CF20" i="5"/>
  <c r="Q19" i="6" s="1"/>
  <c r="CD20" i="5"/>
  <c r="P19" i="6" s="1"/>
  <c r="CA20" i="5"/>
  <c r="O19" i="6" s="1"/>
  <c r="BW20" i="5"/>
  <c r="BX20" i="5" s="1"/>
  <c r="BT20" i="5"/>
  <c r="BR20" i="5"/>
  <c r="Z19" i="6" s="1"/>
  <c r="BP20" i="5"/>
  <c r="BN20" i="5"/>
  <c r="BL20" i="5"/>
  <c r="BJ20" i="5"/>
  <c r="AB19" i="6" s="1"/>
  <c r="BG20" i="5"/>
  <c r="AA19" i="6" s="1"/>
  <c r="BC20" i="5"/>
  <c r="M19" i="6" s="1"/>
  <c r="AZ20" i="5"/>
  <c r="L19" i="6" s="1"/>
  <c r="AW20" i="5"/>
  <c r="AU20" i="5"/>
  <c r="AR20" i="5"/>
  <c r="K19" i="6" s="1"/>
  <c r="AI20" i="5"/>
  <c r="I19" i="6" s="1"/>
  <c r="AE20" i="5"/>
  <c r="H19" i="6" s="1"/>
  <c r="AB20" i="5"/>
  <c r="F19" i="6" s="1"/>
  <c r="Z20" i="5"/>
  <c r="V20" i="5"/>
  <c r="E19" i="6" s="1"/>
  <c r="T20" i="5"/>
  <c r="D19" i="6" s="1"/>
  <c r="Q20" i="5"/>
  <c r="N20" i="5"/>
  <c r="C19" i="6" s="1"/>
  <c r="K20" i="5"/>
  <c r="F20" i="5"/>
  <c r="D20" i="5"/>
  <c r="C20" i="5"/>
  <c r="CB18" i="6"/>
  <c r="CA18" i="6"/>
  <c r="HP19" i="5"/>
  <c r="BZ18" i="6" s="1"/>
  <c r="HM19" i="5"/>
  <c r="BY18" i="6" s="1"/>
  <c r="HJ19" i="5"/>
  <c r="BX18" i="6" s="1"/>
  <c r="GS19" i="5"/>
  <c r="GP19" i="5"/>
  <c r="BE18" i="6" s="1"/>
  <c r="GM19" i="5"/>
  <c r="BC18" i="6" s="1"/>
  <c r="GJ19" i="5"/>
  <c r="AX18" i="6" s="1"/>
  <c r="GD19" i="5"/>
  <c r="FX19" i="5"/>
  <c r="AP18" i="6" s="1"/>
  <c r="FS19" i="5"/>
  <c r="FP19" i="5"/>
  <c r="FA56" i="5" s="1"/>
  <c r="FJ19" i="5"/>
  <c r="BA18" i="6" s="1"/>
  <c r="FC19" i="5"/>
  <c r="EZ19" i="5"/>
  <c r="EZ56" i="5" s="1"/>
  <c r="EW19" i="5"/>
  <c r="ET19" i="5"/>
  <c r="AU18" i="6" s="1"/>
  <c r="AT18" i="6"/>
  <c r="EM19" i="5"/>
  <c r="AN18" i="6" s="1"/>
  <c r="EJ19" i="5"/>
  <c r="AM18" i="6" s="1"/>
  <c r="DZ19" i="5"/>
  <c r="AI18" i="6" s="1"/>
  <c r="DW19" i="5"/>
  <c r="AH18" i="6" s="1"/>
  <c r="DT19" i="5"/>
  <c r="DR19" i="5"/>
  <c r="AD18" i="6" s="1"/>
  <c r="DE19" i="5"/>
  <c r="DA19" i="5"/>
  <c r="X18" i="6" s="1"/>
  <c r="CW19" i="5"/>
  <c r="W18" i="6" s="1"/>
  <c r="CS19" i="5"/>
  <c r="U18" i="6" s="1"/>
  <c r="CO19" i="5"/>
  <c r="CH19" i="5"/>
  <c r="R18" i="6" s="1"/>
  <c r="CF19" i="5"/>
  <c r="Q18" i="6" s="1"/>
  <c r="CD19" i="5"/>
  <c r="P18" i="6" s="1"/>
  <c r="CA19" i="5"/>
  <c r="BW19" i="5"/>
  <c r="BX19" i="5" s="1"/>
  <c r="BT19" i="5"/>
  <c r="BR19" i="5"/>
  <c r="Z18" i="6" s="1"/>
  <c r="BP19" i="5"/>
  <c r="BN19" i="5"/>
  <c r="BL19" i="5"/>
  <c r="BJ19" i="5"/>
  <c r="AB18" i="6" s="1"/>
  <c r="BG19" i="5"/>
  <c r="AA18" i="6" s="1"/>
  <c r="BC19" i="5"/>
  <c r="M18" i="6" s="1"/>
  <c r="AZ19" i="5"/>
  <c r="L18" i="6" s="1"/>
  <c r="AW19" i="5"/>
  <c r="AU19" i="5"/>
  <c r="AR19" i="5"/>
  <c r="K18" i="6" s="1"/>
  <c r="AI19" i="5"/>
  <c r="I18" i="6" s="1"/>
  <c r="AE19" i="5"/>
  <c r="H18" i="6" s="1"/>
  <c r="AB19" i="5"/>
  <c r="F18" i="6" s="1"/>
  <c r="Z19" i="5"/>
  <c r="V19" i="5"/>
  <c r="E18" i="6" s="1"/>
  <c r="T19" i="5"/>
  <c r="D18" i="6" s="1"/>
  <c r="Q19" i="5"/>
  <c r="R19" i="5" s="1"/>
  <c r="N19" i="5"/>
  <c r="C18" i="6" s="1"/>
  <c r="K19" i="5"/>
  <c r="F19" i="5"/>
  <c r="D19" i="5"/>
  <c r="C19" i="5"/>
  <c r="CB17" i="6"/>
  <c r="CA17" i="6"/>
  <c r="HP18" i="5"/>
  <c r="BZ17" i="6" s="1"/>
  <c r="HM18" i="5"/>
  <c r="BY17" i="6" s="1"/>
  <c r="HJ18" i="5"/>
  <c r="BX17" i="6" s="1"/>
  <c r="HE18" i="5"/>
  <c r="GS18" i="5"/>
  <c r="GP18" i="5"/>
  <c r="BE17" i="6" s="1"/>
  <c r="GM18" i="5"/>
  <c r="BC17" i="6" s="1"/>
  <c r="GJ18" i="5"/>
  <c r="AX17" i="6" s="1"/>
  <c r="GD18" i="5"/>
  <c r="FX18" i="5"/>
  <c r="AP17" i="6" s="1"/>
  <c r="FS18" i="5"/>
  <c r="FP18" i="5"/>
  <c r="FJ18" i="5"/>
  <c r="BA17" i="6" s="1"/>
  <c r="FC18" i="5"/>
  <c r="EZ18" i="5"/>
  <c r="EW18" i="5"/>
  <c r="AV17" i="6" s="1"/>
  <c r="ET18" i="5"/>
  <c r="AU17" i="6" s="1"/>
  <c r="AT17" i="6"/>
  <c r="EM18" i="5"/>
  <c r="EJ18" i="5"/>
  <c r="AM17" i="6" s="1"/>
  <c r="DZ18" i="5"/>
  <c r="AI17" i="6" s="1"/>
  <c r="DW18" i="5"/>
  <c r="AH17" i="6" s="1"/>
  <c r="DT18" i="5"/>
  <c r="DR18" i="5"/>
  <c r="AD17" i="6" s="1"/>
  <c r="DE18" i="5"/>
  <c r="DA18" i="5"/>
  <c r="X17" i="6" s="1"/>
  <c r="CW18" i="5"/>
  <c r="W17" i="6" s="1"/>
  <c r="CS18" i="5"/>
  <c r="CO18" i="5"/>
  <c r="T17" i="6" s="1"/>
  <c r="CH18" i="5"/>
  <c r="R17" i="6" s="1"/>
  <c r="CF18" i="5"/>
  <c r="Q17" i="6" s="1"/>
  <c r="CD18" i="5"/>
  <c r="P17" i="6" s="1"/>
  <c r="CA18" i="5"/>
  <c r="O17" i="6" s="1"/>
  <c r="BW18" i="5"/>
  <c r="BX18" i="5" s="1"/>
  <c r="BT18" i="5"/>
  <c r="BR18" i="5"/>
  <c r="Z17" i="6" s="1"/>
  <c r="BP18" i="5"/>
  <c r="BN18" i="5"/>
  <c r="BL18" i="5"/>
  <c r="BJ18" i="5"/>
  <c r="AB17" i="6" s="1"/>
  <c r="BG18" i="5"/>
  <c r="AA17" i="6" s="1"/>
  <c r="BC18" i="5"/>
  <c r="M17" i="6" s="1"/>
  <c r="AZ18" i="5"/>
  <c r="L17" i="6" s="1"/>
  <c r="AW18" i="5"/>
  <c r="AU18" i="5"/>
  <c r="AR18" i="5"/>
  <c r="K17" i="6" s="1"/>
  <c r="AI18" i="5"/>
  <c r="AE18" i="5"/>
  <c r="H17" i="6" s="1"/>
  <c r="AB18" i="5"/>
  <c r="F17" i="6" s="1"/>
  <c r="Z18" i="5"/>
  <c r="V18" i="5"/>
  <c r="E17" i="6" s="1"/>
  <c r="T18" i="5"/>
  <c r="Q18" i="5"/>
  <c r="R18" i="5" s="1"/>
  <c r="N18" i="5"/>
  <c r="C17" i="6" s="1"/>
  <c r="K18" i="5"/>
  <c r="F18" i="5"/>
  <c r="D18" i="5"/>
  <c r="C18" i="5"/>
  <c r="HV17" i="5"/>
  <c r="CB16" i="6" s="1"/>
  <c r="HS17" i="5"/>
  <c r="CA16" i="6" s="1"/>
  <c r="HP17" i="5"/>
  <c r="BZ16" i="6" s="1"/>
  <c r="HM17" i="5"/>
  <c r="BY16" i="6" s="1"/>
  <c r="HJ17" i="5"/>
  <c r="BX16" i="6" s="1"/>
  <c r="HE17" i="5"/>
  <c r="GS17" i="5"/>
  <c r="GP17" i="5"/>
  <c r="BE16" i="6" s="1"/>
  <c r="GM17" i="5"/>
  <c r="BC16" i="6" s="1"/>
  <c r="GJ17" i="5"/>
  <c r="GD17" i="5"/>
  <c r="FX17" i="5"/>
  <c r="AP16" i="6" s="1"/>
  <c r="FS17" i="5"/>
  <c r="FP17" i="5"/>
  <c r="FA54" i="5" s="1"/>
  <c r="FJ17" i="5"/>
  <c r="BA16" i="6" s="1"/>
  <c r="FC17" i="5"/>
  <c r="EZ17" i="5"/>
  <c r="EZ54" i="5" s="1"/>
  <c r="EW17" i="5"/>
  <c r="AV16" i="6" s="1"/>
  <c r="ET17" i="5"/>
  <c r="AU16" i="6" s="1"/>
  <c r="EM17" i="5"/>
  <c r="AN16" i="6" s="1"/>
  <c r="EJ17" i="5"/>
  <c r="AM16" i="6" s="1"/>
  <c r="DZ17" i="5"/>
  <c r="AI16" i="6" s="1"/>
  <c r="DW17" i="5"/>
  <c r="AH16" i="6" s="1"/>
  <c r="DT17" i="5"/>
  <c r="DR17" i="5"/>
  <c r="AD16" i="6" s="1"/>
  <c r="DE17" i="5"/>
  <c r="DF17" i="5" s="1"/>
  <c r="DA17" i="5"/>
  <c r="X16" i="6" s="1"/>
  <c r="CW17" i="5"/>
  <c r="CS17" i="5"/>
  <c r="U16" i="6" s="1"/>
  <c r="CO17" i="5"/>
  <c r="T16" i="6" s="1"/>
  <c r="CH17" i="5"/>
  <c r="R16" i="6" s="1"/>
  <c r="CF17" i="5"/>
  <c r="Q16" i="6" s="1"/>
  <c r="CD17" i="5"/>
  <c r="P16" i="6" s="1"/>
  <c r="CA17" i="5"/>
  <c r="O16" i="6" s="1"/>
  <c r="BW17" i="5"/>
  <c r="BX17" i="5" s="1"/>
  <c r="BT17" i="5"/>
  <c r="BR17" i="5"/>
  <c r="Z16" i="6" s="1"/>
  <c r="BP17" i="5"/>
  <c r="BN17" i="5"/>
  <c r="BL17" i="5"/>
  <c r="BJ17" i="5"/>
  <c r="AB16" i="6" s="1"/>
  <c r="BG17" i="5"/>
  <c r="AA16" i="6" s="1"/>
  <c r="BC17" i="5"/>
  <c r="M16" i="6" s="1"/>
  <c r="AZ17" i="5"/>
  <c r="L16" i="6" s="1"/>
  <c r="AW17" i="5"/>
  <c r="AU17" i="5"/>
  <c r="AR17" i="5"/>
  <c r="K16" i="6" s="1"/>
  <c r="AI17" i="5"/>
  <c r="I16" i="6" s="1"/>
  <c r="AE17" i="5"/>
  <c r="H16" i="6" s="1"/>
  <c r="AB17" i="5"/>
  <c r="F16" i="6" s="1"/>
  <c r="Z17" i="5"/>
  <c r="V17" i="5"/>
  <c r="E16" i="6" s="1"/>
  <c r="T17" i="5"/>
  <c r="D16" i="6" s="1"/>
  <c r="Q17" i="5"/>
  <c r="N17" i="5"/>
  <c r="C16" i="6" s="1"/>
  <c r="K17" i="5"/>
  <c r="F17" i="5"/>
  <c r="D17" i="5"/>
  <c r="C17" i="5"/>
  <c r="HV16" i="5"/>
  <c r="CB15" i="6" s="1"/>
  <c r="HS16" i="5"/>
  <c r="CA15" i="6" s="1"/>
  <c r="HP16" i="5"/>
  <c r="BZ15" i="6" s="1"/>
  <c r="HM16" i="5"/>
  <c r="BY15" i="6" s="1"/>
  <c r="HJ16" i="5"/>
  <c r="BX15" i="6" s="1"/>
  <c r="GS16" i="5"/>
  <c r="GP16" i="5"/>
  <c r="BE15" i="6" s="1"/>
  <c r="GM16" i="5"/>
  <c r="BC15" i="6" s="1"/>
  <c r="GJ16" i="5"/>
  <c r="AX15" i="6" s="1"/>
  <c r="GD16" i="5"/>
  <c r="FX16" i="5"/>
  <c r="AP15" i="6" s="1"/>
  <c r="FS16" i="5"/>
  <c r="FP16" i="5"/>
  <c r="FA53" i="5" s="1"/>
  <c r="FJ16" i="5"/>
  <c r="BA15" i="6" s="1"/>
  <c r="FC16" i="5"/>
  <c r="EZ16" i="5"/>
  <c r="EZ53" i="5" s="1"/>
  <c r="EW16" i="5"/>
  <c r="ET16" i="5"/>
  <c r="AU15" i="6" s="1"/>
  <c r="AT15" i="6"/>
  <c r="EM16" i="5"/>
  <c r="AN15" i="6" s="1"/>
  <c r="EJ16" i="5"/>
  <c r="AM15" i="6" s="1"/>
  <c r="DZ16" i="5"/>
  <c r="AI15" i="6" s="1"/>
  <c r="DW16" i="5"/>
  <c r="AH15" i="6" s="1"/>
  <c r="DT16" i="5"/>
  <c r="DR16" i="5"/>
  <c r="AD15" i="6" s="1"/>
  <c r="DE16" i="5"/>
  <c r="DA16" i="5"/>
  <c r="CW16" i="5"/>
  <c r="W15" i="6" s="1"/>
  <c r="CS16" i="5"/>
  <c r="U15" i="6" s="1"/>
  <c r="CO16" i="5"/>
  <c r="T15" i="6" s="1"/>
  <c r="CH16" i="5"/>
  <c r="R15" i="6" s="1"/>
  <c r="CF16" i="5"/>
  <c r="Q15" i="6" s="1"/>
  <c r="CD16" i="5"/>
  <c r="P15" i="6" s="1"/>
  <c r="CA16" i="5"/>
  <c r="CB16" i="5" s="1"/>
  <c r="BW16" i="5"/>
  <c r="BX16" i="5" s="1"/>
  <c r="BT16" i="5"/>
  <c r="BR16" i="5"/>
  <c r="Z15" i="6" s="1"/>
  <c r="BP16" i="5"/>
  <c r="BN16" i="5"/>
  <c r="BL16" i="5"/>
  <c r="BJ16" i="5"/>
  <c r="AB15" i="6" s="1"/>
  <c r="BG16" i="5"/>
  <c r="AA15" i="6" s="1"/>
  <c r="BC16" i="5"/>
  <c r="M15" i="6" s="1"/>
  <c r="AZ16" i="5"/>
  <c r="L15" i="6" s="1"/>
  <c r="AW16" i="5"/>
  <c r="AU16" i="5"/>
  <c r="AR16" i="5"/>
  <c r="K15" i="6" s="1"/>
  <c r="AI16" i="5"/>
  <c r="I15" i="6" s="1"/>
  <c r="AE16" i="5"/>
  <c r="AB16" i="5"/>
  <c r="F15" i="6" s="1"/>
  <c r="Z16" i="5"/>
  <c r="V16" i="5"/>
  <c r="E15" i="6" s="1"/>
  <c r="T16" i="5"/>
  <c r="Q16" i="5"/>
  <c r="R16" i="5" s="1"/>
  <c r="N16" i="5"/>
  <c r="C15" i="6" s="1"/>
  <c r="K16" i="5"/>
  <c r="F16" i="5"/>
  <c r="D16" i="5"/>
  <c r="C16" i="5"/>
  <c r="JS39" i="5"/>
  <c r="IX39" i="5"/>
  <c r="HV15" i="5"/>
  <c r="CB14" i="6" s="1"/>
  <c r="HS15" i="5"/>
  <c r="CA14" i="6" s="1"/>
  <c r="HP15" i="5"/>
  <c r="BZ14" i="6" s="1"/>
  <c r="HM15" i="5"/>
  <c r="BY14" i="6" s="1"/>
  <c r="HJ15" i="5"/>
  <c r="BX14" i="6" s="1"/>
  <c r="GS15" i="5"/>
  <c r="GP15" i="5"/>
  <c r="BE14" i="6" s="1"/>
  <c r="GM15" i="5"/>
  <c r="BC14" i="6" s="1"/>
  <c r="GJ15" i="5"/>
  <c r="AX14" i="6" s="1"/>
  <c r="GD15" i="5"/>
  <c r="FX15" i="5"/>
  <c r="AP14" i="6" s="1"/>
  <c r="FS15" i="5"/>
  <c r="FP15" i="5"/>
  <c r="FJ15" i="5"/>
  <c r="BA14" i="6" s="1"/>
  <c r="FC15" i="5"/>
  <c r="EZ15" i="5"/>
  <c r="EZ52" i="5" s="1"/>
  <c r="EW15" i="5"/>
  <c r="AV14" i="6" s="1"/>
  <c r="ET15" i="5"/>
  <c r="AU14" i="6" s="1"/>
  <c r="AT14" i="6"/>
  <c r="EM15" i="5"/>
  <c r="AN14" i="6" s="1"/>
  <c r="EJ15" i="5"/>
  <c r="AM14" i="6" s="1"/>
  <c r="DZ15" i="5"/>
  <c r="AI14" i="6" s="1"/>
  <c r="DW15" i="5"/>
  <c r="AH14" i="6" s="1"/>
  <c r="DT15" i="5"/>
  <c r="DR15" i="5"/>
  <c r="AD14" i="6" s="1"/>
  <c r="DE15" i="5"/>
  <c r="DA15" i="5"/>
  <c r="X14" i="6" s="1"/>
  <c r="CW15" i="5"/>
  <c r="CS15" i="5"/>
  <c r="CO15" i="5"/>
  <c r="T14" i="6" s="1"/>
  <c r="CH15" i="5"/>
  <c r="R14" i="6" s="1"/>
  <c r="CF15" i="5"/>
  <c r="Q14" i="6" s="1"/>
  <c r="CD15" i="5"/>
  <c r="P14" i="6" s="1"/>
  <c r="CA15" i="5"/>
  <c r="O14" i="6" s="1"/>
  <c r="BW15" i="5"/>
  <c r="BX15" i="5" s="1"/>
  <c r="BT15" i="5"/>
  <c r="BR15" i="5"/>
  <c r="Z14" i="6" s="1"/>
  <c r="BP15" i="5"/>
  <c r="BN15" i="5"/>
  <c r="BL15" i="5"/>
  <c r="BJ15" i="5"/>
  <c r="AB14" i="6" s="1"/>
  <c r="BG15" i="5"/>
  <c r="AA14" i="6" s="1"/>
  <c r="BC15" i="5"/>
  <c r="M14" i="6" s="1"/>
  <c r="AZ15" i="5"/>
  <c r="L14" i="6" s="1"/>
  <c r="AW15" i="5"/>
  <c r="AU15" i="5"/>
  <c r="AR15" i="5"/>
  <c r="K14" i="6" s="1"/>
  <c r="AI15" i="5"/>
  <c r="I14" i="6" s="1"/>
  <c r="AE15" i="5"/>
  <c r="H14" i="6" s="1"/>
  <c r="AB15" i="5"/>
  <c r="F14" i="6" s="1"/>
  <c r="Z15" i="5"/>
  <c r="V15" i="5"/>
  <c r="E14" i="6" s="1"/>
  <c r="T15" i="5"/>
  <c r="Q15" i="5"/>
  <c r="R15" i="5" s="1"/>
  <c r="N15" i="5"/>
  <c r="C14" i="6" s="1"/>
  <c r="K15" i="5"/>
  <c r="F15" i="5"/>
  <c r="C15" i="5"/>
  <c r="D15" i="5"/>
  <c r="GS14" i="5"/>
  <c r="GP14" i="5"/>
  <c r="BE13" i="6" s="1"/>
  <c r="GM14" i="5"/>
  <c r="BC13" i="6" s="1"/>
  <c r="GJ14" i="5"/>
  <c r="AX13" i="6" s="1"/>
  <c r="GD14" i="5"/>
  <c r="FX14" i="5"/>
  <c r="AP13" i="6" s="1"/>
  <c r="FS14" i="5"/>
  <c r="FP14" i="5"/>
  <c r="FA51" i="5" s="1"/>
  <c r="FJ14" i="5"/>
  <c r="BA13" i="6" s="1"/>
  <c r="FC14" i="5"/>
  <c r="EZ14" i="5"/>
  <c r="EZ51" i="5" s="1"/>
  <c r="EW14" i="5"/>
  <c r="AV13" i="6" s="1"/>
  <c r="ET14" i="5"/>
  <c r="AU13" i="6" s="1"/>
  <c r="AT13" i="6"/>
  <c r="EM14" i="5"/>
  <c r="AN13" i="6" s="1"/>
  <c r="EJ14" i="5"/>
  <c r="AM13" i="6" s="1"/>
  <c r="DZ14" i="5"/>
  <c r="AI13" i="6" s="1"/>
  <c r="DW14" i="5"/>
  <c r="AH13" i="6" s="1"/>
  <c r="DT14" i="5"/>
  <c r="HY14" i="5" s="1"/>
  <c r="DR14" i="5"/>
  <c r="AD13" i="6" s="1"/>
  <c r="DE14" i="5"/>
  <c r="DF14" i="5" s="1"/>
  <c r="DA14" i="5"/>
  <c r="CW14" i="5"/>
  <c r="CS14" i="5"/>
  <c r="U13" i="6" s="1"/>
  <c r="CO14" i="5"/>
  <c r="CH14" i="5"/>
  <c r="R13" i="6" s="1"/>
  <c r="CF14" i="5"/>
  <c r="Q13" i="6" s="1"/>
  <c r="CD14" i="5"/>
  <c r="P13" i="6" s="1"/>
  <c r="CA14" i="5"/>
  <c r="O13" i="6" s="1"/>
  <c r="BW14" i="5"/>
  <c r="BX14" i="5" s="1"/>
  <c r="BT14" i="5"/>
  <c r="BR14" i="5"/>
  <c r="Z13" i="6" s="1"/>
  <c r="BP14" i="5"/>
  <c r="BN14" i="5"/>
  <c r="BL14" i="5"/>
  <c r="BJ14" i="5"/>
  <c r="AB13" i="6" s="1"/>
  <c r="BG14" i="5"/>
  <c r="AA13" i="6" s="1"/>
  <c r="BC14" i="5"/>
  <c r="M13" i="6" s="1"/>
  <c r="AZ14" i="5"/>
  <c r="L13" i="6" s="1"/>
  <c r="AW14" i="5"/>
  <c r="AU14" i="5"/>
  <c r="AR14" i="5"/>
  <c r="K13" i="6" s="1"/>
  <c r="AI14" i="5"/>
  <c r="I13" i="6" s="1"/>
  <c r="AE14" i="5"/>
  <c r="AB14" i="5"/>
  <c r="F13" i="6" s="1"/>
  <c r="Z14" i="5"/>
  <c r="V14" i="5"/>
  <c r="E13" i="6" s="1"/>
  <c r="T14" i="5"/>
  <c r="D13" i="6" s="1"/>
  <c r="Q14" i="5"/>
  <c r="N14" i="5"/>
  <c r="C13" i="6" s="1"/>
  <c r="K14" i="5"/>
  <c r="F14" i="5"/>
  <c r="D14" i="5"/>
  <c r="C14" i="5"/>
  <c r="HE13" i="5"/>
  <c r="GS13" i="5"/>
  <c r="GP13" i="5"/>
  <c r="BE12" i="6" s="1"/>
  <c r="GM13" i="5"/>
  <c r="BC12" i="6" s="1"/>
  <c r="GJ13" i="5"/>
  <c r="AX12" i="6" s="1"/>
  <c r="GD13" i="5"/>
  <c r="FX13" i="5"/>
  <c r="AP12" i="6" s="1"/>
  <c r="FS13" i="5"/>
  <c r="FP13" i="5"/>
  <c r="FA50" i="5" s="1"/>
  <c r="FJ13" i="5"/>
  <c r="BA12" i="6" s="1"/>
  <c r="FC13" i="5"/>
  <c r="EZ13" i="5"/>
  <c r="EZ50" i="5" s="1"/>
  <c r="EW13" i="5"/>
  <c r="AV12" i="6" s="1"/>
  <c r="ET13" i="5"/>
  <c r="AU12" i="6" s="1"/>
  <c r="AT12" i="6"/>
  <c r="EM13" i="5"/>
  <c r="AN12" i="6" s="1"/>
  <c r="EJ13" i="5"/>
  <c r="AM12" i="6" s="1"/>
  <c r="DZ13" i="5"/>
  <c r="AI12" i="6" s="1"/>
  <c r="DW13" i="5"/>
  <c r="AH12" i="6" s="1"/>
  <c r="DT13" i="5"/>
  <c r="DR13" i="5"/>
  <c r="AD12" i="6" s="1"/>
  <c r="DE13" i="5"/>
  <c r="DF13" i="5" s="1"/>
  <c r="DA13" i="5"/>
  <c r="CW13" i="5"/>
  <c r="W12" i="6" s="1"/>
  <c r="CS13" i="5"/>
  <c r="U12" i="6" s="1"/>
  <c r="CO13" i="5"/>
  <c r="CH13" i="5"/>
  <c r="R12" i="6" s="1"/>
  <c r="CD13" i="5"/>
  <c r="CA13" i="5"/>
  <c r="O12" i="6" s="1"/>
  <c r="BW13" i="5"/>
  <c r="BT13" i="5"/>
  <c r="BR13" i="5"/>
  <c r="Z12" i="6" s="1"/>
  <c r="BP13" i="5"/>
  <c r="BN13" i="5"/>
  <c r="BL13" i="5"/>
  <c r="BJ13" i="5"/>
  <c r="AB12" i="6" s="1"/>
  <c r="BG13" i="5"/>
  <c r="AA12" i="6" s="1"/>
  <c r="BC13" i="5"/>
  <c r="M12" i="6" s="1"/>
  <c r="AZ13" i="5"/>
  <c r="L12" i="6" s="1"/>
  <c r="AW13" i="5"/>
  <c r="AU13" i="5"/>
  <c r="AR13" i="5"/>
  <c r="K12" i="6" s="1"/>
  <c r="AI13" i="5"/>
  <c r="I12" i="6" s="1"/>
  <c r="AE13" i="5"/>
  <c r="AB13" i="5"/>
  <c r="F12" i="6" s="1"/>
  <c r="Z13" i="5"/>
  <c r="V13" i="5"/>
  <c r="E12" i="6" s="1"/>
  <c r="T13" i="5"/>
  <c r="D12" i="6" s="1"/>
  <c r="Q13" i="5"/>
  <c r="R13" i="5" s="1"/>
  <c r="N13" i="5"/>
  <c r="C12" i="6" s="1"/>
  <c r="K13" i="5"/>
  <c r="F13" i="5"/>
  <c r="D13" i="5"/>
  <c r="C13" i="5"/>
  <c r="HE12" i="5"/>
  <c r="GS12" i="5"/>
  <c r="GP12" i="5"/>
  <c r="BE11" i="6" s="1"/>
  <c r="GM12" i="5"/>
  <c r="BC11" i="6" s="1"/>
  <c r="GJ12" i="5"/>
  <c r="AX11" i="6" s="1"/>
  <c r="GD12" i="5"/>
  <c r="FX12" i="5"/>
  <c r="AP11" i="6" s="1"/>
  <c r="FS12" i="5"/>
  <c r="FP12" i="5"/>
  <c r="FA49" i="5" s="1"/>
  <c r="FJ12" i="5"/>
  <c r="BA11" i="6" s="1"/>
  <c r="FC12" i="5"/>
  <c r="EZ12" i="5"/>
  <c r="EZ49" i="5" s="1"/>
  <c r="EW12" i="5"/>
  <c r="AV11" i="6" s="1"/>
  <c r="ET12" i="5"/>
  <c r="AU11" i="6" s="1"/>
  <c r="AT11" i="6"/>
  <c r="EM12" i="5"/>
  <c r="AN11" i="6" s="1"/>
  <c r="EJ12" i="5"/>
  <c r="AM11" i="6" s="1"/>
  <c r="DZ12" i="5"/>
  <c r="AI11" i="6" s="1"/>
  <c r="DW12" i="5"/>
  <c r="AH11" i="6" s="1"/>
  <c r="DT12" i="5"/>
  <c r="DR12" i="5"/>
  <c r="AD11" i="6" s="1"/>
  <c r="DE12" i="5"/>
  <c r="DF12" i="5" s="1"/>
  <c r="DA12" i="5"/>
  <c r="CW12" i="5"/>
  <c r="W11" i="6" s="1"/>
  <c r="CS12" i="5"/>
  <c r="U11" i="6" s="1"/>
  <c r="CO12" i="5"/>
  <c r="CH12" i="5"/>
  <c r="R11" i="6" s="1"/>
  <c r="CD12" i="5"/>
  <c r="CA12" i="5"/>
  <c r="O11" i="6" s="1"/>
  <c r="BW12" i="5"/>
  <c r="BT12" i="5"/>
  <c r="BR12" i="5"/>
  <c r="Z11" i="6" s="1"/>
  <c r="BP12" i="5"/>
  <c r="BN12" i="5"/>
  <c r="BL12" i="5"/>
  <c r="BJ12" i="5"/>
  <c r="AB11" i="6" s="1"/>
  <c r="BG12" i="5"/>
  <c r="AA11" i="6" s="1"/>
  <c r="BC12" i="5"/>
  <c r="M11" i="6" s="1"/>
  <c r="AZ12" i="5"/>
  <c r="L11" i="6" s="1"/>
  <c r="AW12" i="5"/>
  <c r="AU12" i="5"/>
  <c r="AR12" i="5"/>
  <c r="K11" i="6" s="1"/>
  <c r="AI12" i="5"/>
  <c r="I11" i="6" s="1"/>
  <c r="AE12" i="5"/>
  <c r="AB12" i="5"/>
  <c r="F11" i="6" s="1"/>
  <c r="Z12" i="5"/>
  <c r="V12" i="5"/>
  <c r="E11" i="6" s="1"/>
  <c r="T12" i="5"/>
  <c r="D11" i="6" s="1"/>
  <c r="Q12" i="5"/>
  <c r="R12" i="5" s="1"/>
  <c r="N12" i="5"/>
  <c r="C11" i="6" s="1"/>
  <c r="K12" i="5"/>
  <c r="F12" i="5"/>
  <c r="D12" i="5"/>
  <c r="C12" i="5"/>
  <c r="HE11" i="5"/>
  <c r="GS11" i="5"/>
  <c r="GP11" i="5"/>
  <c r="BE10" i="6" s="1"/>
  <c r="GM11" i="5"/>
  <c r="BC10" i="6" s="1"/>
  <c r="GJ11" i="5"/>
  <c r="AX10" i="6" s="1"/>
  <c r="GD11" i="5"/>
  <c r="FX11" i="5"/>
  <c r="AP10" i="6" s="1"/>
  <c r="FS11" i="5"/>
  <c r="FP11" i="5"/>
  <c r="FA48" i="5" s="1"/>
  <c r="FJ11" i="5"/>
  <c r="BA10" i="6" s="1"/>
  <c r="FC11" i="5"/>
  <c r="EZ11" i="5"/>
  <c r="EZ48" i="5" s="1"/>
  <c r="EW11" i="5"/>
  <c r="AV10" i="6" s="1"/>
  <c r="ET11" i="5"/>
  <c r="AU10" i="6" s="1"/>
  <c r="AT10" i="6"/>
  <c r="EM11" i="5"/>
  <c r="AN10" i="6" s="1"/>
  <c r="EJ11" i="5"/>
  <c r="AM10" i="6" s="1"/>
  <c r="DZ11" i="5"/>
  <c r="AI10" i="6" s="1"/>
  <c r="DW11" i="5"/>
  <c r="AH10" i="6" s="1"/>
  <c r="DT11" i="5"/>
  <c r="DR11" i="5"/>
  <c r="AD10" i="6" s="1"/>
  <c r="DE11" i="5"/>
  <c r="DF11" i="5" s="1"/>
  <c r="DA11" i="5"/>
  <c r="CW11" i="5"/>
  <c r="W10" i="6" s="1"/>
  <c r="CS11" i="5"/>
  <c r="U10" i="6" s="1"/>
  <c r="CO11" i="5"/>
  <c r="T10" i="6" s="1"/>
  <c r="CH11" i="5"/>
  <c r="R10" i="6" s="1"/>
  <c r="CD11" i="5"/>
  <c r="CA11" i="5"/>
  <c r="O10" i="6" s="1"/>
  <c r="BW11" i="5"/>
  <c r="BT11" i="5"/>
  <c r="BR11" i="5"/>
  <c r="Z10" i="6" s="1"/>
  <c r="BP11" i="5"/>
  <c r="BN11" i="5"/>
  <c r="BL11" i="5"/>
  <c r="BJ11" i="5"/>
  <c r="AB10" i="6" s="1"/>
  <c r="BG11" i="5"/>
  <c r="AA10" i="6" s="1"/>
  <c r="BC11" i="5"/>
  <c r="M10" i="6" s="1"/>
  <c r="AZ11" i="5"/>
  <c r="L10" i="6" s="1"/>
  <c r="AW11" i="5"/>
  <c r="AU11" i="5"/>
  <c r="AR11" i="5"/>
  <c r="K10" i="6" s="1"/>
  <c r="AI11" i="5"/>
  <c r="I10" i="6" s="1"/>
  <c r="AE11" i="5"/>
  <c r="AB11" i="5"/>
  <c r="F10" i="6" s="1"/>
  <c r="Z11" i="5"/>
  <c r="V11" i="5"/>
  <c r="E10" i="6" s="1"/>
  <c r="T11" i="5"/>
  <c r="D10" i="6" s="1"/>
  <c r="Q11" i="5"/>
  <c r="R11" i="5" s="1"/>
  <c r="N11" i="5"/>
  <c r="C10" i="6" s="1"/>
  <c r="K11" i="5"/>
  <c r="F11" i="5"/>
  <c r="D11" i="5"/>
  <c r="C11" i="5"/>
  <c r="GS10" i="5"/>
  <c r="GP10" i="5"/>
  <c r="BE9" i="6" s="1"/>
  <c r="GM10" i="5"/>
  <c r="BC9" i="6" s="1"/>
  <c r="GJ10" i="5"/>
  <c r="AX9" i="6" s="1"/>
  <c r="GD10" i="5"/>
  <c r="FX10" i="5"/>
  <c r="AP9" i="6" s="1"/>
  <c r="FS10" i="5"/>
  <c r="FP10" i="5"/>
  <c r="FA47" i="5" s="1"/>
  <c r="FJ10" i="5"/>
  <c r="BA9" i="6" s="1"/>
  <c r="FC10" i="5"/>
  <c r="EZ10" i="5"/>
  <c r="EZ47" i="5" s="1"/>
  <c r="EW10" i="5"/>
  <c r="AV9" i="6" s="1"/>
  <c r="ET10" i="5"/>
  <c r="AU9" i="6" s="1"/>
  <c r="AT9" i="6"/>
  <c r="EM10" i="5"/>
  <c r="AN9" i="6" s="1"/>
  <c r="EJ10" i="5"/>
  <c r="AM9" i="6" s="1"/>
  <c r="DZ10" i="5"/>
  <c r="AI9" i="6" s="1"/>
  <c r="DW10" i="5"/>
  <c r="AH9" i="6" s="1"/>
  <c r="DT10" i="5"/>
  <c r="DR10" i="5"/>
  <c r="AD9" i="6" s="1"/>
  <c r="DE10" i="5"/>
  <c r="DF10" i="5" s="1"/>
  <c r="DA10" i="5"/>
  <c r="CW10" i="5"/>
  <c r="W9" i="6" s="1"/>
  <c r="CS10" i="5"/>
  <c r="U9" i="6" s="1"/>
  <c r="CO10" i="5"/>
  <c r="T9" i="6" s="1"/>
  <c r="CH10" i="5"/>
  <c r="R9" i="6" s="1"/>
  <c r="CD10" i="5"/>
  <c r="CA10" i="5"/>
  <c r="O9" i="6" s="1"/>
  <c r="BW10" i="5"/>
  <c r="BT10" i="5"/>
  <c r="BR10" i="5"/>
  <c r="Z9" i="6" s="1"/>
  <c r="BP10" i="5"/>
  <c r="BN10" i="5"/>
  <c r="BL10" i="5"/>
  <c r="BJ10" i="5"/>
  <c r="AB9" i="6" s="1"/>
  <c r="BG10" i="5"/>
  <c r="AA9" i="6" s="1"/>
  <c r="BC10" i="5"/>
  <c r="M9" i="6" s="1"/>
  <c r="AZ10" i="5"/>
  <c r="L9" i="6" s="1"/>
  <c r="AW10" i="5"/>
  <c r="AU10" i="5"/>
  <c r="AR10" i="5"/>
  <c r="K9" i="6" s="1"/>
  <c r="AI10" i="5"/>
  <c r="AE10" i="5"/>
  <c r="AB10" i="5"/>
  <c r="F9" i="6" s="1"/>
  <c r="Z10" i="5"/>
  <c r="V10" i="5"/>
  <c r="E9" i="6" s="1"/>
  <c r="T10" i="5"/>
  <c r="D9" i="6" s="1"/>
  <c r="Q10" i="5"/>
  <c r="N10" i="5"/>
  <c r="C9" i="6" s="1"/>
  <c r="K10" i="5"/>
  <c r="F10" i="5"/>
  <c r="D10" i="5"/>
  <c r="C10" i="5"/>
  <c r="GS9" i="5"/>
  <c r="GP9" i="5"/>
  <c r="BE8" i="6" s="1"/>
  <c r="GM9" i="5"/>
  <c r="BC8" i="6" s="1"/>
  <c r="GJ9" i="5"/>
  <c r="AX8" i="6" s="1"/>
  <c r="GD9" i="5"/>
  <c r="FX9" i="5"/>
  <c r="AP8" i="6" s="1"/>
  <c r="FS9" i="5"/>
  <c r="FP9" i="5"/>
  <c r="FA46" i="5" s="1"/>
  <c r="FJ9" i="5"/>
  <c r="AZ8" i="6"/>
  <c r="FC9" i="5"/>
  <c r="EZ9" i="5"/>
  <c r="EZ46" i="5" s="1"/>
  <c r="EW9" i="5"/>
  <c r="AV8" i="6" s="1"/>
  <c r="ET9" i="5"/>
  <c r="AU8" i="6" s="1"/>
  <c r="AT8" i="6"/>
  <c r="EM9" i="5"/>
  <c r="AN8" i="6" s="1"/>
  <c r="EJ9" i="5"/>
  <c r="AM8" i="6" s="1"/>
  <c r="DZ9" i="5"/>
  <c r="AI8" i="6" s="1"/>
  <c r="DW9" i="5"/>
  <c r="AH8" i="6" s="1"/>
  <c r="DT9" i="5"/>
  <c r="DR9" i="5"/>
  <c r="AD8" i="6" s="1"/>
  <c r="DE9" i="5"/>
  <c r="DF9" i="5" s="1"/>
  <c r="DA9" i="5"/>
  <c r="X8" i="6" s="1"/>
  <c r="CW9" i="5"/>
  <c r="W8" i="6" s="1"/>
  <c r="CS9" i="5"/>
  <c r="U8" i="6" s="1"/>
  <c r="CO9" i="5"/>
  <c r="T8" i="6" s="1"/>
  <c r="CH9" i="5"/>
  <c r="R8" i="6" s="1"/>
  <c r="CD9" i="5"/>
  <c r="P8" i="6" s="1"/>
  <c r="CA9" i="5"/>
  <c r="CB9" i="5" s="1"/>
  <c r="BW9" i="5"/>
  <c r="BT9" i="5"/>
  <c r="BR9" i="5"/>
  <c r="Z8" i="6" s="1"/>
  <c r="BP9" i="5"/>
  <c r="BN9" i="5"/>
  <c r="BL9" i="5"/>
  <c r="BJ9" i="5"/>
  <c r="AB8" i="6" s="1"/>
  <c r="BG9" i="5"/>
  <c r="AA8" i="6" s="1"/>
  <c r="BC9" i="5"/>
  <c r="M8" i="6" s="1"/>
  <c r="AZ9" i="5"/>
  <c r="L8" i="6" s="1"/>
  <c r="AW9" i="5"/>
  <c r="AU9" i="5"/>
  <c r="AR9" i="5"/>
  <c r="K8" i="6" s="1"/>
  <c r="AI9" i="5"/>
  <c r="I8" i="6" s="1"/>
  <c r="AE9" i="5"/>
  <c r="H8" i="6" s="1"/>
  <c r="AB9" i="5"/>
  <c r="F8" i="6" s="1"/>
  <c r="Z9" i="5"/>
  <c r="V9" i="5"/>
  <c r="E8" i="6" s="1"/>
  <c r="T9" i="5"/>
  <c r="Q9" i="5"/>
  <c r="R9" i="5" s="1"/>
  <c r="N9" i="5"/>
  <c r="C8" i="6" s="1"/>
  <c r="K9" i="5"/>
  <c r="F9" i="5"/>
  <c r="D9" i="5"/>
  <c r="C9" i="5"/>
  <c r="GW8" i="5"/>
  <c r="GS8" i="5"/>
  <c r="GP8" i="5"/>
  <c r="BE7" i="6" s="1"/>
  <c r="GM8" i="5"/>
  <c r="BC7" i="6" s="1"/>
  <c r="GJ8" i="5"/>
  <c r="AX7" i="6" s="1"/>
  <c r="GD8" i="5"/>
  <c r="FX8" i="5"/>
  <c r="FS8" i="5"/>
  <c r="FP8" i="5"/>
  <c r="FJ8" i="5"/>
  <c r="FC8" i="5"/>
  <c r="EZ8" i="5"/>
  <c r="EW8" i="5"/>
  <c r="ET8" i="5"/>
  <c r="EM8" i="5"/>
  <c r="EJ8" i="5"/>
  <c r="DZ8" i="5"/>
  <c r="DW8" i="5"/>
  <c r="DT8" i="5"/>
  <c r="HY8" i="5" s="1"/>
  <c r="DR8" i="5"/>
  <c r="DE8" i="5"/>
  <c r="DF8" i="5" s="1"/>
  <c r="DA8" i="5"/>
  <c r="CW8" i="5"/>
  <c r="CX8" i="5" s="1"/>
  <c r="CS8" i="5"/>
  <c r="CO8" i="5"/>
  <c r="CH8" i="5"/>
  <c r="CD8" i="5"/>
  <c r="P7" i="6" s="1"/>
  <c r="CA8" i="5"/>
  <c r="BW8" i="5"/>
  <c r="BT8" i="5"/>
  <c r="BR8" i="5"/>
  <c r="BP8" i="5"/>
  <c r="BN8" i="5"/>
  <c r="BL8" i="5"/>
  <c r="BJ8" i="5"/>
  <c r="AB7" i="6" s="1"/>
  <c r="BG8" i="5"/>
  <c r="BC8" i="5"/>
  <c r="AZ8" i="5"/>
  <c r="AW8" i="5"/>
  <c r="AU8" i="5"/>
  <c r="AR8" i="5"/>
  <c r="AS8" i="5" s="1"/>
  <c r="AI8" i="5"/>
  <c r="AJ8" i="5" s="1"/>
  <c r="AE8" i="5"/>
  <c r="AF8" i="5" s="1"/>
  <c r="AB8" i="5"/>
  <c r="F7" i="6" s="1"/>
  <c r="Z8" i="5"/>
  <c r="V8" i="5"/>
  <c r="T8" i="5"/>
  <c r="Q8" i="5"/>
  <c r="R8" i="5" s="1"/>
  <c r="N8" i="5"/>
  <c r="K8" i="5"/>
  <c r="F8" i="5"/>
  <c r="D8" i="5"/>
  <c r="C8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GA34" i="5" l="1"/>
  <c r="AQ33" i="6" s="1"/>
  <c r="GA27" i="5"/>
  <c r="AQ26" i="6" s="1"/>
  <c r="GA10" i="5"/>
  <c r="AQ9" i="6" s="1"/>
  <c r="BF9" i="6"/>
  <c r="GA21" i="5"/>
  <c r="AQ20" i="6" s="1"/>
  <c r="BF20" i="6"/>
  <c r="BG20" i="6" s="1"/>
  <c r="GA30" i="5"/>
  <c r="AQ29" i="6" s="1"/>
  <c r="BF29" i="6"/>
  <c r="BG29" i="6" s="1"/>
  <c r="GA32" i="5"/>
  <c r="AQ31" i="6" s="1"/>
  <c r="BF31" i="6"/>
  <c r="BG31" i="6" s="1"/>
  <c r="GA11" i="5"/>
  <c r="AQ10" i="6" s="1"/>
  <c r="BF10" i="6"/>
  <c r="BG10" i="6" s="1"/>
  <c r="GA13" i="5"/>
  <c r="AQ12" i="6" s="1"/>
  <c r="BF12" i="6"/>
  <c r="BG12" i="6" s="1"/>
  <c r="GA17" i="5"/>
  <c r="AQ16" i="6" s="1"/>
  <c r="BF16" i="6"/>
  <c r="BG16" i="6" s="1"/>
  <c r="GA18" i="5"/>
  <c r="AQ17" i="6" s="1"/>
  <c r="BF17" i="6"/>
  <c r="BG17" i="6" s="1"/>
  <c r="GA19" i="5"/>
  <c r="AQ18" i="6" s="1"/>
  <c r="BF18" i="6"/>
  <c r="BG18" i="6" s="1"/>
  <c r="AE22" i="6"/>
  <c r="AG22" i="6" s="1"/>
  <c r="GA31" i="5"/>
  <c r="AQ30" i="6" s="1"/>
  <c r="BF30" i="6"/>
  <c r="BG30" i="6" s="1"/>
  <c r="BS33" i="6"/>
  <c r="BE33" i="6"/>
  <c r="BG33" i="6" s="1"/>
  <c r="AC19" i="6"/>
  <c r="GA26" i="5"/>
  <c r="AQ25" i="6" s="1"/>
  <c r="BG25" i="6"/>
  <c r="GA28" i="5"/>
  <c r="AQ27" i="6" s="1"/>
  <c r="BF27" i="6"/>
  <c r="BG27" i="6" s="1"/>
  <c r="GA8" i="5"/>
  <c r="BF7" i="6"/>
  <c r="GA14" i="5"/>
  <c r="AQ13" i="6" s="1"/>
  <c r="BF13" i="6"/>
  <c r="BG13" i="6" s="1"/>
  <c r="GA20" i="5"/>
  <c r="AQ19" i="6" s="1"/>
  <c r="BF19" i="6"/>
  <c r="BG19" i="6" s="1"/>
  <c r="GA22" i="5"/>
  <c r="AQ21" i="6" s="1"/>
  <c r="BF21" i="6"/>
  <c r="BG21" i="6" s="1"/>
  <c r="GA15" i="5"/>
  <c r="AQ14" i="6" s="1"/>
  <c r="BF14" i="6"/>
  <c r="BG14" i="6" s="1"/>
  <c r="AP7" i="6"/>
  <c r="FX40" i="5"/>
  <c r="GA9" i="5"/>
  <c r="AQ8" i="6" s="1"/>
  <c r="BF8" i="6"/>
  <c r="BG8" i="6" s="1"/>
  <c r="BG9" i="6"/>
  <c r="GA12" i="5"/>
  <c r="AQ11" i="6" s="1"/>
  <c r="BF11" i="6"/>
  <c r="BG11" i="6" s="1"/>
  <c r="GA16" i="5"/>
  <c r="AQ15" i="6" s="1"/>
  <c r="BF15" i="6"/>
  <c r="BG15" i="6" s="1"/>
  <c r="GA23" i="5"/>
  <c r="AQ22" i="6" s="1"/>
  <c r="BF22" i="6"/>
  <c r="BG22" i="6" s="1"/>
  <c r="GA24" i="5"/>
  <c r="AQ23" i="6" s="1"/>
  <c r="BF23" i="6"/>
  <c r="BG23" i="6" s="1"/>
  <c r="GA25" i="5"/>
  <c r="AQ24" i="6" s="1"/>
  <c r="BF24" i="6"/>
  <c r="BG24" i="6" s="1"/>
  <c r="BG26" i="6"/>
  <c r="GA29" i="5"/>
  <c r="AQ28" i="6" s="1"/>
  <c r="BF28" i="6"/>
  <c r="BG28" i="6" s="1"/>
  <c r="GA33" i="5"/>
  <c r="AQ32" i="6" s="1"/>
  <c r="BF32" i="6"/>
  <c r="BG32" i="6" s="1"/>
  <c r="GA35" i="5"/>
  <c r="AQ34" i="6" s="1"/>
  <c r="BF34" i="6"/>
  <c r="BG34" i="6" s="1"/>
  <c r="GA36" i="5"/>
  <c r="AQ35" i="6" s="1"/>
  <c r="BG35" i="6"/>
  <c r="GA37" i="5"/>
  <c r="AQ36" i="6" s="1"/>
  <c r="BG36" i="6"/>
  <c r="GA38" i="5"/>
  <c r="AQ37" i="6" s="1"/>
  <c r="BG37" i="6"/>
  <c r="Y37" i="6"/>
  <c r="AF36" i="6"/>
  <c r="EC37" i="5"/>
  <c r="AJ36" i="6" s="1"/>
  <c r="EC35" i="5"/>
  <c r="AJ34" i="6" s="1"/>
  <c r="AK34" i="6" s="1"/>
  <c r="EG38" i="5"/>
  <c r="AL37" i="6" s="1"/>
  <c r="AO37" i="6" s="1"/>
  <c r="EG36" i="5"/>
  <c r="AL35" i="6" s="1"/>
  <c r="EG37" i="5"/>
  <c r="AL36" i="6" s="1"/>
  <c r="AO36" i="6" s="1"/>
  <c r="EC38" i="5"/>
  <c r="AJ37" i="6" s="1"/>
  <c r="EC36" i="5"/>
  <c r="AJ35" i="6" s="1"/>
  <c r="AK35" i="6" s="1"/>
  <c r="EG35" i="5"/>
  <c r="AL34" i="6" s="1"/>
  <c r="AO34" i="6" s="1"/>
  <c r="EC34" i="5"/>
  <c r="AJ33" i="6" s="1"/>
  <c r="AK33" i="6" s="1"/>
  <c r="EG34" i="5"/>
  <c r="AL33" i="6" s="1"/>
  <c r="AO33" i="6" s="1"/>
  <c r="EC33" i="5"/>
  <c r="AJ32" i="6" s="1"/>
  <c r="EG33" i="5"/>
  <c r="AL32" i="6" s="1"/>
  <c r="EC32" i="5"/>
  <c r="AJ31" i="6" s="1"/>
  <c r="AK31" i="6" s="1"/>
  <c r="EG32" i="5"/>
  <c r="AL31" i="6" s="1"/>
  <c r="AO31" i="6" s="1"/>
  <c r="EG31" i="5"/>
  <c r="AL30" i="6" s="1"/>
  <c r="AO30" i="6" s="1"/>
  <c r="EC31" i="5"/>
  <c r="AJ30" i="6" s="1"/>
  <c r="AK30" i="6" s="1"/>
  <c r="EC29" i="5"/>
  <c r="AJ28" i="6" s="1"/>
  <c r="AK28" i="6" s="1"/>
  <c r="EG30" i="5"/>
  <c r="AL29" i="6" s="1"/>
  <c r="AO29" i="6" s="1"/>
  <c r="EG29" i="5"/>
  <c r="AL28" i="6" s="1"/>
  <c r="AO28" i="6" s="1"/>
  <c r="EC30" i="5"/>
  <c r="AJ29" i="6" s="1"/>
  <c r="EC28" i="5"/>
  <c r="AJ27" i="6" s="1"/>
  <c r="AK27" i="6" s="1"/>
  <c r="EG28" i="5"/>
  <c r="AL27" i="6" s="1"/>
  <c r="AO27" i="6" s="1"/>
  <c r="EG27" i="5"/>
  <c r="AL26" i="6" s="1"/>
  <c r="AO26" i="6" s="1"/>
  <c r="EC27" i="5"/>
  <c r="AJ26" i="6" s="1"/>
  <c r="AK26" i="6" s="1"/>
  <c r="EG26" i="5"/>
  <c r="AL25" i="6" s="1"/>
  <c r="AO25" i="6" s="1"/>
  <c r="EC26" i="5"/>
  <c r="AJ25" i="6" s="1"/>
  <c r="EG25" i="5"/>
  <c r="AL24" i="6" s="1"/>
  <c r="AO24" i="6" s="1"/>
  <c r="EC25" i="5"/>
  <c r="AJ24" i="6" s="1"/>
  <c r="AK24" i="6" s="1"/>
  <c r="HY24" i="5"/>
  <c r="DS26" i="5"/>
  <c r="FH71" i="5"/>
  <c r="FH75" i="5"/>
  <c r="FH74" i="5"/>
  <c r="FI75" i="5"/>
  <c r="FI74" i="5"/>
  <c r="DR66" i="5"/>
  <c r="DR79" i="5" s="1"/>
  <c r="CK30" i="5"/>
  <c r="S29" i="6" s="1"/>
  <c r="AE30" i="6"/>
  <c r="AF10" i="6"/>
  <c r="H83" i="5"/>
  <c r="AF32" i="6"/>
  <c r="AX36" i="6"/>
  <c r="AF35" i="6"/>
  <c r="AE35" i="6"/>
  <c r="AG35" i="6" s="1"/>
  <c r="X38" i="5"/>
  <c r="G37" i="6" s="1"/>
  <c r="G37" i="5"/>
  <c r="B36" i="6" s="1"/>
  <c r="Y35" i="6"/>
  <c r="BH35" i="6" s="1"/>
  <c r="BA33" i="6"/>
  <c r="FT34" i="5"/>
  <c r="FM34" i="5" s="1"/>
  <c r="FA70" i="5"/>
  <c r="FB70" i="5" s="1"/>
  <c r="FD70" i="5" s="1"/>
  <c r="FT33" i="5"/>
  <c r="FM33" i="5" s="1"/>
  <c r="FT35" i="5"/>
  <c r="FM35" i="5" s="1"/>
  <c r="G34" i="5"/>
  <c r="B33" i="6" s="1"/>
  <c r="FT32" i="5"/>
  <c r="CK33" i="5"/>
  <c r="S32" i="6" s="1"/>
  <c r="AF31" i="6"/>
  <c r="CX32" i="5"/>
  <c r="AF28" i="6"/>
  <c r="AF29" i="6"/>
  <c r="FT30" i="5"/>
  <c r="FM30" i="5" s="1"/>
  <c r="AE28" i="6"/>
  <c r="CK28" i="5"/>
  <c r="CL28" i="5" s="1"/>
  <c r="AF26" i="6"/>
  <c r="AE24" i="6"/>
  <c r="AG24" i="6" s="1"/>
  <c r="BX11" i="5"/>
  <c r="CD45" i="5"/>
  <c r="BX25" i="6"/>
  <c r="FI50" i="5"/>
  <c r="P10" i="6"/>
  <c r="CH45" i="5"/>
  <c r="BX13" i="5"/>
  <c r="CD47" i="5"/>
  <c r="BX26" i="6"/>
  <c r="G29" i="5"/>
  <c r="B28" i="6" s="1"/>
  <c r="CP30" i="5"/>
  <c r="BX34" i="6"/>
  <c r="FH56" i="5"/>
  <c r="FI60" i="5"/>
  <c r="AS29" i="5"/>
  <c r="CK23" i="5"/>
  <c r="S22" i="6" s="1"/>
  <c r="V22" i="6" s="1"/>
  <c r="BX32" i="6"/>
  <c r="CK36" i="5"/>
  <c r="S35" i="6" s="1"/>
  <c r="V35" i="6" s="1"/>
  <c r="AF38" i="5"/>
  <c r="FH49" i="5"/>
  <c r="BX8" i="5"/>
  <c r="CD42" i="5"/>
  <c r="FT26" i="5"/>
  <c r="FM26" i="5" s="1"/>
  <c r="FT29" i="5"/>
  <c r="FM29" i="5" s="1"/>
  <c r="G33" i="5"/>
  <c r="B32" i="6" s="1"/>
  <c r="AE34" i="6"/>
  <c r="AG34" i="6" s="1"/>
  <c r="DB38" i="5"/>
  <c r="FI49" i="5"/>
  <c r="HE29" i="5"/>
  <c r="FI45" i="5"/>
  <c r="FT36" i="5"/>
  <c r="FM36" i="5" s="1"/>
  <c r="X37" i="5"/>
  <c r="G36" i="6" s="1"/>
  <c r="CT38" i="5"/>
  <c r="HE28" i="5"/>
  <c r="BX27" i="6"/>
  <c r="FT31" i="5"/>
  <c r="FM31" i="5" s="1"/>
  <c r="FI46" i="5"/>
  <c r="CC7" i="6"/>
  <c r="JX8" i="5"/>
  <c r="FT27" i="5"/>
  <c r="FM27" i="5" s="1"/>
  <c r="BX36" i="6"/>
  <c r="AS38" i="5"/>
  <c r="BX37" i="6"/>
  <c r="G18" i="5"/>
  <c r="B17" i="6" s="1"/>
  <c r="CK26" i="5"/>
  <c r="S25" i="6" s="1"/>
  <c r="V25" i="6" s="1"/>
  <c r="BX31" i="6"/>
  <c r="CX34" i="5"/>
  <c r="AE37" i="6"/>
  <c r="AG37" i="6" s="1"/>
  <c r="FH48" i="5"/>
  <c r="FH53" i="5"/>
  <c r="AE36" i="6"/>
  <c r="AG36" i="6" s="1"/>
  <c r="P9" i="6"/>
  <c r="CH44" i="5"/>
  <c r="P11" i="6"/>
  <c r="CH46" i="5"/>
  <c r="AE19" i="6"/>
  <c r="AG19" i="6" s="1"/>
  <c r="FI48" i="5"/>
  <c r="FI53" i="5"/>
  <c r="FH57" i="5"/>
  <c r="FH59" i="5"/>
  <c r="FH50" i="5"/>
  <c r="P12" i="6"/>
  <c r="CH47" i="5"/>
  <c r="BX10" i="5"/>
  <c r="CD44" i="5"/>
  <c r="BX12" i="5"/>
  <c r="CE11" i="5"/>
  <c r="CE10" i="5" s="1"/>
  <c r="CE9" i="5" s="1"/>
  <c r="CE8" i="5" s="1"/>
  <c r="CD46" i="5"/>
  <c r="FA38" i="5"/>
  <c r="AE8" i="6"/>
  <c r="AG8" i="6" s="1"/>
  <c r="HY9" i="5"/>
  <c r="AE21" i="6"/>
  <c r="AG21" i="6" s="1"/>
  <c r="FT28" i="5"/>
  <c r="FM28" i="5" s="1"/>
  <c r="G32" i="5"/>
  <c r="B31" i="6" s="1"/>
  <c r="JX34" i="5"/>
  <c r="BX33" i="6"/>
  <c r="BX35" i="6"/>
  <c r="FI57" i="5"/>
  <c r="BX9" i="5"/>
  <c r="CD43" i="5"/>
  <c r="CT31" i="5"/>
  <c r="AE31" i="6"/>
  <c r="AG31" i="6" s="1"/>
  <c r="FT37" i="5"/>
  <c r="FM37" i="5" s="1"/>
  <c r="FT38" i="5"/>
  <c r="FM38" i="5" s="1"/>
  <c r="EG24" i="5"/>
  <c r="AL23" i="6" s="1"/>
  <c r="EC24" i="5"/>
  <c r="AJ23" i="6" s="1"/>
  <c r="AK23" i="6" s="1"/>
  <c r="EG23" i="5"/>
  <c r="AL22" i="6" s="1"/>
  <c r="AO22" i="6" s="1"/>
  <c r="EC23" i="5"/>
  <c r="AJ22" i="6" s="1"/>
  <c r="AK22" i="6" s="1"/>
  <c r="EG22" i="5"/>
  <c r="AL21" i="6" s="1"/>
  <c r="AO21" i="6" s="1"/>
  <c r="EC22" i="5"/>
  <c r="AJ21" i="6" s="1"/>
  <c r="AK21" i="6" s="1"/>
  <c r="EC21" i="5"/>
  <c r="AJ20" i="6" s="1"/>
  <c r="AK20" i="6" s="1"/>
  <c r="EG21" i="5"/>
  <c r="AL20" i="6" s="1"/>
  <c r="EG20" i="5"/>
  <c r="AL19" i="6" s="1"/>
  <c r="AO19" i="6" s="1"/>
  <c r="EC20" i="5"/>
  <c r="AJ19" i="6" s="1"/>
  <c r="AK19" i="6" s="1"/>
  <c r="EG19" i="5"/>
  <c r="AL18" i="6" s="1"/>
  <c r="AO18" i="6" s="1"/>
  <c r="EC19" i="5"/>
  <c r="AJ18" i="6" s="1"/>
  <c r="AK18" i="6" s="1"/>
  <c r="EG18" i="5"/>
  <c r="AL17" i="6" s="1"/>
  <c r="EC18" i="5"/>
  <c r="AJ17" i="6" s="1"/>
  <c r="AK17" i="6" s="1"/>
  <c r="EG17" i="5"/>
  <c r="AL16" i="6" s="1"/>
  <c r="AO16" i="6" s="1"/>
  <c r="EC17" i="5"/>
  <c r="ED17" i="5" s="1"/>
  <c r="EG15" i="5"/>
  <c r="AL14" i="6" s="1"/>
  <c r="AO14" i="6" s="1"/>
  <c r="EC16" i="5"/>
  <c r="AJ15" i="6" s="1"/>
  <c r="AK15" i="6" s="1"/>
  <c r="EG16" i="5"/>
  <c r="EN16" i="5" s="1"/>
  <c r="EC15" i="5"/>
  <c r="AJ14" i="6" s="1"/>
  <c r="AK14" i="6" s="1"/>
  <c r="EG14" i="5"/>
  <c r="AL13" i="6" s="1"/>
  <c r="AO13" i="6" s="1"/>
  <c r="EC14" i="5"/>
  <c r="AJ13" i="6" s="1"/>
  <c r="AK13" i="6" s="1"/>
  <c r="EC13" i="5"/>
  <c r="AJ12" i="6" s="1"/>
  <c r="AK12" i="6" s="1"/>
  <c r="EG13" i="5"/>
  <c r="EN13" i="5" s="1"/>
  <c r="EG12" i="5"/>
  <c r="AL11" i="6" s="1"/>
  <c r="AO11" i="6" s="1"/>
  <c r="EC12" i="5"/>
  <c r="AJ11" i="6" s="1"/>
  <c r="AK11" i="6" s="1"/>
  <c r="EG11" i="5"/>
  <c r="AL10" i="6" s="1"/>
  <c r="AO10" i="6" s="1"/>
  <c r="EC11" i="5"/>
  <c r="AJ10" i="6" s="1"/>
  <c r="AK10" i="6" s="1"/>
  <c r="EC10" i="5"/>
  <c r="AJ9" i="6" s="1"/>
  <c r="AK9" i="6" s="1"/>
  <c r="EG10" i="5"/>
  <c r="AL9" i="6" s="1"/>
  <c r="AO9" i="6" s="1"/>
  <c r="EC9" i="5"/>
  <c r="AJ8" i="6" s="1"/>
  <c r="AK8" i="6" s="1"/>
  <c r="EC8" i="5"/>
  <c r="AJ7" i="6" s="1"/>
  <c r="EG9" i="5"/>
  <c r="AL8" i="6" s="1"/>
  <c r="AO8" i="6" s="1"/>
  <c r="EG8" i="5"/>
  <c r="AL7" i="6" s="1"/>
  <c r="FI47" i="5"/>
  <c r="BX24" i="6"/>
  <c r="FT25" i="5"/>
  <c r="FM25" i="5" s="1"/>
  <c r="AN25" i="5"/>
  <c r="BD25" i="5" s="1"/>
  <c r="G25" i="5"/>
  <c r="B24" i="6" s="1"/>
  <c r="AZ23" i="6"/>
  <c r="FT24" i="5"/>
  <c r="FM24" i="5" s="1"/>
  <c r="AZ22" i="6"/>
  <c r="FT23" i="5"/>
  <c r="FM23" i="5" s="1"/>
  <c r="AF23" i="6"/>
  <c r="HY23" i="5"/>
  <c r="HZ23" i="5" s="1"/>
  <c r="CK24" i="5"/>
  <c r="S23" i="6" s="1"/>
  <c r="V23" i="6" s="1"/>
  <c r="AF24" i="5"/>
  <c r="G24" i="5"/>
  <c r="B23" i="6" s="1"/>
  <c r="AC22" i="6"/>
  <c r="FT22" i="5"/>
  <c r="FM22" i="5" s="1"/>
  <c r="AC20" i="6"/>
  <c r="G21" i="5"/>
  <c r="B20" i="6" s="1"/>
  <c r="AF20" i="6"/>
  <c r="AZ20" i="6"/>
  <c r="FT21" i="5"/>
  <c r="FM21" i="5" s="1"/>
  <c r="CK21" i="5"/>
  <c r="S20" i="6" s="1"/>
  <c r="V20" i="6" s="1"/>
  <c r="AZ19" i="6"/>
  <c r="FT20" i="5"/>
  <c r="FM20" i="5" s="1"/>
  <c r="CT20" i="5"/>
  <c r="AE18" i="6"/>
  <c r="AG18" i="6" s="1"/>
  <c r="FT19" i="5"/>
  <c r="FM19" i="5" s="1"/>
  <c r="AN19" i="5"/>
  <c r="AO19" i="5" s="1"/>
  <c r="G19" i="5"/>
  <c r="B18" i="6" s="1"/>
  <c r="AZ17" i="6"/>
  <c r="FT18" i="5"/>
  <c r="FM18" i="5" s="1"/>
  <c r="Y17" i="6"/>
  <c r="BH17" i="6" s="1"/>
  <c r="AZ16" i="6"/>
  <c r="FT17" i="5"/>
  <c r="FM17" i="5" s="1"/>
  <c r="FT16" i="5"/>
  <c r="FM16" i="5" s="1"/>
  <c r="AF14" i="6"/>
  <c r="AE15" i="6"/>
  <c r="AG15" i="6" s="1"/>
  <c r="CK17" i="5"/>
  <c r="DG17" i="5" s="1"/>
  <c r="CK15" i="5"/>
  <c r="S14" i="6" s="1"/>
  <c r="AC15" i="6"/>
  <c r="AE14" i="6"/>
  <c r="AG14" i="6" s="1"/>
  <c r="HY15" i="5"/>
  <c r="HZ15" i="5" s="1"/>
  <c r="AZ14" i="6"/>
  <c r="FT15" i="5"/>
  <c r="FM15" i="5" s="1"/>
  <c r="AS15" i="5"/>
  <c r="BA8" i="6"/>
  <c r="FT9" i="5"/>
  <c r="FM9" i="5" s="1"/>
  <c r="Y36" i="6"/>
  <c r="BH36" i="6" s="1"/>
  <c r="AF13" i="6"/>
  <c r="CC13" i="6"/>
  <c r="JX14" i="5"/>
  <c r="AZ13" i="6"/>
  <c r="FT14" i="5"/>
  <c r="FM14" i="5" s="1"/>
  <c r="CK14" i="5"/>
  <c r="S13" i="6" s="1"/>
  <c r="L83" i="5"/>
  <c r="AF12" i="6"/>
  <c r="AE12" i="6"/>
  <c r="AG12" i="6" s="1"/>
  <c r="HY13" i="5"/>
  <c r="AN13" i="5"/>
  <c r="J12" i="6" s="1"/>
  <c r="AS13" i="5"/>
  <c r="AZ12" i="6"/>
  <c r="FT13" i="5"/>
  <c r="FM13" i="5" s="1"/>
  <c r="JV39" i="5"/>
  <c r="IU39" i="5"/>
  <c r="IP51" i="5"/>
  <c r="IP48" i="5"/>
  <c r="IP62" i="5"/>
  <c r="IM59" i="5"/>
  <c r="AF11" i="6"/>
  <c r="AE11" i="6"/>
  <c r="AG11" i="6" s="1"/>
  <c r="HY12" i="5"/>
  <c r="GG12" i="5"/>
  <c r="FB49" i="5"/>
  <c r="FD49" i="5" s="1"/>
  <c r="FK49" i="5" s="1"/>
  <c r="FT11" i="5"/>
  <c r="FM11" i="5" s="1"/>
  <c r="AZ11" i="6"/>
  <c r="FT12" i="5"/>
  <c r="FM12" i="5" s="1"/>
  <c r="CX11" i="5"/>
  <c r="AS12" i="5"/>
  <c r="FT10" i="5"/>
  <c r="FM10" i="5" s="1"/>
  <c r="AZ10" i="6"/>
  <c r="FT8" i="5"/>
  <c r="FM8" i="5" s="1"/>
  <c r="AE9" i="6"/>
  <c r="AG9" i="6" s="1"/>
  <c r="HY10" i="5"/>
  <c r="AE10" i="6"/>
  <c r="AG10" i="6" s="1"/>
  <c r="HY11" i="5"/>
  <c r="II39" i="5"/>
  <c r="IL39" i="5"/>
  <c r="IP58" i="5"/>
  <c r="GG10" i="5"/>
  <c r="AZ9" i="6"/>
  <c r="AF9" i="6"/>
  <c r="AF8" i="6"/>
  <c r="AE13" i="6"/>
  <c r="AG13" i="6" s="1"/>
  <c r="DT79" i="5"/>
  <c r="AF15" i="6"/>
  <c r="AF34" i="6"/>
  <c r="AE33" i="6"/>
  <c r="AG33" i="6" s="1"/>
  <c r="AE27" i="6"/>
  <c r="AG27" i="6" s="1"/>
  <c r="AF21" i="6"/>
  <c r="AF33" i="6"/>
  <c r="AF17" i="6"/>
  <c r="AE16" i="6"/>
  <c r="AG16" i="6" s="1"/>
  <c r="GG36" i="5"/>
  <c r="AR35" i="6" s="1"/>
  <c r="GG15" i="5"/>
  <c r="GG24" i="5"/>
  <c r="GG26" i="5"/>
  <c r="AR25" i="6" s="1"/>
  <c r="GG21" i="5"/>
  <c r="FB48" i="5"/>
  <c r="FD48" i="5" s="1"/>
  <c r="FK48" i="5" s="1"/>
  <c r="FB63" i="5"/>
  <c r="FD63" i="5" s="1"/>
  <c r="FK63" i="5" s="1"/>
  <c r="FB57" i="5"/>
  <c r="FD57" i="5" s="1"/>
  <c r="FJ57" i="5" s="1"/>
  <c r="FB56" i="5"/>
  <c r="FD56" i="5" s="1"/>
  <c r="FJ56" i="5" s="1"/>
  <c r="FB68" i="5"/>
  <c r="FD68" i="5" s="1"/>
  <c r="FK68" i="5" s="1"/>
  <c r="FU11" i="5"/>
  <c r="FA29" i="5"/>
  <c r="FD23" i="5"/>
  <c r="FD32" i="5"/>
  <c r="FA23" i="5"/>
  <c r="HY25" i="5"/>
  <c r="CC24" i="6" s="1"/>
  <c r="HY31" i="5"/>
  <c r="CC30" i="6" s="1"/>
  <c r="HY29" i="5"/>
  <c r="CC28" i="6" s="1"/>
  <c r="HY32" i="5"/>
  <c r="CC31" i="6" s="1"/>
  <c r="HY22" i="5"/>
  <c r="HY19" i="5"/>
  <c r="HZ19" i="5" s="1"/>
  <c r="HY20" i="5"/>
  <c r="HY17" i="5"/>
  <c r="HY16" i="5"/>
  <c r="DB36" i="5"/>
  <c r="Y31" i="6"/>
  <c r="BH31" i="6" s="1"/>
  <c r="Y8" i="6"/>
  <c r="BH8" i="6" s="1"/>
  <c r="DB9" i="5"/>
  <c r="Y20" i="6"/>
  <c r="BH20" i="6" s="1"/>
  <c r="Y23" i="6"/>
  <c r="BH23" i="6" s="1"/>
  <c r="DB32" i="5"/>
  <c r="DB21" i="5"/>
  <c r="DB24" i="5"/>
  <c r="CX22" i="5"/>
  <c r="CX25" i="5"/>
  <c r="CX35" i="5"/>
  <c r="CX16" i="5"/>
  <c r="CX29" i="5"/>
  <c r="CX31" i="5"/>
  <c r="CX19" i="5"/>
  <c r="CT34" i="5"/>
  <c r="CT12" i="5"/>
  <c r="CP9" i="5"/>
  <c r="CP31" i="5"/>
  <c r="CB10" i="5"/>
  <c r="CK18" i="5"/>
  <c r="S17" i="6" s="1"/>
  <c r="CK20" i="5"/>
  <c r="S19" i="6" s="1"/>
  <c r="V19" i="6" s="1"/>
  <c r="CB28" i="5"/>
  <c r="CB30" i="5"/>
  <c r="CK10" i="5"/>
  <c r="S9" i="6" s="1"/>
  <c r="CB33" i="5"/>
  <c r="CB14" i="5"/>
  <c r="CB26" i="5"/>
  <c r="AC25" i="6"/>
  <c r="AC34" i="6"/>
  <c r="AC23" i="6"/>
  <c r="AC11" i="6"/>
  <c r="BN39" i="5"/>
  <c r="AC13" i="6"/>
  <c r="AC9" i="6"/>
  <c r="AC17" i="6"/>
  <c r="AC35" i="6"/>
  <c r="AN22" i="5"/>
  <c r="AO22" i="5" s="1"/>
  <c r="AN11" i="5"/>
  <c r="J10" i="6" s="1"/>
  <c r="AN9" i="5"/>
  <c r="BD9" i="5" s="1"/>
  <c r="AS32" i="5"/>
  <c r="AS36" i="5"/>
  <c r="AS14" i="5"/>
  <c r="AS30" i="5"/>
  <c r="AS16" i="5"/>
  <c r="AJ26" i="5"/>
  <c r="AJ17" i="5"/>
  <c r="AJ32" i="5"/>
  <c r="AF29" i="5"/>
  <c r="AF21" i="5"/>
  <c r="AF32" i="5"/>
  <c r="AF9" i="5"/>
  <c r="X9" i="5"/>
  <c r="G8" i="6" s="1"/>
  <c r="X10" i="5"/>
  <c r="AK10" i="5" s="1"/>
  <c r="DH10" i="5" s="1"/>
  <c r="X20" i="5"/>
  <c r="G19" i="6" s="1"/>
  <c r="X32" i="5"/>
  <c r="G31" i="6" s="1"/>
  <c r="X23" i="5"/>
  <c r="G22" i="6" s="1"/>
  <c r="X26" i="5"/>
  <c r="G25" i="6" s="1"/>
  <c r="X14" i="5"/>
  <c r="G13" i="6" s="1"/>
  <c r="X17" i="5"/>
  <c r="G16" i="6" s="1"/>
  <c r="X36" i="5"/>
  <c r="G35" i="6" s="1"/>
  <c r="R17" i="5"/>
  <c r="R32" i="5"/>
  <c r="G13" i="5"/>
  <c r="B12" i="6" s="1"/>
  <c r="G10" i="5"/>
  <c r="B9" i="6" s="1"/>
  <c r="G14" i="5"/>
  <c r="B13" i="6" s="1"/>
  <c r="G15" i="5"/>
  <c r="B14" i="6" s="1"/>
  <c r="G28" i="5"/>
  <c r="B27" i="6" s="1"/>
  <c r="G22" i="5"/>
  <c r="B21" i="6" s="1"/>
  <c r="G30" i="5"/>
  <c r="B29" i="6" s="1"/>
  <c r="G16" i="5"/>
  <c r="B15" i="6" s="1"/>
  <c r="G23" i="5"/>
  <c r="B22" i="6" s="1"/>
  <c r="G31" i="5"/>
  <c r="B30" i="6" s="1"/>
  <c r="G35" i="5"/>
  <c r="B34" i="6" s="1"/>
  <c r="G11" i="5"/>
  <c r="B10" i="6" s="1"/>
  <c r="G17" i="5"/>
  <c r="B16" i="6" s="1"/>
  <c r="G26" i="5"/>
  <c r="B25" i="6" s="1"/>
  <c r="G27" i="5"/>
  <c r="B26" i="6" s="1"/>
  <c r="G12" i="5"/>
  <c r="B11" i="6" s="1"/>
  <c r="G9" i="5"/>
  <c r="B8" i="6" s="1"/>
  <c r="G20" i="5"/>
  <c r="B19" i="6" s="1"/>
  <c r="FU8" i="5"/>
  <c r="FA8" i="5"/>
  <c r="IM57" i="5"/>
  <c r="CT13" i="5"/>
  <c r="AJ15" i="5"/>
  <c r="FA30" i="5"/>
  <c r="CP33" i="5"/>
  <c r="EZ69" i="5"/>
  <c r="FB69" i="5" s="1"/>
  <c r="FD69" i="5" s="1"/>
  <c r="FA9" i="5"/>
  <c r="AJ20" i="5"/>
  <c r="FB47" i="5"/>
  <c r="FD47" i="5" s="1"/>
  <c r="FK47" i="5" s="1"/>
  <c r="FU14" i="5"/>
  <c r="CP21" i="5"/>
  <c r="CT26" i="5"/>
  <c r="DG32" i="5"/>
  <c r="CP35" i="5"/>
  <c r="FU35" i="5"/>
  <c r="FB62" i="5"/>
  <c r="FD62" i="5" s="1"/>
  <c r="FK62" i="5" s="1"/>
  <c r="CT35" i="5"/>
  <c r="FA11" i="5"/>
  <c r="FU12" i="5"/>
  <c r="FA13" i="5"/>
  <c r="FB53" i="5"/>
  <c r="FD53" i="5" s="1"/>
  <c r="FJ53" i="5" s="1"/>
  <c r="FA20" i="5"/>
  <c r="FA31" i="5"/>
  <c r="FA33" i="5"/>
  <c r="FM32" i="5"/>
  <c r="FB51" i="5"/>
  <c r="FD51" i="5" s="1"/>
  <c r="FK51" i="5" s="1"/>
  <c r="CP18" i="5"/>
  <c r="FA14" i="5"/>
  <c r="CT23" i="5"/>
  <c r="FD29" i="5"/>
  <c r="FB71" i="5"/>
  <c r="FD71" i="5" s="1"/>
  <c r="FK71" i="5" s="1"/>
  <c r="FA34" i="5"/>
  <c r="AJ9" i="5"/>
  <c r="FA12" i="5"/>
  <c r="CP15" i="5"/>
  <c r="AJ23" i="5"/>
  <c r="CP24" i="5"/>
  <c r="CT28" i="5"/>
  <c r="G36" i="5"/>
  <c r="B35" i="6" s="1"/>
  <c r="AF36" i="5"/>
  <c r="CT36" i="5"/>
  <c r="CB37" i="5"/>
  <c r="CK38" i="5"/>
  <c r="S37" i="6" s="1"/>
  <c r="V37" i="6" s="1"/>
  <c r="JA39" i="5"/>
  <c r="FA37" i="5"/>
  <c r="F39" i="5"/>
  <c r="AJ36" i="5"/>
  <c r="CX36" i="5"/>
  <c r="FD37" i="5"/>
  <c r="AC37" i="6"/>
  <c r="IF63" i="5"/>
  <c r="AN35" i="5"/>
  <c r="J34" i="6" s="1"/>
  <c r="G38" i="5"/>
  <c r="HY35" i="5"/>
  <c r="R36" i="5"/>
  <c r="CP37" i="5"/>
  <c r="AJ38" i="5"/>
  <c r="CX38" i="5"/>
  <c r="IF39" i="5"/>
  <c r="JP39" i="5"/>
  <c r="HY38" i="5"/>
  <c r="CC37" i="6" s="1"/>
  <c r="FA35" i="5"/>
  <c r="CT37" i="5"/>
  <c r="GG38" i="5"/>
  <c r="AR37" i="6" s="1"/>
  <c r="AB38" i="6"/>
  <c r="C54" i="6" s="1"/>
  <c r="FA36" i="5"/>
  <c r="AJ37" i="5"/>
  <c r="HY37" i="5"/>
  <c r="CC36" i="6" s="1"/>
  <c r="IP63" i="5"/>
  <c r="GG37" i="5"/>
  <c r="HE9" i="5"/>
  <c r="G8" i="5"/>
  <c r="AX16" i="6"/>
  <c r="GG17" i="5"/>
  <c r="AZ18" i="6"/>
  <c r="FU19" i="5"/>
  <c r="AV7" i="6"/>
  <c r="EW39" i="5"/>
  <c r="FA10" i="5"/>
  <c r="X11" i="6"/>
  <c r="Y11" i="6" s="1"/>
  <c r="BH11" i="6" s="1"/>
  <c r="DB12" i="5"/>
  <c r="CX13" i="5"/>
  <c r="R14" i="5"/>
  <c r="W13" i="6"/>
  <c r="CX14" i="5"/>
  <c r="FA15" i="5"/>
  <c r="H15" i="6"/>
  <c r="AF16" i="5"/>
  <c r="CP16" i="5"/>
  <c r="AN23" i="6"/>
  <c r="AO23" i="6" s="1"/>
  <c r="D14" i="6"/>
  <c r="X15" i="5"/>
  <c r="G14" i="6" s="1"/>
  <c r="AT16" i="6"/>
  <c r="FA17" i="5"/>
  <c r="CB11" i="5"/>
  <c r="CX12" i="5"/>
  <c r="CT14" i="5"/>
  <c r="O18" i="6"/>
  <c r="CK19" i="5"/>
  <c r="DG19" i="5" s="1"/>
  <c r="CB19" i="5"/>
  <c r="AE7" i="6"/>
  <c r="AG7" i="6" s="1"/>
  <c r="AN10" i="5"/>
  <c r="X12" i="5"/>
  <c r="G11" i="6" s="1"/>
  <c r="CB12" i="5"/>
  <c r="X12" i="6"/>
  <c r="Y12" i="6" s="1"/>
  <c r="BH12" i="6" s="1"/>
  <c r="DB13" i="5"/>
  <c r="X13" i="6"/>
  <c r="DB14" i="5"/>
  <c r="AN20" i="6"/>
  <c r="T24" i="6"/>
  <c r="CP25" i="5"/>
  <c r="AX19" i="6"/>
  <c r="GG20" i="5"/>
  <c r="AU26" i="6"/>
  <c r="FA27" i="5"/>
  <c r="AU7" i="6"/>
  <c r="ET39" i="5"/>
  <c r="I9" i="6"/>
  <c r="AJ10" i="5"/>
  <c r="O21" i="6"/>
  <c r="CK22" i="5"/>
  <c r="DG22" i="5" s="1"/>
  <c r="CB22" i="5"/>
  <c r="T7" i="6"/>
  <c r="CO39" i="5"/>
  <c r="EZ45" i="5"/>
  <c r="EZ39" i="5"/>
  <c r="CX9" i="5"/>
  <c r="Q39" i="5"/>
  <c r="BP39" i="5"/>
  <c r="CP8" i="5"/>
  <c r="AH7" i="6"/>
  <c r="DW39" i="5"/>
  <c r="GG8" i="5"/>
  <c r="O8" i="6"/>
  <c r="CK9" i="5"/>
  <c r="DG9" i="5" s="1"/>
  <c r="CP10" i="5"/>
  <c r="FD10" i="5"/>
  <c r="H10" i="6"/>
  <c r="AF11" i="5"/>
  <c r="X13" i="5"/>
  <c r="G12" i="6" s="1"/>
  <c r="CB13" i="5"/>
  <c r="FU13" i="5"/>
  <c r="AC14" i="6"/>
  <c r="AN15" i="5"/>
  <c r="AN17" i="6"/>
  <c r="FD27" i="5"/>
  <c r="AH29" i="6"/>
  <c r="H30" i="6"/>
  <c r="AF31" i="5"/>
  <c r="D8" i="6"/>
  <c r="D17" i="6"/>
  <c r="X18" i="5"/>
  <c r="G17" i="6" s="1"/>
  <c r="U7" i="6"/>
  <c r="CS39" i="5"/>
  <c r="AC10" i="6"/>
  <c r="CK11" i="5"/>
  <c r="DG11" i="5" s="1"/>
  <c r="GG14" i="5"/>
  <c r="FD17" i="5"/>
  <c r="U17" i="6"/>
  <c r="CT18" i="5"/>
  <c r="T18" i="6"/>
  <c r="CP19" i="5"/>
  <c r="FD20" i="5"/>
  <c r="T21" i="6"/>
  <c r="CP22" i="5"/>
  <c r="I23" i="6"/>
  <c r="AJ24" i="5"/>
  <c r="I28" i="6"/>
  <c r="AJ29" i="5"/>
  <c r="H9" i="6"/>
  <c r="AF10" i="5"/>
  <c r="R7" i="6"/>
  <c r="R38" i="6" s="1"/>
  <c r="CH39" i="5"/>
  <c r="AD7" i="6"/>
  <c r="AD38" i="6" s="1"/>
  <c r="C57" i="6" s="1"/>
  <c r="DR39" i="5"/>
  <c r="AN8" i="5"/>
  <c r="CT8" i="5"/>
  <c r="FD8" i="5"/>
  <c r="R10" i="5"/>
  <c r="AS10" i="5"/>
  <c r="CT10" i="5"/>
  <c r="GG11" i="5"/>
  <c r="H11" i="6"/>
  <c r="AF12" i="5"/>
  <c r="U14" i="6"/>
  <c r="CT15" i="5"/>
  <c r="FA52" i="5"/>
  <c r="FB52" i="5" s="1"/>
  <c r="FD52" i="5" s="1"/>
  <c r="FU15" i="5"/>
  <c r="X15" i="6"/>
  <c r="Y15" i="6" s="1"/>
  <c r="BH15" i="6" s="1"/>
  <c r="DB16" i="5"/>
  <c r="I17" i="6"/>
  <c r="AJ18" i="5"/>
  <c r="I20" i="6"/>
  <c r="AJ21" i="5"/>
  <c r="K23" i="6"/>
  <c r="AS24" i="5"/>
  <c r="DF24" i="5"/>
  <c r="EZ61" i="5"/>
  <c r="FA24" i="5"/>
  <c r="BC24" i="6"/>
  <c r="GG25" i="5"/>
  <c r="FU26" i="5"/>
  <c r="D20" i="6"/>
  <c r="X21" i="5"/>
  <c r="G20" i="6" s="1"/>
  <c r="AP38" i="6"/>
  <c r="CT9" i="5"/>
  <c r="AZ7" i="6"/>
  <c r="FG39" i="5"/>
  <c r="FU9" i="5"/>
  <c r="CK12" i="5"/>
  <c r="DG12" i="5" s="1"/>
  <c r="H12" i="6"/>
  <c r="AF13" i="5"/>
  <c r="W14" i="6"/>
  <c r="Y14" i="6" s="1"/>
  <c r="BH14" i="6" s="1"/>
  <c r="CX15" i="5"/>
  <c r="HM39" i="5"/>
  <c r="AV15" i="6"/>
  <c r="FD16" i="5"/>
  <c r="FA16" i="5"/>
  <c r="K20" i="6"/>
  <c r="AS21" i="5"/>
  <c r="DF21" i="5"/>
  <c r="EZ58" i="5"/>
  <c r="FA21" i="5"/>
  <c r="HZ34" i="5"/>
  <c r="AA7" i="6"/>
  <c r="AA38" i="6" s="1"/>
  <c r="C53" i="6" s="1"/>
  <c r="BG39" i="5"/>
  <c r="K39" i="5"/>
  <c r="E7" i="6"/>
  <c r="E38" i="6" s="1"/>
  <c r="V39" i="5"/>
  <c r="GP39" i="5"/>
  <c r="X8" i="5"/>
  <c r="BA7" i="6"/>
  <c r="FJ39" i="5"/>
  <c r="GS39" i="5"/>
  <c r="CX10" i="5"/>
  <c r="CP11" i="5"/>
  <c r="FD11" i="5"/>
  <c r="AC12" i="6"/>
  <c r="CK13" i="5"/>
  <c r="DG13" i="5" s="1"/>
  <c r="GG13" i="5"/>
  <c r="H13" i="6"/>
  <c r="AF14" i="5"/>
  <c r="FD14" i="5"/>
  <c r="O15" i="6"/>
  <c r="CK16" i="5"/>
  <c r="DG16" i="5" s="1"/>
  <c r="AC16" i="6"/>
  <c r="AN17" i="5"/>
  <c r="AS18" i="5"/>
  <c r="DF18" i="5"/>
  <c r="EZ55" i="5"/>
  <c r="FA18" i="5"/>
  <c r="AE23" i="6"/>
  <c r="AG23" i="6" s="1"/>
  <c r="AV24" i="6"/>
  <c r="FA25" i="5"/>
  <c r="X27" i="5"/>
  <c r="G26" i="6" s="1"/>
  <c r="R27" i="5"/>
  <c r="FA55" i="5"/>
  <c r="FU18" i="5"/>
  <c r="AX22" i="6"/>
  <c r="GG23" i="5"/>
  <c r="AS9" i="5"/>
  <c r="X10" i="6"/>
  <c r="Y10" i="6" s="1"/>
  <c r="BH10" i="6" s="1"/>
  <c r="DB11" i="5"/>
  <c r="HE19" i="5"/>
  <c r="AZ21" i="6"/>
  <c r="FU22" i="5"/>
  <c r="AR39" i="5"/>
  <c r="K7" i="6"/>
  <c r="BW39" i="5"/>
  <c r="O7" i="6"/>
  <c r="CA39" i="5"/>
  <c r="CK8" i="5"/>
  <c r="DG8" i="5" s="1"/>
  <c r="AM7" i="6"/>
  <c r="AM38" i="6" s="1"/>
  <c r="EJ39" i="5"/>
  <c r="X9" i="6"/>
  <c r="Y9" i="6" s="1"/>
  <c r="BH9" i="6" s="1"/>
  <c r="DB10" i="5"/>
  <c r="HE10" i="5"/>
  <c r="AN12" i="5"/>
  <c r="T11" i="6"/>
  <c r="CP12" i="5"/>
  <c r="FD12" i="5"/>
  <c r="EN15" i="5"/>
  <c r="AE20" i="6"/>
  <c r="AG20" i="6" s="1"/>
  <c r="HY21" i="5"/>
  <c r="HZ21" i="5" s="1"/>
  <c r="BC21" i="6"/>
  <c r="GG22" i="5"/>
  <c r="W25" i="6"/>
  <c r="Y25" i="6" s="1"/>
  <c r="BH25" i="6" s="1"/>
  <c r="CX26" i="5"/>
  <c r="IF56" i="5"/>
  <c r="X11" i="5"/>
  <c r="G10" i="6" s="1"/>
  <c r="DZ39" i="5"/>
  <c r="AI7" i="6"/>
  <c r="D7" i="6"/>
  <c r="T39" i="5"/>
  <c r="L7" i="6"/>
  <c r="L38" i="6" s="1"/>
  <c r="AZ39" i="5"/>
  <c r="X7" i="6"/>
  <c r="C39" i="5"/>
  <c r="F38" i="6"/>
  <c r="M7" i="6"/>
  <c r="M38" i="6" s="1"/>
  <c r="BC39" i="5"/>
  <c r="CB8" i="5"/>
  <c r="DB8" i="5"/>
  <c r="AN7" i="6"/>
  <c r="EM39" i="5"/>
  <c r="FA45" i="5"/>
  <c r="FP39" i="5"/>
  <c r="FB46" i="5"/>
  <c r="FD46" i="5" s="1"/>
  <c r="FU10" i="5"/>
  <c r="AS11" i="5"/>
  <c r="CT11" i="5"/>
  <c r="T12" i="6"/>
  <c r="CP13" i="5"/>
  <c r="FD13" i="5"/>
  <c r="DF15" i="5"/>
  <c r="D15" i="6"/>
  <c r="X16" i="5"/>
  <c r="G15" i="6" s="1"/>
  <c r="AZ15" i="6"/>
  <c r="FU16" i="5"/>
  <c r="HE16" i="5"/>
  <c r="W16" i="6"/>
  <c r="Y16" i="6" s="1"/>
  <c r="BH16" i="6" s="1"/>
  <c r="CX17" i="5"/>
  <c r="AE17" i="6"/>
  <c r="AG17" i="6" s="1"/>
  <c r="HY18" i="5"/>
  <c r="HZ18" i="5" s="1"/>
  <c r="AV18" i="6"/>
  <c r="FD19" i="5"/>
  <c r="FA19" i="5"/>
  <c r="JE48" i="5"/>
  <c r="AV21" i="6"/>
  <c r="FD22" i="5"/>
  <c r="FA22" i="5"/>
  <c r="JE51" i="5"/>
  <c r="FA61" i="5"/>
  <c r="FU24" i="5"/>
  <c r="HE25" i="5"/>
  <c r="AU25" i="6"/>
  <c r="FA26" i="5"/>
  <c r="W26" i="6"/>
  <c r="CX27" i="5"/>
  <c r="I7" i="6"/>
  <c r="AI39" i="5"/>
  <c r="FD9" i="5"/>
  <c r="HE22" i="5"/>
  <c r="Z7" i="6"/>
  <c r="BR39" i="5"/>
  <c r="W7" i="6"/>
  <c r="CW39" i="5"/>
  <c r="D39" i="5"/>
  <c r="H7" i="6"/>
  <c r="AE39" i="5"/>
  <c r="DE39" i="5"/>
  <c r="FS39" i="5"/>
  <c r="GG9" i="5"/>
  <c r="AN14" i="5"/>
  <c r="T13" i="6"/>
  <c r="CP14" i="5"/>
  <c r="HE14" i="5"/>
  <c r="JE45" i="5"/>
  <c r="W19" i="6"/>
  <c r="Y19" i="6" s="1"/>
  <c r="BH19" i="6" s="1"/>
  <c r="CX20" i="5"/>
  <c r="FA58" i="5"/>
  <c r="FU21" i="5"/>
  <c r="W22" i="6"/>
  <c r="Y22" i="6" s="1"/>
  <c r="BH22" i="6" s="1"/>
  <c r="CX23" i="5"/>
  <c r="D23" i="6"/>
  <c r="X24" i="5"/>
  <c r="G23" i="6" s="1"/>
  <c r="O24" i="6"/>
  <c r="CK25" i="5"/>
  <c r="DG25" i="5" s="1"/>
  <c r="CB25" i="5"/>
  <c r="AZ24" i="6"/>
  <c r="FU25" i="5"/>
  <c r="FB59" i="5"/>
  <c r="FD59" i="5" s="1"/>
  <c r="IF55" i="5"/>
  <c r="H27" i="6"/>
  <c r="AF28" i="5"/>
  <c r="IM56" i="5"/>
  <c r="AC28" i="6"/>
  <c r="AN29" i="5"/>
  <c r="CK29" i="5"/>
  <c r="DG29" i="5" s="1"/>
  <c r="JE60" i="5"/>
  <c r="X33" i="5"/>
  <c r="G32" i="6" s="1"/>
  <c r="AE32" i="6"/>
  <c r="AG32" i="6" s="1"/>
  <c r="HY33" i="5"/>
  <c r="CC32" i="6" s="1"/>
  <c r="H33" i="6"/>
  <c r="AF34" i="5"/>
  <c r="BC34" i="6"/>
  <c r="GG35" i="5"/>
  <c r="AR34" i="6" s="1"/>
  <c r="JE47" i="5"/>
  <c r="CB17" i="5"/>
  <c r="AS19" i="5"/>
  <c r="IF47" i="5"/>
  <c r="CB20" i="5"/>
  <c r="AS22" i="5"/>
  <c r="CB23" i="5"/>
  <c r="AS25" i="5"/>
  <c r="IF53" i="5"/>
  <c r="DB26" i="5"/>
  <c r="AS27" i="5"/>
  <c r="CP27" i="5"/>
  <c r="FB64" i="5"/>
  <c r="FD64" i="5" s="1"/>
  <c r="FB65" i="5"/>
  <c r="FD65" i="5" s="1"/>
  <c r="GG28" i="5"/>
  <c r="AR27" i="6" s="1"/>
  <c r="JE56" i="5"/>
  <c r="T28" i="6"/>
  <c r="CP29" i="5"/>
  <c r="H29" i="6"/>
  <c r="AF30" i="5"/>
  <c r="O31" i="6"/>
  <c r="CB32" i="5"/>
  <c r="AT31" i="6"/>
  <c r="FA32" i="5"/>
  <c r="D32" i="6"/>
  <c r="AH32" i="6"/>
  <c r="IP61" i="5"/>
  <c r="CL35" i="5"/>
  <c r="IF48" i="5"/>
  <c r="IF50" i="5"/>
  <c r="FB50" i="5"/>
  <c r="FD50" i="5" s="1"/>
  <c r="IP43" i="5"/>
  <c r="CT16" i="5"/>
  <c r="GG16" i="5"/>
  <c r="IM44" i="5"/>
  <c r="AF17" i="5"/>
  <c r="DB17" i="5"/>
  <c r="AN18" i="5"/>
  <c r="IP46" i="5"/>
  <c r="X19" i="5"/>
  <c r="G18" i="6" s="1"/>
  <c r="CT19" i="5"/>
  <c r="GG19" i="5"/>
  <c r="IM47" i="5"/>
  <c r="AF20" i="5"/>
  <c r="DB20" i="5"/>
  <c r="AN21" i="5"/>
  <c r="IP49" i="5"/>
  <c r="X22" i="5"/>
  <c r="G21" i="6" s="1"/>
  <c r="CT22" i="5"/>
  <c r="IM50" i="5"/>
  <c r="AF23" i="5"/>
  <c r="DB23" i="5"/>
  <c r="AN24" i="5"/>
  <c r="IP52" i="5"/>
  <c r="X25" i="5"/>
  <c r="G24" i="6" s="1"/>
  <c r="CT25" i="5"/>
  <c r="IM53" i="5"/>
  <c r="AF26" i="5"/>
  <c r="AX26" i="6"/>
  <c r="GG27" i="5"/>
  <c r="AR26" i="6" s="1"/>
  <c r="JE55" i="5"/>
  <c r="AJ28" i="5"/>
  <c r="FA28" i="5"/>
  <c r="HY28" i="5"/>
  <c r="CC27" i="6" s="1"/>
  <c r="U28" i="6"/>
  <c r="CT29" i="5"/>
  <c r="K30" i="6"/>
  <c r="AS31" i="5"/>
  <c r="X30" i="6"/>
  <c r="Y30" i="6" s="1"/>
  <c r="BH30" i="6" s="1"/>
  <c r="DB31" i="5"/>
  <c r="BC30" i="6"/>
  <c r="GG31" i="5"/>
  <c r="AR30" i="6" s="1"/>
  <c r="AX31" i="6"/>
  <c r="GG32" i="5"/>
  <c r="AR31" i="6" s="1"/>
  <c r="X33" i="6"/>
  <c r="Y33" i="6" s="1"/>
  <c r="BH33" i="6" s="1"/>
  <c r="DB34" i="5"/>
  <c r="BC33" i="6"/>
  <c r="GG34" i="5"/>
  <c r="AR33" i="6" s="1"/>
  <c r="IR39" i="5"/>
  <c r="JE44" i="5"/>
  <c r="Y18" i="6"/>
  <c r="BH18" i="6" s="1"/>
  <c r="Y21" i="6"/>
  <c r="BH21" i="6" s="1"/>
  <c r="JE50" i="5"/>
  <c r="Y24" i="6"/>
  <c r="BH24" i="6" s="1"/>
  <c r="FD25" i="5"/>
  <c r="JE53" i="5"/>
  <c r="HE26" i="5"/>
  <c r="IP54" i="5"/>
  <c r="CT27" i="5"/>
  <c r="CP28" i="5"/>
  <c r="X29" i="5"/>
  <c r="G28" i="6" s="1"/>
  <c r="Y28" i="6"/>
  <c r="BH28" i="6" s="1"/>
  <c r="AZ28" i="6"/>
  <c r="FU29" i="5"/>
  <c r="AJ30" i="5"/>
  <c r="Z29" i="6"/>
  <c r="AN30" i="5"/>
  <c r="O30" i="6"/>
  <c r="CK31" i="5"/>
  <c r="DG31" i="5" s="1"/>
  <c r="FD28" i="5"/>
  <c r="U29" i="6"/>
  <c r="CT30" i="5"/>
  <c r="O33" i="6"/>
  <c r="CK34" i="5"/>
  <c r="DG34" i="5" s="1"/>
  <c r="BT7" i="6"/>
  <c r="BT38" i="6" s="1"/>
  <c r="C61" i="6" s="1"/>
  <c r="D78" i="5"/>
  <c r="IF46" i="5"/>
  <c r="IF49" i="5"/>
  <c r="IF52" i="5"/>
  <c r="AZ27" i="6"/>
  <c r="FU28" i="5"/>
  <c r="IF58" i="5"/>
  <c r="S31" i="6"/>
  <c r="CL32" i="5"/>
  <c r="BU38" i="6"/>
  <c r="C62" i="6" s="1"/>
  <c r="FU17" i="5"/>
  <c r="IP45" i="5"/>
  <c r="GG18" i="5"/>
  <c r="IM46" i="5"/>
  <c r="AF19" i="5"/>
  <c r="DB19" i="5"/>
  <c r="AN20" i="5"/>
  <c r="FU20" i="5"/>
  <c r="CT21" i="5"/>
  <c r="IM49" i="5"/>
  <c r="AF22" i="5"/>
  <c r="DB22" i="5"/>
  <c r="AN23" i="5"/>
  <c r="FU23" i="5"/>
  <c r="CT24" i="5"/>
  <c r="IM52" i="5"/>
  <c r="AF25" i="5"/>
  <c r="DB25" i="5"/>
  <c r="AN26" i="5"/>
  <c r="CB27" i="5"/>
  <c r="AS28" i="5"/>
  <c r="DB29" i="5"/>
  <c r="IF57" i="5"/>
  <c r="X29" i="6"/>
  <c r="Y29" i="6" s="1"/>
  <c r="BH29" i="6" s="1"/>
  <c r="DB30" i="5"/>
  <c r="AZ30" i="6"/>
  <c r="FU31" i="5"/>
  <c r="HE31" i="5"/>
  <c r="AC31" i="6"/>
  <c r="AN32" i="5"/>
  <c r="I32" i="6"/>
  <c r="AJ33" i="5"/>
  <c r="Z32" i="6"/>
  <c r="AN33" i="5"/>
  <c r="AN32" i="6"/>
  <c r="IF61" i="5"/>
  <c r="AZ33" i="6"/>
  <c r="FU34" i="5"/>
  <c r="HE34" i="5"/>
  <c r="IM43" i="5"/>
  <c r="JD39" i="5"/>
  <c r="FD18" i="5"/>
  <c r="JE46" i="5"/>
  <c r="R20" i="5"/>
  <c r="FD21" i="5"/>
  <c r="JE49" i="5"/>
  <c r="R23" i="5"/>
  <c r="FD24" i="5"/>
  <c r="JE52" i="5"/>
  <c r="R26" i="5"/>
  <c r="IF54" i="5"/>
  <c r="AF27" i="5"/>
  <c r="CX28" i="5"/>
  <c r="D30" i="6"/>
  <c r="X31" i="5"/>
  <c r="G30" i="6" s="1"/>
  <c r="AZ31" i="6"/>
  <c r="FU32" i="5"/>
  <c r="U32" i="6"/>
  <c r="CT33" i="5"/>
  <c r="FD15" i="5"/>
  <c r="JE43" i="5"/>
  <c r="HV39" i="5"/>
  <c r="HI46" i="5" s="1"/>
  <c r="JG39" i="5"/>
  <c r="AJ16" i="5"/>
  <c r="DF16" i="5"/>
  <c r="CP17" i="5"/>
  <c r="FB54" i="5"/>
  <c r="FD54" i="5" s="1"/>
  <c r="CX18" i="5"/>
  <c r="AJ19" i="5"/>
  <c r="DF19" i="5"/>
  <c r="CP20" i="5"/>
  <c r="CX21" i="5"/>
  <c r="AJ22" i="5"/>
  <c r="DF22" i="5"/>
  <c r="CP23" i="5"/>
  <c r="FB60" i="5"/>
  <c r="FD60" i="5" s="1"/>
  <c r="CX24" i="5"/>
  <c r="AJ25" i="5"/>
  <c r="DF25" i="5"/>
  <c r="CP26" i="5"/>
  <c r="AH25" i="6"/>
  <c r="IM54" i="5"/>
  <c r="I26" i="6"/>
  <c r="AJ27" i="5"/>
  <c r="HE27" i="5"/>
  <c r="IP56" i="5"/>
  <c r="CB29" i="5"/>
  <c r="JE57" i="5"/>
  <c r="X30" i="5"/>
  <c r="G29" i="6" s="1"/>
  <c r="DF30" i="5"/>
  <c r="AS33" i="5"/>
  <c r="O34" i="6"/>
  <c r="V34" i="6" s="1"/>
  <c r="CB35" i="5"/>
  <c r="IF43" i="5"/>
  <c r="CB15" i="5"/>
  <c r="JJ39" i="5"/>
  <c r="AS17" i="5"/>
  <c r="IF45" i="5"/>
  <c r="CB18" i="5"/>
  <c r="AC18" i="6"/>
  <c r="AS20" i="5"/>
  <c r="CB21" i="5"/>
  <c r="AC21" i="6"/>
  <c r="AS23" i="5"/>
  <c r="IF51" i="5"/>
  <c r="CB24" i="5"/>
  <c r="AC24" i="6"/>
  <c r="AS26" i="5"/>
  <c r="FD26" i="5"/>
  <c r="JE54" i="5"/>
  <c r="IP55" i="5"/>
  <c r="X28" i="5"/>
  <c r="G27" i="6" s="1"/>
  <c r="EN28" i="5"/>
  <c r="D29" i="6"/>
  <c r="EZ67" i="5"/>
  <c r="FB67" i="5" s="1"/>
  <c r="FD67" i="5" s="1"/>
  <c r="FD30" i="5"/>
  <c r="T33" i="6"/>
  <c r="CP34" i="5"/>
  <c r="AT34" i="6"/>
  <c r="FD35" i="5"/>
  <c r="IF44" i="5"/>
  <c r="C7" i="6"/>
  <c r="C38" i="6" s="1"/>
  <c r="N39" i="5"/>
  <c r="AC7" i="6"/>
  <c r="AT7" i="6"/>
  <c r="EQ39" i="5"/>
  <c r="AC8" i="6"/>
  <c r="AJ11" i="5"/>
  <c r="AJ12" i="5"/>
  <c r="AJ13" i="5"/>
  <c r="AJ14" i="5"/>
  <c r="AF15" i="5"/>
  <c r="DB15" i="5"/>
  <c r="IC39" i="5"/>
  <c r="JM39" i="5"/>
  <c r="AN16" i="5"/>
  <c r="IP44" i="5"/>
  <c r="CT17" i="5"/>
  <c r="IM45" i="5"/>
  <c r="AF18" i="5"/>
  <c r="DB18" i="5"/>
  <c r="IP47" i="5"/>
  <c r="IM48" i="5"/>
  <c r="IP50" i="5"/>
  <c r="IM51" i="5"/>
  <c r="IP53" i="5"/>
  <c r="CK27" i="5"/>
  <c r="FU27" i="5"/>
  <c r="AX28" i="6"/>
  <c r="GG29" i="5"/>
  <c r="AR28" i="6" s="1"/>
  <c r="AE29" i="6"/>
  <c r="HY30" i="5"/>
  <c r="CC29" i="6" s="1"/>
  <c r="DF33" i="5"/>
  <c r="X35" i="5"/>
  <c r="R35" i="5"/>
  <c r="DG35" i="5"/>
  <c r="AI36" i="6"/>
  <c r="JE62" i="5"/>
  <c r="AC29" i="6"/>
  <c r="AC32" i="6"/>
  <c r="AS34" i="5"/>
  <c r="AF35" i="5"/>
  <c r="DB35" i="5"/>
  <c r="AN36" i="5"/>
  <c r="FU36" i="5"/>
  <c r="CX37" i="5"/>
  <c r="BC36" i="6"/>
  <c r="AN38" i="5"/>
  <c r="FU38" i="5"/>
  <c r="AF19" i="6"/>
  <c r="IM60" i="5"/>
  <c r="FH62" i="5"/>
  <c r="AF24" i="6"/>
  <c r="FU30" i="5"/>
  <c r="FU33" i="5"/>
  <c r="X34" i="5"/>
  <c r="G33" i="6" s="1"/>
  <c r="FI62" i="5"/>
  <c r="R30" i="5"/>
  <c r="FD31" i="5"/>
  <c r="R33" i="5"/>
  <c r="FD34" i="5"/>
  <c r="AX33" i="6"/>
  <c r="AJ35" i="5"/>
  <c r="CP36" i="5"/>
  <c r="FB73" i="5"/>
  <c r="FD73" i="5" s="1"/>
  <c r="AF37" i="5"/>
  <c r="DB37" i="5"/>
  <c r="CP38" i="5"/>
  <c r="AW37" i="6"/>
  <c r="AY37" i="6" s="1"/>
  <c r="EZ75" i="5"/>
  <c r="G78" i="5"/>
  <c r="BB36" i="6"/>
  <c r="FA74" i="5"/>
  <c r="AK37" i="6"/>
  <c r="AF7" i="6"/>
  <c r="FI56" i="5"/>
  <c r="IM63" i="5"/>
  <c r="FH65" i="5"/>
  <c r="IM55" i="5"/>
  <c r="IP57" i="5"/>
  <c r="GG30" i="5"/>
  <c r="AR29" i="6" s="1"/>
  <c r="IP60" i="5"/>
  <c r="GG33" i="5"/>
  <c r="AR32" i="6" s="1"/>
  <c r="IM61" i="5"/>
  <c r="FD36" i="5"/>
  <c r="AX35" i="6"/>
  <c r="HY36" i="5"/>
  <c r="CC35" i="6" s="1"/>
  <c r="AC36" i="6"/>
  <c r="CK37" i="5"/>
  <c r="DG37" i="5" s="1"/>
  <c r="FD38" i="5"/>
  <c r="FH68" i="5"/>
  <c r="FH60" i="5"/>
  <c r="FH54" i="5"/>
  <c r="FI69" i="5"/>
  <c r="FI59" i="5"/>
  <c r="FH69" i="5"/>
  <c r="FI70" i="5"/>
  <c r="FI64" i="5"/>
  <c r="FI58" i="5"/>
  <c r="FI52" i="5"/>
  <c r="FH70" i="5"/>
  <c r="FH64" i="5"/>
  <c r="FH58" i="5"/>
  <c r="FH52" i="5"/>
  <c r="FI73" i="5"/>
  <c r="FI67" i="5"/>
  <c r="FI61" i="5"/>
  <c r="FI55" i="5"/>
  <c r="FH73" i="5"/>
  <c r="FH67" i="5"/>
  <c r="FH61" i="5"/>
  <c r="FH55" i="5"/>
  <c r="FH46" i="5"/>
  <c r="FH47" i="5"/>
  <c r="FI54" i="5"/>
  <c r="JE61" i="5"/>
  <c r="FI65" i="5"/>
  <c r="FI71" i="5"/>
  <c r="FH72" i="5"/>
  <c r="JE58" i="5"/>
  <c r="Y32" i="6"/>
  <c r="BH32" i="6" s="1"/>
  <c r="FD33" i="5"/>
  <c r="FB72" i="5"/>
  <c r="FD72" i="5" s="1"/>
  <c r="BC35" i="6"/>
  <c r="AN37" i="5"/>
  <c r="FU37" i="5"/>
  <c r="IF59" i="5"/>
  <c r="FH66" i="5"/>
  <c r="FI72" i="5"/>
  <c r="FB66" i="5"/>
  <c r="FD66" i="5" s="1"/>
  <c r="CX30" i="5"/>
  <c r="AJ31" i="5"/>
  <c r="DF31" i="5"/>
  <c r="CP32" i="5"/>
  <c r="CX33" i="5"/>
  <c r="AJ34" i="5"/>
  <c r="DF34" i="5"/>
  <c r="AS35" i="5"/>
  <c r="CB36" i="5"/>
  <c r="AO35" i="6"/>
  <c r="CB38" i="5"/>
  <c r="FH45" i="5"/>
  <c r="AF18" i="6"/>
  <c r="JE59" i="5"/>
  <c r="FH63" i="5"/>
  <c r="FI66" i="5"/>
  <c r="AF27" i="6"/>
  <c r="AC30" i="6"/>
  <c r="IF60" i="5"/>
  <c r="AC33" i="6"/>
  <c r="AW36" i="6"/>
  <c r="EZ74" i="5"/>
  <c r="FH51" i="5"/>
  <c r="IF62" i="5"/>
  <c r="FI63" i="5"/>
  <c r="AN31" i="5"/>
  <c r="IP59" i="5"/>
  <c r="CT32" i="5"/>
  <c r="AF33" i="5"/>
  <c r="DB33" i="5"/>
  <c r="AN34" i="5"/>
  <c r="Y34" i="6"/>
  <c r="BH34" i="6" s="1"/>
  <c r="AX34" i="6"/>
  <c r="JE63" i="5"/>
  <c r="AS37" i="5"/>
  <c r="BB37" i="6"/>
  <c r="BD37" i="6" s="1"/>
  <c r="FA75" i="5"/>
  <c r="FI51" i="5"/>
  <c r="IM62" i="5"/>
  <c r="FI68" i="5"/>
  <c r="AF37" i="6"/>
  <c r="BY38" i="6"/>
  <c r="BX42" i="6" s="1"/>
  <c r="AF16" i="6"/>
  <c r="AF22" i="6"/>
  <c r="AF30" i="6"/>
  <c r="DQ15" i="3"/>
  <c r="S27" i="6" l="1"/>
  <c r="V27" i="6" s="1"/>
  <c r="CL21" i="5"/>
  <c r="EN34" i="5"/>
  <c r="EN20" i="5"/>
  <c r="ED15" i="5"/>
  <c r="DG33" i="5"/>
  <c r="BD19" i="5"/>
  <c r="ED38" i="5"/>
  <c r="EN30" i="5"/>
  <c r="AS25" i="6"/>
  <c r="BL25" i="6" s="1"/>
  <c r="ED32" i="5"/>
  <c r="EN22" i="5"/>
  <c r="EN26" i="5"/>
  <c r="ED34" i="5"/>
  <c r="HZ73" i="5"/>
  <c r="ED10" i="5"/>
  <c r="EN9" i="5"/>
  <c r="EN35" i="5"/>
  <c r="DG38" i="5"/>
  <c r="V32" i="6"/>
  <c r="CL33" i="5"/>
  <c r="AK37" i="5"/>
  <c r="DH37" i="5" s="1"/>
  <c r="AJ16" i="6"/>
  <c r="AK16" i="6" s="1"/>
  <c r="BE38" i="6"/>
  <c r="ED26" i="5"/>
  <c r="ED20" i="5"/>
  <c r="AK25" i="6"/>
  <c r="EN25" i="5"/>
  <c r="EN14" i="5"/>
  <c r="ED35" i="5"/>
  <c r="AF25" i="6"/>
  <c r="AF38" i="6" s="1"/>
  <c r="C59" i="6" s="1"/>
  <c r="AR8" i="6"/>
  <c r="AS8" i="6" s="1"/>
  <c r="BL8" i="6" s="1"/>
  <c r="AR20" i="6"/>
  <c r="AS20" i="6" s="1"/>
  <c r="BL20" i="6" s="1"/>
  <c r="ED37" i="5"/>
  <c r="EN19" i="5"/>
  <c r="ED29" i="5"/>
  <c r="AR21" i="6"/>
  <c r="AS21" i="6" s="1"/>
  <c r="BL21" i="6" s="1"/>
  <c r="J18" i="6"/>
  <c r="N18" i="6" s="1"/>
  <c r="AR12" i="6"/>
  <c r="AS12" i="6" s="1"/>
  <c r="BL12" i="6" s="1"/>
  <c r="AR10" i="6"/>
  <c r="AS10" i="6" s="1"/>
  <c r="BL10" i="6" s="1"/>
  <c r="AR16" i="6"/>
  <c r="AS16" i="6" s="1"/>
  <c r="BL16" i="6" s="1"/>
  <c r="AR36" i="6"/>
  <c r="AS36" i="6" s="1"/>
  <c r="BL36" i="6" s="1"/>
  <c r="CL30" i="5"/>
  <c r="FL57" i="5"/>
  <c r="BF38" i="6"/>
  <c r="CL38" i="5"/>
  <c r="AK36" i="6"/>
  <c r="AO32" i="6"/>
  <c r="AR17" i="6"/>
  <c r="AS17" i="6" s="1"/>
  <c r="BL17" i="6" s="1"/>
  <c r="AR18" i="6"/>
  <c r="AS18" i="6" s="1"/>
  <c r="BL18" i="6" s="1"/>
  <c r="AR15" i="6"/>
  <c r="AS15" i="6" s="1"/>
  <c r="BL15" i="6" s="1"/>
  <c r="EN8" i="5"/>
  <c r="ED27" i="5"/>
  <c r="AR24" i="6"/>
  <c r="AS24" i="6" s="1"/>
  <c r="BL24" i="6" s="1"/>
  <c r="AR13" i="6"/>
  <c r="AS13" i="6" s="1"/>
  <c r="BL13" i="6" s="1"/>
  <c r="AR7" i="6"/>
  <c r="GG40" i="5"/>
  <c r="AR19" i="6"/>
  <c r="AS19" i="6" s="1"/>
  <c r="BL19" i="6" s="1"/>
  <c r="EN17" i="5"/>
  <c r="AR23" i="6"/>
  <c r="AS23" i="6" s="1"/>
  <c r="BL23" i="6" s="1"/>
  <c r="AR9" i="6"/>
  <c r="AS9" i="6" s="1"/>
  <c r="BL9" i="6" s="1"/>
  <c r="FM49" i="5"/>
  <c r="BB11" i="6" s="1"/>
  <c r="AQ7" i="6"/>
  <c r="AQ38" i="6" s="1"/>
  <c r="GA40" i="5"/>
  <c r="CL36" i="5"/>
  <c r="DG30" i="5"/>
  <c r="V29" i="6"/>
  <c r="DG15" i="5"/>
  <c r="AR22" i="6"/>
  <c r="AS22" i="6" s="1"/>
  <c r="BL22" i="6" s="1"/>
  <c r="EN10" i="5"/>
  <c r="ED28" i="5"/>
  <c r="FL53" i="5"/>
  <c r="AW15" i="6" s="1"/>
  <c r="AY15" i="6" s="1"/>
  <c r="FM48" i="5"/>
  <c r="BB10" i="6" s="1"/>
  <c r="BD10" i="6" s="1"/>
  <c r="AR14" i="6"/>
  <c r="AS14" i="6" s="1"/>
  <c r="BL14" i="6" s="1"/>
  <c r="AR11" i="6"/>
  <c r="AS11" i="6" s="1"/>
  <c r="BL11" i="6" s="1"/>
  <c r="EN37" i="5"/>
  <c r="BG7" i="6"/>
  <c r="BG38" i="6" s="1"/>
  <c r="CF41" i="6" s="1"/>
  <c r="EN23" i="5"/>
  <c r="EN29" i="5"/>
  <c r="EN31" i="5"/>
  <c r="ED21" i="5"/>
  <c r="ED33" i="5"/>
  <c r="EN11" i="5"/>
  <c r="ED9" i="5"/>
  <c r="AL15" i="6"/>
  <c r="AO15" i="6" s="1"/>
  <c r="EN32" i="5"/>
  <c r="AY36" i="6"/>
  <c r="ED36" i="5"/>
  <c r="EN27" i="5"/>
  <c r="FL56" i="5"/>
  <c r="AW18" i="6" s="1"/>
  <c r="AY18" i="6" s="1"/>
  <c r="AS28" i="6"/>
  <c r="AK38" i="5"/>
  <c r="DH38" i="5" s="1"/>
  <c r="AO25" i="5"/>
  <c r="CL15" i="5"/>
  <c r="JX38" i="5"/>
  <c r="JX25" i="5"/>
  <c r="AS32" i="6"/>
  <c r="AS30" i="6"/>
  <c r="AS27" i="6"/>
  <c r="BL27" i="6" s="1"/>
  <c r="ED30" i="5"/>
  <c r="ED8" i="5"/>
  <c r="ED25" i="5"/>
  <c r="HZ38" i="5"/>
  <c r="AS26" i="6"/>
  <c r="BL26" i="6" s="1"/>
  <c r="AK32" i="6"/>
  <c r="HZ25" i="5"/>
  <c r="ED23" i="5"/>
  <c r="AK29" i="6"/>
  <c r="EN38" i="5"/>
  <c r="ED31" i="5"/>
  <c r="P38" i="6"/>
  <c r="BX39" i="5"/>
  <c r="DT27" i="5"/>
  <c r="DT26" i="5"/>
  <c r="AS29" i="6"/>
  <c r="EN33" i="5"/>
  <c r="AS31" i="6"/>
  <c r="ED11" i="5"/>
  <c r="EN36" i="5"/>
  <c r="HZ75" i="5"/>
  <c r="HZ74" i="5"/>
  <c r="BH37" i="6"/>
  <c r="AS35" i="6"/>
  <c r="BL35" i="6" s="1"/>
  <c r="B37" i="6"/>
  <c r="DG36" i="5"/>
  <c r="AS34" i="6"/>
  <c r="BL34" i="6" s="1"/>
  <c r="AS33" i="6"/>
  <c r="JX28" i="5"/>
  <c r="FJ63" i="5"/>
  <c r="FL63" i="5" s="1"/>
  <c r="AW25" i="6" s="1"/>
  <c r="AY25" i="6" s="1"/>
  <c r="DG26" i="5"/>
  <c r="CL26" i="5"/>
  <c r="J24" i="6"/>
  <c r="N24" i="6" s="1"/>
  <c r="EG39" i="5"/>
  <c r="JX37" i="5"/>
  <c r="AL12" i="6"/>
  <c r="AO12" i="6" s="1"/>
  <c r="ED13" i="5"/>
  <c r="CC8" i="6"/>
  <c r="JX9" i="5"/>
  <c r="ED19" i="5"/>
  <c r="EC39" i="5"/>
  <c r="HZ35" i="5"/>
  <c r="CC34" i="6"/>
  <c r="HZ72" i="5" s="1"/>
  <c r="EN12" i="5"/>
  <c r="JX35" i="5"/>
  <c r="ED24" i="5"/>
  <c r="BD36" i="6"/>
  <c r="CC10" i="6"/>
  <c r="JX11" i="5"/>
  <c r="CE7" i="5"/>
  <c r="CF8" i="5" s="1"/>
  <c r="Q7" i="6" s="1"/>
  <c r="FB74" i="5"/>
  <c r="FD74" i="5" s="1"/>
  <c r="FB75" i="5"/>
  <c r="FD75" i="5" s="1"/>
  <c r="EN18" i="5"/>
  <c r="JX36" i="5"/>
  <c r="JX32" i="5"/>
  <c r="BA38" i="6"/>
  <c r="CL23" i="5"/>
  <c r="DF39" i="5"/>
  <c r="DG21" i="5"/>
  <c r="AO17" i="6"/>
  <c r="EN21" i="5"/>
  <c r="FM47" i="5"/>
  <c r="BB9" i="6" s="1"/>
  <c r="BD9" i="6" s="1"/>
  <c r="ED22" i="5"/>
  <c r="CC9" i="6"/>
  <c r="JX10" i="5"/>
  <c r="ED18" i="5"/>
  <c r="DG23" i="5"/>
  <c r="ED12" i="5"/>
  <c r="HZ37" i="5"/>
  <c r="ED14" i="5"/>
  <c r="AO20" i="6"/>
  <c r="EN24" i="5"/>
  <c r="ED16" i="5"/>
  <c r="JX33" i="5"/>
  <c r="CL24" i="5"/>
  <c r="DG24" i="5"/>
  <c r="AK25" i="5"/>
  <c r="DH25" i="5" s="1"/>
  <c r="JX24" i="5"/>
  <c r="CC23" i="6"/>
  <c r="HZ61" i="5" s="1"/>
  <c r="HZ24" i="5"/>
  <c r="JX23" i="5"/>
  <c r="CC22" i="6"/>
  <c r="HZ60" i="5" s="1"/>
  <c r="AK23" i="5"/>
  <c r="DH23" i="5" s="1"/>
  <c r="JX22" i="5"/>
  <c r="CC21" i="6"/>
  <c r="HZ59" i="5" s="1"/>
  <c r="HZ22" i="5"/>
  <c r="JX21" i="5"/>
  <c r="CC20" i="6"/>
  <c r="HZ58" i="5" s="1"/>
  <c r="JX20" i="5"/>
  <c r="CC19" i="6"/>
  <c r="HZ57" i="5" s="1"/>
  <c r="HZ20" i="5"/>
  <c r="CL18" i="5"/>
  <c r="DG20" i="5"/>
  <c r="JX19" i="5"/>
  <c r="CC18" i="6"/>
  <c r="HZ56" i="5" s="1"/>
  <c r="JX18" i="5"/>
  <c r="CC17" i="6"/>
  <c r="HZ55" i="5" s="1"/>
  <c r="V17" i="6"/>
  <c r="DG18" i="5"/>
  <c r="JX16" i="5"/>
  <c r="CC15" i="6"/>
  <c r="HZ53" i="5" s="1"/>
  <c r="JX17" i="5"/>
  <c r="CC16" i="6"/>
  <c r="HZ54" i="5" s="1"/>
  <c r="HZ16" i="5"/>
  <c r="CL17" i="5"/>
  <c r="S16" i="6"/>
  <c r="V16" i="6" s="1"/>
  <c r="BD11" i="6"/>
  <c r="JX15" i="5"/>
  <c r="CC14" i="6"/>
  <c r="HZ52" i="5" s="1"/>
  <c r="CL14" i="5"/>
  <c r="DG14" i="5"/>
  <c r="AS37" i="6"/>
  <c r="BL37" i="6" s="1"/>
  <c r="V14" i="6"/>
  <c r="Y13" i="6"/>
  <c r="BH13" i="6" s="1"/>
  <c r="V13" i="6"/>
  <c r="AO13" i="5"/>
  <c r="BD13" i="5"/>
  <c r="CC11" i="6"/>
  <c r="JX12" i="5"/>
  <c r="CC12" i="6"/>
  <c r="JX13" i="5"/>
  <c r="FJ49" i="5"/>
  <c r="FL49" i="5" s="1"/>
  <c r="AW11" i="6" s="1"/>
  <c r="AY11" i="6" s="1"/>
  <c r="IM58" i="5"/>
  <c r="IO39" i="5"/>
  <c r="HJ45" i="5" s="1"/>
  <c r="FJ48" i="5"/>
  <c r="FL48" i="5" s="1"/>
  <c r="G9" i="6"/>
  <c r="FJ47" i="5"/>
  <c r="FL47" i="5" s="1"/>
  <c r="DG10" i="5"/>
  <c r="CL10" i="5"/>
  <c r="AX38" i="6"/>
  <c r="FK53" i="5"/>
  <c r="FM53" i="5" s="1"/>
  <c r="BB15" i="6" s="1"/>
  <c r="BD15" i="6" s="1"/>
  <c r="FJ51" i="5"/>
  <c r="FL51" i="5" s="1"/>
  <c r="AW13" i="6" s="1"/>
  <c r="AY13" i="6" s="1"/>
  <c r="FJ68" i="5"/>
  <c r="FL68" i="5" s="1"/>
  <c r="AW30" i="6" s="1"/>
  <c r="AY30" i="6" s="1"/>
  <c r="FM63" i="5"/>
  <c r="BB25" i="6" s="1"/>
  <c r="BD25" i="6" s="1"/>
  <c r="FK56" i="5"/>
  <c r="FM56" i="5" s="1"/>
  <c r="BB18" i="6" s="1"/>
  <c r="BD18" i="6" s="1"/>
  <c r="FK57" i="5"/>
  <c r="FM57" i="5" s="1"/>
  <c r="BB19" i="6" s="1"/>
  <c r="BD19" i="6" s="1"/>
  <c r="FJ71" i="5"/>
  <c r="FL71" i="5" s="1"/>
  <c r="AW33" i="6" s="1"/>
  <c r="AY33" i="6" s="1"/>
  <c r="FJ62" i="5"/>
  <c r="FL62" i="5" s="1"/>
  <c r="FM62" i="5"/>
  <c r="BB24" i="6" s="1"/>
  <c r="BD24" i="6" s="1"/>
  <c r="FM51" i="5"/>
  <c r="BB13" i="6" s="1"/>
  <c r="BD13" i="6" s="1"/>
  <c r="FM71" i="5"/>
  <c r="BB33" i="6" s="1"/>
  <c r="BD33" i="6" s="1"/>
  <c r="HZ32" i="5"/>
  <c r="HZ17" i="5"/>
  <c r="HZ36" i="5"/>
  <c r="HZ69" i="5"/>
  <c r="CX39" i="5"/>
  <c r="CL20" i="5"/>
  <c r="BD22" i="5"/>
  <c r="AO9" i="5"/>
  <c r="AO11" i="5"/>
  <c r="J8" i="6"/>
  <c r="N8" i="6" s="1"/>
  <c r="BD11" i="5"/>
  <c r="J21" i="6"/>
  <c r="N21" i="6" s="1"/>
  <c r="BD35" i="5"/>
  <c r="AO35" i="5"/>
  <c r="N12" i="6"/>
  <c r="AK9" i="5"/>
  <c r="DH9" i="5" s="1"/>
  <c r="AK32" i="5"/>
  <c r="DH32" i="5" s="1"/>
  <c r="AK15" i="5"/>
  <c r="DH15" i="5" s="1"/>
  <c r="AK21" i="5"/>
  <c r="DH21" i="5" s="1"/>
  <c r="AK20" i="5"/>
  <c r="DH20" i="5" s="1"/>
  <c r="AK36" i="5"/>
  <c r="DH36" i="5" s="1"/>
  <c r="AK17" i="5"/>
  <c r="DH17" i="5" s="1"/>
  <c r="AK18" i="5"/>
  <c r="DH18" i="5" s="1"/>
  <c r="AK33" i="5"/>
  <c r="DH33" i="5" s="1"/>
  <c r="AK26" i="5"/>
  <c r="DH26" i="5" s="1"/>
  <c r="AK30" i="5"/>
  <c r="DH30" i="5" s="1"/>
  <c r="AK19" i="5"/>
  <c r="DH19" i="5" s="1"/>
  <c r="AK14" i="5"/>
  <c r="DH14" i="5" s="1"/>
  <c r="AK34" i="5"/>
  <c r="DH34" i="5" s="1"/>
  <c r="AK22" i="5"/>
  <c r="DH22" i="5" s="1"/>
  <c r="AK13" i="5"/>
  <c r="DH13" i="5" s="1"/>
  <c r="N10" i="6"/>
  <c r="AK12" i="5"/>
  <c r="DH12" i="5" s="1"/>
  <c r="AK24" i="5"/>
  <c r="DH24" i="5" s="1"/>
  <c r="AK27" i="5"/>
  <c r="DH27" i="5" s="1"/>
  <c r="AK28" i="5"/>
  <c r="DH28" i="5" s="1"/>
  <c r="HJ44" i="5"/>
  <c r="HJ46" i="5"/>
  <c r="HZ65" i="5"/>
  <c r="HZ70" i="5"/>
  <c r="AV38" i="6"/>
  <c r="AJ39" i="5"/>
  <c r="CB38" i="6"/>
  <c r="BX45" i="6" s="1"/>
  <c r="R39" i="5"/>
  <c r="BC38" i="6"/>
  <c r="AF39" i="5"/>
  <c r="AI38" i="6"/>
  <c r="FU39" i="5"/>
  <c r="AS39" i="5"/>
  <c r="AW19" i="6"/>
  <c r="AY19" i="6" s="1"/>
  <c r="HJ43" i="5"/>
  <c r="HI43" i="5"/>
  <c r="J14" i="6"/>
  <c r="N14" i="6" s="1"/>
  <c r="BD15" i="5"/>
  <c r="AO15" i="5"/>
  <c r="J33" i="6"/>
  <c r="N33" i="6" s="1"/>
  <c r="BD34" i="5"/>
  <c r="AO34" i="5"/>
  <c r="FK66" i="5"/>
  <c r="FM66" i="5" s="1"/>
  <c r="BB28" i="6" s="1"/>
  <c r="BD28" i="6" s="1"/>
  <c r="FJ66" i="5"/>
  <c r="FL66" i="5" s="1"/>
  <c r="BL27" i="5"/>
  <c r="BL28" i="5"/>
  <c r="FK54" i="5"/>
  <c r="FM54" i="5" s="1"/>
  <c r="BB16" i="6" s="1"/>
  <c r="BD16" i="6" s="1"/>
  <c r="FJ54" i="5"/>
  <c r="FL54" i="5" s="1"/>
  <c r="S15" i="6"/>
  <c r="V15" i="6" s="1"/>
  <c r="CL16" i="5"/>
  <c r="AZ38" i="6"/>
  <c r="J36" i="6"/>
  <c r="N36" i="6" s="1"/>
  <c r="AO37" i="5"/>
  <c r="BD37" i="5"/>
  <c r="J23" i="6"/>
  <c r="N23" i="6" s="1"/>
  <c r="BD24" i="5"/>
  <c r="AO24" i="5"/>
  <c r="FK70" i="5"/>
  <c r="FM70" i="5" s="1"/>
  <c r="BB32" i="6" s="1"/>
  <c r="BD32" i="6" s="1"/>
  <c r="FJ70" i="5"/>
  <c r="FL70" i="5" s="1"/>
  <c r="HZ71" i="5"/>
  <c r="J31" i="6"/>
  <c r="N31" i="6" s="1"/>
  <c r="AO32" i="5"/>
  <c r="BD32" i="5"/>
  <c r="J19" i="6"/>
  <c r="N19" i="6" s="1"/>
  <c r="AO20" i="5"/>
  <c r="BD20" i="5"/>
  <c r="J29" i="6"/>
  <c r="N29" i="6" s="1"/>
  <c r="BD30" i="5"/>
  <c r="AO30" i="5"/>
  <c r="H38" i="6"/>
  <c r="U38" i="6"/>
  <c r="FM68" i="5"/>
  <c r="BB30" i="6" s="1"/>
  <c r="BD30" i="6" s="1"/>
  <c r="J35" i="6"/>
  <c r="N35" i="6" s="1"/>
  <c r="BD36" i="5"/>
  <c r="AO36" i="5"/>
  <c r="FJ69" i="5"/>
  <c r="FL69" i="5" s="1"/>
  <c r="FK69" i="5"/>
  <c r="FM69" i="5" s="1"/>
  <c r="BB31" i="6" s="1"/>
  <c r="BD31" i="6" s="1"/>
  <c r="FK52" i="5"/>
  <c r="FM52" i="5" s="1"/>
  <c r="BB14" i="6" s="1"/>
  <c r="BD14" i="6" s="1"/>
  <c r="FJ52" i="5"/>
  <c r="FL52" i="5" s="1"/>
  <c r="AK7" i="6"/>
  <c r="AH38" i="6"/>
  <c r="S21" i="6"/>
  <c r="V21" i="6" s="1"/>
  <c r="CL22" i="5"/>
  <c r="FK72" i="5"/>
  <c r="FM72" i="5" s="1"/>
  <c r="BB34" i="6" s="1"/>
  <c r="BD34" i="6" s="1"/>
  <c r="FJ72" i="5"/>
  <c r="FL72" i="5" s="1"/>
  <c r="AK29" i="5"/>
  <c r="DH29" i="5" s="1"/>
  <c r="AK16" i="5"/>
  <c r="DH16" i="5" s="1"/>
  <c r="FB55" i="5"/>
  <c r="FD55" i="5" s="1"/>
  <c r="CP39" i="5"/>
  <c r="B7" i="6"/>
  <c r="G39" i="5"/>
  <c r="HE8" i="5"/>
  <c r="T38" i="6"/>
  <c r="DA28" i="5"/>
  <c r="DA27" i="5"/>
  <c r="S28" i="6"/>
  <c r="V28" i="6" s="1"/>
  <c r="CL29" i="5"/>
  <c r="W38" i="6"/>
  <c r="Y7" i="6"/>
  <c r="BH7" i="6" s="1"/>
  <c r="D38" i="6"/>
  <c r="J37" i="6"/>
  <c r="N37" i="6" s="1"/>
  <c r="BD38" i="5"/>
  <c r="AO38" i="5"/>
  <c r="S26" i="6"/>
  <c r="V26" i="6" s="1"/>
  <c r="CL27" i="5"/>
  <c r="FK60" i="5"/>
  <c r="FM60" i="5" s="1"/>
  <c r="BB22" i="6" s="1"/>
  <c r="BD22" i="6" s="1"/>
  <c r="FJ60" i="5"/>
  <c r="FL60" i="5" s="1"/>
  <c r="J22" i="6"/>
  <c r="N22" i="6" s="1"/>
  <c r="AO23" i="5"/>
  <c r="BD23" i="5"/>
  <c r="J28" i="6"/>
  <c r="N28" i="6" s="1"/>
  <c r="BD29" i="5"/>
  <c r="AO29" i="5"/>
  <c r="I38" i="6"/>
  <c r="FK46" i="5"/>
  <c r="FM46" i="5" s="1"/>
  <c r="BB8" i="6" s="1"/>
  <c r="BD8" i="6" s="1"/>
  <c r="FJ46" i="5"/>
  <c r="FL46" i="5" s="1"/>
  <c r="S7" i="6"/>
  <c r="CK39" i="5"/>
  <c r="CL8" i="5"/>
  <c r="FD39" i="5"/>
  <c r="J9" i="6"/>
  <c r="BD10" i="5"/>
  <c r="AO10" i="5"/>
  <c r="FK73" i="5"/>
  <c r="FM73" i="5" s="1"/>
  <c r="BB35" i="6" s="1"/>
  <c r="BD35" i="6" s="1"/>
  <c r="FJ73" i="5"/>
  <c r="FL73" i="5" s="1"/>
  <c r="HZ33" i="5"/>
  <c r="S33" i="6"/>
  <c r="V33" i="6" s="1"/>
  <c r="CL34" i="5"/>
  <c r="FK50" i="5"/>
  <c r="FM50" i="5" s="1"/>
  <c r="BB12" i="6" s="1"/>
  <c r="BD12" i="6" s="1"/>
  <c r="FJ50" i="5"/>
  <c r="FL50" i="5" s="1"/>
  <c r="Z38" i="6"/>
  <c r="C55" i="6" s="1"/>
  <c r="FB58" i="5"/>
  <c r="FD58" i="5" s="1"/>
  <c r="S11" i="6"/>
  <c r="CL12" i="5"/>
  <c r="FB61" i="5"/>
  <c r="FD61" i="5" s="1"/>
  <c r="S30" i="6"/>
  <c r="V30" i="6" s="1"/>
  <c r="CL31" i="5"/>
  <c r="AO7" i="6"/>
  <c r="S8" i="6"/>
  <c r="CL9" i="5"/>
  <c r="J17" i="6"/>
  <c r="N17" i="6" s="1"/>
  <c r="BD18" i="5"/>
  <c r="AO18" i="5"/>
  <c r="FK65" i="5"/>
  <c r="FM65" i="5" s="1"/>
  <c r="BB27" i="6" s="1"/>
  <c r="BD27" i="6" s="1"/>
  <c r="FJ65" i="5"/>
  <c r="FL65" i="5" s="1"/>
  <c r="FJ59" i="5"/>
  <c r="FL59" i="5" s="1"/>
  <c r="FK59" i="5"/>
  <c r="FM59" i="5" s="1"/>
  <c r="BB21" i="6" s="1"/>
  <c r="BD21" i="6" s="1"/>
  <c r="S24" i="6"/>
  <c r="V24" i="6" s="1"/>
  <c r="CL25" i="5"/>
  <c r="FM39" i="5"/>
  <c r="HZ62" i="5"/>
  <c r="O38" i="6"/>
  <c r="S12" i="6"/>
  <c r="CL13" i="5"/>
  <c r="HC39" i="5"/>
  <c r="HE15" i="5"/>
  <c r="AU38" i="6"/>
  <c r="FK67" i="5"/>
  <c r="FM67" i="5" s="1"/>
  <c r="BB29" i="6" s="1"/>
  <c r="BD29" i="6" s="1"/>
  <c r="FJ67" i="5"/>
  <c r="FL67" i="5" s="1"/>
  <c r="FK64" i="5"/>
  <c r="FM64" i="5" s="1"/>
  <c r="BB26" i="6" s="1"/>
  <c r="BD26" i="6" s="1"/>
  <c r="FJ64" i="5"/>
  <c r="FL64" i="5" s="1"/>
  <c r="G7" i="6"/>
  <c r="X39" i="5"/>
  <c r="J30" i="6"/>
  <c r="N30" i="6" s="1"/>
  <c r="BD31" i="5"/>
  <c r="AO31" i="5"/>
  <c r="J15" i="6"/>
  <c r="N15" i="6" s="1"/>
  <c r="BD16" i="5"/>
  <c r="AO16" i="5"/>
  <c r="J20" i="6"/>
  <c r="N20" i="6" s="1"/>
  <c r="BD21" i="5"/>
  <c r="AO21" i="5"/>
  <c r="J13" i="6"/>
  <c r="N13" i="6" s="1"/>
  <c r="BD14" i="5"/>
  <c r="AO14" i="5"/>
  <c r="AK8" i="5"/>
  <c r="J16" i="6"/>
  <c r="N16" i="6" s="1"/>
  <c r="AO17" i="5"/>
  <c r="BD17" i="5"/>
  <c r="AK11" i="5"/>
  <c r="DH11" i="5" s="1"/>
  <c r="CT39" i="5"/>
  <c r="S10" i="6"/>
  <c r="CL11" i="5"/>
  <c r="FB45" i="5"/>
  <c r="FD45" i="5" s="1"/>
  <c r="S36" i="6"/>
  <c r="V36" i="6" s="1"/>
  <c r="CL37" i="5"/>
  <c r="G34" i="6"/>
  <c r="N34" i="6" s="1"/>
  <c r="AK35" i="5"/>
  <c r="DH35" i="5" s="1"/>
  <c r="AT38" i="6"/>
  <c r="AK31" i="5"/>
  <c r="DH31" i="5" s="1"/>
  <c r="J32" i="6"/>
  <c r="N32" i="6" s="1"/>
  <c r="BD33" i="5"/>
  <c r="AO33" i="5"/>
  <c r="J25" i="6"/>
  <c r="N25" i="6" s="1"/>
  <c r="AO26" i="5"/>
  <c r="BD26" i="5"/>
  <c r="HZ28" i="5"/>
  <c r="V31" i="6"/>
  <c r="AN38" i="6"/>
  <c r="J11" i="6"/>
  <c r="N11" i="6" s="1"/>
  <c r="BD12" i="5"/>
  <c r="AO12" i="5"/>
  <c r="K38" i="6"/>
  <c r="J7" i="6"/>
  <c r="BD8" i="5"/>
  <c r="AO8" i="5"/>
  <c r="S18" i="6"/>
  <c r="V18" i="6" s="1"/>
  <c r="CL19" i="5"/>
  <c r="AJ38" i="6" l="1"/>
  <c r="GU20" i="5"/>
  <c r="FN48" i="5"/>
  <c r="GU16" i="5"/>
  <c r="GU34" i="5"/>
  <c r="AS7" i="6"/>
  <c r="AS38" i="6" s="1"/>
  <c r="CF40" i="6" s="1"/>
  <c r="GU37" i="5"/>
  <c r="GU14" i="5"/>
  <c r="GU19" i="5"/>
  <c r="AL38" i="6"/>
  <c r="GU38" i="5"/>
  <c r="BQ30" i="6"/>
  <c r="BS32" i="6"/>
  <c r="BS31" i="6"/>
  <c r="BQ29" i="6"/>
  <c r="BQ28" i="6"/>
  <c r="AR38" i="6"/>
  <c r="AK38" i="6"/>
  <c r="C47" i="6" s="1"/>
  <c r="ED39" i="5"/>
  <c r="BL33" i="6"/>
  <c r="HY27" i="5"/>
  <c r="AE26" i="6"/>
  <c r="AG26" i="6" s="1"/>
  <c r="EN39" i="5"/>
  <c r="AE25" i="6"/>
  <c r="DT39" i="5"/>
  <c r="HY26" i="5"/>
  <c r="FK75" i="5"/>
  <c r="FM75" i="5" s="1"/>
  <c r="FJ75" i="5"/>
  <c r="FL75" i="5" s="1"/>
  <c r="FJ74" i="5"/>
  <c r="FL74" i="5" s="1"/>
  <c r="FK74" i="5"/>
  <c r="FM74" i="5" s="1"/>
  <c r="V7" i="6"/>
  <c r="AO38" i="6"/>
  <c r="C48" i="6" s="1"/>
  <c r="FN47" i="5"/>
  <c r="FN63" i="5"/>
  <c r="FN53" i="5"/>
  <c r="FN49" i="5"/>
  <c r="AW10" i="6"/>
  <c r="AY10" i="6" s="1"/>
  <c r="N9" i="6"/>
  <c r="BM38" i="6"/>
  <c r="AW24" i="6"/>
  <c r="AY24" i="6" s="1"/>
  <c r="GU25" i="5" s="1"/>
  <c r="FN62" i="5"/>
  <c r="FN57" i="5"/>
  <c r="FN51" i="5"/>
  <c r="FN56" i="5"/>
  <c r="FN71" i="5"/>
  <c r="HZ49" i="5"/>
  <c r="HZ50" i="5"/>
  <c r="CL39" i="5"/>
  <c r="AW9" i="6"/>
  <c r="AY9" i="6" s="1"/>
  <c r="FN68" i="5"/>
  <c r="N7" i="6"/>
  <c r="HZ48" i="5"/>
  <c r="AW29" i="6"/>
  <c r="AY29" i="6" s="1"/>
  <c r="FN67" i="5"/>
  <c r="AW8" i="6"/>
  <c r="AY8" i="6" s="1"/>
  <c r="FN46" i="5"/>
  <c r="AW31" i="6"/>
  <c r="AY31" i="6" s="1"/>
  <c r="GU32" i="5" s="1"/>
  <c r="FN69" i="5"/>
  <c r="FN65" i="5"/>
  <c r="AW27" i="6"/>
  <c r="AY27" i="6" s="1"/>
  <c r="AW34" i="6"/>
  <c r="AY34" i="6" s="1"/>
  <c r="GU35" i="5" s="1"/>
  <c r="FN72" i="5"/>
  <c r="AW32" i="6"/>
  <c r="AY32" i="6" s="1"/>
  <c r="GU33" i="5" s="1"/>
  <c r="FN70" i="5"/>
  <c r="AW14" i="6"/>
  <c r="AY14" i="6" s="1"/>
  <c r="GU15" i="5" s="1"/>
  <c r="FN52" i="5"/>
  <c r="FJ45" i="5"/>
  <c r="FL45" i="5" s="1"/>
  <c r="FK45" i="5"/>
  <c r="FM45" i="5" s="1"/>
  <c r="BB7" i="6" s="1"/>
  <c r="S38" i="6"/>
  <c r="AW35" i="6"/>
  <c r="AY35" i="6" s="1"/>
  <c r="GU36" i="5" s="1"/>
  <c r="FN73" i="5"/>
  <c r="AW26" i="6"/>
  <c r="AY26" i="6" s="1"/>
  <c r="FN64" i="5"/>
  <c r="HZ13" i="5"/>
  <c r="HZ12" i="5"/>
  <c r="HE39" i="5"/>
  <c r="AW28" i="6"/>
  <c r="AY28" i="6" s="1"/>
  <c r="FN66" i="5"/>
  <c r="HZ11" i="5"/>
  <c r="AC27" i="6"/>
  <c r="AN28" i="5"/>
  <c r="AW22" i="6"/>
  <c r="AY22" i="6" s="1"/>
  <c r="GU23" i="5" s="1"/>
  <c r="FN60" i="5"/>
  <c r="X26" i="6"/>
  <c r="DB27" i="5"/>
  <c r="DG27" i="5"/>
  <c r="DA39" i="5"/>
  <c r="B38" i="6"/>
  <c r="C42" i="6" s="1"/>
  <c r="AC26" i="6"/>
  <c r="AN27" i="5"/>
  <c r="BL39" i="5"/>
  <c r="FJ61" i="5"/>
  <c r="FL61" i="5" s="1"/>
  <c r="FK61" i="5"/>
  <c r="FM61" i="5" s="1"/>
  <c r="BB23" i="6" s="1"/>
  <c r="BD23" i="6" s="1"/>
  <c r="AW16" i="6"/>
  <c r="AY16" i="6" s="1"/>
  <c r="GU17" i="5" s="1"/>
  <c r="FN54" i="5"/>
  <c r="AW12" i="6"/>
  <c r="AY12" i="6" s="1"/>
  <c r="FN50" i="5"/>
  <c r="G38" i="6"/>
  <c r="FK55" i="5"/>
  <c r="FM55" i="5" s="1"/>
  <c r="BB17" i="6" s="1"/>
  <c r="BD17" i="6" s="1"/>
  <c r="FJ55" i="5"/>
  <c r="FL55" i="5" s="1"/>
  <c r="X27" i="6"/>
  <c r="Y27" i="6" s="1"/>
  <c r="BH27" i="6" s="1"/>
  <c r="DB28" i="5"/>
  <c r="DG28" i="5"/>
  <c r="FK58" i="5"/>
  <c r="FM58" i="5" s="1"/>
  <c r="BB20" i="6" s="1"/>
  <c r="BD20" i="6" s="1"/>
  <c r="FJ58" i="5"/>
  <c r="FL58" i="5" s="1"/>
  <c r="AK39" i="5"/>
  <c r="DH8" i="5"/>
  <c r="DH39" i="5" s="1"/>
  <c r="AW21" i="6"/>
  <c r="AY21" i="6" s="1"/>
  <c r="GU22" i="5" s="1"/>
  <c r="FN59" i="5"/>
  <c r="BO38" i="6"/>
  <c r="HV35" i="3"/>
  <c r="HS35" i="3"/>
  <c r="HP35" i="3"/>
  <c r="DT78" i="3"/>
  <c r="DR78" i="3"/>
  <c r="BL7" i="6" l="1"/>
  <c r="C51" i="6"/>
  <c r="BS38" i="6"/>
  <c r="BQ38" i="6"/>
  <c r="BL38" i="6"/>
  <c r="CI40" i="6" s="1"/>
  <c r="AG25" i="6"/>
  <c r="GU26" i="5" s="1"/>
  <c r="AE38" i="6"/>
  <c r="C58" i="6" s="1"/>
  <c r="CC25" i="6"/>
  <c r="JX26" i="5"/>
  <c r="HY39" i="5"/>
  <c r="HZ26" i="5"/>
  <c r="FN75" i="5"/>
  <c r="CC26" i="6"/>
  <c r="HZ64" i="5" s="1"/>
  <c r="HZ27" i="5"/>
  <c r="JX27" i="5"/>
  <c r="FN74" i="5"/>
  <c r="AC38" i="6"/>
  <c r="C56" i="6" s="1"/>
  <c r="HZ14" i="5"/>
  <c r="AW7" i="6"/>
  <c r="FN45" i="5"/>
  <c r="BB38" i="6"/>
  <c r="BD7" i="6"/>
  <c r="BD38" i="6" s="1"/>
  <c r="C50" i="6" s="1"/>
  <c r="J27" i="6"/>
  <c r="N27" i="6" s="1"/>
  <c r="GU28" i="5" s="1"/>
  <c r="BD28" i="5"/>
  <c r="AO28" i="5"/>
  <c r="DB39" i="5"/>
  <c r="Y26" i="6"/>
  <c r="BH26" i="6" s="1"/>
  <c r="X38" i="6"/>
  <c r="J26" i="6"/>
  <c r="BD27" i="5"/>
  <c r="AO27" i="5"/>
  <c r="AN39" i="5"/>
  <c r="HZ47" i="5"/>
  <c r="DG39" i="5"/>
  <c r="AW20" i="6"/>
  <c r="AY20" i="6" s="1"/>
  <c r="GU21" i="5" s="1"/>
  <c r="FN58" i="5"/>
  <c r="HZ51" i="5"/>
  <c r="HZ10" i="5"/>
  <c r="AW23" i="6"/>
  <c r="AY23" i="6" s="1"/>
  <c r="GU24" i="5" s="1"/>
  <c r="FN61" i="5"/>
  <c r="HZ9" i="5"/>
  <c r="AW17" i="6"/>
  <c r="AY17" i="6" s="1"/>
  <c r="GU18" i="5" s="1"/>
  <c r="FN55" i="5"/>
  <c r="HZ46" i="5"/>
  <c r="L82" i="3"/>
  <c r="AE51" i="6" l="1"/>
  <c r="CI41" i="6"/>
  <c r="C52" i="6"/>
  <c r="HI47" i="5"/>
  <c r="HJ47" i="5"/>
  <c r="HZ63" i="5"/>
  <c r="CC38" i="6"/>
  <c r="BX46" i="6" s="1"/>
  <c r="CA38" i="6"/>
  <c r="BX44" i="6" s="1"/>
  <c r="HS39" i="5"/>
  <c r="HI45" i="5" s="1"/>
  <c r="AO39" i="5"/>
  <c r="BH38" i="6"/>
  <c r="CI39" i="6" s="1"/>
  <c r="CI42" i="6" s="1"/>
  <c r="Y38" i="6"/>
  <c r="BD39" i="5"/>
  <c r="BZ38" i="6"/>
  <c r="BX43" i="6" s="1"/>
  <c r="HP39" i="5"/>
  <c r="HI44" i="5" s="1"/>
  <c r="HZ8" i="5"/>
  <c r="N26" i="6"/>
  <c r="GU27" i="5" s="1"/>
  <c r="J38" i="6"/>
  <c r="AW38" i="6"/>
  <c r="AY7" i="6"/>
  <c r="GU8" i="5" s="1"/>
  <c r="L81" i="3"/>
  <c r="C46" i="6" l="1"/>
  <c r="CF39" i="6"/>
  <c r="CF42" i="6" s="1"/>
  <c r="HZ45" i="5"/>
  <c r="AY38" i="6"/>
  <c r="C49" i="6" s="1"/>
  <c r="N38" i="6"/>
  <c r="C44" i="6" s="1"/>
  <c r="H82" i="3"/>
  <c r="H81" i="3"/>
  <c r="HV16" i="3" l="1"/>
  <c r="HV17" i="3"/>
  <c r="HV18" i="3"/>
  <c r="HV19" i="3"/>
  <c r="HV20" i="3"/>
  <c r="HV21" i="3"/>
  <c r="HV22" i="3"/>
  <c r="HV23" i="3"/>
  <c r="HV24" i="3"/>
  <c r="HV25" i="3"/>
  <c r="HV26" i="3"/>
  <c r="HV27" i="3"/>
  <c r="HV28" i="3"/>
  <c r="HV29" i="3"/>
  <c r="HV30" i="3"/>
  <c r="HV31" i="3"/>
  <c r="HV32" i="3"/>
  <c r="HV33" i="3"/>
  <c r="HV34" i="3"/>
  <c r="HV15" i="3"/>
  <c r="HS16" i="3"/>
  <c r="HS17" i="3"/>
  <c r="HS18" i="3"/>
  <c r="HS19" i="3"/>
  <c r="HS20" i="3"/>
  <c r="HS21" i="3"/>
  <c r="HS22" i="3"/>
  <c r="HS23" i="3"/>
  <c r="HS24" i="3"/>
  <c r="HS25" i="3"/>
  <c r="HS26" i="3"/>
  <c r="HS27" i="3"/>
  <c r="HS28" i="3"/>
  <c r="HS29" i="3"/>
  <c r="HS30" i="3"/>
  <c r="HS31" i="3"/>
  <c r="HS32" i="3"/>
  <c r="HS33" i="3"/>
  <c r="HS34" i="3"/>
  <c r="HP34" i="3"/>
  <c r="HP33" i="3"/>
  <c r="HP18" i="3"/>
  <c r="HP19" i="3"/>
  <c r="HP20" i="3"/>
  <c r="HP21" i="3"/>
  <c r="HP22" i="3"/>
  <c r="HP23" i="3"/>
  <c r="HP24" i="3"/>
  <c r="HP25" i="3"/>
  <c r="HP26" i="3"/>
  <c r="HP27" i="3"/>
  <c r="HP28" i="3"/>
  <c r="HP29" i="3"/>
  <c r="HP30" i="3"/>
  <c r="HP31" i="3"/>
  <c r="HP32" i="3"/>
  <c r="HP17" i="3"/>
  <c r="HP16" i="3"/>
  <c r="HP15" i="3"/>
  <c r="HS15" i="3"/>
  <c r="IB46" i="3"/>
  <c r="IB47" i="3"/>
  <c r="IB48" i="3"/>
  <c r="IB49" i="3"/>
  <c r="IB50" i="3"/>
  <c r="IB51" i="3"/>
  <c r="IB52" i="3"/>
  <c r="IB53" i="3"/>
  <c r="IB54" i="3"/>
  <c r="IB55" i="3"/>
  <c r="IB56" i="3"/>
  <c r="IB57" i="3"/>
  <c r="IB58" i="3"/>
  <c r="IB59" i="3"/>
  <c r="IB60" i="3"/>
  <c r="IB61" i="3"/>
  <c r="IB62" i="3"/>
  <c r="IB63" i="3"/>
  <c r="IB64" i="3"/>
  <c r="IB65" i="3"/>
  <c r="IB66" i="3"/>
  <c r="IB67" i="3"/>
  <c r="IB68" i="3"/>
  <c r="IB69" i="3"/>
  <c r="IB70" i="3"/>
  <c r="IB71" i="3"/>
  <c r="IB72" i="3"/>
  <c r="IB73" i="3"/>
  <c r="IB45" i="3"/>
  <c r="AB34" i="3"/>
  <c r="FJ33" i="3" l="1"/>
  <c r="DR73" i="3" l="1"/>
  <c r="IO22" i="3" l="1"/>
  <c r="IC21" i="3"/>
  <c r="IM50" i="3" l="1"/>
  <c r="JJ20" i="3"/>
  <c r="JJ21" i="3"/>
  <c r="JJ22" i="3"/>
  <c r="JJ23" i="3"/>
  <c r="JJ24" i="3"/>
  <c r="JJ25" i="3"/>
  <c r="JJ26" i="3"/>
  <c r="JJ27" i="3"/>
  <c r="JJ28" i="3"/>
  <c r="JJ29" i="3"/>
  <c r="JJ30" i="3"/>
  <c r="JJ31" i="3"/>
  <c r="JJ32" i="3"/>
  <c r="JJ33" i="3"/>
  <c r="JJ34" i="3"/>
  <c r="JJ35" i="3"/>
  <c r="JJ36" i="3"/>
  <c r="JJ37" i="3"/>
  <c r="JJ38" i="3"/>
  <c r="CA8" i="4"/>
  <c r="CA9" i="4"/>
  <c r="CA10" i="4"/>
  <c r="CA11" i="4"/>
  <c r="CA12" i="4"/>
  <c r="CA13" i="4"/>
  <c r="CA14" i="4"/>
  <c r="CA7" i="4"/>
  <c r="BZ8" i="4"/>
  <c r="BZ9" i="4"/>
  <c r="BZ10" i="4"/>
  <c r="BZ11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7" i="4"/>
  <c r="BY14" i="4"/>
  <c r="BY15" i="4"/>
  <c r="BY16" i="4"/>
  <c r="BY17" i="4"/>
  <c r="BY18" i="4"/>
  <c r="BY19" i="4"/>
  <c r="BY20" i="4"/>
  <c r="BY21" i="4"/>
  <c r="BY22" i="4"/>
  <c r="BY23" i="4"/>
  <c r="BY24" i="4"/>
  <c r="BX14" i="4"/>
  <c r="BX15" i="4"/>
  <c r="BX16" i="4"/>
  <c r="BX17" i="4"/>
  <c r="BX18" i="4"/>
  <c r="BX19" i="4"/>
  <c r="BX20" i="4"/>
  <c r="BX21" i="4"/>
  <c r="BX22" i="4"/>
  <c r="BX23" i="4"/>
  <c r="BX24" i="4"/>
  <c r="BW8" i="4"/>
  <c r="BW9" i="4"/>
  <c r="BW10" i="4"/>
  <c r="BW11" i="4"/>
  <c r="BW12" i="4"/>
  <c r="BW13" i="4"/>
  <c r="BW7" i="4"/>
  <c r="BZ25" i="4" l="1"/>
  <c r="BZ26" i="4"/>
  <c r="BZ27" i="4"/>
  <c r="BZ28" i="4"/>
  <c r="BZ29" i="4"/>
  <c r="BZ30" i="4"/>
  <c r="BZ31" i="4"/>
  <c r="BZ32" i="4"/>
  <c r="BZ33" i="4"/>
  <c r="BZ34" i="4"/>
  <c r="HV36" i="3"/>
  <c r="BZ35" i="4" s="1"/>
  <c r="HV37" i="3"/>
  <c r="BZ36" i="4" s="1"/>
  <c r="HV38" i="3"/>
  <c r="BZ37" i="4" s="1"/>
  <c r="BY25" i="4"/>
  <c r="BY26" i="4"/>
  <c r="BY27" i="4"/>
  <c r="BY28" i="4"/>
  <c r="BY29" i="4"/>
  <c r="BY30" i="4"/>
  <c r="BY31" i="4"/>
  <c r="BY32" i="4"/>
  <c r="BY33" i="4"/>
  <c r="BY34" i="4"/>
  <c r="HS36" i="3"/>
  <c r="BY35" i="4" s="1"/>
  <c r="HS37" i="3"/>
  <c r="BY36" i="4" s="1"/>
  <c r="HS38" i="3"/>
  <c r="BY37" i="4" s="1"/>
  <c r="BX25" i="4"/>
  <c r="BX26" i="4"/>
  <c r="BX27" i="4"/>
  <c r="BX28" i="4"/>
  <c r="BX29" i="4"/>
  <c r="BX30" i="4"/>
  <c r="BX31" i="4"/>
  <c r="BX32" i="4"/>
  <c r="BX33" i="4"/>
  <c r="BX34" i="4"/>
  <c r="HP36" i="3"/>
  <c r="BX35" i="4" s="1"/>
  <c r="HP37" i="3"/>
  <c r="BX36" i="4" s="1"/>
  <c r="HP38" i="3"/>
  <c r="BX37" i="4" s="1"/>
  <c r="HM16" i="3"/>
  <c r="BW15" i="4" s="1"/>
  <c r="HM17" i="3"/>
  <c r="BW16" i="4" s="1"/>
  <c r="HM18" i="3"/>
  <c r="BW17" i="4" s="1"/>
  <c r="HM19" i="3"/>
  <c r="BW18" i="4" s="1"/>
  <c r="HM20" i="3"/>
  <c r="BW19" i="4" s="1"/>
  <c r="HM21" i="3"/>
  <c r="BW20" i="4" s="1"/>
  <c r="HM22" i="3"/>
  <c r="BW21" i="4" s="1"/>
  <c r="HM23" i="3"/>
  <c r="BW22" i="4" s="1"/>
  <c r="HM24" i="3"/>
  <c r="BW23" i="4" s="1"/>
  <c r="HM25" i="3"/>
  <c r="BW24" i="4" s="1"/>
  <c r="HM26" i="3"/>
  <c r="BW25" i="4" s="1"/>
  <c r="HM27" i="3"/>
  <c r="BW26" i="4" s="1"/>
  <c r="HM28" i="3"/>
  <c r="BW27" i="4" s="1"/>
  <c r="HM29" i="3"/>
  <c r="BW28" i="4" s="1"/>
  <c r="HM30" i="3"/>
  <c r="BW29" i="4" s="1"/>
  <c r="HM31" i="3"/>
  <c r="BW30" i="4" s="1"/>
  <c r="HM32" i="3"/>
  <c r="BW31" i="4" s="1"/>
  <c r="HM33" i="3"/>
  <c r="BW32" i="4" s="1"/>
  <c r="HM34" i="3"/>
  <c r="BW33" i="4" s="1"/>
  <c r="HM35" i="3"/>
  <c r="BW34" i="4" s="1"/>
  <c r="HM36" i="3"/>
  <c r="BW35" i="4" s="1"/>
  <c r="HM37" i="3"/>
  <c r="BW36" i="4" s="1"/>
  <c r="HM38" i="3"/>
  <c r="BW37" i="4" s="1"/>
  <c r="HM15" i="3"/>
  <c r="BW14" i="4" s="1"/>
  <c r="BW38" i="4" l="1"/>
  <c r="BV42" i="4" s="1"/>
  <c r="BZ38" i="4"/>
  <c r="BV45" i="4" s="1"/>
  <c r="HJ20" i="3"/>
  <c r="HJ21" i="3"/>
  <c r="HJ22" i="3"/>
  <c r="HJ23" i="3"/>
  <c r="HJ24" i="3"/>
  <c r="HJ25" i="3"/>
  <c r="HJ26" i="3"/>
  <c r="HJ27" i="3"/>
  <c r="HJ28" i="3"/>
  <c r="HJ29" i="3"/>
  <c r="HJ30" i="3"/>
  <c r="HJ31" i="3"/>
  <c r="HJ32" i="3"/>
  <c r="HJ33" i="3"/>
  <c r="HJ34" i="3"/>
  <c r="HJ35" i="3"/>
  <c r="HJ36" i="3"/>
  <c r="HJ37" i="3"/>
  <c r="HJ38" i="3"/>
  <c r="HJ15" i="3"/>
  <c r="HJ16" i="3"/>
  <c r="HJ17" i="3"/>
  <c r="HJ18" i="3"/>
  <c r="HJ19" i="3"/>
  <c r="HC21" i="3" l="1"/>
  <c r="HE21" i="3" s="1"/>
  <c r="BV20" i="4"/>
  <c r="BV34" i="4"/>
  <c r="HC35" i="3"/>
  <c r="HE35" i="3" s="1"/>
  <c r="BV33" i="4"/>
  <c r="HC34" i="3"/>
  <c r="HE34" i="3" s="1"/>
  <c r="BV31" i="4"/>
  <c r="HC32" i="3"/>
  <c r="HE32" i="3" s="1"/>
  <c r="BV30" i="4"/>
  <c r="HC31" i="3"/>
  <c r="HE31" i="3" s="1"/>
  <c r="HC18" i="3"/>
  <c r="HE18" i="3" s="1"/>
  <c r="BV17" i="4"/>
  <c r="HC17" i="3"/>
  <c r="HE17" i="3" s="1"/>
  <c r="BV16" i="4"/>
  <c r="BV28" i="4"/>
  <c r="HC29" i="3"/>
  <c r="HE29" i="3" s="1"/>
  <c r="HC25" i="3"/>
  <c r="HE25" i="3" s="1"/>
  <c r="BV24" i="4"/>
  <c r="HC23" i="3"/>
  <c r="HE23" i="3" s="1"/>
  <c r="BV22" i="4"/>
  <c r="BV32" i="4"/>
  <c r="HC33" i="3"/>
  <c r="HE33" i="3" s="1"/>
  <c r="HC20" i="3"/>
  <c r="HE20" i="3" s="1"/>
  <c r="BV19" i="4"/>
  <c r="BV29" i="4"/>
  <c r="HC30" i="3"/>
  <c r="HE30" i="3" s="1"/>
  <c r="BV27" i="4"/>
  <c r="HC28" i="3"/>
  <c r="HE28" i="3" s="1"/>
  <c r="BV25" i="4"/>
  <c r="HC26" i="3"/>
  <c r="HE26" i="3" s="1"/>
  <c r="HC24" i="3"/>
  <c r="HE24" i="3" s="1"/>
  <c r="BV23" i="4"/>
  <c r="HC22" i="3"/>
  <c r="HE22" i="3" s="1"/>
  <c r="BV21" i="4"/>
  <c r="HC19" i="3"/>
  <c r="HE19" i="3" s="1"/>
  <c r="BV18" i="4"/>
  <c r="HC16" i="3"/>
  <c r="HE16" i="3" s="1"/>
  <c r="BV15" i="4"/>
  <c r="HC15" i="3"/>
  <c r="HE15" i="3" s="1"/>
  <c r="HZ15" i="3"/>
  <c r="BV14" i="4"/>
  <c r="HZ52" i="3" s="1"/>
  <c r="BV26" i="4"/>
  <c r="HC27" i="3"/>
  <c r="HE27" i="3" s="1"/>
  <c r="BV36" i="4"/>
  <c r="BV35" i="4"/>
  <c r="BV37" i="4"/>
  <c r="JX15" i="3"/>
  <c r="JJ19" i="3" l="1"/>
  <c r="JJ18" i="3"/>
  <c r="JJ17" i="3"/>
  <c r="IR16" i="3"/>
  <c r="IR17" i="3"/>
  <c r="IR18" i="3"/>
  <c r="IR19" i="3"/>
  <c r="IR20" i="3"/>
  <c r="IR21" i="3"/>
  <c r="IR22" i="3"/>
  <c r="IR23" i="3"/>
  <c r="IR24" i="3"/>
  <c r="IR25" i="3"/>
  <c r="IR26" i="3"/>
  <c r="IR27" i="3"/>
  <c r="IR28" i="3"/>
  <c r="IR29" i="3"/>
  <c r="IR30" i="3"/>
  <c r="IR31" i="3"/>
  <c r="IR32" i="3"/>
  <c r="IR33" i="3"/>
  <c r="IR34" i="3"/>
  <c r="IR35" i="3"/>
  <c r="IR36" i="3"/>
  <c r="IR37" i="3"/>
  <c r="IR38" i="3"/>
  <c r="JJ16" i="3"/>
  <c r="JV38" i="3"/>
  <c r="JS38" i="3"/>
  <c r="JP38" i="3"/>
  <c r="JM38" i="3"/>
  <c r="JG38" i="3"/>
  <c r="JV37" i="3"/>
  <c r="JS37" i="3"/>
  <c r="JP37" i="3"/>
  <c r="JM37" i="3"/>
  <c r="JG37" i="3"/>
  <c r="JV36" i="3"/>
  <c r="JS36" i="3"/>
  <c r="JP36" i="3"/>
  <c r="JM36" i="3"/>
  <c r="JG36" i="3"/>
  <c r="JV35" i="3"/>
  <c r="JS35" i="3"/>
  <c r="JP35" i="3"/>
  <c r="JM35" i="3"/>
  <c r="JG35" i="3"/>
  <c r="JE63" i="3" s="1"/>
  <c r="JV34" i="3"/>
  <c r="JS34" i="3"/>
  <c r="JP34" i="3"/>
  <c r="JM34" i="3"/>
  <c r="JG34" i="3"/>
  <c r="JE62" i="3" s="1"/>
  <c r="JV33" i="3"/>
  <c r="JS33" i="3"/>
  <c r="JP33" i="3"/>
  <c r="JM33" i="3"/>
  <c r="JG33" i="3"/>
  <c r="JE61" i="3" s="1"/>
  <c r="JV32" i="3"/>
  <c r="JS32" i="3"/>
  <c r="JP32" i="3"/>
  <c r="JM32" i="3"/>
  <c r="JG32" i="3"/>
  <c r="JE60" i="3" s="1"/>
  <c r="JV31" i="3"/>
  <c r="JS31" i="3"/>
  <c r="JP31" i="3"/>
  <c r="JM31" i="3"/>
  <c r="JG31" i="3"/>
  <c r="JE59" i="3" s="1"/>
  <c r="JV30" i="3"/>
  <c r="JS30" i="3"/>
  <c r="JP30" i="3"/>
  <c r="JM30" i="3"/>
  <c r="JG30" i="3"/>
  <c r="JE58" i="3" s="1"/>
  <c r="JV29" i="3"/>
  <c r="JS29" i="3"/>
  <c r="JP29" i="3"/>
  <c r="JM29" i="3"/>
  <c r="JG29" i="3"/>
  <c r="JE57" i="3" s="1"/>
  <c r="JV28" i="3"/>
  <c r="JS28" i="3"/>
  <c r="JP28" i="3"/>
  <c r="JM28" i="3"/>
  <c r="JG28" i="3"/>
  <c r="JE56" i="3" s="1"/>
  <c r="JV27" i="3"/>
  <c r="JS27" i="3"/>
  <c r="JP27" i="3"/>
  <c r="JM27" i="3"/>
  <c r="JG27" i="3"/>
  <c r="JE55" i="3" s="1"/>
  <c r="JV26" i="3"/>
  <c r="JS26" i="3"/>
  <c r="JP26" i="3"/>
  <c r="JM26" i="3"/>
  <c r="JG26" i="3"/>
  <c r="JE54" i="3" s="1"/>
  <c r="JV25" i="3"/>
  <c r="JS25" i="3"/>
  <c r="JP25" i="3"/>
  <c r="JM25" i="3"/>
  <c r="JG25" i="3"/>
  <c r="JE53" i="3" s="1"/>
  <c r="JV24" i="3"/>
  <c r="JS24" i="3"/>
  <c r="JP24" i="3"/>
  <c r="JM24" i="3"/>
  <c r="JG24" i="3"/>
  <c r="JE52" i="3" s="1"/>
  <c r="JV23" i="3"/>
  <c r="JS23" i="3"/>
  <c r="JP23" i="3"/>
  <c r="JM23" i="3"/>
  <c r="JG23" i="3"/>
  <c r="JE51" i="3" s="1"/>
  <c r="JV22" i="3"/>
  <c r="JS22" i="3"/>
  <c r="JP22" i="3"/>
  <c r="JM22" i="3"/>
  <c r="JG22" i="3"/>
  <c r="JE50" i="3" s="1"/>
  <c r="JV21" i="3"/>
  <c r="JS21" i="3"/>
  <c r="JP21" i="3"/>
  <c r="JM21" i="3"/>
  <c r="JG21" i="3"/>
  <c r="JE49" i="3" s="1"/>
  <c r="JV20" i="3"/>
  <c r="JS20" i="3"/>
  <c r="JP20" i="3"/>
  <c r="JM20" i="3"/>
  <c r="JG20" i="3"/>
  <c r="JE48" i="3" s="1"/>
  <c r="JV19" i="3"/>
  <c r="JS19" i="3"/>
  <c r="JP19" i="3"/>
  <c r="JM19" i="3"/>
  <c r="JG19" i="3"/>
  <c r="JE47" i="3" s="1"/>
  <c r="JV18" i="3"/>
  <c r="JS18" i="3"/>
  <c r="JP18" i="3"/>
  <c r="JM18" i="3"/>
  <c r="JG18" i="3"/>
  <c r="JE46" i="3" s="1"/>
  <c r="JV17" i="3"/>
  <c r="JS17" i="3"/>
  <c r="JP17" i="3"/>
  <c r="JM17" i="3"/>
  <c r="JG17" i="3"/>
  <c r="JE45" i="3" s="1"/>
  <c r="JV16" i="3"/>
  <c r="JS16" i="3"/>
  <c r="JP16" i="3"/>
  <c r="JM16" i="3"/>
  <c r="JG16" i="3"/>
  <c r="JE44" i="3" s="1"/>
  <c r="JV15" i="3"/>
  <c r="JS15" i="3"/>
  <c r="JP15" i="3"/>
  <c r="JM15" i="3"/>
  <c r="JJ15" i="3"/>
  <c r="JG15" i="3"/>
  <c r="JE43" i="3" s="1"/>
  <c r="JM39" i="3" l="1"/>
  <c r="JV39" i="3"/>
  <c r="JS39" i="3"/>
  <c r="JJ39" i="3"/>
  <c r="JG39" i="3"/>
  <c r="HJ46" i="3" s="1"/>
  <c r="JP39" i="3"/>
  <c r="IO15" i="3"/>
  <c r="IR15" i="3"/>
  <c r="JD38" i="3"/>
  <c r="JD37" i="3"/>
  <c r="JD36" i="3"/>
  <c r="JD35" i="3"/>
  <c r="JD34" i="3"/>
  <c r="JD33" i="3"/>
  <c r="JD32" i="3"/>
  <c r="JD31" i="3"/>
  <c r="JD30" i="3"/>
  <c r="JD29" i="3"/>
  <c r="JD28" i="3"/>
  <c r="JD27" i="3"/>
  <c r="JD26" i="3"/>
  <c r="JD25" i="3"/>
  <c r="JD24" i="3"/>
  <c r="JD23" i="3"/>
  <c r="JD22" i="3"/>
  <c r="JD21" i="3"/>
  <c r="JD20" i="3"/>
  <c r="JD19" i="3"/>
  <c r="JD18" i="3"/>
  <c r="JD17" i="3"/>
  <c r="JD16" i="3"/>
  <c r="JD15" i="3"/>
  <c r="JA38" i="3"/>
  <c r="JA37" i="3"/>
  <c r="JA36" i="3"/>
  <c r="JA35" i="3"/>
  <c r="JA34" i="3"/>
  <c r="JA33" i="3"/>
  <c r="JA32" i="3"/>
  <c r="JA31" i="3"/>
  <c r="JA30" i="3"/>
  <c r="JA29" i="3"/>
  <c r="JA28" i="3"/>
  <c r="JA27" i="3"/>
  <c r="JA26" i="3"/>
  <c r="JA25" i="3"/>
  <c r="JA24" i="3"/>
  <c r="JA23" i="3"/>
  <c r="JA22" i="3"/>
  <c r="JA21" i="3"/>
  <c r="JA20" i="3"/>
  <c r="JA19" i="3"/>
  <c r="JA18" i="3"/>
  <c r="JA17" i="3"/>
  <c r="JA16" i="3"/>
  <c r="JA15" i="3"/>
  <c r="IX38" i="3"/>
  <c r="IU38" i="3"/>
  <c r="IO38" i="3"/>
  <c r="IX37" i="3"/>
  <c r="IU37" i="3"/>
  <c r="IO37" i="3"/>
  <c r="IX36" i="3"/>
  <c r="IU36" i="3"/>
  <c r="IO36" i="3"/>
  <c r="IX35" i="3"/>
  <c r="IU35" i="3"/>
  <c r="IO35" i="3"/>
  <c r="IX34" i="3"/>
  <c r="IU34" i="3"/>
  <c r="IO34" i="3"/>
  <c r="IX33" i="3"/>
  <c r="IU33" i="3"/>
  <c r="IO33" i="3"/>
  <c r="IX32" i="3"/>
  <c r="IU32" i="3"/>
  <c r="IO32" i="3"/>
  <c r="IX31" i="3"/>
  <c r="IU31" i="3"/>
  <c r="IO31" i="3"/>
  <c r="IX30" i="3"/>
  <c r="IU30" i="3"/>
  <c r="IX29" i="3"/>
  <c r="IU29" i="3"/>
  <c r="IO29" i="3"/>
  <c r="IX28" i="3"/>
  <c r="IU28" i="3"/>
  <c r="IO28" i="3"/>
  <c r="IX27" i="3"/>
  <c r="IU27" i="3"/>
  <c r="IO27" i="3"/>
  <c r="IX26" i="3"/>
  <c r="IU26" i="3"/>
  <c r="IO26" i="3"/>
  <c r="IX25" i="3"/>
  <c r="IU25" i="3"/>
  <c r="IO25" i="3"/>
  <c r="IX24" i="3"/>
  <c r="IU24" i="3"/>
  <c r="IO24" i="3"/>
  <c r="IX23" i="3"/>
  <c r="IU23" i="3"/>
  <c r="IO23" i="3"/>
  <c r="IX22" i="3"/>
  <c r="IU22" i="3"/>
  <c r="IX21" i="3"/>
  <c r="IU21" i="3"/>
  <c r="IO21" i="3"/>
  <c r="IX20" i="3"/>
  <c r="IU20" i="3"/>
  <c r="IO20" i="3"/>
  <c r="IX19" i="3"/>
  <c r="IU19" i="3"/>
  <c r="IO19" i="3"/>
  <c r="IX18" i="3"/>
  <c r="IU18" i="3"/>
  <c r="IO18" i="3"/>
  <c r="IX17" i="3"/>
  <c r="IU17" i="3"/>
  <c r="IO17" i="3"/>
  <c r="IX16" i="3"/>
  <c r="IU16" i="3"/>
  <c r="IO16" i="3"/>
  <c r="IX15" i="3"/>
  <c r="IU15" i="3"/>
  <c r="IF16" i="3"/>
  <c r="IF17" i="3"/>
  <c r="IF18" i="3"/>
  <c r="IF19" i="3"/>
  <c r="IF20" i="3"/>
  <c r="IF21" i="3"/>
  <c r="IF49" i="3" s="1"/>
  <c r="IF22" i="3"/>
  <c r="IF23" i="3"/>
  <c r="IF24" i="3"/>
  <c r="IF25" i="3"/>
  <c r="IF26" i="3"/>
  <c r="IF27" i="3"/>
  <c r="IF28" i="3"/>
  <c r="IF29" i="3"/>
  <c r="IF30" i="3"/>
  <c r="IF31" i="3"/>
  <c r="IF32" i="3"/>
  <c r="IF33" i="3"/>
  <c r="IF34" i="3"/>
  <c r="IF35" i="3"/>
  <c r="IF36" i="3"/>
  <c r="IF37" i="3"/>
  <c r="IF38" i="3"/>
  <c r="IF15" i="3"/>
  <c r="IL38" i="3"/>
  <c r="IL37" i="3"/>
  <c r="IL36" i="3"/>
  <c r="IL35" i="3"/>
  <c r="IL34" i="3"/>
  <c r="IL33" i="3"/>
  <c r="IL32" i="3"/>
  <c r="IL31" i="3"/>
  <c r="IL30" i="3"/>
  <c r="IL29" i="3"/>
  <c r="IL28" i="3"/>
  <c r="IL27" i="3"/>
  <c r="IL26" i="3"/>
  <c r="IL25" i="3"/>
  <c r="IL24" i="3"/>
  <c r="IL23" i="3"/>
  <c r="IL22" i="3"/>
  <c r="IL21" i="3"/>
  <c r="IL20" i="3"/>
  <c r="IL19" i="3"/>
  <c r="IL18" i="3"/>
  <c r="IL17" i="3"/>
  <c r="IL16" i="3"/>
  <c r="IL15" i="3"/>
  <c r="II38" i="3"/>
  <c r="II37" i="3"/>
  <c r="II36" i="3"/>
  <c r="II35" i="3"/>
  <c r="II34" i="3"/>
  <c r="II33" i="3"/>
  <c r="II32" i="3"/>
  <c r="II31" i="3"/>
  <c r="II30" i="3"/>
  <c r="II29" i="3"/>
  <c r="II28" i="3"/>
  <c r="II27" i="3"/>
  <c r="II26" i="3"/>
  <c r="II25" i="3"/>
  <c r="II24" i="3"/>
  <c r="II23" i="3"/>
  <c r="II22" i="3"/>
  <c r="II21" i="3"/>
  <c r="II20" i="3"/>
  <c r="II19" i="3"/>
  <c r="II18" i="3"/>
  <c r="II17" i="3"/>
  <c r="II16" i="3"/>
  <c r="II15" i="3"/>
  <c r="IC16" i="3"/>
  <c r="IF44" i="3" s="1"/>
  <c r="IC17" i="3"/>
  <c r="IF45" i="3" s="1"/>
  <c r="IC18" i="3"/>
  <c r="IF46" i="3" s="1"/>
  <c r="IC19" i="3"/>
  <c r="IF47" i="3" s="1"/>
  <c r="IC20" i="3"/>
  <c r="IF48" i="3" s="1"/>
  <c r="IC22" i="3"/>
  <c r="IC23" i="3"/>
  <c r="IC24" i="3"/>
  <c r="IC25" i="3"/>
  <c r="IC26" i="3"/>
  <c r="IC27" i="3"/>
  <c r="IC28" i="3"/>
  <c r="IC29" i="3"/>
  <c r="IC30" i="3"/>
  <c r="IC31" i="3"/>
  <c r="IC32" i="3"/>
  <c r="IC33" i="3"/>
  <c r="IC34" i="3"/>
  <c r="IC35" i="3"/>
  <c r="IF63" i="3" s="1"/>
  <c r="IC36" i="3"/>
  <c r="IC37" i="3"/>
  <c r="IC38" i="3"/>
  <c r="IC15" i="3"/>
  <c r="IF51" i="3" l="1"/>
  <c r="IF52" i="3"/>
  <c r="IF54" i="3"/>
  <c r="IF62" i="3"/>
  <c r="IF50" i="3"/>
  <c r="IP50" i="3"/>
  <c r="IP62" i="3"/>
  <c r="IM62" i="3"/>
  <c r="IF60" i="3"/>
  <c r="IF59" i="3"/>
  <c r="IP55" i="3"/>
  <c r="IM55" i="3"/>
  <c r="IP43" i="3"/>
  <c r="IM43" i="3"/>
  <c r="IP47" i="3"/>
  <c r="IM47" i="3"/>
  <c r="IP60" i="3"/>
  <c r="IM60" i="3"/>
  <c r="IF43" i="3"/>
  <c r="IF55" i="3"/>
  <c r="IP52" i="3"/>
  <c r="IM52" i="3"/>
  <c r="IP56" i="3"/>
  <c r="IM56" i="3"/>
  <c r="IF57" i="3"/>
  <c r="IP54" i="3"/>
  <c r="IM54" i="3"/>
  <c r="IF58" i="3"/>
  <c r="IF56" i="3"/>
  <c r="IF53" i="3"/>
  <c r="IP61" i="3"/>
  <c r="IM61" i="3"/>
  <c r="IF61" i="3"/>
  <c r="IP46" i="3"/>
  <c r="IM46" i="3"/>
  <c r="IP59" i="3"/>
  <c r="IM59" i="3"/>
  <c r="IO30" i="3"/>
  <c r="IO39" i="3" s="1"/>
  <c r="HJ45" i="3" s="1"/>
  <c r="IP48" i="3"/>
  <c r="IM48" i="3"/>
  <c r="IP53" i="3"/>
  <c r="IM53" i="3"/>
  <c r="IP57" i="3"/>
  <c r="IM57" i="3"/>
  <c r="IP63" i="3"/>
  <c r="IM63" i="3"/>
  <c r="IP51" i="3"/>
  <c r="IM51" i="3"/>
  <c r="IP44" i="3"/>
  <c r="IM44" i="3"/>
  <c r="IP45" i="3"/>
  <c r="IM45" i="3"/>
  <c r="IP49" i="3"/>
  <c r="IM49" i="3"/>
  <c r="IF39" i="3"/>
  <c r="IC39" i="3"/>
  <c r="II39" i="3"/>
  <c r="IL39" i="3"/>
  <c r="IU39" i="3"/>
  <c r="JD39" i="3"/>
  <c r="JA39" i="3"/>
  <c r="IR39" i="3"/>
  <c r="IX39" i="3"/>
  <c r="IP58" i="3" l="1"/>
  <c r="IM58" i="3"/>
  <c r="HJ44" i="3"/>
  <c r="HM39" i="3" l="1"/>
  <c r="HV39" i="3"/>
  <c r="HI46" i="3" s="1"/>
  <c r="HI43" i="3" l="1"/>
  <c r="HJ43" i="3"/>
  <c r="B15" i="3"/>
  <c r="E15" i="3"/>
  <c r="L10" i="3" l="1"/>
  <c r="HC39" i="3" l="1"/>
  <c r="GA36" i="3"/>
  <c r="GA37" i="3"/>
  <c r="DT48" i="3" l="1"/>
  <c r="DT49" i="3"/>
  <c r="DT50" i="3"/>
  <c r="DT51" i="3"/>
  <c r="DT52" i="3"/>
  <c r="DT53" i="3"/>
  <c r="DT54" i="3"/>
  <c r="DT55" i="3"/>
  <c r="DT56" i="3"/>
  <c r="DR48" i="3"/>
  <c r="DR49" i="3"/>
  <c r="AF8" i="4" s="1"/>
  <c r="DR50" i="3"/>
  <c r="DR51" i="3"/>
  <c r="DR52" i="3"/>
  <c r="DR53" i="3"/>
  <c r="DR54" i="3"/>
  <c r="DR55" i="3"/>
  <c r="DR56" i="3"/>
  <c r="EG36" i="3"/>
  <c r="AL35" i="4" s="1"/>
  <c r="EG37" i="3"/>
  <c r="AL36" i="4" s="1"/>
  <c r="EG38" i="3"/>
  <c r="AL37" i="4" s="1"/>
  <c r="EC36" i="3"/>
  <c r="AJ35" i="4" s="1"/>
  <c r="EC37" i="3"/>
  <c r="AJ36" i="4" s="1"/>
  <c r="EC38" i="3"/>
  <c r="AJ37" i="4" s="1"/>
  <c r="DE7" i="3"/>
  <c r="DF7" i="3" s="1"/>
  <c r="BP38" i="4"/>
  <c r="BN38" i="4"/>
  <c r="BM38" i="4"/>
  <c r="BK38" i="4"/>
  <c r="BH38" i="4"/>
  <c r="BG38" i="4"/>
  <c r="BF38" i="4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D81" i="3"/>
  <c r="D83" i="3" s="1"/>
  <c r="GM78" i="3"/>
  <c r="GJ78" i="3"/>
  <c r="DT77" i="3"/>
  <c r="DR77" i="3"/>
  <c r="G77" i="3"/>
  <c r="D77" i="3"/>
  <c r="DT76" i="3"/>
  <c r="DR76" i="3"/>
  <c r="G76" i="3"/>
  <c r="BS37" i="4" s="1"/>
  <c r="D76" i="3"/>
  <c r="BR37" i="4" s="1"/>
  <c r="GM75" i="3"/>
  <c r="GJ75" i="3"/>
  <c r="DT75" i="3"/>
  <c r="DR75" i="3"/>
  <c r="J75" i="3"/>
  <c r="G75" i="3"/>
  <c r="BS36" i="4" s="1"/>
  <c r="D75" i="3"/>
  <c r="BR36" i="4" s="1"/>
  <c r="GM74" i="3"/>
  <c r="GJ74" i="3"/>
  <c r="DT74" i="3"/>
  <c r="DR74" i="3"/>
  <c r="J74" i="3"/>
  <c r="G74" i="3"/>
  <c r="BS35" i="4" s="1"/>
  <c r="D74" i="3"/>
  <c r="BR35" i="4" s="1"/>
  <c r="GM73" i="3"/>
  <c r="GJ73" i="3"/>
  <c r="DT73" i="3"/>
  <c r="AF32" i="4" s="1"/>
  <c r="J73" i="3"/>
  <c r="G73" i="3"/>
  <c r="BS34" i="4" s="1"/>
  <c r="D73" i="3"/>
  <c r="BR34" i="4" s="1"/>
  <c r="GM72" i="3"/>
  <c r="GJ72" i="3"/>
  <c r="DT72" i="3"/>
  <c r="DR72" i="3"/>
  <c r="J72" i="3"/>
  <c r="G72" i="3"/>
  <c r="BS33" i="4" s="1"/>
  <c r="D72" i="3"/>
  <c r="BR33" i="4" s="1"/>
  <c r="GM71" i="3"/>
  <c r="GJ71" i="3"/>
  <c r="DT71" i="3"/>
  <c r="DR71" i="3"/>
  <c r="J71" i="3"/>
  <c r="G71" i="3"/>
  <c r="BS32" i="4" s="1"/>
  <c r="D71" i="3"/>
  <c r="BR32" i="4" s="1"/>
  <c r="GM70" i="3"/>
  <c r="GJ70" i="3"/>
  <c r="DT70" i="3"/>
  <c r="DR70" i="3"/>
  <c r="J70" i="3"/>
  <c r="G70" i="3"/>
  <c r="BS31" i="4" s="1"/>
  <c r="D70" i="3"/>
  <c r="BR31" i="4" s="1"/>
  <c r="GM69" i="3"/>
  <c r="GJ69" i="3"/>
  <c r="DT69" i="3"/>
  <c r="DR69" i="3"/>
  <c r="J69" i="3"/>
  <c r="G69" i="3"/>
  <c r="BS30" i="4" s="1"/>
  <c r="D69" i="3"/>
  <c r="BR30" i="4" s="1"/>
  <c r="GM68" i="3"/>
  <c r="GJ68" i="3"/>
  <c r="DT68" i="3"/>
  <c r="DR68" i="3"/>
  <c r="J68" i="3"/>
  <c r="G68" i="3"/>
  <c r="BS29" i="4" s="1"/>
  <c r="D68" i="3"/>
  <c r="BR29" i="4" s="1"/>
  <c r="GM67" i="3"/>
  <c r="GJ67" i="3"/>
  <c r="DT67" i="3"/>
  <c r="DR67" i="3"/>
  <c r="J67" i="3"/>
  <c r="G67" i="3"/>
  <c r="BS28" i="4" s="1"/>
  <c r="D67" i="3"/>
  <c r="BR28" i="4" s="1"/>
  <c r="GM66" i="3"/>
  <c r="GJ66" i="3"/>
  <c r="DT66" i="3"/>
  <c r="DR66" i="3"/>
  <c r="J66" i="3"/>
  <c r="G66" i="3"/>
  <c r="BS27" i="4" s="1"/>
  <c r="D66" i="3"/>
  <c r="BR27" i="4" s="1"/>
  <c r="GM65" i="3"/>
  <c r="GJ65" i="3"/>
  <c r="DT65" i="3"/>
  <c r="DR65" i="3"/>
  <c r="J65" i="3"/>
  <c r="G65" i="3"/>
  <c r="BS26" i="4" s="1"/>
  <c r="D65" i="3"/>
  <c r="BR26" i="4" s="1"/>
  <c r="GM64" i="3"/>
  <c r="GJ64" i="3"/>
  <c r="DT64" i="3"/>
  <c r="DR64" i="3"/>
  <c r="J64" i="3"/>
  <c r="G64" i="3"/>
  <c r="BS25" i="4" s="1"/>
  <c r="D64" i="3"/>
  <c r="BR25" i="4" s="1"/>
  <c r="GM63" i="3"/>
  <c r="GJ63" i="3"/>
  <c r="DT63" i="3"/>
  <c r="DR63" i="3"/>
  <c r="J63" i="3"/>
  <c r="G63" i="3"/>
  <c r="BS24" i="4" s="1"/>
  <c r="D63" i="3"/>
  <c r="BR24" i="4" s="1"/>
  <c r="GM62" i="3"/>
  <c r="GJ62" i="3"/>
  <c r="DT62" i="3"/>
  <c r="DR62" i="3"/>
  <c r="J62" i="3"/>
  <c r="G62" i="3"/>
  <c r="BS23" i="4" s="1"/>
  <c r="D62" i="3"/>
  <c r="BR23" i="4" s="1"/>
  <c r="GM61" i="3"/>
  <c r="GJ61" i="3"/>
  <c r="DT61" i="3"/>
  <c r="DR61" i="3"/>
  <c r="J61" i="3"/>
  <c r="G61" i="3"/>
  <c r="BS22" i="4" s="1"/>
  <c r="D61" i="3"/>
  <c r="BR22" i="4" s="1"/>
  <c r="GM60" i="3"/>
  <c r="GJ60" i="3"/>
  <c r="DT60" i="3"/>
  <c r="DR60" i="3"/>
  <c r="J60" i="3"/>
  <c r="G60" i="3"/>
  <c r="BS21" i="4" s="1"/>
  <c r="D60" i="3"/>
  <c r="BR21" i="4" s="1"/>
  <c r="GM59" i="3"/>
  <c r="GJ59" i="3"/>
  <c r="DT59" i="3"/>
  <c r="DR59" i="3"/>
  <c r="J59" i="3"/>
  <c r="G59" i="3"/>
  <c r="BS20" i="4" s="1"/>
  <c r="D59" i="3"/>
  <c r="BR20" i="4" s="1"/>
  <c r="GM58" i="3"/>
  <c r="GJ58" i="3"/>
  <c r="DT58" i="3"/>
  <c r="DR58" i="3"/>
  <c r="J58" i="3"/>
  <c r="G58" i="3"/>
  <c r="BS19" i="4" s="1"/>
  <c r="D58" i="3"/>
  <c r="BR19" i="4" s="1"/>
  <c r="GM57" i="3"/>
  <c r="GJ57" i="3"/>
  <c r="DT57" i="3"/>
  <c r="DR57" i="3"/>
  <c r="J57" i="3"/>
  <c r="G57" i="3"/>
  <c r="BS18" i="4" s="1"/>
  <c r="D57" i="3"/>
  <c r="BR18" i="4" s="1"/>
  <c r="GM56" i="3"/>
  <c r="GJ56" i="3"/>
  <c r="J56" i="3"/>
  <c r="G56" i="3"/>
  <c r="BS17" i="4" s="1"/>
  <c r="D56" i="3"/>
  <c r="BR17" i="4" s="1"/>
  <c r="GM55" i="3"/>
  <c r="GJ55" i="3"/>
  <c r="J55" i="3"/>
  <c r="G55" i="3"/>
  <c r="BS16" i="4" s="1"/>
  <c r="D55" i="3"/>
  <c r="BR16" i="4" s="1"/>
  <c r="GM54" i="3"/>
  <c r="GJ54" i="3"/>
  <c r="J54" i="3"/>
  <c r="G54" i="3"/>
  <c r="BS15" i="4" s="1"/>
  <c r="D54" i="3"/>
  <c r="BR15" i="4" s="1"/>
  <c r="GM53" i="3"/>
  <c r="GJ53" i="3"/>
  <c r="J53" i="3"/>
  <c r="G53" i="3"/>
  <c r="BS14" i="4" s="1"/>
  <c r="D53" i="3"/>
  <c r="BR14" i="4" s="1"/>
  <c r="GM52" i="3"/>
  <c r="GJ52" i="3"/>
  <c r="J52" i="3"/>
  <c r="G52" i="3"/>
  <c r="BS13" i="4" s="1"/>
  <c r="D52" i="3"/>
  <c r="BR13" i="4" s="1"/>
  <c r="GM51" i="3"/>
  <c r="GJ51" i="3"/>
  <c r="J51" i="3"/>
  <c r="G51" i="3"/>
  <c r="BS12" i="4" s="1"/>
  <c r="D51" i="3"/>
  <c r="BR12" i="4" s="1"/>
  <c r="GM50" i="3"/>
  <c r="GJ50" i="3"/>
  <c r="J50" i="3"/>
  <c r="G50" i="3"/>
  <c r="BS11" i="4" s="1"/>
  <c r="D50" i="3"/>
  <c r="BR11" i="4" s="1"/>
  <c r="GM49" i="3"/>
  <c r="GJ49" i="3"/>
  <c r="J49" i="3"/>
  <c r="G49" i="3"/>
  <c r="BS10" i="4" s="1"/>
  <c r="D49" i="3"/>
  <c r="BR10" i="4" s="1"/>
  <c r="GM48" i="3"/>
  <c r="GJ48" i="3"/>
  <c r="EX48" i="3"/>
  <c r="DP48" i="3"/>
  <c r="DP49" i="3" s="1"/>
  <c r="DP50" i="3" s="1"/>
  <c r="DP51" i="3" s="1"/>
  <c r="DP52" i="3" s="1"/>
  <c r="DP53" i="3" s="1"/>
  <c r="DP54" i="3" s="1"/>
  <c r="DP55" i="3" s="1"/>
  <c r="DP56" i="3" s="1"/>
  <c r="DP57" i="3" s="1"/>
  <c r="DP58" i="3" s="1"/>
  <c r="DP59" i="3" s="1"/>
  <c r="DP60" i="3" s="1"/>
  <c r="DP61" i="3" s="1"/>
  <c r="DP62" i="3" s="1"/>
  <c r="DP63" i="3" s="1"/>
  <c r="DP64" i="3" s="1"/>
  <c r="DP65" i="3" s="1"/>
  <c r="DP66" i="3" s="1"/>
  <c r="DP67" i="3" s="1"/>
  <c r="DP68" i="3" s="1"/>
  <c r="DP69" i="3" s="1"/>
  <c r="DP70" i="3" s="1"/>
  <c r="DP71" i="3" s="1"/>
  <c r="DP72" i="3" s="1"/>
  <c r="DP73" i="3" s="1"/>
  <c r="DP74" i="3" s="1"/>
  <c r="J48" i="3"/>
  <c r="G48" i="3"/>
  <c r="BS9" i="4" s="1"/>
  <c r="D48" i="3"/>
  <c r="BR9" i="4" s="1"/>
  <c r="GM47" i="3"/>
  <c r="GJ47" i="3"/>
  <c r="GG47" i="3"/>
  <c r="GG48" i="3" s="1"/>
  <c r="GG49" i="3" s="1"/>
  <c r="GG50" i="3" s="1"/>
  <c r="GG51" i="3" s="1"/>
  <c r="GG52" i="3" s="1"/>
  <c r="GG53" i="3" s="1"/>
  <c r="GG54" i="3" s="1"/>
  <c r="GG55" i="3" s="1"/>
  <c r="GG56" i="3" s="1"/>
  <c r="GG57" i="3" s="1"/>
  <c r="GG58" i="3" s="1"/>
  <c r="GG59" i="3" s="1"/>
  <c r="GG60" i="3" s="1"/>
  <c r="GG61" i="3" s="1"/>
  <c r="GG62" i="3" s="1"/>
  <c r="GG63" i="3" s="1"/>
  <c r="GG64" i="3" s="1"/>
  <c r="GG65" i="3" s="1"/>
  <c r="GG66" i="3" s="1"/>
  <c r="GG67" i="3" s="1"/>
  <c r="GG68" i="3" s="1"/>
  <c r="GG69" i="3" s="1"/>
  <c r="GG70" i="3" s="1"/>
  <c r="GG71" i="3" s="1"/>
  <c r="GG72" i="3" s="1"/>
  <c r="GG73" i="3" s="1"/>
  <c r="GG74" i="3" s="1"/>
  <c r="GG75" i="3" s="1"/>
  <c r="J47" i="3"/>
  <c r="G47" i="3"/>
  <c r="BS8" i="4" s="1"/>
  <c r="D47" i="3"/>
  <c r="BR8" i="4" s="1"/>
  <c r="GU46" i="3"/>
  <c r="J46" i="3"/>
  <c r="G46" i="3"/>
  <c r="BS7" i="4" s="1"/>
  <c r="D46" i="3"/>
  <c r="BR7" i="4" s="1"/>
  <c r="FC45" i="3"/>
  <c r="FH53" i="3" s="1"/>
  <c r="GM41" i="3"/>
  <c r="EE40" i="3"/>
  <c r="U40" i="3"/>
  <c r="V40" i="3" s="1"/>
  <c r="GV39" i="3"/>
  <c r="FL39" i="3"/>
  <c r="DO39" i="3"/>
  <c r="DN39" i="3"/>
  <c r="DM39" i="3"/>
  <c r="J39" i="3"/>
  <c r="GW38" i="3"/>
  <c r="GS38" i="3"/>
  <c r="GA38" i="3" s="1"/>
  <c r="AQ37" i="4" s="1"/>
  <c r="GP38" i="3"/>
  <c r="GM38" i="3"/>
  <c r="BC37" i="4" s="1"/>
  <c r="GJ38" i="3"/>
  <c r="AX37" i="4" s="1"/>
  <c r="GD38" i="3"/>
  <c r="FX38" i="3"/>
  <c r="AP37" i="4" s="1"/>
  <c r="FS38" i="3"/>
  <c r="FP38" i="3"/>
  <c r="FJ38" i="3"/>
  <c r="BA37" i="4" s="1"/>
  <c r="FG38" i="3"/>
  <c r="AZ37" i="4" s="1"/>
  <c r="FC38" i="3"/>
  <c r="EZ38" i="3"/>
  <c r="EW38" i="3"/>
  <c r="AV37" i="4" s="1"/>
  <c r="ET38" i="3"/>
  <c r="AU37" i="4" s="1"/>
  <c r="EQ38" i="3"/>
  <c r="EM38" i="3"/>
  <c r="AN37" i="4" s="1"/>
  <c r="EJ38" i="3"/>
  <c r="AM37" i="4" s="1"/>
  <c r="DZ38" i="3"/>
  <c r="AI37" i="4" s="1"/>
  <c r="DW38" i="3"/>
  <c r="AH37" i="4" s="1"/>
  <c r="DT38" i="3"/>
  <c r="HY38" i="3" s="1"/>
  <c r="DR38" i="3"/>
  <c r="AD37" i="4" s="1"/>
  <c r="DE38" i="3"/>
  <c r="DF38" i="3" s="1"/>
  <c r="DA38" i="3"/>
  <c r="X37" i="4" s="1"/>
  <c r="CW38" i="3"/>
  <c r="W37" i="4" s="1"/>
  <c r="CS38" i="3"/>
  <c r="U37" i="4" s="1"/>
  <c r="CO38" i="3"/>
  <c r="T37" i="4" s="1"/>
  <c r="CH38" i="3"/>
  <c r="R37" i="4" s="1"/>
  <c r="CF38" i="3"/>
  <c r="Q37" i="4" s="1"/>
  <c r="CD38" i="3"/>
  <c r="P37" i="4" s="1"/>
  <c r="CA38" i="3"/>
  <c r="O37" i="4" s="1"/>
  <c r="BW38" i="3"/>
  <c r="BX38" i="3" s="1"/>
  <c r="BT38" i="3"/>
  <c r="BR38" i="3"/>
  <c r="Z37" i="4" s="1"/>
  <c r="BP38" i="3"/>
  <c r="BN38" i="3"/>
  <c r="BL38" i="3"/>
  <c r="BJ38" i="3"/>
  <c r="AB37" i="4" s="1"/>
  <c r="BG38" i="3"/>
  <c r="AA37" i="4" s="1"/>
  <c r="BC38" i="3"/>
  <c r="M37" i="4" s="1"/>
  <c r="AZ38" i="3"/>
  <c r="L37" i="4" s="1"/>
  <c r="AW38" i="3"/>
  <c r="AU38" i="3"/>
  <c r="AR38" i="3"/>
  <c r="AI38" i="3"/>
  <c r="I37" i="4" s="1"/>
  <c r="AE38" i="3"/>
  <c r="H37" i="4" s="1"/>
  <c r="AB38" i="3"/>
  <c r="F37" i="4" s="1"/>
  <c r="Z38" i="3"/>
  <c r="V38" i="3"/>
  <c r="E37" i="4" s="1"/>
  <c r="T38" i="3"/>
  <c r="D37" i="4" s="1"/>
  <c r="Q38" i="3"/>
  <c r="N38" i="3"/>
  <c r="C37" i="4" s="1"/>
  <c r="K38" i="3"/>
  <c r="F38" i="3"/>
  <c r="D38" i="3"/>
  <c r="C38" i="3"/>
  <c r="AG36" i="4"/>
  <c r="GW37" i="3"/>
  <c r="GS37" i="3"/>
  <c r="AQ36" i="4" s="1"/>
  <c r="GP37" i="3"/>
  <c r="GM37" i="3"/>
  <c r="GJ37" i="3"/>
  <c r="GD37" i="3"/>
  <c r="FX37" i="3"/>
  <c r="AP36" i="4" s="1"/>
  <c r="FS37" i="3"/>
  <c r="FP37" i="3"/>
  <c r="BB36" i="4" s="1"/>
  <c r="FJ37" i="3"/>
  <c r="BA36" i="4" s="1"/>
  <c r="FG37" i="3"/>
  <c r="AZ36" i="4" s="1"/>
  <c r="FC37" i="3"/>
  <c r="EZ37" i="3"/>
  <c r="EW37" i="3"/>
  <c r="AV36" i="4" s="1"/>
  <c r="ET37" i="3"/>
  <c r="AU36" i="4" s="1"/>
  <c r="EQ37" i="3"/>
  <c r="AT36" i="4" s="1"/>
  <c r="EM37" i="3"/>
  <c r="AN36" i="4" s="1"/>
  <c r="EJ37" i="3"/>
  <c r="AM36" i="4" s="1"/>
  <c r="DZ37" i="3"/>
  <c r="DW37" i="3"/>
  <c r="AH36" i="4" s="1"/>
  <c r="DT37" i="3"/>
  <c r="HY37" i="3" s="1"/>
  <c r="DR37" i="3"/>
  <c r="AD36" i="4" s="1"/>
  <c r="DE37" i="3"/>
  <c r="DA37" i="3"/>
  <c r="X36" i="4" s="1"/>
  <c r="CW37" i="3"/>
  <c r="W36" i="4" s="1"/>
  <c r="CS37" i="3"/>
  <c r="U36" i="4" s="1"/>
  <c r="CO37" i="3"/>
  <c r="T36" i="4" s="1"/>
  <c r="CH37" i="3"/>
  <c r="R36" i="4" s="1"/>
  <c r="CF37" i="3"/>
  <c r="Q36" i="4" s="1"/>
  <c r="CD37" i="3"/>
  <c r="P36" i="4" s="1"/>
  <c r="CA37" i="3"/>
  <c r="O36" i="4" s="1"/>
  <c r="BW37" i="3"/>
  <c r="BX37" i="3" s="1"/>
  <c r="BT37" i="3"/>
  <c r="BR37" i="3"/>
  <c r="Z36" i="4" s="1"/>
  <c r="BP37" i="3"/>
  <c r="BN37" i="3"/>
  <c r="BL37" i="3"/>
  <c r="BJ37" i="3"/>
  <c r="AB36" i="4" s="1"/>
  <c r="BG37" i="3"/>
  <c r="AA36" i="4" s="1"/>
  <c r="BC37" i="3"/>
  <c r="M36" i="4" s="1"/>
  <c r="AZ37" i="3"/>
  <c r="L36" i="4" s="1"/>
  <c r="AW37" i="3"/>
  <c r="AU37" i="3"/>
  <c r="AR37" i="3"/>
  <c r="K36" i="4" s="1"/>
  <c r="AI37" i="3"/>
  <c r="I36" i="4" s="1"/>
  <c r="AE37" i="3"/>
  <c r="H36" i="4" s="1"/>
  <c r="AB37" i="3"/>
  <c r="F36" i="4" s="1"/>
  <c r="Z37" i="3"/>
  <c r="V37" i="3"/>
  <c r="T37" i="3"/>
  <c r="D36" i="4" s="1"/>
  <c r="Q37" i="3"/>
  <c r="R37" i="3" s="1"/>
  <c r="N37" i="3"/>
  <c r="C36" i="4" s="1"/>
  <c r="K37" i="3"/>
  <c r="F37" i="3"/>
  <c r="D37" i="3"/>
  <c r="C37" i="3"/>
  <c r="AG35" i="4"/>
  <c r="GW36" i="3"/>
  <c r="GS36" i="3"/>
  <c r="GP36" i="3"/>
  <c r="GM36" i="3"/>
  <c r="GJ36" i="3"/>
  <c r="GD36" i="3"/>
  <c r="AQ35" i="4"/>
  <c r="FX36" i="3"/>
  <c r="AP35" i="4" s="1"/>
  <c r="FS36" i="3"/>
  <c r="FP36" i="3"/>
  <c r="FJ36" i="3"/>
  <c r="BA35" i="4" s="1"/>
  <c r="FG36" i="3"/>
  <c r="AZ35" i="4" s="1"/>
  <c r="FC36" i="3"/>
  <c r="EZ36" i="3"/>
  <c r="EZ73" i="3" s="1"/>
  <c r="EW36" i="3"/>
  <c r="AV35" i="4" s="1"/>
  <c r="ET36" i="3"/>
  <c r="AU35" i="4" s="1"/>
  <c r="EQ36" i="3"/>
  <c r="AT35" i="4" s="1"/>
  <c r="EM36" i="3"/>
  <c r="AN35" i="4" s="1"/>
  <c r="EJ36" i="3"/>
  <c r="AM35" i="4" s="1"/>
  <c r="DZ36" i="3"/>
  <c r="AI35" i="4" s="1"/>
  <c r="DW36" i="3"/>
  <c r="AH35" i="4" s="1"/>
  <c r="DT36" i="3"/>
  <c r="HY36" i="3" s="1"/>
  <c r="DR36" i="3"/>
  <c r="AD35" i="4" s="1"/>
  <c r="DE36" i="3"/>
  <c r="DA36" i="3"/>
  <c r="X35" i="4" s="1"/>
  <c r="CW36" i="3"/>
  <c r="W35" i="4" s="1"/>
  <c r="CS36" i="3"/>
  <c r="U35" i="4" s="1"/>
  <c r="CO36" i="3"/>
  <c r="T35" i="4" s="1"/>
  <c r="CH36" i="3"/>
  <c r="R35" i="4" s="1"/>
  <c r="CF36" i="3"/>
  <c r="Q35" i="4" s="1"/>
  <c r="CD36" i="3"/>
  <c r="P35" i="4" s="1"/>
  <c r="CA36" i="3"/>
  <c r="O35" i="4" s="1"/>
  <c r="BW36" i="3"/>
  <c r="BX36" i="3" s="1"/>
  <c r="BT36" i="3"/>
  <c r="BR36" i="3"/>
  <c r="Z35" i="4" s="1"/>
  <c r="BP36" i="3"/>
  <c r="BN36" i="3"/>
  <c r="BL36" i="3"/>
  <c r="BJ36" i="3"/>
  <c r="AB35" i="4" s="1"/>
  <c r="BG36" i="3"/>
  <c r="AA35" i="4" s="1"/>
  <c r="BC36" i="3"/>
  <c r="M35" i="4" s="1"/>
  <c r="AZ36" i="3"/>
  <c r="L35" i="4" s="1"/>
  <c r="AW36" i="3"/>
  <c r="AU36" i="3"/>
  <c r="AR36" i="3"/>
  <c r="K35" i="4" s="1"/>
  <c r="AI36" i="3"/>
  <c r="I35" i="4" s="1"/>
  <c r="AE36" i="3"/>
  <c r="H35" i="4" s="1"/>
  <c r="AB36" i="3"/>
  <c r="F35" i="4" s="1"/>
  <c r="Z36" i="3"/>
  <c r="V36" i="3"/>
  <c r="E35" i="4" s="1"/>
  <c r="T36" i="3"/>
  <c r="D35" i="4" s="1"/>
  <c r="Q36" i="3"/>
  <c r="N36" i="3"/>
  <c r="C35" i="4" s="1"/>
  <c r="K36" i="3"/>
  <c r="F36" i="3"/>
  <c r="D36" i="3"/>
  <c r="C36" i="3"/>
  <c r="GW35" i="3"/>
  <c r="GS35" i="3"/>
  <c r="GA35" i="3" s="1"/>
  <c r="AQ34" i="4" s="1"/>
  <c r="GP35" i="3"/>
  <c r="GM35" i="3"/>
  <c r="GJ35" i="3"/>
  <c r="GD35" i="3"/>
  <c r="FX35" i="3"/>
  <c r="AP34" i="4" s="1"/>
  <c r="FS35" i="3"/>
  <c r="FP35" i="3"/>
  <c r="FA72" i="3" s="1"/>
  <c r="FJ35" i="3"/>
  <c r="BA34" i="4" s="1"/>
  <c r="FG35" i="3"/>
  <c r="FC35" i="3"/>
  <c r="EZ35" i="3"/>
  <c r="EZ72" i="3" s="1"/>
  <c r="EW35" i="3"/>
  <c r="AV34" i="4" s="1"/>
  <c r="ET35" i="3"/>
  <c r="AU34" i="4" s="1"/>
  <c r="EQ35" i="3"/>
  <c r="AT34" i="4" s="1"/>
  <c r="EM35" i="3"/>
  <c r="AN34" i="4" s="1"/>
  <c r="EJ35" i="3"/>
  <c r="AM34" i="4" s="1"/>
  <c r="DZ35" i="3"/>
  <c r="DW35" i="3"/>
  <c r="AH34" i="4" s="1"/>
  <c r="DT35" i="3"/>
  <c r="HY35" i="3" s="1"/>
  <c r="DR35" i="3"/>
  <c r="AD34" i="4" s="1"/>
  <c r="DE35" i="3"/>
  <c r="DA35" i="3"/>
  <c r="X34" i="4" s="1"/>
  <c r="CW35" i="3"/>
  <c r="CS35" i="3"/>
  <c r="U34" i="4" s="1"/>
  <c r="CO35" i="3"/>
  <c r="T34" i="4" s="1"/>
  <c r="CH35" i="3"/>
  <c r="R34" i="4" s="1"/>
  <c r="CF35" i="3"/>
  <c r="Q34" i="4" s="1"/>
  <c r="CD35" i="3"/>
  <c r="P34" i="4" s="1"/>
  <c r="CA35" i="3"/>
  <c r="O34" i="4" s="1"/>
  <c r="BW35" i="3"/>
  <c r="BX35" i="3" s="1"/>
  <c r="BT35" i="3"/>
  <c r="BR35" i="3"/>
  <c r="Z34" i="4" s="1"/>
  <c r="BP35" i="3"/>
  <c r="BN35" i="3"/>
  <c r="BL35" i="3"/>
  <c r="BJ35" i="3"/>
  <c r="AB34" i="4" s="1"/>
  <c r="BG35" i="3"/>
  <c r="AA34" i="4" s="1"/>
  <c r="BC35" i="3"/>
  <c r="M34" i="4" s="1"/>
  <c r="AZ35" i="3"/>
  <c r="L34" i="4" s="1"/>
  <c r="AW35" i="3"/>
  <c r="AU35" i="3"/>
  <c r="AR35" i="3"/>
  <c r="K34" i="4" s="1"/>
  <c r="AI35" i="3"/>
  <c r="I34" i="4" s="1"/>
  <c r="AE35" i="3"/>
  <c r="H34" i="4" s="1"/>
  <c r="AB35" i="3"/>
  <c r="F34" i="4" s="1"/>
  <c r="Z35" i="3"/>
  <c r="V35" i="3"/>
  <c r="E34" i="4" s="1"/>
  <c r="T35" i="3"/>
  <c r="D34" i="4" s="1"/>
  <c r="Q35" i="3"/>
  <c r="R35" i="3" s="1"/>
  <c r="N35" i="3"/>
  <c r="C34" i="4" s="1"/>
  <c r="K35" i="3"/>
  <c r="F35" i="3"/>
  <c r="D35" i="3"/>
  <c r="C35" i="3"/>
  <c r="GW34" i="3"/>
  <c r="GS34" i="3"/>
  <c r="GA34" i="3" s="1"/>
  <c r="AQ33" i="4" s="1"/>
  <c r="GP34" i="3"/>
  <c r="GM34" i="3"/>
  <c r="GJ34" i="3"/>
  <c r="GD34" i="3"/>
  <c r="FX34" i="3"/>
  <c r="AP33" i="4" s="1"/>
  <c r="FS34" i="3"/>
  <c r="FP34" i="3"/>
  <c r="FA71" i="3" s="1"/>
  <c r="FJ34" i="3"/>
  <c r="BA33" i="4" s="1"/>
  <c r="FG34" i="3"/>
  <c r="FC34" i="3"/>
  <c r="EZ34" i="3"/>
  <c r="EZ71" i="3" s="1"/>
  <c r="EW34" i="3"/>
  <c r="AV33" i="4" s="1"/>
  <c r="ET34" i="3"/>
  <c r="AU33" i="4" s="1"/>
  <c r="EQ34" i="3"/>
  <c r="EM34" i="3"/>
  <c r="AN33" i="4" s="1"/>
  <c r="EJ34" i="3"/>
  <c r="AM33" i="4" s="1"/>
  <c r="DZ34" i="3"/>
  <c r="AI33" i="4" s="1"/>
  <c r="DW34" i="3"/>
  <c r="AH33" i="4" s="1"/>
  <c r="DT34" i="3"/>
  <c r="HY34" i="3" s="1"/>
  <c r="DR34" i="3"/>
  <c r="AD33" i="4" s="1"/>
  <c r="DE34" i="3"/>
  <c r="DF34" i="3" s="1"/>
  <c r="DA34" i="3"/>
  <c r="X33" i="4" s="1"/>
  <c r="CW34" i="3"/>
  <c r="W33" i="4" s="1"/>
  <c r="CS34" i="3"/>
  <c r="U33" i="4" s="1"/>
  <c r="CO34" i="3"/>
  <c r="T33" i="4" s="1"/>
  <c r="CH34" i="3"/>
  <c r="R33" i="4" s="1"/>
  <c r="CF34" i="3"/>
  <c r="Q33" i="4" s="1"/>
  <c r="CD34" i="3"/>
  <c r="P33" i="4" s="1"/>
  <c r="CA34" i="3"/>
  <c r="O33" i="4" s="1"/>
  <c r="BW34" i="3"/>
  <c r="BX34" i="3" s="1"/>
  <c r="BT34" i="3"/>
  <c r="BR34" i="3"/>
  <c r="Z33" i="4" s="1"/>
  <c r="BP34" i="3"/>
  <c r="BN34" i="3"/>
  <c r="BL34" i="3"/>
  <c r="BJ34" i="3"/>
  <c r="AB33" i="4" s="1"/>
  <c r="BG34" i="3"/>
  <c r="AA33" i="4" s="1"/>
  <c r="BC34" i="3"/>
  <c r="M33" i="4" s="1"/>
  <c r="AZ34" i="3"/>
  <c r="L33" i="4" s="1"/>
  <c r="AW34" i="3"/>
  <c r="AU34" i="3"/>
  <c r="AR34" i="3"/>
  <c r="K33" i="4" s="1"/>
  <c r="AI34" i="3"/>
  <c r="I33" i="4" s="1"/>
  <c r="AE34" i="3"/>
  <c r="H33" i="4" s="1"/>
  <c r="F33" i="4"/>
  <c r="Z34" i="3"/>
  <c r="V34" i="3"/>
  <c r="E33" i="4" s="1"/>
  <c r="T34" i="3"/>
  <c r="D33" i="4" s="1"/>
  <c r="Q34" i="3"/>
  <c r="N34" i="3"/>
  <c r="C33" i="4" s="1"/>
  <c r="K34" i="3"/>
  <c r="F34" i="3"/>
  <c r="D34" i="3"/>
  <c r="C34" i="3"/>
  <c r="GW33" i="3"/>
  <c r="GS33" i="3"/>
  <c r="GP33" i="3"/>
  <c r="GM33" i="3"/>
  <c r="BC32" i="4" s="1"/>
  <c r="GJ33" i="3"/>
  <c r="GD33" i="3"/>
  <c r="FX33" i="3"/>
  <c r="AP32" i="4" s="1"/>
  <c r="FS33" i="3"/>
  <c r="FP33" i="3"/>
  <c r="FA70" i="3" s="1"/>
  <c r="BA32" i="4"/>
  <c r="FG33" i="3"/>
  <c r="FC33" i="3"/>
  <c r="EZ33" i="3"/>
  <c r="EZ70" i="3" s="1"/>
  <c r="EW33" i="3"/>
  <c r="AV32" i="4" s="1"/>
  <c r="ET33" i="3"/>
  <c r="AU32" i="4" s="1"/>
  <c r="EQ33" i="3"/>
  <c r="AT32" i="4" s="1"/>
  <c r="EM33" i="3"/>
  <c r="AN32" i="4" s="1"/>
  <c r="EJ33" i="3"/>
  <c r="AM32" i="4" s="1"/>
  <c r="DZ33" i="3"/>
  <c r="AI32" i="4" s="1"/>
  <c r="DW33" i="3"/>
  <c r="AH32" i="4" s="1"/>
  <c r="DT33" i="3"/>
  <c r="HY33" i="3" s="1"/>
  <c r="DR33" i="3"/>
  <c r="AD32" i="4" s="1"/>
  <c r="DE33" i="3"/>
  <c r="DF33" i="3" s="1"/>
  <c r="DA33" i="3"/>
  <c r="X32" i="4" s="1"/>
  <c r="CW33" i="3"/>
  <c r="W32" i="4" s="1"/>
  <c r="CS33" i="3"/>
  <c r="U32" i="4" s="1"/>
  <c r="CO33" i="3"/>
  <c r="CH33" i="3"/>
  <c r="R32" i="4" s="1"/>
  <c r="CF33" i="3"/>
  <c r="Q32" i="4" s="1"/>
  <c r="CD33" i="3"/>
  <c r="P32" i="4" s="1"/>
  <c r="CA33" i="3"/>
  <c r="BW33" i="3"/>
  <c r="BX33" i="3" s="1"/>
  <c r="BT33" i="3"/>
  <c r="BR33" i="3"/>
  <c r="Z32" i="4" s="1"/>
  <c r="BP33" i="3"/>
  <c r="BN33" i="3"/>
  <c r="BL33" i="3"/>
  <c r="BJ33" i="3"/>
  <c r="AB32" i="4" s="1"/>
  <c r="BG33" i="3"/>
  <c r="AA32" i="4" s="1"/>
  <c r="BC33" i="3"/>
  <c r="M32" i="4" s="1"/>
  <c r="AZ33" i="3"/>
  <c r="L32" i="4" s="1"/>
  <c r="AW33" i="3"/>
  <c r="AU33" i="3"/>
  <c r="AR33" i="3"/>
  <c r="K32" i="4" s="1"/>
  <c r="AI33" i="3"/>
  <c r="I32" i="4" s="1"/>
  <c r="AE33" i="3"/>
  <c r="H32" i="4" s="1"/>
  <c r="AB33" i="3"/>
  <c r="Z33" i="3"/>
  <c r="V33" i="3"/>
  <c r="E32" i="4" s="1"/>
  <c r="T33" i="3"/>
  <c r="D32" i="4" s="1"/>
  <c r="Q33" i="3"/>
  <c r="R33" i="3" s="1"/>
  <c r="N33" i="3"/>
  <c r="K33" i="3"/>
  <c r="F33" i="3"/>
  <c r="D33" i="3"/>
  <c r="C33" i="3"/>
  <c r="GW32" i="3"/>
  <c r="GS32" i="3"/>
  <c r="GA32" i="3" s="1"/>
  <c r="AQ31" i="4" s="1"/>
  <c r="GP32" i="3"/>
  <c r="GM32" i="3"/>
  <c r="BC31" i="4" s="1"/>
  <c r="GJ32" i="3"/>
  <c r="AX31" i="4" s="1"/>
  <c r="GD32" i="3"/>
  <c r="FX32" i="3"/>
  <c r="AP31" i="4" s="1"/>
  <c r="FS32" i="3"/>
  <c r="FP32" i="3"/>
  <c r="FA69" i="3" s="1"/>
  <c r="FJ32" i="3"/>
  <c r="BA31" i="4" s="1"/>
  <c r="FG32" i="3"/>
  <c r="FC32" i="3"/>
  <c r="EZ32" i="3"/>
  <c r="EZ69" i="3" s="1"/>
  <c r="EW32" i="3"/>
  <c r="AV31" i="4" s="1"/>
  <c r="ET32" i="3"/>
  <c r="AU31" i="4" s="1"/>
  <c r="EQ32" i="3"/>
  <c r="EM32" i="3"/>
  <c r="AN31" i="4" s="1"/>
  <c r="EJ32" i="3"/>
  <c r="AM31" i="4" s="1"/>
  <c r="DZ32" i="3"/>
  <c r="AI31" i="4" s="1"/>
  <c r="DW32" i="3"/>
  <c r="AH31" i="4" s="1"/>
  <c r="DT32" i="3"/>
  <c r="HY32" i="3" s="1"/>
  <c r="DR32" i="3"/>
  <c r="AD31" i="4" s="1"/>
  <c r="DE32" i="3"/>
  <c r="DF32" i="3" s="1"/>
  <c r="DA32" i="3"/>
  <c r="CW32" i="3"/>
  <c r="W31" i="4" s="1"/>
  <c r="CS32" i="3"/>
  <c r="U31" i="4" s="1"/>
  <c r="CO32" i="3"/>
  <c r="T31" i="4" s="1"/>
  <c r="CH32" i="3"/>
  <c r="R31" i="4" s="1"/>
  <c r="CF32" i="3"/>
  <c r="Q31" i="4" s="1"/>
  <c r="CD32" i="3"/>
  <c r="P31" i="4" s="1"/>
  <c r="CA32" i="3"/>
  <c r="O31" i="4" s="1"/>
  <c r="BW32" i="3"/>
  <c r="BX32" i="3" s="1"/>
  <c r="BT32" i="3"/>
  <c r="BR32" i="3"/>
  <c r="Z31" i="4" s="1"/>
  <c r="BP32" i="3"/>
  <c r="BN32" i="3"/>
  <c r="BL32" i="3"/>
  <c r="BJ32" i="3"/>
  <c r="AB31" i="4" s="1"/>
  <c r="BG32" i="3"/>
  <c r="AA31" i="4" s="1"/>
  <c r="BC32" i="3"/>
  <c r="M31" i="4" s="1"/>
  <c r="AZ32" i="3"/>
  <c r="L31" i="4" s="1"/>
  <c r="AW32" i="3"/>
  <c r="AU32" i="3"/>
  <c r="AR32" i="3"/>
  <c r="K31" i="4" s="1"/>
  <c r="AI32" i="3"/>
  <c r="I31" i="4" s="1"/>
  <c r="AE32" i="3"/>
  <c r="AB32" i="3"/>
  <c r="F31" i="4" s="1"/>
  <c r="Z32" i="3"/>
  <c r="V32" i="3"/>
  <c r="E31" i="4" s="1"/>
  <c r="T32" i="3"/>
  <c r="D31" i="4" s="1"/>
  <c r="Q32" i="3"/>
  <c r="N32" i="3"/>
  <c r="C31" i="4" s="1"/>
  <c r="K32" i="3"/>
  <c r="F32" i="3"/>
  <c r="D32" i="3"/>
  <c r="C32" i="3"/>
  <c r="GW31" i="3"/>
  <c r="GS31" i="3"/>
  <c r="GP31" i="3"/>
  <c r="GM31" i="3"/>
  <c r="BC30" i="4" s="1"/>
  <c r="GJ31" i="3"/>
  <c r="GD31" i="3"/>
  <c r="FX31" i="3"/>
  <c r="AP30" i="4" s="1"/>
  <c r="FS31" i="3"/>
  <c r="FP31" i="3"/>
  <c r="FA68" i="3" s="1"/>
  <c r="FJ31" i="3"/>
  <c r="BA30" i="4" s="1"/>
  <c r="FG31" i="3"/>
  <c r="FC31" i="3"/>
  <c r="EZ31" i="3"/>
  <c r="EZ68" i="3" s="1"/>
  <c r="EW31" i="3"/>
  <c r="AV30" i="4" s="1"/>
  <c r="ET31" i="3"/>
  <c r="AU30" i="4" s="1"/>
  <c r="EQ31" i="3"/>
  <c r="AT30" i="4" s="1"/>
  <c r="EM31" i="3"/>
  <c r="AN30" i="4" s="1"/>
  <c r="EJ31" i="3"/>
  <c r="AM30" i="4" s="1"/>
  <c r="DZ31" i="3"/>
  <c r="AI30" i="4" s="1"/>
  <c r="DW31" i="3"/>
  <c r="AH30" i="4" s="1"/>
  <c r="DT31" i="3"/>
  <c r="HY31" i="3" s="1"/>
  <c r="DR31" i="3"/>
  <c r="AD30" i="4" s="1"/>
  <c r="DE31" i="3"/>
  <c r="DF31" i="3" s="1"/>
  <c r="DA31" i="3"/>
  <c r="CW31" i="3"/>
  <c r="W30" i="4" s="1"/>
  <c r="CS31" i="3"/>
  <c r="U30" i="4" s="1"/>
  <c r="CO31" i="3"/>
  <c r="CH31" i="3"/>
  <c r="R30" i="4" s="1"/>
  <c r="CF31" i="3"/>
  <c r="Q30" i="4" s="1"/>
  <c r="CD31" i="3"/>
  <c r="P30" i="4" s="1"/>
  <c r="CA31" i="3"/>
  <c r="CB31" i="3" s="1"/>
  <c r="BW31" i="3"/>
  <c r="BX31" i="3" s="1"/>
  <c r="BT31" i="3"/>
  <c r="BR31" i="3"/>
  <c r="Z30" i="4" s="1"/>
  <c r="BP31" i="3"/>
  <c r="BN31" i="3"/>
  <c r="BL31" i="3"/>
  <c r="BJ31" i="3"/>
  <c r="AB30" i="4" s="1"/>
  <c r="BG31" i="3"/>
  <c r="AA30" i="4" s="1"/>
  <c r="BC31" i="3"/>
  <c r="M30" i="4" s="1"/>
  <c r="AZ31" i="3"/>
  <c r="L30" i="4" s="1"/>
  <c r="AW31" i="3"/>
  <c r="AU31" i="3"/>
  <c r="AR31" i="3"/>
  <c r="K30" i="4" s="1"/>
  <c r="AI31" i="3"/>
  <c r="I30" i="4" s="1"/>
  <c r="AE31" i="3"/>
  <c r="AB31" i="3"/>
  <c r="Z31" i="3"/>
  <c r="V31" i="3"/>
  <c r="E30" i="4" s="1"/>
  <c r="T31" i="3"/>
  <c r="D30" i="4" s="1"/>
  <c r="Q31" i="3"/>
  <c r="R31" i="3" s="1"/>
  <c r="N31" i="3"/>
  <c r="C30" i="4" s="1"/>
  <c r="K31" i="3"/>
  <c r="F31" i="3"/>
  <c r="D31" i="3"/>
  <c r="C31" i="3"/>
  <c r="GW30" i="3"/>
  <c r="GS30" i="3"/>
  <c r="GA30" i="3" s="1"/>
  <c r="AQ29" i="4" s="1"/>
  <c r="GP30" i="3"/>
  <c r="GM30" i="3"/>
  <c r="BC29" i="4" s="1"/>
  <c r="GJ30" i="3"/>
  <c r="AX29" i="4" s="1"/>
  <c r="GD30" i="3"/>
  <c r="FX30" i="3"/>
  <c r="AP29" i="4" s="1"/>
  <c r="FS30" i="3"/>
  <c r="FP30" i="3"/>
  <c r="FA67" i="3" s="1"/>
  <c r="FJ30" i="3"/>
  <c r="BA29" i="4" s="1"/>
  <c r="FG30" i="3"/>
  <c r="FC30" i="3"/>
  <c r="EZ30" i="3"/>
  <c r="EZ67" i="3" s="1"/>
  <c r="EW30" i="3"/>
  <c r="AV29" i="4" s="1"/>
  <c r="ET30" i="3"/>
  <c r="AU29" i="4" s="1"/>
  <c r="EQ30" i="3"/>
  <c r="EM30" i="3"/>
  <c r="AN29" i="4" s="1"/>
  <c r="EJ30" i="3"/>
  <c r="AM29" i="4" s="1"/>
  <c r="DZ30" i="3"/>
  <c r="AI29" i="4" s="1"/>
  <c r="DW30" i="3"/>
  <c r="AH29" i="4" s="1"/>
  <c r="DT30" i="3"/>
  <c r="HY30" i="3" s="1"/>
  <c r="DR30" i="3"/>
  <c r="AD29" i="4" s="1"/>
  <c r="DE30" i="3"/>
  <c r="DF30" i="3" s="1"/>
  <c r="DA30" i="3"/>
  <c r="CW30" i="3"/>
  <c r="W29" i="4" s="1"/>
  <c r="CS30" i="3"/>
  <c r="U29" i="4" s="1"/>
  <c r="CO30" i="3"/>
  <c r="CH30" i="3"/>
  <c r="R29" i="4" s="1"/>
  <c r="CF30" i="3"/>
  <c r="Q29" i="4" s="1"/>
  <c r="CD30" i="3"/>
  <c r="P29" i="4" s="1"/>
  <c r="CA30" i="3"/>
  <c r="O29" i="4" s="1"/>
  <c r="BW30" i="3"/>
  <c r="BX30" i="3" s="1"/>
  <c r="BT30" i="3"/>
  <c r="BR30" i="3"/>
  <c r="Z29" i="4" s="1"/>
  <c r="BP30" i="3"/>
  <c r="BN30" i="3"/>
  <c r="BL30" i="3"/>
  <c r="BJ30" i="3"/>
  <c r="AB29" i="4" s="1"/>
  <c r="BG30" i="3"/>
  <c r="AA29" i="4" s="1"/>
  <c r="BC30" i="3"/>
  <c r="M29" i="4" s="1"/>
  <c r="AZ30" i="3"/>
  <c r="L29" i="4" s="1"/>
  <c r="AW30" i="3"/>
  <c r="AU30" i="3"/>
  <c r="AR30" i="3"/>
  <c r="K29" i="4" s="1"/>
  <c r="AI30" i="3"/>
  <c r="I29" i="4" s="1"/>
  <c r="AE30" i="3"/>
  <c r="AB30" i="3"/>
  <c r="F29" i="4" s="1"/>
  <c r="Z30" i="3"/>
  <c r="V30" i="3"/>
  <c r="E29" i="4" s="1"/>
  <c r="T30" i="3"/>
  <c r="D29" i="4" s="1"/>
  <c r="Q30" i="3"/>
  <c r="R30" i="3" s="1"/>
  <c r="N30" i="3"/>
  <c r="C29" i="4" s="1"/>
  <c r="K30" i="3"/>
  <c r="F30" i="3"/>
  <c r="D30" i="3"/>
  <c r="C30" i="3"/>
  <c r="GW29" i="3"/>
  <c r="GS29" i="3"/>
  <c r="GP29" i="3"/>
  <c r="GM29" i="3"/>
  <c r="BC28" i="4" s="1"/>
  <c r="GJ29" i="3"/>
  <c r="GD29" i="3"/>
  <c r="FX29" i="3"/>
  <c r="AP28" i="4" s="1"/>
  <c r="FS29" i="3"/>
  <c r="FP29" i="3"/>
  <c r="FA66" i="3" s="1"/>
  <c r="FJ29" i="3"/>
  <c r="BA28" i="4" s="1"/>
  <c r="FG29" i="3"/>
  <c r="FC29" i="3"/>
  <c r="EZ29" i="3"/>
  <c r="EZ66" i="3" s="1"/>
  <c r="EW29" i="3"/>
  <c r="AV28" i="4" s="1"/>
  <c r="ET29" i="3"/>
  <c r="AU28" i="4" s="1"/>
  <c r="EQ29" i="3"/>
  <c r="AT28" i="4" s="1"/>
  <c r="EM29" i="3"/>
  <c r="AN28" i="4" s="1"/>
  <c r="EJ29" i="3"/>
  <c r="AM28" i="4" s="1"/>
  <c r="DZ29" i="3"/>
  <c r="AI28" i="4" s="1"/>
  <c r="DW29" i="3"/>
  <c r="AH28" i="4" s="1"/>
  <c r="DT29" i="3"/>
  <c r="HY29" i="3" s="1"/>
  <c r="DR29" i="3"/>
  <c r="AD28" i="4" s="1"/>
  <c r="DE29" i="3"/>
  <c r="DA29" i="3"/>
  <c r="CW29" i="3"/>
  <c r="W28" i="4" s="1"/>
  <c r="CS29" i="3"/>
  <c r="U28" i="4" s="1"/>
  <c r="CO29" i="3"/>
  <c r="CH29" i="3"/>
  <c r="R28" i="4" s="1"/>
  <c r="CF29" i="3"/>
  <c r="Q28" i="4" s="1"/>
  <c r="CD29" i="3"/>
  <c r="P28" i="4" s="1"/>
  <c r="CA29" i="3"/>
  <c r="BW29" i="3"/>
  <c r="BX29" i="3" s="1"/>
  <c r="BT29" i="3"/>
  <c r="BR29" i="3"/>
  <c r="Z28" i="4" s="1"/>
  <c r="BP29" i="3"/>
  <c r="BN29" i="3"/>
  <c r="BL29" i="3"/>
  <c r="BJ29" i="3"/>
  <c r="AB28" i="4" s="1"/>
  <c r="BG29" i="3"/>
  <c r="AA28" i="4" s="1"/>
  <c r="BC29" i="3"/>
  <c r="M28" i="4" s="1"/>
  <c r="AZ29" i="3"/>
  <c r="L28" i="4" s="1"/>
  <c r="AW29" i="3"/>
  <c r="AU29" i="3"/>
  <c r="AR29" i="3"/>
  <c r="K28" i="4" s="1"/>
  <c r="AI29" i="3"/>
  <c r="I28" i="4" s="1"/>
  <c r="AE29" i="3"/>
  <c r="AB29" i="3"/>
  <c r="F28" i="4" s="1"/>
  <c r="Z29" i="3"/>
  <c r="V29" i="3"/>
  <c r="E28" i="4" s="1"/>
  <c r="T29" i="3"/>
  <c r="D28" i="4" s="1"/>
  <c r="Q29" i="3"/>
  <c r="R29" i="3" s="1"/>
  <c r="N29" i="3"/>
  <c r="C28" i="4" s="1"/>
  <c r="K29" i="3"/>
  <c r="F29" i="3"/>
  <c r="D29" i="3"/>
  <c r="C29" i="3"/>
  <c r="GW28" i="3"/>
  <c r="GS28" i="3"/>
  <c r="GA28" i="3" s="1"/>
  <c r="AQ27" i="4" s="1"/>
  <c r="GP28" i="3"/>
  <c r="GM28" i="3"/>
  <c r="BC27" i="4" s="1"/>
  <c r="GJ28" i="3"/>
  <c r="AX27" i="4" s="1"/>
  <c r="GD28" i="3"/>
  <c r="FX28" i="3"/>
  <c r="AP27" i="4" s="1"/>
  <c r="FS28" i="3"/>
  <c r="FP28" i="3"/>
  <c r="FA65" i="3" s="1"/>
  <c r="FJ28" i="3"/>
  <c r="BA27" i="4" s="1"/>
  <c r="FG28" i="3"/>
  <c r="FC28" i="3"/>
  <c r="EZ28" i="3"/>
  <c r="EZ65" i="3" s="1"/>
  <c r="EW28" i="3"/>
  <c r="AV27" i="4" s="1"/>
  <c r="ET28" i="3"/>
  <c r="AU27" i="4" s="1"/>
  <c r="EQ28" i="3"/>
  <c r="EM28" i="3"/>
  <c r="AN27" i="4" s="1"/>
  <c r="EJ28" i="3"/>
  <c r="AM27" i="4" s="1"/>
  <c r="DZ28" i="3"/>
  <c r="AI27" i="4" s="1"/>
  <c r="DW28" i="3"/>
  <c r="AH27" i="4" s="1"/>
  <c r="DT28" i="3"/>
  <c r="HY28" i="3" s="1"/>
  <c r="DR28" i="3"/>
  <c r="AD27" i="4" s="1"/>
  <c r="DE28" i="3"/>
  <c r="DF28" i="3" s="1"/>
  <c r="CW28" i="3"/>
  <c r="W27" i="4" s="1"/>
  <c r="CS28" i="3"/>
  <c r="U27" i="4" s="1"/>
  <c r="CO28" i="3"/>
  <c r="CH28" i="3"/>
  <c r="R27" i="4" s="1"/>
  <c r="CF28" i="3"/>
  <c r="Q27" i="4" s="1"/>
  <c r="CD28" i="3"/>
  <c r="P27" i="4" s="1"/>
  <c r="CA28" i="3"/>
  <c r="O27" i="4" s="1"/>
  <c r="BW28" i="3"/>
  <c r="BX28" i="3" s="1"/>
  <c r="BT28" i="3"/>
  <c r="BR28" i="3"/>
  <c r="Z27" i="4" s="1"/>
  <c r="BP28" i="3"/>
  <c r="BN28" i="3"/>
  <c r="BJ28" i="3"/>
  <c r="AB27" i="4" s="1"/>
  <c r="BG28" i="3"/>
  <c r="AA27" i="4" s="1"/>
  <c r="BC28" i="3"/>
  <c r="M27" i="4" s="1"/>
  <c r="AZ28" i="3"/>
  <c r="L27" i="4" s="1"/>
  <c r="AW28" i="3"/>
  <c r="AU28" i="3"/>
  <c r="AR28" i="3"/>
  <c r="K27" i="4" s="1"/>
  <c r="AI28" i="3"/>
  <c r="I27" i="4" s="1"/>
  <c r="AE28" i="3"/>
  <c r="AB28" i="3"/>
  <c r="F27" i="4" s="1"/>
  <c r="Z28" i="3"/>
  <c r="V28" i="3"/>
  <c r="E27" i="4" s="1"/>
  <c r="T28" i="3"/>
  <c r="D27" i="4" s="1"/>
  <c r="Q28" i="3"/>
  <c r="N28" i="3"/>
  <c r="C27" i="4" s="1"/>
  <c r="K28" i="3"/>
  <c r="F28" i="3"/>
  <c r="D28" i="3"/>
  <c r="C28" i="3"/>
  <c r="GW27" i="3"/>
  <c r="GS27" i="3"/>
  <c r="GP27" i="3"/>
  <c r="GM27" i="3"/>
  <c r="BC26" i="4" s="1"/>
  <c r="GJ27" i="3"/>
  <c r="AX26" i="4" s="1"/>
  <c r="GD27" i="3"/>
  <c r="FX27" i="3"/>
  <c r="AP26" i="4" s="1"/>
  <c r="FS27" i="3"/>
  <c r="FP27" i="3"/>
  <c r="FA64" i="3" s="1"/>
  <c r="FJ27" i="3"/>
  <c r="BA26" i="4" s="1"/>
  <c r="FG27" i="3"/>
  <c r="FC27" i="3"/>
  <c r="EZ27" i="3"/>
  <c r="EZ64" i="3" s="1"/>
  <c r="EW27" i="3"/>
  <c r="AV26" i="4" s="1"/>
  <c r="ET27" i="3"/>
  <c r="AU26" i="4" s="1"/>
  <c r="EQ27" i="3"/>
  <c r="AT26" i="4" s="1"/>
  <c r="EM27" i="3"/>
  <c r="AN26" i="4" s="1"/>
  <c r="EJ27" i="3"/>
  <c r="AM26" i="4" s="1"/>
  <c r="DZ27" i="3"/>
  <c r="AI26" i="4" s="1"/>
  <c r="DW27" i="3"/>
  <c r="AH26" i="4" s="1"/>
  <c r="DT27" i="3"/>
  <c r="HY27" i="3" s="1"/>
  <c r="HZ27" i="3" s="1"/>
  <c r="DR27" i="3"/>
  <c r="AD26" i="4" s="1"/>
  <c r="DE27" i="3"/>
  <c r="DF27" i="3" s="1"/>
  <c r="CW27" i="3"/>
  <c r="W26" i="4" s="1"/>
  <c r="CS27" i="3"/>
  <c r="U26" i="4" s="1"/>
  <c r="CO27" i="3"/>
  <c r="CH27" i="3"/>
  <c r="R26" i="4" s="1"/>
  <c r="CF27" i="3"/>
  <c r="Q26" i="4" s="1"/>
  <c r="CD27" i="3"/>
  <c r="P26" i="4" s="1"/>
  <c r="CA27" i="3"/>
  <c r="BW27" i="3"/>
  <c r="BX27" i="3" s="1"/>
  <c r="BT27" i="3"/>
  <c r="BR27" i="3"/>
  <c r="Z26" i="4" s="1"/>
  <c r="BP27" i="3"/>
  <c r="BN27" i="3"/>
  <c r="BJ27" i="3"/>
  <c r="AB26" i="4" s="1"/>
  <c r="BG27" i="3"/>
  <c r="AA26" i="4" s="1"/>
  <c r="BC27" i="3"/>
  <c r="M26" i="4" s="1"/>
  <c r="AZ27" i="3"/>
  <c r="L26" i="4" s="1"/>
  <c r="AW27" i="3"/>
  <c r="AU27" i="3"/>
  <c r="AR27" i="3"/>
  <c r="K26" i="4" s="1"/>
  <c r="AI27" i="3"/>
  <c r="I26" i="4" s="1"/>
  <c r="AE27" i="3"/>
  <c r="AB27" i="3"/>
  <c r="F26" i="4" s="1"/>
  <c r="Z27" i="3"/>
  <c r="V27" i="3"/>
  <c r="E26" i="4" s="1"/>
  <c r="T27" i="3"/>
  <c r="D26" i="4" s="1"/>
  <c r="Q27" i="3"/>
  <c r="N27" i="3"/>
  <c r="C26" i="4" s="1"/>
  <c r="K27" i="3"/>
  <c r="F27" i="3"/>
  <c r="D27" i="3"/>
  <c r="C27" i="3"/>
  <c r="GW26" i="3"/>
  <c r="GS26" i="3"/>
  <c r="GA26" i="3" s="1"/>
  <c r="AQ25" i="4" s="1"/>
  <c r="GP26" i="3"/>
  <c r="GM26" i="3"/>
  <c r="BC25" i="4" s="1"/>
  <c r="GJ26" i="3"/>
  <c r="GD26" i="3"/>
  <c r="FX26" i="3"/>
  <c r="AP25" i="4" s="1"/>
  <c r="FS26" i="3"/>
  <c r="FP26" i="3"/>
  <c r="FA63" i="3" s="1"/>
  <c r="FJ26" i="3"/>
  <c r="BA25" i="4" s="1"/>
  <c r="FG26" i="3"/>
  <c r="FC26" i="3"/>
  <c r="EZ26" i="3"/>
  <c r="EZ63" i="3" s="1"/>
  <c r="EW26" i="3"/>
  <c r="AV25" i="4" s="1"/>
  <c r="ET26" i="3"/>
  <c r="AU25" i="4" s="1"/>
  <c r="EQ26" i="3"/>
  <c r="EM26" i="3"/>
  <c r="AN25" i="4" s="1"/>
  <c r="EJ26" i="3"/>
  <c r="AM25" i="4" s="1"/>
  <c r="DZ26" i="3"/>
  <c r="AI25" i="4" s="1"/>
  <c r="DW26" i="3"/>
  <c r="AH25" i="4" s="1"/>
  <c r="DT26" i="3"/>
  <c r="DR26" i="3"/>
  <c r="AD25" i="4" s="1"/>
  <c r="DE26" i="3"/>
  <c r="DF26" i="3" s="1"/>
  <c r="DA26" i="3"/>
  <c r="CY27" i="3" s="1"/>
  <c r="DA28" i="3" s="1"/>
  <c r="CW26" i="3"/>
  <c r="W25" i="4" s="1"/>
  <c r="CS26" i="3"/>
  <c r="U25" i="4" s="1"/>
  <c r="CO26" i="3"/>
  <c r="CH26" i="3"/>
  <c r="R25" i="4" s="1"/>
  <c r="CF26" i="3"/>
  <c r="Q25" i="4" s="1"/>
  <c r="CD26" i="3"/>
  <c r="P25" i="4" s="1"/>
  <c r="CA26" i="3"/>
  <c r="O25" i="4" s="1"/>
  <c r="BW26" i="3"/>
  <c r="BX26" i="3" s="1"/>
  <c r="BT26" i="3"/>
  <c r="BR26" i="3"/>
  <c r="Z25" i="4" s="1"/>
  <c r="BP26" i="3"/>
  <c r="BN26" i="3"/>
  <c r="BL26" i="3"/>
  <c r="BK27" i="3" s="1"/>
  <c r="BL28" i="3" s="1"/>
  <c r="BJ26" i="3"/>
  <c r="AB25" i="4" s="1"/>
  <c r="BG26" i="3"/>
  <c r="AA25" i="4" s="1"/>
  <c r="BC26" i="3"/>
  <c r="M25" i="4" s="1"/>
  <c r="AZ26" i="3"/>
  <c r="L25" i="4" s="1"/>
  <c r="AW26" i="3"/>
  <c r="AU26" i="3"/>
  <c r="AR26" i="3"/>
  <c r="K25" i="4" s="1"/>
  <c r="AI26" i="3"/>
  <c r="I25" i="4" s="1"/>
  <c r="AE26" i="3"/>
  <c r="AB26" i="3"/>
  <c r="F25" i="4" s="1"/>
  <c r="Z26" i="3"/>
  <c r="V26" i="3"/>
  <c r="E25" i="4" s="1"/>
  <c r="T26" i="3"/>
  <c r="D25" i="4" s="1"/>
  <c r="Q26" i="3"/>
  <c r="R26" i="3" s="1"/>
  <c r="N26" i="3"/>
  <c r="C25" i="4" s="1"/>
  <c r="K26" i="3"/>
  <c r="F26" i="3"/>
  <c r="D26" i="3"/>
  <c r="C26" i="3"/>
  <c r="GW25" i="3"/>
  <c r="GS25" i="3"/>
  <c r="GP25" i="3"/>
  <c r="GM25" i="3"/>
  <c r="BC24" i="4" s="1"/>
  <c r="GJ25" i="3"/>
  <c r="GD25" i="3"/>
  <c r="FX25" i="3"/>
  <c r="AP24" i="4" s="1"/>
  <c r="FS25" i="3"/>
  <c r="FP25" i="3"/>
  <c r="FA62" i="3" s="1"/>
  <c r="FJ25" i="3"/>
  <c r="BA24" i="4" s="1"/>
  <c r="FG25" i="3"/>
  <c r="FC25" i="3"/>
  <c r="EZ25" i="3"/>
  <c r="EZ62" i="3" s="1"/>
  <c r="EW25" i="3"/>
  <c r="AV24" i="4" s="1"/>
  <c r="ET25" i="3"/>
  <c r="AU24" i="4" s="1"/>
  <c r="EQ25" i="3"/>
  <c r="AT24" i="4" s="1"/>
  <c r="EM25" i="3"/>
  <c r="AN24" i="4" s="1"/>
  <c r="EJ25" i="3"/>
  <c r="AM24" i="4" s="1"/>
  <c r="DZ25" i="3"/>
  <c r="AI24" i="4" s="1"/>
  <c r="DW25" i="3"/>
  <c r="AH24" i="4" s="1"/>
  <c r="DT25" i="3"/>
  <c r="HY25" i="3" s="1"/>
  <c r="DR25" i="3"/>
  <c r="AD24" i="4" s="1"/>
  <c r="DE25" i="3"/>
  <c r="DF25" i="3" s="1"/>
  <c r="DA25" i="3"/>
  <c r="CW25" i="3"/>
  <c r="W24" i="4" s="1"/>
  <c r="CS25" i="3"/>
  <c r="U24" i="4" s="1"/>
  <c r="CO25" i="3"/>
  <c r="CH25" i="3"/>
  <c r="R24" i="4" s="1"/>
  <c r="CF25" i="3"/>
  <c r="Q24" i="4" s="1"/>
  <c r="CD25" i="3"/>
  <c r="P24" i="4" s="1"/>
  <c r="CA25" i="3"/>
  <c r="CB25" i="3" s="1"/>
  <c r="BW25" i="3"/>
  <c r="BX25" i="3" s="1"/>
  <c r="BT25" i="3"/>
  <c r="BR25" i="3"/>
  <c r="Z24" i="4" s="1"/>
  <c r="BP25" i="3"/>
  <c r="BN25" i="3"/>
  <c r="BL25" i="3"/>
  <c r="BJ25" i="3"/>
  <c r="AB24" i="4" s="1"/>
  <c r="BG25" i="3"/>
  <c r="AA24" i="4" s="1"/>
  <c r="BC25" i="3"/>
  <c r="M24" i="4" s="1"/>
  <c r="AZ25" i="3"/>
  <c r="L24" i="4" s="1"/>
  <c r="AW25" i="3"/>
  <c r="AU25" i="3"/>
  <c r="AR25" i="3"/>
  <c r="K24" i="4" s="1"/>
  <c r="AI25" i="3"/>
  <c r="I24" i="4" s="1"/>
  <c r="AE25" i="3"/>
  <c r="AB25" i="3"/>
  <c r="F24" i="4" s="1"/>
  <c r="Z25" i="3"/>
  <c r="V25" i="3"/>
  <c r="E24" i="4" s="1"/>
  <c r="T25" i="3"/>
  <c r="D24" i="4" s="1"/>
  <c r="Q25" i="3"/>
  <c r="R25" i="3" s="1"/>
  <c r="N25" i="3"/>
  <c r="C24" i="4" s="1"/>
  <c r="K25" i="3"/>
  <c r="F25" i="3"/>
  <c r="D25" i="3"/>
  <c r="C25" i="3"/>
  <c r="GW24" i="3"/>
  <c r="GS24" i="3"/>
  <c r="GA24" i="3" s="1"/>
  <c r="AQ23" i="4" s="1"/>
  <c r="GP24" i="3"/>
  <c r="GM24" i="3"/>
  <c r="BC23" i="4" s="1"/>
  <c r="GJ24" i="3"/>
  <c r="GD24" i="3"/>
  <c r="FX24" i="3"/>
  <c r="AP23" i="4" s="1"/>
  <c r="FS24" i="3"/>
  <c r="FP24" i="3"/>
  <c r="FA61" i="3" s="1"/>
  <c r="FJ24" i="3"/>
  <c r="BA23" i="4" s="1"/>
  <c r="FG24" i="3"/>
  <c r="FC24" i="3"/>
  <c r="EZ24" i="3"/>
  <c r="EZ61" i="3" s="1"/>
  <c r="EW24" i="3"/>
  <c r="AV23" i="4" s="1"/>
  <c r="ET24" i="3"/>
  <c r="AU23" i="4" s="1"/>
  <c r="EQ24" i="3"/>
  <c r="EM24" i="3"/>
  <c r="AN23" i="4" s="1"/>
  <c r="EJ24" i="3"/>
  <c r="AM23" i="4" s="1"/>
  <c r="DZ24" i="3"/>
  <c r="AI23" i="4" s="1"/>
  <c r="DW24" i="3"/>
  <c r="AH23" i="4" s="1"/>
  <c r="DT24" i="3"/>
  <c r="DR24" i="3"/>
  <c r="AD23" i="4" s="1"/>
  <c r="DE24" i="3"/>
  <c r="DF24" i="3" s="1"/>
  <c r="DA24" i="3"/>
  <c r="CW24" i="3"/>
  <c r="W23" i="4" s="1"/>
  <c r="CS24" i="3"/>
  <c r="U23" i="4" s="1"/>
  <c r="CO24" i="3"/>
  <c r="CH24" i="3"/>
  <c r="R23" i="4" s="1"/>
  <c r="CF24" i="3"/>
  <c r="Q23" i="4" s="1"/>
  <c r="CD24" i="3"/>
  <c r="P23" i="4" s="1"/>
  <c r="CA24" i="3"/>
  <c r="O23" i="4" s="1"/>
  <c r="BW24" i="3"/>
  <c r="BX24" i="3" s="1"/>
  <c r="BT24" i="3"/>
  <c r="BR24" i="3"/>
  <c r="Z23" i="4" s="1"/>
  <c r="BP24" i="3"/>
  <c r="BN24" i="3"/>
  <c r="BL24" i="3"/>
  <c r="BJ24" i="3"/>
  <c r="AB23" i="4" s="1"/>
  <c r="BG24" i="3"/>
  <c r="AA23" i="4" s="1"/>
  <c r="BC24" i="3"/>
  <c r="M23" i="4" s="1"/>
  <c r="AZ24" i="3"/>
  <c r="L23" i="4" s="1"/>
  <c r="AW24" i="3"/>
  <c r="AU24" i="3"/>
  <c r="AR24" i="3"/>
  <c r="K23" i="4" s="1"/>
  <c r="AI24" i="3"/>
  <c r="I23" i="4" s="1"/>
  <c r="AE24" i="3"/>
  <c r="AB24" i="3"/>
  <c r="F23" i="4" s="1"/>
  <c r="Z24" i="3"/>
  <c r="V24" i="3"/>
  <c r="E23" i="4" s="1"/>
  <c r="T24" i="3"/>
  <c r="D23" i="4" s="1"/>
  <c r="Q24" i="3"/>
  <c r="R24" i="3" s="1"/>
  <c r="N24" i="3"/>
  <c r="C23" i="4" s="1"/>
  <c r="K24" i="3"/>
  <c r="F24" i="3"/>
  <c r="D24" i="3"/>
  <c r="C24" i="3"/>
  <c r="GW23" i="3"/>
  <c r="GS23" i="3"/>
  <c r="GP23" i="3"/>
  <c r="GM23" i="3"/>
  <c r="BC22" i="4" s="1"/>
  <c r="GJ23" i="3"/>
  <c r="GD23" i="3"/>
  <c r="FX23" i="3"/>
  <c r="AP22" i="4" s="1"/>
  <c r="FS23" i="3"/>
  <c r="FP23" i="3"/>
  <c r="FA60" i="3" s="1"/>
  <c r="FJ23" i="3"/>
  <c r="BA22" i="4" s="1"/>
  <c r="FG23" i="3"/>
  <c r="FC23" i="3"/>
  <c r="EZ23" i="3"/>
  <c r="EZ60" i="3" s="1"/>
  <c r="EW23" i="3"/>
  <c r="AV22" i="4" s="1"/>
  <c r="ET23" i="3"/>
  <c r="AU22" i="4" s="1"/>
  <c r="EQ23" i="3"/>
  <c r="AT22" i="4" s="1"/>
  <c r="EM23" i="3"/>
  <c r="AN22" i="4" s="1"/>
  <c r="EJ23" i="3"/>
  <c r="AM22" i="4" s="1"/>
  <c r="DZ23" i="3"/>
  <c r="AI22" i="4" s="1"/>
  <c r="DW23" i="3"/>
  <c r="AH22" i="4" s="1"/>
  <c r="DT23" i="3"/>
  <c r="DR23" i="3"/>
  <c r="AD22" i="4" s="1"/>
  <c r="DE23" i="3"/>
  <c r="DF23" i="3" s="1"/>
  <c r="DA23" i="3"/>
  <c r="CW23" i="3"/>
  <c r="W22" i="4" s="1"/>
  <c r="CS23" i="3"/>
  <c r="U22" i="4" s="1"/>
  <c r="CO23" i="3"/>
  <c r="CH23" i="3"/>
  <c r="R22" i="4" s="1"/>
  <c r="CF23" i="3"/>
  <c r="Q22" i="4" s="1"/>
  <c r="CD23" i="3"/>
  <c r="P22" i="4" s="1"/>
  <c r="CA23" i="3"/>
  <c r="CB23" i="3" s="1"/>
  <c r="BW23" i="3"/>
  <c r="BX23" i="3" s="1"/>
  <c r="BT23" i="3"/>
  <c r="BR23" i="3"/>
  <c r="Z22" i="4" s="1"/>
  <c r="BP23" i="3"/>
  <c r="BN23" i="3"/>
  <c r="BL23" i="3"/>
  <c r="BJ23" i="3"/>
  <c r="AB22" i="4" s="1"/>
  <c r="BG23" i="3"/>
  <c r="AA22" i="4" s="1"/>
  <c r="BC23" i="3"/>
  <c r="M22" i="4" s="1"/>
  <c r="AZ23" i="3"/>
  <c r="L22" i="4" s="1"/>
  <c r="AW23" i="3"/>
  <c r="AU23" i="3"/>
  <c r="AR23" i="3"/>
  <c r="K22" i="4" s="1"/>
  <c r="AI23" i="3"/>
  <c r="I22" i="4" s="1"/>
  <c r="AE23" i="3"/>
  <c r="H22" i="4" s="1"/>
  <c r="AB23" i="3"/>
  <c r="F22" i="4" s="1"/>
  <c r="Z23" i="3"/>
  <c r="V23" i="3"/>
  <c r="E22" i="4" s="1"/>
  <c r="T23" i="3"/>
  <c r="D22" i="4" s="1"/>
  <c r="Q23" i="3"/>
  <c r="R23" i="3" s="1"/>
  <c r="N23" i="3"/>
  <c r="C22" i="4" s="1"/>
  <c r="K23" i="3"/>
  <c r="F23" i="3"/>
  <c r="D23" i="3"/>
  <c r="C23" i="3"/>
  <c r="GW22" i="3"/>
  <c r="GS22" i="3"/>
  <c r="GP22" i="3"/>
  <c r="GM22" i="3"/>
  <c r="BC21" i="4" s="1"/>
  <c r="GJ22" i="3"/>
  <c r="GD22" i="3"/>
  <c r="FX22" i="3"/>
  <c r="AP21" i="4" s="1"/>
  <c r="FS22" i="3"/>
  <c r="FP22" i="3"/>
  <c r="FA59" i="3" s="1"/>
  <c r="FJ22" i="3"/>
  <c r="BA21" i="4" s="1"/>
  <c r="FG22" i="3"/>
  <c r="FC22" i="3"/>
  <c r="EZ22" i="3"/>
  <c r="EZ59" i="3" s="1"/>
  <c r="EW22" i="3"/>
  <c r="AV21" i="4" s="1"/>
  <c r="ET22" i="3"/>
  <c r="AU21" i="4" s="1"/>
  <c r="EQ22" i="3"/>
  <c r="EM22" i="3"/>
  <c r="AN21" i="4" s="1"/>
  <c r="EJ22" i="3"/>
  <c r="AM21" i="4" s="1"/>
  <c r="DZ22" i="3"/>
  <c r="AI21" i="4" s="1"/>
  <c r="DW22" i="3"/>
  <c r="AH21" i="4" s="1"/>
  <c r="DT22" i="3"/>
  <c r="DR22" i="3"/>
  <c r="AD21" i="4" s="1"/>
  <c r="DE22" i="3"/>
  <c r="DF22" i="3" s="1"/>
  <c r="DA22" i="3"/>
  <c r="X21" i="4" s="1"/>
  <c r="CW22" i="3"/>
  <c r="W21" i="4" s="1"/>
  <c r="CS22" i="3"/>
  <c r="U21" i="4" s="1"/>
  <c r="CO22" i="3"/>
  <c r="T21" i="4" s="1"/>
  <c r="CH22" i="3"/>
  <c r="R21" i="4" s="1"/>
  <c r="CF22" i="3"/>
  <c r="Q21" i="4" s="1"/>
  <c r="CD22" i="3"/>
  <c r="P21" i="4" s="1"/>
  <c r="CA22" i="3"/>
  <c r="O21" i="4" s="1"/>
  <c r="BW22" i="3"/>
  <c r="BX22" i="3" s="1"/>
  <c r="BT22" i="3"/>
  <c r="BR22" i="3"/>
  <c r="Z21" i="4" s="1"/>
  <c r="BP22" i="3"/>
  <c r="BN22" i="3"/>
  <c r="BL22" i="3"/>
  <c r="BJ22" i="3"/>
  <c r="AB21" i="4" s="1"/>
  <c r="BG22" i="3"/>
  <c r="AA21" i="4" s="1"/>
  <c r="BC22" i="3"/>
  <c r="M21" i="4" s="1"/>
  <c r="AZ22" i="3"/>
  <c r="L21" i="4" s="1"/>
  <c r="AW22" i="3"/>
  <c r="AU22" i="3"/>
  <c r="AR22" i="3"/>
  <c r="AI22" i="3"/>
  <c r="I21" i="4" s="1"/>
  <c r="AE22" i="3"/>
  <c r="H21" i="4" s="1"/>
  <c r="AB22" i="3"/>
  <c r="F21" i="4" s="1"/>
  <c r="Z22" i="3"/>
  <c r="V22" i="3"/>
  <c r="E21" i="4" s="1"/>
  <c r="T22" i="3"/>
  <c r="D21" i="4" s="1"/>
  <c r="Q22" i="3"/>
  <c r="R22" i="3" s="1"/>
  <c r="N22" i="3"/>
  <c r="C21" i="4" s="1"/>
  <c r="K22" i="3"/>
  <c r="F22" i="3"/>
  <c r="D22" i="3"/>
  <c r="C22" i="3"/>
  <c r="GW21" i="3"/>
  <c r="GS21" i="3"/>
  <c r="GP21" i="3"/>
  <c r="GM21" i="3"/>
  <c r="BC20" i="4" s="1"/>
  <c r="GJ21" i="3"/>
  <c r="GD21" i="3"/>
  <c r="FX21" i="3"/>
  <c r="AP20" i="4" s="1"/>
  <c r="FS21" i="3"/>
  <c r="FP21" i="3"/>
  <c r="FA58" i="3" s="1"/>
  <c r="FJ21" i="3"/>
  <c r="BA20" i="4" s="1"/>
  <c r="FG21" i="3"/>
  <c r="FC21" i="3"/>
  <c r="EZ21" i="3"/>
  <c r="EZ58" i="3" s="1"/>
  <c r="EW21" i="3"/>
  <c r="AV20" i="4" s="1"/>
  <c r="ET21" i="3"/>
  <c r="AU20" i="4" s="1"/>
  <c r="EQ21" i="3"/>
  <c r="AT20" i="4" s="1"/>
  <c r="EM21" i="3"/>
  <c r="AN20" i="4" s="1"/>
  <c r="EJ21" i="3"/>
  <c r="AM20" i="4" s="1"/>
  <c r="DZ21" i="3"/>
  <c r="AI20" i="4" s="1"/>
  <c r="DW21" i="3"/>
  <c r="AH20" i="4" s="1"/>
  <c r="DT21" i="3"/>
  <c r="DR21" i="3"/>
  <c r="AD20" i="4" s="1"/>
  <c r="DE21" i="3"/>
  <c r="DF21" i="3" s="1"/>
  <c r="DA21" i="3"/>
  <c r="DB21" i="3" s="1"/>
  <c r="CW21" i="3"/>
  <c r="W20" i="4" s="1"/>
  <c r="CS21" i="3"/>
  <c r="U20" i="4" s="1"/>
  <c r="CO21" i="3"/>
  <c r="T20" i="4" s="1"/>
  <c r="CH21" i="3"/>
  <c r="R20" i="4" s="1"/>
  <c r="CF21" i="3"/>
  <c r="Q20" i="4" s="1"/>
  <c r="CD21" i="3"/>
  <c r="P20" i="4" s="1"/>
  <c r="CA21" i="3"/>
  <c r="BW21" i="3"/>
  <c r="BX21" i="3" s="1"/>
  <c r="BT21" i="3"/>
  <c r="BR21" i="3"/>
  <c r="Z20" i="4" s="1"/>
  <c r="BP21" i="3"/>
  <c r="BN21" i="3"/>
  <c r="BL21" i="3"/>
  <c r="BJ21" i="3"/>
  <c r="AB20" i="4" s="1"/>
  <c r="BG21" i="3"/>
  <c r="AA20" i="4" s="1"/>
  <c r="BC21" i="3"/>
  <c r="M20" i="4" s="1"/>
  <c r="AZ21" i="3"/>
  <c r="L20" i="4" s="1"/>
  <c r="AW21" i="3"/>
  <c r="AU21" i="3"/>
  <c r="AR21" i="3"/>
  <c r="K20" i="4" s="1"/>
  <c r="AI21" i="3"/>
  <c r="I20" i="4" s="1"/>
  <c r="AE21" i="3"/>
  <c r="H20" i="4" s="1"/>
  <c r="AB21" i="3"/>
  <c r="F20" i="4" s="1"/>
  <c r="Z21" i="3"/>
  <c r="V21" i="3"/>
  <c r="E20" i="4" s="1"/>
  <c r="T21" i="3"/>
  <c r="Q21" i="3"/>
  <c r="R21" i="3" s="1"/>
  <c r="N21" i="3"/>
  <c r="C20" i="4" s="1"/>
  <c r="K21" i="3"/>
  <c r="F21" i="3"/>
  <c r="D21" i="3"/>
  <c r="C21" i="3"/>
  <c r="GW20" i="3"/>
  <c r="GS20" i="3"/>
  <c r="GA20" i="3" s="1"/>
  <c r="AQ19" i="4" s="1"/>
  <c r="GP20" i="3"/>
  <c r="GM20" i="3"/>
  <c r="BC19" i="4" s="1"/>
  <c r="GJ20" i="3"/>
  <c r="AX19" i="4" s="1"/>
  <c r="GD20" i="3"/>
  <c r="FX20" i="3"/>
  <c r="AP19" i="4" s="1"/>
  <c r="FS20" i="3"/>
  <c r="FP20" i="3"/>
  <c r="FA57" i="3" s="1"/>
  <c r="FJ20" i="3"/>
  <c r="BA19" i="4" s="1"/>
  <c r="FG20" i="3"/>
  <c r="FC20" i="3"/>
  <c r="EZ20" i="3"/>
  <c r="EZ57" i="3" s="1"/>
  <c r="EW20" i="3"/>
  <c r="AV19" i="4" s="1"/>
  <c r="ET20" i="3"/>
  <c r="AU19" i="4" s="1"/>
  <c r="EQ20" i="3"/>
  <c r="EM20" i="3"/>
  <c r="AN19" i="4" s="1"/>
  <c r="EJ20" i="3"/>
  <c r="AM19" i="4" s="1"/>
  <c r="DZ20" i="3"/>
  <c r="AI19" i="4" s="1"/>
  <c r="DW20" i="3"/>
  <c r="AH19" i="4" s="1"/>
  <c r="DT20" i="3"/>
  <c r="DR20" i="3"/>
  <c r="AD19" i="4" s="1"/>
  <c r="DE20" i="3"/>
  <c r="DF20" i="3" s="1"/>
  <c r="DA20" i="3"/>
  <c r="X19" i="4" s="1"/>
  <c r="CW20" i="3"/>
  <c r="CS20" i="3"/>
  <c r="U19" i="4" s="1"/>
  <c r="CO20" i="3"/>
  <c r="T19" i="4" s="1"/>
  <c r="CH20" i="3"/>
  <c r="R19" i="4" s="1"/>
  <c r="CF20" i="3"/>
  <c r="Q19" i="4" s="1"/>
  <c r="CD20" i="3"/>
  <c r="P19" i="4" s="1"/>
  <c r="CA20" i="3"/>
  <c r="O19" i="4" s="1"/>
  <c r="BW20" i="3"/>
  <c r="BX20" i="3" s="1"/>
  <c r="BT20" i="3"/>
  <c r="BR20" i="3"/>
  <c r="Z19" i="4" s="1"/>
  <c r="BP20" i="3"/>
  <c r="BN20" i="3"/>
  <c r="BL20" i="3"/>
  <c r="BJ20" i="3"/>
  <c r="AB19" i="4" s="1"/>
  <c r="BG20" i="3"/>
  <c r="AA19" i="4" s="1"/>
  <c r="BC20" i="3"/>
  <c r="M19" i="4" s="1"/>
  <c r="AZ20" i="3"/>
  <c r="L19" i="4" s="1"/>
  <c r="AW20" i="3"/>
  <c r="AU20" i="3"/>
  <c r="AR20" i="3"/>
  <c r="K19" i="4" s="1"/>
  <c r="AI20" i="3"/>
  <c r="I19" i="4" s="1"/>
  <c r="AE20" i="3"/>
  <c r="H19" i="4" s="1"/>
  <c r="AB20" i="3"/>
  <c r="F19" i="4" s="1"/>
  <c r="Z20" i="3"/>
  <c r="V20" i="3"/>
  <c r="E19" i="4" s="1"/>
  <c r="T20" i="3"/>
  <c r="D19" i="4" s="1"/>
  <c r="Q20" i="3"/>
  <c r="N20" i="3"/>
  <c r="C19" i="4" s="1"/>
  <c r="K20" i="3"/>
  <c r="F20" i="3"/>
  <c r="D20" i="3"/>
  <c r="C20" i="3"/>
  <c r="GW19" i="3"/>
  <c r="GS19" i="3"/>
  <c r="GP19" i="3"/>
  <c r="GM19" i="3"/>
  <c r="BC18" i="4" s="1"/>
  <c r="GJ19" i="3"/>
  <c r="AX18" i="4" s="1"/>
  <c r="GD19" i="3"/>
  <c r="FX19" i="3"/>
  <c r="AP18" i="4" s="1"/>
  <c r="FS19" i="3"/>
  <c r="FP19" i="3"/>
  <c r="FA56" i="3" s="1"/>
  <c r="FJ19" i="3"/>
  <c r="BA18" i="4" s="1"/>
  <c r="FG19" i="3"/>
  <c r="FC19" i="3"/>
  <c r="EZ19" i="3"/>
  <c r="EZ56" i="3" s="1"/>
  <c r="EW19" i="3"/>
  <c r="AV18" i="4" s="1"/>
  <c r="ET19" i="3"/>
  <c r="AU18" i="4" s="1"/>
  <c r="EQ19" i="3"/>
  <c r="AT18" i="4" s="1"/>
  <c r="EM19" i="3"/>
  <c r="AN18" i="4" s="1"/>
  <c r="EJ19" i="3"/>
  <c r="AM18" i="4" s="1"/>
  <c r="DZ19" i="3"/>
  <c r="AI18" i="4" s="1"/>
  <c r="DW19" i="3"/>
  <c r="AH18" i="4" s="1"/>
  <c r="DT19" i="3"/>
  <c r="DR19" i="3"/>
  <c r="AD18" i="4" s="1"/>
  <c r="DE19" i="3"/>
  <c r="CS19" i="3"/>
  <c r="U18" i="4" s="1"/>
  <c r="CO19" i="3"/>
  <c r="T18" i="4" s="1"/>
  <c r="CH19" i="3"/>
  <c r="R18" i="4" s="1"/>
  <c r="CF19" i="3"/>
  <c r="Q18" i="4" s="1"/>
  <c r="CD19" i="3"/>
  <c r="P18" i="4" s="1"/>
  <c r="CA19" i="3"/>
  <c r="O18" i="4" s="1"/>
  <c r="BW19" i="3"/>
  <c r="BX19" i="3" s="1"/>
  <c r="BT19" i="3"/>
  <c r="BR19" i="3"/>
  <c r="Z18" i="4" s="1"/>
  <c r="BP19" i="3"/>
  <c r="BN19" i="3"/>
  <c r="BL19" i="3"/>
  <c r="BJ19" i="3"/>
  <c r="AB18" i="4" s="1"/>
  <c r="BG19" i="3"/>
  <c r="AA18" i="4" s="1"/>
  <c r="BC19" i="3"/>
  <c r="M18" i="4" s="1"/>
  <c r="AZ19" i="3"/>
  <c r="L18" i="4" s="1"/>
  <c r="AW19" i="3"/>
  <c r="AU19" i="3"/>
  <c r="AR19" i="3"/>
  <c r="K18" i="4" s="1"/>
  <c r="AI19" i="3"/>
  <c r="I18" i="4" s="1"/>
  <c r="AE19" i="3"/>
  <c r="H18" i="4" s="1"/>
  <c r="AB19" i="3"/>
  <c r="F18" i="4" s="1"/>
  <c r="Z19" i="3"/>
  <c r="V19" i="3"/>
  <c r="E18" i="4" s="1"/>
  <c r="T19" i="3"/>
  <c r="D18" i="4" s="1"/>
  <c r="Q19" i="3"/>
  <c r="R19" i="3" s="1"/>
  <c r="N19" i="3"/>
  <c r="C18" i="4" s="1"/>
  <c r="K19" i="3"/>
  <c r="F19" i="3"/>
  <c r="D19" i="3"/>
  <c r="C19" i="3"/>
  <c r="GW18" i="3"/>
  <c r="GS18" i="3"/>
  <c r="GP18" i="3"/>
  <c r="GM18" i="3"/>
  <c r="BC17" i="4" s="1"/>
  <c r="GJ18" i="3"/>
  <c r="AX17" i="4" s="1"/>
  <c r="GD18" i="3"/>
  <c r="FX18" i="3"/>
  <c r="AP17" i="4" s="1"/>
  <c r="FS18" i="3"/>
  <c r="FP18" i="3"/>
  <c r="FA55" i="3" s="1"/>
  <c r="FJ18" i="3"/>
  <c r="BA17" i="4" s="1"/>
  <c r="FG18" i="3"/>
  <c r="FC18" i="3"/>
  <c r="EZ18" i="3"/>
  <c r="EZ55" i="3" s="1"/>
  <c r="EW18" i="3"/>
  <c r="AV17" i="4" s="1"/>
  <c r="ET18" i="3"/>
  <c r="AU17" i="4" s="1"/>
  <c r="EQ18" i="3"/>
  <c r="AT17" i="4" s="1"/>
  <c r="EM18" i="3"/>
  <c r="AN17" i="4" s="1"/>
  <c r="EJ18" i="3"/>
  <c r="AM17" i="4" s="1"/>
  <c r="DZ18" i="3"/>
  <c r="AI17" i="4" s="1"/>
  <c r="DW18" i="3"/>
  <c r="AH17" i="4" s="1"/>
  <c r="DT18" i="3"/>
  <c r="DR18" i="3"/>
  <c r="AD17" i="4" s="1"/>
  <c r="DE18" i="3"/>
  <c r="DF18" i="3" s="1"/>
  <c r="DA18" i="3"/>
  <c r="X17" i="4" s="1"/>
  <c r="DA19" i="3"/>
  <c r="CW18" i="3"/>
  <c r="CS18" i="3"/>
  <c r="U17" i="4" s="1"/>
  <c r="CO18" i="3"/>
  <c r="T17" i="4" s="1"/>
  <c r="CH18" i="3"/>
  <c r="R17" i="4" s="1"/>
  <c r="CF18" i="3"/>
  <c r="Q17" i="4" s="1"/>
  <c r="CD18" i="3"/>
  <c r="P17" i="4" s="1"/>
  <c r="CA18" i="3"/>
  <c r="O17" i="4" s="1"/>
  <c r="BW18" i="3"/>
  <c r="BX18" i="3" s="1"/>
  <c r="BT18" i="3"/>
  <c r="BR18" i="3"/>
  <c r="Z17" i="4" s="1"/>
  <c r="BP18" i="3"/>
  <c r="BN18" i="3"/>
  <c r="BL18" i="3"/>
  <c r="BJ18" i="3"/>
  <c r="AB17" i="4" s="1"/>
  <c r="BG18" i="3"/>
  <c r="AA17" i="4" s="1"/>
  <c r="BC18" i="3"/>
  <c r="M17" i="4" s="1"/>
  <c r="AZ18" i="3"/>
  <c r="L17" i="4" s="1"/>
  <c r="AW18" i="3"/>
  <c r="AU18" i="3"/>
  <c r="AR18" i="3"/>
  <c r="K17" i="4" s="1"/>
  <c r="AI18" i="3"/>
  <c r="I17" i="4" s="1"/>
  <c r="AE18" i="3"/>
  <c r="H17" i="4" s="1"/>
  <c r="AB18" i="3"/>
  <c r="F17" i="4" s="1"/>
  <c r="Z18" i="3"/>
  <c r="V18" i="3"/>
  <c r="E17" i="4" s="1"/>
  <c r="T18" i="3"/>
  <c r="D17" i="4" s="1"/>
  <c r="Q18" i="3"/>
  <c r="N18" i="3"/>
  <c r="C17" i="4" s="1"/>
  <c r="K18" i="3"/>
  <c r="F18" i="3"/>
  <c r="D18" i="3"/>
  <c r="C18" i="3"/>
  <c r="GW17" i="3"/>
  <c r="GS17" i="3"/>
  <c r="GA17" i="3" s="1"/>
  <c r="AQ16" i="4" s="1"/>
  <c r="GP17" i="3"/>
  <c r="GM17" i="3"/>
  <c r="BC16" i="4" s="1"/>
  <c r="GJ17" i="3"/>
  <c r="AX16" i="4" s="1"/>
  <c r="GD17" i="3"/>
  <c r="FX17" i="3"/>
  <c r="AP16" i="4" s="1"/>
  <c r="FS17" i="3"/>
  <c r="FP17" i="3"/>
  <c r="FA54" i="3" s="1"/>
  <c r="FJ17" i="3"/>
  <c r="BA16" i="4" s="1"/>
  <c r="FG17" i="3"/>
  <c r="FC17" i="3"/>
  <c r="EZ17" i="3"/>
  <c r="EZ54" i="3" s="1"/>
  <c r="EW17" i="3"/>
  <c r="AV16" i="4" s="1"/>
  <c r="ET17" i="3"/>
  <c r="AU16" i="4" s="1"/>
  <c r="EQ17" i="3"/>
  <c r="AT16" i="4" s="1"/>
  <c r="EM17" i="3"/>
  <c r="AN16" i="4" s="1"/>
  <c r="EJ17" i="3"/>
  <c r="AM16" i="4" s="1"/>
  <c r="DZ17" i="3"/>
  <c r="AI16" i="4" s="1"/>
  <c r="DW17" i="3"/>
  <c r="AH16" i="4" s="1"/>
  <c r="DT17" i="3"/>
  <c r="DR17" i="3"/>
  <c r="AD16" i="4" s="1"/>
  <c r="DE17" i="3"/>
  <c r="DA17" i="3"/>
  <c r="X16" i="4" s="1"/>
  <c r="CW17" i="3"/>
  <c r="W16" i="4" s="1"/>
  <c r="CS17" i="3"/>
  <c r="U16" i="4" s="1"/>
  <c r="CO17" i="3"/>
  <c r="T16" i="4" s="1"/>
  <c r="CH17" i="3"/>
  <c r="R16" i="4" s="1"/>
  <c r="CF17" i="3"/>
  <c r="Q16" i="4" s="1"/>
  <c r="CD17" i="3"/>
  <c r="P16" i="4" s="1"/>
  <c r="CA17" i="3"/>
  <c r="O16" i="4" s="1"/>
  <c r="BW17" i="3"/>
  <c r="BX17" i="3" s="1"/>
  <c r="BT17" i="3"/>
  <c r="BR17" i="3"/>
  <c r="Z16" i="4" s="1"/>
  <c r="BP17" i="3"/>
  <c r="BN17" i="3"/>
  <c r="BL17" i="3"/>
  <c r="BJ17" i="3"/>
  <c r="AB16" i="4" s="1"/>
  <c r="BG17" i="3"/>
  <c r="AA16" i="4" s="1"/>
  <c r="BC17" i="3"/>
  <c r="M16" i="4" s="1"/>
  <c r="AZ17" i="3"/>
  <c r="L16" i="4" s="1"/>
  <c r="AW17" i="3"/>
  <c r="AU17" i="3"/>
  <c r="AR17" i="3"/>
  <c r="K16" i="4" s="1"/>
  <c r="AI17" i="3"/>
  <c r="I16" i="4" s="1"/>
  <c r="AE17" i="3"/>
  <c r="H16" i="4" s="1"/>
  <c r="AB17" i="3"/>
  <c r="F16" i="4" s="1"/>
  <c r="Z17" i="3"/>
  <c r="V17" i="3"/>
  <c r="E16" i="4" s="1"/>
  <c r="T17" i="3"/>
  <c r="D16" i="4" s="1"/>
  <c r="Q17" i="3"/>
  <c r="R17" i="3" s="1"/>
  <c r="N17" i="3"/>
  <c r="C16" i="4" s="1"/>
  <c r="K17" i="3"/>
  <c r="F17" i="3"/>
  <c r="D17" i="3"/>
  <c r="C17" i="3"/>
  <c r="GW16" i="3"/>
  <c r="GS16" i="3"/>
  <c r="GP16" i="3"/>
  <c r="GM16" i="3"/>
  <c r="BC15" i="4" s="1"/>
  <c r="GJ16" i="3"/>
  <c r="AX15" i="4" s="1"/>
  <c r="GD16" i="3"/>
  <c r="FX16" i="3"/>
  <c r="AP15" i="4" s="1"/>
  <c r="FS16" i="3"/>
  <c r="FP16" i="3"/>
  <c r="FA53" i="3" s="1"/>
  <c r="FJ16" i="3"/>
  <c r="BA15" i="4" s="1"/>
  <c r="FG16" i="3"/>
  <c r="FC16" i="3"/>
  <c r="EZ16" i="3"/>
  <c r="EZ53" i="3" s="1"/>
  <c r="EW16" i="3"/>
  <c r="AV15" i="4" s="1"/>
  <c r="ET16" i="3"/>
  <c r="AU15" i="4" s="1"/>
  <c r="EQ16" i="3"/>
  <c r="AT15" i="4" s="1"/>
  <c r="EM16" i="3"/>
  <c r="AN15" i="4" s="1"/>
  <c r="EJ16" i="3"/>
  <c r="AM15" i="4" s="1"/>
  <c r="DZ16" i="3"/>
  <c r="AI15" i="4" s="1"/>
  <c r="DW16" i="3"/>
  <c r="AH15" i="4" s="1"/>
  <c r="DT16" i="3"/>
  <c r="DR16" i="3"/>
  <c r="AD15" i="4" s="1"/>
  <c r="DE16" i="3"/>
  <c r="DA16" i="3"/>
  <c r="X15" i="4" s="1"/>
  <c r="CW16" i="3"/>
  <c r="W15" i="4" s="1"/>
  <c r="CS16" i="3"/>
  <c r="U15" i="4" s="1"/>
  <c r="CO16" i="3"/>
  <c r="T15" i="4" s="1"/>
  <c r="CH16" i="3"/>
  <c r="R15" i="4" s="1"/>
  <c r="CF16" i="3"/>
  <c r="Q15" i="4" s="1"/>
  <c r="CD16" i="3"/>
  <c r="P15" i="4" s="1"/>
  <c r="CA16" i="3"/>
  <c r="O15" i="4" s="1"/>
  <c r="BW16" i="3"/>
  <c r="BX16" i="3" s="1"/>
  <c r="BT16" i="3"/>
  <c r="BR16" i="3"/>
  <c r="Z15" i="4" s="1"/>
  <c r="BP16" i="3"/>
  <c r="BN16" i="3"/>
  <c r="BL16" i="3"/>
  <c r="BJ16" i="3"/>
  <c r="AB15" i="4" s="1"/>
  <c r="BG16" i="3"/>
  <c r="AA15" i="4" s="1"/>
  <c r="BC16" i="3"/>
  <c r="M15" i="4" s="1"/>
  <c r="AZ16" i="3"/>
  <c r="L15" i="4" s="1"/>
  <c r="AW16" i="3"/>
  <c r="AU16" i="3"/>
  <c r="AR16" i="3"/>
  <c r="K15" i="4" s="1"/>
  <c r="AI16" i="3"/>
  <c r="I15" i="4" s="1"/>
  <c r="AE16" i="3"/>
  <c r="H15" i="4" s="1"/>
  <c r="AB16" i="3"/>
  <c r="F15" i="4" s="1"/>
  <c r="Z16" i="3"/>
  <c r="V16" i="3"/>
  <c r="E15" i="4" s="1"/>
  <c r="T16" i="3"/>
  <c r="D15" i="4" s="1"/>
  <c r="Q16" i="3"/>
  <c r="N16" i="3"/>
  <c r="C15" i="4" s="1"/>
  <c r="K16" i="3"/>
  <c r="F16" i="3"/>
  <c r="D16" i="3"/>
  <c r="C16" i="3"/>
  <c r="GW15" i="3"/>
  <c r="GS15" i="3"/>
  <c r="GA15" i="3" s="1"/>
  <c r="AQ14" i="4" s="1"/>
  <c r="GP15" i="3"/>
  <c r="GM15" i="3"/>
  <c r="BC14" i="4" s="1"/>
  <c r="GJ15" i="3"/>
  <c r="AX14" i="4" s="1"/>
  <c r="GD15" i="3"/>
  <c r="FX15" i="3"/>
  <c r="AP14" i="4" s="1"/>
  <c r="FS15" i="3"/>
  <c r="FP15" i="3"/>
  <c r="FA52" i="3" s="1"/>
  <c r="FJ15" i="3"/>
  <c r="BA14" i="4" s="1"/>
  <c r="FG15" i="3"/>
  <c r="AZ14" i="4" s="1"/>
  <c r="FC15" i="3"/>
  <c r="EZ15" i="3"/>
  <c r="EZ52" i="3" s="1"/>
  <c r="EW15" i="3"/>
  <c r="AV14" i="4" s="1"/>
  <c r="ET15" i="3"/>
  <c r="AU14" i="4" s="1"/>
  <c r="EQ15" i="3"/>
  <c r="AT14" i="4" s="1"/>
  <c r="EM15" i="3"/>
  <c r="AN14" i="4" s="1"/>
  <c r="EJ15" i="3"/>
  <c r="AM14" i="4" s="1"/>
  <c r="DZ15" i="3"/>
  <c r="AI14" i="4" s="1"/>
  <c r="DW15" i="3"/>
  <c r="AH14" i="4" s="1"/>
  <c r="DT15" i="3"/>
  <c r="DR15" i="3"/>
  <c r="AD14" i="4" s="1"/>
  <c r="DE15" i="3"/>
  <c r="DA15" i="3"/>
  <c r="X14" i="4" s="1"/>
  <c r="CW15" i="3"/>
  <c r="W14" i="4" s="1"/>
  <c r="CS15" i="3"/>
  <c r="U14" i="4" s="1"/>
  <c r="CO15" i="3"/>
  <c r="T14" i="4" s="1"/>
  <c r="CH15" i="3"/>
  <c r="R14" i="4" s="1"/>
  <c r="CF15" i="3"/>
  <c r="Q14" i="4" s="1"/>
  <c r="CD15" i="3"/>
  <c r="P14" i="4" s="1"/>
  <c r="CA15" i="3"/>
  <c r="O14" i="4" s="1"/>
  <c r="BW15" i="3"/>
  <c r="BX15" i="3" s="1"/>
  <c r="BT15" i="3"/>
  <c r="BR15" i="3"/>
  <c r="Z14" i="4" s="1"/>
  <c r="BP15" i="3"/>
  <c r="BN15" i="3"/>
  <c r="BL15" i="3"/>
  <c r="BJ15" i="3"/>
  <c r="AB14" i="4" s="1"/>
  <c r="BG15" i="3"/>
  <c r="AA14" i="4" s="1"/>
  <c r="BC15" i="3"/>
  <c r="M14" i="4" s="1"/>
  <c r="AZ15" i="3"/>
  <c r="L14" i="4" s="1"/>
  <c r="AW15" i="3"/>
  <c r="AU15" i="3"/>
  <c r="AR15" i="3"/>
  <c r="K14" i="4" s="1"/>
  <c r="AI15" i="3"/>
  <c r="I14" i="4" s="1"/>
  <c r="AE15" i="3"/>
  <c r="H14" i="4" s="1"/>
  <c r="AB15" i="3"/>
  <c r="F14" i="4" s="1"/>
  <c r="Z15" i="3"/>
  <c r="V15" i="3"/>
  <c r="E14" i="4" s="1"/>
  <c r="T15" i="3"/>
  <c r="D14" i="4" s="1"/>
  <c r="Q15" i="3"/>
  <c r="R15" i="3" s="1"/>
  <c r="N15" i="3"/>
  <c r="C14" i="4" s="1"/>
  <c r="K15" i="3"/>
  <c r="F15" i="3"/>
  <c r="D15" i="3"/>
  <c r="C15" i="3"/>
  <c r="GW14" i="3"/>
  <c r="GS14" i="3"/>
  <c r="GP14" i="3"/>
  <c r="GM14" i="3"/>
  <c r="BC13" i="4" s="1"/>
  <c r="GJ14" i="3"/>
  <c r="AX13" i="4" s="1"/>
  <c r="GD14" i="3"/>
  <c r="FX14" i="3"/>
  <c r="AP13" i="4" s="1"/>
  <c r="FS14" i="3"/>
  <c r="FP14" i="3"/>
  <c r="FA51" i="3" s="1"/>
  <c r="FJ14" i="3"/>
  <c r="BA13" i="4" s="1"/>
  <c r="FG14" i="3"/>
  <c r="AZ13" i="4" s="1"/>
  <c r="FC14" i="3"/>
  <c r="EZ14" i="3"/>
  <c r="EZ51" i="3" s="1"/>
  <c r="EW14" i="3"/>
  <c r="AV13" i="4" s="1"/>
  <c r="ET14" i="3"/>
  <c r="AU13" i="4" s="1"/>
  <c r="EQ14" i="3"/>
  <c r="AT13" i="4" s="1"/>
  <c r="EM14" i="3"/>
  <c r="AN13" i="4" s="1"/>
  <c r="EJ14" i="3"/>
  <c r="AM13" i="4" s="1"/>
  <c r="DZ14" i="3"/>
  <c r="AI13" i="4" s="1"/>
  <c r="DW14" i="3"/>
  <c r="AH13" i="4" s="1"/>
  <c r="DT14" i="3"/>
  <c r="DR14" i="3"/>
  <c r="AD13" i="4" s="1"/>
  <c r="DE14" i="3"/>
  <c r="DA14" i="3"/>
  <c r="X13" i="4" s="1"/>
  <c r="CW14" i="3"/>
  <c r="W13" i="4" s="1"/>
  <c r="CS14" i="3"/>
  <c r="U13" i="4" s="1"/>
  <c r="CO14" i="3"/>
  <c r="T13" i="4" s="1"/>
  <c r="CH14" i="3"/>
  <c r="R13" i="4" s="1"/>
  <c r="CF14" i="3"/>
  <c r="Q13" i="4" s="1"/>
  <c r="CD14" i="3"/>
  <c r="P13" i="4" s="1"/>
  <c r="CA14" i="3"/>
  <c r="O13" i="4" s="1"/>
  <c r="BW14" i="3"/>
  <c r="BX14" i="3" s="1"/>
  <c r="BT14" i="3"/>
  <c r="BR14" i="3"/>
  <c r="Z13" i="4" s="1"/>
  <c r="BP14" i="3"/>
  <c r="BN14" i="3"/>
  <c r="BL14" i="3"/>
  <c r="BJ14" i="3"/>
  <c r="AB13" i="4" s="1"/>
  <c r="BG14" i="3"/>
  <c r="AA13" i="4" s="1"/>
  <c r="BC14" i="3"/>
  <c r="M13" i="4" s="1"/>
  <c r="AZ14" i="3"/>
  <c r="L13" i="4" s="1"/>
  <c r="AW14" i="3"/>
  <c r="AU14" i="3"/>
  <c r="AR14" i="3"/>
  <c r="K13" i="4" s="1"/>
  <c r="AI14" i="3"/>
  <c r="I13" i="4" s="1"/>
  <c r="AE14" i="3"/>
  <c r="H13" i="4" s="1"/>
  <c r="AB14" i="3"/>
  <c r="F13" i="4" s="1"/>
  <c r="Z14" i="3"/>
  <c r="V14" i="3"/>
  <c r="E13" i="4" s="1"/>
  <c r="T14" i="3"/>
  <c r="D13" i="4" s="1"/>
  <c r="Q14" i="3"/>
  <c r="N14" i="3"/>
  <c r="C13" i="4" s="1"/>
  <c r="K14" i="3"/>
  <c r="F14" i="3"/>
  <c r="D14" i="3"/>
  <c r="C14" i="3"/>
  <c r="GW13" i="3"/>
  <c r="GS13" i="3"/>
  <c r="GA13" i="3" s="1"/>
  <c r="AQ12" i="4" s="1"/>
  <c r="GP13" i="3"/>
  <c r="GM13" i="3"/>
  <c r="BC12" i="4" s="1"/>
  <c r="GJ13" i="3"/>
  <c r="AX12" i="4" s="1"/>
  <c r="GD13" i="3"/>
  <c r="FX13" i="3"/>
  <c r="AP12" i="4" s="1"/>
  <c r="FS13" i="3"/>
  <c r="FP13" i="3"/>
  <c r="FA50" i="3" s="1"/>
  <c r="FJ13" i="3"/>
  <c r="BA12" i="4" s="1"/>
  <c r="FG13" i="3"/>
  <c r="AZ12" i="4" s="1"/>
  <c r="FC13" i="3"/>
  <c r="EZ13" i="3"/>
  <c r="EZ50" i="3" s="1"/>
  <c r="EW13" i="3"/>
  <c r="AV12" i="4" s="1"/>
  <c r="ET13" i="3"/>
  <c r="AU12" i="4" s="1"/>
  <c r="EQ13" i="3"/>
  <c r="AT12" i="4" s="1"/>
  <c r="EM13" i="3"/>
  <c r="AN12" i="4" s="1"/>
  <c r="EJ13" i="3"/>
  <c r="AM12" i="4" s="1"/>
  <c r="DZ13" i="3"/>
  <c r="AI12" i="4" s="1"/>
  <c r="DW13" i="3"/>
  <c r="AH12" i="4" s="1"/>
  <c r="DT13" i="3"/>
  <c r="DR13" i="3"/>
  <c r="AD12" i="4" s="1"/>
  <c r="DE13" i="3"/>
  <c r="DA13" i="3"/>
  <c r="X12" i="4" s="1"/>
  <c r="CW13" i="3"/>
  <c r="W12" i="4" s="1"/>
  <c r="CS13" i="3"/>
  <c r="U12" i="4" s="1"/>
  <c r="CO13" i="3"/>
  <c r="T12" i="4" s="1"/>
  <c r="CH13" i="3"/>
  <c r="R12" i="4" s="1"/>
  <c r="CF13" i="3"/>
  <c r="Q12" i="4" s="1"/>
  <c r="CD13" i="3"/>
  <c r="P12" i="4" s="1"/>
  <c r="CA13" i="3"/>
  <c r="O12" i="4" s="1"/>
  <c r="BW13" i="3"/>
  <c r="BX13" i="3" s="1"/>
  <c r="BT13" i="3"/>
  <c r="BR13" i="3"/>
  <c r="Z12" i="4" s="1"/>
  <c r="BP13" i="3"/>
  <c r="BN13" i="3"/>
  <c r="BL13" i="3"/>
  <c r="BJ13" i="3"/>
  <c r="AB12" i="4" s="1"/>
  <c r="BG13" i="3"/>
  <c r="AA12" i="4" s="1"/>
  <c r="BC13" i="3"/>
  <c r="M12" i="4" s="1"/>
  <c r="AZ13" i="3"/>
  <c r="L12" i="4" s="1"/>
  <c r="AW13" i="3"/>
  <c r="AU13" i="3"/>
  <c r="AR13" i="3"/>
  <c r="K12" i="4" s="1"/>
  <c r="AI13" i="3"/>
  <c r="I12" i="4" s="1"/>
  <c r="AE13" i="3"/>
  <c r="H12" i="4" s="1"/>
  <c r="AB13" i="3"/>
  <c r="F12" i="4" s="1"/>
  <c r="Z13" i="3"/>
  <c r="V13" i="3"/>
  <c r="E12" i="4" s="1"/>
  <c r="T13" i="3"/>
  <c r="D12" i="4" s="1"/>
  <c r="Q13" i="3"/>
  <c r="R13" i="3" s="1"/>
  <c r="N13" i="3"/>
  <c r="C12" i="4" s="1"/>
  <c r="K13" i="3"/>
  <c r="F13" i="3"/>
  <c r="D13" i="3"/>
  <c r="C13" i="3"/>
  <c r="GW12" i="3"/>
  <c r="GS12" i="3"/>
  <c r="GP12" i="3"/>
  <c r="GM12" i="3"/>
  <c r="BC11" i="4" s="1"/>
  <c r="GJ12" i="3"/>
  <c r="AX11" i="4" s="1"/>
  <c r="GD12" i="3"/>
  <c r="FX12" i="3"/>
  <c r="AP11" i="4" s="1"/>
  <c r="FS12" i="3"/>
  <c r="FP12" i="3"/>
  <c r="FA49" i="3" s="1"/>
  <c r="FJ12" i="3"/>
  <c r="BA11" i="4" s="1"/>
  <c r="FG12" i="3"/>
  <c r="AZ11" i="4" s="1"/>
  <c r="FC12" i="3"/>
  <c r="EZ12" i="3"/>
  <c r="EZ49" i="3" s="1"/>
  <c r="EW12" i="3"/>
  <c r="AV11" i="4" s="1"/>
  <c r="ET12" i="3"/>
  <c r="AU11" i="4" s="1"/>
  <c r="EQ12" i="3"/>
  <c r="AT11" i="4" s="1"/>
  <c r="EM12" i="3"/>
  <c r="AN11" i="4" s="1"/>
  <c r="EJ12" i="3"/>
  <c r="AM11" i="4" s="1"/>
  <c r="DZ12" i="3"/>
  <c r="AI11" i="4" s="1"/>
  <c r="DW12" i="3"/>
  <c r="AH11" i="4" s="1"/>
  <c r="DT12" i="3"/>
  <c r="AE11" i="4" s="1"/>
  <c r="DR12" i="3"/>
  <c r="AD11" i="4" s="1"/>
  <c r="DE12" i="3"/>
  <c r="DA12" i="3"/>
  <c r="X11" i="4" s="1"/>
  <c r="CW12" i="3"/>
  <c r="W11" i="4" s="1"/>
  <c r="CS12" i="3"/>
  <c r="U11" i="4" s="1"/>
  <c r="CO12" i="3"/>
  <c r="T11" i="4" s="1"/>
  <c r="CH12" i="3"/>
  <c r="R11" i="4" s="1"/>
  <c r="CF12" i="3"/>
  <c r="Q11" i="4" s="1"/>
  <c r="CD12" i="3"/>
  <c r="P11" i="4" s="1"/>
  <c r="CA12" i="3"/>
  <c r="O11" i="4" s="1"/>
  <c r="BW12" i="3"/>
  <c r="BX12" i="3" s="1"/>
  <c r="BT12" i="3"/>
  <c r="BR12" i="3"/>
  <c r="Z11" i="4" s="1"/>
  <c r="BP12" i="3"/>
  <c r="BN12" i="3"/>
  <c r="BL12" i="3"/>
  <c r="BJ12" i="3"/>
  <c r="AB11" i="4" s="1"/>
  <c r="BG12" i="3"/>
  <c r="AA11" i="4" s="1"/>
  <c r="BC12" i="3"/>
  <c r="M11" i="4" s="1"/>
  <c r="AZ12" i="3"/>
  <c r="L11" i="4" s="1"/>
  <c r="AW12" i="3"/>
  <c r="AU12" i="3"/>
  <c r="AR12" i="3"/>
  <c r="K11" i="4" s="1"/>
  <c r="AI12" i="3"/>
  <c r="I11" i="4" s="1"/>
  <c r="AE12" i="3"/>
  <c r="H11" i="4" s="1"/>
  <c r="AB12" i="3"/>
  <c r="F11" i="4" s="1"/>
  <c r="Z12" i="3"/>
  <c r="V12" i="3"/>
  <c r="E11" i="4" s="1"/>
  <c r="T12" i="3"/>
  <c r="D11" i="4" s="1"/>
  <c r="Q12" i="3"/>
  <c r="N12" i="3"/>
  <c r="C11" i="4" s="1"/>
  <c r="K12" i="3"/>
  <c r="F12" i="3"/>
  <c r="D12" i="3"/>
  <c r="C12" i="3"/>
  <c r="GW11" i="3"/>
  <c r="GS11" i="3"/>
  <c r="GA11" i="3" s="1"/>
  <c r="AQ10" i="4" s="1"/>
  <c r="GP11" i="3"/>
  <c r="GM11" i="3"/>
  <c r="BC10" i="4" s="1"/>
  <c r="GJ11" i="3"/>
  <c r="AX10" i="4" s="1"/>
  <c r="GD11" i="3"/>
  <c r="FX11" i="3"/>
  <c r="AP10" i="4" s="1"/>
  <c r="FS11" i="3"/>
  <c r="FP11" i="3"/>
  <c r="FA48" i="3" s="1"/>
  <c r="FJ11" i="3"/>
  <c r="BA10" i="4" s="1"/>
  <c r="FG11" i="3"/>
  <c r="AZ10" i="4" s="1"/>
  <c r="FC11" i="3"/>
  <c r="EZ11" i="3"/>
  <c r="EZ48" i="3" s="1"/>
  <c r="EW11" i="3"/>
  <c r="AV10" i="4" s="1"/>
  <c r="ET11" i="3"/>
  <c r="AU10" i="4" s="1"/>
  <c r="EQ11" i="3"/>
  <c r="AT10" i="4" s="1"/>
  <c r="EM11" i="3"/>
  <c r="AN10" i="4" s="1"/>
  <c r="EJ11" i="3"/>
  <c r="AM10" i="4" s="1"/>
  <c r="DZ11" i="3"/>
  <c r="AI10" i="4" s="1"/>
  <c r="DW11" i="3"/>
  <c r="AH10" i="4" s="1"/>
  <c r="DT11" i="3"/>
  <c r="DR11" i="3"/>
  <c r="AD10" i="4" s="1"/>
  <c r="DE11" i="3"/>
  <c r="DA11" i="3"/>
  <c r="X10" i="4" s="1"/>
  <c r="CW11" i="3"/>
  <c r="W10" i="4" s="1"/>
  <c r="CS11" i="3"/>
  <c r="U10" i="4" s="1"/>
  <c r="CO11" i="3"/>
  <c r="T10" i="4" s="1"/>
  <c r="CH11" i="3"/>
  <c r="R10" i="4" s="1"/>
  <c r="CF11" i="3"/>
  <c r="Q10" i="4" s="1"/>
  <c r="CD11" i="3"/>
  <c r="P10" i="4" s="1"/>
  <c r="CA11" i="3"/>
  <c r="O10" i="4" s="1"/>
  <c r="BW11" i="3"/>
  <c r="BX11" i="3" s="1"/>
  <c r="BT11" i="3"/>
  <c r="BR11" i="3"/>
  <c r="Z10" i="4" s="1"/>
  <c r="BP11" i="3"/>
  <c r="BN11" i="3"/>
  <c r="BL11" i="3"/>
  <c r="BJ11" i="3"/>
  <c r="AB10" i="4" s="1"/>
  <c r="BG11" i="3"/>
  <c r="AA10" i="4" s="1"/>
  <c r="BC11" i="3"/>
  <c r="M10" i="4" s="1"/>
  <c r="AZ11" i="3"/>
  <c r="L10" i="4" s="1"/>
  <c r="AW11" i="3"/>
  <c r="AU11" i="3"/>
  <c r="AR11" i="3"/>
  <c r="K10" i="4" s="1"/>
  <c r="AI11" i="3"/>
  <c r="I10" i="4" s="1"/>
  <c r="AE11" i="3"/>
  <c r="H10" i="4" s="1"/>
  <c r="AB11" i="3"/>
  <c r="F10" i="4" s="1"/>
  <c r="Z11" i="3"/>
  <c r="V11" i="3"/>
  <c r="E10" i="4" s="1"/>
  <c r="T11" i="3"/>
  <c r="D10" i="4" s="1"/>
  <c r="Q11" i="3"/>
  <c r="R11" i="3" s="1"/>
  <c r="N11" i="3"/>
  <c r="C10" i="4" s="1"/>
  <c r="K11" i="3"/>
  <c r="F11" i="3"/>
  <c r="D11" i="3"/>
  <c r="C11" i="3"/>
  <c r="GW10" i="3"/>
  <c r="GS10" i="3"/>
  <c r="GA10" i="3" s="1"/>
  <c r="AQ9" i="4" s="1"/>
  <c r="GP10" i="3"/>
  <c r="GM10" i="3"/>
  <c r="BC9" i="4" s="1"/>
  <c r="GJ10" i="3"/>
  <c r="AX9" i="4" s="1"/>
  <c r="GD10" i="3"/>
  <c r="FX10" i="3"/>
  <c r="AP9" i="4" s="1"/>
  <c r="FS10" i="3"/>
  <c r="FP10" i="3"/>
  <c r="FA47" i="3" s="1"/>
  <c r="FJ10" i="3"/>
  <c r="BA9" i="4" s="1"/>
  <c r="FG10" i="3"/>
  <c r="AZ9" i="4" s="1"/>
  <c r="FC10" i="3"/>
  <c r="EZ10" i="3"/>
  <c r="EZ47" i="3" s="1"/>
  <c r="EW10" i="3"/>
  <c r="AV9" i="4" s="1"/>
  <c r="ET10" i="3"/>
  <c r="AU9" i="4" s="1"/>
  <c r="EQ10" i="3"/>
  <c r="AT9" i="4" s="1"/>
  <c r="EM10" i="3"/>
  <c r="AN9" i="4" s="1"/>
  <c r="EJ10" i="3"/>
  <c r="AM9" i="4" s="1"/>
  <c r="DZ10" i="3"/>
  <c r="AI9" i="4" s="1"/>
  <c r="DW10" i="3"/>
  <c r="AH9" i="4" s="1"/>
  <c r="DT10" i="3"/>
  <c r="DR10" i="3"/>
  <c r="AD9" i="4" s="1"/>
  <c r="DE10" i="3"/>
  <c r="DF10" i="3" s="1"/>
  <c r="DA10" i="3"/>
  <c r="X9" i="4" s="1"/>
  <c r="CW10" i="3"/>
  <c r="W9" i="4" s="1"/>
  <c r="CS10" i="3"/>
  <c r="U9" i="4" s="1"/>
  <c r="CO10" i="3"/>
  <c r="T9" i="4" s="1"/>
  <c r="CH10" i="3"/>
  <c r="R9" i="4" s="1"/>
  <c r="CF10" i="3"/>
  <c r="Q9" i="4" s="1"/>
  <c r="CD10" i="3"/>
  <c r="P9" i="4" s="1"/>
  <c r="CA10" i="3"/>
  <c r="O9" i="4" s="1"/>
  <c r="BW10" i="3"/>
  <c r="BX10" i="3" s="1"/>
  <c r="BT10" i="3"/>
  <c r="BR10" i="3"/>
  <c r="Z9" i="4" s="1"/>
  <c r="BP10" i="3"/>
  <c r="BN10" i="3"/>
  <c r="BL10" i="3"/>
  <c r="BJ10" i="3"/>
  <c r="AB9" i="4" s="1"/>
  <c r="BG10" i="3"/>
  <c r="AA9" i="4" s="1"/>
  <c r="BC10" i="3"/>
  <c r="M9" i="4" s="1"/>
  <c r="AZ10" i="3"/>
  <c r="L9" i="4" s="1"/>
  <c r="AW10" i="3"/>
  <c r="AU10" i="3"/>
  <c r="AR10" i="3"/>
  <c r="K9" i="4" s="1"/>
  <c r="AI10" i="3"/>
  <c r="I9" i="4" s="1"/>
  <c r="AE10" i="3"/>
  <c r="H9" i="4" s="1"/>
  <c r="AB10" i="3"/>
  <c r="F9" i="4" s="1"/>
  <c r="Z10" i="3"/>
  <c r="V10" i="3"/>
  <c r="E9" i="4" s="1"/>
  <c r="T10" i="3"/>
  <c r="D9" i="4" s="1"/>
  <c r="Q10" i="3"/>
  <c r="N10" i="3"/>
  <c r="C9" i="4" s="1"/>
  <c r="K10" i="3"/>
  <c r="F10" i="3"/>
  <c r="D10" i="3"/>
  <c r="C10" i="3"/>
  <c r="GW9" i="3"/>
  <c r="GS9" i="3"/>
  <c r="GA9" i="3" s="1"/>
  <c r="AQ8" i="4" s="1"/>
  <c r="GP9" i="3"/>
  <c r="GM9" i="3"/>
  <c r="BC8" i="4" s="1"/>
  <c r="GJ9" i="3"/>
  <c r="AX8" i="4" s="1"/>
  <c r="GD9" i="3"/>
  <c r="FX9" i="3"/>
  <c r="AP8" i="4" s="1"/>
  <c r="FS9" i="3"/>
  <c r="FP9" i="3"/>
  <c r="FA46" i="3" s="1"/>
  <c r="FJ9" i="3"/>
  <c r="BA8" i="4" s="1"/>
  <c r="FG9" i="3"/>
  <c r="AZ8" i="4" s="1"/>
  <c r="FC9" i="3"/>
  <c r="EZ9" i="3"/>
  <c r="EZ46" i="3" s="1"/>
  <c r="EW9" i="3"/>
  <c r="AV8" i="4" s="1"/>
  <c r="ET9" i="3"/>
  <c r="AU8" i="4" s="1"/>
  <c r="EQ9" i="3"/>
  <c r="AT8" i="4" s="1"/>
  <c r="EM9" i="3"/>
  <c r="AN8" i="4" s="1"/>
  <c r="EJ9" i="3"/>
  <c r="AM8" i="4" s="1"/>
  <c r="DZ9" i="3"/>
  <c r="AI8" i="4" s="1"/>
  <c r="DW9" i="3"/>
  <c r="AH8" i="4" s="1"/>
  <c r="DT9" i="3"/>
  <c r="DR9" i="3"/>
  <c r="AD8" i="4" s="1"/>
  <c r="DE9" i="3"/>
  <c r="DA9" i="3"/>
  <c r="X8" i="4" s="1"/>
  <c r="CW9" i="3"/>
  <c r="W8" i="4" s="1"/>
  <c r="CS9" i="3"/>
  <c r="U8" i="4" s="1"/>
  <c r="CO9" i="3"/>
  <c r="T8" i="4" s="1"/>
  <c r="CH9" i="3"/>
  <c r="R8" i="4" s="1"/>
  <c r="CF9" i="3"/>
  <c r="Q8" i="4" s="1"/>
  <c r="CD9" i="3"/>
  <c r="P8" i="4" s="1"/>
  <c r="CA9" i="3"/>
  <c r="O8" i="4" s="1"/>
  <c r="BW9" i="3"/>
  <c r="BX9" i="3" s="1"/>
  <c r="BT9" i="3"/>
  <c r="BR9" i="3"/>
  <c r="Z8" i="4" s="1"/>
  <c r="BP9" i="3"/>
  <c r="BN9" i="3"/>
  <c r="BL9" i="3"/>
  <c r="BJ9" i="3"/>
  <c r="AB8" i="4" s="1"/>
  <c r="BG9" i="3"/>
  <c r="AA8" i="4" s="1"/>
  <c r="BC9" i="3"/>
  <c r="M8" i="4" s="1"/>
  <c r="AZ9" i="3"/>
  <c r="L8" i="4" s="1"/>
  <c r="AW9" i="3"/>
  <c r="AU9" i="3"/>
  <c r="AR9" i="3"/>
  <c r="K8" i="4" s="1"/>
  <c r="AI9" i="3"/>
  <c r="I8" i="4" s="1"/>
  <c r="AE9" i="3"/>
  <c r="H8" i="4" s="1"/>
  <c r="AB9" i="3"/>
  <c r="F8" i="4" s="1"/>
  <c r="Z9" i="3"/>
  <c r="V9" i="3"/>
  <c r="E8" i="4" s="1"/>
  <c r="T9" i="3"/>
  <c r="D8" i="4" s="1"/>
  <c r="Q9" i="3"/>
  <c r="R9" i="3" s="1"/>
  <c r="N9" i="3"/>
  <c r="C8" i="4" s="1"/>
  <c r="K9" i="3"/>
  <c r="F9" i="3"/>
  <c r="D9" i="3"/>
  <c r="C9" i="3"/>
  <c r="GW8" i="3"/>
  <c r="GS8" i="3"/>
  <c r="GA8" i="3" s="1"/>
  <c r="AQ7" i="4" s="1"/>
  <c r="GP8" i="3"/>
  <c r="GM8" i="3"/>
  <c r="BC7" i="4" s="1"/>
  <c r="GJ8" i="3"/>
  <c r="AX7" i="4" s="1"/>
  <c r="GD8" i="3"/>
  <c r="FX8" i="3"/>
  <c r="AP7" i="4" s="1"/>
  <c r="FS8" i="3"/>
  <c r="FP8" i="3"/>
  <c r="FJ8" i="3"/>
  <c r="FG8" i="3"/>
  <c r="FC8" i="3"/>
  <c r="EZ8" i="3"/>
  <c r="EW8" i="3"/>
  <c r="ET8" i="3"/>
  <c r="EQ8" i="3"/>
  <c r="EM8" i="3"/>
  <c r="EJ8" i="3"/>
  <c r="DZ8" i="3"/>
  <c r="DW8" i="3"/>
  <c r="DT8" i="3"/>
  <c r="DR8" i="3"/>
  <c r="DE8" i="3"/>
  <c r="DA8" i="3"/>
  <c r="DB8" i="3" s="1"/>
  <c r="CW8" i="3"/>
  <c r="CS8" i="3"/>
  <c r="CO8" i="3"/>
  <c r="T7" i="4" s="1"/>
  <c r="CH8" i="3"/>
  <c r="CF8" i="3"/>
  <c r="CD8" i="3"/>
  <c r="P7" i="4" s="1"/>
  <c r="CA8" i="3"/>
  <c r="CB8" i="3" s="1"/>
  <c r="BW8" i="3"/>
  <c r="BX8" i="3" s="1"/>
  <c r="BT8" i="3"/>
  <c r="BR8" i="3"/>
  <c r="BP8" i="3"/>
  <c r="BN8" i="3"/>
  <c r="BL8" i="3"/>
  <c r="BJ8" i="3"/>
  <c r="AB7" i="4" s="1"/>
  <c r="BG8" i="3"/>
  <c r="BC8" i="3"/>
  <c r="AZ8" i="3"/>
  <c r="AW8" i="3"/>
  <c r="AU8" i="3"/>
  <c r="AR8" i="3"/>
  <c r="K7" i="4" s="1"/>
  <c r="AI8" i="3"/>
  <c r="AE8" i="3"/>
  <c r="AF8" i="3" s="1"/>
  <c r="AB8" i="3"/>
  <c r="F7" i="4" s="1"/>
  <c r="Z8" i="3"/>
  <c r="V8" i="3"/>
  <c r="T8" i="3"/>
  <c r="Q8" i="3"/>
  <c r="N8" i="3"/>
  <c r="K8" i="3"/>
  <c r="F8" i="3"/>
  <c r="D8" i="3"/>
  <c r="C8" i="3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6" i="3" s="1"/>
  <c r="AF9" i="4" l="1"/>
  <c r="AE12" i="4"/>
  <c r="AF18" i="4"/>
  <c r="AF30" i="4"/>
  <c r="AF27" i="4"/>
  <c r="AF34" i="4"/>
  <c r="AF23" i="4"/>
  <c r="AF31" i="4"/>
  <c r="AF11" i="4"/>
  <c r="BL27" i="3"/>
  <c r="AC26" i="4" s="1"/>
  <c r="AE10" i="4"/>
  <c r="AE14" i="4"/>
  <c r="DA27" i="3"/>
  <c r="DA39" i="3" s="1"/>
  <c r="AF17" i="4"/>
  <c r="AF21" i="4"/>
  <c r="AF25" i="4"/>
  <c r="AF29" i="4"/>
  <c r="AF16" i="4"/>
  <c r="AF20" i="4"/>
  <c r="AF28" i="4"/>
  <c r="AF15" i="4"/>
  <c r="AE7" i="4"/>
  <c r="AE13" i="4"/>
  <c r="AE16" i="4"/>
  <c r="AG16" i="4" s="1"/>
  <c r="HY17" i="3"/>
  <c r="FT38" i="3"/>
  <c r="FM38" i="3" s="1"/>
  <c r="AF22" i="4"/>
  <c r="AF14" i="4"/>
  <c r="AE8" i="4"/>
  <c r="AF13" i="4"/>
  <c r="AE20" i="4"/>
  <c r="AG20" i="4" s="1"/>
  <c r="HY21" i="3"/>
  <c r="AE17" i="4"/>
  <c r="AG17" i="4" s="1"/>
  <c r="HY18" i="3"/>
  <c r="AE19" i="4"/>
  <c r="AG19" i="4" s="1"/>
  <c r="HY20" i="3"/>
  <c r="AF24" i="4"/>
  <c r="AF12" i="4"/>
  <c r="HY23" i="3"/>
  <c r="AE22" i="4"/>
  <c r="AG22" i="4" s="1"/>
  <c r="AE18" i="4"/>
  <c r="AG18" i="4" s="1"/>
  <c r="HY19" i="3"/>
  <c r="HY22" i="3"/>
  <c r="AE21" i="4"/>
  <c r="AG21" i="4" s="1"/>
  <c r="EC35" i="3"/>
  <c r="AJ34" i="4" s="1"/>
  <c r="EG35" i="3"/>
  <c r="AL34" i="4" s="1"/>
  <c r="AO34" i="4" s="1"/>
  <c r="EG34" i="3"/>
  <c r="AL33" i="4" s="1"/>
  <c r="AO33" i="4" s="1"/>
  <c r="EC34" i="3"/>
  <c r="AJ33" i="4" s="1"/>
  <c r="AK33" i="4" s="1"/>
  <c r="EG33" i="3"/>
  <c r="AL32" i="4" s="1"/>
  <c r="AO32" i="4" s="1"/>
  <c r="EC33" i="3"/>
  <c r="AJ32" i="4" s="1"/>
  <c r="AK32" i="4" s="1"/>
  <c r="EG32" i="3"/>
  <c r="EN32" i="3" s="1"/>
  <c r="EC32" i="3"/>
  <c r="AJ31" i="4" s="1"/>
  <c r="AK31" i="4" s="1"/>
  <c r="EC31" i="3"/>
  <c r="AJ30" i="4" s="1"/>
  <c r="AK30" i="4" s="1"/>
  <c r="EG31" i="3"/>
  <c r="AL30" i="4" s="1"/>
  <c r="AO30" i="4" s="1"/>
  <c r="EG30" i="3"/>
  <c r="EN30" i="3" s="1"/>
  <c r="EG29" i="3"/>
  <c r="AL28" i="4" s="1"/>
  <c r="AO28" i="4" s="1"/>
  <c r="EC29" i="3"/>
  <c r="AJ28" i="4" s="1"/>
  <c r="AK28" i="4" s="1"/>
  <c r="EC30" i="3"/>
  <c r="AJ29" i="4" s="1"/>
  <c r="AK29" i="4" s="1"/>
  <c r="EC28" i="3"/>
  <c r="AJ27" i="4" s="1"/>
  <c r="AK27" i="4" s="1"/>
  <c r="EG28" i="3"/>
  <c r="AL27" i="4" s="1"/>
  <c r="AO27" i="4" s="1"/>
  <c r="EG27" i="3"/>
  <c r="AL26" i="4" s="1"/>
  <c r="AO26" i="4" s="1"/>
  <c r="EC27" i="3"/>
  <c r="AJ26" i="4" s="1"/>
  <c r="AK26" i="4" s="1"/>
  <c r="EG26" i="3"/>
  <c r="AL25" i="4" s="1"/>
  <c r="AO25" i="4" s="1"/>
  <c r="EC26" i="3"/>
  <c r="AJ25" i="4" s="1"/>
  <c r="AK25" i="4" s="1"/>
  <c r="EG25" i="3"/>
  <c r="EN25" i="3" s="1"/>
  <c r="EC25" i="3"/>
  <c r="AJ24" i="4" s="1"/>
  <c r="AK24" i="4" s="1"/>
  <c r="EC24" i="3"/>
  <c r="AJ23" i="4" s="1"/>
  <c r="AK23" i="4" s="1"/>
  <c r="EG24" i="3"/>
  <c r="AL23" i="4" s="1"/>
  <c r="AO23" i="4" s="1"/>
  <c r="EG23" i="3"/>
  <c r="AL22" i="4" s="1"/>
  <c r="AO22" i="4" s="1"/>
  <c r="EC23" i="3"/>
  <c r="AJ22" i="4" s="1"/>
  <c r="EC22" i="3"/>
  <c r="AJ21" i="4" s="1"/>
  <c r="AK21" i="4" s="1"/>
  <c r="EG22" i="3"/>
  <c r="AL21" i="4" s="1"/>
  <c r="AO21" i="4" s="1"/>
  <c r="EG21" i="3"/>
  <c r="AL20" i="4" s="1"/>
  <c r="AO20" i="4" s="1"/>
  <c r="EC21" i="3"/>
  <c r="AJ20" i="4" s="1"/>
  <c r="AK20" i="4" s="1"/>
  <c r="AF19" i="4"/>
  <c r="AE9" i="4"/>
  <c r="HY16" i="3"/>
  <c r="AE15" i="4"/>
  <c r="AG15" i="4" s="1"/>
  <c r="JX25" i="3"/>
  <c r="CA24" i="4"/>
  <c r="HZ62" i="3" s="1"/>
  <c r="HZ25" i="3"/>
  <c r="AF26" i="4"/>
  <c r="AF33" i="4"/>
  <c r="AF10" i="4"/>
  <c r="AF36" i="4"/>
  <c r="HZ35" i="3"/>
  <c r="CA34" i="4"/>
  <c r="HZ72" i="3" s="1"/>
  <c r="JX35" i="3"/>
  <c r="AZ34" i="4"/>
  <c r="FT35" i="3"/>
  <c r="FM35" i="3" s="1"/>
  <c r="CA37" i="4"/>
  <c r="JX38" i="3"/>
  <c r="HZ38" i="3"/>
  <c r="CA36" i="4"/>
  <c r="HZ37" i="3"/>
  <c r="JX37" i="3"/>
  <c r="CA35" i="4"/>
  <c r="HZ73" i="3" s="1"/>
  <c r="HZ36" i="3"/>
  <c r="JX36" i="3"/>
  <c r="FT36" i="3"/>
  <c r="FM36" i="3" s="1"/>
  <c r="FT37" i="3"/>
  <c r="FM37" i="3" s="1"/>
  <c r="HZ34" i="3"/>
  <c r="CA33" i="4"/>
  <c r="HZ71" i="3" s="1"/>
  <c r="JX34" i="3"/>
  <c r="GA33" i="3"/>
  <c r="AQ32" i="4" s="1"/>
  <c r="AZ33" i="4"/>
  <c r="FT34" i="3"/>
  <c r="FM34" i="3" s="1"/>
  <c r="JX33" i="3"/>
  <c r="HZ33" i="3"/>
  <c r="CA32" i="4"/>
  <c r="HZ70" i="3" s="1"/>
  <c r="FT33" i="3"/>
  <c r="FM33" i="3" s="1"/>
  <c r="HZ32" i="3"/>
  <c r="CA31" i="4"/>
  <c r="HZ69" i="3" s="1"/>
  <c r="JX32" i="3"/>
  <c r="GA31" i="3"/>
  <c r="AQ30" i="4" s="1"/>
  <c r="AZ31" i="4"/>
  <c r="FT32" i="3"/>
  <c r="FM32" i="3" s="1"/>
  <c r="HZ31" i="3"/>
  <c r="CA30" i="4"/>
  <c r="HZ68" i="3" s="1"/>
  <c r="JX31" i="3"/>
  <c r="HZ30" i="3"/>
  <c r="CA29" i="4"/>
  <c r="HZ67" i="3" s="1"/>
  <c r="JX30" i="3"/>
  <c r="FT31" i="3"/>
  <c r="FM31" i="3" s="1"/>
  <c r="GA29" i="3"/>
  <c r="AQ28" i="4" s="1"/>
  <c r="AZ29" i="4"/>
  <c r="FT30" i="3"/>
  <c r="FM30" i="3" s="1"/>
  <c r="HZ29" i="3"/>
  <c r="CA28" i="4"/>
  <c r="HZ66" i="3" s="1"/>
  <c r="JX29" i="3"/>
  <c r="FT29" i="3"/>
  <c r="HZ28" i="3"/>
  <c r="CA27" i="4"/>
  <c r="HZ65" i="3" s="1"/>
  <c r="JX28" i="3"/>
  <c r="GA27" i="3"/>
  <c r="AQ26" i="4" s="1"/>
  <c r="AZ27" i="4"/>
  <c r="FT28" i="3"/>
  <c r="FM28" i="3" s="1"/>
  <c r="CA26" i="4"/>
  <c r="HZ64" i="3" s="1"/>
  <c r="JX27" i="3"/>
  <c r="FT27" i="3"/>
  <c r="FM27" i="3" s="1"/>
  <c r="AZ25" i="4"/>
  <c r="FT26" i="3"/>
  <c r="FM26" i="3" s="1"/>
  <c r="FT25" i="3"/>
  <c r="FM25" i="3" s="1"/>
  <c r="GA25" i="3"/>
  <c r="AQ24" i="4" s="1"/>
  <c r="AX25" i="4"/>
  <c r="HY26" i="3"/>
  <c r="HZ26" i="3" s="1"/>
  <c r="FT24" i="3"/>
  <c r="FM24" i="3" s="1"/>
  <c r="FT23" i="3"/>
  <c r="FM23" i="3" s="1"/>
  <c r="FT21" i="3"/>
  <c r="FM21" i="3" s="1"/>
  <c r="AX24" i="4"/>
  <c r="AE23" i="4"/>
  <c r="AG23" i="4" s="1"/>
  <c r="HY24" i="3"/>
  <c r="AZ21" i="4"/>
  <c r="FT22" i="3"/>
  <c r="FM22" i="3" s="1"/>
  <c r="GA23" i="3"/>
  <c r="AQ22" i="4" s="1"/>
  <c r="AX23" i="4"/>
  <c r="AZ23" i="4"/>
  <c r="GA22" i="3"/>
  <c r="AQ21" i="4" s="1"/>
  <c r="AX22" i="4"/>
  <c r="GA21" i="3"/>
  <c r="AQ20" i="4" s="1"/>
  <c r="AX21" i="4"/>
  <c r="AX20" i="4"/>
  <c r="GG21" i="3"/>
  <c r="AR20" i="4" s="1"/>
  <c r="FT19" i="3"/>
  <c r="FM19" i="3" s="1"/>
  <c r="AZ15" i="4"/>
  <c r="FT16" i="3"/>
  <c r="FM16" i="3" s="1"/>
  <c r="AZ17" i="4"/>
  <c r="FT18" i="3"/>
  <c r="FM18" i="3" s="1"/>
  <c r="AZ16" i="4"/>
  <c r="FT17" i="3"/>
  <c r="FM17" i="3" s="1"/>
  <c r="AZ19" i="4"/>
  <c r="FT20" i="3"/>
  <c r="FM20" i="3" s="1"/>
  <c r="CP37" i="3"/>
  <c r="G26" i="3"/>
  <c r="B25" i="4" s="1"/>
  <c r="AE24" i="4"/>
  <c r="AG24" i="4" s="1"/>
  <c r="FB71" i="3"/>
  <c r="FD71" i="3" s="1"/>
  <c r="FK71" i="3" s="1"/>
  <c r="G24" i="3"/>
  <c r="B23" i="4" s="1"/>
  <c r="AF35" i="4"/>
  <c r="G27" i="3"/>
  <c r="EC20" i="3"/>
  <c r="AJ19" i="4" s="1"/>
  <c r="AK19" i="4" s="1"/>
  <c r="EG20" i="3"/>
  <c r="AL19" i="4" s="1"/>
  <c r="AO19" i="4" s="1"/>
  <c r="EC19" i="3"/>
  <c r="AJ18" i="4" s="1"/>
  <c r="AK18" i="4" s="1"/>
  <c r="EG19" i="3"/>
  <c r="AL18" i="4" s="1"/>
  <c r="AO18" i="4" s="1"/>
  <c r="EG18" i="3"/>
  <c r="AL17" i="4" s="1"/>
  <c r="AO17" i="4" s="1"/>
  <c r="EC18" i="3"/>
  <c r="AJ17" i="4" s="1"/>
  <c r="AK17" i="4" s="1"/>
  <c r="EC17" i="3"/>
  <c r="AJ16" i="4" s="1"/>
  <c r="AK16" i="4" s="1"/>
  <c r="EC15" i="3"/>
  <c r="AJ14" i="4" s="1"/>
  <c r="AK14" i="4" s="1"/>
  <c r="EG17" i="3"/>
  <c r="AL16" i="4" s="1"/>
  <c r="AO16" i="4" s="1"/>
  <c r="EG16" i="3"/>
  <c r="AL15" i="4" s="1"/>
  <c r="AO15" i="4" s="1"/>
  <c r="EG15" i="3"/>
  <c r="AL14" i="4" s="1"/>
  <c r="AO14" i="4" s="1"/>
  <c r="EC16" i="3"/>
  <c r="AJ15" i="4" s="1"/>
  <c r="AK15" i="4" s="1"/>
  <c r="GA19" i="3"/>
  <c r="AQ18" i="4" s="1"/>
  <c r="GA18" i="3"/>
  <c r="AQ17" i="4" s="1"/>
  <c r="GA16" i="3"/>
  <c r="AQ15" i="4" s="1"/>
  <c r="G18" i="3"/>
  <c r="B17" i="4" s="1"/>
  <c r="AE27" i="4"/>
  <c r="AG27" i="4" s="1"/>
  <c r="AE31" i="4"/>
  <c r="AG31" i="4" s="1"/>
  <c r="AC36" i="4"/>
  <c r="AE37" i="4"/>
  <c r="FB54" i="3"/>
  <c r="FD54" i="3" s="1"/>
  <c r="FK54" i="3" s="1"/>
  <c r="CT32" i="3"/>
  <c r="AE34" i="4"/>
  <c r="AG34" i="4" s="1"/>
  <c r="EG14" i="3"/>
  <c r="AL13" i="4" s="1"/>
  <c r="AO13" i="4" s="1"/>
  <c r="EC14" i="3"/>
  <c r="AJ13" i="4" s="1"/>
  <c r="AK13" i="4" s="1"/>
  <c r="EC13" i="3"/>
  <c r="AJ12" i="4" s="1"/>
  <c r="AK12" i="4" s="1"/>
  <c r="EG13" i="3"/>
  <c r="AL12" i="4" s="1"/>
  <c r="AO12" i="4" s="1"/>
  <c r="GA14" i="3"/>
  <c r="AQ13" i="4" s="1"/>
  <c r="AF18" i="3"/>
  <c r="CX25" i="3"/>
  <c r="AN18" i="3"/>
  <c r="BD18" i="3" s="1"/>
  <c r="AJ28" i="3"/>
  <c r="DE39" i="3"/>
  <c r="G16" i="3"/>
  <c r="B15" i="4" s="1"/>
  <c r="CX17" i="3"/>
  <c r="G20" i="3"/>
  <c r="G25" i="3"/>
  <c r="B24" i="4" s="1"/>
  <c r="AE30" i="4"/>
  <c r="AG30" i="4" s="1"/>
  <c r="EG12" i="3"/>
  <c r="AL11" i="4" s="1"/>
  <c r="AO11" i="4" s="1"/>
  <c r="EC12" i="3"/>
  <c r="AJ11" i="4" s="1"/>
  <c r="AK11" i="4" s="1"/>
  <c r="EG11" i="3"/>
  <c r="AL10" i="4" s="1"/>
  <c r="AO10" i="4" s="1"/>
  <c r="EC11" i="3"/>
  <c r="AJ10" i="4" s="1"/>
  <c r="AK10" i="4" s="1"/>
  <c r="G17" i="3"/>
  <c r="B16" i="4" s="1"/>
  <c r="G31" i="3"/>
  <c r="Y32" i="4"/>
  <c r="BE32" i="4" s="1"/>
  <c r="GG34" i="3"/>
  <c r="GA12" i="3"/>
  <c r="AQ11" i="4" s="1"/>
  <c r="DB12" i="3"/>
  <c r="AC10" i="4"/>
  <c r="CK36" i="3"/>
  <c r="S35" i="4" s="1"/>
  <c r="V35" i="4" s="1"/>
  <c r="AS11" i="3"/>
  <c r="CB17" i="3"/>
  <c r="CP19" i="3"/>
  <c r="AS20" i="3"/>
  <c r="CK22" i="3"/>
  <c r="S21" i="4" s="1"/>
  <c r="V21" i="4" s="1"/>
  <c r="CK26" i="3"/>
  <c r="S25" i="4" s="1"/>
  <c r="G28" i="3"/>
  <c r="AN28" i="3"/>
  <c r="AO28" i="3" s="1"/>
  <c r="CK30" i="3"/>
  <c r="S29" i="4" s="1"/>
  <c r="AE29" i="4"/>
  <c r="AG29" i="4" s="1"/>
  <c r="AE33" i="4"/>
  <c r="AG33" i="4" s="1"/>
  <c r="BC34" i="4"/>
  <c r="AF36" i="3"/>
  <c r="G37" i="3"/>
  <c r="AS37" i="3"/>
  <c r="EC10" i="3"/>
  <c r="AJ9" i="4" s="1"/>
  <c r="AK9" i="4" s="1"/>
  <c r="EG10" i="3"/>
  <c r="AL9" i="4" s="1"/>
  <c r="AO9" i="4" s="1"/>
  <c r="EG8" i="3"/>
  <c r="AL7" i="4" s="1"/>
  <c r="EC9" i="3"/>
  <c r="AJ8" i="4" s="1"/>
  <c r="AK8" i="4" s="1"/>
  <c r="EC8" i="3"/>
  <c r="AJ7" i="4" s="1"/>
  <c r="EG9" i="3"/>
  <c r="AL8" i="4" s="1"/>
  <c r="AO8" i="4" s="1"/>
  <c r="K39" i="3"/>
  <c r="G12" i="3"/>
  <c r="AS12" i="3"/>
  <c r="AC23" i="4"/>
  <c r="CK37" i="3"/>
  <c r="S36" i="4" s="1"/>
  <c r="V36" i="4" s="1"/>
  <c r="CK18" i="3"/>
  <c r="S17" i="4" s="1"/>
  <c r="V17" i="4" s="1"/>
  <c r="AF12" i="3"/>
  <c r="CK12" i="3"/>
  <c r="S11" i="4" s="1"/>
  <c r="V11" i="4" s="1"/>
  <c r="AS13" i="3"/>
  <c r="CX13" i="3"/>
  <c r="AS15" i="3"/>
  <c r="DB16" i="3"/>
  <c r="AS17" i="3"/>
  <c r="GG17" i="3"/>
  <c r="AS18" i="3"/>
  <c r="CB20" i="3"/>
  <c r="AC21" i="4"/>
  <c r="AC25" i="4"/>
  <c r="CK32" i="3"/>
  <c r="S31" i="4" s="1"/>
  <c r="V31" i="4" s="1"/>
  <c r="AE32" i="4"/>
  <c r="AG32" i="4" s="1"/>
  <c r="Y35" i="4"/>
  <c r="BE35" i="4" s="1"/>
  <c r="CK38" i="3"/>
  <c r="S37" i="4" s="1"/>
  <c r="V37" i="4" s="1"/>
  <c r="L83" i="3"/>
  <c r="H83" i="3"/>
  <c r="FS39" i="3"/>
  <c r="AS10" i="3"/>
  <c r="G10" i="3"/>
  <c r="DT79" i="3"/>
  <c r="AE25" i="4"/>
  <c r="AG25" i="4" s="1"/>
  <c r="AF7" i="4"/>
  <c r="AE35" i="4"/>
  <c r="AE26" i="4"/>
  <c r="AG26" i="4" s="1"/>
  <c r="AE28" i="4"/>
  <c r="AG28" i="4" s="1"/>
  <c r="AE36" i="4"/>
  <c r="GS39" i="3"/>
  <c r="GP39" i="3"/>
  <c r="AX34" i="4"/>
  <c r="AX35" i="4"/>
  <c r="BC36" i="4"/>
  <c r="BD36" i="4" s="1"/>
  <c r="GG20" i="3"/>
  <c r="GG22" i="3"/>
  <c r="AR21" i="4" s="1"/>
  <c r="GG24" i="3"/>
  <c r="AR23" i="4" s="1"/>
  <c r="GG38" i="3"/>
  <c r="AR37" i="4" s="1"/>
  <c r="Y37" i="4" s="1"/>
  <c r="BE37" i="4" s="1"/>
  <c r="GG11" i="3"/>
  <c r="GG13" i="3"/>
  <c r="AR12" i="4" s="1"/>
  <c r="GG15" i="3"/>
  <c r="AR14" i="4" s="1"/>
  <c r="GG16" i="3"/>
  <c r="AR15" i="4" s="1"/>
  <c r="GG9" i="3"/>
  <c r="GG25" i="3"/>
  <c r="AR24" i="4" s="1"/>
  <c r="GG32" i="3"/>
  <c r="GG35" i="3"/>
  <c r="AR34" i="4" s="1"/>
  <c r="FB58" i="3"/>
  <c r="FD58" i="3" s="1"/>
  <c r="FK58" i="3" s="1"/>
  <c r="FB64" i="3"/>
  <c r="FD64" i="3" s="1"/>
  <c r="FK64" i="3" s="1"/>
  <c r="FU38" i="3"/>
  <c r="FA33" i="3"/>
  <c r="FD37" i="3"/>
  <c r="FA37" i="3"/>
  <c r="FA9" i="3"/>
  <c r="AO36" i="4"/>
  <c r="AO37" i="4"/>
  <c r="DB14" i="3"/>
  <c r="DB36" i="3"/>
  <c r="Y36" i="4"/>
  <c r="BE36" i="4" s="1"/>
  <c r="DB10" i="3"/>
  <c r="DB37" i="3"/>
  <c r="CX11" i="3"/>
  <c r="CX21" i="3"/>
  <c r="CX31" i="3"/>
  <c r="CX38" i="3"/>
  <c r="CX9" i="3"/>
  <c r="CX15" i="3"/>
  <c r="CT22" i="3"/>
  <c r="CT29" i="3"/>
  <c r="CT24" i="3"/>
  <c r="CT30" i="3"/>
  <c r="CT37" i="3"/>
  <c r="CT34" i="3"/>
  <c r="CT28" i="3"/>
  <c r="CP38" i="3"/>
  <c r="CP9" i="3"/>
  <c r="P38" i="4"/>
  <c r="DG7" i="3"/>
  <c r="CB10" i="3"/>
  <c r="CB14" i="3"/>
  <c r="CB24" i="3"/>
  <c r="CB28" i="3"/>
  <c r="CB34" i="3"/>
  <c r="CB38" i="3"/>
  <c r="CB18" i="3"/>
  <c r="CK10" i="3"/>
  <c r="S9" i="4" s="1"/>
  <c r="V9" i="4" s="1"/>
  <c r="CB11" i="3"/>
  <c r="CB15" i="3"/>
  <c r="CK14" i="3"/>
  <c r="CK24" i="3"/>
  <c r="S23" i="4" s="1"/>
  <c r="CK28" i="3"/>
  <c r="S27" i="4" s="1"/>
  <c r="CK34" i="3"/>
  <c r="S33" i="4" s="1"/>
  <c r="V33" i="4" s="1"/>
  <c r="CB9" i="3"/>
  <c r="CB16" i="3"/>
  <c r="CB30" i="3"/>
  <c r="CB12" i="3"/>
  <c r="CK20" i="3"/>
  <c r="S19" i="4" s="1"/>
  <c r="V19" i="4" s="1"/>
  <c r="CB22" i="3"/>
  <c r="CB26" i="3"/>
  <c r="CB13" i="3"/>
  <c r="CK16" i="3"/>
  <c r="DG16" i="3" s="1"/>
  <c r="CB32" i="3"/>
  <c r="AN35" i="3"/>
  <c r="J34" i="4" s="1"/>
  <c r="AN34" i="3"/>
  <c r="AO34" i="3" s="1"/>
  <c r="AN12" i="3"/>
  <c r="BD12" i="3" s="1"/>
  <c r="AC12" i="4"/>
  <c r="AC29" i="4"/>
  <c r="AN14" i="3"/>
  <c r="J13" i="4" s="1"/>
  <c r="AC8" i="4"/>
  <c r="AC14" i="4"/>
  <c r="AC35" i="4"/>
  <c r="AC19" i="4"/>
  <c r="AN10" i="3"/>
  <c r="J9" i="4" s="1"/>
  <c r="AN38" i="3"/>
  <c r="J37" i="4" s="1"/>
  <c r="AN16" i="3"/>
  <c r="AO16" i="3" s="1"/>
  <c r="AB38" i="4"/>
  <c r="C54" i="4" s="1"/>
  <c r="AS9" i="3"/>
  <c r="AS35" i="3"/>
  <c r="AS16" i="3"/>
  <c r="AS14" i="3"/>
  <c r="AS21" i="3"/>
  <c r="AJ32" i="3"/>
  <c r="AJ22" i="3"/>
  <c r="AJ26" i="3"/>
  <c r="AJ20" i="3"/>
  <c r="AJ23" i="3"/>
  <c r="AJ27" i="3"/>
  <c r="AF10" i="3"/>
  <c r="AF16" i="3"/>
  <c r="AF23" i="3"/>
  <c r="AF14" i="3"/>
  <c r="AF38" i="3"/>
  <c r="AF21" i="3"/>
  <c r="X10" i="3"/>
  <c r="G9" i="4" s="1"/>
  <c r="X16" i="3"/>
  <c r="G15" i="4" s="1"/>
  <c r="X28" i="3"/>
  <c r="G27" i="4" s="1"/>
  <c r="X36" i="3"/>
  <c r="G35" i="4" s="1"/>
  <c r="X20" i="3"/>
  <c r="AK20" i="3" s="1"/>
  <c r="DH20" i="3" s="1"/>
  <c r="X14" i="3"/>
  <c r="G13" i="4" s="1"/>
  <c r="X38" i="3"/>
  <c r="G37" i="4" s="1"/>
  <c r="X12" i="3"/>
  <c r="G11" i="4" s="1"/>
  <c r="X18" i="3"/>
  <c r="G17" i="4" s="1"/>
  <c r="X26" i="3"/>
  <c r="G25" i="4" s="1"/>
  <c r="X30" i="3"/>
  <c r="G29" i="4" s="1"/>
  <c r="X23" i="3"/>
  <c r="G22" i="4" s="1"/>
  <c r="X27" i="3"/>
  <c r="G26" i="4" s="1"/>
  <c r="R10" i="3"/>
  <c r="R18" i="3"/>
  <c r="R16" i="3"/>
  <c r="R27" i="3"/>
  <c r="R14" i="3"/>
  <c r="Q39" i="3"/>
  <c r="R12" i="3"/>
  <c r="X35" i="3"/>
  <c r="G34" i="4" s="1"/>
  <c r="G19" i="3"/>
  <c r="G35" i="3"/>
  <c r="G32" i="3"/>
  <c r="G15" i="3"/>
  <c r="G29" i="3"/>
  <c r="G36" i="3"/>
  <c r="G13" i="3"/>
  <c r="G30" i="3"/>
  <c r="G9" i="3"/>
  <c r="G33" i="3"/>
  <c r="F39" i="3"/>
  <c r="G11" i="3"/>
  <c r="G34" i="3"/>
  <c r="G14" i="3"/>
  <c r="G38" i="3"/>
  <c r="HA38" i="3" s="1"/>
  <c r="CK8" i="3"/>
  <c r="CL8" i="3" s="1"/>
  <c r="AN8" i="3"/>
  <c r="J7" i="4" s="1"/>
  <c r="AS8" i="3"/>
  <c r="R8" i="3"/>
  <c r="FB61" i="3"/>
  <c r="FD61" i="3" s="1"/>
  <c r="FK61" i="3" s="1"/>
  <c r="FB56" i="3"/>
  <c r="FD56" i="3" s="1"/>
  <c r="FJ56" i="3" s="1"/>
  <c r="FB51" i="3"/>
  <c r="FD51" i="3" s="1"/>
  <c r="FK51" i="3" s="1"/>
  <c r="FB69" i="3"/>
  <c r="FD69" i="3" s="1"/>
  <c r="FK69" i="3" s="1"/>
  <c r="FB57" i="3"/>
  <c r="FD57" i="3" s="1"/>
  <c r="FJ57" i="3" s="1"/>
  <c r="FB59" i="3"/>
  <c r="FD59" i="3" s="1"/>
  <c r="FJ59" i="3" s="1"/>
  <c r="FB67" i="3"/>
  <c r="FD67" i="3" s="1"/>
  <c r="FK67" i="3" s="1"/>
  <c r="EN36" i="3"/>
  <c r="CT38" i="3"/>
  <c r="CP11" i="3"/>
  <c r="CP13" i="3"/>
  <c r="FT15" i="3"/>
  <c r="FM15" i="3" s="1"/>
  <c r="CP21" i="3"/>
  <c r="CP15" i="3"/>
  <c r="CT25" i="3"/>
  <c r="FB63" i="3"/>
  <c r="FD63" i="3" s="1"/>
  <c r="FJ63" i="3" s="1"/>
  <c r="FA32" i="3"/>
  <c r="CT33" i="3"/>
  <c r="FU35" i="3"/>
  <c r="EN38" i="3"/>
  <c r="FU8" i="3"/>
  <c r="FB46" i="3"/>
  <c r="FD46" i="3" s="1"/>
  <c r="FK46" i="3" s="1"/>
  <c r="CP17" i="3"/>
  <c r="CT23" i="3"/>
  <c r="FB65" i="3"/>
  <c r="FD65" i="3" s="1"/>
  <c r="FK65" i="3" s="1"/>
  <c r="CT31" i="3"/>
  <c r="FB48" i="3"/>
  <c r="FD48" i="3" s="1"/>
  <c r="FJ48" i="3" s="1"/>
  <c r="AJ21" i="3"/>
  <c r="AJ25" i="3"/>
  <c r="CT27" i="3"/>
  <c r="AJ31" i="3"/>
  <c r="AJ33" i="3"/>
  <c r="CT35" i="3"/>
  <c r="FT10" i="3"/>
  <c r="FM10" i="3" s="1"/>
  <c r="FB50" i="3"/>
  <c r="FD50" i="3" s="1"/>
  <c r="FJ50" i="3" s="1"/>
  <c r="FU22" i="3"/>
  <c r="FD36" i="3"/>
  <c r="FA11" i="3"/>
  <c r="FA13" i="3"/>
  <c r="FB52" i="3"/>
  <c r="FD52" i="3" s="1"/>
  <c r="FK52" i="3" s="1"/>
  <c r="FB55" i="3"/>
  <c r="FD55" i="3" s="1"/>
  <c r="FK55" i="3" s="1"/>
  <c r="FA19" i="3"/>
  <c r="CP20" i="3"/>
  <c r="FB60" i="3"/>
  <c r="FD60" i="3" s="1"/>
  <c r="FK60" i="3" s="1"/>
  <c r="FB62" i="3"/>
  <c r="FD62" i="3" s="1"/>
  <c r="FK62" i="3" s="1"/>
  <c r="FB66" i="3"/>
  <c r="FD66" i="3" s="1"/>
  <c r="FK66" i="3" s="1"/>
  <c r="FU30" i="3"/>
  <c r="FB70" i="3"/>
  <c r="FD70" i="3" s="1"/>
  <c r="FK70" i="3" s="1"/>
  <c r="FA38" i="3"/>
  <c r="FT12" i="3"/>
  <c r="FM12" i="3" s="1"/>
  <c r="FA15" i="3"/>
  <c r="FA25" i="3"/>
  <c r="FU34" i="3"/>
  <c r="FT14" i="3"/>
  <c r="FM14" i="3" s="1"/>
  <c r="FA17" i="3"/>
  <c r="FA21" i="3"/>
  <c r="AJ24" i="3"/>
  <c r="CT26" i="3"/>
  <c r="FU26" i="3"/>
  <c r="AJ30" i="3"/>
  <c r="FB68" i="3"/>
  <c r="FD68" i="3" s="1"/>
  <c r="FJ68" i="3" s="1"/>
  <c r="FD33" i="3"/>
  <c r="AJ34" i="3"/>
  <c r="FA35" i="3"/>
  <c r="FU28" i="3"/>
  <c r="FA31" i="3"/>
  <c r="FS46" i="3"/>
  <c r="W17" i="4"/>
  <c r="Y17" i="4" s="1"/>
  <c r="BE17" i="4" s="1"/>
  <c r="CX18" i="3"/>
  <c r="X18" i="4"/>
  <c r="DB19" i="3"/>
  <c r="X25" i="4"/>
  <c r="Y25" i="4" s="1"/>
  <c r="BE25" i="4" s="1"/>
  <c r="DB26" i="3"/>
  <c r="X29" i="4"/>
  <c r="Y29" i="4" s="1"/>
  <c r="BE29" i="4" s="1"/>
  <c r="DB30" i="3"/>
  <c r="DF12" i="3"/>
  <c r="AJ14" i="3"/>
  <c r="DF14" i="3"/>
  <c r="X15" i="3"/>
  <c r="G14" i="4" s="1"/>
  <c r="CT15" i="3"/>
  <c r="AJ16" i="3"/>
  <c r="DF16" i="3"/>
  <c r="X17" i="3"/>
  <c r="G16" i="4" s="1"/>
  <c r="CT17" i="3"/>
  <c r="AJ18" i="3"/>
  <c r="DB18" i="3"/>
  <c r="AS19" i="3"/>
  <c r="CT19" i="3"/>
  <c r="FD19" i="3"/>
  <c r="AN20" i="3"/>
  <c r="FD21" i="3"/>
  <c r="X22" i="3"/>
  <c r="G21" i="4" s="1"/>
  <c r="FA23" i="3"/>
  <c r="CX27" i="3"/>
  <c r="X27" i="4"/>
  <c r="Y27" i="4" s="1"/>
  <c r="BE27" i="4" s="1"/>
  <c r="DB28" i="3"/>
  <c r="CX29" i="3"/>
  <c r="AX28" i="4"/>
  <c r="GG29" i="3"/>
  <c r="AR28" i="4" s="1"/>
  <c r="AT29" i="4"/>
  <c r="FD30" i="3"/>
  <c r="AJ36" i="3"/>
  <c r="AA7" i="4"/>
  <c r="AA38" i="4" s="1"/>
  <c r="C53" i="4" s="1"/>
  <c r="BG39" i="3"/>
  <c r="X24" i="4"/>
  <c r="Y24" i="4" s="1"/>
  <c r="BE24" i="4" s="1"/>
  <c r="DB25" i="3"/>
  <c r="R7" i="4"/>
  <c r="R38" i="4" s="1"/>
  <c r="CH39" i="3"/>
  <c r="CT9" i="3"/>
  <c r="AJ10" i="3"/>
  <c r="AJ12" i="3"/>
  <c r="X13" i="3"/>
  <c r="G12" i="4" s="1"/>
  <c r="CT13" i="3"/>
  <c r="C7" i="4"/>
  <c r="N39" i="3"/>
  <c r="AC7" i="4"/>
  <c r="AT7" i="4"/>
  <c r="EQ39" i="3"/>
  <c r="FT8" i="3"/>
  <c r="FM8" i="3" s="1"/>
  <c r="Y8" i="4"/>
  <c r="FD9" i="3"/>
  <c r="AC9" i="4"/>
  <c r="Y10" i="4"/>
  <c r="BE10" i="4" s="1"/>
  <c r="FD11" i="3"/>
  <c r="AC11" i="4"/>
  <c r="Y12" i="4"/>
  <c r="BE12" i="4" s="1"/>
  <c r="FD13" i="3"/>
  <c r="AC13" i="4"/>
  <c r="Y14" i="4"/>
  <c r="BE14" i="4" s="1"/>
  <c r="FD15" i="3"/>
  <c r="AC15" i="4"/>
  <c r="Y16" i="4"/>
  <c r="BE16" i="4" s="1"/>
  <c r="FD17" i="3"/>
  <c r="AC17" i="4"/>
  <c r="CW19" i="3"/>
  <c r="CW39" i="3" s="1"/>
  <c r="AZ18" i="4"/>
  <c r="FU19" i="3"/>
  <c r="R20" i="3"/>
  <c r="FA20" i="3"/>
  <c r="CT21" i="3"/>
  <c r="AZ20" i="4"/>
  <c r="FU21" i="3"/>
  <c r="DB22" i="3"/>
  <c r="FD23" i="3"/>
  <c r="O24" i="4"/>
  <c r="CK25" i="3"/>
  <c r="AT25" i="4"/>
  <c r="FD26" i="3"/>
  <c r="GG27" i="3"/>
  <c r="AR26" i="4" s="1"/>
  <c r="R28" i="3"/>
  <c r="X28" i="4"/>
  <c r="Y28" i="4" s="1"/>
  <c r="BE28" i="4" s="1"/>
  <c r="DB29" i="3"/>
  <c r="O30" i="4"/>
  <c r="CK31" i="3"/>
  <c r="DG31" i="3" s="1"/>
  <c r="AZ32" i="4"/>
  <c r="FU33" i="3"/>
  <c r="BN39" i="3"/>
  <c r="AU7" i="4"/>
  <c r="AU38" i="4" s="1"/>
  <c r="ET39" i="3"/>
  <c r="FU10" i="3"/>
  <c r="FU12" i="3"/>
  <c r="FU14" i="3"/>
  <c r="FU16" i="3"/>
  <c r="X19" i="3"/>
  <c r="G18" i="4" s="1"/>
  <c r="G23" i="3"/>
  <c r="T22" i="4"/>
  <c r="CP23" i="3"/>
  <c r="AZ22" i="4"/>
  <c r="FU23" i="3"/>
  <c r="H23" i="4"/>
  <c r="AF24" i="3"/>
  <c r="FA24" i="3"/>
  <c r="AT27" i="4"/>
  <c r="FD28" i="3"/>
  <c r="H31" i="4"/>
  <c r="AF32" i="3"/>
  <c r="AC31" i="4"/>
  <c r="T32" i="4"/>
  <c r="CP33" i="3"/>
  <c r="W34" i="4"/>
  <c r="Y34" i="4" s="1"/>
  <c r="BE34" i="4" s="1"/>
  <c r="CX35" i="3"/>
  <c r="DF36" i="3"/>
  <c r="AN7" i="4"/>
  <c r="AN38" i="4" s="1"/>
  <c r="EM39" i="3"/>
  <c r="AP38" i="4"/>
  <c r="D20" i="4"/>
  <c r="AT21" i="4"/>
  <c r="FD22" i="3"/>
  <c r="O26" i="4"/>
  <c r="CK27" i="3"/>
  <c r="O28" i="4"/>
  <c r="CK29" i="3"/>
  <c r="DG29" i="3" s="1"/>
  <c r="F32" i="4"/>
  <c r="X33" i="3"/>
  <c r="G32" i="4" s="1"/>
  <c r="E36" i="4"/>
  <c r="AI36" i="4"/>
  <c r="AK36" i="4" s="1"/>
  <c r="ED37" i="3"/>
  <c r="FA45" i="3"/>
  <c r="FP39" i="3"/>
  <c r="AX30" i="4"/>
  <c r="GG31" i="3"/>
  <c r="AR30" i="4" s="1"/>
  <c r="CT11" i="3"/>
  <c r="D7" i="4"/>
  <c r="T39" i="3"/>
  <c r="Z7" i="4"/>
  <c r="Z38" i="4" s="1"/>
  <c r="C55" i="4" s="1"/>
  <c r="BR39" i="3"/>
  <c r="CP8" i="3"/>
  <c r="DT39" i="3"/>
  <c r="EZ45" i="3"/>
  <c r="EZ39" i="3"/>
  <c r="AF9" i="3"/>
  <c r="DB9" i="3"/>
  <c r="CP10" i="3"/>
  <c r="FB47" i="3"/>
  <c r="FD47" i="3" s="1"/>
  <c r="AF11" i="3"/>
  <c r="DB11" i="3"/>
  <c r="CP12" i="3"/>
  <c r="FB49" i="3"/>
  <c r="FD49" i="3" s="1"/>
  <c r="AF13" i="3"/>
  <c r="DB13" i="3"/>
  <c r="CP14" i="3"/>
  <c r="AF15" i="3"/>
  <c r="DB15" i="3"/>
  <c r="CP16" i="3"/>
  <c r="FB53" i="3"/>
  <c r="FD53" i="3" s="1"/>
  <c r="AF17" i="3"/>
  <c r="DB17" i="3"/>
  <c r="CP18" i="3"/>
  <c r="FU18" i="3"/>
  <c r="CB19" i="3"/>
  <c r="CT20" i="3"/>
  <c r="X20" i="4"/>
  <c r="Y20" i="4" s="1"/>
  <c r="BE20" i="4" s="1"/>
  <c r="G22" i="3"/>
  <c r="AF22" i="3"/>
  <c r="ED23" i="3"/>
  <c r="T23" i="4"/>
  <c r="CP24" i="3"/>
  <c r="X25" i="3"/>
  <c r="G24" i="4" s="1"/>
  <c r="FD25" i="3"/>
  <c r="H25" i="4"/>
  <c r="AF26" i="3"/>
  <c r="CB27" i="3"/>
  <c r="CB29" i="3"/>
  <c r="FA29" i="3"/>
  <c r="H29" i="4"/>
  <c r="AF30" i="3"/>
  <c r="FA30" i="3"/>
  <c r="FD31" i="3"/>
  <c r="AT33" i="4"/>
  <c r="FD34" i="3"/>
  <c r="X37" i="3"/>
  <c r="G36" i="4" s="1"/>
  <c r="AG37" i="4"/>
  <c r="AR39" i="3"/>
  <c r="BP39" i="3"/>
  <c r="U7" i="4"/>
  <c r="U38" i="4" s="1"/>
  <c r="CS39" i="3"/>
  <c r="FA8" i="3"/>
  <c r="FA10" i="3"/>
  <c r="FA12" i="3"/>
  <c r="FA14" i="3"/>
  <c r="FA16" i="3"/>
  <c r="W19" i="4"/>
  <c r="Y19" i="4" s="1"/>
  <c r="BE19" i="4" s="1"/>
  <c r="CX20" i="3"/>
  <c r="X21" i="3"/>
  <c r="G20" i="4" s="1"/>
  <c r="O20" i="4"/>
  <c r="CK21" i="3"/>
  <c r="DG21" i="3" s="1"/>
  <c r="AZ24" i="4"/>
  <c r="FU25" i="3"/>
  <c r="FA26" i="3"/>
  <c r="FA27" i="3"/>
  <c r="FD29" i="3"/>
  <c r="AZ30" i="4"/>
  <c r="FU31" i="3"/>
  <c r="X34" i="3"/>
  <c r="R34" i="3"/>
  <c r="CO39" i="3"/>
  <c r="X30" i="4"/>
  <c r="Y30" i="4" s="1"/>
  <c r="BE30" i="4" s="1"/>
  <c r="DB31" i="3"/>
  <c r="X11" i="3"/>
  <c r="G10" i="4" s="1"/>
  <c r="AV7" i="4"/>
  <c r="AV38" i="4" s="1"/>
  <c r="EW39" i="3"/>
  <c r="E7" i="4"/>
  <c r="V39" i="3"/>
  <c r="AH7" i="4"/>
  <c r="DW39" i="3"/>
  <c r="X8" i="3"/>
  <c r="BW39" i="3"/>
  <c r="CT8" i="3"/>
  <c r="AI7" i="4"/>
  <c r="DZ39" i="3"/>
  <c r="GG8" i="3"/>
  <c r="AR7" i="4" s="1"/>
  <c r="AJ9" i="3"/>
  <c r="DF9" i="3"/>
  <c r="CT10" i="3"/>
  <c r="GG10" i="3"/>
  <c r="AR9" i="4" s="1"/>
  <c r="AJ11" i="3"/>
  <c r="DF11" i="3"/>
  <c r="CT12" i="3"/>
  <c r="GG12" i="3"/>
  <c r="AR11" i="4" s="1"/>
  <c r="AJ13" i="3"/>
  <c r="DF13" i="3"/>
  <c r="CT14" i="3"/>
  <c r="GG14" i="3"/>
  <c r="AR13" i="4" s="1"/>
  <c r="AJ15" i="3"/>
  <c r="DF15" i="3"/>
  <c r="CT16" i="3"/>
  <c r="AJ17" i="3"/>
  <c r="DF17" i="3"/>
  <c r="CT18" i="3"/>
  <c r="AF19" i="3"/>
  <c r="DF19" i="3"/>
  <c r="CB21" i="3"/>
  <c r="CX23" i="3"/>
  <c r="AN24" i="3"/>
  <c r="T24" i="4"/>
  <c r="CP25" i="3"/>
  <c r="FD27" i="3"/>
  <c r="H27" i="4"/>
  <c r="AF28" i="3"/>
  <c r="FA28" i="3"/>
  <c r="AZ28" i="4"/>
  <c r="FU29" i="3"/>
  <c r="FM29" i="3"/>
  <c r="F30" i="4"/>
  <c r="X31" i="3"/>
  <c r="G30" i="4" s="1"/>
  <c r="T30" i="4"/>
  <c r="CP31" i="3"/>
  <c r="AN32" i="3"/>
  <c r="FU32" i="3"/>
  <c r="CX33" i="3"/>
  <c r="FD35" i="3"/>
  <c r="I7" i="4"/>
  <c r="I38" i="4" s="1"/>
  <c r="AI39" i="3"/>
  <c r="AJ8" i="3"/>
  <c r="X9" i="3"/>
  <c r="G8" i="4" s="1"/>
  <c r="W7" i="4"/>
  <c r="CK9" i="3"/>
  <c r="DG9" i="3" s="1"/>
  <c r="FT9" i="3"/>
  <c r="FM9" i="3" s="1"/>
  <c r="Y9" i="4"/>
  <c r="FD10" i="3"/>
  <c r="CK11" i="3"/>
  <c r="FT11" i="3"/>
  <c r="FM11" i="3" s="1"/>
  <c r="Y11" i="4"/>
  <c r="BE11" i="4" s="1"/>
  <c r="FD12" i="3"/>
  <c r="CK13" i="3"/>
  <c r="DG13" i="3" s="1"/>
  <c r="FT13" i="3"/>
  <c r="FM13" i="3" s="1"/>
  <c r="Y13" i="4"/>
  <c r="BE13" i="4" s="1"/>
  <c r="FD14" i="3"/>
  <c r="CK15" i="3"/>
  <c r="DG15" i="3" s="1"/>
  <c r="Y15" i="4"/>
  <c r="BE15" i="4" s="1"/>
  <c r="FD16" i="3"/>
  <c r="AC16" i="4"/>
  <c r="CK17" i="3"/>
  <c r="DG17" i="3" s="1"/>
  <c r="FA18" i="3"/>
  <c r="DB20" i="3"/>
  <c r="FA22" i="3"/>
  <c r="X22" i="4"/>
  <c r="Y22" i="4" s="1"/>
  <c r="BE22" i="4" s="1"/>
  <c r="H24" i="4"/>
  <c r="AF25" i="3"/>
  <c r="T25" i="4"/>
  <c r="CP26" i="3"/>
  <c r="AZ26" i="4"/>
  <c r="FU27" i="3"/>
  <c r="AC27" i="4"/>
  <c r="X29" i="3"/>
  <c r="G28" i="4" s="1"/>
  <c r="T29" i="4"/>
  <c r="CP30" i="3"/>
  <c r="H30" i="4"/>
  <c r="AF31" i="3"/>
  <c r="X31" i="4"/>
  <c r="Y31" i="4" s="1"/>
  <c r="BE31" i="4" s="1"/>
  <c r="DB32" i="3"/>
  <c r="AX32" i="4"/>
  <c r="GG33" i="3"/>
  <c r="AR32" i="4" s="1"/>
  <c r="Q7" i="4"/>
  <c r="Q38" i="4" s="1"/>
  <c r="CF39" i="3"/>
  <c r="DF8" i="3"/>
  <c r="DR39" i="3"/>
  <c r="AD7" i="4"/>
  <c r="AD38" i="4" s="1"/>
  <c r="C57" i="4" s="1"/>
  <c r="BX39" i="3"/>
  <c r="FD8" i="3"/>
  <c r="C39" i="3"/>
  <c r="L7" i="4"/>
  <c r="L38" i="4" s="1"/>
  <c r="AZ39" i="3"/>
  <c r="O7" i="4"/>
  <c r="CA39" i="3"/>
  <c r="CX8" i="3"/>
  <c r="AZ7" i="4"/>
  <c r="FG39" i="3"/>
  <c r="AN9" i="3"/>
  <c r="FU9" i="3"/>
  <c r="CX10" i="3"/>
  <c r="AN11" i="3"/>
  <c r="FU11" i="3"/>
  <c r="CX12" i="3"/>
  <c r="AN13" i="3"/>
  <c r="FU13" i="3"/>
  <c r="CX14" i="3"/>
  <c r="AN15" i="3"/>
  <c r="FU15" i="3"/>
  <c r="CX16" i="3"/>
  <c r="AN17" i="3"/>
  <c r="FU17" i="3"/>
  <c r="GG18" i="3"/>
  <c r="AR17" i="4" s="1"/>
  <c r="AJ19" i="3"/>
  <c r="AC18" i="4"/>
  <c r="AN19" i="3"/>
  <c r="CK19" i="3"/>
  <c r="AF20" i="3"/>
  <c r="FU20" i="3"/>
  <c r="AN22" i="3"/>
  <c r="CP22" i="3"/>
  <c r="DB23" i="3"/>
  <c r="X24" i="3"/>
  <c r="G23" i="4" s="1"/>
  <c r="X23" i="4"/>
  <c r="Y23" i="4" s="1"/>
  <c r="BE23" i="4" s="1"/>
  <c r="DB24" i="3"/>
  <c r="FU24" i="3"/>
  <c r="AN26" i="3"/>
  <c r="T26" i="4"/>
  <c r="CP27" i="3"/>
  <c r="T27" i="4"/>
  <c r="CP28" i="3"/>
  <c r="T28" i="4"/>
  <c r="CP29" i="3"/>
  <c r="AN30" i="3"/>
  <c r="AT31" i="4"/>
  <c r="FD32" i="3"/>
  <c r="FA34" i="3"/>
  <c r="AI34" i="4"/>
  <c r="FA73" i="3"/>
  <c r="FB73" i="3" s="1"/>
  <c r="FD73" i="3" s="1"/>
  <c r="FU36" i="3"/>
  <c r="AX36" i="4"/>
  <c r="GG37" i="3"/>
  <c r="R38" i="3"/>
  <c r="G8" i="3"/>
  <c r="HA8" i="3" s="1"/>
  <c r="HE8" i="3" s="1"/>
  <c r="HJ8" i="3" s="1"/>
  <c r="D39" i="3"/>
  <c r="H7" i="4"/>
  <c r="AE39" i="3"/>
  <c r="M7" i="4"/>
  <c r="M38" i="4" s="1"/>
  <c r="BC39" i="3"/>
  <c r="X7" i="4"/>
  <c r="BA7" i="4"/>
  <c r="BA38" i="4" s="1"/>
  <c r="FJ39" i="3"/>
  <c r="FD18" i="3"/>
  <c r="AT19" i="4"/>
  <c r="FD20" i="3"/>
  <c r="G21" i="3"/>
  <c r="O22" i="4"/>
  <c r="CK23" i="3"/>
  <c r="DG23" i="3" s="1"/>
  <c r="GG23" i="3"/>
  <c r="AR22" i="4" s="1"/>
  <c r="H26" i="4"/>
  <c r="AF27" i="3"/>
  <c r="X32" i="3"/>
  <c r="R32" i="3"/>
  <c r="AM7" i="4"/>
  <c r="AM38" i="4" s="1"/>
  <c r="EJ39" i="3"/>
  <c r="GG19" i="3"/>
  <c r="AR18" i="4" s="1"/>
  <c r="K21" i="4"/>
  <c r="AS22" i="3"/>
  <c r="AT23" i="4"/>
  <c r="FD24" i="3"/>
  <c r="H28" i="4"/>
  <c r="AF29" i="3"/>
  <c r="O32" i="4"/>
  <c r="CK33" i="3"/>
  <c r="DG33" i="3" s="1"/>
  <c r="CB33" i="3"/>
  <c r="AC33" i="4"/>
  <c r="AW37" i="4"/>
  <c r="EZ75" i="3"/>
  <c r="K37" i="4"/>
  <c r="AS38" i="3"/>
  <c r="CP32" i="3"/>
  <c r="AF33" i="3"/>
  <c r="DB33" i="3"/>
  <c r="CP34" i="3"/>
  <c r="CB35" i="3"/>
  <c r="AN36" i="3"/>
  <c r="CX37" i="3"/>
  <c r="AS24" i="3"/>
  <c r="AS26" i="3"/>
  <c r="AS28" i="3"/>
  <c r="AS30" i="3"/>
  <c r="AS32" i="3"/>
  <c r="AS34" i="3"/>
  <c r="AF35" i="3"/>
  <c r="DB35" i="3"/>
  <c r="R36" i="3"/>
  <c r="CB37" i="3"/>
  <c r="ED38" i="3"/>
  <c r="DR79" i="3"/>
  <c r="GG26" i="3"/>
  <c r="AR25" i="4" s="1"/>
  <c r="GG28" i="3"/>
  <c r="AR27" i="4" s="1"/>
  <c r="AJ29" i="3"/>
  <c r="DF29" i="3"/>
  <c r="GG30" i="3"/>
  <c r="AR29" i="4" s="1"/>
  <c r="CP36" i="3"/>
  <c r="AF37" i="3"/>
  <c r="BB37" i="4"/>
  <c r="BD37" i="4" s="1"/>
  <c r="FA75" i="3"/>
  <c r="AC20" i="4"/>
  <c r="Y21" i="4"/>
  <c r="BE21" i="4" s="1"/>
  <c r="AC22" i="4"/>
  <c r="AC24" i="4"/>
  <c r="AC28" i="4"/>
  <c r="AC30" i="4"/>
  <c r="C32" i="4"/>
  <c r="M41" i="3"/>
  <c r="AC32" i="4"/>
  <c r="Y33" i="4"/>
  <c r="BE33" i="4" s="1"/>
  <c r="AX33" i="4"/>
  <c r="AJ35" i="3"/>
  <c r="DF35" i="3"/>
  <c r="EN35" i="3"/>
  <c r="AS36" i="3"/>
  <c r="AK35" i="4"/>
  <c r="FA36" i="3"/>
  <c r="EN37" i="3"/>
  <c r="DB38" i="3"/>
  <c r="AN21" i="3"/>
  <c r="CX22" i="3"/>
  <c r="AN23" i="3"/>
  <c r="CX24" i="3"/>
  <c r="AN25" i="3"/>
  <c r="CX26" i="3"/>
  <c r="CX28" i="3"/>
  <c r="AN29" i="3"/>
  <c r="CX30" i="3"/>
  <c r="AN31" i="3"/>
  <c r="CX32" i="3"/>
  <c r="ED32" i="3"/>
  <c r="AN33" i="3"/>
  <c r="CX34" i="3"/>
  <c r="BC33" i="4"/>
  <c r="AC34" i="4"/>
  <c r="CK35" i="3"/>
  <c r="DG35" i="3" s="1"/>
  <c r="CT36" i="3"/>
  <c r="GG36" i="3"/>
  <c r="AJ37" i="3"/>
  <c r="DF37" i="3"/>
  <c r="FU37" i="3"/>
  <c r="FI72" i="3"/>
  <c r="FI69" i="3"/>
  <c r="FI66" i="3"/>
  <c r="FI63" i="3"/>
  <c r="FI60" i="3"/>
  <c r="FI57" i="3"/>
  <c r="FI53" i="3"/>
  <c r="FH72" i="3"/>
  <c r="FH69" i="3"/>
  <c r="FH66" i="3"/>
  <c r="FH63" i="3"/>
  <c r="FH60" i="3"/>
  <c r="FH57" i="3"/>
  <c r="FI54" i="3"/>
  <c r="FI48" i="3"/>
  <c r="FH47" i="3"/>
  <c r="FH54" i="3"/>
  <c r="FH48" i="3"/>
  <c r="FI73" i="3"/>
  <c r="FI70" i="3"/>
  <c r="FI67" i="3"/>
  <c r="FI64" i="3"/>
  <c r="FI61" i="3"/>
  <c r="FI58" i="3"/>
  <c r="FI55" i="3"/>
  <c r="FI49" i="3"/>
  <c r="FH73" i="3"/>
  <c r="FH70" i="3"/>
  <c r="FH67" i="3"/>
  <c r="FH64" i="3"/>
  <c r="FH61" i="3"/>
  <c r="FH58" i="3"/>
  <c r="FH55" i="3"/>
  <c r="FH49" i="3"/>
  <c r="FI50" i="3"/>
  <c r="FH50" i="3"/>
  <c r="FI46" i="3"/>
  <c r="FI71" i="3"/>
  <c r="FI68" i="3"/>
  <c r="FI65" i="3"/>
  <c r="FI62" i="3"/>
  <c r="FI59" i="3"/>
  <c r="FI56" i="3"/>
  <c r="FI51" i="3"/>
  <c r="FH46" i="3"/>
  <c r="FH71" i="3"/>
  <c r="FH68" i="3"/>
  <c r="FH65" i="3"/>
  <c r="FH62" i="3"/>
  <c r="FH59" i="3"/>
  <c r="FH56" i="3"/>
  <c r="FH51" i="3"/>
  <c r="FI45" i="3"/>
  <c r="FI52" i="3"/>
  <c r="FH45" i="3"/>
  <c r="FH52" i="3"/>
  <c r="FI47" i="3"/>
  <c r="BR38" i="4"/>
  <c r="C61" i="4" s="1"/>
  <c r="AF34" i="3"/>
  <c r="DB34" i="3"/>
  <c r="CX36" i="3"/>
  <c r="ED36" i="3"/>
  <c r="BC35" i="4"/>
  <c r="AN37" i="3"/>
  <c r="AT37" i="4"/>
  <c r="FD38" i="3"/>
  <c r="BS38" i="4"/>
  <c r="C62" i="4" s="1"/>
  <c r="AS23" i="3"/>
  <c r="AK22" i="4"/>
  <c r="AS25" i="3"/>
  <c r="AS27" i="3"/>
  <c r="AS29" i="3"/>
  <c r="AS31" i="3"/>
  <c r="AS33" i="3"/>
  <c r="CP35" i="3"/>
  <c r="FB72" i="3"/>
  <c r="FD72" i="3" s="1"/>
  <c r="CB36" i="3"/>
  <c r="AO35" i="4"/>
  <c r="AW36" i="4"/>
  <c r="EZ74" i="3"/>
  <c r="AJ38" i="3"/>
  <c r="AC37" i="4"/>
  <c r="AK37" i="4"/>
  <c r="D78" i="3"/>
  <c r="G78" i="3"/>
  <c r="AF37" i="4"/>
  <c r="FA74" i="3"/>
  <c r="HE35" i="1"/>
  <c r="HE36" i="1"/>
  <c r="HE37" i="1"/>
  <c r="HE34" i="1"/>
  <c r="CL38" i="3" l="1"/>
  <c r="ED21" i="3"/>
  <c r="BL39" i="3"/>
  <c r="AN27" i="3"/>
  <c r="EN8" i="3"/>
  <c r="B37" i="4"/>
  <c r="AL31" i="4"/>
  <c r="AO31" i="4" s="1"/>
  <c r="EN26" i="3"/>
  <c r="ED28" i="3"/>
  <c r="EN13" i="3"/>
  <c r="EN34" i="3"/>
  <c r="ED22" i="3"/>
  <c r="ED30" i="3"/>
  <c r="EN31" i="3"/>
  <c r="AL29" i="4"/>
  <c r="AO29" i="4" s="1"/>
  <c r="ED25" i="3"/>
  <c r="EN10" i="3"/>
  <c r="DB27" i="3"/>
  <c r="EN28" i="3"/>
  <c r="EN16" i="3"/>
  <c r="ED11" i="3"/>
  <c r="EN17" i="3"/>
  <c r="AS37" i="4"/>
  <c r="ED20" i="3"/>
  <c r="ED35" i="3"/>
  <c r="ED29" i="3"/>
  <c r="AL24" i="4"/>
  <c r="AO24" i="4" s="1"/>
  <c r="EN23" i="3"/>
  <c r="X26" i="4"/>
  <c r="Y26" i="4" s="1"/>
  <c r="BE26" i="4" s="1"/>
  <c r="EN33" i="3"/>
  <c r="EN27" i="3"/>
  <c r="EN21" i="3"/>
  <c r="DG27" i="3"/>
  <c r="AK34" i="4"/>
  <c r="ED9" i="3"/>
  <c r="CA21" i="4"/>
  <c r="HZ59" i="3" s="1"/>
  <c r="HZ22" i="3"/>
  <c r="AR8" i="4"/>
  <c r="AS8" i="4" s="1"/>
  <c r="BE8" i="4" s="1"/>
  <c r="CA18" i="4"/>
  <c r="HZ56" i="3" s="1"/>
  <c r="HZ19" i="3"/>
  <c r="JX19" i="3"/>
  <c r="ED34" i="3"/>
  <c r="ED26" i="3"/>
  <c r="EN24" i="3"/>
  <c r="AK30" i="3"/>
  <c r="DH30" i="3" s="1"/>
  <c r="EN11" i="3"/>
  <c r="EN22" i="3"/>
  <c r="ED33" i="3"/>
  <c r="JX23" i="3"/>
  <c r="CA22" i="4"/>
  <c r="HZ60" i="3" s="1"/>
  <c r="HZ23" i="3"/>
  <c r="CL36" i="3"/>
  <c r="AR10" i="4"/>
  <c r="AS10" i="4" s="1"/>
  <c r="BI10" i="4" s="1"/>
  <c r="ED31" i="3"/>
  <c r="AR33" i="4"/>
  <c r="AS33" i="4" s="1"/>
  <c r="BJ33" i="4" s="1"/>
  <c r="CA16" i="4"/>
  <c r="HZ54" i="3" s="1"/>
  <c r="JX17" i="3"/>
  <c r="HZ17" i="3"/>
  <c r="AR16" i="4"/>
  <c r="AS16" i="4" s="1"/>
  <c r="BI16" i="4" s="1"/>
  <c r="EN29" i="3"/>
  <c r="JX24" i="3"/>
  <c r="CA23" i="4"/>
  <c r="HZ61" i="3" s="1"/>
  <c r="HZ24" i="3"/>
  <c r="CA20" i="4"/>
  <c r="HZ58" i="3" s="1"/>
  <c r="HZ21" i="3"/>
  <c r="JX21" i="3"/>
  <c r="ED24" i="3"/>
  <c r="ED13" i="3"/>
  <c r="ED27" i="3"/>
  <c r="AR19" i="4"/>
  <c r="AS19" i="4" s="1"/>
  <c r="CA17" i="4"/>
  <c r="HZ55" i="3" s="1"/>
  <c r="HZ18" i="3"/>
  <c r="JX18" i="3"/>
  <c r="AR31" i="4"/>
  <c r="AS31" i="4" s="1"/>
  <c r="BJ31" i="4" s="1"/>
  <c r="HS8" i="3"/>
  <c r="HP8" i="3"/>
  <c r="BV7" i="4"/>
  <c r="CA15" i="4"/>
  <c r="HZ53" i="3" s="1"/>
  <c r="HZ16" i="3"/>
  <c r="JX16" i="3"/>
  <c r="EN12" i="3"/>
  <c r="CA19" i="4"/>
  <c r="HZ57" i="3" s="1"/>
  <c r="HZ20" i="3"/>
  <c r="JX20" i="3"/>
  <c r="ED12" i="3"/>
  <c r="JX22" i="3"/>
  <c r="EN15" i="3"/>
  <c r="ED15" i="3"/>
  <c r="FJ71" i="3"/>
  <c r="FL71" i="3" s="1"/>
  <c r="AW33" i="4" s="1"/>
  <c r="AY33" i="4" s="1"/>
  <c r="BD34" i="3"/>
  <c r="J33" i="4"/>
  <c r="FJ69" i="3"/>
  <c r="FL69" i="3" s="1"/>
  <c r="AW31" i="4" s="1"/>
  <c r="AY31" i="4" s="1"/>
  <c r="FJ67" i="3"/>
  <c r="FL67" i="3" s="1"/>
  <c r="AW29" i="4" s="1"/>
  <c r="AY29" i="4" s="1"/>
  <c r="AS28" i="4"/>
  <c r="BJ28" i="4" s="1"/>
  <c r="J27" i="4"/>
  <c r="N27" i="4" s="1"/>
  <c r="BD28" i="3"/>
  <c r="B26" i="4"/>
  <c r="JX26" i="3"/>
  <c r="CA25" i="4"/>
  <c r="HY39" i="3"/>
  <c r="V25" i="4"/>
  <c r="DG26" i="3"/>
  <c r="ED16" i="3"/>
  <c r="EN20" i="3"/>
  <c r="ED14" i="3"/>
  <c r="ED10" i="3"/>
  <c r="AS24" i="4"/>
  <c r="BJ24" i="4" s="1"/>
  <c r="AS21" i="4"/>
  <c r="DG22" i="3"/>
  <c r="CL22" i="3"/>
  <c r="EN18" i="3"/>
  <c r="FJ62" i="3"/>
  <c r="FL62" i="3" s="1"/>
  <c r="ED19" i="3"/>
  <c r="FJ58" i="3"/>
  <c r="FL58" i="3" s="1"/>
  <c r="B30" i="4"/>
  <c r="DG30" i="3"/>
  <c r="EN14" i="3"/>
  <c r="EN19" i="3"/>
  <c r="DG18" i="3"/>
  <c r="CL28" i="3"/>
  <c r="ED18" i="3"/>
  <c r="AO35" i="3"/>
  <c r="DG28" i="3"/>
  <c r="G19" i="4"/>
  <c r="DG32" i="3"/>
  <c r="V27" i="4"/>
  <c r="F38" i="4"/>
  <c r="ED17" i="3"/>
  <c r="DG36" i="3"/>
  <c r="B19" i="4"/>
  <c r="FJ64" i="3"/>
  <c r="FL64" i="3" s="1"/>
  <c r="AK29" i="3"/>
  <c r="DH29" i="3" s="1"/>
  <c r="CL32" i="3"/>
  <c r="AJ38" i="4"/>
  <c r="FK56" i="3"/>
  <c r="FM56" i="3" s="1"/>
  <c r="BB18" i="4" s="1"/>
  <c r="BD18" i="4" s="1"/>
  <c r="DG20" i="3"/>
  <c r="FJ54" i="3"/>
  <c r="FL54" i="3" s="1"/>
  <c r="AW16" i="4" s="1"/>
  <c r="AY16" i="4" s="1"/>
  <c r="AO18" i="3"/>
  <c r="AS15" i="4"/>
  <c r="BI15" i="4" s="1"/>
  <c r="BD16" i="3"/>
  <c r="EC39" i="3"/>
  <c r="AQ38" i="4"/>
  <c r="DG38" i="3"/>
  <c r="FM61" i="3"/>
  <c r="BB23" i="4" s="1"/>
  <c r="BD23" i="4" s="1"/>
  <c r="FJ61" i="3"/>
  <c r="FL61" i="3" s="1"/>
  <c r="N34" i="4"/>
  <c r="FJ55" i="3"/>
  <c r="FL55" i="3" s="1"/>
  <c r="AK16" i="3"/>
  <c r="DH16" i="3" s="1"/>
  <c r="AK14" i="3"/>
  <c r="DH14" i="3" s="1"/>
  <c r="FK57" i="3"/>
  <c r="FM57" i="3" s="1"/>
  <c r="BB19" i="4" s="1"/>
  <c r="BD19" i="4" s="1"/>
  <c r="J17" i="4"/>
  <c r="N17" i="4" s="1"/>
  <c r="CL34" i="3"/>
  <c r="DG34" i="3"/>
  <c r="FM58" i="3"/>
  <c r="BB20" i="4" s="1"/>
  <c r="BD20" i="4" s="1"/>
  <c r="EG39" i="3"/>
  <c r="EN9" i="3"/>
  <c r="J15" i="4"/>
  <c r="N15" i="4" s="1"/>
  <c r="CL37" i="3"/>
  <c r="DG37" i="3"/>
  <c r="V29" i="4"/>
  <c r="FK68" i="3"/>
  <c r="FM68" i="3" s="1"/>
  <c r="BB30" i="4" s="1"/>
  <c r="BD30" i="4" s="1"/>
  <c r="BD35" i="3"/>
  <c r="ED8" i="3"/>
  <c r="CL30" i="3"/>
  <c r="CL26" i="3"/>
  <c r="CL18" i="3"/>
  <c r="FK50" i="3"/>
  <c r="FM50" i="3" s="1"/>
  <c r="BB12" i="4" s="1"/>
  <c r="BD12" i="4" s="1"/>
  <c r="FL50" i="3"/>
  <c r="AW12" i="4" s="1"/>
  <c r="AY12" i="4" s="1"/>
  <c r="J11" i="4"/>
  <c r="N11" i="4" s="1"/>
  <c r="DG12" i="3"/>
  <c r="CL12" i="3"/>
  <c r="AO12" i="3"/>
  <c r="B20" i="4"/>
  <c r="AS11" i="4"/>
  <c r="BI11" i="4" s="1"/>
  <c r="AS30" i="4"/>
  <c r="BJ30" i="4" s="1"/>
  <c r="B33" i="4"/>
  <c r="B8" i="4"/>
  <c r="HA9" i="3"/>
  <c r="B28" i="4"/>
  <c r="B18" i="4"/>
  <c r="AS12" i="4"/>
  <c r="BI12" i="4" s="1"/>
  <c r="AG7" i="4"/>
  <c r="AS20" i="4"/>
  <c r="AR36" i="4"/>
  <c r="AS36" i="4" s="1"/>
  <c r="AS32" i="4"/>
  <c r="BJ32" i="4" s="1"/>
  <c r="B21" i="4"/>
  <c r="B29" i="4"/>
  <c r="B14" i="4"/>
  <c r="AG14" i="4"/>
  <c r="AS18" i="4"/>
  <c r="AS27" i="4"/>
  <c r="AR35" i="4"/>
  <c r="AS35" i="4" s="1"/>
  <c r="AS29" i="4"/>
  <c r="BJ29" i="4" s="1"/>
  <c r="AS25" i="4"/>
  <c r="AS22" i="4"/>
  <c r="AY36" i="4"/>
  <c r="AS17" i="4"/>
  <c r="AS26" i="4"/>
  <c r="B12" i="4"/>
  <c r="HA13" i="3"/>
  <c r="B31" i="4"/>
  <c r="AS34" i="4"/>
  <c r="BJ34" i="4" s="1"/>
  <c r="AS13" i="4"/>
  <c r="BI13" i="4" s="1"/>
  <c r="B22" i="4"/>
  <c r="B13" i="4"/>
  <c r="HA14" i="3"/>
  <c r="B32" i="4"/>
  <c r="B35" i="4"/>
  <c r="HA36" i="3"/>
  <c r="B34" i="4"/>
  <c r="N13" i="4"/>
  <c r="AS14" i="4"/>
  <c r="BI14" i="4" s="1"/>
  <c r="AS23" i="4"/>
  <c r="BL23" i="4" s="1"/>
  <c r="B11" i="4"/>
  <c r="HA12" i="3"/>
  <c r="B36" i="4"/>
  <c r="HA37" i="3"/>
  <c r="B27" i="4"/>
  <c r="AS9" i="4"/>
  <c r="BE9" i="4" s="1"/>
  <c r="FK48" i="3"/>
  <c r="FM48" i="3" s="1"/>
  <c r="BB10" i="4" s="1"/>
  <c r="BD10" i="4" s="1"/>
  <c r="CL10" i="3"/>
  <c r="B9" i="4"/>
  <c r="HA10" i="3"/>
  <c r="B10" i="4"/>
  <c r="HA11" i="3"/>
  <c r="FJ46" i="3"/>
  <c r="FL46" i="3" s="1"/>
  <c r="AW8" i="4" s="1"/>
  <c r="AY8" i="4" s="1"/>
  <c r="AE38" i="4"/>
  <c r="C58" i="4" s="1"/>
  <c r="AF38" i="4"/>
  <c r="C59" i="4" s="1"/>
  <c r="BQ38" i="4"/>
  <c r="BC38" i="4"/>
  <c r="AX38" i="4"/>
  <c r="FM64" i="3"/>
  <c r="BB26" i="4" s="1"/>
  <c r="BD26" i="4" s="1"/>
  <c r="FJ66" i="3"/>
  <c r="FL66" i="3" s="1"/>
  <c r="AW28" i="4" s="1"/>
  <c r="AY28" i="4" s="1"/>
  <c r="FK59" i="3"/>
  <c r="FM59" i="3" s="1"/>
  <c r="BB21" i="4" s="1"/>
  <c r="BD21" i="4" s="1"/>
  <c r="FK63" i="3"/>
  <c r="FM63" i="3" s="1"/>
  <c r="BB25" i="4" s="1"/>
  <c r="BD25" i="4" s="1"/>
  <c r="AY37" i="4"/>
  <c r="FJ70" i="3"/>
  <c r="FL70" i="3" s="1"/>
  <c r="FJ52" i="3"/>
  <c r="FL52" i="3" s="1"/>
  <c r="AW14" i="4" s="1"/>
  <c r="AY14" i="4" s="1"/>
  <c r="FJ51" i="3"/>
  <c r="FL51" i="3" s="1"/>
  <c r="DB39" i="3"/>
  <c r="DG8" i="3"/>
  <c r="DG10" i="3"/>
  <c r="CL24" i="3"/>
  <c r="S13" i="4"/>
  <c r="V13" i="4" s="1"/>
  <c r="CL14" i="3"/>
  <c r="V23" i="4"/>
  <c r="DG24" i="3"/>
  <c r="CL20" i="3"/>
  <c r="DG14" i="3"/>
  <c r="S15" i="4"/>
  <c r="V15" i="4" s="1"/>
  <c r="CL16" i="3"/>
  <c r="AO14" i="3"/>
  <c r="BD14" i="3"/>
  <c r="BD8" i="3"/>
  <c r="AO38" i="3"/>
  <c r="BD38" i="3"/>
  <c r="N9" i="4"/>
  <c r="AO10" i="3"/>
  <c r="BD10" i="3"/>
  <c r="AS39" i="3"/>
  <c r="K38" i="4"/>
  <c r="AO8" i="3"/>
  <c r="AF39" i="3"/>
  <c r="AK19" i="3"/>
  <c r="DH19" i="3" s="1"/>
  <c r="AK10" i="3"/>
  <c r="DH10" i="3" s="1"/>
  <c r="AK27" i="3"/>
  <c r="DH27" i="3" s="1"/>
  <c r="AK38" i="3"/>
  <c r="DH38" i="3" s="1"/>
  <c r="AK12" i="3"/>
  <c r="DH12" i="3" s="1"/>
  <c r="AK36" i="3"/>
  <c r="DH36" i="3" s="1"/>
  <c r="E38" i="4"/>
  <c r="AK28" i="3"/>
  <c r="DH28" i="3" s="1"/>
  <c r="AK9" i="3"/>
  <c r="DH9" i="3" s="1"/>
  <c r="AK18" i="3"/>
  <c r="DH18" i="3" s="1"/>
  <c r="AK25" i="3"/>
  <c r="DH25" i="3" s="1"/>
  <c r="AK23" i="3"/>
  <c r="DH23" i="3" s="1"/>
  <c r="AK26" i="3"/>
  <c r="DH26" i="3" s="1"/>
  <c r="AK15" i="3"/>
  <c r="DH15" i="3" s="1"/>
  <c r="AK13" i="3"/>
  <c r="DH13" i="3" s="1"/>
  <c r="AK35" i="3"/>
  <c r="DH35" i="3" s="1"/>
  <c r="AK11" i="3"/>
  <c r="DH11" i="3" s="1"/>
  <c r="S7" i="4"/>
  <c r="V7" i="4" s="1"/>
  <c r="R39" i="3"/>
  <c r="FU39" i="3"/>
  <c r="FM71" i="3"/>
  <c r="BB33" i="4" s="1"/>
  <c r="BD33" i="4" s="1"/>
  <c r="FJ60" i="3"/>
  <c r="FL60" i="3" s="1"/>
  <c r="FM46" i="3"/>
  <c r="BB8" i="4" s="1"/>
  <c r="BD8" i="4" s="1"/>
  <c r="FM55" i="3"/>
  <c r="BB17" i="4" s="1"/>
  <c r="BD17" i="4" s="1"/>
  <c r="FJ65" i="3"/>
  <c r="FL65" i="3" s="1"/>
  <c r="FB45" i="3"/>
  <c r="FD45" i="3" s="1"/>
  <c r="FK45" i="3" s="1"/>
  <c r="FM45" i="3" s="1"/>
  <c r="BB7" i="4" s="1"/>
  <c r="FM51" i="3"/>
  <c r="BB13" i="4" s="1"/>
  <c r="BD13" i="4" s="1"/>
  <c r="AN39" i="3"/>
  <c r="T38" i="4"/>
  <c r="FM60" i="3"/>
  <c r="BB22" i="4" s="1"/>
  <c r="BD22" i="4" s="1"/>
  <c r="FM62" i="3"/>
  <c r="BB24" i="4" s="1"/>
  <c r="BD24" i="4" s="1"/>
  <c r="FM65" i="3"/>
  <c r="BB27" i="4" s="1"/>
  <c r="BD27" i="4" s="1"/>
  <c r="FL56" i="3"/>
  <c r="FL59" i="3"/>
  <c r="AW21" i="4" s="1"/>
  <c r="AY21" i="4" s="1"/>
  <c r="FM54" i="3"/>
  <c r="BB16" i="4" s="1"/>
  <c r="BD16" i="4" s="1"/>
  <c r="FM69" i="3"/>
  <c r="BB31" i="4" s="1"/>
  <c r="BD31" i="4" s="1"/>
  <c r="FL57" i="3"/>
  <c r="AW19" i="4" s="1"/>
  <c r="AY19" i="4" s="1"/>
  <c r="FL68" i="3"/>
  <c r="S10" i="4"/>
  <c r="V10" i="4" s="1"/>
  <c r="CL11" i="3"/>
  <c r="FM70" i="3"/>
  <c r="BB32" i="4" s="1"/>
  <c r="BD32" i="4" s="1"/>
  <c r="AK33" i="3"/>
  <c r="DH33" i="3" s="1"/>
  <c r="J29" i="4"/>
  <c r="N29" i="4" s="1"/>
  <c r="BD30" i="3"/>
  <c r="AO30" i="3"/>
  <c r="S18" i="4"/>
  <c r="V18" i="4" s="1"/>
  <c r="CL19" i="3"/>
  <c r="AH38" i="4"/>
  <c r="AK7" i="4"/>
  <c r="AK38" i="4" s="1"/>
  <c r="C47" i="4" s="1"/>
  <c r="D38" i="4"/>
  <c r="AK37" i="3"/>
  <c r="DH37" i="3" s="1"/>
  <c r="J26" i="4"/>
  <c r="N26" i="4" s="1"/>
  <c r="BD27" i="3"/>
  <c r="AO27" i="3"/>
  <c r="AO7" i="4"/>
  <c r="J18" i="4"/>
  <c r="N18" i="4" s="1"/>
  <c r="AO19" i="3"/>
  <c r="BD19" i="3"/>
  <c r="J14" i="4"/>
  <c r="N14" i="4" s="1"/>
  <c r="AO15" i="3"/>
  <c r="BD15" i="3"/>
  <c r="J10" i="4"/>
  <c r="N10" i="4" s="1"/>
  <c r="AO11" i="3"/>
  <c r="BD11" i="3"/>
  <c r="DF39" i="3"/>
  <c r="S16" i="4"/>
  <c r="V16" i="4" s="1"/>
  <c r="CL17" i="3"/>
  <c r="AJ39" i="3"/>
  <c r="AK21" i="3"/>
  <c r="DH21" i="3" s="1"/>
  <c r="S30" i="4"/>
  <c r="V30" i="4" s="1"/>
  <c r="CL31" i="3"/>
  <c r="CK39" i="3"/>
  <c r="AT38" i="4"/>
  <c r="FM52" i="3"/>
  <c r="BB14" i="4" s="1"/>
  <c r="BD14" i="4" s="1"/>
  <c r="FL48" i="3"/>
  <c r="S34" i="4"/>
  <c r="V34" i="4" s="1"/>
  <c r="CL35" i="3"/>
  <c r="O38" i="4"/>
  <c r="J23" i="4"/>
  <c r="N23" i="4" s="1"/>
  <c r="BD24" i="3"/>
  <c r="AO24" i="3"/>
  <c r="J32" i="4"/>
  <c r="N32" i="4" s="1"/>
  <c r="BD33" i="3"/>
  <c r="AO33" i="3"/>
  <c r="G33" i="4"/>
  <c r="AK34" i="3"/>
  <c r="DH34" i="3" s="1"/>
  <c r="S24" i="4"/>
  <c r="V24" i="4" s="1"/>
  <c r="CL25" i="3"/>
  <c r="J19" i="4"/>
  <c r="BD20" i="3"/>
  <c r="AO20" i="3"/>
  <c r="AZ38" i="4"/>
  <c r="G31" i="4"/>
  <c r="AK32" i="3"/>
  <c r="DH32" i="3" s="1"/>
  <c r="J20" i="4"/>
  <c r="N20" i="4" s="1"/>
  <c r="BD21" i="3"/>
  <c r="AO21" i="3"/>
  <c r="AK24" i="3"/>
  <c r="DH24" i="3" s="1"/>
  <c r="FK49" i="3"/>
  <c r="FM49" i="3" s="1"/>
  <c r="BB11" i="4" s="1"/>
  <c r="BD11" i="4" s="1"/>
  <c r="FJ49" i="3"/>
  <c r="FL49" i="3" s="1"/>
  <c r="W18" i="4"/>
  <c r="Y18" i="4" s="1"/>
  <c r="BE18" i="4" s="1"/>
  <c r="CX19" i="3"/>
  <c r="CX39" i="3" s="1"/>
  <c r="AC38" i="4"/>
  <c r="C56" i="4" s="1"/>
  <c r="N37" i="4"/>
  <c r="J30" i="4"/>
  <c r="N30" i="4" s="1"/>
  <c r="BD31" i="3"/>
  <c r="AO31" i="3"/>
  <c r="FB74" i="3"/>
  <c r="FD74" i="3" s="1"/>
  <c r="J36" i="4"/>
  <c r="N36" i="4" s="1"/>
  <c r="AO37" i="3"/>
  <c r="BD37" i="3"/>
  <c r="FM66" i="3"/>
  <c r="BB28" i="4" s="1"/>
  <c r="BD28" i="4" s="1"/>
  <c r="AK22" i="3"/>
  <c r="DH22" i="3" s="1"/>
  <c r="S8" i="4"/>
  <c r="V8" i="4" s="1"/>
  <c r="CL9" i="3"/>
  <c r="S28" i="4"/>
  <c r="V28" i="4" s="1"/>
  <c r="CL29" i="3"/>
  <c r="DG25" i="3"/>
  <c r="S32" i="4"/>
  <c r="V32" i="4" s="1"/>
  <c r="CL33" i="3"/>
  <c r="J22" i="4"/>
  <c r="N22" i="4" s="1"/>
  <c r="BD23" i="3"/>
  <c r="AO23" i="3"/>
  <c r="S12" i="4"/>
  <c r="V12" i="4" s="1"/>
  <c r="CL13" i="3"/>
  <c r="J24" i="4"/>
  <c r="N24" i="4" s="1"/>
  <c r="BD25" i="3"/>
  <c r="AO25" i="3"/>
  <c r="AK31" i="3"/>
  <c r="DH31" i="3" s="1"/>
  <c r="FK73" i="3"/>
  <c r="FM73" i="3" s="1"/>
  <c r="BB35" i="4" s="1"/>
  <c r="BD35" i="4" s="1"/>
  <c r="FJ73" i="3"/>
  <c r="FL73" i="3" s="1"/>
  <c r="FB75" i="3"/>
  <c r="FD75" i="3" s="1"/>
  <c r="C38" i="4"/>
  <c r="S20" i="4"/>
  <c r="V20" i="4" s="1"/>
  <c r="CL21" i="3"/>
  <c r="FM67" i="3"/>
  <c r="BB29" i="4" s="1"/>
  <c r="BD29" i="4" s="1"/>
  <c r="AK17" i="3"/>
  <c r="DH17" i="3" s="1"/>
  <c r="H38" i="4"/>
  <c r="J16" i="4"/>
  <c r="N16" i="4" s="1"/>
  <c r="AO17" i="3"/>
  <c r="BD17" i="3"/>
  <c r="J12" i="4"/>
  <c r="N12" i="4" s="1"/>
  <c r="AO13" i="3"/>
  <c r="BD13" i="3"/>
  <c r="J8" i="4"/>
  <c r="N8" i="4" s="1"/>
  <c r="AO9" i="3"/>
  <c r="BD9" i="3"/>
  <c r="FD39" i="3"/>
  <c r="AI38" i="4"/>
  <c r="FK53" i="3"/>
  <c r="FM53" i="3" s="1"/>
  <c r="BB15" i="4" s="1"/>
  <c r="BD15" i="4" s="1"/>
  <c r="FJ53" i="3"/>
  <c r="FL53" i="3" s="1"/>
  <c r="CP39" i="3"/>
  <c r="G7" i="4"/>
  <c r="X39" i="3"/>
  <c r="AK8" i="3"/>
  <c r="FK72" i="3"/>
  <c r="FM72" i="3" s="1"/>
  <c r="BB34" i="4" s="1"/>
  <c r="BD34" i="4" s="1"/>
  <c r="FJ72" i="3"/>
  <c r="FL72" i="3" s="1"/>
  <c r="J28" i="4"/>
  <c r="N28" i="4" s="1"/>
  <c r="BD29" i="3"/>
  <c r="AO29" i="3"/>
  <c r="S22" i="4"/>
  <c r="V22" i="4" s="1"/>
  <c r="CL23" i="3"/>
  <c r="BO38" i="4"/>
  <c r="J21" i="4"/>
  <c r="N21" i="4" s="1"/>
  <c r="AO22" i="3"/>
  <c r="BD22" i="3"/>
  <c r="DG19" i="3"/>
  <c r="S14" i="4"/>
  <c r="V14" i="4" s="1"/>
  <c r="CL15" i="3"/>
  <c r="J31" i="4"/>
  <c r="BD32" i="3"/>
  <c r="AO32" i="3"/>
  <c r="CT39" i="3"/>
  <c r="S26" i="4"/>
  <c r="V26" i="4" s="1"/>
  <c r="CL27" i="3"/>
  <c r="FL63" i="3"/>
  <c r="J35" i="4"/>
  <c r="N35" i="4" s="1"/>
  <c r="BD36" i="3"/>
  <c r="AO36" i="3"/>
  <c r="B7" i="4"/>
  <c r="G39" i="3"/>
  <c r="J25" i="4"/>
  <c r="N25" i="4" s="1"/>
  <c r="BD26" i="3"/>
  <c r="AO26" i="3"/>
  <c r="DG11" i="3"/>
  <c r="Y7" i="4"/>
  <c r="FK47" i="3"/>
  <c r="FM47" i="3" s="1"/>
  <c r="BB9" i="4" s="1"/>
  <c r="BD9" i="4" s="1"/>
  <c r="FJ47" i="3"/>
  <c r="FL47" i="3" s="1"/>
  <c r="AS7" i="4"/>
  <c r="FM39" i="3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O38" i="4" l="1"/>
  <c r="C48" i="4" s="1"/>
  <c r="AL38" i="4"/>
  <c r="X38" i="4"/>
  <c r="BE7" i="4"/>
  <c r="BI19" i="4"/>
  <c r="BL19" i="4"/>
  <c r="N33" i="4"/>
  <c r="GU34" i="3" s="1"/>
  <c r="HE9" i="3"/>
  <c r="HJ9" i="3" s="1"/>
  <c r="BY7" i="4"/>
  <c r="HE13" i="3"/>
  <c r="HJ13" i="3" s="1"/>
  <c r="HE10" i="3"/>
  <c r="HJ10" i="3" s="1"/>
  <c r="BX7" i="4"/>
  <c r="EN39" i="3"/>
  <c r="HE12" i="3"/>
  <c r="HJ12" i="3" s="1"/>
  <c r="HE11" i="3"/>
  <c r="HJ11" i="3" s="1"/>
  <c r="HE14" i="3"/>
  <c r="HJ14" i="3" s="1"/>
  <c r="JX39" i="3"/>
  <c r="HZ8" i="3"/>
  <c r="GU17" i="3"/>
  <c r="CA38" i="4"/>
  <c r="BV46" i="4" s="1"/>
  <c r="HZ63" i="3"/>
  <c r="GU29" i="3"/>
  <c r="GU30" i="3"/>
  <c r="GU22" i="3"/>
  <c r="GU15" i="3"/>
  <c r="BJ27" i="4"/>
  <c r="BI27" i="4"/>
  <c r="BJ26" i="4"/>
  <c r="BI26" i="4"/>
  <c r="BJ25" i="4"/>
  <c r="BI25" i="4"/>
  <c r="HI47" i="3"/>
  <c r="HJ47" i="3"/>
  <c r="N19" i="4"/>
  <c r="GU20" i="3" s="1"/>
  <c r="BI23" i="4"/>
  <c r="BL20" i="4"/>
  <c r="BI20" i="4"/>
  <c r="BI24" i="4"/>
  <c r="BL22" i="4"/>
  <c r="BI22" i="4"/>
  <c r="BL21" i="4"/>
  <c r="BI21" i="4"/>
  <c r="FN61" i="3"/>
  <c r="ED39" i="3"/>
  <c r="BI18" i="4"/>
  <c r="BL18" i="4"/>
  <c r="BL17" i="4"/>
  <c r="BI17" i="4"/>
  <c r="FN55" i="3"/>
  <c r="AW17" i="4"/>
  <c r="AY17" i="4" s="1"/>
  <c r="GU18" i="3" s="1"/>
  <c r="FN68" i="3"/>
  <c r="FN56" i="3"/>
  <c r="AW30" i="4"/>
  <c r="AY30" i="4" s="1"/>
  <c r="GU31" i="3" s="1"/>
  <c r="AW18" i="4"/>
  <c r="AY18" i="4" s="1"/>
  <c r="GU19" i="3" s="1"/>
  <c r="GU38" i="3"/>
  <c r="AW23" i="4"/>
  <c r="AY23" i="4" s="1"/>
  <c r="GU24" i="3" s="1"/>
  <c r="FN51" i="3"/>
  <c r="GU37" i="3"/>
  <c r="AR38" i="4"/>
  <c r="C52" i="4"/>
  <c r="AW13" i="4"/>
  <c r="AY13" i="4" s="1"/>
  <c r="FN46" i="3"/>
  <c r="G38" i="4"/>
  <c r="FJ45" i="3"/>
  <c r="FL45" i="3" s="1"/>
  <c r="AW7" i="4" s="1"/>
  <c r="N7" i="4"/>
  <c r="FN65" i="3"/>
  <c r="AW27" i="4"/>
  <c r="AY27" i="4" s="1"/>
  <c r="GU28" i="3" s="1"/>
  <c r="FN54" i="3"/>
  <c r="FN71" i="3"/>
  <c r="FN69" i="3"/>
  <c r="FN50" i="3"/>
  <c r="DG39" i="3"/>
  <c r="BD39" i="3"/>
  <c r="FN57" i="3"/>
  <c r="AO39" i="3"/>
  <c r="FN59" i="3"/>
  <c r="FN52" i="3"/>
  <c r="AW11" i="4"/>
  <c r="AY11" i="4" s="1"/>
  <c r="FN49" i="3"/>
  <c r="AW9" i="4"/>
  <c r="AY9" i="4" s="1"/>
  <c r="FN47" i="3"/>
  <c r="BB38" i="4"/>
  <c r="BD7" i="4"/>
  <c r="BD38" i="4" s="1"/>
  <c r="C50" i="4" s="1"/>
  <c r="AW35" i="4"/>
  <c r="AY35" i="4" s="1"/>
  <c r="GU36" i="3" s="1"/>
  <c r="FN73" i="3"/>
  <c r="AK39" i="3"/>
  <c r="DH8" i="3"/>
  <c r="DH39" i="3" s="1"/>
  <c r="AS38" i="4"/>
  <c r="AW20" i="4"/>
  <c r="AY20" i="4" s="1"/>
  <c r="GU21" i="3" s="1"/>
  <c r="FN58" i="3"/>
  <c r="AW34" i="4"/>
  <c r="AY34" i="4" s="1"/>
  <c r="GU35" i="3" s="1"/>
  <c r="FN72" i="3"/>
  <c r="AW22" i="4"/>
  <c r="AY22" i="4" s="1"/>
  <c r="GU23" i="3" s="1"/>
  <c r="FN60" i="3"/>
  <c r="AW15" i="4"/>
  <c r="AY15" i="4" s="1"/>
  <c r="GU16" i="3" s="1"/>
  <c r="FN53" i="3"/>
  <c r="CL39" i="3"/>
  <c r="AW32" i="4"/>
  <c r="AY32" i="4" s="1"/>
  <c r="GU33" i="3" s="1"/>
  <c r="FN70" i="3"/>
  <c r="S38" i="4"/>
  <c r="AW25" i="4"/>
  <c r="AY25" i="4" s="1"/>
  <c r="GU26" i="3" s="1"/>
  <c r="FN63" i="3"/>
  <c r="J38" i="4"/>
  <c r="AW10" i="4"/>
  <c r="AY10" i="4" s="1"/>
  <c r="FN48" i="3"/>
  <c r="B38" i="4"/>
  <c r="C42" i="4" s="1"/>
  <c r="Y38" i="4"/>
  <c r="BE38" i="4"/>
  <c r="AW24" i="4"/>
  <c r="AY24" i="4" s="1"/>
  <c r="GU25" i="3" s="1"/>
  <c r="FN62" i="3"/>
  <c r="AW26" i="4"/>
  <c r="AY26" i="4" s="1"/>
  <c r="GU27" i="3" s="1"/>
  <c r="FN64" i="3"/>
  <c r="W38" i="4"/>
  <c r="FN66" i="3"/>
  <c r="N31" i="4"/>
  <c r="GU32" i="3" s="1"/>
  <c r="V38" i="4"/>
  <c r="C45" i="4" s="1"/>
  <c r="FN67" i="3"/>
  <c r="AG9" i="2"/>
  <c r="AG10" i="2"/>
  <c r="AG11" i="2"/>
  <c r="AG12" i="2"/>
  <c r="AG13" i="2"/>
  <c r="AG8" i="2"/>
  <c r="AG13" i="4" l="1"/>
  <c r="GU14" i="3" s="1"/>
  <c r="HE39" i="3"/>
  <c r="AG11" i="4"/>
  <c r="GU12" i="3" s="1"/>
  <c r="HS10" i="3"/>
  <c r="BY9" i="4" s="1"/>
  <c r="HP10" i="3"/>
  <c r="BX9" i="4" s="1"/>
  <c r="BV9" i="4"/>
  <c r="AG9" i="4"/>
  <c r="GU10" i="3" s="1"/>
  <c r="HZ45" i="3"/>
  <c r="HP13" i="3"/>
  <c r="BX12" i="4" s="1"/>
  <c r="HS13" i="3"/>
  <c r="BY12" i="4" s="1"/>
  <c r="BV12" i="4"/>
  <c r="HS14" i="3"/>
  <c r="BY13" i="4" s="1"/>
  <c r="HP14" i="3"/>
  <c r="BX13" i="4" s="1"/>
  <c r="BV13" i="4"/>
  <c r="AG12" i="4"/>
  <c r="GU13" i="3" s="1"/>
  <c r="HS11" i="3"/>
  <c r="BY10" i="4" s="1"/>
  <c r="HP11" i="3"/>
  <c r="BX10" i="4" s="1"/>
  <c r="BV10" i="4"/>
  <c r="AG10" i="4"/>
  <c r="GU11" i="3" s="1"/>
  <c r="HS9" i="3"/>
  <c r="HP9" i="3"/>
  <c r="BV8" i="4"/>
  <c r="HJ39" i="3"/>
  <c r="HS12" i="3"/>
  <c r="BY11" i="4" s="1"/>
  <c r="HP12" i="3"/>
  <c r="BX11" i="4" s="1"/>
  <c r="BV11" i="4"/>
  <c r="AG8" i="4"/>
  <c r="C51" i="4"/>
  <c r="BJ38" i="4"/>
  <c r="BI38" i="4"/>
  <c r="BL38" i="4"/>
  <c r="FN45" i="3"/>
  <c r="C46" i="4"/>
  <c r="AW38" i="4"/>
  <c r="AY7" i="4"/>
  <c r="N38" i="4"/>
  <c r="C44" i="4" s="1"/>
  <c r="AG7" i="2"/>
  <c r="H82" i="1"/>
  <c r="HZ12" i="3" l="1"/>
  <c r="HZ9" i="3"/>
  <c r="HZ49" i="3"/>
  <c r="HZ10" i="3"/>
  <c r="HZ51" i="3"/>
  <c r="HZ14" i="3"/>
  <c r="HZ47" i="3"/>
  <c r="HI42" i="3"/>
  <c r="HJ42" i="3"/>
  <c r="BV38" i="4"/>
  <c r="BV41" i="4" s="1"/>
  <c r="BY8" i="4"/>
  <c r="BY38" i="4" s="1"/>
  <c r="BV44" i="4" s="1"/>
  <c r="HS39" i="3"/>
  <c r="HI45" i="3" s="1"/>
  <c r="GU9" i="3"/>
  <c r="AG38" i="4"/>
  <c r="C60" i="4" s="1"/>
  <c r="HZ50" i="3"/>
  <c r="HZ48" i="3"/>
  <c r="HZ11" i="3"/>
  <c r="HZ13" i="3"/>
  <c r="BX8" i="4"/>
  <c r="BX38" i="4" s="1"/>
  <c r="BV43" i="4" s="1"/>
  <c r="HP39" i="3"/>
  <c r="HI44" i="3" s="1"/>
  <c r="AY38" i="4"/>
  <c r="C49" i="4" s="1"/>
  <c r="GU8" i="3"/>
  <c r="L81" i="1"/>
  <c r="L82" i="1"/>
  <c r="HZ39" i="3" l="1"/>
  <c r="BV48" i="4"/>
  <c r="C63" i="4"/>
  <c r="HZ46" i="3"/>
  <c r="HZ74" i="3" s="1"/>
  <c r="HJ51" i="3"/>
  <c r="HI51" i="3"/>
  <c r="GU39" i="3"/>
  <c r="EX48" i="1"/>
  <c r="FC45" i="1"/>
  <c r="FI46" i="1" l="1"/>
  <c r="FI52" i="1"/>
  <c r="FI58" i="1"/>
  <c r="FI64" i="1"/>
  <c r="FI70" i="1"/>
  <c r="FI66" i="1"/>
  <c r="FH73" i="1"/>
  <c r="FH68" i="1"/>
  <c r="FH51" i="1"/>
  <c r="FH69" i="1"/>
  <c r="FH64" i="1"/>
  <c r="FH47" i="1"/>
  <c r="FH53" i="1"/>
  <c r="FH59" i="1"/>
  <c r="FH65" i="1"/>
  <c r="FH71" i="1"/>
  <c r="FH61" i="1"/>
  <c r="FH62" i="1"/>
  <c r="FI50" i="1"/>
  <c r="FI47" i="1"/>
  <c r="FI53" i="1"/>
  <c r="FI59" i="1"/>
  <c r="FI65" i="1"/>
  <c r="FI71" i="1"/>
  <c r="FI60" i="1"/>
  <c r="FH67" i="1"/>
  <c r="FH48" i="1"/>
  <c r="FH54" i="1"/>
  <c r="FH60" i="1"/>
  <c r="FH66" i="1"/>
  <c r="FH72" i="1"/>
  <c r="FI54" i="1"/>
  <c r="FH55" i="1"/>
  <c r="FH50" i="1"/>
  <c r="FH45" i="1"/>
  <c r="FH57" i="1"/>
  <c r="FI48" i="1"/>
  <c r="FI72" i="1"/>
  <c r="FH49" i="1"/>
  <c r="FH56" i="1"/>
  <c r="FH63" i="1"/>
  <c r="FI57" i="1"/>
  <c r="FH46" i="1"/>
  <c r="FI49" i="1"/>
  <c r="FI55" i="1"/>
  <c r="FI61" i="1"/>
  <c r="FI67" i="1"/>
  <c r="FI73" i="1"/>
  <c r="FI45" i="1"/>
  <c r="FI56" i="1"/>
  <c r="FI63" i="1"/>
  <c r="FH58" i="1"/>
  <c r="FI62" i="1"/>
  <c r="FI51" i="1"/>
  <c r="FH70" i="1"/>
  <c r="FI68" i="1"/>
  <c r="FH52" i="1"/>
  <c r="FI69" i="1"/>
  <c r="DR73" i="1" l="1"/>
  <c r="DR74" i="1"/>
  <c r="DR75" i="1"/>
  <c r="DR76" i="1"/>
  <c r="DR77" i="1"/>
  <c r="DR78" i="1"/>
  <c r="DR72" i="1"/>
  <c r="DR71" i="1" l="1"/>
  <c r="DR70" i="1" l="1"/>
  <c r="DR69" i="1" l="1"/>
  <c r="DR68" i="1" l="1"/>
  <c r="DR67" i="1" l="1"/>
  <c r="DR66" i="1" l="1"/>
  <c r="DR65" i="1" l="1"/>
  <c r="DR64" i="1" l="1"/>
  <c r="DR63" i="1" l="1"/>
  <c r="DR62" i="1" l="1"/>
  <c r="DT48" i="1" l="1"/>
  <c r="DT49" i="1"/>
  <c r="DT50" i="1"/>
  <c r="DT51" i="1"/>
  <c r="DT52" i="1"/>
  <c r="DT53" i="1"/>
  <c r="DT54" i="1"/>
  <c r="DT55" i="1"/>
  <c r="DT56" i="1"/>
  <c r="DT47" i="1"/>
  <c r="DS55" i="1" s="1"/>
  <c r="DS54" i="1" s="1"/>
  <c r="DS53" i="1" s="1"/>
  <c r="DS52" i="1" s="1"/>
  <c r="DS51" i="1" s="1"/>
  <c r="DS50" i="1" s="1"/>
  <c r="DS49" i="1" s="1"/>
  <c r="DS48" i="1" s="1"/>
  <c r="DR48" i="1"/>
  <c r="AF7" i="2" s="1"/>
  <c r="DR49" i="1"/>
  <c r="AF8" i="2" s="1"/>
  <c r="DR50" i="1"/>
  <c r="DR51" i="1"/>
  <c r="DR52" i="1"/>
  <c r="DR53" i="1"/>
  <c r="DR54" i="1"/>
  <c r="DR55" i="1"/>
  <c r="DR56" i="1"/>
  <c r="DR47" i="1"/>
  <c r="DQ55" i="1" s="1"/>
  <c r="DQ54" i="1" s="1"/>
  <c r="DQ53" i="1" s="1"/>
  <c r="DQ52" i="1" s="1"/>
  <c r="DQ51" i="1" s="1"/>
  <c r="DQ50" i="1" s="1"/>
  <c r="DQ49" i="1" s="1"/>
  <c r="DQ48" i="1" s="1"/>
  <c r="DR61" i="1"/>
  <c r="AF11" i="2" l="1"/>
  <c r="AF15" i="2"/>
  <c r="AF12" i="2"/>
  <c r="AF13" i="2"/>
  <c r="AF9" i="2"/>
  <c r="AF14" i="2"/>
  <c r="AF10" i="2"/>
  <c r="DR60" i="1"/>
  <c r="DR59" i="1"/>
  <c r="DR58" i="1"/>
  <c r="DR57" i="1"/>
  <c r="CY18" i="1" l="1"/>
  <c r="CU18" i="1"/>
  <c r="DT58" i="1"/>
  <c r="AF17" i="2" s="1"/>
  <c r="DT59" i="1"/>
  <c r="AF18" i="2" s="1"/>
  <c r="DT60" i="1"/>
  <c r="DT61" i="1"/>
  <c r="DT62" i="1"/>
  <c r="DT63" i="1"/>
  <c r="DT64" i="1"/>
  <c r="DT65" i="1"/>
  <c r="DT66" i="1"/>
  <c r="DT67" i="1"/>
  <c r="DT68" i="1"/>
  <c r="DT69" i="1"/>
  <c r="DT70" i="1"/>
  <c r="DT71" i="1"/>
  <c r="DT72" i="1"/>
  <c r="AF31" i="2" s="1"/>
  <c r="DT73" i="1"/>
  <c r="AF32" i="2" s="1"/>
  <c r="DT74" i="1"/>
  <c r="AF33" i="2" s="1"/>
  <c r="DT75" i="1"/>
  <c r="AF34" i="2" s="1"/>
  <c r="DT76" i="1"/>
  <c r="AF35" i="2" s="1"/>
  <c r="DT77" i="1"/>
  <c r="DT78" i="1"/>
  <c r="AF37" i="2" s="1"/>
  <c r="AF36" i="2" l="1"/>
  <c r="AF30" i="2"/>
  <c r="AF29" i="2"/>
  <c r="AF28" i="2"/>
  <c r="AF27" i="2"/>
  <c r="AF26" i="2"/>
  <c r="AF25" i="2"/>
  <c r="AF24" i="2"/>
  <c r="AF23" i="2"/>
  <c r="AF22" i="2"/>
  <c r="AF21" i="2"/>
  <c r="AF20" i="2"/>
  <c r="AF19" i="2"/>
  <c r="DT57" i="1" l="1"/>
  <c r="AF16" i="2" s="1"/>
  <c r="AF38" i="2" s="1"/>
  <c r="C59" i="2" s="1"/>
  <c r="DP48" i="1"/>
  <c r="DP49" i="1" s="1"/>
  <c r="DP50" i="1" s="1"/>
  <c r="DP51" i="1" s="1"/>
  <c r="DP52" i="1" s="1"/>
  <c r="DP53" i="1" s="1"/>
  <c r="DP54" i="1" s="1"/>
  <c r="DP55" i="1" s="1"/>
  <c r="DP56" i="1" s="1"/>
  <c r="DP57" i="1" s="1"/>
  <c r="DP58" i="1" s="1"/>
  <c r="DP59" i="1" s="1"/>
  <c r="DP60" i="1" s="1"/>
  <c r="DP61" i="1" s="1"/>
  <c r="DP62" i="1" s="1"/>
  <c r="DP63" i="1" s="1"/>
  <c r="DP64" i="1" s="1"/>
  <c r="DP65" i="1" s="1"/>
  <c r="DP66" i="1" s="1"/>
  <c r="DP67" i="1" s="1"/>
  <c r="DP68" i="1" s="1"/>
  <c r="DP69" i="1" s="1"/>
  <c r="DP70" i="1" s="1"/>
  <c r="DP71" i="1" s="1"/>
  <c r="DP72" i="1" s="1"/>
  <c r="DP73" i="1" s="1"/>
  <c r="DP74" i="1" s="1"/>
  <c r="DP75" i="1" s="1"/>
  <c r="DP76" i="1" s="1"/>
  <c r="DP77" i="1" s="1"/>
  <c r="DT79" i="1"/>
  <c r="DR79" i="1"/>
  <c r="GS9" i="1" l="1"/>
  <c r="GS10" i="1"/>
  <c r="GS11" i="1"/>
  <c r="GS12" i="1"/>
  <c r="GS13" i="1"/>
  <c r="GS14" i="1"/>
  <c r="GS15" i="1"/>
  <c r="GS16" i="1"/>
  <c r="GS17" i="1"/>
  <c r="GS18" i="1"/>
  <c r="GS19" i="1"/>
  <c r="GS20" i="1"/>
  <c r="GS21" i="1"/>
  <c r="GS22" i="1"/>
  <c r="GS23" i="1"/>
  <c r="GS24" i="1"/>
  <c r="GS25" i="1"/>
  <c r="GS26" i="1"/>
  <c r="GS27" i="1"/>
  <c r="GS28" i="1"/>
  <c r="GS29" i="1"/>
  <c r="GS30" i="1"/>
  <c r="GS31" i="1"/>
  <c r="GS32" i="1"/>
  <c r="GS33" i="1"/>
  <c r="GS34" i="1"/>
  <c r="GS35" i="1"/>
  <c r="GS36" i="1"/>
  <c r="GS37" i="1"/>
  <c r="GS38" i="1"/>
  <c r="GS8" i="1"/>
  <c r="DR8" i="1"/>
  <c r="AW8" i="1"/>
  <c r="AU8" i="1"/>
  <c r="ED7" i="1"/>
  <c r="DE7" i="1"/>
  <c r="DF7" i="1" s="1"/>
  <c r="K7" i="1"/>
  <c r="DG7" i="1" l="1"/>
  <c r="H81" i="1"/>
  <c r="L83" i="1" l="1"/>
  <c r="GW24" i="1"/>
  <c r="GA24" i="1"/>
  <c r="GP24" i="1"/>
  <c r="GM24" i="1"/>
  <c r="GJ24" i="1"/>
  <c r="GD24" i="1"/>
  <c r="FX24" i="1"/>
  <c r="FS24" i="1"/>
  <c r="FP24" i="1"/>
  <c r="FA61" i="1" s="1"/>
  <c r="FJ24" i="1"/>
  <c r="FG24" i="1"/>
  <c r="FC24" i="1"/>
  <c r="EZ24" i="1"/>
  <c r="EZ61" i="1" s="1"/>
  <c r="EW24" i="1"/>
  <c r="ET24" i="1"/>
  <c r="EQ24" i="1"/>
  <c r="EM24" i="1"/>
  <c r="EJ24" i="1"/>
  <c r="DZ24" i="1"/>
  <c r="DW24" i="1"/>
  <c r="DT24" i="1"/>
  <c r="AE23" i="2" s="1"/>
  <c r="DR24" i="1"/>
  <c r="DE24" i="1"/>
  <c r="DF24" i="1" s="1"/>
  <c r="DA24" i="1"/>
  <c r="DB24" i="1" s="1"/>
  <c r="CW24" i="1"/>
  <c r="CX24" i="1" s="1"/>
  <c r="CS24" i="1"/>
  <c r="CT24" i="1" s="1"/>
  <c r="CO24" i="1"/>
  <c r="CP24" i="1" s="1"/>
  <c r="CH24" i="1"/>
  <c r="CF24" i="1"/>
  <c r="CD24" i="1"/>
  <c r="CA24" i="1"/>
  <c r="CK24" i="1" s="1"/>
  <c r="BW24" i="1"/>
  <c r="BX24" i="1" s="1"/>
  <c r="BT24" i="1"/>
  <c r="BR24" i="1"/>
  <c r="BP24" i="1"/>
  <c r="BN24" i="1"/>
  <c r="BL24" i="1"/>
  <c r="BJ24" i="1"/>
  <c r="BG24" i="1"/>
  <c r="BC24" i="1"/>
  <c r="AZ24" i="1"/>
  <c r="AW24" i="1"/>
  <c r="AU24" i="1"/>
  <c r="Z24" i="1"/>
  <c r="V24" i="1"/>
  <c r="T24" i="1"/>
  <c r="N24" i="1"/>
  <c r="K24" i="1"/>
  <c r="F24" i="1"/>
  <c r="D24" i="1"/>
  <c r="C24" i="1"/>
  <c r="GW23" i="1"/>
  <c r="GA23" i="1"/>
  <c r="GP23" i="1"/>
  <c r="GM23" i="1"/>
  <c r="GJ23" i="1"/>
  <c r="GD23" i="1"/>
  <c r="FX23" i="1"/>
  <c r="FS23" i="1"/>
  <c r="FP23" i="1"/>
  <c r="FA60" i="1" s="1"/>
  <c r="FJ23" i="1"/>
  <c r="FG23" i="1"/>
  <c r="FC23" i="1"/>
  <c r="EZ23" i="1"/>
  <c r="EZ60" i="1" s="1"/>
  <c r="EW23" i="1"/>
  <c r="ET23" i="1"/>
  <c r="EQ23" i="1"/>
  <c r="EM23" i="1"/>
  <c r="EJ23" i="1"/>
  <c r="DZ23" i="1"/>
  <c r="DW23" i="1"/>
  <c r="DT23" i="1"/>
  <c r="AE22" i="2" s="1"/>
  <c r="DR23" i="1"/>
  <c r="DE23" i="1"/>
  <c r="DA23" i="1"/>
  <c r="DB23" i="1" s="1"/>
  <c r="CW23" i="1"/>
  <c r="CX23" i="1" s="1"/>
  <c r="CS23" i="1"/>
  <c r="CT23" i="1" s="1"/>
  <c r="CO23" i="1"/>
  <c r="CP23" i="1" s="1"/>
  <c r="CH23" i="1"/>
  <c r="CF23" i="1"/>
  <c r="CD23" i="1"/>
  <c r="CA23" i="1"/>
  <c r="CB23" i="1" s="1"/>
  <c r="BW23" i="1"/>
  <c r="BX23" i="1" s="1"/>
  <c r="BT23" i="1"/>
  <c r="BR23" i="1"/>
  <c r="BP23" i="1"/>
  <c r="BN23" i="1"/>
  <c r="BL23" i="1"/>
  <c r="BJ23" i="1"/>
  <c r="BG23" i="1"/>
  <c r="BC23" i="1"/>
  <c r="AZ23" i="1"/>
  <c r="AW23" i="1"/>
  <c r="AU23" i="1"/>
  <c r="AR23" i="1"/>
  <c r="AS23" i="1" s="1"/>
  <c r="AI23" i="1"/>
  <c r="AJ23" i="1" s="1"/>
  <c r="AE23" i="1"/>
  <c r="AF23" i="1" s="1"/>
  <c r="AB23" i="1"/>
  <c r="Z23" i="1"/>
  <c r="V23" i="1"/>
  <c r="T23" i="1"/>
  <c r="Q23" i="1"/>
  <c r="N23" i="1"/>
  <c r="K23" i="1"/>
  <c r="F23" i="1"/>
  <c r="D23" i="1"/>
  <c r="C23" i="1"/>
  <c r="FB60" i="1" l="1"/>
  <c r="FD60" i="1" s="1"/>
  <c r="FJ60" i="1" s="1"/>
  <c r="FL60" i="1" s="1"/>
  <c r="FB61" i="1"/>
  <c r="FD61" i="1" s="1"/>
  <c r="GG23" i="1"/>
  <c r="AR22" i="2" s="1"/>
  <c r="G23" i="1"/>
  <c r="GG24" i="1"/>
  <c r="AR23" i="2" s="1"/>
  <c r="FU24" i="1"/>
  <c r="FA23" i="1"/>
  <c r="CB24" i="1"/>
  <c r="DG24" i="1"/>
  <c r="AN24" i="1"/>
  <c r="AO24" i="1" s="1"/>
  <c r="G24" i="1"/>
  <c r="FT24" i="1"/>
  <c r="FM24" i="1" s="1"/>
  <c r="AN23" i="1"/>
  <c r="AO23" i="1" s="1"/>
  <c r="FT23" i="1"/>
  <c r="FM23" i="1" s="1"/>
  <c r="FU23" i="1"/>
  <c r="FD24" i="1"/>
  <c r="FA24" i="1"/>
  <c r="X23" i="1"/>
  <c r="AK23" i="1" s="1"/>
  <c r="DH23" i="1" s="1"/>
  <c r="R23" i="1"/>
  <c r="Q24" i="1"/>
  <c r="CL24" i="1"/>
  <c r="AR24" i="1"/>
  <c r="AS24" i="1" s="1"/>
  <c r="DF23" i="1"/>
  <c r="CK23" i="1"/>
  <c r="CL23" i="1" s="1"/>
  <c r="AB24" i="1"/>
  <c r="AE24" i="1"/>
  <c r="AF24" i="1" s="1"/>
  <c r="FD23" i="1"/>
  <c r="AI24" i="1"/>
  <c r="AJ24" i="1" s="1"/>
  <c r="FK60" i="1" l="1"/>
  <c r="FM60" i="1" s="1"/>
  <c r="BB22" i="2" s="1"/>
  <c r="FJ61" i="1"/>
  <c r="FL61" i="1" s="1"/>
  <c r="FK61" i="1"/>
  <c r="FM61" i="1" s="1"/>
  <c r="BB23" i="2" s="1"/>
  <c r="FN60" i="1"/>
  <c r="AW22" i="2"/>
  <c r="BD23" i="1"/>
  <c r="DG23" i="1"/>
  <c r="X24" i="1"/>
  <c r="AK24" i="1" s="1"/>
  <c r="DH24" i="1" s="1"/>
  <c r="R24" i="1"/>
  <c r="BD24" i="1"/>
  <c r="AW23" i="2" l="1"/>
  <c r="FN61" i="1"/>
  <c r="BM38" i="2"/>
  <c r="BK38" i="2"/>
  <c r="BH38" i="2"/>
  <c r="BG38" i="2"/>
  <c r="BF38" i="2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D81" i="1"/>
  <c r="D83" i="1" s="1"/>
  <c r="GM78" i="1"/>
  <c r="GJ78" i="1"/>
  <c r="G77" i="1"/>
  <c r="D77" i="1"/>
  <c r="G76" i="1"/>
  <c r="BS37" i="2" s="1"/>
  <c r="D76" i="1"/>
  <c r="BR37" i="2" s="1"/>
  <c r="GM75" i="1"/>
  <c r="GJ75" i="1"/>
  <c r="J75" i="1"/>
  <c r="G75" i="1"/>
  <c r="BS36" i="2" s="1"/>
  <c r="D75" i="1"/>
  <c r="BR36" i="2" s="1"/>
  <c r="GM74" i="1"/>
  <c r="GJ74" i="1"/>
  <c r="J74" i="1"/>
  <c r="G74" i="1"/>
  <c r="BS35" i="2" s="1"/>
  <c r="D74" i="1"/>
  <c r="BR35" i="2" s="1"/>
  <c r="GM73" i="1"/>
  <c r="GJ73" i="1"/>
  <c r="J73" i="1"/>
  <c r="G73" i="1"/>
  <c r="BS34" i="2" s="1"/>
  <c r="D73" i="1"/>
  <c r="BR34" i="2" s="1"/>
  <c r="GM72" i="1"/>
  <c r="GJ72" i="1"/>
  <c r="J72" i="1"/>
  <c r="G72" i="1"/>
  <c r="BS33" i="2" s="1"/>
  <c r="D72" i="1"/>
  <c r="BR33" i="2" s="1"/>
  <c r="GM71" i="1"/>
  <c r="GJ71" i="1"/>
  <c r="J71" i="1"/>
  <c r="G71" i="1"/>
  <c r="BS32" i="2" s="1"/>
  <c r="D71" i="1"/>
  <c r="BR32" i="2" s="1"/>
  <c r="GM70" i="1"/>
  <c r="GJ70" i="1"/>
  <c r="J70" i="1"/>
  <c r="G70" i="1"/>
  <c r="BS31" i="2" s="1"/>
  <c r="D70" i="1"/>
  <c r="BR31" i="2" s="1"/>
  <c r="GM69" i="1"/>
  <c r="GJ69" i="1"/>
  <c r="J69" i="1"/>
  <c r="G69" i="1"/>
  <c r="BS30" i="2" s="1"/>
  <c r="D69" i="1"/>
  <c r="BR30" i="2" s="1"/>
  <c r="GM68" i="1"/>
  <c r="GJ68" i="1"/>
  <c r="J68" i="1"/>
  <c r="G68" i="1"/>
  <c r="BS29" i="2" s="1"/>
  <c r="D68" i="1"/>
  <c r="BR29" i="2" s="1"/>
  <c r="GM67" i="1"/>
  <c r="GJ67" i="1"/>
  <c r="J67" i="1"/>
  <c r="G67" i="1"/>
  <c r="BS28" i="2" s="1"/>
  <c r="D67" i="1"/>
  <c r="BR28" i="2" s="1"/>
  <c r="GM66" i="1"/>
  <c r="GJ66" i="1"/>
  <c r="J66" i="1"/>
  <c r="G66" i="1"/>
  <c r="BS27" i="2" s="1"/>
  <c r="D66" i="1"/>
  <c r="BR27" i="2" s="1"/>
  <c r="GM65" i="1"/>
  <c r="GJ65" i="1"/>
  <c r="J65" i="1"/>
  <c r="G65" i="1"/>
  <c r="BS26" i="2" s="1"/>
  <c r="D65" i="1"/>
  <c r="BR26" i="2" s="1"/>
  <c r="GM64" i="1"/>
  <c r="GJ64" i="1"/>
  <c r="J64" i="1"/>
  <c r="G64" i="1"/>
  <c r="BS25" i="2" s="1"/>
  <c r="D64" i="1"/>
  <c r="BR25" i="2" s="1"/>
  <c r="GM63" i="1"/>
  <c r="GJ63" i="1"/>
  <c r="J63" i="1"/>
  <c r="G63" i="1"/>
  <c r="BS24" i="2" s="1"/>
  <c r="D63" i="1"/>
  <c r="BR24" i="2" s="1"/>
  <c r="GM62" i="1"/>
  <c r="GJ62" i="1"/>
  <c r="J62" i="1"/>
  <c r="G62" i="1"/>
  <c r="BS23" i="2" s="1"/>
  <c r="D62" i="1"/>
  <c r="BR23" i="2" s="1"/>
  <c r="GM61" i="1"/>
  <c r="GJ61" i="1"/>
  <c r="J61" i="1"/>
  <c r="G61" i="1"/>
  <c r="BS22" i="2" s="1"/>
  <c r="D61" i="1"/>
  <c r="BR22" i="2" s="1"/>
  <c r="GM60" i="1"/>
  <c r="GJ60" i="1"/>
  <c r="J60" i="1"/>
  <c r="G60" i="1"/>
  <c r="BS21" i="2" s="1"/>
  <c r="D60" i="1"/>
  <c r="BR21" i="2" s="1"/>
  <c r="GM59" i="1"/>
  <c r="GJ59" i="1"/>
  <c r="J59" i="1"/>
  <c r="G59" i="1"/>
  <c r="BS20" i="2" s="1"/>
  <c r="D59" i="1"/>
  <c r="BR20" i="2" s="1"/>
  <c r="GM58" i="1"/>
  <c r="GJ58" i="1"/>
  <c r="J58" i="1"/>
  <c r="G58" i="1"/>
  <c r="BS19" i="2" s="1"/>
  <c r="D58" i="1"/>
  <c r="BR19" i="2" s="1"/>
  <c r="GM57" i="1"/>
  <c r="GJ57" i="1"/>
  <c r="J57" i="1"/>
  <c r="G57" i="1"/>
  <c r="BS18" i="2" s="1"/>
  <c r="D57" i="1"/>
  <c r="BR18" i="2" s="1"/>
  <c r="GM56" i="1"/>
  <c r="GJ56" i="1"/>
  <c r="J56" i="1"/>
  <c r="G56" i="1"/>
  <c r="BS17" i="2" s="1"/>
  <c r="D56" i="1"/>
  <c r="BR17" i="2" s="1"/>
  <c r="GM55" i="1"/>
  <c r="GJ55" i="1"/>
  <c r="J55" i="1"/>
  <c r="G55" i="1"/>
  <c r="BS16" i="2" s="1"/>
  <c r="D55" i="1"/>
  <c r="BR16" i="2" s="1"/>
  <c r="GM54" i="1"/>
  <c r="GJ54" i="1"/>
  <c r="J54" i="1"/>
  <c r="G54" i="1"/>
  <c r="BS15" i="2" s="1"/>
  <c r="D54" i="1"/>
  <c r="BR15" i="2" s="1"/>
  <c r="GM53" i="1"/>
  <c r="GJ53" i="1"/>
  <c r="J53" i="1"/>
  <c r="G53" i="1"/>
  <c r="BS14" i="2" s="1"/>
  <c r="D53" i="1"/>
  <c r="BR14" i="2" s="1"/>
  <c r="GM52" i="1"/>
  <c r="GJ52" i="1"/>
  <c r="J52" i="1"/>
  <c r="G52" i="1"/>
  <c r="BS13" i="2" s="1"/>
  <c r="D52" i="1"/>
  <c r="BR13" i="2" s="1"/>
  <c r="GM51" i="1"/>
  <c r="GJ51" i="1"/>
  <c r="J51" i="1"/>
  <c r="G51" i="1"/>
  <c r="BS12" i="2" s="1"/>
  <c r="D51" i="1"/>
  <c r="BR12" i="2" s="1"/>
  <c r="GM50" i="1"/>
  <c r="GJ50" i="1"/>
  <c r="J50" i="1"/>
  <c r="G50" i="1"/>
  <c r="BS11" i="2" s="1"/>
  <c r="D50" i="1"/>
  <c r="BR11" i="2" s="1"/>
  <c r="GM49" i="1"/>
  <c r="GJ49" i="1"/>
  <c r="J49" i="1"/>
  <c r="G49" i="1"/>
  <c r="BS10" i="2" s="1"/>
  <c r="D49" i="1"/>
  <c r="BR10" i="2" s="1"/>
  <c r="GM48" i="1"/>
  <c r="GJ48" i="1"/>
  <c r="J48" i="1"/>
  <c r="G48" i="1"/>
  <c r="BS9" i="2" s="1"/>
  <c r="D48" i="1"/>
  <c r="BR9" i="2" s="1"/>
  <c r="GM47" i="1"/>
  <c r="GJ47" i="1"/>
  <c r="GG47" i="1"/>
  <c r="GG48" i="1" s="1"/>
  <c r="GG49" i="1" s="1"/>
  <c r="GG50" i="1" s="1"/>
  <c r="GG51" i="1" s="1"/>
  <c r="GG52" i="1" s="1"/>
  <c r="GG53" i="1" s="1"/>
  <c r="GG54" i="1" s="1"/>
  <c r="GG55" i="1" s="1"/>
  <c r="GG56" i="1" s="1"/>
  <c r="GG57" i="1" s="1"/>
  <c r="GG58" i="1" s="1"/>
  <c r="GG59" i="1" s="1"/>
  <c r="GG60" i="1" s="1"/>
  <c r="GG61" i="1" s="1"/>
  <c r="GG62" i="1" s="1"/>
  <c r="GG63" i="1" s="1"/>
  <c r="GG64" i="1" s="1"/>
  <c r="GG65" i="1" s="1"/>
  <c r="GG66" i="1" s="1"/>
  <c r="GG67" i="1" s="1"/>
  <c r="GG68" i="1" s="1"/>
  <c r="GG69" i="1" s="1"/>
  <c r="GG70" i="1" s="1"/>
  <c r="GG71" i="1" s="1"/>
  <c r="GG72" i="1" s="1"/>
  <c r="GG73" i="1" s="1"/>
  <c r="GG74" i="1" s="1"/>
  <c r="GG75" i="1" s="1"/>
  <c r="J47" i="1"/>
  <c r="G47" i="1"/>
  <c r="BS8" i="2" s="1"/>
  <c r="D47" i="1"/>
  <c r="BR8" i="2" s="1"/>
  <c r="GU46" i="1"/>
  <c r="J46" i="1"/>
  <c r="G46" i="1"/>
  <c r="D46" i="1"/>
  <c r="BR7" i="2" s="1"/>
  <c r="GM41" i="1"/>
  <c r="EE40" i="1"/>
  <c r="U40" i="1"/>
  <c r="V40" i="1" s="1"/>
  <c r="GV39" i="1"/>
  <c r="FL39" i="1"/>
  <c r="DO39" i="1"/>
  <c r="DN39" i="1"/>
  <c r="DM39" i="1"/>
  <c r="GW38" i="1"/>
  <c r="GP38" i="1"/>
  <c r="GM38" i="1"/>
  <c r="GJ38" i="1"/>
  <c r="AX37" i="2" s="1"/>
  <c r="GD38" i="1"/>
  <c r="GA38" i="1"/>
  <c r="AQ37" i="2" s="1"/>
  <c r="FX38" i="1"/>
  <c r="AP37" i="2" s="1"/>
  <c r="FS38" i="1"/>
  <c r="FP38" i="1"/>
  <c r="FJ38" i="1"/>
  <c r="BA37" i="2" s="1"/>
  <c r="FG38" i="1"/>
  <c r="AZ37" i="2" s="1"/>
  <c r="FC38" i="1"/>
  <c r="EZ38" i="1"/>
  <c r="EW38" i="1"/>
  <c r="AV37" i="2" s="1"/>
  <c r="ET38" i="1"/>
  <c r="AU37" i="2" s="1"/>
  <c r="EQ38" i="1"/>
  <c r="AT37" i="2" s="1"/>
  <c r="EM38" i="1"/>
  <c r="AN37" i="2" s="1"/>
  <c r="EJ38" i="1"/>
  <c r="AM37" i="2" s="1"/>
  <c r="DZ38" i="1"/>
  <c r="AI37" i="2" s="1"/>
  <c r="DW38" i="1"/>
  <c r="AH37" i="2" s="1"/>
  <c r="DT38" i="1"/>
  <c r="AE37" i="2" s="1"/>
  <c r="DR38" i="1"/>
  <c r="AD37" i="2" s="1"/>
  <c r="DE38" i="1"/>
  <c r="DA38" i="1"/>
  <c r="CW38" i="1"/>
  <c r="CS38" i="1"/>
  <c r="U37" i="2" s="1"/>
  <c r="CO38" i="1"/>
  <c r="CH38" i="1"/>
  <c r="R37" i="2" s="1"/>
  <c r="CF38" i="1"/>
  <c r="Q37" i="2" s="1"/>
  <c r="CD38" i="1"/>
  <c r="P37" i="2" s="1"/>
  <c r="CA38" i="1"/>
  <c r="BW38" i="1"/>
  <c r="BX38" i="1" s="1"/>
  <c r="BT38" i="1"/>
  <c r="BR38" i="1"/>
  <c r="Z37" i="2" s="1"/>
  <c r="BP38" i="1"/>
  <c r="BN38" i="1"/>
  <c r="BL38" i="1"/>
  <c r="BJ38" i="1"/>
  <c r="AB37" i="2" s="1"/>
  <c r="BG38" i="1"/>
  <c r="AA37" i="2" s="1"/>
  <c r="BC38" i="1"/>
  <c r="M37" i="2" s="1"/>
  <c r="AZ38" i="1"/>
  <c r="L37" i="2" s="1"/>
  <c r="AW38" i="1"/>
  <c r="AU38" i="1"/>
  <c r="AR38" i="1"/>
  <c r="K37" i="2" s="1"/>
  <c r="AI38" i="1"/>
  <c r="AE38" i="1"/>
  <c r="AB38" i="1"/>
  <c r="F37" i="2" s="1"/>
  <c r="Z38" i="1"/>
  <c r="V38" i="1"/>
  <c r="E37" i="2" s="1"/>
  <c r="T38" i="1"/>
  <c r="D37" i="2" s="1"/>
  <c r="Q38" i="1"/>
  <c r="R38" i="1" s="1"/>
  <c r="N38" i="1"/>
  <c r="C37" i="2" s="1"/>
  <c r="K38" i="1"/>
  <c r="F38" i="1"/>
  <c r="D38" i="1"/>
  <c r="C38" i="1"/>
  <c r="GW37" i="1"/>
  <c r="GP37" i="1"/>
  <c r="GM37" i="1"/>
  <c r="GJ37" i="1"/>
  <c r="GD37" i="1"/>
  <c r="GA37" i="1"/>
  <c r="AQ36" i="2" s="1"/>
  <c r="FX37" i="1"/>
  <c r="AP36" i="2" s="1"/>
  <c r="FS37" i="1"/>
  <c r="FP37" i="1"/>
  <c r="FJ37" i="1"/>
  <c r="BA36" i="2" s="1"/>
  <c r="FG37" i="1"/>
  <c r="AZ36" i="2" s="1"/>
  <c r="FC37" i="1"/>
  <c r="EZ37" i="1"/>
  <c r="EW37" i="1"/>
  <c r="AV36" i="2" s="1"/>
  <c r="ET37" i="1"/>
  <c r="AU36" i="2" s="1"/>
  <c r="EQ37" i="1"/>
  <c r="AT36" i="2" s="1"/>
  <c r="EM37" i="1"/>
  <c r="AN36" i="2" s="1"/>
  <c r="EJ37" i="1"/>
  <c r="AM36" i="2" s="1"/>
  <c r="DZ37" i="1"/>
  <c r="AI36" i="2" s="1"/>
  <c r="DW37" i="1"/>
  <c r="AH36" i="2" s="1"/>
  <c r="DT37" i="1"/>
  <c r="AE36" i="2" s="1"/>
  <c r="DR37" i="1"/>
  <c r="AD36" i="2" s="1"/>
  <c r="DE37" i="1"/>
  <c r="DA37" i="1"/>
  <c r="X36" i="2" s="1"/>
  <c r="CW37" i="1"/>
  <c r="CS37" i="1"/>
  <c r="CO37" i="1"/>
  <c r="CH37" i="1"/>
  <c r="R36" i="2" s="1"/>
  <c r="CF37" i="1"/>
  <c r="Q36" i="2" s="1"/>
  <c r="CD37" i="1"/>
  <c r="P36" i="2" s="1"/>
  <c r="CA37" i="1"/>
  <c r="BW37" i="1"/>
  <c r="BX37" i="1" s="1"/>
  <c r="BT37" i="1"/>
  <c r="BR37" i="1"/>
  <c r="BP37" i="1"/>
  <c r="BN37" i="1"/>
  <c r="BL37" i="1"/>
  <c r="BJ37" i="1"/>
  <c r="AB36" i="2" s="1"/>
  <c r="BG37" i="1"/>
  <c r="AA36" i="2" s="1"/>
  <c r="BC37" i="1"/>
  <c r="M36" i="2" s="1"/>
  <c r="AZ37" i="1"/>
  <c r="L36" i="2" s="1"/>
  <c r="AW37" i="1"/>
  <c r="AU37" i="1"/>
  <c r="AR37" i="1"/>
  <c r="AI37" i="1"/>
  <c r="AE37" i="1"/>
  <c r="H36" i="2" s="1"/>
  <c r="AB37" i="1"/>
  <c r="F36" i="2" s="1"/>
  <c r="Z37" i="1"/>
  <c r="V37" i="1"/>
  <c r="E36" i="2" s="1"/>
  <c r="T37" i="1"/>
  <c r="D36" i="2" s="1"/>
  <c r="Q37" i="1"/>
  <c r="N37" i="1"/>
  <c r="C36" i="2" s="1"/>
  <c r="K37" i="1"/>
  <c r="F37" i="1"/>
  <c r="D37" i="1"/>
  <c r="C37" i="1"/>
  <c r="GW36" i="1"/>
  <c r="GA36" i="1"/>
  <c r="AQ35" i="2" s="1"/>
  <c r="GP36" i="1"/>
  <c r="GD36" i="1"/>
  <c r="FP36" i="1"/>
  <c r="FA73" i="1" s="1"/>
  <c r="FJ36" i="1"/>
  <c r="BA35" i="2" s="1"/>
  <c r="FG36" i="1"/>
  <c r="AZ35" i="2" s="1"/>
  <c r="EM36" i="1"/>
  <c r="AN35" i="2" s="1"/>
  <c r="EJ36" i="1"/>
  <c r="AM35" i="2" s="1"/>
  <c r="DZ36" i="1"/>
  <c r="AI35" i="2" s="1"/>
  <c r="DW36" i="1"/>
  <c r="AH35" i="2" s="1"/>
  <c r="DT36" i="1"/>
  <c r="AE35" i="2" s="1"/>
  <c r="DR36" i="1"/>
  <c r="AD35" i="2" s="1"/>
  <c r="DE36" i="1"/>
  <c r="DA36" i="1"/>
  <c r="CW36" i="1"/>
  <c r="CS36" i="1"/>
  <c r="CO36" i="1"/>
  <c r="CH36" i="1"/>
  <c r="R35" i="2" s="1"/>
  <c r="CF36" i="1"/>
  <c r="Q35" i="2" s="1"/>
  <c r="CD36" i="1"/>
  <c r="P35" i="2" s="1"/>
  <c r="CA36" i="1"/>
  <c r="BW36" i="1"/>
  <c r="BX36" i="1" s="1"/>
  <c r="BT36" i="1"/>
  <c r="BR36" i="1"/>
  <c r="Z35" i="2" s="1"/>
  <c r="BP36" i="1"/>
  <c r="BN36" i="1"/>
  <c r="BL36" i="1"/>
  <c r="BJ36" i="1"/>
  <c r="AB35" i="2" s="1"/>
  <c r="BG36" i="1"/>
  <c r="AA35" i="2" s="1"/>
  <c r="BC36" i="1"/>
  <c r="M35" i="2" s="1"/>
  <c r="AZ36" i="1"/>
  <c r="L35" i="2" s="1"/>
  <c r="AW36" i="1"/>
  <c r="AU36" i="1"/>
  <c r="AR36" i="1"/>
  <c r="AI36" i="1"/>
  <c r="AE36" i="1"/>
  <c r="H35" i="2" s="1"/>
  <c r="AB36" i="1"/>
  <c r="F35" i="2" s="1"/>
  <c r="Z36" i="1"/>
  <c r="V36" i="1"/>
  <c r="E35" i="2" s="1"/>
  <c r="T36" i="1"/>
  <c r="D35" i="2" s="1"/>
  <c r="Q36" i="1"/>
  <c r="R36" i="1" s="1"/>
  <c r="N36" i="1"/>
  <c r="C35" i="2" s="1"/>
  <c r="K36" i="1"/>
  <c r="F36" i="1"/>
  <c r="D36" i="1"/>
  <c r="C36" i="1"/>
  <c r="GW35" i="1"/>
  <c r="GP35" i="1"/>
  <c r="GJ35" i="1"/>
  <c r="GD35" i="1"/>
  <c r="GA35" i="1"/>
  <c r="AQ34" i="2" s="1"/>
  <c r="FX35" i="1"/>
  <c r="AP34" i="2" s="1"/>
  <c r="FX36" i="1"/>
  <c r="AP35" i="2" s="1"/>
  <c r="FS36" i="1"/>
  <c r="FP35" i="1"/>
  <c r="FA72" i="1" s="1"/>
  <c r="FJ35" i="1"/>
  <c r="BA34" i="2" s="1"/>
  <c r="FG35" i="1"/>
  <c r="AZ34" i="2" s="1"/>
  <c r="EZ35" i="1"/>
  <c r="EZ72" i="1" s="1"/>
  <c r="EZ36" i="1"/>
  <c r="EZ73" i="1" s="1"/>
  <c r="EW36" i="1"/>
  <c r="AV35" i="2" s="1"/>
  <c r="ET35" i="1"/>
  <c r="AU34" i="2" s="1"/>
  <c r="ET36" i="1"/>
  <c r="AU35" i="2" s="1"/>
  <c r="EQ35" i="1"/>
  <c r="AT34" i="2" s="1"/>
  <c r="EM35" i="1"/>
  <c r="AN34" i="2" s="1"/>
  <c r="EJ35" i="1"/>
  <c r="AM34" i="2" s="1"/>
  <c r="DZ35" i="1"/>
  <c r="AI34" i="2" s="1"/>
  <c r="DW35" i="1"/>
  <c r="AH34" i="2" s="1"/>
  <c r="DT35" i="1"/>
  <c r="AE34" i="2" s="1"/>
  <c r="DR35" i="1"/>
  <c r="AD34" i="2" s="1"/>
  <c r="DE35" i="1"/>
  <c r="DA35" i="1"/>
  <c r="CW35" i="1"/>
  <c r="W34" i="2" s="1"/>
  <c r="CS35" i="1"/>
  <c r="CO35" i="1"/>
  <c r="CH35" i="1"/>
  <c r="R34" i="2" s="1"/>
  <c r="CF35" i="1"/>
  <c r="Q34" i="2" s="1"/>
  <c r="CD35" i="1"/>
  <c r="P34" i="2" s="1"/>
  <c r="CA35" i="1"/>
  <c r="BW35" i="1"/>
  <c r="BX35" i="1" s="1"/>
  <c r="BT35" i="1"/>
  <c r="BR35" i="1"/>
  <c r="Z34" i="2" s="1"/>
  <c r="BP35" i="1"/>
  <c r="BN35" i="1"/>
  <c r="BL35" i="1"/>
  <c r="BJ35" i="1"/>
  <c r="AB34" i="2" s="1"/>
  <c r="BG35" i="1"/>
  <c r="AA34" i="2" s="1"/>
  <c r="BC35" i="1"/>
  <c r="M34" i="2" s="1"/>
  <c r="AZ35" i="1"/>
  <c r="L34" i="2" s="1"/>
  <c r="AW35" i="1"/>
  <c r="AU35" i="1"/>
  <c r="AR35" i="1"/>
  <c r="AI35" i="1"/>
  <c r="AE35" i="1"/>
  <c r="AB35" i="1"/>
  <c r="F34" i="2" s="1"/>
  <c r="Z35" i="1"/>
  <c r="V35" i="1"/>
  <c r="E34" i="2" s="1"/>
  <c r="T35" i="1"/>
  <c r="D34" i="2" s="1"/>
  <c r="Q35" i="1"/>
  <c r="R35" i="1" s="1"/>
  <c r="N35" i="1"/>
  <c r="C34" i="2" s="1"/>
  <c r="K35" i="1"/>
  <c r="F35" i="1"/>
  <c r="D35" i="1"/>
  <c r="C35" i="1"/>
  <c r="GW34" i="1"/>
  <c r="GA34" i="1"/>
  <c r="AQ33" i="2" s="1"/>
  <c r="GP34" i="1"/>
  <c r="GM34" i="1"/>
  <c r="GJ34" i="1"/>
  <c r="GD34" i="1"/>
  <c r="FX34" i="1"/>
  <c r="AP33" i="2" s="1"/>
  <c r="FS34" i="1"/>
  <c r="FP34" i="1"/>
  <c r="FA71" i="1" s="1"/>
  <c r="FJ34" i="1"/>
  <c r="BA33" i="2" s="1"/>
  <c r="FG34" i="1"/>
  <c r="AZ33" i="2" s="1"/>
  <c r="FC34" i="1"/>
  <c r="EZ34" i="1"/>
  <c r="EZ71" i="1" s="1"/>
  <c r="EW34" i="1"/>
  <c r="AV33" i="2" s="1"/>
  <c r="ET34" i="1"/>
  <c r="AU33" i="2" s="1"/>
  <c r="EQ34" i="1"/>
  <c r="AT33" i="2" s="1"/>
  <c r="EM34" i="1"/>
  <c r="AN33" i="2" s="1"/>
  <c r="EJ34" i="1"/>
  <c r="AM33" i="2" s="1"/>
  <c r="DZ34" i="1"/>
  <c r="AI33" i="2" s="1"/>
  <c r="DW34" i="1"/>
  <c r="AH33" i="2" s="1"/>
  <c r="DT34" i="1"/>
  <c r="AE33" i="2" s="1"/>
  <c r="DR34" i="1"/>
  <c r="AD33" i="2" s="1"/>
  <c r="DE34" i="1"/>
  <c r="DF34" i="1" s="1"/>
  <c r="DA34" i="1"/>
  <c r="CW34" i="1"/>
  <c r="CS34" i="1"/>
  <c r="CO34" i="1"/>
  <c r="CH34" i="1"/>
  <c r="R33" i="2" s="1"/>
  <c r="CF34" i="1"/>
  <c r="Q33" i="2" s="1"/>
  <c r="CD34" i="1"/>
  <c r="P33" i="2" s="1"/>
  <c r="CA34" i="1"/>
  <c r="BW34" i="1"/>
  <c r="BX34" i="1" s="1"/>
  <c r="BT34" i="1"/>
  <c r="BR34" i="1"/>
  <c r="Z33" i="2" s="1"/>
  <c r="BP34" i="1"/>
  <c r="BN34" i="1"/>
  <c r="BL34" i="1"/>
  <c r="BJ34" i="1"/>
  <c r="AB33" i="2" s="1"/>
  <c r="BG34" i="1"/>
  <c r="AA33" i="2" s="1"/>
  <c r="BC34" i="1"/>
  <c r="M33" i="2" s="1"/>
  <c r="AZ34" i="1"/>
  <c r="L33" i="2" s="1"/>
  <c r="AW34" i="1"/>
  <c r="AU34" i="1"/>
  <c r="AR34" i="1"/>
  <c r="AI34" i="1"/>
  <c r="I33" i="2" s="1"/>
  <c r="AE34" i="1"/>
  <c r="AB34" i="1"/>
  <c r="F33" i="2" s="1"/>
  <c r="Z34" i="1"/>
  <c r="V34" i="1"/>
  <c r="E33" i="2" s="1"/>
  <c r="T34" i="1"/>
  <c r="D33" i="2" s="1"/>
  <c r="Q34" i="1"/>
  <c r="R34" i="1" s="1"/>
  <c r="N34" i="1"/>
  <c r="C33" i="2" s="1"/>
  <c r="K34" i="1"/>
  <c r="F34" i="1"/>
  <c r="GW33" i="1"/>
  <c r="GA33" i="1"/>
  <c r="AQ32" i="2" s="1"/>
  <c r="GP33" i="1"/>
  <c r="GM33" i="1"/>
  <c r="BC32" i="2" s="1"/>
  <c r="GJ33" i="1"/>
  <c r="GD33" i="1"/>
  <c r="FX33" i="1"/>
  <c r="AP32" i="2" s="1"/>
  <c r="FS33" i="1"/>
  <c r="FP33" i="1"/>
  <c r="FA70" i="1" s="1"/>
  <c r="FJ33" i="1"/>
  <c r="BA32" i="2" s="1"/>
  <c r="FG33" i="1"/>
  <c r="AZ32" i="2" s="1"/>
  <c r="FC33" i="1"/>
  <c r="EZ33" i="1"/>
  <c r="EZ70" i="1" s="1"/>
  <c r="EW33" i="1"/>
  <c r="AV32" i="2" s="1"/>
  <c r="ET33" i="1"/>
  <c r="AU32" i="2" s="1"/>
  <c r="EQ33" i="1"/>
  <c r="AT32" i="2" s="1"/>
  <c r="EM33" i="1"/>
  <c r="AN32" i="2" s="1"/>
  <c r="EJ33" i="1"/>
  <c r="AM32" i="2" s="1"/>
  <c r="DZ33" i="1"/>
  <c r="AI32" i="2" s="1"/>
  <c r="DW33" i="1"/>
  <c r="AH32" i="2" s="1"/>
  <c r="DT33" i="1"/>
  <c r="AE32" i="2" s="1"/>
  <c r="DR33" i="1"/>
  <c r="AD32" i="2" s="1"/>
  <c r="DE33" i="1"/>
  <c r="DF33" i="1" s="1"/>
  <c r="DA33" i="1"/>
  <c r="X32" i="2" s="1"/>
  <c r="CW33" i="1"/>
  <c r="CS33" i="1"/>
  <c r="CO33" i="1"/>
  <c r="CH33" i="1"/>
  <c r="R32" i="2" s="1"/>
  <c r="CF33" i="1"/>
  <c r="Q32" i="2" s="1"/>
  <c r="CD33" i="1"/>
  <c r="P32" i="2" s="1"/>
  <c r="CA33" i="1"/>
  <c r="O32" i="2" s="1"/>
  <c r="BW33" i="1"/>
  <c r="BX33" i="1" s="1"/>
  <c r="BT33" i="1"/>
  <c r="BR33" i="1"/>
  <c r="Z32" i="2" s="1"/>
  <c r="BP33" i="1"/>
  <c r="BN33" i="1"/>
  <c r="BL33" i="1"/>
  <c r="BJ33" i="1"/>
  <c r="AB32" i="2" s="1"/>
  <c r="BG33" i="1"/>
  <c r="AA32" i="2" s="1"/>
  <c r="BC33" i="1"/>
  <c r="M32" i="2" s="1"/>
  <c r="AZ33" i="1"/>
  <c r="L32" i="2" s="1"/>
  <c r="AW33" i="1"/>
  <c r="AU33" i="1"/>
  <c r="AR33" i="1"/>
  <c r="K32" i="2" s="1"/>
  <c r="AI33" i="1"/>
  <c r="I32" i="2" s="1"/>
  <c r="AE33" i="1"/>
  <c r="AB33" i="1"/>
  <c r="F32" i="2" s="1"/>
  <c r="Z33" i="1"/>
  <c r="V33" i="1"/>
  <c r="E32" i="2" s="1"/>
  <c r="T33" i="1"/>
  <c r="D32" i="2" s="1"/>
  <c r="Q33" i="1"/>
  <c r="R33" i="1" s="1"/>
  <c r="N33" i="1"/>
  <c r="C32" i="2" s="1"/>
  <c r="K33" i="1"/>
  <c r="F33" i="1"/>
  <c r="C33" i="1"/>
  <c r="D34" i="1"/>
  <c r="GW32" i="1"/>
  <c r="GP32" i="1"/>
  <c r="GM32" i="1"/>
  <c r="BC31" i="2" s="1"/>
  <c r="GJ32" i="1"/>
  <c r="AX31" i="2" s="1"/>
  <c r="GD32" i="1"/>
  <c r="GA32" i="1"/>
  <c r="AQ31" i="2" s="1"/>
  <c r="FX32" i="1"/>
  <c r="AP31" i="2" s="1"/>
  <c r="FS32" i="1"/>
  <c r="FP32" i="1"/>
  <c r="FA69" i="1" s="1"/>
  <c r="FJ32" i="1"/>
  <c r="BA31" i="2" s="1"/>
  <c r="FG32" i="1"/>
  <c r="AZ31" i="2" s="1"/>
  <c r="FC32" i="1"/>
  <c r="EZ32" i="1"/>
  <c r="EZ69" i="1" s="1"/>
  <c r="EW32" i="1"/>
  <c r="AV31" i="2" s="1"/>
  <c r="ET32" i="1"/>
  <c r="AU31" i="2" s="1"/>
  <c r="EQ32" i="1"/>
  <c r="AT31" i="2" s="1"/>
  <c r="EM32" i="1"/>
  <c r="AN31" i="2" s="1"/>
  <c r="EJ32" i="1"/>
  <c r="AM31" i="2" s="1"/>
  <c r="DZ32" i="1"/>
  <c r="AI31" i="2" s="1"/>
  <c r="DW32" i="1"/>
  <c r="AH31" i="2" s="1"/>
  <c r="DT32" i="1"/>
  <c r="AE31" i="2" s="1"/>
  <c r="DR32" i="1"/>
  <c r="AD31" i="2" s="1"/>
  <c r="DE32" i="1"/>
  <c r="DA32" i="1"/>
  <c r="CW32" i="1"/>
  <c r="W31" i="2" s="1"/>
  <c r="CS32" i="1"/>
  <c r="U31" i="2" s="1"/>
  <c r="CO32" i="1"/>
  <c r="CH32" i="1"/>
  <c r="R31" i="2" s="1"/>
  <c r="CF32" i="1"/>
  <c r="Q31" i="2" s="1"/>
  <c r="CD32" i="1"/>
  <c r="P31" i="2" s="1"/>
  <c r="CA32" i="1"/>
  <c r="O31" i="2" s="1"/>
  <c r="BW32" i="1"/>
  <c r="BX32" i="1" s="1"/>
  <c r="BT32" i="1"/>
  <c r="BR32" i="1"/>
  <c r="Z31" i="2" s="1"/>
  <c r="BP32" i="1"/>
  <c r="BN32" i="1"/>
  <c r="BL32" i="1"/>
  <c r="BJ32" i="1"/>
  <c r="AB31" i="2" s="1"/>
  <c r="BG32" i="1"/>
  <c r="AA31" i="2" s="1"/>
  <c r="BC32" i="1"/>
  <c r="M31" i="2" s="1"/>
  <c r="AZ32" i="1"/>
  <c r="L31" i="2" s="1"/>
  <c r="AW32" i="1"/>
  <c r="AU32" i="1"/>
  <c r="AR32" i="1"/>
  <c r="AI32" i="1"/>
  <c r="AE32" i="1"/>
  <c r="AB32" i="1"/>
  <c r="F31" i="2" s="1"/>
  <c r="Z32" i="1"/>
  <c r="V32" i="1"/>
  <c r="E31" i="2" s="1"/>
  <c r="T32" i="1"/>
  <c r="D31" i="2" s="1"/>
  <c r="Q32" i="1"/>
  <c r="R32" i="1" s="1"/>
  <c r="N32" i="1"/>
  <c r="C31" i="2" s="1"/>
  <c r="K32" i="1"/>
  <c r="F32" i="1"/>
  <c r="D32" i="1"/>
  <c r="C32" i="1"/>
  <c r="GW31" i="1"/>
  <c r="GA31" i="1"/>
  <c r="AQ30" i="2" s="1"/>
  <c r="GP31" i="1"/>
  <c r="GM31" i="1"/>
  <c r="BC30" i="2" s="1"/>
  <c r="GJ31" i="1"/>
  <c r="AX30" i="2" s="1"/>
  <c r="GD31" i="1"/>
  <c r="FX31" i="1"/>
  <c r="AP30" i="2" s="1"/>
  <c r="FS31" i="1"/>
  <c r="FP31" i="1"/>
  <c r="FA68" i="1" s="1"/>
  <c r="FJ31" i="1"/>
  <c r="BA30" i="2" s="1"/>
  <c r="FG31" i="1"/>
  <c r="AZ30" i="2" s="1"/>
  <c r="FC31" i="1"/>
  <c r="EZ31" i="1"/>
  <c r="EZ68" i="1" s="1"/>
  <c r="EW31" i="1"/>
  <c r="AV30" i="2" s="1"/>
  <c r="ET31" i="1"/>
  <c r="AU30" i="2" s="1"/>
  <c r="EQ31" i="1"/>
  <c r="AT30" i="2" s="1"/>
  <c r="EM31" i="1"/>
  <c r="AN30" i="2" s="1"/>
  <c r="EJ31" i="1"/>
  <c r="AM30" i="2" s="1"/>
  <c r="DZ31" i="1"/>
  <c r="AI30" i="2" s="1"/>
  <c r="DW31" i="1"/>
  <c r="AH30" i="2" s="1"/>
  <c r="DT31" i="1"/>
  <c r="AE30" i="2" s="1"/>
  <c r="DR31" i="1"/>
  <c r="AD30" i="2" s="1"/>
  <c r="DE31" i="1"/>
  <c r="DF31" i="1" s="1"/>
  <c r="DA31" i="1"/>
  <c r="X30" i="2" s="1"/>
  <c r="CW31" i="1"/>
  <c r="W30" i="2" s="1"/>
  <c r="CS31" i="1"/>
  <c r="U30" i="2" s="1"/>
  <c r="CO31" i="1"/>
  <c r="T30" i="2" s="1"/>
  <c r="CH31" i="1"/>
  <c r="R30" i="2" s="1"/>
  <c r="CF31" i="1"/>
  <c r="Q30" i="2" s="1"/>
  <c r="CD31" i="1"/>
  <c r="P30" i="2" s="1"/>
  <c r="CA31" i="1"/>
  <c r="BW31" i="1"/>
  <c r="BX31" i="1" s="1"/>
  <c r="BT31" i="1"/>
  <c r="BR31" i="1"/>
  <c r="Z30" i="2" s="1"/>
  <c r="BP31" i="1"/>
  <c r="BN31" i="1"/>
  <c r="BL31" i="1"/>
  <c r="BJ31" i="1"/>
  <c r="AB30" i="2" s="1"/>
  <c r="BG31" i="1"/>
  <c r="AA30" i="2" s="1"/>
  <c r="BC31" i="1"/>
  <c r="M30" i="2" s="1"/>
  <c r="AZ31" i="1"/>
  <c r="L30" i="2" s="1"/>
  <c r="AW31" i="1"/>
  <c r="AU31" i="1"/>
  <c r="AR31" i="1"/>
  <c r="AI31" i="1"/>
  <c r="AE31" i="1"/>
  <c r="AB31" i="1"/>
  <c r="F30" i="2" s="1"/>
  <c r="Z31" i="1"/>
  <c r="V31" i="1"/>
  <c r="E30" i="2" s="1"/>
  <c r="T31" i="1"/>
  <c r="D30" i="2" s="1"/>
  <c r="Q31" i="1"/>
  <c r="R31" i="1" s="1"/>
  <c r="N31" i="1"/>
  <c r="C30" i="2" s="1"/>
  <c r="K31" i="1"/>
  <c r="F31" i="1"/>
  <c r="D31" i="1"/>
  <c r="C31" i="1"/>
  <c r="GW30" i="1"/>
  <c r="GA30" i="1"/>
  <c r="AQ29" i="2" s="1"/>
  <c r="GP30" i="1"/>
  <c r="GM30" i="1"/>
  <c r="BC29" i="2" s="1"/>
  <c r="GJ30" i="1"/>
  <c r="AX29" i="2" s="1"/>
  <c r="GD30" i="1"/>
  <c r="FX30" i="1"/>
  <c r="AP29" i="2" s="1"/>
  <c r="FS30" i="1"/>
  <c r="FP30" i="1"/>
  <c r="FA67" i="1" s="1"/>
  <c r="FJ30" i="1"/>
  <c r="BA29" i="2" s="1"/>
  <c r="FG30" i="1"/>
  <c r="AZ29" i="2" s="1"/>
  <c r="FC30" i="1"/>
  <c r="EZ30" i="1"/>
  <c r="EZ67" i="1" s="1"/>
  <c r="EW30" i="1"/>
  <c r="AV29" i="2" s="1"/>
  <c r="ET30" i="1"/>
  <c r="AU29" i="2" s="1"/>
  <c r="EQ30" i="1"/>
  <c r="EM30" i="1"/>
  <c r="AN29" i="2" s="1"/>
  <c r="EJ30" i="1"/>
  <c r="AM29" i="2" s="1"/>
  <c r="DZ30" i="1"/>
  <c r="AI29" i="2" s="1"/>
  <c r="DW30" i="1"/>
  <c r="AH29" i="2" s="1"/>
  <c r="DT30" i="1"/>
  <c r="AE29" i="2" s="1"/>
  <c r="DR30" i="1"/>
  <c r="AD29" i="2" s="1"/>
  <c r="DE30" i="1"/>
  <c r="DA30" i="1"/>
  <c r="CW30" i="1"/>
  <c r="CS30" i="1"/>
  <c r="CO30" i="1"/>
  <c r="CH30" i="1"/>
  <c r="R29" i="2" s="1"/>
  <c r="CF30" i="1"/>
  <c r="Q29" i="2" s="1"/>
  <c r="CD30" i="1"/>
  <c r="P29" i="2" s="1"/>
  <c r="CA30" i="1"/>
  <c r="BW30" i="1"/>
  <c r="BX30" i="1" s="1"/>
  <c r="BT30" i="1"/>
  <c r="BR30" i="1"/>
  <c r="Z29" i="2" s="1"/>
  <c r="BP30" i="1"/>
  <c r="BN30" i="1"/>
  <c r="BL30" i="1"/>
  <c r="BJ30" i="1"/>
  <c r="AB29" i="2" s="1"/>
  <c r="BG30" i="1"/>
  <c r="AA29" i="2" s="1"/>
  <c r="BC30" i="1"/>
  <c r="M29" i="2" s="1"/>
  <c r="AZ30" i="1"/>
  <c r="L29" i="2" s="1"/>
  <c r="AW30" i="1"/>
  <c r="AU30" i="1"/>
  <c r="AR30" i="1"/>
  <c r="AI30" i="1"/>
  <c r="AE30" i="1"/>
  <c r="AB30" i="1"/>
  <c r="F29" i="2" s="1"/>
  <c r="Z30" i="1"/>
  <c r="V30" i="1"/>
  <c r="E29" i="2" s="1"/>
  <c r="T30" i="1"/>
  <c r="D29" i="2" s="1"/>
  <c r="Q30" i="1"/>
  <c r="R30" i="1" s="1"/>
  <c r="N30" i="1"/>
  <c r="C29" i="2" s="1"/>
  <c r="K30" i="1"/>
  <c r="F30" i="1"/>
  <c r="D30" i="1"/>
  <c r="C30" i="1"/>
  <c r="GW29" i="1"/>
  <c r="GA29" i="1"/>
  <c r="AQ28" i="2" s="1"/>
  <c r="GP29" i="1"/>
  <c r="GM29" i="1"/>
  <c r="BC28" i="2" s="1"/>
  <c r="GJ29" i="1"/>
  <c r="GD29" i="1"/>
  <c r="FX29" i="1"/>
  <c r="AP28" i="2" s="1"/>
  <c r="FS29" i="1"/>
  <c r="FP29" i="1"/>
  <c r="FA66" i="1" s="1"/>
  <c r="FJ29" i="1"/>
  <c r="BA28" i="2" s="1"/>
  <c r="FG29" i="1"/>
  <c r="AZ28" i="2" s="1"/>
  <c r="FC29" i="1"/>
  <c r="EZ29" i="1"/>
  <c r="EZ66" i="1" s="1"/>
  <c r="EW29" i="1"/>
  <c r="AV28" i="2" s="1"/>
  <c r="ET29" i="1"/>
  <c r="AU28" i="2" s="1"/>
  <c r="EQ29" i="1"/>
  <c r="AT28" i="2" s="1"/>
  <c r="EM29" i="1"/>
  <c r="AN28" i="2" s="1"/>
  <c r="EJ29" i="1"/>
  <c r="AM28" i="2" s="1"/>
  <c r="DZ29" i="1"/>
  <c r="AI28" i="2" s="1"/>
  <c r="DW29" i="1"/>
  <c r="AH28" i="2" s="1"/>
  <c r="DT29" i="1"/>
  <c r="AE28" i="2" s="1"/>
  <c r="DR29" i="1"/>
  <c r="AD28" i="2" s="1"/>
  <c r="DE29" i="1"/>
  <c r="DF29" i="1" s="1"/>
  <c r="DA29" i="1"/>
  <c r="X28" i="2" s="1"/>
  <c r="CW29" i="1"/>
  <c r="CS29" i="1"/>
  <c r="CO29" i="1"/>
  <c r="CH29" i="1"/>
  <c r="R28" i="2" s="1"/>
  <c r="CF29" i="1"/>
  <c r="Q28" i="2" s="1"/>
  <c r="CD29" i="1"/>
  <c r="P28" i="2" s="1"/>
  <c r="BW29" i="1"/>
  <c r="BX29" i="1" s="1"/>
  <c r="BT29" i="1"/>
  <c r="BR29" i="1"/>
  <c r="Z28" i="2" s="1"/>
  <c r="BP29" i="1"/>
  <c r="BN29" i="1"/>
  <c r="BL29" i="1"/>
  <c r="BJ29" i="1"/>
  <c r="AB28" i="2" s="1"/>
  <c r="BG29" i="1"/>
  <c r="AA28" i="2" s="1"/>
  <c r="BC29" i="1"/>
  <c r="M28" i="2" s="1"/>
  <c r="AZ29" i="1"/>
  <c r="L28" i="2" s="1"/>
  <c r="AW29" i="1"/>
  <c r="AU29" i="1"/>
  <c r="AR29" i="1"/>
  <c r="AI29" i="1"/>
  <c r="AE29" i="1"/>
  <c r="AB29" i="1"/>
  <c r="F28" i="2" s="1"/>
  <c r="Z29" i="1"/>
  <c r="V29" i="1"/>
  <c r="E28" i="2" s="1"/>
  <c r="T29" i="1"/>
  <c r="D28" i="2" s="1"/>
  <c r="Q29" i="1"/>
  <c r="R29" i="1" s="1"/>
  <c r="N29" i="1"/>
  <c r="C28" i="2" s="1"/>
  <c r="K29" i="1"/>
  <c r="F29" i="1"/>
  <c r="D29" i="1"/>
  <c r="C29" i="1"/>
  <c r="GW28" i="1"/>
  <c r="GA28" i="1"/>
  <c r="AQ27" i="2" s="1"/>
  <c r="GP28" i="1"/>
  <c r="GM28" i="1"/>
  <c r="BC27" i="2" s="1"/>
  <c r="GJ28" i="1"/>
  <c r="AX27" i="2" s="1"/>
  <c r="GD28" i="1"/>
  <c r="FX28" i="1"/>
  <c r="AP27" i="2" s="1"/>
  <c r="FS28" i="1"/>
  <c r="FP28" i="1"/>
  <c r="FA65" i="1" s="1"/>
  <c r="FJ28" i="1"/>
  <c r="BA27" i="2" s="1"/>
  <c r="FG28" i="1"/>
  <c r="AZ27" i="2" s="1"/>
  <c r="FC28" i="1"/>
  <c r="EZ28" i="1"/>
  <c r="EZ65" i="1" s="1"/>
  <c r="EW28" i="1"/>
  <c r="AV27" i="2" s="1"/>
  <c r="ET28" i="1"/>
  <c r="AU27" i="2" s="1"/>
  <c r="EQ28" i="1"/>
  <c r="AT27" i="2" s="1"/>
  <c r="EM28" i="1"/>
  <c r="AN27" i="2" s="1"/>
  <c r="EJ28" i="1"/>
  <c r="AM27" i="2" s="1"/>
  <c r="DZ28" i="1"/>
  <c r="AI27" i="2" s="1"/>
  <c r="DW28" i="1"/>
  <c r="AH27" i="2" s="1"/>
  <c r="DT28" i="1"/>
  <c r="AE27" i="2" s="1"/>
  <c r="DR28" i="1"/>
  <c r="AD27" i="2" s="1"/>
  <c r="DE28" i="1"/>
  <c r="DF28" i="1" s="1"/>
  <c r="DA28" i="1"/>
  <c r="CW28" i="1"/>
  <c r="CS28" i="1"/>
  <c r="CO28" i="1"/>
  <c r="CH28" i="1"/>
  <c r="R27" i="2" s="1"/>
  <c r="CF28" i="1"/>
  <c r="Q27" i="2" s="1"/>
  <c r="CD28" i="1"/>
  <c r="P27" i="2" s="1"/>
  <c r="BW28" i="1"/>
  <c r="BX28" i="1" s="1"/>
  <c r="BT28" i="1"/>
  <c r="BR28" i="1"/>
  <c r="Z27" i="2" s="1"/>
  <c r="BP28" i="1"/>
  <c r="BN28" i="1"/>
  <c r="BL28" i="1"/>
  <c r="BJ28" i="1"/>
  <c r="AB27" i="2" s="1"/>
  <c r="BG28" i="1"/>
  <c r="AA27" i="2" s="1"/>
  <c r="BC28" i="1"/>
  <c r="M27" i="2" s="1"/>
  <c r="AZ28" i="1"/>
  <c r="L27" i="2" s="1"/>
  <c r="AW28" i="1"/>
  <c r="AU28" i="1"/>
  <c r="AR28" i="1"/>
  <c r="AI28" i="1"/>
  <c r="I27" i="2" s="1"/>
  <c r="AE28" i="1"/>
  <c r="AB28" i="1"/>
  <c r="F27" i="2" s="1"/>
  <c r="Z28" i="1"/>
  <c r="V28" i="1"/>
  <c r="E27" i="2" s="1"/>
  <c r="T28" i="1"/>
  <c r="D27" i="2" s="1"/>
  <c r="Q28" i="1"/>
  <c r="N28" i="1"/>
  <c r="C27" i="2" s="1"/>
  <c r="K28" i="1"/>
  <c r="F28" i="1"/>
  <c r="D28" i="1"/>
  <c r="C28" i="1"/>
  <c r="GW27" i="1"/>
  <c r="GP27" i="1"/>
  <c r="GM27" i="1"/>
  <c r="BC26" i="2" s="1"/>
  <c r="GJ27" i="1"/>
  <c r="GD27" i="1"/>
  <c r="GA27" i="1"/>
  <c r="AQ26" i="2" s="1"/>
  <c r="FX27" i="1"/>
  <c r="AP26" i="2" s="1"/>
  <c r="FS27" i="1"/>
  <c r="FP27" i="1"/>
  <c r="FA64" i="1" s="1"/>
  <c r="FJ27" i="1"/>
  <c r="BA26" i="2" s="1"/>
  <c r="FG27" i="1"/>
  <c r="AZ26" i="2" s="1"/>
  <c r="FC27" i="1"/>
  <c r="EZ27" i="1"/>
  <c r="EZ64" i="1" s="1"/>
  <c r="EW27" i="1"/>
  <c r="AV26" i="2" s="1"/>
  <c r="ET27" i="1"/>
  <c r="AU26" i="2" s="1"/>
  <c r="EQ27" i="1"/>
  <c r="AT26" i="2" s="1"/>
  <c r="EM27" i="1"/>
  <c r="AN26" i="2" s="1"/>
  <c r="EJ27" i="1"/>
  <c r="AM26" i="2" s="1"/>
  <c r="DZ27" i="1"/>
  <c r="AI26" i="2" s="1"/>
  <c r="DW27" i="1"/>
  <c r="AH26" i="2" s="1"/>
  <c r="DT27" i="1"/>
  <c r="AE26" i="2" s="1"/>
  <c r="DR27" i="1"/>
  <c r="AD26" i="2" s="1"/>
  <c r="DE27" i="1"/>
  <c r="DA27" i="1"/>
  <c r="CW27" i="1"/>
  <c r="W26" i="2" s="1"/>
  <c r="CS27" i="1"/>
  <c r="CO27" i="1"/>
  <c r="CH27" i="1"/>
  <c r="R26" i="2" s="1"/>
  <c r="CF27" i="1"/>
  <c r="Q26" i="2" s="1"/>
  <c r="CD27" i="1"/>
  <c r="P26" i="2" s="1"/>
  <c r="CA27" i="1"/>
  <c r="CB27" i="1" s="1"/>
  <c r="BW27" i="1"/>
  <c r="BX27" i="1" s="1"/>
  <c r="BT27" i="1"/>
  <c r="BR27" i="1"/>
  <c r="Z26" i="2" s="1"/>
  <c r="BP27" i="1"/>
  <c r="BN27" i="1"/>
  <c r="BL27" i="1"/>
  <c r="BJ27" i="1"/>
  <c r="AB26" i="2" s="1"/>
  <c r="BG27" i="1"/>
  <c r="AA26" i="2" s="1"/>
  <c r="BC27" i="1"/>
  <c r="M26" i="2" s="1"/>
  <c r="AZ27" i="1"/>
  <c r="L26" i="2" s="1"/>
  <c r="AW27" i="1"/>
  <c r="AU27" i="1"/>
  <c r="AR27" i="1"/>
  <c r="AI27" i="1"/>
  <c r="AE27" i="1"/>
  <c r="AB27" i="1"/>
  <c r="F26" i="2" s="1"/>
  <c r="Z27" i="1"/>
  <c r="V27" i="1"/>
  <c r="E26" i="2" s="1"/>
  <c r="T27" i="1"/>
  <c r="D26" i="2" s="1"/>
  <c r="Q27" i="1"/>
  <c r="R27" i="1" s="1"/>
  <c r="N27" i="1"/>
  <c r="C26" i="2" s="1"/>
  <c r="K27" i="1"/>
  <c r="F27" i="1"/>
  <c r="D27" i="1"/>
  <c r="C27" i="1"/>
  <c r="GW26" i="1"/>
  <c r="GA26" i="1"/>
  <c r="AQ25" i="2" s="1"/>
  <c r="GP26" i="1"/>
  <c r="GM26" i="1"/>
  <c r="BC25" i="2" s="1"/>
  <c r="GJ26" i="1"/>
  <c r="AX25" i="2" s="1"/>
  <c r="GD26" i="1"/>
  <c r="FX26" i="1"/>
  <c r="AP25" i="2" s="1"/>
  <c r="FS26" i="1"/>
  <c r="FP26" i="1"/>
  <c r="FA63" i="1" s="1"/>
  <c r="FJ26" i="1"/>
  <c r="BA25" i="2" s="1"/>
  <c r="FG26" i="1"/>
  <c r="AZ25" i="2" s="1"/>
  <c r="FC26" i="1"/>
  <c r="EZ26" i="1"/>
  <c r="EZ63" i="1" s="1"/>
  <c r="EW26" i="1"/>
  <c r="AV25" i="2" s="1"/>
  <c r="ET26" i="1"/>
  <c r="AU25" i="2" s="1"/>
  <c r="EQ26" i="1"/>
  <c r="AT25" i="2" s="1"/>
  <c r="EM26" i="1"/>
  <c r="EJ26" i="1"/>
  <c r="AM25" i="2" s="1"/>
  <c r="DZ26" i="1"/>
  <c r="AI25" i="2" s="1"/>
  <c r="DW26" i="1"/>
  <c r="AH25" i="2" s="1"/>
  <c r="DT26" i="1"/>
  <c r="AE25" i="2" s="1"/>
  <c r="DR26" i="1"/>
  <c r="AD25" i="2" s="1"/>
  <c r="DE26" i="1"/>
  <c r="DF26" i="1" s="1"/>
  <c r="DA26" i="1"/>
  <c r="CW26" i="1"/>
  <c r="CS26" i="1"/>
  <c r="CO26" i="1"/>
  <c r="T25" i="2" s="1"/>
  <c r="CH26" i="1"/>
  <c r="R25" i="2" s="1"/>
  <c r="CF26" i="1"/>
  <c r="Q25" i="2" s="1"/>
  <c r="CD26" i="1"/>
  <c r="P25" i="2" s="1"/>
  <c r="CA26" i="1"/>
  <c r="BW26" i="1"/>
  <c r="BX26" i="1" s="1"/>
  <c r="BT26" i="1"/>
  <c r="BR26" i="1"/>
  <c r="Z25" i="2" s="1"/>
  <c r="BP26" i="1"/>
  <c r="BN26" i="1"/>
  <c r="BL26" i="1"/>
  <c r="BJ26" i="1"/>
  <c r="AB25" i="2" s="1"/>
  <c r="BG26" i="1"/>
  <c r="AA25" i="2" s="1"/>
  <c r="BC26" i="1"/>
  <c r="M25" i="2" s="1"/>
  <c r="AZ26" i="1"/>
  <c r="L25" i="2" s="1"/>
  <c r="AW26" i="1"/>
  <c r="AU26" i="1"/>
  <c r="AR26" i="1"/>
  <c r="AI26" i="1"/>
  <c r="I25" i="2" s="1"/>
  <c r="AE26" i="1"/>
  <c r="AB26" i="1"/>
  <c r="F25" i="2" s="1"/>
  <c r="Z26" i="1"/>
  <c r="V26" i="1"/>
  <c r="E25" i="2" s="1"/>
  <c r="T26" i="1"/>
  <c r="D25" i="2" s="1"/>
  <c r="Q26" i="1"/>
  <c r="N26" i="1"/>
  <c r="C25" i="2" s="1"/>
  <c r="K26" i="1"/>
  <c r="F26" i="1"/>
  <c r="D26" i="1"/>
  <c r="C26" i="1"/>
  <c r="GW25" i="1"/>
  <c r="GA25" i="1"/>
  <c r="AQ24" i="2" s="1"/>
  <c r="GP25" i="1"/>
  <c r="GM25" i="1"/>
  <c r="BC24" i="2" s="1"/>
  <c r="GJ25" i="1"/>
  <c r="GD25" i="1"/>
  <c r="FX25" i="1"/>
  <c r="AP24" i="2" s="1"/>
  <c r="FS25" i="1"/>
  <c r="FP25" i="1"/>
  <c r="FA62" i="1" s="1"/>
  <c r="FJ25" i="1"/>
  <c r="BA24" i="2" s="1"/>
  <c r="FG25" i="1"/>
  <c r="AZ24" i="2" s="1"/>
  <c r="FC25" i="1"/>
  <c r="EZ25" i="1"/>
  <c r="EZ62" i="1" s="1"/>
  <c r="EW25" i="1"/>
  <c r="AV24" i="2" s="1"/>
  <c r="ET25" i="1"/>
  <c r="AU24" i="2" s="1"/>
  <c r="EQ25" i="1"/>
  <c r="AT24" i="2" s="1"/>
  <c r="EM25" i="1"/>
  <c r="AN24" i="2" s="1"/>
  <c r="EJ25" i="1"/>
  <c r="AM24" i="2" s="1"/>
  <c r="DZ25" i="1"/>
  <c r="AI24" i="2" s="1"/>
  <c r="DW25" i="1"/>
  <c r="AH24" i="2" s="1"/>
  <c r="DT25" i="1"/>
  <c r="AE24" i="2" s="1"/>
  <c r="DR25" i="1"/>
  <c r="AD24" i="2" s="1"/>
  <c r="DE25" i="1"/>
  <c r="DA25" i="1"/>
  <c r="X24" i="2" s="1"/>
  <c r="CW25" i="1"/>
  <c r="CS25" i="1"/>
  <c r="CT25" i="1" s="1"/>
  <c r="CO25" i="1"/>
  <c r="CH25" i="1"/>
  <c r="R24" i="2" s="1"/>
  <c r="CF25" i="1"/>
  <c r="Q24" i="2" s="1"/>
  <c r="CD25" i="1"/>
  <c r="P24" i="2" s="1"/>
  <c r="CA25" i="1"/>
  <c r="CB25" i="1" s="1"/>
  <c r="BW25" i="1"/>
  <c r="BX25" i="1" s="1"/>
  <c r="BT25" i="1"/>
  <c r="BR25" i="1"/>
  <c r="Z24" i="2" s="1"/>
  <c r="BP25" i="1"/>
  <c r="BN25" i="1"/>
  <c r="BL25" i="1"/>
  <c r="BJ25" i="1"/>
  <c r="AB24" i="2" s="1"/>
  <c r="BG25" i="1"/>
  <c r="AA24" i="2" s="1"/>
  <c r="BC25" i="1"/>
  <c r="M24" i="2" s="1"/>
  <c r="AZ25" i="1"/>
  <c r="L24" i="2" s="1"/>
  <c r="AW25" i="1"/>
  <c r="AU25" i="1"/>
  <c r="AR25" i="1"/>
  <c r="AI25" i="1"/>
  <c r="AE25" i="1"/>
  <c r="AB25" i="1"/>
  <c r="F24" i="2" s="1"/>
  <c r="Z25" i="1"/>
  <c r="V25" i="1"/>
  <c r="E24" i="2" s="1"/>
  <c r="T25" i="1"/>
  <c r="D24" i="2" s="1"/>
  <c r="Q25" i="1"/>
  <c r="R25" i="1" s="1"/>
  <c r="N25" i="1"/>
  <c r="C24" i="2" s="1"/>
  <c r="K25" i="1"/>
  <c r="F25" i="1"/>
  <c r="D25" i="1"/>
  <c r="C25" i="1"/>
  <c r="BC23" i="2"/>
  <c r="AX23" i="2"/>
  <c r="AQ23" i="2"/>
  <c r="AP23" i="2"/>
  <c r="BA23" i="2"/>
  <c r="AZ23" i="2"/>
  <c r="AV23" i="2"/>
  <c r="AU23" i="2"/>
  <c r="AT23" i="2"/>
  <c r="AN23" i="2"/>
  <c r="AM23" i="2"/>
  <c r="AI23" i="2"/>
  <c r="AH23" i="2"/>
  <c r="AD23" i="2"/>
  <c r="R23" i="2"/>
  <c r="Q23" i="2"/>
  <c r="P23" i="2"/>
  <c r="Z23" i="2"/>
  <c r="AB23" i="2"/>
  <c r="AA23" i="2"/>
  <c r="M23" i="2"/>
  <c r="L23" i="2"/>
  <c r="K23" i="2"/>
  <c r="F23" i="2"/>
  <c r="E23" i="2"/>
  <c r="D23" i="2"/>
  <c r="C23" i="2"/>
  <c r="AQ22" i="2"/>
  <c r="BC22" i="2"/>
  <c r="AX22" i="2"/>
  <c r="AP22" i="2"/>
  <c r="BA22" i="2"/>
  <c r="AZ22" i="2"/>
  <c r="AV22" i="2"/>
  <c r="AU22" i="2"/>
  <c r="AT22" i="2"/>
  <c r="AN22" i="2"/>
  <c r="AM22" i="2"/>
  <c r="AI22" i="2"/>
  <c r="AH22" i="2"/>
  <c r="AD22" i="2"/>
  <c r="X22" i="2"/>
  <c r="U22" i="2"/>
  <c r="R22" i="2"/>
  <c r="Q22" i="2"/>
  <c r="P22" i="2"/>
  <c r="Z22" i="2"/>
  <c r="AB22" i="2"/>
  <c r="AA22" i="2"/>
  <c r="M22" i="2"/>
  <c r="L22" i="2"/>
  <c r="I22" i="2"/>
  <c r="F22" i="2"/>
  <c r="E22" i="2"/>
  <c r="D22" i="2"/>
  <c r="C22" i="2"/>
  <c r="GW22" i="1"/>
  <c r="GP22" i="1"/>
  <c r="GM22" i="1"/>
  <c r="BC21" i="2" s="1"/>
  <c r="GJ22" i="1"/>
  <c r="AX21" i="2" s="1"/>
  <c r="GD22" i="1"/>
  <c r="GA22" i="1"/>
  <c r="AQ21" i="2" s="1"/>
  <c r="FX22" i="1"/>
  <c r="AP21" i="2" s="1"/>
  <c r="FS22" i="1"/>
  <c r="FP22" i="1"/>
  <c r="FA59" i="1" s="1"/>
  <c r="FJ22" i="1"/>
  <c r="BA21" i="2" s="1"/>
  <c r="FG22" i="1"/>
  <c r="AZ21" i="2" s="1"/>
  <c r="FC22" i="1"/>
  <c r="EZ22" i="1"/>
  <c r="EZ59" i="1" s="1"/>
  <c r="EW22" i="1"/>
  <c r="AV21" i="2" s="1"/>
  <c r="ET22" i="1"/>
  <c r="AU21" i="2" s="1"/>
  <c r="EQ22" i="1"/>
  <c r="AT21" i="2" s="1"/>
  <c r="EM22" i="1"/>
  <c r="AN21" i="2" s="1"/>
  <c r="EJ22" i="1"/>
  <c r="AM21" i="2" s="1"/>
  <c r="DZ22" i="1"/>
  <c r="AI21" i="2" s="1"/>
  <c r="DW22" i="1"/>
  <c r="AH21" i="2" s="1"/>
  <c r="DT22" i="1"/>
  <c r="AE21" i="2" s="1"/>
  <c r="DR22" i="1"/>
  <c r="AD21" i="2" s="1"/>
  <c r="DE22" i="1"/>
  <c r="DF22" i="1" s="1"/>
  <c r="DA22" i="1"/>
  <c r="CW22" i="1"/>
  <c r="CS22" i="1"/>
  <c r="CO22" i="1"/>
  <c r="CH22" i="1"/>
  <c r="R21" i="2" s="1"/>
  <c r="CF22" i="1"/>
  <c r="Q21" i="2" s="1"/>
  <c r="CD22" i="1"/>
  <c r="P21" i="2" s="1"/>
  <c r="CA22" i="1"/>
  <c r="BW22" i="1"/>
  <c r="BX22" i="1" s="1"/>
  <c r="BT22" i="1"/>
  <c r="BR22" i="1"/>
  <c r="Z21" i="2" s="1"/>
  <c r="BP22" i="1"/>
  <c r="BN22" i="1"/>
  <c r="BL22" i="1"/>
  <c r="BJ22" i="1"/>
  <c r="AB21" i="2" s="1"/>
  <c r="BG22" i="1"/>
  <c r="AA21" i="2" s="1"/>
  <c r="BC22" i="1"/>
  <c r="M21" i="2" s="1"/>
  <c r="AZ22" i="1"/>
  <c r="L21" i="2" s="1"/>
  <c r="AW22" i="1"/>
  <c r="AU22" i="1"/>
  <c r="AR22" i="1"/>
  <c r="AI22" i="1"/>
  <c r="AE22" i="1"/>
  <c r="AB22" i="1"/>
  <c r="F21" i="2" s="1"/>
  <c r="Z22" i="1"/>
  <c r="V22" i="1"/>
  <c r="E21" i="2" s="1"/>
  <c r="T22" i="1"/>
  <c r="D21" i="2" s="1"/>
  <c r="Q22" i="1"/>
  <c r="R22" i="1" s="1"/>
  <c r="N22" i="1"/>
  <c r="C21" i="2" s="1"/>
  <c r="K22" i="1"/>
  <c r="F22" i="1"/>
  <c r="D22" i="1"/>
  <c r="C22" i="1"/>
  <c r="GW21" i="1"/>
  <c r="GA21" i="1"/>
  <c r="AQ20" i="2" s="1"/>
  <c r="GP21" i="1"/>
  <c r="GM21" i="1"/>
  <c r="GJ21" i="1"/>
  <c r="AX20" i="2" s="1"/>
  <c r="GD21" i="1"/>
  <c r="FX21" i="1"/>
  <c r="AP20" i="2" s="1"/>
  <c r="FS21" i="1"/>
  <c r="FP21" i="1"/>
  <c r="FA58" i="1" s="1"/>
  <c r="FJ21" i="1"/>
  <c r="BA20" i="2" s="1"/>
  <c r="FG21" i="1"/>
  <c r="FC21" i="1"/>
  <c r="EZ21" i="1"/>
  <c r="EZ58" i="1" s="1"/>
  <c r="EW21" i="1"/>
  <c r="AV20" i="2" s="1"/>
  <c r="ET21" i="1"/>
  <c r="AU20" i="2" s="1"/>
  <c r="EQ21" i="1"/>
  <c r="AT20" i="2" s="1"/>
  <c r="EM21" i="1"/>
  <c r="AN20" i="2" s="1"/>
  <c r="EJ21" i="1"/>
  <c r="AM20" i="2" s="1"/>
  <c r="DZ21" i="1"/>
  <c r="AI20" i="2" s="1"/>
  <c r="DW21" i="1"/>
  <c r="AH20" i="2" s="1"/>
  <c r="DT21" i="1"/>
  <c r="AE20" i="2" s="1"/>
  <c r="DR21" i="1"/>
  <c r="AD20" i="2" s="1"/>
  <c r="DE21" i="1"/>
  <c r="DA21" i="1"/>
  <c r="CW21" i="1"/>
  <c r="CS21" i="1"/>
  <c r="CO21" i="1"/>
  <c r="CH21" i="1"/>
  <c r="R20" i="2" s="1"/>
  <c r="CF21" i="1"/>
  <c r="Q20" i="2" s="1"/>
  <c r="CD21" i="1"/>
  <c r="P20" i="2" s="1"/>
  <c r="CA21" i="1"/>
  <c r="BW21" i="1"/>
  <c r="BX21" i="1" s="1"/>
  <c r="BT21" i="1"/>
  <c r="BR21" i="1"/>
  <c r="Z20" i="2" s="1"/>
  <c r="BP21" i="1"/>
  <c r="BN21" i="1"/>
  <c r="BL21" i="1"/>
  <c r="BJ21" i="1"/>
  <c r="AB20" i="2" s="1"/>
  <c r="BG21" i="1"/>
  <c r="AA20" i="2" s="1"/>
  <c r="BC21" i="1"/>
  <c r="M20" i="2" s="1"/>
  <c r="AZ21" i="1"/>
  <c r="L20" i="2" s="1"/>
  <c r="AW21" i="1"/>
  <c r="AU21" i="1"/>
  <c r="AR21" i="1"/>
  <c r="K20" i="2" s="1"/>
  <c r="AI21" i="1"/>
  <c r="AE21" i="1"/>
  <c r="AB21" i="1"/>
  <c r="F20" i="2" s="1"/>
  <c r="Z21" i="1"/>
  <c r="V21" i="1"/>
  <c r="E20" i="2" s="1"/>
  <c r="T21" i="1"/>
  <c r="D20" i="2" s="1"/>
  <c r="Q21" i="1"/>
  <c r="R21" i="1" s="1"/>
  <c r="N21" i="1"/>
  <c r="C20" i="2" s="1"/>
  <c r="K21" i="1"/>
  <c r="F21" i="1"/>
  <c r="D21" i="1"/>
  <c r="C21" i="1"/>
  <c r="GW20" i="1"/>
  <c r="GA20" i="1"/>
  <c r="AQ19" i="2" s="1"/>
  <c r="GP20" i="1"/>
  <c r="GM20" i="1"/>
  <c r="BC19" i="2" s="1"/>
  <c r="GJ20" i="1"/>
  <c r="GD20" i="1"/>
  <c r="FX20" i="1"/>
  <c r="AP19" i="2" s="1"/>
  <c r="FS20" i="1"/>
  <c r="FP20" i="1"/>
  <c r="FA57" i="1" s="1"/>
  <c r="FJ20" i="1"/>
  <c r="BA19" i="2" s="1"/>
  <c r="FG20" i="1"/>
  <c r="AZ19" i="2" s="1"/>
  <c r="FC20" i="1"/>
  <c r="EZ20" i="1"/>
  <c r="EZ57" i="1" s="1"/>
  <c r="EW20" i="1"/>
  <c r="AV19" i="2" s="1"/>
  <c r="ET20" i="1"/>
  <c r="AU19" i="2" s="1"/>
  <c r="EQ20" i="1"/>
  <c r="AT19" i="2" s="1"/>
  <c r="EM20" i="1"/>
  <c r="AN19" i="2" s="1"/>
  <c r="EJ20" i="1"/>
  <c r="AM19" i="2" s="1"/>
  <c r="DZ20" i="1"/>
  <c r="AI19" i="2" s="1"/>
  <c r="DW20" i="1"/>
  <c r="AH19" i="2" s="1"/>
  <c r="DT20" i="1"/>
  <c r="AE19" i="2" s="1"/>
  <c r="DR20" i="1"/>
  <c r="AD19" i="2" s="1"/>
  <c r="DE20" i="1"/>
  <c r="DF20" i="1" s="1"/>
  <c r="DA20" i="1"/>
  <c r="CW20" i="1"/>
  <c r="CS20" i="1"/>
  <c r="CO20" i="1"/>
  <c r="CP20" i="1" s="1"/>
  <c r="CH20" i="1"/>
  <c r="R19" i="2" s="1"/>
  <c r="CF20" i="1"/>
  <c r="Q19" i="2" s="1"/>
  <c r="CD20" i="1"/>
  <c r="P19" i="2" s="1"/>
  <c r="CA20" i="1"/>
  <c r="BW20" i="1"/>
  <c r="BX20" i="1" s="1"/>
  <c r="BT20" i="1"/>
  <c r="BR20" i="1"/>
  <c r="Z19" i="2" s="1"/>
  <c r="BP20" i="1"/>
  <c r="BN20" i="1"/>
  <c r="BL20" i="1"/>
  <c r="BJ20" i="1"/>
  <c r="AB19" i="2" s="1"/>
  <c r="BG20" i="1"/>
  <c r="AA19" i="2" s="1"/>
  <c r="BC20" i="1"/>
  <c r="M19" i="2" s="1"/>
  <c r="AZ20" i="1"/>
  <c r="L19" i="2" s="1"/>
  <c r="AW20" i="1"/>
  <c r="AU20" i="1"/>
  <c r="AR20" i="1"/>
  <c r="AI20" i="1"/>
  <c r="AE20" i="1"/>
  <c r="AB20" i="1"/>
  <c r="F19" i="2" s="1"/>
  <c r="Z20" i="1"/>
  <c r="V20" i="1"/>
  <c r="E19" i="2" s="1"/>
  <c r="T20" i="1"/>
  <c r="D19" i="2" s="1"/>
  <c r="Q20" i="1"/>
  <c r="N20" i="1"/>
  <c r="C19" i="2" s="1"/>
  <c r="K20" i="1"/>
  <c r="F20" i="1"/>
  <c r="D20" i="1"/>
  <c r="C20" i="1"/>
  <c r="GW19" i="1"/>
  <c r="GP19" i="1"/>
  <c r="GM19" i="1"/>
  <c r="BC18" i="2" s="1"/>
  <c r="GJ19" i="1"/>
  <c r="AX18" i="2" s="1"/>
  <c r="GD19" i="1"/>
  <c r="GA19" i="1"/>
  <c r="AQ18" i="2" s="1"/>
  <c r="FX19" i="1"/>
  <c r="AP18" i="2" s="1"/>
  <c r="FS19" i="1"/>
  <c r="FP19" i="1"/>
  <c r="FA56" i="1" s="1"/>
  <c r="FJ19" i="1"/>
  <c r="BA18" i="2" s="1"/>
  <c r="FG19" i="1"/>
  <c r="AZ18" i="2" s="1"/>
  <c r="FC19" i="1"/>
  <c r="EZ19" i="1"/>
  <c r="EZ56" i="1" s="1"/>
  <c r="EW19" i="1"/>
  <c r="AV18" i="2" s="1"/>
  <c r="ET19" i="1"/>
  <c r="AU18" i="2" s="1"/>
  <c r="EQ19" i="1"/>
  <c r="AT18" i="2" s="1"/>
  <c r="EM19" i="1"/>
  <c r="AN18" i="2" s="1"/>
  <c r="EJ19" i="1"/>
  <c r="AM18" i="2" s="1"/>
  <c r="DZ19" i="1"/>
  <c r="AI18" i="2" s="1"/>
  <c r="DW19" i="1"/>
  <c r="AH18" i="2" s="1"/>
  <c r="DT19" i="1"/>
  <c r="AE18" i="2" s="1"/>
  <c r="DR19" i="1"/>
  <c r="AD18" i="2" s="1"/>
  <c r="DE19" i="1"/>
  <c r="DF19" i="1" s="1"/>
  <c r="DA19" i="1"/>
  <c r="X18" i="2" s="1"/>
  <c r="CW19" i="1"/>
  <c r="CS19" i="1"/>
  <c r="CT19" i="1" s="1"/>
  <c r="CO19" i="1"/>
  <c r="CH19" i="1"/>
  <c r="R18" i="2" s="1"/>
  <c r="CF19" i="1"/>
  <c r="Q18" i="2" s="1"/>
  <c r="CD19" i="1"/>
  <c r="P18" i="2" s="1"/>
  <c r="CA19" i="1"/>
  <c r="BW19" i="1"/>
  <c r="BX19" i="1" s="1"/>
  <c r="BT19" i="1"/>
  <c r="BR19" i="1"/>
  <c r="Z18" i="2" s="1"/>
  <c r="BP19" i="1"/>
  <c r="BN19" i="1"/>
  <c r="BL19" i="1"/>
  <c r="BJ19" i="1"/>
  <c r="AB18" i="2" s="1"/>
  <c r="BG19" i="1"/>
  <c r="AA18" i="2" s="1"/>
  <c r="BC19" i="1"/>
  <c r="M18" i="2" s="1"/>
  <c r="AZ19" i="1"/>
  <c r="L18" i="2" s="1"/>
  <c r="AW19" i="1"/>
  <c r="AU19" i="1"/>
  <c r="AR19" i="1"/>
  <c r="AI19" i="1"/>
  <c r="AE19" i="1"/>
  <c r="H18" i="2" s="1"/>
  <c r="AB19" i="1"/>
  <c r="F18" i="2" s="1"/>
  <c r="Z19" i="1"/>
  <c r="V19" i="1"/>
  <c r="E18" i="2" s="1"/>
  <c r="T19" i="1"/>
  <c r="D18" i="2" s="1"/>
  <c r="Q19" i="1"/>
  <c r="N19" i="1"/>
  <c r="C18" i="2" s="1"/>
  <c r="K19" i="1"/>
  <c r="F19" i="1"/>
  <c r="D19" i="1"/>
  <c r="C19" i="1"/>
  <c r="GW18" i="1"/>
  <c r="GA18" i="1"/>
  <c r="AQ17" i="2" s="1"/>
  <c r="GP18" i="1"/>
  <c r="GM18" i="1"/>
  <c r="GJ18" i="1"/>
  <c r="AX17" i="2" s="1"/>
  <c r="GD18" i="1"/>
  <c r="FX18" i="1"/>
  <c r="AP17" i="2" s="1"/>
  <c r="FS18" i="1"/>
  <c r="FP18" i="1"/>
  <c r="FA55" i="1" s="1"/>
  <c r="FJ18" i="1"/>
  <c r="BA17" i="2" s="1"/>
  <c r="FG18" i="1"/>
  <c r="AZ17" i="2" s="1"/>
  <c r="FC18" i="1"/>
  <c r="EZ18" i="1"/>
  <c r="EZ55" i="1" s="1"/>
  <c r="EW18" i="1"/>
  <c r="AV17" i="2" s="1"/>
  <c r="ET18" i="1"/>
  <c r="AU17" i="2" s="1"/>
  <c r="EQ18" i="1"/>
  <c r="AT17" i="2" s="1"/>
  <c r="EM18" i="1"/>
  <c r="AN17" i="2" s="1"/>
  <c r="EJ18" i="1"/>
  <c r="AM17" i="2" s="1"/>
  <c r="DZ18" i="1"/>
  <c r="AI17" i="2" s="1"/>
  <c r="DW18" i="1"/>
  <c r="AH17" i="2" s="1"/>
  <c r="DT18" i="1"/>
  <c r="AE17" i="2" s="1"/>
  <c r="DR18" i="1"/>
  <c r="AD17" i="2" s="1"/>
  <c r="DE18" i="1"/>
  <c r="DA18" i="1"/>
  <c r="CW18" i="1"/>
  <c r="CS18" i="1"/>
  <c r="CO18" i="1"/>
  <c r="CH18" i="1"/>
  <c r="R17" i="2" s="1"/>
  <c r="CF18" i="1"/>
  <c r="Q17" i="2" s="1"/>
  <c r="CD18" i="1"/>
  <c r="P17" i="2" s="1"/>
  <c r="CA18" i="1"/>
  <c r="CK18" i="1" s="1"/>
  <c r="BW18" i="1"/>
  <c r="BX18" i="1" s="1"/>
  <c r="BT18" i="1"/>
  <c r="BR18" i="1"/>
  <c r="Z17" i="2" s="1"/>
  <c r="BP18" i="1"/>
  <c r="BN18" i="1"/>
  <c r="BL18" i="1"/>
  <c r="BJ18" i="1"/>
  <c r="AB17" i="2" s="1"/>
  <c r="BG18" i="1"/>
  <c r="AA17" i="2" s="1"/>
  <c r="BC18" i="1"/>
  <c r="M17" i="2" s="1"/>
  <c r="AZ18" i="1"/>
  <c r="L17" i="2" s="1"/>
  <c r="AW18" i="1"/>
  <c r="AU18" i="1"/>
  <c r="AR18" i="1"/>
  <c r="AI18" i="1"/>
  <c r="I17" i="2" s="1"/>
  <c r="AB18" i="1"/>
  <c r="F17" i="2" s="1"/>
  <c r="Z18" i="1"/>
  <c r="V18" i="1"/>
  <c r="E17" i="2" s="1"/>
  <c r="T18" i="1"/>
  <c r="D17" i="2" s="1"/>
  <c r="Q18" i="1"/>
  <c r="R18" i="1" s="1"/>
  <c r="N18" i="1"/>
  <c r="C17" i="2" s="1"/>
  <c r="K18" i="1"/>
  <c r="F18" i="1"/>
  <c r="D18" i="1"/>
  <c r="C18" i="1"/>
  <c r="GW17" i="1"/>
  <c r="GP17" i="1"/>
  <c r="GM17" i="1"/>
  <c r="BC16" i="2" s="1"/>
  <c r="GJ17" i="1"/>
  <c r="AX16" i="2" s="1"/>
  <c r="GD17" i="1"/>
  <c r="GA17" i="1"/>
  <c r="AQ16" i="2" s="1"/>
  <c r="FX17" i="1"/>
  <c r="AP16" i="2" s="1"/>
  <c r="FS17" i="1"/>
  <c r="FP17" i="1"/>
  <c r="FA54" i="1" s="1"/>
  <c r="FJ17" i="1"/>
  <c r="BA16" i="2" s="1"/>
  <c r="FG17" i="1"/>
  <c r="AZ16" i="2" s="1"/>
  <c r="FC17" i="1"/>
  <c r="EZ17" i="1"/>
  <c r="EZ54" i="1" s="1"/>
  <c r="EW17" i="1"/>
  <c r="AV16" i="2" s="1"/>
  <c r="ET17" i="1"/>
  <c r="AU16" i="2" s="1"/>
  <c r="EQ17" i="1"/>
  <c r="AT16" i="2" s="1"/>
  <c r="EM17" i="1"/>
  <c r="AN16" i="2" s="1"/>
  <c r="EJ17" i="1"/>
  <c r="AM16" i="2" s="1"/>
  <c r="DZ17" i="1"/>
  <c r="AI16" i="2" s="1"/>
  <c r="DW17" i="1"/>
  <c r="AH16" i="2" s="1"/>
  <c r="DT17" i="1"/>
  <c r="AE16" i="2" s="1"/>
  <c r="DR17" i="1"/>
  <c r="AD16" i="2" s="1"/>
  <c r="DE17" i="1"/>
  <c r="DF17" i="1" s="1"/>
  <c r="DA17" i="1"/>
  <c r="CW17" i="1"/>
  <c r="CS17" i="1"/>
  <c r="CO17" i="1"/>
  <c r="CH17" i="1"/>
  <c r="R16" i="2" s="1"/>
  <c r="CF17" i="1"/>
  <c r="Q16" i="2" s="1"/>
  <c r="CD17" i="1"/>
  <c r="P16" i="2" s="1"/>
  <c r="CA17" i="1"/>
  <c r="BW17" i="1"/>
  <c r="BX17" i="1" s="1"/>
  <c r="BT17" i="1"/>
  <c r="BR17" i="1"/>
  <c r="Z16" i="2" s="1"/>
  <c r="BP17" i="1"/>
  <c r="BN17" i="1"/>
  <c r="BL17" i="1"/>
  <c r="BJ17" i="1"/>
  <c r="AB16" i="2" s="1"/>
  <c r="BG17" i="1"/>
  <c r="AA16" i="2" s="1"/>
  <c r="BC17" i="1"/>
  <c r="M16" i="2" s="1"/>
  <c r="AZ17" i="1"/>
  <c r="L16" i="2" s="1"/>
  <c r="AW17" i="1"/>
  <c r="AU17" i="1"/>
  <c r="AR17" i="1"/>
  <c r="AI17" i="1"/>
  <c r="AE18" i="1"/>
  <c r="AF18" i="1" s="1"/>
  <c r="AB17" i="1"/>
  <c r="F16" i="2" s="1"/>
  <c r="Z17" i="1"/>
  <c r="V17" i="1"/>
  <c r="E16" i="2" s="1"/>
  <c r="T17" i="1"/>
  <c r="D16" i="2" s="1"/>
  <c r="Q17" i="1"/>
  <c r="N17" i="1"/>
  <c r="C16" i="2" s="1"/>
  <c r="K17" i="1"/>
  <c r="F17" i="1"/>
  <c r="D17" i="1"/>
  <c r="C17" i="1"/>
  <c r="GW16" i="1"/>
  <c r="GA16" i="1"/>
  <c r="AQ15" i="2" s="1"/>
  <c r="GP16" i="1"/>
  <c r="GM16" i="1"/>
  <c r="BC15" i="2" s="1"/>
  <c r="GJ16" i="1"/>
  <c r="AX15" i="2" s="1"/>
  <c r="GD16" i="1"/>
  <c r="FX16" i="1"/>
  <c r="AP15" i="2" s="1"/>
  <c r="FS16" i="1"/>
  <c r="FP16" i="1"/>
  <c r="FA53" i="1" s="1"/>
  <c r="FJ16" i="1"/>
  <c r="BA15" i="2" s="1"/>
  <c r="FG16" i="1"/>
  <c r="AZ15" i="2" s="1"/>
  <c r="FC16" i="1"/>
  <c r="EZ16" i="1"/>
  <c r="EZ53" i="1" s="1"/>
  <c r="EW16" i="1"/>
  <c r="AV15" i="2" s="1"/>
  <c r="ET16" i="1"/>
  <c r="AU15" i="2" s="1"/>
  <c r="EQ16" i="1"/>
  <c r="AT15" i="2" s="1"/>
  <c r="EM16" i="1"/>
  <c r="AN15" i="2" s="1"/>
  <c r="EJ16" i="1"/>
  <c r="AM15" i="2" s="1"/>
  <c r="DZ16" i="1"/>
  <c r="AI15" i="2" s="1"/>
  <c r="DW16" i="1"/>
  <c r="AH15" i="2" s="1"/>
  <c r="DT16" i="1"/>
  <c r="AE15" i="2" s="1"/>
  <c r="DR16" i="1"/>
  <c r="AD15" i="2" s="1"/>
  <c r="DE16" i="1"/>
  <c r="DF16" i="1" s="1"/>
  <c r="DA16" i="1"/>
  <c r="X15" i="2" s="1"/>
  <c r="CW16" i="1"/>
  <c r="CX16" i="1" s="1"/>
  <c r="CS16" i="1"/>
  <c r="CO16" i="1"/>
  <c r="CH16" i="1"/>
  <c r="R15" i="2" s="1"/>
  <c r="CF16" i="1"/>
  <c r="Q15" i="2" s="1"/>
  <c r="CD16" i="1"/>
  <c r="P15" i="2" s="1"/>
  <c r="CA16" i="1"/>
  <c r="BW16" i="1"/>
  <c r="BX16" i="1" s="1"/>
  <c r="BT16" i="1"/>
  <c r="BR16" i="1"/>
  <c r="Z15" i="2" s="1"/>
  <c r="BP16" i="1"/>
  <c r="BN16" i="1"/>
  <c r="BL16" i="1"/>
  <c r="BJ16" i="1"/>
  <c r="AB15" i="2" s="1"/>
  <c r="BG16" i="1"/>
  <c r="AA15" i="2" s="1"/>
  <c r="BC16" i="1"/>
  <c r="M15" i="2" s="1"/>
  <c r="AZ16" i="1"/>
  <c r="L15" i="2" s="1"/>
  <c r="AW16" i="1"/>
  <c r="AU16" i="1"/>
  <c r="AR16" i="1"/>
  <c r="AS16" i="1" s="1"/>
  <c r="AI16" i="1"/>
  <c r="AE16" i="1"/>
  <c r="AB16" i="1"/>
  <c r="F15" i="2" s="1"/>
  <c r="Z16" i="1"/>
  <c r="V16" i="1"/>
  <c r="E15" i="2" s="1"/>
  <c r="T16" i="1"/>
  <c r="D15" i="2" s="1"/>
  <c r="Q16" i="1"/>
  <c r="N16" i="1"/>
  <c r="C15" i="2" s="1"/>
  <c r="K16" i="1"/>
  <c r="F16" i="1"/>
  <c r="D16" i="1"/>
  <c r="C16" i="1"/>
  <c r="GW15" i="1"/>
  <c r="GP15" i="1"/>
  <c r="GM15" i="1"/>
  <c r="BC14" i="2" s="1"/>
  <c r="GJ15" i="1"/>
  <c r="AX14" i="2" s="1"/>
  <c r="GD15" i="1"/>
  <c r="GA15" i="1"/>
  <c r="AQ14" i="2" s="1"/>
  <c r="FX15" i="1"/>
  <c r="AP14" i="2" s="1"/>
  <c r="FS15" i="1"/>
  <c r="FP15" i="1"/>
  <c r="FA52" i="1" s="1"/>
  <c r="FJ15" i="1"/>
  <c r="BA14" i="2" s="1"/>
  <c r="FG15" i="1"/>
  <c r="AZ14" i="2" s="1"/>
  <c r="FC15" i="1"/>
  <c r="EZ15" i="1"/>
  <c r="EZ52" i="1" s="1"/>
  <c r="EW15" i="1"/>
  <c r="AV14" i="2" s="1"/>
  <c r="ET15" i="1"/>
  <c r="AU14" i="2" s="1"/>
  <c r="EQ15" i="1"/>
  <c r="AT14" i="2" s="1"/>
  <c r="EM15" i="1"/>
  <c r="AN14" i="2" s="1"/>
  <c r="EJ15" i="1"/>
  <c r="AM14" i="2" s="1"/>
  <c r="DZ15" i="1"/>
  <c r="AI14" i="2" s="1"/>
  <c r="DW15" i="1"/>
  <c r="AH14" i="2" s="1"/>
  <c r="DT15" i="1"/>
  <c r="AE14" i="2" s="1"/>
  <c r="DR15" i="1"/>
  <c r="AD14" i="2" s="1"/>
  <c r="DE15" i="1"/>
  <c r="DA15" i="1"/>
  <c r="CW15" i="1"/>
  <c r="W14" i="2" s="1"/>
  <c r="CS15" i="1"/>
  <c r="U14" i="2" s="1"/>
  <c r="CO15" i="1"/>
  <c r="CP15" i="1" s="1"/>
  <c r="CH15" i="1"/>
  <c r="R14" i="2" s="1"/>
  <c r="CF15" i="1"/>
  <c r="Q14" i="2" s="1"/>
  <c r="CD15" i="1"/>
  <c r="P14" i="2" s="1"/>
  <c r="CA15" i="1"/>
  <c r="CK15" i="1" s="1"/>
  <c r="BW15" i="1"/>
  <c r="BX15" i="1" s="1"/>
  <c r="BT15" i="1"/>
  <c r="BR15" i="1"/>
  <c r="Z14" i="2" s="1"/>
  <c r="BP15" i="1"/>
  <c r="BN15" i="1"/>
  <c r="BL15" i="1"/>
  <c r="BJ15" i="1"/>
  <c r="AB14" i="2" s="1"/>
  <c r="BG15" i="1"/>
  <c r="AA14" i="2" s="1"/>
  <c r="BC15" i="1"/>
  <c r="M14" i="2" s="1"/>
  <c r="AZ15" i="1"/>
  <c r="L14" i="2" s="1"/>
  <c r="AW15" i="1"/>
  <c r="AU15" i="1"/>
  <c r="AR15" i="1"/>
  <c r="AI15" i="1"/>
  <c r="AJ15" i="1" s="1"/>
  <c r="AE15" i="1"/>
  <c r="AB15" i="1"/>
  <c r="F14" i="2" s="1"/>
  <c r="Z15" i="1"/>
  <c r="V15" i="1"/>
  <c r="E14" i="2" s="1"/>
  <c r="T15" i="1"/>
  <c r="D14" i="2" s="1"/>
  <c r="Q15" i="1"/>
  <c r="N15" i="1"/>
  <c r="C14" i="2" s="1"/>
  <c r="K15" i="1"/>
  <c r="F15" i="1"/>
  <c r="D15" i="1"/>
  <c r="C15" i="1"/>
  <c r="GW14" i="1"/>
  <c r="GA14" i="1"/>
  <c r="AQ13" i="2" s="1"/>
  <c r="GP14" i="1"/>
  <c r="GM14" i="1"/>
  <c r="GJ14" i="1"/>
  <c r="AX13" i="2" s="1"/>
  <c r="GD14" i="1"/>
  <c r="FX14" i="1"/>
  <c r="AP13" i="2" s="1"/>
  <c r="FS14" i="1"/>
  <c r="FP14" i="1"/>
  <c r="FA51" i="1" s="1"/>
  <c r="FJ14" i="1"/>
  <c r="BA13" i="2" s="1"/>
  <c r="FG14" i="1"/>
  <c r="AZ13" i="2" s="1"/>
  <c r="FC14" i="1"/>
  <c r="EZ14" i="1"/>
  <c r="EZ51" i="1" s="1"/>
  <c r="EW14" i="1"/>
  <c r="AV13" i="2" s="1"/>
  <c r="ET14" i="1"/>
  <c r="AU13" i="2" s="1"/>
  <c r="EQ14" i="1"/>
  <c r="AT13" i="2" s="1"/>
  <c r="EM14" i="1"/>
  <c r="AN13" i="2" s="1"/>
  <c r="EJ14" i="1"/>
  <c r="AM13" i="2" s="1"/>
  <c r="DZ14" i="1"/>
  <c r="AI13" i="2" s="1"/>
  <c r="DW14" i="1"/>
  <c r="AH13" i="2" s="1"/>
  <c r="DT14" i="1"/>
  <c r="AE13" i="2" s="1"/>
  <c r="DR14" i="1"/>
  <c r="AD13" i="2" s="1"/>
  <c r="DE14" i="1"/>
  <c r="DA14" i="1"/>
  <c r="CW14" i="1"/>
  <c r="CS14" i="1"/>
  <c r="CO14" i="1"/>
  <c r="CP14" i="1" s="1"/>
  <c r="CH14" i="1"/>
  <c r="R13" i="2" s="1"/>
  <c r="CF14" i="1"/>
  <c r="Q13" i="2" s="1"/>
  <c r="CD14" i="1"/>
  <c r="P13" i="2" s="1"/>
  <c r="CA14" i="1"/>
  <c r="BW14" i="1"/>
  <c r="BX14" i="1" s="1"/>
  <c r="BT14" i="1"/>
  <c r="BR14" i="1"/>
  <c r="Z13" i="2" s="1"/>
  <c r="BP14" i="1"/>
  <c r="BN14" i="1"/>
  <c r="BL14" i="1"/>
  <c r="BJ14" i="1"/>
  <c r="AB13" i="2" s="1"/>
  <c r="BG14" i="1"/>
  <c r="AA13" i="2" s="1"/>
  <c r="BC14" i="1"/>
  <c r="M13" i="2" s="1"/>
  <c r="AZ14" i="1"/>
  <c r="L13" i="2" s="1"/>
  <c r="AW14" i="1"/>
  <c r="AU14" i="1"/>
  <c r="AR14" i="1"/>
  <c r="AI14" i="1"/>
  <c r="AE14" i="1"/>
  <c r="H13" i="2" s="1"/>
  <c r="AB14" i="1"/>
  <c r="F13" i="2" s="1"/>
  <c r="Z14" i="1"/>
  <c r="V14" i="1"/>
  <c r="E13" i="2" s="1"/>
  <c r="T14" i="1"/>
  <c r="D13" i="2" s="1"/>
  <c r="Q14" i="1"/>
  <c r="R14" i="1" s="1"/>
  <c r="N14" i="1"/>
  <c r="C13" i="2" s="1"/>
  <c r="K14" i="1"/>
  <c r="F14" i="1"/>
  <c r="D14" i="1"/>
  <c r="C14" i="1"/>
  <c r="GW13" i="1"/>
  <c r="GP13" i="1"/>
  <c r="GM13" i="1"/>
  <c r="BC12" i="2" s="1"/>
  <c r="GJ13" i="1"/>
  <c r="AX12" i="2" s="1"/>
  <c r="GD13" i="1"/>
  <c r="GA13" i="1"/>
  <c r="AQ12" i="2" s="1"/>
  <c r="FX13" i="1"/>
  <c r="AP12" i="2" s="1"/>
  <c r="FS13" i="1"/>
  <c r="FP13" i="1"/>
  <c r="FA50" i="1" s="1"/>
  <c r="FJ13" i="1"/>
  <c r="BA12" i="2" s="1"/>
  <c r="FG13" i="1"/>
  <c r="AZ12" i="2" s="1"/>
  <c r="FC13" i="1"/>
  <c r="EZ13" i="1"/>
  <c r="EZ50" i="1" s="1"/>
  <c r="EW13" i="1"/>
  <c r="AV12" i="2" s="1"/>
  <c r="ET13" i="1"/>
  <c r="AU12" i="2" s="1"/>
  <c r="EQ13" i="1"/>
  <c r="AT12" i="2" s="1"/>
  <c r="EM13" i="1"/>
  <c r="AN12" i="2" s="1"/>
  <c r="EJ13" i="1"/>
  <c r="AM12" i="2" s="1"/>
  <c r="DZ13" i="1"/>
  <c r="AI12" i="2" s="1"/>
  <c r="DW13" i="1"/>
  <c r="AH12" i="2" s="1"/>
  <c r="DT13" i="1"/>
  <c r="AE12" i="2" s="1"/>
  <c r="DR13" i="1"/>
  <c r="AD12" i="2" s="1"/>
  <c r="DE13" i="1"/>
  <c r="DA13" i="1"/>
  <c r="DB13" i="1" s="1"/>
  <c r="CW13" i="1"/>
  <c r="CX13" i="1" s="1"/>
  <c r="CS13" i="1"/>
  <c r="CT13" i="1" s="1"/>
  <c r="CO13" i="1"/>
  <c r="CH13" i="1"/>
  <c r="R12" i="2" s="1"/>
  <c r="CF13" i="1"/>
  <c r="Q12" i="2" s="1"/>
  <c r="CD13" i="1"/>
  <c r="P12" i="2" s="1"/>
  <c r="CA13" i="1"/>
  <c r="CK13" i="1" s="1"/>
  <c r="CL13" i="1" s="1"/>
  <c r="BW13" i="1"/>
  <c r="BX13" i="1" s="1"/>
  <c r="BT13" i="1"/>
  <c r="BR13" i="1"/>
  <c r="Z12" i="2" s="1"/>
  <c r="BP13" i="1"/>
  <c r="BN13" i="1"/>
  <c r="BL13" i="1"/>
  <c r="BJ13" i="1"/>
  <c r="AB12" i="2" s="1"/>
  <c r="BG13" i="1"/>
  <c r="AA12" i="2" s="1"/>
  <c r="BC13" i="1"/>
  <c r="M12" i="2" s="1"/>
  <c r="AZ13" i="1"/>
  <c r="L12" i="2" s="1"/>
  <c r="AW13" i="1"/>
  <c r="AU13" i="1"/>
  <c r="AR13" i="1"/>
  <c r="AS13" i="1" s="1"/>
  <c r="AI13" i="1"/>
  <c r="AJ13" i="1" s="1"/>
  <c r="AE13" i="1"/>
  <c r="AF13" i="1" s="1"/>
  <c r="AB13" i="1"/>
  <c r="F12" i="2" s="1"/>
  <c r="Z13" i="1"/>
  <c r="V13" i="1"/>
  <c r="E12" i="2" s="1"/>
  <c r="T13" i="1"/>
  <c r="D12" i="2" s="1"/>
  <c r="Q13" i="1"/>
  <c r="R13" i="1" s="1"/>
  <c r="K13" i="1"/>
  <c r="F13" i="1"/>
  <c r="D13" i="1"/>
  <c r="C13" i="1"/>
  <c r="GW12" i="1"/>
  <c r="GP12" i="1"/>
  <c r="BQ11" i="2" s="1"/>
  <c r="GM12" i="1"/>
  <c r="BC11" i="2" s="1"/>
  <c r="GJ12" i="1"/>
  <c r="AX11" i="2" s="1"/>
  <c r="GD12" i="1"/>
  <c r="GA12" i="1"/>
  <c r="AQ11" i="2" s="1"/>
  <c r="FX12" i="1"/>
  <c r="AP11" i="2" s="1"/>
  <c r="FS12" i="1"/>
  <c r="FP12" i="1"/>
  <c r="FA49" i="1" s="1"/>
  <c r="FJ12" i="1"/>
  <c r="BA11" i="2" s="1"/>
  <c r="FG12" i="1"/>
  <c r="AZ11" i="2" s="1"/>
  <c r="FC12" i="1"/>
  <c r="EZ12" i="1"/>
  <c r="EZ49" i="1" s="1"/>
  <c r="EW12" i="1"/>
  <c r="AV11" i="2" s="1"/>
  <c r="ET12" i="1"/>
  <c r="AU11" i="2" s="1"/>
  <c r="EQ12" i="1"/>
  <c r="AT11" i="2" s="1"/>
  <c r="EM12" i="1"/>
  <c r="AN11" i="2" s="1"/>
  <c r="EJ12" i="1"/>
  <c r="AM11" i="2" s="1"/>
  <c r="DZ12" i="1"/>
  <c r="AI11" i="2" s="1"/>
  <c r="DW12" i="1"/>
  <c r="AH11" i="2" s="1"/>
  <c r="DT12" i="1"/>
  <c r="AE11" i="2" s="1"/>
  <c r="DR12" i="1"/>
  <c r="AD11" i="2" s="1"/>
  <c r="DE12" i="1"/>
  <c r="DF12" i="1" s="1"/>
  <c r="DA12" i="1"/>
  <c r="DB12" i="1" s="1"/>
  <c r="CW12" i="1"/>
  <c r="CX12" i="1" s="1"/>
  <c r="CS12" i="1"/>
  <c r="CT12" i="1" s="1"/>
  <c r="CO12" i="1"/>
  <c r="CP12" i="1" s="1"/>
  <c r="CH12" i="1"/>
  <c r="R11" i="2" s="1"/>
  <c r="CF12" i="1"/>
  <c r="Q11" i="2" s="1"/>
  <c r="CD12" i="1"/>
  <c r="P11" i="2" s="1"/>
  <c r="CA12" i="1"/>
  <c r="CB12" i="1" s="1"/>
  <c r="BW12" i="1"/>
  <c r="BX12" i="1" s="1"/>
  <c r="BT12" i="1"/>
  <c r="BR12" i="1"/>
  <c r="Z11" i="2" s="1"/>
  <c r="BP12" i="1"/>
  <c r="BN12" i="1"/>
  <c r="BL12" i="1"/>
  <c r="BJ12" i="1"/>
  <c r="AB11" i="2" s="1"/>
  <c r="BG12" i="1"/>
  <c r="AA11" i="2" s="1"/>
  <c r="BC12" i="1"/>
  <c r="M11" i="2" s="1"/>
  <c r="AZ12" i="1"/>
  <c r="L11" i="2" s="1"/>
  <c r="AW12" i="1"/>
  <c r="AU12" i="1"/>
  <c r="AR12" i="1"/>
  <c r="AS12" i="1" s="1"/>
  <c r="AI12" i="1"/>
  <c r="I11" i="2" s="1"/>
  <c r="AE12" i="1"/>
  <c r="AF12" i="1" s="1"/>
  <c r="AB12" i="1"/>
  <c r="F11" i="2" s="1"/>
  <c r="Z12" i="1"/>
  <c r="V12" i="1"/>
  <c r="E11" i="2" s="1"/>
  <c r="T12" i="1"/>
  <c r="D11" i="2" s="1"/>
  <c r="Q12" i="1"/>
  <c r="R12" i="1" s="1"/>
  <c r="N12" i="1"/>
  <c r="C11" i="2" s="1"/>
  <c r="N13" i="1"/>
  <c r="C12" i="2" s="1"/>
  <c r="K12" i="1"/>
  <c r="F12" i="1"/>
  <c r="D12" i="1"/>
  <c r="C12" i="1"/>
  <c r="GW11" i="1"/>
  <c r="GP11" i="1"/>
  <c r="BQ10" i="2" s="1"/>
  <c r="GM11" i="1"/>
  <c r="BC10" i="2" s="1"/>
  <c r="GJ11" i="1"/>
  <c r="GD11" i="1"/>
  <c r="GA11" i="1"/>
  <c r="AQ10" i="2" s="1"/>
  <c r="FX11" i="1"/>
  <c r="AP10" i="2" s="1"/>
  <c r="FS11" i="1"/>
  <c r="FP11" i="1"/>
  <c r="FA48" i="1" s="1"/>
  <c r="FJ11" i="1"/>
  <c r="BA10" i="2" s="1"/>
  <c r="FG11" i="1"/>
  <c r="AZ10" i="2" s="1"/>
  <c r="FC11" i="1"/>
  <c r="EZ11" i="1"/>
  <c r="EZ48" i="1" s="1"/>
  <c r="EW11" i="1"/>
  <c r="AV10" i="2" s="1"/>
  <c r="ET11" i="1"/>
  <c r="AU10" i="2" s="1"/>
  <c r="EQ11" i="1"/>
  <c r="AT10" i="2" s="1"/>
  <c r="EM11" i="1"/>
  <c r="AN10" i="2" s="1"/>
  <c r="EJ11" i="1"/>
  <c r="AM10" i="2" s="1"/>
  <c r="DZ11" i="1"/>
  <c r="AI10" i="2" s="1"/>
  <c r="DW11" i="1"/>
  <c r="AH10" i="2" s="1"/>
  <c r="DT11" i="1"/>
  <c r="AE10" i="2" s="1"/>
  <c r="DR11" i="1"/>
  <c r="AD10" i="2" s="1"/>
  <c r="DE11" i="1"/>
  <c r="DF11" i="1" s="1"/>
  <c r="DA11" i="1"/>
  <c r="DB11" i="1" s="1"/>
  <c r="CW11" i="1"/>
  <c r="CX11" i="1" s="1"/>
  <c r="CS11" i="1"/>
  <c r="CT11" i="1" s="1"/>
  <c r="CO11" i="1"/>
  <c r="CP11" i="1" s="1"/>
  <c r="CH11" i="1"/>
  <c r="R10" i="2" s="1"/>
  <c r="CF11" i="1"/>
  <c r="Q10" i="2" s="1"/>
  <c r="CD11" i="1"/>
  <c r="P10" i="2" s="1"/>
  <c r="CA11" i="1"/>
  <c r="BW11" i="1"/>
  <c r="BX11" i="1" s="1"/>
  <c r="BT11" i="1"/>
  <c r="BR11" i="1"/>
  <c r="Z10" i="2" s="1"/>
  <c r="BP11" i="1"/>
  <c r="BN11" i="1"/>
  <c r="BL11" i="1"/>
  <c r="BJ11" i="1"/>
  <c r="AB10" i="2" s="1"/>
  <c r="BG11" i="1"/>
  <c r="AA10" i="2" s="1"/>
  <c r="BC11" i="1"/>
  <c r="M10" i="2" s="1"/>
  <c r="AZ11" i="1"/>
  <c r="L10" i="2" s="1"/>
  <c r="AW11" i="1"/>
  <c r="AU11" i="1"/>
  <c r="AR11" i="1"/>
  <c r="AS11" i="1" s="1"/>
  <c r="AI11" i="1"/>
  <c r="AJ11" i="1" s="1"/>
  <c r="AE11" i="1"/>
  <c r="AF11" i="1" s="1"/>
  <c r="AB11" i="1"/>
  <c r="F10" i="2" s="1"/>
  <c r="Z11" i="1"/>
  <c r="V11" i="1"/>
  <c r="E10" i="2" s="1"/>
  <c r="T11" i="1"/>
  <c r="D10" i="2" s="1"/>
  <c r="Q11" i="1"/>
  <c r="N11" i="1"/>
  <c r="C10" i="2" s="1"/>
  <c r="K11" i="1"/>
  <c r="F11" i="1"/>
  <c r="D11" i="1"/>
  <c r="C11" i="1"/>
  <c r="GW10" i="1"/>
  <c r="GP10" i="1"/>
  <c r="BO9" i="2" s="1"/>
  <c r="GM10" i="1"/>
  <c r="BC9" i="2" s="1"/>
  <c r="GJ10" i="1"/>
  <c r="AX9" i="2" s="1"/>
  <c r="GD10" i="1"/>
  <c r="GA10" i="1"/>
  <c r="AQ9" i="2" s="1"/>
  <c r="FX10" i="1"/>
  <c r="AP9" i="2" s="1"/>
  <c r="FS10" i="1"/>
  <c r="FP10" i="1"/>
  <c r="FA47" i="1" s="1"/>
  <c r="FJ10" i="1"/>
  <c r="BA9" i="2" s="1"/>
  <c r="FG10" i="1"/>
  <c r="AZ9" i="2" s="1"/>
  <c r="FC10" i="1"/>
  <c r="EZ10" i="1"/>
  <c r="EZ47" i="1" s="1"/>
  <c r="EW10" i="1"/>
  <c r="AV9" i="2" s="1"/>
  <c r="ET10" i="1"/>
  <c r="AU9" i="2" s="1"/>
  <c r="EQ10" i="1"/>
  <c r="AT9" i="2" s="1"/>
  <c r="EM10" i="1"/>
  <c r="AN9" i="2" s="1"/>
  <c r="EJ10" i="1"/>
  <c r="AM9" i="2" s="1"/>
  <c r="DZ10" i="1"/>
  <c r="AI9" i="2" s="1"/>
  <c r="DW10" i="1"/>
  <c r="AH9" i="2" s="1"/>
  <c r="DT10" i="1"/>
  <c r="AE9" i="2" s="1"/>
  <c r="DR10" i="1"/>
  <c r="AD9" i="2" s="1"/>
  <c r="DE10" i="1"/>
  <c r="DF10" i="1" s="1"/>
  <c r="DA10" i="1"/>
  <c r="DB10" i="1" s="1"/>
  <c r="CW10" i="1"/>
  <c r="CX10" i="1" s="1"/>
  <c r="CS10" i="1"/>
  <c r="CT10" i="1" s="1"/>
  <c r="CO10" i="1"/>
  <c r="CP10" i="1" s="1"/>
  <c r="CH10" i="1"/>
  <c r="R9" i="2" s="1"/>
  <c r="CF10" i="1"/>
  <c r="Q9" i="2" s="1"/>
  <c r="CD10" i="1"/>
  <c r="P9" i="2" s="1"/>
  <c r="CA10" i="1"/>
  <c r="CB10" i="1" s="1"/>
  <c r="BW10" i="1"/>
  <c r="BX10" i="1" s="1"/>
  <c r="BT10" i="1"/>
  <c r="BR10" i="1"/>
  <c r="Z9" i="2" s="1"/>
  <c r="BP10" i="1"/>
  <c r="BN10" i="1"/>
  <c r="BL10" i="1"/>
  <c r="BJ10" i="1"/>
  <c r="AB9" i="2" s="1"/>
  <c r="BG10" i="1"/>
  <c r="AA9" i="2" s="1"/>
  <c r="BC10" i="1"/>
  <c r="M9" i="2" s="1"/>
  <c r="AZ10" i="1"/>
  <c r="L9" i="2" s="1"/>
  <c r="AW10" i="1"/>
  <c r="AU10" i="1"/>
  <c r="AI10" i="1"/>
  <c r="AJ10" i="1" s="1"/>
  <c r="AE10" i="1"/>
  <c r="H9" i="2" s="1"/>
  <c r="AB10" i="1"/>
  <c r="F9" i="2" s="1"/>
  <c r="Z10" i="1"/>
  <c r="V10" i="1"/>
  <c r="E9" i="2" s="1"/>
  <c r="T10" i="1"/>
  <c r="D9" i="2" s="1"/>
  <c r="Q10" i="1"/>
  <c r="N10" i="1"/>
  <c r="C9" i="2" s="1"/>
  <c r="K10" i="1"/>
  <c r="F10" i="1"/>
  <c r="D10" i="1"/>
  <c r="C10" i="1"/>
  <c r="GW9" i="1"/>
  <c r="GP9" i="1"/>
  <c r="BO8" i="2" s="1"/>
  <c r="GM9" i="1"/>
  <c r="BC8" i="2" s="1"/>
  <c r="GJ9" i="1"/>
  <c r="GD9" i="1"/>
  <c r="GA9" i="1"/>
  <c r="AQ8" i="2" s="1"/>
  <c r="FX9" i="1"/>
  <c r="AP8" i="2" s="1"/>
  <c r="FS9" i="1"/>
  <c r="FP9" i="1"/>
  <c r="FA46" i="1" s="1"/>
  <c r="FJ9" i="1"/>
  <c r="BA8" i="2" s="1"/>
  <c r="FG9" i="1"/>
  <c r="AZ8" i="2" s="1"/>
  <c r="FC9" i="1"/>
  <c r="EZ9" i="1"/>
  <c r="EZ46" i="1" s="1"/>
  <c r="EW9" i="1"/>
  <c r="AV8" i="2" s="1"/>
  <c r="ET9" i="1"/>
  <c r="AU8" i="2" s="1"/>
  <c r="EQ9" i="1"/>
  <c r="AT8" i="2" s="1"/>
  <c r="EM9" i="1"/>
  <c r="AN8" i="2" s="1"/>
  <c r="EJ9" i="1"/>
  <c r="AM8" i="2" s="1"/>
  <c r="DZ9" i="1"/>
  <c r="AI8" i="2" s="1"/>
  <c r="DW9" i="1"/>
  <c r="AH8" i="2" s="1"/>
  <c r="DT9" i="1"/>
  <c r="AE8" i="2" s="1"/>
  <c r="DR9" i="1"/>
  <c r="AD8" i="2" s="1"/>
  <c r="DE9" i="1"/>
  <c r="DF9" i="1" s="1"/>
  <c r="DA9" i="1"/>
  <c r="DB9" i="1" s="1"/>
  <c r="CW9" i="1"/>
  <c r="W8" i="2" s="1"/>
  <c r="CS9" i="1"/>
  <c r="CT9" i="1" s="1"/>
  <c r="CO9" i="1"/>
  <c r="CP9" i="1" s="1"/>
  <c r="CH9" i="1"/>
  <c r="R8" i="2" s="1"/>
  <c r="CF9" i="1"/>
  <c r="Q8" i="2" s="1"/>
  <c r="CD9" i="1"/>
  <c r="P8" i="2" s="1"/>
  <c r="CA9" i="1"/>
  <c r="CK9" i="1" s="1"/>
  <c r="CL9" i="1" s="1"/>
  <c r="BW9" i="1"/>
  <c r="BX9" i="1" s="1"/>
  <c r="BT9" i="1"/>
  <c r="BR9" i="1"/>
  <c r="Z8" i="2" s="1"/>
  <c r="BP9" i="1"/>
  <c r="BN9" i="1"/>
  <c r="BL9" i="1"/>
  <c r="BJ9" i="1"/>
  <c r="AB8" i="2" s="1"/>
  <c r="BG9" i="1"/>
  <c r="AA8" i="2" s="1"/>
  <c r="BC9" i="1"/>
  <c r="M8" i="2" s="1"/>
  <c r="AZ9" i="1"/>
  <c r="L8" i="2" s="1"/>
  <c r="AW9" i="1"/>
  <c r="AU9" i="1"/>
  <c r="AI9" i="1"/>
  <c r="AJ9" i="1" s="1"/>
  <c r="AE9" i="1"/>
  <c r="AF9" i="1" s="1"/>
  <c r="AB9" i="1"/>
  <c r="F8" i="2" s="1"/>
  <c r="Z9" i="1"/>
  <c r="V9" i="1"/>
  <c r="E8" i="2" s="1"/>
  <c r="T9" i="1"/>
  <c r="D8" i="2" s="1"/>
  <c r="Q9" i="1"/>
  <c r="N9" i="1"/>
  <c r="C8" i="2" s="1"/>
  <c r="K9" i="1"/>
  <c r="F9" i="1"/>
  <c r="D9" i="1"/>
  <c r="C9" i="1"/>
  <c r="GW8" i="1"/>
  <c r="GP8" i="1"/>
  <c r="GM8" i="1"/>
  <c r="BC7" i="2" s="1"/>
  <c r="GJ8" i="1"/>
  <c r="AX7" i="2" s="1"/>
  <c r="GD8" i="1"/>
  <c r="GA8" i="1"/>
  <c r="AQ7" i="2" s="1"/>
  <c r="FX8" i="1"/>
  <c r="AP7" i="2" s="1"/>
  <c r="FS8" i="1"/>
  <c r="FP8" i="1"/>
  <c r="FA45" i="1" s="1"/>
  <c r="FJ8" i="1"/>
  <c r="BA7" i="2" s="1"/>
  <c r="FG8" i="1"/>
  <c r="AZ7" i="2" s="1"/>
  <c r="FC8" i="1"/>
  <c r="EZ8" i="1"/>
  <c r="EZ45" i="1" s="1"/>
  <c r="EW8" i="1"/>
  <c r="AV7" i="2" s="1"/>
  <c r="ET8" i="1"/>
  <c r="AU7" i="2" s="1"/>
  <c r="EQ8" i="1"/>
  <c r="AT7" i="2" s="1"/>
  <c r="EM8" i="1"/>
  <c r="AN7" i="2" s="1"/>
  <c r="EJ8" i="1"/>
  <c r="AM7" i="2" s="1"/>
  <c r="DZ8" i="1"/>
  <c r="AI7" i="2" s="1"/>
  <c r="DW8" i="1"/>
  <c r="AH7" i="2" s="1"/>
  <c r="DT8" i="1"/>
  <c r="AE7" i="2" s="1"/>
  <c r="AD7" i="2"/>
  <c r="DE8" i="1"/>
  <c r="DA8" i="1"/>
  <c r="DB8" i="1" s="1"/>
  <c r="CW8" i="1"/>
  <c r="CX8" i="1" s="1"/>
  <c r="CS8" i="1"/>
  <c r="CT8" i="1" s="1"/>
  <c r="CO8" i="1"/>
  <c r="T7" i="2" s="1"/>
  <c r="CH8" i="1"/>
  <c r="R7" i="2" s="1"/>
  <c r="CF8" i="1"/>
  <c r="Q7" i="2" s="1"/>
  <c r="CD8" i="1"/>
  <c r="P7" i="2" s="1"/>
  <c r="CA8" i="1"/>
  <c r="O7" i="2" s="1"/>
  <c r="BW8" i="1"/>
  <c r="BT8" i="1"/>
  <c r="BR8" i="1"/>
  <c r="Z7" i="2" s="1"/>
  <c r="BP8" i="1"/>
  <c r="BN8" i="1"/>
  <c r="BL8" i="1"/>
  <c r="BJ8" i="1"/>
  <c r="AB7" i="2" s="1"/>
  <c r="BG8" i="1"/>
  <c r="AA7" i="2" s="1"/>
  <c r="BC8" i="1"/>
  <c r="M7" i="2" s="1"/>
  <c r="AZ8" i="1"/>
  <c r="L7" i="2" s="1"/>
  <c r="AI8" i="1"/>
  <c r="AJ8" i="1" s="1"/>
  <c r="AE8" i="1"/>
  <c r="H7" i="2" s="1"/>
  <c r="AB8" i="1"/>
  <c r="F7" i="2" s="1"/>
  <c r="Z8" i="1"/>
  <c r="V8" i="1"/>
  <c r="E7" i="2" s="1"/>
  <c r="T8" i="1"/>
  <c r="D7" i="2" s="1"/>
  <c r="Q8" i="1"/>
  <c r="R8" i="1" s="1"/>
  <c r="N8" i="1"/>
  <c r="C7" i="2" s="1"/>
  <c r="K8" i="1"/>
  <c r="F8" i="1"/>
  <c r="D8" i="1"/>
  <c r="C8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FB45" i="1" l="1"/>
  <c r="FD45" i="1" s="1"/>
  <c r="FB66" i="1"/>
  <c r="FD66" i="1" s="1"/>
  <c r="BC36" i="2"/>
  <c r="FB51" i="1"/>
  <c r="FD51" i="1" s="1"/>
  <c r="FJ51" i="1" s="1"/>
  <c r="FL51" i="1" s="1"/>
  <c r="FB46" i="1"/>
  <c r="FD46" i="1" s="1"/>
  <c r="FB67" i="1"/>
  <c r="FD67" i="1" s="1"/>
  <c r="FJ67" i="1" s="1"/>
  <c r="FL67" i="1" s="1"/>
  <c r="FB49" i="1"/>
  <c r="FD49" i="1" s="1"/>
  <c r="FK49" i="1" s="1"/>
  <c r="FM49" i="1" s="1"/>
  <c r="BB11" i="2" s="1"/>
  <c r="BD11" i="2" s="1"/>
  <c r="FB70" i="1"/>
  <c r="FD70" i="1" s="1"/>
  <c r="FJ70" i="1" s="1"/>
  <c r="FL70" i="1" s="1"/>
  <c r="FB55" i="1"/>
  <c r="FD55" i="1" s="1"/>
  <c r="FB58" i="1"/>
  <c r="FD58" i="1" s="1"/>
  <c r="FK58" i="1" s="1"/>
  <c r="FM58" i="1" s="1"/>
  <c r="BB20" i="2" s="1"/>
  <c r="FB62" i="1"/>
  <c r="FD62" i="1" s="1"/>
  <c r="FJ62" i="1" s="1"/>
  <c r="FL62" i="1" s="1"/>
  <c r="FB52" i="1"/>
  <c r="FD52" i="1" s="1"/>
  <c r="FJ52" i="1" s="1"/>
  <c r="FL52" i="1" s="1"/>
  <c r="AX33" i="2"/>
  <c r="BC33" i="2"/>
  <c r="AX36" i="2"/>
  <c r="EG38" i="1"/>
  <c r="AL37" i="2" s="1"/>
  <c r="AO37" i="2" s="1"/>
  <c r="EC38" i="1"/>
  <c r="AJ37" i="2" s="1"/>
  <c r="AK37" i="2" s="1"/>
  <c r="EG35" i="1"/>
  <c r="AL34" i="2" s="1"/>
  <c r="AO34" i="2" s="1"/>
  <c r="EC35" i="1"/>
  <c r="AJ34" i="2" s="1"/>
  <c r="AK34" i="2" s="1"/>
  <c r="EG36" i="1"/>
  <c r="AL35" i="2" s="1"/>
  <c r="AO35" i="2" s="1"/>
  <c r="EC36" i="1"/>
  <c r="AJ35" i="2" s="1"/>
  <c r="AK35" i="2" s="1"/>
  <c r="EG37" i="1"/>
  <c r="AL36" i="2" s="1"/>
  <c r="AO36" i="2" s="1"/>
  <c r="EC37" i="1"/>
  <c r="AJ36" i="2" s="1"/>
  <c r="AK36" i="2" s="1"/>
  <c r="EG33" i="1"/>
  <c r="AL32" i="2" s="1"/>
  <c r="AO32" i="2" s="1"/>
  <c r="EC34" i="1"/>
  <c r="AJ33" i="2" s="1"/>
  <c r="AK33" i="2" s="1"/>
  <c r="EG32" i="1"/>
  <c r="AL31" i="2" s="1"/>
  <c r="AO31" i="2" s="1"/>
  <c r="EG34" i="1"/>
  <c r="AL33" i="2" s="1"/>
  <c r="AO33" i="2" s="1"/>
  <c r="EC32" i="1"/>
  <c r="AJ31" i="2" s="1"/>
  <c r="AK31" i="2" s="1"/>
  <c r="EC33" i="1"/>
  <c r="AJ32" i="2" s="1"/>
  <c r="AK32" i="2" s="1"/>
  <c r="EG31" i="1"/>
  <c r="AL30" i="2" s="1"/>
  <c r="AO30" i="2" s="1"/>
  <c r="EC31" i="1"/>
  <c r="AJ30" i="2" s="1"/>
  <c r="AK30" i="2" s="1"/>
  <c r="EG30" i="1"/>
  <c r="AL29" i="2" s="1"/>
  <c r="AO29" i="2" s="1"/>
  <c r="EC30" i="1"/>
  <c r="AJ29" i="2" s="1"/>
  <c r="EG29" i="1"/>
  <c r="AL28" i="2" s="1"/>
  <c r="AO28" i="2" s="1"/>
  <c r="EC29" i="1"/>
  <c r="AJ28" i="2" s="1"/>
  <c r="AK28" i="2" s="1"/>
  <c r="EG28" i="1"/>
  <c r="AL27" i="2" s="1"/>
  <c r="AO27" i="2" s="1"/>
  <c r="EC28" i="1"/>
  <c r="AJ27" i="2" s="1"/>
  <c r="AK27" i="2" s="1"/>
  <c r="EG27" i="1"/>
  <c r="AL26" i="2" s="1"/>
  <c r="AO26" i="2" s="1"/>
  <c r="EC27" i="1"/>
  <c r="AJ26" i="2" s="1"/>
  <c r="AK26" i="2" s="1"/>
  <c r="EG26" i="1"/>
  <c r="EN26" i="1" s="1"/>
  <c r="EG25" i="1"/>
  <c r="AL24" i="2" s="1"/>
  <c r="AO24" i="2" s="1"/>
  <c r="EC26" i="1"/>
  <c r="ED26" i="1" s="1"/>
  <c r="EC25" i="1"/>
  <c r="AJ24" i="2" s="1"/>
  <c r="AK24" i="2" s="1"/>
  <c r="EG24" i="1"/>
  <c r="EN24" i="1" s="1"/>
  <c r="EC24" i="1"/>
  <c r="ED24" i="1" s="1"/>
  <c r="EG23" i="1"/>
  <c r="EN23" i="1" s="1"/>
  <c r="EC23" i="1"/>
  <c r="ED23" i="1" s="1"/>
  <c r="EC22" i="1"/>
  <c r="AJ21" i="2" s="1"/>
  <c r="AK21" i="2" s="1"/>
  <c r="EG22" i="1"/>
  <c r="AL21" i="2" s="1"/>
  <c r="AO21" i="2" s="1"/>
  <c r="EG21" i="1"/>
  <c r="AL20" i="2" s="1"/>
  <c r="AO20" i="2" s="1"/>
  <c r="EC21" i="1"/>
  <c r="AJ20" i="2" s="1"/>
  <c r="AK20" i="2" s="1"/>
  <c r="EG20" i="1"/>
  <c r="AL19" i="2" s="1"/>
  <c r="AO19" i="2" s="1"/>
  <c r="EC20" i="1"/>
  <c r="AJ19" i="2" s="1"/>
  <c r="AK19" i="2" s="1"/>
  <c r="EC18" i="1"/>
  <c r="ED18" i="1" s="1"/>
  <c r="EC19" i="1"/>
  <c r="AJ18" i="2" s="1"/>
  <c r="AK18" i="2" s="1"/>
  <c r="EG19" i="1"/>
  <c r="AL18" i="2" s="1"/>
  <c r="AO18" i="2" s="1"/>
  <c r="EG18" i="1"/>
  <c r="AL17" i="2" s="1"/>
  <c r="AO17" i="2" s="1"/>
  <c r="EG17" i="1"/>
  <c r="AL16" i="2" s="1"/>
  <c r="AO16" i="2" s="1"/>
  <c r="EC17" i="1"/>
  <c r="ED17" i="1" s="1"/>
  <c r="EG16" i="1"/>
  <c r="AL15" i="2" s="1"/>
  <c r="AO15" i="2" s="1"/>
  <c r="EC16" i="1"/>
  <c r="AJ15" i="2" s="1"/>
  <c r="AK15" i="2" s="1"/>
  <c r="EG15" i="1"/>
  <c r="AL14" i="2" s="1"/>
  <c r="AO14" i="2" s="1"/>
  <c r="EC15" i="1"/>
  <c r="ED15" i="1" s="1"/>
  <c r="EG14" i="1"/>
  <c r="AL13" i="2" s="1"/>
  <c r="AO13" i="2" s="1"/>
  <c r="EC14" i="1"/>
  <c r="AJ13" i="2" s="1"/>
  <c r="AK13" i="2" s="1"/>
  <c r="EG13" i="1"/>
  <c r="AL12" i="2" s="1"/>
  <c r="AO12" i="2" s="1"/>
  <c r="EC13" i="1"/>
  <c r="AJ12" i="2" s="1"/>
  <c r="AK12" i="2" s="1"/>
  <c r="EG12" i="1"/>
  <c r="AL11" i="2" s="1"/>
  <c r="AO11" i="2" s="1"/>
  <c r="EG11" i="1"/>
  <c r="EC11" i="1"/>
  <c r="ED11" i="1" s="1"/>
  <c r="EC12" i="1"/>
  <c r="AJ11" i="2" s="1"/>
  <c r="AK11" i="2" s="1"/>
  <c r="EG10" i="1"/>
  <c r="AL9" i="2" s="1"/>
  <c r="AO9" i="2" s="1"/>
  <c r="EC10" i="1"/>
  <c r="AJ9" i="2" s="1"/>
  <c r="AK9" i="2" s="1"/>
  <c r="EG9" i="1"/>
  <c r="AL8" i="2" s="1"/>
  <c r="AO8" i="2" s="1"/>
  <c r="EC9" i="1"/>
  <c r="ED9" i="1" s="1"/>
  <c r="EG8" i="1"/>
  <c r="AL7" i="2" s="1"/>
  <c r="AO7" i="2" s="1"/>
  <c r="EC8" i="1"/>
  <c r="AJ7" i="2" s="1"/>
  <c r="AK7" i="2" s="1"/>
  <c r="DB18" i="1"/>
  <c r="X17" i="2"/>
  <c r="BQ7" i="2"/>
  <c r="BO7" i="2"/>
  <c r="FB72" i="1"/>
  <c r="FD72" i="1" s="1"/>
  <c r="FJ72" i="1" s="1"/>
  <c r="FL72" i="1" s="1"/>
  <c r="AX34" i="2"/>
  <c r="BB37" i="2"/>
  <c r="FA75" i="1"/>
  <c r="AW37" i="2"/>
  <c r="AY37" i="2" s="1"/>
  <c r="EZ75" i="1"/>
  <c r="FB54" i="1"/>
  <c r="FD54" i="1" s="1"/>
  <c r="FJ54" i="1" s="1"/>
  <c r="FL54" i="1" s="1"/>
  <c r="FB48" i="1"/>
  <c r="FD48" i="1" s="1"/>
  <c r="FK48" i="1" s="1"/>
  <c r="FM48" i="1" s="1"/>
  <c r="BB10" i="2" s="1"/>
  <c r="BD10" i="2" s="1"/>
  <c r="FB69" i="1"/>
  <c r="FD69" i="1" s="1"/>
  <c r="FJ69" i="1" s="1"/>
  <c r="FL69" i="1" s="1"/>
  <c r="FB57" i="1"/>
  <c r="FD57" i="1" s="1"/>
  <c r="FK57" i="1" s="1"/>
  <c r="FM57" i="1" s="1"/>
  <c r="BB19" i="2" s="1"/>
  <c r="BD19" i="2" s="1"/>
  <c r="FB64" i="1"/>
  <c r="FD64" i="1" s="1"/>
  <c r="FJ64" i="1" s="1"/>
  <c r="FL64" i="1" s="1"/>
  <c r="FK55" i="1"/>
  <c r="FM55" i="1" s="1"/>
  <c r="BB17" i="2" s="1"/>
  <c r="FJ55" i="1"/>
  <c r="FL55" i="1" s="1"/>
  <c r="FJ46" i="1"/>
  <c r="FL46" i="1" s="1"/>
  <c r="FK46" i="1"/>
  <c r="FM46" i="1" s="1"/>
  <c r="BB8" i="2" s="1"/>
  <c r="BD8" i="2" s="1"/>
  <c r="FB73" i="1"/>
  <c r="FD73" i="1" s="1"/>
  <c r="FJ66" i="1"/>
  <c r="FL66" i="1" s="1"/>
  <c r="FK66" i="1"/>
  <c r="FM66" i="1" s="1"/>
  <c r="BB28" i="2" s="1"/>
  <c r="BD28" i="2" s="1"/>
  <c r="FB56" i="1"/>
  <c r="FD56" i="1" s="1"/>
  <c r="FB59" i="1"/>
  <c r="FD59" i="1" s="1"/>
  <c r="FB63" i="1"/>
  <c r="FD63" i="1" s="1"/>
  <c r="FB71" i="1"/>
  <c r="FD71" i="1" s="1"/>
  <c r="FB50" i="1"/>
  <c r="FD50" i="1" s="1"/>
  <c r="FB53" i="1"/>
  <c r="FD53" i="1" s="1"/>
  <c r="FJ45" i="1"/>
  <c r="FL45" i="1" s="1"/>
  <c r="FK45" i="1"/>
  <c r="FM45" i="1" s="1"/>
  <c r="BB7" i="2" s="1"/>
  <c r="BD7" i="2" s="1"/>
  <c r="FB47" i="1"/>
  <c r="FD47" i="1" s="1"/>
  <c r="FB68" i="1"/>
  <c r="FD68" i="1" s="1"/>
  <c r="FB65" i="1"/>
  <c r="FD65" i="1" s="1"/>
  <c r="AW36" i="2"/>
  <c r="EZ74" i="1"/>
  <c r="BB36" i="2"/>
  <c r="BD36" i="2" s="1"/>
  <c r="FA74" i="1"/>
  <c r="AN11" i="1"/>
  <c r="J10" i="2" s="1"/>
  <c r="BQ8" i="2"/>
  <c r="G35" i="1"/>
  <c r="B34" i="2" s="1"/>
  <c r="AS38" i="1"/>
  <c r="A23" i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F19" i="1"/>
  <c r="CX35" i="1"/>
  <c r="CX27" i="1"/>
  <c r="Y30" i="2"/>
  <c r="BE30" i="2" s="1"/>
  <c r="AJ23" i="2"/>
  <c r="AK23" i="2" s="1"/>
  <c r="AF37" i="1"/>
  <c r="AJ34" i="1"/>
  <c r="AY23" i="2"/>
  <c r="AJ28" i="1"/>
  <c r="AS33" i="1"/>
  <c r="DB33" i="1"/>
  <c r="CB33" i="1"/>
  <c r="DB29" i="1"/>
  <c r="H83" i="1"/>
  <c r="DB25" i="1"/>
  <c r="AJ26" i="1"/>
  <c r="AK29" i="2"/>
  <c r="G30" i="1"/>
  <c r="B29" i="2" s="1"/>
  <c r="CK33" i="1"/>
  <c r="S32" i="2" s="1"/>
  <c r="CT32" i="1"/>
  <c r="AC26" i="2"/>
  <c r="AC30" i="2"/>
  <c r="CX31" i="1"/>
  <c r="CX32" i="1"/>
  <c r="BD23" i="2"/>
  <c r="AS22" i="2"/>
  <c r="BL22" i="2" s="1"/>
  <c r="AC22" i="2"/>
  <c r="AC20" i="2"/>
  <c r="AC19" i="2"/>
  <c r="AC18" i="2"/>
  <c r="AJ18" i="1"/>
  <c r="AC16" i="2"/>
  <c r="AC15" i="2"/>
  <c r="CX15" i="1"/>
  <c r="AC14" i="2"/>
  <c r="AC13" i="2"/>
  <c r="AF14" i="1"/>
  <c r="CT14" i="1"/>
  <c r="U13" i="2"/>
  <c r="CT17" i="1"/>
  <c r="U16" i="2"/>
  <c r="AS18" i="1"/>
  <c r="K17" i="2"/>
  <c r="GG18" i="1"/>
  <c r="AR17" i="2" s="1"/>
  <c r="AS17" i="2" s="1"/>
  <c r="BC17" i="2"/>
  <c r="AJ19" i="1"/>
  <c r="I18" i="2"/>
  <c r="AF20" i="1"/>
  <c r="H19" i="2"/>
  <c r="CT20" i="1"/>
  <c r="U19" i="2"/>
  <c r="CT21" i="1"/>
  <c r="U20" i="2"/>
  <c r="AF22" i="1"/>
  <c r="H21" i="2"/>
  <c r="CT22" i="1"/>
  <c r="U21" i="2"/>
  <c r="H22" i="2"/>
  <c r="O23" i="2"/>
  <c r="T23" i="2"/>
  <c r="AJ25" i="1"/>
  <c r="I24" i="2"/>
  <c r="AN25" i="1"/>
  <c r="BD25" i="1" s="1"/>
  <c r="AC24" i="2"/>
  <c r="AS26" i="1"/>
  <c r="K25" i="2"/>
  <c r="DB26" i="1"/>
  <c r="X25" i="2"/>
  <c r="AN25" i="2"/>
  <c r="GG26" i="1"/>
  <c r="AF27" i="1"/>
  <c r="H26" i="2"/>
  <c r="CP27" i="1"/>
  <c r="T26" i="2"/>
  <c r="DB27" i="1"/>
  <c r="X26" i="2"/>
  <c r="Y26" i="2" s="1"/>
  <c r="BE26" i="2" s="1"/>
  <c r="GG27" i="1"/>
  <c r="AX26" i="2"/>
  <c r="AC27" i="2"/>
  <c r="DB28" i="1"/>
  <c r="X27" i="2"/>
  <c r="AJ29" i="1"/>
  <c r="I28" i="2"/>
  <c r="AC28" i="2"/>
  <c r="AS30" i="1"/>
  <c r="K29" i="2"/>
  <c r="CX30" i="1"/>
  <c r="W29" i="2"/>
  <c r="AF31" i="1"/>
  <c r="H30" i="2"/>
  <c r="G32" i="1"/>
  <c r="B31" i="2" s="1"/>
  <c r="AF33" i="1"/>
  <c r="H32" i="2"/>
  <c r="CP33" i="1"/>
  <c r="T32" i="2"/>
  <c r="GG33" i="1"/>
  <c r="AX32" i="2"/>
  <c r="AC33" i="2"/>
  <c r="CX34" i="1"/>
  <c r="W33" i="2"/>
  <c r="AS35" i="1"/>
  <c r="K34" i="2"/>
  <c r="AS36" i="1"/>
  <c r="K35" i="2"/>
  <c r="CX36" i="1"/>
  <c r="W35" i="2"/>
  <c r="AJ37" i="1"/>
  <c r="I36" i="2"/>
  <c r="AC36" i="2"/>
  <c r="CX37" i="1"/>
  <c r="W36" i="2"/>
  <c r="Y36" i="2" s="1"/>
  <c r="BE36" i="2" s="1"/>
  <c r="AF38" i="1"/>
  <c r="H37" i="2"/>
  <c r="CK38" i="1"/>
  <c r="DG38" i="1" s="1"/>
  <c r="O37" i="2"/>
  <c r="CP38" i="1"/>
  <c r="T37" i="2"/>
  <c r="DB38" i="1"/>
  <c r="X37" i="2"/>
  <c r="BR38" i="2"/>
  <c r="C61" i="2" s="1"/>
  <c r="T13" i="2"/>
  <c r="T14" i="2"/>
  <c r="H17" i="2"/>
  <c r="U18" i="2"/>
  <c r="O26" i="2"/>
  <c r="AL10" i="2"/>
  <c r="AO10" i="2" s="1"/>
  <c r="D78" i="1"/>
  <c r="I12" i="2"/>
  <c r="I14" i="2"/>
  <c r="W15" i="2"/>
  <c r="Y15" i="2" s="1"/>
  <c r="BE15" i="2" s="1"/>
  <c r="O17" i="2"/>
  <c r="AF15" i="1"/>
  <c r="H14" i="2"/>
  <c r="CK11" i="1"/>
  <c r="CL11" i="1" s="1"/>
  <c r="O10" i="2"/>
  <c r="CX14" i="1"/>
  <c r="W13" i="2"/>
  <c r="CX17" i="1"/>
  <c r="W16" i="2"/>
  <c r="CL18" i="1"/>
  <c r="S17" i="2"/>
  <c r="CX19" i="1"/>
  <c r="W18" i="2"/>
  <c r="CX20" i="1"/>
  <c r="W19" i="2"/>
  <c r="AS21" i="1"/>
  <c r="CX21" i="1"/>
  <c r="W20" i="2"/>
  <c r="AJ22" i="1"/>
  <c r="I21" i="2"/>
  <c r="AN22" i="1"/>
  <c r="J21" i="2" s="1"/>
  <c r="AC21" i="2"/>
  <c r="CX22" i="1"/>
  <c r="W21" i="2"/>
  <c r="AY22" i="2"/>
  <c r="I23" i="2"/>
  <c r="AF26" i="1"/>
  <c r="H25" i="2"/>
  <c r="CK26" i="1"/>
  <c r="O25" i="2"/>
  <c r="CP28" i="1"/>
  <c r="T27" i="2"/>
  <c r="AS29" i="1"/>
  <c r="K28" i="2"/>
  <c r="CP29" i="1"/>
  <c r="T28" i="2"/>
  <c r="CK30" i="1"/>
  <c r="DG30" i="1" s="1"/>
  <c r="O29" i="2"/>
  <c r="DB30" i="1"/>
  <c r="X29" i="2"/>
  <c r="AJ31" i="1"/>
  <c r="I30" i="2"/>
  <c r="CP32" i="1"/>
  <c r="T31" i="2"/>
  <c r="CT33" i="1"/>
  <c r="U32" i="2"/>
  <c r="DB34" i="1"/>
  <c r="X33" i="2"/>
  <c r="CP35" i="1"/>
  <c r="T34" i="2"/>
  <c r="DB36" i="1"/>
  <c r="X35" i="2"/>
  <c r="AS37" i="1"/>
  <c r="K36" i="2"/>
  <c r="AJ38" i="1"/>
  <c r="I37" i="2"/>
  <c r="CP13" i="1"/>
  <c r="T12" i="2"/>
  <c r="AS14" i="1"/>
  <c r="K13" i="2"/>
  <c r="DB14" i="1"/>
  <c r="X13" i="2"/>
  <c r="GG14" i="1"/>
  <c r="AR13" i="2" s="1"/>
  <c r="AS13" i="2" s="1"/>
  <c r="BL13" i="2" s="1"/>
  <c r="BC13" i="2"/>
  <c r="AS15" i="1"/>
  <c r="K14" i="2"/>
  <c r="G16" i="1"/>
  <c r="B15" i="2" s="1"/>
  <c r="CK16" i="1"/>
  <c r="DG16" i="1" s="1"/>
  <c r="O15" i="2"/>
  <c r="CP16" i="1"/>
  <c r="T15" i="2"/>
  <c r="AS17" i="1"/>
  <c r="K16" i="2"/>
  <c r="DB17" i="1"/>
  <c r="X16" i="2"/>
  <c r="CT18" i="1"/>
  <c r="U17" i="2"/>
  <c r="DB19" i="1"/>
  <c r="AS20" i="1"/>
  <c r="K19" i="2"/>
  <c r="DB20" i="1"/>
  <c r="X19" i="2"/>
  <c r="GG20" i="1"/>
  <c r="AR19" i="2" s="1"/>
  <c r="AS19" i="2" s="1"/>
  <c r="AX19" i="2"/>
  <c r="AF21" i="1"/>
  <c r="H20" i="2"/>
  <c r="CB21" i="1"/>
  <c r="O20" i="2"/>
  <c r="CK21" i="1"/>
  <c r="DB21" i="1"/>
  <c r="X20" i="2"/>
  <c r="GG21" i="1"/>
  <c r="AR20" i="2" s="1"/>
  <c r="AS20" i="2" s="1"/>
  <c r="BL20" i="2" s="1"/>
  <c r="BC20" i="2"/>
  <c r="AS22" i="1"/>
  <c r="K21" i="2"/>
  <c r="DB22" i="1"/>
  <c r="X21" i="2"/>
  <c r="W22" i="2"/>
  <c r="Y22" i="2" s="1"/>
  <c r="BE22" i="2" s="1"/>
  <c r="BD22" i="2"/>
  <c r="AC23" i="2"/>
  <c r="W23" i="2"/>
  <c r="CK25" i="1"/>
  <c r="O24" i="2"/>
  <c r="GG25" i="1"/>
  <c r="AX24" i="2"/>
  <c r="CT26" i="1"/>
  <c r="U25" i="2"/>
  <c r="AS27" i="1"/>
  <c r="K26" i="2"/>
  <c r="AF28" i="1"/>
  <c r="H27" i="2"/>
  <c r="CT28" i="1"/>
  <c r="U27" i="2"/>
  <c r="CT29" i="1"/>
  <c r="U28" i="2"/>
  <c r="GG29" i="1"/>
  <c r="AX28" i="2"/>
  <c r="AF30" i="1"/>
  <c r="H29" i="2"/>
  <c r="CB30" i="1"/>
  <c r="CP30" i="1"/>
  <c r="T29" i="2"/>
  <c r="G31" i="1"/>
  <c r="B30" i="2" s="1"/>
  <c r="AS31" i="1"/>
  <c r="K30" i="2"/>
  <c r="CT31" i="1"/>
  <c r="DB31" i="1"/>
  <c r="AJ32" i="1"/>
  <c r="I31" i="2"/>
  <c r="AC31" i="2"/>
  <c r="DB32" i="1"/>
  <c r="X31" i="2"/>
  <c r="Y31" i="2" s="1"/>
  <c r="BE31" i="2" s="1"/>
  <c r="G34" i="1"/>
  <c r="B33" i="2" s="1"/>
  <c r="AJ33" i="1"/>
  <c r="CX33" i="1"/>
  <c r="W32" i="2"/>
  <c r="Y32" i="2" s="1"/>
  <c r="BE32" i="2" s="1"/>
  <c r="AF34" i="1"/>
  <c r="H33" i="2"/>
  <c r="CB34" i="1"/>
  <c r="O33" i="2"/>
  <c r="CP34" i="1"/>
  <c r="T33" i="2"/>
  <c r="GG34" i="1"/>
  <c r="AF35" i="1"/>
  <c r="H34" i="2"/>
  <c r="CT35" i="1"/>
  <c r="U34" i="2"/>
  <c r="AF36" i="1"/>
  <c r="CK36" i="1"/>
  <c r="DG36" i="1" s="1"/>
  <c r="O35" i="2"/>
  <c r="CP36" i="1"/>
  <c r="T35" i="2"/>
  <c r="CB37" i="1"/>
  <c r="O36" i="2"/>
  <c r="CP37" i="1"/>
  <c r="T36" i="2"/>
  <c r="DB37" i="1"/>
  <c r="AC37" i="2"/>
  <c r="CT38" i="1"/>
  <c r="K10" i="2"/>
  <c r="T19" i="2"/>
  <c r="H23" i="2"/>
  <c r="U24" i="2"/>
  <c r="DB15" i="1"/>
  <c r="X14" i="2"/>
  <c r="Y14" i="2" s="1"/>
  <c r="BE14" i="2" s="1"/>
  <c r="AJ16" i="1"/>
  <c r="I15" i="2"/>
  <c r="AJ14" i="1"/>
  <c r="I13" i="2"/>
  <c r="CT15" i="1"/>
  <c r="AJ17" i="1"/>
  <c r="I16" i="2"/>
  <c r="CP18" i="1"/>
  <c r="T17" i="2"/>
  <c r="AS19" i="1"/>
  <c r="K18" i="2"/>
  <c r="AJ20" i="1"/>
  <c r="I19" i="2"/>
  <c r="U23" i="2"/>
  <c r="AS25" i="1"/>
  <c r="K24" i="2"/>
  <c r="CX25" i="1"/>
  <c r="W24" i="2"/>
  <c r="Y24" i="2" s="1"/>
  <c r="BE24" i="2" s="1"/>
  <c r="AJ27" i="1"/>
  <c r="I26" i="2"/>
  <c r="CT27" i="1"/>
  <c r="U26" i="2"/>
  <c r="AS28" i="1"/>
  <c r="K27" i="2"/>
  <c r="FD30" i="1"/>
  <c r="AT29" i="2"/>
  <c r="AF32" i="1"/>
  <c r="H31" i="2"/>
  <c r="AS34" i="1"/>
  <c r="K33" i="2"/>
  <c r="CK35" i="1"/>
  <c r="DG35" i="1" s="1"/>
  <c r="O34" i="2"/>
  <c r="DB35" i="1"/>
  <c r="X34" i="2"/>
  <c r="Y34" i="2" s="1"/>
  <c r="BE34" i="2" s="1"/>
  <c r="CB14" i="1"/>
  <c r="O13" i="2"/>
  <c r="CL15" i="1"/>
  <c r="S14" i="2"/>
  <c r="AF16" i="1"/>
  <c r="H15" i="2"/>
  <c r="CT16" i="1"/>
  <c r="U15" i="2"/>
  <c r="CB17" i="1"/>
  <c r="O16" i="2"/>
  <c r="CP17" i="1"/>
  <c r="T16" i="2"/>
  <c r="GG17" i="1"/>
  <c r="AC17" i="2"/>
  <c r="CX18" i="1"/>
  <c r="W17" i="2"/>
  <c r="CK19" i="1"/>
  <c r="DG19" i="1" s="1"/>
  <c r="O18" i="2"/>
  <c r="CP19" i="1"/>
  <c r="T18" i="2"/>
  <c r="X20" i="1"/>
  <c r="G19" i="2" s="1"/>
  <c r="CK20" i="1"/>
  <c r="DG20" i="1" s="1"/>
  <c r="O19" i="2"/>
  <c r="AJ21" i="1"/>
  <c r="I20" i="2"/>
  <c r="CP21" i="1"/>
  <c r="T20" i="2"/>
  <c r="FU21" i="1"/>
  <c r="AZ20" i="2"/>
  <c r="AZ38" i="2" s="1"/>
  <c r="CB22" i="1"/>
  <c r="O21" i="2"/>
  <c r="CP22" i="1"/>
  <c r="T21" i="2"/>
  <c r="B22" i="2"/>
  <c r="O22" i="2"/>
  <c r="T22" i="2"/>
  <c r="AS23" i="2"/>
  <c r="BL23" i="2" s="1"/>
  <c r="AF25" i="1"/>
  <c r="H24" i="2"/>
  <c r="CP25" i="1"/>
  <c r="T24" i="2"/>
  <c r="AC25" i="2"/>
  <c r="CX26" i="1"/>
  <c r="W25" i="2"/>
  <c r="CX28" i="1"/>
  <c r="W27" i="2"/>
  <c r="AF29" i="1"/>
  <c r="H28" i="2"/>
  <c r="CX29" i="1"/>
  <c r="W28" i="2"/>
  <c r="Y28" i="2" s="1"/>
  <c r="BE28" i="2" s="1"/>
  <c r="AJ30" i="1"/>
  <c r="I29" i="2"/>
  <c r="AC29" i="2"/>
  <c r="CT30" i="1"/>
  <c r="U29" i="2"/>
  <c r="CB31" i="1"/>
  <c r="O30" i="2"/>
  <c r="CK31" i="1"/>
  <c r="DG31" i="1" s="1"/>
  <c r="AS32" i="1"/>
  <c r="K31" i="2"/>
  <c r="AC32" i="2"/>
  <c r="CT34" i="1"/>
  <c r="U33" i="2"/>
  <c r="AJ35" i="1"/>
  <c r="I34" i="2"/>
  <c r="AC34" i="2"/>
  <c r="G36" i="1"/>
  <c r="B35" i="2" s="1"/>
  <c r="AJ36" i="1"/>
  <c r="I35" i="2"/>
  <c r="AC35" i="2"/>
  <c r="CT36" i="1"/>
  <c r="U35" i="2"/>
  <c r="AN37" i="1"/>
  <c r="J36" i="2" s="1"/>
  <c r="Z36" i="2"/>
  <c r="Z38" i="2" s="1"/>
  <c r="C55" i="2" s="1"/>
  <c r="CT37" i="1"/>
  <c r="U36" i="2"/>
  <c r="CX38" i="1"/>
  <c r="W37" i="2"/>
  <c r="GG38" i="1"/>
  <c r="AR37" i="2" s="1"/>
  <c r="AS37" i="2" s="1"/>
  <c r="BC37" i="2"/>
  <c r="O14" i="2"/>
  <c r="K15" i="2"/>
  <c r="K22" i="2"/>
  <c r="X23" i="2"/>
  <c r="X12" i="2"/>
  <c r="W12" i="2"/>
  <c r="U12" i="2"/>
  <c r="O12" i="2"/>
  <c r="S12" i="2"/>
  <c r="AN13" i="1"/>
  <c r="J12" i="2" s="1"/>
  <c r="AC12" i="2"/>
  <c r="AC11" i="2"/>
  <c r="K12" i="2"/>
  <c r="H12" i="2"/>
  <c r="GG12" i="1"/>
  <c r="AR11" i="2" s="1"/>
  <c r="AS11" i="2" s="1"/>
  <c r="BJ11" i="2" s="1"/>
  <c r="X11" i="2"/>
  <c r="W11" i="2"/>
  <c r="U11" i="2"/>
  <c r="T11" i="2"/>
  <c r="O11" i="2"/>
  <c r="K11" i="2"/>
  <c r="H11" i="2"/>
  <c r="I9" i="2"/>
  <c r="GG11" i="1"/>
  <c r="AR10" i="2" s="1"/>
  <c r="AS10" i="2" s="1"/>
  <c r="BJ10" i="2" s="1"/>
  <c r="AX10" i="2"/>
  <c r="X10" i="2"/>
  <c r="W10" i="2"/>
  <c r="U10" i="2"/>
  <c r="T10" i="2"/>
  <c r="O9" i="2"/>
  <c r="AC10" i="2"/>
  <c r="I10" i="2"/>
  <c r="H10" i="2"/>
  <c r="G78" i="1"/>
  <c r="AD38" i="2"/>
  <c r="C57" i="2" s="1"/>
  <c r="FT10" i="1"/>
  <c r="FM10" i="1" s="1"/>
  <c r="AA38" i="2"/>
  <c r="C53" i="2" s="1"/>
  <c r="X9" i="2"/>
  <c r="CX9" i="1"/>
  <c r="W9" i="2"/>
  <c r="U9" i="2"/>
  <c r="T9" i="2"/>
  <c r="CK10" i="1"/>
  <c r="S9" i="2" s="1"/>
  <c r="AC9" i="2"/>
  <c r="AF10" i="1"/>
  <c r="G10" i="1"/>
  <c r="B9" i="2" s="1"/>
  <c r="I7" i="2"/>
  <c r="AE38" i="2"/>
  <c r="C58" i="2" s="1"/>
  <c r="GG9" i="1"/>
  <c r="AR8" i="2" s="1"/>
  <c r="AS8" i="2" s="1"/>
  <c r="BI8" i="2" s="1"/>
  <c r="GG8" i="1"/>
  <c r="AR7" i="2" s="1"/>
  <c r="AS7" i="2" s="1"/>
  <c r="BI7" i="2" s="1"/>
  <c r="AX8" i="2"/>
  <c r="AQ38" i="2"/>
  <c r="BA38" i="2"/>
  <c r="AU38" i="2"/>
  <c r="AM38" i="2"/>
  <c r="BS7" i="2"/>
  <c r="BS38" i="2" s="1"/>
  <c r="C62" i="2" s="1"/>
  <c r="X7" i="2"/>
  <c r="X8" i="2"/>
  <c r="Y8" i="2" s="1"/>
  <c r="BE8" i="2" s="1"/>
  <c r="W7" i="2"/>
  <c r="U7" i="2"/>
  <c r="U8" i="2"/>
  <c r="T8" i="2"/>
  <c r="R38" i="2"/>
  <c r="Q38" i="2"/>
  <c r="O8" i="2"/>
  <c r="S8" i="2"/>
  <c r="AC8" i="2"/>
  <c r="AC7" i="2"/>
  <c r="M38" i="2"/>
  <c r="I8" i="2"/>
  <c r="AF8" i="1"/>
  <c r="H8" i="2"/>
  <c r="F38" i="2"/>
  <c r="E38" i="2"/>
  <c r="D38" i="2"/>
  <c r="C38" i="2"/>
  <c r="G11" i="1"/>
  <c r="B10" i="2" s="1"/>
  <c r="B23" i="2"/>
  <c r="G28" i="1"/>
  <c r="B27" i="2" s="1"/>
  <c r="G21" i="1"/>
  <c r="B20" i="2" s="1"/>
  <c r="G22" i="1"/>
  <c r="B21" i="2" s="1"/>
  <c r="G19" i="1"/>
  <c r="B18" i="2" s="1"/>
  <c r="G20" i="1"/>
  <c r="B19" i="2" s="1"/>
  <c r="G9" i="1"/>
  <c r="B8" i="2" s="1"/>
  <c r="G17" i="1"/>
  <c r="B16" i="2" s="1"/>
  <c r="G18" i="1"/>
  <c r="B17" i="2" s="1"/>
  <c r="G15" i="1"/>
  <c r="B14" i="2" s="1"/>
  <c r="G37" i="1"/>
  <c r="B36" i="2" s="1"/>
  <c r="G38" i="1"/>
  <c r="M44" i="1" s="1"/>
  <c r="G14" i="1"/>
  <c r="B13" i="2" s="1"/>
  <c r="G12" i="1"/>
  <c r="B11" i="2" s="1"/>
  <c r="G29" i="1"/>
  <c r="B28" i="2" s="1"/>
  <c r="L38" i="2"/>
  <c r="P38" i="2"/>
  <c r="AI38" i="2"/>
  <c r="GG19" i="1"/>
  <c r="AR18" i="2" s="1"/>
  <c r="AS18" i="2" s="1"/>
  <c r="GG16" i="1"/>
  <c r="AR15" i="2" s="1"/>
  <c r="AS15" i="2" s="1"/>
  <c r="FU10" i="1"/>
  <c r="GG13" i="1"/>
  <c r="GG30" i="1"/>
  <c r="GG37" i="1"/>
  <c r="GG28" i="1"/>
  <c r="GG10" i="1"/>
  <c r="AR9" i="2" s="1"/>
  <c r="AS9" i="2" s="1"/>
  <c r="BI9" i="2" s="1"/>
  <c r="GG22" i="1"/>
  <c r="GG31" i="1"/>
  <c r="AR30" i="2" s="1"/>
  <c r="AS30" i="2" s="1"/>
  <c r="GG15" i="1"/>
  <c r="AR14" i="2" s="1"/>
  <c r="AS14" i="2" s="1"/>
  <c r="FU19" i="1"/>
  <c r="FU8" i="1"/>
  <c r="FU34" i="1"/>
  <c r="FU38" i="1"/>
  <c r="FU12" i="1"/>
  <c r="FU37" i="1"/>
  <c r="FT15" i="1"/>
  <c r="FM15" i="1" s="1"/>
  <c r="FA29" i="1"/>
  <c r="FA30" i="1"/>
  <c r="FA9" i="1"/>
  <c r="FA13" i="1"/>
  <c r="FD22" i="1"/>
  <c r="FD28" i="1"/>
  <c r="FD27" i="1"/>
  <c r="FA38" i="1"/>
  <c r="ET39" i="1"/>
  <c r="FD18" i="1"/>
  <c r="FA19" i="1"/>
  <c r="FA17" i="1"/>
  <c r="FD12" i="1"/>
  <c r="FD14" i="1"/>
  <c r="FA34" i="1"/>
  <c r="FD37" i="1"/>
  <c r="FD33" i="1"/>
  <c r="FD38" i="1"/>
  <c r="FD32" i="1"/>
  <c r="FD11" i="1"/>
  <c r="FA33" i="1"/>
  <c r="ED30" i="1"/>
  <c r="FT38" i="1"/>
  <c r="FM38" i="1" s="1"/>
  <c r="DR39" i="1"/>
  <c r="CF39" i="1"/>
  <c r="CB26" i="1"/>
  <c r="CK14" i="1"/>
  <c r="CB19" i="1"/>
  <c r="CK34" i="1"/>
  <c r="DG34" i="1" s="1"/>
  <c r="CK12" i="1"/>
  <c r="CB20" i="1"/>
  <c r="CK37" i="1"/>
  <c r="CK17" i="1"/>
  <c r="AN30" i="1"/>
  <c r="AN21" i="1"/>
  <c r="J20" i="2" s="1"/>
  <c r="AN28" i="1"/>
  <c r="J27" i="2" s="1"/>
  <c r="AN19" i="1"/>
  <c r="J18" i="2" s="1"/>
  <c r="AN33" i="1"/>
  <c r="J32" i="2" s="1"/>
  <c r="AN16" i="1"/>
  <c r="J15" i="2" s="1"/>
  <c r="AN31" i="1"/>
  <c r="AO31" i="1" s="1"/>
  <c r="BP39" i="1"/>
  <c r="AN10" i="1"/>
  <c r="J9" i="2" s="1"/>
  <c r="AN27" i="1"/>
  <c r="J26" i="2" s="1"/>
  <c r="AN18" i="1"/>
  <c r="AN38" i="1"/>
  <c r="AN36" i="1"/>
  <c r="AN9" i="1"/>
  <c r="J8" i="2" s="1"/>
  <c r="AN14" i="1"/>
  <c r="J13" i="2" s="1"/>
  <c r="AN34" i="1"/>
  <c r="J33" i="2" s="1"/>
  <c r="AN12" i="1"/>
  <c r="BD12" i="1" s="1"/>
  <c r="AN15" i="1"/>
  <c r="AN35" i="1"/>
  <c r="BN39" i="1"/>
  <c r="AN26" i="1"/>
  <c r="AO26" i="1" s="1"/>
  <c r="AN32" i="1"/>
  <c r="AN29" i="1"/>
  <c r="BG39" i="1"/>
  <c r="BC39" i="1"/>
  <c r="V39" i="1"/>
  <c r="X27" i="1"/>
  <c r="X21" i="1"/>
  <c r="G20" i="2" s="1"/>
  <c r="X15" i="1"/>
  <c r="G14" i="2" s="1"/>
  <c r="X10" i="1"/>
  <c r="G9" i="2" s="1"/>
  <c r="X17" i="1"/>
  <c r="G16" i="2" s="1"/>
  <c r="X34" i="1"/>
  <c r="X38" i="1"/>
  <c r="X11" i="1"/>
  <c r="G22" i="2"/>
  <c r="X31" i="1"/>
  <c r="X28" i="1"/>
  <c r="X26" i="1"/>
  <c r="T39" i="1"/>
  <c r="X9" i="1"/>
  <c r="X16" i="1"/>
  <c r="R17" i="1"/>
  <c r="X22" i="1"/>
  <c r="X36" i="1"/>
  <c r="X14" i="1"/>
  <c r="R26" i="1"/>
  <c r="X32" i="1"/>
  <c r="X12" i="1"/>
  <c r="R20" i="1"/>
  <c r="X33" i="1"/>
  <c r="R15" i="1"/>
  <c r="X29" i="1"/>
  <c r="G28" i="2" s="1"/>
  <c r="G25" i="1"/>
  <c r="B24" i="2" s="1"/>
  <c r="G13" i="1"/>
  <c r="B12" i="2" s="1"/>
  <c r="G26" i="1"/>
  <c r="B25" i="2" s="1"/>
  <c r="FU31" i="1"/>
  <c r="FU17" i="1"/>
  <c r="FT34" i="1"/>
  <c r="FM34" i="1" s="1"/>
  <c r="FU15" i="1"/>
  <c r="FT17" i="1"/>
  <c r="FM17" i="1" s="1"/>
  <c r="FU26" i="1"/>
  <c r="FU28" i="1"/>
  <c r="FA16" i="1"/>
  <c r="FU22" i="1"/>
  <c r="FT26" i="1"/>
  <c r="FM26" i="1" s="1"/>
  <c r="FU33" i="1"/>
  <c r="FT37" i="1"/>
  <c r="FM37" i="1" s="1"/>
  <c r="FA31" i="1"/>
  <c r="CO39" i="1"/>
  <c r="FU11" i="1"/>
  <c r="FD13" i="1"/>
  <c r="FU16" i="1"/>
  <c r="FD17" i="1"/>
  <c r="FD25" i="1"/>
  <c r="FU30" i="1"/>
  <c r="FT31" i="1"/>
  <c r="FM31" i="1" s="1"/>
  <c r="FD34" i="1"/>
  <c r="FP39" i="1"/>
  <c r="FD10" i="1"/>
  <c r="FT12" i="1"/>
  <c r="FM12" i="1" s="1"/>
  <c r="FA14" i="1"/>
  <c r="FA18" i="1"/>
  <c r="FU29" i="1"/>
  <c r="FT33" i="1"/>
  <c r="FM33" i="1" s="1"/>
  <c r="FT36" i="1"/>
  <c r="FM36" i="1" s="1"/>
  <c r="FD9" i="1"/>
  <c r="AJ12" i="1"/>
  <c r="FD15" i="1"/>
  <c r="FT19" i="1"/>
  <c r="FM19" i="1" s="1"/>
  <c r="FU25" i="1"/>
  <c r="FT29" i="1"/>
  <c r="FM29" i="1" s="1"/>
  <c r="FT9" i="1"/>
  <c r="FM9" i="1" s="1"/>
  <c r="EN11" i="1"/>
  <c r="FU14" i="1"/>
  <c r="FA28" i="1"/>
  <c r="AI39" i="1"/>
  <c r="FA15" i="1"/>
  <c r="FD29" i="1"/>
  <c r="FA37" i="1"/>
  <c r="FA11" i="1"/>
  <c r="FU13" i="1"/>
  <c r="FD16" i="1"/>
  <c r="FT18" i="1"/>
  <c r="FM18" i="1" s="1"/>
  <c r="FT21" i="1"/>
  <c r="FM21" i="1" s="1"/>
  <c r="FA27" i="1"/>
  <c r="EJ39" i="1"/>
  <c r="FD20" i="1"/>
  <c r="FT28" i="1"/>
  <c r="FM28" i="1" s="1"/>
  <c r="FD31" i="1"/>
  <c r="FA32" i="1"/>
  <c r="FA8" i="1"/>
  <c r="FA12" i="1"/>
  <c r="BP38" i="2"/>
  <c r="AH38" i="2"/>
  <c r="AP38" i="2"/>
  <c r="DG9" i="1"/>
  <c r="DG15" i="1"/>
  <c r="AR9" i="1"/>
  <c r="AR10" i="1"/>
  <c r="DT39" i="1"/>
  <c r="R10" i="1"/>
  <c r="CB11" i="1"/>
  <c r="X13" i="1"/>
  <c r="CB16" i="1"/>
  <c r="DB16" i="1"/>
  <c r="AN17" i="1"/>
  <c r="J16" i="2" s="1"/>
  <c r="FU18" i="1"/>
  <c r="FD19" i="1"/>
  <c r="FA20" i="1"/>
  <c r="DF21" i="1"/>
  <c r="DF25" i="1"/>
  <c r="FU27" i="1"/>
  <c r="FT27" i="1"/>
  <c r="FM27" i="1" s="1"/>
  <c r="EZ39" i="1"/>
  <c r="CB9" i="1"/>
  <c r="X8" i="1"/>
  <c r="CS39" i="1"/>
  <c r="DW39" i="1"/>
  <c r="DF14" i="1"/>
  <c r="FD21" i="1"/>
  <c r="FA21" i="1"/>
  <c r="FA26" i="1"/>
  <c r="CK32" i="1"/>
  <c r="CB32" i="1"/>
  <c r="FC35" i="1"/>
  <c r="FC36" i="1"/>
  <c r="BR39" i="1"/>
  <c r="CP8" i="1"/>
  <c r="FA10" i="1"/>
  <c r="FT14" i="1"/>
  <c r="FM14" i="1" s="1"/>
  <c r="FT16" i="1"/>
  <c r="FM16" i="1" s="1"/>
  <c r="AN20" i="1"/>
  <c r="J19" i="2" s="1"/>
  <c r="FU20" i="1"/>
  <c r="FT22" i="1"/>
  <c r="FM22" i="1" s="1"/>
  <c r="AR8" i="1"/>
  <c r="K7" i="2" s="1"/>
  <c r="BW39" i="1"/>
  <c r="DZ39" i="1"/>
  <c r="BX8" i="1"/>
  <c r="BX39" i="1" s="1"/>
  <c r="CW39" i="1"/>
  <c r="FD8" i="1"/>
  <c r="CB13" i="1"/>
  <c r="FU32" i="1"/>
  <c r="FT32" i="1"/>
  <c r="FM32" i="1" s="1"/>
  <c r="AZ39" i="1"/>
  <c r="FT11" i="1"/>
  <c r="FM11" i="1" s="1"/>
  <c r="FJ39" i="1"/>
  <c r="R9" i="1"/>
  <c r="FU9" i="1"/>
  <c r="CB15" i="1"/>
  <c r="X18" i="1"/>
  <c r="CB18" i="1"/>
  <c r="DG18" i="1"/>
  <c r="CP26" i="1"/>
  <c r="GM35" i="1"/>
  <c r="BC34" i="2" s="1"/>
  <c r="GM36" i="1"/>
  <c r="BC35" i="2" s="1"/>
  <c r="FG39" i="1"/>
  <c r="GP39" i="1"/>
  <c r="J39" i="1"/>
  <c r="R11" i="1"/>
  <c r="DF13" i="1"/>
  <c r="R16" i="1"/>
  <c r="AE17" i="1"/>
  <c r="DF18" i="1"/>
  <c r="FT20" i="1"/>
  <c r="FM20" i="1" s="1"/>
  <c r="G27" i="1"/>
  <c r="B26" i="2" s="1"/>
  <c r="F39" i="1"/>
  <c r="DA39" i="1"/>
  <c r="DE39" i="1"/>
  <c r="DG13" i="1"/>
  <c r="FT13" i="1"/>
  <c r="FM13" i="1" s="1"/>
  <c r="CK22" i="1"/>
  <c r="FA22" i="1"/>
  <c r="X37" i="1"/>
  <c r="G8" i="1"/>
  <c r="B7" i="2" s="1"/>
  <c r="CB8" i="1"/>
  <c r="K39" i="1"/>
  <c r="EM39" i="1"/>
  <c r="N39" i="1"/>
  <c r="CH39" i="1"/>
  <c r="DF8" i="1"/>
  <c r="GS39" i="1"/>
  <c r="DF15" i="1"/>
  <c r="X19" i="1"/>
  <c r="CP31" i="1"/>
  <c r="Q39" i="1"/>
  <c r="AN8" i="1"/>
  <c r="J7" i="2" s="1"/>
  <c r="BL39" i="1"/>
  <c r="CK8" i="1"/>
  <c r="FT8" i="1"/>
  <c r="FM8" i="1" s="1"/>
  <c r="R19" i="1"/>
  <c r="FD26" i="1"/>
  <c r="CK27" i="1"/>
  <c r="GG32" i="1"/>
  <c r="FA25" i="1"/>
  <c r="X25" i="1"/>
  <c r="X30" i="1"/>
  <c r="D33" i="1"/>
  <c r="G33" i="1" s="1"/>
  <c r="B32" i="2" s="1"/>
  <c r="X35" i="1"/>
  <c r="EW35" i="1"/>
  <c r="DF37" i="1"/>
  <c r="GJ36" i="1"/>
  <c r="AX35" i="2" s="1"/>
  <c r="M41" i="1"/>
  <c r="CB35" i="1"/>
  <c r="FS35" i="1"/>
  <c r="FS39" i="1" s="1"/>
  <c r="CB36" i="1"/>
  <c r="R37" i="1"/>
  <c r="CB38" i="1"/>
  <c r="R28" i="1"/>
  <c r="DF30" i="1"/>
  <c r="C34" i="1"/>
  <c r="C39" i="1" s="1"/>
  <c r="DF35" i="1"/>
  <c r="DF36" i="1"/>
  <c r="DF38" i="1"/>
  <c r="FT25" i="1"/>
  <c r="FM25" i="1" s="1"/>
  <c r="FT30" i="1"/>
  <c r="FM30" i="1" s="1"/>
  <c r="EQ36" i="1"/>
  <c r="AT35" i="2" s="1"/>
  <c r="DF27" i="1"/>
  <c r="DF32" i="1"/>
  <c r="FK62" i="1" l="1"/>
  <c r="FM62" i="1" s="1"/>
  <c r="BB24" i="2" s="1"/>
  <c r="BD24" i="2" s="1"/>
  <c r="FK67" i="1"/>
  <c r="FM67" i="1" s="1"/>
  <c r="BB29" i="2" s="1"/>
  <c r="BD29" i="2" s="1"/>
  <c r="FK51" i="1"/>
  <c r="FM51" i="1" s="1"/>
  <c r="BB13" i="2" s="1"/>
  <c r="FK70" i="1"/>
  <c r="FM70" i="1" s="1"/>
  <c r="BB32" i="2" s="1"/>
  <c r="BD32" i="2" s="1"/>
  <c r="EN22" i="1"/>
  <c r="AJ16" i="2"/>
  <c r="AK16" i="2" s="1"/>
  <c r="FJ49" i="1"/>
  <c r="FL49" i="1" s="1"/>
  <c r="AW11" i="2" s="1"/>
  <c r="AY11" i="2" s="1"/>
  <c r="AJ14" i="2"/>
  <c r="AK14" i="2" s="1"/>
  <c r="AY36" i="2"/>
  <c r="AJ8" i="2"/>
  <c r="AK8" i="2" s="1"/>
  <c r="ED21" i="1"/>
  <c r="FK52" i="1"/>
  <c r="FM52" i="1" s="1"/>
  <c r="BB14" i="2" s="1"/>
  <c r="BD14" i="2" s="1"/>
  <c r="ED22" i="1"/>
  <c r="BD37" i="2"/>
  <c r="EN37" i="1"/>
  <c r="FK69" i="1"/>
  <c r="FM69" i="1" s="1"/>
  <c r="BB31" i="2" s="1"/>
  <c r="BD31" i="2" s="1"/>
  <c r="ED28" i="1"/>
  <c r="ED36" i="1"/>
  <c r="ED34" i="1"/>
  <c r="AJ10" i="2"/>
  <c r="AK10" i="2" s="1"/>
  <c r="AJ17" i="2"/>
  <c r="AK17" i="2" s="1"/>
  <c r="AJ25" i="2"/>
  <c r="AK25" i="2" s="1"/>
  <c r="FK72" i="1"/>
  <c r="FM72" i="1" s="1"/>
  <c r="BB34" i="2" s="1"/>
  <c r="FJ58" i="1"/>
  <c r="FL58" i="1" s="1"/>
  <c r="FN58" i="1" s="1"/>
  <c r="EN21" i="1"/>
  <c r="EN31" i="1"/>
  <c r="EN29" i="1"/>
  <c r="EN9" i="1"/>
  <c r="ED14" i="1"/>
  <c r="EN15" i="1"/>
  <c r="FJ48" i="1"/>
  <c r="FL48" i="1" s="1"/>
  <c r="FN48" i="1" s="1"/>
  <c r="EN30" i="1"/>
  <c r="EN32" i="1"/>
  <c r="EN35" i="1"/>
  <c r="ED33" i="1"/>
  <c r="ED38" i="1"/>
  <c r="EN36" i="1"/>
  <c r="EN38" i="1"/>
  <c r="EN25" i="1"/>
  <c r="BD22" i="1"/>
  <c r="ED31" i="1"/>
  <c r="EN28" i="1"/>
  <c r="FK54" i="1"/>
  <c r="FM54" i="1" s="1"/>
  <c r="BB16" i="2" s="1"/>
  <c r="BD16" i="2" s="1"/>
  <c r="AL25" i="2"/>
  <c r="EN16" i="1"/>
  <c r="EN20" i="1"/>
  <c r="ED29" i="1"/>
  <c r="EN8" i="1"/>
  <c r="ED32" i="1"/>
  <c r="ED35" i="1"/>
  <c r="EN34" i="1"/>
  <c r="EN33" i="1"/>
  <c r="BL30" i="2"/>
  <c r="BJ30" i="2"/>
  <c r="BJ15" i="2"/>
  <c r="BL15" i="2"/>
  <c r="AR36" i="2"/>
  <c r="AS36" i="2" s="1"/>
  <c r="B37" i="2"/>
  <c r="B38" i="2" s="1"/>
  <c r="C42" i="2" s="1"/>
  <c r="HA38" i="1"/>
  <c r="HE38" i="1" s="1"/>
  <c r="AR25" i="2"/>
  <c r="AS25" i="2" s="1"/>
  <c r="BL25" i="2" s="1"/>
  <c r="AR21" i="2"/>
  <c r="AS21" i="2" s="1"/>
  <c r="BL21" i="2" s="1"/>
  <c r="AR29" i="2"/>
  <c r="AS29" i="2" s="1"/>
  <c r="AR32" i="2"/>
  <c r="AS32" i="2" s="1"/>
  <c r="BJ32" i="2" s="1"/>
  <c r="AR26" i="2"/>
  <c r="AS26" i="2" s="1"/>
  <c r="BL26" i="2" s="1"/>
  <c r="AR31" i="2"/>
  <c r="AS31" i="2" s="1"/>
  <c r="BJ31" i="2" s="1"/>
  <c r="AR12" i="2"/>
  <c r="AS12" i="2" s="1"/>
  <c r="AR33" i="2"/>
  <c r="AS33" i="2" s="1"/>
  <c r="FK64" i="1"/>
  <c r="FM64" i="1" s="1"/>
  <c r="BB26" i="2" s="1"/>
  <c r="BD26" i="2" s="1"/>
  <c r="AR27" i="2"/>
  <c r="AS27" i="2" s="1"/>
  <c r="AR16" i="2"/>
  <c r="AS16" i="2" s="1"/>
  <c r="AR28" i="2"/>
  <c r="AS28" i="2" s="1"/>
  <c r="AR24" i="2"/>
  <c r="AS24" i="2" s="1"/>
  <c r="BL24" i="2" s="1"/>
  <c r="BJ20" i="2"/>
  <c r="FB75" i="1"/>
  <c r="FD75" i="1" s="1"/>
  <c r="BD17" i="2"/>
  <c r="FJ57" i="1"/>
  <c r="FL57" i="1" s="1"/>
  <c r="FN57" i="1" s="1"/>
  <c r="CL33" i="1"/>
  <c r="BD13" i="2"/>
  <c r="FB74" i="1"/>
  <c r="FD74" i="1" s="1"/>
  <c r="FJ63" i="1"/>
  <c r="FL63" i="1" s="1"/>
  <c r="FK63" i="1"/>
  <c r="FM63" i="1" s="1"/>
  <c r="BB25" i="2" s="1"/>
  <c r="BD25" i="2" s="1"/>
  <c r="AW13" i="2"/>
  <c r="AY13" i="2" s="1"/>
  <c r="FN51" i="1"/>
  <c r="AW29" i="2"/>
  <c r="AY29" i="2" s="1"/>
  <c r="FN67" i="1"/>
  <c r="FK59" i="1"/>
  <c r="FM59" i="1" s="1"/>
  <c r="BB21" i="2" s="1"/>
  <c r="BD21" i="2" s="1"/>
  <c r="FJ59" i="1"/>
  <c r="FL59" i="1" s="1"/>
  <c r="FK56" i="1"/>
  <c r="FM56" i="1" s="1"/>
  <c r="BB18" i="2" s="1"/>
  <c r="BD18" i="2" s="1"/>
  <c r="FJ56" i="1"/>
  <c r="FL56" i="1" s="1"/>
  <c r="FJ65" i="1"/>
  <c r="FL65" i="1" s="1"/>
  <c r="FK65" i="1"/>
  <c r="FM65" i="1" s="1"/>
  <c r="BB27" i="2" s="1"/>
  <c r="BD27" i="2" s="1"/>
  <c r="AW34" i="2"/>
  <c r="FN72" i="1"/>
  <c r="FK68" i="1"/>
  <c r="FM68" i="1" s="1"/>
  <c r="BB30" i="2" s="1"/>
  <c r="BD30" i="2" s="1"/>
  <c r="FJ68" i="1"/>
  <c r="FL68" i="1" s="1"/>
  <c r="AW31" i="2"/>
  <c r="AY31" i="2" s="1"/>
  <c r="AW26" i="2"/>
  <c r="AY26" i="2" s="1"/>
  <c r="AW14" i="2"/>
  <c r="AY14" i="2" s="1"/>
  <c r="FK47" i="1"/>
  <c r="FM47" i="1" s="1"/>
  <c r="BB9" i="2" s="1"/>
  <c r="FJ47" i="1"/>
  <c r="FL47" i="1" s="1"/>
  <c r="FN62" i="1"/>
  <c r="AW24" i="2"/>
  <c r="AY24" i="2" s="1"/>
  <c r="FN45" i="1"/>
  <c r="AW7" i="2"/>
  <c r="AW28" i="2"/>
  <c r="AY28" i="2" s="1"/>
  <c r="FN66" i="1"/>
  <c r="FK53" i="1"/>
  <c r="FM53" i="1" s="1"/>
  <c r="BB15" i="2" s="1"/>
  <c r="BD15" i="2" s="1"/>
  <c r="FJ53" i="1"/>
  <c r="FL53" i="1" s="1"/>
  <c r="FJ73" i="1"/>
  <c r="FL73" i="1" s="1"/>
  <c r="FK73" i="1"/>
  <c r="FM73" i="1" s="1"/>
  <c r="BB35" i="2" s="1"/>
  <c r="BD35" i="2" s="1"/>
  <c r="AW8" i="2"/>
  <c r="AY8" i="2" s="1"/>
  <c r="FN46" i="1"/>
  <c r="FK50" i="1"/>
  <c r="FM50" i="1" s="1"/>
  <c r="BB12" i="2" s="1"/>
  <c r="BD12" i="2" s="1"/>
  <c r="FJ50" i="1"/>
  <c r="FL50" i="1" s="1"/>
  <c r="AW17" i="2"/>
  <c r="AY17" i="2" s="1"/>
  <c r="FN55" i="1"/>
  <c r="FK71" i="1"/>
  <c r="FM71" i="1" s="1"/>
  <c r="BB33" i="2" s="1"/>
  <c r="BD33" i="2" s="1"/>
  <c r="FJ71" i="1"/>
  <c r="FL71" i="1" s="1"/>
  <c r="AW16" i="2"/>
  <c r="AY16" i="2" s="1"/>
  <c r="AW32" i="2"/>
  <c r="AY32" i="2" s="1"/>
  <c r="FN70" i="1"/>
  <c r="BJ13" i="2"/>
  <c r="BJ19" i="2"/>
  <c r="BL19" i="2"/>
  <c r="BL17" i="2"/>
  <c r="BJ17" i="2"/>
  <c r="BL18" i="2"/>
  <c r="BJ18" i="2"/>
  <c r="BD37" i="1"/>
  <c r="DG33" i="1"/>
  <c r="Y25" i="2"/>
  <c r="BE25" i="2" s="1"/>
  <c r="AO25" i="2"/>
  <c r="BQ38" i="2"/>
  <c r="BL14" i="2"/>
  <c r="BJ14" i="2"/>
  <c r="BO38" i="2"/>
  <c r="AJ22" i="2"/>
  <c r="AK22" i="2" s="1"/>
  <c r="ED13" i="1"/>
  <c r="ED19" i="1"/>
  <c r="ED25" i="1"/>
  <c r="AL23" i="2"/>
  <c r="AO23" i="2" s="1"/>
  <c r="EN14" i="1"/>
  <c r="BD11" i="1"/>
  <c r="AO11" i="1"/>
  <c r="AO37" i="1"/>
  <c r="BD34" i="1"/>
  <c r="AO34" i="1"/>
  <c r="AO33" i="1"/>
  <c r="EN27" i="1"/>
  <c r="ED16" i="1"/>
  <c r="ED27" i="1"/>
  <c r="S10" i="2"/>
  <c r="V10" i="2" s="1"/>
  <c r="AL22" i="2"/>
  <c r="AO22" i="2" s="1"/>
  <c r="Y11" i="2"/>
  <c r="BE11" i="2" s="1"/>
  <c r="DG11" i="1"/>
  <c r="ED20" i="1"/>
  <c r="BD28" i="1"/>
  <c r="AO27" i="1"/>
  <c r="EN18" i="1"/>
  <c r="EN17" i="1"/>
  <c r="Y27" i="2"/>
  <c r="BE27" i="2" s="1"/>
  <c r="AN38" i="2"/>
  <c r="EN12" i="1"/>
  <c r="AK29" i="1"/>
  <c r="DH29" i="1" s="1"/>
  <c r="AO28" i="1"/>
  <c r="EN13" i="1"/>
  <c r="ED10" i="1"/>
  <c r="Y37" i="2"/>
  <c r="BE37" i="2" s="1"/>
  <c r="EG39" i="1"/>
  <c r="EN19" i="1"/>
  <c r="V32" i="2"/>
  <c r="Y35" i="2"/>
  <c r="BE35" i="2" s="1"/>
  <c r="Y23" i="2"/>
  <c r="BE23" i="2" s="1"/>
  <c r="V14" i="2"/>
  <c r="AO22" i="1"/>
  <c r="Y20" i="2"/>
  <c r="BE20" i="2" s="1"/>
  <c r="AO21" i="1"/>
  <c r="N20" i="2"/>
  <c r="N19" i="2"/>
  <c r="AK21" i="1"/>
  <c r="DH21" i="1" s="1"/>
  <c r="Y19" i="2"/>
  <c r="BE19" i="2" s="1"/>
  <c r="AK20" i="1"/>
  <c r="DH20" i="1" s="1"/>
  <c r="Y18" i="2"/>
  <c r="BE18" i="2" s="1"/>
  <c r="AO19" i="1"/>
  <c r="BD19" i="1"/>
  <c r="Y17" i="2"/>
  <c r="BE17" i="2" s="1"/>
  <c r="Y16" i="2"/>
  <c r="BE16" i="2" s="1"/>
  <c r="CT39" i="1"/>
  <c r="AK15" i="1"/>
  <c r="DH15" i="1" s="1"/>
  <c r="AO14" i="1"/>
  <c r="BD14" i="1"/>
  <c r="EQ39" i="1"/>
  <c r="AK31" i="1"/>
  <c r="DH31" i="1" s="1"/>
  <c r="G30" i="2"/>
  <c r="S22" i="2"/>
  <c r="V22" i="2" s="1"/>
  <c r="CL31" i="1"/>
  <c r="S30" i="2"/>
  <c r="V30" i="2" s="1"/>
  <c r="CL35" i="1"/>
  <c r="S34" i="2"/>
  <c r="V34" i="2" s="1"/>
  <c r="CL36" i="1"/>
  <c r="S35" i="2"/>
  <c r="V35" i="2" s="1"/>
  <c r="CL25" i="1"/>
  <c r="S24" i="2"/>
  <c r="V24" i="2" s="1"/>
  <c r="CL21" i="1"/>
  <c r="S20" i="2"/>
  <c r="V20" i="2" s="1"/>
  <c r="CL26" i="1"/>
  <c r="S25" i="2"/>
  <c r="V25" i="2" s="1"/>
  <c r="CL38" i="1"/>
  <c r="S37" i="2"/>
  <c r="V37" i="2" s="1"/>
  <c r="BN38" i="2"/>
  <c r="AK35" i="1"/>
  <c r="DH35" i="1" s="1"/>
  <c r="G34" i="2"/>
  <c r="AK30" i="1"/>
  <c r="DH30" i="1" s="1"/>
  <c r="G29" i="2"/>
  <c r="CL27" i="1"/>
  <c r="S26" i="2"/>
  <c r="V26" i="2" s="1"/>
  <c r="AK33" i="1"/>
  <c r="DH33" i="1" s="1"/>
  <c r="G32" i="2"/>
  <c r="N32" i="2" s="1"/>
  <c r="AK32" i="1"/>
  <c r="DH32" i="1" s="1"/>
  <c r="G31" i="2"/>
  <c r="AK34" i="1"/>
  <c r="DH34" i="1" s="1"/>
  <c r="G33" i="2"/>
  <c r="N33" i="2" s="1"/>
  <c r="CL37" i="1"/>
  <c r="S36" i="2"/>
  <c r="V36" i="2" s="1"/>
  <c r="FD35" i="1"/>
  <c r="AV34" i="2"/>
  <c r="AK25" i="1"/>
  <c r="DH25" i="1" s="1"/>
  <c r="G24" i="2"/>
  <c r="FU36" i="1"/>
  <c r="BD27" i="1"/>
  <c r="AK18" i="1"/>
  <c r="DH18" i="1" s="1"/>
  <c r="G17" i="2"/>
  <c r="G23" i="2"/>
  <c r="DB39" i="1"/>
  <c r="BD21" i="1"/>
  <c r="AT38" i="2"/>
  <c r="AK22" i="1"/>
  <c r="DH22" i="1" s="1"/>
  <c r="G21" i="2"/>
  <c r="N21" i="2" s="1"/>
  <c r="AK27" i="1"/>
  <c r="DH27" i="1" s="1"/>
  <c r="G26" i="2"/>
  <c r="N26" i="2" s="1"/>
  <c r="BD29" i="1"/>
  <c r="J28" i="2"/>
  <c r="N28" i="2" s="1"/>
  <c r="AO35" i="1"/>
  <c r="J34" i="2"/>
  <c r="J23" i="2"/>
  <c r="AO36" i="1"/>
  <c r="J35" i="2"/>
  <c r="AO30" i="1"/>
  <c r="J29" i="2"/>
  <c r="BD20" i="2"/>
  <c r="CL20" i="1"/>
  <c r="S19" i="2"/>
  <c r="V19" i="2" s="1"/>
  <c r="Y29" i="2"/>
  <c r="BE29" i="2" s="1"/>
  <c r="AK37" i="1"/>
  <c r="DH37" i="1" s="1"/>
  <c r="G36" i="2"/>
  <c r="N36" i="2" s="1"/>
  <c r="CL22" i="1"/>
  <c r="S21" i="2"/>
  <c r="V21" i="2" s="1"/>
  <c r="AF17" i="1"/>
  <c r="AF39" i="1" s="1"/>
  <c r="H16" i="2"/>
  <c r="N16" i="2" s="1"/>
  <c r="FU35" i="1"/>
  <c r="BD34" i="2"/>
  <c r="BD30" i="1"/>
  <c r="CL32" i="1"/>
  <c r="S31" i="2"/>
  <c r="V31" i="2" s="1"/>
  <c r="DG21" i="1"/>
  <c r="DG25" i="1"/>
  <c r="BD16" i="1"/>
  <c r="AK14" i="1"/>
  <c r="DH14" i="1" s="1"/>
  <c r="G13" i="2"/>
  <c r="N13" i="2" s="1"/>
  <c r="AK26" i="1"/>
  <c r="DH26" i="1" s="1"/>
  <c r="G25" i="2"/>
  <c r="AO32" i="1"/>
  <c r="J31" i="2"/>
  <c r="J22" i="2"/>
  <c r="N22" i="2" s="1"/>
  <c r="AO38" i="1"/>
  <c r="J37" i="2"/>
  <c r="S23" i="2"/>
  <c r="V23" i="2" s="1"/>
  <c r="CL14" i="1"/>
  <c r="S13" i="2"/>
  <c r="V13" i="2" s="1"/>
  <c r="ED8" i="1"/>
  <c r="ED12" i="1"/>
  <c r="Y9" i="2"/>
  <c r="BE9" i="2" s="1"/>
  <c r="Y13" i="2"/>
  <c r="BE13" i="2" s="1"/>
  <c r="EC39" i="1"/>
  <c r="BD36" i="1"/>
  <c r="AK19" i="1"/>
  <c r="DH19" i="1" s="1"/>
  <c r="G18" i="2"/>
  <c r="N18" i="2" s="1"/>
  <c r="BD33" i="1"/>
  <c r="DG32" i="1"/>
  <c r="AO16" i="1"/>
  <c r="BD35" i="1"/>
  <c r="DG26" i="1"/>
  <c r="AK36" i="1"/>
  <c r="DH36" i="1" s="1"/>
  <c r="G35" i="2"/>
  <c r="AK16" i="1"/>
  <c r="DH16" i="1" s="1"/>
  <c r="G15" i="2"/>
  <c r="N15" i="2" s="1"/>
  <c r="AK28" i="1"/>
  <c r="DH28" i="1" s="1"/>
  <c r="G27" i="2"/>
  <c r="N27" i="2" s="1"/>
  <c r="AK38" i="1"/>
  <c r="DH38" i="1" s="1"/>
  <c r="G37" i="2"/>
  <c r="BD26" i="1"/>
  <c r="J25" i="2"/>
  <c r="BD15" i="1"/>
  <c r="J14" i="2"/>
  <c r="N14" i="2" s="1"/>
  <c r="AO18" i="1"/>
  <c r="J17" i="2"/>
  <c r="J30" i="2"/>
  <c r="CL17" i="1"/>
  <c r="S16" i="2"/>
  <c r="V16" i="2" s="1"/>
  <c r="CL34" i="1"/>
  <c r="S33" i="2"/>
  <c r="V33" i="2" s="1"/>
  <c r="EN10" i="1"/>
  <c r="CX39" i="1"/>
  <c r="Y12" i="2"/>
  <c r="BE12" i="2" s="1"/>
  <c r="CL19" i="1"/>
  <c r="S18" i="2"/>
  <c r="V18" i="2" s="1"/>
  <c r="CL16" i="1"/>
  <c r="S15" i="2"/>
  <c r="V15" i="2" s="1"/>
  <c r="CL30" i="1"/>
  <c r="S29" i="2"/>
  <c r="V29" i="2" s="1"/>
  <c r="Y21" i="2"/>
  <c r="BE21" i="2" s="1"/>
  <c r="V17" i="2"/>
  <c r="Y33" i="2"/>
  <c r="BE33" i="2" s="1"/>
  <c r="AO25" i="1"/>
  <c r="J24" i="2"/>
  <c r="V12" i="2"/>
  <c r="BD13" i="1"/>
  <c r="AO13" i="1"/>
  <c r="AC38" i="2"/>
  <c r="C56" i="2" s="1"/>
  <c r="AJ39" i="1"/>
  <c r="AK13" i="1"/>
  <c r="DH13" i="1" s="1"/>
  <c r="G12" i="2"/>
  <c r="N12" i="2" s="1"/>
  <c r="AX38" i="2"/>
  <c r="X38" i="2"/>
  <c r="Y10" i="2"/>
  <c r="BE10" i="2" s="1"/>
  <c r="CL12" i="1"/>
  <c r="S11" i="2"/>
  <c r="V11" i="2" s="1"/>
  <c r="AO12" i="1"/>
  <c r="J11" i="2"/>
  <c r="AK12" i="1"/>
  <c r="DH12" i="1" s="1"/>
  <c r="G11" i="2"/>
  <c r="W38" i="2"/>
  <c r="T38" i="2"/>
  <c r="DG10" i="1"/>
  <c r="CL10" i="1"/>
  <c r="AK11" i="1"/>
  <c r="DH11" i="1" s="1"/>
  <c r="G10" i="2"/>
  <c r="N10" i="2" s="1"/>
  <c r="V9" i="2"/>
  <c r="U38" i="2"/>
  <c r="AS10" i="1"/>
  <c r="K9" i="2"/>
  <c r="N9" i="2" s="1"/>
  <c r="AO10" i="1"/>
  <c r="BD10" i="1"/>
  <c r="AK10" i="1"/>
  <c r="DH10" i="1" s="1"/>
  <c r="I38" i="2"/>
  <c r="Y7" i="2"/>
  <c r="BE7" i="2" s="1"/>
  <c r="DG8" i="1"/>
  <c r="S7" i="2"/>
  <c r="V8" i="2"/>
  <c r="AO9" i="1"/>
  <c r="AS9" i="1"/>
  <c r="K8" i="2"/>
  <c r="AK9" i="1"/>
  <c r="DH9" i="1" s="1"/>
  <c r="G8" i="2"/>
  <c r="AK8" i="1"/>
  <c r="DH8" i="1" s="1"/>
  <c r="G7" i="2"/>
  <c r="GG36" i="1"/>
  <c r="DG37" i="1"/>
  <c r="DG12" i="1"/>
  <c r="DG17" i="1"/>
  <c r="DG14" i="1"/>
  <c r="BD18" i="1"/>
  <c r="BD31" i="1"/>
  <c r="AO15" i="1"/>
  <c r="BD38" i="1"/>
  <c r="BD32" i="1"/>
  <c r="AO29" i="1"/>
  <c r="R39" i="1"/>
  <c r="BD9" i="1"/>
  <c r="EW39" i="1"/>
  <c r="D39" i="1"/>
  <c r="AO20" i="1"/>
  <c r="BD20" i="1"/>
  <c r="BD17" i="1"/>
  <c r="AO17" i="1"/>
  <c r="AK17" i="1"/>
  <c r="DH17" i="1" s="1"/>
  <c r="ED37" i="1"/>
  <c r="GG35" i="1"/>
  <c r="AR39" i="1"/>
  <c r="AS8" i="1"/>
  <c r="FA36" i="1"/>
  <c r="DF39" i="1"/>
  <c r="FA35" i="1"/>
  <c r="DG22" i="1"/>
  <c r="CL8" i="1"/>
  <c r="X39" i="1"/>
  <c r="G39" i="1"/>
  <c r="AN39" i="1"/>
  <c r="AO8" i="1"/>
  <c r="BD8" i="1"/>
  <c r="FD36" i="1"/>
  <c r="DG27" i="1"/>
  <c r="CP39" i="1"/>
  <c r="FS46" i="1"/>
  <c r="FT35" i="1"/>
  <c r="FM35" i="1" s="1"/>
  <c r="FM39" i="1" s="1"/>
  <c r="CA29" i="1"/>
  <c r="O28" i="2" s="1"/>
  <c r="CA28" i="1"/>
  <c r="O27" i="2" s="1"/>
  <c r="AE39" i="1"/>
  <c r="FN49" i="1" l="1"/>
  <c r="AW20" i="2"/>
  <c r="AY20" i="2" s="1"/>
  <c r="FN69" i="1"/>
  <c r="FN52" i="1"/>
  <c r="GU17" i="1"/>
  <c r="AK38" i="2"/>
  <c r="C47" i="2" s="1"/>
  <c r="AW10" i="2"/>
  <c r="AY10" i="2" s="1"/>
  <c r="GU11" i="1" s="1"/>
  <c r="GU15" i="1"/>
  <c r="GU23" i="1"/>
  <c r="GU14" i="1"/>
  <c r="FN64" i="1"/>
  <c r="BL16" i="2"/>
  <c r="BJ16" i="2"/>
  <c r="FN54" i="1"/>
  <c r="BL28" i="2"/>
  <c r="BJ28" i="2"/>
  <c r="BJ12" i="2"/>
  <c r="BL12" i="2"/>
  <c r="BL29" i="2"/>
  <c r="BJ29" i="2"/>
  <c r="BJ27" i="2"/>
  <c r="BL27" i="2"/>
  <c r="AR34" i="2"/>
  <c r="AS34" i="2" s="1"/>
  <c r="AR35" i="2"/>
  <c r="AS35" i="2" s="1"/>
  <c r="AW19" i="2"/>
  <c r="AY19" i="2" s="1"/>
  <c r="GU20" i="1" s="1"/>
  <c r="GU21" i="1"/>
  <c r="GU37" i="1"/>
  <c r="GU33" i="1"/>
  <c r="GU27" i="1"/>
  <c r="AW35" i="2"/>
  <c r="AY35" i="2" s="1"/>
  <c r="FN73" i="1"/>
  <c r="AW18" i="2"/>
  <c r="AY18" i="2" s="1"/>
  <c r="GU19" i="1" s="1"/>
  <c r="FN56" i="1"/>
  <c r="AW15" i="2"/>
  <c r="AY15" i="2" s="1"/>
  <c r="GU16" i="1" s="1"/>
  <c r="FN53" i="1"/>
  <c r="FN47" i="1"/>
  <c r="AW9" i="2"/>
  <c r="AY9" i="2" s="1"/>
  <c r="BB38" i="2"/>
  <c r="BD9" i="2"/>
  <c r="BD38" i="2" s="1"/>
  <c r="FN59" i="1"/>
  <c r="AW21" i="2"/>
  <c r="AY21" i="2" s="1"/>
  <c r="GU22" i="1" s="1"/>
  <c r="AW33" i="2"/>
  <c r="AY33" i="2" s="1"/>
  <c r="GU34" i="1" s="1"/>
  <c r="FN71" i="1"/>
  <c r="FN65" i="1"/>
  <c r="AW27" i="2"/>
  <c r="AY27" i="2" s="1"/>
  <c r="FN50" i="1"/>
  <c r="AW12" i="2"/>
  <c r="AY12" i="2" s="1"/>
  <c r="GU13" i="1" s="1"/>
  <c r="AY7" i="2"/>
  <c r="FU39" i="1"/>
  <c r="AW30" i="2"/>
  <c r="AY30" i="2" s="1"/>
  <c r="FN68" i="1"/>
  <c r="AW25" i="2"/>
  <c r="AY25" i="2" s="1"/>
  <c r="FN63" i="1"/>
  <c r="AL38" i="2"/>
  <c r="AO38" i="2"/>
  <c r="C48" i="2" s="1"/>
  <c r="AJ38" i="2"/>
  <c r="AS39" i="1"/>
  <c r="N31" i="2"/>
  <c r="GU32" i="1" s="1"/>
  <c r="FD39" i="1"/>
  <c r="EN39" i="1"/>
  <c r="O38" i="2"/>
  <c r="ED39" i="1"/>
  <c r="N34" i="2"/>
  <c r="N30" i="2"/>
  <c r="N35" i="2"/>
  <c r="BI38" i="2"/>
  <c r="BY16" i="2" s="1"/>
  <c r="N8" i="2"/>
  <c r="GU9" i="1" s="1"/>
  <c r="N23" i="2"/>
  <c r="GU24" i="1" s="1"/>
  <c r="H38" i="2"/>
  <c r="N29" i="2"/>
  <c r="GU30" i="1" s="1"/>
  <c r="J38" i="2"/>
  <c r="Y38" i="2"/>
  <c r="C46" i="2" s="1"/>
  <c r="N37" i="2"/>
  <c r="N24" i="2"/>
  <c r="GU25" i="1" s="1"/>
  <c r="AY34" i="2"/>
  <c r="AV38" i="2"/>
  <c r="C52" i="2"/>
  <c r="K38" i="2"/>
  <c r="N25" i="2"/>
  <c r="N17" i="2"/>
  <c r="GU18" i="1" s="1"/>
  <c r="BC38" i="2"/>
  <c r="N11" i="2"/>
  <c r="GU12" i="1" s="1"/>
  <c r="BY15" i="2"/>
  <c r="BE38" i="2"/>
  <c r="V7" i="2"/>
  <c r="G38" i="2"/>
  <c r="N7" i="2"/>
  <c r="AO39" i="1"/>
  <c r="CB29" i="1"/>
  <c r="CK29" i="1"/>
  <c r="S28" i="2" s="1"/>
  <c r="V28" i="2" s="1"/>
  <c r="GU29" i="1" s="1"/>
  <c r="DH39" i="1"/>
  <c r="AK39" i="1"/>
  <c r="BD39" i="1"/>
  <c r="CK28" i="1"/>
  <c r="S27" i="2" s="1"/>
  <c r="V27" i="2" s="1"/>
  <c r="CB28" i="1"/>
  <c r="CA39" i="1"/>
  <c r="BJ38" i="2" l="1"/>
  <c r="BY19" i="2" s="1"/>
  <c r="GU10" i="1"/>
  <c r="AR38" i="2"/>
  <c r="AS38" i="2"/>
  <c r="C51" i="2" s="1"/>
  <c r="BL38" i="2"/>
  <c r="GU36" i="1"/>
  <c r="GU28" i="1"/>
  <c r="GU26" i="1"/>
  <c r="GU8" i="1"/>
  <c r="GU31" i="1"/>
  <c r="GU35" i="1"/>
  <c r="AY38" i="2"/>
  <c r="C49" i="2" s="1"/>
  <c r="AW38" i="2"/>
  <c r="C50" i="2"/>
  <c r="BY17" i="2"/>
  <c r="BY20" i="2" s="1"/>
  <c r="V38" i="2"/>
  <c r="C45" i="2" s="1"/>
  <c r="S38" i="2"/>
  <c r="N38" i="2"/>
  <c r="C44" i="2" s="1"/>
  <c r="CL28" i="1"/>
  <c r="DG28" i="1"/>
  <c r="CK39" i="1"/>
  <c r="CL29" i="1"/>
  <c r="DG29" i="1"/>
  <c r="BY22" i="2" l="1"/>
  <c r="BY23" i="2" s="1"/>
  <c r="DG39" i="1"/>
  <c r="CL39" i="1"/>
  <c r="AB38" i="2" l="1"/>
  <c r="C54" i="2" s="1"/>
  <c r="AG37" i="2"/>
  <c r="AG38" i="2" s="1"/>
  <c r="C60" i="2" s="1"/>
  <c r="C63" i="2" s="1"/>
  <c r="GU38" i="1" l="1"/>
  <c r="GU39" i="1" s="1"/>
  <c r="CF13" i="5"/>
  <c r="CE47" i="5" s="1"/>
  <c r="CF47" i="5" s="1"/>
  <c r="CE46" i="5" s="1"/>
  <c r="CF46" i="5" s="1"/>
  <c r="CE45" i="5" s="1"/>
  <c r="CF45" i="5" s="1"/>
  <c r="CE44" i="5" s="1"/>
  <c r="CF44" i="5" s="1"/>
  <c r="CE43" i="5" s="1"/>
  <c r="CF43" i="5" s="1"/>
  <c r="CE42" i="5" s="1"/>
  <c r="CF42" i="5" s="1"/>
  <c r="Q12" i="6" l="1"/>
  <c r="V12" i="6" s="1"/>
  <c r="GU13" i="5" s="1"/>
  <c r="CF9" i="5" l="1"/>
  <c r="CF12" i="5"/>
  <c r="Q11" i="6" s="1"/>
  <c r="V11" i="6" s="1"/>
  <c r="GU12" i="5" s="1"/>
  <c r="Q8" i="6" l="1"/>
  <c r="CF11" i="5"/>
  <c r="Q10" i="6" s="1"/>
  <c r="V10" i="6" s="1"/>
  <c r="GU11" i="5" s="1"/>
  <c r="CF10" i="5"/>
  <c r="Q9" i="6" s="1"/>
  <c r="V9" i="6" s="1"/>
  <c r="GU10" i="5" s="1"/>
  <c r="CF39" i="5" l="1"/>
  <c r="Q38" i="6"/>
  <c r="V8" i="6"/>
  <c r="GU9" i="5" s="1"/>
  <c r="V38" i="6" l="1"/>
  <c r="C45" i="6" s="1"/>
  <c r="HJ29" i="5"/>
  <c r="BX28" i="6" s="1"/>
  <c r="HJ31" i="5"/>
  <c r="JX29" i="5" l="1"/>
  <c r="HZ66" i="5"/>
  <c r="HZ31" i="5"/>
  <c r="AG30" i="6"/>
  <c r="GU31" i="5" s="1"/>
  <c r="BX30" i="6"/>
  <c r="HZ68" i="5" s="1"/>
  <c r="JX31" i="5"/>
  <c r="HZ29" i="5"/>
  <c r="AG28" i="6"/>
  <c r="GU29" i="5" s="1"/>
  <c r="HJ30" i="5"/>
  <c r="JX30" i="5" l="1"/>
  <c r="JX39" i="5" s="1"/>
  <c r="HZ30" i="5"/>
  <c r="AG29" i="6"/>
  <c r="GU30" i="5" s="1"/>
  <c r="BX29" i="6"/>
  <c r="HJ39" i="5"/>
  <c r="HZ39" i="5"/>
  <c r="AG38" i="6"/>
  <c r="C60" i="6" s="1"/>
  <c r="C63" i="6" s="1"/>
  <c r="GU39" i="5" l="1"/>
  <c r="HJ42" i="5"/>
  <c r="HI42" i="5"/>
  <c r="HZ67" i="5"/>
  <c r="HZ76" i="5" s="1"/>
  <c r="BX38" i="6"/>
  <c r="BX41" i="6" l="1"/>
  <c r="BX48" i="6" s="1"/>
  <c r="HJ51" i="5"/>
  <c r="HI51" i="5"/>
  <c r="BZ12" i="10"/>
  <c r="BZ7" i="10"/>
  <c r="BZ17" i="10"/>
  <c r="BZ20" i="10"/>
  <c r="BZ9" i="10"/>
  <c r="BZ23" i="10"/>
  <c r="BZ30" i="10"/>
  <c r="BZ18" i="10"/>
  <c r="BZ25" i="10"/>
  <c r="BZ21" i="10"/>
  <c r="BZ19" i="10"/>
  <c r="BZ10" i="10"/>
  <c r="BZ11" i="10"/>
  <c r="BZ32" i="10"/>
  <c r="BZ34" i="10"/>
  <c r="BZ22" i="10"/>
  <c r="BZ35" i="10"/>
  <c r="BZ28" i="10"/>
  <c r="BZ29" i="10"/>
  <c r="BZ27" i="10"/>
  <c r="BZ15" i="10"/>
  <c r="BZ31" i="10"/>
  <c r="BZ26" i="10"/>
  <c r="BZ16" i="10"/>
  <c r="BZ33" i="10"/>
  <c r="CC37" i="10"/>
  <c r="CC38" i="10" s="1"/>
  <c r="BX46" i="10" s="1"/>
  <c r="BZ24" i="10"/>
  <c r="BZ14" i="10"/>
  <c r="BZ36" i="10"/>
  <c r="BZ13" i="10"/>
  <c r="HP39" i="9"/>
  <c r="HI47" i="9" s="1"/>
  <c r="BZ8" i="10"/>
  <c r="CA7" i="10"/>
  <c r="CA15" i="10"/>
  <c r="CA24" i="10"/>
  <c r="CA13" i="10"/>
  <c r="CA32" i="10"/>
  <c r="CA17" i="10"/>
  <c r="CA20" i="10"/>
  <c r="CA14" i="10"/>
  <c r="CA33" i="10"/>
  <c r="CA30" i="10"/>
  <c r="CA35" i="10"/>
  <c r="CA26" i="10"/>
  <c r="CA10" i="10"/>
  <c r="CA28" i="10"/>
  <c r="CA36" i="10"/>
  <c r="CA27" i="10"/>
  <c r="CA16" i="10"/>
  <c r="CA25" i="10"/>
  <c r="CA21" i="10"/>
  <c r="CA18" i="10"/>
  <c r="CA22" i="10"/>
  <c r="CA29" i="10"/>
  <c r="CA34" i="10"/>
  <c r="BZ37" i="10"/>
  <c r="CA11" i="10"/>
  <c r="CA23" i="10"/>
  <c r="CA9" i="10"/>
  <c r="CA19" i="10"/>
  <c r="CA12" i="10"/>
  <c r="CA31" i="10"/>
  <c r="CA8" i="10"/>
  <c r="HS39" i="9"/>
  <c r="HI44" i="9" s="1"/>
  <c r="KG8" i="9"/>
  <c r="CB7" i="10"/>
  <c r="KG26" i="9"/>
  <c r="KG27" i="9"/>
  <c r="KG14" i="9"/>
  <c r="KG31" i="9"/>
  <c r="KG21" i="9"/>
  <c r="KG16" i="9"/>
  <c r="KG22" i="9"/>
  <c r="KG25" i="9"/>
  <c r="KG12" i="9"/>
  <c r="KG13" i="9"/>
  <c r="KG29" i="9"/>
  <c r="KG19" i="9"/>
  <c r="KG33" i="9"/>
  <c r="CB13" i="10"/>
  <c r="KG23" i="9"/>
  <c r="CB25" i="10"/>
  <c r="CB30" i="10"/>
  <c r="CB20" i="10"/>
  <c r="KG28" i="9"/>
  <c r="KG32" i="9"/>
  <c r="CB12" i="10"/>
  <c r="KG18" i="9"/>
  <c r="CB21" i="10"/>
  <c r="KG17" i="9"/>
  <c r="CB26" i="10"/>
  <c r="CB11" i="10"/>
  <c r="CB31" i="10"/>
  <c r="KG37" i="9"/>
  <c r="CB36" i="10"/>
  <c r="CB17" i="10"/>
  <c r="KG34" i="9"/>
  <c r="KG36" i="9"/>
  <c r="CB24" i="10"/>
  <c r="CB27" i="10"/>
  <c r="KG30" i="9"/>
  <c r="KG24" i="9"/>
  <c r="CB14" i="10"/>
  <c r="KG15" i="9"/>
  <c r="HV39" i="9"/>
  <c r="HI45" i="9" s="1"/>
  <c r="KG35" i="9"/>
  <c r="CB23" i="10"/>
  <c r="CB33" i="10"/>
  <c r="CB35" i="10"/>
  <c r="KG38" i="9"/>
  <c r="CB32" i="10"/>
  <c r="CB28" i="10"/>
  <c r="CB18" i="10"/>
  <c r="CB29" i="10"/>
  <c r="KG10" i="9"/>
  <c r="CB22" i="10"/>
  <c r="KG11" i="9"/>
  <c r="CB10" i="10"/>
  <c r="CA37" i="10"/>
  <c r="KG20" i="9"/>
  <c r="CB16" i="10"/>
  <c r="CB8" i="10"/>
  <c r="KG9" i="9"/>
  <c r="CB19" i="10"/>
  <c r="CB15" i="10"/>
  <c r="CB9" i="10"/>
  <c r="CB34" i="10"/>
  <c r="II63" i="9" l="1"/>
  <c r="II75" i="9"/>
  <c r="II46" i="9"/>
  <c r="II61" i="9"/>
  <c r="II74" i="9"/>
  <c r="II65" i="9"/>
  <c r="II56" i="9"/>
  <c r="II53" i="9"/>
  <c r="HI52" i="9"/>
  <c r="II67" i="9"/>
  <c r="II68" i="9"/>
  <c r="II66" i="9"/>
  <c r="II52" i="9"/>
  <c r="II73" i="9"/>
  <c r="II47" i="9"/>
  <c r="II62" i="9"/>
  <c r="II60" i="9"/>
  <c r="II58" i="9"/>
  <c r="II72" i="9"/>
  <c r="II55" i="9"/>
  <c r="II70" i="9"/>
  <c r="II45" i="9"/>
  <c r="II51" i="9"/>
  <c r="II71" i="9"/>
  <c r="II49" i="9"/>
  <c r="II50" i="9"/>
  <c r="II54" i="9"/>
  <c r="II48" i="9"/>
  <c r="II64" i="9"/>
  <c r="II57" i="9"/>
  <c r="II69" i="9"/>
  <c r="II59" i="9"/>
  <c r="CA38" i="10"/>
  <c r="BX44" i="10" s="1"/>
  <c r="BZ38" i="10"/>
  <c r="BX43" i="10" s="1"/>
  <c r="CB38" i="10"/>
  <c r="BX45" i="10" s="1"/>
  <c r="II39" i="9"/>
  <c r="KG39" i="9"/>
  <c r="BX51" i="10" l="1"/>
  <c r="II76" i="9"/>
</calcChain>
</file>

<file path=xl/comments1.xml><?xml version="1.0" encoding="utf-8"?>
<comments xmlns="http://schemas.openxmlformats.org/spreadsheetml/2006/main">
  <authors>
    <author>win7</author>
  </authors>
  <commentList>
    <comment ref="AL70" authorId="0" guid="{47E68898-3CDD-4D7B-BA45-0A14C81BC94E}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2.xml><?xml version="1.0" encoding="utf-8"?>
<comments xmlns="http://schemas.openxmlformats.org/spreadsheetml/2006/main">
  <authors>
    <author>win7</author>
  </authors>
  <commentList>
    <comment ref="AL70" authorId="0" guid="{11A44858-A6F8-4793-8331-3D42226853B1}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3.xml><?xml version="1.0" encoding="utf-8"?>
<comments xmlns="http://schemas.openxmlformats.org/spreadsheetml/2006/main">
  <authors>
    <author>win7</author>
  </authors>
  <commentList>
    <comment ref="AL70" authorId="0" guid="{8BC90D79-4CD7-4ED5-BBA2-6AA6F3E75B88}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4.xml><?xml version="1.0" encoding="utf-8"?>
<comments xmlns="http://schemas.openxmlformats.org/spreadsheetml/2006/main">
  <authors>
    <author>Gery</author>
    <author>win7</author>
  </authors>
  <commentList>
    <comment ref="BQ12" authorId="0" guid="{B2967C21-077A-4159-8F72-37E207A1BA5D}">
      <text>
        <r>
          <rPr>
            <b/>
            <sz val="9"/>
            <color indexed="81"/>
            <rFont val="Tahoma"/>
            <family val="2"/>
          </rPr>
          <t>Gery: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70" authorId="1" guid="{1F47555A-2E7F-415A-803B-11D955B000EE}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5.xml><?xml version="1.0" encoding="utf-8"?>
<comments xmlns="http://schemas.openxmlformats.org/spreadsheetml/2006/main">
  <authors>
    <author>Gery</author>
    <author>win7</author>
  </authors>
  <commentList>
    <comment ref="BQ12" authorId="0" guid="{BDF90350-35A7-46A7-918A-ECBF7D045E59}">
      <text>
        <r>
          <rPr>
            <b/>
            <sz val="9"/>
            <color indexed="81"/>
            <rFont val="Tahoma"/>
            <family val="2"/>
          </rPr>
          <t>Gery: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70" authorId="1" guid="{3674D445-7835-4BE1-B971-4034D0E1A22A}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6.xml><?xml version="1.0" encoding="utf-8"?>
<comments xmlns="http://schemas.openxmlformats.org/spreadsheetml/2006/main">
  <authors>
    <author>Gery</author>
    <author>win7</author>
  </authors>
  <commentList>
    <comment ref="BQ12" authorId="0" guid="{06311C3D-5435-40D7-ADAD-2906AFE8129C}">
      <text>
        <r>
          <rPr>
            <b/>
            <sz val="9"/>
            <color indexed="81"/>
            <rFont val="Tahoma"/>
            <family val="2"/>
          </rPr>
          <t>Gery: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70" authorId="1" guid="{F1F9D990-5011-4879-80A1-FBA4859FAC44}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7.xml><?xml version="1.0" encoding="utf-8"?>
<comments xmlns="http://schemas.openxmlformats.org/spreadsheetml/2006/main">
  <authors>
    <author>Gery</author>
    <author>win7</author>
  </authors>
  <commentList>
    <comment ref="BQ12" authorId="0" guid="{75EA9B56-6325-4E87-B119-7CB5A56A8950}">
      <text>
        <r>
          <rPr>
            <b/>
            <sz val="9"/>
            <color indexed="81"/>
            <rFont val="Tahoma"/>
            <family val="2"/>
          </rPr>
          <t>Gery: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70" authorId="1" guid="{345C0CC2-DD8E-43D0-BA7D-75FB2321059C}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8.xml><?xml version="1.0" encoding="utf-8"?>
<comments xmlns="http://schemas.openxmlformats.org/spreadsheetml/2006/main">
  <authors>
    <author>Gery</author>
    <author>win7</author>
  </authors>
  <commentList>
    <comment ref="BQ12" authorId="0" guid="{7A85FD54-8965-4990-AAD3-2EACE103741B}">
      <text>
        <r>
          <rPr>
            <b/>
            <sz val="9"/>
            <color indexed="81"/>
            <rFont val="Tahoma"/>
            <family val="2"/>
          </rPr>
          <t>Gery: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70" authorId="1" guid="{40385333-A0F4-4C0C-ACEB-5A3D8A5B0802}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9.xml><?xml version="1.0" encoding="utf-8"?>
<comments xmlns="http://schemas.openxmlformats.org/spreadsheetml/2006/main">
  <authors>
    <author>win7</author>
  </authors>
  <commentList>
    <comment ref="AL70" authorId="0" guid="{A37E25E1-BDA2-4DF2-8888-CC0CDC5FFC33}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10.xml><?xml version="1.0" encoding="utf-8"?>
<comments xmlns="http://schemas.openxmlformats.org/spreadsheetml/2006/main">
  <authors>
    <author>win7</author>
  </authors>
  <commentList>
    <comment ref="AL70" authorId="0" guid="{76394690-D357-4546-8497-B72F1AF5B4B7}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11.xml><?xml version="1.0" encoding="utf-8"?>
<comments xmlns="http://schemas.openxmlformats.org/spreadsheetml/2006/main">
  <authors>
    <author>win7</author>
  </authors>
  <commentList>
    <comment ref="AL71" authorId="0" guid="{C65E9581-D6DD-4648-8905-C86C2AD6EF1D}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sharedStrings.xml><?xml version="1.0" encoding="utf-8"?>
<sst xmlns="http://schemas.openxmlformats.org/spreadsheetml/2006/main" count="6951" uniqueCount="456">
  <si>
    <t>PT SUN PAPER SOURCE</t>
  </si>
  <si>
    <t>Tgl</t>
  </si>
  <si>
    <t>PLN 27.000 KVA</t>
  </si>
  <si>
    <t>CUBICLE INCOMING PLN</t>
  </si>
  <si>
    <t>PM-11</t>
  </si>
  <si>
    <t>BOILER</t>
  </si>
  <si>
    <t>IPAL</t>
  </si>
  <si>
    <t>UTILITTY</t>
  </si>
  <si>
    <t>2.1 OFFICE</t>
  </si>
  <si>
    <t>PM-12</t>
  </si>
  <si>
    <t>Total All Cubicle</t>
  </si>
  <si>
    <t>FLOW STEAM PM12</t>
  </si>
  <si>
    <t>Incoming Trafo Converting 3</t>
  </si>
  <si>
    <t>PM 14</t>
  </si>
  <si>
    <t>PM 15</t>
  </si>
  <si>
    <t>PM 16</t>
  </si>
  <si>
    <t>PM 17</t>
  </si>
  <si>
    <t>DIP 2</t>
  </si>
  <si>
    <t>Pulper PM 16 17</t>
  </si>
  <si>
    <t>WPL</t>
  </si>
  <si>
    <t>PM11 dari Trafo 3000 KVA</t>
  </si>
  <si>
    <t>TRAFO 3000kva</t>
  </si>
  <si>
    <t>Dari Trafo 4000kVA pm11</t>
  </si>
  <si>
    <t>TRAFO 4000kva</t>
  </si>
  <si>
    <t>Dari Trafo 1600 KVA</t>
  </si>
  <si>
    <t xml:space="preserve">2.4 KOMPRESSOR </t>
  </si>
  <si>
    <t>2.2 SUMUR 1(BARAT)</t>
  </si>
  <si>
    <t>2.3 SUMUR 2(TIMUR)</t>
  </si>
  <si>
    <t>2.5 TIMBANGAN &amp;</t>
  </si>
  <si>
    <t>Panel no.3</t>
  </si>
  <si>
    <t>Panel no.1</t>
  </si>
  <si>
    <t>TOTAL PM 14</t>
  </si>
  <si>
    <t>TOTAL PM 15</t>
  </si>
  <si>
    <t>bisa switch 2 power</t>
  </si>
  <si>
    <t>( trafonya ikut trafo Pulper DIP2 )</t>
  </si>
  <si>
    <t>LWBP 1</t>
  </si>
  <si>
    <t>WBP</t>
  </si>
  <si>
    <t>Total</t>
  </si>
  <si>
    <t>PLN PM11</t>
  </si>
  <si>
    <t>PLN TOTAL</t>
  </si>
  <si>
    <t>1. PANEL INCOMING 3200 A</t>
  </si>
  <si>
    <t>1.1 PANEL VACUUM 1</t>
  </si>
  <si>
    <t>1.2 PANEL VACUUM 2</t>
  </si>
  <si>
    <t>1.3 PANEL MCC AUX 3200A</t>
  </si>
  <si>
    <t>1.3.1 GD JUMBO PM11 12</t>
  </si>
  <si>
    <t>4. WL II 1250A (Yankee,Popereel)</t>
  </si>
  <si>
    <t>5. WL II 3200A (Hood,F.Pump,FeltWire)</t>
  </si>
  <si>
    <t xml:space="preserve">2. PANEL MCC StockPrep </t>
  </si>
  <si>
    <t>3. PANEL StockPrep 2</t>
  </si>
  <si>
    <t>3.1 SUMUR 4</t>
  </si>
  <si>
    <t>3.2 GD SORTIR BARU</t>
  </si>
  <si>
    <t>6. PANEL REWINDER 1 (800A)</t>
  </si>
  <si>
    <t>7. PANEL REWINDER 2 (800A)</t>
  </si>
  <si>
    <t>BALLPRESS</t>
  </si>
  <si>
    <t>INCOMING 3,3 KV G30A</t>
  </si>
  <si>
    <t>REWINDER</t>
  </si>
  <si>
    <t>M. DDR 1 LF</t>
  </si>
  <si>
    <t>M. DDR THICKLING</t>
  </si>
  <si>
    <t>DEFLAKER</t>
  </si>
  <si>
    <t>INCOMING 3200 A MCC</t>
  </si>
  <si>
    <t>INCOMING 1250A HOOD</t>
  </si>
  <si>
    <t>INCOMING ABB PANEL DRIVE</t>
  </si>
  <si>
    <t>INCOMING 3200A DIP PUMP</t>
  </si>
  <si>
    <t>INCOMING 3200A DIP EQUIPMENT</t>
  </si>
  <si>
    <t>Incoming  cubicle 20 kv pm 12</t>
  </si>
  <si>
    <t>Converting</t>
  </si>
  <si>
    <t>Trafo 2500(A)</t>
  </si>
  <si>
    <t>Trafo 2500(B)</t>
  </si>
  <si>
    <t>Trafo 3000(A) cw Pulper14</t>
  </si>
  <si>
    <t>Trafo 3000(Barat) cw Pulper15</t>
  </si>
  <si>
    <t>Trafo 3000(Timur)</t>
  </si>
  <si>
    <t>Rewinder Tengah</t>
  </si>
  <si>
    <t xml:space="preserve">MCC </t>
  </si>
  <si>
    <t>DRIVE PANEL</t>
  </si>
  <si>
    <t>AUX PANEL</t>
  </si>
  <si>
    <t>STOCK</t>
  </si>
  <si>
    <t>OUTGOING TRAVO PM 16</t>
  </si>
  <si>
    <t>TOTAL PM 16</t>
  </si>
  <si>
    <t>adjust selisih</t>
  </si>
  <si>
    <t>CUBICLE PM 17</t>
  </si>
  <si>
    <t>TOTAL PM 17</t>
  </si>
  <si>
    <t>X</t>
  </si>
  <si>
    <t>KWH</t>
  </si>
  <si>
    <t>KVARH</t>
  </si>
  <si>
    <t>Daily</t>
  </si>
  <si>
    <t>Counter</t>
  </si>
  <si>
    <t>LWBP+WBP</t>
  </si>
  <si>
    <t>Cos Phi</t>
  </si>
  <si>
    <t>Daily KWH</t>
  </si>
  <si>
    <t>DAILY</t>
  </si>
  <si>
    <t>FT 10</t>
  </si>
  <si>
    <t>FT 11</t>
  </si>
  <si>
    <t>FT 12</t>
  </si>
  <si>
    <t>FT17(DIP)</t>
  </si>
  <si>
    <t>Yankee</t>
  </si>
  <si>
    <t>Cond.</t>
  </si>
  <si>
    <t>Hood</t>
  </si>
  <si>
    <t>Deinking</t>
  </si>
  <si>
    <t>Selisih</t>
  </si>
  <si>
    <t>Trafo 3000</t>
  </si>
  <si>
    <t>Trafo 2000</t>
  </si>
  <si>
    <t>Trafo Pulper</t>
  </si>
  <si>
    <t>Incoming Pulper</t>
  </si>
  <si>
    <t>Pulper baru PM16</t>
  </si>
  <si>
    <t>Pulper PM17</t>
  </si>
  <si>
    <t>PLN selisih</t>
  </si>
  <si>
    <t>PLN</t>
  </si>
  <si>
    <t>AUX PANEL kwh tdk ada</t>
  </si>
  <si>
    <t>Pulper 250kw tapi di DCS rata2 jalan 180kw</t>
  </si>
  <si>
    <t>180kw x 24 jam = 4320 kwh</t>
  </si>
  <si>
    <t>Mulai tgl 1 Nov 2023 Pulper jalan 1 milik PM15,</t>
  </si>
  <si>
    <t>jadi power dibagi 2 utk supply PM14 &amp; PM15</t>
  </si>
  <si>
    <t>Sinergy GH PM16</t>
  </si>
  <si>
    <t>PLN GH PM17</t>
  </si>
  <si>
    <t>4320 kwh : 2 PM = 2160  kwh</t>
  </si>
  <si>
    <t>Kwh</t>
  </si>
  <si>
    <t>Kvarh</t>
  </si>
  <si>
    <t xml:space="preserve">sampai tgl 20/21 Nov </t>
  </si>
  <si>
    <t>PLN 8660 KVA LWBP+WBP</t>
  </si>
  <si>
    <t>Incoming Cubicle 20Kv</t>
  </si>
  <si>
    <t>PM11</t>
  </si>
  <si>
    <t>PM 12</t>
  </si>
  <si>
    <t>DIP 1</t>
  </si>
  <si>
    <t>DIP  1</t>
  </si>
  <si>
    <t>OFFICE</t>
  </si>
  <si>
    <t xml:space="preserve">BOILER </t>
  </si>
  <si>
    <t xml:space="preserve"> IPAL</t>
  </si>
  <si>
    <t>UTILITTY PM</t>
  </si>
  <si>
    <t>PM14</t>
  </si>
  <si>
    <t xml:space="preserve">PM 14 </t>
  </si>
  <si>
    <t>PM15</t>
  </si>
  <si>
    <t>DIP2</t>
  </si>
  <si>
    <t>PM16</t>
  </si>
  <si>
    <t>PM17</t>
  </si>
  <si>
    <t>Pembagian DIP 2</t>
  </si>
  <si>
    <t>PM</t>
  </si>
  <si>
    <t>STOCKPREP</t>
  </si>
  <si>
    <t>Vacuum A</t>
  </si>
  <si>
    <t>Vacuum B</t>
  </si>
  <si>
    <t>MCC AUX TM (3200A)</t>
  </si>
  <si>
    <t>Yankee, Popereel</t>
  </si>
  <si>
    <t>Hood, F.Pump, Felt, Wire</t>
  </si>
  <si>
    <t>StockPrep &amp; UTM 2</t>
  </si>
  <si>
    <t>REW.1 (800A)</t>
  </si>
  <si>
    <t>REW. 2 (800A)</t>
  </si>
  <si>
    <t>M.DDR1LF</t>
  </si>
  <si>
    <t>DDR THICKLING</t>
  </si>
  <si>
    <t>Trafo 3000(A)</t>
  </si>
  <si>
    <t>Trafo 3000 (barat)</t>
  </si>
  <si>
    <t>Trafo 3000 (Timur)</t>
  </si>
  <si>
    <t>Rewinder tengah</t>
  </si>
  <si>
    <t>Pulper</t>
  </si>
  <si>
    <t>MCC</t>
  </si>
  <si>
    <t>Drive Panel</t>
  </si>
  <si>
    <t>Aux Panel</t>
  </si>
  <si>
    <t>Stockprep</t>
  </si>
  <si>
    <t xml:space="preserve">Pulper </t>
  </si>
  <si>
    <t>PM12</t>
  </si>
  <si>
    <t>Dibuat oleh,</t>
  </si>
  <si>
    <t>Mengetahui,</t>
  </si>
  <si>
    <t>DIP1</t>
  </si>
  <si>
    <t>Tikno R</t>
  </si>
  <si>
    <t>Johana P</t>
  </si>
  <si>
    <t>Boiler</t>
  </si>
  <si>
    <t>Office</t>
  </si>
  <si>
    <t>Utility</t>
  </si>
  <si>
    <t>Converting3</t>
  </si>
  <si>
    <t>Lost trafo</t>
  </si>
  <si>
    <t>Outgoing PM14 15</t>
  </si>
  <si>
    <t>StockPrep &amp; UTM 1</t>
  </si>
  <si>
    <t>Sinergy Power Supply</t>
  </si>
  <si>
    <t>Sun to Sin</t>
  </si>
  <si>
    <t>Sin to Sun</t>
  </si>
  <si>
    <t>Kwh meter akhir</t>
  </si>
  <si>
    <t>Kwh meter awal</t>
  </si>
  <si>
    <t>Total pemakaian</t>
  </si>
  <si>
    <t>kwh</t>
  </si>
  <si>
    <t>cubicle-mcc-drive-stock-converting3dibagi3</t>
  </si>
  <si>
    <t>A. Gery Annahl</t>
  </si>
  <si>
    <t>x 32000</t>
  </si>
  <si>
    <t>Incoming Trafo Converting 1 &amp; 2</t>
  </si>
  <si>
    <t>Converting1&amp;2</t>
  </si>
  <si>
    <t>Jalan 2 Pulper</t>
  </si>
  <si>
    <t>1 Hari</t>
  </si>
  <si>
    <t>LAPORAN PEMAKAIAN LISTRIK BULAN MEI 2024</t>
  </si>
  <si>
    <t>ddr1</t>
  </si>
  <si>
    <t>thickling</t>
  </si>
  <si>
    <t>deflaker</t>
  </si>
  <si>
    <t>1.4 TURBO VACUUM</t>
  </si>
  <si>
    <t>Vacuum Turbo</t>
  </si>
  <si>
    <t>Sinergy To Sun</t>
  </si>
  <si>
    <t>SUN to SIN</t>
  </si>
  <si>
    <t>SIN to SUN</t>
  </si>
  <si>
    <t>TOTAL DIP 1+2</t>
  </si>
  <si>
    <t>PM 12 DIP 1 (1-9 juli)+(22-31juli)</t>
  </si>
  <si>
    <t>PM 12 DIP 1+2 (1-21 juli)</t>
  </si>
  <si>
    <t>PM 15 DIP 2 1+2 (10-22 juli)</t>
  </si>
  <si>
    <t>Data pemakaian listrik Sun Paper to Sinergy :</t>
  </si>
  <si>
    <t>Data pemakaian listrik Sinergy to Sun Paper :</t>
  </si>
  <si>
    <t>PLN-PM11-PM12-DIP1-office-boiler-Ipal-utility-convt1&amp;2-conv1&amp;2-convt3-PM14-PM15-DIP2-PM16-PM17-sinergy+sin</t>
  </si>
  <si>
    <t>Converting 1 ,2 &amp; 3</t>
  </si>
  <si>
    <t>Pembagian DIP 1</t>
  </si>
  <si>
    <t>Pulper WPL</t>
  </si>
  <si>
    <t>Drive/PM</t>
  </si>
  <si>
    <t>Stock Prep</t>
  </si>
  <si>
    <t>Rewinder</t>
  </si>
  <si>
    <t>PM+Pulper</t>
  </si>
  <si>
    <t>Rewinder+Compressor</t>
  </si>
  <si>
    <t>Stock</t>
  </si>
  <si>
    <t>WPL Line</t>
  </si>
  <si>
    <t>pulper WPL + WPL line = WPL total</t>
  </si>
  <si>
    <t xml:space="preserve">power trafo 2000 = trafo 2000 -  wpl line </t>
  </si>
  <si>
    <t>Data pemakaian steam :</t>
  </si>
  <si>
    <t>Flowmeter akhir</t>
  </si>
  <si>
    <t>Flowmeter awal</t>
  </si>
  <si>
    <t>Ton</t>
  </si>
  <si>
    <t>LAPORAN LISTRIK BULAN JANUARI 2025</t>
  </si>
  <si>
    <t>DIP 1 dan DIP 2 PM12 ; WPL 50% PM15 , 50% PM17</t>
  </si>
  <si>
    <t>DIP 1 dan DIP 2 PM12 ; WPL 50% PM15 100%</t>
  </si>
  <si>
    <t>DIP 1 PM12 100% DIP 2 PM15 100%; WPL PM 17 100%</t>
  </si>
  <si>
    <t>DIP 1 PM12 100% DIP 2 PM15 60% PM 17 40%; WPL stop</t>
  </si>
  <si>
    <t>DIP 1 PM12 100% DIP 2 PM15 50% PM 17 50%; WPL stop</t>
  </si>
  <si>
    <t>DIP 1 PM12 100% DIP 2 PM15 55% PM 17 45%; WPL stop</t>
  </si>
  <si>
    <t>Converting unit 2</t>
  </si>
  <si>
    <t>Project</t>
  </si>
  <si>
    <t>SDP 6</t>
  </si>
  <si>
    <t>SDP 7</t>
  </si>
  <si>
    <t>Mwh</t>
  </si>
  <si>
    <t>DIP 1 PM12 100% DIP 2 PM15 40% PM 17 60%; WPL stop</t>
  </si>
  <si>
    <t>DIP 1 PM12 100% DIP 2 PM 17 100%; WPL stop</t>
  </si>
  <si>
    <t>DIP 1 PM12 100% DIP 2 PM 15 25% PM 17 75%; WPL stop</t>
  </si>
  <si>
    <t>DIP 1 PM12 100% DIP 2 PM 15 60% PM 17 40%; WPL stop</t>
  </si>
  <si>
    <t>DIP 1 PM12 100% DIP 2 PM 15 70% PM 17 30%; WPL stop</t>
  </si>
  <si>
    <t>DIP 1 PM12 100% DIP 2 Stop; WPL stop</t>
  </si>
  <si>
    <t>DIP 1 PM12 100% DIP 2 PM 15 100%; WPL stop</t>
  </si>
  <si>
    <t>HPP Stock, perhitungan</t>
  </si>
  <si>
    <t>55KW</t>
  </si>
  <si>
    <t>30KW</t>
  </si>
  <si>
    <t>Load rata rata 63.55%</t>
  </si>
  <si>
    <t>Porsi energy :</t>
  </si>
  <si>
    <t>85 x 0.6355 x 24</t>
  </si>
  <si>
    <t>Stockprep PM16</t>
  </si>
  <si>
    <t>Stockprep PM17</t>
  </si>
  <si>
    <t>PHP PM</t>
  </si>
  <si>
    <t>Total tanpa HPP</t>
  </si>
  <si>
    <t>Selain HPP dan Adjust</t>
  </si>
  <si>
    <t>Adjust (PHP x porsi)</t>
  </si>
  <si>
    <t>Selain HPP (Total SP - Porsi)</t>
  </si>
  <si>
    <t xml:space="preserve">Project PM (Panel laporan CVT) </t>
  </si>
  <si>
    <t>Project PM Trafo depan</t>
  </si>
  <si>
    <t>Project PM panel</t>
  </si>
  <si>
    <t>Project PM Trafo</t>
  </si>
  <si>
    <t>Tanggal</t>
  </si>
  <si>
    <t>Pembagian DIP &amp; WPL</t>
  </si>
  <si>
    <t>DIP 1 PM12 100%; DIP 2 Stop; WPL stop</t>
  </si>
  <si>
    <t>DIP 1 Stop; DIP 2 PM12 55% PM17 45%; WPL stop</t>
  </si>
  <si>
    <t xml:space="preserve">Daily SUN 2 </t>
  </si>
  <si>
    <t>Total KWH</t>
  </si>
  <si>
    <t>Sinergy</t>
  </si>
  <si>
    <t>Cubicle SUN</t>
  </si>
  <si>
    <t>PM 18</t>
  </si>
  <si>
    <t>PM 19</t>
  </si>
  <si>
    <t>SP Trafo 1</t>
  </si>
  <si>
    <t>SP Trafo 2</t>
  </si>
  <si>
    <t>SP Panel Agitator</t>
  </si>
  <si>
    <t>SP Panel Utility</t>
  </si>
  <si>
    <t>Panel Aux</t>
  </si>
  <si>
    <t>Panel Drive</t>
  </si>
  <si>
    <t>UTM</t>
  </si>
  <si>
    <t>Dust Removal</t>
  </si>
  <si>
    <t>Total PLN</t>
  </si>
  <si>
    <t>Total Sin</t>
  </si>
  <si>
    <t>Total SP</t>
  </si>
  <si>
    <t>Total PM 18</t>
  </si>
  <si>
    <t>Total PM 19</t>
  </si>
  <si>
    <t>Total CVT</t>
  </si>
  <si>
    <t>Losses</t>
  </si>
  <si>
    <t>DIP 1 Stop; DIP 2 PM12 50% PM17 50%; WPL stop</t>
  </si>
  <si>
    <t>PLN SUN 2</t>
  </si>
  <si>
    <t>SINERGY</t>
  </si>
  <si>
    <t>Converting 2</t>
  </si>
  <si>
    <t>Total PLN sun 2</t>
  </si>
  <si>
    <t>CVT unit 2</t>
  </si>
  <si>
    <t>Selisih PLN-Cubicle SUN</t>
  </si>
  <si>
    <t>CUBICLE</t>
  </si>
  <si>
    <t>DIP 1 Stop; DIP 2 PM12 55% PM15 45%; WPL stop</t>
  </si>
  <si>
    <t>DIP 1 PM 12 100%; DIP 2 PM12 55% PM15 45%; WPL stop</t>
  </si>
  <si>
    <t>DIP 1 PM 12 100%; DIP 2 PM15 100%; WPL stop</t>
  </si>
  <si>
    <t>PLN - 380</t>
  </si>
  <si>
    <t>PLN - cubicle</t>
  </si>
  <si>
    <t>Adjust</t>
  </si>
  <si>
    <t>PLN+Sin-Stock prep-PM18-PM19-Conv2</t>
  </si>
  <si>
    <t>&lt;--tulis</t>
  </si>
  <si>
    <t>Sun To Sin</t>
  </si>
  <si>
    <t>LAPORAN LISTRIK BULAN FEBRUARI 2025</t>
  </si>
  <si>
    <t>Selisih cubicle SP-Trafo</t>
  </si>
  <si>
    <t>cubicle 19-mcc</t>
  </si>
  <si>
    <t>mcc-aux-util-drive</t>
  </si>
  <si>
    <t>cubcile 18-mcc</t>
  </si>
  <si>
    <t>Rincian pembagian DIP 1 &amp; DIP 2</t>
  </si>
  <si>
    <t>DIP 1 PM12 100% DIP 2 Stop; WPL stop (Listrik panel DIP2 harusnya masuk DIP 1 (PM12)</t>
  </si>
  <si>
    <t>DIP 1 PM12 100% DIP 2 Stop; WPL stop (pemakaian panel dimasukkan DIP1 (PM12))</t>
  </si>
  <si>
    <t>DIP 1 stop; DIP 2 Stop; WPL stop (pemakaian panel dimasukkan DIP1 (PM12))</t>
  </si>
  <si>
    <t>Converting 1</t>
  </si>
  <si>
    <t xml:space="preserve">Converting Unit 2 </t>
  </si>
  <si>
    <t>DIP 1 &amp; 2 PM12 100%; WPL stop</t>
  </si>
  <si>
    <t>Kompressor</t>
  </si>
  <si>
    <t>Pembagian</t>
  </si>
  <si>
    <t>MCC 16</t>
  </si>
  <si>
    <t>MCC 17</t>
  </si>
  <si>
    <t>PHP</t>
  </si>
  <si>
    <t>DIP 1 PM12 100%; WPL+DIP2 PM15 100%</t>
  </si>
  <si>
    <t>DIP 1 PM12 100%; WPL+DIP2 PM17 100%</t>
  </si>
  <si>
    <t>DIP 1 PM12 100%; WPL PM17 100 % DIP2 PM17 30.69% PM 12 69.31%</t>
  </si>
  <si>
    <t>Data pemakaian steam PM 11-17:</t>
  </si>
  <si>
    <t>Data pemakaian steam PM18-20:</t>
  </si>
  <si>
    <t>LAPORAN LISTRIK BULAN MARET 2025</t>
  </si>
  <si>
    <t>TGL</t>
  </si>
  <si>
    <t>PM 20</t>
  </si>
  <si>
    <t>Total PM 20</t>
  </si>
  <si>
    <t>DIP 1 &amp; 2 PM12 65% PM17 35%; WPL stop</t>
  </si>
  <si>
    <t>DIP 1 &amp; 2 PM12 58% PM17 42%; WPL stop</t>
  </si>
  <si>
    <t>DIP 1 &amp; 2 PM12 55% PM17 45%; WPL stop</t>
  </si>
  <si>
    <t>DIP 1 &amp; 2 PM12 49% PM17 51%; WPL stop</t>
  </si>
  <si>
    <t>DIP 1 &amp; 2 PM12 57% PM17 43%; WPL stop</t>
  </si>
  <si>
    <t>DIP 1 &amp; 2 PM12 59% PM17 41%; WPL stop</t>
  </si>
  <si>
    <t>DIP 1 PM12 100%;DIP2 PM12 31% PM17 69%; WPL stop</t>
  </si>
  <si>
    <t>DIP 1 PM12 100%;DIP2 PM17 100%; WPL stop</t>
  </si>
  <si>
    <t>DIP 1 PM12 100%;DIP2 PM15 52% &amp;PM17 48%; WPL stop</t>
  </si>
  <si>
    <t>WPL Pulper</t>
  </si>
  <si>
    <t>Waste Line</t>
  </si>
  <si>
    <t>P. WPL</t>
  </si>
  <si>
    <t>P. DIP 1</t>
  </si>
  <si>
    <t>P. DIP 2</t>
  </si>
  <si>
    <t>DIP 1 PM12 100%;DIP2 PM15 54% &amp;PM17 46%; WPL stop</t>
  </si>
  <si>
    <t>Pembagian WPL</t>
  </si>
  <si>
    <t>DIP</t>
  </si>
  <si>
    <t>P. DIP</t>
  </si>
  <si>
    <t>DIP 1 PM12 100%;DIP2 PM15 55% &amp;PM17 45%; WPL stop</t>
  </si>
  <si>
    <t>DIP 1 PM12 100%;DIP2 PM15 56% &amp;PM17 44%; WPL stop</t>
  </si>
  <si>
    <t>DIP 1 PM12 100%;DIP2 PM15 51% &amp;PM17 49%; WPL PM14 100%</t>
  </si>
  <si>
    <t>DIP 1 PM12 100%;DIP2 PM15 50% &amp;PM17 50%; WPL PM14 100%</t>
  </si>
  <si>
    <t>Data pemakaian steam SUN2 :</t>
  </si>
  <si>
    <t>Data pemakaian steam SUN1 :</t>
  </si>
  <si>
    <t>DIP 1 PM12 100%;DIP2 PM15 54% &amp;PM17 56%; WPL PM14 100%</t>
  </si>
  <si>
    <t>LAPORAN LISTRIK BULAN APRIL 2025</t>
  </si>
  <si>
    <t>PM 21</t>
  </si>
  <si>
    <t>Total PM 21</t>
  </si>
  <si>
    <t>DIP1 PM12 100%;DIP2 PM15 100%; WPL PM14 54% PM17 46%</t>
  </si>
  <si>
    <t>DIP1 PM12 100%;DIP2 PM15 52% &amp;PM17 48%; WPL PM14 100%</t>
  </si>
  <si>
    <t>DIP1 PM12 100%;DIP2 PM15 56% &amp;PM17 44%; WPL PM14 100%</t>
  </si>
  <si>
    <t>DIP1 PM12 100%;DIP2 PM15 42% &amp;PM17 58%; WPL PM14 100%</t>
  </si>
  <si>
    <t>DIP1 PM12 100%;DIP2 PM15 53% &amp;PM17 47%; WPL PM14 100%</t>
  </si>
  <si>
    <t>DIP1 PM12 100%;DIP2 PM15 100%; WPL PM17 100%</t>
  </si>
  <si>
    <t>DIP1 PM12 100%;DIP2 PM15 100%; WPL Stop</t>
  </si>
  <si>
    <t>DIP1 PM12 Stop; DIP2 PM15 100%; WPL Stop</t>
  </si>
  <si>
    <t>DIP1 PM12 Stop; DIP2 PM12 49% PM15 51%; WPL Stop</t>
  </si>
  <si>
    <t>PM 22</t>
  </si>
  <si>
    <t xml:space="preserve">PM 22 </t>
  </si>
  <si>
    <t>DIP1 PM12 Stop; DIP2 PM12 53% PM15 47%; WPL Stop</t>
  </si>
  <si>
    <t>DIP1 PM12 100%; DIP2 PM15 50% PM17 50%; WPL Stop</t>
  </si>
  <si>
    <t>DIP1 PM12 100%; DIP2 PM15 55% PM17 45%; WPL Stop</t>
  </si>
  <si>
    <t>DIP1 PM12 100%; DIP2 PM15 52% PM17 48%; WPL Stop</t>
  </si>
  <si>
    <t>DIP1 PM12 100%; DIP2 PM15 51% PM17 49%; WPL Stop</t>
  </si>
  <si>
    <t>DIP1 PM12 100%; DIP2 PM15 49% PM17 51%; WPL Stop</t>
  </si>
  <si>
    <t>LAPORAN LISTRIK BULAN MEI 2025</t>
  </si>
  <si>
    <t>Detail Pembagian</t>
  </si>
  <si>
    <t>DIP1 PM12 100%; DIP2 PM15 31% PM17 69%; WPL Stop</t>
  </si>
  <si>
    <t>DIP1 PM12 100%; DIP2 PM15 48% PM17 52%; WPL Stop</t>
  </si>
  <si>
    <t>DIP1 PM12 100%; DIP2 PM15 47% PM17 53%; WPL Stop</t>
  </si>
  <si>
    <t>DIP1 PM12 100%; DIP2 PM15 44% PM17 56%; WPL Stop</t>
  </si>
  <si>
    <t>DIP1 PM12 100%; DIP2 PM15 53% PM17 47%; WPL Stop</t>
  </si>
  <si>
    <t>DIP1 PM12 100%; DIP2 PM15 46% PM17 54%; WPL Stop</t>
  </si>
  <si>
    <t>DIP1 PM12 100%; DIP2 PM15 45% PM17 55%; WPL Stop</t>
  </si>
  <si>
    <t>DIP1 PM12 100%; DIP2 PM15 46% PM17 44%; WPL Stop</t>
  </si>
  <si>
    <t>DIP1 PM12 100%; DIP2 PM15 100%; WPL Stop</t>
  </si>
  <si>
    <t>ConvertingUNT 2</t>
  </si>
  <si>
    <t>ConvertingUNT 1</t>
  </si>
  <si>
    <t>LAPORAN LISTRIK BULAN JUNI 2025</t>
  </si>
  <si>
    <t>No</t>
  </si>
  <si>
    <t>DIP1 PM12 100%; DIP2 Stop; WPL Stop</t>
  </si>
  <si>
    <t>DIP1 Stop; DIP2 PM12 100%; WPL PM15 100%</t>
  </si>
  <si>
    <t>DIP1 Stop; DIP2 PM12 100%; WPL PM17 100%</t>
  </si>
  <si>
    <t>DIP1 PM 12 100%; DIP2 PM15 100%; WPL Stop</t>
  </si>
  <si>
    <t>DIP1 PM 12 100%; DIP2 PM15 51% PM 17 49% ; WPL Stop</t>
  </si>
  <si>
    <t>DIP1 PM 12 100%; DIP2 PM15 50% PM 17 50% ; WPL Stop</t>
  </si>
  <si>
    <t>DIP1 PM 12 100%; DIP2 PM15 49% PM 17 51% ; WPL Stop</t>
  </si>
  <si>
    <t>DIP1 PM 12 100%; DIP2 PM15 48% PM 17 52% ; WPL Stop</t>
  </si>
  <si>
    <t>CVT2 + project = pemakaian sun2</t>
  </si>
  <si>
    <t>LAPORAN LISTRIK BULAN JULI 2025</t>
  </si>
  <si>
    <t>LAPORAN LISTRIK BULAN AGUSTUS 2025</t>
  </si>
  <si>
    <t>DIP1 PM 12 Stop; DIP2 PM15 50% PM 17 50% ; WPL Stop</t>
  </si>
  <si>
    <t>DIP1 PM 12 Stop; DIP2 PM15 51% PM 17 49% ; WPL Stop</t>
  </si>
  <si>
    <t>DIP1 PM 12 Stop; DIP2 PM12 Stop ; WPL Stop</t>
  </si>
  <si>
    <t>DIP1 PM 12 Stop; DIP2 PM15 56% PM 17 44% ; WPL Stop</t>
  </si>
  <si>
    <t>DIP1 PM 12 Stop; DIP2 PM15 100% ; WPL Stop</t>
  </si>
  <si>
    <t>(                               )</t>
  </si>
  <si>
    <t>SUN 2</t>
  </si>
  <si>
    <t>SUN 1</t>
  </si>
  <si>
    <t>Incoming Trafo Converting 3
SUN 2</t>
  </si>
  <si>
    <t>Incoming Trafo Converting 1 &amp; 2
SUN 1</t>
  </si>
  <si>
    <t>ADJUST</t>
  </si>
  <si>
    <t>ADJUST
SUN 1</t>
  </si>
  <si>
    <t>ADJUST
SUN 2</t>
  </si>
  <si>
    <t>MCC Trafo Pulper</t>
  </si>
  <si>
    <t>PANEL BOILER</t>
  </si>
  <si>
    <t>Cubicle SP Stock Prep</t>
  </si>
  <si>
    <t>cubicle PLN</t>
  </si>
  <si>
    <t>Cubicle Sinergy</t>
  </si>
  <si>
    <t>DIP1 PM 12; DIP2 PM15 60% PM 12 40% ; WPL Stop</t>
  </si>
  <si>
    <t>DIP1 PM 12; DIP2 PM15 51% PM 17 49% ; WPL Stop</t>
  </si>
  <si>
    <t>DIP1 PM 12; DIP2 PM15 48% PM 17 52% ; WPL Stop</t>
  </si>
  <si>
    <t>DIP1 PM 12; DIP2 PM15 50% PM 17 50% ; WPL Stop</t>
  </si>
  <si>
    <t>DIP1 PM 12; DIP2 PM15 55% PM 17 45% ; WPL Stop</t>
  </si>
  <si>
    <t>KWH (x100)</t>
  </si>
  <si>
    <t>KWH (x1000)</t>
  </si>
  <si>
    <t>KWH (/1000)</t>
  </si>
  <si>
    <t>DIP1 PM 12; DIP2 PM15 49% PM 17 51% ; WPL Stop</t>
  </si>
  <si>
    <t>Lanjut</t>
  </si>
  <si>
    <t>laporan</t>
  </si>
  <si>
    <t>DIP1 PM 12; DIP2 PM15 53% PM 17 47% ; WPL Stop</t>
  </si>
  <si>
    <t>DIP1 PM 12; DIP2 PM15 43% PM 17 57% ; WPL Stop</t>
  </si>
  <si>
    <t>CVT</t>
  </si>
  <si>
    <t>Go to SUN 2</t>
  </si>
  <si>
    <t>go to
adjust 1</t>
  </si>
  <si>
    <t>Back to
PM 14</t>
  </si>
  <si>
    <t>go to Kompressor</t>
  </si>
  <si>
    <t>back to PM 17</t>
  </si>
  <si>
    <t>DIP1 PM 12; DIP2 PM 17; WPL Stop</t>
  </si>
  <si>
    <t>GO TO SYNERGY</t>
  </si>
  <si>
    <t>GO TO ADJUST SUN2</t>
  </si>
  <si>
    <t>utk REKAP</t>
  </si>
  <si>
    <t>utk INPUT</t>
  </si>
  <si>
    <t>BOILER &amp; IPAL</t>
  </si>
  <si>
    <t>CROSSCHECK dengan SYNERGY</t>
  </si>
  <si>
    <t>DATA PEMAKAIAN LISTRIK SINERGY TO SUN PAPER :</t>
  </si>
  <si>
    <t/>
  </si>
  <si>
    <t>DATA PEMAKAIAN STEAM SUN1 :</t>
  </si>
  <si>
    <t>DATA PEMAKAIAN STEAM SUN2 :</t>
  </si>
  <si>
    <t>DIP1 STOP; DIP2 STOP; WPL Stop</t>
  </si>
  <si>
    <t>DIP1 STOP; DIP2 PM 12; WPL Stop</t>
  </si>
  <si>
    <t>DIP1 STOP; DIP2 PM 12 53%, PM 15 47%; WPL Stop</t>
  </si>
  <si>
    <t>DIP1 STOP; DIP2 PM 12 49%, PM 15 51%; WPL Stop</t>
  </si>
  <si>
    <t>DIP1 STOP; DIP2 PM 12 54%, PM 15 46%; WPL Stop</t>
  </si>
  <si>
    <t>DIP1 STOP; DIP2 PM 12 60%, PM 15 40%; WPL Stop</t>
  </si>
  <si>
    <t>DIP1 STOP; DIP2 PM 12 66%, PM 15 34%; WPL Stop</t>
  </si>
  <si>
    <t>DIP1 STOP; DIP2 PM 12 56%, PM 15 44%; WPL Stop</t>
  </si>
  <si>
    <t>DIP1 STOP; DIP2 PM 12 67%, PM 15 33%; WPL Stop</t>
  </si>
  <si>
    <t>DIP1 STOP; DIP2 PM 12 62%, PM 15 38%; WPL Stop</t>
  </si>
  <si>
    <t>DIP1 STOP; DIP2 PM 12 58%, PM 15 42%; WPL Stop</t>
  </si>
  <si>
    <t>DIP1 STOP; DIP2 PM 12 59%, PM 15 41%; WPL Stop</t>
  </si>
  <si>
    <t>DIP1 PM 12; DIP2 PM 15 ; WPL Stop</t>
  </si>
  <si>
    <t>ganti flowmeter</t>
  </si>
  <si>
    <t>DIP1 PM 12; DIP2 PM 15 73%, PM 17 27% ; WPL Stop</t>
  </si>
  <si>
    <t>DIP1 STOP; DIP2 PM 12 52%, PM 15 48%; WPL Stop</t>
  </si>
  <si>
    <t>DIP1 PM 12; DIP2 PM 15 52%, PM 17 48% ; WPL 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</si>
</sst>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\-??_);_(@_)"/>
    <numFmt numFmtId="167" formatCode="#,##0.000"/>
    <numFmt numFmtId="168" formatCode="#,##0.0"/>
    <numFmt numFmtId="169" formatCode="_(* #,##0.000_);_(* \(#,##0.000\);_(* &quot;-&quot;??_);_(@_)"/>
    <numFmt numFmtId="170" formatCode="#,##0.0000"/>
    <numFmt numFmtId="171" formatCode="#,##0.00000"/>
    <numFmt numFmtId="172" formatCode="_(* #,##0.0_);_(* \(#,##0.0\);_(* \-??_);_(@_)"/>
    <numFmt numFmtId="173" formatCode="_(* #,##0.0000_);_(* \(#,##0.0000\);_(* &quot;-&quot;??_);_(@_)"/>
    <numFmt numFmtId="174" formatCode="_(* #,##0.00_);_(* \(#,##0.00\);_(* &quot;-&quot;_);_(@_)"/>
    <numFmt numFmtId="175" formatCode="_(* #,##0_);_(* \(#,##0\);_(* &quot;-&quot;??_);_(@_)"/>
    <numFmt numFmtId="176" formatCode="0.0000"/>
    <numFmt numFmtId="177" formatCode="_-* #,##0.0000_-;\-* #,##0.0000_-;_-* &quot;-&quot;????_-;_-@_-"/>
    <numFmt numFmtId="178" formatCode="0.000"/>
    <numFmt numFmtId="179" formatCode="0.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20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26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8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72"/>
      <color theme="1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72"/>
      <color theme="1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587D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0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0" fontId="23" fillId="0" borderId="0" applyNumberFormat="0" applyFill="0" applyBorder="0" applyAlignment="0" applyProtection="0"/>
  </cellStyleXfs>
  <cellXfs count="549">
    <xf numFmtId="0" fontId="0" fillId="0" borderId="0" xfId="0"/>
    <xf numFmtId="0" fontId="3" fillId="0" borderId="0" xfId="0" applyFont="1"/>
    <xf numFmtId="165" fontId="1" fillId="0" borderId="0" xfId="1" applyFont="1"/>
    <xf numFmtId="165" fontId="0" fillId="0" borderId="0" xfId="0" applyNumberFormat="1"/>
    <xf numFmtId="0" fontId="4" fillId="2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" fontId="4" fillId="0" borderId="1" xfId="0" applyNumberFormat="1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0" borderId="3" xfId="0" applyFont="1" applyBorder="1"/>
    <xf numFmtId="0" fontId="3" fillId="0" borderId="4" xfId="0" applyFont="1" applyBorder="1"/>
    <xf numFmtId="0" fontId="4" fillId="0" borderId="1" xfId="0" applyFont="1" applyBorder="1" applyAlignment="1">
      <alignment horizontal="center" vertical="center"/>
    </xf>
    <xf numFmtId="4" fontId="6" fillId="0" borderId="1" xfId="1" applyNumberFormat="1" applyFont="1" applyFill="1" applyBorder="1" applyAlignment="1" applyProtection="1">
      <alignment horizontal="center" vertical="center"/>
    </xf>
    <xf numFmtId="0" fontId="0" fillId="0" borderId="1" xfId="0" applyBorder="1"/>
    <xf numFmtId="4" fontId="4" fillId="0" borderId="1" xfId="1" applyNumberFormat="1" applyFont="1" applyFill="1" applyBorder="1" applyAlignment="1" applyProtection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/>
    <xf numFmtId="0" fontId="3" fillId="0" borderId="2" xfId="0" applyFont="1" applyBorder="1"/>
    <xf numFmtId="0" fontId="3" fillId="0" borderId="3" xfId="0" applyFont="1" applyBorder="1" applyAlignment="1">
      <alignment horizontal="center"/>
    </xf>
    <xf numFmtId="165" fontId="0" fillId="0" borderId="0" xfId="1" applyFont="1"/>
    <xf numFmtId="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" fontId="7" fillId="0" borderId="1" xfId="1" applyNumberFormat="1" applyFont="1" applyFill="1" applyBorder="1" applyAlignment="1" applyProtection="1">
      <alignment horizontal="center" vertical="center"/>
    </xf>
    <xf numFmtId="167" fontId="7" fillId="0" borderId="1" xfId="1" applyNumberFormat="1" applyFont="1" applyFill="1" applyBorder="1" applyAlignment="1" applyProtection="1">
      <alignment horizontal="center" vertical="center"/>
    </xf>
    <xf numFmtId="3" fontId="7" fillId="0" borderId="1" xfId="1" applyNumberFormat="1" applyFont="1" applyFill="1" applyBorder="1" applyAlignment="1" applyProtection="1">
      <alignment horizontal="center" vertical="center"/>
    </xf>
    <xf numFmtId="168" fontId="7" fillId="0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1" xfId="0" applyBorder="1"/>
    <xf numFmtId="0" fontId="7" fillId="0" borderId="1" xfId="0" applyFont="1" applyBorder="1" applyAlignment="1">
      <alignment horizontal="right" vertical="center"/>
    </xf>
    <xf numFmtId="169" fontId="6" fillId="0" borderId="7" xfId="1" applyNumberFormat="1" applyFont="1" applyFill="1" applyBorder="1" applyAlignment="1">
      <alignment horizontal="right" vertical="center"/>
    </xf>
    <xf numFmtId="4" fontId="7" fillId="0" borderId="1" xfId="1" applyNumberFormat="1" applyFont="1" applyFill="1" applyBorder="1" applyAlignment="1" applyProtection="1">
      <alignment horizontal="right" vertical="center"/>
    </xf>
    <xf numFmtId="4" fontId="6" fillId="0" borderId="1" xfId="1" applyNumberFormat="1" applyFont="1" applyFill="1" applyBorder="1" applyAlignment="1" applyProtection="1">
      <alignment horizontal="right" vertical="center"/>
    </xf>
    <xf numFmtId="170" fontId="7" fillId="0" borderId="1" xfId="1" applyNumberFormat="1" applyFont="1" applyFill="1" applyBorder="1" applyAlignment="1" applyProtection="1">
      <alignment horizontal="right" vertical="center"/>
    </xf>
    <xf numFmtId="167" fontId="7" fillId="0" borderId="1" xfId="1" applyNumberFormat="1" applyFont="1" applyFill="1" applyBorder="1" applyAlignment="1" applyProtection="1">
      <alignment horizontal="right" vertical="center"/>
    </xf>
    <xf numFmtId="4" fontId="7" fillId="0" borderId="7" xfId="1" applyNumberFormat="1" applyFont="1" applyFill="1" applyBorder="1" applyAlignment="1" applyProtection="1">
      <alignment horizontal="right" vertical="center"/>
    </xf>
    <xf numFmtId="165" fontId="7" fillId="0" borderId="1" xfId="1" applyFont="1" applyFill="1" applyBorder="1" applyAlignment="1" applyProtection="1">
      <alignment horizontal="right" vertical="center"/>
    </xf>
    <xf numFmtId="4" fontId="7" fillId="0" borderId="1" xfId="0" applyNumberFormat="1" applyFont="1" applyBorder="1" applyAlignment="1">
      <alignment horizontal="right" vertical="center"/>
    </xf>
    <xf numFmtId="169" fontId="1" fillId="0" borderId="1" xfId="1" applyNumberFormat="1" applyFont="1" applyBorder="1"/>
    <xf numFmtId="171" fontId="7" fillId="0" borderId="1" xfId="1" applyNumberFormat="1" applyFont="1" applyFill="1" applyBorder="1" applyAlignment="1" applyProtection="1">
      <alignment horizontal="right" vertical="center"/>
    </xf>
    <xf numFmtId="3" fontId="6" fillId="0" borderId="1" xfId="1" applyNumberFormat="1" applyFont="1" applyFill="1" applyBorder="1" applyAlignment="1" applyProtection="1">
      <alignment horizontal="right" vertical="center"/>
    </xf>
    <xf numFmtId="3" fontId="6" fillId="0" borderId="1" xfId="4" applyNumberFormat="1" applyFont="1" applyFill="1" applyBorder="1" applyAlignment="1" applyProtection="1">
      <alignment horizontal="right" vertical="center"/>
    </xf>
    <xf numFmtId="165" fontId="1" fillId="0" borderId="1" xfId="1" applyFont="1" applyBorder="1"/>
    <xf numFmtId="165" fontId="7" fillId="0" borderId="1" xfId="1" applyFont="1" applyFill="1" applyBorder="1" applyAlignment="1">
      <alignment horizontal="right" vertical="center"/>
    </xf>
    <xf numFmtId="165" fontId="7" fillId="0" borderId="7" xfId="1" applyFont="1" applyFill="1" applyBorder="1" applyAlignment="1">
      <alignment horizontal="right" vertical="center"/>
    </xf>
    <xf numFmtId="169" fontId="6" fillId="0" borderId="1" xfId="1" applyNumberFormat="1" applyFont="1" applyFill="1" applyBorder="1" applyAlignment="1">
      <alignment horizontal="right" vertical="center"/>
    </xf>
    <xf numFmtId="169" fontId="7" fillId="0" borderId="1" xfId="1" applyNumberFormat="1" applyFont="1" applyFill="1" applyBorder="1" applyAlignment="1">
      <alignment horizontal="right" vertical="center"/>
    </xf>
    <xf numFmtId="172" fontId="6" fillId="2" borderId="1" xfId="1" applyNumberFormat="1" applyFont="1" applyFill="1" applyBorder="1" applyAlignment="1">
      <alignment horizontal="right" vertical="center"/>
    </xf>
    <xf numFmtId="4" fontId="7" fillId="3" borderId="1" xfId="1" applyNumberFormat="1" applyFont="1" applyFill="1" applyBorder="1" applyAlignment="1" applyProtection="1">
      <alignment horizontal="right" vertical="center"/>
    </xf>
    <xf numFmtId="165" fontId="0" fillId="0" borderId="1" xfId="1" applyFont="1" applyBorder="1"/>
    <xf numFmtId="173" fontId="1" fillId="0" borderId="1" xfId="1" applyNumberFormat="1" applyFont="1" applyBorder="1"/>
    <xf numFmtId="173" fontId="6" fillId="0" borderId="7" xfId="1" applyNumberFormat="1" applyFont="1" applyFill="1" applyBorder="1" applyAlignment="1" applyProtection="1">
      <alignment horizontal="right" vertical="center"/>
    </xf>
    <xf numFmtId="165" fontId="1" fillId="4" borderId="1" xfId="1" applyFont="1" applyFill="1" applyBorder="1"/>
    <xf numFmtId="165" fontId="0" fillId="0" borderId="1" xfId="0" applyNumberFormat="1" applyBorder="1" applyAlignment="1">
      <alignment horizontal="center" vertical="center"/>
    </xf>
    <xf numFmtId="165" fontId="7" fillId="0" borderId="1" xfId="1" applyFont="1" applyBorder="1"/>
    <xf numFmtId="0" fontId="7" fillId="0" borderId="1" xfId="0" applyFont="1" applyBorder="1"/>
    <xf numFmtId="165" fontId="0" fillId="0" borderId="0" xfId="1" applyFont="1" applyFill="1" applyBorder="1"/>
    <xf numFmtId="173" fontId="0" fillId="0" borderId="1" xfId="1" applyNumberFormat="1" applyFont="1" applyBorder="1"/>
    <xf numFmtId="167" fontId="1" fillId="0" borderId="1" xfId="1" applyNumberFormat="1" applyFont="1" applyBorder="1"/>
    <xf numFmtId="169" fontId="0" fillId="0" borderId="1" xfId="1" applyNumberFormat="1" applyFont="1" applyBorder="1"/>
    <xf numFmtId="165" fontId="7" fillId="0" borderId="4" xfId="1" applyFont="1" applyFill="1" applyBorder="1" applyAlignment="1" applyProtection="1">
      <alignment horizontal="right" vertical="center"/>
    </xf>
    <xf numFmtId="4" fontId="1" fillId="0" borderId="1" xfId="1" applyNumberFormat="1" applyFont="1" applyBorder="1"/>
    <xf numFmtId="169" fontId="0" fillId="0" borderId="1" xfId="0" applyNumberFormat="1" applyBorder="1"/>
    <xf numFmtId="165" fontId="7" fillId="0" borderId="0" xfId="1" applyFont="1"/>
    <xf numFmtId="4" fontId="1" fillId="0" borderId="0" xfId="1" applyNumberFormat="1" applyFont="1"/>
    <xf numFmtId="169" fontId="7" fillId="0" borderId="1" xfId="1" applyNumberFormat="1" applyFont="1" applyBorder="1"/>
    <xf numFmtId="169" fontId="1" fillId="0" borderId="1" xfId="1" applyNumberFormat="1" applyFont="1" applyFill="1" applyBorder="1" applyAlignment="1">
      <alignment horizontal="right" vertical="center"/>
    </xf>
    <xf numFmtId="174" fontId="1" fillId="0" borderId="1" xfId="2" applyNumberFormat="1" applyFont="1" applyBorder="1"/>
    <xf numFmtId="165" fontId="1" fillId="0" borderId="0" xfId="1" applyFont="1" applyFill="1" applyBorder="1"/>
    <xf numFmtId="10" fontId="0" fillId="0" borderId="0" xfId="0" applyNumberFormat="1"/>
    <xf numFmtId="165" fontId="1" fillId="0" borderId="11" xfId="1" applyFont="1" applyFill="1" applyBorder="1"/>
    <xf numFmtId="16" fontId="4" fillId="0" borderId="15" xfId="0" applyNumberFormat="1" applyFont="1" applyBorder="1" applyAlignment="1">
      <alignment horizontal="right" vertical="center"/>
    </xf>
    <xf numFmtId="4" fontId="5" fillId="0" borderId="16" xfId="1" applyNumberFormat="1" applyFont="1" applyFill="1" applyBorder="1" applyAlignment="1" applyProtection="1">
      <alignment horizontal="right" vertical="center"/>
    </xf>
    <xf numFmtId="4" fontId="4" fillId="0" borderId="16" xfId="1" applyNumberFormat="1" applyFont="1" applyFill="1" applyBorder="1" applyAlignment="1" applyProtection="1">
      <alignment horizontal="right" vertical="center"/>
    </xf>
    <xf numFmtId="4" fontId="4" fillId="0" borderId="16" xfId="0" applyNumberFormat="1" applyFont="1" applyBorder="1" applyAlignment="1">
      <alignment horizontal="right" vertical="center"/>
    </xf>
    <xf numFmtId="4" fontId="7" fillId="0" borderId="16" xfId="0" applyNumberFormat="1" applyFont="1" applyBorder="1" applyAlignment="1">
      <alignment horizontal="right" vertical="center"/>
    </xf>
    <xf numFmtId="3" fontId="4" fillId="0" borderId="16" xfId="1" applyNumberFormat="1" applyFont="1" applyFill="1" applyBorder="1" applyAlignment="1" applyProtection="1">
      <alignment horizontal="right" vertical="center"/>
    </xf>
    <xf numFmtId="168" fontId="4" fillId="0" borderId="16" xfId="1" applyNumberFormat="1" applyFont="1" applyFill="1" applyBorder="1" applyAlignment="1" applyProtection="1">
      <alignment horizontal="right" vertical="center"/>
    </xf>
    <xf numFmtId="3" fontId="7" fillId="0" borderId="16" xfId="0" applyNumberFormat="1" applyFont="1" applyBorder="1" applyAlignment="1">
      <alignment horizontal="right" vertical="center"/>
    </xf>
    <xf numFmtId="175" fontId="1" fillId="0" borderId="17" xfId="1" applyNumberFormat="1" applyFont="1" applyFill="1" applyBorder="1" applyAlignment="1" applyProtection="1">
      <alignment horizontal="right"/>
    </xf>
    <xf numFmtId="0" fontId="7" fillId="0" borderId="16" xfId="0" applyFont="1" applyBorder="1" applyAlignment="1">
      <alignment horizontal="right" vertical="center"/>
    </xf>
    <xf numFmtId="172" fontId="5" fillId="0" borderId="16" xfId="1" applyNumberFormat="1" applyFont="1" applyFill="1" applyBorder="1" applyAlignment="1" applyProtection="1">
      <alignment horizontal="right" vertical="center"/>
    </xf>
    <xf numFmtId="172" fontId="5" fillId="2" borderId="16" xfId="1" applyNumberFormat="1" applyFont="1" applyFill="1" applyBorder="1" applyAlignment="1" applyProtection="1">
      <alignment horizontal="right" vertical="center"/>
    </xf>
    <xf numFmtId="172" fontId="5" fillId="3" borderId="16" xfId="1" applyNumberFormat="1" applyFont="1" applyFill="1" applyBorder="1" applyAlignment="1" applyProtection="1">
      <alignment horizontal="right" vertical="center"/>
    </xf>
    <xf numFmtId="165" fontId="5" fillId="0" borderId="1" xfId="1" applyFont="1" applyFill="1" applyBorder="1" applyAlignment="1" applyProtection="1">
      <alignment horizontal="right" vertical="center"/>
    </xf>
    <xf numFmtId="4" fontId="0" fillId="0" borderId="0" xfId="0" applyNumberFormat="1"/>
    <xf numFmtId="0" fontId="7" fillId="0" borderId="0" xfId="0" applyFont="1"/>
    <xf numFmtId="165" fontId="7" fillId="0" borderId="0" xfId="1" applyFont="1" applyFill="1" applyBorder="1" applyAlignment="1">
      <alignment horizontal="right" vertical="center"/>
    </xf>
    <xf numFmtId="4" fontId="6" fillId="0" borderId="0" xfId="1" applyNumberFormat="1" applyFont="1" applyFill="1" applyBorder="1" applyAlignment="1" applyProtection="1">
      <alignment horizontal="right" vertical="center"/>
    </xf>
    <xf numFmtId="4" fontId="4" fillId="0" borderId="0" xfId="0" applyNumberFormat="1" applyFont="1" applyAlignment="1">
      <alignment vertical="center"/>
    </xf>
    <xf numFmtId="4" fontId="7" fillId="0" borderId="0" xfId="1" applyNumberFormat="1" applyFont="1" applyFill="1" applyBorder="1" applyAlignment="1" applyProtection="1">
      <alignment horizontal="right" vertical="center"/>
    </xf>
    <xf numFmtId="165" fontId="0" fillId="0" borderId="0" xfId="1" applyFont="1" applyBorder="1"/>
    <xf numFmtId="4" fontId="7" fillId="0" borderId="0" xfId="0" applyNumberFormat="1" applyFont="1" applyAlignment="1">
      <alignment horizontal="center" vertical="center"/>
    </xf>
    <xf numFmtId="165" fontId="1" fillId="0" borderId="0" xfId="1" applyFont="1" applyBorder="1"/>
    <xf numFmtId="173" fontId="0" fillId="0" borderId="1" xfId="1" applyNumberFormat="1" applyFont="1" applyBorder="1" applyAlignment="1">
      <alignment horizontal="center"/>
    </xf>
    <xf numFmtId="4" fontId="7" fillId="0" borderId="0" xfId="1" applyNumberFormat="1" applyFont="1" applyFill="1" applyBorder="1" applyAlignment="1" applyProtection="1">
      <alignment horizontal="center" vertical="center"/>
    </xf>
    <xf numFmtId="4" fontId="4" fillId="0" borderId="0" xfId="1" applyNumberFormat="1" applyFont="1" applyFill="1" applyBorder="1" applyAlignment="1" applyProtection="1">
      <alignment horizontal="center" vertical="center"/>
    </xf>
    <xf numFmtId="165" fontId="7" fillId="0" borderId="0" xfId="1" applyFont="1" applyFill="1" applyBorder="1" applyAlignment="1" applyProtection="1">
      <alignment horizontal="right" vertical="center"/>
    </xf>
    <xf numFmtId="175" fontId="0" fillId="0" borderId="0" xfId="0" applyNumberFormat="1"/>
    <xf numFmtId="176" fontId="0" fillId="0" borderId="0" xfId="0" applyNumberFormat="1"/>
    <xf numFmtId="165" fontId="0" fillId="0" borderId="0" xfId="1" applyFont="1" applyFill="1"/>
    <xf numFmtId="4" fontId="4" fillId="0" borderId="0" xfId="1" applyNumberFormat="1" applyFont="1" applyFill="1" applyBorder="1" applyAlignment="1" applyProtection="1">
      <alignment horizontal="right" vertical="center"/>
    </xf>
    <xf numFmtId="4" fontId="5" fillId="0" borderId="0" xfId="1" applyNumberFormat="1" applyFont="1" applyFill="1" applyBorder="1" applyAlignment="1" applyProtection="1">
      <alignment horizontal="right" vertical="center"/>
    </xf>
    <xf numFmtId="0" fontId="11" fillId="0" borderId="0" xfId="0" applyFont="1"/>
    <xf numFmtId="4" fontId="4" fillId="6" borderId="1" xfId="0" applyNumberFormat="1" applyFont="1" applyFill="1" applyBorder="1" applyAlignment="1">
      <alignment vertical="center"/>
    </xf>
    <xf numFmtId="0" fontId="4" fillId="12" borderId="1" xfId="0" applyFont="1" applyFill="1" applyBorder="1" applyAlignment="1">
      <alignment horizontal="center" vertical="center"/>
    </xf>
    <xf numFmtId="4" fontId="4" fillId="11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6" fontId="5" fillId="5" borderId="1" xfId="1" applyNumberFormat="1" applyFont="1" applyFill="1" applyBorder="1" applyAlignment="1" applyProtection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4" fontId="4" fillId="6" borderId="1" xfId="0" applyNumberFormat="1" applyFont="1" applyFill="1" applyBorder="1" applyAlignment="1">
      <alignment horizontal="center" vertical="center" wrapText="1"/>
    </xf>
    <xf numFmtId="4" fontId="4" fillId="6" borderId="1" xfId="0" applyNumberFormat="1" applyFont="1" applyFill="1" applyBorder="1" applyAlignment="1">
      <alignment horizontal="justify" vertical="center"/>
    </xf>
    <xf numFmtId="4" fontId="4" fillId="6" borderId="1" xfId="1" applyNumberFormat="1" applyFont="1" applyFill="1" applyBorder="1" applyAlignment="1" applyProtection="1">
      <alignment horizontal="justify" vertical="center"/>
    </xf>
    <xf numFmtId="4" fontId="4" fillId="4" borderId="1" xfId="1" applyNumberFormat="1" applyFont="1" applyFill="1" applyBorder="1" applyAlignment="1" applyProtection="1">
      <alignment horizontal="justify" vertical="center"/>
    </xf>
    <xf numFmtId="4" fontId="4" fillId="4" borderId="1" xfId="1" applyNumberFormat="1" applyFont="1" applyFill="1" applyBorder="1" applyAlignment="1" applyProtection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65" fontId="7" fillId="0" borderId="1" xfId="1" applyFont="1" applyFill="1" applyBorder="1" applyAlignment="1" applyProtection="1">
      <alignment horizontal="right"/>
    </xf>
    <xf numFmtId="165" fontId="7" fillId="0" borderId="1" xfId="1" applyFont="1" applyFill="1" applyBorder="1" applyAlignment="1">
      <alignment horizontal="right"/>
    </xf>
    <xf numFmtId="165" fontId="7" fillId="0" borderId="1" xfId="1" applyFont="1" applyFill="1" applyBorder="1"/>
    <xf numFmtId="165" fontId="0" fillId="0" borderId="1" xfId="0" applyNumberFormat="1" applyBorder="1"/>
    <xf numFmtId="16" fontId="4" fillId="0" borderId="1" xfId="0" applyNumberFormat="1" applyFont="1" applyBorder="1" applyAlignment="1">
      <alignment horizontal="center"/>
    </xf>
    <xf numFmtId="4" fontId="4" fillId="0" borderId="1" xfId="1" applyNumberFormat="1" applyFont="1" applyFill="1" applyBorder="1" applyAlignment="1" applyProtection="1">
      <alignment vertical="center"/>
    </xf>
    <xf numFmtId="15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1" fillId="0" borderId="0" xfId="3" applyFont="1" applyFill="1"/>
    <xf numFmtId="0" fontId="2" fillId="0" borderId="0" xfId="0" applyFont="1"/>
    <xf numFmtId="4" fontId="7" fillId="0" borderId="0" xfId="0" applyNumberFormat="1" applyFont="1"/>
    <xf numFmtId="165" fontId="0" fillId="0" borderId="1" xfId="1" applyFont="1" applyFill="1" applyBorder="1"/>
    <xf numFmtId="169" fontId="0" fillId="0" borderId="1" xfId="1" applyNumberFormat="1" applyFont="1" applyFill="1" applyBorder="1"/>
    <xf numFmtId="0" fontId="0" fillId="0" borderId="8" xfId="0" applyBorder="1"/>
    <xf numFmtId="165" fontId="1" fillId="0" borderId="8" xfId="1" applyFont="1" applyFill="1" applyBorder="1"/>
    <xf numFmtId="165" fontId="7" fillId="0" borderId="0" xfId="1" applyFont="1" applyFill="1" applyBorder="1"/>
    <xf numFmtId="165" fontId="2" fillId="0" borderId="0" xfId="1" applyFont="1" applyFill="1" applyBorder="1"/>
    <xf numFmtId="165" fontId="5" fillId="0" borderId="0" xfId="1" applyFont="1" applyFill="1" applyBorder="1" applyAlignment="1" applyProtection="1">
      <alignment horizontal="right" vertical="center"/>
    </xf>
    <xf numFmtId="165" fontId="7" fillId="2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/>
    <xf numFmtId="169" fontId="0" fillId="0" borderId="0" xfId="0" applyNumberFormat="1"/>
    <xf numFmtId="167" fontId="7" fillId="0" borderId="1" xfId="0" applyNumberFormat="1" applyFont="1" applyBorder="1" applyAlignment="1">
      <alignment horizontal="right" vertical="center"/>
    </xf>
    <xf numFmtId="169" fontId="0" fillId="0" borderId="14" xfId="0" applyNumberFormat="1" applyBorder="1"/>
    <xf numFmtId="165" fontId="0" fillId="0" borderId="0" xfId="0" applyNumberFormat="1" applyAlignment="1">
      <alignment horizontal="center" vertical="center"/>
    </xf>
    <xf numFmtId="177" fontId="0" fillId="0" borderId="0" xfId="0" applyNumberFormat="1"/>
    <xf numFmtId="43" fontId="0" fillId="0" borderId="0" xfId="0" applyNumberFormat="1"/>
    <xf numFmtId="165" fontId="0" fillId="0" borderId="1" xfId="1" applyFont="1" applyFill="1" applyBorder="1" applyAlignment="1"/>
    <xf numFmtId="165" fontId="1" fillId="0" borderId="1" xfId="1" applyFont="1" applyFill="1" applyBorder="1"/>
    <xf numFmtId="165" fontId="1" fillId="0" borderId="10" xfId="1" applyFont="1" applyBorder="1"/>
    <xf numFmtId="165" fontId="0" fillId="0" borderId="2" xfId="1" applyFont="1" applyFill="1" applyBorder="1" applyAlignment="1">
      <alignment horizontal="center"/>
    </xf>
    <xf numFmtId="165" fontId="0" fillId="0" borderId="4" xfId="1" applyFont="1" applyFill="1" applyBorder="1" applyAlignment="1">
      <alignment horizontal="center"/>
    </xf>
    <xf numFmtId="0" fontId="7" fillId="0" borderId="0" xfId="0" applyFont="1" applyAlignment="1">
      <alignment horizontal="right" vertical="center"/>
    </xf>
    <xf numFmtId="165" fontId="1" fillId="13" borderId="1" xfId="1" applyFont="1" applyFill="1" applyBorder="1"/>
    <xf numFmtId="173" fontId="1" fillId="13" borderId="1" xfId="1" applyNumberFormat="1" applyFont="1" applyFill="1" applyBorder="1"/>
    <xf numFmtId="169" fontId="1" fillId="13" borderId="1" xfId="1" applyNumberFormat="1" applyFont="1" applyFill="1" applyBorder="1"/>
    <xf numFmtId="170" fontId="0" fillId="0" borderId="0" xfId="0" applyNumberFormat="1"/>
    <xf numFmtId="173" fontId="1" fillId="0" borderId="1" xfId="1" applyNumberFormat="1" applyFont="1" applyFill="1" applyBorder="1"/>
    <xf numFmtId="169" fontId="1" fillId="0" borderId="1" xfId="1" applyNumberFormat="1" applyFont="1" applyFill="1" applyBorder="1"/>
    <xf numFmtId="4" fontId="7" fillId="0" borderId="0" xfId="1" applyNumberFormat="1" applyFont="1" applyFill="1" applyBorder="1" applyAlignment="1" applyProtection="1">
      <alignment vertical="center"/>
    </xf>
    <xf numFmtId="4" fontId="4" fillId="0" borderId="0" xfId="1" applyNumberFormat="1" applyFont="1" applyFill="1" applyBorder="1" applyAlignment="1" applyProtection="1">
      <alignment vertical="center"/>
    </xf>
    <xf numFmtId="13" fontId="0" fillId="0" borderId="0" xfId="0" applyNumberFormat="1"/>
    <xf numFmtId="4" fontId="0" fillId="0" borderId="1" xfId="0" applyNumberFormat="1" applyBorder="1"/>
    <xf numFmtId="43" fontId="3" fillId="0" borderId="0" xfId="0" applyNumberFormat="1" applyFont="1"/>
    <xf numFmtId="165" fontId="1" fillId="0" borderId="0" xfId="3" applyNumberFormat="1" applyFont="1" applyFill="1"/>
    <xf numFmtId="9" fontId="0" fillId="0" borderId="0" xfId="3" applyFont="1" applyFill="1"/>
    <xf numFmtId="4" fontId="3" fillId="0" borderId="0" xfId="0" applyNumberFormat="1" applyFont="1"/>
    <xf numFmtId="4" fontId="7" fillId="0" borderId="11" xfId="1" applyNumberFormat="1" applyFont="1" applyFill="1" applyBorder="1" applyAlignment="1" applyProtection="1">
      <alignment horizontal="right" vertical="center"/>
    </xf>
    <xf numFmtId="168" fontId="7" fillId="0" borderId="1" xfId="1" applyNumberFormat="1" applyFont="1" applyFill="1" applyBorder="1" applyAlignment="1" applyProtection="1">
      <alignment horizontal="right" vertical="center"/>
    </xf>
    <xf numFmtId="167" fontId="0" fillId="0" borderId="0" xfId="0" applyNumberFormat="1"/>
    <xf numFmtId="0" fontId="3" fillId="4" borderId="1" xfId="0" applyFont="1" applyFill="1" applyBorder="1" applyAlignment="1">
      <alignment horizontal="center" vertical="center" wrapText="1"/>
    </xf>
    <xf numFmtId="165" fontId="0" fillId="0" borderId="2" xfId="1" applyFont="1" applyFill="1" applyBorder="1"/>
    <xf numFmtId="0" fontId="0" fillId="0" borderId="9" xfId="0" applyBorder="1"/>
    <xf numFmtId="4" fontId="0" fillId="0" borderId="9" xfId="0" applyNumberFormat="1" applyBorder="1"/>
    <xf numFmtId="43" fontId="0" fillId="0" borderId="1" xfId="0" applyNumberFormat="1" applyBorder="1"/>
    <xf numFmtId="167" fontId="7" fillId="0" borderId="0" xfId="0" applyNumberFormat="1" applyFont="1"/>
    <xf numFmtId="4" fontId="7" fillId="14" borderId="1" xfId="1" applyNumberFormat="1" applyFont="1" applyFill="1" applyBorder="1" applyAlignment="1" applyProtection="1">
      <alignment horizontal="center" vertical="center"/>
    </xf>
    <xf numFmtId="167" fontId="7" fillId="14" borderId="1" xfId="1" applyNumberFormat="1" applyFont="1" applyFill="1" applyBorder="1" applyAlignment="1" applyProtection="1">
      <alignment horizontal="center" vertical="center"/>
    </xf>
    <xf numFmtId="4" fontId="7" fillId="14" borderId="1" xfId="1" applyNumberFormat="1" applyFont="1" applyFill="1" applyBorder="1" applyAlignment="1" applyProtection="1">
      <alignment horizontal="right" vertical="center"/>
    </xf>
    <xf numFmtId="4" fontId="4" fillId="14" borderId="16" xfId="1" applyNumberFormat="1" applyFont="1" applyFill="1" applyBorder="1" applyAlignment="1" applyProtection="1">
      <alignment horizontal="right" vertical="center"/>
    </xf>
    <xf numFmtId="4" fontId="7" fillId="14" borderId="1" xfId="0" applyNumberFormat="1" applyFont="1" applyFill="1" applyBorder="1" applyAlignment="1">
      <alignment horizontal="center" vertical="center"/>
    </xf>
    <xf numFmtId="165" fontId="7" fillId="14" borderId="1" xfId="1" applyFont="1" applyFill="1" applyBorder="1" applyAlignment="1" applyProtection="1">
      <alignment horizontal="right" vertical="center"/>
    </xf>
    <xf numFmtId="4" fontId="4" fillId="14" borderId="16" xfId="0" applyNumberFormat="1" applyFont="1" applyFill="1" applyBorder="1" applyAlignment="1">
      <alignment horizontal="right" vertical="center"/>
    </xf>
    <xf numFmtId="4" fontId="5" fillId="14" borderId="16" xfId="1" applyNumberFormat="1" applyFont="1" applyFill="1" applyBorder="1" applyAlignment="1" applyProtection="1">
      <alignment horizontal="right" vertical="center"/>
    </xf>
    <xf numFmtId="165" fontId="13" fillId="0" borderId="0" xfId="28" applyNumberFormat="1" applyFont="1"/>
    <xf numFmtId="0" fontId="8" fillId="0" borderId="0" xfId="28" applyFont="1"/>
    <xf numFmtId="175" fontId="14" fillId="0" borderId="0" xfId="28" applyNumberFormat="1" applyFont="1"/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75" fontId="6" fillId="0" borderId="0" xfId="28" applyNumberFormat="1" applyFont="1"/>
    <xf numFmtId="169" fontId="1" fillId="0" borderId="0" xfId="1" applyNumberFormat="1" applyFont="1" applyBorder="1" applyAlignment="1" applyProtection="1">
      <alignment vertical="center" wrapText="1"/>
      <protection locked="0"/>
    </xf>
    <xf numFmtId="175" fontId="1" fillId="0" borderId="14" xfId="1" applyNumberFormat="1" applyFont="1" applyBorder="1" applyAlignment="1" applyProtection="1">
      <alignment vertical="justify" wrapText="1"/>
      <protection locked="0"/>
    </xf>
    <xf numFmtId="175" fontId="6" fillId="0" borderId="0" xfId="0" applyNumberFormat="1" applyFont="1" applyAlignment="1">
      <alignment vertical="center"/>
    </xf>
    <xf numFmtId="175" fontId="1" fillId="0" borderId="0" xfId="1" applyNumberFormat="1" applyFont="1" applyBorder="1"/>
    <xf numFmtId="9" fontId="0" fillId="0" borderId="1" xfId="0" applyNumberFormat="1" applyBorder="1"/>
    <xf numFmtId="9" fontId="1" fillId="0" borderId="1" xfId="1" applyNumberFormat="1" applyFont="1" applyBorder="1"/>
    <xf numFmtId="4" fontId="0" fillId="3" borderId="1" xfId="0" applyNumberFormat="1" applyFill="1" applyBorder="1"/>
    <xf numFmtId="43" fontId="0" fillId="3" borderId="1" xfId="0" applyNumberFormat="1" applyFill="1" applyBorder="1"/>
    <xf numFmtId="4" fontId="0" fillId="4" borderId="1" xfId="0" applyNumberFormat="1" applyFill="1" applyBorder="1"/>
    <xf numFmtId="43" fontId="0" fillId="4" borderId="1" xfId="0" applyNumberFormat="1" applyFill="1" applyBorder="1"/>
    <xf numFmtId="4" fontId="0" fillId="10" borderId="1" xfId="0" applyNumberFormat="1" applyFill="1" applyBorder="1"/>
    <xf numFmtId="43" fontId="0" fillId="10" borderId="1" xfId="0" applyNumberFormat="1" applyFill="1" applyBorder="1"/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/>
    <xf numFmtId="43" fontId="0" fillId="16" borderId="1" xfId="0" applyNumberFormat="1" applyFill="1" applyBorder="1"/>
    <xf numFmtId="0" fontId="0" fillId="0" borderId="0" xfId="1" applyNumberFormat="1" applyFont="1" applyFill="1" applyBorder="1"/>
    <xf numFmtId="0" fontId="0" fillId="0" borderId="1" xfId="1" applyNumberFormat="1" applyFont="1" applyFill="1" applyBorder="1"/>
    <xf numFmtId="0" fontId="7" fillId="2" borderId="1" xfId="0" applyFont="1" applyFill="1" applyBorder="1" applyAlignment="1">
      <alignment horizontal="right" vertical="center"/>
    </xf>
    <xf numFmtId="0" fontId="7" fillId="13" borderId="1" xfId="0" applyFont="1" applyFill="1" applyBorder="1" applyAlignment="1">
      <alignment horizontal="right" vertical="center"/>
    </xf>
    <xf numFmtId="15" fontId="0" fillId="0" borderId="0" xfId="0" applyNumberFormat="1"/>
    <xf numFmtId="9" fontId="0" fillId="0" borderId="0" xfId="0" applyNumberFormat="1"/>
    <xf numFmtId="0" fontId="4" fillId="4" borderId="12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4" fontId="0" fillId="0" borderId="0" xfId="0" applyNumberFormat="1" applyAlignment="1">
      <alignment vertical="center"/>
    </xf>
    <xf numFmtId="1" fontId="0" fillId="0" borderId="1" xfId="0" applyNumberFormat="1" applyBorder="1"/>
    <xf numFmtId="165" fontId="7" fillId="2" borderId="1" xfId="1" applyFont="1" applyFill="1" applyBorder="1"/>
    <xf numFmtId="4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4" fontId="4" fillId="0" borderId="0" xfId="1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4" fontId="4" fillId="0" borderId="1" xfId="0" applyNumberFormat="1" applyFont="1" applyBorder="1" applyAlignment="1">
      <alignment horizontal="center" vertical="center"/>
    </xf>
    <xf numFmtId="4" fontId="4" fillId="0" borderId="1" xfId="1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4" fontId="6" fillId="0" borderId="1" xfId="1" applyNumberFormat="1" applyFont="1" applyFill="1" applyBorder="1" applyAlignment="1" applyProtection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4" fontId="4" fillId="11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15" fontId="0" fillId="0" borderId="0" xfId="0" applyNumberFormat="1" applyAlignment="1">
      <alignment horizontal="center"/>
    </xf>
    <xf numFmtId="0" fontId="0" fillId="0" borderId="1" xfId="0" applyBorder="1"/>
    <xf numFmtId="0" fontId="0" fillId="17" borderId="0" xfId="0" applyFill="1"/>
    <xf numFmtId="4" fontId="0" fillId="17" borderId="9" xfId="0" applyNumberFormat="1" applyFill="1" applyBorder="1"/>
    <xf numFmtId="165" fontId="0" fillId="17" borderId="0" xfId="1" applyFont="1" applyFill="1"/>
    <xf numFmtId="165" fontId="0" fillId="17" borderId="0" xfId="0" applyNumberFormat="1" applyFill="1"/>
    <xf numFmtId="4" fontId="6" fillId="18" borderId="1" xfId="1" applyNumberFormat="1" applyFont="1" applyFill="1" applyBorder="1" applyAlignment="1" applyProtection="1">
      <alignment horizontal="right" vertical="center"/>
    </xf>
    <xf numFmtId="0" fontId="0" fillId="18" borderId="1" xfId="0" applyFill="1" applyBorder="1"/>
    <xf numFmtId="4" fontId="15" fillId="0" borderId="1" xfId="1" applyNumberFormat="1" applyFont="1" applyFill="1" applyBorder="1" applyAlignment="1" applyProtection="1">
      <alignment horizontal="right" vertical="center"/>
    </xf>
    <xf numFmtId="169" fontId="15" fillId="0" borderId="1" xfId="1" applyNumberFormat="1" applyFont="1" applyBorder="1"/>
    <xf numFmtId="173" fontId="15" fillId="0" borderId="1" xfId="1" applyNumberFormat="1" applyFont="1" applyBorder="1"/>
    <xf numFmtId="43" fontId="0" fillId="17" borderId="0" xfId="0" applyNumberFormat="1" applyFill="1"/>
    <xf numFmtId="172" fontId="16" fillId="2" borderId="1" xfId="1" applyNumberFormat="1" applyFont="1" applyFill="1" applyBorder="1" applyAlignment="1">
      <alignment horizontal="right" vertical="center"/>
    </xf>
    <xf numFmtId="4" fontId="17" fillId="3" borderId="1" xfId="1" applyNumberFormat="1" applyFont="1" applyFill="1" applyBorder="1" applyAlignment="1" applyProtection="1">
      <alignment horizontal="right" vertical="center"/>
    </xf>
    <xf numFmtId="0" fontId="0" fillId="0" borderId="0" xfId="0" applyFill="1"/>
    <xf numFmtId="0" fontId="18" fillId="0" borderId="0" xfId="0" applyFont="1" applyFill="1" applyAlignment="1">
      <alignment textRotation="90"/>
    </xf>
    <xf numFmtId="0" fontId="7" fillId="18" borderId="1" xfId="0" applyFont="1" applyFill="1" applyBorder="1"/>
    <xf numFmtId="165" fontId="0" fillId="18" borderId="1" xfId="0" applyNumberFormat="1" applyFill="1" applyBorder="1" applyAlignment="1">
      <alignment horizontal="center" vertical="center"/>
    </xf>
    <xf numFmtId="165" fontId="0" fillId="0" borderId="0" xfId="0" applyNumberFormat="1" applyAlignment="1">
      <alignment wrapText="1"/>
    </xf>
    <xf numFmtId="0" fontId="0" fillId="0" borderId="1" xfId="0" applyBorder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/>
    <xf numFmtId="0" fontId="23" fillId="0" borderId="0" xfId="29" applyAlignment="1">
      <alignment horizontal="center"/>
    </xf>
    <xf numFmtId="0" fontId="0" fillId="0" borderId="1" xfId="0" applyBorder="1"/>
    <xf numFmtId="0" fontId="0" fillId="0" borderId="1" xfId="0" applyBorder="1"/>
    <xf numFmtId="0" fontId="0" fillId="0" borderId="1" xfId="0" applyBorder="1"/>
    <xf numFmtId="43" fontId="24" fillId="2" borderId="0" xfId="29" applyNumberFormat="1" applyFont="1" applyFill="1" applyAlignment="1">
      <alignment horizontal="center" vertical="center"/>
    </xf>
    <xf numFmtId="0" fontId="0" fillId="0" borderId="1" xfId="0" applyBorder="1"/>
    <xf numFmtId="0" fontId="23" fillId="0" borderId="0" xfId="29"/>
    <xf numFmtId="0" fontId="23" fillId="0" borderId="0" xfId="29" applyAlignment="1">
      <alignment horizontal="center" vertical="center" wrapText="1"/>
    </xf>
    <xf numFmtId="0" fontId="0" fillId="0" borderId="1" xfId="0" applyBorder="1"/>
    <xf numFmtId="0" fontId="0" fillId="0" borderId="1" xfId="0" applyBorder="1"/>
    <xf numFmtId="0" fontId="26" fillId="0" borderId="0" xfId="29" applyFont="1" applyAlignment="1">
      <alignment horizontal="center"/>
    </xf>
    <xf numFmtId="0" fontId="7" fillId="16" borderId="1" xfId="0" applyFont="1" applyFill="1" applyBorder="1" applyAlignment="1">
      <alignment horizontal="center" vertical="center"/>
    </xf>
    <xf numFmtId="0" fontId="7" fillId="0" borderId="1" xfId="1" applyNumberFormat="1" applyFont="1" applyFill="1" applyBorder="1"/>
    <xf numFmtId="165" fontId="7" fillId="0" borderId="1" xfId="0" applyNumberFormat="1" applyFont="1" applyBorder="1"/>
    <xf numFmtId="43" fontId="7" fillId="16" borderId="1" xfId="0" applyNumberFormat="1" applyFont="1" applyFill="1" applyBorder="1"/>
    <xf numFmtId="0" fontId="23" fillId="0" borderId="0" xfId="29" applyAlignment="1">
      <alignment horizontal="center" vertical="center"/>
    </xf>
    <xf numFmtId="165" fontId="7" fillId="0" borderId="1" xfId="1" applyFont="1" applyBorder="1" applyAlignment="1">
      <alignment horizontal="center"/>
    </xf>
    <xf numFmtId="165" fontId="7" fillId="2" borderId="1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/>
    <xf numFmtId="165" fontId="25" fillId="0" borderId="0" xfId="29" applyNumberFormat="1" applyFont="1" applyBorder="1" applyAlignment="1">
      <alignment vertical="center" wrapText="1"/>
    </xf>
    <xf numFmtId="165" fontId="25" fillId="0" borderId="0" xfId="29" applyNumberFormat="1" applyFont="1" applyBorder="1" applyAlignment="1">
      <alignment vertical="center"/>
    </xf>
    <xf numFmtId="0" fontId="0" fillId="0" borderId="1" xfId="0" applyBorder="1"/>
    <xf numFmtId="0" fontId="0" fillId="0" borderId="1" xfId="0" applyBorder="1"/>
    <xf numFmtId="178" fontId="0" fillId="0" borderId="0" xfId="0" applyNumberFormat="1"/>
    <xf numFmtId="2" fontId="7" fillId="18" borderId="1" xfId="0" applyNumberFormat="1" applyFont="1" applyFill="1" applyBorder="1"/>
    <xf numFmtId="0" fontId="0" fillId="0" borderId="1" xfId="0" applyBorder="1"/>
    <xf numFmtId="1" fontId="7" fillId="0" borderId="1" xfId="0" applyNumberFormat="1" applyFont="1" applyBorder="1"/>
    <xf numFmtId="169" fontId="0" fillId="19" borderId="14" xfId="0" applyNumberFormat="1" applyFill="1" applyBorder="1"/>
    <xf numFmtId="169" fontId="1" fillId="19" borderId="0" xfId="1" applyNumberFormat="1" applyFont="1" applyFill="1" applyBorder="1" applyAlignment="1" applyProtection="1">
      <alignment vertical="center" wrapText="1"/>
      <protection locked="0"/>
    </xf>
    <xf numFmtId="175" fontId="1" fillId="19" borderId="14" xfId="1" applyNumberFormat="1" applyFont="1" applyFill="1" applyBorder="1" applyAlignment="1" applyProtection="1">
      <alignment vertical="justify" wrapText="1"/>
      <protection locked="0"/>
    </xf>
    <xf numFmtId="165" fontId="0" fillId="19" borderId="0" xfId="1" applyFont="1" applyFill="1" applyBorder="1"/>
    <xf numFmtId="0" fontId="29" fillId="19" borderId="5" xfId="0" applyFont="1" applyFill="1" applyBorder="1"/>
    <xf numFmtId="0" fontId="0" fillId="19" borderId="18" xfId="0" applyFill="1" applyBorder="1"/>
    <xf numFmtId="0" fontId="0" fillId="19" borderId="6" xfId="0" applyFill="1" applyBorder="1"/>
    <xf numFmtId="0" fontId="0" fillId="19" borderId="8" xfId="0" applyFill="1" applyBorder="1"/>
    <xf numFmtId="0" fontId="0" fillId="19" borderId="0" xfId="0" applyFill="1" applyBorder="1"/>
    <xf numFmtId="169" fontId="0" fillId="19" borderId="0" xfId="0" applyNumberFormat="1" applyFill="1" applyBorder="1"/>
    <xf numFmtId="0" fontId="0" fillId="19" borderId="9" xfId="0" applyFill="1" applyBorder="1"/>
    <xf numFmtId="175" fontId="0" fillId="19" borderId="0" xfId="0" applyNumberFormat="1" applyFill="1" applyBorder="1"/>
    <xf numFmtId="0" fontId="0" fillId="19" borderId="12" xfId="0" applyFill="1" applyBorder="1"/>
    <xf numFmtId="0" fontId="0" fillId="19" borderId="14" xfId="0" applyFill="1" applyBorder="1"/>
    <xf numFmtId="0" fontId="0" fillId="19" borderId="13" xfId="0" applyFill="1" applyBorder="1"/>
    <xf numFmtId="0" fontId="2" fillId="0" borderId="5" xfId="0" applyFont="1" applyBorder="1"/>
    <xf numFmtId="0" fontId="0" fillId="0" borderId="18" xfId="0" applyBorder="1"/>
    <xf numFmtId="0" fontId="0" fillId="0" borderId="6" xfId="0" applyBorder="1"/>
    <xf numFmtId="0" fontId="0" fillId="0" borderId="0" xfId="0" applyBorder="1"/>
    <xf numFmtId="0" fontId="0" fillId="0" borderId="12" xfId="0" applyBorder="1"/>
    <xf numFmtId="0" fontId="0" fillId="0" borderId="14" xfId="0" applyBorder="1"/>
    <xf numFmtId="0" fontId="0" fillId="0" borderId="13" xfId="0" applyBorder="1"/>
    <xf numFmtId="165" fontId="30" fillId="19" borderId="5" xfId="28" applyNumberFormat="1" applyFont="1" applyFill="1" applyBorder="1"/>
    <xf numFmtId="0" fontId="8" fillId="19" borderId="18" xfId="28" applyFont="1" applyFill="1" applyBorder="1"/>
    <xf numFmtId="175" fontId="14" fillId="19" borderId="18" xfId="28" applyNumberFormat="1" applyFont="1" applyFill="1" applyBorder="1"/>
    <xf numFmtId="10" fontId="0" fillId="19" borderId="6" xfId="0" applyNumberFormat="1" applyFill="1" applyBorder="1"/>
    <xf numFmtId="0" fontId="0" fillId="19" borderId="8" xfId="0" applyFill="1" applyBorder="1" applyAlignment="1">
      <alignment vertical="center"/>
    </xf>
    <xf numFmtId="165" fontId="0" fillId="19" borderId="0" xfId="0" applyNumberFormat="1" applyFill="1" applyBorder="1" applyAlignment="1">
      <alignment vertical="center"/>
    </xf>
    <xf numFmtId="175" fontId="6" fillId="19" borderId="0" xfId="28" applyNumberFormat="1" applyFont="1" applyFill="1" applyBorder="1"/>
    <xf numFmtId="165" fontId="0" fillId="19" borderId="9" xfId="1" applyFont="1" applyFill="1" applyBorder="1"/>
    <xf numFmtId="0" fontId="0" fillId="19" borderId="0" xfId="0" applyFill="1" applyBorder="1" applyAlignment="1">
      <alignment vertical="center"/>
    </xf>
    <xf numFmtId="175" fontId="6" fillId="19" borderId="0" xfId="0" applyNumberFormat="1" applyFont="1" applyFill="1" applyBorder="1" applyAlignment="1">
      <alignment vertical="center"/>
    </xf>
    <xf numFmtId="0" fontId="31" fillId="0" borderId="5" xfId="0" applyFont="1" applyBorder="1"/>
    <xf numFmtId="0" fontId="0" fillId="0" borderId="1" xfId="0" applyBorder="1"/>
    <xf numFmtId="179" fontId="7" fillId="18" borderId="1" xfId="0" applyNumberFormat="1" applyFont="1" applyFill="1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4" fontId="4" fillId="0" borderId="0" xfId="1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4" fontId="4" fillId="0" borderId="1" xfId="0" applyNumberFormat="1" applyFont="1" applyBorder="1" applyAlignment="1">
      <alignment horizontal="center" vertical="center"/>
    </xf>
    <xf numFmtId="4" fontId="4" fillId="0" borderId="1" xfId="1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4" fontId="6" fillId="0" borderId="1" xfId="1" applyNumberFormat="1" applyFont="1" applyFill="1" applyBorder="1" applyAlignment="1" applyProtection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4" fontId="4" fillId="11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15" fontId="0" fillId="0" borderId="0" xfId="0" applyNumberFormat="1" applyAlignment="1">
      <alignment horizontal="center"/>
    </xf>
    <xf numFmtId="0" fontId="0" fillId="0" borderId="1" xfId="0" applyBorder="1"/>
    <xf numFmtId="0" fontId="7" fillId="0" borderId="1" xfId="0" applyFont="1" applyBorder="1" applyAlignment="1">
      <alignment horizontal="center"/>
    </xf>
    <xf numFmtId="0" fontId="0" fillId="0" borderId="1" xfId="0" applyBorder="1"/>
    <xf numFmtId="179" fontId="0" fillId="18" borderId="1" xfId="0" applyNumberFormat="1" applyFill="1" applyBorder="1"/>
    <xf numFmtId="165" fontId="23" fillId="0" borderId="0" xfId="29" applyNumberFormat="1" applyBorder="1" applyAlignment="1">
      <alignment vertical="center"/>
    </xf>
    <xf numFmtId="43" fontId="23" fillId="2" borderId="0" xfId="29" applyNumberFormat="1" applyFill="1" applyAlignment="1">
      <alignment horizontal="center" vertical="center"/>
    </xf>
    <xf numFmtId="0" fontId="0" fillId="0" borderId="1" xfId="0" applyBorder="1"/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2" borderId="0" xfId="0" applyFill="1"/>
    <xf numFmtId="165" fontId="0" fillId="0" borderId="1" xfId="0" quotePrefix="1" applyNumberFormat="1" applyBorder="1"/>
    <xf numFmtId="0" fontId="0" fillId="0" borderId="1" xfId="0" applyBorder="1"/>
    <xf numFmtId="4" fontId="7" fillId="18" borderId="1" xfId="0" applyNumberFormat="1" applyFont="1" applyFill="1" applyBorder="1"/>
    <xf numFmtId="0" fontId="0" fillId="0" borderId="1" xfId="0" applyBorder="1"/>
    <xf numFmtId="0" fontId="0" fillId="0" borderId="1" xfId="0" applyBorder="1"/>
    <xf numFmtId="165" fontId="7" fillId="2" borderId="1" xfId="0" applyNumberFormat="1" applyFont="1" applyFill="1" applyBorder="1" applyAlignment="1">
      <alignment horizontal="right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4" fontId="4" fillId="0" borderId="0" xfId="1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4" fontId="4" fillId="0" borderId="1" xfId="0" applyNumberFormat="1" applyFont="1" applyBorder="1" applyAlignment="1">
      <alignment horizontal="center" vertical="center"/>
    </xf>
    <xf numFmtId="4" fontId="4" fillId="0" borderId="1" xfId="1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4" fontId="6" fillId="0" borderId="1" xfId="1" applyNumberFormat="1" applyFont="1" applyFill="1" applyBorder="1" applyAlignment="1" applyProtection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4" fontId="4" fillId="11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15" fontId="0" fillId="0" borderId="0" xfId="0" applyNumberFormat="1" applyAlignment="1">
      <alignment horizontal="center"/>
    </xf>
    <xf numFmtId="0" fontId="0" fillId="0" borderId="1" xfId="0" applyBorder="1"/>
    <xf numFmtId="0" fontId="7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1" xfId="0" applyBorder="1"/>
    <xf numFmtId="0" fontId="0" fillId="0" borderId="1" xfId="0" applyBorder="1"/>
    <xf numFmtId="2" fontId="0" fillId="18" borderId="1" xfId="0" applyNumberFormat="1" applyFill="1" applyBorder="1"/>
    <xf numFmtId="4" fontId="6" fillId="20" borderId="1" xfId="1" applyNumberFormat="1" applyFont="1" applyFill="1" applyBorder="1" applyAlignment="1" applyProtection="1">
      <alignment horizontal="right" vertical="center"/>
    </xf>
    <xf numFmtId="4" fontId="6" fillId="13" borderId="1" xfId="1" applyNumberFormat="1" applyFont="1" applyFill="1" applyBorder="1" applyAlignment="1" applyProtection="1">
      <alignment horizontal="right" vertical="center"/>
    </xf>
    <xf numFmtId="4" fontId="7" fillId="13" borderId="1" xfId="1" applyNumberFormat="1" applyFont="1" applyFill="1" applyBorder="1" applyAlignment="1" applyProtection="1">
      <alignment horizontal="right" vertical="center"/>
    </xf>
    <xf numFmtId="4" fontId="7" fillId="21" borderId="1" xfId="1" applyNumberFormat="1" applyFont="1" applyFill="1" applyBorder="1" applyAlignment="1" applyProtection="1">
      <alignment horizontal="right" vertical="center"/>
    </xf>
    <xf numFmtId="4" fontId="6" fillId="22" borderId="1" xfId="1" applyNumberFormat="1" applyFont="1" applyFill="1" applyBorder="1" applyAlignment="1" applyProtection="1">
      <alignment horizontal="right" vertical="center"/>
    </xf>
    <xf numFmtId="4" fontId="6" fillId="21" borderId="1" xfId="1" applyNumberFormat="1" applyFont="1" applyFill="1" applyBorder="1" applyAlignment="1" applyProtection="1">
      <alignment horizontal="right" vertical="center"/>
    </xf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2" borderId="1" xfId="0" applyFill="1" applyBorder="1"/>
    <xf numFmtId="4" fontId="7" fillId="0" borderId="1" xfId="1" applyNumberFormat="1" applyFont="1" applyFill="1" applyBorder="1" applyAlignment="1" applyProtection="1">
      <alignment vertical="center"/>
    </xf>
    <xf numFmtId="0" fontId="0" fillId="0" borderId="1" xfId="0" applyBorder="1"/>
    <xf numFmtId="4" fontId="4" fillId="0" borderId="1" xfId="1" applyNumberFormat="1" applyFont="1" applyFill="1" applyBorder="1" applyAlignment="1" applyProtection="1">
      <alignment horizontal="left" vertical="center"/>
    </xf>
    <xf numFmtId="165" fontId="0" fillId="0" borderId="2" xfId="1" applyFont="1" applyFill="1" applyBorder="1" applyAlignment="1">
      <alignment horizontal="center"/>
    </xf>
    <xf numFmtId="165" fontId="0" fillId="0" borderId="4" xfId="1" applyFont="1" applyFill="1" applyBorder="1" applyAlignment="1">
      <alignment horizontal="center"/>
    </xf>
    <xf numFmtId="165" fontId="0" fillId="0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4" fontId="4" fillId="0" borderId="0" xfId="1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4" fontId="4" fillId="0" borderId="5" xfId="0" applyNumberFormat="1" applyFont="1" applyBorder="1" applyAlignment="1">
      <alignment horizontal="center" vertical="center" wrapText="1"/>
    </xf>
    <xf numFmtId="4" fontId="4" fillId="0" borderId="6" xfId="0" applyNumberFormat="1" applyFont="1" applyBorder="1" applyAlignment="1">
      <alignment horizontal="center" vertical="center" wrapText="1"/>
    </xf>
    <xf numFmtId="4" fontId="4" fillId="0" borderId="8" xfId="0" applyNumberFormat="1" applyFont="1" applyBorder="1" applyAlignment="1">
      <alignment horizontal="center" vertical="center" wrapText="1"/>
    </xf>
    <xf numFmtId="4" fontId="4" fillId="0" borderId="9" xfId="0" applyNumberFormat="1" applyFont="1" applyBorder="1" applyAlignment="1">
      <alignment horizontal="center" vertical="center" wrapText="1"/>
    </xf>
    <xf numFmtId="4" fontId="4" fillId="0" borderId="12" xfId="0" applyNumberFormat="1" applyFont="1" applyBorder="1" applyAlignment="1">
      <alignment horizontal="center" vertical="center" wrapText="1"/>
    </xf>
    <xf numFmtId="4" fontId="4" fillId="0" borderId="13" xfId="0" applyNumberFormat="1" applyFont="1" applyBorder="1" applyAlignment="1">
      <alignment horizontal="center" vertical="center" wrapText="1"/>
    </xf>
    <xf numFmtId="43" fontId="0" fillId="0" borderId="14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0" xfId="0" applyNumberFormat="1" applyAlignment="1">
      <alignment horizontal="center"/>
    </xf>
    <xf numFmtId="4" fontId="4" fillId="0" borderId="1" xfId="0" applyNumberFormat="1" applyFont="1" applyBorder="1" applyAlignment="1">
      <alignment horizontal="center" vertical="center"/>
    </xf>
    <xf numFmtId="4" fontId="4" fillId="0" borderId="1" xfId="1" applyNumberFormat="1" applyFont="1" applyFill="1" applyBorder="1" applyAlignment="1" applyProtection="1">
      <alignment horizontal="center" vertical="center"/>
    </xf>
    <xf numFmtId="4" fontId="4" fillId="14" borderId="2" xfId="1" applyNumberFormat="1" applyFont="1" applyFill="1" applyBorder="1" applyAlignment="1" applyProtection="1">
      <alignment horizontal="center" vertical="center"/>
    </xf>
    <xf numFmtId="4" fontId="4" fillId="14" borderId="4" xfId="1" applyNumberFormat="1" applyFont="1" applyFill="1" applyBorder="1" applyAlignment="1" applyProtection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4" fontId="4" fillId="14" borderId="1" xfId="0" applyNumberFormat="1" applyFont="1" applyFill="1" applyBorder="1" applyAlignment="1">
      <alignment horizontal="center" vertical="center"/>
    </xf>
    <xf numFmtId="4" fontId="4" fillId="0" borderId="8" xfId="0" applyNumberFormat="1" applyFont="1" applyBorder="1" applyAlignment="1">
      <alignment horizontal="center" vertical="center"/>
    </xf>
    <xf numFmtId="4" fontId="4" fillId="0" borderId="9" xfId="0" applyNumberFormat="1" applyFont="1" applyBorder="1" applyAlignment="1">
      <alignment horizontal="center" vertical="center"/>
    </xf>
    <xf numFmtId="166" fontId="5" fillId="0" borderId="1" xfId="1" applyNumberFormat="1" applyFont="1" applyFill="1" applyBorder="1" applyAlignment="1" applyProtection="1">
      <alignment horizontal="center" vertical="center"/>
    </xf>
    <xf numFmtId="4" fontId="4" fillId="14" borderId="2" xfId="0" applyNumberFormat="1" applyFont="1" applyFill="1" applyBorder="1" applyAlignment="1">
      <alignment horizontal="center" vertical="center"/>
    </xf>
    <xf numFmtId="4" fontId="4" fillId="14" borderId="4" xfId="0" applyNumberFormat="1" applyFont="1" applyFill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4" fontId="4" fillId="0" borderId="4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4" fontId="4" fillId="0" borderId="7" xfId="0" applyNumberFormat="1" applyFont="1" applyBorder="1" applyAlignment="1">
      <alignment horizontal="center" vertical="center" wrapText="1"/>
    </xf>
    <xf numFmtId="4" fontId="4" fillId="0" borderId="10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" fontId="4" fillId="0" borderId="12" xfId="0" applyNumberFormat="1" applyFont="1" applyBorder="1" applyAlignment="1">
      <alignment horizontal="center" vertical="center"/>
    </xf>
    <xf numFmtId="4" fontId="4" fillId="0" borderId="13" xfId="0" applyNumberFormat="1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4" fontId="5" fillId="0" borderId="1" xfId="1" applyNumberFormat="1" applyFont="1" applyFill="1" applyBorder="1" applyAlignment="1" applyProtection="1">
      <alignment horizontal="center" vertical="center"/>
    </xf>
    <xf numFmtId="4" fontId="4" fillId="0" borderId="5" xfId="0" applyNumberFormat="1" applyFont="1" applyBorder="1" applyAlignment="1">
      <alignment horizontal="center" vertical="center"/>
    </xf>
    <xf numFmtId="4" fontId="4" fillId="0" borderId="6" xfId="0" applyNumberFormat="1" applyFont="1" applyBorder="1" applyAlignment="1">
      <alignment horizontal="center" vertical="center"/>
    </xf>
    <xf numFmtId="4" fontId="6" fillId="0" borderId="1" xfId="1" applyNumberFormat="1" applyFont="1" applyFill="1" applyBorder="1" applyAlignment="1" applyProtection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166" fontId="5" fillId="0" borderId="1" xfId="1" applyNumberFormat="1" applyFont="1" applyFill="1" applyBorder="1" applyAlignment="1" applyProtection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4" fontId="4" fillId="11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4" fontId="4" fillId="5" borderId="2" xfId="0" applyNumberFormat="1" applyFont="1" applyFill="1" applyBorder="1" applyAlignment="1">
      <alignment horizontal="center"/>
    </xf>
    <xf numFmtId="4" fontId="4" fillId="5" borderId="3" xfId="0" applyNumberFormat="1" applyFont="1" applyFill="1" applyBorder="1" applyAlignment="1">
      <alignment horizontal="center"/>
    </xf>
    <xf numFmtId="4" fontId="4" fillId="5" borderId="4" xfId="0" applyNumberFormat="1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4" fontId="4" fillId="5" borderId="2" xfId="0" applyNumberFormat="1" applyFont="1" applyFill="1" applyBorder="1" applyAlignment="1">
      <alignment horizontal="center" vertical="center"/>
    </xf>
    <xf numFmtId="4" fontId="4" fillId="5" borderId="3" xfId="0" applyNumberFormat="1" applyFont="1" applyFill="1" applyBorder="1" applyAlignment="1">
      <alignment horizontal="center" vertical="center"/>
    </xf>
    <xf numFmtId="4" fontId="4" fillId="5" borderId="4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/>
    </xf>
    <xf numFmtId="0" fontId="4" fillId="13" borderId="18" xfId="0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 vertical="center"/>
    </xf>
    <xf numFmtId="0" fontId="4" fillId="13" borderId="12" xfId="0" applyFont="1" applyFill="1" applyBorder="1" applyAlignment="1">
      <alignment horizontal="center" vertical="center"/>
    </xf>
    <xf numFmtId="0" fontId="4" fillId="13" borderId="14" xfId="0" applyFont="1" applyFill="1" applyBorder="1" applyAlignment="1">
      <alignment horizontal="center" vertical="center"/>
    </xf>
    <xf numFmtId="0" fontId="4" fillId="13" borderId="1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16" borderId="7" xfId="0" applyFill="1" applyBorder="1" applyAlignment="1">
      <alignment horizontal="center" vertical="center" wrapText="1"/>
    </xf>
    <xf numFmtId="0" fontId="0" fillId="16" borderId="10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1" xfId="0" applyBorder="1"/>
    <xf numFmtId="0" fontId="11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3" fillId="13" borderId="18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3" fillId="13" borderId="14" xfId="0" applyFont="1" applyFill="1" applyBorder="1" applyAlignment="1">
      <alignment horizontal="center" vertical="center"/>
    </xf>
    <xf numFmtId="0" fontId="3" fillId="13" borderId="1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166" fontId="5" fillId="0" borderId="7" xfId="1" applyNumberFormat="1" applyFont="1" applyFill="1" applyBorder="1" applyAlignment="1" applyProtection="1">
      <alignment horizontal="center" vertical="center" wrapText="1"/>
    </xf>
    <xf numFmtId="166" fontId="5" fillId="0" borderId="11" xfId="1" applyNumberFormat="1" applyFont="1" applyFill="1" applyBorder="1" applyAlignment="1" applyProtection="1">
      <alignment horizontal="center" vertical="center" wrapText="1"/>
    </xf>
    <xf numFmtId="166" fontId="5" fillId="0" borderId="10" xfId="1" applyNumberFormat="1" applyFont="1" applyFill="1" applyBorder="1" applyAlignment="1" applyProtection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3" fillId="13" borderId="1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8" fillId="19" borderId="0" xfId="0" applyFont="1" applyFill="1" applyAlignment="1">
      <alignment horizontal="center" vertical="center"/>
    </xf>
    <xf numFmtId="0" fontId="22" fillId="17" borderId="2" xfId="0" applyFont="1" applyFill="1" applyBorder="1" applyAlignment="1">
      <alignment horizontal="center"/>
    </xf>
    <xf numFmtId="0" fontId="22" fillId="17" borderId="3" xfId="0" applyFont="1" applyFill="1" applyBorder="1" applyAlignment="1">
      <alignment horizontal="center"/>
    </xf>
    <xf numFmtId="0" fontId="22" fillId="17" borderId="4" xfId="0" applyFont="1" applyFill="1" applyBorder="1" applyAlignment="1">
      <alignment horizontal="center"/>
    </xf>
    <xf numFmtId="165" fontId="21" fillId="18" borderId="0" xfId="1" applyFont="1" applyFill="1" applyBorder="1" applyAlignment="1">
      <alignment horizontal="center" vertical="center" wrapText="1"/>
    </xf>
    <xf numFmtId="165" fontId="21" fillId="18" borderId="0" xfId="1" applyFont="1" applyFill="1" applyBorder="1" applyAlignment="1">
      <alignment horizontal="center" vertical="center"/>
    </xf>
    <xf numFmtId="165" fontId="27" fillId="18" borderId="0" xfId="29" applyNumberFormat="1" applyFont="1" applyFill="1" applyBorder="1" applyAlignment="1">
      <alignment horizontal="center" vertical="center" wrapText="1"/>
    </xf>
    <xf numFmtId="0" fontId="20" fillId="18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9" fillId="17" borderId="0" xfId="0" applyFont="1" applyFill="1" applyAlignment="1">
      <alignment horizontal="center" vertical="center" textRotation="90"/>
    </xf>
    <xf numFmtId="0" fontId="7" fillId="0" borderId="1" xfId="0" applyFont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7" fillId="10" borderId="3" xfId="0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/>
    </xf>
    <xf numFmtId="0" fontId="7" fillId="16" borderId="7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/>
    </xf>
    <xf numFmtId="165" fontId="32" fillId="18" borderId="0" xfId="29" applyNumberFormat="1" applyFont="1" applyFill="1" applyBorder="1" applyAlignment="1">
      <alignment horizontal="center" vertical="center" wrapText="1"/>
    </xf>
    <xf numFmtId="4" fontId="4" fillId="0" borderId="2" xfId="1" applyNumberFormat="1" applyFont="1" applyFill="1" applyBorder="1" applyAlignment="1" applyProtection="1">
      <alignment horizontal="center" vertical="center"/>
    </xf>
    <xf numFmtId="4" fontId="4" fillId="0" borderId="3" xfId="1" applyNumberFormat="1" applyFont="1" applyFill="1" applyBorder="1" applyAlignment="1" applyProtection="1">
      <alignment horizontal="center" vertical="center"/>
    </xf>
    <xf numFmtId="4" fontId="4" fillId="0" borderId="4" xfId="1" applyNumberFormat="1" applyFont="1" applyFill="1" applyBorder="1" applyAlignment="1" applyProtection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30">
    <cellStyle name="Comma" xfId="1" builtinId="3"/>
    <cellStyle name="Comma [0]" xfId="2" builtinId="6"/>
    <cellStyle name="Comma [0] 2" xfId="7"/>
    <cellStyle name="Comma [0] 2 2" xfId="14"/>
    <cellStyle name="Comma [0] 2 2 2" xfId="26"/>
    <cellStyle name="Comma [0] 2 3" xfId="19"/>
    <cellStyle name="Comma 2" xfId="6"/>
    <cellStyle name="Comma 2 2" xfId="13"/>
    <cellStyle name="Comma 2 2 2" xfId="25"/>
    <cellStyle name="Comma 2 3" xfId="18"/>
    <cellStyle name="Comma 3" xfId="5"/>
    <cellStyle name="Comma 3 2" xfId="12"/>
    <cellStyle name="Comma 3 2 2" xfId="24"/>
    <cellStyle name="Comma 3 3" xfId="17"/>
    <cellStyle name="Comma 4" xfId="9"/>
    <cellStyle name="Comma 4 2" xfId="21"/>
    <cellStyle name="Comma 5" xfId="8"/>
    <cellStyle name="Comma 5 2" xfId="20"/>
    <cellStyle name="Comma 6" xfId="11"/>
    <cellStyle name="Comma 6 2" xfId="23"/>
    <cellStyle name="Comma 7" xfId="10"/>
    <cellStyle name="Comma 7 2" xfId="22"/>
    <cellStyle name="Comma 8" xfId="15"/>
    <cellStyle name="Comma 8 2" xfId="27"/>
    <cellStyle name="Comma 9" xfId="16"/>
    <cellStyle name="Comma_Okt" xfId="4"/>
    <cellStyle name="Hyperlink" xfId="29" builtinId="8"/>
    <cellStyle name="Normal" xfId="0" builtinId="0"/>
    <cellStyle name="Normal_Sheet1_1" xfId="28"/>
    <cellStyle name="Percent" xfId="3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587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42" Type="http://schemas.openxmlformats.org/officeDocument/2006/relationships/revisionHeaders" Target="revisions/revisionHeader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43" Type="http://schemas.openxmlformats.org/officeDocument/2006/relationships/usernames" Target="revisions/userNam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87407</xdr:colOff>
      <xdr:row>0</xdr:row>
      <xdr:rowOff>66675</xdr:rowOff>
    </xdr:from>
    <xdr:to>
      <xdr:col>2</xdr:col>
      <xdr:colOff>649942</xdr:colOff>
      <xdr:row>1</xdr:row>
      <xdr:rowOff>313765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07" y="66675"/>
          <a:ext cx="2052917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400300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84</xdr:row>
      <xdr:rowOff>171450</xdr:rowOff>
    </xdr:from>
    <xdr:to>
      <xdr:col>4</xdr:col>
      <xdr:colOff>447304</xdr:colOff>
      <xdr:row>103</xdr:row>
      <xdr:rowOff>180521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16221075"/>
          <a:ext cx="2971429" cy="362857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11208</xdr:colOff>
      <xdr:row>78</xdr:row>
      <xdr:rowOff>156881</xdr:rowOff>
    </xdr:from>
    <xdr:to>
      <xdr:col>4</xdr:col>
      <xdr:colOff>614807</xdr:colOff>
      <xdr:row>93</xdr:row>
      <xdr:rowOff>132358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943" y="15396881"/>
          <a:ext cx="3180952" cy="3438095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10\Downloads\1.%20Batubara%20Steam%20Jan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Maintenance\EID\Energi\2024\Listrik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10\Downloads\2.%20Batubara%20Steam%20Feb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10\Downloads\3.%20Batubara%20Steam%20Mar%20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10\Downloads\4.%20Batubara%20Steam%20Apr%2020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10\Downloads\5.%20Batubara%20Steam%20Mei%20202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10\Downloads\6.%20Batubara%20Steam%20Jun%2020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10\Downloads\8.%20Batubara%20Steam%20Aug%202025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10\Downloads\7.%20Batubara%20Steam%20Jul%202025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25\8.%20AGUSTUS\Listrik%20202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9.%20SEPTEMBER\9.%20Batubara%20Steam%20Sept%20202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2025\8.%20AGUSTUS\8.%20Batubara%20Steam%20Aug%202025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-0120-P-PRD-DI\2025\9.%20SEPTEMBER\9.%20Batubara%20Steam%20Sept%202025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0.%20Batubara%20Steam%20Okt%202025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ilyONo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7">
          <cell r="AT37">
            <v>509939</v>
          </cell>
        </row>
        <row r="48">
          <cell r="AI48">
            <v>509939</v>
          </cell>
        </row>
        <row r="49">
          <cell r="AI49">
            <v>488328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DailyApr"/>
      <sheetName val="Mei"/>
      <sheetName val="DailyMei"/>
      <sheetName val="Jun"/>
      <sheetName val="DailyJun"/>
      <sheetName val="Jul"/>
      <sheetName val="DailyJul"/>
      <sheetName val="Aug"/>
      <sheetName val="DailyAug"/>
      <sheetName val="Sep"/>
      <sheetName val="DailySep"/>
      <sheetName val="Oct"/>
      <sheetName val="DailyOct"/>
      <sheetName val="Nov"/>
      <sheetName val="DailyNov"/>
      <sheetName val="Des"/>
      <sheetName val="Daily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E75">
            <v>15082</v>
          </cell>
        </row>
      </sheetData>
      <sheetData sheetId="2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4">
          <cell r="AU34">
            <v>528422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7">
          <cell r="AU37">
            <v>547833</v>
          </cell>
          <cell r="BN37">
            <v>12956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6">
          <cell r="AU36">
            <v>0</v>
          </cell>
          <cell r="BN36">
            <v>12602</v>
          </cell>
        </row>
        <row r="48">
          <cell r="AI48">
            <v>0</v>
          </cell>
        </row>
        <row r="49">
          <cell r="AI49">
            <v>488328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7">
          <cell r="AU37">
            <v>0</v>
          </cell>
          <cell r="BN37">
            <v>0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6">
          <cell r="AU36">
            <v>0</v>
          </cell>
          <cell r="BN36">
            <v>0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7">
          <cell r="AU37">
            <v>659771</v>
          </cell>
          <cell r="BN37">
            <v>70431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  <sheetName val="Sheet1"/>
    </sheetNames>
    <sheetDataSet>
      <sheetData sheetId="0">
        <row r="37">
          <cell r="AU37">
            <v>635835</v>
          </cell>
          <cell r="BN37">
            <v>55493</v>
          </cell>
        </row>
      </sheetData>
      <sheetData sheetId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DailyApr"/>
      <sheetName val="Mei"/>
      <sheetName val="DailyMei"/>
      <sheetName val="Jun"/>
      <sheetName val="DailyJun"/>
      <sheetName val="Jul"/>
      <sheetName val="DailyJul"/>
      <sheetName val="Aug"/>
      <sheetName val="DailyAu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46">
          <cell r="D46">
            <v>0</v>
          </cell>
        </row>
        <row r="47">
          <cell r="D47">
            <v>0</v>
          </cell>
          <cell r="G47">
            <v>90000</v>
          </cell>
        </row>
        <row r="48">
          <cell r="D48">
            <v>0</v>
          </cell>
          <cell r="G48">
            <v>86000</v>
          </cell>
        </row>
        <row r="49">
          <cell r="D49">
            <v>0</v>
          </cell>
          <cell r="G49">
            <v>79000</v>
          </cell>
        </row>
        <row r="50">
          <cell r="D50">
            <v>0</v>
          </cell>
          <cell r="G50">
            <v>88000</v>
          </cell>
        </row>
        <row r="51">
          <cell r="D51">
            <v>0</v>
          </cell>
          <cell r="G51">
            <v>83000</v>
          </cell>
        </row>
        <row r="52">
          <cell r="D52">
            <v>0</v>
          </cell>
          <cell r="G52">
            <v>90000</v>
          </cell>
        </row>
        <row r="53">
          <cell r="D53">
            <v>0</v>
          </cell>
          <cell r="G53">
            <v>82000</v>
          </cell>
        </row>
        <row r="54">
          <cell r="D54">
            <v>0</v>
          </cell>
          <cell r="G54">
            <v>61000</v>
          </cell>
        </row>
        <row r="55">
          <cell r="D55">
            <v>0</v>
          </cell>
          <cell r="G55">
            <v>90000</v>
          </cell>
        </row>
        <row r="56">
          <cell r="D56">
            <v>0</v>
          </cell>
          <cell r="G56">
            <v>90000</v>
          </cell>
        </row>
        <row r="57">
          <cell r="D57">
            <v>0</v>
          </cell>
          <cell r="G57">
            <v>92000</v>
          </cell>
        </row>
        <row r="58">
          <cell r="D58">
            <v>0</v>
          </cell>
          <cell r="G58">
            <v>92000</v>
          </cell>
        </row>
        <row r="59">
          <cell r="D59">
            <v>0</v>
          </cell>
          <cell r="G59">
            <v>88000</v>
          </cell>
        </row>
        <row r="60">
          <cell r="D60">
            <v>0</v>
          </cell>
          <cell r="G60">
            <v>79000</v>
          </cell>
        </row>
        <row r="61">
          <cell r="D61">
            <v>0</v>
          </cell>
          <cell r="G61">
            <v>88000</v>
          </cell>
        </row>
        <row r="62">
          <cell r="D62">
            <v>0</v>
          </cell>
          <cell r="G62">
            <v>88000</v>
          </cell>
        </row>
        <row r="63">
          <cell r="D63">
            <v>0</v>
          </cell>
          <cell r="G63">
            <v>87000</v>
          </cell>
        </row>
        <row r="64">
          <cell r="D64">
            <v>0</v>
          </cell>
          <cell r="G64">
            <v>79000</v>
          </cell>
        </row>
        <row r="65">
          <cell r="D65">
            <v>0</v>
          </cell>
          <cell r="G65">
            <v>83000</v>
          </cell>
        </row>
        <row r="66">
          <cell r="D66">
            <v>0</v>
          </cell>
          <cell r="G66">
            <v>78000</v>
          </cell>
        </row>
        <row r="67">
          <cell r="D67">
            <v>0</v>
          </cell>
          <cell r="G67">
            <v>79000</v>
          </cell>
        </row>
        <row r="68">
          <cell r="D68">
            <v>0</v>
          </cell>
          <cell r="G68">
            <v>82000</v>
          </cell>
        </row>
        <row r="69">
          <cell r="D69">
            <v>0</v>
          </cell>
          <cell r="G69">
            <v>81000</v>
          </cell>
        </row>
        <row r="70">
          <cell r="D70">
            <v>0</v>
          </cell>
          <cell r="G70">
            <v>82000</v>
          </cell>
        </row>
        <row r="71">
          <cell r="D71">
            <v>0</v>
          </cell>
          <cell r="G71">
            <v>91000</v>
          </cell>
        </row>
        <row r="72">
          <cell r="D72">
            <v>0</v>
          </cell>
          <cell r="G72">
            <v>89000</v>
          </cell>
        </row>
        <row r="73">
          <cell r="D73">
            <v>0</v>
          </cell>
          <cell r="G73">
            <v>86000</v>
          </cell>
        </row>
        <row r="74">
          <cell r="D74">
            <v>0</v>
          </cell>
          <cell r="G74">
            <v>89000</v>
          </cell>
        </row>
        <row r="75">
          <cell r="D75">
            <v>0</v>
          </cell>
          <cell r="G75">
            <v>83000</v>
          </cell>
        </row>
        <row r="76">
          <cell r="D76">
            <v>0</v>
          </cell>
          <cell r="G76">
            <v>88000</v>
          </cell>
        </row>
        <row r="77">
          <cell r="G77">
            <v>79000</v>
          </cell>
        </row>
      </sheetData>
      <sheetData sheetId="1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6">
          <cell r="AU36">
            <v>17873</v>
          </cell>
          <cell r="BN36">
            <v>86159</v>
          </cell>
        </row>
      </sheetData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7">
          <cell r="AU37">
            <v>659771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6">
          <cell r="AU36">
            <v>680955</v>
          </cell>
        </row>
        <row r="37">
          <cell r="AU37">
            <v>681599</v>
          </cell>
        </row>
      </sheetData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7">
          <cell r="AU37">
            <v>18538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ONov"/>
    </sheetNames>
    <sheetDataSet>
      <sheetData sheetId="0" refreshError="1"/>
    </sheetDataSet>
  </externalBook>
</externalLink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8.xml"/><Relationship Id="rId13" Type="http://schemas.openxmlformats.org/officeDocument/2006/relationships/revisionLog" Target="revisionLog13.xml"/><Relationship Id="rId18" Type="http://schemas.openxmlformats.org/officeDocument/2006/relationships/revisionLog" Target="revisionLog18.xml"/><Relationship Id="rId3" Type="http://schemas.openxmlformats.org/officeDocument/2006/relationships/revisionLog" Target="revisionLog3.xml"/><Relationship Id="rId21" Type="http://schemas.openxmlformats.org/officeDocument/2006/relationships/revisionLog" Target="revisionLog21.xml"/><Relationship Id="rId7" Type="http://schemas.openxmlformats.org/officeDocument/2006/relationships/revisionLog" Target="revisionLog7.xml"/><Relationship Id="rId12" Type="http://schemas.openxmlformats.org/officeDocument/2006/relationships/revisionLog" Target="revisionLog12.xml"/><Relationship Id="rId17" Type="http://schemas.openxmlformats.org/officeDocument/2006/relationships/revisionLog" Target="revisionLog17.xml"/><Relationship Id="rId25" Type="http://schemas.openxmlformats.org/officeDocument/2006/relationships/revisionLog" Target="revisionLog25.xml"/><Relationship Id="rId2" Type="http://schemas.openxmlformats.org/officeDocument/2006/relationships/revisionLog" Target="revisionLog2.xml"/><Relationship Id="rId16" Type="http://schemas.openxmlformats.org/officeDocument/2006/relationships/revisionLog" Target="revisionLog16.xml"/><Relationship Id="rId20" Type="http://schemas.openxmlformats.org/officeDocument/2006/relationships/revisionLog" Target="revisionLog20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11" Type="http://schemas.openxmlformats.org/officeDocument/2006/relationships/revisionLog" Target="revisionLog11.xml"/><Relationship Id="rId24" Type="http://schemas.openxmlformats.org/officeDocument/2006/relationships/revisionLog" Target="revisionLog24.xml"/><Relationship Id="rId5" Type="http://schemas.openxmlformats.org/officeDocument/2006/relationships/revisionLog" Target="revisionLog5.xml"/><Relationship Id="rId15" Type="http://schemas.openxmlformats.org/officeDocument/2006/relationships/revisionLog" Target="revisionLog15.xml"/><Relationship Id="rId23" Type="http://schemas.openxmlformats.org/officeDocument/2006/relationships/revisionLog" Target="revisionLog23.xml"/><Relationship Id="rId10" Type="http://schemas.openxmlformats.org/officeDocument/2006/relationships/revisionLog" Target="revisionLog10.xml"/><Relationship Id="rId19" Type="http://schemas.openxmlformats.org/officeDocument/2006/relationships/revisionLog" Target="revisionLog19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Relationship Id="rId14" Type="http://schemas.openxmlformats.org/officeDocument/2006/relationships/revisionLog" Target="revisionLog14.xml"/><Relationship Id="rId22" Type="http://schemas.openxmlformats.org/officeDocument/2006/relationships/revisionLog" Target="revisionLog22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CF7DE2A8-ACC3-435A-BFAE-F4E9AEE4C3A5}" diskRevisions="1" revisionId="3227" version="19">
  <header guid="{8B05AD52-D9D2-450D-998F-CAE1357DD9F2}" dateTime="2025-10-29T13:58:44" maxSheetId="23" userName="win10" r:id="rId1">
    <sheetIdMap count="2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</sheetIdMap>
  </header>
  <header guid="{FB981D29-50B9-4F4B-BDEF-36DE4D0EC541}" dateTime="2025-10-30T08:51:54" maxSheetId="23" userName="win10" r:id="rId2" minRId="1" maxRId="93">
    <sheetIdMap count="2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</sheetIdMap>
  </header>
  <header guid="{31CFE6F3-DD35-469B-970B-00855DEA0411}" dateTime="2025-10-30T10:43:34" maxSheetId="23" userName="win10" r:id="rId3" minRId="118" maxRId="2038">
    <sheetIdMap count="2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</sheetIdMap>
  </header>
  <header guid="{A44A253F-840F-4E20-94A5-A73D12F0A1DC}" dateTime="2025-10-30T11:47:59" maxSheetId="23" userName="win10" r:id="rId4">
    <sheetIdMap count="2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</sheetIdMap>
  </header>
  <header guid="{A4DC1CB6-89AC-4EE8-9523-F3F526023428}" dateTime="2025-10-31T09:00:10" maxSheetId="23" userName="win10" r:id="rId5">
    <sheetIdMap count="2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</sheetIdMap>
  </header>
  <header guid="{08B6EF23-BBE8-4B88-8EF3-BB7FFCE17A7B}" dateTime="2025-10-31T09:54:47" maxSheetId="23" userName="win10" r:id="rId6" minRId="2087" maxRId="2100">
    <sheetIdMap count="2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</sheetIdMap>
  </header>
  <header guid="{E1FD47C4-A678-4E2B-9234-02AA383B792B}" dateTime="2025-10-31T09:55:40" maxSheetId="23" userName="win10" r:id="rId7" minRId="2125">
    <sheetIdMap count="2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</sheetIdMap>
  </header>
  <header guid="{899474EC-492B-41A4-A1B2-851E7DBC566A}" dateTime="2025-10-31T12:46:46" maxSheetId="23" userName="win10" r:id="rId8" minRId="2126" maxRId="2216">
    <sheetIdMap count="2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</sheetIdMap>
  </header>
  <header guid="{EC95DEAA-AB27-487E-99ED-997598BEF01D}" dateTime="2025-10-31T13:05:34" maxSheetId="23" userName="Produksi-PM" r:id="rId9" minRId="2241" maxRId="2243">
    <sheetIdMap count="2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</sheetIdMap>
  </header>
  <header guid="{FB0F3D8B-836C-47D8-865F-A6BE70146F47}" dateTime="2025-11-01T10:47:43" maxSheetId="23" userName="win10" r:id="rId10" minRId="2268" maxRId="2643">
    <sheetIdMap count="2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</sheetIdMap>
  </header>
  <header guid="{1B5904E8-97AD-4DAE-9578-44A6763E005A}" dateTime="2025-11-01T10:56:21" maxSheetId="23" userName="win10" r:id="rId11">
    <sheetIdMap count="2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</sheetIdMap>
  </header>
  <header guid="{A72BCE18-F8B8-4B76-A904-433BE18859B6}" dateTime="2025-11-01T11:07:28" maxSheetId="23" userName="Produksi-PM" r:id="rId12" minRId="2668" maxRId="2863">
    <sheetIdMap count="2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</sheetIdMap>
  </header>
  <header guid="{EA31ADC8-73F5-4E49-B790-9D491D26F779}" dateTime="2025-11-01T11:12:33" maxSheetId="23" userName="Produksi-PM" r:id="rId13" minRId="2888" maxRId="2900">
    <sheetIdMap count="2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</sheetIdMap>
  </header>
  <header guid="{9B042140-82A7-4CED-A514-74EC6B306881}" dateTime="2025-11-01T11:48:08" maxSheetId="23" userName="win10" r:id="rId14" minRId="2901" maxRId="2912">
    <sheetIdMap count="2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</sheetIdMap>
  </header>
  <header guid="{5BB654F1-025F-4D7E-8CA7-CAFE56CB14DC}" dateTime="2025-11-01T12:08:17" maxSheetId="23" userName="Produksi-PM" r:id="rId15" minRId="2937" maxRId="2958">
    <sheetIdMap count="2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</sheetIdMap>
  </header>
  <header guid="{6369788E-D1F6-4F81-A0F0-BD2AE39EAA0E}" dateTime="2025-11-01T12:14:33" maxSheetId="23" userName="Produksi-PM" r:id="rId16" minRId="2983" maxRId="2985">
    <sheetIdMap count="2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</sheetIdMap>
  </header>
  <header guid="{1C2E1A89-A07A-4DB9-A099-2938708F72F0}" dateTime="2025-11-01T12:24:17" maxSheetId="23" userName="Produksi-PM" r:id="rId17">
    <sheetIdMap count="2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</sheetIdMap>
  </header>
  <header guid="{46B3FAE9-DC2C-481E-AA48-9D6093CBDBBE}" dateTime="2025-11-01T12:38:05" maxSheetId="23" userName="win10" r:id="rId18">
    <sheetIdMap count="2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</sheetIdMap>
  </header>
  <header guid="{2B4F7218-2AAA-44A7-AF86-2669A4703E85}" dateTime="2025-11-01T13:19:52" maxSheetId="23" userName="Produksi-PM" r:id="rId19">
    <sheetIdMap count="2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</sheetIdMap>
  </header>
  <header guid="{262AEF8C-E1F5-400F-8B91-71FC6C4B8D7C}" dateTime="2025-11-01T13:20:17" maxSheetId="23" userName="Produksi-PM" r:id="rId20">
    <sheetIdMap count="2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</sheetIdMap>
  </header>
  <header guid="{CE35EDB2-FDAC-4280-9969-F829B098022C}" dateTime="2025-11-03T10:16:05" maxSheetId="23" userName="Produksi-PM" r:id="rId21">
    <sheetIdMap count="2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</sheetIdMap>
  </header>
  <header guid="{DD956E13-D9D8-4D94-BA3E-930001D77202}" dateTime="2025-11-03T11:33:43" maxSheetId="23" userName="Produksi-PM" r:id="rId22">
    <sheetIdMap count="2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</sheetIdMap>
  </header>
  <header guid="{5C4D06BF-B014-494F-B362-8B090FC99EA1}" dateTime="2025-11-03T14:15:34" maxSheetId="23" userName="Produksi-PM" r:id="rId23">
    <sheetIdMap count="2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</sheetIdMap>
  </header>
  <header guid="{7367EB87-81F3-426E-B205-BCDDBC11FD64}" dateTime="2025-11-03T14:39:57" maxSheetId="23" userName="win10" r:id="rId24">
    <sheetIdMap count="2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</sheetIdMap>
  </header>
  <header guid="{CF7DE2A8-ACC3-435A-BFAE-F4E9AEE4C3A5}" dateTime="2025-11-04T14:54:24" maxSheetId="23" userName="Produksi-PM" r:id="rId25" minRId="3202">
    <sheetIdMap count="2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9" numFmtId="4">
    <nc r="B36">
      <v>6005.13</v>
    </nc>
  </rcc>
  <rcc rId="2" sId="19" numFmtId="4">
    <nc r="E36">
      <v>1202.78</v>
    </nc>
  </rcc>
  <rcc rId="3" sId="19" numFmtId="4">
    <nc r="L36">
      <v>19663000</v>
    </nc>
  </rcc>
  <rcc rId="4" sId="19" numFmtId="4">
    <nc r="O36">
      <v>13774</v>
    </nc>
  </rcc>
  <rcc rId="5" sId="19" numFmtId="4">
    <nc r="S36">
      <v>11280368.75</v>
    </nc>
  </rcc>
  <rcc rId="6" sId="19" numFmtId="4">
    <nc r="U36">
      <v>1523792.57</v>
    </nc>
  </rcc>
  <rcc rId="7" sId="19" numFmtId="4">
    <nc r="W36">
      <v>4939.8999999999996</v>
    </nc>
  </rcc>
  <rcc rId="8" sId="19" numFmtId="4">
    <nc r="AA36">
      <v>913000</v>
    </nc>
  </rcc>
  <rcc rId="9" sId="19" numFmtId="4">
    <nc r="AC36">
      <v>5106.5</v>
    </nc>
  </rcc>
  <rcc rId="10" sId="19" numFmtId="4">
    <nc r="AG36">
      <v>11110</v>
    </nc>
  </rcc>
  <rcc rId="11" sId="19" numFmtId="4">
    <nc r="AL36">
      <v>12666</v>
    </nc>
  </rcc>
  <rcc rId="12" sId="19" numFmtId="4">
    <nc r="AP36">
      <v>10030</v>
    </nc>
  </rcc>
  <rcc rId="13" sId="19" numFmtId="4">
    <nc r="AX36">
      <v>547513.19999999995</v>
    </nc>
  </rcc>
  <rcc rId="14" sId="19" numFmtId="4">
    <nc r="BA36">
      <v>243447.46</v>
    </nc>
  </rcc>
  <rcc rId="15" sId="19" numFmtId="4">
    <nc r="BE36">
      <v>2173.6999999999998</v>
    </nc>
  </rcc>
  <rcc rId="16" sId="19" numFmtId="4">
    <nc r="BF36">
      <v>1227.4000000000001</v>
    </nc>
  </rcc>
  <rcc rId="17" sId="19" numFmtId="4">
    <nc r="BH36">
      <v>10366</v>
    </nc>
  </rcc>
  <rcc rId="18" sId="19" numFmtId="4">
    <nc r="BI36">
      <v>6702.3</v>
    </nc>
  </rcc>
  <rcc rId="19" sId="19" numFmtId="4">
    <nc r="BK36">
      <v>2218900</v>
    </nc>
  </rcc>
  <rcc rId="20" sId="19" numFmtId="4">
    <nc r="BM36">
      <v>968.39</v>
    </nc>
  </rcc>
  <rcc rId="21" sId="19" numFmtId="4">
    <nc r="BQ36">
      <v>923.16</v>
    </nc>
  </rcc>
  <rcc rId="22" sId="19" numFmtId="4">
    <nc r="BS36">
      <v>131076.39000000001</v>
    </nc>
  </rcc>
  <rcc rId="23" sId="19" numFmtId="4">
    <nc r="BU36">
      <v>3901500</v>
    </nc>
  </rcc>
  <rcc rId="24" sId="19" numFmtId="4">
    <nc r="BY36">
      <v>452.08</v>
    </nc>
  </rcc>
  <rcc rId="25" sId="19" numFmtId="4">
    <nc r="CC36">
      <v>863640</v>
    </nc>
  </rcc>
  <rfmt sheetId="19" sqref="CE36">
    <dxf>
      <fill>
        <patternFill>
          <bgColor theme="2"/>
        </patternFill>
      </fill>
    </dxf>
  </rfmt>
  <rcc rId="26" sId="19" numFmtId="4">
    <nc r="CG36">
      <v>122990</v>
    </nc>
  </rcc>
  <rcc rId="27" sId="19" numFmtId="4">
    <nc r="CI36">
      <v>15313</v>
    </nc>
  </rcc>
  <rcc rId="28" sId="19" numFmtId="4">
    <nc r="CM36">
      <v>4611.8</v>
    </nc>
  </rcc>
  <rcc rId="29" sId="19" numFmtId="4">
    <nc r="CQ36">
      <v>1129800</v>
    </nc>
  </rcc>
  <rcc rId="30" sId="19" numFmtId="4">
    <nc r="CU36">
      <v>5234000</v>
    </nc>
  </rcc>
  <rcc rId="31" sId="19" numFmtId="4">
    <nc r="CY36">
      <v>2809100</v>
    </nc>
  </rcc>
  <rcc rId="32" sId="19" numFmtId="4">
    <nc r="DQ36">
      <v>159770</v>
    </nc>
  </rcc>
  <rcc rId="33" sId="19" numFmtId="4">
    <nc r="DS36">
      <v>7274300</v>
    </nc>
  </rcc>
  <rcc rId="34" sId="19" numFmtId="4">
    <nc r="DU36">
      <v>8560.6</v>
    </nc>
  </rcc>
  <rcc rId="35" sId="19" numFmtId="4">
    <nc r="DV36">
      <v>4797.3</v>
    </nc>
  </rcc>
  <rcc rId="36" sId="19" numFmtId="4">
    <nc r="DX36">
      <v>14171</v>
    </nc>
  </rcc>
  <rcc rId="37" sId="19" numFmtId="4">
    <nc r="DY36">
      <v>8835.2000000000007</v>
    </nc>
  </rcc>
  <rcc rId="38" sId="19" numFmtId="4">
    <nc r="EA36">
      <v>33055</v>
    </nc>
  </rcc>
  <rcc rId="39" sId="19" numFmtId="4">
    <nc r="EB36">
      <v>22.468</v>
    </nc>
  </rcc>
  <rcc rId="40" sId="19">
    <nc r="EC36">
      <f>IF((EA36-EA35)*1000&lt;=0,0,(EA36-EA35)*1000)+GX36+$EE$40</f>
    </nc>
  </rcc>
  <rcc rId="41" sId="19" numFmtId="4">
    <nc r="EE36">
      <v>49682</v>
    </nc>
  </rcc>
  <rcc rId="42" sId="19" numFmtId="4">
    <nc r="EF36">
      <v>32.868000000000002</v>
    </nc>
  </rcc>
  <rcc rId="43" sId="19">
    <nc r="EG36">
      <f>IF((EE36-EE35)*1000&lt;=0,0,(EE36-EE35)*1000)+GX36+$EE$40</f>
    </nc>
  </rcc>
  <rcc rId="44" sId="19" numFmtId="4">
    <nc r="EH36">
      <v>14814</v>
    </nc>
  </rcc>
  <rcc rId="45" sId="19" numFmtId="4">
    <nc r="EI36">
      <v>2.2395999999999998</v>
    </nc>
  </rcc>
  <rcc rId="46" sId="19" numFmtId="4">
    <nc r="EK36">
      <v>901.51</v>
    </nc>
  </rcc>
  <rcc rId="47" sId="19" numFmtId="4">
    <nc r="EL36">
      <v>1289.5999999999999</v>
    </nc>
  </rcc>
  <rcc rId="48" sId="19" numFmtId="4">
    <nc r="EO36">
      <v>14226</v>
    </nc>
  </rcc>
  <rcc rId="49" sId="19" numFmtId="4">
    <nc r="ER36">
      <v>11913</v>
    </nc>
  </rcc>
  <rcc rId="50" sId="19" numFmtId="4">
    <nc r="EU36">
      <v>5111.3</v>
    </nc>
  </rcc>
  <rcc rId="51" sId="19" numFmtId="4">
    <nc r="EX36">
      <v>15313</v>
    </nc>
  </rcc>
  <rcc rId="52" sId="19" numFmtId="4">
    <nc r="FB36">
      <v>40137254</v>
    </nc>
  </rcc>
  <rcc rId="53" sId="19" numFmtId="4">
    <nc r="FE36">
      <v>18382</v>
    </nc>
  </rcc>
  <rcc rId="54" sId="19" numFmtId="4">
    <nc r="FH36">
      <v>11275</v>
    </nc>
  </rcc>
  <rcc rId="55" sId="19" numFmtId="4">
    <nc r="FN36">
      <v>18387</v>
    </nc>
  </rcc>
  <rcc rId="56" sId="19" numFmtId="4">
    <nc r="FQ36">
      <v>64529</v>
    </nc>
  </rcc>
  <rcc rId="57" sId="19" numFmtId="4">
    <nc r="FV36">
      <v>8002000</v>
    </nc>
  </rcc>
  <rcc rId="58" sId="19" numFmtId="4">
    <nc r="FY36">
      <v>408780</v>
    </nc>
  </rcc>
  <rcc rId="59" sId="19" numFmtId="4">
    <nc r="GB36">
      <v>932.47</v>
    </nc>
  </rcc>
  <rcc rId="60" sId="19" numFmtId="4">
    <nc r="GE36">
      <v>11426</v>
    </nc>
  </rcc>
  <rcc rId="61" sId="19" numFmtId="4">
    <nc r="GH36">
      <v>169000</v>
    </nc>
  </rcc>
  <rcc rId="62" sId="19" numFmtId="4">
    <nc r="GK36">
      <v>1561.3</v>
    </nc>
  </rcc>
  <rcc rId="63" sId="19" numFmtId="4">
    <nc r="GN36">
      <v>244290</v>
    </nc>
  </rcc>
  <rcc rId="64" sId="19" numFmtId="4">
    <nc r="GQ36">
      <v>308890</v>
    </nc>
  </rcc>
  <rcc rId="65" sId="19" numFmtId="4">
    <nc r="HH36">
      <v>34935</v>
    </nc>
  </rcc>
  <rcc rId="66" sId="19" numFmtId="4">
    <nc r="HI36">
      <v>13249</v>
    </nc>
  </rcc>
  <rcc rId="67" sId="19">
    <nc r="HK36">
      <v>2.1432000000000002</v>
    </nc>
  </rcc>
  <rcc rId="68" sId="19">
    <nc r="HL36">
      <v>807.23</v>
    </nc>
  </rcc>
  <rcc rId="69" sId="19">
    <nc r="HN36">
      <v>8769.2000000000007</v>
    </nc>
  </rcc>
  <rcc rId="70" sId="19">
    <nc r="HO36">
      <v>87265</v>
    </nc>
  </rcc>
  <rfmt sheetId="19" sqref="HO36">
    <dxf>
      <numFmt numFmtId="179" formatCode="0.0"/>
    </dxf>
  </rfmt>
  <rfmt sheetId="19" sqref="HO36">
    <dxf>
      <numFmt numFmtId="2" formatCode="0.00"/>
    </dxf>
  </rfmt>
  <rfmt sheetId="19" sqref="HN36">
    <dxf>
      <numFmt numFmtId="2" formatCode="0.00"/>
    </dxf>
  </rfmt>
  <rcc rId="71" sId="19" numFmtId="4">
    <nc r="HQ36">
      <v>5976.3</v>
    </nc>
  </rcc>
  <rcc rId="72" sId="19" numFmtId="4">
    <nc r="HR36">
      <v>2489.8000000000002</v>
    </nc>
  </rcc>
  <rcc rId="73" sId="19" numFmtId="4">
    <nc r="HT36">
      <v>5944.4</v>
    </nc>
  </rcc>
  <rcc rId="74" sId="19" numFmtId="4">
    <nc r="HU36">
      <v>2117.3000000000002</v>
    </nc>
  </rcc>
  <rcc rId="75" sId="19" numFmtId="4">
    <nc r="HW36">
      <v>4505.2</v>
    </nc>
  </rcc>
  <rcc rId="76" sId="19" numFmtId="4">
    <nc r="HX36">
      <v>1901.3</v>
    </nc>
  </rcc>
  <rcc rId="77" sId="19">
    <nc r="HZ36">
      <v>3983700</v>
    </nc>
  </rcc>
  <rcc rId="78" sId="19">
    <nc r="IA36">
      <v>17084</v>
    </nc>
  </rcc>
  <rcc rId="79" sId="19" numFmtId="4">
    <nc r="IC36">
      <v>719.8</v>
    </nc>
  </rcc>
  <rcc rId="80" sId="19" numFmtId="4">
    <nc r="ID36">
      <v>232.78</v>
    </nc>
  </rcc>
  <rcc rId="81" sId="19" numFmtId="4">
    <nc r="FS73">
      <v>979.46</v>
    </nc>
  </rcc>
  <rcc rId="82" sId="19" odxf="1" dxf="1">
    <nc r="FU73">
      <f>(FS73-FS72)*1000</f>
    </nc>
    <odxf>
      <numFmt numFmtId="0" formatCode="General"/>
    </odxf>
    <ndxf>
      <numFmt numFmtId="1" formatCode="0"/>
    </ndxf>
  </rcc>
  <rcc rId="83" sId="19" odxf="1" dxf="1">
    <oc r="FV73">
      <f>FU73/2</f>
    </oc>
    <nc r="FV73">
      <f>FU73/2</f>
    </nc>
    <odxf/>
    <ndxf/>
  </rcc>
  <rcc rId="84" sId="19" odxf="1" dxf="1">
    <oc r="FW73">
      <f>FU73/2</f>
    </oc>
    <nc r="FW73">
      <f>FU73/2</f>
    </nc>
    <odxf/>
    <ndxf/>
  </rcc>
  <rcc rId="85" sId="19" numFmtId="13">
    <nc r="FF73">
      <v>0.5</v>
    </nc>
  </rcc>
  <rcc rId="86" sId="19">
    <nc r="FG73">
      <f>100%-FF73</f>
    </nc>
  </rcc>
  <rcc rId="87" sId="19">
    <nc r="E75">
      <v>38345</v>
    </nc>
  </rcc>
  <rcc rId="88" sId="19" numFmtId="34">
    <nc r="GV36">
      <v>13103.74</v>
    </nc>
  </rcc>
  <rcc rId="89" sId="19">
    <nc r="GX36">
      <v>873.58</v>
    </nc>
  </rcc>
  <rcc rId="90" sId="19">
    <nc r="IJ73">
      <v>-3900</v>
    </nc>
  </rcc>
  <rcc rId="91" sId="19">
    <nc r="IL73">
      <v>-975</v>
    </nc>
  </rcc>
  <rcc rId="92" sId="20" numFmtId="34">
    <oc r="BL35">
      <f>+AS35</f>
    </oc>
    <nc r="BL35">
      <v>0</v>
    </nc>
  </rcc>
  <rcc rId="93" sId="20" odxf="1" dxf="1">
    <nc r="BV35" t="inlineStr">
      <is>
        <t>DIP1 PM 12; DIP2 PM 15 ; WPL Stop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v guid="{32ABFE17-599B-4D0B-A1DB-D95B181877FC}" action="delete"/>
  <rdn rId="0" localSheetId="1" customView="1" name="Z_32ABFE17_599B_4D0B_A1DB_D95B181877FC_.wvu.Cols" hidden="1" oldHidden="1">
    <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formula>
    <old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oldFormula>
  </rdn>
  <rdn rId="0" localSheetId="2" customView="1" name="Z_32ABFE17_599B_4D0B_A1DB_D95B181877FC_.wvu.Cols" hidden="1" oldHidden="1">
    <formula>DailyJan!$D:$M,DailyJan!$W:$X,DailyJan!$AH:$AJ,DailyJan!$AL:$AN,DailyJan!$AP:$AR,DailyJan!$AT:$AX,DailyJan!$AZ:$BC,DailyJan!$BX:$BY</formula>
    <oldFormula>DailyJan!$D:$M,DailyJan!$W:$X,DailyJan!$AH:$AJ,DailyJan!$AL:$AN,DailyJan!$AP:$AR,DailyJan!$AT:$AX,DailyJan!$AZ:$BC,DailyJan!$BX:$BY</oldFormula>
  </rdn>
  <rdn rId="0" localSheetId="3" customView="1" name="Z_32ABFE17_599B_4D0B_A1DB_D95B181877FC_.wvu.Rows" hidden="1" oldHidden="1">
    <formula>Feb!$36:$38</formula>
    <oldFormula>Feb!$36:$38</oldFormula>
  </rdn>
  <rdn rId="0" localSheetId="3" customView="1" name="Z_32ABFE17_599B_4D0B_A1DB_D95B181877FC_.wvu.Cols" hidden="1" oldHidden="1">
    <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formula>
    <old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oldFormula>
  </rdn>
  <rdn rId="0" localSheetId="4" customView="1" name="Z_32ABFE17_599B_4D0B_A1DB_D95B181877FC_.wvu.Rows" hidden="1" oldHidden="1">
    <formula>DailyFeb!$35:$37</formula>
    <oldFormula>DailyFeb!$35:$37</oldFormula>
  </rdn>
  <rdn rId="0" localSheetId="4" customView="1" name="Z_32ABFE17_599B_4D0B_A1DB_D95B181877FC_.wvu.Cols" hidden="1" oldHidden="1">
    <formula>DailyFeb!$D:$M,DailyFeb!$W:$X,DailyFeb!$AH:$AJ,DailyFeb!$AL:$AN,DailyFeb!$AP:$AR</formula>
    <oldFormula>DailyFeb!$D:$M,DailyFeb!$W:$X,DailyFeb!$AH:$AJ,DailyFeb!$AL:$AN,DailyFeb!$AP:$AR</oldFormula>
  </rdn>
  <rdn rId="0" localSheetId="5" customView="1" name="Z_32ABFE17_599B_4D0B_A1DB_D95B181877FC_.wvu.Cols" hidden="1" oldHidden="1">
    <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formula>
    <old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oldFormula>
  </rdn>
  <rdn rId="0" localSheetId="6" customView="1" name="Z_32ABFE17_599B_4D0B_A1DB_D95B181877FC_.wvu.Cols" hidden="1" oldHidden="1">
    <formula>DailyMar!$D:$M,DailyMar!$O:$U,DailyMar!$W:$X,DailyMar!$AH:$AJ,DailyMar!$AL:$AN,DailyMar!$AP:$AR,DailyMar!$AT:$AX,DailyMar!$AZ:$BC,DailyMar!$BE:$BF,DailyMar!$BV:$CC</formula>
    <oldFormula>DailyMar!$D:$M,DailyMar!$O:$U,DailyMar!$W:$X,DailyMar!$AH:$AJ,DailyMar!$AL:$AN,DailyMar!$AP:$AR,DailyMar!$AT:$AX,DailyMar!$AZ:$BC,DailyMar!$BE:$BF,DailyMar!$BV:$CC</oldFormula>
  </rdn>
  <rdn rId="0" localSheetId="7" customView="1" name="Z_32ABFE17_599B_4D0B_A1DB_D95B181877FC_.wvu.Rows" hidden="1" oldHidden="1">
    <formula>Apr!$38:$38</formula>
    <oldFormula>Apr!$38:$38</oldFormula>
  </rdn>
  <rdn rId="0" localSheetId="7" customView="1" name="Z_32ABFE17_599B_4D0B_A1DB_D95B181877FC_.wvu.Cols" hidden="1" oldHidden="1">
    <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formula>
    <old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oldFormula>
  </rdn>
  <rdn rId="0" localSheetId="8" customView="1" name="Z_32ABFE17_599B_4D0B_A1DB_D95B181877FC_.wvu.Rows" hidden="1" oldHidden="1">
    <formula>DailyApr!$37:$37</formula>
    <oldFormula>DailyApr!$37:$37</oldFormula>
  </rdn>
  <rdn rId="0" localSheetId="8" customView="1" name="Z_32ABFE17_599B_4D0B_A1DB_D95B181877FC_.wvu.Cols" hidden="1" oldHidden="1">
    <formula>DailyApr!$D:$M,DailyApr!$O:$U,DailyApr!$W:$X,DailyApr!$AH:$AJ,DailyApr!$AL:$AN,DailyApr!$AP:$AR,DailyApr!$AT:$AX,DailyApr!$AZ:$BC,DailyApr!$BE:$BF,DailyApr!$BV:$CG</formula>
    <oldFormula>DailyApr!$D:$M,DailyApr!$O:$U,DailyApr!$W:$X,DailyApr!$AH:$AJ,DailyApr!$AL:$AN,DailyApr!$AP:$AR,DailyApr!$AT:$AX,DailyApr!$AZ:$BC,DailyApr!$BE:$BF,DailyApr!$BV:$CG</oldFormula>
  </rdn>
  <rdn rId="0" localSheetId="9" customView="1" name="Z_32ABFE17_599B_4D0B_A1DB_D95B181877FC_.wvu.Cols" hidden="1" oldHidden="1">
    <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formula>
    <old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oldFormula>
  </rdn>
  <rdn rId="0" localSheetId="10" customView="1" name="Z_32ABFE17_599B_4D0B_A1DB_D95B181877FC_.wvu.Cols" hidden="1" oldHidden="1">
    <formula>DailyMei!$D:$M,DailyMei!$O:$U,DailyMei!$W:$X,DailyMei!$AH:$AJ,DailyMei!$AL:$AN,DailyMei!$AP:$AR,DailyMei!$AT:$AX,DailyMei!$AZ:$BC,DailyMei!$BE:$BF,DailyMei!$BV:$CK</formula>
    <oldFormula>DailyMei!$D:$M,DailyMei!$O:$U,DailyMei!$W:$X,DailyMei!$AH:$AJ,DailyMei!$AL:$AN,DailyMei!$AP:$AR,DailyMei!$AT:$AX,DailyMei!$AZ:$BC,DailyMei!$BE:$BF,DailyMei!$BV:$CK</oldFormula>
  </rdn>
  <rdn rId="0" localSheetId="11" customView="1" name="Z_32ABFE17_599B_4D0B_A1DB_D95B181877FC_.wvu.Cols" hidden="1" oldHidden="1">
    <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formula>
    <old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oldFormula>
  </rdn>
  <rdn rId="0" localSheetId="12" customView="1" name="Z_32ABFE17_599B_4D0B_A1DB_D95B181877FC_.wvu.Rows" hidden="1" oldHidden="1">
    <formula>DailyJun!$37:$37</formula>
    <oldFormula>DailyJun!$37:$37</oldFormula>
  </rdn>
  <rdn rId="0" localSheetId="12" customView="1" name="Z_32ABFE17_599B_4D0B_A1DB_D95B181877FC_.wvu.Cols" hidden="1" oldHidden="1">
    <formula>DailyJun!$D:$M,DailyJun!$O:$U,DailyJun!$W:$X,DailyJun!$AH:$AJ,DailyJun!$AL:$AN,DailyJun!$AP:$AR,DailyJun!$AT:$AX,DailyJun!$AZ:$BC,DailyJun!$BE:$BF,DailyJun!$BV:$CI</formula>
    <oldFormula>DailyJun!$D:$M,DailyJun!$O:$U,DailyJun!$W:$X,DailyJun!$AH:$AJ,DailyJun!$AL:$AN,DailyJun!$AP:$AR,DailyJun!$AT:$AX,DailyJun!$AZ:$BC,DailyJun!$BE:$BF,DailyJun!$BV:$CI</oldFormula>
  </rdn>
  <rdn rId="0" localSheetId="13" customView="1" name="Z_32ABFE17_599B_4D0B_A1DB_D95B181877FC_.wvu.Cols" hidden="1" oldHidden="1">
    <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formula>
    <old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oldFormula>
  </rdn>
  <rdn rId="0" localSheetId="14" customView="1" name="Z_32ABFE17_599B_4D0B_A1DB_D95B181877FC_.wvu.Cols" hidden="1" oldHidden="1">
    <formula>DailyJul!$D:$M,DailyJul!$O:$U,DailyJul!$W:$X,DailyJul!$AH:$AJ,DailyJul!$AL:$AN,DailyJul!$AP:$AR,DailyJul!$AT:$AX,DailyJul!$AZ:$BC,DailyJul!$BE:$BF</formula>
    <oldFormula>DailyJul!$D:$M,DailyJul!$O:$U,DailyJul!$W:$X,DailyJul!$AH:$AJ,DailyJul!$AL:$AN,DailyJul!$AP:$AR,DailyJul!$AT:$AX,DailyJul!$AZ:$BC,DailyJul!$BE:$BF</oldFormula>
  </rdn>
  <rdn rId="0" localSheetId="15" customView="1" name="Z_32ABFE17_599B_4D0B_A1DB_D95B181877FC_.wvu.Cols" hidden="1" oldHidden="1">
    <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formula>
    <old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oldFormula>
  </rdn>
  <rdn rId="0" localSheetId="16" customView="1" name="Z_32ABFE17_599B_4D0B_A1DB_D95B181877FC_.wvu.PrintArea" hidden="1" oldHidden="1">
    <formula>DailyAug!$A$1:$BU$69</formula>
    <oldFormula>DailyAug!$A$1:$BU$69</oldFormula>
  </rdn>
  <rdn rId="0" localSheetId="17" customView="1" name="Z_32ABFE17_599B_4D0B_A1DB_D95B181877FC_.wvu.Cols" hidden="1" oldHidden="1">
    <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formula>
    <old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oldFormula>
  </rdn>
  <rdn rId="0" localSheetId="19" customView="1" name="Z_32ABFE17_599B_4D0B_A1DB_D95B181877FC_.wvu.Cols" hidden="1" oldHidden="1">
    <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formula>
    <old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oldFormula>
  </rdn>
  <rdn rId="0" localSheetId="21" customView="1" name="Z_32ABFE17_599B_4D0B_A1DB_D95B181877FC_.wvu.Cols" hidden="1" oldHidden="1">
    <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formula>
    <old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oldFormula>
  </rdn>
  <rcv guid="{32ABFE17-599B-4D0B-A1DB-D95B181877FC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8" sId="22">
    <oc r="K13">
      <f>Oct!AR14</f>
    </oc>
    <nc r="K13">
      <f>Nov!AR14</f>
    </nc>
  </rcc>
  <rcc rId="119" sId="22">
    <oc r="L13">
      <f>Oct!AZ14</f>
    </oc>
    <nc r="L13">
      <f>Nov!AZ14</f>
    </nc>
  </rcc>
  <rcc rId="120" sId="22">
    <oc r="M13">
      <f>Oct!BC14</f>
    </oc>
    <nc r="M13">
      <f>Nov!BC14</f>
    </nc>
  </rcc>
  <rcc rId="121" sId="22">
    <oc r="O13">
      <f>Oct!CA14</f>
    </oc>
    <nc r="O13">
      <f>Nov!CA14</f>
    </nc>
  </rcc>
  <rcc rId="122" sId="22">
    <oc r="P13">
      <f>Oct!CD14</f>
    </oc>
    <nc r="P13">
      <f>Nov!CD14</f>
    </nc>
  </rcc>
  <rcc rId="123" sId="22">
    <oc r="Q13">
      <f>Oct!CF14</f>
    </oc>
    <nc r="Q13">
      <f>Nov!CF14</f>
    </nc>
  </rcc>
  <rcc rId="124" sId="22">
    <oc r="R13">
      <f>Oct!CH14</f>
    </oc>
    <nc r="R13">
      <f>Nov!CH14</f>
    </nc>
  </rcc>
  <rcc rId="125" sId="22">
    <oc r="S13">
      <f>Oct!CK14</f>
    </oc>
    <nc r="S13">
      <f>Nov!CK14</f>
    </nc>
  </rcc>
  <rcc rId="126" sId="22">
    <oc r="T13">
      <f>Oct!CO14</f>
    </oc>
    <nc r="T13">
      <f>Nov!CO14</f>
    </nc>
  </rcc>
  <rcc rId="127" sId="22">
    <oc r="U13">
      <f>Oct!CS14</f>
    </oc>
    <nc r="U13">
      <f>Nov!CS14</f>
    </nc>
  </rcc>
  <rcc rId="128" sId="22">
    <oc r="W13">
      <f>Oct!CW14</f>
    </oc>
    <nc r="W13">
      <f>Nov!CW14</f>
    </nc>
  </rcc>
  <rcc rId="129" sId="22">
    <oc r="X13">
      <f>Oct!DA14</f>
    </oc>
    <nc r="X13">
      <f>Nov!DA14</f>
    </nc>
  </rcc>
  <rcc rId="130" sId="22">
    <oc r="Z13">
      <f>Oct!BR14</f>
    </oc>
    <nc r="Z13">
      <f>Nov!BR14</f>
    </nc>
  </rcc>
  <rcc rId="131" sId="22">
    <oc r="AA13">
      <f>Oct!BG14</f>
    </oc>
    <nc r="AA13">
      <f>Nov!BG14</f>
    </nc>
  </rcc>
  <rcc rId="132" sId="22">
    <oc r="AB13">
      <f>Oct!BJ14</f>
    </oc>
    <nc r="AB13">
      <f>Nov!BJ14</f>
    </nc>
  </rcc>
  <rcc rId="133" sId="22">
    <oc r="AC13">
      <f>Oct!BL14+Oct!BN14</f>
    </oc>
    <nc r="AC13">
      <f>Nov!BL14+Nov!BN14</f>
    </nc>
  </rcc>
  <rcc rId="134" sId="22">
    <oc r="AD13">
      <f>Oct!DR14</f>
    </oc>
    <nc r="AD13">
      <f>Nov!DR14</f>
    </nc>
  </rcc>
  <rcc rId="135" sId="22">
    <oc r="AE13">
      <f>Oct!DT14-Oct!DR54-Oct!DT54</f>
    </oc>
    <nc r="AE13">
      <f>Nov!DT14-Nov!DR54-Nov!DT54</f>
    </nc>
  </rcc>
  <rcc rId="136" sId="22">
    <oc r="K7">
      <f>Oct!AR8</f>
    </oc>
    <nc r="K7">
      <f>Nov!AR8</f>
    </nc>
  </rcc>
  <rcc rId="137" sId="22">
    <oc r="L7">
      <f>Oct!AZ8</f>
    </oc>
    <nc r="L7">
      <f>Nov!AZ8</f>
    </nc>
  </rcc>
  <rcc rId="138" sId="22">
    <oc r="M7">
      <f>Oct!BC8</f>
    </oc>
    <nc r="M7">
      <f>Nov!BC8</f>
    </nc>
  </rcc>
  <rcc rId="139" sId="22">
    <oc r="N7">
      <f>SUM(D7:M7)</f>
    </oc>
    <nc r="N7">
      <f>SUM(D7:M7)</f>
    </nc>
  </rcc>
  <rcc rId="140" sId="22">
    <oc r="K8">
      <f>Oct!AR9</f>
    </oc>
    <nc r="K8">
      <f>Nov!AR9</f>
    </nc>
  </rcc>
  <rcc rId="141" sId="22">
    <oc r="L8">
      <f>Oct!AZ9</f>
    </oc>
    <nc r="L8">
      <f>Nov!AZ9</f>
    </nc>
  </rcc>
  <rcc rId="142" sId="22">
    <oc r="M8">
      <f>Oct!BC9</f>
    </oc>
    <nc r="M8">
      <f>Nov!BC9</f>
    </nc>
  </rcc>
  <rcc rId="143" sId="22">
    <oc r="N8">
      <f>SUM(D8:M8)</f>
    </oc>
    <nc r="N8">
      <f>SUM(D8:M8)</f>
    </nc>
  </rcc>
  <rcc rId="144" sId="22">
    <oc r="K9">
      <f>Oct!AR10</f>
    </oc>
    <nc r="K9">
      <f>Nov!AR10</f>
    </nc>
  </rcc>
  <rcc rId="145" sId="22">
    <oc r="L9">
      <f>Oct!AZ10</f>
    </oc>
    <nc r="L9">
      <f>Nov!AZ10</f>
    </nc>
  </rcc>
  <rcc rId="146" sId="22">
    <oc r="M9">
      <f>Oct!BC10</f>
    </oc>
    <nc r="M9">
      <f>Nov!BC10</f>
    </nc>
  </rcc>
  <rcc rId="147" sId="22">
    <oc r="N9">
      <f>SUM(D9:M9)</f>
    </oc>
    <nc r="N9">
      <f>SUM(D9:M9)</f>
    </nc>
  </rcc>
  <rcc rId="148" sId="22">
    <oc r="K10">
      <f>Oct!AR11</f>
    </oc>
    <nc r="K10">
      <f>Nov!AR11</f>
    </nc>
  </rcc>
  <rcc rId="149" sId="22">
    <oc r="L10">
      <f>Oct!AZ11</f>
    </oc>
    <nc r="L10">
      <f>Nov!AZ11</f>
    </nc>
  </rcc>
  <rcc rId="150" sId="22">
    <oc r="M10">
      <f>Oct!BC11</f>
    </oc>
    <nc r="M10">
      <f>Nov!BC11</f>
    </nc>
  </rcc>
  <rcc rId="151" sId="22">
    <oc r="N10">
      <f>SUM(D10:M10)</f>
    </oc>
    <nc r="N10">
      <f>SUM(D10:M10)</f>
    </nc>
  </rcc>
  <rcc rId="152" sId="22">
    <oc r="K11">
      <f>Oct!AR12</f>
    </oc>
    <nc r="K11">
      <f>Nov!AR12</f>
    </nc>
  </rcc>
  <rcc rId="153" sId="22">
    <oc r="L11">
      <f>Oct!AZ12</f>
    </oc>
    <nc r="L11">
      <f>Nov!AZ12</f>
    </nc>
  </rcc>
  <rcc rId="154" sId="22">
    <oc r="M11">
      <f>Oct!BC12</f>
    </oc>
    <nc r="M11">
      <f>Nov!BC12</f>
    </nc>
  </rcc>
  <rcc rId="155" sId="22">
    <oc r="N11">
      <f>SUM(D11:M11)</f>
    </oc>
    <nc r="N11">
      <f>SUM(D11:M11)</f>
    </nc>
  </rcc>
  <rcc rId="156" sId="22">
    <oc r="K12">
      <f>Oct!AR13</f>
    </oc>
    <nc r="K12">
      <f>Nov!AR13</f>
    </nc>
  </rcc>
  <rcc rId="157" sId="22">
    <oc r="L12">
      <f>Oct!AZ13</f>
    </oc>
    <nc r="L12">
      <f>Nov!AZ13</f>
    </nc>
  </rcc>
  <rcc rId="158" sId="22">
    <oc r="M12">
      <f>Oct!BC13</f>
    </oc>
    <nc r="M12">
      <f>Nov!BC13</f>
    </nc>
  </rcc>
  <rcc rId="159" sId="22">
    <oc r="N12">
      <f>SUM(D12:M12)</f>
    </oc>
    <nc r="N12">
      <f>SUM(D12:M12)</f>
    </nc>
  </rcc>
  <rcc rId="160" sId="22">
    <oc r="K14">
      <f>Oct!AR15</f>
    </oc>
    <nc r="K14">
      <f>Nov!AR15</f>
    </nc>
  </rcc>
  <rcc rId="161" sId="22">
    <oc r="L14">
      <f>Oct!AZ15</f>
    </oc>
    <nc r="L14">
      <f>Nov!AZ15</f>
    </nc>
  </rcc>
  <rcc rId="162" sId="22">
    <oc r="M14">
      <f>Oct!BC15</f>
    </oc>
    <nc r="M14">
      <f>Nov!BC15</f>
    </nc>
  </rcc>
  <rcc rId="163" sId="22">
    <oc r="N14">
      <f>SUM(D14:M14)</f>
    </oc>
    <nc r="N14">
      <f>SUM(D14:M14)</f>
    </nc>
  </rcc>
  <rcc rId="164" sId="22">
    <oc r="K15">
      <f>Oct!AR16</f>
    </oc>
    <nc r="K15">
      <f>Nov!AR16</f>
    </nc>
  </rcc>
  <rcc rId="165" sId="22">
    <oc r="L15">
      <f>Oct!AZ16</f>
    </oc>
    <nc r="L15">
      <f>Nov!AZ16</f>
    </nc>
  </rcc>
  <rcc rId="166" sId="22">
    <oc r="M15">
      <f>Oct!BC16</f>
    </oc>
    <nc r="M15">
      <f>Nov!BC16</f>
    </nc>
  </rcc>
  <rcc rId="167" sId="22">
    <oc r="N15">
      <f>SUM(D15:M15)</f>
    </oc>
    <nc r="N15">
      <f>SUM(D15:M15)</f>
    </nc>
  </rcc>
  <rcc rId="168" sId="22">
    <oc r="K16">
      <f>Oct!AR17</f>
    </oc>
    <nc r="K16">
      <f>Nov!AR17</f>
    </nc>
  </rcc>
  <rcc rId="169" sId="22">
    <oc r="L16">
      <f>Oct!AZ17</f>
    </oc>
    <nc r="L16">
      <f>Nov!AZ17</f>
    </nc>
  </rcc>
  <rcc rId="170" sId="22">
    <oc r="M16">
      <f>Oct!BC17</f>
    </oc>
    <nc r="M16">
      <f>Nov!BC17</f>
    </nc>
  </rcc>
  <rcc rId="171" sId="22">
    <oc r="N16">
      <f>SUM(D16:M16)</f>
    </oc>
    <nc r="N16">
      <f>SUM(D16:M16)</f>
    </nc>
  </rcc>
  <rcc rId="172" sId="22">
    <oc r="K17">
      <f>Oct!AR18</f>
    </oc>
    <nc r="K17">
      <f>Nov!AR18</f>
    </nc>
  </rcc>
  <rcc rId="173" sId="22">
    <oc r="L17">
      <f>Oct!AZ18</f>
    </oc>
    <nc r="L17">
      <f>Nov!AZ18</f>
    </nc>
  </rcc>
  <rcc rId="174" sId="22">
    <oc r="M17">
      <f>Oct!BC18</f>
    </oc>
    <nc r="M17">
      <f>Nov!BC18</f>
    </nc>
  </rcc>
  <rcc rId="175" sId="22">
    <oc r="N17">
      <f>SUM(D17:M17)</f>
    </oc>
    <nc r="N17">
      <f>SUM(D17:M17)</f>
    </nc>
  </rcc>
  <rcc rId="176" sId="22">
    <oc r="K18">
      <f>Oct!AR19</f>
    </oc>
    <nc r="K18">
      <f>Nov!AR19</f>
    </nc>
  </rcc>
  <rcc rId="177" sId="22">
    <oc r="L18">
      <f>Oct!AZ19</f>
    </oc>
    <nc r="L18">
      <f>Nov!AZ19</f>
    </nc>
  </rcc>
  <rcc rId="178" sId="22">
    <oc r="M18">
      <f>Oct!BC19</f>
    </oc>
    <nc r="M18">
      <f>Nov!BC19</f>
    </nc>
  </rcc>
  <rcc rId="179" sId="22">
    <oc r="N18">
      <f>SUM(D18:M18)</f>
    </oc>
    <nc r="N18">
      <f>SUM(D18:M18)</f>
    </nc>
  </rcc>
  <rcc rId="180" sId="22">
    <oc r="K19">
      <f>Oct!AR20</f>
    </oc>
    <nc r="K19">
      <f>Nov!AR20</f>
    </nc>
  </rcc>
  <rcc rId="181" sId="22">
    <oc r="L19">
      <f>Oct!AZ20</f>
    </oc>
    <nc r="L19">
      <f>Nov!AZ20</f>
    </nc>
  </rcc>
  <rcc rId="182" sId="22">
    <oc r="M19">
      <f>Oct!BC20</f>
    </oc>
    <nc r="M19">
      <f>Nov!BC20</f>
    </nc>
  </rcc>
  <rcc rId="183" sId="22">
    <oc r="N19">
      <f>SUM(D19:M19)</f>
    </oc>
    <nc r="N19">
      <f>SUM(D19:M19)</f>
    </nc>
  </rcc>
  <rcc rId="184" sId="22">
    <oc r="K20">
      <f>Oct!AR21</f>
    </oc>
    <nc r="K20">
      <f>Nov!AR21</f>
    </nc>
  </rcc>
  <rcc rId="185" sId="22">
    <oc r="L20">
      <f>Oct!AZ21</f>
    </oc>
    <nc r="L20">
      <f>Nov!AZ21</f>
    </nc>
  </rcc>
  <rcc rId="186" sId="22">
    <oc r="M20">
      <f>Oct!BC21</f>
    </oc>
    <nc r="M20">
      <f>Nov!BC21</f>
    </nc>
  </rcc>
  <rcc rId="187" sId="22">
    <oc r="N20">
      <f>SUM(D20:M20)</f>
    </oc>
    <nc r="N20">
      <f>SUM(D20:M20)</f>
    </nc>
  </rcc>
  <rcc rId="188" sId="22">
    <oc r="K21">
      <f>Oct!AR22</f>
    </oc>
    <nc r="K21">
      <f>Nov!AR22</f>
    </nc>
  </rcc>
  <rcc rId="189" sId="22">
    <oc r="L21">
      <f>Oct!AZ22</f>
    </oc>
    <nc r="L21">
      <f>Nov!AZ22</f>
    </nc>
  </rcc>
  <rcc rId="190" sId="22">
    <oc r="M21">
      <f>Oct!BC22</f>
    </oc>
    <nc r="M21">
      <f>Nov!BC22</f>
    </nc>
  </rcc>
  <rcc rId="191" sId="22">
    <oc r="N21">
      <f>SUM(D21:M21)</f>
    </oc>
    <nc r="N21">
      <f>SUM(D21:M21)</f>
    </nc>
  </rcc>
  <rcc rId="192" sId="22">
    <oc r="K22">
      <f>Oct!AR23</f>
    </oc>
    <nc r="K22">
      <f>Nov!AR23</f>
    </nc>
  </rcc>
  <rcc rId="193" sId="22">
    <oc r="L22">
      <f>Oct!AZ23</f>
    </oc>
    <nc r="L22">
      <f>Nov!AZ23</f>
    </nc>
  </rcc>
  <rcc rId="194" sId="22">
    <oc r="M22">
      <f>Oct!BC23</f>
    </oc>
    <nc r="M22">
      <f>Nov!BC23</f>
    </nc>
  </rcc>
  <rcc rId="195" sId="22">
    <oc r="N22">
      <f>SUM(D22:M22)</f>
    </oc>
    <nc r="N22">
      <f>SUM(D22:M22)</f>
    </nc>
  </rcc>
  <rcc rId="196" sId="22">
    <oc r="K23">
      <f>Oct!AR24</f>
    </oc>
    <nc r="K23">
      <f>Nov!AR24</f>
    </nc>
  </rcc>
  <rcc rId="197" sId="22">
    <oc r="L23">
      <f>Oct!AZ24</f>
    </oc>
    <nc r="L23">
      <f>Nov!AZ24</f>
    </nc>
  </rcc>
  <rcc rId="198" sId="22">
    <oc r="M23">
      <f>Oct!BC24</f>
    </oc>
    <nc r="M23">
      <f>Nov!BC24</f>
    </nc>
  </rcc>
  <rcc rId="199" sId="22">
    <oc r="N23">
      <f>SUM(D23:M23)</f>
    </oc>
    <nc r="N23">
      <f>SUM(D23:M23)</f>
    </nc>
  </rcc>
  <rcc rId="200" sId="22">
    <oc r="K24">
      <f>Oct!AR25</f>
    </oc>
    <nc r="K24">
      <f>Nov!AR25</f>
    </nc>
  </rcc>
  <rcc rId="201" sId="22">
    <oc r="L24">
      <f>Oct!AZ25</f>
    </oc>
    <nc r="L24">
      <f>Nov!AZ25</f>
    </nc>
  </rcc>
  <rcc rId="202" sId="22">
    <oc r="M24">
      <f>Oct!BC25</f>
    </oc>
    <nc r="M24">
      <f>Nov!BC25</f>
    </nc>
  </rcc>
  <rcc rId="203" sId="22">
    <oc r="N24">
      <f>SUM(D24:M24)</f>
    </oc>
    <nc r="N24">
      <f>SUM(D24:M24)</f>
    </nc>
  </rcc>
  <rcc rId="204" sId="22">
    <oc r="K25">
      <f>Oct!AR26</f>
    </oc>
    <nc r="K25">
      <f>Nov!AR26</f>
    </nc>
  </rcc>
  <rcc rId="205" sId="22">
    <oc r="L25">
      <f>Oct!AZ26</f>
    </oc>
    <nc r="L25">
      <f>Nov!AZ26</f>
    </nc>
  </rcc>
  <rcc rId="206" sId="22">
    <oc r="M25">
      <f>Oct!BC26</f>
    </oc>
    <nc r="M25">
      <f>Nov!BC26</f>
    </nc>
  </rcc>
  <rcc rId="207" sId="22">
    <oc r="N25">
      <f>SUM(D25:M25)</f>
    </oc>
    <nc r="N25">
      <f>SUM(D25:M25)</f>
    </nc>
  </rcc>
  <rcc rId="208" sId="22">
    <oc r="K26">
      <f>Oct!AR27</f>
    </oc>
    <nc r="K26">
      <f>Nov!AR27</f>
    </nc>
  </rcc>
  <rcc rId="209" sId="22">
    <oc r="L26">
      <f>Oct!AZ27</f>
    </oc>
    <nc r="L26">
      <f>Nov!AZ27</f>
    </nc>
  </rcc>
  <rcc rId="210" sId="22">
    <oc r="M26">
      <f>Oct!BC27</f>
    </oc>
    <nc r="M26">
      <f>Nov!BC27</f>
    </nc>
  </rcc>
  <rcc rId="211" sId="22">
    <oc r="N26">
      <f>SUM(D26:M26)</f>
    </oc>
    <nc r="N26">
      <f>SUM(D26:M26)</f>
    </nc>
  </rcc>
  <rcc rId="212" sId="22">
    <oc r="K27">
      <f>Oct!AR28</f>
    </oc>
    <nc r="K27">
      <f>Nov!AR28</f>
    </nc>
  </rcc>
  <rcc rId="213" sId="22">
    <oc r="L27">
      <f>Oct!AZ28</f>
    </oc>
    <nc r="L27">
      <f>Nov!AZ28</f>
    </nc>
  </rcc>
  <rcc rId="214" sId="22">
    <oc r="M27">
      <f>Oct!BC28</f>
    </oc>
    <nc r="M27">
      <f>Nov!BC28</f>
    </nc>
  </rcc>
  <rcc rId="215" sId="22">
    <oc r="N27">
      <f>SUM(D27:M27)</f>
    </oc>
    <nc r="N27">
      <f>SUM(D27:M27)</f>
    </nc>
  </rcc>
  <rcc rId="216" sId="22">
    <oc r="K28">
      <f>Oct!AR29</f>
    </oc>
    <nc r="K28">
      <f>Nov!AR29</f>
    </nc>
  </rcc>
  <rcc rId="217" sId="22">
    <oc r="L28">
      <f>Oct!AZ29</f>
    </oc>
    <nc r="L28">
      <f>Nov!AZ29</f>
    </nc>
  </rcc>
  <rcc rId="218" sId="22">
    <oc r="M28">
      <f>Oct!BC29</f>
    </oc>
    <nc r="M28">
      <f>Nov!BC29</f>
    </nc>
  </rcc>
  <rcc rId="219" sId="22">
    <oc r="N28">
      <f>SUM(D28:M28)</f>
    </oc>
    <nc r="N28">
      <f>SUM(D28:M28)</f>
    </nc>
  </rcc>
  <rcc rId="220" sId="22">
    <oc r="K29">
      <f>Oct!AR30</f>
    </oc>
    <nc r="K29">
      <f>Nov!AR30</f>
    </nc>
  </rcc>
  <rcc rId="221" sId="22">
    <oc r="L29">
      <f>Oct!AZ30</f>
    </oc>
    <nc r="L29">
      <f>Nov!AZ30</f>
    </nc>
  </rcc>
  <rcc rId="222" sId="22">
    <oc r="M29">
      <f>Oct!BC30</f>
    </oc>
    <nc r="M29">
      <f>Nov!BC30</f>
    </nc>
  </rcc>
  <rcc rId="223" sId="22">
    <oc r="N29">
      <f>SUM(D29:M29)</f>
    </oc>
    <nc r="N29">
      <f>SUM(D29:M29)</f>
    </nc>
  </rcc>
  <rcc rId="224" sId="22">
    <oc r="K30">
      <f>Oct!AR31</f>
    </oc>
    <nc r="K30">
      <f>Nov!AR31</f>
    </nc>
  </rcc>
  <rcc rId="225" sId="22">
    <oc r="L30">
      <f>Oct!AZ31</f>
    </oc>
    <nc r="L30">
      <f>Nov!AZ31</f>
    </nc>
  </rcc>
  <rcc rId="226" sId="22">
    <oc r="M30">
      <f>Oct!BC31</f>
    </oc>
    <nc r="M30">
      <f>Nov!BC31</f>
    </nc>
  </rcc>
  <rcc rId="227" sId="22">
    <oc r="N30">
      <f>SUM(D30:M30)</f>
    </oc>
    <nc r="N30">
      <f>SUM(D30:M30)</f>
    </nc>
  </rcc>
  <rcc rId="228" sId="22">
    <oc r="K31">
      <f>Oct!AR32</f>
    </oc>
    <nc r="K31">
      <f>Nov!AR32</f>
    </nc>
  </rcc>
  <rcc rId="229" sId="22">
    <oc r="L31">
      <f>Oct!AZ32</f>
    </oc>
    <nc r="L31">
      <f>Nov!AZ32</f>
    </nc>
  </rcc>
  <rcc rId="230" sId="22">
    <oc r="M31">
      <f>Oct!BC32</f>
    </oc>
    <nc r="M31">
      <f>Nov!BC32</f>
    </nc>
  </rcc>
  <rcc rId="231" sId="22">
    <oc r="N31">
      <f>SUM(D31:M31)</f>
    </oc>
    <nc r="N31">
      <f>SUM(D31:M31)</f>
    </nc>
  </rcc>
  <rcc rId="232" sId="22">
    <oc r="K32">
      <f>Oct!AR33</f>
    </oc>
    <nc r="K32">
      <f>Nov!AR33</f>
    </nc>
  </rcc>
  <rcc rId="233" sId="22">
    <oc r="L32">
      <f>Oct!AZ33</f>
    </oc>
    <nc r="L32">
      <f>Nov!AZ33</f>
    </nc>
  </rcc>
  <rcc rId="234" sId="22">
    <oc r="M32">
      <f>Oct!BC33</f>
    </oc>
    <nc r="M32">
      <f>Nov!BC33</f>
    </nc>
  </rcc>
  <rcc rId="235" sId="22">
    <oc r="N32">
      <f>SUM(D32:M32)</f>
    </oc>
    <nc r="N32">
      <f>SUM(D32:M32)</f>
    </nc>
  </rcc>
  <rcc rId="236" sId="22">
    <oc r="K33">
      <f>Oct!AR34</f>
    </oc>
    <nc r="K33">
      <f>Nov!AR34</f>
    </nc>
  </rcc>
  <rcc rId="237" sId="22">
    <oc r="L33">
      <f>Oct!AZ34</f>
    </oc>
    <nc r="L33">
      <f>Nov!AZ34</f>
    </nc>
  </rcc>
  <rcc rId="238" sId="22">
    <oc r="M33">
      <f>Oct!BC34</f>
    </oc>
    <nc r="M33">
      <f>Nov!BC34</f>
    </nc>
  </rcc>
  <rcc rId="239" sId="22">
    <oc r="N33">
      <f>SUM(D33:M33)</f>
    </oc>
    <nc r="N33">
      <f>SUM(D33:M33)</f>
    </nc>
  </rcc>
  <rcc rId="240" sId="22">
    <oc r="K34">
      <f>Oct!AR35</f>
    </oc>
    <nc r="K34">
      <f>Nov!AR35</f>
    </nc>
  </rcc>
  <rcc rId="241" sId="22">
    <oc r="L34">
      <f>Oct!AZ35</f>
    </oc>
    <nc r="L34">
      <f>Nov!AZ35</f>
    </nc>
  </rcc>
  <rcc rId="242" sId="22">
    <oc r="M34">
      <f>Oct!BC35</f>
    </oc>
    <nc r="M34">
      <f>Nov!BC35</f>
    </nc>
  </rcc>
  <rcc rId="243" sId="22">
    <oc r="N34">
      <f>SUM(D34:M34)</f>
    </oc>
    <nc r="N34">
      <f>SUM(D34:M34)</f>
    </nc>
  </rcc>
  <rcc rId="244" sId="22">
    <oc r="K35">
      <f>Oct!AR36</f>
    </oc>
    <nc r="K35">
      <f>Nov!AR36</f>
    </nc>
  </rcc>
  <rcc rId="245" sId="22">
    <oc r="L35">
      <f>Oct!AZ36</f>
    </oc>
    <nc r="L35">
      <f>Nov!AZ36</f>
    </nc>
  </rcc>
  <rcc rId="246" sId="22">
    <oc r="M35">
      <f>Oct!BC36</f>
    </oc>
    <nc r="M35">
      <f>Nov!BC36</f>
    </nc>
  </rcc>
  <rcc rId="247" sId="22">
    <oc r="N35">
      <f>SUM(D35:M35)</f>
    </oc>
    <nc r="N35">
      <f>SUM(D35:M35)</f>
    </nc>
  </rcc>
  <rcc rId="248" sId="22">
    <oc r="K36">
      <f>Oct!AR37</f>
    </oc>
    <nc r="K36">
      <f>Nov!AR37</f>
    </nc>
  </rcc>
  <rcc rId="249" sId="22">
    <oc r="L36">
      <f>Oct!AZ37</f>
    </oc>
    <nc r="L36">
      <f>Nov!AZ37</f>
    </nc>
  </rcc>
  <rcc rId="250" sId="22">
    <oc r="M36">
      <f>Oct!BC37</f>
    </oc>
    <nc r="M36">
      <f>Nov!BC37</f>
    </nc>
  </rcc>
  <rcc rId="251" sId="22">
    <oc r="N36">
      <f>SUM(D36:M36)</f>
    </oc>
    <nc r="N36">
      <f>SUM(D36:M36)</f>
    </nc>
  </rcc>
  <rcc rId="252" sId="22">
    <oc r="K37">
      <f>Oct!AR38</f>
    </oc>
    <nc r="K37">
      <f>Nov!AR38</f>
    </nc>
  </rcc>
  <rcc rId="253" sId="22">
    <oc r="L37">
      <f>Oct!AZ38</f>
    </oc>
    <nc r="L37">
      <f>Nov!AZ38</f>
    </nc>
  </rcc>
  <rcc rId="254" sId="22">
    <oc r="M37">
      <f>Oct!BC38</f>
    </oc>
    <nc r="M37">
      <f>Nov!BC38</f>
    </nc>
  </rcc>
  <rcc rId="255" sId="22">
    <oc r="N37">
      <f>SUM(D37:M37)</f>
    </oc>
    <nc r="N37">
      <f>SUM(D37:M37)</f>
    </nc>
  </rcc>
  <rcc rId="256" sId="22">
    <oc r="O11">
      <f>Oct!CA12</f>
    </oc>
    <nc r="O11">
      <f>Nov!CA12</f>
    </nc>
  </rcc>
  <rcc rId="257" sId="22">
    <oc r="P11">
      <f>Oct!CD12</f>
    </oc>
    <nc r="P11">
      <f>Nov!CD12</f>
    </nc>
  </rcc>
  <rcc rId="258" sId="22">
    <oc r="Q11">
      <f>Oct!CF12</f>
    </oc>
    <nc r="Q11">
      <f>Nov!CF12</f>
    </nc>
  </rcc>
  <rcc rId="259" sId="22">
    <oc r="R11">
      <f>Oct!CH12</f>
    </oc>
    <nc r="R11">
      <f>Nov!CH12</f>
    </nc>
  </rcc>
  <rcc rId="260" sId="22">
    <oc r="S11">
      <f>Oct!CK12</f>
    </oc>
    <nc r="S11">
      <f>Nov!CK12</f>
    </nc>
  </rcc>
  <rcc rId="261" sId="22">
    <oc r="T11">
      <f>Oct!CO12</f>
    </oc>
    <nc r="T11">
      <f>Nov!CO12</f>
    </nc>
  </rcc>
  <rcc rId="262" sId="22">
    <oc r="U11">
      <f>Oct!CS12</f>
    </oc>
    <nc r="U11">
      <f>Nov!CS12</f>
    </nc>
  </rcc>
  <rcc rId="263" sId="22">
    <oc r="O12">
      <f>Oct!CA13</f>
    </oc>
    <nc r="O12">
      <f>Nov!CA13</f>
    </nc>
  </rcc>
  <rcc rId="264" sId="22">
    <oc r="P12">
      <f>Oct!CD13</f>
    </oc>
    <nc r="P12">
      <f>Nov!CD13</f>
    </nc>
  </rcc>
  <rcc rId="265" sId="22">
    <oc r="Q12">
      <f>Oct!CF13</f>
    </oc>
    <nc r="Q12">
      <f>Nov!CF13</f>
    </nc>
  </rcc>
  <rcc rId="266" sId="22">
    <oc r="R12">
      <f>Oct!CH13</f>
    </oc>
    <nc r="R12">
      <f>Nov!CH13</f>
    </nc>
  </rcc>
  <rcc rId="267" sId="22">
    <oc r="S12">
      <f>Oct!CK13</f>
    </oc>
    <nc r="S12">
      <f>Nov!CK13</f>
    </nc>
  </rcc>
  <rcc rId="268" sId="22">
    <oc r="T12">
      <f>Oct!CO13</f>
    </oc>
    <nc r="T12">
      <f>Nov!CO13</f>
    </nc>
  </rcc>
  <rcc rId="269" sId="22">
    <oc r="U12">
      <f>Oct!CS13</f>
    </oc>
    <nc r="U12">
      <f>Nov!CS13</f>
    </nc>
  </rcc>
  <rcc rId="270" sId="22">
    <oc r="O14">
      <f>Oct!CA15</f>
    </oc>
    <nc r="O14">
      <f>Nov!CA15</f>
    </nc>
  </rcc>
  <rcc rId="271" sId="22">
    <oc r="P14">
      <f>Oct!CD15</f>
    </oc>
    <nc r="P14">
      <f>Nov!CD15</f>
    </nc>
  </rcc>
  <rcc rId="272" sId="22">
    <oc r="Q14">
      <f>Oct!CF15</f>
    </oc>
    <nc r="Q14">
      <f>Nov!CF15</f>
    </nc>
  </rcc>
  <rcc rId="273" sId="22">
    <oc r="R14">
      <f>Oct!CH15</f>
    </oc>
    <nc r="R14">
      <f>Nov!CH15</f>
    </nc>
  </rcc>
  <rcc rId="274" sId="22">
    <oc r="S14">
      <f>Oct!CK15</f>
    </oc>
    <nc r="S14">
      <f>Nov!CK15</f>
    </nc>
  </rcc>
  <rcc rId="275" sId="22">
    <oc r="T14">
      <f>Oct!CO15</f>
    </oc>
    <nc r="T14">
      <f>Nov!CO15</f>
    </nc>
  </rcc>
  <rcc rId="276" sId="22">
    <oc r="U14">
      <f>Oct!CS15</f>
    </oc>
    <nc r="U14">
      <f>Nov!CS15</f>
    </nc>
  </rcc>
  <rcc rId="277" sId="22">
    <oc r="O15">
      <f>Oct!CA16</f>
    </oc>
    <nc r="O15">
      <f>Nov!CA16</f>
    </nc>
  </rcc>
  <rcc rId="278" sId="22">
    <oc r="P15">
      <f>Oct!CD16</f>
    </oc>
    <nc r="P15">
      <f>Nov!CD16</f>
    </nc>
  </rcc>
  <rcc rId="279" sId="22">
    <oc r="Q15">
      <f>Oct!CF16</f>
    </oc>
    <nc r="Q15">
      <f>Nov!CF16</f>
    </nc>
  </rcc>
  <rcc rId="280" sId="22">
    <oc r="R15">
      <f>Oct!CH16</f>
    </oc>
    <nc r="R15">
      <f>Nov!CH16</f>
    </nc>
  </rcc>
  <rcc rId="281" sId="22">
    <oc r="S15">
      <f>Oct!CK16</f>
    </oc>
    <nc r="S15">
      <f>Nov!CK16</f>
    </nc>
  </rcc>
  <rcc rId="282" sId="22">
    <oc r="T15">
      <f>Oct!CO16</f>
    </oc>
    <nc r="T15">
      <f>Nov!CO16</f>
    </nc>
  </rcc>
  <rcc rId="283" sId="22">
    <oc r="U15">
      <f>Oct!CS16</f>
    </oc>
    <nc r="U15">
      <f>Nov!CS16</f>
    </nc>
  </rcc>
  <rcc rId="284" sId="22">
    <oc r="O16">
      <f>Oct!CA17</f>
    </oc>
    <nc r="O16">
      <f>Nov!CA17</f>
    </nc>
  </rcc>
  <rcc rId="285" sId="22">
    <oc r="P16">
      <f>Oct!CD17</f>
    </oc>
    <nc r="P16">
      <f>Nov!CD17</f>
    </nc>
  </rcc>
  <rcc rId="286" sId="22">
    <oc r="Q16">
      <f>Oct!CF17</f>
    </oc>
    <nc r="Q16">
      <f>Nov!CF17</f>
    </nc>
  </rcc>
  <rcc rId="287" sId="22">
    <oc r="R16">
      <f>Oct!CH17</f>
    </oc>
    <nc r="R16">
      <f>Nov!CH17</f>
    </nc>
  </rcc>
  <rcc rId="288" sId="22">
    <oc r="S16">
      <f>Oct!CK17</f>
    </oc>
    <nc r="S16">
      <f>Nov!CK17</f>
    </nc>
  </rcc>
  <rcc rId="289" sId="22">
    <oc r="T16">
      <f>Oct!CO17</f>
    </oc>
    <nc r="T16">
      <f>Nov!CO17</f>
    </nc>
  </rcc>
  <rcc rId="290" sId="22">
    <oc r="U16">
      <f>Oct!CS17</f>
    </oc>
    <nc r="U16">
      <f>Nov!CS17</f>
    </nc>
  </rcc>
  <rcc rId="291" sId="22">
    <oc r="O17">
      <f>Oct!CA18</f>
    </oc>
    <nc r="O17">
      <f>Nov!CA18</f>
    </nc>
  </rcc>
  <rcc rId="292" sId="22">
    <oc r="P17">
      <f>Oct!CD18</f>
    </oc>
    <nc r="P17">
      <f>Nov!CD18</f>
    </nc>
  </rcc>
  <rcc rId="293" sId="22">
    <oc r="Q17">
      <f>Oct!CF18</f>
    </oc>
    <nc r="Q17">
      <f>Nov!CF18</f>
    </nc>
  </rcc>
  <rcc rId="294" sId="22">
    <oc r="R17">
      <f>Oct!CH18</f>
    </oc>
    <nc r="R17">
      <f>Nov!CH18</f>
    </nc>
  </rcc>
  <rcc rId="295" sId="22">
    <oc r="S17">
      <f>Oct!CK18</f>
    </oc>
    <nc r="S17">
      <f>Nov!CK18</f>
    </nc>
  </rcc>
  <rcc rId="296" sId="22">
    <oc r="T17">
      <f>Oct!CO18</f>
    </oc>
    <nc r="T17">
      <f>Nov!CO18</f>
    </nc>
  </rcc>
  <rcc rId="297" sId="22">
    <oc r="U17">
      <f>Oct!CS18</f>
    </oc>
    <nc r="U17">
      <f>Nov!CS18</f>
    </nc>
  </rcc>
  <rcc rId="298" sId="22">
    <oc r="O18">
      <f>Oct!CA19</f>
    </oc>
    <nc r="O18">
      <f>Nov!CA19</f>
    </nc>
  </rcc>
  <rcc rId="299" sId="22">
    <oc r="P18">
      <f>Oct!CD19</f>
    </oc>
    <nc r="P18">
      <f>Nov!CD19</f>
    </nc>
  </rcc>
  <rcc rId="300" sId="22">
    <oc r="Q18">
      <f>Oct!CF19</f>
    </oc>
    <nc r="Q18">
      <f>Nov!CF19</f>
    </nc>
  </rcc>
  <rcc rId="301" sId="22">
    <oc r="R18">
      <f>Oct!CH19</f>
    </oc>
    <nc r="R18">
      <f>Nov!CH19</f>
    </nc>
  </rcc>
  <rcc rId="302" sId="22">
    <oc r="S18">
      <f>Oct!CK19</f>
    </oc>
    <nc r="S18">
      <f>Nov!CK19</f>
    </nc>
  </rcc>
  <rcc rId="303" sId="22">
    <oc r="T18">
      <f>Oct!CO19</f>
    </oc>
    <nc r="T18">
      <f>Nov!CO19</f>
    </nc>
  </rcc>
  <rcc rId="304" sId="22">
    <oc r="U18">
      <f>Oct!CS19</f>
    </oc>
    <nc r="U18">
      <f>Nov!CS19</f>
    </nc>
  </rcc>
  <rcc rId="305" sId="22">
    <oc r="O19">
      <f>Oct!CA20</f>
    </oc>
    <nc r="O19">
      <f>Nov!CA20</f>
    </nc>
  </rcc>
  <rcc rId="306" sId="22">
    <oc r="P19">
      <f>Oct!CD20</f>
    </oc>
    <nc r="P19">
      <f>Nov!CD20</f>
    </nc>
  </rcc>
  <rcc rId="307" sId="22">
    <oc r="Q19">
      <f>Oct!CF20</f>
    </oc>
    <nc r="Q19">
      <f>Nov!CF20</f>
    </nc>
  </rcc>
  <rcc rId="308" sId="22">
    <oc r="R19">
      <f>Oct!CH20</f>
    </oc>
    <nc r="R19">
      <f>Nov!CH20</f>
    </nc>
  </rcc>
  <rcc rId="309" sId="22">
    <oc r="S19">
      <f>Oct!CK20</f>
    </oc>
    <nc r="S19">
      <f>Nov!CK20</f>
    </nc>
  </rcc>
  <rcc rId="310" sId="22">
    <oc r="T19">
      <f>Oct!CO20</f>
    </oc>
    <nc r="T19">
      <f>Nov!CO20</f>
    </nc>
  </rcc>
  <rcc rId="311" sId="22">
    <oc r="U19">
      <f>Oct!CS20</f>
    </oc>
    <nc r="U19">
      <f>Nov!CS20</f>
    </nc>
  </rcc>
  <rcc rId="312" sId="22">
    <oc r="O20">
      <f>Oct!CA21</f>
    </oc>
    <nc r="O20">
      <f>Nov!CA21</f>
    </nc>
  </rcc>
  <rcc rId="313" sId="22">
    <oc r="P20">
      <f>Oct!CD21</f>
    </oc>
    <nc r="P20">
      <f>Nov!CD21</f>
    </nc>
  </rcc>
  <rcc rId="314" sId="22">
    <oc r="Q20">
      <f>Oct!CF21</f>
    </oc>
    <nc r="Q20">
      <f>Nov!CF21</f>
    </nc>
  </rcc>
  <rcc rId="315" sId="22">
    <oc r="R20">
      <f>Oct!CH21</f>
    </oc>
    <nc r="R20">
      <f>Nov!CH21</f>
    </nc>
  </rcc>
  <rcc rId="316" sId="22">
    <oc r="S20">
      <f>Oct!CK21</f>
    </oc>
    <nc r="S20">
      <f>Nov!CK21</f>
    </nc>
  </rcc>
  <rcc rId="317" sId="22">
    <oc r="T20">
      <f>Oct!CO21</f>
    </oc>
    <nc r="T20">
      <f>Nov!CO21</f>
    </nc>
  </rcc>
  <rcc rId="318" sId="22">
    <oc r="U20">
      <f>Oct!CS21</f>
    </oc>
    <nc r="U20">
      <f>Nov!CS21</f>
    </nc>
  </rcc>
  <rcc rId="319" sId="22">
    <oc r="O21">
      <f>Oct!CA22</f>
    </oc>
    <nc r="O21">
      <f>Nov!CA22</f>
    </nc>
  </rcc>
  <rcc rId="320" sId="22">
    <oc r="P21">
      <f>Oct!CD22</f>
    </oc>
    <nc r="P21">
      <f>Nov!CD22</f>
    </nc>
  </rcc>
  <rcc rId="321" sId="22">
    <oc r="Q21">
      <f>Oct!CF22</f>
    </oc>
    <nc r="Q21">
      <f>Nov!CF22</f>
    </nc>
  </rcc>
  <rcc rId="322" sId="22">
    <oc r="R21">
      <f>Oct!CH22</f>
    </oc>
    <nc r="R21">
      <f>Nov!CH22</f>
    </nc>
  </rcc>
  <rcc rId="323" sId="22">
    <oc r="S21">
      <f>Oct!CK22</f>
    </oc>
    <nc r="S21">
      <f>Nov!CK22</f>
    </nc>
  </rcc>
  <rcc rId="324" sId="22">
    <oc r="T21">
      <f>Oct!CO22</f>
    </oc>
    <nc r="T21">
      <f>Nov!CO22</f>
    </nc>
  </rcc>
  <rcc rId="325" sId="22">
    <oc r="U21">
      <f>Oct!CS22</f>
    </oc>
    <nc r="U21">
      <f>Nov!CS22</f>
    </nc>
  </rcc>
  <rcc rId="326" sId="22">
    <oc r="O22">
      <f>Oct!CA23</f>
    </oc>
    <nc r="O22">
      <f>Nov!CA23</f>
    </nc>
  </rcc>
  <rcc rId="327" sId="22">
    <oc r="P22">
      <f>Oct!CD23</f>
    </oc>
    <nc r="P22">
      <f>Nov!CD23</f>
    </nc>
  </rcc>
  <rcc rId="328" sId="22">
    <oc r="Q22">
      <f>Oct!CF23</f>
    </oc>
    <nc r="Q22">
      <f>Nov!CF23</f>
    </nc>
  </rcc>
  <rcc rId="329" sId="22">
    <oc r="R22">
      <f>Oct!CH23</f>
    </oc>
    <nc r="R22">
      <f>Nov!CH23</f>
    </nc>
  </rcc>
  <rcc rId="330" sId="22">
    <oc r="S22">
      <f>Oct!CK23</f>
    </oc>
    <nc r="S22">
      <f>Nov!CK23</f>
    </nc>
  </rcc>
  <rcc rId="331" sId="22">
    <oc r="T22">
      <f>Oct!CO23</f>
    </oc>
    <nc r="T22">
      <f>Nov!CO23</f>
    </nc>
  </rcc>
  <rcc rId="332" sId="22">
    <oc r="U22">
      <f>Oct!CS23</f>
    </oc>
    <nc r="U22">
      <f>Nov!CS23</f>
    </nc>
  </rcc>
  <rcc rId="333" sId="22">
    <oc r="O23">
      <f>Oct!CA24</f>
    </oc>
    <nc r="O23">
      <f>Nov!CA24</f>
    </nc>
  </rcc>
  <rcc rId="334" sId="22">
    <oc r="P23">
      <f>Oct!CD24</f>
    </oc>
    <nc r="P23">
      <f>Nov!CD24</f>
    </nc>
  </rcc>
  <rcc rId="335" sId="22">
    <oc r="Q23">
      <f>Oct!CF24</f>
    </oc>
    <nc r="Q23">
      <f>Nov!CF24</f>
    </nc>
  </rcc>
  <rcc rId="336" sId="22">
    <oc r="R23">
      <f>Oct!CH24</f>
    </oc>
    <nc r="R23">
      <f>Nov!CH24</f>
    </nc>
  </rcc>
  <rcc rId="337" sId="22">
    <oc r="S23">
      <f>Oct!CK24</f>
    </oc>
    <nc r="S23">
      <f>Nov!CK24</f>
    </nc>
  </rcc>
  <rcc rId="338" sId="22">
    <oc r="T23">
      <f>Oct!CO24</f>
    </oc>
    <nc r="T23">
      <f>Nov!CO24</f>
    </nc>
  </rcc>
  <rcc rId="339" sId="22">
    <oc r="U23">
      <f>Oct!CS24</f>
    </oc>
    <nc r="U23">
      <f>Nov!CS24</f>
    </nc>
  </rcc>
  <rcc rId="340" sId="22">
    <oc r="O24">
      <f>Oct!CA25</f>
    </oc>
    <nc r="O24">
      <f>Nov!CA25</f>
    </nc>
  </rcc>
  <rcc rId="341" sId="22">
    <oc r="P24">
      <f>Oct!CD25</f>
    </oc>
    <nc r="P24">
      <f>Nov!CD25</f>
    </nc>
  </rcc>
  <rcc rId="342" sId="22">
    <oc r="Q24">
      <f>Oct!CF25</f>
    </oc>
    <nc r="Q24">
      <f>Nov!CF25</f>
    </nc>
  </rcc>
  <rcc rId="343" sId="22">
    <oc r="R24">
      <f>Oct!CH25</f>
    </oc>
    <nc r="R24">
      <f>Nov!CH25</f>
    </nc>
  </rcc>
  <rcc rId="344" sId="22">
    <oc r="S24">
      <f>Oct!CK25</f>
    </oc>
    <nc r="S24">
      <f>Nov!CK25</f>
    </nc>
  </rcc>
  <rcc rId="345" sId="22">
    <oc r="T24">
      <f>Oct!CO25</f>
    </oc>
    <nc r="T24">
      <f>Nov!CO25</f>
    </nc>
  </rcc>
  <rcc rId="346" sId="22">
    <oc r="U24">
      <f>Oct!CS25</f>
    </oc>
    <nc r="U24">
      <f>Nov!CS25</f>
    </nc>
  </rcc>
  <rcc rId="347" sId="22">
    <oc r="O25">
      <f>Oct!CA26</f>
    </oc>
    <nc r="O25">
      <f>Nov!CA26</f>
    </nc>
  </rcc>
  <rcc rId="348" sId="22">
    <oc r="P25">
      <f>Oct!CD26</f>
    </oc>
    <nc r="P25">
      <f>Nov!CD26</f>
    </nc>
  </rcc>
  <rcc rId="349" sId="22">
    <oc r="Q25">
      <f>Oct!CF26</f>
    </oc>
    <nc r="Q25">
      <f>Nov!CF26</f>
    </nc>
  </rcc>
  <rcc rId="350" sId="22">
    <oc r="R25">
      <f>Oct!CH26</f>
    </oc>
    <nc r="R25">
      <f>Nov!CH26</f>
    </nc>
  </rcc>
  <rcc rId="351" sId="22">
    <oc r="S25">
      <f>Oct!CK26</f>
    </oc>
    <nc r="S25">
      <f>Nov!CK26</f>
    </nc>
  </rcc>
  <rcc rId="352" sId="22">
    <oc r="T25">
      <f>Oct!CO26</f>
    </oc>
    <nc r="T25">
      <f>Nov!CO26</f>
    </nc>
  </rcc>
  <rcc rId="353" sId="22">
    <oc r="U25">
      <f>Oct!CS26</f>
    </oc>
    <nc r="U25">
      <f>Nov!CS26</f>
    </nc>
  </rcc>
  <rcc rId="354" sId="22">
    <oc r="O26">
      <f>Oct!CA27</f>
    </oc>
    <nc r="O26">
      <f>Nov!CA27</f>
    </nc>
  </rcc>
  <rcc rId="355" sId="22">
    <oc r="P26">
      <f>Oct!CD27</f>
    </oc>
    <nc r="P26">
      <f>Nov!CD27</f>
    </nc>
  </rcc>
  <rcc rId="356" sId="22">
    <oc r="Q26">
      <f>Oct!CF27</f>
    </oc>
    <nc r="Q26">
      <f>Nov!CF27</f>
    </nc>
  </rcc>
  <rcc rId="357" sId="22">
    <oc r="R26">
      <f>Oct!CH27</f>
    </oc>
    <nc r="R26">
      <f>Nov!CH27</f>
    </nc>
  </rcc>
  <rcc rId="358" sId="22">
    <oc r="S26">
      <f>Oct!CK27</f>
    </oc>
    <nc r="S26">
      <f>Nov!CK27</f>
    </nc>
  </rcc>
  <rcc rId="359" sId="22">
    <oc r="T26">
      <f>Oct!CO27</f>
    </oc>
    <nc r="T26">
      <f>Nov!CO27</f>
    </nc>
  </rcc>
  <rcc rId="360" sId="22">
    <oc r="U26">
      <f>Oct!CS27</f>
    </oc>
    <nc r="U26">
      <f>Nov!CS27</f>
    </nc>
  </rcc>
  <rcc rId="361" sId="22">
    <oc r="O27">
      <f>Oct!CA28</f>
    </oc>
    <nc r="O27">
      <f>Nov!CA28</f>
    </nc>
  </rcc>
  <rcc rId="362" sId="22">
    <oc r="P27">
      <f>Oct!CD28</f>
    </oc>
    <nc r="P27">
      <f>Nov!CD28</f>
    </nc>
  </rcc>
  <rcc rId="363" sId="22">
    <oc r="Q27">
      <f>Oct!CF28</f>
    </oc>
    <nc r="Q27">
      <f>Nov!CF28</f>
    </nc>
  </rcc>
  <rcc rId="364" sId="22">
    <oc r="R27">
      <f>Oct!CH28</f>
    </oc>
    <nc r="R27">
      <f>Nov!CH28</f>
    </nc>
  </rcc>
  <rcc rId="365" sId="22">
    <oc r="S27">
      <f>Oct!CK28</f>
    </oc>
    <nc r="S27">
      <f>Nov!CK28</f>
    </nc>
  </rcc>
  <rcc rId="366" sId="22">
    <oc r="T27">
      <f>Oct!CO28</f>
    </oc>
    <nc r="T27">
      <f>Nov!CO28</f>
    </nc>
  </rcc>
  <rcc rId="367" sId="22">
    <oc r="U27">
      <f>Oct!CS28</f>
    </oc>
    <nc r="U27">
      <f>Nov!CS28</f>
    </nc>
  </rcc>
  <rcc rId="368" sId="22">
    <oc r="O28">
      <f>Oct!CA29</f>
    </oc>
    <nc r="O28">
      <f>Nov!CA29</f>
    </nc>
  </rcc>
  <rcc rId="369" sId="22">
    <oc r="P28">
      <f>Oct!CD29</f>
    </oc>
    <nc r="P28">
      <f>Nov!CD29</f>
    </nc>
  </rcc>
  <rcc rId="370" sId="22">
    <oc r="Q28">
      <f>Oct!CF29</f>
    </oc>
    <nc r="Q28">
      <f>Nov!CF29</f>
    </nc>
  </rcc>
  <rcc rId="371" sId="22">
    <oc r="R28">
      <f>Oct!CH29</f>
    </oc>
    <nc r="R28">
      <f>Nov!CH29</f>
    </nc>
  </rcc>
  <rcc rId="372" sId="22">
    <oc r="S28">
      <f>Oct!CK29</f>
    </oc>
    <nc r="S28">
      <f>Nov!CK29</f>
    </nc>
  </rcc>
  <rcc rId="373" sId="22">
    <oc r="T28">
      <f>Oct!CO29</f>
    </oc>
    <nc r="T28">
      <f>Nov!CO29</f>
    </nc>
  </rcc>
  <rcc rId="374" sId="22">
    <oc r="U28">
      <f>Oct!CS29</f>
    </oc>
    <nc r="U28">
      <f>Nov!CS29</f>
    </nc>
  </rcc>
  <rcc rId="375" sId="22">
    <oc r="O29">
      <f>Oct!CA30</f>
    </oc>
    <nc r="O29">
      <f>Nov!CA30</f>
    </nc>
  </rcc>
  <rcc rId="376" sId="22">
    <oc r="P29">
      <f>Oct!CD30</f>
    </oc>
    <nc r="P29">
      <f>Nov!CD30</f>
    </nc>
  </rcc>
  <rcc rId="377" sId="22">
    <oc r="Q29">
      <f>Oct!CF30</f>
    </oc>
    <nc r="Q29">
      <f>Nov!CF30</f>
    </nc>
  </rcc>
  <rcc rId="378" sId="22">
    <oc r="R29">
      <f>Oct!CH30</f>
    </oc>
    <nc r="R29">
      <f>Nov!CH30</f>
    </nc>
  </rcc>
  <rcc rId="379" sId="22">
    <oc r="S29">
      <f>Oct!CK30</f>
    </oc>
    <nc r="S29">
      <f>Nov!CK30</f>
    </nc>
  </rcc>
  <rcc rId="380" sId="22">
    <oc r="T29">
      <f>Oct!CO30</f>
    </oc>
    <nc r="T29">
      <f>Nov!CO30</f>
    </nc>
  </rcc>
  <rcc rId="381" sId="22">
    <oc r="U29">
      <f>Oct!CS30</f>
    </oc>
    <nc r="U29">
      <f>Nov!CS30</f>
    </nc>
  </rcc>
  <rcc rId="382" sId="22">
    <oc r="O30">
      <f>Oct!CA31</f>
    </oc>
    <nc r="O30">
      <f>Nov!CA31</f>
    </nc>
  </rcc>
  <rcc rId="383" sId="22">
    <oc r="P30">
      <f>Oct!CD31</f>
    </oc>
    <nc r="P30">
      <f>Nov!CD31</f>
    </nc>
  </rcc>
  <rcc rId="384" sId="22">
    <oc r="Q30">
      <f>Oct!CF31</f>
    </oc>
    <nc r="Q30">
      <f>Nov!CF31</f>
    </nc>
  </rcc>
  <rcc rId="385" sId="22">
    <oc r="R30">
      <f>Oct!CH31</f>
    </oc>
    <nc r="R30">
      <f>Nov!CH31</f>
    </nc>
  </rcc>
  <rcc rId="386" sId="22">
    <oc r="S30">
      <f>Oct!CK31</f>
    </oc>
    <nc r="S30">
      <f>Nov!CK31</f>
    </nc>
  </rcc>
  <rcc rId="387" sId="22">
    <oc r="T30">
      <f>Oct!CO31</f>
    </oc>
    <nc r="T30">
      <f>Nov!CO31</f>
    </nc>
  </rcc>
  <rcc rId="388" sId="22">
    <oc r="U30">
      <f>Oct!CS31</f>
    </oc>
    <nc r="U30">
      <f>Nov!CS31</f>
    </nc>
  </rcc>
  <rcc rId="389" sId="22">
    <oc r="O31">
      <f>Oct!CA32</f>
    </oc>
    <nc r="O31">
      <f>Nov!CA32</f>
    </nc>
  </rcc>
  <rcc rId="390" sId="22">
    <oc r="P31">
      <f>Oct!CD32</f>
    </oc>
    <nc r="P31">
      <f>Nov!CD32</f>
    </nc>
  </rcc>
  <rcc rId="391" sId="22">
    <oc r="Q31">
      <f>Oct!CF32</f>
    </oc>
    <nc r="Q31">
      <f>Nov!CF32</f>
    </nc>
  </rcc>
  <rcc rId="392" sId="22">
    <oc r="R31">
      <f>Oct!CH32</f>
    </oc>
    <nc r="R31">
      <f>Nov!CH32</f>
    </nc>
  </rcc>
  <rcc rId="393" sId="22">
    <oc r="S31">
      <f>Oct!CK32</f>
    </oc>
    <nc r="S31">
      <f>Nov!CK32</f>
    </nc>
  </rcc>
  <rcc rId="394" sId="22">
    <oc r="T31">
      <f>Oct!CO32</f>
    </oc>
    <nc r="T31">
      <f>Nov!CO32</f>
    </nc>
  </rcc>
  <rcc rId="395" sId="22">
    <oc r="U31">
      <f>Oct!CS32</f>
    </oc>
    <nc r="U31">
      <f>Nov!CS32</f>
    </nc>
  </rcc>
  <rcc rId="396" sId="22">
    <oc r="O32">
      <f>Oct!CA33</f>
    </oc>
    <nc r="O32">
      <f>Nov!CA33</f>
    </nc>
  </rcc>
  <rcc rId="397" sId="22">
    <oc r="P32">
      <f>Oct!CD33</f>
    </oc>
    <nc r="P32">
      <f>Nov!CD33</f>
    </nc>
  </rcc>
  <rcc rId="398" sId="22">
    <oc r="Q32">
      <f>Oct!CF33</f>
    </oc>
    <nc r="Q32">
      <f>Nov!CF33</f>
    </nc>
  </rcc>
  <rcc rId="399" sId="22">
    <oc r="R32">
      <f>Oct!CH33</f>
    </oc>
    <nc r="R32">
      <f>Nov!CH33</f>
    </nc>
  </rcc>
  <rcc rId="400" sId="22">
    <oc r="S32">
      <f>Oct!CK33</f>
    </oc>
    <nc r="S32">
      <f>Nov!CK33</f>
    </nc>
  </rcc>
  <rcc rId="401" sId="22">
    <oc r="T32">
      <f>Oct!CO33</f>
    </oc>
    <nc r="T32">
      <f>Nov!CO33</f>
    </nc>
  </rcc>
  <rcc rId="402" sId="22">
    <oc r="U32">
      <f>Oct!CS33</f>
    </oc>
    <nc r="U32">
      <f>Nov!CS33</f>
    </nc>
  </rcc>
  <rcc rId="403" sId="22">
    <oc r="O33">
      <f>Oct!CA34</f>
    </oc>
    <nc r="O33">
      <f>Nov!CA34</f>
    </nc>
  </rcc>
  <rcc rId="404" sId="22">
    <oc r="P33">
      <f>Oct!CD34</f>
    </oc>
    <nc r="P33">
      <f>Nov!CD34</f>
    </nc>
  </rcc>
  <rcc rId="405" sId="22">
    <oc r="Q33">
      <f>Oct!CF34</f>
    </oc>
    <nc r="Q33">
      <f>Nov!CF34</f>
    </nc>
  </rcc>
  <rcc rId="406" sId="22">
    <oc r="R33">
      <f>Oct!CH34</f>
    </oc>
    <nc r="R33">
      <f>Nov!CH34</f>
    </nc>
  </rcc>
  <rcc rId="407" sId="22">
    <oc r="S33">
      <f>Oct!CK34</f>
    </oc>
    <nc r="S33">
      <f>Nov!CK34</f>
    </nc>
  </rcc>
  <rcc rId="408" sId="22">
    <oc r="T33">
      <f>Oct!CO34</f>
    </oc>
    <nc r="T33">
      <f>Nov!CO34</f>
    </nc>
  </rcc>
  <rcc rId="409" sId="22">
    <oc r="U33">
      <f>Oct!CS34</f>
    </oc>
    <nc r="U33">
      <f>Nov!CS34</f>
    </nc>
  </rcc>
  <rcc rId="410" sId="22">
    <oc r="O34">
      <f>Oct!CA35</f>
    </oc>
    <nc r="O34">
      <f>Nov!CA35</f>
    </nc>
  </rcc>
  <rcc rId="411" sId="22">
    <oc r="P34">
      <f>Oct!CD35</f>
    </oc>
    <nc r="P34">
      <f>Nov!CD35</f>
    </nc>
  </rcc>
  <rcc rId="412" sId="22">
    <oc r="Q34">
      <f>Oct!CF35</f>
    </oc>
    <nc r="Q34">
      <f>Nov!CF35</f>
    </nc>
  </rcc>
  <rcc rId="413" sId="22">
    <oc r="R34">
      <f>Oct!CH35</f>
    </oc>
    <nc r="R34">
      <f>Nov!CH35</f>
    </nc>
  </rcc>
  <rcc rId="414" sId="22">
    <oc r="S34">
      <f>Oct!CK35</f>
    </oc>
    <nc r="S34">
      <f>Nov!CK35</f>
    </nc>
  </rcc>
  <rcc rId="415" sId="22">
    <oc r="T34">
      <f>Oct!CO35</f>
    </oc>
    <nc r="T34">
      <f>Nov!CO35</f>
    </nc>
  </rcc>
  <rcc rId="416" sId="22">
    <oc r="U34">
      <f>Oct!CS35</f>
    </oc>
    <nc r="U34">
      <f>Nov!CS35</f>
    </nc>
  </rcc>
  <rcc rId="417" sId="22">
    <oc r="O35">
      <f>Oct!CA36</f>
    </oc>
    <nc r="O35">
      <f>Nov!CA36</f>
    </nc>
  </rcc>
  <rcc rId="418" sId="22">
    <oc r="P35">
      <f>Oct!CD36</f>
    </oc>
    <nc r="P35">
      <f>Nov!CD36</f>
    </nc>
  </rcc>
  <rcc rId="419" sId="22">
    <oc r="Q35">
      <f>Oct!CF36</f>
    </oc>
    <nc r="Q35">
      <f>Nov!CF36</f>
    </nc>
  </rcc>
  <rcc rId="420" sId="22">
    <oc r="R35">
      <f>Oct!CH36</f>
    </oc>
    <nc r="R35">
      <f>Nov!CH36</f>
    </nc>
  </rcc>
  <rcc rId="421" sId="22">
    <oc r="S35">
      <f>Oct!CK36</f>
    </oc>
    <nc r="S35">
      <f>Nov!CK36</f>
    </nc>
  </rcc>
  <rcc rId="422" sId="22">
    <oc r="T35">
      <f>Oct!CO36</f>
    </oc>
    <nc r="T35">
      <f>Nov!CO36</f>
    </nc>
  </rcc>
  <rcc rId="423" sId="22">
    <oc r="U35">
      <f>Oct!CS36</f>
    </oc>
    <nc r="U35">
      <f>Nov!CS36</f>
    </nc>
  </rcc>
  <rcc rId="424" sId="22">
    <oc r="O36">
      <f>Oct!CA37</f>
    </oc>
    <nc r="O36">
      <f>Nov!CA37</f>
    </nc>
  </rcc>
  <rcc rId="425" sId="22">
    <oc r="P36">
      <f>Oct!CD37</f>
    </oc>
    <nc r="P36">
      <f>Nov!CD37</f>
    </nc>
  </rcc>
  <rcc rId="426" sId="22">
    <oc r="Q36">
      <f>Oct!CF37</f>
    </oc>
    <nc r="Q36">
      <f>Nov!CF37</f>
    </nc>
  </rcc>
  <rcc rId="427" sId="22">
    <oc r="R36">
      <f>Oct!CH37</f>
    </oc>
    <nc r="R36">
      <f>Nov!CH37</f>
    </nc>
  </rcc>
  <rcc rId="428" sId="22">
    <oc r="S36">
      <f>Oct!CK37</f>
    </oc>
    <nc r="S36">
      <f>Nov!CK37</f>
    </nc>
  </rcc>
  <rcc rId="429" sId="22">
    <oc r="T36">
      <f>Oct!CO37</f>
    </oc>
    <nc r="T36">
      <f>Nov!CO37</f>
    </nc>
  </rcc>
  <rcc rId="430" sId="22">
    <oc r="U36">
      <f>Oct!CS37</f>
    </oc>
    <nc r="U36">
      <f>Nov!CS37</f>
    </nc>
  </rcc>
  <rcc rId="431" sId="22">
    <oc r="O37">
      <f>Oct!CA38</f>
    </oc>
    <nc r="O37">
      <f>Nov!CA38</f>
    </nc>
  </rcc>
  <rcc rId="432" sId="22">
    <oc r="P37">
      <f>Oct!CD38</f>
    </oc>
    <nc r="P37">
      <f>Nov!CD38</f>
    </nc>
  </rcc>
  <rcc rId="433" sId="22">
    <oc r="Q37">
      <f>Oct!CF38</f>
    </oc>
    <nc r="Q37">
      <f>Nov!CF38</f>
    </nc>
  </rcc>
  <rcc rId="434" sId="22">
    <oc r="R37">
      <f>Oct!CH38</f>
    </oc>
    <nc r="R37">
      <f>Nov!CH38</f>
    </nc>
  </rcc>
  <rcc rId="435" sId="22">
    <oc r="S37">
      <f>Oct!CK38</f>
    </oc>
    <nc r="S37">
      <f>Nov!CK38</f>
    </nc>
  </rcc>
  <rcc rId="436" sId="22">
    <oc r="T37">
      <f>Oct!CO38</f>
    </oc>
    <nc r="T37">
      <f>Nov!CO38</f>
    </nc>
  </rcc>
  <rcc rId="437" sId="22">
    <oc r="U37">
      <f>Oct!CS38</f>
    </oc>
    <nc r="U37">
      <f>Nov!CS38</f>
    </nc>
  </rcc>
  <rcc rId="438" sId="22">
    <oc r="W11">
      <f>Oct!CW12</f>
    </oc>
    <nc r="W11">
      <f>Nov!CW12</f>
    </nc>
  </rcc>
  <rcc rId="439" sId="22">
    <oc r="X11">
      <f>Oct!DA12</f>
    </oc>
    <nc r="X11">
      <f>Nov!DA12</f>
    </nc>
  </rcc>
  <rcc rId="440" sId="22">
    <oc r="Y11">
      <f>W11+X11</f>
    </oc>
    <nc r="Y11">
      <f>W11+X11</f>
    </nc>
  </rcc>
  <rcc rId="441" sId="22">
    <oc r="Z11">
      <f>Oct!BR12</f>
    </oc>
    <nc r="Z11">
      <f>Nov!BR12</f>
    </nc>
  </rcc>
  <rcc rId="442" sId="22">
    <oc r="AA11">
      <f>Oct!BG12</f>
    </oc>
    <nc r="AA11">
      <f>Nov!BG12</f>
    </nc>
  </rcc>
  <rcc rId="443" sId="22">
    <oc r="AB11">
      <f>Oct!BJ12</f>
    </oc>
    <nc r="AB11">
      <f>Nov!BJ12</f>
    </nc>
  </rcc>
  <rcc rId="444" sId="22">
    <oc r="AC11">
      <f>Oct!BL12+Oct!BN12</f>
    </oc>
    <nc r="AC11">
      <f>Nov!BL12+Nov!BN12</f>
    </nc>
  </rcc>
  <rcc rId="445" sId="22">
    <oc r="AD11">
      <f>Oct!DR12</f>
    </oc>
    <nc r="AD11">
      <f>Nov!DR12</f>
    </nc>
  </rcc>
  <rcc rId="446" sId="22">
    <oc r="AE11">
      <f>Oct!DT12-Oct!DR52-Oct!DT52</f>
    </oc>
    <nc r="AE11">
      <f>Nov!DT12-Nov!DR52-Nov!DT52</f>
    </nc>
  </rcc>
  <rcc rId="447" sId="22">
    <oc r="W12">
      <f>Oct!CW13</f>
    </oc>
    <nc r="W12">
      <f>Nov!CW13</f>
    </nc>
  </rcc>
  <rcc rId="448" sId="22">
    <oc r="X12">
      <f>Oct!DA13</f>
    </oc>
    <nc r="X12">
      <f>Nov!DA13</f>
    </nc>
  </rcc>
  <rcc rId="449" sId="22">
    <oc r="Y12">
      <f>W12+X12</f>
    </oc>
    <nc r="Y12">
      <f>W12+X12</f>
    </nc>
  </rcc>
  <rcc rId="450" sId="22">
    <oc r="Z12">
      <f>Oct!BR13</f>
    </oc>
    <nc r="Z12">
      <f>Nov!BR13</f>
    </nc>
  </rcc>
  <rcc rId="451" sId="22">
    <oc r="AA12">
      <f>Oct!BG13</f>
    </oc>
    <nc r="AA12">
      <f>Nov!BG13</f>
    </nc>
  </rcc>
  <rcc rId="452" sId="22">
    <oc r="AB12">
      <f>Oct!BJ13</f>
    </oc>
    <nc r="AB12">
      <f>Nov!BJ13</f>
    </nc>
  </rcc>
  <rcc rId="453" sId="22">
    <oc r="AC12">
      <f>Oct!BL13+Oct!BN13</f>
    </oc>
    <nc r="AC12">
      <f>Nov!BL13+Nov!BN13</f>
    </nc>
  </rcc>
  <rcc rId="454" sId="22">
    <oc r="AD12">
      <f>Oct!DR13</f>
    </oc>
    <nc r="AD12">
      <f>Nov!DR13</f>
    </nc>
  </rcc>
  <rcc rId="455" sId="22">
    <oc r="AE12">
      <f>Oct!DT13-Oct!DR53-Oct!DT53</f>
    </oc>
    <nc r="AE12">
      <f>Nov!DT13-Nov!DR53-Nov!DT53</f>
    </nc>
  </rcc>
  <rcc rId="456" sId="22">
    <oc r="W14">
      <f>Oct!CW15</f>
    </oc>
    <nc r="W14">
      <f>Nov!CW15</f>
    </nc>
  </rcc>
  <rcc rId="457" sId="22">
    <oc r="X14">
      <f>Oct!DA15</f>
    </oc>
    <nc r="X14">
      <f>Nov!DA15</f>
    </nc>
  </rcc>
  <rcc rId="458" sId="22">
    <oc r="Y14">
      <f>W14+X14</f>
    </oc>
    <nc r="Y14">
      <f>W14+X14</f>
    </nc>
  </rcc>
  <rcc rId="459" sId="22">
    <oc r="Z14">
      <f>Oct!BR15</f>
    </oc>
    <nc r="Z14">
      <f>Nov!BR15</f>
    </nc>
  </rcc>
  <rcc rId="460" sId="22">
    <oc r="AA14">
      <f>Oct!BG15</f>
    </oc>
    <nc r="AA14">
      <f>Nov!BG15</f>
    </nc>
  </rcc>
  <rcc rId="461" sId="22">
    <oc r="AB14">
      <f>Oct!BJ15</f>
    </oc>
    <nc r="AB14">
      <f>Nov!BJ15</f>
    </nc>
  </rcc>
  <rcc rId="462" sId="22">
    <oc r="AC14">
      <f>Oct!BL15+Oct!BN15</f>
    </oc>
    <nc r="AC14">
      <f>Nov!BL15+Nov!BN15</f>
    </nc>
  </rcc>
  <rcc rId="463" sId="22">
    <oc r="AD14">
      <f>Oct!DR15</f>
    </oc>
    <nc r="AD14">
      <f>Nov!DR15</f>
    </nc>
  </rcc>
  <rcc rId="464" sId="22">
    <oc r="AE14">
      <f>Oct!DT15-Oct!DR55-Oct!DT55</f>
    </oc>
    <nc r="AE14">
      <f>Nov!DT15-Nov!DR55-Nov!DT55</f>
    </nc>
  </rcc>
  <rcc rId="465" sId="22">
    <oc r="W15">
      <f>Oct!CW16</f>
    </oc>
    <nc r="W15">
      <f>Nov!CW16</f>
    </nc>
  </rcc>
  <rcc rId="466" sId="22">
    <oc r="X15">
      <f>Oct!DA16</f>
    </oc>
    <nc r="X15">
      <f>Nov!DA16</f>
    </nc>
  </rcc>
  <rcc rId="467" sId="22">
    <oc r="Y15">
      <f>W15+X15</f>
    </oc>
    <nc r="Y15">
      <f>W15+X15</f>
    </nc>
  </rcc>
  <rcc rId="468" sId="22">
    <oc r="Z15">
      <f>Oct!BR16</f>
    </oc>
    <nc r="Z15">
      <f>Nov!BR16</f>
    </nc>
  </rcc>
  <rcc rId="469" sId="22">
    <oc r="AA15">
      <f>Oct!BG16</f>
    </oc>
    <nc r="AA15">
      <f>Nov!BG16</f>
    </nc>
  </rcc>
  <rcc rId="470" sId="22">
    <oc r="AB15">
      <f>Oct!BJ16</f>
    </oc>
    <nc r="AB15">
      <f>Nov!BJ16</f>
    </nc>
  </rcc>
  <rcc rId="471" sId="22">
    <oc r="AC15">
      <f>Oct!BL16+Oct!BN16</f>
    </oc>
    <nc r="AC15">
      <f>Nov!BL16+Nov!BN16</f>
    </nc>
  </rcc>
  <rcc rId="472" sId="22">
    <oc r="AD15">
      <f>Oct!DR16</f>
    </oc>
    <nc r="AD15">
      <f>Nov!DR16</f>
    </nc>
  </rcc>
  <rcc rId="473" sId="22">
    <oc r="AE15">
      <f>Oct!DT16-Oct!DR56-Oct!DT56</f>
    </oc>
    <nc r="AE15">
      <f>Nov!DT16-Nov!DR56-Nov!DT56</f>
    </nc>
  </rcc>
  <rcc rId="474" sId="22">
    <oc r="W16">
      <f>Oct!CW17</f>
    </oc>
    <nc r="W16">
      <f>Nov!CW17</f>
    </nc>
  </rcc>
  <rcc rId="475" sId="22">
    <oc r="X16">
      <f>Oct!DA17</f>
    </oc>
    <nc r="X16">
      <f>Nov!DA17</f>
    </nc>
  </rcc>
  <rcc rId="476" sId="22">
    <oc r="Y16">
      <f>W16+X16</f>
    </oc>
    <nc r="Y16">
      <f>W16+X16</f>
    </nc>
  </rcc>
  <rcc rId="477" sId="22">
    <oc r="Z16">
      <f>Oct!BR17</f>
    </oc>
    <nc r="Z16">
      <f>Nov!BR17</f>
    </nc>
  </rcc>
  <rcc rId="478" sId="22">
    <oc r="AA16">
      <f>Oct!BG17</f>
    </oc>
    <nc r="AA16">
      <f>Nov!BG17</f>
    </nc>
  </rcc>
  <rcc rId="479" sId="22">
    <oc r="AB16">
      <f>Oct!BJ17</f>
    </oc>
    <nc r="AB16">
      <f>Nov!BJ17</f>
    </nc>
  </rcc>
  <rcc rId="480" sId="22">
    <oc r="AC16">
      <f>Oct!BL17+Oct!BN17+Oct!BP17</f>
    </oc>
    <nc r="AC16">
      <f>Nov!BL17+Nov!BN17</f>
    </nc>
  </rcc>
  <rcc rId="481" sId="22">
    <oc r="AD16">
      <f>Oct!DR17</f>
    </oc>
    <nc r="AD16">
      <f>Nov!DR17</f>
    </nc>
  </rcc>
  <rcc rId="482" sId="22">
    <oc r="AE16">
      <f>Oct!DT17-Oct!DR57-Oct!DT57</f>
    </oc>
    <nc r="AE16">
      <f>Nov!DT17-Nov!DR57-Nov!DT57</f>
    </nc>
  </rcc>
  <rcc rId="483" sId="22">
    <oc r="W17">
      <f>Oct!CW18</f>
    </oc>
    <nc r="W17">
      <f>Nov!CW18</f>
    </nc>
  </rcc>
  <rcc rId="484" sId="22">
    <oc r="X17">
      <f>Oct!DA18</f>
    </oc>
    <nc r="X17">
      <f>Nov!DA18</f>
    </nc>
  </rcc>
  <rcc rId="485" sId="22">
    <oc r="Y17">
      <f>W17+X17</f>
    </oc>
    <nc r="Y17">
      <f>W17+X17</f>
    </nc>
  </rcc>
  <rcc rId="486" sId="22">
    <oc r="Z17">
      <f>Oct!BR18</f>
    </oc>
    <nc r="Z17">
      <f>Nov!BR18</f>
    </nc>
  </rcc>
  <rcc rId="487" sId="22">
    <oc r="AA17">
      <f>Oct!BG18</f>
    </oc>
    <nc r="AA17">
      <f>Nov!BG18</f>
    </nc>
  </rcc>
  <rcc rId="488" sId="22">
    <oc r="AB17">
      <f>Oct!BJ18</f>
    </oc>
    <nc r="AB17">
      <f>Nov!BJ18</f>
    </nc>
  </rcc>
  <rcc rId="489" sId="22">
    <oc r="AC17">
      <f>Oct!BL18+Oct!BN18+Oct!BP18</f>
    </oc>
    <nc r="AC17">
      <f>Nov!BL18+Nov!BN18</f>
    </nc>
  </rcc>
  <rcc rId="490" sId="22">
    <oc r="AD17">
      <f>Oct!DR18</f>
    </oc>
    <nc r="AD17">
      <f>Nov!DR18</f>
    </nc>
  </rcc>
  <rcc rId="491" sId="22">
    <oc r="AE17">
      <f>Oct!DT18-Oct!DR58-Oct!DT58</f>
    </oc>
    <nc r="AE17">
      <f>Nov!DT18-Nov!DR58-Nov!DT58</f>
    </nc>
  </rcc>
  <rcc rId="492" sId="22">
    <oc r="W18">
      <f>Oct!CW19</f>
    </oc>
    <nc r="W18">
      <f>Nov!CW19</f>
    </nc>
  </rcc>
  <rcc rId="493" sId="22">
    <oc r="X18">
      <f>Oct!DA19</f>
    </oc>
    <nc r="X18">
      <f>Nov!DA19</f>
    </nc>
  </rcc>
  <rcc rId="494" sId="22">
    <oc r="Y18">
      <f>W18+X18</f>
    </oc>
    <nc r="Y18">
      <f>W18+X18</f>
    </nc>
  </rcc>
  <rcc rId="495" sId="22">
    <oc r="Z18">
      <f>Oct!BR19</f>
    </oc>
    <nc r="Z18">
      <f>Nov!BR19</f>
    </nc>
  </rcc>
  <rcc rId="496" sId="22">
    <oc r="AA18">
      <f>Oct!BG19</f>
    </oc>
    <nc r="AA18">
      <f>Nov!BG19</f>
    </nc>
  </rcc>
  <rcc rId="497" sId="22">
    <oc r="AB18">
      <f>Oct!BJ19</f>
    </oc>
    <nc r="AB18">
      <f>Nov!BJ19</f>
    </nc>
  </rcc>
  <rcc rId="498" sId="22">
    <oc r="AC18">
      <f>Oct!BL19+Oct!BN19+Oct!BP19</f>
    </oc>
    <nc r="AC18">
      <f>Nov!BL19+Nov!BN19</f>
    </nc>
  </rcc>
  <rcc rId="499" sId="22">
    <oc r="AD18">
      <f>Oct!DR19</f>
    </oc>
    <nc r="AD18">
      <f>Nov!DR19</f>
    </nc>
  </rcc>
  <rcc rId="500" sId="22">
    <oc r="AE18">
      <f>Oct!DT19-Oct!DR59-Oct!DT59</f>
    </oc>
    <nc r="AE18">
      <f>Nov!DT19-Nov!DR59-Nov!DT59</f>
    </nc>
  </rcc>
  <rcc rId="501" sId="22">
    <oc r="W19">
      <f>Oct!CW20</f>
    </oc>
    <nc r="W19">
      <f>Nov!CW20</f>
    </nc>
  </rcc>
  <rcc rId="502" sId="22">
    <oc r="X19">
      <f>Oct!DA20</f>
    </oc>
    <nc r="X19">
      <f>Nov!DA20</f>
    </nc>
  </rcc>
  <rcc rId="503" sId="22">
    <oc r="Y19">
      <f>W19+X19</f>
    </oc>
    <nc r="Y19">
      <f>W19+X19</f>
    </nc>
  </rcc>
  <rcc rId="504" sId="22">
    <oc r="Z19">
      <f>Oct!BR20</f>
    </oc>
    <nc r="Z19">
      <f>Nov!BR20</f>
    </nc>
  </rcc>
  <rcc rId="505" sId="22">
    <oc r="AA19">
      <f>Oct!BG20</f>
    </oc>
    <nc r="AA19">
      <f>Nov!BG20</f>
    </nc>
  </rcc>
  <rcc rId="506" sId="22">
    <oc r="AB19">
      <f>Oct!BJ20</f>
    </oc>
    <nc r="AB19">
      <f>Nov!BJ20</f>
    </nc>
  </rcc>
  <rcc rId="507" sId="22">
    <oc r="AC19">
      <f>Oct!BL20+Oct!BN20+Oct!BP20</f>
    </oc>
    <nc r="AC19">
      <f>Nov!BL20+Nov!BN20</f>
    </nc>
  </rcc>
  <rcc rId="508" sId="22">
    <oc r="AD19">
      <f>Oct!DR20</f>
    </oc>
    <nc r="AD19">
      <f>Nov!DR20</f>
    </nc>
  </rcc>
  <rcc rId="509" sId="22">
    <oc r="AE19">
      <f>Oct!DT20-Oct!DR60-Oct!DT60</f>
    </oc>
    <nc r="AE19">
      <f>Nov!DT20-Nov!DR60-Nov!DT60</f>
    </nc>
  </rcc>
  <rcc rId="510" sId="22">
    <oc r="W20">
      <f>Oct!CW21</f>
    </oc>
    <nc r="W20">
      <f>Nov!CW21</f>
    </nc>
  </rcc>
  <rcc rId="511" sId="22">
    <oc r="X20">
      <f>Oct!DA21</f>
    </oc>
    <nc r="X20">
      <f>Nov!DA21</f>
    </nc>
  </rcc>
  <rcc rId="512" sId="22">
    <oc r="Y20">
      <f>W20+X20</f>
    </oc>
    <nc r="Y20">
      <f>W20+X20</f>
    </nc>
  </rcc>
  <rcc rId="513" sId="22">
    <oc r="Z20">
      <f>Oct!BR21</f>
    </oc>
    <nc r="Z20">
      <f>Nov!BR21</f>
    </nc>
  </rcc>
  <rcc rId="514" sId="22">
    <oc r="AA20">
      <f>Oct!BG21</f>
    </oc>
    <nc r="AA20">
      <f>Nov!BG21</f>
    </nc>
  </rcc>
  <rcc rId="515" sId="22">
    <oc r="AB20">
      <f>Oct!BJ21</f>
    </oc>
    <nc r="AB20">
      <f>Nov!BJ21</f>
    </nc>
  </rcc>
  <rcc rId="516" sId="22">
    <oc r="AC20">
      <f>Oct!BL21+Oct!BN21+Oct!BP21</f>
    </oc>
    <nc r="AC20">
      <f>Nov!BL21+Nov!BN21</f>
    </nc>
  </rcc>
  <rcc rId="517" sId="22">
    <oc r="AD20">
      <f>Oct!DR21</f>
    </oc>
    <nc r="AD20">
      <f>Nov!DR21</f>
    </nc>
  </rcc>
  <rcc rId="518" sId="22">
    <oc r="AE20">
      <f>Oct!DT21-Oct!DR61-Oct!DT61</f>
    </oc>
    <nc r="AE20">
      <f>Nov!DT21-Nov!DR61-Nov!DT61</f>
    </nc>
  </rcc>
  <rcc rId="519" sId="22">
    <oc r="W21">
      <f>Oct!CW22</f>
    </oc>
    <nc r="W21">
      <f>Nov!CW22</f>
    </nc>
  </rcc>
  <rcc rId="520" sId="22">
    <oc r="X21">
      <f>Oct!DA22</f>
    </oc>
    <nc r="X21">
      <f>Nov!DA22</f>
    </nc>
  </rcc>
  <rcc rId="521" sId="22">
    <oc r="Y21">
      <f>W21+X21</f>
    </oc>
    <nc r="Y21">
      <f>W21+X21</f>
    </nc>
  </rcc>
  <rcc rId="522" sId="22">
    <oc r="Z21">
      <f>Oct!BR22</f>
    </oc>
    <nc r="Z21">
      <f>Nov!BR22</f>
    </nc>
  </rcc>
  <rcc rId="523" sId="22">
    <oc r="AA21">
      <f>Oct!BG22</f>
    </oc>
    <nc r="AA21">
      <f>Nov!BG22</f>
    </nc>
  </rcc>
  <rcc rId="524" sId="22">
    <oc r="AB21">
      <f>Oct!BJ22</f>
    </oc>
    <nc r="AB21">
      <f>Nov!BJ22</f>
    </nc>
  </rcc>
  <rcc rId="525" sId="22">
    <oc r="AC21">
      <f>Oct!BL22+Oct!BN22+Oct!BP22</f>
    </oc>
    <nc r="AC21">
      <f>Nov!BL22+Nov!BN22</f>
    </nc>
  </rcc>
  <rcc rId="526" sId="22">
    <oc r="AD21">
      <f>Oct!DR22</f>
    </oc>
    <nc r="AD21">
      <f>Nov!DR22</f>
    </nc>
  </rcc>
  <rcc rId="527" sId="22">
    <oc r="AE21">
      <f>Oct!DT22-Oct!DR62-Oct!DT62</f>
    </oc>
    <nc r="AE21">
      <f>Nov!DT22-Nov!DR62-Nov!DT62</f>
    </nc>
  </rcc>
  <rcc rId="528" sId="22">
    <oc r="W22">
      <f>Oct!CW23</f>
    </oc>
    <nc r="W22">
      <f>Nov!CW23</f>
    </nc>
  </rcc>
  <rcc rId="529" sId="22">
    <oc r="X22">
      <f>Oct!DA23</f>
    </oc>
    <nc r="X22">
      <f>Nov!DA23</f>
    </nc>
  </rcc>
  <rcc rId="530" sId="22">
    <oc r="Y22">
      <f>W22+X22</f>
    </oc>
    <nc r="Y22">
      <f>W22+X22</f>
    </nc>
  </rcc>
  <rcc rId="531" sId="22">
    <oc r="Z22">
      <f>Oct!BR23</f>
    </oc>
    <nc r="Z22">
      <f>Nov!BR23</f>
    </nc>
  </rcc>
  <rcc rId="532" sId="22">
    <oc r="AA22">
      <f>Oct!BG23</f>
    </oc>
    <nc r="AA22">
      <f>Nov!BG23</f>
    </nc>
  </rcc>
  <rcc rId="533" sId="22">
    <oc r="AB22">
      <f>Oct!BJ23</f>
    </oc>
    <nc r="AB22">
      <f>Nov!BJ23</f>
    </nc>
  </rcc>
  <rcc rId="534" sId="22">
    <oc r="AC22">
      <f>Oct!BL23+Oct!BN23+Oct!BP23</f>
    </oc>
    <nc r="AC22">
      <f>Nov!BL23+Nov!BN23</f>
    </nc>
  </rcc>
  <rcc rId="535" sId="22">
    <oc r="AD22">
      <f>Oct!DR23</f>
    </oc>
    <nc r="AD22">
      <f>Nov!DR23</f>
    </nc>
  </rcc>
  <rcc rId="536" sId="22">
    <oc r="AE22">
      <f>Oct!DT23-Oct!DR63-Oct!DT63</f>
    </oc>
    <nc r="AE22">
      <f>Nov!DT23-Nov!DR63-Nov!DT63</f>
    </nc>
  </rcc>
  <rcc rId="537" sId="22">
    <oc r="W23">
      <f>Oct!CW24</f>
    </oc>
    <nc r="W23">
      <f>Nov!CW24</f>
    </nc>
  </rcc>
  <rcc rId="538" sId="22">
    <oc r="X23">
      <f>Oct!DA24</f>
    </oc>
    <nc r="X23">
      <f>Nov!DA24</f>
    </nc>
  </rcc>
  <rcc rId="539" sId="22">
    <oc r="Y23">
      <f>W23+X23</f>
    </oc>
    <nc r="Y23">
      <f>W23+X23</f>
    </nc>
  </rcc>
  <rcc rId="540" sId="22">
    <oc r="Z23">
      <f>Oct!BR24</f>
    </oc>
    <nc r="Z23">
      <f>Nov!BR24</f>
    </nc>
  </rcc>
  <rcc rId="541" sId="22">
    <oc r="AA23">
      <f>Oct!BG24</f>
    </oc>
    <nc r="AA23">
      <f>Nov!BG24</f>
    </nc>
  </rcc>
  <rcc rId="542" sId="22">
    <oc r="AB23">
      <f>Oct!BJ24</f>
    </oc>
    <nc r="AB23">
      <f>Nov!BJ24</f>
    </nc>
  </rcc>
  <rcc rId="543" sId="22">
    <oc r="AC23">
      <f>Oct!BL24+Oct!BN24+Oct!BP24</f>
    </oc>
    <nc r="AC23">
      <f>Nov!BL24+Nov!BN24</f>
    </nc>
  </rcc>
  <rcc rId="544" sId="22">
    <oc r="AD23">
      <f>Oct!DR24</f>
    </oc>
    <nc r="AD23">
      <f>Nov!DR24</f>
    </nc>
  </rcc>
  <rcc rId="545" sId="22">
    <oc r="AE23">
      <f>Oct!DT24-Oct!DR64-Oct!DT64</f>
    </oc>
    <nc r="AE23">
      <f>Nov!DT24-Nov!DR64-Nov!DT64</f>
    </nc>
  </rcc>
  <rcc rId="546" sId="22">
    <oc r="W24">
      <f>Oct!CW25</f>
    </oc>
    <nc r="W24">
      <f>Nov!CW25</f>
    </nc>
  </rcc>
  <rcc rId="547" sId="22">
    <oc r="X24">
      <f>Oct!DA25</f>
    </oc>
    <nc r="X24">
      <f>Nov!DA25</f>
    </nc>
  </rcc>
  <rcc rId="548" sId="22">
    <oc r="Y24">
      <f>W24+X24</f>
    </oc>
    <nc r="Y24">
      <f>W24+X24</f>
    </nc>
  </rcc>
  <rcc rId="549" sId="22">
    <oc r="Z24">
      <f>Oct!BR25</f>
    </oc>
    <nc r="Z24">
      <f>Nov!BR25</f>
    </nc>
  </rcc>
  <rcc rId="550" sId="22">
    <oc r="AA24">
      <f>Oct!BG25</f>
    </oc>
    <nc r="AA24">
      <f>Nov!BG25</f>
    </nc>
  </rcc>
  <rcc rId="551" sId="22">
    <oc r="AB24">
      <f>Oct!BJ25</f>
    </oc>
    <nc r="AB24">
      <f>Nov!BJ25</f>
    </nc>
  </rcc>
  <rcc rId="552" sId="22">
    <oc r="AC24">
      <f>Oct!BL25+Oct!BN25+Oct!BP25</f>
    </oc>
    <nc r="AC24">
      <f>Nov!BL25+Nov!BN25</f>
    </nc>
  </rcc>
  <rcc rId="553" sId="22">
    <oc r="AD24">
      <f>Oct!DR25</f>
    </oc>
    <nc r="AD24">
      <f>Nov!DR25</f>
    </nc>
  </rcc>
  <rcc rId="554" sId="22">
    <oc r="AE24">
      <f>Oct!DT25-Oct!DR65-Oct!DT65</f>
    </oc>
    <nc r="AE24">
      <f>Nov!DT25-Nov!DR65-Nov!DT65</f>
    </nc>
  </rcc>
  <rcc rId="555" sId="22">
    <oc r="W25">
      <f>Oct!CW26</f>
    </oc>
    <nc r="W25">
      <f>Nov!CW26</f>
    </nc>
  </rcc>
  <rcc rId="556" sId="22">
    <oc r="X25">
      <f>Oct!DA26</f>
    </oc>
    <nc r="X25">
      <f>Nov!DA26</f>
    </nc>
  </rcc>
  <rcc rId="557" sId="22">
    <oc r="Y25">
      <f>W25+X25</f>
    </oc>
    <nc r="Y25">
      <f>W25+X25</f>
    </nc>
  </rcc>
  <rcc rId="558" sId="22">
    <oc r="Z25">
      <f>Oct!BR26</f>
    </oc>
    <nc r="Z25">
      <f>Nov!BR26</f>
    </nc>
  </rcc>
  <rcc rId="559" sId="22">
    <oc r="AA25">
      <f>Oct!BG26</f>
    </oc>
    <nc r="AA25">
      <f>Nov!BG26</f>
    </nc>
  </rcc>
  <rcc rId="560" sId="22">
    <oc r="AB25">
      <f>Oct!BJ26</f>
    </oc>
    <nc r="AB25">
      <f>Nov!BJ26</f>
    </nc>
  </rcc>
  <rcc rId="561" sId="22">
    <oc r="AC25">
      <f>Oct!BL26+Oct!BN26+Oct!BP26</f>
    </oc>
    <nc r="AC25">
      <f>Nov!BL26+Nov!BN26</f>
    </nc>
  </rcc>
  <rcc rId="562" sId="22">
    <oc r="AD25">
      <f>Oct!DR26</f>
    </oc>
    <nc r="AD25">
      <f>Nov!DR26</f>
    </nc>
  </rcc>
  <rcc rId="563" sId="22">
    <oc r="AE25">
      <f>Oct!DT26-Oct!DR66-Oct!DT66</f>
    </oc>
    <nc r="AE25">
      <f>Nov!DT26-Nov!DR66-Nov!DT66</f>
    </nc>
  </rcc>
  <rcc rId="564" sId="22">
    <oc r="W26">
      <f>Oct!CW27</f>
    </oc>
    <nc r="W26">
      <f>Nov!CW27</f>
    </nc>
  </rcc>
  <rcc rId="565" sId="22">
    <oc r="X26">
      <f>Oct!DA27</f>
    </oc>
    <nc r="X26">
      <f>Nov!DA27</f>
    </nc>
  </rcc>
  <rcc rId="566" sId="22">
    <oc r="Y26">
      <f>W26+X26</f>
    </oc>
    <nc r="Y26">
      <f>W26+X26</f>
    </nc>
  </rcc>
  <rcc rId="567" sId="22">
    <oc r="Z26">
      <f>Oct!BR27</f>
    </oc>
    <nc r="Z26">
      <f>Nov!BR27</f>
    </nc>
  </rcc>
  <rcc rId="568" sId="22">
    <oc r="AA26">
      <f>Oct!BG27</f>
    </oc>
    <nc r="AA26">
      <f>Nov!BG27</f>
    </nc>
  </rcc>
  <rcc rId="569" sId="22">
    <oc r="AB26">
      <f>Oct!BJ27</f>
    </oc>
    <nc r="AB26">
      <f>Nov!BJ27</f>
    </nc>
  </rcc>
  <rcc rId="570" sId="22">
    <oc r="AC26">
      <f>Oct!BL27+Oct!BN27+Oct!BP27</f>
    </oc>
    <nc r="AC26">
      <f>Nov!BL27+Nov!BN27</f>
    </nc>
  </rcc>
  <rcc rId="571" sId="22">
    <oc r="AD26">
      <f>Oct!DR27</f>
    </oc>
    <nc r="AD26">
      <f>Nov!DR27</f>
    </nc>
  </rcc>
  <rcc rId="572" sId="22">
    <oc r="AE26">
      <f>Oct!DT27-Oct!DR67-Oct!DT67</f>
    </oc>
    <nc r="AE26">
      <f>Nov!DT27-Nov!DR67-Nov!DT67</f>
    </nc>
  </rcc>
  <rcc rId="573" sId="22">
    <oc r="W27">
      <f>Oct!CW28</f>
    </oc>
    <nc r="W27">
      <f>Nov!CW28</f>
    </nc>
  </rcc>
  <rcc rId="574" sId="22">
    <oc r="X27">
      <f>Oct!DA28</f>
    </oc>
    <nc r="X27">
      <f>Nov!DA28</f>
    </nc>
  </rcc>
  <rcc rId="575" sId="22">
    <oc r="Y27">
      <f>W27+X27</f>
    </oc>
    <nc r="Y27">
      <f>W27+X27</f>
    </nc>
  </rcc>
  <rcc rId="576" sId="22">
    <oc r="Z27">
      <f>Oct!BR28</f>
    </oc>
    <nc r="Z27">
      <f>Nov!BR28</f>
    </nc>
  </rcc>
  <rcc rId="577" sId="22">
    <oc r="AA27">
      <f>Oct!BG28</f>
    </oc>
    <nc r="AA27">
      <f>Nov!BG28</f>
    </nc>
  </rcc>
  <rcc rId="578" sId="22">
    <oc r="AB27">
      <f>Oct!BJ28</f>
    </oc>
    <nc r="AB27">
      <f>Nov!BJ28</f>
    </nc>
  </rcc>
  <rcc rId="579" sId="22">
    <oc r="AC27">
      <f>Oct!BL28+Oct!BN28+Oct!BP28</f>
    </oc>
    <nc r="AC27">
      <f>Nov!BL28+Nov!BN28</f>
    </nc>
  </rcc>
  <rcc rId="580" sId="22">
    <oc r="AD27">
      <f>Oct!DR28</f>
    </oc>
    <nc r="AD27">
      <f>Nov!DR28</f>
    </nc>
  </rcc>
  <rcc rId="581" sId="22">
    <oc r="AE27">
      <f>Oct!DT28-Oct!DR68-Oct!DT68</f>
    </oc>
    <nc r="AE27">
      <f>Nov!DT28-Nov!DR68-Nov!DT68</f>
    </nc>
  </rcc>
  <rcc rId="582" sId="22">
    <oc r="W28">
      <f>Oct!CW29</f>
    </oc>
    <nc r="W28">
      <f>Nov!CW29</f>
    </nc>
  </rcc>
  <rcc rId="583" sId="22">
    <oc r="X28">
      <f>Oct!DA29</f>
    </oc>
    <nc r="X28">
      <f>Nov!DA29</f>
    </nc>
  </rcc>
  <rcc rId="584" sId="22">
    <oc r="Y28">
      <f>W28+X28</f>
    </oc>
    <nc r="Y28">
      <f>W28+X28</f>
    </nc>
  </rcc>
  <rcc rId="585" sId="22">
    <oc r="Z28">
      <f>Oct!BR29</f>
    </oc>
    <nc r="Z28">
      <f>Nov!BR29</f>
    </nc>
  </rcc>
  <rcc rId="586" sId="22">
    <oc r="AA28">
      <f>Oct!BG29</f>
    </oc>
    <nc r="AA28">
      <f>Nov!BG29</f>
    </nc>
  </rcc>
  <rcc rId="587" sId="22">
    <oc r="AB28">
      <f>Oct!BJ29</f>
    </oc>
    <nc r="AB28">
      <f>Nov!BJ29</f>
    </nc>
  </rcc>
  <rcc rId="588" sId="22">
    <oc r="AC28">
      <f>Oct!BL29+Oct!BN29+Oct!BP29</f>
    </oc>
    <nc r="AC28">
      <f>Nov!BL29+Nov!BN29</f>
    </nc>
  </rcc>
  <rcc rId="589" sId="22">
    <oc r="AD28">
      <f>Oct!DR29</f>
    </oc>
    <nc r="AD28">
      <f>Nov!DR29</f>
    </nc>
  </rcc>
  <rcc rId="590" sId="22">
    <oc r="AE28">
      <f>Oct!DT29-Oct!DR69-Oct!DT69</f>
    </oc>
    <nc r="AE28">
      <f>Nov!DT29-Nov!DR69-Nov!DT69</f>
    </nc>
  </rcc>
  <rcc rId="591" sId="22">
    <oc r="W29">
      <f>Oct!CW30</f>
    </oc>
    <nc r="W29">
      <f>Nov!CW30</f>
    </nc>
  </rcc>
  <rcc rId="592" sId="22">
    <oc r="X29">
      <f>Oct!DA30</f>
    </oc>
    <nc r="X29">
      <f>Nov!DA30</f>
    </nc>
  </rcc>
  <rcc rId="593" sId="22">
    <oc r="Y29">
      <f>W29+X29</f>
    </oc>
    <nc r="Y29">
      <f>W29+X29</f>
    </nc>
  </rcc>
  <rcc rId="594" sId="22">
    <oc r="Z29">
      <f>Oct!BR30</f>
    </oc>
    <nc r="Z29">
      <f>Nov!BR30</f>
    </nc>
  </rcc>
  <rcc rId="595" sId="22">
    <oc r="AA29">
      <f>Oct!BG30</f>
    </oc>
    <nc r="AA29">
      <f>Nov!BG30</f>
    </nc>
  </rcc>
  <rcc rId="596" sId="22">
    <oc r="AB29">
      <f>Oct!BJ30</f>
    </oc>
    <nc r="AB29">
      <f>Nov!BJ30</f>
    </nc>
  </rcc>
  <rcc rId="597" sId="22">
    <oc r="AC29">
      <f>Oct!BL30+Oct!BN30+Oct!BP30</f>
    </oc>
    <nc r="AC29">
      <f>Nov!BL30+Nov!BN30</f>
    </nc>
  </rcc>
  <rcc rId="598" sId="22">
    <oc r="AD29">
      <f>Oct!DR30</f>
    </oc>
    <nc r="AD29">
      <f>Nov!DR30</f>
    </nc>
  </rcc>
  <rcc rId="599" sId="22">
    <oc r="AE29">
      <f>Oct!DT30-Oct!DR70-Oct!DT70</f>
    </oc>
    <nc r="AE29">
      <f>Nov!DT30-Nov!DR70-Nov!DT70</f>
    </nc>
  </rcc>
  <rcc rId="600" sId="22">
    <oc r="W30">
      <f>Oct!CW31</f>
    </oc>
    <nc r="W30">
      <f>Nov!CW31</f>
    </nc>
  </rcc>
  <rcc rId="601" sId="22">
    <oc r="X30">
      <f>Oct!DA31</f>
    </oc>
    <nc r="X30">
      <f>Nov!DA31</f>
    </nc>
  </rcc>
  <rcc rId="602" sId="22">
    <oc r="Y30">
      <f>W30+X30</f>
    </oc>
    <nc r="Y30">
      <f>W30+X30</f>
    </nc>
  </rcc>
  <rcc rId="603" sId="22">
    <oc r="Z30">
      <f>Oct!BR31</f>
    </oc>
    <nc r="Z30">
      <f>Nov!BR31</f>
    </nc>
  </rcc>
  <rcc rId="604" sId="22">
    <oc r="AA30">
      <f>Oct!BG31</f>
    </oc>
    <nc r="AA30">
      <f>Nov!BG31</f>
    </nc>
  </rcc>
  <rcc rId="605" sId="22">
    <oc r="AB30">
      <f>Oct!BJ31</f>
    </oc>
    <nc r="AB30">
      <f>Nov!BJ31</f>
    </nc>
  </rcc>
  <rcc rId="606" sId="22">
    <oc r="AC30">
      <f>Oct!BL31+Oct!BN31+Oct!BP31</f>
    </oc>
    <nc r="AC30">
      <f>Nov!BL31+Nov!BN31</f>
    </nc>
  </rcc>
  <rcc rId="607" sId="22">
    <oc r="AD30">
      <f>Oct!DR31</f>
    </oc>
    <nc r="AD30">
      <f>Nov!DR31</f>
    </nc>
  </rcc>
  <rcc rId="608" sId="22">
    <oc r="AE30">
      <f>Oct!DT31-Oct!DR71-Oct!DT71</f>
    </oc>
    <nc r="AE30">
      <f>Nov!DT31-Nov!DR71-Nov!DT71</f>
    </nc>
  </rcc>
  <rcc rId="609" sId="22">
    <oc r="W31">
      <f>Oct!CW32</f>
    </oc>
    <nc r="W31">
      <f>Nov!CW32</f>
    </nc>
  </rcc>
  <rcc rId="610" sId="22">
    <oc r="X31">
      <f>Oct!DA32</f>
    </oc>
    <nc r="X31">
      <f>Nov!DA32</f>
    </nc>
  </rcc>
  <rcc rId="611" sId="22">
    <oc r="Y31">
      <f>W31+X31</f>
    </oc>
    <nc r="Y31">
      <f>W31+X31</f>
    </nc>
  </rcc>
  <rcc rId="612" sId="22">
    <oc r="Z31">
      <f>Oct!BR32</f>
    </oc>
    <nc r="Z31">
      <f>Nov!BR32</f>
    </nc>
  </rcc>
  <rcc rId="613" sId="22">
    <oc r="AA31">
      <f>Oct!BG32</f>
    </oc>
    <nc r="AA31">
      <f>Nov!BG32</f>
    </nc>
  </rcc>
  <rcc rId="614" sId="22">
    <oc r="AB31">
      <f>Oct!BJ32</f>
    </oc>
    <nc r="AB31">
      <f>Nov!BJ32</f>
    </nc>
  </rcc>
  <rcc rId="615" sId="22">
    <oc r="AC31">
      <f>Oct!BL32+Oct!BN32+Oct!BP32</f>
    </oc>
    <nc r="AC31">
      <f>Nov!BL32+Nov!BN32</f>
    </nc>
  </rcc>
  <rcc rId="616" sId="22">
    <oc r="AD31">
      <f>Oct!DR32</f>
    </oc>
    <nc r="AD31">
      <f>Nov!DR32</f>
    </nc>
  </rcc>
  <rcc rId="617" sId="22">
    <oc r="AE31">
      <f>Oct!DT32-Oct!DR72-Oct!DT72</f>
    </oc>
    <nc r="AE31">
      <f>Nov!DT32-Nov!DR72-Nov!DT72</f>
    </nc>
  </rcc>
  <rcc rId="618" sId="22">
    <oc r="W32">
      <f>Oct!CW33</f>
    </oc>
    <nc r="W32">
      <f>Nov!CW33</f>
    </nc>
  </rcc>
  <rcc rId="619" sId="22">
    <oc r="X32">
      <f>Oct!DA33</f>
    </oc>
    <nc r="X32">
      <f>Nov!DA33</f>
    </nc>
  </rcc>
  <rcc rId="620" sId="22">
    <oc r="Y32">
      <f>W32+X32</f>
    </oc>
    <nc r="Y32">
      <f>W32+X32</f>
    </nc>
  </rcc>
  <rcc rId="621" sId="22">
    <oc r="Z32">
      <f>Oct!BR33</f>
    </oc>
    <nc r="Z32">
      <f>Nov!BR33</f>
    </nc>
  </rcc>
  <rcc rId="622" sId="22">
    <oc r="AA32">
      <f>Oct!BG33</f>
    </oc>
    <nc r="AA32">
      <f>Nov!BG33</f>
    </nc>
  </rcc>
  <rcc rId="623" sId="22">
    <oc r="AB32">
      <f>Oct!BJ33</f>
    </oc>
    <nc r="AB32">
      <f>Nov!BJ33</f>
    </nc>
  </rcc>
  <rcc rId="624" sId="22">
    <oc r="AC32">
      <f>Oct!BL33+Oct!BN33+Oct!BP33</f>
    </oc>
    <nc r="AC32">
      <f>Nov!BL33+Nov!BN33</f>
    </nc>
  </rcc>
  <rcc rId="625" sId="22">
    <oc r="AD32">
      <f>Oct!DR33</f>
    </oc>
    <nc r="AD32">
      <f>Nov!DR33</f>
    </nc>
  </rcc>
  <rcc rId="626" sId="22">
    <oc r="AE32">
      <f>Oct!DT33-Oct!DR73-Oct!DT73</f>
    </oc>
    <nc r="AE32">
      <f>Nov!DT33-Nov!DR73-Nov!DT73</f>
    </nc>
  </rcc>
  <rcc rId="627" sId="22">
    <oc r="W33">
      <f>Oct!CW34</f>
    </oc>
    <nc r="W33">
      <f>Nov!CW34</f>
    </nc>
  </rcc>
  <rcc rId="628" sId="22">
    <oc r="X33">
      <f>Oct!DA34</f>
    </oc>
    <nc r="X33">
      <f>Nov!DA34</f>
    </nc>
  </rcc>
  <rcc rId="629" sId="22">
    <oc r="Y33">
      <f>W33+X33</f>
    </oc>
    <nc r="Y33">
      <f>W33+X33</f>
    </nc>
  </rcc>
  <rcc rId="630" sId="22">
    <oc r="Z33">
      <f>Oct!BR34</f>
    </oc>
    <nc r="Z33">
      <f>Nov!BR34</f>
    </nc>
  </rcc>
  <rcc rId="631" sId="22">
    <oc r="AA33">
      <f>Oct!BG34</f>
    </oc>
    <nc r="AA33">
      <f>Nov!BG34</f>
    </nc>
  </rcc>
  <rcc rId="632" sId="22">
    <oc r="AB33">
      <f>Oct!BJ34</f>
    </oc>
    <nc r="AB33">
      <f>Nov!BJ34</f>
    </nc>
  </rcc>
  <rcc rId="633" sId="22">
    <oc r="AC33">
      <f>Oct!BL34+Oct!BN34+Oct!BP34</f>
    </oc>
    <nc r="AC33">
      <f>Nov!BL34+Nov!BN34</f>
    </nc>
  </rcc>
  <rcc rId="634" sId="22">
    <oc r="AD33">
      <f>Oct!DR34</f>
    </oc>
    <nc r="AD33">
      <f>Nov!DR34</f>
    </nc>
  </rcc>
  <rcc rId="635" sId="22">
    <oc r="AE33">
      <f>Oct!DT34-Oct!DR74-Oct!DT74</f>
    </oc>
    <nc r="AE33">
      <f>Nov!DT34-Nov!DR74-Nov!DT74</f>
    </nc>
  </rcc>
  <rcc rId="636" sId="22">
    <oc r="W34">
      <f>Oct!CW35</f>
    </oc>
    <nc r="W34">
      <f>Nov!CW35</f>
    </nc>
  </rcc>
  <rcc rId="637" sId="22">
    <oc r="X34">
      <f>Oct!DA35</f>
    </oc>
    <nc r="X34">
      <f>Nov!DA35</f>
    </nc>
  </rcc>
  <rcc rId="638" sId="22">
    <oc r="Y34">
      <f>W34+X34</f>
    </oc>
    <nc r="Y34">
      <f>W34+X34</f>
    </nc>
  </rcc>
  <rcc rId="639" sId="22">
    <oc r="Z34">
      <f>Oct!BR35</f>
    </oc>
    <nc r="Z34">
      <f>Nov!BR35</f>
    </nc>
  </rcc>
  <rcc rId="640" sId="22">
    <oc r="AA34">
      <f>Oct!BG35</f>
    </oc>
    <nc r="AA34">
      <f>Nov!BG35</f>
    </nc>
  </rcc>
  <rcc rId="641" sId="22">
    <oc r="AB34">
      <f>Oct!BJ35</f>
    </oc>
    <nc r="AB34">
      <f>Nov!BJ35</f>
    </nc>
  </rcc>
  <rcc rId="642" sId="22">
    <oc r="AC34">
      <f>Oct!BL35+Oct!BN35+Oct!BP35</f>
    </oc>
    <nc r="AC34">
      <f>Nov!BL35+Nov!BN35</f>
    </nc>
  </rcc>
  <rcc rId="643" sId="22">
    <oc r="AD34">
      <f>Oct!DR35</f>
    </oc>
    <nc r="AD34">
      <f>Nov!DR35</f>
    </nc>
  </rcc>
  <rcc rId="644" sId="22">
    <oc r="AE34">
      <f>Oct!DT35-Oct!DR75-Oct!DT75</f>
    </oc>
    <nc r="AE34">
      <f>Nov!DT35-Nov!DR75-Nov!DT75</f>
    </nc>
  </rcc>
  <rcc rId="645" sId="22">
    <oc r="W35">
      <f>Oct!CW36</f>
    </oc>
    <nc r="W35">
      <f>Nov!CW36</f>
    </nc>
  </rcc>
  <rcc rId="646" sId="22">
    <oc r="X35">
      <f>Oct!DA36</f>
    </oc>
    <nc r="X35">
      <f>Nov!DA36</f>
    </nc>
  </rcc>
  <rcc rId="647" sId="22">
    <oc r="Y35">
      <f>W35+X35</f>
    </oc>
    <nc r="Y35">
      <f>W35+X35</f>
    </nc>
  </rcc>
  <rcc rId="648" sId="22">
    <oc r="Z35">
      <f>Oct!BR36</f>
    </oc>
    <nc r="Z35">
      <f>Nov!BR36</f>
    </nc>
  </rcc>
  <rcc rId="649" sId="22">
    <oc r="AA35">
      <f>Oct!BG36</f>
    </oc>
    <nc r="AA35">
      <f>Nov!BG36</f>
    </nc>
  </rcc>
  <rcc rId="650" sId="22">
    <oc r="AB35">
      <f>Oct!BJ36</f>
    </oc>
    <nc r="AB35">
      <f>Nov!BJ36</f>
    </nc>
  </rcc>
  <rcc rId="651" sId="22">
    <oc r="AC35">
      <f>Oct!BL36+Oct!BN36+Oct!BP36</f>
    </oc>
    <nc r="AC35">
      <f>Nov!BL36+Nov!BN36</f>
    </nc>
  </rcc>
  <rcc rId="652" sId="22">
    <oc r="AD35">
      <f>Oct!DR36</f>
    </oc>
    <nc r="AD35">
      <f>Nov!DR36</f>
    </nc>
  </rcc>
  <rcc rId="653" sId="22">
    <oc r="AE35">
      <f>Oct!DT36-Oct!DR76-Oct!DT76</f>
    </oc>
    <nc r="AE35">
      <f>Nov!DT36-Nov!DR76-Nov!DT76</f>
    </nc>
  </rcc>
  <rcc rId="654" sId="22">
    <oc r="W36">
      <f>Oct!CW37</f>
    </oc>
    <nc r="W36">
      <f>Nov!CW37</f>
    </nc>
  </rcc>
  <rcc rId="655" sId="22">
    <oc r="X36">
      <f>Oct!DA37</f>
    </oc>
    <nc r="X36">
      <f>Nov!DA37</f>
    </nc>
  </rcc>
  <rcc rId="656" sId="22">
    <oc r="Y36">
      <f>W36+X36</f>
    </oc>
    <nc r="Y36">
      <f>W36+X36</f>
    </nc>
  </rcc>
  <rcc rId="657" sId="22">
    <oc r="Z36">
      <f>Oct!BR37</f>
    </oc>
    <nc r="Z36">
      <f>Nov!BR37</f>
    </nc>
  </rcc>
  <rcc rId="658" sId="22">
    <oc r="AA36">
      <f>Oct!BG37</f>
    </oc>
    <nc r="AA36">
      <f>Nov!BG37</f>
    </nc>
  </rcc>
  <rcc rId="659" sId="22">
    <oc r="AB36">
      <f>Oct!BJ37</f>
    </oc>
    <nc r="AB36">
      <f>Nov!BJ37</f>
    </nc>
  </rcc>
  <rcc rId="660" sId="22">
    <oc r="AC36">
      <f>Oct!BL37+Oct!BN37+Oct!BP37</f>
    </oc>
    <nc r="AC36">
      <f>Nov!BL37+Nov!BN37</f>
    </nc>
  </rcc>
  <rcc rId="661" sId="22">
    <oc r="AD36">
      <f>Oct!DR37</f>
    </oc>
    <nc r="AD36">
      <f>Nov!DR37</f>
    </nc>
  </rcc>
  <rcc rId="662" sId="22">
    <oc r="AE36">
      <f>Oct!DT37-Oct!DR77-Oct!DT77</f>
    </oc>
    <nc r="AE36">
      <f>Nov!DT37-Nov!DR77-Nov!DT77</f>
    </nc>
  </rcc>
  <rcc rId="663" sId="22">
    <oc r="W37">
      <f>Oct!CW38</f>
    </oc>
    <nc r="W37">
      <f>Nov!CW38</f>
    </nc>
  </rcc>
  <rcc rId="664" sId="22">
    <oc r="X37">
      <f>Oct!DA38</f>
    </oc>
    <nc r="X37">
      <f>Nov!DA38</f>
    </nc>
  </rcc>
  <rcc rId="665" sId="22">
    <oc r="Y37">
      <f>W37+X37</f>
    </oc>
    <nc r="Y37">
      <f>W37+X37</f>
    </nc>
  </rcc>
  <rcc rId="666" sId="22">
    <oc r="Z37">
      <f>Oct!BR38</f>
    </oc>
    <nc r="Z37">
      <f>Nov!BR38</f>
    </nc>
  </rcc>
  <rcc rId="667" sId="22">
    <oc r="AA37">
      <f>Oct!BG38</f>
    </oc>
    <nc r="AA37">
      <f>Nov!BG38</f>
    </nc>
  </rcc>
  <rcc rId="668" sId="22">
    <oc r="AB37">
      <f>Oct!BJ38</f>
    </oc>
    <nc r="AB37">
      <f>Nov!BJ38</f>
    </nc>
  </rcc>
  <rcc rId="669" sId="22">
    <oc r="AC37">
      <f>Oct!BL38+Oct!BN38+Oct!BP38</f>
    </oc>
    <nc r="AC37">
      <f>Nov!BL38+Nov!BN38</f>
    </nc>
  </rcc>
  <rcc rId="670" sId="22">
    <oc r="AD37">
      <f>Oct!DR38</f>
    </oc>
    <nc r="AD37">
      <f>Nov!DR38</f>
    </nc>
  </rcc>
  <rcc rId="671" sId="22">
    <oc r="AE37">
      <f>Oct!DT38-Oct!DR78-Oct!DT78</f>
    </oc>
    <nc r="AE37">
      <f>Nov!DT38-Nov!DR78-Nov!DT78</f>
    </nc>
  </rcc>
  <rcc rId="672" sId="22">
    <oc r="O7">
      <f>Oct!CA8</f>
    </oc>
    <nc r="O7">
      <f>Nov!CA8</f>
    </nc>
  </rcc>
  <rcc rId="673" sId="22">
    <oc r="P7">
      <f>Oct!CD8</f>
    </oc>
    <nc r="P7">
      <f>Nov!CD8</f>
    </nc>
  </rcc>
  <rcc rId="674" sId="22">
    <oc r="Q7">
      <f>Oct!CF8</f>
    </oc>
    <nc r="Q7">
      <f>Nov!CF8</f>
    </nc>
  </rcc>
  <rcc rId="675" sId="22">
    <oc r="R7">
      <f>Oct!CH8</f>
    </oc>
    <nc r="R7">
      <f>Nov!CH8</f>
    </nc>
  </rcc>
  <rcc rId="676" sId="22">
    <oc r="S7">
      <f>Oct!CK8</f>
    </oc>
    <nc r="S7">
      <f>Nov!CK8</f>
    </nc>
  </rcc>
  <rcc rId="677" sId="22">
    <oc r="T7">
      <f>Oct!CO8</f>
    </oc>
    <nc r="T7">
      <f>Nov!CO8</f>
    </nc>
  </rcc>
  <rcc rId="678" sId="22">
    <oc r="U7">
      <f>Oct!CS8</f>
    </oc>
    <nc r="U7">
      <f>Nov!CS8</f>
    </nc>
  </rcc>
  <rcc rId="679" sId="22">
    <oc r="V7">
      <f>SUM(O7:U7)</f>
    </oc>
    <nc r="V7">
      <f>SUM(O7:U7)</f>
    </nc>
  </rcc>
  <rcc rId="680" sId="22">
    <oc r="W7">
      <f>Oct!CW8</f>
    </oc>
    <nc r="W7">
      <f>Nov!CW8</f>
    </nc>
  </rcc>
  <rcc rId="681" sId="22">
    <oc r="X7">
      <f>Oct!DA8</f>
    </oc>
    <nc r="X7">
      <f>Nov!DA8</f>
    </nc>
  </rcc>
  <rcc rId="682" sId="22">
    <oc r="Y7">
      <f>W7+X7</f>
    </oc>
    <nc r="Y7">
      <f>W7+X7</f>
    </nc>
  </rcc>
  <rcc rId="683" sId="22">
    <oc r="Z7">
      <f>Oct!BR8</f>
    </oc>
    <nc r="Z7">
      <f>Nov!BR8</f>
    </nc>
  </rcc>
  <rcc rId="684" sId="22">
    <oc r="AA7">
      <f>Oct!BG8</f>
    </oc>
    <nc r="AA7">
      <f>Nov!BG8</f>
    </nc>
  </rcc>
  <rcc rId="685" sId="22">
    <oc r="AB7">
      <f>Oct!BJ8</f>
    </oc>
    <nc r="AB7">
      <f>Nov!BJ8</f>
    </nc>
  </rcc>
  <rcc rId="686" sId="22">
    <oc r="AC7">
      <f>Oct!BL8+Oct!BN8</f>
    </oc>
    <nc r="AC7">
      <f>Nov!BL8+Nov!BN8</f>
    </nc>
  </rcc>
  <rcc rId="687" sId="22">
    <oc r="AD7">
      <f>Oct!DR8</f>
    </oc>
    <nc r="AD7">
      <f>Nov!DR8</f>
    </nc>
  </rcc>
  <rcc rId="688" sId="22">
    <oc r="AE7">
      <f>Oct!DT8-Oct!DR48-Oct!DT48</f>
    </oc>
    <nc r="AE7">
      <f>Nov!DT8-Nov!DR48-Nov!DT48</f>
    </nc>
  </rcc>
  <rcc rId="689" sId="22">
    <oc r="O8">
      <f>Oct!CA9</f>
    </oc>
    <nc r="O8">
      <f>Nov!CA9</f>
    </nc>
  </rcc>
  <rcc rId="690" sId="22">
    <oc r="P8">
      <f>Oct!CD9</f>
    </oc>
    <nc r="P8">
      <f>Nov!CD9</f>
    </nc>
  </rcc>
  <rcc rId="691" sId="22">
    <oc r="Q8">
      <f>Oct!CF9</f>
    </oc>
    <nc r="Q8">
      <f>Nov!CF9</f>
    </nc>
  </rcc>
  <rcc rId="692" sId="22">
    <oc r="R8">
      <f>Oct!CH9</f>
    </oc>
    <nc r="R8">
      <f>Nov!CH9</f>
    </nc>
  </rcc>
  <rcc rId="693" sId="22">
    <oc r="S8">
      <f>Oct!CK9</f>
    </oc>
    <nc r="S8">
      <f>Nov!CK9</f>
    </nc>
  </rcc>
  <rcc rId="694" sId="22">
    <oc r="T8">
      <f>Oct!CO9</f>
    </oc>
    <nc r="T8">
      <f>Nov!CO9</f>
    </nc>
  </rcc>
  <rcc rId="695" sId="22">
    <oc r="U8">
      <f>Oct!CS9</f>
    </oc>
    <nc r="U8">
      <f>Nov!CS9</f>
    </nc>
  </rcc>
  <rcc rId="696" sId="22">
    <oc r="V8">
      <f>SUM(O8:U8)</f>
    </oc>
    <nc r="V8">
      <f>SUM(O8:U8)</f>
    </nc>
  </rcc>
  <rcc rId="697" sId="22">
    <oc r="W8">
      <f>Oct!CW9</f>
    </oc>
    <nc r="W8">
      <f>Nov!CW9</f>
    </nc>
  </rcc>
  <rcc rId="698" sId="22">
    <oc r="X8">
      <f>Oct!DA9</f>
    </oc>
    <nc r="X8">
      <f>Nov!DA9</f>
    </nc>
  </rcc>
  <rcc rId="699" sId="22">
    <oc r="Y8">
      <f>W8+X8</f>
    </oc>
    <nc r="Y8">
      <f>W8+X8</f>
    </nc>
  </rcc>
  <rcc rId="700" sId="22">
    <oc r="Z8">
      <f>Oct!BR9</f>
    </oc>
    <nc r="Z8">
      <f>Nov!BR9</f>
    </nc>
  </rcc>
  <rcc rId="701" sId="22">
    <oc r="AA8">
      <f>Oct!BG9</f>
    </oc>
    <nc r="AA8">
      <f>Nov!BG9</f>
    </nc>
  </rcc>
  <rcc rId="702" sId="22">
    <oc r="AB8">
      <f>Oct!BJ9</f>
    </oc>
    <nc r="AB8">
      <f>Nov!BJ9</f>
    </nc>
  </rcc>
  <rcc rId="703" sId="22">
    <oc r="AC8">
      <f>Oct!BL9+Oct!BN9</f>
    </oc>
    <nc r="AC8">
      <f>Nov!BL9+Nov!BN9</f>
    </nc>
  </rcc>
  <rcc rId="704" sId="22">
    <oc r="AD8">
      <f>Oct!DR9</f>
    </oc>
    <nc r="AD8">
      <f>Nov!DR9</f>
    </nc>
  </rcc>
  <rcc rId="705" sId="22">
    <oc r="AE8">
      <f>Oct!DT9-Oct!DR49-Oct!DT49</f>
    </oc>
    <nc r="AE8">
      <f>Nov!DT9-Nov!DR49-Nov!DT49</f>
    </nc>
  </rcc>
  <rcc rId="706" sId="22">
    <oc r="O9">
      <f>Oct!CA10</f>
    </oc>
    <nc r="O9">
      <f>Nov!CA10</f>
    </nc>
  </rcc>
  <rcc rId="707" sId="22">
    <oc r="P9">
      <f>Oct!CD10</f>
    </oc>
    <nc r="P9">
      <f>Nov!CD10</f>
    </nc>
  </rcc>
  <rcc rId="708" sId="22">
    <oc r="Q9">
      <f>Oct!CF10</f>
    </oc>
    <nc r="Q9">
      <f>Nov!CF10</f>
    </nc>
  </rcc>
  <rcc rId="709" sId="22">
    <oc r="R9">
      <f>Oct!CH10</f>
    </oc>
    <nc r="R9">
      <f>Nov!CH10</f>
    </nc>
  </rcc>
  <rcc rId="710" sId="22">
    <oc r="S9">
      <f>Oct!CK10</f>
    </oc>
    <nc r="S9">
      <f>Nov!CK10</f>
    </nc>
  </rcc>
  <rcc rId="711" sId="22">
    <oc r="T9">
      <f>Oct!CO10</f>
    </oc>
    <nc r="T9">
      <f>Nov!CO10</f>
    </nc>
  </rcc>
  <rcc rId="712" sId="22">
    <oc r="U9">
      <f>Oct!CS10</f>
    </oc>
    <nc r="U9">
      <f>Nov!CS10</f>
    </nc>
  </rcc>
  <rcc rId="713" sId="22">
    <oc r="V9">
      <f>SUM(O9:U9)</f>
    </oc>
    <nc r="V9">
      <f>SUM(O9:U9)</f>
    </nc>
  </rcc>
  <rcc rId="714" sId="22">
    <oc r="W9">
      <f>Oct!CW10</f>
    </oc>
    <nc r="W9">
      <f>Nov!CW10</f>
    </nc>
  </rcc>
  <rcc rId="715" sId="22">
    <oc r="X9">
      <f>Oct!DA10</f>
    </oc>
    <nc r="X9">
      <f>Nov!DA10</f>
    </nc>
  </rcc>
  <rcc rId="716" sId="22">
    <oc r="Y9">
      <f>W9+X9</f>
    </oc>
    <nc r="Y9">
      <f>W9+X9</f>
    </nc>
  </rcc>
  <rcc rId="717" sId="22">
    <oc r="Z9">
      <f>Oct!BR10</f>
    </oc>
    <nc r="Z9">
      <f>Nov!BR10</f>
    </nc>
  </rcc>
  <rcc rId="718" sId="22">
    <oc r="AA9">
      <f>Oct!BG10</f>
    </oc>
    <nc r="AA9">
      <f>Nov!BG10</f>
    </nc>
  </rcc>
  <rcc rId="719" sId="22">
    <oc r="AB9">
      <f>Oct!BJ10</f>
    </oc>
    <nc r="AB9">
      <f>Nov!BJ10</f>
    </nc>
  </rcc>
  <rcc rId="720" sId="22">
    <oc r="AC9">
      <f>Oct!BL10+Oct!BN10</f>
    </oc>
    <nc r="AC9">
      <f>Nov!BL10+Nov!BN10</f>
    </nc>
  </rcc>
  <rcc rId="721" sId="22">
    <oc r="AD9">
      <f>Oct!DR10</f>
    </oc>
    <nc r="AD9">
      <f>Nov!DR10</f>
    </nc>
  </rcc>
  <rcc rId="722" sId="22">
    <oc r="AE9">
      <f>Oct!DT10-Oct!DR50-Oct!DT50</f>
    </oc>
    <nc r="AE9">
      <f>Nov!DT10-Nov!DR50-Nov!DT50</f>
    </nc>
  </rcc>
  <rcc rId="723" sId="22">
    <oc r="O10">
      <f>Oct!CA11</f>
    </oc>
    <nc r="O10">
      <f>Nov!CA11</f>
    </nc>
  </rcc>
  <rcc rId="724" sId="22">
    <oc r="P10">
      <f>Oct!CD11</f>
    </oc>
    <nc r="P10">
      <f>Nov!CD11</f>
    </nc>
  </rcc>
  <rcc rId="725" sId="22">
    <oc r="Q10">
      <f>Oct!CF11</f>
    </oc>
    <nc r="Q10">
      <f>Nov!CF11</f>
    </nc>
  </rcc>
  <rcc rId="726" sId="22">
    <oc r="R10">
      <f>Oct!CH11</f>
    </oc>
    <nc r="R10">
      <f>Nov!CH11</f>
    </nc>
  </rcc>
  <rcc rId="727" sId="22">
    <oc r="S10">
      <f>Oct!CK11</f>
    </oc>
    <nc r="S10">
      <f>Nov!CK11</f>
    </nc>
  </rcc>
  <rcc rId="728" sId="22">
    <oc r="T10">
      <f>Oct!CO11</f>
    </oc>
    <nc r="T10">
      <f>Nov!CO11</f>
    </nc>
  </rcc>
  <rcc rId="729" sId="22">
    <oc r="U10">
      <f>Oct!CS11</f>
    </oc>
    <nc r="U10">
      <f>Nov!CS11</f>
    </nc>
  </rcc>
  <rcc rId="730" sId="22">
    <oc r="V10">
      <f>SUM(O10:U10)</f>
    </oc>
    <nc r="V10">
      <f>SUM(O10:U10)</f>
    </nc>
  </rcc>
  <rcc rId="731" sId="22">
    <oc r="W10">
      <f>Oct!CW11</f>
    </oc>
    <nc r="W10">
      <f>Nov!CW11</f>
    </nc>
  </rcc>
  <rcc rId="732" sId="22">
    <oc r="X10">
      <f>Oct!DA11</f>
    </oc>
    <nc r="X10">
      <f>Nov!DA11</f>
    </nc>
  </rcc>
  <rcc rId="733" sId="22">
    <oc r="Y10">
      <f>W10+X10</f>
    </oc>
    <nc r="Y10">
      <f>W10+X10</f>
    </nc>
  </rcc>
  <rcc rId="734" sId="22">
    <oc r="Z10">
      <f>Oct!BR11</f>
    </oc>
    <nc r="Z10">
      <f>Nov!BR11</f>
    </nc>
  </rcc>
  <rcc rId="735" sId="22">
    <oc r="AA10">
      <f>Oct!BG11</f>
    </oc>
    <nc r="AA10">
      <f>Nov!BG11</f>
    </nc>
  </rcc>
  <rcc rId="736" sId="22">
    <oc r="AB10">
      <f>Oct!BJ11</f>
    </oc>
    <nc r="AB10">
      <f>Nov!BJ11</f>
    </nc>
  </rcc>
  <rcc rId="737" sId="22">
    <oc r="AC10">
      <f>Oct!BL11+Oct!BN11</f>
    </oc>
    <nc r="AC10">
      <f>Nov!BL11+Nov!BN11</f>
    </nc>
  </rcc>
  <rcc rId="738" sId="22">
    <oc r="AD10">
      <f>Oct!DR11</f>
    </oc>
    <nc r="AD10">
      <f>Nov!DR11</f>
    </nc>
  </rcc>
  <rcc rId="739" sId="22">
    <oc r="AE10">
      <f>Oct!DT11-Oct!DR51-Oct!DT51</f>
    </oc>
    <nc r="AE10">
      <f>Nov!DT11-Nov!DR51-Nov!DT51</f>
    </nc>
  </rcc>
  <rcc rId="740" sId="22">
    <oc r="AJ10">
      <f>Oct!EC11</f>
    </oc>
    <nc r="AJ10">
      <f>Nov!EC11</f>
    </nc>
  </rcc>
  <rcc rId="741" sId="22">
    <oc r="AL10">
      <f>Oct!EG11</f>
    </oc>
    <nc r="AL10">
      <f>Nov!EG11</f>
    </nc>
  </rcc>
  <rcc rId="742" sId="22">
    <oc r="AM10">
      <f>Oct!EJ11</f>
    </oc>
    <nc r="AM10">
      <f>Nov!EJ11</f>
    </nc>
  </rcc>
  <rcc rId="743" sId="22">
    <oc r="AN10">
      <f>Oct!EM11</f>
    </oc>
    <nc r="AN10">
      <f>Nov!EM11</f>
    </nc>
  </rcc>
  <rcc rId="744" sId="22">
    <oc r="AG7">
      <f>Oct!HJ8-AE7</f>
    </oc>
    <nc r="AG7">
      <f>Nov!HJ8-AE7</f>
    </nc>
  </rcc>
  <rcc rId="745" sId="22">
    <oc r="AH7">
      <f>Oct!DW8</f>
    </oc>
    <nc r="AH7">
      <f>Nov!DW8</f>
    </nc>
  </rcc>
  <rcc rId="746" sId="22">
    <oc r="AI7">
      <f>Oct!DZ8</f>
    </oc>
    <nc r="AI7">
      <f>Nov!DZ8</f>
    </nc>
  </rcc>
  <rcc rId="747" sId="22">
    <oc r="AG8">
      <f>Oct!HJ9-AE8</f>
    </oc>
    <nc r="AG8">
      <f>Nov!HJ9-AE8</f>
    </nc>
  </rcc>
  <rcc rId="748" sId="22">
    <oc r="AH8">
      <f>Oct!DW9</f>
    </oc>
    <nc r="AH8">
      <f>Nov!DW9</f>
    </nc>
  </rcc>
  <rcc rId="749" sId="22">
    <oc r="AI8">
      <f>Oct!DZ9</f>
    </oc>
    <nc r="AI8">
      <f>Nov!DZ9</f>
    </nc>
  </rcc>
  <rcc rId="750" sId="22">
    <oc r="AG9">
      <f>Oct!HJ10-AE9</f>
    </oc>
    <nc r="AG9">
      <f>Nov!HJ10-AE9</f>
    </nc>
  </rcc>
  <rcc rId="751" sId="22">
    <oc r="AH9">
      <f>Oct!DW10</f>
    </oc>
    <nc r="AH9">
      <f>Nov!DW10</f>
    </nc>
  </rcc>
  <rcc rId="752" sId="22">
    <oc r="AI9">
      <f>Oct!DZ10</f>
    </oc>
    <nc r="AI9">
      <f>Nov!DZ10</f>
    </nc>
  </rcc>
  <rcc rId="753" sId="22">
    <oc r="AG10">
      <f>Oct!HJ11-AE10</f>
    </oc>
    <nc r="AG10">
      <f>Nov!HJ11-AE10</f>
    </nc>
  </rcc>
  <rcc rId="754" sId="22">
    <oc r="AH10">
      <f>Oct!DW11</f>
    </oc>
    <nc r="AH10">
      <f>Nov!DW11</f>
    </nc>
  </rcc>
  <rcc rId="755" sId="22">
    <oc r="AI10">
      <f>Oct!DZ11</f>
    </oc>
    <nc r="AI10">
      <f>Nov!DZ11</f>
    </nc>
  </rcc>
  <rcc rId="756" sId="22">
    <oc r="AG11">
      <f>Oct!HJ12-AE11</f>
    </oc>
    <nc r="AG11">
      <f>Nov!HJ12-AE11</f>
    </nc>
  </rcc>
  <rcc rId="757" sId="22">
    <oc r="AH11">
      <f>Oct!DW12</f>
    </oc>
    <nc r="AH11">
      <f>Nov!DW12</f>
    </nc>
  </rcc>
  <rcc rId="758" sId="22">
    <oc r="AI11">
      <f>Oct!DZ12</f>
    </oc>
    <nc r="AI11">
      <f>Nov!DZ12</f>
    </nc>
  </rcc>
  <rcc rId="759" sId="22">
    <oc r="AG12">
      <f>Oct!HJ13-AE12</f>
    </oc>
    <nc r="AG12">
      <f>Nov!HJ13-AE12</f>
    </nc>
  </rcc>
  <rcc rId="760" sId="22">
    <oc r="AH12">
      <f>Oct!DW13</f>
    </oc>
    <nc r="AH12">
      <f>Nov!DW13</f>
    </nc>
  </rcc>
  <rcc rId="761" sId="22">
    <oc r="AI12">
      <f>Oct!DZ13</f>
    </oc>
    <nc r="AI12">
      <f>Nov!DZ13</f>
    </nc>
  </rcc>
  <rcc rId="762" sId="22">
    <oc r="AG13">
      <f>Oct!HJ14-AE13</f>
    </oc>
    <nc r="AG13">
      <f>Nov!HJ14-AE13</f>
    </nc>
  </rcc>
  <rcc rId="763" sId="22">
    <oc r="AH13">
      <f>Oct!DW14</f>
    </oc>
    <nc r="AH13">
      <f>Nov!DW14</f>
    </nc>
  </rcc>
  <rcc rId="764" sId="22">
    <oc r="AI13">
      <f>Oct!DZ14</f>
    </oc>
    <nc r="AI13">
      <f>Nov!DZ14</f>
    </nc>
  </rcc>
  <rcc rId="765" sId="22">
    <oc r="AG14">
      <f>Oct!HJ15-AE14</f>
    </oc>
    <nc r="AG14">
      <f>Nov!HJ15-AE14</f>
    </nc>
  </rcc>
  <rcc rId="766" sId="22">
    <oc r="AH14">
      <f>Oct!DW15</f>
    </oc>
    <nc r="AH14">
      <f>Nov!DW15</f>
    </nc>
  </rcc>
  <rcc rId="767" sId="22">
    <oc r="AI14">
      <f>Oct!DZ15</f>
    </oc>
    <nc r="AI14">
      <f>Nov!DZ15</f>
    </nc>
  </rcc>
  <rcc rId="768" sId="22">
    <oc r="AG15">
      <f>Oct!HJ16-AE15</f>
    </oc>
    <nc r="AG15">
      <f>Nov!HJ16-AE15</f>
    </nc>
  </rcc>
  <rcc rId="769" sId="22">
    <oc r="AH15">
      <f>Oct!DW16</f>
    </oc>
    <nc r="AH15">
      <f>Nov!DW16</f>
    </nc>
  </rcc>
  <rcc rId="770" sId="22">
    <oc r="AI15">
      <f>Oct!DZ16</f>
    </oc>
    <nc r="AI15">
      <f>Nov!DZ16</f>
    </nc>
  </rcc>
  <rcc rId="771" sId="22">
    <oc r="AG16">
      <f>Oct!HJ17-AE16</f>
    </oc>
    <nc r="AG16">
      <f>Nov!HJ17-AE16</f>
    </nc>
  </rcc>
  <rcc rId="772" sId="22">
    <oc r="AH16">
      <f>Oct!DW17</f>
    </oc>
    <nc r="AH16">
      <f>Nov!DW17</f>
    </nc>
  </rcc>
  <rcc rId="773" sId="22">
    <oc r="AI16">
      <f>Oct!DZ17</f>
    </oc>
    <nc r="AI16">
      <f>Nov!DZ17</f>
    </nc>
  </rcc>
  <rcc rId="774" sId="22">
    <oc r="AG17">
      <f>Oct!HJ18-AE17</f>
    </oc>
    <nc r="AG17">
      <f>Nov!HJ18-AE17</f>
    </nc>
  </rcc>
  <rcc rId="775" sId="22">
    <oc r="AH17">
      <f>Oct!DW18</f>
    </oc>
    <nc r="AH17">
      <f>Nov!DW18</f>
    </nc>
  </rcc>
  <rcc rId="776" sId="22">
    <oc r="AI17">
      <f>Oct!DZ18</f>
    </oc>
    <nc r="AI17">
      <f>Nov!DZ18</f>
    </nc>
  </rcc>
  <rcc rId="777" sId="22">
    <oc r="AG18">
      <f>Oct!HJ19-AE18</f>
    </oc>
    <nc r="AG18">
      <f>Nov!HJ19-AE18</f>
    </nc>
  </rcc>
  <rcc rId="778" sId="22">
    <oc r="AH18">
      <f>Oct!DW19</f>
    </oc>
    <nc r="AH18">
      <f>Nov!DW19</f>
    </nc>
  </rcc>
  <rcc rId="779" sId="22">
    <oc r="AI18">
      <f>Oct!DZ19</f>
    </oc>
    <nc r="AI18">
      <f>Nov!DZ19</f>
    </nc>
  </rcc>
  <rcc rId="780" sId="22">
    <oc r="AG19">
      <f>Oct!HJ20-AE19</f>
    </oc>
    <nc r="AG19">
      <f>Nov!HJ20-AE19</f>
    </nc>
  </rcc>
  <rcc rId="781" sId="22">
    <oc r="AH19">
      <f>Oct!DW20</f>
    </oc>
    <nc r="AH19">
      <f>Nov!DW20</f>
    </nc>
  </rcc>
  <rcc rId="782" sId="22">
    <oc r="AI19">
      <f>Oct!DZ20</f>
    </oc>
    <nc r="AI19">
      <f>Nov!DZ20</f>
    </nc>
  </rcc>
  <rcc rId="783" sId="22">
    <oc r="AG20">
      <f>Oct!HJ21-AE20</f>
    </oc>
    <nc r="AG20">
      <f>Nov!HJ21-AE20</f>
    </nc>
  </rcc>
  <rcc rId="784" sId="22">
    <oc r="AH20">
      <f>Oct!DW21</f>
    </oc>
    <nc r="AH20">
      <f>Nov!DW21</f>
    </nc>
  </rcc>
  <rcc rId="785" sId="22">
    <oc r="AI20">
      <f>Oct!DZ21</f>
    </oc>
    <nc r="AI20">
      <f>Nov!DZ21</f>
    </nc>
  </rcc>
  <rcc rId="786" sId="22">
    <oc r="AG21">
      <f>Oct!HJ22-AE21</f>
    </oc>
    <nc r="AG21">
      <f>Nov!HJ22-AE21</f>
    </nc>
  </rcc>
  <rcc rId="787" sId="22">
    <oc r="AH21">
      <f>Oct!DW22</f>
    </oc>
    <nc r="AH21">
      <f>Nov!DW22</f>
    </nc>
  </rcc>
  <rcc rId="788" sId="22">
    <oc r="AI21">
      <f>Oct!DZ22</f>
    </oc>
    <nc r="AI21">
      <f>Nov!DZ22</f>
    </nc>
  </rcc>
  <rcc rId="789" sId="22">
    <oc r="AG22">
      <f>Oct!HJ23-AE22</f>
    </oc>
    <nc r="AG22">
      <f>Nov!HJ23-AE22</f>
    </nc>
  </rcc>
  <rcc rId="790" sId="22">
    <oc r="AH22">
      <f>Oct!DW23</f>
    </oc>
    <nc r="AH22">
      <f>Nov!DW23</f>
    </nc>
  </rcc>
  <rcc rId="791" sId="22">
    <oc r="AI22">
      <f>Oct!DZ23</f>
    </oc>
    <nc r="AI22">
      <f>Nov!DZ23</f>
    </nc>
  </rcc>
  <rcc rId="792" sId="22">
    <oc r="AG23">
      <f>Oct!HJ24-AE23</f>
    </oc>
    <nc r="AG23">
      <f>Nov!HJ24-AE23</f>
    </nc>
  </rcc>
  <rcc rId="793" sId="22">
    <oc r="AH23">
      <f>Oct!DW24</f>
    </oc>
    <nc r="AH23">
      <f>Nov!DW24</f>
    </nc>
  </rcc>
  <rcc rId="794" sId="22">
    <oc r="AI23">
      <f>Oct!DZ24</f>
    </oc>
    <nc r="AI23">
      <f>Nov!DZ24</f>
    </nc>
  </rcc>
  <rcc rId="795" sId="22">
    <oc r="AG24">
      <f>Oct!HJ25-AE24</f>
    </oc>
    <nc r="AG24">
      <f>Nov!HJ25-AE24</f>
    </nc>
  </rcc>
  <rcc rId="796" sId="22">
    <oc r="AH24">
      <f>Oct!DW25</f>
    </oc>
    <nc r="AH24">
      <f>Nov!DW25</f>
    </nc>
  </rcc>
  <rcc rId="797" sId="22">
    <oc r="AI24">
      <f>Oct!DZ25</f>
    </oc>
    <nc r="AI24">
      <f>Nov!DZ25</f>
    </nc>
  </rcc>
  <rcc rId="798" sId="22">
    <oc r="AG25">
      <f>Oct!HJ26-AE25</f>
    </oc>
    <nc r="AG25">
      <f>Nov!HJ26-AE25</f>
    </nc>
  </rcc>
  <rcc rId="799" sId="22">
    <oc r="AH25">
      <f>Oct!DW26</f>
    </oc>
    <nc r="AH25">
      <f>Nov!DW26</f>
    </nc>
  </rcc>
  <rcc rId="800" sId="22">
    <oc r="AI25">
      <f>Oct!DZ26</f>
    </oc>
    <nc r="AI25">
      <f>Nov!DZ26</f>
    </nc>
  </rcc>
  <rcc rId="801" sId="22">
    <oc r="AG26">
      <f>Oct!HJ27-AE26</f>
    </oc>
    <nc r="AG26">
      <f>Nov!HJ27-AE26</f>
    </nc>
  </rcc>
  <rcc rId="802" sId="22">
    <oc r="AH26">
      <f>Oct!DW27</f>
    </oc>
    <nc r="AH26">
      <f>Nov!DW27</f>
    </nc>
  </rcc>
  <rcc rId="803" sId="22">
    <oc r="AI26">
      <f>Oct!DZ27</f>
    </oc>
    <nc r="AI26">
      <f>Nov!DZ27</f>
    </nc>
  </rcc>
  <rcc rId="804" sId="22">
    <oc r="AG27">
      <f>Oct!HJ28-AE27</f>
    </oc>
    <nc r="AG27">
      <f>Nov!HJ28-AE27</f>
    </nc>
  </rcc>
  <rcc rId="805" sId="22">
    <oc r="AH27">
      <f>Oct!DW28</f>
    </oc>
    <nc r="AH27">
      <f>Nov!DW28</f>
    </nc>
  </rcc>
  <rcc rId="806" sId="22">
    <oc r="AI27">
      <f>Oct!DZ28</f>
    </oc>
    <nc r="AI27">
      <f>Nov!DZ28</f>
    </nc>
  </rcc>
  <rcc rId="807" sId="22">
    <oc r="AG28">
      <f>Oct!HJ29-AE28</f>
    </oc>
    <nc r="AG28">
      <f>Nov!HJ29-AE28</f>
    </nc>
  </rcc>
  <rcc rId="808" sId="22">
    <oc r="AH28">
      <f>Oct!DW29</f>
    </oc>
    <nc r="AH28">
      <f>Nov!DW29</f>
    </nc>
  </rcc>
  <rcc rId="809" sId="22">
    <oc r="AI28">
      <f>Oct!DZ29</f>
    </oc>
    <nc r="AI28">
      <f>Nov!DZ29</f>
    </nc>
  </rcc>
  <rcc rId="810" sId="22">
    <oc r="AG29">
      <f>Oct!HJ30-AE29</f>
    </oc>
    <nc r="AG29">
      <f>Nov!HJ30-AE29</f>
    </nc>
  </rcc>
  <rcc rId="811" sId="22">
    <oc r="AH29">
      <f>Oct!DW30</f>
    </oc>
    <nc r="AH29">
      <f>Nov!DW30</f>
    </nc>
  </rcc>
  <rcc rId="812" sId="22">
    <oc r="AI29">
      <f>Oct!DZ30</f>
    </oc>
    <nc r="AI29">
      <f>Nov!DZ30</f>
    </nc>
  </rcc>
  <rcc rId="813" sId="22">
    <oc r="AG30">
      <f>Oct!HJ31-AE30</f>
    </oc>
    <nc r="AG30">
      <f>Nov!HJ31-AE30</f>
    </nc>
  </rcc>
  <rcc rId="814" sId="22">
    <oc r="AH30">
      <f>Oct!DW31</f>
    </oc>
    <nc r="AH30">
      <f>Nov!DW31</f>
    </nc>
  </rcc>
  <rcc rId="815" sId="22">
    <oc r="AI30">
      <f>Oct!DZ31</f>
    </oc>
    <nc r="AI30">
      <f>Nov!DZ31</f>
    </nc>
  </rcc>
  <rcc rId="816" sId="22">
    <oc r="AG31">
      <f>Oct!HJ32-AE31</f>
    </oc>
    <nc r="AG31">
      <f>Nov!HJ32-AE31</f>
    </nc>
  </rcc>
  <rcc rId="817" sId="22">
    <oc r="AH31">
      <f>Oct!DW32</f>
    </oc>
    <nc r="AH31">
      <f>Nov!DW32</f>
    </nc>
  </rcc>
  <rcc rId="818" sId="22">
    <oc r="AI31">
      <f>Oct!DZ32</f>
    </oc>
    <nc r="AI31">
      <f>Nov!DZ32</f>
    </nc>
  </rcc>
  <rcc rId="819" sId="22">
    <oc r="AG32">
      <f>Oct!HJ33-AE32</f>
    </oc>
    <nc r="AG32">
      <f>Nov!HJ33-AE32</f>
    </nc>
  </rcc>
  <rcc rId="820" sId="22">
    <oc r="AH32">
      <f>Oct!DW33</f>
    </oc>
    <nc r="AH32">
      <f>Nov!DW33</f>
    </nc>
  </rcc>
  <rcc rId="821" sId="22">
    <oc r="AI32">
      <f>Oct!DZ33</f>
    </oc>
    <nc r="AI32">
      <f>Nov!DZ33</f>
    </nc>
  </rcc>
  <rcc rId="822" sId="22">
    <oc r="AG33">
      <f>Oct!HJ34-AE33</f>
    </oc>
    <nc r="AG33">
      <f>Nov!HJ34-AE33</f>
    </nc>
  </rcc>
  <rcc rId="823" sId="22">
    <oc r="AH33">
      <f>Oct!DW34</f>
    </oc>
    <nc r="AH33">
      <f>Nov!DW34</f>
    </nc>
  </rcc>
  <rcc rId="824" sId="22">
    <oc r="AI33">
      <f>Oct!DZ34</f>
    </oc>
    <nc r="AI33">
      <f>Nov!DZ34</f>
    </nc>
  </rcc>
  <rcc rId="825" sId="22">
    <oc r="AG34">
      <f>Oct!HJ35-AE34</f>
    </oc>
    <nc r="AG34">
      <f>Nov!HJ35-AE34</f>
    </nc>
  </rcc>
  <rcc rId="826" sId="22">
    <oc r="AH34">
      <f>Oct!DW35</f>
    </oc>
    <nc r="AH34">
      <f>Nov!DW35</f>
    </nc>
  </rcc>
  <rcc rId="827" sId="22">
    <oc r="AI34">
      <f>Oct!DZ35</f>
    </oc>
    <nc r="AI34">
      <f>Nov!DZ35</f>
    </nc>
  </rcc>
  <rcc rId="828" sId="22">
    <oc r="AG35">
      <f>Oct!HJ36-AE35</f>
    </oc>
    <nc r="AG35">
      <f>Nov!HJ36-AE35</f>
    </nc>
  </rcc>
  <rcc rId="829" sId="22">
    <oc r="AH35">
      <f>Oct!DW37</f>
    </oc>
    <nc r="AH35">
      <f>Nov!DW36</f>
    </nc>
  </rcc>
  <rcc rId="830" sId="22">
    <oc r="AI35">
      <f>Oct!DZ36</f>
    </oc>
    <nc r="AI35">
      <f>Nov!DZ36</f>
    </nc>
  </rcc>
  <rcc rId="831" sId="22">
    <oc r="AG36">
      <f>Oct!HJ37-AE36</f>
    </oc>
    <nc r="AG36">
      <f>Nov!HJ37-AE36</f>
    </nc>
  </rcc>
  <rcc rId="832" sId="22">
    <oc r="AH36">
      <f>Oct!#REF!</f>
    </oc>
    <nc r="AH36">
      <f>Nov!DW37</f>
    </nc>
  </rcc>
  <rcc rId="833" sId="22">
    <oc r="AI36">
      <f>Oct!DZ37</f>
    </oc>
    <nc r="AI36">
      <f>Nov!DZ37</f>
    </nc>
  </rcc>
  <rcc rId="834" sId="22">
    <oc r="AG37">
      <f>Oct!HJ38-AE37</f>
    </oc>
    <nc r="AG37">
      <f>Nov!HJ38-AE37</f>
    </nc>
  </rcc>
  <rcc rId="835" sId="22">
    <oc r="AH37">
      <f>Oct!#REF!</f>
    </oc>
    <nc r="AH37">
      <f>Nov!DW38</f>
    </nc>
  </rcc>
  <rcc rId="836" sId="22">
    <oc r="AI37">
      <f>Oct!DZ38</f>
    </oc>
    <nc r="AI37">
      <f>Nov!DZ38</f>
    </nc>
  </rcc>
  <rcc rId="837" sId="22">
    <oc r="AJ7">
      <f>Oct!EC8</f>
    </oc>
    <nc r="AJ7">
      <f>Nov!EC8</f>
    </nc>
  </rcc>
  <rcc rId="838" sId="22">
    <oc r="AK7">
      <f>SUM(AH7:AJ7)</f>
    </oc>
    <nc r="AK7">
      <f>SUM(AH7:AJ7)</f>
    </nc>
  </rcc>
  <rcc rId="839" sId="22">
    <oc r="AL7">
      <f>Oct!EG8</f>
    </oc>
    <nc r="AL7">
      <f>Nov!EG8</f>
    </nc>
  </rcc>
  <rcc rId="840" sId="22">
    <oc r="AJ8">
      <f>Oct!EC9</f>
    </oc>
    <nc r="AJ8">
      <f>Nov!EC9</f>
    </nc>
  </rcc>
  <rcc rId="841" sId="22">
    <oc r="AK8">
      <f>SUM(AH8:AJ8)</f>
    </oc>
    <nc r="AK8">
      <f>SUM(AH8:AJ8)</f>
    </nc>
  </rcc>
  <rcc rId="842" sId="22">
    <oc r="AL8">
      <f>Oct!EG9</f>
    </oc>
    <nc r="AL8">
      <f>Nov!EG9</f>
    </nc>
  </rcc>
  <rcc rId="843" sId="22">
    <oc r="AJ9">
      <f>Oct!EC10</f>
    </oc>
    <nc r="AJ9">
      <f>Nov!EC10</f>
    </nc>
  </rcc>
  <rcc rId="844" sId="22">
    <oc r="AK9">
      <f>SUM(AH9:AJ9)</f>
    </oc>
    <nc r="AK9">
      <f>SUM(AH9:AJ9)</f>
    </nc>
  </rcc>
  <rcc rId="845" sId="22">
    <oc r="AL9">
      <f>Oct!EG10</f>
    </oc>
    <nc r="AL9">
      <f>Nov!EG10</f>
    </nc>
  </rcc>
  <rcc rId="846" sId="22">
    <oc r="AJ11">
      <f>Oct!EC12</f>
    </oc>
    <nc r="AJ11">
      <f>Nov!EC12</f>
    </nc>
  </rcc>
  <rcc rId="847" sId="22">
    <oc r="AK11">
      <f>SUM(AH11:AJ11)</f>
    </oc>
    <nc r="AK11">
      <f>SUM(AH11:AJ11)</f>
    </nc>
  </rcc>
  <rcc rId="848" sId="22">
    <oc r="AL11">
      <f>Oct!EG12</f>
    </oc>
    <nc r="AL11">
      <f>Nov!EG12</f>
    </nc>
  </rcc>
  <rcc rId="849" sId="22">
    <oc r="AM11">
      <f>Oct!EJ12</f>
    </oc>
    <nc r="AM11">
      <f>Nov!EJ12</f>
    </nc>
  </rcc>
  <rcc rId="850" sId="22">
    <oc r="AN11">
      <f>Oct!EM12</f>
    </oc>
    <nc r="AN11">
      <f>Nov!EM12</f>
    </nc>
  </rcc>
  <rcc rId="851" sId="22">
    <oc r="AJ12">
      <f>Oct!EC13</f>
    </oc>
    <nc r="AJ12">
      <f>Nov!EC13</f>
    </nc>
  </rcc>
  <rcc rId="852" sId="22">
    <oc r="AK12">
      <f>SUM(AH12:AJ12)</f>
    </oc>
    <nc r="AK12">
      <f>SUM(AH12:AJ12)</f>
    </nc>
  </rcc>
  <rcc rId="853" sId="22">
    <oc r="AL12">
      <f>Oct!EG13</f>
    </oc>
    <nc r="AL12">
      <f>Nov!EG13</f>
    </nc>
  </rcc>
  <rcc rId="854" sId="22">
    <oc r="AM12">
      <f>Oct!EJ13</f>
    </oc>
    <nc r="AM12">
      <f>Nov!EJ13</f>
    </nc>
  </rcc>
  <rcc rId="855" sId="22">
    <oc r="AN12">
      <f>Oct!EM13</f>
    </oc>
    <nc r="AN12">
      <f>Nov!EM13</f>
    </nc>
  </rcc>
  <rcc rId="856" sId="22">
    <oc r="AJ13">
      <f>Oct!EC14</f>
    </oc>
    <nc r="AJ13">
      <f>Nov!EC14</f>
    </nc>
  </rcc>
  <rcc rId="857" sId="22">
    <oc r="AK13">
      <f>SUM(AH13:AJ13)</f>
    </oc>
    <nc r="AK13">
      <f>SUM(AH13:AJ13)</f>
    </nc>
  </rcc>
  <rcc rId="858" sId="22">
    <oc r="AL13">
      <f>Oct!EG14</f>
    </oc>
    <nc r="AL13">
      <f>Nov!EG14</f>
    </nc>
  </rcc>
  <rcc rId="859" sId="22">
    <oc r="AM13">
      <f>Oct!EJ14</f>
    </oc>
    <nc r="AM13">
      <f>Nov!EJ14</f>
    </nc>
  </rcc>
  <rcc rId="860" sId="22">
    <oc r="AN13">
      <f>Oct!EM14</f>
    </oc>
    <nc r="AN13">
      <f>Nov!EM14</f>
    </nc>
  </rcc>
  <rcc rId="861" sId="22">
    <oc r="AJ14">
      <f>Oct!EC15</f>
    </oc>
    <nc r="AJ14">
      <f>Nov!EC15</f>
    </nc>
  </rcc>
  <rcc rId="862" sId="22">
    <oc r="AK14">
      <f>SUM(AH14:AJ14)</f>
    </oc>
    <nc r="AK14">
      <f>SUM(AH14:AJ14)</f>
    </nc>
  </rcc>
  <rcc rId="863" sId="22">
    <oc r="AL14">
      <f>Oct!EG15</f>
    </oc>
    <nc r="AL14">
      <f>Nov!EG15</f>
    </nc>
  </rcc>
  <rcc rId="864" sId="22">
    <oc r="AM14">
      <f>Oct!EJ15</f>
    </oc>
    <nc r="AM14">
      <f>Nov!EJ15</f>
    </nc>
  </rcc>
  <rcc rId="865" sId="22">
    <oc r="AN14">
      <f>Oct!EM15</f>
    </oc>
    <nc r="AN14">
      <f>Nov!EM15</f>
    </nc>
  </rcc>
  <rcc rId="866" sId="22">
    <oc r="AJ15">
      <f>Oct!EC16</f>
    </oc>
    <nc r="AJ15">
      <f>Nov!EC16</f>
    </nc>
  </rcc>
  <rcc rId="867" sId="22">
    <oc r="AK15">
      <f>SUM(AH15:AJ15)</f>
    </oc>
    <nc r="AK15">
      <f>SUM(AH15:AJ15)</f>
    </nc>
  </rcc>
  <rcc rId="868" sId="22">
    <oc r="AL15">
      <f>Oct!EG16</f>
    </oc>
    <nc r="AL15">
      <f>Nov!EG16</f>
    </nc>
  </rcc>
  <rcc rId="869" sId="22">
    <oc r="AM15">
      <f>Oct!EJ16</f>
    </oc>
    <nc r="AM15">
      <f>Nov!EJ16</f>
    </nc>
  </rcc>
  <rcc rId="870" sId="22">
    <oc r="AN15">
      <f>Oct!EM16</f>
    </oc>
    <nc r="AN15">
      <f>Nov!EM16</f>
    </nc>
  </rcc>
  <rcc rId="871" sId="22">
    <oc r="AJ16">
      <f>Oct!EC17</f>
    </oc>
    <nc r="AJ16">
      <f>Nov!EC17</f>
    </nc>
  </rcc>
  <rcc rId="872" sId="22">
    <oc r="AK16">
      <f>SUM(AH16:AJ16)</f>
    </oc>
    <nc r="AK16">
      <f>SUM(AH16:AJ16)</f>
    </nc>
  </rcc>
  <rcc rId="873" sId="22">
    <oc r="AL16">
      <f>Oct!EG17</f>
    </oc>
    <nc r="AL16">
      <f>Nov!EG17</f>
    </nc>
  </rcc>
  <rcc rId="874" sId="22">
    <oc r="AM16">
      <f>Oct!EJ17</f>
    </oc>
    <nc r="AM16">
      <f>Nov!EJ17</f>
    </nc>
  </rcc>
  <rcc rId="875" sId="22">
    <oc r="AN16">
      <f>Oct!EM17</f>
    </oc>
    <nc r="AN16">
      <f>Nov!EM17</f>
    </nc>
  </rcc>
  <rcc rId="876" sId="22">
    <oc r="AJ17">
      <f>Oct!EC18</f>
    </oc>
    <nc r="AJ17">
      <f>Nov!EC18</f>
    </nc>
  </rcc>
  <rcc rId="877" sId="22">
    <oc r="AK17">
      <f>SUM(AH17:AJ17)</f>
    </oc>
    <nc r="AK17">
      <f>SUM(AH17:AJ17)</f>
    </nc>
  </rcc>
  <rcc rId="878" sId="22">
    <oc r="AL17">
      <f>Oct!EG18</f>
    </oc>
    <nc r="AL17">
      <f>Nov!EG18</f>
    </nc>
  </rcc>
  <rcc rId="879" sId="22">
    <oc r="AM17">
      <f>Oct!EJ18</f>
    </oc>
    <nc r="AM17">
      <f>Nov!EJ18</f>
    </nc>
  </rcc>
  <rcc rId="880" sId="22">
    <oc r="AN17">
      <f>Oct!EM18</f>
    </oc>
    <nc r="AN17">
      <f>Nov!EM18</f>
    </nc>
  </rcc>
  <rcc rId="881" sId="22">
    <oc r="AJ18">
      <f>Oct!EC19</f>
    </oc>
    <nc r="AJ18">
      <f>Nov!EC19</f>
    </nc>
  </rcc>
  <rcc rId="882" sId="22">
    <oc r="AK18">
      <f>SUM(AH18:AJ18)</f>
    </oc>
    <nc r="AK18">
      <f>SUM(AH18:AJ18)</f>
    </nc>
  </rcc>
  <rcc rId="883" sId="22">
    <oc r="AL18">
      <f>Oct!EG19</f>
    </oc>
    <nc r="AL18">
      <f>Nov!EG19</f>
    </nc>
  </rcc>
  <rcc rId="884" sId="22">
    <oc r="AM18">
      <f>Oct!EJ19</f>
    </oc>
    <nc r="AM18">
      <f>Nov!EJ19</f>
    </nc>
  </rcc>
  <rcc rId="885" sId="22">
    <oc r="AN18">
      <f>Oct!EM19</f>
    </oc>
    <nc r="AN18">
      <f>Nov!EM19</f>
    </nc>
  </rcc>
  <rcc rId="886" sId="22">
    <oc r="AJ19">
      <f>Oct!EC20</f>
    </oc>
    <nc r="AJ19">
      <f>Nov!EC20</f>
    </nc>
  </rcc>
  <rcc rId="887" sId="22">
    <oc r="AK19">
      <f>SUM(AH19:AJ19)</f>
    </oc>
    <nc r="AK19">
      <f>SUM(AH19:AJ19)</f>
    </nc>
  </rcc>
  <rcc rId="888" sId="22">
    <oc r="AL19">
      <f>Oct!EG20</f>
    </oc>
    <nc r="AL19">
      <f>Nov!EG20</f>
    </nc>
  </rcc>
  <rcc rId="889" sId="22">
    <oc r="AM19">
      <f>Oct!EJ20</f>
    </oc>
    <nc r="AM19">
      <f>Nov!EJ20</f>
    </nc>
  </rcc>
  <rcc rId="890" sId="22">
    <oc r="AN19">
      <f>Oct!EM20</f>
    </oc>
    <nc r="AN19">
      <f>Nov!EM20</f>
    </nc>
  </rcc>
  <rcc rId="891" sId="22">
    <oc r="AJ20">
      <f>Oct!EC21</f>
    </oc>
    <nc r="AJ20">
      <f>Nov!EC21</f>
    </nc>
  </rcc>
  <rcc rId="892" sId="22">
    <oc r="AK20">
      <f>SUM(AH20:AJ20)</f>
    </oc>
    <nc r="AK20">
      <f>SUM(AH20:AJ20)</f>
    </nc>
  </rcc>
  <rcc rId="893" sId="22">
    <oc r="AL20">
      <f>Oct!EG21</f>
    </oc>
    <nc r="AL20">
      <f>Nov!EG21</f>
    </nc>
  </rcc>
  <rcc rId="894" sId="22">
    <oc r="AM20">
      <f>Oct!EJ21</f>
    </oc>
    <nc r="AM20">
      <f>Nov!EJ21</f>
    </nc>
  </rcc>
  <rcc rId="895" sId="22">
    <oc r="AN20">
      <f>Oct!EM21</f>
    </oc>
    <nc r="AN20">
      <f>Nov!EM21</f>
    </nc>
  </rcc>
  <rcc rId="896" sId="22">
    <oc r="AJ21">
      <f>Oct!EC22</f>
    </oc>
    <nc r="AJ21">
      <f>Nov!EC22</f>
    </nc>
  </rcc>
  <rcc rId="897" sId="22">
    <oc r="AK21">
      <f>SUM(AH21:AJ21)</f>
    </oc>
    <nc r="AK21">
      <f>SUM(AH21:AJ21)</f>
    </nc>
  </rcc>
  <rcc rId="898" sId="22">
    <oc r="AL21">
      <f>Oct!EG22</f>
    </oc>
    <nc r="AL21">
      <f>Nov!EG22</f>
    </nc>
  </rcc>
  <rcc rId="899" sId="22">
    <oc r="AM21">
      <f>Oct!EJ22</f>
    </oc>
    <nc r="AM21">
      <f>Nov!EJ22</f>
    </nc>
  </rcc>
  <rcc rId="900" sId="22">
    <oc r="AN21">
      <f>Oct!EM22</f>
    </oc>
    <nc r="AN21">
      <f>Nov!EM22</f>
    </nc>
  </rcc>
  <rcc rId="901" sId="22">
    <oc r="AJ22">
      <f>Oct!EC23</f>
    </oc>
    <nc r="AJ22">
      <f>Nov!EC23</f>
    </nc>
  </rcc>
  <rcc rId="902" sId="22">
    <oc r="AK22">
      <f>SUM(AH22:AJ22)</f>
    </oc>
    <nc r="AK22">
      <f>SUM(AH22:AJ22)</f>
    </nc>
  </rcc>
  <rcc rId="903" sId="22">
    <oc r="AL22">
      <f>Oct!EG23</f>
    </oc>
    <nc r="AL22">
      <f>Nov!EG23</f>
    </nc>
  </rcc>
  <rcc rId="904" sId="22">
    <oc r="AM22">
      <f>Oct!EJ23</f>
    </oc>
    <nc r="AM22">
      <f>Nov!EJ23</f>
    </nc>
  </rcc>
  <rcc rId="905" sId="22">
    <oc r="AN22">
      <f>Oct!EM23</f>
    </oc>
    <nc r="AN22">
      <f>Nov!EM23</f>
    </nc>
  </rcc>
  <rcc rId="906" sId="22">
    <oc r="AJ23">
      <f>Oct!EC24</f>
    </oc>
    <nc r="AJ23">
      <f>Nov!EC24</f>
    </nc>
  </rcc>
  <rcc rId="907" sId="22">
    <oc r="AK23">
      <f>SUM(AH23:AJ23)</f>
    </oc>
    <nc r="AK23">
      <f>SUM(AH23:AJ23)</f>
    </nc>
  </rcc>
  <rcc rId="908" sId="22">
    <oc r="AL23">
      <f>Oct!EG24</f>
    </oc>
    <nc r="AL23">
      <f>Nov!EG24</f>
    </nc>
  </rcc>
  <rcc rId="909" sId="22">
    <oc r="AM23">
      <f>Oct!EJ24</f>
    </oc>
    <nc r="AM23">
      <f>Nov!EJ24</f>
    </nc>
  </rcc>
  <rcc rId="910" sId="22">
    <oc r="AN23">
      <f>Oct!EM24</f>
    </oc>
    <nc r="AN23">
      <f>Nov!EM24</f>
    </nc>
  </rcc>
  <rcc rId="911" sId="22">
    <oc r="AJ24">
      <f>Oct!EC25</f>
    </oc>
    <nc r="AJ24">
      <f>Nov!EC25</f>
    </nc>
  </rcc>
  <rcc rId="912" sId="22">
    <oc r="AK24">
      <f>SUM(AH24:AJ24)</f>
    </oc>
    <nc r="AK24">
      <f>SUM(AH24:AJ24)</f>
    </nc>
  </rcc>
  <rcc rId="913" sId="22">
    <oc r="AL24">
      <f>Oct!EG25</f>
    </oc>
    <nc r="AL24">
      <f>Nov!EG25</f>
    </nc>
  </rcc>
  <rcc rId="914" sId="22">
    <oc r="AM24">
      <f>Oct!EJ25</f>
    </oc>
    <nc r="AM24">
      <f>Nov!EJ25</f>
    </nc>
  </rcc>
  <rcc rId="915" sId="22">
    <oc r="AN24">
      <f>Oct!EM25</f>
    </oc>
    <nc r="AN24">
      <f>Nov!EM25</f>
    </nc>
  </rcc>
  <rcc rId="916" sId="22">
    <oc r="AJ25">
      <f>Oct!EC26</f>
    </oc>
    <nc r="AJ25">
      <f>Nov!EC26</f>
    </nc>
  </rcc>
  <rcc rId="917" sId="22">
    <oc r="AK25">
      <f>SUM(AH25:AJ25)</f>
    </oc>
    <nc r="AK25">
      <f>SUM(AH25:AJ25)</f>
    </nc>
  </rcc>
  <rcc rId="918" sId="22">
    <oc r="AL25">
      <f>Oct!EG26</f>
    </oc>
    <nc r="AL25">
      <f>Nov!EG26</f>
    </nc>
  </rcc>
  <rcc rId="919" sId="22">
    <oc r="AM25">
      <f>Oct!EJ26</f>
    </oc>
    <nc r="AM25">
      <f>Nov!EJ26</f>
    </nc>
  </rcc>
  <rcc rId="920" sId="22">
    <oc r="AN25">
      <f>Oct!EM26</f>
    </oc>
    <nc r="AN25">
      <f>Nov!EM26</f>
    </nc>
  </rcc>
  <rcc rId="921" sId="22">
    <oc r="AJ26">
      <f>Oct!EC27</f>
    </oc>
    <nc r="AJ26">
      <f>Nov!EC27</f>
    </nc>
  </rcc>
  <rcc rId="922" sId="22">
    <oc r="AK26">
      <f>SUM(AH26:AJ26)</f>
    </oc>
    <nc r="AK26">
      <f>SUM(AH26:AJ26)</f>
    </nc>
  </rcc>
  <rcc rId="923" sId="22">
    <oc r="AL26">
      <f>Oct!EG27</f>
    </oc>
    <nc r="AL26">
      <f>Nov!EG27</f>
    </nc>
  </rcc>
  <rcc rId="924" sId="22">
    <oc r="AM26">
      <f>Oct!EJ27</f>
    </oc>
    <nc r="AM26">
      <f>Nov!EJ27</f>
    </nc>
  </rcc>
  <rcc rId="925" sId="22">
    <oc r="AN26">
      <f>Oct!EM27</f>
    </oc>
    <nc r="AN26">
      <f>Nov!EM27</f>
    </nc>
  </rcc>
  <rcc rId="926" sId="22">
    <oc r="AJ27">
      <f>Oct!EC28</f>
    </oc>
    <nc r="AJ27">
      <f>Nov!EC28</f>
    </nc>
  </rcc>
  <rcc rId="927" sId="22">
    <oc r="AK27">
      <f>SUM(AH27:AJ27)</f>
    </oc>
    <nc r="AK27">
      <f>SUM(AH27:AJ27)</f>
    </nc>
  </rcc>
  <rcc rId="928" sId="22">
    <oc r="AL27">
      <f>Oct!EG28</f>
    </oc>
    <nc r="AL27">
      <f>Nov!EG28</f>
    </nc>
  </rcc>
  <rcc rId="929" sId="22">
    <oc r="AM27">
      <f>Oct!EJ28</f>
    </oc>
    <nc r="AM27">
      <f>Nov!EJ28</f>
    </nc>
  </rcc>
  <rcc rId="930" sId="22">
    <oc r="AN27">
      <f>Oct!EM28</f>
    </oc>
    <nc r="AN27">
      <f>Nov!EM28</f>
    </nc>
  </rcc>
  <rcc rId="931" sId="22">
    <oc r="AJ28">
      <f>Oct!EC29</f>
    </oc>
    <nc r="AJ28">
      <f>Nov!EC29</f>
    </nc>
  </rcc>
  <rcc rId="932" sId="22">
    <oc r="AK28">
      <f>SUM(AH28:AJ28)</f>
    </oc>
    <nc r="AK28">
      <f>SUM(AH28:AJ28)</f>
    </nc>
  </rcc>
  <rcc rId="933" sId="22">
    <oc r="AL28">
      <f>Oct!EG29</f>
    </oc>
    <nc r="AL28">
      <f>Nov!EG29</f>
    </nc>
  </rcc>
  <rcc rId="934" sId="22">
    <oc r="AM28">
      <f>Oct!EJ29</f>
    </oc>
    <nc r="AM28">
      <f>Nov!EJ29</f>
    </nc>
  </rcc>
  <rcc rId="935" sId="22">
    <oc r="AN28">
      <f>Oct!EM29</f>
    </oc>
    <nc r="AN28">
      <f>Nov!EM29</f>
    </nc>
  </rcc>
  <rcc rId="936" sId="22">
    <oc r="AJ29">
      <f>Oct!EC30</f>
    </oc>
    <nc r="AJ29">
      <f>Nov!EC30</f>
    </nc>
  </rcc>
  <rcc rId="937" sId="22">
    <oc r="AK29">
      <f>SUM(AH29:AJ29)</f>
    </oc>
    <nc r="AK29">
      <f>SUM(AH29:AJ29)</f>
    </nc>
  </rcc>
  <rcc rId="938" sId="22">
    <oc r="AL29">
      <f>Oct!EG30</f>
    </oc>
    <nc r="AL29">
      <f>Nov!EG30</f>
    </nc>
  </rcc>
  <rcc rId="939" sId="22">
    <oc r="AM29">
      <f>Oct!EJ30</f>
    </oc>
    <nc r="AM29">
      <f>Nov!EJ30</f>
    </nc>
  </rcc>
  <rcc rId="940" sId="22">
    <oc r="AN29">
      <f>Oct!EM30</f>
    </oc>
    <nc r="AN29">
      <f>Nov!EM30</f>
    </nc>
  </rcc>
  <rcc rId="941" sId="22">
    <oc r="AJ30">
      <f>Oct!EC31</f>
    </oc>
    <nc r="AJ30">
      <f>Nov!EC31</f>
    </nc>
  </rcc>
  <rcc rId="942" sId="22">
    <oc r="AK30">
      <f>SUM(AH30:AJ30)</f>
    </oc>
    <nc r="AK30">
      <f>SUM(AH30:AJ30)</f>
    </nc>
  </rcc>
  <rcc rId="943" sId="22">
    <oc r="AL30">
      <f>Oct!EG31</f>
    </oc>
    <nc r="AL30">
      <f>Nov!EG31</f>
    </nc>
  </rcc>
  <rcc rId="944" sId="22">
    <oc r="AM30">
      <f>Oct!EJ31</f>
    </oc>
    <nc r="AM30">
      <f>Nov!EJ31</f>
    </nc>
  </rcc>
  <rcc rId="945" sId="22">
    <oc r="AN30">
      <f>Oct!EM31</f>
    </oc>
    <nc r="AN30">
      <f>Nov!EM31</f>
    </nc>
  </rcc>
  <rcc rId="946" sId="22">
    <oc r="AJ31">
      <f>Oct!EC32</f>
    </oc>
    <nc r="AJ31">
      <f>Nov!EC32</f>
    </nc>
  </rcc>
  <rcc rId="947" sId="22">
    <oc r="AK31">
      <f>SUM(AH31:AJ31)</f>
    </oc>
    <nc r="AK31">
      <f>SUM(AH31:AJ31)</f>
    </nc>
  </rcc>
  <rcc rId="948" sId="22">
    <oc r="AL31">
      <f>Oct!EG32</f>
    </oc>
    <nc r="AL31">
      <f>Nov!EG32</f>
    </nc>
  </rcc>
  <rcc rId="949" sId="22">
    <oc r="AM31">
      <f>Oct!EJ32</f>
    </oc>
    <nc r="AM31">
      <f>Nov!EJ32</f>
    </nc>
  </rcc>
  <rcc rId="950" sId="22">
    <oc r="AN31">
      <f>Oct!EM32</f>
    </oc>
    <nc r="AN31">
      <f>Nov!EM32</f>
    </nc>
  </rcc>
  <rcc rId="951" sId="22">
    <oc r="AJ32">
      <f>Oct!EC33</f>
    </oc>
    <nc r="AJ32">
      <f>Nov!EC33</f>
    </nc>
  </rcc>
  <rcc rId="952" sId="22">
    <oc r="AK32">
      <f>SUM(AH32:AJ32)</f>
    </oc>
    <nc r="AK32">
      <f>SUM(AH32:AJ32)</f>
    </nc>
  </rcc>
  <rcc rId="953" sId="22">
    <oc r="AL32">
      <f>Oct!EG33</f>
    </oc>
    <nc r="AL32">
      <f>Nov!EG33</f>
    </nc>
  </rcc>
  <rcc rId="954" sId="22">
    <oc r="AM32">
      <f>Oct!EJ33</f>
    </oc>
    <nc r="AM32">
      <f>Nov!EJ33</f>
    </nc>
  </rcc>
  <rcc rId="955" sId="22">
    <oc r="AN32">
      <f>Oct!EM33</f>
    </oc>
    <nc r="AN32">
      <f>Nov!EM33</f>
    </nc>
  </rcc>
  <rcc rId="956" sId="22">
    <oc r="AJ33">
      <f>Oct!EC34</f>
    </oc>
    <nc r="AJ33">
      <f>Nov!EC34</f>
    </nc>
  </rcc>
  <rcc rId="957" sId="22">
    <oc r="AK33">
      <f>SUM(AH33:AJ33)</f>
    </oc>
    <nc r="AK33">
      <f>SUM(AH33:AJ33)</f>
    </nc>
  </rcc>
  <rcc rId="958" sId="22">
    <oc r="AL33">
      <f>Oct!EG34</f>
    </oc>
    <nc r="AL33">
      <f>Nov!EG34</f>
    </nc>
  </rcc>
  <rcc rId="959" sId="22">
    <oc r="AM33">
      <f>Oct!EJ34</f>
    </oc>
    <nc r="AM33">
      <f>Nov!EJ34</f>
    </nc>
  </rcc>
  <rcc rId="960" sId="22">
    <oc r="AN33">
      <f>Oct!EM34</f>
    </oc>
    <nc r="AN33">
      <f>Nov!EM34</f>
    </nc>
  </rcc>
  <rcc rId="961" sId="22">
    <oc r="AJ34">
      <f>Oct!EC35</f>
    </oc>
    <nc r="AJ34">
      <f>Nov!EC35</f>
    </nc>
  </rcc>
  <rcc rId="962" sId="22">
    <oc r="AK34">
      <f>SUM(AH34:AJ34)</f>
    </oc>
    <nc r="AK34">
      <f>SUM(AH34:AJ34)</f>
    </nc>
  </rcc>
  <rcc rId="963" sId="22">
    <oc r="AL34">
      <f>Oct!EG35</f>
    </oc>
    <nc r="AL34">
      <f>Nov!EG35</f>
    </nc>
  </rcc>
  <rcc rId="964" sId="22">
    <oc r="AM34">
      <f>Oct!EJ35</f>
    </oc>
    <nc r="AM34">
      <f>Nov!EJ35</f>
    </nc>
  </rcc>
  <rcc rId="965" sId="22">
    <oc r="AN34">
      <f>Oct!EM35</f>
    </oc>
    <nc r="AN34">
      <f>Nov!EM35</f>
    </nc>
  </rcc>
  <rcc rId="966" sId="22">
    <oc r="AJ35">
      <f>Oct!EC36</f>
    </oc>
    <nc r="AJ35">
      <f>Nov!EC36</f>
    </nc>
  </rcc>
  <rcc rId="967" sId="22">
    <oc r="AK35">
      <f>SUM(AH35:AJ35)</f>
    </oc>
    <nc r="AK35">
      <f>SUM(AH35:AJ35)</f>
    </nc>
  </rcc>
  <rcc rId="968" sId="22">
    <oc r="AL35">
      <f>Oct!EG36</f>
    </oc>
    <nc r="AL35">
      <f>Nov!EG36</f>
    </nc>
  </rcc>
  <rcc rId="969" sId="22">
    <oc r="AM35">
      <f>Oct!EJ36</f>
    </oc>
    <nc r="AM35">
      <f>Nov!EJ36</f>
    </nc>
  </rcc>
  <rcc rId="970" sId="22">
    <oc r="AN35">
      <f>Oct!EM36</f>
    </oc>
    <nc r="AN35">
      <f>Nov!EM36</f>
    </nc>
  </rcc>
  <rcc rId="971" sId="22">
    <oc r="AJ36">
      <f>Oct!EC37</f>
    </oc>
    <nc r="AJ36">
      <f>Nov!EC37</f>
    </nc>
  </rcc>
  <rcc rId="972" sId="22">
    <oc r="AK36">
      <f>SUM(AH36:AJ36)</f>
    </oc>
    <nc r="AK36">
      <f>SUM(AH36:AJ36)</f>
    </nc>
  </rcc>
  <rcc rId="973" sId="22">
    <oc r="AL36">
      <f>Oct!EG37</f>
    </oc>
    <nc r="AL36">
      <f>Nov!EG37</f>
    </nc>
  </rcc>
  <rcc rId="974" sId="22">
    <oc r="AM36">
      <f>Oct!EJ37</f>
    </oc>
    <nc r="AM36">
      <f>Nov!EJ37</f>
    </nc>
  </rcc>
  <rcc rId="975" sId="22">
    <oc r="AN36">
      <f>Oct!EM37</f>
    </oc>
    <nc r="AN36">
      <f>Nov!EM37</f>
    </nc>
  </rcc>
  <rcc rId="976" sId="22">
    <oc r="AJ37">
      <f>Oct!EC38</f>
    </oc>
    <nc r="AJ37">
      <f>Nov!EC38</f>
    </nc>
  </rcc>
  <rcc rId="977" sId="22">
    <oc r="AK37">
      <f>SUM(AH37:AJ37)</f>
    </oc>
    <nc r="AK37">
      <f>SUM(AH37:AJ37)</f>
    </nc>
  </rcc>
  <rcc rId="978" sId="22">
    <oc r="AL37">
      <f>Oct!EG38</f>
    </oc>
    <nc r="AL37">
      <f>Nov!EG38</f>
    </nc>
  </rcc>
  <rcc rId="979" sId="22">
    <oc r="AM37">
      <f>Oct!EJ38</f>
    </oc>
    <nc r="AM37">
      <f>Nov!EJ38</f>
    </nc>
  </rcc>
  <rcc rId="980" sId="22">
    <oc r="AN37">
      <f>Oct!EM38</f>
    </oc>
    <nc r="AN37">
      <f>Nov!EM38</f>
    </nc>
  </rcc>
  <rcc rId="981" sId="22">
    <oc r="AM7">
      <f>Oct!EJ8</f>
    </oc>
    <nc r="AM7">
      <f>Nov!EJ8</f>
    </nc>
  </rcc>
  <rcc rId="982" sId="22">
    <oc r="AN7">
      <f>Oct!EM8</f>
    </oc>
    <nc r="AN7">
      <f>Nov!EM8</f>
    </nc>
  </rcc>
  <rcc rId="983" sId="22">
    <oc r="AM8">
      <f>Oct!EJ9</f>
    </oc>
    <nc r="AM8">
      <f>Nov!EJ9</f>
    </nc>
  </rcc>
  <rcc rId="984" sId="22">
    <oc r="AN8">
      <f>Oct!EM9</f>
    </oc>
    <nc r="AN8">
      <f>Nov!EM9</f>
    </nc>
  </rcc>
  <rcc rId="985" sId="22">
    <oc r="AM9">
      <f>Oct!EJ10</f>
    </oc>
    <nc r="AM9">
      <f>Nov!EJ10</f>
    </nc>
  </rcc>
  <rcc rId="986" sId="22">
    <oc r="AN9">
      <f>Oct!EM10</f>
    </oc>
    <nc r="AN9">
      <f>Nov!EM10</f>
    </nc>
  </rcc>
  <rcc rId="987" sId="22">
    <oc r="AP7">
      <f>Oct!FX8</f>
    </oc>
    <nc r="AP7">
      <f>Nov!FX8</f>
    </nc>
  </rcc>
  <rcc rId="988" sId="22">
    <oc r="AQ7">
      <f>Oct!GA8</f>
    </oc>
    <nc r="AQ7">
      <f>Nov!GA8</f>
    </nc>
  </rcc>
  <rcc rId="989" sId="22">
    <oc r="AR7">
      <f>Oct!GG8</f>
    </oc>
    <nc r="AR7">
      <f>Nov!GG8</f>
    </nc>
  </rcc>
  <rcc rId="990" sId="22">
    <oc r="AS7">
      <f>SUM(AP7:AR7)</f>
    </oc>
    <nc r="AS7">
      <f>SUM(AP7:AR7)</f>
    </nc>
  </rcc>
  <rcc rId="991" sId="22">
    <oc r="AT7">
      <f>Oct!EQ8</f>
    </oc>
    <nc r="AT7">
      <f>Nov!EQ8</f>
    </nc>
  </rcc>
  <rcc rId="992" sId="22">
    <oc r="AU7">
      <f>Oct!ET8</f>
    </oc>
    <nc r="AU7">
      <f>Nov!ET8</f>
    </nc>
  </rcc>
  <rcc rId="993" sId="22">
    <oc r="AV7">
      <f>Oct!EW8</f>
    </oc>
    <nc r="AV7">
      <f>Nov!EW8</f>
    </nc>
  </rcc>
  <rcc rId="994" sId="22">
    <oc r="AP8">
      <f>Oct!FX9</f>
    </oc>
    <nc r="AP8">
      <f>Nov!FX9</f>
    </nc>
  </rcc>
  <rcc rId="995" sId="22">
    <oc r="AQ8">
      <f>Oct!GA9</f>
    </oc>
    <nc r="AQ8">
      <f>Nov!GA9</f>
    </nc>
  </rcc>
  <rcc rId="996" sId="22">
    <oc r="AR8">
      <f>Oct!GG9</f>
    </oc>
    <nc r="AR8">
      <f>Nov!GG9</f>
    </nc>
  </rcc>
  <rcc rId="997" sId="22">
    <oc r="AS8">
      <f>SUM(AP8:AR8)</f>
    </oc>
    <nc r="AS8">
      <f>SUM(AP8:AR8)</f>
    </nc>
  </rcc>
  <rcc rId="998" sId="22">
    <oc r="AT8">
      <f>Oct!EQ9</f>
    </oc>
    <nc r="AT8">
      <f>Nov!EQ9</f>
    </nc>
  </rcc>
  <rcc rId="999" sId="22">
    <oc r="AU8">
      <f>Oct!ET9</f>
    </oc>
    <nc r="AU8">
      <f>Nov!ET9</f>
    </nc>
  </rcc>
  <rcc rId="1000" sId="22">
    <oc r="AV8">
      <f>Oct!EW9</f>
    </oc>
    <nc r="AV8">
      <f>Nov!EW9</f>
    </nc>
  </rcc>
  <rcc rId="1001" sId="22">
    <oc r="AW8">
      <f>Oct!FL46</f>
    </oc>
    <nc r="AW8">
      <f>Nov!FL46</f>
    </nc>
  </rcc>
  <rcc rId="1002" sId="22">
    <oc r="AP9">
      <f>Oct!FX10</f>
    </oc>
    <nc r="AP9">
      <f>Nov!FX10</f>
    </nc>
  </rcc>
  <rcc rId="1003" sId="22">
    <oc r="AQ9">
      <f>Oct!GA10</f>
    </oc>
    <nc r="AQ9">
      <f>Nov!GA10</f>
    </nc>
  </rcc>
  <rcc rId="1004" sId="22">
    <oc r="AR9">
      <f>Oct!GG10</f>
    </oc>
    <nc r="AR9">
      <f>Nov!GG10</f>
    </nc>
  </rcc>
  <rcc rId="1005" sId="22">
    <oc r="AS9">
      <f>SUM(AP9:AR9)</f>
    </oc>
    <nc r="AS9">
      <f>SUM(AP9:AR9)</f>
    </nc>
  </rcc>
  <rcc rId="1006" sId="22">
    <oc r="AT9">
      <f>Oct!EQ10</f>
    </oc>
    <nc r="AT9">
      <f>Nov!EQ10</f>
    </nc>
  </rcc>
  <rcc rId="1007" sId="22">
    <oc r="AU9">
      <f>Oct!ET10</f>
    </oc>
    <nc r="AU9">
      <f>Nov!ET10</f>
    </nc>
  </rcc>
  <rcc rId="1008" sId="22">
    <oc r="AV9">
      <f>Oct!EW10</f>
    </oc>
    <nc r="AV9">
      <f>Nov!EW10</f>
    </nc>
  </rcc>
  <rcc rId="1009" sId="22">
    <oc r="AW9">
      <f>Oct!FL47</f>
    </oc>
    <nc r="AW9">
      <f>Nov!FL47</f>
    </nc>
  </rcc>
  <rcc rId="1010" sId="22">
    <oc r="AP10">
      <f>Oct!FX11</f>
    </oc>
    <nc r="AP10">
      <f>Nov!FX11</f>
    </nc>
  </rcc>
  <rcc rId="1011" sId="22">
    <oc r="AQ10">
      <f>Oct!GA11</f>
    </oc>
    <nc r="AQ10">
      <f>Nov!GA11</f>
    </nc>
  </rcc>
  <rcc rId="1012" sId="22">
    <oc r="AR10">
      <f>Oct!GG11</f>
    </oc>
    <nc r="AR10">
      <f>Nov!GG11</f>
    </nc>
  </rcc>
  <rcc rId="1013" sId="22">
    <oc r="AS10">
      <f>SUM(AP10:AR10)</f>
    </oc>
    <nc r="AS10">
      <f>SUM(AP10:AR10)</f>
    </nc>
  </rcc>
  <rcc rId="1014" sId="22">
    <oc r="AT10">
      <f>Oct!EQ11</f>
    </oc>
    <nc r="AT10">
      <f>Nov!EQ11</f>
    </nc>
  </rcc>
  <rcc rId="1015" sId="22">
    <oc r="AU10">
      <f>Oct!ET11</f>
    </oc>
    <nc r="AU10">
      <f>Nov!ET11</f>
    </nc>
  </rcc>
  <rcc rId="1016" sId="22">
    <oc r="AV10">
      <f>Oct!EW11</f>
    </oc>
    <nc r="AV10">
      <f>Nov!EW11</f>
    </nc>
  </rcc>
  <rcc rId="1017" sId="22">
    <oc r="AW10">
      <f>Oct!FL48</f>
    </oc>
    <nc r="AW10">
      <f>Nov!FL48</f>
    </nc>
  </rcc>
  <rcc rId="1018" sId="22">
    <oc r="AP11">
      <f>Oct!FX12</f>
    </oc>
    <nc r="AP11">
      <f>Nov!FX12</f>
    </nc>
  </rcc>
  <rcc rId="1019" sId="22">
    <oc r="AQ11">
      <f>Oct!GA12</f>
    </oc>
    <nc r="AQ11">
      <f>Nov!GA12</f>
    </nc>
  </rcc>
  <rcc rId="1020" sId="22">
    <oc r="AR11">
      <f>Oct!GG12</f>
    </oc>
    <nc r="AR11">
      <f>Nov!GG12</f>
    </nc>
  </rcc>
  <rcc rId="1021" sId="22">
    <oc r="AS11">
      <f>SUM(AP11:AR11)</f>
    </oc>
    <nc r="AS11">
      <f>SUM(AP11:AR11)</f>
    </nc>
  </rcc>
  <rcc rId="1022" sId="22">
    <oc r="AT11">
      <f>Oct!EQ12</f>
    </oc>
    <nc r="AT11">
      <f>Nov!EQ12</f>
    </nc>
  </rcc>
  <rcc rId="1023" sId="22">
    <oc r="AU11">
      <f>Oct!ET12</f>
    </oc>
    <nc r="AU11">
      <f>Nov!ET12</f>
    </nc>
  </rcc>
  <rcc rId="1024" sId="22">
    <oc r="AV11">
      <f>Oct!EW12</f>
    </oc>
    <nc r="AV11">
      <f>Nov!EW12</f>
    </nc>
  </rcc>
  <rcc rId="1025" sId="22">
    <oc r="AW11">
      <f>Oct!FL49</f>
    </oc>
    <nc r="AW11">
      <f>Nov!FL49</f>
    </nc>
  </rcc>
  <rcc rId="1026" sId="22">
    <oc r="AP12">
      <f>Oct!FX13</f>
    </oc>
    <nc r="AP12">
      <f>Nov!FX13</f>
    </nc>
  </rcc>
  <rcc rId="1027" sId="22">
    <oc r="AQ12">
      <f>Oct!GA13</f>
    </oc>
    <nc r="AQ12">
      <f>Nov!GA13</f>
    </nc>
  </rcc>
  <rcc rId="1028" sId="22">
    <oc r="AR12">
      <f>Oct!GG13</f>
    </oc>
    <nc r="AR12">
      <f>Nov!GG13</f>
    </nc>
  </rcc>
  <rcc rId="1029" sId="22">
    <oc r="AS12">
      <f>SUM(AP12:AR12)</f>
    </oc>
    <nc r="AS12">
      <f>SUM(AP12:AR12)</f>
    </nc>
  </rcc>
  <rcc rId="1030" sId="22">
    <oc r="AT12">
      <f>Oct!EQ13</f>
    </oc>
    <nc r="AT12">
      <f>Nov!EQ13</f>
    </nc>
  </rcc>
  <rcc rId="1031" sId="22">
    <oc r="AU12">
      <f>Oct!ET13</f>
    </oc>
    <nc r="AU12">
      <f>Nov!ET13</f>
    </nc>
  </rcc>
  <rcc rId="1032" sId="22">
    <oc r="AV12">
      <f>Oct!EW13</f>
    </oc>
    <nc r="AV12">
      <f>Nov!EW13</f>
    </nc>
  </rcc>
  <rcc rId="1033" sId="22">
    <oc r="AW12">
      <f>Oct!FL50</f>
    </oc>
    <nc r="AW12">
      <f>Nov!FL50</f>
    </nc>
  </rcc>
  <rcc rId="1034" sId="22">
    <oc r="AP13">
      <f>Oct!FX14</f>
    </oc>
    <nc r="AP13">
      <f>Nov!FX14</f>
    </nc>
  </rcc>
  <rcc rId="1035" sId="22">
    <oc r="AQ13">
      <f>Oct!GA14</f>
    </oc>
    <nc r="AQ13">
      <f>Nov!GA14</f>
    </nc>
  </rcc>
  <rcc rId="1036" sId="22">
    <oc r="AR13">
      <f>Oct!GG14</f>
    </oc>
    <nc r="AR13">
      <f>Nov!GG14</f>
    </nc>
  </rcc>
  <rcc rId="1037" sId="22">
    <oc r="AS13">
      <f>SUM(AP13:AR13)</f>
    </oc>
    <nc r="AS13">
      <f>SUM(AP13:AR13)</f>
    </nc>
  </rcc>
  <rcc rId="1038" sId="22">
    <oc r="AT13">
      <f>Oct!EQ14</f>
    </oc>
    <nc r="AT13">
      <f>Nov!EQ14</f>
    </nc>
  </rcc>
  <rcc rId="1039" sId="22">
    <oc r="AU13">
      <f>Oct!ET14</f>
    </oc>
    <nc r="AU13">
      <f>Nov!ET14</f>
    </nc>
  </rcc>
  <rcc rId="1040" sId="22">
    <oc r="AV13">
      <f>Oct!EW14</f>
    </oc>
    <nc r="AV13">
      <f>Nov!EW14</f>
    </nc>
  </rcc>
  <rcc rId="1041" sId="22">
    <oc r="AW13">
      <f>Oct!FL51</f>
    </oc>
    <nc r="AW13">
      <f>Nov!FL51</f>
    </nc>
  </rcc>
  <rcc rId="1042" sId="22">
    <oc r="AP14">
      <f>Oct!FX15</f>
    </oc>
    <nc r="AP14">
      <f>Nov!FX15</f>
    </nc>
  </rcc>
  <rcc rId="1043" sId="22">
    <oc r="AQ14">
      <f>Oct!GA15</f>
    </oc>
    <nc r="AQ14">
      <f>Nov!GA15</f>
    </nc>
  </rcc>
  <rcc rId="1044" sId="22">
    <oc r="AR14">
      <f>Oct!GG15</f>
    </oc>
    <nc r="AR14">
      <f>Nov!GG15</f>
    </nc>
  </rcc>
  <rcc rId="1045" sId="22">
    <oc r="AS14">
      <f>SUM(AP14:AR14)</f>
    </oc>
    <nc r="AS14">
      <f>SUM(AP14:AR14)</f>
    </nc>
  </rcc>
  <rcc rId="1046" sId="22">
    <oc r="AT14">
      <f>Oct!EQ15</f>
    </oc>
    <nc r="AT14">
      <f>Nov!EQ15</f>
    </nc>
  </rcc>
  <rcc rId="1047" sId="22">
    <oc r="AU14">
      <f>Oct!ET15</f>
    </oc>
    <nc r="AU14">
      <f>Nov!ET15</f>
    </nc>
  </rcc>
  <rcc rId="1048" sId="22">
    <oc r="AV14">
      <f>Oct!EW15</f>
    </oc>
    <nc r="AV14">
      <f>Nov!EW15</f>
    </nc>
  </rcc>
  <rcc rId="1049" sId="22">
    <oc r="AW14">
      <f>Oct!FL52</f>
    </oc>
    <nc r="AW14">
      <f>Nov!FL52</f>
    </nc>
  </rcc>
  <rcc rId="1050" sId="22">
    <oc r="AP15">
      <f>Oct!FX16</f>
    </oc>
    <nc r="AP15">
      <f>Nov!FX16</f>
    </nc>
  </rcc>
  <rcc rId="1051" sId="22">
    <oc r="AQ15">
      <f>Oct!GA16</f>
    </oc>
    <nc r="AQ15">
      <f>Nov!GA16</f>
    </nc>
  </rcc>
  <rcc rId="1052" sId="22">
    <oc r="AR15">
      <f>Oct!GG16</f>
    </oc>
    <nc r="AR15">
      <f>Nov!GG16</f>
    </nc>
  </rcc>
  <rcc rId="1053" sId="22">
    <oc r="AS15">
      <f>SUM(AP15:AR15)</f>
    </oc>
    <nc r="AS15">
      <f>SUM(AP15:AR15)</f>
    </nc>
  </rcc>
  <rcc rId="1054" sId="22">
    <oc r="AT15">
      <f>Oct!EQ16</f>
    </oc>
    <nc r="AT15">
      <f>Nov!EQ16</f>
    </nc>
  </rcc>
  <rcc rId="1055" sId="22">
    <oc r="AU15">
      <f>Oct!ET16</f>
    </oc>
    <nc r="AU15">
      <f>Nov!ET16</f>
    </nc>
  </rcc>
  <rcc rId="1056" sId="22">
    <oc r="AV15">
      <f>Oct!EW16</f>
    </oc>
    <nc r="AV15">
      <f>Nov!EW16</f>
    </nc>
  </rcc>
  <rcc rId="1057" sId="22">
    <oc r="AW15">
      <f>Oct!FL53</f>
    </oc>
    <nc r="AW15">
      <f>Nov!FL53</f>
    </nc>
  </rcc>
  <rcc rId="1058" sId="22">
    <oc r="AP16">
      <f>Oct!FX17</f>
    </oc>
    <nc r="AP16">
      <f>Nov!FX17</f>
    </nc>
  </rcc>
  <rcc rId="1059" sId="22">
    <oc r="AQ16">
      <f>Oct!GA17</f>
    </oc>
    <nc r="AQ16">
      <f>Nov!GA17</f>
    </nc>
  </rcc>
  <rcc rId="1060" sId="22">
    <oc r="AR16">
      <f>Oct!GG17</f>
    </oc>
    <nc r="AR16">
      <f>Nov!GG17</f>
    </nc>
  </rcc>
  <rcc rId="1061" sId="22">
    <oc r="AS16">
      <f>SUM(AP16:AR16)</f>
    </oc>
    <nc r="AS16">
      <f>SUM(AP16:AR16)</f>
    </nc>
  </rcc>
  <rcc rId="1062" sId="22">
    <oc r="AT16">
      <f>Oct!EQ17</f>
    </oc>
    <nc r="AT16">
      <f>Nov!EQ17</f>
    </nc>
  </rcc>
  <rcc rId="1063" sId="22">
    <oc r="AU16">
      <f>Oct!ET17</f>
    </oc>
    <nc r="AU16">
      <f>Nov!ET17</f>
    </nc>
  </rcc>
  <rcc rId="1064" sId="22">
    <oc r="AV16">
      <f>Oct!EW17</f>
    </oc>
    <nc r="AV16">
      <f>Nov!EW17</f>
    </nc>
  </rcc>
  <rcc rId="1065" sId="22">
    <oc r="AW16">
      <f>Oct!FL54</f>
    </oc>
    <nc r="AW16">
      <f>Nov!FL54</f>
    </nc>
  </rcc>
  <rcc rId="1066" sId="22">
    <oc r="AP17">
      <f>Oct!FX18</f>
    </oc>
    <nc r="AP17">
      <f>Nov!FX18</f>
    </nc>
  </rcc>
  <rcc rId="1067" sId="22">
    <oc r="AQ17">
      <f>Oct!GA18</f>
    </oc>
    <nc r="AQ17">
      <f>Nov!GA18</f>
    </nc>
  </rcc>
  <rcc rId="1068" sId="22">
    <oc r="AR17">
      <f>Oct!GG18</f>
    </oc>
    <nc r="AR17">
      <f>Nov!GG18</f>
    </nc>
  </rcc>
  <rcc rId="1069" sId="22">
    <oc r="AS17">
      <f>SUM(AP17:AR17)</f>
    </oc>
    <nc r="AS17">
      <f>SUM(AP17:AR17)</f>
    </nc>
  </rcc>
  <rcc rId="1070" sId="22">
    <oc r="AT17">
      <f>Oct!EQ18</f>
    </oc>
    <nc r="AT17">
      <f>Nov!EQ18</f>
    </nc>
  </rcc>
  <rcc rId="1071" sId="22">
    <oc r="AU17">
      <f>Oct!ET18</f>
    </oc>
    <nc r="AU17">
      <f>Nov!ET18</f>
    </nc>
  </rcc>
  <rcc rId="1072" sId="22">
    <oc r="AV17">
      <f>Oct!EW18</f>
    </oc>
    <nc r="AV17">
      <f>Nov!EW18</f>
    </nc>
  </rcc>
  <rcc rId="1073" sId="22">
    <oc r="AW17">
      <f>Oct!FL55</f>
    </oc>
    <nc r="AW17">
      <f>Nov!FL55</f>
    </nc>
  </rcc>
  <rcc rId="1074" sId="22">
    <oc r="AP18">
      <f>Oct!FX19</f>
    </oc>
    <nc r="AP18">
      <f>Nov!FX19</f>
    </nc>
  </rcc>
  <rcc rId="1075" sId="22">
    <oc r="AQ18">
      <f>Oct!GA19</f>
    </oc>
    <nc r="AQ18">
      <f>Nov!GA19</f>
    </nc>
  </rcc>
  <rcc rId="1076" sId="22">
    <oc r="AR18">
      <f>Oct!GG19</f>
    </oc>
    <nc r="AR18">
      <f>Nov!GG19</f>
    </nc>
  </rcc>
  <rcc rId="1077" sId="22">
    <oc r="AS18">
      <f>SUM(AP18:AR18)</f>
    </oc>
    <nc r="AS18">
      <f>SUM(AP18:AR18)</f>
    </nc>
  </rcc>
  <rcc rId="1078" sId="22">
    <oc r="AT18">
      <f>Oct!EQ19</f>
    </oc>
    <nc r="AT18">
      <f>Nov!EQ19</f>
    </nc>
  </rcc>
  <rcc rId="1079" sId="22">
    <oc r="AU18">
      <f>Oct!ET19</f>
    </oc>
    <nc r="AU18">
      <f>Nov!ET19</f>
    </nc>
  </rcc>
  <rcc rId="1080" sId="22">
    <oc r="AV18">
      <f>Oct!EW19</f>
    </oc>
    <nc r="AV18">
      <f>Nov!EW19</f>
    </nc>
  </rcc>
  <rcc rId="1081" sId="22">
    <oc r="AW18">
      <f>Oct!FL56</f>
    </oc>
    <nc r="AW18">
      <f>Nov!FL56</f>
    </nc>
  </rcc>
  <rcc rId="1082" sId="22">
    <oc r="AP19">
      <f>Oct!FX20</f>
    </oc>
    <nc r="AP19">
      <f>Nov!FX20</f>
    </nc>
  </rcc>
  <rcc rId="1083" sId="22">
    <oc r="AQ19">
      <f>Oct!GA20</f>
    </oc>
    <nc r="AQ19">
      <f>Nov!GA20</f>
    </nc>
  </rcc>
  <rcc rId="1084" sId="22">
    <oc r="AR19">
      <f>Oct!GG20</f>
    </oc>
    <nc r="AR19">
      <f>Nov!GG20</f>
    </nc>
  </rcc>
  <rcc rId="1085" sId="22">
    <oc r="AS19">
      <f>SUM(AP19:AR19)</f>
    </oc>
    <nc r="AS19">
      <f>SUM(AP19:AR19)</f>
    </nc>
  </rcc>
  <rcc rId="1086" sId="22">
    <oc r="AT19">
      <f>Oct!EQ20</f>
    </oc>
    <nc r="AT19">
      <f>Nov!EQ20</f>
    </nc>
  </rcc>
  <rcc rId="1087" sId="22">
    <oc r="AU19">
      <f>Oct!ET20</f>
    </oc>
    <nc r="AU19">
      <f>Nov!ET20</f>
    </nc>
  </rcc>
  <rcc rId="1088" sId="22">
    <oc r="AV19">
      <f>Oct!EW20</f>
    </oc>
    <nc r="AV19">
      <f>Nov!EW20</f>
    </nc>
  </rcc>
  <rcc rId="1089" sId="22">
    <oc r="AW19">
      <f>Oct!FL57</f>
    </oc>
    <nc r="AW19">
      <f>Nov!FL57</f>
    </nc>
  </rcc>
  <rcc rId="1090" sId="22">
    <oc r="AP20">
      <f>Oct!FX21</f>
    </oc>
    <nc r="AP20">
      <f>Nov!FX21</f>
    </nc>
  </rcc>
  <rcc rId="1091" sId="22">
    <oc r="AQ20">
      <f>Oct!GA21</f>
    </oc>
    <nc r="AQ20">
      <f>Nov!GA21</f>
    </nc>
  </rcc>
  <rcc rId="1092" sId="22">
    <oc r="AR20">
      <f>Oct!GG21</f>
    </oc>
    <nc r="AR20">
      <f>Nov!GG21</f>
    </nc>
  </rcc>
  <rcc rId="1093" sId="22">
    <oc r="AS20">
      <f>SUM(AP20:AR20)</f>
    </oc>
    <nc r="AS20">
      <f>SUM(AP20:AR20)</f>
    </nc>
  </rcc>
  <rcc rId="1094" sId="22">
    <oc r="AT20">
      <f>Oct!EQ21</f>
    </oc>
    <nc r="AT20">
      <f>Nov!EQ21</f>
    </nc>
  </rcc>
  <rcc rId="1095" sId="22">
    <oc r="AU20">
      <f>Oct!ET21</f>
    </oc>
    <nc r="AU20">
      <f>Nov!ET21</f>
    </nc>
  </rcc>
  <rcc rId="1096" sId="22">
    <oc r="AV20">
      <f>Oct!EW21</f>
    </oc>
    <nc r="AV20">
      <f>Nov!EW21</f>
    </nc>
  </rcc>
  <rcc rId="1097" sId="22">
    <oc r="AW20">
      <f>Oct!FL58</f>
    </oc>
    <nc r="AW20">
      <f>Nov!FL58</f>
    </nc>
  </rcc>
  <rcc rId="1098" sId="22">
    <oc r="AP21">
      <f>Oct!FX22</f>
    </oc>
    <nc r="AP21">
      <f>Nov!FX22</f>
    </nc>
  </rcc>
  <rcc rId="1099" sId="22">
    <oc r="AQ21">
      <f>Oct!GA22</f>
    </oc>
    <nc r="AQ21">
      <f>Nov!GA22</f>
    </nc>
  </rcc>
  <rcc rId="1100" sId="22">
    <oc r="AR21">
      <f>Oct!GG22</f>
    </oc>
    <nc r="AR21">
      <f>Nov!GG22</f>
    </nc>
  </rcc>
  <rcc rId="1101" sId="22">
    <oc r="AS21">
      <f>SUM(AP21:AR21)</f>
    </oc>
    <nc r="AS21">
      <f>SUM(AP21:AR21)</f>
    </nc>
  </rcc>
  <rcc rId="1102" sId="22">
    <oc r="AT21">
      <f>Oct!EQ22</f>
    </oc>
    <nc r="AT21">
      <f>Nov!EQ22</f>
    </nc>
  </rcc>
  <rcc rId="1103" sId="22">
    <oc r="AU21">
      <f>Oct!ET22</f>
    </oc>
    <nc r="AU21">
      <f>Nov!ET22</f>
    </nc>
  </rcc>
  <rcc rId="1104" sId="22">
    <oc r="AV21">
      <f>Oct!EW22</f>
    </oc>
    <nc r="AV21">
      <f>Nov!EW22</f>
    </nc>
  </rcc>
  <rcc rId="1105" sId="22">
    <oc r="AW21">
      <f>Oct!FL59</f>
    </oc>
    <nc r="AW21">
      <f>Nov!FL59</f>
    </nc>
  </rcc>
  <rcc rId="1106" sId="22">
    <oc r="AP22">
      <f>Oct!FX23</f>
    </oc>
    <nc r="AP22">
      <f>Nov!FX23</f>
    </nc>
  </rcc>
  <rcc rId="1107" sId="22">
    <oc r="AQ22">
      <f>Oct!GA23</f>
    </oc>
    <nc r="AQ22">
      <f>Nov!GA23</f>
    </nc>
  </rcc>
  <rcc rId="1108" sId="22">
    <oc r="AR22">
      <f>Oct!GG23</f>
    </oc>
    <nc r="AR22">
      <f>Nov!GG23</f>
    </nc>
  </rcc>
  <rcc rId="1109" sId="22">
    <oc r="AS22">
      <f>SUM(AP22:AR22)</f>
    </oc>
    <nc r="AS22">
      <f>SUM(AP22:AR22)</f>
    </nc>
  </rcc>
  <rcc rId="1110" sId="22">
    <oc r="AT22">
      <f>Oct!EQ23</f>
    </oc>
    <nc r="AT22">
      <f>Nov!EQ23</f>
    </nc>
  </rcc>
  <rcc rId="1111" sId="22">
    <oc r="AU22">
      <f>Oct!ET23</f>
    </oc>
    <nc r="AU22">
      <f>Nov!ET23</f>
    </nc>
  </rcc>
  <rcc rId="1112" sId="22">
    <oc r="AV22">
      <f>Oct!EW23</f>
    </oc>
    <nc r="AV22">
      <f>Nov!EW23</f>
    </nc>
  </rcc>
  <rcc rId="1113" sId="22">
    <oc r="AW22">
      <f>Oct!FL60</f>
    </oc>
    <nc r="AW22">
      <f>Nov!FL60</f>
    </nc>
  </rcc>
  <rcc rId="1114" sId="22">
    <oc r="AP23">
      <f>Oct!FX24</f>
    </oc>
    <nc r="AP23">
      <f>Nov!FX24</f>
    </nc>
  </rcc>
  <rcc rId="1115" sId="22">
    <oc r="AQ23">
      <f>Oct!GA24</f>
    </oc>
    <nc r="AQ23">
      <f>Nov!GA24</f>
    </nc>
  </rcc>
  <rcc rId="1116" sId="22">
    <oc r="AR23">
      <f>Oct!GG24</f>
    </oc>
    <nc r="AR23">
      <f>Nov!GG24</f>
    </nc>
  </rcc>
  <rcc rId="1117" sId="22">
    <oc r="AS23">
      <f>SUM(AP23:AR23)</f>
    </oc>
    <nc r="AS23">
      <f>SUM(AP23:AR23)</f>
    </nc>
  </rcc>
  <rcc rId="1118" sId="22">
    <oc r="AT23">
      <f>Oct!EQ24</f>
    </oc>
    <nc r="AT23">
      <f>Nov!EQ24</f>
    </nc>
  </rcc>
  <rcc rId="1119" sId="22">
    <oc r="AU23">
      <f>Oct!ET24</f>
    </oc>
    <nc r="AU23">
      <f>Nov!ET24</f>
    </nc>
  </rcc>
  <rcc rId="1120" sId="22">
    <oc r="AV23">
      <f>Oct!EW24</f>
    </oc>
    <nc r="AV23">
      <f>Nov!EW24</f>
    </nc>
  </rcc>
  <rcc rId="1121" sId="22">
    <oc r="AW23">
      <f>Oct!FL61</f>
    </oc>
    <nc r="AW23">
      <f>Nov!FL61</f>
    </nc>
  </rcc>
  <rcc rId="1122" sId="22">
    <oc r="AP24">
      <f>Oct!FX25</f>
    </oc>
    <nc r="AP24">
      <f>Nov!FX25</f>
    </nc>
  </rcc>
  <rcc rId="1123" sId="22">
    <oc r="AQ24">
      <f>Oct!GA25</f>
    </oc>
    <nc r="AQ24">
      <f>Nov!GA25</f>
    </nc>
  </rcc>
  <rcc rId="1124" sId="22">
    <oc r="AR24">
      <f>Oct!GG25</f>
    </oc>
    <nc r="AR24">
      <f>Nov!GG25</f>
    </nc>
  </rcc>
  <rcc rId="1125" sId="22">
    <oc r="AS24">
      <f>SUM(AP24:AR24)</f>
    </oc>
    <nc r="AS24">
      <f>SUM(AP24:AR24)</f>
    </nc>
  </rcc>
  <rcc rId="1126" sId="22">
    <oc r="AT24">
      <f>Oct!EQ25</f>
    </oc>
    <nc r="AT24">
      <f>Nov!EQ25</f>
    </nc>
  </rcc>
  <rcc rId="1127" sId="22">
    <oc r="AU24">
      <f>Oct!ET25</f>
    </oc>
    <nc r="AU24">
      <f>Nov!ET25</f>
    </nc>
  </rcc>
  <rcc rId="1128" sId="22">
    <oc r="AV24">
      <f>Oct!EW25</f>
    </oc>
    <nc r="AV24">
      <f>Nov!EW25</f>
    </nc>
  </rcc>
  <rcc rId="1129" sId="22">
    <oc r="AW24">
      <f>Oct!FL62</f>
    </oc>
    <nc r="AW24">
      <f>Nov!FL62</f>
    </nc>
  </rcc>
  <rcc rId="1130" sId="22">
    <oc r="AP25">
      <f>Oct!FX26</f>
    </oc>
    <nc r="AP25">
      <f>Nov!FX26</f>
    </nc>
  </rcc>
  <rcc rId="1131" sId="22">
    <oc r="AQ25">
      <f>Oct!GA26</f>
    </oc>
    <nc r="AQ25">
      <f>Nov!GA26</f>
    </nc>
  </rcc>
  <rcc rId="1132" sId="22">
    <oc r="AR25">
      <f>Oct!GG26</f>
    </oc>
    <nc r="AR25">
      <f>Nov!GG26</f>
    </nc>
  </rcc>
  <rcc rId="1133" sId="22">
    <oc r="AS25">
      <f>SUM(AP25:AR25)</f>
    </oc>
    <nc r="AS25">
      <f>SUM(AP25:AR25)</f>
    </nc>
  </rcc>
  <rcc rId="1134" sId="22">
    <oc r="AT25">
      <f>Oct!EQ26</f>
    </oc>
    <nc r="AT25">
      <f>Nov!EQ26</f>
    </nc>
  </rcc>
  <rcc rId="1135" sId="22">
    <oc r="AU25">
      <f>Oct!ET26</f>
    </oc>
    <nc r="AU25">
      <f>Nov!ET26</f>
    </nc>
  </rcc>
  <rcc rId="1136" sId="22">
    <oc r="AV25">
      <f>Oct!EW26</f>
    </oc>
    <nc r="AV25">
      <f>Nov!EW26</f>
    </nc>
  </rcc>
  <rcc rId="1137" sId="22">
    <oc r="AW25">
      <f>Oct!FL63</f>
    </oc>
    <nc r="AW25">
      <f>Nov!FL63</f>
    </nc>
  </rcc>
  <rcc rId="1138" sId="22">
    <oc r="AP26">
      <f>Oct!FX27</f>
    </oc>
    <nc r="AP26">
      <f>Nov!FX27</f>
    </nc>
  </rcc>
  <rcc rId="1139" sId="22">
    <oc r="AQ26">
      <f>Oct!GA27</f>
    </oc>
    <nc r="AQ26">
      <f>Nov!GA27</f>
    </nc>
  </rcc>
  <rcc rId="1140" sId="22">
    <oc r="AR26">
      <f>Oct!GG27</f>
    </oc>
    <nc r="AR26">
      <f>Nov!GG27</f>
    </nc>
  </rcc>
  <rcc rId="1141" sId="22">
    <oc r="AS26">
      <f>SUM(AP26:AR26)</f>
    </oc>
    <nc r="AS26">
      <f>SUM(AP26:AR26)</f>
    </nc>
  </rcc>
  <rcc rId="1142" sId="22">
    <oc r="AT26">
      <f>Oct!EQ27</f>
    </oc>
    <nc r="AT26">
      <f>Nov!EQ27</f>
    </nc>
  </rcc>
  <rcc rId="1143" sId="22">
    <oc r="AU26">
      <f>Oct!ET27</f>
    </oc>
    <nc r="AU26">
      <f>Nov!ET27</f>
    </nc>
  </rcc>
  <rcc rId="1144" sId="22">
    <oc r="AV26">
      <f>Oct!EW27</f>
    </oc>
    <nc r="AV26">
      <f>Nov!EW27</f>
    </nc>
  </rcc>
  <rcc rId="1145" sId="22">
    <oc r="AW26">
      <f>Oct!FL64</f>
    </oc>
    <nc r="AW26">
      <f>Nov!FL64</f>
    </nc>
  </rcc>
  <rcc rId="1146" sId="22">
    <oc r="AP27">
      <f>Oct!FX28</f>
    </oc>
    <nc r="AP27">
      <f>Nov!FX28</f>
    </nc>
  </rcc>
  <rcc rId="1147" sId="22">
    <oc r="AQ27">
      <f>Oct!GA28</f>
    </oc>
    <nc r="AQ27">
      <f>Nov!GA28</f>
    </nc>
  </rcc>
  <rcc rId="1148" sId="22">
    <oc r="AR27">
      <f>Oct!GG28</f>
    </oc>
    <nc r="AR27">
      <f>Nov!GG28</f>
    </nc>
  </rcc>
  <rcc rId="1149" sId="22">
    <oc r="AS27">
      <f>SUM(AP27:AR27)</f>
    </oc>
    <nc r="AS27">
      <f>SUM(AP27:AR27)</f>
    </nc>
  </rcc>
  <rcc rId="1150" sId="22">
    <oc r="AT27">
      <f>Oct!EQ28</f>
    </oc>
    <nc r="AT27">
      <f>Nov!EQ28</f>
    </nc>
  </rcc>
  <rcc rId="1151" sId="22">
    <oc r="AU27">
      <f>Oct!ET28</f>
    </oc>
    <nc r="AU27">
      <f>Nov!ET28</f>
    </nc>
  </rcc>
  <rcc rId="1152" sId="22">
    <oc r="AV27">
      <f>Oct!EW28</f>
    </oc>
    <nc r="AV27">
      <f>Nov!EW28</f>
    </nc>
  </rcc>
  <rcc rId="1153" sId="22">
    <oc r="AW27">
      <f>Oct!FL65</f>
    </oc>
    <nc r="AW27">
      <f>Nov!FL65</f>
    </nc>
  </rcc>
  <rcc rId="1154" sId="22">
    <oc r="AP28">
      <f>Oct!FX29</f>
    </oc>
    <nc r="AP28">
      <f>Nov!FX29</f>
    </nc>
  </rcc>
  <rcc rId="1155" sId="22">
    <oc r="AQ28">
      <f>Oct!GA29</f>
    </oc>
    <nc r="AQ28">
      <f>Nov!GA29</f>
    </nc>
  </rcc>
  <rcc rId="1156" sId="22">
    <oc r="AR28">
      <f>Oct!GG29</f>
    </oc>
    <nc r="AR28">
      <f>Nov!GG29</f>
    </nc>
  </rcc>
  <rcc rId="1157" sId="22">
    <oc r="AS28">
      <f>SUM(AP28:AR28)</f>
    </oc>
    <nc r="AS28">
      <f>SUM(AP28:AR28)</f>
    </nc>
  </rcc>
  <rcc rId="1158" sId="22">
    <oc r="AT28">
      <f>Oct!EQ29</f>
    </oc>
    <nc r="AT28">
      <f>Nov!EQ29</f>
    </nc>
  </rcc>
  <rcc rId="1159" sId="22">
    <oc r="AU28">
      <f>Oct!ET29</f>
    </oc>
    <nc r="AU28">
      <f>Nov!ET29</f>
    </nc>
  </rcc>
  <rcc rId="1160" sId="22">
    <oc r="AV28">
      <f>Oct!EW29</f>
    </oc>
    <nc r="AV28">
      <f>Nov!EW29</f>
    </nc>
  </rcc>
  <rcc rId="1161" sId="22">
    <oc r="AW28">
      <f>Oct!FL66</f>
    </oc>
    <nc r="AW28">
      <f>Nov!FL66</f>
    </nc>
  </rcc>
  <rcc rId="1162" sId="22">
    <oc r="AP29">
      <f>Oct!FX30</f>
    </oc>
    <nc r="AP29">
      <f>Nov!FX30</f>
    </nc>
  </rcc>
  <rcc rId="1163" sId="22">
    <oc r="AQ29">
      <f>Oct!GA30</f>
    </oc>
    <nc r="AQ29">
      <f>Nov!GA30</f>
    </nc>
  </rcc>
  <rcc rId="1164" sId="22">
    <oc r="AR29">
      <f>Oct!GG30</f>
    </oc>
    <nc r="AR29">
      <f>Nov!GG30</f>
    </nc>
  </rcc>
  <rcc rId="1165" sId="22">
    <oc r="AS29">
      <f>SUM(AP29:AR29)</f>
    </oc>
    <nc r="AS29">
      <f>SUM(AP29:AR29)</f>
    </nc>
  </rcc>
  <rcc rId="1166" sId="22">
    <oc r="AT29">
      <f>Oct!EQ30</f>
    </oc>
    <nc r="AT29">
      <f>Nov!EQ30</f>
    </nc>
  </rcc>
  <rcc rId="1167" sId="22">
    <oc r="AU29">
      <f>Oct!ET30</f>
    </oc>
    <nc r="AU29">
      <f>Nov!ET30</f>
    </nc>
  </rcc>
  <rcc rId="1168" sId="22">
    <oc r="AV29">
      <f>Oct!EW30</f>
    </oc>
    <nc r="AV29">
      <f>Nov!EW30</f>
    </nc>
  </rcc>
  <rcc rId="1169" sId="22">
    <oc r="AW29">
      <f>Oct!FL67</f>
    </oc>
    <nc r="AW29">
      <f>Nov!FL67</f>
    </nc>
  </rcc>
  <rcc rId="1170" sId="22">
    <oc r="AP30">
      <f>Oct!FX31</f>
    </oc>
    <nc r="AP30">
      <f>Nov!FX31</f>
    </nc>
  </rcc>
  <rcc rId="1171" sId="22">
    <oc r="AQ30">
      <f>Oct!GA31</f>
    </oc>
    <nc r="AQ30">
      <f>Nov!GA31</f>
    </nc>
  </rcc>
  <rcc rId="1172" sId="22">
    <oc r="AR30">
      <f>Oct!GG31</f>
    </oc>
    <nc r="AR30">
      <f>Nov!GG31</f>
    </nc>
  </rcc>
  <rcc rId="1173" sId="22">
    <oc r="AS30">
      <f>SUM(AP30:AR30)</f>
    </oc>
    <nc r="AS30">
      <f>SUM(AP30:AR30)</f>
    </nc>
  </rcc>
  <rcc rId="1174" sId="22">
    <oc r="AT30">
      <f>Oct!EQ31</f>
    </oc>
    <nc r="AT30">
      <f>Nov!EQ31</f>
    </nc>
  </rcc>
  <rcc rId="1175" sId="22">
    <oc r="AU30">
      <f>Oct!ET31</f>
    </oc>
    <nc r="AU30">
      <f>Nov!ET31</f>
    </nc>
  </rcc>
  <rcc rId="1176" sId="22">
    <oc r="AV30">
      <f>Oct!EW31</f>
    </oc>
    <nc r="AV30">
      <f>Nov!EW31</f>
    </nc>
  </rcc>
  <rcc rId="1177" sId="22">
    <oc r="AW30">
      <f>Oct!FL68</f>
    </oc>
    <nc r="AW30">
      <f>Nov!FL68</f>
    </nc>
  </rcc>
  <rcc rId="1178" sId="22">
    <oc r="AP31">
      <f>Oct!FX32</f>
    </oc>
    <nc r="AP31">
      <f>Nov!FX32</f>
    </nc>
  </rcc>
  <rcc rId="1179" sId="22">
    <oc r="AQ31">
      <f>Oct!GA32</f>
    </oc>
    <nc r="AQ31">
      <f>Nov!GA32</f>
    </nc>
  </rcc>
  <rcc rId="1180" sId="22">
    <oc r="AR31">
      <f>Oct!GG32</f>
    </oc>
    <nc r="AR31">
      <f>Nov!GG32</f>
    </nc>
  </rcc>
  <rcc rId="1181" sId="22">
    <oc r="AS31">
      <f>SUM(AP31:AR31)</f>
    </oc>
    <nc r="AS31">
      <f>SUM(AP31:AR31)</f>
    </nc>
  </rcc>
  <rcc rId="1182" sId="22">
    <oc r="AT31">
      <f>Oct!EQ32</f>
    </oc>
    <nc r="AT31">
      <f>Nov!EQ32</f>
    </nc>
  </rcc>
  <rcc rId="1183" sId="22">
    <oc r="AU31">
      <f>Oct!ET32</f>
    </oc>
    <nc r="AU31">
      <f>Nov!ET32</f>
    </nc>
  </rcc>
  <rcc rId="1184" sId="22">
    <oc r="AV31">
      <f>Oct!EW32</f>
    </oc>
    <nc r="AV31">
      <f>Nov!EW32</f>
    </nc>
  </rcc>
  <rcc rId="1185" sId="22">
    <oc r="AW31">
      <f>Oct!FL69</f>
    </oc>
    <nc r="AW31">
      <f>Nov!FL69</f>
    </nc>
  </rcc>
  <rcc rId="1186" sId="22">
    <oc r="AP32">
      <f>Oct!FX33</f>
    </oc>
    <nc r="AP32">
      <f>Nov!FX33</f>
    </nc>
  </rcc>
  <rcc rId="1187" sId="22">
    <oc r="AQ32">
      <f>Oct!GA33</f>
    </oc>
    <nc r="AQ32">
      <f>Nov!GA33</f>
    </nc>
  </rcc>
  <rcc rId="1188" sId="22">
    <oc r="AR32">
      <f>Oct!GG33</f>
    </oc>
    <nc r="AR32">
      <f>Nov!GG33</f>
    </nc>
  </rcc>
  <rcc rId="1189" sId="22">
    <oc r="AS32">
      <f>SUM(AP32:AR32)</f>
    </oc>
    <nc r="AS32">
      <f>SUM(AP32:AR32)</f>
    </nc>
  </rcc>
  <rcc rId="1190" sId="22">
    <oc r="AT32">
      <f>Oct!EQ33</f>
    </oc>
    <nc r="AT32">
      <f>Nov!EQ33</f>
    </nc>
  </rcc>
  <rcc rId="1191" sId="22">
    <oc r="AU32">
      <f>Oct!ET33</f>
    </oc>
    <nc r="AU32">
      <f>Nov!ET33</f>
    </nc>
  </rcc>
  <rcc rId="1192" sId="22">
    <oc r="AV32">
      <f>Oct!EW33</f>
    </oc>
    <nc r="AV32">
      <f>Nov!EW33</f>
    </nc>
  </rcc>
  <rcc rId="1193" sId="22">
    <oc r="AW32">
      <f>Oct!FL70</f>
    </oc>
    <nc r="AW32">
      <f>Nov!FL70</f>
    </nc>
  </rcc>
  <rcc rId="1194" sId="22">
    <oc r="AP33">
      <f>Oct!FX34</f>
    </oc>
    <nc r="AP33">
      <f>Nov!FX34</f>
    </nc>
  </rcc>
  <rcc rId="1195" sId="22">
    <oc r="AQ33">
      <f>Oct!GA34</f>
    </oc>
    <nc r="AQ33">
      <f>Nov!GA34</f>
    </nc>
  </rcc>
  <rcc rId="1196" sId="22">
    <oc r="AR33">
      <f>Oct!GG34</f>
    </oc>
    <nc r="AR33">
      <f>Nov!GG34</f>
    </nc>
  </rcc>
  <rcc rId="1197" sId="22">
    <oc r="AS33">
      <f>SUM(AP33:AR33)</f>
    </oc>
    <nc r="AS33">
      <f>SUM(AP33:AR33)</f>
    </nc>
  </rcc>
  <rcc rId="1198" sId="22">
    <oc r="AT33">
      <f>Oct!EQ34</f>
    </oc>
    <nc r="AT33">
      <f>Nov!EQ34</f>
    </nc>
  </rcc>
  <rcc rId="1199" sId="22">
    <oc r="AU33">
      <f>Oct!ET34</f>
    </oc>
    <nc r="AU33">
      <f>Nov!ET34</f>
    </nc>
  </rcc>
  <rcc rId="1200" sId="22">
    <oc r="AV33">
      <f>Oct!EW34</f>
    </oc>
    <nc r="AV33">
      <f>Nov!EW34</f>
    </nc>
  </rcc>
  <rcc rId="1201" sId="22">
    <oc r="AW33">
      <f>Oct!FL71</f>
    </oc>
    <nc r="AW33">
      <f>Nov!FL71</f>
    </nc>
  </rcc>
  <rcc rId="1202" sId="22">
    <oc r="AP34">
      <f>Oct!FX35</f>
    </oc>
    <nc r="AP34">
      <f>Nov!FX35</f>
    </nc>
  </rcc>
  <rcc rId="1203" sId="22">
    <oc r="AQ34">
      <f>Oct!GA35</f>
    </oc>
    <nc r="AQ34">
      <f>Nov!GA35</f>
    </nc>
  </rcc>
  <rcc rId="1204" sId="22">
    <oc r="AR34">
      <f>Oct!GG35</f>
    </oc>
    <nc r="AR34">
      <f>Nov!GG35</f>
    </nc>
  </rcc>
  <rcc rId="1205" sId="22">
    <oc r="AS34">
      <f>SUM(AP34:AR34)</f>
    </oc>
    <nc r="AS34">
      <f>SUM(AP34:AR34)</f>
    </nc>
  </rcc>
  <rcc rId="1206" sId="22">
    <oc r="AT34">
      <f>Oct!EQ35</f>
    </oc>
    <nc r="AT34">
      <f>Nov!EQ35</f>
    </nc>
  </rcc>
  <rcc rId="1207" sId="22">
    <oc r="AU34">
      <f>Oct!ET35</f>
    </oc>
    <nc r="AU34">
      <f>Nov!ET35</f>
    </nc>
  </rcc>
  <rcc rId="1208" sId="22">
    <oc r="AV34">
      <f>Oct!EW35</f>
    </oc>
    <nc r="AV34">
      <f>Nov!EW35</f>
    </nc>
  </rcc>
  <rcc rId="1209" sId="22">
    <oc r="AW34">
      <f>Oct!FL72</f>
    </oc>
    <nc r="AW34">
      <f>Nov!FL72</f>
    </nc>
  </rcc>
  <rcc rId="1210" sId="22">
    <oc r="AP35">
      <f>Oct!FX36</f>
    </oc>
    <nc r="AP35">
      <f>Nov!FX36</f>
    </nc>
  </rcc>
  <rcc rId="1211" sId="22">
    <oc r="AQ35">
      <f>Oct!GA36</f>
    </oc>
    <nc r="AQ35">
      <f>Nov!GA36</f>
    </nc>
  </rcc>
  <rcc rId="1212" sId="22">
    <oc r="AR35">
      <f>Oct!GG36</f>
    </oc>
    <nc r="AR35">
      <f>Nov!GG36</f>
    </nc>
  </rcc>
  <rcc rId="1213" sId="22">
    <oc r="AS35">
      <f>SUM(AP35:AR35)</f>
    </oc>
    <nc r="AS35">
      <f>SUM(AP35:AR35)</f>
    </nc>
  </rcc>
  <rcc rId="1214" sId="22">
    <oc r="AT35">
      <f>Oct!EQ36</f>
    </oc>
    <nc r="AT35">
      <f>Nov!EQ36</f>
    </nc>
  </rcc>
  <rcc rId="1215" sId="22">
    <oc r="AU35">
      <f>Oct!ET36</f>
    </oc>
    <nc r="AU35">
      <f>Nov!ET36</f>
    </nc>
  </rcc>
  <rcc rId="1216" sId="22">
    <oc r="AV35">
      <f>Oct!EW36</f>
    </oc>
    <nc r="AV35">
      <f>Nov!EW36</f>
    </nc>
  </rcc>
  <rcc rId="1217" sId="22">
    <oc r="AW35">
      <f>Oct!FL73</f>
    </oc>
    <nc r="AW35">
      <f>Nov!FL73</f>
    </nc>
  </rcc>
  <rcc rId="1218" sId="22">
    <oc r="AP36">
      <f>Oct!FX37</f>
    </oc>
    <nc r="AP36">
      <f>Nov!FX37</f>
    </nc>
  </rcc>
  <rcc rId="1219" sId="22">
    <oc r="AQ36">
      <f>Oct!GA37</f>
    </oc>
    <nc r="AQ36">
      <f>Nov!GA37</f>
    </nc>
  </rcc>
  <rcc rId="1220" sId="22">
    <oc r="AR36">
      <f>Oct!GG37</f>
    </oc>
    <nc r="AR36">
      <f>Nov!GG37</f>
    </nc>
  </rcc>
  <rcc rId="1221" sId="22">
    <oc r="AS36">
      <f>SUM(AP36:AR36)</f>
    </oc>
    <nc r="AS36">
      <f>SUM(AP36:AR36)</f>
    </nc>
  </rcc>
  <rcc rId="1222" sId="22">
    <oc r="AT36">
      <f>Oct!EQ37</f>
    </oc>
    <nc r="AT36">
      <f>Nov!EQ37</f>
    </nc>
  </rcc>
  <rcc rId="1223" sId="22">
    <oc r="AU36">
      <f>Oct!ET37</f>
    </oc>
    <nc r="AU36">
      <f>Nov!ET37</f>
    </nc>
  </rcc>
  <rcc rId="1224" sId="22">
    <oc r="AV36">
      <f>Oct!EW37</f>
    </oc>
    <nc r="AV36">
      <f>Nov!EW37</f>
    </nc>
  </rcc>
  <rcc rId="1225" sId="22">
    <oc r="AW36">
      <f>Oct!FL74</f>
    </oc>
    <nc r="AW36">
      <f>Nov!FL74</f>
    </nc>
  </rcc>
  <rcc rId="1226" sId="22">
    <oc r="AP37">
      <f>Oct!FX38</f>
    </oc>
    <nc r="AP37">
      <f>Nov!FX38</f>
    </nc>
  </rcc>
  <rcc rId="1227" sId="22">
    <oc r="AQ37">
      <f>Oct!GA38</f>
    </oc>
    <nc r="AQ37">
      <f>Nov!GA38</f>
    </nc>
  </rcc>
  <rcc rId="1228" sId="22">
    <oc r="AR37">
      <f>Oct!GG38</f>
    </oc>
    <nc r="AR37">
      <f>Nov!GG38</f>
    </nc>
  </rcc>
  <rcc rId="1229" sId="22">
    <oc r="AS37">
      <f>SUM(AP37:AR37)</f>
    </oc>
    <nc r="AS37">
      <f>SUM(AP37:AR37)</f>
    </nc>
  </rcc>
  <rcc rId="1230" sId="22">
    <oc r="AT37">
      <f>Oct!EQ38</f>
    </oc>
    <nc r="AT37">
      <f>Nov!EQ38</f>
    </nc>
  </rcc>
  <rcc rId="1231" sId="22">
    <oc r="AU37">
      <f>Oct!ET38</f>
    </oc>
    <nc r="AU37">
      <f>Nov!ET38</f>
    </nc>
  </rcc>
  <rcc rId="1232" sId="22">
    <oc r="AV37">
      <f>Oct!EW38</f>
    </oc>
    <nc r="AV37">
      <f>Nov!EW38</f>
    </nc>
  </rcc>
  <rcc rId="1233" sId="22">
    <oc r="AW37">
      <f>Oct!FL75</f>
    </oc>
    <nc r="AW37">
      <f>Nov!FL75</f>
    </nc>
  </rcc>
  <rcc rId="1234" sId="22">
    <oc r="AW7">
      <f>Oct!FL45</f>
    </oc>
    <nc r="AW7">
      <f>Nov!FL46</f>
    </nc>
  </rcc>
  <rcc rId="1235" sId="22">
    <oc r="AX7">
      <f>Oct!GJ8</f>
    </oc>
    <nc r="AX7">
      <f>Nov!GJ8</f>
    </nc>
  </rcc>
  <rcc rId="1236" sId="22">
    <oc r="AZ7">
      <f>Oct!FG8</f>
    </oc>
    <nc r="AZ7">
      <f>Nov!FG8</f>
    </nc>
  </rcc>
  <rcc rId="1237" sId="22">
    <oc r="BA7">
      <f>Oct!FJ8</f>
    </oc>
    <nc r="BA7">
      <f>Nov!FJ8</f>
    </nc>
  </rcc>
  <rcc rId="1238" sId="22">
    <oc r="BC7">
      <f>Oct!GM8</f>
    </oc>
    <nc r="BC7">
      <f>Nov!GM8</f>
    </nc>
  </rcc>
  <rcc rId="1239" sId="22">
    <oc r="BB7">
      <f>Oct!FM45</f>
    </oc>
    <nc r="BB7">
      <f>Nov!FM46</f>
    </nc>
  </rcc>
  <rcc rId="1240" sId="22">
    <oc r="AX8">
      <f>Oct!GJ9</f>
    </oc>
    <nc r="AX8">
      <f>Nov!GJ9</f>
    </nc>
  </rcc>
  <rcc rId="1241" sId="22">
    <oc r="AY8">
      <f>SUM(AT8:AX8)</f>
    </oc>
    <nc r="AY8">
      <f>SUM(AT8:AX8)</f>
    </nc>
  </rcc>
  <rcc rId="1242" sId="22">
    <oc r="AZ8">
      <f>Oct!FG9</f>
    </oc>
    <nc r="AZ8">
      <f>Nov!FG9</f>
    </nc>
  </rcc>
  <rcc rId="1243" sId="22">
    <oc r="BA8">
      <f>Oct!FJ9</f>
    </oc>
    <nc r="BA8">
      <f>Nov!FJ9</f>
    </nc>
  </rcc>
  <rcc rId="1244" sId="22">
    <oc r="BB8">
      <f>Oct!FM46</f>
    </oc>
    <nc r="BB8">
      <f>Nov!FM47</f>
    </nc>
  </rcc>
  <rcc rId="1245" sId="22">
    <oc r="BC8">
      <f>Oct!GM9</f>
    </oc>
    <nc r="BC8">
      <f>Nov!GM9</f>
    </nc>
  </rcc>
  <rcc rId="1246" sId="22">
    <oc r="BD8">
      <f>SUM(AZ8:BC8)</f>
    </oc>
    <nc r="BD8">
      <f>SUM(AZ8:BC8)</f>
    </nc>
  </rcc>
  <rcc rId="1247" sId="22">
    <oc r="AX9">
      <f>Oct!GJ10</f>
    </oc>
    <nc r="AX9">
      <f>Nov!GJ10</f>
    </nc>
  </rcc>
  <rcc rId="1248" sId="22">
    <oc r="AY9">
      <f>SUM(AT9:AX9)</f>
    </oc>
    <nc r="AY9">
      <f>SUM(AT9:AX9)</f>
    </nc>
  </rcc>
  <rcc rId="1249" sId="22">
    <oc r="AZ9">
      <f>Oct!FG10</f>
    </oc>
    <nc r="AZ9">
      <f>Nov!FG10</f>
    </nc>
  </rcc>
  <rcc rId="1250" sId="22">
    <oc r="BA9">
      <f>Oct!FJ10</f>
    </oc>
    <nc r="BA9">
      <f>Nov!FJ10</f>
    </nc>
  </rcc>
  <rcc rId="1251" sId="22">
    <oc r="BB9">
      <f>Oct!FM47</f>
    </oc>
    <nc r="BB9">
      <f>Nov!FM48</f>
    </nc>
  </rcc>
  <rcc rId="1252" sId="22">
    <oc r="BC9">
      <f>Oct!GM10</f>
    </oc>
    <nc r="BC9">
      <f>Nov!GM10</f>
    </nc>
  </rcc>
  <rcc rId="1253" sId="22">
    <oc r="BD9">
      <f>SUM(AZ9:BC9)</f>
    </oc>
    <nc r="BD9">
      <f>SUM(AZ9:BC9)</f>
    </nc>
  </rcc>
  <rcc rId="1254" sId="22">
    <oc r="AX10">
      <f>Oct!GJ11</f>
    </oc>
    <nc r="AX10">
      <f>Nov!GJ11</f>
    </nc>
  </rcc>
  <rcc rId="1255" sId="22">
    <oc r="AY10">
      <f>SUM(AT10:AX10)</f>
    </oc>
    <nc r="AY10">
      <f>SUM(AT10:AX10)</f>
    </nc>
  </rcc>
  <rcc rId="1256" sId="22">
    <oc r="AZ10">
      <f>Oct!FG11</f>
    </oc>
    <nc r="AZ10">
      <f>Nov!FG11</f>
    </nc>
  </rcc>
  <rcc rId="1257" sId="22">
    <oc r="BA10">
      <f>Oct!FJ11</f>
    </oc>
    <nc r="BA10">
      <f>Nov!FJ11</f>
    </nc>
  </rcc>
  <rcc rId="1258" sId="22">
    <oc r="BB10">
      <f>Oct!FM48</f>
    </oc>
    <nc r="BB10">
      <f>Nov!FM49</f>
    </nc>
  </rcc>
  <rcc rId="1259" sId="22">
    <oc r="BC10">
      <f>Oct!GM11</f>
    </oc>
    <nc r="BC10">
      <f>Nov!GM11</f>
    </nc>
  </rcc>
  <rcc rId="1260" sId="22">
    <oc r="BD10">
      <f>SUM(AZ10:BC10)</f>
    </oc>
    <nc r="BD10">
      <f>SUM(AZ10:BC10)</f>
    </nc>
  </rcc>
  <rcc rId="1261" sId="22">
    <oc r="AX11">
      <f>Oct!GJ12</f>
    </oc>
    <nc r="AX11">
      <f>Nov!GJ12</f>
    </nc>
  </rcc>
  <rcc rId="1262" sId="22">
    <oc r="AY11">
      <f>SUM(AT11:AX11)</f>
    </oc>
    <nc r="AY11">
      <f>SUM(AT11:AX11)</f>
    </nc>
  </rcc>
  <rcc rId="1263" sId="22">
    <oc r="AZ11">
      <f>Oct!FG12</f>
    </oc>
    <nc r="AZ11">
      <f>Nov!FG12</f>
    </nc>
  </rcc>
  <rcc rId="1264" sId="22">
    <oc r="BA11">
      <f>Oct!FJ12</f>
    </oc>
    <nc r="BA11">
      <f>Nov!FJ12</f>
    </nc>
  </rcc>
  <rcc rId="1265" sId="22">
    <oc r="BB11">
      <f>Oct!FM49</f>
    </oc>
    <nc r="BB11">
      <f>Nov!FM50</f>
    </nc>
  </rcc>
  <rcc rId="1266" sId="22">
    <oc r="BC11">
      <f>Oct!GM12</f>
    </oc>
    <nc r="BC11">
      <f>Nov!GM12</f>
    </nc>
  </rcc>
  <rcc rId="1267" sId="22">
    <oc r="BD11">
      <f>SUM(AZ11:BC11)</f>
    </oc>
    <nc r="BD11">
      <f>SUM(AZ11:BC11)</f>
    </nc>
  </rcc>
  <rcc rId="1268" sId="22">
    <oc r="AX12">
      <f>Oct!GJ13</f>
    </oc>
    <nc r="AX12">
      <f>Nov!GJ13</f>
    </nc>
  </rcc>
  <rcc rId="1269" sId="22">
    <oc r="AY12">
      <f>SUM(AT12:AX12)</f>
    </oc>
    <nc r="AY12">
      <f>SUM(AT12:AX12)</f>
    </nc>
  </rcc>
  <rcc rId="1270" sId="22">
    <oc r="AZ12">
      <f>Oct!FG13</f>
    </oc>
    <nc r="AZ12">
      <f>Nov!FG13</f>
    </nc>
  </rcc>
  <rcc rId="1271" sId="22">
    <oc r="BA12">
      <f>Oct!FJ13</f>
    </oc>
    <nc r="BA12">
      <f>Nov!FJ13</f>
    </nc>
  </rcc>
  <rcc rId="1272" sId="22">
    <oc r="BB12">
      <f>Oct!FM50</f>
    </oc>
    <nc r="BB12">
      <f>Nov!FM51</f>
    </nc>
  </rcc>
  <rcc rId="1273" sId="22">
    <oc r="BC12">
      <f>Oct!GM13</f>
    </oc>
    <nc r="BC12">
      <f>Nov!GM13</f>
    </nc>
  </rcc>
  <rcc rId="1274" sId="22">
    <oc r="BD12">
      <f>SUM(AZ12:BC12)</f>
    </oc>
    <nc r="BD12">
      <f>SUM(AZ12:BC12)</f>
    </nc>
  </rcc>
  <rcc rId="1275" sId="22">
    <oc r="AX13">
      <f>Oct!GJ14</f>
    </oc>
    <nc r="AX13">
      <f>Nov!GJ14</f>
    </nc>
  </rcc>
  <rcc rId="1276" sId="22">
    <oc r="AY13">
      <f>SUM(AT13:AX13)</f>
    </oc>
    <nc r="AY13">
      <f>SUM(AT13:AX13)</f>
    </nc>
  </rcc>
  <rcc rId="1277" sId="22">
    <oc r="AZ13">
      <f>Oct!FG14</f>
    </oc>
    <nc r="AZ13">
      <f>Nov!FG14</f>
    </nc>
  </rcc>
  <rcc rId="1278" sId="22">
    <oc r="BA13">
      <f>Oct!FJ14</f>
    </oc>
    <nc r="BA13">
      <f>Nov!FJ14</f>
    </nc>
  </rcc>
  <rcc rId="1279" sId="22">
    <oc r="BB13">
      <f>Oct!FM51</f>
    </oc>
    <nc r="BB13">
      <f>Nov!FM52</f>
    </nc>
  </rcc>
  <rcc rId="1280" sId="22">
    <oc r="BC13">
      <f>Oct!GM14</f>
    </oc>
    <nc r="BC13">
      <f>Nov!GM14</f>
    </nc>
  </rcc>
  <rcc rId="1281" sId="22">
    <oc r="BD13">
      <f>SUM(AZ13:BC13)</f>
    </oc>
    <nc r="BD13">
      <f>SUM(AZ13:BC13)</f>
    </nc>
  </rcc>
  <rcc rId="1282" sId="22">
    <oc r="AX14">
      <f>Oct!GJ15</f>
    </oc>
    <nc r="AX14">
      <f>Nov!GJ15</f>
    </nc>
  </rcc>
  <rcc rId="1283" sId="22">
    <oc r="AY14">
      <f>SUM(AT14:AX14)</f>
    </oc>
    <nc r="AY14">
      <f>SUM(AT14:AX14)</f>
    </nc>
  </rcc>
  <rcc rId="1284" sId="22">
    <oc r="AZ14">
      <f>Oct!FG15</f>
    </oc>
    <nc r="AZ14">
      <f>Nov!FG15</f>
    </nc>
  </rcc>
  <rcc rId="1285" sId="22">
    <oc r="BA14">
      <f>Oct!FJ15</f>
    </oc>
    <nc r="BA14">
      <f>Nov!FJ15</f>
    </nc>
  </rcc>
  <rcc rId="1286" sId="22">
    <oc r="BB14">
      <f>Oct!FM52</f>
    </oc>
    <nc r="BB14">
      <f>Nov!FM53</f>
    </nc>
  </rcc>
  <rcc rId="1287" sId="22">
    <oc r="BC14">
      <f>Oct!GM15</f>
    </oc>
    <nc r="BC14">
      <f>Nov!GM15</f>
    </nc>
  </rcc>
  <rcc rId="1288" sId="22">
    <oc r="BD14">
      <f>SUM(AZ14:BC14)</f>
    </oc>
    <nc r="BD14">
      <f>SUM(AZ14:BC14)</f>
    </nc>
  </rcc>
  <rcc rId="1289" sId="22">
    <oc r="AX15">
      <f>Oct!GJ16</f>
    </oc>
    <nc r="AX15">
      <f>Nov!GJ16</f>
    </nc>
  </rcc>
  <rcc rId="1290" sId="22">
    <oc r="AY15">
      <f>SUM(AT15:AX15)</f>
    </oc>
    <nc r="AY15">
      <f>SUM(AT15:AX15)</f>
    </nc>
  </rcc>
  <rcc rId="1291" sId="22">
    <oc r="AZ15">
      <f>Oct!FG16</f>
    </oc>
    <nc r="AZ15">
      <f>Nov!FG16</f>
    </nc>
  </rcc>
  <rcc rId="1292" sId="22">
    <oc r="BA15">
      <f>Oct!FJ16</f>
    </oc>
    <nc r="BA15">
      <f>Nov!FJ16</f>
    </nc>
  </rcc>
  <rcc rId="1293" sId="22">
    <oc r="BB15">
      <f>Oct!FM53</f>
    </oc>
    <nc r="BB15">
      <f>Nov!FM54</f>
    </nc>
  </rcc>
  <rcc rId="1294" sId="22">
    <oc r="BC15">
      <f>Oct!GM16</f>
    </oc>
    <nc r="BC15">
      <f>Nov!GM16</f>
    </nc>
  </rcc>
  <rcc rId="1295" sId="22">
    <oc r="BD15">
      <f>SUM(AZ15:BC15)</f>
    </oc>
    <nc r="BD15">
      <f>SUM(AZ15:BC15)</f>
    </nc>
  </rcc>
  <rcc rId="1296" sId="22">
    <oc r="AX16">
      <f>Oct!GJ17</f>
    </oc>
    <nc r="AX16">
      <f>Nov!GJ17</f>
    </nc>
  </rcc>
  <rcc rId="1297" sId="22">
    <oc r="AY16">
      <f>SUM(AT16:AX16)</f>
    </oc>
    <nc r="AY16">
      <f>SUM(AT16:AX16)</f>
    </nc>
  </rcc>
  <rcc rId="1298" sId="22">
    <oc r="AZ16">
      <f>Oct!FG17</f>
    </oc>
    <nc r="AZ16">
      <f>Nov!FG17</f>
    </nc>
  </rcc>
  <rcc rId="1299" sId="22">
    <oc r="BA16">
      <f>Oct!FJ17</f>
    </oc>
    <nc r="BA16">
      <f>Nov!FJ17</f>
    </nc>
  </rcc>
  <rcc rId="1300" sId="22">
    <oc r="BB16">
      <f>Oct!FM54</f>
    </oc>
    <nc r="BB16">
      <f>Nov!FM55</f>
    </nc>
  </rcc>
  <rcc rId="1301" sId="22">
    <oc r="BC16">
      <f>Oct!GM17</f>
    </oc>
    <nc r="BC16">
      <f>Nov!GM17</f>
    </nc>
  </rcc>
  <rcc rId="1302" sId="22">
    <oc r="BD16">
      <f>SUM(AZ16:BC16)</f>
    </oc>
    <nc r="BD16">
      <f>SUM(AZ16:BC16)</f>
    </nc>
  </rcc>
  <rcc rId="1303" sId="22">
    <oc r="AX17">
      <f>Oct!GJ18</f>
    </oc>
    <nc r="AX17">
      <f>Nov!GJ18</f>
    </nc>
  </rcc>
  <rcc rId="1304" sId="22">
    <oc r="AY17">
      <f>SUM(AT17:AX17)</f>
    </oc>
    <nc r="AY17">
      <f>SUM(AT17:AX17)</f>
    </nc>
  </rcc>
  <rcc rId="1305" sId="22">
    <oc r="AZ17">
      <f>Oct!FG18</f>
    </oc>
    <nc r="AZ17">
      <f>Nov!FG18</f>
    </nc>
  </rcc>
  <rcc rId="1306" sId="22">
    <oc r="BA17">
      <f>Oct!FJ18</f>
    </oc>
    <nc r="BA17">
      <f>Nov!FJ18</f>
    </nc>
  </rcc>
  <rcc rId="1307" sId="22">
    <oc r="BB17">
      <f>Oct!FM55</f>
    </oc>
    <nc r="BB17">
      <f>Nov!FM56</f>
    </nc>
  </rcc>
  <rcc rId="1308" sId="22">
    <oc r="BC17">
      <f>Oct!GM18</f>
    </oc>
    <nc r="BC17">
      <f>Nov!GM18</f>
    </nc>
  </rcc>
  <rcc rId="1309" sId="22">
    <oc r="BD17">
      <f>SUM(AZ17:BC17)</f>
    </oc>
    <nc r="BD17">
      <f>SUM(AZ17:BC17)</f>
    </nc>
  </rcc>
  <rcc rId="1310" sId="22">
    <oc r="AX18">
      <f>Oct!GJ19</f>
    </oc>
    <nc r="AX18">
      <f>Nov!GJ19</f>
    </nc>
  </rcc>
  <rcc rId="1311" sId="22">
    <oc r="AY18">
      <f>SUM(AT18:AX18)</f>
    </oc>
    <nc r="AY18">
      <f>SUM(AT18:AX18)</f>
    </nc>
  </rcc>
  <rcc rId="1312" sId="22">
    <oc r="AZ18">
      <f>Oct!FG19</f>
    </oc>
    <nc r="AZ18">
      <f>Nov!FG19</f>
    </nc>
  </rcc>
  <rcc rId="1313" sId="22">
    <oc r="BA18">
      <f>Oct!FJ19</f>
    </oc>
    <nc r="BA18">
      <f>Nov!FJ19</f>
    </nc>
  </rcc>
  <rcc rId="1314" sId="22">
    <oc r="BB18">
      <f>Oct!FM56</f>
    </oc>
    <nc r="BB18">
      <f>Nov!FM57</f>
    </nc>
  </rcc>
  <rcc rId="1315" sId="22">
    <oc r="BC18">
      <f>Oct!GM19</f>
    </oc>
    <nc r="BC18">
      <f>Nov!GM19</f>
    </nc>
  </rcc>
  <rcc rId="1316" sId="22">
    <oc r="BD18">
      <f>SUM(AZ18:BC18)</f>
    </oc>
    <nc r="BD18">
      <f>SUM(AZ18:BC18)</f>
    </nc>
  </rcc>
  <rcc rId="1317" sId="22">
    <oc r="AX19">
      <f>Oct!GJ20</f>
    </oc>
    <nc r="AX19">
      <f>Nov!GJ20</f>
    </nc>
  </rcc>
  <rcc rId="1318" sId="22">
    <oc r="AY19">
      <f>SUM(AT19:AX19)</f>
    </oc>
    <nc r="AY19">
      <f>SUM(AT19:AX19)</f>
    </nc>
  </rcc>
  <rcc rId="1319" sId="22">
    <oc r="AZ19">
      <f>Oct!FG20</f>
    </oc>
    <nc r="AZ19">
      <f>Nov!FG20</f>
    </nc>
  </rcc>
  <rcc rId="1320" sId="22">
    <oc r="BA19">
      <f>Oct!FJ20</f>
    </oc>
    <nc r="BA19">
      <f>Nov!FJ20</f>
    </nc>
  </rcc>
  <rcc rId="1321" sId="22">
    <oc r="BB19">
      <f>Oct!FM57</f>
    </oc>
    <nc r="BB19">
      <f>Nov!FM58</f>
    </nc>
  </rcc>
  <rcc rId="1322" sId="22">
    <oc r="BC19">
      <f>Oct!GM20</f>
    </oc>
    <nc r="BC19">
      <f>Nov!GM20</f>
    </nc>
  </rcc>
  <rcc rId="1323" sId="22">
    <oc r="BD19">
      <f>SUM(AZ19:BC19)</f>
    </oc>
    <nc r="BD19">
      <f>SUM(AZ19:BC19)</f>
    </nc>
  </rcc>
  <rcc rId="1324" sId="22">
    <oc r="AX20">
      <f>Oct!GJ21</f>
    </oc>
    <nc r="AX20">
      <f>Nov!GJ21</f>
    </nc>
  </rcc>
  <rcc rId="1325" sId="22">
    <oc r="AY20">
      <f>SUM(AT20:AX20)</f>
    </oc>
    <nc r="AY20">
      <f>SUM(AT20:AX20)</f>
    </nc>
  </rcc>
  <rcc rId="1326" sId="22">
    <oc r="AZ20">
      <f>Oct!FG21</f>
    </oc>
    <nc r="AZ20">
      <f>Nov!FG21</f>
    </nc>
  </rcc>
  <rcc rId="1327" sId="22">
    <oc r="BA20">
      <f>Oct!FJ21</f>
    </oc>
    <nc r="BA20">
      <f>Nov!FJ21</f>
    </nc>
  </rcc>
  <rcc rId="1328" sId="22">
    <oc r="BB20">
      <f>Oct!FM58</f>
    </oc>
    <nc r="BB20">
      <f>Nov!FM59</f>
    </nc>
  </rcc>
  <rcc rId="1329" sId="22">
    <oc r="BC20">
      <f>Oct!GM21</f>
    </oc>
    <nc r="BC20">
      <f>Nov!GM21</f>
    </nc>
  </rcc>
  <rcc rId="1330" sId="22">
    <oc r="BD20">
      <f>SUM(AZ20:BC20)</f>
    </oc>
    <nc r="BD20">
      <f>SUM(AZ20:BC20)</f>
    </nc>
  </rcc>
  <rcc rId="1331" sId="22">
    <oc r="AX21">
      <f>Oct!GJ22</f>
    </oc>
    <nc r="AX21">
      <f>Nov!GJ22</f>
    </nc>
  </rcc>
  <rcc rId="1332" sId="22">
    <oc r="AY21">
      <f>SUM(AT21:AX21)</f>
    </oc>
    <nc r="AY21">
      <f>SUM(AT21:AX21)</f>
    </nc>
  </rcc>
  <rcc rId="1333" sId="22">
    <oc r="AZ21">
      <f>Oct!FG22</f>
    </oc>
    <nc r="AZ21">
      <f>Nov!FG22</f>
    </nc>
  </rcc>
  <rcc rId="1334" sId="22">
    <oc r="BA21">
      <f>Oct!FJ22</f>
    </oc>
    <nc r="BA21">
      <f>Nov!FJ22</f>
    </nc>
  </rcc>
  <rcc rId="1335" sId="22">
    <oc r="BB21">
      <f>Oct!FM59</f>
    </oc>
    <nc r="BB21">
      <f>Nov!FM60</f>
    </nc>
  </rcc>
  <rcc rId="1336" sId="22">
    <oc r="BC21">
      <f>Oct!GM22</f>
    </oc>
    <nc r="BC21">
      <f>Nov!GM22</f>
    </nc>
  </rcc>
  <rcc rId="1337" sId="22">
    <oc r="BD21">
      <f>SUM(AZ21:BC21)</f>
    </oc>
    <nc r="BD21">
      <f>SUM(AZ21:BC21)</f>
    </nc>
  </rcc>
  <rcc rId="1338" sId="22">
    <oc r="AX22">
      <f>Oct!GJ23</f>
    </oc>
    <nc r="AX22">
      <f>Nov!GJ23</f>
    </nc>
  </rcc>
  <rcc rId="1339" sId="22">
    <oc r="AY22">
      <f>SUM(AT22:AX22)</f>
    </oc>
    <nc r="AY22">
      <f>SUM(AT22:AX22)</f>
    </nc>
  </rcc>
  <rcc rId="1340" sId="22">
    <oc r="AZ22">
      <f>Oct!FG23</f>
    </oc>
    <nc r="AZ22">
      <f>Nov!FG23</f>
    </nc>
  </rcc>
  <rcc rId="1341" sId="22">
    <oc r="BA22">
      <f>Oct!FJ23</f>
    </oc>
    <nc r="BA22">
      <f>Nov!FJ23</f>
    </nc>
  </rcc>
  <rcc rId="1342" sId="22">
    <oc r="BB22">
      <f>Oct!FM60</f>
    </oc>
    <nc r="BB22">
      <f>Nov!FM61</f>
    </nc>
  </rcc>
  <rcc rId="1343" sId="22">
    <oc r="BC22">
      <f>Oct!GM23</f>
    </oc>
    <nc r="BC22">
      <f>Nov!GM23</f>
    </nc>
  </rcc>
  <rcc rId="1344" sId="22">
    <oc r="BD22">
      <f>SUM(AZ22:BC22)</f>
    </oc>
    <nc r="BD22">
      <f>SUM(AZ22:BC22)</f>
    </nc>
  </rcc>
  <rcc rId="1345" sId="22">
    <oc r="AX23">
      <f>Oct!GJ24</f>
    </oc>
    <nc r="AX23">
      <f>Nov!GJ24</f>
    </nc>
  </rcc>
  <rcc rId="1346" sId="22">
    <oc r="AY23">
      <f>SUM(AT23:AX23)</f>
    </oc>
    <nc r="AY23">
      <f>SUM(AT23:AX23)</f>
    </nc>
  </rcc>
  <rcc rId="1347" sId="22">
    <oc r="AZ23">
      <f>Oct!FG24</f>
    </oc>
    <nc r="AZ23">
      <f>Nov!FG24</f>
    </nc>
  </rcc>
  <rcc rId="1348" sId="22">
    <oc r="BA23">
      <f>Oct!FJ24</f>
    </oc>
    <nc r="BA23">
      <f>Nov!FJ24</f>
    </nc>
  </rcc>
  <rcc rId="1349" sId="22">
    <oc r="BB23">
      <f>Oct!FM61</f>
    </oc>
    <nc r="BB23">
      <f>Nov!FM62</f>
    </nc>
  </rcc>
  <rcc rId="1350" sId="22">
    <oc r="BC23">
      <f>Oct!GM24</f>
    </oc>
    <nc r="BC23">
      <f>Nov!GM24</f>
    </nc>
  </rcc>
  <rcc rId="1351" sId="22">
    <oc r="BD23">
      <f>SUM(AZ23:BC23)</f>
    </oc>
    <nc r="BD23">
      <f>SUM(AZ23:BC23)</f>
    </nc>
  </rcc>
  <rcc rId="1352" sId="22">
    <oc r="AX24">
      <f>Oct!GJ25</f>
    </oc>
    <nc r="AX24">
      <f>Nov!GJ25</f>
    </nc>
  </rcc>
  <rcc rId="1353" sId="22">
    <oc r="AY24">
      <f>SUM(AT24:AX24)</f>
    </oc>
    <nc r="AY24">
      <f>SUM(AT24:AX24)</f>
    </nc>
  </rcc>
  <rcc rId="1354" sId="22">
    <oc r="AZ24">
      <f>Oct!FG25</f>
    </oc>
    <nc r="AZ24">
      <f>Nov!FG25</f>
    </nc>
  </rcc>
  <rcc rId="1355" sId="22">
    <oc r="BA24">
      <f>Oct!FJ25</f>
    </oc>
    <nc r="BA24">
      <f>Nov!FJ25</f>
    </nc>
  </rcc>
  <rcc rId="1356" sId="22">
    <oc r="BB24">
      <f>Oct!FM62</f>
    </oc>
    <nc r="BB24">
      <f>Nov!FM63</f>
    </nc>
  </rcc>
  <rcc rId="1357" sId="22">
    <oc r="BC24">
      <f>Oct!GM25</f>
    </oc>
    <nc r="BC24">
      <f>Nov!GM25</f>
    </nc>
  </rcc>
  <rcc rId="1358" sId="22">
    <oc r="BD24">
      <f>SUM(AZ24:BC24)</f>
    </oc>
    <nc r="BD24">
      <f>SUM(AZ24:BC24)</f>
    </nc>
  </rcc>
  <rcc rId="1359" sId="22">
    <oc r="AX25">
      <f>Oct!GJ26</f>
    </oc>
    <nc r="AX25">
      <f>Nov!GJ26</f>
    </nc>
  </rcc>
  <rcc rId="1360" sId="22">
    <oc r="AY25">
      <f>SUM(AT25:AX25)</f>
    </oc>
    <nc r="AY25">
      <f>SUM(AT25:AX25)</f>
    </nc>
  </rcc>
  <rcc rId="1361" sId="22">
    <oc r="AZ25">
      <f>Oct!FG26</f>
    </oc>
    <nc r="AZ25">
      <f>Nov!FG26</f>
    </nc>
  </rcc>
  <rcc rId="1362" sId="22">
    <oc r="BA25">
      <f>Oct!FJ26</f>
    </oc>
    <nc r="BA25">
      <f>Nov!FJ26</f>
    </nc>
  </rcc>
  <rcc rId="1363" sId="22">
    <oc r="BB25">
      <f>Oct!FM63</f>
    </oc>
    <nc r="BB25">
      <f>Nov!FM64</f>
    </nc>
  </rcc>
  <rcc rId="1364" sId="22">
    <oc r="BC25">
      <f>Oct!GM26</f>
    </oc>
    <nc r="BC25">
      <f>Nov!GM26</f>
    </nc>
  </rcc>
  <rcc rId="1365" sId="22">
    <oc r="BD25">
      <f>SUM(AZ25:BC25)</f>
    </oc>
    <nc r="BD25">
      <f>SUM(AZ25:BC25)</f>
    </nc>
  </rcc>
  <rcc rId="1366" sId="22">
    <oc r="AX26">
      <f>Oct!GJ27</f>
    </oc>
    <nc r="AX26">
      <f>Nov!GJ27</f>
    </nc>
  </rcc>
  <rcc rId="1367" sId="22">
    <oc r="AY26">
      <f>SUM(AT26:AX26)</f>
    </oc>
    <nc r="AY26">
      <f>SUM(AT26:AX26)</f>
    </nc>
  </rcc>
  <rcc rId="1368" sId="22">
    <oc r="AZ26">
      <f>Oct!FG27</f>
    </oc>
    <nc r="AZ26">
      <f>Nov!FG27</f>
    </nc>
  </rcc>
  <rcc rId="1369" sId="22">
    <oc r="BA26">
      <f>Oct!FJ27</f>
    </oc>
    <nc r="BA26">
      <f>Nov!FJ27</f>
    </nc>
  </rcc>
  <rcc rId="1370" sId="22">
    <oc r="BB26">
      <f>Oct!FM64</f>
    </oc>
    <nc r="BB26">
      <f>Nov!FM65</f>
    </nc>
  </rcc>
  <rcc rId="1371" sId="22">
    <oc r="BC26">
      <f>Oct!GM27</f>
    </oc>
    <nc r="BC26">
      <f>Nov!GM27</f>
    </nc>
  </rcc>
  <rcc rId="1372" sId="22">
    <oc r="BD26">
      <f>SUM(AZ26:BC26)</f>
    </oc>
    <nc r="BD26">
      <f>SUM(AZ26:BC26)</f>
    </nc>
  </rcc>
  <rcc rId="1373" sId="22">
    <oc r="AX27">
      <f>Oct!GJ28</f>
    </oc>
    <nc r="AX27">
      <f>Nov!GJ28</f>
    </nc>
  </rcc>
  <rcc rId="1374" sId="22">
    <oc r="AY27">
      <f>SUM(AT27:AX27)</f>
    </oc>
    <nc r="AY27">
      <f>SUM(AT27:AX27)</f>
    </nc>
  </rcc>
  <rcc rId="1375" sId="22">
    <oc r="AZ27">
      <f>Oct!FG28</f>
    </oc>
    <nc r="AZ27">
      <f>Nov!FG28</f>
    </nc>
  </rcc>
  <rcc rId="1376" sId="22">
    <oc r="BA27">
      <f>Oct!FJ28</f>
    </oc>
    <nc r="BA27">
      <f>Nov!FJ28</f>
    </nc>
  </rcc>
  <rcc rId="1377" sId="22">
    <oc r="BB27">
      <f>Oct!FM65</f>
    </oc>
    <nc r="BB27">
      <f>Nov!FM66</f>
    </nc>
  </rcc>
  <rcc rId="1378" sId="22">
    <oc r="BC27">
      <f>Oct!GM28</f>
    </oc>
    <nc r="BC27">
      <f>Nov!GM28</f>
    </nc>
  </rcc>
  <rcc rId="1379" sId="22">
    <oc r="BD27">
      <f>SUM(AZ27:BC27)</f>
    </oc>
    <nc r="BD27">
      <f>SUM(AZ27:BC27)</f>
    </nc>
  </rcc>
  <rcc rId="1380" sId="22">
    <oc r="AX28">
      <f>Oct!GJ29</f>
    </oc>
    <nc r="AX28">
      <f>Nov!GJ29</f>
    </nc>
  </rcc>
  <rcc rId="1381" sId="22">
    <oc r="AY28">
      <f>SUM(AT28:AX28)</f>
    </oc>
    <nc r="AY28">
      <f>SUM(AT28:AX28)</f>
    </nc>
  </rcc>
  <rcc rId="1382" sId="22">
    <oc r="AZ28">
      <f>Oct!FG29</f>
    </oc>
    <nc r="AZ28">
      <f>Nov!FG29</f>
    </nc>
  </rcc>
  <rcc rId="1383" sId="22">
    <oc r="BA28">
      <f>Oct!FJ29</f>
    </oc>
    <nc r="BA28">
      <f>Nov!FJ29</f>
    </nc>
  </rcc>
  <rcc rId="1384" sId="22">
    <oc r="BB28">
      <f>Oct!FM66</f>
    </oc>
    <nc r="BB28">
      <f>Nov!FM67</f>
    </nc>
  </rcc>
  <rcc rId="1385" sId="22">
    <oc r="BC28">
      <f>Oct!GM29</f>
    </oc>
    <nc r="BC28">
      <f>Nov!GM29</f>
    </nc>
  </rcc>
  <rcc rId="1386" sId="22">
    <oc r="BD28">
      <f>SUM(AZ28:BC28)</f>
    </oc>
    <nc r="BD28">
      <f>SUM(AZ28:BC28)</f>
    </nc>
  </rcc>
  <rcc rId="1387" sId="22">
    <oc r="AX29">
      <f>Oct!GJ30</f>
    </oc>
    <nc r="AX29">
      <f>Nov!GJ30</f>
    </nc>
  </rcc>
  <rcc rId="1388" sId="22">
    <oc r="AY29">
      <f>SUM(AT29:AX29)</f>
    </oc>
    <nc r="AY29">
      <f>SUM(AT29:AX29)</f>
    </nc>
  </rcc>
  <rcc rId="1389" sId="22">
    <oc r="AZ29">
      <f>Oct!FG30</f>
    </oc>
    <nc r="AZ29">
      <f>Nov!FG30</f>
    </nc>
  </rcc>
  <rcc rId="1390" sId="22">
    <oc r="BA29">
      <f>Oct!FJ30</f>
    </oc>
    <nc r="BA29">
      <f>Nov!FJ30</f>
    </nc>
  </rcc>
  <rcc rId="1391" sId="22">
    <oc r="BB29">
      <f>Oct!FM67</f>
    </oc>
    <nc r="BB29">
      <f>Nov!FM68</f>
    </nc>
  </rcc>
  <rcc rId="1392" sId="22">
    <oc r="BC29">
      <f>Oct!GM30</f>
    </oc>
    <nc r="BC29">
      <f>Nov!GM30</f>
    </nc>
  </rcc>
  <rcc rId="1393" sId="22">
    <oc r="BD29">
      <f>SUM(AZ29:BC29)</f>
    </oc>
    <nc r="BD29">
      <f>SUM(AZ29:BC29)</f>
    </nc>
  </rcc>
  <rcc rId="1394" sId="22">
    <oc r="AX30">
      <f>Oct!GJ31</f>
    </oc>
    <nc r="AX30">
      <f>Nov!GJ31</f>
    </nc>
  </rcc>
  <rcc rId="1395" sId="22">
    <oc r="AY30">
      <f>SUM(AT30:AX30)</f>
    </oc>
    <nc r="AY30">
      <f>SUM(AT30:AX30)</f>
    </nc>
  </rcc>
  <rcc rId="1396" sId="22">
    <oc r="AZ30">
      <f>Oct!FG31</f>
    </oc>
    <nc r="AZ30">
      <f>Nov!FG31</f>
    </nc>
  </rcc>
  <rcc rId="1397" sId="22">
    <oc r="BA30">
      <f>Oct!FJ31</f>
    </oc>
    <nc r="BA30">
      <f>Nov!FJ31</f>
    </nc>
  </rcc>
  <rcc rId="1398" sId="22">
    <oc r="BB30">
      <f>Oct!FM68</f>
    </oc>
    <nc r="BB30">
      <f>Nov!FM69</f>
    </nc>
  </rcc>
  <rcc rId="1399" sId="22">
    <oc r="BC30">
      <f>Oct!GM31</f>
    </oc>
    <nc r="BC30">
      <f>Nov!GM31</f>
    </nc>
  </rcc>
  <rcc rId="1400" sId="22">
    <oc r="BD30">
      <f>SUM(AZ30:BC30)</f>
    </oc>
    <nc r="BD30">
      <f>SUM(AZ30:BC30)</f>
    </nc>
  </rcc>
  <rcc rId="1401" sId="22">
    <oc r="AX31">
      <f>Oct!GJ32</f>
    </oc>
    <nc r="AX31">
      <f>Nov!GJ32</f>
    </nc>
  </rcc>
  <rcc rId="1402" sId="22">
    <oc r="AY31">
      <f>SUM(AT31:AX31)</f>
    </oc>
    <nc r="AY31">
      <f>SUM(AT31:AX31)</f>
    </nc>
  </rcc>
  <rcc rId="1403" sId="22">
    <oc r="AZ31">
      <f>Oct!FG32</f>
    </oc>
    <nc r="AZ31">
      <f>Nov!FG32</f>
    </nc>
  </rcc>
  <rcc rId="1404" sId="22">
    <oc r="BA31">
      <f>Oct!FJ32</f>
    </oc>
    <nc r="BA31">
      <f>Nov!FJ32</f>
    </nc>
  </rcc>
  <rcc rId="1405" sId="22">
    <oc r="BB31">
      <f>Oct!FM69</f>
    </oc>
    <nc r="BB31">
      <f>Nov!FM70</f>
    </nc>
  </rcc>
  <rcc rId="1406" sId="22">
    <oc r="BC31">
      <f>Oct!GM32</f>
    </oc>
    <nc r="BC31">
      <f>Nov!GM32</f>
    </nc>
  </rcc>
  <rcc rId="1407" sId="22">
    <oc r="BD31">
      <f>SUM(AZ31:BC31)</f>
    </oc>
    <nc r="BD31">
      <f>SUM(AZ31:BC31)</f>
    </nc>
  </rcc>
  <rcc rId="1408" sId="22">
    <oc r="AX32">
      <f>Oct!GJ33</f>
    </oc>
    <nc r="AX32">
      <f>Nov!GJ33</f>
    </nc>
  </rcc>
  <rcc rId="1409" sId="22">
    <oc r="AY32">
      <f>SUM(AT32:AX32)</f>
    </oc>
    <nc r="AY32">
      <f>SUM(AT32:AX32)</f>
    </nc>
  </rcc>
  <rcc rId="1410" sId="22">
    <oc r="AZ32">
      <f>Oct!FG33</f>
    </oc>
    <nc r="AZ32">
      <f>Nov!FG33</f>
    </nc>
  </rcc>
  <rcc rId="1411" sId="22">
    <oc r="BA32">
      <f>Oct!FJ33</f>
    </oc>
    <nc r="BA32">
      <f>Nov!FJ33</f>
    </nc>
  </rcc>
  <rcc rId="1412" sId="22">
    <oc r="BB32">
      <f>Oct!FM70</f>
    </oc>
    <nc r="BB32">
      <f>Nov!FM71</f>
    </nc>
  </rcc>
  <rcc rId="1413" sId="22">
    <oc r="BC32">
      <f>Oct!GM33</f>
    </oc>
    <nc r="BC32">
      <f>Nov!GM33</f>
    </nc>
  </rcc>
  <rcc rId="1414" sId="22">
    <oc r="BD32">
      <f>SUM(AZ32:BC32)</f>
    </oc>
    <nc r="BD32">
      <f>SUM(AZ32:BC32)</f>
    </nc>
  </rcc>
  <rcc rId="1415" sId="22">
    <oc r="AX33">
      <f>Oct!GJ34+((Oct!GP34+Oct!GS34)*50/100)</f>
    </oc>
    <nc r="AX33">
      <f>Nov!GJ34</f>
    </nc>
  </rcc>
  <rcc rId="1416" sId="22">
    <oc r="AY33">
      <f>SUM(AT33:AX33)</f>
    </oc>
    <nc r="AY33">
      <f>SUM(AT33:AX33)</f>
    </nc>
  </rcc>
  <rcc rId="1417" sId="22">
    <oc r="AZ33">
      <f>Oct!FG34</f>
    </oc>
    <nc r="AZ33">
      <f>Nov!FG34</f>
    </nc>
  </rcc>
  <rcc rId="1418" sId="22">
    <oc r="BA33">
      <f>Oct!FJ34</f>
    </oc>
    <nc r="BA33">
      <f>Nov!FJ34</f>
    </nc>
  </rcc>
  <rcc rId="1419" sId="22">
    <oc r="BB33">
      <f>Oct!FM71</f>
    </oc>
    <nc r="BB33">
      <f>Nov!FM72</f>
    </nc>
  </rcc>
  <rcc rId="1420" sId="22">
    <oc r="BC33">
      <f>Oct!GM34+((Oct!GP34+Oct!GS34)*50/100)</f>
    </oc>
    <nc r="BC33">
      <f>Nov!GM34</f>
    </nc>
  </rcc>
  <rcc rId="1421" sId="22">
    <oc r="BD33">
      <f>SUM(AZ33:BC33)</f>
    </oc>
    <nc r="BD33">
      <f>SUM(AZ33:BC33)</f>
    </nc>
  </rcc>
  <rcc rId="1422" sId="22">
    <oc r="AX34">
      <f>Oct!GJ35+((Oct!GP35+Oct!GS35)*50/100)</f>
    </oc>
    <nc r="AX34">
      <f>Nov!GJ35</f>
    </nc>
  </rcc>
  <rcc rId="1423" sId="22">
    <oc r="AY34">
      <f>SUM(AT34:AX34)</f>
    </oc>
    <nc r="AY34">
      <f>SUM(AT34:AX34)</f>
    </nc>
  </rcc>
  <rcc rId="1424" sId="22">
    <oc r="AZ34">
      <f>Oct!FG35</f>
    </oc>
    <nc r="AZ34">
      <f>Nov!FG35</f>
    </nc>
  </rcc>
  <rcc rId="1425" sId="22">
    <oc r="BA34">
      <f>Oct!FJ35</f>
    </oc>
    <nc r="BA34">
      <f>Nov!FJ35</f>
    </nc>
  </rcc>
  <rcc rId="1426" sId="22">
    <oc r="BB34">
      <f>Oct!FM72</f>
    </oc>
    <nc r="BB34">
      <f>Nov!FM73</f>
    </nc>
  </rcc>
  <rcc rId="1427" sId="22">
    <oc r="BC34">
      <f>Oct!GM35+((Oct!GP35+Oct!GS35)*50/100)</f>
    </oc>
    <nc r="BC34">
      <f>Nov!GM35</f>
    </nc>
  </rcc>
  <rcc rId="1428" sId="22">
    <oc r="BD34">
      <f>SUM(AZ34:BC34)</f>
    </oc>
    <nc r="BD34">
      <f>SUM(AZ34:BC34)</f>
    </nc>
  </rcc>
  <rcc rId="1429" sId="22">
    <oc r="AX35">
      <f>Oct!GJ36+((Oct!GP36+Oct!GS36)*50/100)</f>
    </oc>
    <nc r="AX35">
      <f>Nov!GJ36</f>
    </nc>
  </rcc>
  <rcc rId="1430" sId="22">
    <oc r="AY35">
      <f>SUM(AT35:AX35)</f>
    </oc>
    <nc r="AY35">
      <f>SUM(AT35:AX35)</f>
    </nc>
  </rcc>
  <rcc rId="1431" sId="22">
    <oc r="AZ35">
      <f>Oct!FG36</f>
    </oc>
    <nc r="AZ35">
      <f>Nov!FG36</f>
    </nc>
  </rcc>
  <rcc rId="1432" sId="22">
    <oc r="BA35">
      <f>Oct!FJ36</f>
    </oc>
    <nc r="BA35">
      <f>Nov!FJ36</f>
    </nc>
  </rcc>
  <rcc rId="1433" sId="22">
    <oc r="BB35">
      <f>Oct!FM73</f>
    </oc>
    <nc r="BB35">
      <f>Nov!FM74</f>
    </nc>
  </rcc>
  <rcc rId="1434" sId="22">
    <oc r="BC35">
      <f>Oct!GM36+((Oct!GP36+Oct!GS36)*50/100)</f>
    </oc>
    <nc r="BC35">
      <f>Nov!GM36</f>
    </nc>
  </rcc>
  <rcc rId="1435" sId="22">
    <oc r="BD35">
      <f>SUM(AZ35:BC35)</f>
    </oc>
    <nc r="BD35">
      <f>SUM(AZ35:BC35)</f>
    </nc>
  </rcc>
  <rcc rId="1436" sId="22">
    <oc r="AX36">
      <f>Oct!GJ37+((Oct!GP37+Oct!GS37)*50/100)</f>
    </oc>
    <nc r="AX36">
      <f>Nov!GJ37</f>
    </nc>
  </rcc>
  <rcc rId="1437" sId="22">
    <oc r="AY36">
      <f>SUM(AT36:AX36)</f>
    </oc>
    <nc r="AY36">
      <f>SUM(AT36:AX36)</f>
    </nc>
  </rcc>
  <rcc rId="1438" sId="22">
    <oc r="AZ36">
      <f>Oct!FG37</f>
    </oc>
    <nc r="AZ36">
      <f>Nov!FG37</f>
    </nc>
  </rcc>
  <rcc rId="1439" sId="22">
    <oc r="BA36">
      <f>Oct!FJ37</f>
    </oc>
    <nc r="BA36">
      <f>Nov!FJ37</f>
    </nc>
  </rcc>
  <rcc rId="1440" sId="22">
    <oc r="BB36">
      <f>Oct!FM74</f>
    </oc>
    <nc r="BB36">
      <f>Nov!FM75</f>
    </nc>
  </rcc>
  <rcc rId="1441" sId="22">
    <oc r="BC36">
      <f>Oct!GM37+((Oct!GP37+Oct!GS37)*50/100)</f>
    </oc>
    <nc r="BC36">
      <f>Nov!GM37</f>
    </nc>
  </rcc>
  <rcc rId="1442" sId="22">
    <oc r="BD36">
      <f>SUM(AZ36:BC36)</f>
    </oc>
    <nc r="BD36">
      <f>SUM(AZ36:BC36)</f>
    </nc>
  </rcc>
  <rcc rId="1443" sId="22">
    <oc r="AX37">
      <f>Oct!GJ38+((Oct!GP38+Oct!GS38)*50/100)</f>
    </oc>
    <nc r="AX37">
      <f>Nov!GJ38</f>
    </nc>
  </rcc>
  <rcc rId="1444" sId="22">
    <oc r="AY37">
      <f>SUM(AT37:AX37)</f>
    </oc>
    <nc r="AY37">
      <f>SUM(AT37:AX37)</f>
    </nc>
  </rcc>
  <rcc rId="1445" sId="22">
    <oc r="AZ37">
      <f>Oct!FG38</f>
    </oc>
    <nc r="AZ37">
      <f>Nov!FG38</f>
    </nc>
  </rcc>
  <rcc rId="1446" sId="22">
    <oc r="BA37">
      <f>Oct!FJ38</f>
    </oc>
    <nc r="BA37">
      <f>Nov!FJ38</f>
    </nc>
  </rcc>
  <rcc rId="1447" sId="22">
    <oc r="BB37">
      <f>Oct!FM75</f>
    </oc>
    <nc r="BB37">
      <f>Nov!FM76</f>
    </nc>
  </rcc>
  <rcc rId="1448" sId="22">
    <oc r="BC37">
      <f>Oct!GM38+((Oct!GP38+Oct!GS38)*50/100)</f>
    </oc>
    <nc r="BC37">
      <f>Nov!GM38</f>
    </nc>
  </rcc>
  <rcc rId="1449" sId="22">
    <oc r="BD37">
      <f>SUM(AZ37:BC37)</f>
    </oc>
    <nc r="BD37">
      <f>SUM(AZ37:BC37)</f>
    </nc>
  </rcc>
  <rcc rId="1450" sId="22">
    <oc r="BU11">
      <f>Oct!G51</f>
    </oc>
    <nc r="BU11">
      <f>Nov!G51</f>
    </nc>
  </rcc>
  <rcc rId="1451" sId="22">
    <oc r="BE7">
      <f>Oct!GP8</f>
    </oc>
    <nc r="BE7">
      <f>Nov!GP8</f>
    </nc>
  </rcc>
  <rcc rId="1452" sId="22">
    <oc r="BF7">
      <f>Oct!GS8</f>
    </oc>
    <nc r="BF7">
      <f>Nov!GS8</f>
    </nc>
  </rcc>
  <rcc rId="1453" sId="22">
    <oc r="BG7">
      <f>BE7+BF7</f>
    </oc>
    <nc r="BG7">
      <f>BE7+BF7</f>
    </nc>
  </rcc>
  <rcc rId="1454" sId="22">
    <oc r="BE8">
      <f>Oct!GP9</f>
    </oc>
    <nc r="BE8">
      <f>Nov!GP9</f>
    </nc>
  </rcc>
  <rcc rId="1455" sId="22">
    <oc r="BF8">
      <f>Oct!GS9</f>
    </oc>
    <nc r="BF8">
      <f>Nov!GS9</f>
    </nc>
  </rcc>
  <rcc rId="1456" sId="22">
    <oc r="BG8">
      <f>BE8+BF8</f>
    </oc>
    <nc r="BG8">
      <f>BE8+BF8</f>
    </nc>
  </rcc>
  <rcc rId="1457" sId="22">
    <oc r="BE9">
      <f>Oct!GP10</f>
    </oc>
    <nc r="BE9">
      <f>Nov!GP10</f>
    </nc>
  </rcc>
  <rcc rId="1458" sId="22">
    <oc r="BF9">
      <f>Oct!GS10</f>
    </oc>
    <nc r="BF9">
      <f>Nov!GS10</f>
    </nc>
  </rcc>
  <rcc rId="1459" sId="22">
    <oc r="BG9">
      <f>BE9+BF9</f>
    </oc>
    <nc r="BG9">
      <f>BE9+BF9</f>
    </nc>
  </rcc>
  <rcc rId="1460" sId="22">
    <oc r="BE10">
      <f>Oct!GP11</f>
    </oc>
    <nc r="BE10">
      <f>Nov!GP11</f>
    </nc>
  </rcc>
  <rcc rId="1461" sId="22">
    <oc r="BF10">
      <f>Oct!GS11</f>
    </oc>
    <nc r="BF10">
      <f>Nov!GS11</f>
    </nc>
  </rcc>
  <rcc rId="1462" sId="22">
    <oc r="BG10">
      <f>BE10+BF10</f>
    </oc>
    <nc r="BG10">
      <f>BE10+BF10</f>
    </nc>
  </rcc>
  <rcc rId="1463" sId="22">
    <oc r="BE11">
      <f>Oct!GP12</f>
    </oc>
    <nc r="BE11">
      <f>Nov!GP12</f>
    </nc>
  </rcc>
  <rcc rId="1464" sId="22">
    <oc r="BF11">
      <f>Oct!GS12</f>
    </oc>
    <nc r="BF11">
      <f>Nov!GS12</f>
    </nc>
  </rcc>
  <rcc rId="1465" sId="22">
    <oc r="BG11">
      <f>BE11+BF11</f>
    </oc>
    <nc r="BG11">
      <f>BE11+BF11</f>
    </nc>
  </rcc>
  <rcc rId="1466" sId="22">
    <oc r="BE12">
      <f>Oct!GP13</f>
    </oc>
    <nc r="BE12">
      <f>Nov!GP13</f>
    </nc>
  </rcc>
  <rcc rId="1467" sId="22">
    <oc r="BF12">
      <f>Oct!GS13</f>
    </oc>
    <nc r="BF12">
      <f>Nov!GS13</f>
    </nc>
  </rcc>
  <rcc rId="1468" sId="22">
    <oc r="BG12">
      <f>BE12+BF12</f>
    </oc>
    <nc r="BG12">
      <f>BE12+BF12</f>
    </nc>
  </rcc>
  <rcc rId="1469" sId="22">
    <oc r="BE13">
      <f>Oct!GP14</f>
    </oc>
    <nc r="BE13">
      <f>Nov!GP14</f>
    </nc>
  </rcc>
  <rcc rId="1470" sId="22">
    <oc r="BF13">
      <f>Oct!GS14</f>
    </oc>
    <nc r="BF13">
      <f>Nov!GS14</f>
    </nc>
  </rcc>
  <rcc rId="1471" sId="22">
    <oc r="BG13">
      <f>BE13+BF13</f>
    </oc>
    <nc r="BG13">
      <f>BE13+BF13</f>
    </nc>
  </rcc>
  <rcc rId="1472" sId="22">
    <oc r="BE14">
      <f>Oct!GP15</f>
    </oc>
    <nc r="BE14">
      <f>Nov!GP15</f>
    </nc>
  </rcc>
  <rcc rId="1473" sId="22">
    <oc r="BF14">
      <f>Oct!GS15</f>
    </oc>
    <nc r="BF14">
      <f>Nov!GS15</f>
    </nc>
  </rcc>
  <rcc rId="1474" sId="22">
    <oc r="BG14">
      <f>BE14+BF14</f>
    </oc>
    <nc r="BG14">
      <f>BE14+BF14</f>
    </nc>
  </rcc>
  <rcc rId="1475" sId="22">
    <oc r="BE15">
      <f>Oct!GP16</f>
    </oc>
    <nc r="BE15">
      <f>Nov!GP16</f>
    </nc>
  </rcc>
  <rcc rId="1476" sId="22">
    <oc r="BF15">
      <f>Oct!GS16</f>
    </oc>
    <nc r="BF15">
      <f>Nov!GS16</f>
    </nc>
  </rcc>
  <rcc rId="1477" sId="22">
    <oc r="BG15">
      <f>BE15+BF15</f>
    </oc>
    <nc r="BG15">
      <f>BE15+BF15</f>
    </nc>
  </rcc>
  <rcc rId="1478" sId="22">
    <oc r="BE16">
      <f>Oct!GP17</f>
    </oc>
    <nc r="BE16">
      <f>Nov!GP17</f>
    </nc>
  </rcc>
  <rcc rId="1479" sId="22">
    <oc r="BF16">
      <f>Oct!GS17</f>
    </oc>
    <nc r="BF16">
      <f>Nov!GS17</f>
    </nc>
  </rcc>
  <rcc rId="1480" sId="22">
    <oc r="BG16">
      <f>BE16+BF16</f>
    </oc>
    <nc r="BG16">
      <f>BE16+BF16</f>
    </nc>
  </rcc>
  <rcc rId="1481" sId="22">
    <oc r="BE17">
      <f>Oct!GP18</f>
    </oc>
    <nc r="BE17">
      <f>Nov!GP18</f>
    </nc>
  </rcc>
  <rcc rId="1482" sId="22">
    <oc r="BF17">
      <f>Oct!GS18</f>
    </oc>
    <nc r="BF17">
      <f>Nov!GS18</f>
    </nc>
  </rcc>
  <rcc rId="1483" sId="22">
    <oc r="BG17">
      <f>BE17+BF17</f>
    </oc>
    <nc r="BG17">
      <f>BE17+BF17</f>
    </nc>
  </rcc>
  <rcc rId="1484" sId="22">
    <oc r="BE18">
      <f>Oct!GP19</f>
    </oc>
    <nc r="BE18">
      <f>Nov!GP19</f>
    </nc>
  </rcc>
  <rcc rId="1485" sId="22">
    <oc r="BF18">
      <f>Oct!GS19</f>
    </oc>
    <nc r="BF18">
      <f>Nov!GS19</f>
    </nc>
  </rcc>
  <rcc rId="1486" sId="22">
    <oc r="BG18">
      <f>BE18+BF18</f>
    </oc>
    <nc r="BG18">
      <f>BE18+BF18</f>
    </nc>
  </rcc>
  <rcc rId="1487" sId="22">
    <oc r="BE19">
      <f>Oct!GP20</f>
    </oc>
    <nc r="BE19">
      <f>Nov!GP20</f>
    </nc>
  </rcc>
  <rcc rId="1488" sId="22">
    <oc r="BF19">
      <f>Oct!GS20</f>
    </oc>
    <nc r="BF19">
      <f>Nov!GS20</f>
    </nc>
  </rcc>
  <rcc rId="1489" sId="22">
    <oc r="BG19">
      <f>BE19+BF19</f>
    </oc>
    <nc r="BG19">
      <f>BE19+BF19</f>
    </nc>
  </rcc>
  <rcc rId="1490" sId="22">
    <oc r="BE20">
      <f>Oct!GP21</f>
    </oc>
    <nc r="BE20">
      <f>Nov!GP21</f>
    </nc>
  </rcc>
  <rcc rId="1491" sId="22">
    <oc r="BF20">
      <f>Oct!GS21</f>
    </oc>
    <nc r="BF20">
      <f>Nov!GS21</f>
    </nc>
  </rcc>
  <rcc rId="1492" sId="22">
    <oc r="BG20">
      <f>BE20+BF20</f>
    </oc>
    <nc r="BG20">
      <f>BE20+BF20</f>
    </nc>
  </rcc>
  <rcc rId="1493" sId="22">
    <oc r="BE21">
      <f>Oct!GP22</f>
    </oc>
    <nc r="BE21">
      <f>Nov!GP22</f>
    </nc>
  </rcc>
  <rcc rId="1494" sId="22">
    <oc r="BF21">
      <f>Oct!GS22</f>
    </oc>
    <nc r="BF21">
      <f>Nov!GS22</f>
    </nc>
  </rcc>
  <rcc rId="1495" sId="22">
    <oc r="BG21">
      <f>BE21+BF21</f>
    </oc>
    <nc r="BG21">
      <f>BE21+BF21</f>
    </nc>
  </rcc>
  <rcc rId="1496" sId="22">
    <oc r="BE22">
      <f>Oct!GP23</f>
    </oc>
    <nc r="BE22">
      <f>Nov!GP23</f>
    </nc>
  </rcc>
  <rcc rId="1497" sId="22">
    <oc r="BF22">
      <f>Oct!GS23</f>
    </oc>
    <nc r="BF22">
      <f>Nov!GS23</f>
    </nc>
  </rcc>
  <rcc rId="1498" sId="22">
    <oc r="BG22">
      <f>BE22+BF22</f>
    </oc>
    <nc r="BG22">
      <f>BE22+BF22</f>
    </nc>
  </rcc>
  <rcc rId="1499" sId="22">
    <oc r="BE23">
      <f>Oct!GP24</f>
    </oc>
    <nc r="BE23">
      <f>Nov!GP24</f>
    </nc>
  </rcc>
  <rcc rId="1500" sId="22">
    <oc r="BF23">
      <f>Oct!GS24</f>
    </oc>
    <nc r="BF23">
      <f>Nov!GS24</f>
    </nc>
  </rcc>
  <rcc rId="1501" sId="22">
    <oc r="BG23">
      <f>BE23+BF23</f>
    </oc>
    <nc r="BG23">
      <f>BE23+BF23</f>
    </nc>
  </rcc>
  <rcc rId="1502" sId="22">
    <oc r="BE24">
      <f>Oct!GP25</f>
    </oc>
    <nc r="BE24">
      <f>Nov!GP25</f>
    </nc>
  </rcc>
  <rcc rId="1503" sId="22">
    <oc r="BF24">
      <f>Oct!GS25</f>
    </oc>
    <nc r="BF24">
      <f>Nov!GS25</f>
    </nc>
  </rcc>
  <rcc rId="1504" sId="22">
    <oc r="BG24">
      <f>BE24+BF24</f>
    </oc>
    <nc r="BG24">
      <f>BE24+BF24</f>
    </nc>
  </rcc>
  <rcc rId="1505" sId="22">
    <oc r="BE25">
      <f>Oct!GP26</f>
    </oc>
    <nc r="BE25">
      <f>Nov!GP26</f>
    </nc>
  </rcc>
  <rcc rId="1506" sId="22">
    <oc r="BF25">
      <f>Oct!GS26</f>
    </oc>
    <nc r="BF25">
      <f>Nov!GS26</f>
    </nc>
  </rcc>
  <rcc rId="1507" sId="22">
    <oc r="BG25">
      <f>BE25+BF25</f>
    </oc>
    <nc r="BG25">
      <f>BE25+BF25</f>
    </nc>
  </rcc>
  <rcc rId="1508" sId="22">
    <oc r="BE26">
      <f>Oct!GP27</f>
    </oc>
    <nc r="BE26">
      <f>Nov!GP27</f>
    </nc>
  </rcc>
  <rcc rId="1509" sId="22">
    <oc r="BF26">
      <f>Oct!GS27</f>
    </oc>
    <nc r="BF26">
      <f>Nov!GS27</f>
    </nc>
  </rcc>
  <rcc rId="1510" sId="22">
    <oc r="BG26">
      <f>BE26+BF26</f>
    </oc>
    <nc r="BG26">
      <f>BE26+BF26</f>
    </nc>
  </rcc>
  <rcc rId="1511" sId="22">
    <oc r="BE27">
      <f>Oct!GP28</f>
    </oc>
    <nc r="BE27">
      <f>Nov!GP28</f>
    </nc>
  </rcc>
  <rcc rId="1512" sId="22">
    <oc r="BF27">
      <f>Oct!GS28</f>
    </oc>
    <nc r="BF27">
      <f>Nov!GS28</f>
    </nc>
  </rcc>
  <rcc rId="1513" sId="22">
    <oc r="BG27">
      <f>BE27+BF27</f>
    </oc>
    <nc r="BG27">
      <f>BE27+BF27</f>
    </nc>
  </rcc>
  <rcc rId="1514" sId="22">
    <oc r="BE28">
      <f>Oct!GP29</f>
    </oc>
    <nc r="BE28">
      <f>Nov!GP29</f>
    </nc>
  </rcc>
  <rcc rId="1515" sId="22">
    <oc r="BF28">
      <f>Oct!GS29</f>
    </oc>
    <nc r="BF28">
      <f>Nov!GS29</f>
    </nc>
  </rcc>
  <rcc rId="1516" sId="22">
    <oc r="BG28">
      <f>BE28+BF28</f>
    </oc>
    <nc r="BG28">
      <f>BE28+BF28</f>
    </nc>
  </rcc>
  <rcc rId="1517" sId="22">
    <oc r="BE29">
      <f>Oct!GP30</f>
    </oc>
    <nc r="BE29">
      <f>Nov!GP30</f>
    </nc>
  </rcc>
  <rcc rId="1518" sId="22">
    <oc r="BF29">
      <f>Oct!GS30</f>
    </oc>
    <nc r="BF29">
      <f>Nov!GS30</f>
    </nc>
  </rcc>
  <rcc rId="1519" sId="22">
    <oc r="BG29">
      <f>BE29+BF29</f>
    </oc>
    <nc r="BG29">
      <f>BE29+BF29</f>
    </nc>
  </rcc>
  <rcc rId="1520" sId="22">
    <oc r="BE30">
      <f>Oct!GP31</f>
    </oc>
    <nc r="BE30">
      <f>Nov!GP31</f>
    </nc>
  </rcc>
  <rcc rId="1521" sId="22">
    <oc r="BF30">
      <f>Oct!GS31</f>
    </oc>
    <nc r="BF30">
      <f>Nov!GS31</f>
    </nc>
  </rcc>
  <rcc rId="1522" sId="22">
    <oc r="BG30">
      <f>BE30+BF30</f>
    </oc>
    <nc r="BG30">
      <f>BE30+BF30</f>
    </nc>
  </rcc>
  <rcc rId="1523" sId="22">
    <oc r="BE31">
      <f>Oct!GP32</f>
    </oc>
    <nc r="BE31">
      <f>Nov!GP32</f>
    </nc>
  </rcc>
  <rcc rId="1524" sId="22">
    <oc r="BF31">
      <f>Oct!GS32</f>
    </oc>
    <nc r="BF31">
      <f>Nov!GS32</f>
    </nc>
  </rcc>
  <rcc rId="1525" sId="22">
    <oc r="BG31">
      <f>BE31+BF31</f>
    </oc>
    <nc r="BG31">
      <f>BE31+BF31</f>
    </nc>
  </rcc>
  <rcc rId="1526" sId="22">
    <oc r="BE32">
      <f>Oct!GP33</f>
    </oc>
    <nc r="BE32">
      <f>Nov!GP33</f>
    </nc>
  </rcc>
  <rcc rId="1527" sId="22">
    <oc r="BF32">
      <f>Oct!GS33</f>
    </oc>
    <nc r="BF32">
      <f>Nov!GS33</f>
    </nc>
  </rcc>
  <rcc rId="1528" sId="22">
    <oc r="BG32">
      <f>BE32+BF32</f>
    </oc>
    <nc r="BG32">
      <f>BE32+BF32</f>
    </nc>
  </rcc>
  <rcc rId="1529" sId="22">
    <oc r="BE33">
      <f>Oct!GP34</f>
    </oc>
    <nc r="BE33">
      <f>Nov!GP34</f>
    </nc>
  </rcc>
  <rcc rId="1530" sId="22">
    <oc r="BF33">
      <f>Oct!GS34</f>
    </oc>
    <nc r="BF33">
      <f>Nov!GS34</f>
    </nc>
  </rcc>
  <rcc rId="1531" sId="22">
    <oc r="BG33">
      <f>BE33+BF33</f>
    </oc>
    <nc r="BG33">
      <f>BE33+BF33</f>
    </nc>
  </rcc>
  <rcc rId="1532" sId="22">
    <oc r="BE34">
      <f>Oct!GP35</f>
    </oc>
    <nc r="BE34">
      <f>Nov!GP35</f>
    </nc>
  </rcc>
  <rcc rId="1533" sId="22">
    <oc r="BF34">
      <f>Oct!GS35</f>
    </oc>
    <nc r="BF34">
      <f>Nov!GS35</f>
    </nc>
  </rcc>
  <rcc rId="1534" sId="22">
    <oc r="BG34">
      <f>BE34+BF34</f>
    </oc>
    <nc r="BG34">
      <f>BE34+BF34</f>
    </nc>
  </rcc>
  <rcc rId="1535" sId="22">
    <oc r="BE35">
      <f>Oct!GP36</f>
    </oc>
    <nc r="BE35">
      <f>Nov!GP36</f>
    </nc>
  </rcc>
  <rcc rId="1536" sId="22">
    <oc r="BF35">
      <f>Oct!GS36</f>
    </oc>
    <nc r="BF35">
      <f>Nov!GS36</f>
    </nc>
  </rcc>
  <rcc rId="1537" sId="22">
    <oc r="BG35">
      <f>BE35+BF35</f>
    </oc>
    <nc r="BG35">
      <f>BE35+BF35</f>
    </nc>
  </rcc>
  <rcc rId="1538" sId="22">
    <oc r="BE36">
      <f>Oct!GP37</f>
    </oc>
    <nc r="BE36">
      <f>Nov!GP37</f>
    </nc>
  </rcc>
  <rcc rId="1539" sId="22">
    <oc r="BF36">
      <f>Oct!GS37</f>
    </oc>
    <nc r="BF36">
      <f>Nov!GS37</f>
    </nc>
  </rcc>
  <rcc rId="1540" sId="22">
    <oc r="BG36">
      <f>BE36+BF36</f>
    </oc>
    <nc r="BG36">
      <f>BE36+BF36</f>
    </nc>
  </rcc>
  <rcc rId="1541" sId="22">
    <oc r="BE37">
      <f>Oct!GP38</f>
    </oc>
    <nc r="BE37">
      <f>Nov!GP38</f>
    </nc>
  </rcc>
  <rcc rId="1542" sId="22">
    <oc r="BF37">
      <f>Oct!GS38</f>
    </oc>
    <nc r="BF37">
      <f>Nov!GS38</f>
    </nc>
  </rcc>
  <rcc rId="1543" sId="22">
    <oc r="BG37">
      <f>BE37+BF37</f>
    </oc>
    <nc r="BG37">
      <f>BE37+BF37</f>
    </nc>
  </rcc>
  <rcc rId="1544" sId="22">
    <oc r="BU7">
      <f>Oct!G46</f>
    </oc>
    <nc r="BU7">
      <f>Nov!G47</f>
    </nc>
  </rcc>
  <rcc rId="1545" sId="22">
    <oc r="BU8">
      <f>Oct!G48</f>
    </oc>
    <nc r="BU8">
      <f>Nov!G48</f>
    </nc>
  </rcc>
  <rcc rId="1546" sId="22">
    <oc r="BU9">
      <f>Oct!G49</f>
    </oc>
    <nc r="BU9">
      <f>Nov!G49</f>
    </nc>
  </rcc>
  <rcc rId="1547" sId="22">
    <oc r="BU10">
      <f>Oct!G50</f>
    </oc>
    <nc r="BU10">
      <f>Nov!G50</f>
    </nc>
  </rcc>
  <rcc rId="1548" sId="22">
    <oc r="BU12">
      <f>Oct!G52</f>
    </oc>
    <nc r="BU12">
      <f>Nov!G52</f>
    </nc>
  </rcc>
  <rcc rId="1549" sId="22">
    <oc r="BU13">
      <f>Oct!G53</f>
    </oc>
    <nc r="BU13">
      <f>Nov!G53</f>
    </nc>
  </rcc>
  <rcc rId="1550" sId="22">
    <oc r="BU14">
      <f>Oct!G54</f>
    </oc>
    <nc r="BU14">
      <f>Nov!G54</f>
    </nc>
  </rcc>
  <rcc rId="1551" sId="22">
    <oc r="BU15">
      <f>Oct!G55</f>
    </oc>
    <nc r="BU15">
      <f>Nov!G55</f>
    </nc>
  </rcc>
  <rcc rId="1552" sId="22">
    <oc r="BU16">
      <f>Oct!G56</f>
    </oc>
    <nc r="BU16">
      <f>Nov!G56</f>
    </nc>
  </rcc>
  <rcc rId="1553" sId="22">
    <oc r="BU17">
      <f>Oct!G57</f>
    </oc>
    <nc r="BU17">
      <f>Nov!G57</f>
    </nc>
  </rcc>
  <rcc rId="1554" sId="22">
    <oc r="BU18">
      <f>Oct!G58</f>
    </oc>
    <nc r="BU18">
      <f>Nov!G58</f>
    </nc>
  </rcc>
  <rcc rId="1555" sId="22">
    <oc r="BU19">
      <f>Oct!G59</f>
    </oc>
    <nc r="BU19">
      <f>Nov!G59</f>
    </nc>
  </rcc>
  <rcc rId="1556" sId="22">
    <oc r="BU20">
      <f>Oct!G60</f>
    </oc>
    <nc r="BU20">
      <f>Nov!G60</f>
    </nc>
  </rcc>
  <rcc rId="1557" sId="22">
    <oc r="BU21">
      <f>Oct!G61</f>
    </oc>
    <nc r="BU21">
      <f>Nov!G61</f>
    </nc>
  </rcc>
  <rcc rId="1558" sId="22">
    <oc r="BU22">
      <f>Oct!G62</f>
    </oc>
    <nc r="BU22">
      <f>Nov!G62</f>
    </nc>
  </rcc>
  <rcc rId="1559" sId="22">
    <oc r="BU23">
      <f>Oct!G63</f>
    </oc>
    <nc r="BU23">
      <f>Nov!G63</f>
    </nc>
  </rcc>
  <rcc rId="1560" sId="22">
    <oc r="BU24">
      <f>Oct!G64</f>
    </oc>
    <nc r="BU24">
      <f>Nov!G64</f>
    </nc>
  </rcc>
  <rcc rId="1561" sId="22">
    <oc r="BU25">
      <f>Oct!G65</f>
    </oc>
    <nc r="BU25">
      <f>Nov!G65</f>
    </nc>
  </rcc>
  <rcc rId="1562" sId="22">
    <oc r="BU26">
      <f>Oct!G66</f>
    </oc>
    <nc r="BU26">
      <f>Nov!G66</f>
    </nc>
  </rcc>
  <rcc rId="1563" sId="22">
    <oc r="BU27">
      <f>Oct!G67</f>
    </oc>
    <nc r="BU27">
      <f>Nov!G67</f>
    </nc>
  </rcc>
  <rcc rId="1564" sId="22">
    <oc r="BU28">
      <f>Oct!G68</f>
    </oc>
    <nc r="BU28">
      <f>Nov!G68</f>
    </nc>
  </rcc>
  <rcc rId="1565" sId="22">
    <oc r="BU29">
      <f>Oct!G69</f>
    </oc>
    <nc r="BU29">
      <f>Nov!G69</f>
    </nc>
  </rcc>
  <rcc rId="1566" sId="22">
    <oc r="BU30">
      <f>Oct!G70</f>
    </oc>
    <nc r="BU30">
      <f>Nov!G70</f>
    </nc>
  </rcc>
  <rcc rId="1567" sId="22">
    <oc r="BU31">
      <f>Oct!G71</f>
    </oc>
    <nc r="BU31">
      <f>Nov!G71</f>
    </nc>
  </rcc>
  <rcc rId="1568" sId="22">
    <oc r="BU32">
      <f>Oct!G72</f>
    </oc>
    <nc r="BU32">
      <f>Nov!G72</f>
    </nc>
  </rcc>
  <rcc rId="1569" sId="22">
    <oc r="BU33">
      <f>Oct!G73</f>
    </oc>
    <nc r="BU33">
      <f>Nov!G73</f>
    </nc>
  </rcc>
  <rcc rId="1570" sId="22">
    <oc r="BU34">
      <f>Oct!G74</f>
    </oc>
    <nc r="BU34">
      <f>Nov!G74</f>
    </nc>
  </rcc>
  <rcc rId="1571" sId="22">
    <oc r="BU35">
      <f>Oct!G75</f>
    </oc>
    <nc r="BU35">
      <f>Nov!G75</f>
    </nc>
  </rcc>
  <rcc rId="1572" sId="22">
    <oc r="BU36">
      <f>Oct!G76</f>
    </oc>
    <nc r="BU36">
      <f>Nov!G76</f>
    </nc>
  </rcc>
  <rcc rId="1573" sId="22">
    <oc r="BU37">
      <f>Oct!G77</f>
    </oc>
    <nc r="BU37">
      <f>Nov!G77</f>
    </nc>
  </rcc>
  <rcc rId="1574" sId="22">
    <oc r="BT10">
      <f>Oct!D49</f>
    </oc>
    <nc r="BT10">
      <f>Nov!D49</f>
    </nc>
  </rcc>
  <rcc rId="1575" sId="22">
    <oc r="BT11">
      <f>Oct!D50</f>
    </oc>
    <nc r="BT11">
      <f>Nov!D50</f>
    </nc>
  </rcc>
  <rcc rId="1576" sId="22">
    <oc r="BT12">
      <f>Oct!D51</f>
    </oc>
    <nc r="BT12">
      <f>Nov!D51</f>
    </nc>
  </rcc>
  <rcc rId="1577" sId="22">
    <oc r="BT13">
      <f>Oct!D52</f>
    </oc>
    <nc r="BT13">
      <f>Nov!D52</f>
    </nc>
  </rcc>
  <rcc rId="1578" sId="22">
    <oc r="BT14">
      <f>Oct!D53</f>
    </oc>
    <nc r="BT14">
      <f>Nov!D53</f>
    </nc>
  </rcc>
  <rcc rId="1579" sId="22">
    <oc r="BT15">
      <f>Oct!D54</f>
    </oc>
    <nc r="BT15">
      <f>Nov!D54</f>
    </nc>
  </rcc>
  <rcc rId="1580" sId="22">
    <oc r="BT16">
      <f>Oct!D55</f>
    </oc>
    <nc r="BT16">
      <f>Nov!D55</f>
    </nc>
  </rcc>
  <rcc rId="1581" sId="22">
    <oc r="BT17">
      <f>Oct!D56</f>
    </oc>
    <nc r="BT17">
      <f>Nov!D56</f>
    </nc>
  </rcc>
  <rcc rId="1582" sId="22">
    <oc r="BT18">
      <f>Oct!D57</f>
    </oc>
    <nc r="BT18">
      <f>Nov!D57</f>
    </nc>
  </rcc>
  <rcc rId="1583" sId="22">
    <oc r="BT19">
      <f>Oct!D58</f>
    </oc>
    <nc r="BT19">
      <f>Nov!D58</f>
    </nc>
  </rcc>
  <rcc rId="1584" sId="22">
    <oc r="BT20">
      <f>Oct!D59</f>
    </oc>
    <nc r="BT20">
      <f>Nov!D59</f>
    </nc>
  </rcc>
  <rcc rId="1585" sId="22">
    <oc r="BT21">
      <f>Oct!D60</f>
    </oc>
    <nc r="BT21">
      <f>Nov!D60</f>
    </nc>
  </rcc>
  <rcc rId="1586" sId="22">
    <oc r="BT22">
      <f>Oct!D61</f>
    </oc>
    <nc r="BT22">
      <f>Nov!D61</f>
    </nc>
  </rcc>
  <rcc rId="1587" sId="22">
    <oc r="BT23">
      <f>Oct!D62</f>
    </oc>
    <nc r="BT23">
      <f>Nov!D62</f>
    </nc>
  </rcc>
  <rcc rId="1588" sId="22">
    <oc r="BT24">
      <f>Oct!D63</f>
    </oc>
    <nc r="BT24">
      <f>Nov!D63</f>
    </nc>
  </rcc>
  <rcc rId="1589" sId="22">
    <oc r="BT25">
      <f>Oct!D64</f>
    </oc>
    <nc r="BT25">
      <f>Nov!D64</f>
    </nc>
  </rcc>
  <rcc rId="1590" sId="22">
    <oc r="BT26">
      <f>Oct!D65</f>
    </oc>
    <nc r="BT26">
      <f>Nov!D65</f>
    </nc>
  </rcc>
  <rcc rId="1591" sId="22">
    <oc r="BT27">
      <f>Oct!D66</f>
    </oc>
    <nc r="BT27">
      <f>Nov!D66</f>
    </nc>
  </rcc>
  <rcc rId="1592" sId="22">
    <oc r="BT28">
      <f>Oct!D67</f>
    </oc>
    <nc r="BT28">
      <f>Nov!D67</f>
    </nc>
  </rcc>
  <rcc rId="1593" sId="22">
    <oc r="BT29">
      <f>Oct!D68</f>
    </oc>
    <nc r="BT29">
      <f>Nov!D68</f>
    </nc>
  </rcc>
  <rcc rId="1594" sId="22">
    <oc r="BT30">
      <f>Oct!D69</f>
    </oc>
    <nc r="BT30">
      <f>Nov!D69</f>
    </nc>
  </rcc>
  <rcc rId="1595" sId="22">
    <oc r="BT31">
      <f>Oct!D70</f>
    </oc>
    <nc r="BT31">
      <f>Nov!D70</f>
    </nc>
  </rcc>
  <rcc rId="1596" sId="22">
    <oc r="BT32">
      <f>Oct!D71</f>
    </oc>
    <nc r="BT32">
      <f>Nov!D71</f>
    </nc>
  </rcc>
  <rcc rId="1597" sId="22">
    <oc r="BT33">
      <f>Oct!D72</f>
    </oc>
    <nc r="BT33">
      <f>Nov!D72</f>
    </nc>
  </rcc>
  <rcc rId="1598" sId="22">
    <oc r="BT34">
      <f>Oct!D73</f>
    </oc>
    <nc r="BT34">
      <f>Nov!D73</f>
    </nc>
  </rcc>
  <rcc rId="1599" sId="22">
    <oc r="BT35">
      <f>Oct!D74</f>
    </oc>
    <nc r="BT35">
      <f>Nov!D74</f>
    </nc>
  </rcc>
  <rcc rId="1600" sId="22">
    <oc r="BT36">
      <f>Oct!D75</f>
    </oc>
    <nc r="BT36">
      <f>Nov!D75</f>
    </nc>
  </rcc>
  <rcc rId="1601" sId="22">
    <oc r="BT37">
      <f>Oct!D76</f>
    </oc>
    <nc r="BT37">
      <f>Nov!D76</f>
    </nc>
  </rcc>
  <rcc rId="1602" sId="22">
    <oc r="BX7">
      <f>Oct!HJ8</f>
    </oc>
    <nc r="BX7">
      <f>Nov!HJ8</f>
    </nc>
  </rcc>
  <rcc rId="1603" sId="22">
    <oc r="BY7">
      <f>Oct!HM8</f>
    </oc>
    <nc r="BY7">
      <f>Nov!HM8</f>
    </nc>
  </rcc>
  <rcc rId="1604" sId="22">
    <oc r="BZ7">
      <f>Oct!HP8</f>
    </oc>
    <nc r="BZ7">
      <f>Nov!HP8</f>
    </nc>
  </rcc>
  <rcc rId="1605" sId="22">
    <oc r="CA7">
      <f>Oct!HS8</f>
    </oc>
    <nc r="CA7">
      <f>Nov!HS8</f>
    </nc>
  </rcc>
  <rcc rId="1606" sId="22">
    <oc r="CB7">
      <f>Oct!HV8</f>
    </oc>
    <nc r="CB7">
      <f>Nov!HV8</f>
    </nc>
  </rcc>
  <rcc rId="1607" sId="22">
    <oc r="CC7">
      <f>Oct!HY8</f>
    </oc>
    <nc r="CC7">
      <f>Nov!HY8</f>
    </nc>
  </rcc>
  <rcc rId="1608" sId="22">
    <oc r="CD7">
      <f>Oct!IB8</f>
    </oc>
    <nc r="CD7">
      <f>Nov!IB8</f>
    </nc>
  </rcc>
  <rcc rId="1609" sId="22">
    <oc r="CE7">
      <f>Oct!IE8</f>
    </oc>
    <nc r="CE7">
      <f>Nov!IE8</f>
    </nc>
  </rcc>
  <rcc rId="1610" sId="22">
    <oc r="CF7">
      <f>Oct!IH8</f>
    </oc>
    <nc r="CF7">
      <f>Nov!IH8</f>
    </nc>
  </rcc>
  <rcc rId="1611" sId="22">
    <oc r="BX8">
      <f>Oct!HJ9</f>
    </oc>
    <nc r="BX8">
      <f>Nov!HJ9</f>
    </nc>
  </rcc>
  <rcc rId="1612" sId="22">
    <oc r="BY8">
      <f>Oct!HM9</f>
    </oc>
    <nc r="BY8">
      <f>Nov!HM9</f>
    </nc>
  </rcc>
  <rcc rId="1613" sId="22">
    <oc r="BZ8">
      <f>Oct!HP9</f>
    </oc>
    <nc r="BZ8">
      <f>Nov!HP9</f>
    </nc>
  </rcc>
  <rcc rId="1614" sId="22">
    <oc r="CA8">
      <f>Oct!HS9</f>
    </oc>
    <nc r="CA8">
      <f>Nov!HS9</f>
    </nc>
  </rcc>
  <rcc rId="1615" sId="22">
    <oc r="CB8">
      <f>Oct!HV9</f>
    </oc>
    <nc r="CB8">
      <f>Nov!HV9</f>
    </nc>
  </rcc>
  <rcc rId="1616" sId="22">
    <oc r="CC8">
      <f>Oct!HY9</f>
    </oc>
    <nc r="CC8">
      <f>Nov!HY9</f>
    </nc>
  </rcc>
  <rcc rId="1617" sId="22">
    <oc r="CD8">
      <f>Oct!IB9</f>
    </oc>
    <nc r="CD8">
      <f>Nov!IB9</f>
    </nc>
  </rcc>
  <rcc rId="1618" sId="22">
    <oc r="CE8">
      <f>Oct!IE9</f>
    </oc>
    <nc r="CE8">
      <f>Nov!IE9</f>
    </nc>
  </rcc>
  <rcc rId="1619" sId="22">
    <oc r="CF8">
      <f>Oct!IH9</f>
    </oc>
    <nc r="CF8">
      <f>Nov!IH9</f>
    </nc>
  </rcc>
  <rcc rId="1620" sId="22">
    <oc r="BX9">
      <f>Oct!HJ10</f>
    </oc>
    <nc r="BX9">
      <f>Nov!HJ10</f>
    </nc>
  </rcc>
  <rcc rId="1621" sId="22">
    <oc r="BY9">
      <f>Oct!HM10</f>
    </oc>
    <nc r="BY9">
      <f>Nov!HM10</f>
    </nc>
  </rcc>
  <rcc rId="1622" sId="22">
    <oc r="BZ9">
      <f>Oct!HP10</f>
    </oc>
    <nc r="BZ9">
      <f>Nov!HP10</f>
    </nc>
  </rcc>
  <rcc rId="1623" sId="22">
    <oc r="CA9">
      <f>Oct!HS10</f>
    </oc>
    <nc r="CA9">
      <f>Nov!HS10</f>
    </nc>
  </rcc>
  <rcc rId="1624" sId="22">
    <oc r="CB9">
      <f>Oct!HV10</f>
    </oc>
    <nc r="CB9">
      <f>Nov!HV10</f>
    </nc>
  </rcc>
  <rcc rId="1625" sId="22">
    <oc r="CC9">
      <f>Oct!HY10</f>
    </oc>
    <nc r="CC9">
      <f>Nov!HY10</f>
    </nc>
  </rcc>
  <rcc rId="1626" sId="22">
    <oc r="CD9">
      <f>Oct!IB10</f>
    </oc>
    <nc r="CD9">
      <f>Nov!IB10</f>
    </nc>
  </rcc>
  <rcc rId="1627" sId="22">
    <oc r="CE9">
      <f>Oct!IE10</f>
    </oc>
    <nc r="CE9">
      <f>Nov!IE10</f>
    </nc>
  </rcc>
  <rcc rId="1628" sId="22">
    <oc r="CF9">
      <f>Oct!IH10</f>
    </oc>
    <nc r="CF9">
      <f>Nov!IH10</f>
    </nc>
  </rcc>
  <rcc rId="1629" sId="22">
    <oc r="BX10">
      <f>Oct!HJ11</f>
    </oc>
    <nc r="BX10">
      <f>Nov!HJ11</f>
    </nc>
  </rcc>
  <rcc rId="1630" sId="22">
    <oc r="BY10">
      <f>Oct!HM11</f>
    </oc>
    <nc r="BY10">
      <f>Nov!HM11</f>
    </nc>
  </rcc>
  <rcc rId="1631" sId="22">
    <oc r="BZ10">
      <f>Oct!HP11</f>
    </oc>
    <nc r="BZ10">
      <f>Nov!HP11</f>
    </nc>
  </rcc>
  <rcc rId="1632" sId="22">
    <oc r="CA10">
      <f>Oct!HS11</f>
    </oc>
    <nc r="CA10">
      <f>Nov!HS11</f>
    </nc>
  </rcc>
  <rcc rId="1633" sId="22">
    <oc r="CB10">
      <f>Oct!HV11</f>
    </oc>
    <nc r="CB10">
      <f>Nov!HV11</f>
    </nc>
  </rcc>
  <rcc rId="1634" sId="22">
    <oc r="CC10">
      <f>Oct!HY11</f>
    </oc>
    <nc r="CC10">
      <f>Nov!HY11</f>
    </nc>
  </rcc>
  <rcc rId="1635" sId="22">
    <oc r="CD10">
      <f>Oct!IB11</f>
    </oc>
    <nc r="CD10">
      <f>Nov!IB11</f>
    </nc>
  </rcc>
  <rcc rId="1636" sId="22">
    <oc r="CE10">
      <f>Oct!IE11</f>
    </oc>
    <nc r="CE10">
      <f>Nov!IE11</f>
    </nc>
  </rcc>
  <rcc rId="1637" sId="22">
    <oc r="CF10">
      <f>Oct!IH11</f>
    </oc>
    <nc r="CF10">
      <f>Nov!IH11</f>
    </nc>
  </rcc>
  <rcc rId="1638" sId="22">
    <oc r="BX11">
      <f>Oct!HJ12</f>
    </oc>
    <nc r="BX11">
      <f>Nov!HJ12</f>
    </nc>
  </rcc>
  <rcc rId="1639" sId="22">
    <oc r="BY11">
      <f>Oct!HM12</f>
    </oc>
    <nc r="BY11">
      <f>Nov!HM12</f>
    </nc>
  </rcc>
  <rcc rId="1640" sId="22">
    <oc r="BZ11">
      <f>Oct!HP12</f>
    </oc>
    <nc r="BZ11">
      <f>Nov!HP12</f>
    </nc>
  </rcc>
  <rcc rId="1641" sId="22">
    <oc r="CA11">
      <f>Oct!HS12</f>
    </oc>
    <nc r="CA11">
      <f>Nov!HS12</f>
    </nc>
  </rcc>
  <rcc rId="1642" sId="22">
    <oc r="CB11">
      <f>Oct!HV12</f>
    </oc>
    <nc r="CB11">
      <f>Nov!HV12</f>
    </nc>
  </rcc>
  <rcc rId="1643" sId="22">
    <oc r="CC11">
      <f>Oct!HY12</f>
    </oc>
    <nc r="CC11">
      <f>Nov!HY12</f>
    </nc>
  </rcc>
  <rcc rId="1644" sId="22">
    <oc r="CD11">
      <f>Oct!IB12</f>
    </oc>
    <nc r="CD11">
      <f>Nov!IB12</f>
    </nc>
  </rcc>
  <rcc rId="1645" sId="22">
    <oc r="CE11">
      <f>Oct!IE12</f>
    </oc>
    <nc r="CE11">
      <f>Nov!IE12</f>
    </nc>
  </rcc>
  <rcc rId="1646" sId="22">
    <oc r="CF11">
      <f>Oct!IH12</f>
    </oc>
    <nc r="CF11">
      <f>Nov!IH12</f>
    </nc>
  </rcc>
  <rcc rId="1647" sId="22">
    <oc r="BX12">
      <f>Oct!HJ13</f>
    </oc>
    <nc r="BX12">
      <f>Nov!HJ13</f>
    </nc>
  </rcc>
  <rcc rId="1648" sId="22">
    <oc r="BY12">
      <f>Oct!HM13</f>
    </oc>
    <nc r="BY12">
      <f>Nov!HM13</f>
    </nc>
  </rcc>
  <rcc rId="1649" sId="22">
    <oc r="BZ12">
      <f>Oct!HP13</f>
    </oc>
    <nc r="BZ12">
      <f>Nov!HP13</f>
    </nc>
  </rcc>
  <rcc rId="1650" sId="22">
    <oc r="CA12">
      <f>Oct!HS13</f>
    </oc>
    <nc r="CA12">
      <f>Nov!HS13</f>
    </nc>
  </rcc>
  <rcc rId="1651" sId="22">
    <oc r="CB12">
      <f>Oct!HV13</f>
    </oc>
    <nc r="CB12">
      <f>Nov!HV13</f>
    </nc>
  </rcc>
  <rcc rId="1652" sId="22">
    <oc r="CC12">
      <f>Oct!HY13</f>
    </oc>
    <nc r="CC12">
      <f>Nov!HY13</f>
    </nc>
  </rcc>
  <rcc rId="1653" sId="22">
    <oc r="CD12">
      <f>Oct!IB13</f>
    </oc>
    <nc r="CD12">
      <f>Nov!IB13</f>
    </nc>
  </rcc>
  <rcc rId="1654" sId="22">
    <oc r="CE12">
      <f>Oct!IE13</f>
    </oc>
    <nc r="CE12">
      <f>Nov!IE13</f>
    </nc>
  </rcc>
  <rcc rId="1655" sId="22">
    <oc r="CF12">
      <f>Oct!IH13</f>
    </oc>
    <nc r="CF12">
      <f>Nov!IH13</f>
    </nc>
  </rcc>
  <rcc rId="1656" sId="22">
    <oc r="BX13">
      <f>Oct!HJ14</f>
    </oc>
    <nc r="BX13">
      <f>Nov!HJ14</f>
    </nc>
  </rcc>
  <rcc rId="1657" sId="22">
    <oc r="BY13">
      <f>Oct!HM14</f>
    </oc>
    <nc r="BY13">
      <f>Nov!HM14</f>
    </nc>
  </rcc>
  <rcc rId="1658" sId="22">
    <oc r="BZ13">
      <f>Oct!HP14</f>
    </oc>
    <nc r="BZ13">
      <f>Nov!HP14</f>
    </nc>
  </rcc>
  <rcc rId="1659" sId="22">
    <oc r="CA13">
      <f>Oct!HS14</f>
    </oc>
    <nc r="CA13">
      <f>Nov!HS14</f>
    </nc>
  </rcc>
  <rcc rId="1660" sId="22">
    <oc r="CB13">
      <f>Oct!HV14</f>
    </oc>
    <nc r="CB13">
      <f>Nov!HV14</f>
    </nc>
  </rcc>
  <rcc rId="1661" sId="22">
    <oc r="CC13">
      <f>Oct!HY14</f>
    </oc>
    <nc r="CC13">
      <f>Nov!HY14</f>
    </nc>
  </rcc>
  <rcc rId="1662" sId="22">
    <oc r="CD13">
      <f>Oct!IB14</f>
    </oc>
    <nc r="CD13">
      <f>Nov!IB14</f>
    </nc>
  </rcc>
  <rcc rId="1663" sId="22">
    <oc r="CE13">
      <f>Oct!IE14</f>
    </oc>
    <nc r="CE13">
      <f>Nov!IE14</f>
    </nc>
  </rcc>
  <rcc rId="1664" sId="22">
    <oc r="CF13">
      <f>Oct!IH14</f>
    </oc>
    <nc r="CF13">
      <f>Nov!IH14</f>
    </nc>
  </rcc>
  <rcc rId="1665" sId="22">
    <oc r="BX14">
      <f>Oct!HJ15</f>
    </oc>
    <nc r="BX14">
      <f>Nov!HJ15</f>
    </nc>
  </rcc>
  <rcc rId="1666" sId="22">
    <oc r="BY14">
      <f>Oct!HM15</f>
    </oc>
    <nc r="BY14">
      <f>Nov!HM15</f>
    </nc>
  </rcc>
  <rcc rId="1667" sId="22">
    <oc r="BZ14">
      <f>Oct!HP15</f>
    </oc>
    <nc r="BZ14">
      <f>Nov!HP15</f>
    </nc>
  </rcc>
  <rcc rId="1668" sId="22">
    <oc r="CA14">
      <f>Oct!HS15</f>
    </oc>
    <nc r="CA14">
      <f>Nov!HS15</f>
    </nc>
  </rcc>
  <rcc rId="1669" sId="22">
    <oc r="CB14">
      <f>Oct!HV15</f>
    </oc>
    <nc r="CB14">
      <f>Nov!HV15</f>
    </nc>
  </rcc>
  <rcc rId="1670" sId="22">
    <oc r="CC14">
      <f>Oct!HY15</f>
    </oc>
    <nc r="CC14">
      <f>Nov!HY15</f>
    </nc>
  </rcc>
  <rcc rId="1671" sId="22">
    <oc r="CD14">
      <f>Oct!IB15</f>
    </oc>
    <nc r="CD14">
      <f>Nov!IB15</f>
    </nc>
  </rcc>
  <rcc rId="1672" sId="22">
    <oc r="CE14">
      <f>Oct!IE15</f>
    </oc>
    <nc r="CE14">
      <f>Nov!IE15</f>
    </nc>
  </rcc>
  <rcc rId="1673" sId="22">
    <oc r="CF14">
      <f>Oct!IH15</f>
    </oc>
    <nc r="CF14">
      <f>Nov!IH15</f>
    </nc>
  </rcc>
  <rcc rId="1674" sId="22">
    <oc r="BX15">
      <f>Oct!HJ16</f>
    </oc>
    <nc r="BX15">
      <f>Nov!HJ16</f>
    </nc>
  </rcc>
  <rcc rId="1675" sId="22">
    <oc r="BY15">
      <f>Oct!HM16</f>
    </oc>
    <nc r="BY15">
      <f>Nov!HM16</f>
    </nc>
  </rcc>
  <rcc rId="1676" sId="22">
    <oc r="BZ15">
      <f>Oct!HP16</f>
    </oc>
    <nc r="BZ15">
      <f>Nov!HP16</f>
    </nc>
  </rcc>
  <rcc rId="1677" sId="22">
    <oc r="CA15">
      <f>Oct!HS16</f>
    </oc>
    <nc r="CA15">
      <f>Nov!HS16</f>
    </nc>
  </rcc>
  <rcc rId="1678" sId="22">
    <oc r="CB15">
      <f>Oct!HV16</f>
    </oc>
    <nc r="CB15">
      <f>Nov!HV16</f>
    </nc>
  </rcc>
  <rcc rId="1679" sId="22">
    <oc r="CC15">
      <f>Oct!HY16</f>
    </oc>
    <nc r="CC15">
      <f>Nov!HY16</f>
    </nc>
  </rcc>
  <rcc rId="1680" sId="22">
    <oc r="CD15">
      <f>Oct!IB16</f>
    </oc>
    <nc r="CD15">
      <f>Nov!IB16</f>
    </nc>
  </rcc>
  <rcc rId="1681" sId="22">
    <oc r="CE15">
      <f>Oct!IE16</f>
    </oc>
    <nc r="CE15">
      <f>Nov!IE16</f>
    </nc>
  </rcc>
  <rcc rId="1682" sId="22">
    <oc r="CF15">
      <f>Oct!IH16</f>
    </oc>
    <nc r="CF15">
      <f>Nov!IH16</f>
    </nc>
  </rcc>
  <rcc rId="1683" sId="22">
    <oc r="BX16">
      <f>Oct!HJ17</f>
    </oc>
    <nc r="BX16">
      <f>Nov!HJ17</f>
    </nc>
  </rcc>
  <rcc rId="1684" sId="22">
    <oc r="BY16">
      <f>Oct!HM17</f>
    </oc>
    <nc r="BY16">
      <f>Nov!HM17</f>
    </nc>
  </rcc>
  <rcc rId="1685" sId="22">
    <oc r="BZ16">
      <f>Oct!HP17</f>
    </oc>
    <nc r="BZ16">
      <f>Nov!HP17</f>
    </nc>
  </rcc>
  <rcc rId="1686" sId="22">
    <oc r="CA16">
      <f>Oct!HS17</f>
    </oc>
    <nc r="CA16">
      <f>Nov!HS17</f>
    </nc>
  </rcc>
  <rcc rId="1687" sId="22">
    <oc r="CB16">
      <f>Oct!HV17</f>
    </oc>
    <nc r="CB16">
      <f>Nov!HV17</f>
    </nc>
  </rcc>
  <rcc rId="1688" sId="22">
    <oc r="CC16">
      <f>Oct!HY17</f>
    </oc>
    <nc r="CC16">
      <f>Nov!HY17</f>
    </nc>
  </rcc>
  <rcc rId="1689" sId="22">
    <oc r="CD16">
      <f>Oct!IB17</f>
    </oc>
    <nc r="CD16">
      <f>Nov!IB17</f>
    </nc>
  </rcc>
  <rcc rId="1690" sId="22">
    <oc r="CE16">
      <f>Oct!IE17</f>
    </oc>
    <nc r="CE16">
      <f>Nov!IE17</f>
    </nc>
  </rcc>
  <rcc rId="1691" sId="22">
    <oc r="CF16">
      <f>Oct!IH17</f>
    </oc>
    <nc r="CF16">
      <f>Nov!IH17</f>
    </nc>
  </rcc>
  <rcc rId="1692" sId="22">
    <oc r="BX17">
      <f>Oct!HJ18</f>
    </oc>
    <nc r="BX17">
      <f>Nov!HJ18</f>
    </nc>
  </rcc>
  <rcc rId="1693" sId="22">
    <oc r="BY17">
      <f>Oct!HM18</f>
    </oc>
    <nc r="BY17">
      <f>Nov!HM18</f>
    </nc>
  </rcc>
  <rcc rId="1694" sId="22">
    <oc r="BZ17">
      <f>Oct!HP18</f>
    </oc>
    <nc r="BZ17">
      <f>Nov!HP18</f>
    </nc>
  </rcc>
  <rcc rId="1695" sId="22">
    <oc r="CA17">
      <f>Oct!HS18</f>
    </oc>
    <nc r="CA17">
      <f>Nov!HS18</f>
    </nc>
  </rcc>
  <rcc rId="1696" sId="22">
    <oc r="CB17">
      <f>Oct!HV18</f>
    </oc>
    <nc r="CB17">
      <f>Nov!HV18</f>
    </nc>
  </rcc>
  <rcc rId="1697" sId="22">
    <oc r="CC17">
      <f>Oct!HY18</f>
    </oc>
    <nc r="CC17">
      <f>Nov!HY18</f>
    </nc>
  </rcc>
  <rcc rId="1698" sId="22">
    <oc r="CD17">
      <f>Oct!IB18</f>
    </oc>
    <nc r="CD17">
      <f>Nov!IB18</f>
    </nc>
  </rcc>
  <rcc rId="1699" sId="22">
    <oc r="CE17">
      <f>Oct!IE18</f>
    </oc>
    <nc r="CE17">
      <f>Nov!IE18</f>
    </nc>
  </rcc>
  <rcc rId="1700" sId="22">
    <oc r="CF17">
      <f>Oct!IH18</f>
    </oc>
    <nc r="CF17">
      <f>Nov!IH18</f>
    </nc>
  </rcc>
  <rcc rId="1701" sId="22">
    <oc r="BX18">
      <f>Oct!HJ19</f>
    </oc>
    <nc r="BX18">
      <f>Nov!HJ19</f>
    </nc>
  </rcc>
  <rcc rId="1702" sId="22">
    <oc r="BY18">
      <f>Oct!HM19</f>
    </oc>
    <nc r="BY18">
      <f>Nov!HM19</f>
    </nc>
  </rcc>
  <rcc rId="1703" sId="22">
    <oc r="BZ18">
      <f>Oct!HP19</f>
    </oc>
    <nc r="BZ18">
      <f>Nov!HP19</f>
    </nc>
  </rcc>
  <rcc rId="1704" sId="22">
    <oc r="CA18">
      <f>Oct!HS19</f>
    </oc>
    <nc r="CA18">
      <f>Nov!HS19</f>
    </nc>
  </rcc>
  <rcc rId="1705" sId="22">
    <oc r="CB18">
      <f>Oct!HV19</f>
    </oc>
    <nc r="CB18">
      <f>Nov!HV19</f>
    </nc>
  </rcc>
  <rcc rId="1706" sId="22">
    <oc r="CC18">
      <f>Oct!HY19</f>
    </oc>
    <nc r="CC18">
      <f>Nov!HY19</f>
    </nc>
  </rcc>
  <rcc rId="1707" sId="22">
    <oc r="CD18">
      <f>Oct!IB19</f>
    </oc>
    <nc r="CD18">
      <f>Nov!IB19</f>
    </nc>
  </rcc>
  <rcc rId="1708" sId="22">
    <oc r="CE18">
      <f>Oct!IE19</f>
    </oc>
    <nc r="CE18">
      <f>Nov!IE19</f>
    </nc>
  </rcc>
  <rcc rId="1709" sId="22">
    <oc r="CF18">
      <f>Oct!IH19</f>
    </oc>
    <nc r="CF18">
      <f>Nov!IH19</f>
    </nc>
  </rcc>
  <rcc rId="1710" sId="22">
    <oc r="BX19">
      <f>Oct!HJ20</f>
    </oc>
    <nc r="BX19">
      <f>Nov!HJ20</f>
    </nc>
  </rcc>
  <rcc rId="1711" sId="22">
    <oc r="BY19">
      <f>Oct!HM20</f>
    </oc>
    <nc r="BY19">
      <f>Nov!HM20</f>
    </nc>
  </rcc>
  <rcc rId="1712" sId="22">
    <oc r="BZ19">
      <f>Oct!HP20</f>
    </oc>
    <nc r="BZ19">
      <f>Nov!HP20</f>
    </nc>
  </rcc>
  <rcc rId="1713" sId="22">
    <oc r="CA19">
      <f>Oct!HS20</f>
    </oc>
    <nc r="CA19">
      <f>Nov!HS20</f>
    </nc>
  </rcc>
  <rcc rId="1714" sId="22">
    <oc r="CB19">
      <f>Oct!HV20</f>
    </oc>
    <nc r="CB19">
      <f>Nov!HV20</f>
    </nc>
  </rcc>
  <rcc rId="1715" sId="22">
    <oc r="CC19">
      <f>Oct!HY20</f>
    </oc>
    <nc r="CC19">
      <f>Nov!HY20</f>
    </nc>
  </rcc>
  <rcc rId="1716" sId="22">
    <oc r="CD19">
      <f>Oct!IB20</f>
    </oc>
    <nc r="CD19">
      <f>Nov!IB20</f>
    </nc>
  </rcc>
  <rcc rId="1717" sId="22">
    <oc r="CE19">
      <f>Oct!IE20</f>
    </oc>
    <nc r="CE19">
      <f>Nov!IE20</f>
    </nc>
  </rcc>
  <rcc rId="1718" sId="22">
    <oc r="CF19">
      <f>Oct!IH20</f>
    </oc>
    <nc r="CF19">
      <f>Nov!IH20</f>
    </nc>
  </rcc>
  <rcc rId="1719" sId="22">
    <oc r="BX20">
      <f>Oct!HJ21</f>
    </oc>
    <nc r="BX20">
      <f>Nov!HJ21</f>
    </nc>
  </rcc>
  <rcc rId="1720" sId="22">
    <oc r="BY20">
      <f>Oct!HM21</f>
    </oc>
    <nc r="BY20">
      <f>Nov!HM21</f>
    </nc>
  </rcc>
  <rcc rId="1721" sId="22">
    <oc r="BZ20">
      <f>Oct!HP21</f>
    </oc>
    <nc r="BZ20">
      <f>Nov!HP21</f>
    </nc>
  </rcc>
  <rcc rId="1722" sId="22">
    <oc r="CA20">
      <f>Oct!HS21</f>
    </oc>
    <nc r="CA20">
      <f>Nov!HS21</f>
    </nc>
  </rcc>
  <rcc rId="1723" sId="22">
    <oc r="CB20">
      <f>Oct!HV21</f>
    </oc>
    <nc r="CB20">
      <f>Nov!HV21</f>
    </nc>
  </rcc>
  <rcc rId="1724" sId="22">
    <oc r="CC20">
      <f>Oct!HY21</f>
    </oc>
    <nc r="CC20">
      <f>Nov!HY21</f>
    </nc>
  </rcc>
  <rcc rId="1725" sId="22">
    <oc r="CD20">
      <f>Oct!IB21</f>
    </oc>
    <nc r="CD20">
      <f>Nov!IB21</f>
    </nc>
  </rcc>
  <rcc rId="1726" sId="22">
    <oc r="CE20">
      <f>Oct!IE21</f>
    </oc>
    <nc r="CE20">
      <f>Nov!IE21</f>
    </nc>
  </rcc>
  <rcc rId="1727" sId="22">
    <oc r="CF20">
      <f>Oct!IH21</f>
    </oc>
    <nc r="CF20">
      <f>Nov!IH21</f>
    </nc>
  </rcc>
  <rcc rId="1728" sId="22">
    <oc r="BX21">
      <f>Oct!HJ22</f>
    </oc>
    <nc r="BX21">
      <f>Nov!HJ22</f>
    </nc>
  </rcc>
  <rcc rId="1729" sId="22">
    <oc r="BY21">
      <f>Oct!HM22</f>
    </oc>
    <nc r="BY21">
      <f>Nov!HM22</f>
    </nc>
  </rcc>
  <rcc rId="1730" sId="22">
    <oc r="BZ21">
      <f>Oct!HP22</f>
    </oc>
    <nc r="BZ21">
      <f>Nov!HP22</f>
    </nc>
  </rcc>
  <rcc rId="1731" sId="22">
    <oc r="CA21">
      <f>Oct!HS22</f>
    </oc>
    <nc r="CA21">
      <f>Nov!HS22</f>
    </nc>
  </rcc>
  <rcc rId="1732" sId="22">
    <oc r="CB21">
      <f>Oct!HV22</f>
    </oc>
    <nc r="CB21">
      <f>Nov!HV22</f>
    </nc>
  </rcc>
  <rcc rId="1733" sId="22">
    <oc r="CC21">
      <f>Oct!HY22</f>
    </oc>
    <nc r="CC21">
      <f>Nov!HY22</f>
    </nc>
  </rcc>
  <rcc rId="1734" sId="22">
    <oc r="CD21">
      <f>Oct!IB22</f>
    </oc>
    <nc r="CD21">
      <f>Nov!IB22</f>
    </nc>
  </rcc>
  <rcc rId="1735" sId="22">
    <oc r="CE21">
      <f>Oct!IE22</f>
    </oc>
    <nc r="CE21">
      <f>Nov!IE22</f>
    </nc>
  </rcc>
  <rcc rId="1736" sId="22">
    <oc r="CF21">
      <f>Oct!IH22</f>
    </oc>
    <nc r="CF21">
      <f>Nov!IH22</f>
    </nc>
  </rcc>
  <rcc rId="1737" sId="22">
    <oc r="BX22">
      <f>Oct!HJ23</f>
    </oc>
    <nc r="BX22">
      <f>Nov!HJ23</f>
    </nc>
  </rcc>
  <rcc rId="1738" sId="22">
    <oc r="BY22">
      <f>Oct!HM23</f>
    </oc>
    <nc r="BY22">
      <f>Nov!HM23</f>
    </nc>
  </rcc>
  <rcc rId="1739" sId="22">
    <oc r="BZ22">
      <f>Oct!HP23</f>
    </oc>
    <nc r="BZ22">
      <f>Nov!HP23</f>
    </nc>
  </rcc>
  <rcc rId="1740" sId="22">
    <oc r="CA22">
      <f>Oct!HS23</f>
    </oc>
    <nc r="CA22">
      <f>Nov!HS23</f>
    </nc>
  </rcc>
  <rcc rId="1741" sId="22">
    <oc r="CB22">
      <f>Oct!HV23</f>
    </oc>
    <nc r="CB22">
      <f>Nov!HV23</f>
    </nc>
  </rcc>
  <rcc rId="1742" sId="22">
    <oc r="CC22">
      <f>Oct!HY23</f>
    </oc>
    <nc r="CC22">
      <f>Nov!HY23</f>
    </nc>
  </rcc>
  <rcc rId="1743" sId="22">
    <oc r="CD22">
      <f>Oct!IB23</f>
    </oc>
    <nc r="CD22">
      <f>Nov!IB23</f>
    </nc>
  </rcc>
  <rcc rId="1744" sId="22">
    <oc r="CE22">
      <f>Oct!IE23</f>
    </oc>
    <nc r="CE22">
      <f>Nov!IE23</f>
    </nc>
  </rcc>
  <rcc rId="1745" sId="22">
    <oc r="CF22">
      <f>Oct!IH23</f>
    </oc>
    <nc r="CF22">
      <f>Nov!IH23</f>
    </nc>
  </rcc>
  <rcc rId="1746" sId="22">
    <oc r="BX23">
      <f>Oct!HJ24</f>
    </oc>
    <nc r="BX23">
      <f>Nov!HJ24</f>
    </nc>
  </rcc>
  <rcc rId="1747" sId="22">
    <oc r="BY23">
      <f>Oct!HM24</f>
    </oc>
    <nc r="BY23">
      <f>Nov!HM24</f>
    </nc>
  </rcc>
  <rcc rId="1748" sId="22">
    <oc r="BZ23">
      <f>Oct!HP24</f>
    </oc>
    <nc r="BZ23">
      <f>Nov!HP24</f>
    </nc>
  </rcc>
  <rcc rId="1749" sId="22">
    <oc r="CA23">
      <f>Oct!HS24</f>
    </oc>
    <nc r="CA23">
      <f>Nov!HS24</f>
    </nc>
  </rcc>
  <rcc rId="1750" sId="22">
    <oc r="CB23">
      <f>Oct!HV24</f>
    </oc>
    <nc r="CB23">
      <f>Nov!HV24</f>
    </nc>
  </rcc>
  <rcc rId="1751" sId="22">
    <oc r="CC23">
      <f>Oct!HY24</f>
    </oc>
    <nc r="CC23">
      <f>Nov!HY24</f>
    </nc>
  </rcc>
  <rcc rId="1752" sId="22">
    <oc r="CD23">
      <f>Oct!IB24</f>
    </oc>
    <nc r="CD23">
      <f>Nov!IB24</f>
    </nc>
  </rcc>
  <rcc rId="1753" sId="22">
    <oc r="CE23">
      <f>Oct!IE24</f>
    </oc>
    <nc r="CE23">
      <f>Nov!IE24</f>
    </nc>
  </rcc>
  <rcc rId="1754" sId="22">
    <oc r="CF23">
      <f>Oct!IH24</f>
    </oc>
    <nc r="CF23">
      <f>Nov!IH24</f>
    </nc>
  </rcc>
  <rcc rId="1755" sId="22">
    <oc r="BX24">
      <f>Oct!HJ25</f>
    </oc>
    <nc r="BX24">
      <f>Nov!HJ25</f>
    </nc>
  </rcc>
  <rcc rId="1756" sId="22">
    <oc r="BY24">
      <f>Oct!HM25</f>
    </oc>
    <nc r="BY24">
      <f>Nov!HM25</f>
    </nc>
  </rcc>
  <rcc rId="1757" sId="22">
    <oc r="BZ24">
      <f>Oct!HP25</f>
    </oc>
    <nc r="BZ24">
      <f>Nov!HP25</f>
    </nc>
  </rcc>
  <rcc rId="1758" sId="22">
    <oc r="CA24">
      <f>Oct!HS25</f>
    </oc>
    <nc r="CA24">
      <f>Nov!HS25</f>
    </nc>
  </rcc>
  <rcc rId="1759" sId="22">
    <oc r="CB24">
      <f>Oct!HV25</f>
    </oc>
    <nc r="CB24">
      <f>Nov!HV25</f>
    </nc>
  </rcc>
  <rcc rId="1760" sId="22">
    <oc r="CC24">
      <f>Oct!HY25</f>
    </oc>
    <nc r="CC24">
      <f>Nov!HY25</f>
    </nc>
  </rcc>
  <rcc rId="1761" sId="22">
    <oc r="CD24">
      <f>Oct!IB25</f>
    </oc>
    <nc r="CD24">
      <f>Nov!IB25</f>
    </nc>
  </rcc>
  <rcc rId="1762" sId="22">
    <oc r="CE24">
      <f>Oct!IE25</f>
    </oc>
    <nc r="CE24">
      <f>Nov!IE25</f>
    </nc>
  </rcc>
  <rcc rId="1763" sId="22">
    <oc r="CF24">
      <f>Oct!IH25</f>
    </oc>
    <nc r="CF24">
      <f>Nov!IH25</f>
    </nc>
  </rcc>
  <rcc rId="1764" sId="22">
    <oc r="BX25">
      <f>Oct!HJ26</f>
    </oc>
    <nc r="BX25">
      <f>Nov!HJ26</f>
    </nc>
  </rcc>
  <rcc rId="1765" sId="22">
    <oc r="BY25">
      <f>Oct!HM26</f>
    </oc>
    <nc r="BY25">
      <f>Nov!HM26</f>
    </nc>
  </rcc>
  <rcc rId="1766" sId="22">
    <oc r="BZ25">
      <f>Oct!HP26</f>
    </oc>
    <nc r="BZ25">
      <f>Nov!HP26</f>
    </nc>
  </rcc>
  <rcc rId="1767" sId="22">
    <oc r="CA25">
      <f>Oct!HS26</f>
    </oc>
    <nc r="CA25">
      <f>Nov!HS26</f>
    </nc>
  </rcc>
  <rcc rId="1768" sId="22">
    <oc r="CB25">
      <f>Oct!HV26</f>
    </oc>
    <nc r="CB25">
      <f>Nov!HV26</f>
    </nc>
  </rcc>
  <rcc rId="1769" sId="22">
    <oc r="CC25">
      <f>Oct!HY26</f>
    </oc>
    <nc r="CC25">
      <f>Nov!HY26</f>
    </nc>
  </rcc>
  <rcc rId="1770" sId="22">
    <oc r="CD25">
      <f>Oct!IB26</f>
    </oc>
    <nc r="CD25">
      <f>Nov!IB26</f>
    </nc>
  </rcc>
  <rcc rId="1771" sId="22">
    <oc r="CE25">
      <f>Oct!IE26</f>
    </oc>
    <nc r="CE25">
      <f>Nov!IE26</f>
    </nc>
  </rcc>
  <rcc rId="1772" sId="22">
    <oc r="CF25">
      <f>Oct!IH26</f>
    </oc>
    <nc r="CF25">
      <f>Nov!IH26</f>
    </nc>
  </rcc>
  <rcc rId="1773" sId="22">
    <oc r="BX26">
      <f>Oct!HJ27</f>
    </oc>
    <nc r="BX26">
      <f>Nov!HJ27</f>
    </nc>
  </rcc>
  <rcc rId="1774" sId="22">
    <oc r="BY26">
      <f>Oct!HM27</f>
    </oc>
    <nc r="BY26">
      <f>Nov!HM27</f>
    </nc>
  </rcc>
  <rcc rId="1775" sId="22">
    <oc r="BZ26">
      <f>Oct!HP27</f>
    </oc>
    <nc r="BZ26">
      <f>Nov!HP27</f>
    </nc>
  </rcc>
  <rcc rId="1776" sId="22">
    <oc r="CA26">
      <f>Oct!HS27</f>
    </oc>
    <nc r="CA26">
      <f>Nov!HS27</f>
    </nc>
  </rcc>
  <rcc rId="1777" sId="22">
    <oc r="CB26">
      <f>Oct!HV27</f>
    </oc>
    <nc r="CB26">
      <f>Nov!HV27</f>
    </nc>
  </rcc>
  <rcc rId="1778" sId="22">
    <oc r="CC26">
      <f>Oct!HY27</f>
    </oc>
    <nc r="CC26">
      <f>Nov!HY27</f>
    </nc>
  </rcc>
  <rcc rId="1779" sId="22">
    <oc r="CD26">
      <f>Oct!IB27</f>
    </oc>
    <nc r="CD26">
      <f>Nov!IB27</f>
    </nc>
  </rcc>
  <rcc rId="1780" sId="22">
    <oc r="CE26">
      <f>Oct!IE27</f>
    </oc>
    <nc r="CE26">
      <f>Nov!IE27</f>
    </nc>
  </rcc>
  <rcc rId="1781" sId="22">
    <oc r="CF26">
      <f>Oct!IH27</f>
    </oc>
    <nc r="CF26">
      <f>Nov!IH27</f>
    </nc>
  </rcc>
  <rcc rId="1782" sId="22">
    <oc r="BX27">
      <f>Oct!HJ28</f>
    </oc>
    <nc r="BX27">
      <f>Nov!HJ28</f>
    </nc>
  </rcc>
  <rcc rId="1783" sId="22">
    <oc r="BY27">
      <f>Oct!HM28</f>
    </oc>
    <nc r="BY27">
      <f>Nov!HM28</f>
    </nc>
  </rcc>
  <rcc rId="1784" sId="22">
    <oc r="BZ27">
      <f>Oct!HP28</f>
    </oc>
    <nc r="BZ27">
      <f>Nov!HP28</f>
    </nc>
  </rcc>
  <rcc rId="1785" sId="22">
    <oc r="CA27">
      <f>Oct!HS28</f>
    </oc>
    <nc r="CA27">
      <f>Nov!HS28</f>
    </nc>
  </rcc>
  <rcc rId="1786" sId="22">
    <oc r="CB27">
      <f>Oct!HV28</f>
    </oc>
    <nc r="CB27">
      <f>Nov!HV28</f>
    </nc>
  </rcc>
  <rcc rId="1787" sId="22">
    <oc r="CC27">
      <f>Oct!HY28</f>
    </oc>
    <nc r="CC27">
      <f>Nov!HY28</f>
    </nc>
  </rcc>
  <rcc rId="1788" sId="22">
    <oc r="CD27">
      <f>Oct!IB28</f>
    </oc>
    <nc r="CD27">
      <f>Nov!IB28</f>
    </nc>
  </rcc>
  <rcc rId="1789" sId="22">
    <oc r="CE27">
      <f>Oct!IE28</f>
    </oc>
    <nc r="CE27">
      <f>Nov!IE28</f>
    </nc>
  </rcc>
  <rcc rId="1790" sId="22">
    <oc r="CF27">
      <f>Oct!IH28</f>
    </oc>
    <nc r="CF27">
      <f>Nov!IH28</f>
    </nc>
  </rcc>
  <rcc rId="1791" sId="22">
    <oc r="BX28">
      <f>Oct!HJ29</f>
    </oc>
    <nc r="BX28">
      <f>Nov!HJ29</f>
    </nc>
  </rcc>
  <rcc rId="1792" sId="22">
    <oc r="BY28">
      <f>Oct!HM29</f>
    </oc>
    <nc r="BY28">
      <f>Nov!HM29</f>
    </nc>
  </rcc>
  <rcc rId="1793" sId="22">
    <oc r="BZ28">
      <f>Oct!HP29</f>
    </oc>
    <nc r="BZ28">
      <f>Nov!HP29</f>
    </nc>
  </rcc>
  <rcc rId="1794" sId="22">
    <oc r="CA28">
      <f>Oct!HS29</f>
    </oc>
    <nc r="CA28">
      <f>Nov!HS29</f>
    </nc>
  </rcc>
  <rcc rId="1795" sId="22">
    <oc r="CB28">
      <f>Oct!HV29</f>
    </oc>
    <nc r="CB28">
      <f>Nov!HV29</f>
    </nc>
  </rcc>
  <rcc rId="1796" sId="22">
    <oc r="CC28">
      <f>Oct!HY29</f>
    </oc>
    <nc r="CC28">
      <f>Nov!HY29</f>
    </nc>
  </rcc>
  <rcc rId="1797" sId="22">
    <oc r="CD28">
      <f>Oct!IB29</f>
    </oc>
    <nc r="CD28">
      <f>Nov!IB29</f>
    </nc>
  </rcc>
  <rcc rId="1798" sId="22">
    <oc r="CE28">
      <f>Oct!IE29</f>
    </oc>
    <nc r="CE28">
      <f>Nov!IE29</f>
    </nc>
  </rcc>
  <rcc rId="1799" sId="22">
    <oc r="CF28">
      <f>Oct!IH29</f>
    </oc>
    <nc r="CF28">
      <f>Nov!IH29</f>
    </nc>
  </rcc>
  <rcc rId="1800" sId="22">
    <oc r="BX29">
      <f>Oct!HJ30</f>
    </oc>
    <nc r="BX29">
      <f>Nov!HJ30</f>
    </nc>
  </rcc>
  <rcc rId="1801" sId="22">
    <oc r="BY29">
      <f>Oct!HM30</f>
    </oc>
    <nc r="BY29">
      <f>Nov!HM30</f>
    </nc>
  </rcc>
  <rcc rId="1802" sId="22">
    <oc r="BZ29">
      <f>Oct!HP30</f>
    </oc>
    <nc r="BZ29">
      <f>Nov!HP30</f>
    </nc>
  </rcc>
  <rcc rId="1803" sId="22">
    <oc r="CA29">
      <f>Oct!HS30</f>
    </oc>
    <nc r="CA29">
      <f>Nov!HS30</f>
    </nc>
  </rcc>
  <rcc rId="1804" sId="22">
    <oc r="CB29">
      <f>Oct!HV30</f>
    </oc>
    <nc r="CB29">
      <f>Nov!HV30</f>
    </nc>
  </rcc>
  <rcc rId="1805" sId="22">
    <oc r="CC29">
      <f>Oct!HY30</f>
    </oc>
    <nc r="CC29">
      <f>Nov!HY30</f>
    </nc>
  </rcc>
  <rcc rId="1806" sId="22">
    <oc r="CD29">
      <f>Oct!IB30</f>
    </oc>
    <nc r="CD29">
      <f>Nov!IB30</f>
    </nc>
  </rcc>
  <rcc rId="1807" sId="22">
    <oc r="CE29">
      <f>Oct!IE30</f>
    </oc>
    <nc r="CE29">
      <f>Nov!IE30</f>
    </nc>
  </rcc>
  <rcc rId="1808" sId="22">
    <oc r="CF29">
      <f>Oct!IH30</f>
    </oc>
    <nc r="CF29">
      <f>Nov!IH30</f>
    </nc>
  </rcc>
  <rcc rId="1809" sId="22">
    <oc r="BX30">
      <f>Oct!HJ31</f>
    </oc>
    <nc r="BX30">
      <f>Nov!HJ31</f>
    </nc>
  </rcc>
  <rcc rId="1810" sId="22">
    <oc r="BY30">
      <f>Oct!HM31</f>
    </oc>
    <nc r="BY30">
      <f>Nov!HM31</f>
    </nc>
  </rcc>
  <rcc rId="1811" sId="22">
    <oc r="BZ30">
      <f>Oct!HP31</f>
    </oc>
    <nc r="BZ30">
      <f>Nov!HP31</f>
    </nc>
  </rcc>
  <rcc rId="1812" sId="22">
    <oc r="CA30">
      <f>Oct!HS31</f>
    </oc>
    <nc r="CA30">
      <f>Nov!HS31</f>
    </nc>
  </rcc>
  <rcc rId="1813" sId="22">
    <oc r="CB30">
      <f>Oct!HV31</f>
    </oc>
    <nc r="CB30">
      <f>Nov!HV31</f>
    </nc>
  </rcc>
  <rcc rId="1814" sId="22">
    <oc r="CC30">
      <f>Oct!HY31</f>
    </oc>
    <nc r="CC30">
      <f>Nov!HY31</f>
    </nc>
  </rcc>
  <rcc rId="1815" sId="22">
    <oc r="CD30">
      <f>Oct!IB31</f>
    </oc>
    <nc r="CD30">
      <f>Nov!IB31</f>
    </nc>
  </rcc>
  <rcc rId="1816" sId="22">
    <oc r="CE30">
      <f>Oct!IE31</f>
    </oc>
    <nc r="CE30">
      <f>Nov!IE31</f>
    </nc>
  </rcc>
  <rcc rId="1817" sId="22">
    <oc r="CF30">
      <f>Oct!IH31</f>
    </oc>
    <nc r="CF30">
      <f>Nov!IH31</f>
    </nc>
  </rcc>
  <rcc rId="1818" sId="22">
    <oc r="BX31">
      <f>Oct!HJ32</f>
    </oc>
    <nc r="BX31">
      <f>Nov!HJ32</f>
    </nc>
  </rcc>
  <rcc rId="1819" sId="22">
    <oc r="BY31">
      <f>Oct!HM32</f>
    </oc>
    <nc r="BY31">
      <f>Nov!HM32</f>
    </nc>
  </rcc>
  <rcc rId="1820" sId="22">
    <oc r="BZ31">
      <f>Oct!HP32</f>
    </oc>
    <nc r="BZ31">
      <f>Nov!HP32</f>
    </nc>
  </rcc>
  <rcc rId="1821" sId="22">
    <oc r="CA31">
      <f>Oct!HS32</f>
    </oc>
    <nc r="CA31">
      <f>Nov!HS32</f>
    </nc>
  </rcc>
  <rcc rId="1822" sId="22">
    <oc r="CB31">
      <f>Oct!HV32</f>
    </oc>
    <nc r="CB31">
      <f>Nov!HV32</f>
    </nc>
  </rcc>
  <rcc rId="1823" sId="22">
    <oc r="CC31">
      <f>Oct!HY32</f>
    </oc>
    <nc r="CC31">
      <f>Nov!HY32</f>
    </nc>
  </rcc>
  <rcc rId="1824" sId="22">
    <oc r="CD31">
      <f>Oct!IB32</f>
    </oc>
    <nc r="CD31">
      <f>Nov!IB32</f>
    </nc>
  </rcc>
  <rcc rId="1825" sId="22">
    <oc r="CE31">
      <f>Oct!IE32</f>
    </oc>
    <nc r="CE31">
      <f>Nov!IE32</f>
    </nc>
  </rcc>
  <rcc rId="1826" sId="22">
    <oc r="CF31">
      <f>Oct!IH32</f>
    </oc>
    <nc r="CF31">
      <f>Nov!IH32</f>
    </nc>
  </rcc>
  <rcc rId="1827" sId="22">
    <oc r="BX32">
      <f>Oct!HJ33</f>
    </oc>
    <nc r="BX32">
      <f>Nov!HJ33</f>
    </nc>
  </rcc>
  <rcc rId="1828" sId="22">
    <oc r="BY32">
      <f>Oct!HM33</f>
    </oc>
    <nc r="BY32">
      <f>Nov!HM33</f>
    </nc>
  </rcc>
  <rcc rId="1829" sId="22">
    <oc r="BZ32">
      <f>Oct!HP33</f>
    </oc>
    <nc r="BZ32">
      <f>Nov!HP33</f>
    </nc>
  </rcc>
  <rcc rId="1830" sId="22">
    <oc r="CA32">
      <f>Oct!HS33</f>
    </oc>
    <nc r="CA32">
      <f>Nov!HS33</f>
    </nc>
  </rcc>
  <rcc rId="1831" sId="22">
    <oc r="CB32">
      <f>Oct!HV33</f>
    </oc>
    <nc r="CB32">
      <f>Nov!HV33</f>
    </nc>
  </rcc>
  <rcc rId="1832" sId="22">
    <oc r="CC32">
      <f>Oct!HY33</f>
    </oc>
    <nc r="CC32">
      <f>Nov!HY33</f>
    </nc>
  </rcc>
  <rcc rId="1833" sId="22">
    <oc r="CD32">
      <f>Oct!IB33</f>
    </oc>
    <nc r="CD32">
      <f>Nov!IB33</f>
    </nc>
  </rcc>
  <rcc rId="1834" sId="22">
    <oc r="CE32">
      <f>Oct!IE33</f>
    </oc>
    <nc r="CE32">
      <f>Nov!IE33</f>
    </nc>
  </rcc>
  <rcc rId="1835" sId="22">
    <oc r="CF32">
      <f>Oct!IH33</f>
    </oc>
    <nc r="CF32">
      <f>Nov!IH33</f>
    </nc>
  </rcc>
  <rcc rId="1836" sId="22">
    <oc r="BX33">
      <f>Oct!HJ34</f>
    </oc>
    <nc r="BX33">
      <f>Nov!HJ34</f>
    </nc>
  </rcc>
  <rcc rId="1837" sId="22">
    <oc r="BY33">
      <f>Oct!HM34</f>
    </oc>
    <nc r="BY33">
      <f>Nov!HM34</f>
    </nc>
  </rcc>
  <rcc rId="1838" sId="22">
    <oc r="BZ33">
      <f>Oct!HP34</f>
    </oc>
    <nc r="BZ33">
      <f>Nov!HP34</f>
    </nc>
  </rcc>
  <rcc rId="1839" sId="22">
    <oc r="CA33">
      <f>Oct!HS34</f>
    </oc>
    <nc r="CA33">
      <f>Nov!HS34</f>
    </nc>
  </rcc>
  <rcc rId="1840" sId="22">
    <oc r="CB33">
      <f>Oct!HV34</f>
    </oc>
    <nc r="CB33">
      <f>Nov!HV34</f>
    </nc>
  </rcc>
  <rcc rId="1841" sId="22">
    <oc r="CC33">
      <f>Oct!HY34</f>
    </oc>
    <nc r="CC33">
      <f>Nov!HY34</f>
    </nc>
  </rcc>
  <rcc rId="1842" sId="22">
    <oc r="CD33">
      <f>Oct!IB34</f>
    </oc>
    <nc r="CD33">
      <f>Nov!IB34</f>
    </nc>
  </rcc>
  <rcc rId="1843" sId="22">
    <oc r="CE33">
      <f>Oct!IE34</f>
    </oc>
    <nc r="CE33">
      <f>Nov!IE34</f>
    </nc>
  </rcc>
  <rcc rId="1844" sId="22">
    <oc r="CF33">
      <f>Oct!IH34</f>
    </oc>
    <nc r="CF33">
      <f>Nov!IH34</f>
    </nc>
  </rcc>
  <rcc rId="1845" sId="22">
    <oc r="BX34">
      <f>Oct!HJ35</f>
    </oc>
    <nc r="BX34">
      <f>Nov!HJ35</f>
    </nc>
  </rcc>
  <rcc rId="1846" sId="22">
    <oc r="BY34">
      <f>Oct!HM35</f>
    </oc>
    <nc r="BY34">
      <f>Nov!HM35</f>
    </nc>
  </rcc>
  <rcc rId="1847" sId="22">
    <oc r="BZ34">
      <f>Oct!HP35</f>
    </oc>
    <nc r="BZ34">
      <f>Nov!HP35</f>
    </nc>
  </rcc>
  <rcc rId="1848" sId="22">
    <oc r="CA34">
      <f>Oct!HS35</f>
    </oc>
    <nc r="CA34">
      <f>Nov!HS35</f>
    </nc>
  </rcc>
  <rcc rId="1849" sId="22">
    <oc r="CB34">
      <f>Oct!HV35</f>
    </oc>
    <nc r="CB34">
      <f>Nov!HV35</f>
    </nc>
  </rcc>
  <rcc rId="1850" sId="22">
    <oc r="CC34">
      <f>Oct!HY35</f>
    </oc>
    <nc r="CC34">
      <f>Nov!HY35</f>
    </nc>
  </rcc>
  <rcc rId="1851" sId="22">
    <oc r="CD34">
      <f>Oct!IB35</f>
    </oc>
    <nc r="CD34">
      <f>Nov!IB35</f>
    </nc>
  </rcc>
  <rcc rId="1852" sId="22">
    <oc r="CE34">
      <f>Oct!IE35</f>
    </oc>
    <nc r="CE34">
      <f>Nov!IE35</f>
    </nc>
  </rcc>
  <rcc rId="1853" sId="22">
    <oc r="CF34">
      <f>Oct!IH35</f>
    </oc>
    <nc r="CF34">
      <f>Nov!IH35</f>
    </nc>
  </rcc>
  <rcc rId="1854" sId="22">
    <oc r="BX35">
      <f>Oct!HJ36</f>
    </oc>
    <nc r="BX35">
      <f>Nov!HJ36</f>
    </nc>
  </rcc>
  <rcc rId="1855" sId="22">
    <oc r="BY35">
      <f>Oct!HM36</f>
    </oc>
    <nc r="BY35">
      <f>Nov!HM36</f>
    </nc>
  </rcc>
  <rcc rId="1856" sId="22">
    <oc r="BZ35">
      <f>Oct!HP36</f>
    </oc>
    <nc r="BZ35">
      <f>Nov!HP36</f>
    </nc>
  </rcc>
  <rcc rId="1857" sId="22">
    <oc r="CA35">
      <f>Oct!HS36</f>
    </oc>
    <nc r="CA35">
      <f>Nov!HS36</f>
    </nc>
  </rcc>
  <rcc rId="1858" sId="22">
    <oc r="CB35">
      <f>Oct!HV36</f>
    </oc>
    <nc r="CB35">
      <f>Nov!HV36</f>
    </nc>
  </rcc>
  <rcc rId="1859" sId="22">
    <oc r="CC35">
      <f>Oct!HY36</f>
    </oc>
    <nc r="CC35">
      <f>Nov!HY36</f>
    </nc>
  </rcc>
  <rcc rId="1860" sId="22">
    <oc r="CD35">
      <f>Oct!IB36</f>
    </oc>
    <nc r="CD35">
      <f>Nov!IB36</f>
    </nc>
  </rcc>
  <rcc rId="1861" sId="22">
    <oc r="CE35">
      <f>Oct!IE36</f>
    </oc>
    <nc r="CE35">
      <f>Nov!IE36</f>
    </nc>
  </rcc>
  <rcc rId="1862" sId="22">
    <oc r="CF35">
      <f>Oct!IH36</f>
    </oc>
    <nc r="CF35">
      <f>Nov!IH36</f>
    </nc>
  </rcc>
  <rcc rId="1863" sId="22">
    <oc r="BX36">
      <f>Oct!HJ37</f>
    </oc>
    <nc r="BX36">
      <f>Nov!HJ37</f>
    </nc>
  </rcc>
  <rcc rId="1864" sId="22">
    <oc r="BY36">
      <f>Oct!HM37</f>
    </oc>
    <nc r="BY36">
      <f>Nov!HM37</f>
    </nc>
  </rcc>
  <rcc rId="1865" sId="22">
    <oc r="BZ36">
      <f>Oct!HP37</f>
    </oc>
    <nc r="BZ36">
      <f>Nov!HP37</f>
    </nc>
  </rcc>
  <rcc rId="1866" sId="22">
    <oc r="CA36">
      <f>Oct!HS37</f>
    </oc>
    <nc r="CA36">
      <f>Nov!HS37</f>
    </nc>
  </rcc>
  <rcc rId="1867" sId="22">
    <oc r="CB36">
      <f>Oct!HV37</f>
    </oc>
    <nc r="CB36">
      <f>Nov!HV37</f>
    </nc>
  </rcc>
  <rcc rId="1868" sId="22">
    <oc r="CC36">
      <f>Oct!HY37</f>
    </oc>
    <nc r="CC36">
      <f>Nov!HY37</f>
    </nc>
  </rcc>
  <rcc rId="1869" sId="22">
    <oc r="CD36">
      <f>Oct!IB37</f>
    </oc>
    <nc r="CD36">
      <f>Nov!IB37</f>
    </nc>
  </rcc>
  <rcc rId="1870" sId="22">
    <oc r="CE36">
      <f>Oct!IE37</f>
    </oc>
    <nc r="CE36">
      <f>Nov!IE37</f>
    </nc>
  </rcc>
  <rcc rId="1871" sId="22">
    <oc r="CF36">
      <f>Oct!IH37</f>
    </oc>
    <nc r="CF36">
      <f>Nov!IH37</f>
    </nc>
  </rcc>
  <rcc rId="1872" sId="22">
    <oc r="BX37">
      <f>Oct!HJ38</f>
    </oc>
    <nc r="BX37">
      <f>Nov!HJ38</f>
    </nc>
  </rcc>
  <rcc rId="1873" sId="22">
    <oc r="BY37">
      <f>Oct!HM38</f>
    </oc>
    <nc r="BY37">
      <f>Nov!HM38</f>
    </nc>
  </rcc>
  <rcc rId="1874" sId="22">
    <oc r="BZ37">
      <f>Oct!HP38</f>
    </oc>
    <nc r="BZ37">
      <f>Nov!HP38</f>
    </nc>
  </rcc>
  <rcc rId="1875" sId="22">
    <oc r="CA37">
      <f>Oct!HS38</f>
    </oc>
    <nc r="CA37">
      <f>Nov!HS38</f>
    </nc>
  </rcc>
  <rcc rId="1876" sId="22">
    <oc r="CB37">
      <f>Oct!HV38</f>
    </oc>
    <nc r="CB37">
      <f>Nov!HV38</f>
    </nc>
  </rcc>
  <rcc rId="1877" sId="22">
    <oc r="CC37">
      <f>Oct!HY38</f>
    </oc>
    <nc r="CC37">
      <f>Nov!HY38</f>
    </nc>
  </rcc>
  <rcc rId="1878" sId="22">
    <oc r="CD37">
      <f>Oct!IB38</f>
    </oc>
    <nc r="CD37">
      <f>Nov!IB38</f>
    </nc>
  </rcc>
  <rcc rId="1879" sId="22">
    <oc r="CE37">
      <f>Oct!IE38</f>
    </oc>
    <nc r="CE37">
      <f>Nov!IE38</f>
    </nc>
  </rcc>
  <rcc rId="1880" sId="22">
    <oc r="CF37">
      <f>Oct!IH38</f>
    </oc>
    <nc r="CF37">
      <f>Nov!IH38</f>
    </nc>
  </rcc>
  <rcc rId="1881" sId="21">
    <oc r="HJ8">
      <v>162000</v>
    </oc>
    <nc r="HJ8">
      <f>IF((HH8-HH7)&lt;=0,0,(HH8-HH7)*1000)</f>
    </nc>
  </rcc>
  <rcc rId="1882" sId="21">
    <oc r="HP8">
      <v>41885.000000000364</v>
    </oc>
    <nc r="HP8">
      <f>IFERROR(IF((HN8-HN7)&lt;=0,0,(HN8-HN7)*1000)+IL45,0)</f>
    </nc>
  </rcc>
  <rcc rId="1883" sId="21">
    <oc r="HS8">
      <v>11385.000000000364</v>
    </oc>
    <nc r="HS8">
      <f>IFERROR(IF((HQ8-HQ7)&lt;=0,0,(HQ8-HQ7)*1000)+IL45,0)</f>
    </nc>
  </rcc>
  <rcc rId="1884" sId="21">
    <oc r="IB8">
      <v>32300</v>
    </oc>
    <nc r="IB8">
      <f>IF((HZ8-HZ7)&lt;=0,0,(HZ8-HZ7))</f>
    </nc>
  </rcc>
  <rcc rId="1885" sId="21">
    <oc r="HV8">
      <v>30085.000000000182</v>
    </oc>
    <nc r="HV8">
      <f>IFERROR(IF((HT8-HT7)&lt;=0,0,(HT8-HT7)*1000)+IL45,0)</f>
    </nc>
  </rcc>
  <rcc rId="1886" sId="21">
    <oc r="HY8">
      <v>19745.000000000036</v>
    </oc>
    <nc r="HY8">
      <f>IFERROR(IF((HW8-HW7)&lt;=0,0,(HW8-HW7)*1000)+IL45,0)</f>
    </nc>
  </rcc>
  <rcc rId="1887" sId="21">
    <oc r="IE8">
      <v>0</v>
    </oc>
    <nc r="IE8">
      <f>IF((IC8-IC7)&lt;=0,0,(IC8-IC7))</f>
    </nc>
  </rcc>
  <rcc rId="1888" sId="21">
    <oc r="IE9">
      <v>0</v>
    </oc>
    <nc r="IE9">
      <f>IF((IC9-IC8)&lt;=0,0,(IC9-IC8))</f>
    </nc>
  </rcc>
  <rcc rId="1889" sId="21" numFmtId="34">
    <oc r="IH8">
      <v>26600</v>
    </oc>
    <nc r="IH8">
      <f>DT8</f>
    </nc>
  </rcc>
  <rcc rId="1890" sId="21" numFmtId="34">
    <oc r="II8">
      <v>-9.1677065938711166E-10</v>
    </oc>
    <nc r="II8">
      <f>HJ8+HM8-HS8-HV8-HY8-IH8-HP8-IB8-IE8</f>
    </nc>
  </rcc>
  <rcc rId="1891" sId="21" odxf="1" dxf="1">
    <oc r="IL8">
      <v>0</v>
    </oc>
    <nc r="IL8">
      <f>IF((IJ8-IJ7)&lt;=0,0,(IJ8-IJ7))</f>
    </nc>
    <odxf/>
    <ndxf/>
  </rcc>
  <rcc rId="1892" sId="21" odxf="1" dxf="1">
    <oc r="IO8">
      <v>0</v>
    </oc>
    <nc r="IO8">
      <f>IF((IM8-IM7)&lt;=0,0,(IM8-IM7)*1000)</f>
    </nc>
    <odxf/>
    <ndxf/>
  </rcc>
  <rcc rId="1893" sId="21" odxf="1" dxf="1">
    <oc r="IR8">
      <v>0</v>
    </oc>
    <nc r="IR8">
      <f>IF((IP8-IP7)&lt;=0,0,(IP8-IP7))</f>
    </nc>
    <odxf/>
    <ndxf/>
  </rcc>
  <rcc rId="1894" sId="21" odxf="1" dxf="1">
    <oc r="IU8">
      <v>0</v>
    </oc>
    <nc r="IU8">
      <f>IF((IS8-IS7)&lt;=0,0,(IS8-IS7))</f>
    </nc>
    <odxf/>
    <ndxf/>
  </rcc>
  <rfmt sheetId="21" sqref="IV8" start="0" length="0">
    <dxf/>
  </rfmt>
  <rfmt sheetId="21" sqref="IW8" start="0" length="0">
    <dxf/>
  </rfmt>
  <rcc rId="1895" sId="21" odxf="1" dxf="1">
    <oc r="IX8">
      <v>0</v>
    </oc>
    <nc r="IX8">
      <f>IF((IV8-IV7)&lt;=0,0,(IV8-IV7))</f>
    </nc>
    <odxf/>
    <ndxf/>
  </rcc>
  <rfmt sheetId="21" sqref="IY8" start="0" length="0">
    <dxf/>
  </rfmt>
  <rfmt sheetId="21" sqref="IZ8" start="0" length="0">
    <dxf/>
  </rfmt>
  <rcc rId="1896" sId="21" odxf="1" dxf="1">
    <oc r="JA8">
      <v>0</v>
    </oc>
    <nc r="JA8">
      <f>IF((IY8-IY7)&lt;=0,0,(IY8-IY7))</f>
    </nc>
    <odxf/>
    <ndxf/>
  </rcc>
  <rfmt sheetId="21" sqref="JB8" start="0" length="0">
    <dxf/>
  </rfmt>
  <rfmt sheetId="21" sqref="JC8" start="0" length="0">
    <dxf/>
  </rfmt>
  <rcc rId="1897" sId="21" odxf="1" dxf="1">
    <oc r="JD8">
      <v>0</v>
    </oc>
    <nc r="JD8">
      <f>IF((JB8-JB7)&lt;=0,0,(JB8-JB7))</f>
    </nc>
    <odxf/>
    <ndxf/>
  </rcc>
  <rfmt sheetId="21" sqref="JE8" start="0" length="0">
    <dxf/>
  </rfmt>
  <rfmt sheetId="21" sqref="JF8" start="0" length="0">
    <dxf/>
  </rfmt>
  <rcc rId="1898" sId="21" odxf="1" dxf="1">
    <oc r="JG8">
      <v>0</v>
    </oc>
    <nc r="JG8">
      <f>IF((JE8-JE7)&lt;=0,0,(JE8-JE7))</f>
    </nc>
    <odxf/>
    <ndxf/>
  </rcc>
  <rcc rId="1899" sId="21" odxf="1" dxf="1">
    <oc r="JJ8">
      <v>0</v>
    </oc>
    <nc r="JJ8">
      <f>IF((JH8-JH7)&lt;=0,0,(JH8-JH7))</f>
    </nc>
    <odxf/>
    <ndxf/>
  </rcc>
  <rcc rId="1900" sId="21" odxf="1" dxf="1">
    <oc r="JM8">
      <v>0</v>
    </oc>
    <nc r="JM8">
      <f>IF((JK8-JK7)&lt;=0,0,(JK8-JK7))</f>
    </nc>
    <odxf/>
    <ndxf/>
  </rcc>
  <rcc rId="1901" sId="21" odxf="1" dxf="1">
    <oc r="JP8">
      <v>0</v>
    </oc>
    <nc r="JP8">
      <f>IF((JN8-JN7)&lt;=0,0,(JN8-JN7))</f>
    </nc>
    <odxf/>
    <ndxf/>
  </rcc>
  <rcc rId="1902" sId="21" odxf="1" dxf="1">
    <oc r="JS8">
      <v>0</v>
    </oc>
    <nc r="JS8">
      <f>IF((JQ8-JQ7)&lt;=0,0,(JQ8-JQ7))</f>
    </nc>
    <odxf/>
    <ndxf/>
  </rcc>
  <rcc rId="1903" sId="21" odxf="1" dxf="1">
    <oc r="JV8">
      <v>0</v>
    </oc>
    <nc r="JV8">
      <f>IF((JT8-JT7)&lt;=0,0,(JT8-JT7))</f>
    </nc>
    <odxf/>
    <ndxf/>
  </rcc>
  <rcc rId="1904" sId="21" odxf="1" dxf="1">
    <oc r="JY8">
      <v>0</v>
    </oc>
    <nc r="JY8">
      <f>IF((JW8-JW7)&lt;=0,0,(JW8-JW7))</f>
    </nc>
    <odxf/>
    <ndxf/>
  </rcc>
  <rcc rId="1905" sId="21" odxf="1" dxf="1">
    <oc r="KB8">
      <v>0</v>
    </oc>
    <nc r="KB8">
      <f>IF((JZ8-JZ7)&lt;=0,0,(JZ8-JZ7))</f>
    </nc>
    <odxf/>
    <ndxf/>
  </rcc>
  <rfmt sheetId="21" sqref="KC8" start="0" length="0">
    <dxf/>
  </rfmt>
  <rfmt sheetId="21" sqref="KD8" start="0" length="0">
    <dxf/>
  </rfmt>
  <rcc rId="1906" sId="21" odxf="1" dxf="1">
    <oc r="KE8">
      <v>0</v>
    </oc>
    <nc r="KE8">
      <f>IF((KC8-KC7)&lt;=0,0,(KC8-KC7))</f>
    </nc>
    <odxf/>
    <ndxf/>
  </rcc>
  <rcc rId="1907" sId="21" numFmtId="34">
    <oc r="KG8">
      <v>74184.999999999447</v>
    </oc>
    <nc r="KG8">
      <f>HJ8+HM8-HS8-HV8-HY8-IH8</f>
    </nc>
  </rcc>
  <rcc rId="1908" sId="21">
    <nc r="HG7">
      <v>31</v>
    </nc>
  </rcc>
  <rfmt sheetId="21" sqref="HG7">
    <dxf>
      <alignment horizontal="right" readingOrder="0"/>
    </dxf>
  </rfmt>
  <rcc rId="1909" sId="21">
    <oc r="HM8">
      <v>0</v>
    </oc>
    <nc r="HM8">
      <f>IF((HK8-HK7)&lt;=0,0,(HK8-HK7))</f>
    </nc>
  </rcc>
  <rcc rId="1910" sId="21">
    <oc r="II46">
      <f>DailyOct!BX7+DailyOct!BY7-DailyOct!BZ7-DailyOct!CA7-DailyOct!CB7-DailyOct!CC7-DailyOct!CD7-DailyOct!CF7-DailyOct!CE7</f>
    </oc>
    <nc r="II46">
      <f>IFERROR(DailyNov!BX7+DailyNov!BY7-DailyNov!BZ7-DailyNov!CA7-DailyONov!CB7-DailyNov!CC7-DailyOct!CD7-DailyNov!CF7-DailyNov!CE7,"-")</f>
    </nc>
  </rcc>
  <rcc rId="1911" sId="21">
    <oc r="II47">
      <f>DailyOct!BX8+DailyOct!BY8-DailyOct!BZ8-DailyOct!CA8-DailyOct!CB8-DailyOct!CC8-DailyOct!CD8-DailyOct!CF8-DailyOct!CE8</f>
    </oc>
    <nc r="II47">
      <f>IFERROR(DailyNov!BX8+DailyNov!BY8-DailyNov!BZ8-DailyNov!CA8-DailyONov!CB8-DailyNov!CC8-DailyOct!CD8-DailyNov!CF8-DailyNov!CE8,"-")</f>
    </nc>
  </rcc>
  <rcc rId="1912" sId="21">
    <oc r="II48">
      <f>DailyOct!BX9+DailyOct!BY9-DailyOct!BZ9-DailyOct!CA9-DailyOct!CB9-DailyOct!CC9-DailyOct!CD9-DailyOct!CF9-DailyOct!CE9</f>
    </oc>
    <nc r="II48">
      <f>IFERROR(DailyNov!BX9+DailyNov!BY9-DailyNov!BZ9-DailyNov!CA9-DailyONov!CB9-DailyNov!CC9-DailyOct!CD9-DailyNov!CF9-DailyNov!CE9,"-")</f>
    </nc>
  </rcc>
  <rcc rId="1913" sId="21">
    <oc r="II49">
      <f>DailyOct!BX10+DailyOct!BY10-DailyOct!BZ10-DailyOct!CA10-DailyOct!CB10-DailyOct!CC10-DailyOct!CD10-DailyOct!CF10-DailyOct!CE10</f>
    </oc>
    <nc r="II49">
      <f>IFERROR(DailyNov!BX10+DailyNov!BY10-DailyNov!BZ10-DailyNov!CA10-DailyONov!CB10-DailyNov!CC10-DailyOct!CD10-DailyNov!CF10-DailyNov!CE10,"-")</f>
    </nc>
  </rcc>
  <rcc rId="1914" sId="21">
    <oc r="II50">
      <f>DailyOct!BX11+DailyOct!BY11-DailyOct!BZ11-DailyOct!CA11-DailyOct!CB11-DailyOct!CC11-DailyOct!CD11-DailyOct!CF11-DailyOct!CE11</f>
    </oc>
    <nc r="II50">
      <f>IFERROR(DailyNov!BX11+DailyNov!BY11-DailyNov!BZ11-DailyNov!CA11-DailyONov!CB11-DailyNov!CC11-DailyOct!CD11-DailyNov!CF11-DailyNov!CE11,"-")</f>
    </nc>
  </rcc>
  <rcc rId="1915" sId="21">
    <oc r="II51">
      <f>DailyOct!BX12+DailyOct!BY12-DailyOct!BZ12-DailyOct!CA12-DailyOct!CB12-DailyOct!CC12-DailyOct!CD12-DailyOct!CF12-DailyOct!CE12</f>
    </oc>
    <nc r="II51">
      <f>IFERROR(DailyNov!BX12+DailyNov!BY12-DailyNov!BZ12-DailyNov!CA12-DailyONov!CB12-DailyNov!CC12-DailyOct!CD12-DailyNov!CF12-DailyNov!CE12,"-")</f>
    </nc>
  </rcc>
  <rcc rId="1916" sId="21">
    <oc r="II52">
      <f>DailyOct!BX13+DailyOct!BY13-DailyOct!BZ13-DailyOct!CA13-DailyOct!CB13-DailyOct!CC13-DailyOct!CD13-DailyOct!CF13-DailyOct!CE13</f>
    </oc>
    <nc r="II52">
      <f>IFERROR(DailyNov!BX13+DailyNov!BY13-DailyNov!BZ13-DailyNov!CA13-DailyONov!CB13-DailyNov!CC13-DailyOct!CD13-DailyNov!CF13-DailyNov!CE13,"-")</f>
    </nc>
  </rcc>
  <rcc rId="1917" sId="21">
    <oc r="II53">
      <f>DailyOct!BX14+DailyOct!BY14-DailyOct!BZ14-DailyOct!CA14-DailyOct!CB14-DailyOct!CC14-DailyOct!CD14-DailyOct!CF14-DailyOct!CE14</f>
    </oc>
    <nc r="II53">
      <f>IFERROR(DailyNov!BX14+DailyNov!BY14-DailyNov!BZ14-DailyNov!CA14-DailyONov!CB14-DailyNov!CC14-DailyOct!CD14-DailyNov!CF14-DailyNov!CE14,"-")</f>
    </nc>
  </rcc>
  <rcc rId="1918" sId="21">
    <oc r="II54">
      <f>DailyOct!BX15+DailyOct!BY15-DailyOct!BZ15-DailyOct!CA15-DailyOct!CB15-DailyOct!CC15-DailyOct!CD15-DailyOct!CF15-DailyOct!CE15</f>
    </oc>
    <nc r="II54">
      <f>IFERROR(DailyNov!BX15+DailyNov!BY15-DailyNov!BZ15-DailyNov!CA15-DailyONov!CB15-DailyNov!CC15-DailyOct!CD15-DailyNov!CF15-DailyNov!CE15,"-")</f>
    </nc>
  </rcc>
  <rcc rId="1919" sId="21">
    <oc r="II55">
      <f>DailyOct!BX16+DailyOct!BY16-DailyOct!BZ16-DailyOct!CA16-DailyOct!CB16-DailyOct!CC16-DailyOct!CD16-DailyOct!CF16-DailyOct!CE16</f>
    </oc>
    <nc r="II55">
      <f>IFERROR(DailyNov!BX16+DailyNov!BY16-DailyNov!BZ16-DailyNov!CA16-DailyONov!CB16-DailyNov!CC16-DailyOct!CD16-DailyNov!CF16-DailyNov!CE16,"-")</f>
    </nc>
  </rcc>
  <rcc rId="1920" sId="21">
    <oc r="II56">
      <f>DailyOct!BX17+DailyOct!BY17-DailyOct!BZ17-DailyOct!CA17-DailyOct!CB17-DailyOct!CC17-DailyOct!CD17-DailyOct!CF17-DailyOct!CE17</f>
    </oc>
    <nc r="II56">
      <f>IFERROR(DailyNov!BX17+DailyNov!BY17-DailyNov!BZ17-DailyNov!CA17-DailyONov!CB17-DailyNov!CC17-DailyOct!CD17-DailyNov!CF17-DailyNov!CE17,"-")</f>
    </nc>
  </rcc>
  <rcc rId="1921" sId="21">
    <oc r="II57">
      <f>DailyOct!BX18+DailyOct!BY18-DailyOct!BZ18-DailyOct!CA18-DailyOct!CB18-DailyOct!CC18-DailyOct!CD18-DailyOct!CF18-DailyOct!CE18</f>
    </oc>
    <nc r="II57">
      <f>IFERROR(DailyNov!BX18+DailyNov!BY18-DailyNov!BZ18-DailyNov!CA18-DailyONov!CB18-DailyNov!CC18-DailyOct!CD18-DailyNov!CF18-DailyNov!CE18,"-")</f>
    </nc>
  </rcc>
  <rcc rId="1922" sId="21">
    <oc r="II58">
      <f>DailyOct!BX19+DailyOct!BY19-DailyOct!BZ19-DailyOct!CA19-DailyOct!CB19-DailyOct!CC19-DailyOct!CD19-DailyOct!CF19-DailyOct!CE19</f>
    </oc>
    <nc r="II58">
      <f>IFERROR(DailyNov!BX19+DailyNov!BY19-DailyNov!BZ19-DailyNov!CA19-DailyONov!CB19-DailyNov!CC19-DailyOct!CD19-DailyNov!CF19-DailyNov!CE19,"-")</f>
    </nc>
  </rcc>
  <rcc rId="1923" sId="21">
    <oc r="II59">
      <f>DailyOct!BX20+DailyOct!BY20-DailyOct!BZ20-DailyOct!CA20-DailyOct!CB20-DailyOct!CC20-DailyOct!CD20-DailyOct!CF20-DailyOct!CE20</f>
    </oc>
    <nc r="II59">
      <f>IFERROR(DailyNov!BX20+DailyNov!BY20-DailyNov!BZ20-DailyNov!CA20-DailyONov!CB20-DailyNov!CC20-DailyOct!CD20-DailyNov!CF20-DailyNov!CE20,"-")</f>
    </nc>
  </rcc>
  <rcc rId="1924" sId="21">
    <oc r="II60">
      <f>DailyOct!BX21+DailyOct!BY21-DailyOct!BZ21-DailyOct!CA21-DailyOct!CB21-DailyOct!CC21-DailyOct!CD21-DailyOct!CF21-DailyOct!CE21</f>
    </oc>
    <nc r="II60">
      <f>IFERROR(DailyNov!BX21+DailyNov!BY21-DailyNov!BZ21-DailyNov!CA21-DailyONov!CB21-DailyNov!CC21-DailyOct!CD21-DailyNov!CF21-DailyNov!CE21,"-")</f>
    </nc>
  </rcc>
  <rcc rId="1925" sId="21">
    <oc r="II61">
      <f>DailyOct!BX22+DailyOct!BY22-DailyOct!BZ22-DailyOct!CA22-DailyOct!CB22-DailyOct!CC22-DailyOct!CD22-DailyOct!CF22-DailyOct!CE22</f>
    </oc>
    <nc r="II61">
      <f>IFERROR(DailyNov!BX22+DailyNov!BY22-DailyNov!BZ22-DailyNov!CA22-DailyONov!CB22-DailyNov!CC22-DailyOct!CD22-DailyNov!CF22-DailyNov!CE22,"-")</f>
    </nc>
  </rcc>
  <rcc rId="1926" sId="21">
    <oc r="II62">
      <f>DailyOct!BX23+DailyOct!BY23-DailyOct!BZ23-DailyOct!CA23-DailyOct!CB23-DailyOct!CC23-DailyOct!CD23-DailyOct!CF23-DailyOct!CE23</f>
    </oc>
    <nc r="II62">
      <f>IFERROR(DailyNov!BX23+DailyNov!BY23-DailyNov!BZ23-DailyNov!CA23-DailyONov!CB23-DailyNov!CC23-DailyOct!CD23-DailyNov!CF23-DailyNov!CE23,"-")</f>
    </nc>
  </rcc>
  <rcc rId="1927" sId="21">
    <oc r="II63">
      <f>DailyOct!BX24+DailyOct!BY24-DailyOct!BZ24-DailyOct!CA24-DailyOct!CB24-DailyOct!CC24-DailyOct!CD24-DailyOct!CF24-DailyOct!CE24</f>
    </oc>
    <nc r="II63">
      <f>IFERROR(DailyNov!BX24+DailyNov!BY24-DailyNov!BZ24-DailyNov!CA24-DailyONov!CB24-DailyNov!CC24-DailyOct!CD24-DailyNov!CF24-DailyNov!CE24,"-")</f>
    </nc>
  </rcc>
  <rcc rId="1928" sId="21">
    <oc r="II64">
      <f>DailyOct!BX25+DailyOct!BY25-DailyOct!BZ25-DailyOct!CA25-DailyOct!CB25-DailyOct!CC25-DailyOct!CD25-DailyOct!CF25-DailyOct!CE25</f>
    </oc>
    <nc r="II64">
      <f>IFERROR(DailyNov!BX25+DailyNov!BY25-DailyNov!BZ25-DailyNov!CA25-DailyONov!CB25-DailyNov!CC25-DailyOct!CD25-DailyNov!CF25-DailyNov!CE25,"-")</f>
    </nc>
  </rcc>
  <rcc rId="1929" sId="21">
    <oc r="II65">
      <f>DailyOct!BX26+DailyOct!BY26-DailyOct!BZ26-DailyOct!CA26-DailyOct!CB26-DailyOct!CC26-DailyOct!CD26-DailyOct!CF26-DailyOct!CE26</f>
    </oc>
    <nc r="II65">
      <f>IFERROR(DailyNov!BX26+DailyNov!BY26-DailyNov!BZ26-DailyNov!CA26-DailyONov!CB26-DailyNov!CC26-DailyOct!CD26-DailyNov!CF26-DailyNov!CE26,"-")</f>
    </nc>
  </rcc>
  <rcc rId="1930" sId="21">
    <oc r="II66">
      <f>DailyOct!BX27+DailyOct!BY27-DailyOct!BZ27-DailyOct!CA27-DailyOct!CB27-DailyOct!CC27-DailyOct!CD27-DailyOct!CF27-DailyOct!CE27</f>
    </oc>
    <nc r="II66">
      <f>IFERROR(DailyNov!BX27+DailyNov!BY27-DailyNov!BZ27-DailyNov!CA27-DailyONov!CB27-DailyNov!CC27-DailyOct!CD27-DailyNov!CF27-DailyNov!CE27,"-")</f>
    </nc>
  </rcc>
  <rcc rId="1931" sId="21">
    <oc r="II67">
      <f>DailyOct!BX28+DailyOct!BY28-DailyOct!BZ28-DailyOct!CA28-DailyOct!CB28-DailyOct!CC28-DailyOct!CD28-DailyOct!CF28-DailyOct!CE28</f>
    </oc>
    <nc r="II67">
      <f>IFERROR(DailyNov!BX28+DailyNov!BY28-DailyNov!BZ28-DailyNov!CA28-DailyONov!CB28-DailyNov!CC28-DailyOct!CD28-DailyNov!CF28-DailyNov!CE28,"-")</f>
    </nc>
  </rcc>
  <rcc rId="1932" sId="21">
    <oc r="II68">
      <f>DailyOct!BX29+DailyOct!BY29-DailyOct!BZ29-DailyOct!CA29-DailyOct!CB29-DailyOct!CC29-DailyOct!CD29-DailyOct!CF29-DailyOct!CE29</f>
    </oc>
    <nc r="II68">
      <f>IFERROR(DailyNov!BX29+DailyNov!BY29-DailyNov!BZ29-DailyNov!CA29-DailyONov!CB29-DailyNov!CC29-DailyOct!CD29-DailyNov!CF29-DailyNov!CE29,"-")</f>
    </nc>
  </rcc>
  <rcc rId="1933" sId="21">
    <oc r="II69">
      <f>DailyOct!BX30+DailyOct!BY30-DailyOct!BZ30-DailyOct!CA30-DailyOct!CB30-DailyOct!CC30-DailyOct!CD30-DailyOct!CF30-DailyOct!CE30</f>
    </oc>
    <nc r="II69">
      <f>IFERROR(DailyNov!BX30+DailyNov!BY30-DailyNov!BZ30-DailyNov!CA30-DailyONov!CB30-DailyNov!CC30-DailyOct!CD30-DailyNov!CF30-DailyNov!CE30,"-")</f>
    </nc>
  </rcc>
  <rcc rId="1934" sId="21">
    <oc r="II70">
      <f>DailyOct!BX31+DailyOct!BY31-DailyOct!BZ31-DailyOct!CA31-DailyOct!CB31-DailyOct!CC31-DailyOct!CD31-DailyOct!CF31-DailyOct!CE31</f>
    </oc>
    <nc r="II70">
      <f>IFERROR(DailyNov!BX31+DailyNov!BY31-DailyNov!BZ31-DailyNov!CA31-DailyONov!CB31-DailyNov!CC31-DailyOct!CD31-DailyNov!CF31-DailyNov!CE31,"-")</f>
    </nc>
  </rcc>
  <rcc rId="1935" sId="21">
    <oc r="II71">
      <f>DailyOct!BX32+DailyOct!BY32-DailyOct!BZ32-DailyOct!CA32-DailyOct!CB32-DailyOct!CC32-DailyOct!CD32-DailyOct!CF32-DailyOct!CE32</f>
    </oc>
    <nc r="II71">
      <f>IFERROR(DailyNov!BX32+DailyNov!BY32-DailyNov!BZ32-DailyNov!CA32-DailyONov!CB32-DailyNov!CC32-DailyOct!CD32-DailyNov!CF32-DailyNov!CE32,"-")</f>
    </nc>
  </rcc>
  <rcc rId="1936" sId="21">
    <oc r="II72">
      <f>DailyOct!BX33+DailyOct!BY33-DailyOct!BZ33-DailyOct!CA33-DailyOct!CB33-DailyOct!CC33-DailyOct!CD33-DailyOct!CF33-DailyOct!CE33</f>
    </oc>
    <nc r="II72">
      <f>IFERROR(DailyNov!BX33+DailyNov!BY33-DailyNov!BZ33-DailyNov!CA33-DailyONov!CB33-DailyNov!CC33-DailyOct!CD33-DailyNov!CF33-DailyNov!CE33,"-")</f>
    </nc>
  </rcc>
  <rcc rId="1937" sId="21">
    <oc r="II73">
      <f>DailyOct!BX34+DailyOct!BY34-DailyOct!BZ34-DailyOct!CA34-DailyOct!CB34-DailyOct!CC34-DailyOct!CD34-DailyOct!CF34-DailyOct!CE34</f>
    </oc>
    <nc r="II73">
      <f>IFERROR(DailyNov!BX34+DailyNov!BY34-DailyNov!BZ34-DailyNov!CA34-DailyONov!CB34-DailyNov!CC34-DailyOct!CD34-DailyNov!CF34-DailyNov!CE34,"-")</f>
    </nc>
  </rcc>
  <rcc rId="1938" sId="21">
    <oc r="II74">
      <f>DailyOct!BX35+DailyOct!BY35-DailyOct!BZ35-DailyOct!CA35-DailyOct!CB35-DailyOct!CC35-DailyOct!CD35-DailyOct!CF35-DailyOct!CE35</f>
    </oc>
    <nc r="II74">
      <f>IFERROR(DailyNov!BX35+DailyNov!BY35-DailyNov!BZ35-DailyNov!CA35-DailyONov!CB35-DailyNov!CC35-DailyOct!CD35-DailyNov!CF35-DailyNov!CE35,"-")</f>
    </nc>
  </rcc>
  <rcc rId="1939" sId="21">
    <oc r="II75">
      <f>DailyOct!BX36+DailyOct!BY36-DailyOct!BZ36-DailyOct!CA36-DailyOct!CB36-DailyOct!CC36-DailyOct!CD36-DailyOct!CF36-DailyOct!CE36</f>
    </oc>
    <nc r="II75">
      <f>IFERROR(DailyNov!BX36+DailyNov!BY36-DailyNov!BZ36-DailyNov!CA36-DailyONov!CB36-DailyNov!CC36-DailyOct!CD36-DailyNov!CF36-DailyNov!CE36,"-")</f>
    </nc>
  </rcc>
  <rcc rId="1940" sId="21">
    <oc r="II76">
      <f>DailyOct!BX37+DailyOct!BY37-DailyOct!BZ37-DailyOct!CA37-DailyOct!CB37-DailyOct!CC37-DailyOct!CD37-DailyOct!CF37-DailyOct!CE37</f>
    </oc>
    <nc r="II76">
      <f>IFERROR(DailyNov!BX37+DailyNov!BY37-DailyNov!BZ37-DailyNov!CA37-DailyONov!CB37-DailyNov!CC37-DailyOct!CD37-DailyNov!CF37-DailyNov!CE37,"-")</f>
    </nc>
  </rcc>
  <rcc rId="1941" sId="21">
    <oc r="GU8">
      <v>4.9999995768303052E-2</v>
    </oc>
    <nc r="GU8">
      <f>IFERROR(DailyNov!B6-DailyNov!N6-DailyNov!V6-DailyNov!Y6-DailyNov!Z6-DailyNov!AA6-DailyNov!AB6-DailyNov!AC6-DailyNov!AD6-DailyNov!AE6-DailyNov!AK6-DailyNov!AO6-DailyNov!AS6-DailyNov!AY6-DailyNov!BD6+DailyNov!BU6-DailyNov!BG6-DailyNov!BT6-DailyNov!AF6-DailyNov!AG6,"-")</f>
    </nc>
  </rcc>
  <rcc rId="1942" sId="21">
    <oc r="GU10">
      <f>DailyOct!B8-DailyOct!N8-DailyOct!V8-DailyOct!Y8-DailyOct!Z8-DailyOct!AA8-DailyOct!AB8-DailyOct!AC8-DailyOct!AD8-DailyOct!AE8-DailyOct!AK8-DailyOct!AO8-DailyOct!AS8-DailyOct!AY8-DailyOct!BD8+DailyOct!BU8-DailyOct!BG8-DailyOct!BT8-DailyOct!AF8-DailyOct!AG8</f>
    </oc>
    <nc r="GU10">
      <f>IFERROR(DailyNov!B8-DailyNov!N8-DailyNov!V8-DailyNov!Y8-DailyNov!Z8-DailyNov!AA8-DailyNov!AB8-DailyNov!AC8-DailyNov!AD8-DailyNov!AE8-DailyNov!AK8-DailyNov!AO8-DailyNov!AS8-DailyNov!AY8-DailyNov!BD8+DailyNov!BU8-DailyNov!BG8-DailyNov!BT8-DailyNov!AF8-DailyNov!AG8,"-")</f>
    </nc>
  </rcc>
  <rcc rId="1943" sId="21">
    <oc r="GU11">
      <f>DailyOct!B9-DailyOct!N9-DailyOct!V9-DailyOct!Y9-DailyOct!Z9-DailyOct!AA9-DailyOct!AB9-DailyOct!AC9-DailyOct!AD9-DailyOct!AE9-DailyOct!AK9-DailyOct!AO9-DailyOct!AS9-DailyOct!AY9-DailyOct!BD9+DailyOct!BU9-DailyOct!BG9-DailyOct!BT9-DailyOct!AF9-DailyOct!AG9</f>
    </oc>
    <nc r="GU11">
      <f>IFERROR(DailyNov!B9-DailyNov!N9-DailyNov!V9-DailyNov!Y9-DailyNov!Z9-DailyNov!AA9-DailyNov!AB9-DailyNov!AC9-DailyNov!AD9-DailyNov!AE9-DailyNov!AK9-DailyNov!AO9-DailyNov!AS9-DailyNov!AY9-DailyNov!BD9+DailyNov!BU9-DailyNov!BG9-DailyNov!BT9-DailyNov!AF9-DailyNov!AG9,"-")</f>
    </nc>
  </rcc>
  <rcc rId="1944" sId="21">
    <oc r="GU12">
      <f>DailyOct!B10-DailyOct!N10-DailyOct!V10-DailyOct!Y10-DailyOct!Z10-DailyOct!AA10-DailyOct!AB10-DailyOct!AC10-DailyOct!AD10-DailyOct!AE10-DailyOct!AK10-DailyOct!AO10-DailyOct!AS10-DailyOct!AY10-DailyOct!BD10+DailyOct!BU10-DailyOct!BG10-DailyOct!BT10-DailyOct!AF10-DailyOct!AG10</f>
    </oc>
    <nc r="GU12">
      <f>IFERROR(DailyNov!B10-DailyNov!N10-DailyNov!V10-DailyNov!Y10-DailyNov!Z10-DailyNov!AA10-DailyNov!AB10-DailyNov!AC10-DailyNov!AD10-DailyNov!AE10-DailyNov!AK10-DailyNov!AO10-DailyNov!AS10-DailyNov!AY10-DailyNov!BD10+DailyNov!BU10-DailyNov!BG10-DailyNov!BT10-DailyNov!AF10-DailyNov!AG10,"-")</f>
    </nc>
  </rcc>
  <rcc rId="1945" sId="21">
    <oc r="GU13">
      <f>DailyOct!B11-DailyOct!N11-DailyOct!V11-DailyOct!Y11-DailyOct!Z11-DailyOct!AA11-DailyOct!AB11-DailyOct!AC11-DailyOct!AD11-DailyOct!AE11-DailyOct!AK11-DailyOct!AO11-DailyOct!AS11-DailyOct!AY11-DailyOct!BD11+DailyOct!BU11-DailyOct!BG11-DailyOct!BT11-DailyOct!AF11-DailyOct!AG11</f>
    </oc>
    <nc r="GU13">
      <f>IFERROR(DailyNov!B11-DailyNov!N11-DailyNov!V11-DailyNov!Y11-DailyNov!Z11-DailyNov!AA11-DailyNov!AB11-DailyNov!AC11-DailyNov!AD11-DailyNov!AE11-DailyNov!AK11-DailyNov!AO11-DailyNov!AS11-DailyNov!AY11-DailyNov!BD11+DailyNov!BU11-DailyNov!BG11-DailyNov!BT11-DailyNov!AF11-DailyNov!AG11,"-")</f>
    </nc>
  </rcc>
  <rcc rId="1946" sId="21">
    <oc r="GU14">
      <f>DailyOct!B12-DailyOct!N12-DailyOct!V12-DailyOct!Y12-DailyOct!Z12-DailyOct!AA12-DailyOct!AB12-DailyOct!AC12-DailyOct!AD12-DailyOct!AE12-DailyOct!AK12-DailyOct!AO12-DailyOct!AS12-DailyOct!AY12-DailyOct!BD12+DailyOct!BU12-DailyOct!BG12-DailyOct!BT12-DailyOct!AF12-DailyOct!AG12</f>
    </oc>
    <nc r="GU14">
      <f>IFERROR(DailyNov!B12-DailyNov!N12-DailyNov!V12-DailyNov!Y12-DailyNov!Z12-DailyNov!AA12-DailyNov!AB12-DailyNov!AC12-DailyNov!AD12-DailyNov!AE12-DailyNov!AK12-DailyNov!AO12-DailyNov!AS12-DailyNov!AY12-DailyNov!BD12+DailyNov!BU12-DailyNov!BG12-DailyNov!BT12-DailyNov!AF12-DailyNov!AG12,"-")</f>
    </nc>
  </rcc>
  <rcc rId="1947" sId="21">
    <oc r="GU15">
      <f>DailyOct!B13-DailyOct!N13-DailyOct!V13-DailyOct!Y13-DailyOct!Z13-DailyOct!AA13-DailyOct!AB13-DailyOct!AC13-DailyOct!AD13-DailyOct!AE13-DailyOct!AK13-DailyOct!AO13-DailyOct!AS13-DailyOct!AY13-DailyOct!BD13+DailyOct!BU13-DailyOct!BG13-DailyOct!BT13-DailyOct!AF13-DailyOct!AG13</f>
    </oc>
    <nc r="GU15">
      <f>IFERROR(DailyNov!B13-DailyNov!N13-DailyNov!V13-DailyNov!Y13-DailyNov!Z13-DailyNov!AA13-DailyNov!AB13-DailyNov!AC13-DailyNov!AD13-DailyNov!AE13-DailyNov!AK13-DailyNov!AO13-DailyNov!AS13-DailyNov!AY13-DailyNov!BD13+DailyNov!BU13-DailyNov!BG13-DailyNov!BT13-DailyNov!AF13-DailyNov!AG13,"-")</f>
    </nc>
  </rcc>
  <rcc rId="1948" sId="21">
    <oc r="GU16">
      <f>DailyOct!B14-DailyOct!N14-DailyOct!V14-DailyOct!Y14-DailyOct!Z14-DailyOct!AA14-DailyOct!AB14-DailyOct!AC14-DailyOct!AD14-DailyOct!AE14-DailyOct!AK14-DailyOct!AO14-DailyOct!AS14-DailyOct!AY14-DailyOct!BD14+DailyOct!BU14-DailyOct!BG14-DailyOct!BT14-DailyOct!AF14-DailyOct!AG14</f>
    </oc>
    <nc r="GU16">
      <f>IFERROR(DailyNov!B14-DailyNov!N14-DailyNov!V14-DailyNov!Y14-DailyNov!Z14-DailyNov!AA14-DailyNov!AB14-DailyNov!AC14-DailyNov!AD14-DailyNov!AE14-DailyNov!AK14-DailyNov!AO14-DailyNov!AS14-DailyNov!AY14-DailyNov!BD14+DailyNov!BU14-DailyNov!BG14-DailyNov!BT14-DailyNov!AF14-DailyNov!AG14,"-")</f>
    </nc>
  </rcc>
  <rcc rId="1949" sId="21">
    <oc r="GU17">
      <f>DailyOct!B15-DailyOct!N15-DailyOct!V15-DailyOct!Y15-DailyOct!Z15-DailyOct!AA15-DailyOct!AB15-DailyOct!AC15-DailyOct!AD15-DailyOct!AE15-DailyOct!AK15-DailyOct!AO15-DailyOct!AS15-DailyOct!AY15-DailyOct!BD15+DailyOct!BU15-DailyOct!BG15-DailyOct!BT15-DailyOct!AF15-DailyOct!AG15</f>
    </oc>
    <nc r="GU17">
      <f>IFERROR(DailyNov!B15-DailyNov!N15-DailyNov!V15-DailyNov!Y15-DailyNov!Z15-DailyNov!AA15-DailyNov!AB15-DailyNov!AC15-DailyNov!AD15-DailyNov!AE15-DailyNov!AK15-DailyNov!AO15-DailyNov!AS15-DailyNov!AY15-DailyNov!BD15+DailyNov!BU15-DailyNov!BG15-DailyNov!BT15-DailyNov!AF15-DailyNov!AG15,"-")</f>
    </nc>
  </rcc>
  <rcc rId="1950" sId="21">
    <oc r="GU18">
      <f>DailyOct!B16-DailyOct!N16-DailyOct!V16-DailyOct!Y16-DailyOct!Z16-DailyOct!AA16-DailyOct!AB16-DailyOct!AC16-DailyOct!AD16-DailyOct!AE16-DailyOct!AK16-DailyOct!AO16-DailyOct!AS16-DailyOct!AY16-DailyOct!BD16+DailyOct!BU16-DailyOct!BG16-DailyOct!BT16-DailyOct!AF16-DailyOct!AG16</f>
    </oc>
    <nc r="GU18">
      <f>IFERROR(DailyNov!B16-DailyNov!N16-DailyNov!V16-DailyNov!Y16-DailyNov!Z16-DailyNov!AA16-DailyNov!AB16-DailyNov!AC16-DailyNov!AD16-DailyNov!AE16-DailyNov!AK16-DailyNov!AO16-DailyNov!AS16-DailyNov!AY16-DailyNov!BD16+DailyNov!BU16-DailyNov!BG16-DailyNov!BT16-DailyNov!AF16-DailyNov!AG16,"-")</f>
    </nc>
  </rcc>
  <rcc rId="1951" sId="21">
    <oc r="GU19">
      <f>DailyOct!B17-DailyOct!N17-DailyOct!V17-DailyOct!Y17-DailyOct!Z17-DailyOct!AA17-DailyOct!AB17-DailyOct!AC17-DailyOct!AD17-DailyOct!AE17-DailyOct!AK17-DailyOct!AO17-DailyOct!AS17-DailyOct!AY17-DailyOct!BD17+DailyOct!BU17-DailyOct!BG17-DailyOct!BT17-DailyOct!AF17-DailyOct!AG17</f>
    </oc>
    <nc r="GU19">
      <f>IFERROR(DailyNov!B17-DailyNov!N17-DailyNov!V17-DailyNov!Y17-DailyNov!Z17-DailyNov!AA17-DailyNov!AB17-DailyNov!AC17-DailyNov!AD17-DailyNov!AE17-DailyNov!AK17-DailyNov!AO17-DailyNov!AS17-DailyNov!AY17-DailyNov!BD17+DailyNov!BU17-DailyNov!BG17-DailyNov!BT17-DailyNov!AF17-DailyNov!AG17,"-")</f>
    </nc>
  </rcc>
  <rcc rId="1952" sId="21">
    <oc r="GU20">
      <f>DailyOct!B18-DailyOct!N18-DailyOct!V18-DailyOct!Y18-DailyOct!Z18-DailyOct!AA18-DailyOct!AB18-DailyOct!AC18-DailyOct!AD18-DailyOct!AE18-DailyOct!AK18-DailyOct!AO18-DailyOct!AS18-DailyOct!AY18-DailyOct!BD18+DailyOct!BU18-DailyOct!BG18-DailyOct!BT18-DailyOct!AF18-DailyOct!AG18</f>
    </oc>
    <nc r="GU20">
      <f>IFERROR(DailyNov!B18-DailyNov!N18-DailyNov!V18-DailyNov!Y18-DailyNov!Z18-DailyNov!AA18-DailyNov!AB18-DailyNov!AC18-DailyNov!AD18-DailyNov!AE18-DailyNov!AK18-DailyNov!AO18-DailyNov!AS18-DailyNov!AY18-DailyNov!BD18+DailyNov!BU18-DailyNov!BG18-DailyNov!BT18-DailyNov!AF18-DailyNov!AG18,"-")</f>
    </nc>
  </rcc>
  <rcc rId="1953" sId="21">
    <oc r="GU21">
      <f>DailyOct!B19-DailyOct!N19-DailyOct!V19-DailyOct!Y19-DailyOct!Z19-DailyOct!AA19-DailyOct!AB19-DailyOct!AC19-DailyOct!AD19-DailyOct!AE19-DailyOct!AK19-DailyOct!AO19-DailyOct!AS19-DailyOct!AY19-DailyOct!BD19+DailyOct!BU19-DailyOct!BG19-DailyOct!BT19-DailyOct!AF19-DailyOct!AG19</f>
    </oc>
    <nc r="GU21">
      <f>IFERROR(DailyNov!B19-DailyNov!N19-DailyNov!V19-DailyNov!Y19-DailyNov!Z19-DailyNov!AA19-DailyNov!AB19-DailyNov!AC19-DailyNov!AD19-DailyNov!AE19-DailyNov!AK19-DailyNov!AO19-DailyNov!AS19-DailyNov!AY19-DailyNov!BD19+DailyNov!BU19-DailyNov!BG19-DailyNov!BT19-DailyNov!AF19-DailyNov!AG19,"-")</f>
    </nc>
  </rcc>
  <rcc rId="1954" sId="21">
    <oc r="GU22">
      <f>DailyOct!B20-DailyOct!N20-DailyOct!V20-DailyOct!Y20-DailyOct!Z20-DailyOct!AA20-DailyOct!AB20-DailyOct!AC20-DailyOct!AD20-DailyOct!AE20-DailyOct!AK20-DailyOct!AO20-DailyOct!AS20-DailyOct!AY20-DailyOct!BD20+DailyOct!BU20-DailyOct!BG20-DailyOct!BT20-DailyOct!AF20-DailyOct!AG20</f>
    </oc>
    <nc r="GU22">
      <f>IFERROR(DailyNov!B20-DailyNov!N20-DailyNov!V20-DailyNov!Y20-DailyNov!Z20-DailyNov!AA20-DailyNov!AB20-DailyNov!AC20-DailyNov!AD20-DailyNov!AE20-DailyNov!AK20-DailyNov!AO20-DailyNov!AS20-DailyNov!AY20-DailyNov!BD20+DailyNov!BU20-DailyNov!BG20-DailyNov!BT20-DailyNov!AF20-DailyNov!AG20,"-")</f>
    </nc>
  </rcc>
  <rcc rId="1955" sId="21">
    <oc r="GU23">
      <f>DailyOct!B21-DailyOct!N21-DailyOct!V21-DailyOct!Y21-DailyOct!Z21-DailyOct!AA21-DailyOct!AB21-DailyOct!AC21-DailyOct!AD21-DailyOct!AE21-DailyOct!AK21-DailyOct!AO21-DailyOct!AS21-DailyOct!AY21-DailyOct!BD21+DailyOct!BU21-DailyOct!BG21-DailyOct!BT21-DailyOct!AF21-DailyOct!AG21</f>
    </oc>
    <nc r="GU23">
      <f>IFERROR(DailyNov!B21-DailyNov!N21-DailyNov!V21-DailyNov!Y21-DailyNov!Z21-DailyNov!AA21-DailyNov!AB21-DailyNov!AC21-DailyNov!AD21-DailyNov!AE21-DailyNov!AK21-DailyNov!AO21-DailyNov!AS21-DailyNov!AY21-DailyNov!BD21+DailyNov!BU21-DailyNov!BG21-DailyNov!BT21-DailyNov!AF21-DailyNov!AG21,"-")</f>
    </nc>
  </rcc>
  <rcc rId="1956" sId="21">
    <oc r="GU24">
      <f>DailyOct!B22-DailyOct!N22-DailyOct!V22-DailyOct!Y22-DailyOct!Z22-DailyOct!AA22-DailyOct!AB22-DailyOct!AC22-DailyOct!AD22-DailyOct!AE22-DailyOct!AK22-DailyOct!AO22-DailyOct!AS22-DailyOct!AY22-DailyOct!BD22+DailyOct!BU22-DailyOct!BG22-DailyOct!BT22-DailyOct!AF22-DailyOct!AG22</f>
    </oc>
    <nc r="GU24">
      <f>IFERROR(DailyNov!B22-DailyNov!N22-DailyNov!V22-DailyNov!Y22-DailyNov!Z22-DailyNov!AA22-DailyNov!AB22-DailyNov!AC22-DailyNov!AD22-DailyNov!AE22-DailyNov!AK22-DailyNov!AO22-DailyNov!AS22-DailyNov!AY22-DailyNov!BD22+DailyNov!BU22-DailyNov!BG22-DailyNov!BT22-DailyNov!AF22-DailyNov!AG22,"-")</f>
    </nc>
  </rcc>
  <rcc rId="1957" sId="21">
    <oc r="GU25">
      <f>DailyOct!B23-DailyOct!N23-DailyOct!V23-DailyOct!Y23-DailyOct!Z23-DailyOct!AA23-DailyOct!AB23-DailyOct!AC23-DailyOct!AD23-DailyOct!AE23-DailyOct!AK23-DailyOct!AO23-DailyOct!AS23-DailyOct!AY23-DailyOct!BD23+DailyOct!BU23-DailyOct!BG23-DailyOct!BT23-DailyOct!AF23-DailyOct!AG23</f>
    </oc>
    <nc r="GU25">
      <f>IFERROR(DailyNov!B23-DailyNov!N23-DailyNov!V23-DailyNov!Y23-DailyNov!Z23-DailyNov!AA23-DailyNov!AB23-DailyNov!AC23-DailyNov!AD23-DailyNov!AE23-DailyNov!AK23-DailyNov!AO23-DailyNov!AS23-DailyNov!AY23-DailyNov!BD23+DailyNov!BU23-DailyNov!BG23-DailyNov!BT23-DailyNov!AF23-DailyNov!AG23,"-")</f>
    </nc>
  </rcc>
  <rcc rId="1958" sId="21">
    <oc r="GU26">
      <f>DailyOct!B24-DailyOct!N24-DailyOct!V24-DailyOct!Y24-DailyOct!Z24-DailyOct!AA24-DailyOct!AB24-DailyOct!AC24-DailyOct!AD24-DailyOct!AE24-DailyOct!AK24-DailyOct!AO24-DailyOct!AS24-DailyOct!AY24-DailyOct!BD24+DailyOct!BU24-DailyOct!BG24-DailyOct!BT24-DailyOct!AF24-DailyOct!AG24</f>
    </oc>
    <nc r="GU26">
      <f>IFERROR(DailyNov!B24-DailyNov!N24-DailyNov!V24-DailyNov!Y24-DailyNov!Z24-DailyNov!AA24-DailyNov!AB24-DailyNov!AC24-DailyNov!AD24-DailyNov!AE24-DailyNov!AK24-DailyNov!AO24-DailyNov!AS24-DailyNov!AY24-DailyNov!BD24+DailyNov!BU24-DailyNov!BG24-DailyNov!BT24-DailyNov!AF24-DailyNov!AG24,"-")</f>
    </nc>
  </rcc>
  <rcc rId="1959" sId="21">
    <oc r="GU27">
      <f>DailyOct!B25-DailyOct!N25-DailyOct!V25-DailyOct!Y25-DailyOct!Z25-DailyOct!AA25-DailyOct!AB25-DailyOct!AC25-DailyOct!AD25-DailyOct!AE25-DailyOct!AK25-DailyOct!AO25-DailyOct!AS25-DailyOct!AY25-DailyOct!BD25+DailyOct!BU25-DailyOct!BG25-DailyOct!BT25-DailyOct!AF25-DailyOct!AG25</f>
    </oc>
    <nc r="GU27">
      <f>IFERROR(DailyNov!B25-DailyNov!N25-DailyNov!V25-DailyNov!Y25-DailyNov!Z25-DailyNov!AA25-DailyNov!AB25-DailyNov!AC25-DailyNov!AD25-DailyNov!AE25-DailyNov!AK25-DailyNov!AO25-DailyNov!AS25-DailyNov!AY25-DailyNov!BD25+DailyNov!BU25-DailyNov!BG25-DailyNov!BT25-DailyNov!AF25-DailyNov!AG25,"-")</f>
    </nc>
  </rcc>
  <rcc rId="1960" sId="21">
    <oc r="GU28">
      <f>DailyOct!B26-DailyOct!N26-DailyOct!V26-DailyOct!Y26-DailyOct!Z26-DailyOct!AA26-DailyOct!AB26-DailyOct!AC26-DailyOct!AD26-DailyOct!AE26-DailyOct!AK26-DailyOct!AO26-DailyOct!AS26-DailyOct!AY26-DailyOct!BD26+DailyOct!BU26-DailyOct!BG26-DailyOct!BT26-DailyOct!AF26-DailyOct!AG26</f>
    </oc>
    <nc r="GU28">
      <f>IFERROR(DailyNov!B26-DailyNov!N26-DailyNov!V26-DailyNov!Y26-DailyNov!Z26-DailyNov!AA26-DailyNov!AB26-DailyNov!AC26-DailyNov!AD26-DailyNov!AE26-DailyNov!AK26-DailyNov!AO26-DailyNov!AS26-DailyNov!AY26-DailyNov!BD26+DailyNov!BU26-DailyNov!BG26-DailyNov!BT26-DailyNov!AF26-DailyNov!AG26,"-")</f>
    </nc>
  </rcc>
  <rcc rId="1961" sId="21">
    <oc r="GU29">
      <f>DailyOct!B27-DailyOct!N27-DailyOct!V27-DailyOct!Y27-DailyOct!Z27-DailyOct!AA27-DailyOct!AB27-DailyOct!AC27-DailyOct!AD27-DailyOct!AE27-DailyOct!AK27-DailyOct!AO27-DailyOct!AS27-DailyOct!AY27-DailyOct!BD27+DailyOct!BU27-DailyOct!BG27-DailyOct!BT27-DailyOct!AF27-DailyOct!AG27</f>
    </oc>
    <nc r="GU29">
      <f>IFERROR(DailyNov!B27-DailyNov!N27-DailyNov!V27-DailyNov!Y27-DailyNov!Z27-DailyNov!AA27-DailyNov!AB27-DailyNov!AC27-DailyNov!AD27-DailyNov!AE27-DailyNov!AK27-DailyNov!AO27-DailyNov!AS27-DailyNov!AY27-DailyNov!BD27+DailyNov!BU27-DailyNov!BG27-DailyNov!BT27-DailyNov!AF27-DailyNov!AG27,"-")</f>
    </nc>
  </rcc>
  <rcc rId="1962" sId="21">
    <oc r="GU30">
      <f>DailyOct!B28-DailyOct!N28-DailyOct!V28-DailyOct!Y28-DailyOct!Z28-DailyOct!AA28-DailyOct!AB28-DailyOct!AC28-DailyOct!AD28-DailyOct!AE28-DailyOct!AK28-DailyOct!AO28-DailyOct!AS28-DailyOct!AY28-DailyOct!BD28+DailyOct!BU28-DailyOct!BG28-DailyOct!BT28-DailyOct!AF28-DailyOct!AG28</f>
    </oc>
    <nc r="GU30">
      <f>IFERROR(DailyNov!B28-DailyNov!N28-DailyNov!V28-DailyNov!Y28-DailyNov!Z28-DailyNov!AA28-DailyNov!AB28-DailyNov!AC28-DailyNov!AD28-DailyNov!AE28-DailyNov!AK28-DailyNov!AO28-DailyNov!AS28-DailyNov!AY28-DailyNov!BD28+DailyNov!BU28-DailyNov!BG28-DailyNov!BT28-DailyNov!AF28-DailyNov!AG28,"-")</f>
    </nc>
  </rcc>
  <rcc rId="1963" sId="21">
    <oc r="GU31">
      <f>DailyOct!B29-DailyOct!N29-DailyOct!V29-DailyOct!Y29-DailyOct!Z29-DailyOct!AA29-DailyOct!AB29-DailyOct!AC29-DailyOct!AD29-DailyOct!AE29-DailyOct!AK29-DailyOct!AO29-DailyOct!AS29-DailyOct!AY29-DailyOct!BD29+DailyOct!BU29-DailyOct!BG29-DailyOct!BT29-DailyOct!AF29-DailyOct!AG29</f>
    </oc>
    <nc r="GU31">
      <f>IFERROR(DailyNov!B29-DailyNov!N29-DailyNov!V29-DailyNov!Y29-DailyNov!Z29-DailyNov!AA29-DailyNov!AB29-DailyNov!AC29-DailyNov!AD29-DailyNov!AE29-DailyNov!AK29-DailyNov!AO29-DailyNov!AS29-DailyNov!AY29-DailyNov!BD29+DailyNov!BU29-DailyNov!BG29-DailyNov!BT29-DailyNov!AF29-DailyNov!AG29,"-")</f>
    </nc>
  </rcc>
  <rcc rId="1964" sId="21">
    <oc r="GU32">
      <f>DailyOct!B30-DailyOct!N30-DailyOct!V30-DailyOct!Y30-DailyOct!Z30-DailyOct!AA30-DailyOct!AB30-DailyOct!AC30-DailyOct!AD30-DailyOct!AE30-DailyOct!AK30-DailyOct!AO30-DailyOct!AS30-DailyOct!AY30-DailyOct!BD30+DailyOct!BU30-DailyOct!BG30-DailyOct!BT30-DailyOct!AF30-DailyOct!AG30</f>
    </oc>
    <nc r="GU32">
      <f>IFERROR(DailyNov!B30-DailyNov!N30-DailyNov!V30-DailyNov!Y30-DailyNov!Z30-DailyNov!AA30-DailyNov!AB30-DailyNov!AC30-DailyNov!AD30-DailyNov!AE30-DailyNov!AK30-DailyNov!AO30-DailyNov!AS30-DailyNov!AY30-DailyNov!BD30+DailyNov!BU30-DailyNov!BG30-DailyNov!BT30-DailyNov!AF30-DailyNov!AG30,"-")</f>
    </nc>
  </rcc>
  <rcc rId="1965" sId="21">
    <oc r="GU33">
      <f>DailyOct!B31-DailyOct!N31-DailyOct!V31-DailyOct!Y31-DailyOct!Z31-DailyOct!AA31-DailyOct!AB31-DailyOct!AC31-DailyOct!AD31-DailyOct!AE31-DailyOct!AK31-DailyOct!AO31-DailyOct!AS31-DailyOct!AY31-DailyOct!BD31+DailyOct!BU31-DailyOct!BG31-DailyOct!BT31-DailyOct!AF31-DailyOct!AG31</f>
    </oc>
    <nc r="GU33">
      <f>IFERROR(DailyNov!B31-DailyNov!N31-DailyNov!V31-DailyNov!Y31-DailyNov!Z31-DailyNov!AA31-DailyNov!AB31-DailyNov!AC31-DailyNov!AD31-DailyNov!AE31-DailyNov!AK31-DailyNov!AO31-DailyNov!AS31-DailyNov!AY31-DailyNov!BD31+DailyNov!BU31-DailyNov!BG31-DailyNov!BT31-DailyNov!AF31-DailyNov!AG31,"-")</f>
    </nc>
  </rcc>
  <rcc rId="1966" sId="21">
    <oc r="GU34">
      <f>DailyOct!B32-DailyOct!N32-DailyOct!V32-DailyOct!Y32-DailyOct!Z32-DailyOct!AA32-DailyOct!AB32-DailyOct!AC32-DailyOct!AD32-DailyOct!AE32-DailyOct!AK32-DailyOct!AO32-DailyOct!AS32-DailyOct!AY32-DailyOct!BD32+DailyOct!BU32-DailyOct!BG32-DailyOct!BT32-DailyOct!AF32-DailyOct!AG32</f>
    </oc>
    <nc r="GU34">
      <f>IFERROR(DailyNov!B32-DailyNov!N32-DailyNov!V32-DailyNov!Y32-DailyNov!Z32-DailyNov!AA32-DailyNov!AB32-DailyNov!AC32-DailyNov!AD32-DailyNov!AE32-DailyNov!AK32-DailyNov!AO32-DailyNov!AS32-DailyNov!AY32-DailyNov!BD32+DailyNov!BU32-DailyNov!BG32-DailyNov!BT32-DailyNov!AF32-DailyNov!AG32,"-")</f>
    </nc>
  </rcc>
  <rcc rId="1967" sId="21">
    <oc r="GU35">
      <f>DailyOct!B33-DailyOct!N33-DailyOct!V33-DailyOct!Y33-DailyOct!Z33-DailyOct!AA33-DailyOct!AB33-DailyOct!AC33-DailyOct!AD33-DailyOct!AE33-DailyOct!AK33-DailyOct!AO33-DailyOct!AS33-DailyOct!AY33-DailyOct!BD33+DailyOct!BU33-DailyOct!BG33-DailyOct!BT33-DailyOct!AF33-DailyOct!AG33</f>
    </oc>
    <nc r="GU35">
      <f>IFERROR(DailyNov!B33-DailyNov!N33-DailyNov!V33-DailyNov!Y33-DailyNov!Z33-DailyNov!AA33-DailyNov!AB33-DailyNov!AC33-DailyNov!AD33-DailyNov!AE33-DailyNov!AK33-DailyNov!AO33-DailyNov!AS33-DailyNov!AY33-DailyNov!BD33+DailyNov!BU33-DailyNov!BG33-DailyNov!BT33-DailyNov!AF33-DailyNov!AG33,"-")</f>
    </nc>
  </rcc>
  <rcc rId="1968" sId="21">
    <oc r="GU36">
      <f>DailyOct!B34-DailyOct!N34-DailyOct!V34-DailyOct!Y34-DailyOct!Z34-DailyOct!AA34-DailyOct!AB34-DailyOct!AC34-DailyOct!AD34-DailyOct!AE34-DailyOct!AK34-DailyOct!AO34-DailyOct!AS34-DailyOct!AY34-DailyOct!BD34+DailyOct!BU34-DailyOct!BG34-DailyOct!BT34-DailyOct!AF34-DailyOct!AG34</f>
    </oc>
    <nc r="GU36">
      <f>IFERROR(DailyNov!B34-DailyNov!N34-DailyNov!V34-DailyNov!Y34-DailyNov!Z34-DailyNov!AA34-DailyNov!AB34-DailyNov!AC34-DailyNov!AD34-DailyNov!AE34-DailyNov!AK34-DailyNov!AO34-DailyNov!AS34-DailyNov!AY34-DailyNov!BD34+DailyNov!BU34-DailyNov!BG34-DailyNov!BT34-DailyNov!AF34-DailyNov!AG34,"-")</f>
    </nc>
  </rcc>
  <rcc rId="1969" sId="21">
    <oc r="GU37">
      <f>DailyOct!B35-DailyOct!N35-DailyOct!V35-DailyOct!Y35-DailyOct!Z35-DailyOct!AA35-DailyOct!AB35-DailyOct!AC35-DailyOct!AD35-DailyOct!AE35-DailyOct!AK35-DailyOct!AO35-DailyOct!AS35-DailyOct!AY35-DailyOct!BD35+DailyOct!BU35-DailyOct!BG35-DailyOct!BT35-DailyOct!AF35-DailyOct!AG35</f>
    </oc>
    <nc r="GU37">
      <f>IFERROR(DailyNov!B35-DailyNov!N35-DailyNov!V35-DailyNov!Y35-DailyNov!Z35-DailyNov!AA35-DailyNov!AB35-DailyNov!AC35-DailyNov!AD35-DailyNov!AE35-DailyNov!AK35-DailyNov!AO35-DailyNov!AS35-DailyNov!AY35-DailyNov!BD35+DailyNov!BU35-DailyNov!BG35-DailyNov!BT35-DailyNov!AF35-DailyNov!AG35,"-")</f>
    </nc>
  </rcc>
  <rcc rId="1970" sId="21" odxf="1" dxf="1">
    <oc r="GU38">
      <f>IFERROR(DailyOct!B36-DailyOct!N36-DailyOct!V36-DailyOct!Y36-DailyOct!Z36-DailyOct!AA36-DailyOct!AB36-DailyOct!AC36-DailyOct!AD36-DailyOct!AE36-DailyOct!AK36-DailyOct!AO36-DailyOct!AS36-DailyOct!AY36-DailyOct!BD36+DailyOct!BU36-DailyOct!BG36-DailyOct!BT36-DailyOct!AF36-DailyOct!AG36,"-")</f>
    </oc>
    <nc r="GU38">
      <f>IFERROR(DailyNov!B36-DailyNov!N36-DailyNov!V36-DailyNov!Y36-DailyNov!Z36-DailyNov!AA36-DailyNov!AB36-DailyNov!AC36-DailyNov!AD36-DailyNov!AE36-DailyNov!AK36-DailyNov!AO36-DailyNov!AS36-DailyNov!AY36-DailyNov!BD36+DailyNov!BU36-DailyNov!BG36-DailyNov!BT36-DailyNov!AF36-DailyNov!AG36,"-")</f>
    </nc>
    <odxf>
      <alignment horizontal="right" readingOrder="0"/>
    </odxf>
    <ndxf>
      <alignment horizontal="center" readingOrder="0"/>
    </ndxf>
  </rcc>
  <rcc rId="1971" sId="21" odxf="1" dxf="1">
    <oc r="GU39">
      <f>IFERROR(DailyOct!B37-DailyOct!N37-DailyOct!V37-DailyOct!Y37-DailyOct!Z37-DailyOct!AA37-DailyOct!AB37-DailyOct!AC37-DailyOct!AD37-DailyOct!AE37-DailyOct!AK37-DailyOct!AO37-DailyOct!AS37-DailyOct!AY37-DailyOct!BD37+DailyOct!BU37-DailyOct!BG37-DailyOct!BT37-DailyOct!AF37-DailyOct!AG37,"-")</f>
    </oc>
    <nc r="GU39">
      <f>IFERROR(DailyNov!B37-DailyNov!N37-DailyNov!V37-DailyNov!Y37-DailyNov!Z37-DailyNov!AA37-DailyNov!AB37-DailyNov!AC37-DailyNov!AD37-DailyNov!AE37-DailyNov!AK37-DailyNov!AO37-DailyNov!AS37-DailyNov!AY37-DailyNov!BD37+DailyNov!BU37-DailyNov!BG37-DailyNov!BT37-DailyNov!AF37-DailyNov!AG37,"-")</f>
    </nc>
    <odxf>
      <alignment horizontal="right" readingOrder="0"/>
    </odxf>
    <ndxf>
      <alignment horizontal="center" readingOrder="0"/>
    </ndxf>
  </rcc>
  <rcc rId="1972" sId="21">
    <oc r="EC8">
      <f>IF((EA8-EA7)*1000&lt;=0,0,(EA8-EA7)*1000)+GX8+$EE$41</f>
    </oc>
    <nc r="EC8">
      <f>IFERROR(IF((EA8-EA7)*1000&lt;=0,0,(EA8-EA7)*1000)+GX8+$EE$41,0)</f>
    </nc>
  </rcc>
  <rcc rId="1973" sId="21" numFmtId="4">
    <oc r="EC9">
      <f>IF((EA9-EA8)*1000&lt;=0,0,(EA9-EA8)*1000)+GX9+$EE$41</f>
    </oc>
    <nc r="EC9">
      <v>0</v>
    </nc>
  </rcc>
  <rcc rId="1974" sId="21" numFmtId="4">
    <oc r="EC10">
      <f>IF((EA10-EA9)*1000&lt;=0,0,(EA10-EA9)*1000)+GX10+$EE$41</f>
    </oc>
    <nc r="EC10">
      <v>0</v>
    </nc>
  </rcc>
  <rcc rId="1975" sId="21" numFmtId="4">
    <oc r="EC11">
      <f>IF((EA11-EA10)*1000&lt;=0,0,(EA11-EA10)*1000)+GX11+$EE$41</f>
    </oc>
    <nc r="EC11">
      <v>0</v>
    </nc>
  </rcc>
  <rcc rId="1976" sId="21" numFmtId="4">
    <oc r="EC12">
      <f>IF((EA12-EA11)*1000&lt;=0,0,(EA12-EA11)*1000)+GX12+$EE$41</f>
    </oc>
    <nc r="EC12">
      <v>0</v>
    </nc>
  </rcc>
  <rcc rId="1977" sId="21" numFmtId="4">
    <oc r="EC13">
      <f>IF((EA13-EA12)*1000&lt;=0,0,(EA13-EA12)*1000)+GX13+$EE$41</f>
    </oc>
    <nc r="EC13">
      <v>0</v>
    </nc>
  </rcc>
  <rcc rId="1978" sId="21" numFmtId="4">
    <oc r="EC14">
      <f>IF((EA14-EA13)*1000&lt;=0,0,(EA14-EA13)*1000)+GX14+$EE$41</f>
    </oc>
    <nc r="EC14">
      <v>0</v>
    </nc>
  </rcc>
  <rcc rId="1979" sId="21" numFmtId="4">
    <oc r="EC15">
      <f>IF((EA15-EA14)*1000&lt;=0,0,(EA15-EA14)*1000)+GX15+$EE$41</f>
    </oc>
    <nc r="EC15">
      <v>0</v>
    </nc>
  </rcc>
  <rcc rId="1980" sId="21" numFmtId="4">
    <oc r="EC16">
      <f>IF((EA16-EA15)*1000&lt;=0,0,(EA16-EA15)*1000)+GX16+$EE$41</f>
    </oc>
    <nc r="EC16">
      <v>0</v>
    </nc>
  </rcc>
  <rcc rId="1981" sId="21" numFmtId="4">
    <oc r="EC17">
      <f>IF((EA17-EA16)*1000&lt;=0,0,(EA17-EA16)*1000)+GX17+$EE$41</f>
    </oc>
    <nc r="EC17">
      <v>0</v>
    </nc>
  </rcc>
  <rcc rId="1982" sId="21" numFmtId="4">
    <nc r="EC18">
      <v>0</v>
    </nc>
  </rcc>
  <rcc rId="1983" sId="21" numFmtId="4">
    <nc r="EC19">
      <v>0</v>
    </nc>
  </rcc>
  <rcc rId="1984" sId="21" numFmtId="4">
    <nc r="EC20">
      <v>0</v>
    </nc>
  </rcc>
  <rcc rId="1985" sId="21" numFmtId="4">
    <nc r="EC21">
      <v>0</v>
    </nc>
  </rcc>
  <rcc rId="1986" sId="21" numFmtId="4">
    <nc r="EC22">
      <v>0</v>
    </nc>
  </rcc>
  <rcc rId="1987" sId="21" numFmtId="4">
    <nc r="EC23">
      <v>0</v>
    </nc>
  </rcc>
  <rcc rId="1988" sId="21" numFmtId="4">
    <nc r="EC24">
      <v>0</v>
    </nc>
  </rcc>
  <rcc rId="1989" sId="21" numFmtId="4">
    <nc r="EC25">
      <v>0</v>
    </nc>
  </rcc>
  <rcc rId="1990" sId="21" numFmtId="4">
    <nc r="EC26">
      <v>0</v>
    </nc>
  </rcc>
  <rcc rId="1991" sId="21" numFmtId="4">
    <nc r="EC27">
      <v>0</v>
    </nc>
  </rcc>
  <rcc rId="1992" sId="21" numFmtId="4">
    <nc r="EC28">
      <v>0</v>
    </nc>
  </rcc>
  <rcc rId="1993" sId="21" numFmtId="4">
    <nc r="EC29">
      <v>0</v>
    </nc>
  </rcc>
  <rcc rId="1994" sId="21" numFmtId="4">
    <nc r="EC30">
      <v>0</v>
    </nc>
  </rcc>
  <rcc rId="1995" sId="21" numFmtId="4">
    <nc r="EC31">
      <v>0</v>
    </nc>
  </rcc>
  <rcc rId="1996" sId="21" numFmtId="4">
    <nc r="EC32">
      <v>0</v>
    </nc>
  </rcc>
  <rcc rId="1997" sId="21" numFmtId="4">
    <nc r="EC33">
      <v>0</v>
    </nc>
  </rcc>
  <rcc rId="1998" sId="21" numFmtId="4">
    <nc r="EC34">
      <v>0</v>
    </nc>
  </rcc>
  <rcc rId="1999" sId="21" numFmtId="4">
    <nc r="EC35">
      <v>0</v>
    </nc>
  </rcc>
  <rcc rId="2000" sId="21" numFmtId="4">
    <nc r="EC36">
      <v>0</v>
    </nc>
  </rcc>
  <rcc rId="2001" sId="21" numFmtId="4">
    <nc r="EC37">
      <v>0</v>
    </nc>
  </rcc>
  <rcc rId="2002" sId="21" numFmtId="4">
    <nc r="EC38">
      <v>0</v>
    </nc>
  </rcc>
  <rcc rId="2003" sId="21" numFmtId="4">
    <nc r="EC39">
      <v>0</v>
    </nc>
  </rcc>
  <rcc rId="2004" sId="21" numFmtId="4">
    <oc r="EG9">
      <f>IF((EE9-EE8)*1000&lt;=0,0,(EE9-EE8)*1000)+GX9+$EE$41</f>
    </oc>
    <nc r="EG9">
      <v>0</v>
    </nc>
  </rcc>
  <rcc rId="2005" sId="21" numFmtId="4">
    <oc r="EG10">
      <f>IF((EE10-EE9)*1000&lt;=0,0,(EE10-EE9)*1000)+GX10+$EE$41</f>
    </oc>
    <nc r="EG10">
      <v>0</v>
    </nc>
  </rcc>
  <rcc rId="2006" sId="21" numFmtId="4">
    <oc r="EG11">
      <f>IF((EE11-EE10)*1000&lt;=0,0,(EE11-EE10)*1000)+GX11+$EE$41</f>
    </oc>
    <nc r="EG11">
      <v>0</v>
    </nc>
  </rcc>
  <rcc rId="2007" sId="21" numFmtId="4">
    <oc r="EG12">
      <f>IF((EE12-EE11)*1000&lt;=0,0,(EE12-EE11)*1000)+GX12+$EE$41</f>
    </oc>
    <nc r="EG12">
      <v>0</v>
    </nc>
  </rcc>
  <rcc rId="2008" sId="21" numFmtId="4">
    <oc r="EG13">
      <f>IF((EE13-EE12)*1000&lt;=0,0,(EE13-EE12)*1000)+GX13+$EE$41</f>
    </oc>
    <nc r="EG13">
      <v>0</v>
    </nc>
  </rcc>
  <rcc rId="2009" sId="21" numFmtId="4">
    <oc r="EG14">
      <f>IF((EE14-EE13)*1000&lt;=0,0,(EE14-EE13)*1000)+GX14+$EE$41</f>
    </oc>
    <nc r="EG14">
      <v>0</v>
    </nc>
  </rcc>
  <rcc rId="2010" sId="21" numFmtId="4">
    <oc r="EG15">
      <f>IF((EE15-EE14)*1000&lt;=0,0,(EE15-EE14)*1000)+GX15+$EE$41</f>
    </oc>
    <nc r="EG15">
      <v>0</v>
    </nc>
  </rcc>
  <rcc rId="2011" sId="21" numFmtId="4">
    <oc r="EG16">
      <f>IF((EE16-EE15)*1000&lt;=0,0,(EE16-EE15)*1000)+GX16+$EE$41</f>
    </oc>
    <nc r="EG16">
      <v>0</v>
    </nc>
  </rcc>
  <rcc rId="2012" sId="21" numFmtId="4">
    <oc r="EG17">
      <f>IF((EE17-EE16)*1000&lt;=0,0,(EE17-EE16)*1000)+GX17+$EE$41</f>
    </oc>
    <nc r="EG17">
      <v>0</v>
    </nc>
  </rcc>
  <rcc rId="2013" sId="21" numFmtId="4">
    <nc r="EG18">
      <v>0</v>
    </nc>
  </rcc>
  <rcc rId="2014" sId="21" numFmtId="4">
    <nc r="EG19">
      <v>0</v>
    </nc>
  </rcc>
  <rcc rId="2015" sId="21" numFmtId="4">
    <nc r="EG20">
      <v>0</v>
    </nc>
  </rcc>
  <rcc rId="2016" sId="21" numFmtId="4">
    <nc r="EG21">
      <v>0</v>
    </nc>
  </rcc>
  <rcc rId="2017" sId="21" numFmtId="4">
    <nc r="EG22">
      <v>0</v>
    </nc>
  </rcc>
  <rcc rId="2018" sId="21" numFmtId="4">
    <nc r="EG23">
      <v>0</v>
    </nc>
  </rcc>
  <rcc rId="2019" sId="21" numFmtId="4">
    <nc r="EG24">
      <v>0</v>
    </nc>
  </rcc>
  <rcc rId="2020" sId="21" numFmtId="4">
    <nc r="EG25">
      <v>0</v>
    </nc>
  </rcc>
  <rcc rId="2021" sId="21" numFmtId="4">
    <nc r="EG26">
      <v>0</v>
    </nc>
  </rcc>
  <rcc rId="2022" sId="21" numFmtId="4">
    <nc r="EG27">
      <v>0</v>
    </nc>
  </rcc>
  <rcc rId="2023" sId="21" numFmtId="4">
    <nc r="EG28">
      <v>0</v>
    </nc>
  </rcc>
  <rcc rId="2024" sId="21" numFmtId="4">
    <nc r="EG29">
      <v>0</v>
    </nc>
  </rcc>
  <rcc rId="2025" sId="21" numFmtId="4">
    <nc r="EG30">
      <v>0</v>
    </nc>
  </rcc>
  <rcc rId="2026" sId="21" numFmtId="4">
    <nc r="EG31">
      <v>0</v>
    </nc>
  </rcc>
  <rcc rId="2027" sId="21" numFmtId="4">
    <nc r="EG32">
      <v>0</v>
    </nc>
  </rcc>
  <rcc rId="2028" sId="21" numFmtId="4">
    <nc r="EG33">
      <v>0</v>
    </nc>
  </rcc>
  <rcc rId="2029" sId="21" numFmtId="4">
    <nc r="EG34">
      <v>0</v>
    </nc>
  </rcc>
  <rcc rId="2030" sId="21" numFmtId="4">
    <nc r="EG35">
      <v>0</v>
    </nc>
  </rcc>
  <rcc rId="2031" sId="21" numFmtId="4">
    <nc r="EG36">
      <v>0</v>
    </nc>
  </rcc>
  <rcc rId="2032" sId="21" numFmtId="4">
    <nc r="EG37">
      <v>0</v>
    </nc>
  </rcc>
  <rcc rId="2033" sId="21" numFmtId="4">
    <nc r="EG38">
      <v>0</v>
    </nc>
  </rcc>
  <rcc rId="2034" sId="21" numFmtId="4">
    <nc r="EG39">
      <v>0</v>
    </nc>
  </rcc>
  <rcc rId="2035" sId="21">
    <oc r="GU9">
      <f>DailyOct!B7-DailyOct!N7-DailyOct!V7-DailyOct!Y7-DailyOct!Z7-DailyOct!AA7-DailyOct!AB7-DailyOct!AC7-DailyOct!AD7-DailyOct!AE7-DailyOct!AK7-DailyOct!AO7-DailyOct!AS7-DailyOct!AY7-DailyOct!BD7+DailyOct!BU7-DailyOct!BG7-DailyOct!BT7-DailyOct!AF7-DailyOct!AG7</f>
    </oc>
    <nc r="GU9">
      <f>IFERROR(DailyNov!B7-DailyNov!N7-DailyNov!V7-DailyNov!Y7-DailyNov!Z7-DailyNov!AA7-DailyNov!AB7-DailyNov!AC7-DailyNov!AD7-DailyNov!AE7-DailyNov!AK7-DailyNov!AO7-DailyNov!AS7-DailyNov!AY7-DailyNov!BD7+DailyNov!BU7-DailyNov!BG7-DailyNov!BT7-DailyNov!AF7-DailyNov!AG7,"-")</f>
    </nc>
  </rcc>
  <rcc rId="2036" sId="19" numFmtId="4">
    <nc r="CE36">
      <v>2024997</v>
    </nc>
  </rcc>
  <rcc rId="2037" sId="19" numFmtId="34">
    <oc r="GV36">
      <v>13103.74</v>
    </oc>
    <nc r="GV36">
      <v>7943.74</v>
    </nc>
  </rcc>
  <rcc rId="2038" sId="19">
    <oc r="GX36">
      <v>873.58</v>
    </oc>
    <nc r="GX36">
      <v>529.58000000000004</v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32ABFE17-599B-4D0B-A1DB-D95B181877FC}" action="delete"/>
  <rdn rId="0" localSheetId="1" customView="1" name="Z_32ABFE17_599B_4D0B_A1DB_D95B181877FC_.wvu.Cols" hidden="1" oldHidden="1">
    <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formula>
    <old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oldFormula>
  </rdn>
  <rdn rId="0" localSheetId="2" customView="1" name="Z_32ABFE17_599B_4D0B_A1DB_D95B181877FC_.wvu.Cols" hidden="1" oldHidden="1">
    <formula>DailyJan!$D:$M,DailyJan!$W:$X,DailyJan!$AH:$AJ,DailyJan!$AL:$AN,DailyJan!$AP:$AR,DailyJan!$AT:$AX,DailyJan!$AZ:$BC,DailyJan!$BX:$BY</formula>
    <oldFormula>DailyJan!$D:$M,DailyJan!$W:$X,DailyJan!$AH:$AJ,DailyJan!$AL:$AN,DailyJan!$AP:$AR,DailyJan!$AT:$AX,DailyJan!$AZ:$BC,DailyJan!$BX:$BY</oldFormula>
  </rdn>
  <rdn rId="0" localSheetId="3" customView="1" name="Z_32ABFE17_599B_4D0B_A1DB_D95B181877FC_.wvu.Rows" hidden="1" oldHidden="1">
    <formula>Feb!$36:$38</formula>
    <oldFormula>Feb!$36:$38</oldFormula>
  </rdn>
  <rdn rId="0" localSheetId="3" customView="1" name="Z_32ABFE17_599B_4D0B_A1DB_D95B181877FC_.wvu.Cols" hidden="1" oldHidden="1">
    <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formula>
    <old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oldFormula>
  </rdn>
  <rdn rId="0" localSheetId="4" customView="1" name="Z_32ABFE17_599B_4D0B_A1DB_D95B181877FC_.wvu.Rows" hidden="1" oldHidden="1">
    <formula>DailyFeb!$35:$37</formula>
    <oldFormula>DailyFeb!$35:$37</oldFormula>
  </rdn>
  <rdn rId="0" localSheetId="4" customView="1" name="Z_32ABFE17_599B_4D0B_A1DB_D95B181877FC_.wvu.Cols" hidden="1" oldHidden="1">
    <formula>DailyFeb!$D:$M,DailyFeb!$W:$X,DailyFeb!$AH:$AJ,DailyFeb!$AL:$AN,DailyFeb!$AP:$AR</formula>
    <oldFormula>DailyFeb!$D:$M,DailyFeb!$W:$X,DailyFeb!$AH:$AJ,DailyFeb!$AL:$AN,DailyFeb!$AP:$AR</oldFormula>
  </rdn>
  <rdn rId="0" localSheetId="5" customView="1" name="Z_32ABFE17_599B_4D0B_A1DB_D95B181877FC_.wvu.Cols" hidden="1" oldHidden="1">
    <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formula>
    <old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oldFormula>
  </rdn>
  <rdn rId="0" localSheetId="6" customView="1" name="Z_32ABFE17_599B_4D0B_A1DB_D95B181877FC_.wvu.Cols" hidden="1" oldHidden="1">
    <formula>DailyMar!$D:$M,DailyMar!$O:$U,DailyMar!$W:$X,DailyMar!$AH:$AJ,DailyMar!$AL:$AN,DailyMar!$AP:$AR,DailyMar!$AT:$AX,DailyMar!$AZ:$BC,DailyMar!$BE:$BF,DailyMar!$BV:$CC</formula>
    <oldFormula>DailyMar!$D:$M,DailyMar!$O:$U,DailyMar!$W:$X,DailyMar!$AH:$AJ,DailyMar!$AL:$AN,DailyMar!$AP:$AR,DailyMar!$AT:$AX,DailyMar!$AZ:$BC,DailyMar!$BE:$BF,DailyMar!$BV:$CC</oldFormula>
  </rdn>
  <rdn rId="0" localSheetId="7" customView="1" name="Z_32ABFE17_599B_4D0B_A1DB_D95B181877FC_.wvu.Rows" hidden="1" oldHidden="1">
    <formula>Apr!$38:$38</formula>
    <oldFormula>Apr!$38:$38</oldFormula>
  </rdn>
  <rdn rId="0" localSheetId="7" customView="1" name="Z_32ABFE17_599B_4D0B_A1DB_D95B181877FC_.wvu.Cols" hidden="1" oldHidden="1">
    <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formula>
    <old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oldFormula>
  </rdn>
  <rdn rId="0" localSheetId="8" customView="1" name="Z_32ABFE17_599B_4D0B_A1DB_D95B181877FC_.wvu.Rows" hidden="1" oldHidden="1">
    <formula>DailyApr!$37:$37</formula>
    <oldFormula>DailyApr!$37:$37</oldFormula>
  </rdn>
  <rdn rId="0" localSheetId="8" customView="1" name="Z_32ABFE17_599B_4D0B_A1DB_D95B181877FC_.wvu.Cols" hidden="1" oldHidden="1">
    <formula>DailyApr!$D:$M,DailyApr!$O:$U,DailyApr!$W:$X,DailyApr!$AH:$AJ,DailyApr!$AL:$AN,DailyApr!$AP:$AR,DailyApr!$AT:$AX,DailyApr!$AZ:$BC,DailyApr!$BE:$BF,DailyApr!$BV:$CG</formula>
    <oldFormula>DailyApr!$D:$M,DailyApr!$O:$U,DailyApr!$W:$X,DailyApr!$AH:$AJ,DailyApr!$AL:$AN,DailyApr!$AP:$AR,DailyApr!$AT:$AX,DailyApr!$AZ:$BC,DailyApr!$BE:$BF,DailyApr!$BV:$CG</oldFormula>
  </rdn>
  <rdn rId="0" localSheetId="9" customView="1" name="Z_32ABFE17_599B_4D0B_A1DB_D95B181877FC_.wvu.Cols" hidden="1" oldHidden="1">
    <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formula>
    <old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oldFormula>
  </rdn>
  <rdn rId="0" localSheetId="10" customView="1" name="Z_32ABFE17_599B_4D0B_A1DB_D95B181877FC_.wvu.Cols" hidden="1" oldHidden="1">
    <formula>DailyMei!$D:$M,DailyMei!$O:$U,DailyMei!$W:$X,DailyMei!$AH:$AJ,DailyMei!$AL:$AN,DailyMei!$AP:$AR,DailyMei!$AT:$AX,DailyMei!$AZ:$BC,DailyMei!$BE:$BF,DailyMei!$BV:$CK</formula>
    <oldFormula>DailyMei!$D:$M,DailyMei!$O:$U,DailyMei!$W:$X,DailyMei!$AH:$AJ,DailyMei!$AL:$AN,DailyMei!$AP:$AR,DailyMei!$AT:$AX,DailyMei!$AZ:$BC,DailyMei!$BE:$BF,DailyMei!$BV:$CK</oldFormula>
  </rdn>
  <rdn rId="0" localSheetId="11" customView="1" name="Z_32ABFE17_599B_4D0B_A1DB_D95B181877FC_.wvu.Cols" hidden="1" oldHidden="1">
    <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formula>
    <old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oldFormula>
  </rdn>
  <rdn rId="0" localSheetId="12" customView="1" name="Z_32ABFE17_599B_4D0B_A1DB_D95B181877FC_.wvu.Rows" hidden="1" oldHidden="1">
    <formula>DailyJun!$37:$37</formula>
    <oldFormula>DailyJun!$37:$37</oldFormula>
  </rdn>
  <rdn rId="0" localSheetId="12" customView="1" name="Z_32ABFE17_599B_4D0B_A1DB_D95B181877FC_.wvu.Cols" hidden="1" oldHidden="1">
    <formula>DailyJun!$D:$M,DailyJun!$O:$U,DailyJun!$W:$X,DailyJun!$AH:$AJ,DailyJun!$AL:$AN,DailyJun!$AP:$AR,DailyJun!$AT:$AX,DailyJun!$AZ:$BC,DailyJun!$BE:$BF,DailyJun!$BV:$CI</formula>
    <oldFormula>DailyJun!$D:$M,DailyJun!$O:$U,DailyJun!$W:$X,DailyJun!$AH:$AJ,DailyJun!$AL:$AN,DailyJun!$AP:$AR,DailyJun!$AT:$AX,DailyJun!$AZ:$BC,DailyJun!$BE:$BF,DailyJun!$BV:$CI</oldFormula>
  </rdn>
  <rdn rId="0" localSheetId="13" customView="1" name="Z_32ABFE17_599B_4D0B_A1DB_D95B181877FC_.wvu.Cols" hidden="1" oldHidden="1">
    <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formula>
    <old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oldFormula>
  </rdn>
  <rdn rId="0" localSheetId="14" customView="1" name="Z_32ABFE17_599B_4D0B_A1DB_D95B181877FC_.wvu.Cols" hidden="1" oldHidden="1">
    <formula>DailyJul!$D:$M,DailyJul!$O:$U,DailyJul!$W:$X,DailyJul!$AH:$AJ,DailyJul!$AL:$AN,DailyJul!$AP:$AR,DailyJul!$AT:$AX,DailyJul!$AZ:$BC,DailyJul!$BE:$BF</formula>
    <oldFormula>DailyJul!$D:$M,DailyJul!$O:$U,DailyJul!$W:$X,DailyJul!$AH:$AJ,DailyJul!$AL:$AN,DailyJul!$AP:$AR,DailyJul!$AT:$AX,DailyJul!$AZ:$BC,DailyJul!$BE:$BF</oldFormula>
  </rdn>
  <rdn rId="0" localSheetId="15" customView="1" name="Z_32ABFE17_599B_4D0B_A1DB_D95B181877FC_.wvu.Cols" hidden="1" oldHidden="1">
    <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formula>
    <old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oldFormula>
  </rdn>
  <rdn rId="0" localSheetId="16" customView="1" name="Z_32ABFE17_599B_4D0B_A1DB_D95B181877FC_.wvu.PrintArea" hidden="1" oldHidden="1">
    <formula>DailyAug!$A$1:$BU$69</formula>
    <oldFormula>DailyAug!$A$1:$BU$69</oldFormula>
  </rdn>
  <rdn rId="0" localSheetId="17" customView="1" name="Z_32ABFE17_599B_4D0B_A1DB_D95B181877FC_.wvu.Cols" hidden="1" oldHidden="1">
    <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formula>
    <old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oldFormula>
  </rdn>
  <rdn rId="0" localSheetId="19" customView="1" name="Z_32ABFE17_599B_4D0B_A1DB_D95B181877FC_.wvu.Cols" hidden="1" oldHidden="1">
    <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formula>
    <old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oldFormula>
  </rdn>
  <rdn rId="0" localSheetId="21" customView="1" name="Z_32ABFE17_599B_4D0B_A1DB_D95B181877FC_.wvu.Cols" hidden="1" oldHidden="1">
    <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formula>
    <old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oldFormula>
  </rdn>
  <rcv guid="{32ABFE17-599B-4D0B-A1DB-D95B181877FC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32ABFE17-599B-4D0B-A1DB-D95B181877FC}" action="delete"/>
  <rdn rId="0" localSheetId="1" customView="1" name="Z_32ABFE17_599B_4D0B_A1DB_D95B181877FC_.wvu.Cols" hidden="1" oldHidden="1">
    <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formula>
    <old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oldFormula>
  </rdn>
  <rdn rId="0" localSheetId="2" customView="1" name="Z_32ABFE17_599B_4D0B_A1DB_D95B181877FC_.wvu.Cols" hidden="1" oldHidden="1">
    <formula>DailyJan!$D:$M,DailyJan!$W:$X,DailyJan!$AH:$AJ,DailyJan!$AL:$AN,DailyJan!$AP:$AR,DailyJan!$AT:$AX,DailyJan!$AZ:$BC,DailyJan!$BX:$BY</formula>
    <oldFormula>DailyJan!$D:$M,DailyJan!$W:$X,DailyJan!$AH:$AJ,DailyJan!$AL:$AN,DailyJan!$AP:$AR,DailyJan!$AT:$AX,DailyJan!$AZ:$BC,DailyJan!$BX:$BY</oldFormula>
  </rdn>
  <rdn rId="0" localSheetId="3" customView="1" name="Z_32ABFE17_599B_4D0B_A1DB_D95B181877FC_.wvu.Rows" hidden="1" oldHidden="1">
    <formula>Feb!$36:$38</formula>
    <oldFormula>Feb!$36:$38</oldFormula>
  </rdn>
  <rdn rId="0" localSheetId="3" customView="1" name="Z_32ABFE17_599B_4D0B_A1DB_D95B181877FC_.wvu.Cols" hidden="1" oldHidden="1">
    <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formula>
    <old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oldFormula>
  </rdn>
  <rdn rId="0" localSheetId="4" customView="1" name="Z_32ABFE17_599B_4D0B_A1DB_D95B181877FC_.wvu.Rows" hidden="1" oldHidden="1">
    <formula>DailyFeb!$35:$37</formula>
    <oldFormula>DailyFeb!$35:$37</oldFormula>
  </rdn>
  <rdn rId="0" localSheetId="4" customView="1" name="Z_32ABFE17_599B_4D0B_A1DB_D95B181877FC_.wvu.Cols" hidden="1" oldHidden="1">
    <formula>DailyFeb!$D:$M,DailyFeb!$W:$X,DailyFeb!$AH:$AJ,DailyFeb!$AL:$AN,DailyFeb!$AP:$AR</formula>
    <oldFormula>DailyFeb!$D:$M,DailyFeb!$W:$X,DailyFeb!$AH:$AJ,DailyFeb!$AL:$AN,DailyFeb!$AP:$AR</oldFormula>
  </rdn>
  <rdn rId="0" localSheetId="5" customView="1" name="Z_32ABFE17_599B_4D0B_A1DB_D95B181877FC_.wvu.Cols" hidden="1" oldHidden="1">
    <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formula>
    <old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oldFormula>
  </rdn>
  <rdn rId="0" localSheetId="6" customView="1" name="Z_32ABFE17_599B_4D0B_A1DB_D95B181877FC_.wvu.Cols" hidden="1" oldHidden="1">
    <formula>DailyMar!$D:$M,DailyMar!$O:$U,DailyMar!$W:$X,DailyMar!$AH:$AJ,DailyMar!$AL:$AN,DailyMar!$AP:$AR,DailyMar!$AT:$AX,DailyMar!$AZ:$BC,DailyMar!$BE:$BF,DailyMar!$BV:$CC</formula>
    <oldFormula>DailyMar!$D:$M,DailyMar!$O:$U,DailyMar!$W:$X,DailyMar!$AH:$AJ,DailyMar!$AL:$AN,DailyMar!$AP:$AR,DailyMar!$AT:$AX,DailyMar!$AZ:$BC,DailyMar!$BE:$BF,DailyMar!$BV:$CC</oldFormula>
  </rdn>
  <rdn rId="0" localSheetId="7" customView="1" name="Z_32ABFE17_599B_4D0B_A1DB_D95B181877FC_.wvu.Rows" hidden="1" oldHidden="1">
    <formula>Apr!$38:$38</formula>
    <oldFormula>Apr!$38:$38</oldFormula>
  </rdn>
  <rdn rId="0" localSheetId="7" customView="1" name="Z_32ABFE17_599B_4D0B_A1DB_D95B181877FC_.wvu.Cols" hidden="1" oldHidden="1">
    <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formula>
    <old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oldFormula>
  </rdn>
  <rdn rId="0" localSheetId="8" customView="1" name="Z_32ABFE17_599B_4D0B_A1DB_D95B181877FC_.wvu.Rows" hidden="1" oldHidden="1">
    <formula>DailyApr!$37:$37</formula>
    <oldFormula>DailyApr!$37:$37</oldFormula>
  </rdn>
  <rdn rId="0" localSheetId="8" customView="1" name="Z_32ABFE17_599B_4D0B_A1DB_D95B181877FC_.wvu.Cols" hidden="1" oldHidden="1">
    <formula>DailyApr!$D:$M,DailyApr!$O:$U,DailyApr!$W:$X,DailyApr!$AH:$AJ,DailyApr!$AL:$AN,DailyApr!$AP:$AR,DailyApr!$AT:$AX,DailyApr!$AZ:$BC,DailyApr!$BE:$BF,DailyApr!$BV:$CG</formula>
    <oldFormula>DailyApr!$D:$M,DailyApr!$O:$U,DailyApr!$W:$X,DailyApr!$AH:$AJ,DailyApr!$AL:$AN,DailyApr!$AP:$AR,DailyApr!$AT:$AX,DailyApr!$AZ:$BC,DailyApr!$BE:$BF,DailyApr!$BV:$CG</oldFormula>
  </rdn>
  <rdn rId="0" localSheetId="9" customView="1" name="Z_32ABFE17_599B_4D0B_A1DB_D95B181877FC_.wvu.Cols" hidden="1" oldHidden="1">
    <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formula>
    <old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oldFormula>
  </rdn>
  <rdn rId="0" localSheetId="10" customView="1" name="Z_32ABFE17_599B_4D0B_A1DB_D95B181877FC_.wvu.Cols" hidden="1" oldHidden="1">
    <formula>DailyMei!$D:$M,DailyMei!$O:$U,DailyMei!$W:$X,DailyMei!$AH:$AJ,DailyMei!$AL:$AN,DailyMei!$AP:$AR,DailyMei!$AT:$AX,DailyMei!$AZ:$BC,DailyMei!$BE:$BF,DailyMei!$BV:$CK</formula>
    <oldFormula>DailyMei!$D:$M,DailyMei!$O:$U,DailyMei!$W:$X,DailyMei!$AH:$AJ,DailyMei!$AL:$AN,DailyMei!$AP:$AR,DailyMei!$AT:$AX,DailyMei!$AZ:$BC,DailyMei!$BE:$BF,DailyMei!$BV:$CK</oldFormula>
  </rdn>
  <rdn rId="0" localSheetId="11" customView="1" name="Z_32ABFE17_599B_4D0B_A1DB_D95B181877FC_.wvu.Cols" hidden="1" oldHidden="1">
    <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formula>
    <old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oldFormula>
  </rdn>
  <rdn rId="0" localSheetId="12" customView="1" name="Z_32ABFE17_599B_4D0B_A1DB_D95B181877FC_.wvu.Rows" hidden="1" oldHidden="1">
    <formula>DailyJun!$37:$37</formula>
    <oldFormula>DailyJun!$37:$37</oldFormula>
  </rdn>
  <rdn rId="0" localSheetId="12" customView="1" name="Z_32ABFE17_599B_4D0B_A1DB_D95B181877FC_.wvu.Cols" hidden="1" oldHidden="1">
    <formula>DailyJun!$D:$M,DailyJun!$O:$U,DailyJun!$W:$X,DailyJun!$AH:$AJ,DailyJun!$AL:$AN,DailyJun!$AP:$AR,DailyJun!$AT:$AX,DailyJun!$AZ:$BC,DailyJun!$BE:$BF,DailyJun!$BV:$CI</formula>
    <oldFormula>DailyJun!$D:$M,DailyJun!$O:$U,DailyJun!$W:$X,DailyJun!$AH:$AJ,DailyJun!$AL:$AN,DailyJun!$AP:$AR,DailyJun!$AT:$AX,DailyJun!$AZ:$BC,DailyJun!$BE:$BF,DailyJun!$BV:$CI</oldFormula>
  </rdn>
  <rdn rId="0" localSheetId="13" customView="1" name="Z_32ABFE17_599B_4D0B_A1DB_D95B181877FC_.wvu.Cols" hidden="1" oldHidden="1">
    <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formula>
    <old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oldFormula>
  </rdn>
  <rdn rId="0" localSheetId="14" customView="1" name="Z_32ABFE17_599B_4D0B_A1DB_D95B181877FC_.wvu.Cols" hidden="1" oldHidden="1">
    <formula>DailyJul!$D:$M,DailyJul!$O:$U,DailyJul!$W:$X,DailyJul!$AH:$AJ,DailyJul!$AL:$AN,DailyJul!$AP:$AR,DailyJul!$AT:$AX,DailyJul!$AZ:$BC,DailyJul!$BE:$BF</formula>
    <oldFormula>DailyJul!$D:$M,DailyJul!$O:$U,DailyJul!$W:$X,DailyJul!$AH:$AJ,DailyJul!$AL:$AN,DailyJul!$AP:$AR,DailyJul!$AT:$AX,DailyJul!$AZ:$BC,DailyJul!$BE:$BF</oldFormula>
  </rdn>
  <rdn rId="0" localSheetId="15" customView="1" name="Z_32ABFE17_599B_4D0B_A1DB_D95B181877FC_.wvu.Cols" hidden="1" oldHidden="1">
    <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formula>
    <old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oldFormula>
  </rdn>
  <rdn rId="0" localSheetId="16" customView="1" name="Z_32ABFE17_599B_4D0B_A1DB_D95B181877FC_.wvu.PrintArea" hidden="1" oldHidden="1">
    <formula>DailyAug!$A$1:$BU$69</formula>
    <oldFormula>DailyAug!$A$1:$BU$69</oldFormula>
  </rdn>
  <rdn rId="0" localSheetId="17" customView="1" name="Z_32ABFE17_599B_4D0B_A1DB_D95B181877FC_.wvu.Cols" hidden="1" oldHidden="1">
    <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formula>
    <old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oldFormula>
  </rdn>
  <rdn rId="0" localSheetId="19" customView="1" name="Z_32ABFE17_599B_4D0B_A1DB_D95B181877FC_.wvu.Cols" hidden="1" oldHidden="1">
    <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formula>
    <old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oldFormula>
  </rdn>
  <rdn rId="0" localSheetId="21" customView="1" name="Z_32ABFE17_599B_4D0B_A1DB_D95B181877FC_.wvu.Cols" hidden="1" oldHidden="1">
    <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formula>
    <old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oldFormula>
  </rdn>
  <rcv guid="{32ABFE17-599B-4D0B-A1DB-D95B181877FC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7" sId="19">
    <oc r="H82">
      <f>Aug!E76</f>
    </oc>
    <nc r="H82">
      <f>Sep!E75</f>
    </nc>
  </rcc>
  <rcc rId="2088" sId="19">
    <oc r="H81">
      <f>E76</f>
    </oc>
    <nc r="H81">
      <f>E75</f>
    </nc>
  </rcc>
  <rcc rId="2089" sId="19">
    <oc r="L82">
      <f>'\\PRODUKSI-PM\2025\8. AGUSTUS\[8. Batubara Steam Aug 2025.xlsx]Master'!$AU$37</f>
    </oc>
    <nc r="L82">
      <f>'P:\2025\9. SEPTEMBER\[9. Batubara Steam Sept 2025.xlsx]Master'!$AU$36</f>
    </nc>
  </rcc>
  <rcc rId="2090" sId="19" xfDxf="1" dxf="1">
    <nc r="L79">
      <f>'P:\2025\9. SEPTEMBER\[9. Batubara Steam Sept 2025.xlsx]Master'!$AU$37</f>
    </nc>
  </rcc>
  <rm rId="2091" sheetId="19" source="J82:M83" destination="J83:M84" sourceSheetId="19">
    <rfmt sheetId="19" sqref="J84" start="0" length="0">
      <dxf>
        <fill>
          <patternFill patternType="solid">
            <bgColor theme="4" tint="0.79998168889431442"/>
          </patternFill>
        </fill>
        <border outline="0">
          <left style="thin">
            <color indexed="64"/>
          </left>
        </border>
      </dxf>
    </rfmt>
    <rfmt sheetId="19" sqref="K84" start="0" length="0">
      <dxf>
        <fill>
          <patternFill patternType="solid">
            <bgColor theme="4" tint="0.79998168889431442"/>
          </patternFill>
        </fill>
      </dxf>
    </rfmt>
    <rfmt sheetId="19" sqref="L84" start="0" length="0">
      <dxf>
        <fill>
          <patternFill patternType="solid">
            <bgColor theme="4" tint="0.79998168889431442"/>
          </patternFill>
        </fill>
      </dxf>
    </rfmt>
    <rfmt sheetId="19" s="1" sqref="M84" start="0" length="0">
      <dxf>
        <numFmt numFmtId="165" formatCode="_(* #,##0.00_);_(* \(#,##0.00\);_(* &quot;-&quot;??_);_(@_)"/>
        <fill>
          <patternFill patternType="solid">
            <bgColor theme="4" tint="0.79998168889431442"/>
          </patternFill>
        </fill>
        <border outline="0">
          <right style="thin">
            <color indexed="64"/>
          </right>
        </border>
      </dxf>
    </rfmt>
  </rm>
  <rm rId="2092" sheetId="19" source="J83:M83" destination="J82:M82" sourceSheetId="19"/>
  <rcc rId="2093" sId="19">
    <oc r="L81">
      <f>'\\PRODUKSI-PM\9. SEPTEMBER\[9. Batubara Steam Sept 2025.xlsx]Master'!$AU$36</f>
    </oc>
    <nc r="L81">
      <f>'P:\2025\9. SEPTEMBER\[9. Batubara Steam Sept 2025.xlsx]Master'!$AU$37</f>
    </nc>
  </rcc>
  <rfmt sheetId="19" xfDxf="1" sqref="L83" start="0" length="0"/>
  <rfmt sheetId="19" sqref="J83" start="0" length="0">
    <dxf>
      <fill>
        <patternFill patternType="solid">
          <bgColor theme="4" tint="0.79998168889431442"/>
        </patternFill>
      </fill>
      <alignment vertical="center" readingOrder="0"/>
      <border outline="0">
        <left style="thin">
          <color indexed="64"/>
        </left>
      </border>
    </dxf>
  </rfmt>
  <rcc rId="2094" sId="19">
    <nc r="J83" t="inlineStr">
      <is>
        <t>Flowmeter akhir</t>
      </is>
    </nc>
  </rcc>
  <rfmt sheetId="19" sqref="K83" start="0" length="0">
    <dxf>
      <numFmt numFmtId="165" formatCode="_(* #,##0.00_);_(* \(#,##0.00\);_(* &quot;-&quot;??_);_(@_)"/>
      <fill>
        <patternFill patternType="solid">
          <bgColor theme="4" tint="0.79998168889431442"/>
        </patternFill>
      </fill>
      <alignment vertical="center" readingOrder="0"/>
    </dxf>
  </rfmt>
  <rcc rId="2095" sId="19" odxf="1" s="1" dxf="1">
    <nc r="L83">
      <f>+'P:\10. OKTOBER\[10. Batubara Steam Okt 2025.xlsx]Master'!$AU$37</f>
    </nc>
    <ndxf>
      <font>
        <sz val="11"/>
        <color indexed="8"/>
        <name val="Calibri"/>
        <scheme val="minor"/>
      </font>
      <numFmt numFmtId="175" formatCode="_(* #,##0_);_(* \(#,##0\);_(* &quot;-&quot;??_);_(@_)"/>
      <fill>
        <patternFill patternType="solid">
          <bgColor theme="4" tint="0.79998168889431442"/>
        </patternFill>
      </fill>
    </ndxf>
  </rcc>
  <rfmt sheetId="19" s="1" sqref="M83" start="0" length="0">
    <dxf>
      <numFmt numFmtId="165" formatCode="_(* #,##0.00_);_(* \(#,##0.00\);_(* &quot;-&quot;??_);_(@_)"/>
      <fill>
        <patternFill patternType="solid">
          <bgColor theme="4" tint="0.79998168889431442"/>
        </patternFill>
      </fill>
      <border outline="0">
        <right style="thin">
          <color indexed="64"/>
        </right>
      </border>
    </dxf>
  </rfmt>
  <rm rId="2096" sheetId="19" source="J83:M84" destination="J84:M85" sourceSheetId="19">
    <rfmt sheetId="19" sqref="J85" start="0" length="0">
      <dxf>
        <fill>
          <patternFill patternType="solid">
            <bgColor theme="4" tint="0.79998168889431442"/>
          </patternFill>
        </fill>
        <border outline="0">
          <left style="thin">
            <color indexed="64"/>
          </left>
        </border>
      </dxf>
    </rfmt>
    <rfmt sheetId="19" sqref="K85" start="0" length="0">
      <dxf>
        <fill>
          <patternFill patternType="solid">
            <bgColor theme="4" tint="0.79998168889431442"/>
          </patternFill>
        </fill>
      </dxf>
    </rfmt>
    <rfmt sheetId="19" sqref="L85" start="0" length="0">
      <dxf>
        <fill>
          <patternFill patternType="solid">
            <bgColor theme="4" tint="0.79998168889431442"/>
          </patternFill>
        </fill>
      </dxf>
    </rfmt>
    <rfmt sheetId="19" sqref="M85" start="0" length="0">
      <dxf>
        <fill>
          <patternFill patternType="solid">
            <bgColor theme="4" tint="0.79998168889431442"/>
          </patternFill>
        </fill>
        <border outline="0">
          <right style="thin">
            <color indexed="64"/>
          </right>
        </border>
      </dxf>
    </rfmt>
  </rm>
  <rfmt sheetId="19" sqref="J83" start="0" length="0">
    <dxf>
      <fill>
        <patternFill patternType="solid">
          <bgColor theme="4" tint="0.79998168889431442"/>
        </patternFill>
      </fill>
      <alignment vertical="center" readingOrder="0"/>
      <border outline="0">
        <left style="thin">
          <color indexed="64"/>
        </left>
      </border>
    </dxf>
  </rfmt>
  <rcc rId="2097" sId="19">
    <nc r="J83" t="inlineStr">
      <is>
        <t>ganti flowmeter</t>
      </is>
    </nc>
  </rcc>
  <rcc rId="2098" sId="19">
    <nc r="L83">
      <v>-21</v>
    </nc>
  </rcc>
  <rcc rId="2099" sId="19">
    <oc r="L85">
      <f>L81-L82</f>
    </oc>
    <nc r="L85">
      <f>L81-L82-L83+L84</f>
    </nc>
  </rcc>
  <rcc rId="2100" sId="19">
    <nc r="M83" t="inlineStr">
      <is>
        <t>Ton</t>
      </is>
    </nc>
  </rcc>
  <rcv guid="{32ABFE17-599B-4D0B-A1DB-D95B181877FC}" action="delete"/>
  <rdn rId="0" localSheetId="1" customView="1" name="Z_32ABFE17_599B_4D0B_A1DB_D95B181877FC_.wvu.Cols" hidden="1" oldHidden="1">
    <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formula>
    <old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oldFormula>
  </rdn>
  <rdn rId="0" localSheetId="2" customView="1" name="Z_32ABFE17_599B_4D0B_A1DB_D95B181877FC_.wvu.Cols" hidden="1" oldHidden="1">
    <formula>DailyJan!$D:$M,DailyJan!$W:$X,DailyJan!$AH:$AJ,DailyJan!$AL:$AN,DailyJan!$AP:$AR,DailyJan!$AT:$AX,DailyJan!$AZ:$BC,DailyJan!$BX:$BY</formula>
    <oldFormula>DailyJan!$D:$M,DailyJan!$W:$X,DailyJan!$AH:$AJ,DailyJan!$AL:$AN,DailyJan!$AP:$AR,DailyJan!$AT:$AX,DailyJan!$AZ:$BC,DailyJan!$BX:$BY</oldFormula>
  </rdn>
  <rdn rId="0" localSheetId="3" customView="1" name="Z_32ABFE17_599B_4D0B_A1DB_D95B181877FC_.wvu.Rows" hidden="1" oldHidden="1">
    <formula>Feb!$36:$38</formula>
    <oldFormula>Feb!$36:$38</oldFormula>
  </rdn>
  <rdn rId="0" localSheetId="3" customView="1" name="Z_32ABFE17_599B_4D0B_A1DB_D95B181877FC_.wvu.Cols" hidden="1" oldHidden="1">
    <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formula>
    <old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oldFormula>
  </rdn>
  <rdn rId="0" localSheetId="4" customView="1" name="Z_32ABFE17_599B_4D0B_A1DB_D95B181877FC_.wvu.Rows" hidden="1" oldHidden="1">
    <formula>DailyFeb!$35:$37</formula>
    <oldFormula>DailyFeb!$35:$37</oldFormula>
  </rdn>
  <rdn rId="0" localSheetId="4" customView="1" name="Z_32ABFE17_599B_4D0B_A1DB_D95B181877FC_.wvu.Cols" hidden="1" oldHidden="1">
    <formula>DailyFeb!$D:$M,DailyFeb!$W:$X,DailyFeb!$AH:$AJ,DailyFeb!$AL:$AN,DailyFeb!$AP:$AR</formula>
    <oldFormula>DailyFeb!$D:$M,DailyFeb!$W:$X,DailyFeb!$AH:$AJ,DailyFeb!$AL:$AN,DailyFeb!$AP:$AR</oldFormula>
  </rdn>
  <rdn rId="0" localSheetId="5" customView="1" name="Z_32ABFE17_599B_4D0B_A1DB_D95B181877FC_.wvu.Cols" hidden="1" oldHidden="1">
    <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formula>
    <old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oldFormula>
  </rdn>
  <rdn rId="0" localSheetId="6" customView="1" name="Z_32ABFE17_599B_4D0B_A1DB_D95B181877FC_.wvu.Cols" hidden="1" oldHidden="1">
    <formula>DailyMar!$D:$M,DailyMar!$O:$U,DailyMar!$W:$X,DailyMar!$AH:$AJ,DailyMar!$AL:$AN,DailyMar!$AP:$AR,DailyMar!$AT:$AX,DailyMar!$AZ:$BC,DailyMar!$BE:$BF,DailyMar!$BV:$CC</formula>
    <oldFormula>DailyMar!$D:$M,DailyMar!$O:$U,DailyMar!$W:$X,DailyMar!$AH:$AJ,DailyMar!$AL:$AN,DailyMar!$AP:$AR,DailyMar!$AT:$AX,DailyMar!$AZ:$BC,DailyMar!$BE:$BF,DailyMar!$BV:$CC</oldFormula>
  </rdn>
  <rdn rId="0" localSheetId="7" customView="1" name="Z_32ABFE17_599B_4D0B_A1DB_D95B181877FC_.wvu.Rows" hidden="1" oldHidden="1">
    <formula>Apr!$38:$38</formula>
    <oldFormula>Apr!$38:$38</oldFormula>
  </rdn>
  <rdn rId="0" localSheetId="7" customView="1" name="Z_32ABFE17_599B_4D0B_A1DB_D95B181877FC_.wvu.Cols" hidden="1" oldHidden="1">
    <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formula>
    <old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oldFormula>
  </rdn>
  <rdn rId="0" localSheetId="8" customView="1" name="Z_32ABFE17_599B_4D0B_A1DB_D95B181877FC_.wvu.Rows" hidden="1" oldHidden="1">
    <formula>DailyApr!$37:$37</formula>
    <oldFormula>DailyApr!$37:$37</oldFormula>
  </rdn>
  <rdn rId="0" localSheetId="8" customView="1" name="Z_32ABFE17_599B_4D0B_A1DB_D95B181877FC_.wvu.Cols" hidden="1" oldHidden="1">
    <formula>DailyApr!$D:$M,DailyApr!$O:$U,DailyApr!$W:$X,DailyApr!$AH:$AJ,DailyApr!$AL:$AN,DailyApr!$AP:$AR,DailyApr!$AT:$AX,DailyApr!$AZ:$BC,DailyApr!$BE:$BF,DailyApr!$BV:$CG</formula>
    <oldFormula>DailyApr!$D:$M,DailyApr!$O:$U,DailyApr!$W:$X,DailyApr!$AH:$AJ,DailyApr!$AL:$AN,DailyApr!$AP:$AR,DailyApr!$AT:$AX,DailyApr!$AZ:$BC,DailyApr!$BE:$BF,DailyApr!$BV:$CG</oldFormula>
  </rdn>
  <rdn rId="0" localSheetId="9" customView="1" name="Z_32ABFE17_599B_4D0B_A1DB_D95B181877FC_.wvu.Cols" hidden="1" oldHidden="1">
    <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formula>
    <old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oldFormula>
  </rdn>
  <rdn rId="0" localSheetId="10" customView="1" name="Z_32ABFE17_599B_4D0B_A1DB_D95B181877FC_.wvu.Cols" hidden="1" oldHidden="1">
    <formula>DailyMei!$D:$M,DailyMei!$O:$U,DailyMei!$W:$X,DailyMei!$AH:$AJ,DailyMei!$AL:$AN,DailyMei!$AP:$AR,DailyMei!$AT:$AX,DailyMei!$AZ:$BC,DailyMei!$BE:$BF,DailyMei!$BV:$CK</formula>
    <oldFormula>DailyMei!$D:$M,DailyMei!$O:$U,DailyMei!$W:$X,DailyMei!$AH:$AJ,DailyMei!$AL:$AN,DailyMei!$AP:$AR,DailyMei!$AT:$AX,DailyMei!$AZ:$BC,DailyMei!$BE:$BF,DailyMei!$BV:$CK</oldFormula>
  </rdn>
  <rdn rId="0" localSheetId="11" customView="1" name="Z_32ABFE17_599B_4D0B_A1DB_D95B181877FC_.wvu.Cols" hidden="1" oldHidden="1">
    <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formula>
    <old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oldFormula>
  </rdn>
  <rdn rId="0" localSheetId="12" customView="1" name="Z_32ABFE17_599B_4D0B_A1DB_D95B181877FC_.wvu.Rows" hidden="1" oldHidden="1">
    <formula>DailyJun!$37:$37</formula>
    <oldFormula>DailyJun!$37:$37</oldFormula>
  </rdn>
  <rdn rId="0" localSheetId="12" customView="1" name="Z_32ABFE17_599B_4D0B_A1DB_D95B181877FC_.wvu.Cols" hidden="1" oldHidden="1">
    <formula>DailyJun!$D:$M,DailyJun!$O:$U,DailyJun!$W:$X,DailyJun!$AH:$AJ,DailyJun!$AL:$AN,DailyJun!$AP:$AR,DailyJun!$AT:$AX,DailyJun!$AZ:$BC,DailyJun!$BE:$BF,DailyJun!$BV:$CI</formula>
    <oldFormula>DailyJun!$D:$M,DailyJun!$O:$U,DailyJun!$W:$X,DailyJun!$AH:$AJ,DailyJun!$AL:$AN,DailyJun!$AP:$AR,DailyJun!$AT:$AX,DailyJun!$AZ:$BC,DailyJun!$BE:$BF,DailyJun!$BV:$CI</oldFormula>
  </rdn>
  <rdn rId="0" localSheetId="13" customView="1" name="Z_32ABFE17_599B_4D0B_A1DB_D95B181877FC_.wvu.Cols" hidden="1" oldHidden="1">
    <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formula>
    <old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oldFormula>
  </rdn>
  <rdn rId="0" localSheetId="14" customView="1" name="Z_32ABFE17_599B_4D0B_A1DB_D95B181877FC_.wvu.Cols" hidden="1" oldHidden="1">
    <formula>DailyJul!$D:$M,DailyJul!$O:$U,DailyJul!$W:$X,DailyJul!$AH:$AJ,DailyJul!$AL:$AN,DailyJul!$AP:$AR,DailyJul!$AT:$AX,DailyJul!$AZ:$BC,DailyJul!$BE:$BF</formula>
    <oldFormula>DailyJul!$D:$M,DailyJul!$O:$U,DailyJul!$W:$X,DailyJul!$AH:$AJ,DailyJul!$AL:$AN,DailyJul!$AP:$AR,DailyJul!$AT:$AX,DailyJul!$AZ:$BC,DailyJul!$BE:$BF</oldFormula>
  </rdn>
  <rdn rId="0" localSheetId="15" customView="1" name="Z_32ABFE17_599B_4D0B_A1DB_D95B181877FC_.wvu.Cols" hidden="1" oldHidden="1">
    <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formula>
    <old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oldFormula>
  </rdn>
  <rdn rId="0" localSheetId="16" customView="1" name="Z_32ABFE17_599B_4D0B_A1DB_D95B181877FC_.wvu.PrintArea" hidden="1" oldHidden="1">
    <formula>DailyAug!$A$1:$BU$69</formula>
    <oldFormula>DailyAug!$A$1:$BU$69</oldFormula>
  </rdn>
  <rdn rId="0" localSheetId="17" customView="1" name="Z_32ABFE17_599B_4D0B_A1DB_D95B181877FC_.wvu.Cols" hidden="1" oldHidden="1">
    <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formula>
    <old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oldFormula>
  </rdn>
  <rdn rId="0" localSheetId="19" customView="1" name="Z_32ABFE17_599B_4D0B_A1DB_D95B181877FC_.wvu.Cols" hidden="1" oldHidden="1">
    <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formula>
    <old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oldFormula>
  </rdn>
  <rdn rId="0" localSheetId="21" customView="1" name="Z_32ABFE17_599B_4D0B_A1DB_D95B181877FC_.wvu.Cols" hidden="1" oldHidden="1">
    <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formula>
    <old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oldFormula>
  </rdn>
  <rcv guid="{32ABFE17-599B-4D0B-A1DB-D95B181877FC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9" s="1" sqref="K82" start="0" length="0">
    <dxf>
      <font>
        <sz val="11"/>
        <color theme="1"/>
        <name val="Calibri"/>
        <scheme val="minor"/>
      </font>
      <numFmt numFmtId="165" formatCode="_(* #,##0.00_);_(* \(#,##0.00\);_(* &quot;-&quot;??_);_(@_)"/>
      <alignment wrapText="0" readingOrder="0"/>
      <protection locked="1"/>
    </dxf>
  </rfmt>
  <rcc rId="2125" sId="19" odxf="1" s="1" dxf="1">
    <oc r="L82">
      <f>'P:\2025\9. SEPTEMBER\[9. Batubara Steam Sept 2025.xlsx]Master'!$AU$36</f>
    </oc>
    <nc r="L82">
      <f>'P:\2025\9. SEPTEMBER\[9. Batubara Steam Sept 2025.xlsx]Master'!$AU$36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5" formatCode="_(* #,##0_);_(* \(#,##0\);_(* &quot;-&quot;??_);_(@_)"/>
      <fill>
        <patternFill patternType="solid">
          <fgColor indexed="64"/>
          <bgColor theme="4" tint="0.79998168889431442"/>
        </patternFill>
      </fill>
      <alignment horizontal="general" vertical="justify" textRotation="0" wrapText="1" indent="0" justifyLastLine="0" shrinkToFit="0" readingOrder="0"/>
      <border diagonalUp="0" diagonalDown="0" outline="0">
        <left/>
        <right/>
        <top/>
        <bottom style="thin">
          <color indexed="64"/>
        </bottom>
      </border>
      <protection locked="0" hidden="0"/>
    </odxf>
    <ndxf>
      <font>
        <sz val="11"/>
        <color indexed="8"/>
        <name val="Calibri"/>
        <scheme val="minor"/>
      </font>
      <alignment vertical="bottom" wrapText="0" readingOrder="0"/>
      <border outline="0">
        <bottom/>
      </border>
      <protection locked="1"/>
    </ndxf>
  </rcc>
  <rfmt sheetId="19" sqref="K83" start="0" length="0">
    <dxf>
      <numFmt numFmtId="165" formatCode="_(* #,##0.00_);_(* \(#,##0.00\);_(* &quot;-&quot;??_);_(@_)"/>
      <fill>
        <patternFill patternType="solid">
          <bgColor theme="4" tint="0.79998168889431442"/>
        </patternFill>
      </fill>
      <alignment vertical="center" readingOrder="0"/>
    </dxf>
  </rfmt>
  <rfmt sheetId="19" s="1" sqref="L83" start="0" length="0">
    <dxf>
      <font>
        <sz val="11"/>
        <color indexed="8"/>
        <name val="Calibri"/>
        <scheme val="minor"/>
      </font>
      <numFmt numFmtId="175" formatCode="_(* #,##0_);_(* \(#,##0\);_(* &quot;-&quot;??_);_(@_)"/>
      <fill>
        <patternFill patternType="solid">
          <bgColor theme="4" tint="0.79998168889431442"/>
        </patternFill>
      </fill>
    </dxf>
  </rfmt>
  <rfmt sheetId="19" s="1" sqref="M83" start="0" length="0">
    <dxf>
      <numFmt numFmtId="165" formatCode="_(* #,##0.00_);_(* \(#,##0.00\);_(* &quot;-&quot;??_);_(@_)"/>
      <fill>
        <patternFill patternType="solid">
          <bgColor theme="4" tint="0.79998168889431442"/>
        </patternFill>
      </fill>
      <border outline="0">
        <right style="thin">
          <color indexed="64"/>
        </right>
      </border>
    </dxf>
  </rfmt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6" sId="19" numFmtId="4">
    <nc r="B37">
      <v>6015.23</v>
    </nc>
  </rcc>
  <rcc rId="2127" sId="19" numFmtId="4">
    <nc r="E37">
      <v>1204.8</v>
    </nc>
  </rcc>
  <rcc rId="2128" sId="19" numFmtId="4">
    <nc r="L37">
      <v>197015600</v>
    </nc>
  </rcc>
  <rcc rId="2129" sId="19" numFmtId="4">
    <nc r="L37">
      <v>19701560</v>
    </nc>
  </rcc>
  <rcc rId="2130" sId="19" numFmtId="4">
    <nc r="O37">
      <v>13788.3</v>
    </nc>
  </rcc>
  <rcc rId="2131" sId="19" numFmtId="4">
    <nc r="S37">
      <v>11280363.75</v>
    </nc>
  </rcc>
  <rcc rId="2132" sId="19" numFmtId="4">
    <nc r="U37">
      <v>1523792.57</v>
    </nc>
  </rcc>
  <rcc rId="2133" sId="19" numFmtId="4">
    <nc r="W37">
      <v>4946.5</v>
    </nc>
  </rcc>
  <rcc rId="2134" sId="19" numFmtId="4">
    <nc r="AA37">
      <v>919300</v>
    </nc>
  </rcc>
  <rcc rId="2135" sId="19" numFmtId="4">
    <nc r="AC37">
      <v>5111.3</v>
    </nc>
  </rcc>
  <rcc rId="2136" sId="19" numFmtId="4">
    <nc r="AG37">
      <v>11119</v>
    </nc>
  </rcc>
  <rcc rId="2137" sId="19" numFmtId="4">
    <nc r="AL37">
      <v>12677.8</v>
    </nc>
  </rcc>
  <rcc rId="2138" sId="19" numFmtId="4">
    <nc r="AP37">
      <v>10043.200000000001</v>
    </nc>
  </rcc>
  <rcc rId="2139" sId="19" numFmtId="4">
    <nc r="AX37">
      <v>547880</v>
    </nc>
  </rcc>
  <rcc rId="2140" sId="19" numFmtId="4">
    <nc r="BA37">
      <v>244110</v>
    </nc>
  </rcc>
  <rcc rId="2141" sId="19" numFmtId="4">
    <nc r="BE37">
      <v>2175.5</v>
    </nc>
  </rcc>
  <rcc rId="2142" sId="19" numFmtId="4">
    <nc r="BF37">
      <v>1228.5</v>
    </nc>
  </rcc>
  <rcc rId="2143" sId="19" numFmtId="4">
    <nc r="BH37">
      <v>10376</v>
    </nc>
  </rcc>
  <rcc rId="2144" sId="19" numFmtId="4">
    <nc r="BI37">
      <v>6708.5</v>
    </nc>
  </rcc>
  <rcc rId="2145" sId="19" numFmtId="4">
    <nc r="BK37">
      <v>2222600</v>
    </nc>
  </rcc>
  <rcc rId="2146" sId="19" numFmtId="4">
    <nc r="BM37">
      <v>968.39</v>
    </nc>
  </rcc>
  <rcc rId="2147" sId="19" numFmtId="4">
    <nc r="BQ37">
      <v>923.8</v>
    </nc>
  </rcc>
  <rcc rId="2148" sId="19" numFmtId="4">
    <nc r="BS37">
      <v>131209.84</v>
    </nc>
  </rcc>
  <rcc rId="2149" sId="19" numFmtId="4">
    <nc r="BU37">
      <v>3908470</v>
    </nc>
  </rcc>
  <rcc rId="2150" sId="19" numFmtId="4">
    <nc r="BY37">
      <v>452.87</v>
    </nc>
  </rcc>
  <rcc rId="2151" sId="19" numFmtId="4">
    <nc r="CC37">
      <v>865981.2</v>
    </nc>
  </rcc>
  <rcc rId="2152" sId="19" numFmtId="4">
    <nc r="CE37">
      <v>2028841</v>
    </nc>
  </rcc>
  <rcc rId="2153" sId="19" numFmtId="4">
    <nc r="CG37">
      <v>122991.9</v>
    </nc>
  </rcc>
  <rcc rId="2154" sId="19" numFmtId="4">
    <nc r="CI37">
      <v>15330.09</v>
    </nc>
  </rcc>
  <rcc rId="2155" sId="19" numFmtId="4">
    <nc r="CM37">
      <v>4618.59</v>
    </nc>
  </rcc>
  <rcc rId="2156" sId="19" numFmtId="4">
    <nc r="CQ37">
      <v>1136972</v>
    </nc>
  </rcc>
  <rcc rId="2157" sId="19" numFmtId="4">
    <nc r="CU37">
      <v>5249704</v>
    </nc>
  </rcc>
  <rcc rId="2158" sId="19" numFmtId="4">
    <nc r="CY37">
      <v>2817238</v>
    </nc>
  </rcc>
  <rcc rId="2159" sId="19" numFmtId="4">
    <nc r="DQ37">
      <v>167400</v>
    </nc>
  </rcc>
  <rcc rId="2160" sId="19" numFmtId="4">
    <nc r="DS37">
      <v>7296400</v>
    </nc>
  </rcc>
  <rcc rId="2161" sId="19" numFmtId="4">
    <nc r="DU37">
      <v>8561.1</v>
    </nc>
  </rcc>
  <rcc rId="2162" sId="19" numFmtId="4">
    <nc r="DV37">
      <v>4797.6000000000004</v>
    </nc>
  </rcc>
  <rcc rId="2163" sId="19" numFmtId="4">
    <nc r="DX37">
      <v>14172</v>
    </nc>
  </rcc>
  <rcc rId="2164" sId="19" numFmtId="4">
    <nc r="DY37">
      <v>8835.9</v>
    </nc>
  </rcc>
  <rcc rId="2165" sId="19" numFmtId="4">
    <nc r="EA37">
      <v>33056</v>
    </nc>
  </rcc>
  <rcc rId="2166" sId="19" numFmtId="4">
    <nc r="EB37">
      <v>22.469000000000001</v>
    </nc>
  </rcc>
  <rcc rId="2167" sId="19">
    <nc r="EC37">
      <f>IF((EA37-EA36)*1000&lt;=0,0,(EA37-EA36)*1000)+GX37+$EE$40</f>
    </nc>
  </rcc>
  <rcc rId="2168" sId="19" numFmtId="4">
    <nc r="EE37">
      <v>49709</v>
    </nc>
  </rcc>
  <rcc rId="2169" sId="19" numFmtId="4">
    <nc r="EF37">
      <v>32.889000000000003</v>
    </nc>
  </rcc>
  <rcc rId="2170" sId="19">
    <nc r="EG37">
      <f>IF((EE37-EE36)*1000&lt;=0,0,(EE37-EE36)*1000)+GX37+$EE$40</f>
    </nc>
  </rcc>
  <rcc rId="2171" sId="19" numFmtId="4">
    <nc r="EH37">
      <v>14825</v>
    </nc>
  </rcc>
  <rcc rId="2172" sId="19" numFmtId="4">
    <nc r="EI37">
      <v>2.2490999999999999</v>
    </nc>
  </rcc>
  <rcc rId="2173" sId="19" numFmtId="4">
    <nc r="EK37">
      <v>901.96</v>
    </nc>
  </rcc>
  <rcc rId="2174" sId="19" numFmtId="4">
    <nc r="EL37">
      <v>1290.5</v>
    </nc>
  </rcc>
  <rcc rId="2175" sId="19" numFmtId="4">
    <nc r="EO37">
      <v>14235</v>
    </nc>
  </rcc>
  <rcc rId="2176" sId="19" numFmtId="4">
    <nc r="ER37">
      <v>11931</v>
    </nc>
  </rcc>
  <rcc rId="2177" sId="19" numFmtId="4">
    <nc r="EU37">
      <v>5121.3999999999996</v>
    </nc>
  </rcc>
  <rcc rId="2178" sId="19" numFmtId="4">
    <nc r="EX37">
      <v>15326</v>
    </nc>
  </rcc>
  <rcc rId="2179" sId="19" numFmtId="4">
    <nc r="FB37">
      <v>40162322</v>
    </nc>
  </rcc>
  <rcc rId="2180" sId="19" numFmtId="4">
    <nc r="FE37">
      <v>18392</v>
    </nc>
  </rcc>
  <rcc rId="2181" sId="19" numFmtId="4">
    <nc r="FH37">
      <v>11293</v>
    </nc>
  </rcc>
  <rcc rId="2182" sId="19" numFmtId="4">
    <nc r="FN37">
      <v>18398</v>
    </nc>
  </rcc>
  <rcc rId="2183" sId="19" numFmtId="4">
    <nc r="FQ37">
      <v>64568</v>
    </nc>
  </rcc>
  <rcc rId="2184" sId="19" numFmtId="4">
    <nc r="FV37">
      <v>8027400</v>
    </nc>
  </rcc>
  <rcc rId="2185" sId="19" numFmtId="4">
    <nc r="FY37">
      <v>413670</v>
    </nc>
  </rcc>
  <rcc rId="2186" sId="19" numFmtId="4">
    <nc r="GB37">
      <v>933.29</v>
    </nc>
  </rcc>
  <rcc rId="2187" sId="19" numFmtId="4">
    <nc r="GE37">
      <v>11435</v>
    </nc>
  </rcc>
  <rcc rId="2188" sId="19" numFmtId="4">
    <nc r="GH37">
      <v>170650</v>
    </nc>
  </rcc>
  <rcc rId="2189" sId="19" numFmtId="4">
    <nc r="GK37">
      <v>1562</v>
    </nc>
  </rcc>
  <rcc rId="2190" sId="19" numFmtId="4">
    <nc r="GN37">
      <v>244300</v>
    </nc>
  </rcc>
  <rcc rId="2191" sId="19" numFmtId="4">
    <nc r="GQ37">
      <v>309110</v>
    </nc>
  </rcc>
  <rcc rId="2192" sId="19">
    <nc r="E76">
      <v>38438</v>
    </nc>
  </rcc>
  <rcc rId="2193" sId="19" numFmtId="13">
    <nc r="FF74">
      <v>0.5</v>
    </nc>
  </rcc>
  <rcc rId="2194" sId="19">
    <nc r="FG74">
      <f>100%-FF74</f>
    </nc>
  </rcc>
  <rcc rId="2195" sId="19" numFmtId="4">
    <nc r="FS74">
      <v>981.95</v>
    </nc>
  </rcc>
  <rcc rId="2196" sId="19" odxf="1" dxf="1">
    <nc r="FU74">
      <f>(FS74-FS73)*1000</f>
    </nc>
    <odxf>
      <numFmt numFmtId="0" formatCode="General"/>
    </odxf>
    <ndxf>
      <numFmt numFmtId="1" formatCode="0"/>
    </ndxf>
  </rcc>
  <rcc rId="2197" sId="19" numFmtId="4">
    <nc r="HH37">
      <v>35104</v>
    </nc>
  </rcc>
  <rcc rId="2198" sId="19" numFmtId="4">
    <nc r="HI37">
      <v>13312</v>
    </nc>
  </rcc>
  <rcc rId="2199" sId="19">
    <nc r="HK37">
      <v>2.1432000000000002</v>
    </nc>
  </rcc>
  <rcc rId="2200" sId="19">
    <nc r="HL37">
      <v>807.23</v>
    </nc>
  </rcc>
  <rcc rId="2201" sId="19">
    <nc r="HN37">
      <v>8812.9</v>
    </nc>
  </rcc>
  <rcc rId="2202" sId="19">
    <nc r="HO37">
      <v>87445</v>
    </nc>
  </rcc>
  <rcc rId="2203" sId="19" numFmtId="4">
    <nc r="HQ37">
      <v>6002.3</v>
    </nc>
  </rcc>
  <rcc rId="2204" sId="19" numFmtId="4">
    <nc r="HR37">
      <v>2499.9</v>
    </nc>
  </rcc>
  <rcc rId="2205" sId="19" numFmtId="4">
    <nc r="HT37">
      <v>5971.5</v>
    </nc>
  </rcc>
  <rcc rId="2206" sId="19" numFmtId="4">
    <nc r="HU37">
      <v>2126.1999999999998</v>
    </nc>
  </rcc>
  <rcc rId="2207" sId="19" numFmtId="4">
    <nc r="HW37">
      <v>4529.1000000000004</v>
    </nc>
  </rcc>
  <rcc rId="2208" sId="19" numFmtId="4">
    <nc r="HX37">
      <v>1910.8</v>
    </nc>
  </rcc>
  <rcc rId="2209" sId="19">
    <nc r="HZ37">
      <v>4009600</v>
    </nc>
  </rcc>
  <rcc rId="2210" sId="19">
    <nc r="IA37">
      <v>17193</v>
    </nc>
  </rcc>
  <rcc rId="2211" sId="19" numFmtId="4">
    <nc r="IC37">
      <v>719.8</v>
    </nc>
  </rcc>
  <rcc rId="2212" sId="19" numFmtId="4">
    <nc r="ID37">
      <v>232.78</v>
    </nc>
  </rcc>
  <rcc rId="2213" sId="19">
    <nc r="IJ74">
      <v>300</v>
    </nc>
  </rcc>
  <rcc rId="2214" sId="19">
    <nc r="IL74">
      <v>75</v>
    </nc>
  </rcc>
  <rcc rId="2215" sId="19" numFmtId="34">
    <nc r="GV37">
      <v>3079.56</v>
    </nc>
  </rcc>
  <rcc rId="2216" sId="19">
    <nc r="GX37">
      <v>205.3</v>
    </nc>
  </rcc>
  <rcv guid="{32ABFE17-599B-4D0B-A1DB-D95B181877FC}" action="delete"/>
  <rcv guid="{32ABFE17-599B-4D0B-A1DB-D95B181877FC}" action="add"/>
  <rdn rId="0" localSheetId="1" customView="1" name="Z_32ABFE17_599B_4D0B_A1DB_D95B181877FC_.wvu.Cols" hidden="1" oldHidden="1">
    <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formula>
    <old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oldFormula>
  </rdn>
  <rdn rId="0" localSheetId="2" customView="1" name="Z_32ABFE17_599B_4D0B_A1DB_D95B181877FC_.wvu.Cols" hidden="1" oldHidden="1">
    <formula>DailyJan!$D:$M,DailyJan!$W:$X,DailyJan!$AH:$AJ,DailyJan!$AL:$AN,DailyJan!$AP:$AR,DailyJan!$AT:$AX,DailyJan!$AZ:$BC,DailyJan!$BX:$BY</formula>
    <oldFormula>DailyJan!$D:$M,DailyJan!$W:$X,DailyJan!$AH:$AJ,DailyJan!$AL:$AN,DailyJan!$AP:$AR,DailyJan!$AT:$AX,DailyJan!$AZ:$BC,DailyJan!$BX:$BY</oldFormula>
  </rdn>
  <rdn rId="0" localSheetId="3" customView="1" name="Z_32ABFE17_599B_4D0B_A1DB_D95B181877FC_.wvu.Rows" hidden="1" oldHidden="1">
    <formula>Feb!$36:$38</formula>
    <oldFormula>Feb!$36:$38</oldFormula>
  </rdn>
  <rdn rId="0" localSheetId="3" customView="1" name="Z_32ABFE17_599B_4D0B_A1DB_D95B181877FC_.wvu.Cols" hidden="1" oldHidden="1">
    <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formula>
    <old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oldFormula>
  </rdn>
  <rdn rId="0" localSheetId="4" customView="1" name="Z_32ABFE17_599B_4D0B_A1DB_D95B181877FC_.wvu.Rows" hidden="1" oldHidden="1">
    <formula>DailyFeb!$35:$37</formula>
    <oldFormula>DailyFeb!$35:$37</oldFormula>
  </rdn>
  <rdn rId="0" localSheetId="4" customView="1" name="Z_32ABFE17_599B_4D0B_A1DB_D95B181877FC_.wvu.Cols" hidden="1" oldHidden="1">
    <formula>DailyFeb!$D:$M,DailyFeb!$W:$X,DailyFeb!$AH:$AJ,DailyFeb!$AL:$AN,DailyFeb!$AP:$AR</formula>
    <oldFormula>DailyFeb!$D:$M,DailyFeb!$W:$X,DailyFeb!$AH:$AJ,DailyFeb!$AL:$AN,DailyFeb!$AP:$AR</oldFormula>
  </rdn>
  <rdn rId="0" localSheetId="5" customView="1" name="Z_32ABFE17_599B_4D0B_A1DB_D95B181877FC_.wvu.Cols" hidden="1" oldHidden="1">
    <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formula>
    <old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oldFormula>
  </rdn>
  <rdn rId="0" localSheetId="6" customView="1" name="Z_32ABFE17_599B_4D0B_A1DB_D95B181877FC_.wvu.Cols" hidden="1" oldHidden="1">
    <formula>DailyMar!$D:$M,DailyMar!$O:$U,DailyMar!$W:$X,DailyMar!$AH:$AJ,DailyMar!$AL:$AN,DailyMar!$AP:$AR,DailyMar!$AT:$AX,DailyMar!$AZ:$BC,DailyMar!$BE:$BF,DailyMar!$BV:$CC</formula>
    <oldFormula>DailyMar!$D:$M,DailyMar!$O:$U,DailyMar!$W:$X,DailyMar!$AH:$AJ,DailyMar!$AL:$AN,DailyMar!$AP:$AR,DailyMar!$AT:$AX,DailyMar!$AZ:$BC,DailyMar!$BE:$BF,DailyMar!$BV:$CC</oldFormula>
  </rdn>
  <rdn rId="0" localSheetId="7" customView="1" name="Z_32ABFE17_599B_4D0B_A1DB_D95B181877FC_.wvu.Rows" hidden="1" oldHidden="1">
    <formula>Apr!$38:$38</formula>
    <oldFormula>Apr!$38:$38</oldFormula>
  </rdn>
  <rdn rId="0" localSheetId="7" customView="1" name="Z_32ABFE17_599B_4D0B_A1DB_D95B181877FC_.wvu.Cols" hidden="1" oldHidden="1">
    <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formula>
    <old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oldFormula>
  </rdn>
  <rdn rId="0" localSheetId="8" customView="1" name="Z_32ABFE17_599B_4D0B_A1DB_D95B181877FC_.wvu.Rows" hidden="1" oldHidden="1">
    <formula>DailyApr!$37:$37</formula>
    <oldFormula>DailyApr!$37:$37</oldFormula>
  </rdn>
  <rdn rId="0" localSheetId="8" customView="1" name="Z_32ABFE17_599B_4D0B_A1DB_D95B181877FC_.wvu.Cols" hidden="1" oldHidden="1">
    <formula>DailyApr!$D:$M,DailyApr!$O:$U,DailyApr!$W:$X,DailyApr!$AH:$AJ,DailyApr!$AL:$AN,DailyApr!$AP:$AR,DailyApr!$AT:$AX,DailyApr!$AZ:$BC,DailyApr!$BE:$BF,DailyApr!$BV:$CG</formula>
    <oldFormula>DailyApr!$D:$M,DailyApr!$O:$U,DailyApr!$W:$X,DailyApr!$AH:$AJ,DailyApr!$AL:$AN,DailyApr!$AP:$AR,DailyApr!$AT:$AX,DailyApr!$AZ:$BC,DailyApr!$BE:$BF,DailyApr!$BV:$CG</oldFormula>
  </rdn>
  <rdn rId="0" localSheetId="9" customView="1" name="Z_32ABFE17_599B_4D0B_A1DB_D95B181877FC_.wvu.Cols" hidden="1" oldHidden="1">
    <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formula>
    <old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oldFormula>
  </rdn>
  <rdn rId="0" localSheetId="10" customView="1" name="Z_32ABFE17_599B_4D0B_A1DB_D95B181877FC_.wvu.Cols" hidden="1" oldHidden="1">
    <formula>DailyMei!$D:$M,DailyMei!$O:$U,DailyMei!$W:$X,DailyMei!$AH:$AJ,DailyMei!$AL:$AN,DailyMei!$AP:$AR,DailyMei!$AT:$AX,DailyMei!$AZ:$BC,DailyMei!$BE:$BF,DailyMei!$BV:$CK</formula>
    <oldFormula>DailyMei!$D:$M,DailyMei!$O:$U,DailyMei!$W:$X,DailyMei!$AH:$AJ,DailyMei!$AL:$AN,DailyMei!$AP:$AR,DailyMei!$AT:$AX,DailyMei!$AZ:$BC,DailyMei!$BE:$BF,DailyMei!$BV:$CK</oldFormula>
  </rdn>
  <rdn rId="0" localSheetId="11" customView="1" name="Z_32ABFE17_599B_4D0B_A1DB_D95B181877FC_.wvu.Cols" hidden="1" oldHidden="1">
    <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formula>
    <old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oldFormula>
  </rdn>
  <rdn rId="0" localSheetId="12" customView="1" name="Z_32ABFE17_599B_4D0B_A1DB_D95B181877FC_.wvu.Rows" hidden="1" oldHidden="1">
    <formula>DailyJun!$37:$37</formula>
    <oldFormula>DailyJun!$37:$37</oldFormula>
  </rdn>
  <rdn rId="0" localSheetId="12" customView="1" name="Z_32ABFE17_599B_4D0B_A1DB_D95B181877FC_.wvu.Cols" hidden="1" oldHidden="1">
    <formula>DailyJun!$D:$M,DailyJun!$O:$U,DailyJun!$W:$X,DailyJun!$AH:$AJ,DailyJun!$AL:$AN,DailyJun!$AP:$AR,DailyJun!$AT:$AX,DailyJun!$AZ:$BC,DailyJun!$BE:$BF,DailyJun!$BV:$CI</formula>
    <oldFormula>DailyJun!$D:$M,DailyJun!$O:$U,DailyJun!$W:$X,DailyJun!$AH:$AJ,DailyJun!$AL:$AN,DailyJun!$AP:$AR,DailyJun!$AT:$AX,DailyJun!$AZ:$BC,DailyJun!$BE:$BF,DailyJun!$BV:$CI</oldFormula>
  </rdn>
  <rdn rId="0" localSheetId="13" customView="1" name="Z_32ABFE17_599B_4D0B_A1DB_D95B181877FC_.wvu.Cols" hidden="1" oldHidden="1">
    <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formula>
    <old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oldFormula>
  </rdn>
  <rdn rId="0" localSheetId="14" customView="1" name="Z_32ABFE17_599B_4D0B_A1DB_D95B181877FC_.wvu.Cols" hidden="1" oldHidden="1">
    <formula>DailyJul!$D:$M,DailyJul!$O:$U,DailyJul!$W:$X,DailyJul!$AH:$AJ,DailyJul!$AL:$AN,DailyJul!$AP:$AR,DailyJul!$AT:$AX,DailyJul!$AZ:$BC,DailyJul!$BE:$BF</formula>
    <oldFormula>DailyJul!$D:$M,DailyJul!$O:$U,DailyJul!$W:$X,DailyJul!$AH:$AJ,DailyJul!$AL:$AN,DailyJul!$AP:$AR,DailyJul!$AT:$AX,DailyJul!$AZ:$BC,DailyJul!$BE:$BF</oldFormula>
  </rdn>
  <rdn rId="0" localSheetId="15" customView="1" name="Z_32ABFE17_599B_4D0B_A1DB_D95B181877FC_.wvu.Cols" hidden="1" oldHidden="1">
    <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formula>
    <old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oldFormula>
  </rdn>
  <rdn rId="0" localSheetId="16" customView="1" name="Z_32ABFE17_599B_4D0B_A1DB_D95B181877FC_.wvu.PrintArea" hidden="1" oldHidden="1">
    <formula>DailyAug!$A$1:$BU$69</formula>
    <oldFormula>DailyAug!$A$1:$BU$69</oldFormula>
  </rdn>
  <rdn rId="0" localSheetId="17" customView="1" name="Z_32ABFE17_599B_4D0B_A1DB_D95B181877FC_.wvu.Cols" hidden="1" oldHidden="1">
    <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formula>
    <old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oldFormula>
  </rdn>
  <rdn rId="0" localSheetId="19" customView="1" name="Z_32ABFE17_599B_4D0B_A1DB_D95B181877FC_.wvu.Cols" hidden="1" oldHidden="1">
    <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formula>
    <old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oldFormula>
  </rdn>
  <rdn rId="0" localSheetId="21" customView="1" name="Z_32ABFE17_599B_4D0B_A1DB_D95B181877FC_.wvu.Cols" hidden="1" oldHidden="1">
    <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formula>
    <old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oldFormula>
  </rdn>
  <rcv guid="{32ABFE17-599B-4D0B-A1DB-D95B181877FC}" action="add"/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41" sId="20" numFmtId="34">
    <oc r="BL36">
      <f>+AS36</f>
    </oc>
    <nc r="BL36">
      <v>0</v>
    </nc>
  </rcc>
  <rfmt sheetId="20" sqref="BV36" start="0" length="0">
    <dxf>
      <fill>
        <patternFill patternType="solid">
          <bgColor rgb="FFFFFF00"/>
        </patternFill>
      </fill>
    </dxf>
  </rfmt>
  <rcc rId="2242" sId="20">
    <nc r="BV36" t="inlineStr">
      <is>
        <t>DIP1 PM 12; DIP2 PM 15 73%, PM 17 27% ; WPL Stop</t>
      </is>
    </nc>
  </rcc>
  <rcc rId="2243" sId="20">
    <oc r="BM36">
      <f>(AS36-BL36)</f>
    </oc>
    <nc r="BM36">
      <f>(AS36-BL36)*0.73</f>
    </nc>
  </rcc>
  <rdn rId="0" localSheetId="1" customView="1" name="Z_48545DB9_4D9D_4699_ACEC_DA6E2D3586A8_.wvu.Cols" hidden="1" oldHidden="1">
    <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formula>
  </rdn>
  <rdn rId="0" localSheetId="2" customView="1" name="Z_48545DB9_4D9D_4699_ACEC_DA6E2D3586A8_.wvu.Cols" hidden="1" oldHidden="1">
    <formula>DailyJan!$D:$M,DailyJan!$W:$X,DailyJan!$AH:$AJ,DailyJan!$AL:$AN,DailyJan!$AP:$AR,DailyJan!$AT:$AX,DailyJan!$AZ:$BC,DailyJan!$BX:$BY</formula>
  </rdn>
  <rdn rId="0" localSheetId="3" customView="1" name="Z_48545DB9_4D9D_4699_ACEC_DA6E2D3586A8_.wvu.Rows" hidden="1" oldHidden="1">
    <formula>Feb!$36:$38</formula>
  </rdn>
  <rdn rId="0" localSheetId="3" customView="1" name="Z_48545DB9_4D9D_4699_ACEC_DA6E2D3586A8_.wvu.Cols" hidden="1" oldHidden="1">
    <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formula>
  </rdn>
  <rdn rId="0" localSheetId="4" customView="1" name="Z_48545DB9_4D9D_4699_ACEC_DA6E2D3586A8_.wvu.Rows" hidden="1" oldHidden="1">
    <formula>DailyFeb!$35:$37</formula>
  </rdn>
  <rdn rId="0" localSheetId="4" customView="1" name="Z_48545DB9_4D9D_4699_ACEC_DA6E2D3586A8_.wvu.Cols" hidden="1" oldHidden="1">
    <formula>DailyFeb!$D:$M,DailyFeb!$W:$X,DailyFeb!$AH:$AJ,DailyFeb!$AL:$AN,DailyFeb!$AP:$AR</formula>
  </rdn>
  <rdn rId="0" localSheetId="5" customView="1" name="Z_48545DB9_4D9D_4699_ACEC_DA6E2D3586A8_.wvu.Cols" hidden="1" oldHidden="1">
    <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formula>
  </rdn>
  <rdn rId="0" localSheetId="6" customView="1" name="Z_48545DB9_4D9D_4699_ACEC_DA6E2D3586A8_.wvu.Cols" hidden="1" oldHidden="1">
    <formula>DailyMar!$D:$M,DailyMar!$O:$U,DailyMar!$W:$X,DailyMar!$AH:$AJ,DailyMar!$AL:$AN,DailyMar!$AP:$AR,DailyMar!$AT:$AX,DailyMar!$AZ:$BC,DailyMar!$BE:$BF,DailyMar!$BV:$CC</formula>
  </rdn>
  <rdn rId="0" localSheetId="7" customView="1" name="Z_48545DB9_4D9D_4699_ACEC_DA6E2D3586A8_.wvu.Rows" hidden="1" oldHidden="1">
    <formula>Apr!$38:$38</formula>
  </rdn>
  <rdn rId="0" localSheetId="7" customView="1" name="Z_48545DB9_4D9D_4699_ACEC_DA6E2D3586A8_.wvu.Cols" hidden="1" oldHidden="1">
    <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formula>
  </rdn>
  <rdn rId="0" localSheetId="8" customView="1" name="Z_48545DB9_4D9D_4699_ACEC_DA6E2D3586A8_.wvu.Rows" hidden="1" oldHidden="1">
    <formula>DailyApr!$37:$37</formula>
  </rdn>
  <rdn rId="0" localSheetId="8" customView="1" name="Z_48545DB9_4D9D_4699_ACEC_DA6E2D3586A8_.wvu.Cols" hidden="1" oldHidden="1">
    <formula>DailyApr!$D:$M,DailyApr!$O:$U,DailyApr!$W:$X,DailyApr!$AH:$AJ,DailyApr!$AL:$AN,DailyApr!$AP:$AR,DailyApr!$AT:$AX,DailyApr!$AZ:$BC,DailyApr!$BE:$BF,DailyApr!$BV:$CG</formula>
  </rdn>
  <rdn rId="0" localSheetId="9" customView="1" name="Z_48545DB9_4D9D_4699_ACEC_DA6E2D3586A8_.wvu.Cols" hidden="1" oldHidden="1">
    <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formula>
  </rdn>
  <rdn rId="0" localSheetId="10" customView="1" name="Z_48545DB9_4D9D_4699_ACEC_DA6E2D3586A8_.wvu.Cols" hidden="1" oldHidden="1">
    <formula>DailyMei!$D:$M,DailyMei!$O:$U,DailyMei!$W:$X,DailyMei!$AH:$AJ,DailyMei!$AL:$AN,DailyMei!$AP:$AR,DailyMei!$AT:$AX,DailyMei!$AZ:$BC,DailyMei!$BE:$BF,DailyMei!$BV:$CK</formula>
  </rdn>
  <rdn rId="0" localSheetId="11" customView="1" name="Z_48545DB9_4D9D_4699_ACEC_DA6E2D3586A8_.wvu.Cols" hidden="1" oldHidden="1">
    <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formula>
  </rdn>
  <rdn rId="0" localSheetId="12" customView="1" name="Z_48545DB9_4D9D_4699_ACEC_DA6E2D3586A8_.wvu.Rows" hidden="1" oldHidden="1">
    <formula>DailyJun!$37:$37</formula>
  </rdn>
  <rdn rId="0" localSheetId="12" customView="1" name="Z_48545DB9_4D9D_4699_ACEC_DA6E2D3586A8_.wvu.Cols" hidden="1" oldHidden="1">
    <formula>DailyJun!$D:$M,DailyJun!$O:$U,DailyJun!$W:$X,DailyJun!$AH:$AJ,DailyJun!$AL:$AN,DailyJun!$AP:$AR,DailyJun!$AT:$AX,DailyJun!$AZ:$BC,DailyJun!$BE:$BF,DailyJun!$BV:$CI</formula>
  </rdn>
  <rdn rId="0" localSheetId="13" customView="1" name="Z_48545DB9_4D9D_4699_ACEC_DA6E2D3586A8_.wvu.Cols" hidden="1" oldHidden="1">
    <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formula>
  </rdn>
  <rdn rId="0" localSheetId="14" customView="1" name="Z_48545DB9_4D9D_4699_ACEC_DA6E2D3586A8_.wvu.Cols" hidden="1" oldHidden="1">
    <formula>DailyJul!$D:$M,DailyJul!$O:$U,DailyJul!$W:$X,DailyJul!$AH:$AJ,DailyJul!$AL:$AN,DailyJul!$AP:$AR,DailyJul!$AT:$AX,DailyJul!$AZ:$BC,DailyJul!$BE:$BF</formula>
  </rdn>
  <rdn rId="0" localSheetId="15" customView="1" name="Z_48545DB9_4D9D_4699_ACEC_DA6E2D3586A8_.wvu.Cols" hidden="1" oldHidden="1">
    <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formula>
  </rdn>
  <rdn rId="0" localSheetId="16" customView="1" name="Z_48545DB9_4D9D_4699_ACEC_DA6E2D3586A8_.wvu.PrintArea" hidden="1" oldHidden="1">
    <formula>DailyAug!$A$1:$BU$69</formula>
  </rdn>
  <rdn rId="0" localSheetId="17" customView="1" name="Z_48545DB9_4D9D_4699_ACEC_DA6E2D3586A8_.wvu.Cols" hidden="1" oldHidden="1">
    <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formula>
  </rdn>
  <rdn rId="0" localSheetId="19" customView="1" name="Z_48545DB9_4D9D_4699_ACEC_DA6E2D3586A8_.wvu.Cols" hidden="1" oldHidden="1">
    <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formula>
  </rdn>
  <rdn rId="0" localSheetId="21" customView="1" name="Z_48545DB9_4D9D_4699_ACEC_DA6E2D3586A8_.wvu.Cols" hidden="1" oldHidden="1">
    <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formula>
  </rdn>
  <rcv guid="{48545DB9-4D9D-4699-ACEC-DA6E2D3586A8}" action="add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68" sId="21" odxf="1" dxf="1">
    <nc r="A7">
      <v>31</v>
    </nc>
    <odxf>
      <font>
        <b/>
        <color auto="1"/>
      </font>
      <alignment horizontal="center" readingOrder="0"/>
    </odxf>
    <ndxf>
      <font>
        <b val="0"/>
        <color auto="1"/>
      </font>
      <alignment horizontal="right" readingOrder="0"/>
    </ndxf>
  </rcc>
  <rcc rId="2269" sId="21" odxf="1" dxf="1" numFmtId="4">
    <nc r="B7">
      <v>6015.23</v>
    </nc>
    <odxf>
      <fill>
        <patternFill patternType="none">
          <bgColor indexed="65"/>
        </patternFill>
      </fill>
      <alignment horizontal="center" readingOrder="0"/>
    </odxf>
    <ndxf>
      <fill>
        <patternFill patternType="solid">
          <bgColor rgb="FFF587D6"/>
        </patternFill>
      </fill>
      <alignment horizontal="right" readingOrder="0"/>
    </ndxf>
  </rcc>
  <rfmt sheetId="21" sqref="C7" start="0" length="0">
    <dxf>
      <alignment horizontal="right" readingOrder="0"/>
    </dxf>
  </rfmt>
  <rfmt sheetId="21" sqref="D7" start="0" length="0">
    <dxf>
      <alignment horizontal="right" readingOrder="0"/>
    </dxf>
  </rfmt>
  <rcc rId="2270" sId="21" odxf="1" dxf="1" numFmtId="4">
    <nc r="E7">
      <v>1204.8</v>
    </nc>
    <odxf>
      <fill>
        <patternFill patternType="none">
          <bgColor indexed="65"/>
        </patternFill>
      </fill>
      <alignment horizontal="center" readingOrder="0"/>
    </odxf>
    <ndxf>
      <fill>
        <patternFill patternType="solid">
          <bgColor rgb="FFF587D6"/>
        </patternFill>
      </fill>
      <alignment horizontal="right" readingOrder="0"/>
    </ndxf>
  </rcc>
  <rfmt sheetId="21" sqref="F7" start="0" length="0">
    <dxf>
      <alignment horizontal="right" readingOrder="0"/>
    </dxf>
  </rfmt>
  <rfmt sheetId="21" sqref="G7" start="0" length="0">
    <dxf>
      <alignment horizontal="right" readingOrder="0"/>
    </dxf>
  </rfmt>
  <rfmt sheetId="21" s="1" sqref="H7" start="0" length="0">
    <dxf>
      <alignment horizontal="right" readingOrder="0"/>
    </dxf>
  </rfmt>
  <rfmt sheetId="21" s="1" sqref="I7" start="0" length="0">
    <dxf>
      <numFmt numFmtId="170" formatCode="#,##0.0000"/>
      <alignment horizontal="right" readingOrder="0"/>
    </dxf>
  </rfmt>
  <rfmt sheetId="21" s="1" sqref="J7" start="0" length="0">
    <dxf>
      <numFmt numFmtId="165" formatCode="_(* #,##0.00_);_(* \(#,##0.00\);_(* &quot;-&quot;??_);_(@_)"/>
      <alignment horizontal="right" readingOrder="0"/>
    </dxf>
  </rfmt>
  <rfmt sheetId="21" s="1" sqref="K7" start="0" length="0">
    <dxf>
      <alignment horizontal="right" readingOrder="0"/>
    </dxf>
  </rfmt>
  <rcc rId="2271" sId="21" odxf="1" s="1" dxf="1" numFmtId="4">
    <nc r="L7">
      <v>19701560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M7" start="0" length="0">
    <dxf>
      <numFmt numFmtId="167" formatCode="#,##0.000"/>
      <alignment horizontal="right" readingOrder="0"/>
    </dxf>
  </rfmt>
  <rfmt sheetId="21" s="1" sqref="N7" start="0" length="0">
    <dxf>
      <alignment horizontal="right" readingOrder="0"/>
    </dxf>
  </rfmt>
  <rcc rId="2272" sId="21" odxf="1" s="1" dxf="1" numFmtId="4">
    <nc r="O7">
      <v>13788.3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P7" start="0" length="0">
    <dxf>
      <alignment horizontal="right" readingOrder="0"/>
    </dxf>
  </rfmt>
  <rfmt sheetId="21" s="1" sqref="Q7" start="0" length="0">
    <dxf>
      <alignment horizontal="right" readingOrder="0"/>
    </dxf>
  </rfmt>
  <rfmt sheetId="21" s="1" sqref="R7" start="0" length="0">
    <dxf>
      <alignment horizontal="right" readingOrder="0"/>
    </dxf>
  </rfmt>
  <rcc rId="2273" sId="21" odxf="1" s="1" dxf="1" numFmtId="4">
    <nc r="S7">
      <v>11280363.75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T7" start="0" length="0">
    <dxf>
      <alignment horizontal="right" readingOrder="0"/>
    </dxf>
  </rfmt>
  <rcc rId="2274" sId="21" odxf="1" s="1" dxf="1" numFmtId="4">
    <nc r="U7">
      <v>1523792.57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V7" start="0" length="0">
    <dxf>
      <alignment horizontal="right" readingOrder="0"/>
    </dxf>
  </rfmt>
  <rcc rId="2275" sId="21" odxf="1" s="1" dxf="1" numFmtId="4">
    <nc r="W7">
      <v>4946.5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X7" start="0" length="0">
    <dxf>
      <alignment horizontal="right" readingOrder="0"/>
    </dxf>
  </rfmt>
  <rfmt sheetId="21" s="1" sqref="Y7" start="0" length="0">
    <dxf>
      <alignment horizontal="right" readingOrder="0"/>
    </dxf>
  </rfmt>
  <rfmt sheetId="21" s="1" sqref="Z7" start="0" length="0">
    <dxf>
      <alignment horizontal="right" readingOrder="0"/>
    </dxf>
  </rfmt>
  <rcc rId="2276" sId="21" odxf="1" s="1" dxf="1" numFmtId="4">
    <nc r="AA7">
      <v>919300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AB7" start="0" length="0">
    <dxf>
      <alignment horizontal="right" readingOrder="0"/>
    </dxf>
  </rfmt>
  <rcc rId="2277" sId="21" odxf="1" s="1" dxf="1" numFmtId="4">
    <nc r="AC7">
      <v>5111.3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AD7" start="0" length="0">
    <dxf>
      <alignment horizontal="right" readingOrder="0"/>
    </dxf>
  </rfmt>
  <rfmt sheetId="21" s="1" sqref="AE7" start="0" length="0">
    <dxf>
      <alignment horizontal="right" readingOrder="0"/>
    </dxf>
  </rfmt>
  <rfmt sheetId="21" s="1" sqref="AF7" start="0" length="0">
    <dxf>
      <alignment horizontal="right" readingOrder="0"/>
    </dxf>
  </rfmt>
  <rcc rId="2278" sId="21" odxf="1" s="1" dxf="1" numFmtId="4">
    <nc r="AG7">
      <v>11119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AH7" start="0" length="0">
    <dxf>
      <alignment horizontal="right" readingOrder="0"/>
    </dxf>
  </rfmt>
  <rfmt sheetId="21" s="1" sqref="AI7" start="0" length="0">
    <dxf>
      <alignment horizontal="right" readingOrder="0"/>
    </dxf>
  </rfmt>
  <rfmt sheetId="21" s="1" sqref="AJ7" start="0" length="0">
    <dxf>
      <alignment horizontal="right" readingOrder="0"/>
    </dxf>
  </rfmt>
  <rfmt sheetId="21" s="1" sqref="AK7" start="0" length="0">
    <dxf>
      <alignment horizontal="right" readingOrder="0"/>
    </dxf>
  </rfmt>
  <rcc rId="2279" sId="21" odxf="1" dxf="1" numFmtId="4">
    <nc r="AL7">
      <v>12677.8</v>
    </nc>
    <odxf>
      <font>
        <color auto="1"/>
      </font>
      <fill>
        <patternFill patternType="none">
          <bgColor indexed="65"/>
        </patternFill>
      </fill>
      <alignment horizontal="center" readingOrder="0"/>
    </odxf>
    <ndxf>
      <font>
        <color indexed="8"/>
      </font>
      <fill>
        <patternFill patternType="solid">
          <bgColor rgb="FFF587D6"/>
        </patternFill>
      </fill>
      <alignment horizontal="right" readingOrder="0"/>
    </ndxf>
  </rcc>
  <rfmt sheetId="21" sqref="AM7" start="0" length="0">
    <dxf>
      <numFmt numFmtId="165" formatCode="_(* #,##0.00_);_(* \(#,##0.00\);_(* &quot;-&quot;??_);_(@_)"/>
      <alignment horizontal="right" readingOrder="0"/>
    </dxf>
  </rfmt>
  <rfmt sheetId="21" sqref="AN7" start="0" length="0">
    <dxf>
      <alignment horizontal="right" readingOrder="0"/>
    </dxf>
  </rfmt>
  <rfmt sheetId="21" sqref="AO7" start="0" length="0">
    <dxf>
      <alignment horizontal="right" readingOrder="0"/>
    </dxf>
  </rfmt>
  <rcc rId="2280" sId="21" odxf="1" dxf="1" numFmtId="4">
    <nc r="AP7">
      <v>10043.200000000001</v>
    </nc>
    <odxf>
      <font>
        <color auto="1"/>
      </font>
      <fill>
        <patternFill patternType="none">
          <bgColor indexed="65"/>
        </patternFill>
      </fill>
      <alignment horizontal="center" readingOrder="0"/>
    </odxf>
    <ndxf>
      <font>
        <color indexed="8"/>
      </font>
      <fill>
        <patternFill patternType="solid">
          <bgColor rgb="FFF587D6"/>
        </patternFill>
      </fill>
      <alignment horizontal="right" readingOrder="0"/>
    </ndxf>
  </rcc>
  <rfmt sheetId="21" sqref="AQ7" start="0" length="0">
    <dxf>
      <alignment horizontal="right" readingOrder="0"/>
    </dxf>
  </rfmt>
  <rfmt sheetId="21" sqref="AR7" start="0" length="0">
    <dxf>
      <alignment horizontal="right" readingOrder="0"/>
    </dxf>
  </rfmt>
  <rfmt sheetId="21" sqref="AS7" start="0" length="0">
    <dxf>
      <alignment horizontal="right" readingOrder="0"/>
    </dxf>
  </rfmt>
  <rfmt sheetId="21" sqref="AT7" start="0" length="0">
    <dxf>
      <alignment horizontal="right" readingOrder="0"/>
    </dxf>
  </rfmt>
  <rfmt sheetId="21" sqref="AU7" start="0" length="0">
    <dxf>
      <numFmt numFmtId="4" formatCode="#,##0.00"/>
      <alignment horizontal="right" readingOrder="0"/>
    </dxf>
  </rfmt>
  <rfmt sheetId="21" sqref="AV7" start="0" length="0">
    <dxf>
      <alignment horizontal="right" readingOrder="0"/>
    </dxf>
  </rfmt>
  <rfmt sheetId="21" sqref="AW7" start="0" length="0">
    <dxf>
      <numFmt numFmtId="4" formatCode="#,##0.00"/>
      <alignment horizontal="right" readingOrder="0"/>
    </dxf>
  </rfmt>
  <rcc rId="2281" sId="21" odxf="1" dxf="1" numFmtId="4">
    <nc r="AX7">
      <v>547880</v>
    </nc>
    <odxf>
      <font>
        <color auto="1"/>
      </font>
      <fill>
        <patternFill patternType="none">
          <bgColor indexed="65"/>
        </patternFill>
      </fill>
      <alignment horizontal="center" readingOrder="0"/>
    </odxf>
    <ndxf>
      <font>
        <color indexed="8"/>
      </font>
      <fill>
        <patternFill patternType="solid">
          <bgColor rgb="FFF587D6"/>
        </patternFill>
      </fill>
      <alignment horizontal="right" readingOrder="0"/>
    </ndxf>
  </rcc>
  <rfmt sheetId="21" sqref="AY7" start="0" length="0">
    <dxf>
      <alignment horizontal="right" readingOrder="0"/>
    </dxf>
  </rfmt>
  <rfmt sheetId="21" sqref="AZ7" start="0" length="0">
    <dxf>
      <alignment horizontal="right" readingOrder="0"/>
    </dxf>
  </rfmt>
  <rcc rId="2282" sId="21" odxf="1" dxf="1" numFmtId="4">
    <nc r="BA7">
      <v>244110</v>
    </nc>
    <odxf>
      <font>
        <color auto="1"/>
      </font>
      <fill>
        <patternFill patternType="none">
          <bgColor indexed="65"/>
        </patternFill>
      </fill>
      <alignment horizontal="center" readingOrder="0"/>
    </odxf>
    <ndxf>
      <font>
        <color indexed="8"/>
      </font>
      <fill>
        <patternFill patternType="solid">
          <bgColor rgb="FFF587D6"/>
        </patternFill>
      </fill>
      <alignment horizontal="right" readingOrder="0"/>
    </ndxf>
  </rcc>
  <rfmt sheetId="21" sqref="BB7" start="0" length="0">
    <dxf>
      <alignment horizontal="right" readingOrder="0"/>
    </dxf>
  </rfmt>
  <rfmt sheetId="21" sqref="BC7" start="0" length="0">
    <dxf>
      <alignment horizontal="right" readingOrder="0"/>
    </dxf>
  </rfmt>
  <rfmt sheetId="21" sqref="BD7" start="0" length="0">
    <dxf>
      <alignment horizontal="right" readingOrder="0"/>
    </dxf>
  </rfmt>
  <rcc rId="2283" sId="21" odxf="1" dxf="1" numFmtId="4">
    <nc r="BE7">
      <v>2175.5</v>
    </nc>
    <odxf>
      <font>
        <color auto="1"/>
      </font>
      <fill>
        <patternFill patternType="none">
          <bgColor indexed="65"/>
        </patternFill>
      </fill>
      <alignment horizontal="center" readingOrder="0"/>
    </odxf>
    <ndxf>
      <font>
        <color indexed="8"/>
      </font>
      <fill>
        <patternFill patternType="solid">
          <bgColor rgb="FFF587D6"/>
        </patternFill>
      </fill>
      <alignment horizontal="right" readingOrder="0"/>
    </ndxf>
  </rcc>
  <rcc rId="2284" sId="21" odxf="1" dxf="1" numFmtId="4">
    <nc r="BF7">
      <v>1228.5</v>
    </nc>
    <odxf>
      <font>
        <color auto="1"/>
      </font>
      <fill>
        <patternFill patternType="none">
          <bgColor indexed="65"/>
        </patternFill>
      </fill>
      <alignment horizontal="center" readingOrder="0"/>
    </odxf>
    <ndxf>
      <font>
        <color indexed="8"/>
      </font>
      <fill>
        <patternFill patternType="solid">
          <bgColor rgb="FFF587D6"/>
        </patternFill>
      </fill>
      <alignment horizontal="right" readingOrder="0"/>
    </ndxf>
  </rcc>
  <rfmt sheetId="21" sqref="BG7" start="0" length="0">
    <dxf>
      <alignment horizontal="right" readingOrder="0"/>
    </dxf>
  </rfmt>
  <rcc rId="2285" sId="21" odxf="1" s="1" dxf="1" numFmtId="4">
    <nc r="BH7">
      <v>10376</v>
    </nc>
    <o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numFmt numFmtId="4" formatCode="#,##0.00"/>
      <fill>
        <patternFill patternType="solid">
          <bgColor rgb="FFF587D6"/>
        </patternFill>
      </fill>
      <alignment horizontal="right" vertical="center" readingOrder="0"/>
    </ndxf>
  </rcc>
  <rcc rId="2286" sId="21" odxf="1" s="1" dxf="1" numFmtId="4">
    <nc r="BI7">
      <v>6708.5</v>
    </nc>
    <o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numFmt numFmtId="4" formatCode="#,##0.00"/>
      <fill>
        <patternFill patternType="solid">
          <bgColor rgb="FFF587D6"/>
        </patternFill>
      </fill>
      <alignment horizontal="right" vertical="center" readingOrder="0"/>
    </ndxf>
  </rcc>
  <rfmt sheetId="21" s="1" sqref="BJ7" start="0" length="0">
    <dxf>
      <font>
        <sz val="11"/>
        <color auto="1"/>
        <name val="Calibri"/>
        <scheme val="minor"/>
      </font>
      <numFmt numFmtId="4" formatCode="#,##0.00"/>
      <alignment horizontal="right" vertical="center" readingOrder="0"/>
    </dxf>
  </rfmt>
  <rcc rId="2287" sId="21" odxf="1" dxf="1" numFmtId="4">
    <nc r="BK7">
      <v>2222600</v>
    </nc>
    <odxf>
      <font>
        <color auto="1"/>
      </font>
      <fill>
        <patternFill patternType="none">
          <bgColor indexed="65"/>
        </patternFill>
      </fill>
      <alignment horizontal="center" readingOrder="0"/>
    </odxf>
    <ndxf>
      <font>
        <color indexed="8"/>
      </font>
      <fill>
        <patternFill patternType="solid">
          <bgColor rgb="FFF587D6"/>
        </patternFill>
      </fill>
      <alignment horizontal="right" readingOrder="0"/>
    </ndxf>
  </rcc>
  <rfmt sheetId="21" sqref="BL7" start="0" length="0">
    <dxf>
      <alignment horizontal="right" readingOrder="0"/>
    </dxf>
  </rfmt>
  <rcc rId="2288" sId="21" odxf="1" dxf="1" numFmtId="4">
    <nc r="BM7">
      <v>968.39</v>
    </nc>
    <odxf>
      <font>
        <color auto="1"/>
      </font>
      <fill>
        <patternFill patternType="none">
          <bgColor indexed="65"/>
        </patternFill>
      </fill>
      <alignment horizontal="center" readingOrder="0"/>
    </odxf>
    <ndxf>
      <font>
        <color indexed="8"/>
      </font>
      <fill>
        <patternFill patternType="solid">
          <bgColor rgb="FFF587D6"/>
        </patternFill>
      </fill>
      <alignment horizontal="right" readingOrder="0"/>
    </ndxf>
  </rcc>
  <rfmt sheetId="21" sqref="BN7" start="0" length="0">
    <dxf>
      <alignment horizontal="right" readingOrder="0"/>
    </dxf>
  </rfmt>
  <rfmt sheetId="21" sqref="BO7" start="0" length="0">
    <dxf>
      <numFmt numFmtId="165" formatCode="_(* #,##0.00_);_(* \(#,##0.00\);_(* &quot;-&quot;??_);_(@_)"/>
      <alignment horizontal="right" readingOrder="0"/>
    </dxf>
  </rfmt>
  <rcc rId="2289" sId="21" odxf="1" dxf="1">
    <nc r="BP7">
      <f>IF((BO7-BO6)&lt;=0,0,(BO7-BO6))*1000</f>
    </nc>
    <odxf>
      <alignment horizontal="center" readingOrder="0"/>
    </odxf>
    <ndxf>
      <alignment horizontal="right" readingOrder="0"/>
    </ndxf>
  </rcc>
  <rcc rId="2290" sId="21" odxf="1" s="1" dxf="1" numFmtId="4">
    <nc r="BQ7">
      <v>923.8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BR7" start="0" length="0">
    <dxf>
      <alignment horizontal="right" readingOrder="0"/>
    </dxf>
  </rfmt>
  <rcc rId="2291" sId="21" odxf="1" s="1" dxf="1" numFmtId="4">
    <nc r="BS7">
      <v>131209.84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BT7" start="0" length="0">
    <dxf>
      <alignment horizontal="right" readingOrder="0"/>
    </dxf>
  </rfmt>
  <rcc rId="2292" sId="21" odxf="1" s="1" dxf="1" numFmtId="4">
    <nc r="BU7">
      <v>3908470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BV7" start="0" length="0">
    <dxf>
      <numFmt numFmtId="165" formatCode="_(* #,##0.00_);_(* \(#,##0.00\);_(* &quot;-&quot;??_);_(@_)"/>
      <alignment horizontal="right" readingOrder="0"/>
    </dxf>
  </rfmt>
  <rfmt sheetId="21" s="1" sqref="BW7" start="0" length="0">
    <dxf>
      <alignment horizontal="right" readingOrder="0"/>
    </dxf>
  </rfmt>
  <rfmt sheetId="21" s="1" sqref="BX7" start="0" length="0">
    <dxf>
      <alignment horizontal="right" readingOrder="0"/>
    </dxf>
  </rfmt>
  <rcc rId="2293" sId="21" odxf="1" s="1" dxf="1" numFmtId="4">
    <nc r="BY7">
      <v>452.87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qref="BZ7" start="0" length="0">
    <dxf>
      <alignment horizontal="right" readingOrder="0"/>
    </dxf>
  </rfmt>
  <rfmt sheetId="21" s="1" sqref="CA7" start="0" length="0">
    <dxf>
      <alignment horizontal="right" readingOrder="0"/>
    </dxf>
  </rfmt>
  <rfmt sheetId="21" s="1" sqref="CB7" start="0" length="0">
    <dxf>
      <alignment horizontal="right" readingOrder="0"/>
    </dxf>
  </rfmt>
  <rcc rId="2294" sId="21" odxf="1" s="1" dxf="1" numFmtId="4">
    <nc r="CC7">
      <v>865981.2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CD7" start="0" length="0">
    <dxf>
      <alignment horizontal="right" readingOrder="0"/>
    </dxf>
  </rfmt>
  <rcc rId="2295" sId="21" odxf="1" s="1" dxf="1" numFmtId="4">
    <nc r="CE7">
      <v>2028841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CF7" start="0" length="0">
    <dxf>
      <alignment horizontal="right" readingOrder="0"/>
    </dxf>
  </rfmt>
  <rcc rId="2296" sId="21" odxf="1" s="1" dxf="1" numFmtId="4">
    <nc r="CG7">
      <v>122991.9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CH7" start="0" length="0">
    <dxf>
      <alignment horizontal="right" readingOrder="0"/>
    </dxf>
  </rfmt>
  <rcc rId="2297" sId="21" odxf="1" s="1" dxf="1" numFmtId="4">
    <nc r="CI7">
      <v>15330.09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CJ7" start="0" length="0">
    <dxf>
      <numFmt numFmtId="167" formatCode="#,##0.000"/>
      <alignment horizontal="right" readingOrder="0"/>
    </dxf>
  </rfmt>
  <rfmt sheetId="21" s="1" sqref="CK7" start="0" length="0">
    <dxf>
      <alignment horizontal="right" readingOrder="0"/>
    </dxf>
  </rfmt>
  <rfmt sheetId="21" s="1" sqref="CL7" start="0" length="0">
    <dxf>
      <alignment horizontal="right" readingOrder="0"/>
    </dxf>
  </rfmt>
  <rcc rId="2298" sId="21" odxf="1" s="1" dxf="1" numFmtId="4">
    <nc r="CM7">
      <v>4618.59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CN7" start="0" length="0">
    <dxf>
      <alignment horizontal="right" readingOrder="0"/>
    </dxf>
  </rfmt>
  <rfmt sheetId="21" s="1" sqref="CO7" start="0" length="0">
    <dxf>
      <alignment horizontal="right" readingOrder="0"/>
    </dxf>
  </rfmt>
  <rfmt sheetId="21" s="1" sqref="CP7" start="0" length="0">
    <dxf>
      <alignment horizontal="right" readingOrder="0"/>
    </dxf>
  </rfmt>
  <rcc rId="2299" sId="21" odxf="1" dxf="1" numFmtId="4">
    <nc r="CQ7">
      <v>1136972</v>
    </nc>
    <odxf>
      <font>
        <color auto="1"/>
      </font>
      <numFmt numFmtId="3" formatCode="#,##0"/>
      <fill>
        <patternFill patternType="none">
          <bgColor indexed="65"/>
        </patternFill>
      </fill>
      <alignment horizontal="center" readingOrder="0"/>
    </odxf>
    <ndxf>
      <font>
        <color indexed="8"/>
      </font>
      <numFmt numFmtId="4" formatCode="#,##0.00"/>
      <fill>
        <patternFill patternType="solid">
          <bgColor rgb="FFF587D6"/>
        </patternFill>
      </fill>
      <alignment horizontal="right" readingOrder="0"/>
    </ndxf>
  </rcc>
  <rfmt sheetId="21" sqref="CR7" start="0" length="0">
    <dxf>
      <numFmt numFmtId="170" formatCode="#,##0.0000"/>
      <alignment horizontal="right" readingOrder="0"/>
    </dxf>
  </rfmt>
  <rfmt sheetId="21" sqref="CS7" start="0" length="0">
    <dxf>
      <numFmt numFmtId="4" formatCode="#,##0.00"/>
      <alignment horizontal="right" readingOrder="0"/>
    </dxf>
  </rfmt>
  <rfmt sheetId="21" s="1" sqref="CT7" start="0" length="0">
    <dxf>
      <alignment horizontal="right" readingOrder="0"/>
    </dxf>
  </rfmt>
  <rcc rId="2300" sId="21" odxf="1" dxf="1" numFmtId="4">
    <nc r="CU7">
      <v>5249704</v>
    </nc>
    <odxf>
      <font>
        <color auto="1"/>
      </font>
      <fill>
        <patternFill patternType="none">
          <bgColor indexed="65"/>
        </patternFill>
      </fill>
      <alignment horizontal="center" readingOrder="0"/>
    </odxf>
    <ndxf>
      <font>
        <color indexed="8"/>
      </font>
      <fill>
        <patternFill patternType="solid">
          <bgColor rgb="FFF587D6"/>
        </patternFill>
      </fill>
      <alignment horizontal="right" readingOrder="0"/>
    </ndxf>
  </rcc>
  <rfmt sheetId="21" sqref="CV7" start="0" length="0">
    <dxf>
      <alignment horizontal="right" readingOrder="0"/>
    </dxf>
  </rfmt>
  <rfmt sheetId="21" sqref="CW7" start="0" length="0">
    <dxf>
      <font>
        <color indexed="8"/>
      </font>
      <alignment horizontal="right" readingOrder="0"/>
    </dxf>
  </rfmt>
  <rfmt sheetId="21" sqref="CX7" start="0" length="0">
    <dxf>
      <alignment horizontal="right" readingOrder="0"/>
    </dxf>
  </rfmt>
  <rcc rId="2301" sId="21" odxf="1" dxf="1" numFmtId="4">
    <nc r="CY7">
      <v>2817238</v>
    </nc>
    <odxf>
      <font>
        <color auto="1"/>
      </font>
      <fill>
        <patternFill patternType="none">
          <bgColor indexed="65"/>
        </patternFill>
      </fill>
      <alignment horizontal="center" readingOrder="0"/>
    </odxf>
    <ndxf>
      <font>
        <color indexed="8"/>
      </font>
      <fill>
        <patternFill patternType="solid">
          <bgColor rgb="FFF587D6"/>
        </patternFill>
      </fill>
      <alignment horizontal="right" readingOrder="0"/>
    </ndxf>
  </rcc>
  <rfmt sheetId="21" sqref="CZ7" start="0" length="0">
    <dxf>
      <alignment horizontal="right" readingOrder="0"/>
    </dxf>
  </rfmt>
  <rfmt sheetId="21" sqref="DA7" start="0" length="0">
    <dxf>
      <alignment horizontal="right" readingOrder="0"/>
    </dxf>
  </rfmt>
  <rfmt sheetId="21" sqref="DB7" start="0" length="0">
    <dxf>
      <alignment horizontal="right" readingOrder="0"/>
    </dxf>
  </rfmt>
  <rfmt sheetId="21" sqref="DC7" start="0" length="0">
    <dxf>
      <alignment horizontal="right" readingOrder="0"/>
    </dxf>
  </rfmt>
  <rfmt sheetId="21" sqref="DD7" start="0" length="0">
    <dxf>
      <numFmt numFmtId="167" formatCode="#,##0.000"/>
      <alignment horizontal="right" readingOrder="0"/>
    </dxf>
  </rfmt>
  <rcc rId="2302" sId="21" odxf="1" dxf="1">
    <nc r="DE7">
      <f>IF((DC7-DC6)&lt;=0,0,(DC7-DC6))</f>
    </nc>
    <odxf>
      <alignment horizontal="center" readingOrder="0"/>
    </odxf>
    <ndxf>
      <alignment horizontal="right" readingOrder="0"/>
    </ndxf>
  </rcc>
  <rcc rId="2303" sId="21" odxf="1" dxf="1">
    <nc r="DF7">
      <f>IF(DE7&lt;=0,0,(DE7/SQRT(DE7^2+(DD7-DD6)^2)))</f>
    </nc>
    <odxf>
      <alignment horizontal="center" readingOrder="0"/>
    </odxf>
    <ndxf>
      <alignment horizontal="right" readingOrder="0"/>
    </ndxf>
  </rcc>
  <rcc rId="2304" sId="21" odxf="1" dxf="1">
    <nc r="DG7">
      <f>(DE7)-DA7-CW7-CS7-CO7-CK7-BW7</f>
    </nc>
    <odxf>
      <alignment horizontal="center" readingOrder="0"/>
    </odxf>
    <ndxf>
      <alignment horizontal="right" readingOrder="0"/>
    </ndxf>
  </rcc>
  <rfmt sheetId="21" sqref="DH7" start="0" length="0">
    <dxf>
      <alignment horizontal="right" readingOrder="0"/>
    </dxf>
  </rfmt>
  <rfmt sheetId="21" sqref="DI7" start="0" length="0">
    <dxf>
      <font>
        <color indexed="8"/>
      </font>
      <numFmt numFmtId="3" formatCode="#,##0"/>
      <alignment horizontal="right" readingOrder="0"/>
    </dxf>
  </rfmt>
  <rfmt sheetId="21" sqref="DJ7" start="0" length="0">
    <dxf>
      <font>
        <color indexed="8"/>
      </font>
      <numFmt numFmtId="3" formatCode="#,##0"/>
      <alignment horizontal="right" readingOrder="0"/>
    </dxf>
  </rfmt>
  <rfmt sheetId="21" s="1" sqref="DK7" start="0" length="0">
    <dxf>
      <font>
        <sz val="11"/>
        <color indexed="8"/>
        <name val="Calibri"/>
        <scheme val="minor"/>
      </font>
      <numFmt numFmtId="3" formatCode="#,##0"/>
      <alignment horizontal="right" readingOrder="0"/>
    </dxf>
  </rfmt>
  <rfmt sheetId="21" s="1" sqref="DL7" start="0" length="0">
    <dxf>
      <font>
        <sz val="11"/>
        <color indexed="8"/>
        <name val="Calibri"/>
        <scheme val="minor"/>
      </font>
      <numFmt numFmtId="3" formatCode="#,##0"/>
      <alignment horizontal="right" readingOrder="0"/>
    </dxf>
  </rfmt>
  <rfmt sheetId="21" s="1" sqref="DM7" start="0" length="0">
    <dxf>
      <alignment horizontal="right" readingOrder="0"/>
    </dxf>
  </rfmt>
  <rfmt sheetId="21" s="1" sqref="DN7" start="0" length="0">
    <dxf>
      <alignment horizontal="right" readingOrder="0"/>
    </dxf>
  </rfmt>
  <rfmt sheetId="21" s="1" sqref="DO7" start="0" length="0">
    <dxf>
      <alignment horizontal="right" readingOrder="0"/>
    </dxf>
  </rfmt>
  <rfmt sheetId="21" s="1" sqref="DP7" start="0" length="0">
    <dxf>
      <alignment horizontal="right" readingOrder="0"/>
    </dxf>
  </rfmt>
  <rcc rId="2305" sId="21" odxf="1" s="1" dxf="1" numFmtId="4">
    <nc r="DQ7">
      <v>167400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DR7" start="0" length="0">
    <dxf>
      <numFmt numFmtId="165" formatCode="_(* #,##0.00_);_(* \(#,##0.00\);_(* &quot;-&quot;??_);_(@_)"/>
      <alignment horizontal="right" readingOrder="0"/>
    </dxf>
  </rfmt>
  <rcc rId="2306" sId="21" odxf="1" s="1" dxf="1" numFmtId="4">
    <nc r="DS7">
      <v>7296400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DT7" start="0" length="0">
    <dxf>
      <numFmt numFmtId="165" formatCode="_(* #,##0.00_);_(* \(#,##0.00\);_(* &quot;-&quot;??_);_(@_)"/>
      <alignment horizontal="right" readingOrder="0"/>
    </dxf>
  </rfmt>
  <rcc rId="2307" sId="21" odxf="1" s="1" dxf="1" numFmtId="4">
    <nc r="DU7">
      <v>8561.1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cc rId="2308" sId="21" odxf="1" s="1" dxf="1" numFmtId="4">
    <nc r="DV7">
      <v>4797.6000000000004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DW7" start="0" length="0">
    <dxf>
      <font>
        <b val="0"/>
        <sz val="11"/>
        <color auto="1"/>
        <name val="Calibri"/>
        <scheme val="minor"/>
      </font>
      <numFmt numFmtId="4" formatCode="#,##0.00"/>
      <alignment horizontal="right" readingOrder="0"/>
    </dxf>
  </rfmt>
  <rcc rId="2309" sId="21" odxf="1" s="1" dxf="1" numFmtId="4">
    <nc r="DX7">
      <v>14172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cc rId="2310" sId="21" odxf="1" s="1" dxf="1" numFmtId="4">
    <nc r="DY7">
      <v>8835.9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DZ7" start="0" length="0">
    <dxf>
      <font>
        <b val="0"/>
        <sz val="11"/>
        <color auto="1"/>
        <name val="Calibri"/>
        <scheme val="minor"/>
      </font>
      <numFmt numFmtId="4" formatCode="#,##0.00"/>
      <alignment horizontal="right" readingOrder="0"/>
    </dxf>
  </rfmt>
  <rcc rId="2311" sId="21" odxf="1" s="1" dxf="1" numFmtId="4">
    <nc r="EA7">
      <v>33056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cc rId="2312" sId="21" odxf="1" s="1" dxf="1" numFmtId="4">
    <nc r="EB7">
      <v>22.469000000000001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EC7" start="0" length="0">
    <dxf>
      <font>
        <b val="0"/>
        <sz val="11"/>
        <color auto="1"/>
        <name val="Calibri"/>
        <scheme val="minor"/>
      </font>
      <numFmt numFmtId="4" formatCode="#,##0.00"/>
      <alignment horizontal="right" readingOrder="0"/>
    </dxf>
  </rfmt>
  <rfmt sheetId="21" s="1" sqref="ED7" start="0" length="0">
    <dxf>
      <font>
        <b val="0"/>
        <sz val="11"/>
        <color indexed="8"/>
        <name val="Calibri"/>
        <scheme val="minor"/>
      </font>
      <numFmt numFmtId="172" formatCode="_(* #,##0.0_);_(* \(#,##0.0\);_(* \-??_);_(@_)"/>
      <alignment horizontal="right" readingOrder="0"/>
    </dxf>
  </rfmt>
  <rcc rId="2313" sId="21" odxf="1" s="1" dxf="1" numFmtId="4">
    <nc r="EE7">
      <v>49709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cc rId="2314" sId="21" odxf="1" s="1" dxf="1" numFmtId="4">
    <nc r="EF7">
      <v>32.889000000000003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EG7" start="0" length="0">
    <dxf>
      <font>
        <b val="0"/>
        <sz val="11"/>
        <color auto="1"/>
        <name val="Calibri"/>
        <scheme val="minor"/>
      </font>
      <numFmt numFmtId="4" formatCode="#,##0.00"/>
      <alignment horizontal="right" readingOrder="0"/>
    </dxf>
  </rfmt>
  <rcc rId="2315" sId="21" odxf="1" s="1" dxf="1" numFmtId="4">
    <nc r="EH7">
      <v>14825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cc rId="2316" sId="21" odxf="1" s="1" dxf="1" numFmtId="4">
    <nc r="EI7">
      <v>2.2490999999999999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EJ7" start="0" length="0">
    <dxf>
      <font>
        <b val="0"/>
        <sz val="11"/>
        <color auto="1"/>
        <name val="Calibri"/>
        <scheme val="minor"/>
      </font>
      <numFmt numFmtId="4" formatCode="#,##0.00"/>
      <alignment horizontal="right" readingOrder="0"/>
    </dxf>
  </rfmt>
  <rcc rId="2317" sId="21" odxf="1" s="1" dxf="1" numFmtId="4">
    <nc r="EK7">
      <v>901.96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cc rId="2318" sId="21" odxf="1" s="1" dxf="1" numFmtId="4">
    <nc r="EL7">
      <v>1290.5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EM7" start="0" length="0">
    <dxf>
      <font>
        <b val="0"/>
        <sz val="11"/>
        <color auto="1"/>
        <name val="Calibri"/>
        <scheme val="minor"/>
      </font>
      <numFmt numFmtId="4" formatCode="#,##0.00"/>
      <alignment horizontal="right" readingOrder="0"/>
    </dxf>
  </rfmt>
  <rcc rId="2319" sId="21" odxf="1" s="1" dxf="1">
    <nc r="EN7">
      <f>EG7+EJ7+EM7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 val="0"/>
        <sz val="11"/>
        <color auto="1"/>
        <name val="Calibri"/>
        <scheme val="minor"/>
      </font>
      <numFmt numFmtId="4" formatCode="#,##0.00"/>
      <alignment horizontal="right" readingOrder="0"/>
    </ndxf>
  </rcc>
  <rcc rId="2320" sId="21" odxf="1" s="1" dxf="1" numFmtId="4">
    <nc r="EO7">
      <v>14235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EP7" start="0" length="0">
    <dxf>
      <font>
        <sz val="11"/>
        <color theme="1"/>
        <name val="Calibri"/>
        <scheme val="minor"/>
      </font>
      <numFmt numFmtId="165" formatCode="_(* #,##0.00_);_(* \(#,##0.00\);_(* &quot;-&quot;??_);_(@_)"/>
      <alignment horizontal="general" vertical="bottom" readingOrder="0"/>
    </dxf>
  </rfmt>
  <rfmt sheetId="21" s="1" sqref="EQ7" start="0" length="0">
    <dxf>
      <alignment horizontal="right" readingOrder="0"/>
    </dxf>
  </rfmt>
  <rcc rId="2321" sId="21" odxf="1" s="1" dxf="1" numFmtId="4">
    <nc r="ER7">
      <v>11931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ES7" start="0" length="0">
    <dxf>
      <font>
        <sz val="11"/>
        <color theme="1"/>
        <name val="Calibri"/>
        <scheme val="minor"/>
      </font>
      <numFmt numFmtId="165" formatCode="_(* #,##0.00_);_(* \(#,##0.00\);_(* &quot;-&quot;??_);_(@_)"/>
      <alignment horizontal="general" vertical="bottom" readingOrder="0"/>
    </dxf>
  </rfmt>
  <rfmt sheetId="21" s="1" sqref="ET7" start="0" length="0">
    <dxf>
      <numFmt numFmtId="165" formatCode="_(* #,##0.00_);_(* \(#,##0.00\);_(* &quot;-&quot;??_);_(@_)"/>
      <alignment horizontal="right" readingOrder="0"/>
    </dxf>
  </rfmt>
  <rcc rId="2322" sId="21" odxf="1" s="1" dxf="1" numFmtId="4">
    <nc r="EU7">
      <v>5121.3999999999996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EV7" start="0" length="0">
    <dxf>
      <font>
        <sz val="11"/>
        <color theme="1"/>
        <name val="Calibri"/>
        <scheme val="minor"/>
      </font>
      <numFmt numFmtId="165" formatCode="_(* #,##0.00_);_(* \(#,##0.00\);_(* &quot;-&quot;??_);_(@_)"/>
      <alignment horizontal="general" vertical="bottom" readingOrder="0"/>
    </dxf>
  </rfmt>
  <rfmt sheetId="21" s="1" sqref="EW7" start="0" length="0">
    <dxf>
      <numFmt numFmtId="165" formatCode="_(* #,##0.00_);_(* \(#,##0.00\);_(* &quot;-&quot;??_);_(@_)"/>
      <alignment horizontal="right" readingOrder="0"/>
    </dxf>
  </rfmt>
  <rcc rId="2323" sId="21" odxf="1" s="1" dxf="1" numFmtId="4">
    <nc r="EX7">
      <v>15326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EY7" start="0" length="0">
    <dxf>
      <font>
        <sz val="11"/>
        <color theme="1"/>
        <name val="Calibri"/>
        <scheme val="minor"/>
      </font>
      <numFmt numFmtId="165" formatCode="_(* #,##0.00_);_(* \(#,##0.00\);_(* &quot;-&quot;??_);_(@_)"/>
      <alignment horizontal="general" vertical="bottom" readingOrder="0"/>
    </dxf>
  </rfmt>
  <rfmt sheetId="21" s="1" sqref="EZ7" start="0" length="0">
    <dxf>
      <alignment horizontal="right" readingOrder="0"/>
    </dxf>
  </rfmt>
  <rfmt sheetId="21" s="1" sqref="FA7" start="0" length="0">
    <dxf>
      <font>
        <sz val="11"/>
        <color theme="1"/>
        <name val="Calibri"/>
        <scheme val="minor"/>
      </font>
      <numFmt numFmtId="165" formatCode="_(* #,##0.00_);_(* \(#,##0.00\);_(* &quot;-&quot;??_);_(@_)"/>
      <alignment horizontal="general" vertical="bottom" readingOrder="0"/>
    </dxf>
  </rfmt>
  <rcc rId="2324" sId="21" odxf="1" s="1" dxf="1" numFmtId="4">
    <nc r="FB7">
      <v>40162322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FC7" start="0" length="0">
    <dxf>
      <numFmt numFmtId="165" formatCode="_(* #,##0.00_);_(* \(#,##0.00\);_(* &quot;-&quot;??_);_(@_)"/>
      <alignment horizontal="right" readingOrder="0"/>
    </dxf>
  </rfmt>
  <rfmt sheetId="21" s="1" sqref="FD7" start="0" length="0">
    <dxf>
      <font>
        <sz val="11"/>
        <color theme="1"/>
        <name val="Calibri"/>
        <scheme val="minor"/>
      </font>
      <numFmt numFmtId="165" formatCode="_(* #,##0.00_);_(* \(#,##0.00\);_(* &quot;-&quot;??_);_(@_)"/>
    </dxf>
  </rfmt>
  <rcc rId="2325" sId="21" odxf="1" s="1" dxf="1" numFmtId="4">
    <nc r="FE7">
      <v>18392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FF7" start="0" length="0">
    <dxf>
      <font>
        <sz val="11"/>
        <color theme="1"/>
        <name val="Calibri"/>
        <scheme val="minor"/>
      </font>
      <numFmt numFmtId="165" formatCode="_(* #,##0.00_);_(* \(#,##0.00\);_(* &quot;-&quot;??_);_(@_)"/>
      <alignment horizontal="general" vertical="bottom" readingOrder="0"/>
      <border outline="0">
        <top style="thin">
          <color indexed="64"/>
        </top>
      </border>
    </dxf>
  </rfmt>
  <rfmt sheetId="21" s="1" sqref="FG7" start="0" length="0">
    <dxf>
      <alignment horizontal="right" readingOrder="0"/>
    </dxf>
  </rfmt>
  <rcc rId="2326" sId="21" odxf="1" s="1" dxf="1" numFmtId="4">
    <nc r="FH7">
      <v>11293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FI7" start="0" length="0">
    <dxf>
      <font>
        <sz val="11"/>
        <color theme="1"/>
        <name val="Calibri"/>
        <scheme val="minor"/>
      </font>
      <numFmt numFmtId="165" formatCode="_(* #,##0.00_);_(* \(#,##0.00\);_(* &quot;-&quot;??_);_(@_)"/>
      <alignment horizontal="general" vertical="bottom" readingOrder="0"/>
    </dxf>
  </rfmt>
  <rfmt sheetId="21" s="1" sqref="FJ7" start="0" length="0">
    <dxf>
      <numFmt numFmtId="165" formatCode="_(* #,##0.00_);_(* \(#,##0.00\);_(* &quot;-&quot;??_);_(@_)"/>
      <alignment horizontal="right" readingOrder="0"/>
    </dxf>
  </rfmt>
  <rfmt sheetId="21" s="1" sqref="FK7" start="0" length="0">
    <dxf>
      <font>
        <sz val="11"/>
        <color theme="1"/>
        <name val="Calibri"/>
        <scheme val="minor"/>
      </font>
      <numFmt numFmtId="165" formatCode="_(* #,##0.00_);_(* \(#,##0.00\);_(* &quot;-&quot;??_);_(@_)"/>
      <alignment horizontal="general" vertical="bottom" readingOrder="0"/>
    </dxf>
  </rfmt>
  <rfmt sheetId="21" s="1" sqref="FL7" start="0" length="0">
    <dxf>
      <font>
        <sz val="11"/>
        <color theme="1"/>
        <name val="Calibri"/>
        <scheme val="minor"/>
      </font>
      <numFmt numFmtId="165" formatCode="_(* #,##0.00_);_(* \(#,##0.00\);_(* &quot;-&quot;??_);_(@_)"/>
      <fill>
        <patternFill patternType="solid">
          <bgColor rgb="FF00B0F0"/>
        </patternFill>
      </fill>
      <alignment horizontal="general" vertical="bottom" readingOrder="0"/>
    </dxf>
  </rfmt>
  <rfmt sheetId="21" s="1" sqref="FM7" start="0" length="0">
    <dxf>
      <font>
        <sz val="11"/>
        <color theme="1"/>
        <name val="Calibri"/>
        <scheme val="minor"/>
      </font>
      <numFmt numFmtId="165" formatCode="_(* #,##0.00_);_(* \(#,##0.00\);_(* &quot;-&quot;??_);_(@_)"/>
      <alignment horizontal="general" vertical="bottom" readingOrder="0"/>
    </dxf>
  </rfmt>
  <rcc rId="2327" sId="21" odxf="1" s="1" dxf="1" numFmtId="4">
    <nc r="FN7">
      <v>18398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FO7" start="0" length="0">
    <dxf>
      <font>
        <sz val="11"/>
        <color theme="1"/>
        <name val="Calibri"/>
        <scheme val="minor"/>
      </font>
      <numFmt numFmtId="165" formatCode="_(* #,##0.00_);_(* \(#,##0.00\);_(* &quot;-&quot;??_);_(@_)"/>
      <alignment horizontal="general" vertical="bottom" readingOrder="0"/>
    </dxf>
  </rfmt>
  <rfmt sheetId="21" s="1" sqref="FP7" start="0" length="0">
    <dxf>
      <alignment horizontal="right" readingOrder="0"/>
    </dxf>
  </rfmt>
  <rcc rId="2328" sId="21" odxf="1" s="1" dxf="1" numFmtId="4">
    <nc r="FQ7">
      <v>64568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fill>
        <patternFill patternType="solid">
          <bgColor rgb="FFF587D6"/>
        </patternFill>
      </fill>
      <alignment horizontal="right" readingOrder="0"/>
    </ndxf>
  </rcc>
  <rfmt sheetId="21" s="1" sqref="FR7" start="0" length="0">
    <dxf>
      <font>
        <sz val="11"/>
        <color theme="1"/>
        <name val="Calibri"/>
        <scheme val="minor"/>
      </font>
      <numFmt numFmtId="165" formatCode="_(* #,##0.00_);_(* \(#,##0.00\);_(* &quot;-&quot;??_);_(@_)"/>
      <alignment horizontal="general" vertical="bottom" readingOrder="0"/>
    </dxf>
  </rfmt>
  <rfmt sheetId="21" s="1" sqref="FS7" start="0" length="0">
    <dxf>
      <alignment horizontal="right" readingOrder="0"/>
    </dxf>
  </rfmt>
  <rfmt sheetId="21" s="1" sqref="FT7" start="0" length="0">
    <dxf>
      <font>
        <sz val="11"/>
        <color theme="1"/>
        <name val="Calibri"/>
        <scheme val="minor"/>
      </font>
      <numFmt numFmtId="165" formatCode="_(* #,##0.00_);_(* \(#,##0.00\);_(* &quot;-&quot;??_);_(@_)"/>
      <alignment horizontal="general" vertical="bottom" readingOrder="0"/>
    </dxf>
  </rfmt>
  <rfmt sheetId="21" s="1" sqref="FU7" start="0" length="0">
    <dxf>
      <font>
        <sz val="11"/>
        <color theme="1"/>
        <name val="Calibri"/>
        <scheme val="minor"/>
      </font>
      <numFmt numFmtId="165" formatCode="_(* #,##0.00_);_(* \(#,##0.00\);_(* &quot;-&quot;??_);_(@_)"/>
    </dxf>
  </rfmt>
  <rcc rId="2329" sId="21" odxf="1" s="1" dxf="1" numFmtId="4">
    <nc r="FV7">
      <v>8027400</v>
    </nc>
    <o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numFmt numFmtId="4" formatCode="#,##0.00"/>
      <fill>
        <patternFill patternType="solid">
          <bgColor rgb="FFF587D6"/>
        </patternFill>
      </fill>
      <alignment horizontal="right" vertical="center" readingOrder="0"/>
      <border outline="0">
        <right style="thin">
          <color indexed="64"/>
        </right>
      </border>
    </ndxf>
  </rcc>
  <rfmt sheetId="21" s="1" sqref="FW7" start="0" length="0">
    <dxf>
      <font>
        <sz val="11"/>
        <color theme="1"/>
        <name val="Calibri"/>
        <scheme val="minor"/>
      </font>
      <numFmt numFmtId="169" formatCode="_(* #,##0.000_);_(* \(#,##0.000\);_(* &quot;-&quot;??_);_(@_)"/>
      <alignment horizontal="general" readingOrder="0"/>
      <border outline="0">
        <left style="thin">
          <color indexed="64"/>
        </left>
        <right style="thin">
          <color indexed="64"/>
        </right>
      </border>
    </dxf>
  </rfmt>
  <rfmt sheetId="21" s="1" sqref="FX7" start="0" length="0">
    <dxf>
      <font>
        <sz val="11"/>
        <color auto="1"/>
        <name val="Calibri"/>
        <scheme val="minor"/>
      </font>
      <numFmt numFmtId="4" formatCode="#,##0.00"/>
      <alignment horizontal="right" vertical="center" readingOrder="0"/>
      <border outline="0">
        <left style="thin">
          <color indexed="64"/>
        </left>
      </border>
    </dxf>
  </rfmt>
  <rcc rId="2330" sId="21" odxf="1" s="1" dxf="1" numFmtId="4">
    <nc r="FY7">
      <v>413670</v>
    </nc>
    <o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numFmt numFmtId="4" formatCode="#,##0.00"/>
      <fill>
        <patternFill patternType="solid">
          <bgColor rgb="FFF587D6"/>
        </patternFill>
      </fill>
      <alignment horizontal="right" vertical="center" readingOrder="0"/>
      <border outline="0">
        <right style="thin">
          <color indexed="64"/>
        </right>
      </border>
    </ndxf>
  </rcc>
  <rfmt sheetId="21" s="1" sqref="FZ7" start="0" length="0">
    <dxf>
      <font>
        <sz val="11"/>
        <color theme="1"/>
        <name val="Calibri"/>
        <scheme val="minor"/>
      </font>
      <numFmt numFmtId="173" formatCode="_(* #,##0.0000_);_(* \(#,##0.0000\);_(* &quot;-&quot;??_);_(@_)"/>
      <alignment horizontal="general" readingOrder="0"/>
      <border outline="0">
        <left style="thin">
          <color indexed="64"/>
        </left>
        <right style="thin">
          <color indexed="64"/>
        </right>
      </border>
    </dxf>
  </rfmt>
  <rfmt sheetId="21" s="1" sqref="GA7" start="0" length="0">
    <dxf>
      <font>
        <sz val="11"/>
        <color auto="1"/>
        <name val="Calibri"/>
        <scheme val="minor"/>
      </font>
      <numFmt numFmtId="4" formatCode="#,##0.00"/>
      <alignment horizontal="right" vertical="center" readingOrder="0"/>
      <border outline="0">
        <left style="thin">
          <color indexed="64"/>
        </left>
      </border>
    </dxf>
  </rfmt>
  <rcc rId="2331" sId="21" odxf="1" s="1" dxf="1" numFmtId="4">
    <nc r="GB7">
      <v>933.29</v>
    </nc>
    <o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numFmt numFmtId="4" formatCode="#,##0.00"/>
      <fill>
        <patternFill patternType="solid">
          <bgColor rgb="FFF587D6"/>
        </patternFill>
      </fill>
      <alignment horizontal="right" vertical="center" readingOrder="0"/>
      <border outline="0">
        <right style="thin">
          <color indexed="64"/>
        </right>
      </border>
    </ndxf>
  </rcc>
  <rfmt sheetId="21" s="1" sqref="GC7" start="0" length="0">
    <dxf>
      <font>
        <sz val="11"/>
        <color theme="1"/>
        <name val="Calibri"/>
        <scheme val="minor"/>
      </font>
      <numFmt numFmtId="173" formatCode="_(* #,##0.0000_);_(* \(#,##0.0000\);_(* &quot;-&quot;??_);_(@_)"/>
      <alignment horizontal="general" readingOrder="0"/>
      <border outline="0">
        <left style="thin">
          <color indexed="64"/>
        </left>
        <right style="thin">
          <color indexed="64"/>
        </right>
      </border>
    </dxf>
  </rfmt>
  <rfmt sheetId="21" s="1" sqref="GD7" start="0" length="0">
    <dxf>
      <font>
        <sz val="11"/>
        <color auto="1"/>
        <name val="Calibri"/>
        <scheme val="minor"/>
      </font>
      <numFmt numFmtId="4" formatCode="#,##0.00"/>
      <alignment horizontal="right" vertical="center" readingOrder="0"/>
      <border outline="0">
        <left style="thin">
          <color indexed="64"/>
        </left>
      </border>
    </dxf>
  </rfmt>
  <rcc rId="2332" sId="21" odxf="1" s="1" dxf="1" numFmtId="4">
    <nc r="GE7">
      <v>11435</v>
    </nc>
    <o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numFmt numFmtId="4" formatCode="#,##0.00"/>
      <fill>
        <patternFill patternType="solid">
          <bgColor rgb="FFF587D6"/>
        </patternFill>
      </fill>
      <alignment horizontal="right" vertical="center" readingOrder="0"/>
      <border outline="0">
        <right style="thin">
          <color indexed="64"/>
        </right>
      </border>
    </ndxf>
  </rcc>
  <rfmt sheetId="21" s="1" sqref="GF7" start="0" length="0">
    <dxf>
      <numFmt numFmtId="173" formatCode="_(* #,##0.0000_);_(* \(#,##0.0000\);_(* &quot;-&quot;??_);_(@_)"/>
      <alignment horizontal="general" readingOrder="0"/>
      <border outline="0">
        <left style="thin">
          <color indexed="64"/>
        </left>
        <right style="thin">
          <color indexed="64"/>
        </right>
      </border>
    </dxf>
  </rfmt>
  <rfmt sheetId="21" s="1" sqref="GG7" start="0" length="0">
    <dxf>
      <font>
        <sz val="11"/>
        <color auto="1"/>
        <name val="Calibri"/>
        <scheme val="minor"/>
      </font>
      <numFmt numFmtId="4" formatCode="#,##0.00"/>
      <alignment horizontal="right" vertical="center" readingOrder="0"/>
      <border outline="0">
        <left style="thin">
          <color indexed="64"/>
        </left>
      </border>
    </dxf>
  </rfmt>
  <rcc rId="2333" sId="21" odxf="1" s="1" dxf="1" numFmtId="4">
    <nc r="GH7">
      <v>170650</v>
    </nc>
    <o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numFmt numFmtId="4" formatCode="#,##0.00"/>
      <fill>
        <patternFill patternType="solid">
          <bgColor rgb="FFF587D6"/>
        </patternFill>
      </fill>
      <alignment horizontal="right" vertical="center" readingOrder="0"/>
      <border outline="0">
        <right style="thin">
          <color indexed="64"/>
        </right>
      </border>
    </ndxf>
  </rcc>
  <rfmt sheetId="21" s="1" sqref="GI7" start="0" length="0">
    <dxf>
      <font>
        <sz val="11"/>
        <color theme="1"/>
        <name val="Calibri"/>
        <scheme val="minor"/>
      </font>
      <numFmt numFmtId="173" formatCode="_(* #,##0.0000_);_(* \(#,##0.0000\);_(* &quot;-&quot;??_);_(@_)"/>
      <alignment horizontal="general" readingOrder="0"/>
      <border outline="0">
        <left style="thin">
          <color indexed="64"/>
        </left>
        <right style="thin">
          <color indexed="64"/>
        </right>
      </border>
    </dxf>
  </rfmt>
  <rfmt sheetId="21" s="1" sqref="GJ7" start="0" length="0">
    <dxf>
      <font>
        <sz val="11"/>
        <color indexed="8"/>
        <name val="Calibri"/>
        <scheme val="minor"/>
      </font>
      <numFmt numFmtId="4" formatCode="#,##0.00"/>
      <alignment horizontal="right" vertical="center" readingOrder="0"/>
      <border outline="0">
        <left style="thin">
          <color indexed="64"/>
        </left>
      </border>
    </dxf>
  </rfmt>
  <rcc rId="2334" sId="21" odxf="1" s="1" dxf="1" numFmtId="4">
    <nc r="GK7">
      <v>1562</v>
    </nc>
    <o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numFmt numFmtId="4" formatCode="#,##0.00"/>
      <fill>
        <patternFill patternType="solid">
          <bgColor rgb="FFF587D6"/>
        </patternFill>
      </fill>
      <alignment horizontal="right" vertical="center" readingOrder="0"/>
      <border outline="0">
        <right style="thin">
          <color indexed="64"/>
        </right>
      </border>
    </ndxf>
  </rcc>
  <rfmt sheetId="21" s="1" sqref="GL7" start="0" length="0">
    <dxf>
      <font>
        <sz val="11"/>
        <color theme="1"/>
        <name val="Calibri"/>
        <scheme val="minor"/>
      </font>
      <numFmt numFmtId="169" formatCode="_(* #,##0.000_);_(* \(#,##0.000\);_(* &quot;-&quot;??_);_(@_)"/>
      <alignment horizontal="general" readingOrder="0"/>
      <border outline="0">
        <left style="thin">
          <color indexed="64"/>
        </left>
        <right style="thin">
          <color indexed="64"/>
        </right>
      </border>
    </dxf>
  </rfmt>
  <rfmt sheetId="21" s="1" sqref="GM7" start="0" length="0">
    <dxf>
      <font>
        <sz val="11"/>
        <color indexed="8"/>
        <name val="Calibri"/>
        <scheme val="minor"/>
      </font>
      <numFmt numFmtId="4" formatCode="#,##0.00"/>
      <alignment horizontal="right" vertical="center" readingOrder="0"/>
      <border outline="0">
        <left style="thin">
          <color indexed="64"/>
        </left>
      </border>
    </dxf>
  </rfmt>
  <rcc rId="2335" sId="21" odxf="1" s="1" dxf="1" numFmtId="4">
    <nc r="GN7">
      <v>244300</v>
    </nc>
    <odxf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numFmt numFmtId="4" formatCode="#,##0.00"/>
      <fill>
        <patternFill patternType="solid">
          <bgColor rgb="FFF587D6"/>
        </patternFill>
      </fill>
      <alignment horizontal="right" vertical="center" readingOrder="0"/>
      <border outline="0">
        <left style="thin">
          <color indexed="64"/>
        </left>
      </border>
    </ndxf>
  </rcc>
  <rfmt sheetId="21" s="1" sqref="GO7" start="0" length="0">
    <dxf>
      <font>
        <sz val="11"/>
        <color indexed="8"/>
        <name val="Calibri"/>
        <scheme val="minor"/>
      </font>
      <numFmt numFmtId="173" formatCode="_(* #,##0.0000_);_(* \(#,##0.0000\);_(* &quot;-&quot;??_);_(@_)"/>
      <alignment horizontal="right" vertical="center" readingOrder="0"/>
      <border outline="0">
        <left style="thin">
          <color indexed="64"/>
        </left>
      </border>
    </dxf>
  </rfmt>
  <rfmt sheetId="21" s="1" sqref="GP7" start="0" length="0">
    <dxf>
      <font>
        <sz val="11"/>
        <color indexed="8"/>
        <name val="Calibri"/>
        <scheme val="minor"/>
      </font>
      <numFmt numFmtId="4" formatCode="#,##0.00"/>
      <alignment horizontal="right" vertical="center" readingOrder="0"/>
      <border outline="0">
        <left style="thin">
          <color indexed="64"/>
        </left>
      </border>
    </dxf>
  </rfmt>
  <rcc rId="2336" sId="21" odxf="1" s="1" dxf="1" numFmtId="4">
    <nc r="GQ7">
      <v>309110</v>
    </nc>
    <o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indexed="8"/>
        <name val="Calibri"/>
        <scheme val="minor"/>
      </font>
      <numFmt numFmtId="4" formatCode="#,##0.00"/>
      <fill>
        <patternFill patternType="solid">
          <bgColor rgb="FFF587D6"/>
        </patternFill>
      </fill>
      <alignment horizontal="right" vertical="center" readingOrder="0"/>
    </ndxf>
  </rcc>
  <rfmt sheetId="21" s="1" sqref="GR7" start="0" length="0">
    <dxf>
      <font>
        <sz val="11"/>
        <color indexed="8"/>
        <name val="Calibri"/>
        <scheme val="minor"/>
      </font>
      <numFmt numFmtId="4" formatCode="#,##0.00"/>
      <alignment horizontal="right" vertical="center" readingOrder="0"/>
    </dxf>
  </rfmt>
  <rfmt sheetId="21" s="1" sqref="GS7" start="0" length="0">
    <dxf>
      <font>
        <sz val="11"/>
        <color indexed="8"/>
        <name val="Calibri"/>
        <scheme val="minor"/>
      </font>
      <numFmt numFmtId="4" formatCode="#,##0.00"/>
      <alignment horizontal="right" vertical="center" readingOrder="0"/>
    </dxf>
  </rfmt>
  <rfmt sheetId="21" sqref="GT7" start="0" length="0">
    <dxf>
      <font>
        <b val="0"/>
        <sz val="11"/>
        <color theme="1"/>
        <name val="Calibri"/>
        <scheme val="minor"/>
      </font>
      <numFmt numFmtId="4" formatCode="#,##0.00"/>
      <alignment horizontal="general" vertical="bottom" textRotation="0" readingOrder="0"/>
      <border outline="0">
        <right style="thin">
          <color indexed="64"/>
        </right>
      </border>
    </dxf>
  </rfmt>
  <rcc rId="2337" sId="21" odxf="1" dxf="1">
    <nc r="GU7">
      <f>IFERROR(DailyOct!B6-DailyOct!N6-DailyOct!V6-DailyOct!Y6-DailyOct!Z6-DailyOct!AA6-DailyOct!AB6-DailyOct!AC6-DailyOct!AD6-DailyOct!AE6-DailyOct!AK6-DailyOct!AO6-DailyOct!AS6-DailyOct!AY6-DailyOct!BD6+DailyOct!BU6-DailyOct!BG6-DailyOct!BT6-DailyOct!AF6-DailyOct!AG6,"-")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center" vertical="top" readingOrder="0"/>
    </odxf>
    <ndxf>
      <font>
        <sz val="11"/>
        <color auto="1"/>
        <name val="Calibri"/>
        <scheme val="minor"/>
      </font>
      <numFmt numFmtId="165" formatCode="_(* #,##0.00_);_(* \(#,##0.00\);_(* &quot;-&quot;??_);_(@_)"/>
      <fill>
        <patternFill patternType="solid">
          <bgColor rgb="FFFFFF00"/>
        </patternFill>
      </fill>
      <alignment horizontal="right" vertical="center" readingOrder="0"/>
    </ndxf>
  </rcc>
  <rfmt sheetId="21" sqref="GV7" start="0" length="0">
    <dxf>
      <numFmt numFmtId="165" formatCode="_(* #,##0.00_);_(* \(#,##0.00\);_(* &quot;-&quot;??_);_(@_)"/>
      <fill>
        <patternFill patternType="solid">
          <bgColor rgb="FFF587D6"/>
        </patternFill>
      </fill>
      <alignment vertical="center" readingOrder="0"/>
    </dxf>
  </rfmt>
  <rfmt sheetId="21" s="1" sqref="GW7" start="0" length="0">
    <dxf>
      <font>
        <sz val="11"/>
        <color auto="1"/>
        <name val="Calibri"/>
        <scheme val="minor"/>
      </font>
      <numFmt numFmtId="165" formatCode="_(* #,##0.00_);_(* \(#,##0.00\);_(* &quot;-&quot;??_);_(@_)"/>
      <alignment horizontal="general" readingOrder="0"/>
    </dxf>
  </rfmt>
  <rfmt sheetId="21" sqref="GX7" start="0" length="0">
    <dxf>
      <font>
        <sz val="11"/>
        <color auto="1"/>
        <name val="Calibri"/>
        <scheme val="minor"/>
      </font>
      <fill>
        <patternFill patternType="solid">
          <bgColor rgb="FFF587D6"/>
        </patternFill>
      </fill>
      <alignment horizontal="general" vertical="bottom" readingOrder="0"/>
    </dxf>
  </rfmt>
  <rfmt sheetId="21" s="1" sqref="GY7" start="0" length="0">
    <dxf>
      <font>
        <sz val="11"/>
        <color theme="1"/>
        <name val="Calibri"/>
        <scheme val="minor"/>
      </font>
      <numFmt numFmtId="165" formatCode="_(* #,##0.00_);_(* \(#,##0.00\);_(* &quot;-&quot;??_);_(@_)"/>
      <alignment horizontal="general" readingOrder="0"/>
    </dxf>
  </rfmt>
  <rfmt sheetId="21" s="1" sqref="GZ7" start="0" length="0">
    <dxf>
      <numFmt numFmtId="165" formatCode="_(* #,##0.00_);_(* \(#,##0.00\);_(* &quot;-&quot;??_);_(@_)"/>
      <alignment horizontal="general" readingOrder="0"/>
    </dxf>
  </rfmt>
  <rfmt sheetId="21" s="1" sqref="HA7" start="0" length="0">
    <dxf>
      <numFmt numFmtId="165" formatCode="_(* #,##0.00_);_(* \(#,##0.00\);_(* &quot;-&quot;??_);_(@_)"/>
      <alignment horizontal="general" readingOrder="0"/>
    </dxf>
  </rfmt>
  <rfmt sheetId="21" s="1" sqref="HB7" start="0" length="0">
    <dxf>
      <numFmt numFmtId="165" formatCode="_(* #,##0.00_);_(* \(#,##0.00\);_(* &quot;-&quot;??_);_(@_)"/>
      <alignment horizontal="general" readingOrder="0"/>
    </dxf>
  </rfmt>
  <rfmt sheetId="21" s="1" sqref="HC7" start="0" length="0">
    <dxf>
      <numFmt numFmtId="165" formatCode="_(* #,##0.00_);_(* \(#,##0.00\);_(* &quot;-&quot;??_);_(@_)"/>
    </dxf>
  </rfmt>
  <rfmt sheetId="21" s="1" sqref="HD7" start="0" length="0">
    <dxf>
      <font>
        <sz val="11"/>
        <color theme="1"/>
        <name val="Calibri"/>
        <scheme val="minor"/>
      </font>
      <numFmt numFmtId="165" formatCode="_(* #,##0.00_);_(* \(#,##0.00\);_(* &quot;-&quot;??_);_(@_)"/>
    </dxf>
  </rfmt>
  <rfmt sheetId="21" s="1" sqref="HE7" start="0" length="0">
    <dxf>
      <numFmt numFmtId="165" formatCode="_(* #,##0.00_);_(* \(#,##0.00\);_(* &quot;-&quot;??_);_(@_)"/>
    </dxf>
  </rfmt>
  <rfmt sheetId="21" sqref="HF7" start="0" length="0">
    <dxf>
      <font>
        <b val="0"/>
        <sz val="11"/>
        <color theme="1"/>
        <name val="Calibri"/>
        <scheme val="minor"/>
      </font>
      <alignment horizontal="general" vertical="bottom" textRotation="0" readingOrder="0"/>
    </dxf>
  </rfmt>
  <rfmt sheetId="21" s="1" sqref="HG7" start="0" length="0">
    <dxf>
      <alignment horizontal="general" readingOrder="0"/>
    </dxf>
  </rfmt>
  <rcc rId="2338" sId="21" odxf="1" dxf="1" numFmtId="4">
    <nc r="HH7">
      <v>35104</v>
    </nc>
    <odxf>
      <numFmt numFmtId="0" formatCode="General"/>
      <fill>
        <patternFill patternType="none">
          <bgColor indexed="65"/>
        </patternFill>
      </fill>
      <alignment horizontal="center" vertical="center" readingOrder="0"/>
    </odxf>
    <ndxf>
      <numFmt numFmtId="2" formatCode="0.00"/>
      <fill>
        <patternFill patternType="solid">
          <bgColor rgb="FFF587D6"/>
        </patternFill>
      </fill>
      <alignment horizontal="general" vertical="bottom" readingOrder="0"/>
    </ndxf>
  </rcc>
  <rcc rId="2339" sId="21" odxf="1" dxf="1" numFmtId="4">
    <nc r="HI7">
      <v>13312</v>
    </nc>
    <odxf>
      <numFmt numFmtId="0" formatCode="General"/>
      <fill>
        <patternFill patternType="none">
          <bgColor indexed="65"/>
        </patternFill>
      </fill>
      <alignment horizontal="center" vertical="center" readingOrder="0"/>
    </odxf>
    <ndxf>
      <numFmt numFmtId="2" formatCode="0.00"/>
      <fill>
        <patternFill patternType="solid">
          <bgColor rgb="FFF587D6"/>
        </patternFill>
      </fill>
      <alignment horizontal="general" vertical="bottom" readingOrder="0"/>
    </ndxf>
  </rcc>
  <rfmt sheetId="21" sqref="HJ7" start="0" length="0">
    <dxf>
      <alignment horizontal="general" vertical="bottom" readingOrder="0"/>
    </dxf>
  </rfmt>
  <rcc rId="2340" sId="21" odxf="1" dxf="1">
    <nc r="HK7">
      <v>2.1432000000000002</v>
    </nc>
    <odxf>
      <fill>
        <patternFill patternType="none">
          <bgColor indexed="65"/>
        </patternFill>
      </fill>
      <alignment horizontal="center" vertical="center" readingOrder="0"/>
    </odxf>
    <ndxf>
      <fill>
        <patternFill patternType="solid">
          <bgColor rgb="FFF587D6"/>
        </patternFill>
      </fill>
      <alignment horizontal="general" vertical="bottom" readingOrder="0"/>
    </ndxf>
  </rcc>
  <rcc rId="2341" sId="21" odxf="1" dxf="1">
    <nc r="HL7">
      <v>807.23</v>
    </nc>
    <odxf>
      <fill>
        <patternFill patternType="none">
          <bgColor indexed="65"/>
        </patternFill>
      </fill>
      <alignment horizontal="center" vertical="center" readingOrder="0"/>
    </odxf>
    <ndxf>
      <fill>
        <patternFill patternType="solid">
          <bgColor rgb="FFF587D6"/>
        </patternFill>
      </fill>
      <alignment horizontal="general" vertical="bottom" readingOrder="0"/>
    </ndxf>
  </rcc>
  <rfmt sheetId="21" sqref="HM7" start="0" length="0">
    <dxf>
      <alignment horizontal="general" vertical="bottom" readingOrder="0"/>
    </dxf>
  </rfmt>
  <rcc rId="2342" sId="21" odxf="1" dxf="1">
    <nc r="HN7">
      <v>8812.9</v>
    </nc>
    <odxf>
      <fill>
        <patternFill patternType="none">
          <bgColor indexed="65"/>
        </patternFill>
      </fill>
      <alignment horizontal="center" vertical="center" readingOrder="0"/>
    </odxf>
    <ndxf>
      <fill>
        <patternFill patternType="solid">
          <bgColor rgb="FFF587D6"/>
        </patternFill>
      </fill>
      <alignment horizontal="general" vertical="bottom" readingOrder="0"/>
    </ndxf>
  </rcc>
  <rcc rId="2343" sId="21" odxf="1" dxf="1">
    <nc r="HO7">
      <v>87445</v>
    </nc>
    <odxf>
      <fill>
        <patternFill patternType="none">
          <bgColor indexed="65"/>
        </patternFill>
      </fill>
      <alignment horizontal="center" vertical="center" readingOrder="0"/>
    </odxf>
    <ndxf>
      <fill>
        <patternFill patternType="solid">
          <bgColor rgb="FFF587D6"/>
        </patternFill>
      </fill>
      <alignment horizontal="general" vertical="bottom" readingOrder="0"/>
    </ndxf>
  </rcc>
  <rfmt sheetId="21" sqref="HP7" start="0" length="0">
    <dxf>
      <alignment horizontal="general" vertical="bottom" readingOrder="0"/>
    </dxf>
  </rfmt>
  <rcc rId="2344" sId="21" odxf="1" dxf="1" numFmtId="4">
    <nc r="HQ7">
      <v>6002.3</v>
    </nc>
    <odxf>
      <numFmt numFmtId="0" formatCode="General"/>
      <fill>
        <patternFill patternType="none">
          <bgColor indexed="65"/>
        </patternFill>
      </fill>
      <alignment horizontal="center" vertical="center" readingOrder="0"/>
    </odxf>
    <ndxf>
      <numFmt numFmtId="2" formatCode="0.00"/>
      <fill>
        <patternFill patternType="solid">
          <bgColor rgb="FFF587D6"/>
        </patternFill>
      </fill>
      <alignment horizontal="general" vertical="bottom" readingOrder="0"/>
    </ndxf>
  </rcc>
  <rcc rId="2345" sId="21" odxf="1" dxf="1" numFmtId="4">
    <nc r="HR7">
      <v>2499.9</v>
    </nc>
    <odxf>
      <numFmt numFmtId="0" formatCode="General"/>
      <fill>
        <patternFill patternType="none">
          <bgColor indexed="65"/>
        </patternFill>
      </fill>
      <alignment horizontal="center" vertical="center" readingOrder="0"/>
    </odxf>
    <ndxf>
      <numFmt numFmtId="2" formatCode="0.00"/>
      <fill>
        <patternFill patternType="solid">
          <bgColor rgb="FFF587D6"/>
        </patternFill>
      </fill>
      <alignment horizontal="general" vertical="bottom" readingOrder="0"/>
    </ndxf>
  </rcc>
  <rfmt sheetId="21" sqref="HS7" start="0" length="0">
    <dxf>
      <alignment horizontal="general" vertical="bottom" readingOrder="0"/>
    </dxf>
  </rfmt>
  <rcc rId="2346" sId="21" odxf="1" dxf="1" numFmtId="4">
    <nc r="HT7">
      <v>5971.5</v>
    </nc>
    <odxf>
      <numFmt numFmtId="0" formatCode="General"/>
      <fill>
        <patternFill patternType="none">
          <bgColor indexed="65"/>
        </patternFill>
      </fill>
      <alignment horizontal="center" vertical="center" readingOrder="0"/>
    </odxf>
    <ndxf>
      <numFmt numFmtId="2" formatCode="0.00"/>
      <fill>
        <patternFill patternType="solid">
          <bgColor rgb="FFF587D6"/>
        </patternFill>
      </fill>
      <alignment horizontal="general" vertical="bottom" readingOrder="0"/>
    </ndxf>
  </rcc>
  <rcc rId="2347" sId="21" odxf="1" dxf="1" numFmtId="4">
    <nc r="HU7">
      <v>2126.1999999999998</v>
    </nc>
    <odxf>
      <numFmt numFmtId="0" formatCode="General"/>
      <fill>
        <patternFill patternType="none">
          <bgColor indexed="65"/>
        </patternFill>
      </fill>
      <alignment horizontal="center" vertical="center" readingOrder="0"/>
    </odxf>
    <ndxf>
      <numFmt numFmtId="2" formatCode="0.00"/>
      <fill>
        <patternFill patternType="solid">
          <bgColor rgb="FFF587D6"/>
        </patternFill>
      </fill>
      <alignment horizontal="general" vertical="bottom" readingOrder="0"/>
    </ndxf>
  </rcc>
  <rfmt sheetId="21" sqref="HV7" start="0" length="0">
    <dxf>
      <alignment horizontal="general" vertical="bottom" readingOrder="0"/>
    </dxf>
  </rfmt>
  <rcc rId="2348" sId="21" odxf="1" dxf="1" numFmtId="4">
    <nc r="HW7">
      <v>4529.1000000000004</v>
    </nc>
    <odxf>
      <numFmt numFmtId="0" formatCode="General"/>
      <fill>
        <patternFill patternType="none">
          <bgColor indexed="65"/>
        </patternFill>
      </fill>
      <alignment horizontal="center" vertical="center" readingOrder="0"/>
    </odxf>
    <ndxf>
      <numFmt numFmtId="2" formatCode="0.00"/>
      <fill>
        <patternFill patternType="solid">
          <bgColor rgb="FFF587D6"/>
        </patternFill>
      </fill>
      <alignment horizontal="general" vertical="bottom" readingOrder="0"/>
    </ndxf>
  </rcc>
  <rcc rId="2349" sId="21" odxf="1" dxf="1" numFmtId="4">
    <nc r="HX7">
      <v>1910.8</v>
    </nc>
    <odxf>
      <numFmt numFmtId="0" formatCode="General"/>
      <fill>
        <patternFill patternType="none">
          <bgColor indexed="65"/>
        </patternFill>
      </fill>
      <alignment horizontal="center" vertical="center" readingOrder="0"/>
    </odxf>
    <ndxf>
      <numFmt numFmtId="2" formatCode="0.00"/>
      <fill>
        <patternFill patternType="solid">
          <bgColor rgb="FFF587D6"/>
        </patternFill>
      </fill>
      <alignment horizontal="general" vertical="bottom" readingOrder="0"/>
    </ndxf>
  </rcc>
  <rfmt sheetId="21" sqref="HY7" start="0" length="0">
    <dxf>
      <alignment horizontal="general" vertical="bottom" readingOrder="0"/>
    </dxf>
  </rfmt>
  <rcc rId="2350" sId="21" odxf="1" dxf="1">
    <nc r="HZ7">
      <v>4009600</v>
    </nc>
    <odxf>
      <fill>
        <patternFill patternType="none">
          <bgColor indexed="65"/>
        </patternFill>
      </fill>
      <alignment horizontal="center" vertical="center" readingOrder="0"/>
    </odxf>
    <ndxf>
      <fill>
        <patternFill patternType="solid">
          <bgColor rgb="FFF587D6"/>
        </patternFill>
      </fill>
      <alignment horizontal="general" vertical="bottom" readingOrder="0"/>
    </ndxf>
  </rcc>
  <rcc rId="2351" sId="21" odxf="1" dxf="1">
    <nc r="IA7">
      <v>17193</v>
    </nc>
    <odxf>
      <fill>
        <patternFill patternType="none">
          <bgColor indexed="65"/>
        </patternFill>
      </fill>
      <alignment horizontal="center" vertical="center" readingOrder="0"/>
    </odxf>
    <ndxf>
      <fill>
        <patternFill patternType="solid">
          <bgColor rgb="FFF587D6"/>
        </patternFill>
      </fill>
      <alignment horizontal="general" vertical="bottom" readingOrder="0"/>
    </ndxf>
  </rcc>
  <rfmt sheetId="21" sqref="IB7" start="0" length="0">
    <dxf>
      <alignment horizontal="general" vertical="bottom" readingOrder="0"/>
    </dxf>
  </rfmt>
  <rcc rId="2352" sId="21" odxf="1" dxf="1" numFmtId="4">
    <nc r="IC7">
      <v>719.8</v>
    </nc>
    <odxf>
      <numFmt numFmtId="0" formatCode="General"/>
      <fill>
        <patternFill patternType="none">
          <bgColor indexed="65"/>
        </patternFill>
      </fill>
      <alignment horizontal="center" vertical="center" readingOrder="0"/>
    </odxf>
    <ndxf>
      <numFmt numFmtId="2" formatCode="0.00"/>
      <fill>
        <patternFill patternType="solid">
          <bgColor rgb="FFF587D6"/>
        </patternFill>
      </fill>
      <alignment horizontal="general" vertical="bottom" readingOrder="0"/>
    </ndxf>
  </rcc>
  <rcc rId="2353" sId="21" odxf="1" dxf="1" numFmtId="4">
    <nc r="ID7">
      <v>232.78</v>
    </nc>
    <odxf>
      <numFmt numFmtId="0" formatCode="General"/>
      <fill>
        <patternFill patternType="none">
          <bgColor indexed="65"/>
        </patternFill>
      </fill>
      <alignment horizontal="center" vertical="center" readingOrder="0"/>
    </odxf>
    <ndxf>
      <numFmt numFmtId="2" formatCode="0.00"/>
      <fill>
        <patternFill patternType="solid">
          <bgColor rgb="FFF587D6"/>
        </patternFill>
      </fill>
      <alignment horizontal="general" vertical="bottom" readingOrder="0"/>
    </ndxf>
  </rcc>
  <rfmt sheetId="21" sqref="IE7" start="0" length="0">
    <dxf>
      <alignment horizontal="general" vertical="bottom" readingOrder="0"/>
    </dxf>
  </rfmt>
  <rfmt sheetId="21" sqref="IF7" start="0" length="0">
    <dxf>
      <alignment horizontal="general" vertical="bottom" readingOrder="0"/>
    </dxf>
  </rfmt>
  <rfmt sheetId="21" sqref="IG7" start="0" length="0">
    <dxf>
      <alignment horizontal="general" vertical="bottom" readingOrder="0"/>
    </dxf>
  </rfmt>
  <rcc rId="2354" sId="21" odxf="1" dxf="1">
    <nc r="IH7">
      <f>DT7</f>
    </nc>
    <odxf>
      <numFmt numFmtId="0" formatCode="General"/>
      <alignment horizontal="center" vertical="center" readingOrder="0"/>
    </odxf>
    <ndxf>
      <numFmt numFmtId="165" formatCode="_(* #,##0.00_);_(* \(#,##0.00\);_(* &quot;-&quot;??_);_(@_)"/>
      <alignment horizontal="general" vertical="bottom" readingOrder="0"/>
    </ndxf>
  </rcc>
  <rcc rId="2355" sId="21" odxf="1" dxf="1">
    <nc r="II7">
      <f>HJ7+HM7-HS7-HV7-HY7-IH7-HP7-IB7</f>
    </nc>
    <odxf>
      <numFmt numFmtId="0" formatCode="General"/>
      <alignment horizontal="center" vertical="center" readingOrder="0"/>
    </odxf>
    <ndxf>
      <numFmt numFmtId="35" formatCode="_-* #,##0.00_-;\-* #,##0.00_-;_-* &quot;-&quot;??_-;_-@_-"/>
      <alignment horizontal="general" vertical="bottom" readingOrder="0"/>
    </ndxf>
  </rcc>
  <rfmt sheetId="21" sqref="IJ7" start="0" length="0">
    <dxf>
      <alignment horizontal="general" vertical="bottom" readingOrder="0"/>
    </dxf>
  </rfmt>
  <rfmt sheetId="21" sqref="IK7" start="0" length="0">
    <dxf>
      <alignment horizontal="general" vertical="bottom" readingOrder="0"/>
    </dxf>
  </rfmt>
  <rfmt sheetId="21" sqref="IL7" start="0" length="0">
    <dxf>
      <alignment horizontal="general" vertical="bottom" readingOrder="0"/>
    </dxf>
  </rfmt>
  <rfmt sheetId="21" sqref="IM7" start="0" length="0">
    <dxf>
      <alignment horizontal="general" vertical="bottom" readingOrder="0"/>
    </dxf>
  </rfmt>
  <rfmt sheetId="21" sqref="IN7" start="0" length="0">
    <dxf>
      <alignment horizontal="general" vertical="bottom" readingOrder="0"/>
    </dxf>
  </rfmt>
  <rcc rId="2356" sId="21" odxf="1" dxf="1">
    <nc r="IO7">
      <f>IF((IM7-IM6)&lt;=0,0,(IM7-IM6)*1000)</f>
    </nc>
    <odxf>
      <alignment horizontal="center" vertical="center" readingOrder="0"/>
    </odxf>
    <ndxf>
      <alignment horizontal="general" vertical="bottom" readingOrder="0"/>
    </ndxf>
  </rcc>
  <rfmt sheetId="21" sqref="IP7" start="0" length="0">
    <dxf>
      <alignment horizontal="general" vertical="bottom" readingOrder="0"/>
    </dxf>
  </rfmt>
  <rfmt sheetId="21" sqref="IQ7" start="0" length="0">
    <dxf>
      <alignment horizontal="general" vertical="bottom" readingOrder="0"/>
    </dxf>
  </rfmt>
  <rcc rId="2357" sId="21" odxf="1" dxf="1">
    <nc r="IR7">
      <f>IF((IP7-IP6)&lt;=0,0,(IP7-IP6))</f>
    </nc>
    <odxf>
      <alignment horizontal="center" vertical="center" readingOrder="0"/>
    </odxf>
    <ndxf>
      <alignment horizontal="general" vertical="bottom" readingOrder="0"/>
    </ndxf>
  </rcc>
  <rfmt sheetId="21" sqref="IS7" start="0" length="0">
    <dxf>
      <alignment horizontal="general" vertical="bottom" readingOrder="0"/>
    </dxf>
  </rfmt>
  <rfmt sheetId="21" sqref="IT7" start="0" length="0">
    <dxf>
      <alignment horizontal="general" vertical="bottom" readingOrder="0"/>
    </dxf>
  </rfmt>
  <rcc rId="2358" sId="21" odxf="1" dxf="1">
    <nc r="IU7">
      <f>IF((IS7-IS6)&lt;=0,0,(IS7-IS6))</f>
    </nc>
    <odxf>
      <alignment horizontal="center" vertical="center" readingOrder="0"/>
    </odxf>
    <ndxf>
      <alignment horizontal="general" vertical="bottom" readingOrder="0"/>
    </ndxf>
  </rcc>
  <rfmt sheetId="21" sqref="IV7" start="0" length="0">
    <dxf>
      <alignment horizontal="general" vertical="bottom" readingOrder="0"/>
    </dxf>
  </rfmt>
  <rfmt sheetId="21" sqref="IW7" start="0" length="0">
    <dxf>
      <alignment horizontal="general" vertical="bottom" readingOrder="0"/>
    </dxf>
  </rfmt>
  <rcc rId="2359" sId="21" odxf="1" dxf="1">
    <nc r="IX7">
      <f>IF((IV7-IV6)&lt;=0,0,(IV7-IV6))</f>
    </nc>
    <odxf>
      <alignment horizontal="center" vertical="center" readingOrder="0"/>
    </odxf>
    <ndxf>
      <alignment horizontal="general" vertical="bottom" readingOrder="0"/>
    </ndxf>
  </rcc>
  <rfmt sheetId="21" sqref="IY7" start="0" length="0">
    <dxf>
      <alignment horizontal="general" vertical="bottom" readingOrder="0"/>
    </dxf>
  </rfmt>
  <rfmt sheetId="21" sqref="IZ7" start="0" length="0">
    <dxf>
      <alignment horizontal="general" vertical="bottom" readingOrder="0"/>
    </dxf>
  </rfmt>
  <rcc rId="2360" sId="21" odxf="1" dxf="1">
    <nc r="JA7">
      <f>IF((IY7-IY6)&lt;=0,0,(IY7-IY6))</f>
    </nc>
    <odxf>
      <alignment horizontal="center" vertical="center" readingOrder="0"/>
    </odxf>
    <ndxf>
      <alignment horizontal="general" vertical="bottom" readingOrder="0"/>
    </ndxf>
  </rcc>
  <rfmt sheetId="21" sqref="JB7" start="0" length="0">
    <dxf>
      <alignment horizontal="general" vertical="bottom" readingOrder="0"/>
    </dxf>
  </rfmt>
  <rfmt sheetId="21" sqref="JC7" start="0" length="0">
    <dxf>
      <alignment horizontal="general" vertical="bottom" readingOrder="0"/>
    </dxf>
  </rfmt>
  <rcc rId="2361" sId="21" odxf="1" dxf="1">
    <nc r="JD7">
      <f>IF((JB7-JB6)&lt;=0,0,(JB7-JB6))</f>
    </nc>
    <odxf>
      <alignment horizontal="center" vertical="center" readingOrder="0"/>
    </odxf>
    <ndxf>
      <alignment horizontal="general" vertical="bottom" readingOrder="0"/>
    </ndxf>
  </rcc>
  <rfmt sheetId="21" sqref="JE7" start="0" length="0">
    <dxf>
      <alignment horizontal="general" vertical="bottom" readingOrder="0"/>
    </dxf>
  </rfmt>
  <rfmt sheetId="21" sqref="JF7" start="0" length="0">
    <dxf>
      <alignment horizontal="general" vertical="bottom" readingOrder="0"/>
    </dxf>
  </rfmt>
  <rcc rId="2362" sId="21" odxf="1" dxf="1">
    <nc r="JG7">
      <f>IF((JE7-JE6)&lt;=0,0,(JE7-JE6))</f>
    </nc>
    <odxf>
      <alignment horizontal="center" vertical="center" readingOrder="0"/>
    </odxf>
    <ndxf>
      <alignment horizontal="general" vertical="bottom" readingOrder="0"/>
    </ndxf>
  </rcc>
  <rfmt sheetId="21" sqref="JH7" start="0" length="0">
    <dxf>
      <alignment horizontal="general" vertical="bottom" readingOrder="0"/>
    </dxf>
  </rfmt>
  <rfmt sheetId="21" sqref="JI7" start="0" length="0">
    <dxf>
      <alignment horizontal="general" vertical="bottom" readingOrder="0"/>
    </dxf>
  </rfmt>
  <rcc rId="2363" sId="21" odxf="1" dxf="1">
    <nc r="JJ7">
      <f>IF((JH7-JH6)&lt;=0,0,(JH7-JH6))</f>
    </nc>
    <odxf>
      <alignment horizontal="center" vertical="center" readingOrder="0"/>
    </odxf>
    <ndxf>
      <alignment horizontal="general" vertical="bottom" readingOrder="0"/>
    </ndxf>
  </rcc>
  <rfmt sheetId="21" sqref="JK7" start="0" length="0">
    <dxf>
      <alignment horizontal="general" vertical="bottom" readingOrder="0"/>
    </dxf>
  </rfmt>
  <rfmt sheetId="21" sqref="JL7" start="0" length="0">
    <dxf>
      <alignment horizontal="general" vertical="bottom" readingOrder="0"/>
    </dxf>
  </rfmt>
  <rcc rId="2364" sId="21" odxf="1" dxf="1">
    <nc r="JM7">
      <f>IF((JK7-JK6)&lt;=0,0,(JK7-JK6))</f>
    </nc>
    <odxf>
      <alignment horizontal="center" vertical="center" readingOrder="0"/>
    </odxf>
    <ndxf>
      <alignment horizontal="general" vertical="bottom" readingOrder="0"/>
    </ndxf>
  </rcc>
  <rfmt sheetId="21" sqref="JN7" start="0" length="0">
    <dxf>
      <alignment horizontal="general" vertical="bottom" readingOrder="0"/>
    </dxf>
  </rfmt>
  <rfmt sheetId="21" sqref="JO7" start="0" length="0">
    <dxf>
      <alignment horizontal="general" vertical="bottom" readingOrder="0"/>
    </dxf>
  </rfmt>
  <rcc rId="2365" sId="21" odxf="1" dxf="1">
    <nc r="JP7">
      <f>IF((JN7-JN6)&lt;=0,0,(JN7-JN6))</f>
    </nc>
    <odxf>
      <alignment horizontal="center" vertical="center" readingOrder="0"/>
    </odxf>
    <ndxf>
      <alignment horizontal="general" vertical="bottom" readingOrder="0"/>
    </ndxf>
  </rcc>
  <rfmt sheetId="21" sqref="JQ7" start="0" length="0">
    <dxf>
      <alignment horizontal="general" vertical="bottom" readingOrder="0"/>
    </dxf>
  </rfmt>
  <rfmt sheetId="21" sqref="JR7" start="0" length="0">
    <dxf>
      <alignment horizontal="general" vertical="bottom" readingOrder="0"/>
    </dxf>
  </rfmt>
  <rcc rId="2366" sId="21" odxf="1" dxf="1">
    <nc r="JS7">
      <f>IF((JQ7-JQ6)&lt;=0,0,(JQ7-JQ6))</f>
    </nc>
    <odxf>
      <alignment horizontal="center" vertical="center" readingOrder="0"/>
    </odxf>
    <ndxf>
      <alignment horizontal="general" vertical="bottom" readingOrder="0"/>
    </ndxf>
  </rcc>
  <rfmt sheetId="21" sqref="JT7" start="0" length="0">
    <dxf>
      <alignment horizontal="general" vertical="bottom" readingOrder="0"/>
    </dxf>
  </rfmt>
  <rfmt sheetId="21" sqref="JU7" start="0" length="0">
    <dxf>
      <alignment horizontal="general" vertical="bottom" readingOrder="0"/>
    </dxf>
  </rfmt>
  <rcc rId="2367" sId="21" odxf="1" dxf="1">
    <nc r="JV7">
      <f>IF((JT7-JT6)&lt;=0,0,(JT7-JT6))</f>
    </nc>
    <odxf>
      <alignment horizontal="center" vertical="center" readingOrder="0"/>
    </odxf>
    <ndxf>
      <alignment horizontal="general" vertical="bottom" readingOrder="0"/>
    </ndxf>
  </rcc>
  <rfmt sheetId="21" sqref="JW7" start="0" length="0">
    <dxf>
      <alignment horizontal="general" vertical="bottom" readingOrder="0"/>
    </dxf>
  </rfmt>
  <rfmt sheetId="21" sqref="JX7" start="0" length="0">
    <dxf>
      <alignment horizontal="general" vertical="bottom" readingOrder="0"/>
    </dxf>
  </rfmt>
  <rcc rId="2368" sId="21" odxf="1" dxf="1">
    <nc r="JY7">
      <f>IF((JW7-JW6)&lt;=0,0,(JW7-JW6))</f>
    </nc>
    <odxf>
      <alignment horizontal="center" vertical="center" readingOrder="0"/>
    </odxf>
    <ndxf>
      <alignment horizontal="general" vertical="bottom" readingOrder="0"/>
    </ndxf>
  </rcc>
  <rfmt sheetId="21" sqref="JZ7" start="0" length="0">
    <dxf>
      <alignment horizontal="general" vertical="bottom" readingOrder="0"/>
    </dxf>
  </rfmt>
  <rfmt sheetId="21" sqref="KA7" start="0" length="0">
    <dxf>
      <alignment horizontal="general" vertical="bottom" readingOrder="0"/>
    </dxf>
  </rfmt>
  <rcc rId="2369" sId="21" odxf="1" dxf="1">
    <nc r="KB7">
      <f>IF((JZ7-JZ6)&lt;=0,0,(JZ7-JZ6))</f>
    </nc>
    <odxf>
      <alignment horizontal="center" vertical="center" readingOrder="0"/>
    </odxf>
    <ndxf>
      <alignment horizontal="general" vertical="bottom" readingOrder="0"/>
    </ndxf>
  </rcc>
  <rfmt sheetId="21" sqref="KC7" start="0" length="0">
    <dxf>
      <alignment horizontal="general" vertical="bottom" readingOrder="0"/>
    </dxf>
  </rfmt>
  <rfmt sheetId="21" sqref="KD7" start="0" length="0">
    <dxf>
      <alignment horizontal="general" vertical="bottom" readingOrder="0"/>
    </dxf>
  </rfmt>
  <rcc rId="2370" sId="21" odxf="1" dxf="1">
    <nc r="KE7">
      <f>IF((KC7-KC6)&lt;=0,0,(KC7-KC6))</f>
    </nc>
    <odxf>
      <alignment horizontal="center" vertical="center" readingOrder="0"/>
    </odxf>
    <ndxf>
      <alignment horizontal="general" vertical="bottom" readingOrder="0"/>
    </ndxf>
  </rcc>
  <rfmt sheetId="21" sqref="KF7" start="0" length="0">
    <dxf>
      <font>
        <b val="0"/>
        <sz val="11"/>
        <color theme="1"/>
        <name val="Calibri"/>
        <scheme val="minor"/>
      </font>
      <alignment vertical="bottom" textRotation="0" readingOrder="0"/>
    </dxf>
  </rfmt>
  <rcc rId="2371" sId="21" odxf="1" dxf="1">
    <nc r="KG7">
      <f>HJ7+HM7-HS7-HV7-HY7-IH7</f>
    </nc>
    <odxf>
      <numFmt numFmtId="0" formatCode="General"/>
      <alignment horizontal="center" vertical="center" readingOrder="0"/>
    </odxf>
    <ndxf>
      <numFmt numFmtId="35" formatCode="_-* #,##0.00_-;\-* #,##0.00_-;_-* &quot;-&quot;??_-;_-@_-"/>
      <alignment horizontal="general" vertical="bottom" readingOrder="0"/>
    </ndxf>
  </rcc>
  <rcc rId="2372" sId="21" numFmtId="4">
    <nc r="B8">
      <v>6024.87</v>
    </nc>
  </rcc>
  <rcc rId="2373" sId="21" numFmtId="4">
    <nc r="E8">
      <v>1206.6099999999999</v>
    </nc>
  </rcc>
  <rcc rId="2374" sId="21" numFmtId="4">
    <nc r="L8">
      <v>19737900</v>
    </nc>
  </rcc>
  <rcc rId="2375" sId="21" numFmtId="4">
    <nc r="O8">
      <v>13809.3</v>
    </nc>
  </rcc>
  <rcc rId="2376" sId="21" numFmtId="4">
    <nc r="S8">
      <v>11280369.75</v>
    </nc>
  </rcc>
  <rcc rId="2377" sId="21" numFmtId="4">
    <nc r="U8">
      <v>1523792.57</v>
    </nc>
  </rcc>
  <rcc rId="2378" sId="21" numFmtId="4">
    <nc r="W8">
      <v>4953.2</v>
    </nc>
  </rcc>
  <rcc rId="2379" sId="21" numFmtId="4">
    <nc r="AA8">
      <v>929000</v>
    </nc>
  </rcc>
  <rcc rId="2380" sId="21" numFmtId="4">
    <nc r="AC8">
      <v>5115.8</v>
    </nc>
  </rcc>
  <rcc rId="2381" sId="21" numFmtId="4">
    <nc r="AG8">
      <v>11131.5</v>
    </nc>
  </rcc>
  <rcc rId="2382" sId="21" numFmtId="4">
    <nc r="AL8">
      <v>12690</v>
    </nc>
  </rcc>
  <rcc rId="2383" sId="21" numFmtId="4">
    <nc r="AP8">
      <v>10057.1</v>
    </nc>
  </rcc>
  <rcc rId="2384" sId="21" numFmtId="4">
    <nc r="AX8">
      <v>548330</v>
    </nc>
  </rcc>
  <rcc rId="2385" sId="21" numFmtId="4">
    <nc r="BA8">
      <v>244800</v>
    </nc>
  </rcc>
  <rcc rId="2386" sId="21" numFmtId="4">
    <nc r="BE8">
      <v>2177.4</v>
    </nc>
  </rcc>
  <rcc rId="2387" sId="21" numFmtId="4">
    <nc r="BF8">
      <v>1229.7</v>
    </nc>
  </rcc>
  <rcc rId="2388" sId="21" numFmtId="4">
    <nc r="BH8">
      <v>10385</v>
    </nc>
  </rcc>
  <rcc rId="2389" sId="21" numFmtId="4">
    <nc r="BI8">
      <v>6714.6</v>
    </nc>
  </rcc>
  <rcc rId="2390" sId="21" numFmtId="4">
    <nc r="BK8">
      <v>2226300</v>
    </nc>
  </rcc>
  <rcc rId="2391" sId="21" numFmtId="4">
    <nc r="BM8">
      <v>969.85</v>
    </nc>
  </rcc>
  <rcc rId="2392" sId="21" numFmtId="4">
    <nc r="BQ8">
      <v>924.4</v>
    </nc>
  </rcc>
  <rcc rId="2393" sId="21" numFmtId="4">
    <nc r="BS8">
      <v>131355.32</v>
    </nc>
  </rcc>
  <rcc rId="2394" sId="21" numFmtId="4">
    <nc r="BU8">
      <v>3914299</v>
    </nc>
  </rcc>
  <rcc rId="2395" sId="21" numFmtId="4">
    <nc r="BY8">
      <v>453.54399999999998</v>
    </nc>
  </rcc>
  <rcc rId="2396" sId="21" numFmtId="4">
    <nc r="CC8">
      <v>866651.4</v>
    </nc>
  </rcc>
  <rcc rId="2397" sId="21" numFmtId="4">
    <nc r="CE8">
      <v>2033938</v>
    </nc>
  </rcc>
  <rcc rId="2398" sId="21" numFmtId="4">
    <nc r="CG8">
      <v>122991.9</v>
    </nc>
  </rcc>
  <rcc rId="2399" sId="21" numFmtId="4">
    <nc r="CI8">
      <v>15346.52</v>
    </nc>
  </rcc>
  <rcc rId="2400" sId="21" odxf="1" dxf="1" numFmtId="4">
    <nc r="CR9">
      <v>1136972</v>
    </nc>
    <odxf>
      <font>
        <color auto="1"/>
      </font>
      <numFmt numFmtId="171" formatCode="#,##0.00000"/>
      <fill>
        <patternFill patternType="none">
          <bgColor indexed="65"/>
        </patternFill>
      </fill>
    </odxf>
    <ndxf>
      <font>
        <color indexed="8"/>
      </font>
      <numFmt numFmtId="4" formatCode="#,##0.00"/>
      <fill>
        <patternFill patternType="solid">
          <bgColor rgb="FFF587D6"/>
        </patternFill>
      </fill>
    </ndxf>
  </rcc>
  <rcc rId="2401" sId="21" odxf="1" dxf="1" numFmtId="4">
    <nc r="CN10">
      <v>4618.59</v>
    </nc>
    <odxf>
      <font>
        <color auto="1"/>
      </font>
      <fill>
        <patternFill patternType="none">
          <bgColor indexed="65"/>
        </patternFill>
      </fill>
    </odxf>
    <ndxf>
      <font>
        <color indexed="8"/>
      </font>
      <fill>
        <patternFill patternType="solid">
          <bgColor rgb="FFF587D6"/>
        </patternFill>
      </fill>
    </ndxf>
  </rcc>
  <rm rId="2402" sheetId="21" source="CR9" destination="CM7" sourceSheetId="21">
    <undo index="10" exp="ref" v="1" dr="CM7" r="CO8" sId="21"/>
    <undo index="1" exp="ref" v="1" dr="CM7" r="CO8" sId="21"/>
    <undo index="9" exp="ref" v="1" dr="CM7" r="CO7" sId="21"/>
    <undo index="0" exp="ref" v="1" dr="CM7" r="CO7" sId="21"/>
    <rcc rId="0" sId="21" s="1" dxf="1" numFmtId="4">
      <nc r="CM7">
        <v>4618.59</v>
      </nc>
      <ndxf>
        <font>
          <sz val="11"/>
          <color indexed="8"/>
          <name val="Calibri"/>
          <scheme val="minor"/>
        </font>
        <numFmt numFmtId="4" formatCode="#,##0.00"/>
        <fill>
          <patternFill patternType="solid">
            <bgColor rgb="FFF587D6"/>
          </patternFill>
        </fill>
        <alignment horizontal="righ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m>
  <rm rId="2403" sheetId="21" source="CN10" destination="CQ7" sourceSheetId="21">
    <undo index="10" exp="ref" v="1" dr="CQ7" r="CS8" sId="21"/>
    <undo index="1" exp="ref" v="1" dr="CQ7" r="CS8" sId="21"/>
    <undo index="9" exp="ref" v="1" dr="CQ7" r="CS7" sId="21"/>
    <undo index="0" exp="ref" v="1" dr="CQ7" r="CS7" sId="21"/>
    <rcc rId="0" sId="21" s="1" dxf="1" numFmtId="4">
      <nc r="CQ7">
        <v>1136972</v>
      </nc>
      <ndxf>
        <font>
          <sz val="11"/>
          <color indexed="8"/>
          <name val="Calibri"/>
          <scheme val="minor"/>
        </font>
        <numFmt numFmtId="4" formatCode="#,##0.00"/>
        <fill>
          <patternFill patternType="solid">
            <bgColor rgb="FFF587D6"/>
          </patternFill>
        </fill>
        <alignment horizontal="righ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m>
  <rcc rId="2404" sId="21" numFmtId="4">
    <nc r="CM8">
      <v>1143312</v>
    </nc>
  </rcc>
  <rcc rId="2405" sId="21">
    <oc r="CO8">
      <f>IF((CM8-#REF!)&lt;=0,0,(CM8-#REF!))*1000+GX8</f>
    </oc>
    <nc r="CO8">
      <f>IF((CM8-CM7)&lt;=0,0,(CM8-CM7))*1000+GX8</f>
    </nc>
  </rcc>
  <rcc rId="2406" sId="21" numFmtId="4">
    <nc r="CQ8">
      <v>4625.9390000000003</v>
    </nc>
  </rcc>
  <rcc rId="2407" sId="21">
    <oc r="CS8">
      <f>IF((CQ8-#REF!)&lt;=0,0,(CQ8-#REF!))+GX8</f>
    </oc>
    <nc r="CS8">
      <f>IF((CQ8-CQ7)&lt;=0,0,(CQ8-CQ7))+GX8</f>
    </nc>
  </rcc>
  <rfmt sheetId="21" sqref="CO8">
    <dxf>
      <numFmt numFmtId="168" formatCode="#,##0.0"/>
    </dxf>
  </rfmt>
  <rfmt sheetId="21" sqref="CO8">
    <dxf>
      <numFmt numFmtId="3" formatCode="#,##0"/>
    </dxf>
  </rfmt>
  <rfmt sheetId="21" sqref="CO8">
    <dxf>
      <numFmt numFmtId="168" formatCode="#,##0.0"/>
    </dxf>
  </rfmt>
  <rfmt sheetId="21" sqref="CO8">
    <dxf>
      <numFmt numFmtId="4" formatCode="#,##0.00"/>
    </dxf>
  </rfmt>
  <rcc rId="2408" sId="21" numFmtId="4">
    <nc r="CU8">
      <v>5263871</v>
    </nc>
  </rcc>
  <rcc rId="2409" sId="21" numFmtId="4">
    <nc r="CY8">
      <v>2824000</v>
    </nc>
  </rcc>
  <rcc rId="2410" sId="21" numFmtId="4">
    <nc r="DQ8">
      <v>179510</v>
    </nc>
  </rcc>
  <rcc rId="2411" sId="21" numFmtId="4">
    <nc r="DS8">
      <v>7319200</v>
    </nc>
  </rcc>
  <rcc rId="2412" sId="21" numFmtId="4">
    <nc r="DU8">
      <v>8561.4</v>
    </nc>
  </rcc>
  <rcc rId="2413" sId="21" numFmtId="4">
    <nc r="DV8">
      <v>4797.8</v>
    </nc>
  </rcc>
  <rcc rId="2414" sId="21" numFmtId="4">
    <nc r="DX8">
      <v>14172</v>
    </nc>
  </rcc>
  <rcc rId="2415" sId="21" numFmtId="4">
    <nc r="DY8">
      <v>8836.2999999999993</v>
    </nc>
  </rcc>
  <rcc rId="2416" sId="21" numFmtId="4">
    <nc r="EA8">
      <v>33058</v>
    </nc>
  </rcc>
  <rcc rId="2417" sId="21" numFmtId="4">
    <nc r="EB8">
      <v>22.469000000000001</v>
    </nc>
  </rcc>
  <rcc rId="2418" sId="21" numFmtId="4">
    <nc r="EE8">
      <v>49734</v>
    </nc>
  </rcc>
  <rcc rId="2419" sId="21" numFmtId="4">
    <nc r="EF8">
      <v>32.908000000000001</v>
    </nc>
  </rcc>
  <rcc rId="2420" sId="21" numFmtId="4">
    <nc r="EH8">
      <v>14835</v>
    </nc>
  </rcc>
  <rcc rId="2421" sId="21" numFmtId="4">
    <nc r="EI8">
      <v>2.2446999999999999</v>
    </nc>
  </rcc>
  <rcc rId="2422" sId="21" numFmtId="4">
    <nc r="EK8">
      <v>902.6</v>
    </nc>
  </rcc>
  <rcc rId="2423" sId="21" numFmtId="4">
    <nc r="EL8">
      <v>1291.5</v>
    </nc>
  </rcc>
  <rcc rId="2424" sId="21" numFmtId="4">
    <nc r="EO8">
      <v>14244</v>
    </nc>
  </rcc>
  <rcc rId="2425" sId="21" numFmtId="4">
    <nc r="ER8">
      <v>11948</v>
    </nc>
  </rcc>
  <rcc rId="2426" sId="21" numFmtId="4">
    <nc r="EU8">
      <v>5131.8</v>
    </nc>
  </rcc>
  <rcc rId="2427" sId="21" numFmtId="4">
    <nc r="EX8">
      <v>15337</v>
    </nc>
  </rcc>
  <rcc rId="2428" sId="21" numFmtId="4">
    <nc r="FB8">
      <v>40186734</v>
    </nc>
  </rcc>
  <rcc rId="2429" sId="21" numFmtId="4">
    <nc r="FE8">
      <v>18400</v>
    </nc>
  </rcc>
  <rcc rId="2430" sId="21" numFmtId="4">
    <nc r="FH8">
      <v>11308</v>
    </nc>
  </rcc>
  <rcc rId="2431" sId="21" numFmtId="4">
    <nc r="FN8">
      <v>18407</v>
    </nc>
  </rcc>
  <rcc rId="2432" sId="21" numFmtId="4">
    <nc r="FQ8">
      <v>64600</v>
    </nc>
  </rcc>
  <rcc rId="2433" sId="21" numFmtId="4">
    <nc r="FV8">
      <v>8054900</v>
    </nc>
  </rcc>
  <rcc rId="2434" sId="21" numFmtId="4">
    <nc r="FY8">
      <v>419270</v>
    </nc>
  </rcc>
  <rcc rId="2435" sId="21" numFmtId="4">
    <nc r="GB8">
      <v>934.13099999999997</v>
    </nc>
  </rcc>
  <rcc rId="2436" sId="21" numFmtId="4">
    <nc r="GE8">
      <v>11444</v>
    </nc>
  </rcc>
  <rcc rId="2437" sId="21" numFmtId="4">
    <nc r="GH8">
      <v>172460</v>
    </nc>
  </rcc>
  <rcc rId="2438" sId="21" numFmtId="4">
    <nc r="GK8">
      <v>1562</v>
    </nc>
  </rcc>
  <rcc rId="2439" sId="21" numFmtId="4">
    <nc r="GN8">
      <v>244300</v>
    </nc>
  </rcc>
  <rcc rId="2440" sId="21" numFmtId="4">
    <nc r="GQ8">
      <v>309340</v>
    </nc>
  </rcc>
  <rcc rId="2441" sId="21">
    <nc r="GS8">
      <f>IF((GQ8-GQ7)&lt;=0,0,(GQ8-GQ7))</f>
    </nc>
  </rcc>
  <rcc rId="2442" sId="21" numFmtId="4">
    <nc r="HH8">
      <v>35241</v>
    </nc>
  </rcc>
  <rcc rId="2443" sId="21" numFmtId="4">
    <nc r="HI8">
      <v>13363</v>
    </nc>
  </rcc>
  <rcc rId="2444" sId="21">
    <nc r="HK8">
      <v>2.1432000000000002</v>
    </nc>
  </rcc>
  <rcc rId="2445" sId="21">
    <nc r="HL8">
      <v>807.23</v>
    </nc>
  </rcc>
  <rcc rId="2446" sId="21" numFmtId="4">
    <nc r="HN8">
      <v>8846.5</v>
    </nc>
  </rcc>
  <rcc rId="2447" sId="21" numFmtId="4">
    <nc r="HO8">
      <v>87586</v>
    </nc>
  </rcc>
  <rfmt sheetId="21" sqref="HN7">
    <dxf>
      <numFmt numFmtId="2" formatCode="0.00"/>
    </dxf>
  </rfmt>
  <rfmt sheetId="21" sqref="HO7">
    <dxf>
      <numFmt numFmtId="179" formatCode="0.0"/>
    </dxf>
  </rfmt>
  <rfmt sheetId="21" sqref="HO7">
    <dxf>
      <numFmt numFmtId="2" formatCode="0.00"/>
    </dxf>
  </rfmt>
  <rcc rId="2448" sId="21" numFmtId="4">
    <nc r="HQ8">
      <v>6028.3</v>
    </nc>
  </rcc>
  <rcc rId="2449" sId="21" numFmtId="4">
    <nc r="HR8">
      <v>2510.4</v>
    </nc>
  </rcc>
  <rcc rId="2450" sId="21" numFmtId="4">
    <nc r="HT8">
      <v>5998.2</v>
    </nc>
  </rcc>
  <rcc rId="2451" sId="21" numFmtId="4">
    <nc r="HU8">
      <v>2135.5</v>
    </nc>
  </rcc>
  <rcc rId="2452" sId="21" numFmtId="4">
    <nc r="HW8">
      <v>4531.7</v>
    </nc>
  </rcc>
  <rcc rId="2453" sId="21" numFmtId="4">
    <nc r="HX8">
      <v>1912.1</v>
    </nc>
  </rcc>
  <rcc rId="2454" sId="21">
    <nc r="HZ8">
      <v>4085300</v>
    </nc>
  </rcc>
  <rcc rId="2455" sId="21">
    <nc r="IA8">
      <v>17302</v>
    </nc>
  </rcc>
  <rcc rId="2456" sId="21" numFmtId="4">
    <nc r="IC8">
      <v>719.8</v>
    </nc>
  </rcc>
  <rcc rId="2457" sId="21" numFmtId="4">
    <nc r="ID8">
      <v>232.78</v>
    </nc>
  </rcc>
  <rcc rId="2458" sId="21">
    <nc r="E46">
      <v>38438</v>
    </nc>
  </rcc>
  <rcc rId="2459" sId="21">
    <nc r="E47">
      <v>38521</v>
    </nc>
  </rcc>
  <rcc rId="2460" sId="21">
    <oc r="FR45">
      <v>1</v>
    </oc>
    <nc r="FR45">
      <v>31</v>
    </nc>
  </rcc>
  <rcc rId="2461" sId="21">
    <oc r="FR46">
      <v>2</v>
    </oc>
    <nc r="FR46">
      <v>1</v>
    </nc>
  </rcc>
  <rcc rId="2462" sId="21">
    <oc r="FR47">
      <v>3</v>
    </oc>
    <nc r="FR47">
      <v>2</v>
    </nc>
  </rcc>
  <rcc rId="2463" sId="21">
    <oc r="FR48">
      <v>4</v>
    </oc>
    <nc r="FR48">
      <v>3</v>
    </nc>
  </rcc>
  <rcc rId="2464" sId="21" odxf="1" dxf="1">
    <oc r="FR49">
      <v>5</v>
    </oc>
    <nc r="FR49">
      <v>4</v>
    </nc>
    <odxf/>
    <ndxf/>
  </rcc>
  <rcc rId="2465" sId="21" odxf="1" dxf="1">
    <oc r="FR50">
      <v>6</v>
    </oc>
    <nc r="FR50">
      <v>5</v>
    </nc>
    <odxf/>
    <ndxf/>
  </rcc>
  <rcc rId="2466" sId="21" odxf="1" dxf="1">
    <oc r="FR51">
      <v>7</v>
    </oc>
    <nc r="FR51">
      <v>6</v>
    </nc>
    <odxf/>
    <ndxf/>
  </rcc>
  <rcc rId="2467" sId="21" odxf="1" dxf="1">
    <oc r="FR52">
      <v>8</v>
    </oc>
    <nc r="FR52">
      <v>7</v>
    </nc>
    <odxf/>
    <ndxf/>
  </rcc>
  <rcc rId="2468" sId="21" odxf="1" dxf="1">
    <oc r="FR53">
      <v>9</v>
    </oc>
    <nc r="FR53">
      <v>8</v>
    </nc>
    <odxf/>
    <ndxf/>
  </rcc>
  <rcc rId="2469" sId="21" odxf="1" dxf="1">
    <oc r="FR54">
      <v>10</v>
    </oc>
    <nc r="FR54">
      <v>9</v>
    </nc>
    <odxf/>
    <ndxf/>
  </rcc>
  <rcc rId="2470" sId="21" odxf="1" dxf="1">
    <oc r="FR55">
      <v>11</v>
    </oc>
    <nc r="FR55">
      <v>10</v>
    </nc>
    <odxf/>
    <ndxf/>
  </rcc>
  <rcc rId="2471" sId="21" odxf="1" dxf="1">
    <oc r="FR56">
      <v>12</v>
    </oc>
    <nc r="FR56">
      <v>11</v>
    </nc>
    <odxf/>
    <ndxf/>
  </rcc>
  <rcc rId="2472" sId="21" odxf="1" dxf="1">
    <oc r="FR57">
      <v>13</v>
    </oc>
    <nc r="FR57">
      <v>12</v>
    </nc>
    <odxf/>
    <ndxf/>
  </rcc>
  <rcc rId="2473" sId="21" odxf="1" dxf="1">
    <oc r="FR58">
      <v>14</v>
    </oc>
    <nc r="FR58">
      <v>13</v>
    </nc>
    <odxf/>
    <ndxf/>
  </rcc>
  <rcc rId="2474" sId="21" odxf="1" dxf="1">
    <oc r="FR59">
      <v>15</v>
    </oc>
    <nc r="FR59">
      <v>14</v>
    </nc>
    <odxf/>
    <ndxf/>
  </rcc>
  <rcc rId="2475" sId="21" odxf="1" dxf="1">
    <oc r="FR60">
      <v>16</v>
    </oc>
    <nc r="FR60">
      <v>15</v>
    </nc>
    <odxf/>
    <ndxf/>
  </rcc>
  <rcc rId="2476" sId="21" odxf="1" dxf="1">
    <oc r="FR61">
      <v>17</v>
    </oc>
    <nc r="FR61">
      <v>16</v>
    </nc>
    <odxf/>
    <ndxf/>
  </rcc>
  <rcc rId="2477" sId="21" odxf="1" dxf="1">
    <oc r="FR62">
      <v>18</v>
    </oc>
    <nc r="FR62">
      <v>17</v>
    </nc>
    <odxf/>
    <ndxf/>
  </rcc>
  <rcc rId="2478" sId="21" odxf="1" dxf="1">
    <oc r="FR63">
      <v>19</v>
    </oc>
    <nc r="FR63">
      <v>18</v>
    </nc>
    <odxf/>
    <ndxf/>
  </rcc>
  <rcc rId="2479" sId="21" odxf="1" dxf="1">
    <oc r="FR64">
      <v>20</v>
    </oc>
    <nc r="FR64">
      <v>19</v>
    </nc>
    <odxf/>
    <ndxf/>
  </rcc>
  <rcc rId="2480" sId="21" odxf="1" dxf="1">
    <oc r="FR65">
      <v>21</v>
    </oc>
    <nc r="FR65">
      <v>20</v>
    </nc>
    <odxf/>
    <ndxf/>
  </rcc>
  <rcc rId="2481" sId="21" odxf="1" dxf="1">
    <oc r="FR66">
      <v>22</v>
    </oc>
    <nc r="FR66">
      <v>21</v>
    </nc>
    <odxf/>
    <ndxf/>
  </rcc>
  <rcc rId="2482" sId="21" odxf="1" dxf="1">
    <oc r="FR67">
      <v>23</v>
    </oc>
    <nc r="FR67">
      <v>22</v>
    </nc>
    <odxf/>
    <ndxf/>
  </rcc>
  <rcc rId="2483" sId="21" odxf="1" dxf="1">
    <oc r="FR68">
      <v>24</v>
    </oc>
    <nc r="FR68">
      <v>23</v>
    </nc>
    <odxf/>
    <ndxf/>
  </rcc>
  <rcc rId="2484" sId="21" odxf="1" dxf="1">
    <oc r="FR69">
      <v>25</v>
    </oc>
    <nc r="FR69">
      <v>24</v>
    </nc>
    <odxf/>
    <ndxf/>
  </rcc>
  <rcc rId="2485" sId="21" odxf="1" dxf="1">
    <oc r="FR70">
      <v>26</v>
    </oc>
    <nc r="FR70">
      <v>25</v>
    </nc>
    <odxf/>
    <ndxf/>
  </rcc>
  <rcc rId="2486" sId="21" odxf="1" dxf="1">
    <oc r="FR71">
      <v>27</v>
    </oc>
    <nc r="FR71">
      <v>26</v>
    </nc>
    <odxf/>
    <ndxf/>
  </rcc>
  <rcc rId="2487" sId="21" odxf="1" dxf="1">
    <oc r="FR72">
      <v>28</v>
    </oc>
    <nc r="FR72">
      <v>27</v>
    </nc>
    <odxf/>
    <ndxf/>
  </rcc>
  <rcc rId="2488" sId="21" odxf="1" dxf="1">
    <oc r="FR73">
      <v>29</v>
    </oc>
    <nc r="FR73">
      <v>28</v>
    </nc>
    <odxf/>
    <ndxf/>
  </rcc>
  <rcc rId="2489" sId="21" odxf="1" dxf="1">
    <oc r="FR74">
      <v>30</v>
    </oc>
    <nc r="FR74">
      <v>29</v>
    </nc>
    <odxf/>
    <ndxf/>
  </rcc>
  <rcc rId="2490" sId="21" odxf="1" dxf="1">
    <oc r="FR75">
      <v>31</v>
    </oc>
    <nc r="FR75">
      <v>30</v>
    </nc>
    <odxf/>
    <ndxf/>
  </rcc>
  <rcc rId="2491" sId="21" odxf="1" dxf="1">
    <oc r="FR76">
      <v>1</v>
    </oc>
    <nc r="FR76">
      <v>31</v>
    </nc>
    <odxf/>
    <ndxf/>
  </rcc>
  <rcc rId="2492" sId="21">
    <nc r="FS46">
      <v>984.46</v>
    </nc>
  </rcc>
  <rcc rId="2493" sId="21">
    <oc r="FU47">
      <f>(FS47-FS46)*1000</f>
    </oc>
    <nc r="FU47"/>
  </rcc>
  <rcc rId="2494" sId="21" numFmtId="4">
    <nc r="FS45">
      <v>981.95</v>
    </nc>
  </rcc>
  <rfmt sheetId="21" sqref="FS45">
    <dxf>
      <numFmt numFmtId="2" formatCode="0.00"/>
    </dxf>
  </rfmt>
  <rcc rId="2495" sId="21">
    <oc r="EZ46">
      <f>EZ9</f>
    </oc>
    <nc r="EZ46">
      <f>EZ8</f>
    </nc>
  </rcc>
  <rcc rId="2496" sId="21">
    <oc r="FA46">
      <f>FP9</f>
    </oc>
    <nc r="FA46">
      <f>FP8</f>
    </nc>
  </rcc>
  <rcc rId="2497" sId="21">
    <oc r="EQ9">
      <f>IF((EO9-EO8)*1000&lt;=0,0,(EO9-EO8)*1000)+GX9-FU46+FV46</f>
    </oc>
    <nc r="EQ9"/>
  </rcc>
  <rcc rId="2498" sId="21">
    <oc r="EQ10">
      <f>IF((EO10-EO9)*1000&lt;=0,0,(EO10-EO9)*1000)+GX10-FU47+FV47</f>
    </oc>
    <nc r="EQ10"/>
  </rcc>
  <rcc rId="2499" sId="21">
    <oc r="EQ11">
      <f>IF((EO11-EO10)*1000&lt;=0,0,(EO11-EO10)*1000)+GX11-FU48+FV48</f>
    </oc>
    <nc r="EQ11"/>
  </rcc>
  <rcc rId="2500" sId="21">
    <oc r="EQ12">
      <f>IF((EO12-EO11)*1000&lt;=0,0,(EO12-EO11)*1000)+GX12-FU49+FV49</f>
    </oc>
    <nc r="EQ12"/>
  </rcc>
  <rcc rId="2501" sId="21">
    <oc r="EQ13">
      <f>IF((EO13-EO12)*1000&lt;=0,0,(EO13-EO12)*1000)+GX13-FU50+FV50</f>
    </oc>
    <nc r="EQ13"/>
  </rcc>
  <rcc rId="2502" sId="21">
    <oc r="EQ14">
      <f>IF((EO14-EO13)*1000&lt;=0,0,(EO14-EO13)*1000)+GX14-FU51+FV51</f>
    </oc>
    <nc r="EQ14"/>
  </rcc>
  <rcc rId="2503" sId="21">
    <oc r="EQ15">
      <f>IF((EO15-EO14)*1000&lt;=0,0,(EO15-EO14)*1000)+GX15-FU52+FV52</f>
    </oc>
    <nc r="EQ15"/>
  </rcc>
  <rcc rId="2504" sId="21">
    <oc r="EQ16">
      <f>IF((EO16-EO15)*1000&lt;=0,0,(EO16-EO15)*1000)+GX16-FU53+FV53</f>
    </oc>
    <nc r="EQ16"/>
  </rcc>
  <rcc rId="2505" sId="21">
    <oc r="EQ17">
      <f>IF((EO17-EO16)*1000&lt;=0,0,(EO17-EO16)*1000)+GX17-FU54+FV54</f>
    </oc>
    <nc r="EQ17"/>
  </rcc>
  <rcc rId="2506" sId="21">
    <oc r="EQ18">
      <f>IF((EO18-EO17)*1000&lt;=0,0,(EO18-EO17)*1000)+GX18-FU55+FV55</f>
    </oc>
    <nc r="EQ18"/>
  </rcc>
  <rcc rId="2507" sId="21">
    <oc r="EQ19">
      <f>IF((EO19-EO18)*1000&lt;=0,0,(EO19-EO18)*1000)+GX19-FU56+FV56</f>
    </oc>
    <nc r="EQ19"/>
  </rcc>
  <rcc rId="2508" sId="21">
    <oc r="EQ20">
      <f>IF((EO20-EO19)*1000&lt;=0,0,(EO20-EO19)*1000)+GX20-FU57+FV57</f>
    </oc>
    <nc r="EQ20"/>
  </rcc>
  <rcc rId="2509" sId="21">
    <oc r="EQ21">
      <f>IF((EO21-EO20)*1000&lt;=0,0,(EO21-EO20)*1000)+GX21-FU58+FV58</f>
    </oc>
    <nc r="EQ21"/>
  </rcc>
  <rcc rId="2510" sId="21">
    <oc r="EQ22">
      <f>IF((EO22-EO21)*1000&lt;=0,0,(EO22-EO21)*1000)+GX22-FU59+FV59</f>
    </oc>
    <nc r="EQ22"/>
  </rcc>
  <rcc rId="2511" sId="21">
    <oc r="EQ23">
      <f>IF((EO23-EO22)*1000&lt;=0,0,(EO23-EO22)*1000)+GX23-FU60+FV60</f>
    </oc>
    <nc r="EQ23"/>
  </rcc>
  <rcc rId="2512" sId="21">
    <oc r="EQ24">
      <f>IF((EO24-EO23)*1000&lt;=0,0,(EO24-EO23)*1000)+GX24-FU61+FV61</f>
    </oc>
    <nc r="EQ24"/>
  </rcc>
  <rcc rId="2513" sId="21">
    <oc r="EQ25">
      <f>IF((EO25-EO24)*1000&lt;=0,0,(EO25-EO24)*1000)+GX25-FU62+FV62</f>
    </oc>
    <nc r="EQ25"/>
  </rcc>
  <rcc rId="2514" sId="21">
    <oc r="EQ26">
      <f>IF((EO26-EO25)*1000&lt;=0,0,(EO26-EO25)*1000)+GX26-FU63+FV63</f>
    </oc>
    <nc r="EQ26"/>
  </rcc>
  <rcc rId="2515" sId="21">
    <oc r="EQ27">
      <f>IF((EO27-EO26)*1000&lt;=0,0,(EO27-EO26)*1000)+GX27-FU64+FV64</f>
    </oc>
    <nc r="EQ27"/>
  </rcc>
  <rcc rId="2516" sId="21">
    <oc r="EQ28">
      <f>IF((EO28-EO27)*1000&lt;=0,0,(EO28-EO27)*1000)+GX28-FU65+FV65</f>
    </oc>
    <nc r="EQ28"/>
  </rcc>
  <rcc rId="2517" sId="21">
    <oc r="EQ29">
      <f>IF((EO29-EO28)*1000&lt;=0,0,(EO29-EO28)*1000)+GX29-FU66+FV66</f>
    </oc>
    <nc r="EQ29"/>
  </rcc>
  <rcc rId="2518" sId="21">
    <oc r="EQ30">
      <f>IF((EO30-EO29)*1000&lt;=0,0,(EO30-EO29)*1000)+GX30-FU67+FV67</f>
    </oc>
    <nc r="EQ30"/>
  </rcc>
  <rcc rId="2519" sId="21">
    <oc r="EQ31">
      <f>IF((EO31-EO30)*1000&lt;=0,0,(EO31-EO30)*1000)+GX31-FU68+FV68</f>
    </oc>
    <nc r="EQ31"/>
  </rcc>
  <rcc rId="2520" sId="21">
    <oc r="EQ32">
      <f>IF((EO32-EO31)*1000&lt;=0,0,(EO32-EO31)*1000)+GX32-FU69+FV69</f>
    </oc>
    <nc r="EQ32"/>
  </rcc>
  <rcc rId="2521" sId="21">
    <oc r="EQ33">
      <f>IF((EO33-EO32)*1000&lt;=0,0,(EO33-EO32)*1000)+GX33-FU70+FV70</f>
    </oc>
    <nc r="EQ33"/>
  </rcc>
  <rcc rId="2522" sId="21">
    <oc r="EQ34">
      <f>IF((EO34-EO33)*1000&lt;=0,0,(EO34-EO33)*1000)+GX34-FU71+FV71</f>
    </oc>
    <nc r="EQ34"/>
  </rcc>
  <rcc rId="2523" sId="21">
    <oc r="EQ35">
      <f>IF((EO35-EO34)*1000&lt;=0,0,(EO35-EO34)*1000)+GX35-FU72+FV72</f>
    </oc>
    <nc r="EQ35"/>
  </rcc>
  <rcc rId="2524" sId="21">
    <oc r="EQ36">
      <f>IF((EO36-EO35)*1000&lt;=0,0,(EO36-EO35)*1000)+GX36-FU73+FV73</f>
    </oc>
    <nc r="EQ36"/>
  </rcc>
  <rcc rId="2525" sId="21">
    <oc r="EQ37">
      <f>IF((EO37-EO36)*1000&lt;=0,0,(EO37-EO36)*1000)+GX37-FU74+FV74</f>
    </oc>
    <nc r="EQ37"/>
  </rcc>
  <rcc rId="2526" sId="21">
    <oc r="EQ38">
      <f>IF((EO38-EO37)*1000&lt;=0,0,(EO38-EO37)*1000)+GX38-FU75+FV75</f>
    </oc>
    <nc r="EQ38"/>
  </rcc>
  <rcc rId="2527" sId="21">
    <oc r="FG9">
      <f>IF((FE9-FE8)*1000&lt;=0,0,(FE9-FE8)*1000)+FL9+GX9+FW46</f>
    </oc>
    <nc r="FG9"/>
  </rcc>
  <rcc rId="2528" sId="21">
    <oc r="FG10">
      <f>IF((FE10-FE9)*1000&lt;=0,0,(FE10-FE9)*1000)+FL10+GX10+FW47</f>
    </oc>
    <nc r="FG10"/>
  </rcc>
  <rcc rId="2529" sId="21">
    <oc r="FG11">
      <f>IF((FE11-FE10)*1000&lt;=0,0,(FE11-FE10)*1000)+FL11+GX11+FW48</f>
    </oc>
    <nc r="FG11"/>
  </rcc>
  <rcc rId="2530" sId="21">
    <oc r="FG12">
      <f>IF((FE12-FE11)*1000&lt;=0,0,(FE12-FE11)*1000)+FL12+GX12+FW49</f>
    </oc>
    <nc r="FG12"/>
  </rcc>
  <rcc rId="2531" sId="21">
    <oc r="FG13">
      <f>IF((FE13-FE12)*1000&lt;=0,0,(FE13-FE12)*1000)+FL13+GX13+FW50</f>
    </oc>
    <nc r="FG13"/>
  </rcc>
  <rcc rId="2532" sId="21">
    <oc r="FG14">
      <f>IF((FE14-FE13)*1000&lt;=0,0,(FE14-FE13)*1000)+FL14+GX14+FW51</f>
    </oc>
    <nc r="FG14"/>
  </rcc>
  <rcc rId="2533" sId="21">
    <oc r="FG15">
      <f>IF((FE15-FE14)*1000&lt;=0,0,(FE15-FE14)*1000)+FL15+GX15+FW52</f>
    </oc>
    <nc r="FG15"/>
  </rcc>
  <rcc rId="2534" sId="21">
    <oc r="FG16">
      <f>IF((FE16-FE15)*1000&lt;=0,0,(FE16-FE15)*1000)+FL16+GX16+FW53</f>
    </oc>
    <nc r="FG16"/>
  </rcc>
  <rcc rId="2535" sId="21">
    <oc r="FG17">
      <f>IF((FE17-FE16)*1000&lt;=0,0,(FE17-FE16)*1000)+FL17+GX17+FW54</f>
    </oc>
    <nc r="FG17"/>
  </rcc>
  <rcc rId="2536" sId="21">
    <oc r="FG18">
      <f>IF((FE18-FE17)*1000&lt;=0,0,(FE18-FE17)*1000)+FL18+GX18+FW55</f>
    </oc>
    <nc r="FG18"/>
  </rcc>
  <rcc rId="2537" sId="21">
    <oc r="FG19">
      <f>IF((FE19-FE18)*1000&lt;=0,0,(FE19-FE18)*1000)+FL19+GX19+FW56</f>
    </oc>
    <nc r="FG19"/>
  </rcc>
  <rcc rId="2538" sId="21">
    <oc r="FG20">
      <f>IF((FE20-FE19)*1000&lt;=0,0,(FE20-FE19)*1000)+FL20+GX20+FW57</f>
    </oc>
    <nc r="FG20"/>
  </rcc>
  <rcc rId="2539" sId="21">
    <oc r="FG21">
      <f>IF((FE21-FE20)*1000&lt;=0,0,(FE21-FE20)*1000)+FL21+GX21+FW58</f>
    </oc>
    <nc r="FG21"/>
  </rcc>
  <rcc rId="2540" sId="21">
    <oc r="FG22">
      <f>IF((FE22-FE21)*1000&lt;=0,0,(FE22-FE21)*1000)+FL22+GX22+FW59</f>
    </oc>
    <nc r="FG22"/>
  </rcc>
  <rcc rId="2541" sId="21">
    <oc r="FG23">
      <f>IF((FE23-FE22)*1000&lt;=0,0,(FE23-FE22)*1000)+FL23+GX23+FW60</f>
    </oc>
    <nc r="FG23"/>
  </rcc>
  <rcc rId="2542" sId="21">
    <oc r="FG24">
      <f>IF((FE24-FE23)*1000&lt;=0,0,(FE24-FE23)*1000)+FL24+GX24+FW61</f>
    </oc>
    <nc r="FG24"/>
  </rcc>
  <rcc rId="2543" sId="21">
    <oc r="FG25">
      <f>IF((FE25-FE24)*1000&lt;=0,0,(FE25-FE24)*1000)+FL25+GX25+FW62</f>
    </oc>
    <nc r="FG25"/>
  </rcc>
  <rcc rId="2544" sId="21">
    <oc r="FG26">
      <f>IF((FE26-FE25)*1000&lt;=0,0,(FE26-FE25)*1000)+FL26+GX26+FW63</f>
    </oc>
    <nc r="FG26"/>
  </rcc>
  <rcc rId="2545" sId="21">
    <oc r="FG27">
      <f>IF((FE27-FE26)*1000&lt;=0,0,(FE27-FE26)*1000)+FL27+GX27+FW64</f>
    </oc>
    <nc r="FG27"/>
  </rcc>
  <rcc rId="2546" sId="21">
    <oc r="FG28">
      <f>IF((FE28-FE27)*1000&lt;=0,0,(FE28-FE27)*1000)+FL28+GX28+FW65</f>
    </oc>
    <nc r="FG28"/>
  </rcc>
  <rcc rId="2547" sId="21">
    <oc r="FG29">
      <f>IF((FE29-FE28)*1000&lt;=0,0,(FE29-FE28)*1000)+FL29+GX29+FW66</f>
    </oc>
    <nc r="FG29"/>
  </rcc>
  <rcc rId="2548" sId="21">
    <oc r="FG30">
      <f>IF((FE30-FE29)*1000&lt;=0,0,(FE30-FE29)*1000)+FL30+GX30+FW67</f>
    </oc>
    <nc r="FG30"/>
  </rcc>
  <rcc rId="2549" sId="21">
    <oc r="FG31">
      <f>IF((FE31-FE30)*1000&lt;=0,0,(FE31-FE30)*1000)+FL31+GX31+FW68</f>
    </oc>
    <nc r="FG31"/>
  </rcc>
  <rcc rId="2550" sId="21">
    <oc r="FG32">
      <f>IF((FE32-FE31)*1000&lt;=0,0,(FE32-FE31)*1000)+FL32+GX32+FW69</f>
    </oc>
    <nc r="FG32"/>
  </rcc>
  <rcc rId="2551" sId="21">
    <oc r="FG33">
      <f>IF((FE33-FE32)*1000&lt;=0,0,(FE33-FE32)*1000)+FL33+GX33+FW70</f>
    </oc>
    <nc r="FG33"/>
  </rcc>
  <rcc rId="2552" sId="21">
    <oc r="FG34">
      <f>IF((FE34-FE33)*1000&lt;=0,0,(FE34-FE33)*1000)+FL34+GX34+FW71</f>
    </oc>
    <nc r="FG34"/>
  </rcc>
  <rcc rId="2553" sId="21">
    <oc r="FG35">
      <f>IF((FE35-FE34)*1000&lt;=0,0,(FE35-FE34)*1000)+FL35+GX35+FW72</f>
    </oc>
    <nc r="FG35"/>
  </rcc>
  <rcc rId="2554" sId="21">
    <oc r="FG36">
      <f>IF((FE36-FE35)*1000&lt;=0,0,(FE36-FE35)*1000)+FL36+GX36+FW73</f>
    </oc>
    <nc r="FG36"/>
  </rcc>
  <rcc rId="2555" sId="21">
    <oc r="FG37">
      <f>IF((FE37-FE36)*1000&lt;=0,0,(FE37-FE36)*1000)+FL37+GX37+FW74</f>
    </oc>
    <nc r="FG37"/>
  </rcc>
  <rcc rId="2556" sId="21">
    <oc r="FG38">
      <f>IF((FE38-FE37)*1000&lt;=0,0,(FE38-FE37)*1000)+FL38+GX38+FW75</f>
    </oc>
    <nc r="FG38"/>
  </rcc>
  <rcc rId="2557" sId="21">
    <oc r="GU11">
      <f>IFERROR(DailyNov!B9-DailyNov!N9-DailyNov!V9-DailyNov!Y9-DailyNov!Z9-DailyNov!AA9-DailyNov!AB9-DailyNov!AC9-DailyNov!AD9-DailyNov!AE9-DailyNov!AK9-DailyNov!AO9-DailyNov!AS9-DailyNov!AY9-DailyNov!BD9+DailyNov!BU9-DailyNov!BG9-DailyNov!BT9-DailyNov!AF9-DailyNov!AG9,"-")</f>
    </oc>
    <nc r="GU11"/>
  </rcc>
  <rfmt sheetId="21" xfDxf="1" sqref="GU8" start="0" length="0">
    <dxf>
      <font>
        <color auto="1"/>
      </font>
      <numFmt numFmtId="165" formatCode="_(* #,##0.00_);_(* \(#,##0.00\);_(* &quot;-&quot;??_);_(@_)"/>
      <fill>
        <patternFill patternType="solid">
          <bgColor rgb="FFFFFF0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58" sId="21">
    <oc r="GU10">
      <f>IFERROR(DailyNov!B8-DailyNov!N8-DailyNov!V8-DailyNov!Y8-DailyNov!Z8-DailyNov!AA8-DailyNov!AB8-DailyNov!AC8-DailyNov!AD8-DailyNov!AE8-DailyNov!AK8-DailyNov!AO8-DailyNov!AS8-DailyNov!AY8-DailyNov!BD8+DailyNov!BU8-DailyNov!BG8-DailyNov!BT8-DailyNov!AF8-DailyNov!AG8,"-")</f>
    </oc>
    <nc r="GU10"/>
  </rcc>
  <rcc rId="2559" sId="21" xfDxf="1" dxf="1">
    <oc r="GU8">
      <f>IFERROR(DailyNov!B6-DailyNov!N6-DailyNov!V6-DailyNov!Y6-DailyNov!Z6-DailyNov!AA6-DailyNov!AB6-DailyNov!AC6-DailyNov!AD6-DailyNov!AE6-DailyNov!AK6-DailyNov!AO6-DailyNov!AS6-DailyNov!AY6-DailyNov!BD6+DailyNov!BU6-DailyNov!BG6-DailyNov!BT6-DailyNov!AF6-DailyNov!AG6,"-")</f>
    </oc>
    <nc r="GU8">
      <f>IFERROR(DailyNov!B8-DailyNov!N8-DailyNov!V8-DailyNov!Y8-DailyNov!Z8-DailyNov!AA8-DailyNov!AB8-DailyNov!AC8-DailyNov!AD8-DailyNov!AE8-DailyNov!AK8-DailyNov!AO8-DailyNov!AS8-DailyNov!AY8-DailyNov!BD8+DailyNov!BU8-DailyNov!BG8-DailyNov!BT8-DailyNov!AF8-DailyNov!AG8,"-")</f>
    </nc>
    <ndxf>
      <font>
        <color auto="1"/>
      </font>
      <numFmt numFmtId="165" formatCode="_(* #,##0.00_);_(* \(#,##0.00\);_(* &quot;-&quot;??_);_(@_)"/>
      <fill>
        <patternFill patternType="solid">
          <bgColor rgb="FFFFFF0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0" sId="21">
    <oc r="GU9">
      <f>IFERROR(DailyNov!B7-DailyNov!N7-DailyNov!V7-DailyNov!Y7-DailyNov!Z7-DailyNov!AA7-DailyNov!AB7-DailyNov!AC7-DailyNov!AD7-DailyNov!AE7-DailyNov!AK7-DailyNov!AO7-DailyNov!AS7-DailyNov!AY7-DailyNov!BD7+DailyNov!BU7-DailyNov!BG7-DailyNov!BT7-DailyNov!AF7-DailyNov!AG7,"-")</f>
    </oc>
    <nc r="GU9"/>
  </rcc>
  <rcc rId="2561" sId="22">
    <oc r="AF7">
      <f>Oct!DR48+Oct!DT48</f>
    </oc>
    <nc r="AF7">
      <f>Nov!DR48+Nov!DT48</f>
    </nc>
  </rcc>
  <rcc rId="2562" sId="22">
    <oc r="AF8">
      <f>Oct!DR49+Oct!DT49</f>
    </oc>
    <nc r="AF8">
      <f>Nov!DR49+Nov!DT49</f>
    </nc>
  </rcc>
  <rcc rId="2563" sId="22">
    <oc r="AF9">
      <f>Oct!DR50+Oct!DT50</f>
    </oc>
    <nc r="AF9">
      <f>Nov!DR50+Nov!DT50</f>
    </nc>
  </rcc>
  <rcc rId="2564" sId="22">
    <oc r="AF10">
      <f>Oct!DR51+Oct!DT51</f>
    </oc>
    <nc r="AF10">
      <f>Nov!DR51+Nov!DT51</f>
    </nc>
  </rcc>
  <rcc rId="2565" sId="22">
    <oc r="AF11">
      <f>Oct!DR52+Oct!DT52</f>
    </oc>
    <nc r="AF11">
      <f>Nov!DR52+Nov!DT52</f>
    </nc>
  </rcc>
  <rcc rId="2566" sId="22">
    <oc r="AF12">
      <f>Oct!DR53+Oct!DT53</f>
    </oc>
    <nc r="AF12">
      <f>Nov!DR53+Nov!DT53</f>
    </nc>
  </rcc>
  <rcc rId="2567" sId="22">
    <oc r="AF13">
      <f>Oct!DR54+Oct!DT54</f>
    </oc>
    <nc r="AF13">
      <f>Nov!DR54+Nov!DT54</f>
    </nc>
  </rcc>
  <rcc rId="2568" sId="22">
    <oc r="AF14">
      <f>Oct!DR55+Oct!DT55</f>
    </oc>
    <nc r="AF14">
      <f>Nov!DR55+Nov!DT55</f>
    </nc>
  </rcc>
  <rcc rId="2569" sId="22">
    <oc r="AF15">
      <f>Oct!DR56+Oct!DT56</f>
    </oc>
    <nc r="AF15">
      <f>Nov!DR56+Nov!DT56</f>
    </nc>
  </rcc>
  <rcc rId="2570" sId="22">
    <oc r="AF16">
      <f>Oct!DR57+Oct!DT57</f>
    </oc>
    <nc r="AF16">
      <f>Nov!DR57+Nov!DT57</f>
    </nc>
  </rcc>
  <rcc rId="2571" sId="22">
    <oc r="AF17">
      <f>Oct!DR58+Oct!DT58</f>
    </oc>
    <nc r="AF17">
      <f>Nov!DR58+Nov!DT58</f>
    </nc>
  </rcc>
  <rcc rId="2572" sId="22">
    <oc r="AF18">
      <f>Oct!DR59+Oct!DT59</f>
    </oc>
    <nc r="AF18">
      <f>Nov!DR59+Nov!DT59</f>
    </nc>
  </rcc>
  <rcc rId="2573" sId="22">
    <oc r="AF19">
      <f>Oct!DR60+Oct!DT60</f>
    </oc>
    <nc r="AF19">
      <f>Nov!DR60+Nov!DT60</f>
    </nc>
  </rcc>
  <rcc rId="2574" sId="22">
    <oc r="AF20">
      <f>Oct!DR61+Oct!DT61</f>
    </oc>
    <nc r="AF20">
      <f>Nov!DR61+Nov!DT61</f>
    </nc>
  </rcc>
  <rcc rId="2575" sId="22">
    <oc r="AF21">
      <f>Oct!DR62+Oct!DT62</f>
    </oc>
    <nc r="AF21">
      <f>Nov!DR62+Nov!DT62</f>
    </nc>
  </rcc>
  <rcc rId="2576" sId="22">
    <oc r="AF22">
      <f>Oct!DR63+Oct!DT63</f>
    </oc>
    <nc r="AF22">
      <f>Nov!DR63+Nov!DT63</f>
    </nc>
  </rcc>
  <rcc rId="2577" sId="22">
    <oc r="AF23">
      <f>Oct!DR64+Oct!DT64</f>
    </oc>
    <nc r="AF23">
      <f>Nov!DR64+Nov!DT64</f>
    </nc>
  </rcc>
  <rcc rId="2578" sId="22">
    <oc r="AF24">
      <f>Oct!DR65+Oct!DT65</f>
    </oc>
    <nc r="AF24">
      <f>Nov!DR65+Nov!DT65</f>
    </nc>
  </rcc>
  <rcc rId="2579" sId="22">
    <oc r="AF25">
      <f>Oct!DR66+Oct!DT66</f>
    </oc>
    <nc r="AF25">
      <f>Nov!DR66+Nov!DT66</f>
    </nc>
  </rcc>
  <rcc rId="2580" sId="22">
    <oc r="AF26">
      <f>Oct!DR67+Oct!DT67</f>
    </oc>
    <nc r="AF26">
      <f>Nov!DR67+Nov!DT67</f>
    </nc>
  </rcc>
  <rcc rId="2581" sId="22">
    <oc r="AF27">
      <f>Oct!DR68+Oct!DT68</f>
    </oc>
    <nc r="AF27">
      <f>Nov!DR68+Nov!DT68</f>
    </nc>
  </rcc>
  <rcc rId="2582" sId="22">
    <oc r="AF28">
      <f>Oct!DR69+Oct!DT69</f>
    </oc>
    <nc r="AF28">
      <f>Nov!DR69+Nov!DT69</f>
    </nc>
  </rcc>
  <rcc rId="2583" sId="22">
    <oc r="AF29">
      <f>Oct!DR70+Oct!DT70</f>
    </oc>
    <nc r="AF29">
      <f>Nov!DR70+Nov!DT70</f>
    </nc>
  </rcc>
  <rcc rId="2584" sId="22">
    <oc r="AF30">
      <f>Oct!DR71+Oct!DT71</f>
    </oc>
    <nc r="AF30">
      <f>Nov!DR71+Nov!DT71</f>
    </nc>
  </rcc>
  <rcc rId="2585" sId="22">
    <oc r="AF31">
      <f>Oct!DR72+Oct!DT72</f>
    </oc>
    <nc r="AF31">
      <f>Nov!DR72+Nov!DT72</f>
    </nc>
  </rcc>
  <rcc rId="2586" sId="22">
    <oc r="AF32">
      <f>Oct!DR73+Oct!DT73</f>
    </oc>
    <nc r="AF32">
      <f>Nov!DR73+Nov!DT73</f>
    </nc>
  </rcc>
  <rcc rId="2587" sId="22">
    <oc r="AF33">
      <f>Oct!DR74+Oct!DT74</f>
    </oc>
    <nc r="AF33">
      <f>Nov!DR74+Nov!DT74</f>
    </nc>
  </rcc>
  <rcc rId="2588" sId="22">
    <oc r="AF34">
      <f>Oct!DR75+Oct!DT75</f>
    </oc>
    <nc r="AF34">
      <f>Nov!DR75+Nov!DT75</f>
    </nc>
  </rcc>
  <rcc rId="2589" sId="22">
    <oc r="AF35">
      <f>Oct!DR76+Oct!DT76</f>
    </oc>
    <nc r="AF35">
      <f>Nov!DR76+Nov!DT76</f>
    </nc>
  </rcc>
  <rcc rId="2590" sId="22">
    <oc r="AF36">
      <f>Oct!DR77+Oct!DT77</f>
    </oc>
    <nc r="AF36">
      <f>Nov!DR77+Nov!DT77</f>
    </nc>
  </rcc>
  <rcc rId="2591" sId="22">
    <oc r="AF37">
      <f>Oct!DR78+Oct!DT78</f>
    </oc>
    <nc r="AF37">
      <f>Nov!DR78+Nov!DT78</f>
    </nc>
  </rcc>
  <rcc rId="2592" sId="21">
    <nc r="DR48">
      <f>IF((DQ48-DQ47)&lt;=0,0,(DQ48-DQ47))*10000</f>
    </nc>
  </rcc>
  <rcc rId="2593" sId="21" odxf="1" s="1" dxf="1" numFmtId="34">
    <oc r="DQ47" t="inlineStr">
      <is>
        <t>Mwh</t>
      </is>
    </oc>
    <nc r="DQ47">
      <v>8.2584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numFmt numFmtId="165" formatCode="_(* #,##0.00_);_(* \(#,##0.00\);_(* &quot;-&quot;??_);_(@_)"/>
      <alignment horizontal="right" readingOrder="0"/>
      <border outline="0">
        <bottom/>
      </border>
    </ndxf>
  </rcc>
  <rcc rId="2594" sId="21" odxf="1" s="1" dxf="1">
    <nc r="DR47">
      <f>IF((DQ47-DQ46)&lt;=0,0,(DQ47-DQ46))*10000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numFmt numFmtId="165" formatCode="_(* #,##0.00_);_(* \(#,##0.00\);_(* &quot;-&quot;??_);_(@_)"/>
      <alignment horizontal="right" readingOrder="0"/>
    </ndxf>
  </rcc>
  <rcc rId="2595" sId="21" odxf="1" s="1" dxf="1" numFmtId="34">
    <oc r="DS47" t="inlineStr">
      <is>
        <t>Mwh</t>
      </is>
    </oc>
    <nc r="DS47">
      <v>51.348999999999997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numFmt numFmtId="165" formatCode="_(* #,##0.00_);_(* \(#,##0.00\);_(* &quot;-&quot;??_);_(@_)"/>
      <alignment horizontal="right" readingOrder="0"/>
      <border outline="0">
        <bottom/>
      </border>
    </ndxf>
  </rcc>
  <rcc rId="2596" sId="21" odxf="1" s="1" dxf="1">
    <nc r="DT47">
      <f>IF((DS47-DS46)&lt;=0,0,(DS47-DS46))*1000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numFmt numFmtId="165" formatCode="_(* #,##0.00_);_(* \(#,##0.00\);_(* &quot;-&quot;??_);_(@_)"/>
      <alignment horizontal="right" readingOrder="0"/>
    </ndxf>
  </rcc>
  <rcc rId="2597" sId="21">
    <nc r="DT48">
      <f>IF((DS48-DS47)&lt;=0,0,(DS48-DS47))*1000</f>
    </nc>
  </rcc>
  <rcc rId="2598" sId="21">
    <nc r="DP47">
      <v>31</v>
    </nc>
  </rcc>
  <rcc rId="2599" sId="21" numFmtId="4">
    <oc r="CD8">
      <v>0</v>
    </oc>
    <nc r="CD8">
      <f>IF((CC8-CC7)&lt;=0,0,(CC8-CC7))</f>
    </nc>
  </rcc>
  <rcc rId="2600" sId="21">
    <oc r="II47">
      <f>IFERROR(DailyNov!BX8+DailyNov!BY8-DailyNov!BZ8-DailyNov!CA8-DailyONov!CB8-DailyNov!CC8-DailyOct!CD8-DailyNov!CF8-DailyNov!CE8,"-")</f>
    </oc>
    <nc r="II47">
      <f>IFERROR(DailyNov!BX9+DailyNov!BY9-DailyNov!BZ9-DailyNov!CA9-DailyONov!CB9-DailyNov!CC9-DailyNov!CD9-DailyNov!CF9-DailyNov!CE9,"-")</f>
    </nc>
  </rcc>
  <rcc rId="2601" sId="21">
    <oc r="II48">
      <f>IFERROR(DailyNov!BX9+DailyNov!BY9-DailyNov!BZ9-DailyNov!CA9-DailyONov!CB9-DailyNov!CC9-DailyOct!CD9-DailyNov!CF9-DailyNov!CE9,"-")</f>
    </oc>
    <nc r="II48">
      <f>IFERROR(DailyNov!BX10+DailyNov!BY10-DailyNov!BZ10-DailyNov!CA10-DailyONov!CB10-DailyNov!CC10-DailyNov!CD10-DailyNov!CF10-DailyNov!CE10,"-")</f>
    </nc>
  </rcc>
  <rcc rId="2602" sId="21">
    <oc r="II49">
      <f>IFERROR(DailyNov!BX10+DailyNov!BY10-DailyNov!BZ10-DailyNov!CA10-DailyONov!CB10-DailyNov!CC10-DailyOct!CD10-DailyNov!CF10-DailyNov!CE10,"-")</f>
    </oc>
    <nc r="II49">
      <f>IFERROR(DailyNov!BX11+DailyNov!BY11-DailyNov!BZ11-DailyNov!CA11-DailyONov!CB11-DailyNov!CC11-DailyNov!CD11-DailyNov!CF11-DailyNov!CE11,"-")</f>
    </nc>
  </rcc>
  <rcc rId="2603" sId="21">
    <oc r="II50">
      <f>IFERROR(DailyNov!BX11+DailyNov!BY11-DailyNov!BZ11-DailyNov!CA11-DailyONov!CB11-DailyNov!CC11-DailyOct!CD11-DailyNov!CF11-DailyNov!CE11,"-")</f>
    </oc>
    <nc r="II50">
      <f>IFERROR(DailyNov!BX12+DailyNov!BY12-DailyNov!BZ12-DailyNov!CA12-DailyONov!CB12-DailyNov!CC12-DailyNov!CD12-DailyNov!CF12-DailyNov!CE12,"-")</f>
    </nc>
  </rcc>
  <rcc rId="2604" sId="21">
    <oc r="II51">
      <f>IFERROR(DailyNov!BX12+DailyNov!BY12-DailyNov!BZ12-DailyNov!CA12-DailyONov!CB12-DailyNov!CC12-DailyOct!CD12-DailyNov!CF12-DailyNov!CE12,"-")</f>
    </oc>
    <nc r="II51">
      <f>IFERROR(DailyNov!BX13+DailyNov!BY13-DailyNov!BZ13-DailyNov!CA13-DailyONov!CB13-DailyNov!CC13-DailyNov!CD13-DailyNov!CF13-DailyNov!CE13,"-")</f>
    </nc>
  </rcc>
  <rcc rId="2605" sId="21">
    <oc r="II52">
      <f>IFERROR(DailyNov!BX13+DailyNov!BY13-DailyNov!BZ13-DailyNov!CA13-DailyONov!CB13-DailyNov!CC13-DailyOct!CD13-DailyNov!CF13-DailyNov!CE13,"-")</f>
    </oc>
    <nc r="II52">
      <f>IFERROR(DailyNov!BX14+DailyNov!BY14-DailyNov!BZ14-DailyNov!CA14-DailyONov!CB14-DailyNov!CC14-DailyNov!CD14-DailyNov!CF14-DailyNov!CE14,"-")</f>
    </nc>
  </rcc>
  <rcc rId="2606" sId="21">
    <oc r="II53">
      <f>IFERROR(DailyNov!BX14+DailyNov!BY14-DailyNov!BZ14-DailyNov!CA14-DailyONov!CB14-DailyNov!CC14-DailyOct!CD14-DailyNov!CF14-DailyNov!CE14,"-")</f>
    </oc>
    <nc r="II53">
      <f>IFERROR(DailyNov!BX15+DailyNov!BY15-DailyNov!BZ15-DailyNov!CA15-DailyONov!CB15-DailyNov!CC15-DailyNov!CD15-DailyNov!CF15-DailyNov!CE15,"-")</f>
    </nc>
  </rcc>
  <rcc rId="2607" sId="21">
    <oc r="II54">
      <f>IFERROR(DailyNov!BX15+DailyNov!BY15-DailyNov!BZ15-DailyNov!CA15-DailyONov!CB15-DailyNov!CC15-DailyOct!CD15-DailyNov!CF15-DailyNov!CE15,"-")</f>
    </oc>
    <nc r="II54">
      <f>IFERROR(DailyNov!BX16+DailyNov!BY16-DailyNov!BZ16-DailyNov!CA16-DailyONov!CB16-DailyNov!CC16-DailyNov!CD16-DailyNov!CF16-DailyNov!CE16,"-")</f>
    </nc>
  </rcc>
  <rcc rId="2608" sId="21">
    <oc r="II55">
      <f>IFERROR(DailyNov!BX16+DailyNov!BY16-DailyNov!BZ16-DailyNov!CA16-DailyONov!CB16-DailyNov!CC16-DailyOct!CD16-DailyNov!CF16-DailyNov!CE16,"-")</f>
    </oc>
    <nc r="II55">
      <f>IFERROR(DailyNov!BX17+DailyNov!BY17-DailyNov!BZ17-DailyNov!CA17-DailyONov!CB17-DailyNov!CC17-DailyNov!CD17-DailyNov!CF17-DailyNov!CE17,"-")</f>
    </nc>
  </rcc>
  <rcc rId="2609" sId="21">
    <oc r="II56">
      <f>IFERROR(DailyNov!BX17+DailyNov!BY17-DailyNov!BZ17-DailyNov!CA17-DailyONov!CB17-DailyNov!CC17-DailyOct!CD17-DailyNov!CF17-DailyNov!CE17,"-")</f>
    </oc>
    <nc r="II56">
      <f>IFERROR(DailyNov!BX18+DailyNov!BY18-DailyNov!BZ18-DailyNov!CA18-DailyONov!CB18-DailyNov!CC18-DailyNov!CD18-DailyNov!CF18-DailyNov!CE18,"-")</f>
    </nc>
  </rcc>
  <rcc rId="2610" sId="21">
    <oc r="II57">
      <f>IFERROR(DailyNov!BX18+DailyNov!BY18-DailyNov!BZ18-DailyNov!CA18-DailyONov!CB18-DailyNov!CC18-DailyOct!CD18-DailyNov!CF18-DailyNov!CE18,"-")</f>
    </oc>
    <nc r="II57">
      <f>IFERROR(DailyNov!BX19+DailyNov!BY19-DailyNov!BZ19-DailyNov!CA19-DailyONov!CB19-DailyNov!CC19-DailyNov!CD19-DailyNov!CF19-DailyNov!CE19,"-")</f>
    </nc>
  </rcc>
  <rcc rId="2611" sId="21">
    <oc r="II58">
      <f>IFERROR(DailyNov!BX19+DailyNov!BY19-DailyNov!BZ19-DailyNov!CA19-DailyONov!CB19-DailyNov!CC19-DailyOct!CD19-DailyNov!CF19-DailyNov!CE19,"-")</f>
    </oc>
    <nc r="II58">
      <f>IFERROR(DailyNov!BX20+DailyNov!BY20-DailyNov!BZ20-DailyNov!CA20-DailyONov!CB20-DailyNov!CC20-DailyNov!CD20-DailyNov!CF20-DailyNov!CE20,"-")</f>
    </nc>
  </rcc>
  <rcc rId="2612" sId="21">
    <oc r="II59">
      <f>IFERROR(DailyNov!BX20+DailyNov!BY20-DailyNov!BZ20-DailyNov!CA20-DailyONov!CB20-DailyNov!CC20-DailyOct!CD20-DailyNov!CF20-DailyNov!CE20,"-")</f>
    </oc>
    <nc r="II59">
      <f>IFERROR(DailyNov!BX21+DailyNov!BY21-DailyNov!BZ21-DailyNov!CA21-DailyONov!CB21-DailyNov!CC21-DailyNov!CD21-DailyNov!CF21-DailyNov!CE21,"-")</f>
    </nc>
  </rcc>
  <rcc rId="2613" sId="21">
    <oc r="II60">
      <f>IFERROR(DailyNov!BX21+DailyNov!BY21-DailyNov!BZ21-DailyNov!CA21-DailyONov!CB21-DailyNov!CC21-DailyOct!CD21-DailyNov!CF21-DailyNov!CE21,"-")</f>
    </oc>
    <nc r="II60">
      <f>IFERROR(DailyNov!BX22+DailyNov!BY22-DailyNov!BZ22-DailyNov!CA22-DailyONov!CB22-DailyNov!CC22-DailyNov!CD22-DailyNov!CF22-DailyNov!CE22,"-")</f>
    </nc>
  </rcc>
  <rcc rId="2614" sId="21">
    <oc r="II61">
      <f>IFERROR(DailyNov!BX22+DailyNov!BY22-DailyNov!BZ22-DailyNov!CA22-DailyONov!CB22-DailyNov!CC22-DailyOct!CD22-DailyNov!CF22-DailyNov!CE22,"-")</f>
    </oc>
    <nc r="II61">
      <f>IFERROR(DailyNov!BX23+DailyNov!BY23-DailyNov!BZ23-DailyNov!CA23-DailyONov!CB23-DailyNov!CC23-DailyNov!CD23-DailyNov!CF23-DailyNov!CE23,"-")</f>
    </nc>
  </rcc>
  <rcc rId="2615" sId="21">
    <oc r="II62">
      <f>IFERROR(DailyNov!BX23+DailyNov!BY23-DailyNov!BZ23-DailyNov!CA23-DailyONov!CB23-DailyNov!CC23-DailyOct!CD23-DailyNov!CF23-DailyNov!CE23,"-")</f>
    </oc>
    <nc r="II62">
      <f>IFERROR(DailyNov!BX24+DailyNov!BY24-DailyNov!BZ24-DailyNov!CA24-DailyONov!CB24-DailyNov!CC24-DailyNov!CD24-DailyNov!CF24-DailyNov!CE24,"-")</f>
    </nc>
  </rcc>
  <rcc rId="2616" sId="21">
    <oc r="II63">
      <f>IFERROR(DailyNov!BX24+DailyNov!BY24-DailyNov!BZ24-DailyNov!CA24-DailyONov!CB24-DailyNov!CC24-DailyOct!CD24-DailyNov!CF24-DailyNov!CE24,"-")</f>
    </oc>
    <nc r="II63">
      <f>IFERROR(DailyNov!BX25+DailyNov!BY25-DailyNov!BZ25-DailyNov!CA25-DailyONov!CB25-DailyNov!CC25-DailyNov!CD25-DailyNov!CF25-DailyNov!CE25,"-")</f>
    </nc>
  </rcc>
  <rcc rId="2617" sId="21">
    <oc r="II64">
      <f>IFERROR(DailyNov!BX25+DailyNov!BY25-DailyNov!BZ25-DailyNov!CA25-DailyONov!CB25-DailyNov!CC25-DailyOct!CD25-DailyNov!CF25-DailyNov!CE25,"-")</f>
    </oc>
    <nc r="II64">
      <f>IFERROR(DailyNov!BX26+DailyNov!BY26-DailyNov!BZ26-DailyNov!CA26-DailyONov!CB26-DailyNov!CC26-DailyNov!CD26-DailyNov!CF26-DailyNov!CE26,"-")</f>
    </nc>
  </rcc>
  <rcc rId="2618" sId="21">
    <oc r="II65">
      <f>IFERROR(DailyNov!BX26+DailyNov!BY26-DailyNov!BZ26-DailyNov!CA26-DailyONov!CB26-DailyNov!CC26-DailyOct!CD26-DailyNov!CF26-DailyNov!CE26,"-")</f>
    </oc>
    <nc r="II65">
      <f>IFERROR(DailyNov!BX27+DailyNov!BY27-DailyNov!BZ27-DailyNov!CA27-DailyONov!CB27-DailyNov!CC27-DailyNov!CD27-DailyNov!CF27-DailyNov!CE27,"-")</f>
    </nc>
  </rcc>
  <rcc rId="2619" sId="21">
    <oc r="II66">
      <f>IFERROR(DailyNov!BX27+DailyNov!BY27-DailyNov!BZ27-DailyNov!CA27-DailyONov!CB27-DailyNov!CC27-DailyOct!CD27-DailyNov!CF27-DailyNov!CE27,"-")</f>
    </oc>
    <nc r="II66">
      <f>IFERROR(DailyNov!BX28+DailyNov!BY28-DailyNov!BZ28-DailyNov!CA28-DailyONov!CB28-DailyNov!CC28-DailyNov!CD28-DailyNov!CF28-DailyNov!CE28,"-")</f>
    </nc>
  </rcc>
  <rcc rId="2620" sId="21">
    <oc r="II67">
      <f>IFERROR(DailyNov!BX28+DailyNov!BY28-DailyNov!BZ28-DailyNov!CA28-DailyONov!CB28-DailyNov!CC28-DailyOct!CD28-DailyNov!CF28-DailyNov!CE28,"-")</f>
    </oc>
    <nc r="II67">
      <f>IFERROR(DailyNov!BX29+DailyNov!BY29-DailyNov!BZ29-DailyNov!CA29-DailyONov!CB29-DailyNov!CC29-DailyNov!CD29-DailyNov!CF29-DailyNov!CE29,"-")</f>
    </nc>
  </rcc>
  <rcc rId="2621" sId="21">
    <oc r="II68">
      <f>IFERROR(DailyNov!BX29+DailyNov!BY29-DailyNov!BZ29-DailyNov!CA29-DailyONov!CB29-DailyNov!CC29-DailyOct!CD29-DailyNov!CF29-DailyNov!CE29,"-")</f>
    </oc>
    <nc r="II68">
      <f>IFERROR(DailyNov!BX30+DailyNov!BY30-DailyNov!BZ30-DailyNov!CA30-DailyONov!CB30-DailyNov!CC30-DailyNov!CD30-DailyNov!CF30-DailyNov!CE30,"-")</f>
    </nc>
  </rcc>
  <rcc rId="2622" sId="21">
    <oc r="II69">
      <f>IFERROR(DailyNov!BX30+DailyNov!BY30-DailyNov!BZ30-DailyNov!CA30-DailyONov!CB30-DailyNov!CC30-DailyOct!CD30-DailyNov!CF30-DailyNov!CE30,"-")</f>
    </oc>
    <nc r="II69">
      <f>IFERROR(DailyNov!BX31+DailyNov!BY31-DailyNov!BZ31-DailyNov!CA31-DailyONov!CB31-DailyNov!CC31-DailyNov!CD31-DailyNov!CF31-DailyNov!CE31,"-")</f>
    </nc>
  </rcc>
  <rcc rId="2623" sId="21">
    <oc r="II70">
      <f>IFERROR(DailyNov!BX31+DailyNov!BY31-DailyNov!BZ31-DailyNov!CA31-DailyONov!CB31-DailyNov!CC31-DailyOct!CD31-DailyNov!CF31-DailyNov!CE31,"-")</f>
    </oc>
    <nc r="II70">
      <f>IFERROR(DailyNov!BX32+DailyNov!BY32-DailyNov!BZ32-DailyNov!CA32-DailyONov!CB32-DailyNov!CC32-DailyNov!CD32-DailyNov!CF32-DailyNov!CE32,"-")</f>
    </nc>
  </rcc>
  <rcc rId="2624" sId="21">
    <oc r="II71">
      <f>IFERROR(DailyNov!BX32+DailyNov!BY32-DailyNov!BZ32-DailyNov!CA32-DailyONov!CB32-DailyNov!CC32-DailyOct!CD32-DailyNov!CF32-DailyNov!CE32,"-")</f>
    </oc>
    <nc r="II71">
      <f>IFERROR(DailyNov!BX33+DailyNov!BY33-DailyNov!BZ33-DailyNov!CA33-DailyONov!CB33-DailyNov!CC33-DailyNov!CD33-DailyNov!CF33-DailyNov!CE33,"-")</f>
    </nc>
  </rcc>
  <rcc rId="2625" sId="21">
    <oc r="II72">
      <f>IFERROR(DailyNov!BX33+DailyNov!BY33-DailyNov!BZ33-DailyNov!CA33-DailyONov!CB33-DailyNov!CC33-DailyOct!CD33-DailyNov!CF33-DailyNov!CE33,"-")</f>
    </oc>
    <nc r="II72">
      <f>IFERROR(DailyNov!BX34+DailyNov!BY34-DailyNov!BZ34-DailyNov!CA34-DailyONov!CB34-DailyNov!CC34-DailyNov!CD34-DailyNov!CF34-DailyNov!CE34,"-")</f>
    </nc>
  </rcc>
  <rcc rId="2626" sId="21">
    <oc r="II73">
      <f>IFERROR(DailyNov!BX34+DailyNov!BY34-DailyNov!BZ34-DailyNov!CA34-DailyONov!CB34-DailyNov!CC34-DailyOct!CD34-DailyNov!CF34-DailyNov!CE34,"-")</f>
    </oc>
    <nc r="II73">
      <f>IFERROR(DailyNov!BX35+DailyNov!BY35-DailyNov!BZ35-DailyNov!CA35-DailyONov!CB35-DailyNov!CC35-DailyNov!CD35-DailyNov!CF35-DailyNov!CE35,"-")</f>
    </nc>
  </rcc>
  <rcc rId="2627" sId="21">
    <oc r="II74">
      <f>IFERROR(DailyNov!BX35+DailyNov!BY35-DailyNov!BZ35-DailyNov!CA35-DailyONov!CB35-DailyNov!CC35-DailyOct!CD35-DailyNov!CF35-DailyNov!CE35,"-")</f>
    </oc>
    <nc r="II74">
      <f>IFERROR(DailyNov!BX36+DailyNov!BY36-DailyNov!BZ36-DailyNov!CA36-DailyONov!CB36-DailyNov!CC36-DailyNov!CD36-DailyNov!CF36-DailyNov!CE36,"-")</f>
    </nc>
  </rcc>
  <rcc rId="2628" sId="21">
    <oc r="II75">
      <f>IFERROR(DailyNov!BX36+DailyNov!BY36-DailyNov!BZ36-DailyNov!CA36-DailyONov!CB36-DailyNov!CC36-DailyOct!CD36-DailyNov!CF36-DailyNov!CE36,"-")</f>
    </oc>
    <nc r="II75">
      <f>IFERROR(DailyNov!BX37+DailyNov!BY37-DailyNov!BZ37-DailyNov!CA37-DailyONov!CB37-DailyNov!CC37-DailyNov!CD37-DailyNov!CF37-DailyNov!CE37,"-")</f>
    </nc>
  </rcc>
  <rcc rId="2629" sId="21">
    <oc r="GW8">
      <f>GV8/15</f>
    </oc>
    <nc r="GW8">
      <f>GV8/15</f>
    </nc>
  </rcc>
  <rfmt sheetId="21" sqref="CM8">
    <dxf>
      <fill>
        <patternFill>
          <bgColor theme="2"/>
        </patternFill>
      </fill>
    </dxf>
  </rfmt>
  <rcc rId="2630" sId="21">
    <oc r="II46">
      <f>IFERROR(DailyNov!BX7+DailyNov!BY7-DailyNov!BZ7-DailyNov!CA7-DailyONov!CB7-DailyNov!CC7-DailyOct!CD7-DailyNov!CF7-DailyNov!CE7,"-")</f>
    </oc>
    <nc r="II46">
      <f>(DailyNov!BX8+DailyNov!BY8-DailyNov!BZ8-DailyNov!CA8-DailyNov!CB8-DailyNov!CC8-DailyNov!CD8-DailyNov!CF8-DailyNov!CE8)</f>
    </nc>
  </rcc>
  <rcc rId="2631" sId="21" numFmtId="4">
    <oc r="GP8">
      <v>0</v>
    </oc>
    <nc r="GP8">
      <f>IF((GN8-GN7)&lt;=0,0,(GN8-GN7))</f>
    </nc>
  </rcc>
  <rcc rId="2632" sId="22">
    <oc r="BL7">
      <f>+AS7</f>
    </oc>
    <nc r="BL7">
      <f>+AS7*0.52</f>
    </nc>
  </rcc>
  <rcc rId="2633" sId="22">
    <nc r="BM7">
      <f>(AS7-BL7)</f>
    </nc>
  </rcc>
  <rcc rId="2634" sId="22">
    <nc r="BM8">
      <f>(AS8-BL8)</f>
    </nc>
  </rcc>
  <rfmt sheetId="22" sqref="BV7" start="0" length="0">
    <dxf>
      <fill>
        <patternFill patternType="solid">
          <bgColor rgb="FFFFFF00"/>
        </patternFill>
      </fill>
    </dxf>
  </rfmt>
  <rfmt sheetId="22" sqref="BV8" start="0" length="0">
    <dxf>
      <fill>
        <patternFill patternType="solid">
          <bgColor rgb="FFFFFF00"/>
        </patternFill>
      </fill>
    </dxf>
  </rfmt>
  <rcc rId="2635" sId="22">
    <oc r="BV8" t="inlineStr">
      <is>
        <t>DIP1 STOP; DIP2 PM 12; WPL Stop</t>
      </is>
    </oc>
    <nc r="BV8"/>
  </rcc>
  <rcc rId="2636" sId="22">
    <oc r="BV9" t="inlineStr">
      <is>
        <t>DIP1 STOP; DIP2 PM 12 53%, PM 15 47%; WPL Stop</t>
      </is>
    </oc>
    <nc r="BV9"/>
  </rcc>
  <rcc rId="2637" sId="22">
    <oc r="BV10" t="inlineStr">
      <is>
        <t>DIP1 STOP; DIP2 PM 12 49%, PM 15 51%; WPL Stop</t>
      </is>
    </oc>
    <nc r="BV10"/>
  </rcc>
  <rcc rId="2638" sId="22">
    <oc r="BV11" t="inlineStr">
      <is>
        <t>DIP1 STOP; DIP2 PM 12 54%, PM 15 46%; WPL Stop</t>
      </is>
    </oc>
    <nc r="BV11"/>
  </rcc>
  <rcc rId="2639" sId="22">
    <oc r="BV12" t="inlineStr">
      <is>
        <t>DIP1 STOP; DIP2 PM 12 60%, PM 15 40%; WPL Stop</t>
      </is>
    </oc>
    <nc r="BV12"/>
  </rcc>
  <rcc rId="2640" sId="22">
    <oc r="BV13" t="inlineStr">
      <is>
        <t>DIP1 STOP; DIP2 PM 12 66%, PM 15 34%; WPL Stop</t>
      </is>
    </oc>
    <nc r="BV13"/>
  </rcc>
  <rcc rId="2641" sId="22">
    <oc r="BV14" t="inlineStr">
      <is>
        <t>DIP1 STOP; DIP2 PM 12 56%, PM 15 44%; WPL Stop</t>
      </is>
    </oc>
    <nc r="BV14"/>
  </rcc>
  <rcc rId="2642" sId="22">
    <oc r="BV15" t="inlineStr">
      <is>
        <t>DIP1 STOP; DIP2 PM 12 67%, PM 15 33%; WPL Stop</t>
      </is>
    </oc>
    <nc r="BV15"/>
  </rcc>
  <rfmt sheetId="22" sqref="BV8" start="0" length="0">
    <dxf>
      <border>
        <top style="thin">
          <color indexed="64"/>
        </top>
      </border>
    </dxf>
  </rfmt>
  <rfmt sheetId="22" sqref="BV8:BV38" start="0" length="0">
    <dxf>
      <border>
        <right style="thin">
          <color indexed="64"/>
        </right>
      </border>
    </dxf>
  </rfmt>
  <rfmt sheetId="22" sqref="BV38" start="0" length="0">
    <dxf>
      <border>
        <bottom style="thin">
          <color indexed="64"/>
        </bottom>
      </border>
    </dxf>
  </rfmt>
  <rfmt sheetId="22" sqref="BV8:BV3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2643" sId="22">
    <oc r="BV7" t="inlineStr">
      <is>
        <t>DIP1 STOP; DIP2 STOP; WPL Stop</t>
      </is>
    </oc>
    <nc r="BV7" t="inlineStr">
      <is>
        <t>DIP1 STOP; DIP2 PM 12 52%, PM 15 48%; WPL Stop</t>
      </is>
    </nc>
  </rcc>
  <rfmt sheetId="22" sqref="BV7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2" sqref="BV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32ABFE17-599B-4D0B-A1DB-D95B181877FC}" action="delete"/>
  <rdn rId="0" localSheetId="1" customView="1" name="Z_32ABFE17_599B_4D0B_A1DB_D95B181877FC_.wvu.Cols" hidden="1" oldHidden="1">
    <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formula>
    <old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oldFormula>
  </rdn>
  <rdn rId="0" localSheetId="2" customView="1" name="Z_32ABFE17_599B_4D0B_A1DB_D95B181877FC_.wvu.Cols" hidden="1" oldHidden="1">
    <formula>DailyJan!$D:$M,DailyJan!$W:$X,DailyJan!$AH:$AJ,DailyJan!$AL:$AN,DailyJan!$AP:$AR,DailyJan!$AT:$AX,DailyJan!$AZ:$BC,DailyJan!$BX:$BY</formula>
    <oldFormula>DailyJan!$D:$M,DailyJan!$W:$X,DailyJan!$AH:$AJ,DailyJan!$AL:$AN,DailyJan!$AP:$AR,DailyJan!$AT:$AX,DailyJan!$AZ:$BC,DailyJan!$BX:$BY</oldFormula>
  </rdn>
  <rdn rId="0" localSheetId="3" customView="1" name="Z_32ABFE17_599B_4D0B_A1DB_D95B181877FC_.wvu.Rows" hidden="1" oldHidden="1">
    <formula>Feb!$36:$38</formula>
    <oldFormula>Feb!$36:$38</oldFormula>
  </rdn>
  <rdn rId="0" localSheetId="3" customView="1" name="Z_32ABFE17_599B_4D0B_A1DB_D95B181877FC_.wvu.Cols" hidden="1" oldHidden="1">
    <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formula>
    <old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oldFormula>
  </rdn>
  <rdn rId="0" localSheetId="4" customView="1" name="Z_32ABFE17_599B_4D0B_A1DB_D95B181877FC_.wvu.Rows" hidden="1" oldHidden="1">
    <formula>DailyFeb!$35:$37</formula>
    <oldFormula>DailyFeb!$35:$37</oldFormula>
  </rdn>
  <rdn rId="0" localSheetId="4" customView="1" name="Z_32ABFE17_599B_4D0B_A1DB_D95B181877FC_.wvu.Cols" hidden="1" oldHidden="1">
    <formula>DailyFeb!$D:$M,DailyFeb!$W:$X,DailyFeb!$AH:$AJ,DailyFeb!$AL:$AN,DailyFeb!$AP:$AR</formula>
    <oldFormula>DailyFeb!$D:$M,DailyFeb!$W:$X,DailyFeb!$AH:$AJ,DailyFeb!$AL:$AN,DailyFeb!$AP:$AR</oldFormula>
  </rdn>
  <rdn rId="0" localSheetId="5" customView="1" name="Z_32ABFE17_599B_4D0B_A1DB_D95B181877FC_.wvu.Cols" hidden="1" oldHidden="1">
    <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formula>
    <old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oldFormula>
  </rdn>
  <rdn rId="0" localSheetId="6" customView="1" name="Z_32ABFE17_599B_4D0B_A1DB_D95B181877FC_.wvu.Cols" hidden="1" oldHidden="1">
    <formula>DailyMar!$D:$M,DailyMar!$O:$U,DailyMar!$W:$X,DailyMar!$AH:$AJ,DailyMar!$AL:$AN,DailyMar!$AP:$AR,DailyMar!$AT:$AX,DailyMar!$AZ:$BC,DailyMar!$BE:$BF,DailyMar!$BV:$CC</formula>
    <oldFormula>DailyMar!$D:$M,DailyMar!$O:$U,DailyMar!$W:$X,DailyMar!$AH:$AJ,DailyMar!$AL:$AN,DailyMar!$AP:$AR,DailyMar!$AT:$AX,DailyMar!$AZ:$BC,DailyMar!$BE:$BF,DailyMar!$BV:$CC</oldFormula>
  </rdn>
  <rdn rId="0" localSheetId="7" customView="1" name="Z_32ABFE17_599B_4D0B_A1DB_D95B181877FC_.wvu.Rows" hidden="1" oldHidden="1">
    <formula>Apr!$38:$38</formula>
    <oldFormula>Apr!$38:$38</oldFormula>
  </rdn>
  <rdn rId="0" localSheetId="7" customView="1" name="Z_32ABFE17_599B_4D0B_A1DB_D95B181877FC_.wvu.Cols" hidden="1" oldHidden="1">
    <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formula>
    <old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oldFormula>
  </rdn>
  <rdn rId="0" localSheetId="8" customView="1" name="Z_32ABFE17_599B_4D0B_A1DB_D95B181877FC_.wvu.Rows" hidden="1" oldHidden="1">
    <formula>DailyApr!$37:$37</formula>
    <oldFormula>DailyApr!$37:$37</oldFormula>
  </rdn>
  <rdn rId="0" localSheetId="8" customView="1" name="Z_32ABFE17_599B_4D0B_A1DB_D95B181877FC_.wvu.Cols" hidden="1" oldHidden="1">
    <formula>DailyApr!$D:$M,DailyApr!$O:$U,DailyApr!$W:$X,DailyApr!$AH:$AJ,DailyApr!$AL:$AN,DailyApr!$AP:$AR,DailyApr!$AT:$AX,DailyApr!$AZ:$BC,DailyApr!$BE:$BF,DailyApr!$BV:$CG</formula>
    <oldFormula>DailyApr!$D:$M,DailyApr!$O:$U,DailyApr!$W:$X,DailyApr!$AH:$AJ,DailyApr!$AL:$AN,DailyApr!$AP:$AR,DailyApr!$AT:$AX,DailyApr!$AZ:$BC,DailyApr!$BE:$BF,DailyApr!$BV:$CG</oldFormula>
  </rdn>
  <rdn rId="0" localSheetId="9" customView="1" name="Z_32ABFE17_599B_4D0B_A1DB_D95B181877FC_.wvu.Cols" hidden="1" oldHidden="1">
    <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formula>
    <old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oldFormula>
  </rdn>
  <rdn rId="0" localSheetId="10" customView="1" name="Z_32ABFE17_599B_4D0B_A1DB_D95B181877FC_.wvu.Cols" hidden="1" oldHidden="1">
    <formula>DailyMei!$D:$M,DailyMei!$O:$U,DailyMei!$W:$X,DailyMei!$AH:$AJ,DailyMei!$AL:$AN,DailyMei!$AP:$AR,DailyMei!$AT:$AX,DailyMei!$AZ:$BC,DailyMei!$BE:$BF,DailyMei!$BV:$CK</formula>
    <oldFormula>DailyMei!$D:$M,DailyMei!$O:$U,DailyMei!$W:$X,DailyMei!$AH:$AJ,DailyMei!$AL:$AN,DailyMei!$AP:$AR,DailyMei!$AT:$AX,DailyMei!$AZ:$BC,DailyMei!$BE:$BF,DailyMei!$BV:$CK</oldFormula>
  </rdn>
  <rdn rId="0" localSheetId="11" customView="1" name="Z_32ABFE17_599B_4D0B_A1DB_D95B181877FC_.wvu.Cols" hidden="1" oldHidden="1">
    <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formula>
    <old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oldFormula>
  </rdn>
  <rdn rId="0" localSheetId="12" customView="1" name="Z_32ABFE17_599B_4D0B_A1DB_D95B181877FC_.wvu.Rows" hidden="1" oldHidden="1">
    <formula>DailyJun!$37:$37</formula>
    <oldFormula>DailyJun!$37:$37</oldFormula>
  </rdn>
  <rdn rId="0" localSheetId="12" customView="1" name="Z_32ABFE17_599B_4D0B_A1DB_D95B181877FC_.wvu.Cols" hidden="1" oldHidden="1">
    <formula>DailyJun!$D:$M,DailyJun!$O:$U,DailyJun!$W:$X,DailyJun!$AH:$AJ,DailyJun!$AL:$AN,DailyJun!$AP:$AR,DailyJun!$AT:$AX,DailyJun!$AZ:$BC,DailyJun!$BE:$BF,DailyJun!$BV:$CI</formula>
    <oldFormula>DailyJun!$D:$M,DailyJun!$O:$U,DailyJun!$W:$X,DailyJun!$AH:$AJ,DailyJun!$AL:$AN,DailyJun!$AP:$AR,DailyJun!$AT:$AX,DailyJun!$AZ:$BC,DailyJun!$BE:$BF,DailyJun!$BV:$CI</oldFormula>
  </rdn>
  <rdn rId="0" localSheetId="13" customView="1" name="Z_32ABFE17_599B_4D0B_A1DB_D95B181877FC_.wvu.Cols" hidden="1" oldHidden="1">
    <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formula>
    <old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oldFormula>
  </rdn>
  <rdn rId="0" localSheetId="14" customView="1" name="Z_32ABFE17_599B_4D0B_A1DB_D95B181877FC_.wvu.Cols" hidden="1" oldHidden="1">
    <formula>DailyJul!$D:$M,DailyJul!$O:$U,DailyJul!$W:$X,DailyJul!$AH:$AJ,DailyJul!$AL:$AN,DailyJul!$AP:$AR,DailyJul!$AT:$AX,DailyJul!$AZ:$BC,DailyJul!$BE:$BF</formula>
    <oldFormula>DailyJul!$D:$M,DailyJul!$O:$U,DailyJul!$W:$X,DailyJul!$AH:$AJ,DailyJul!$AL:$AN,DailyJul!$AP:$AR,DailyJul!$AT:$AX,DailyJul!$AZ:$BC,DailyJul!$BE:$BF</oldFormula>
  </rdn>
  <rdn rId="0" localSheetId="15" customView="1" name="Z_32ABFE17_599B_4D0B_A1DB_D95B181877FC_.wvu.Cols" hidden="1" oldHidden="1">
    <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formula>
    <old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oldFormula>
  </rdn>
  <rdn rId="0" localSheetId="16" customView="1" name="Z_32ABFE17_599B_4D0B_A1DB_D95B181877FC_.wvu.PrintArea" hidden="1" oldHidden="1">
    <formula>DailyAug!$A$1:$BU$69</formula>
    <oldFormula>DailyAug!$A$1:$BU$69</oldFormula>
  </rdn>
  <rdn rId="0" localSheetId="17" customView="1" name="Z_32ABFE17_599B_4D0B_A1DB_D95B181877FC_.wvu.Cols" hidden="1" oldHidden="1">
    <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formula>
    <old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oldFormula>
  </rdn>
  <rdn rId="0" localSheetId="19" customView="1" name="Z_32ABFE17_599B_4D0B_A1DB_D95B181877FC_.wvu.Cols" hidden="1" oldHidden="1">
    <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formula>
    <old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oldFormula>
  </rdn>
  <rdn rId="0" localSheetId="21" customView="1" name="Z_32ABFE17_599B_4D0B_A1DB_D95B181877FC_.wvu.Cols" hidden="1" oldHidden="1">
    <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formula>
    <old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oldFormula>
  </rdn>
  <rcv guid="{32ABFE17-599B-4D0B-A1DB-D95B181877FC}" action="add"/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8" sId="19">
    <nc r="A38">
      <v>1</v>
    </nc>
  </rcc>
  <rcc rId="2669" sId="19" numFmtId="4">
    <nc r="B38">
      <v>6024.87</v>
    </nc>
  </rcc>
  <rcc rId="2670" sId="19">
    <nc r="C38">
      <f>IF((B38-B37)&lt;=0,0,(B38-B37))</f>
    </nc>
  </rcc>
  <rcc rId="2671" sId="19">
    <nc r="D38">
      <f>IF((B38-B37)*32000&lt;=0,0,(B38-B37)*32000)</f>
    </nc>
  </rcc>
  <rcc rId="2672" sId="19" numFmtId="4">
    <nc r="E38">
      <v>1206.6099999999999</v>
    </nc>
  </rcc>
  <rcc rId="2673" sId="19">
    <nc r="F38">
      <f>IF((E38-E37)*32000&lt;=0,0,(E38-E37)*32000)</f>
    </nc>
  </rcc>
  <rcc rId="2674" sId="19">
    <nc r="G38">
      <f>D38+F38</f>
    </nc>
  </rcc>
  <rcc rId="2675" sId="19">
    <nc r="K38">
      <f>IF(J38&lt;=0,0,(J38/SQRT(J38^2+(I38-I37)^2)))</f>
    </nc>
  </rcc>
  <rcc rId="2676" sId="19" numFmtId="4">
    <nc r="L38">
      <v>19737900</v>
    </nc>
  </rcc>
  <rcc rId="2677" sId="19">
    <nc r="N38">
      <f>IF((L38-L37)&lt;=0,0,(L38-L37)*10)</f>
    </nc>
  </rcc>
  <rcc rId="2678" sId="19" numFmtId="4">
    <nc r="O38">
      <v>13809.3</v>
    </nc>
  </rcc>
  <rcc rId="2679" sId="19">
    <nc r="Q38">
      <f>IF((O38-O37)&lt;=0,0,(O38-O37))*1000</f>
    </nc>
  </rcc>
  <rcc rId="2680" sId="19">
    <nc r="R38">
      <f>IF(Q38&lt;=0,0,(Q38/SQRT(Q38^2+(P38-P37)^2)))</f>
    </nc>
  </rcc>
  <rcc rId="2681" sId="19" numFmtId="4">
    <nc r="S38">
      <v>11280369.75</v>
    </nc>
  </rcc>
  <rcc rId="2682" sId="19">
    <nc r="T38">
      <f>IF((S38-S37)&lt;=0,0,(S38-S37))</f>
    </nc>
  </rcc>
  <rcc rId="2683" sId="19" numFmtId="4">
    <nc r="U38">
      <v>1523792.57</v>
    </nc>
  </rcc>
  <rcc rId="2684" sId="19">
    <nc r="V38">
      <f>IF((U38-U37)&lt;=0,0,(U38-U37))</f>
    </nc>
  </rcc>
  <rcc rId="2685" sId="19" numFmtId="4">
    <nc r="W38">
      <v>4953.2</v>
    </nc>
  </rcc>
  <rcc rId="2686" sId="19">
    <nc r="X38">
      <f>Q38-T38-V38-AB38</f>
    </nc>
  </rcc>
  <rcc rId="2687" sId="19" numFmtId="4">
    <nc r="AA38">
      <v>929000</v>
    </nc>
  </rcc>
  <rcc rId="2688" sId="19">
    <nc r="AB38">
      <f>IF((AA38-AA37)&lt;=0,0,(AA38-AA37))</f>
    </nc>
  </rcc>
  <rcc rId="2689" sId="19" numFmtId="4">
    <nc r="AC38">
      <v>5115.8</v>
    </nc>
  </rcc>
  <rcc rId="2690" sId="19">
    <nc r="AE38">
      <f>IF((AC38-AC37)&lt;=0,0,(AC38-AC37))*1000</f>
    </nc>
  </rcc>
  <rcc rId="2691" sId="19">
    <nc r="AF38">
      <f>IF(AE38&lt;=0,0,(AE38/SQRT(AE38^2+(AD38-AD37)^2)))</f>
    </nc>
  </rcc>
  <rcc rId="2692" sId="19" numFmtId="4">
    <nc r="AG38">
      <v>11131.5</v>
    </nc>
  </rcc>
  <rcc rId="2693" sId="19">
    <nc r="AI38">
      <f>IF((AG38-AG37)&lt;=0,0,(AG38-AG37))*1000+GX38</f>
    </nc>
  </rcc>
  <rcc rId="2694" sId="19">
    <nc r="AJ38">
      <f>IF(AI38&lt;=0,0,(AI38/SQRT(AI38^2+(AH38-AH37)^2)))</f>
    </nc>
  </rcc>
  <rcc rId="2695" sId="19">
    <nc r="AK38">
      <f>T38+V38+X38+AE38+AI38</f>
    </nc>
  </rcc>
  <rcc rId="2696" sId="19" numFmtId="4">
    <nc r="AL38">
      <v>12690</v>
    </nc>
  </rcc>
  <rcc rId="2697" sId="19">
    <nc r="AN38">
      <f>IF((AL38-AL37)&lt;=0,0,(AL38-AL37))*1000+GX38-BL38-BN38-BP38-BR38</f>
    </nc>
  </rcc>
  <rcc rId="2698" sId="19">
    <nc r="AO38">
      <f>IF(AN38&lt;=0,0,(AN38/SQRT(AN38^2+(AM38-AM37)^2)))</f>
    </nc>
  </rcc>
  <rcc rId="2699" sId="19" numFmtId="4">
    <nc r="AP38">
      <v>10057.1</v>
    </nc>
  </rcc>
  <rcc rId="2700" sId="19">
    <nc r="AR38">
      <f>IF((AP38-AP37)&lt;=0,0,(AP38-AP37))*1000</f>
    </nc>
  </rcc>
  <rcc rId="2701" sId="19">
    <nc r="AS38">
      <f>IF(AR38&lt;=0,0,(AR38/SQRT(AR38^2+(AQ38-AQ37)^2)))</f>
    </nc>
  </rcc>
  <rcc rId="2702" sId="19" numFmtId="4">
    <nc r="AX38">
      <v>548330</v>
    </nc>
  </rcc>
  <rcc rId="2703" sId="19">
    <nc r="AZ38">
      <f>IF((AX38-AX37)&lt;=0,0,(AX38-AX37))</f>
    </nc>
  </rcc>
  <rcc rId="2704" sId="19" numFmtId="4">
    <nc r="BA38">
      <v>244800</v>
    </nc>
  </rcc>
  <rcc rId="2705" sId="19">
    <nc r="BC38">
      <f>IF((BA38-BA37)&lt;=0,0,(BA38-BA37))</f>
    </nc>
  </rcc>
  <rcc rId="2706" sId="19">
    <nc r="BD38">
      <f>AN38+AR38+AZ38+BC38</f>
    </nc>
  </rcc>
  <rcc rId="2707" sId="19" numFmtId="4">
    <nc r="BE38">
      <v>2177.4</v>
    </nc>
  </rcc>
  <rcc rId="2708" sId="19" numFmtId="4">
    <nc r="BF38">
      <v>1229.7</v>
    </nc>
  </rcc>
  <rcc rId="2709" sId="19">
    <nc r="BG38">
      <f>IF((BE38-BE37)&lt;=0,0,(BE38-BE37))*1000</f>
    </nc>
  </rcc>
  <rcc rId="2710" sId="19" numFmtId="4">
    <nc r="BH38">
      <v>10385</v>
    </nc>
  </rcc>
  <rcc rId="2711" sId="19" numFmtId="4">
    <nc r="BI38">
      <v>6714.6</v>
    </nc>
  </rcc>
  <rcc rId="2712" sId="19">
    <nc r="BJ38">
      <f>IF((BH38-BH37)&lt;=0,0,(BH38-BH37))*1000</f>
    </nc>
  </rcc>
  <rcc rId="2713" sId="19" numFmtId="4">
    <nc r="BK38">
      <v>2226300</v>
    </nc>
  </rcc>
  <rcc rId="2714" sId="19">
    <nc r="BL38">
      <f>IF((BK38-BK37)&lt;=0,0,(BK38-BK37))</f>
    </nc>
  </rcc>
  <rcc rId="2715" sId="19" numFmtId="4">
    <nc r="BM38">
      <v>969.85</v>
    </nc>
  </rcc>
  <rcc rId="2716" sId="19">
    <nc r="BN38">
      <f>IF((BM38-BM37)&lt;=0,0,BM38-BM37)*1000</f>
    </nc>
  </rcc>
  <rcc rId="2717" sId="19" numFmtId="4">
    <nc r="BP38">
      <v>0</v>
    </nc>
  </rcc>
  <rcc rId="2718" sId="19" numFmtId="4">
    <nc r="BQ38">
      <v>924.4</v>
    </nc>
  </rcc>
  <rcc rId="2719" sId="19">
    <nc r="BR38">
      <f>IF((BQ38-BQ37)&lt;=0,0,(BQ38-BQ37))*1000</f>
    </nc>
  </rcc>
  <rcc rId="2720" sId="19" numFmtId="4">
    <nc r="BS38">
      <v>131355.32</v>
    </nc>
  </rcc>
  <rcc rId="2721" sId="19">
    <nc r="BT38">
      <f>IF((BS38-BS37)&lt;=0,0,(BS38-BS37))</f>
    </nc>
  </rcc>
  <rcc rId="2722" sId="19" numFmtId="4">
    <nc r="BU38">
      <v>3914299</v>
    </nc>
  </rcc>
  <rcc rId="2723" sId="19">
    <nc r="BW38">
      <f>IF((BU38-BU37)&lt;=0,0,(BU38-BU37))</f>
    </nc>
  </rcc>
  <rcc rId="2724" sId="19">
    <nc r="BX38">
      <f>IF(BW38&lt;=0,0,(BW38/SQRT(BW38^2+(BV38-BV37)^2)))</f>
    </nc>
  </rcc>
  <rcc rId="2725" sId="19" numFmtId="4">
    <nc r="BY38">
      <v>453.54399999999998</v>
    </nc>
  </rcc>
  <rcc rId="2726" sId="19">
    <nc r="CA38">
      <f>IF((BY38-BY37)&lt;=0,0,(BY38-BY37)*1000)</f>
    </nc>
  </rcc>
  <rcc rId="2727" sId="19">
    <nc r="CB38">
      <f>IF(CA38&lt;=0,0,(CA38/SQRT(CA38^2+(BZ38-BZ37)^2)))</f>
    </nc>
  </rcc>
  <rcc rId="2728" sId="19" numFmtId="4">
    <nc r="CC38">
      <v>866651.4</v>
    </nc>
  </rcc>
  <rcc rId="2729" sId="19">
    <nc r="CD38">
      <f>IF((CC38-CC37)&lt;=0,0,(CC38-CC37))</f>
    </nc>
  </rcc>
  <rcc rId="2730" sId="19" numFmtId="4">
    <nc r="CE38">
      <v>2033938</v>
    </nc>
  </rcc>
  <rcc rId="2731" sId="19">
    <nc r="CF38">
      <f>IF((CE38-CE37)&lt;=0,0,(CE38-CE37))</f>
    </nc>
  </rcc>
  <rcc rId="2732" sId="19" numFmtId="4">
    <nc r="CG38">
      <v>122991.9</v>
    </nc>
  </rcc>
  <rcc rId="2733" sId="19">
    <nc r="CH38">
      <f>IF((CG38-CG37)&lt;=0,0,(CG38-CG37))</f>
    </nc>
  </rcc>
  <rcc rId="2734" sId="19" numFmtId="4">
    <nc r="CI38">
      <v>15346.52</v>
    </nc>
  </rcc>
  <rcc rId="2735" sId="19">
    <nc r="CK38">
      <f>IF((CI38-CI37)*1000&lt;=0,0,(CI38-CI37)*1000)+GX38-CA38</f>
    </nc>
  </rcc>
  <rcc rId="2736" sId="19">
    <nc r="CL38">
      <f>IF(CK38&lt;=0,0,(CK38/SQRT(CK38^2+(CJ38-CJ37)^2)))</f>
    </nc>
  </rcc>
  <rcc rId="2737" sId="19">
    <nc r="CO38">
      <f>IF((CM38-CM37)&lt;=0,0,(CM38-CM37))*1000+GX38</f>
    </nc>
  </rcc>
  <rcc rId="2738" sId="19">
    <nc r="CP38">
      <f>IF(CO38&lt;=0,0,(CO38/SQRT(CO38^2+(CN38-CN37)^2)))</f>
    </nc>
  </rcc>
  <rcc rId="2739" sId="19">
    <nc r="CS38">
      <f>IF((CQ38-CQ37)&lt;=0,0,(CQ38-CQ37))+GX38</f>
    </nc>
  </rcc>
  <rcc rId="2740" sId="19">
    <nc r="CT38">
      <f>IF(CS38&lt;=0,0,(CS38/SQRT(CS38^2+(CR38-CR37)^2)))</f>
    </nc>
  </rcc>
  <rcc rId="2741" sId="19" numFmtId="4">
    <nc r="CU38">
      <v>5263871</v>
    </nc>
  </rcc>
  <rcc rId="2742" sId="19">
    <nc r="CW38">
      <f>IF((CU38-CU37)&lt;=0,0,(CU38-CU37))</f>
    </nc>
  </rcc>
  <rcc rId="2743" sId="19">
    <nc r="CX38">
      <f>IF(CW38&lt;=0,0,(CW38/SQRT(CW38^2+(CV38-CV37)^2)))</f>
    </nc>
  </rcc>
  <rcc rId="2744" sId="19" numFmtId="4">
    <nc r="CY38">
      <v>2824000</v>
    </nc>
  </rcc>
  <rcc rId="2745" sId="19">
    <nc r="DA38">
      <f>IF((CY38-CY37)&lt;=0,0,(CY38-CY37))</f>
    </nc>
  </rcc>
  <rcc rId="2746" sId="19">
    <nc r="DB38">
      <f>IF(DA38&lt;=0,0,(DA38/SQRT(DA38^2+(CZ38-CZ37)^2)))</f>
    </nc>
  </rcc>
  <rcc rId="2747" sId="19">
    <nc r="DE38">
      <f>IF((DC38-DC37)&lt;=0,0,(DC38-DC37))</f>
    </nc>
  </rcc>
  <rcc rId="2748" sId="19">
    <nc r="DF38">
      <f>IF(DE38&lt;=0,0,(DE38/SQRT(DE38^2+(DD38-DD37)^2)))</f>
    </nc>
  </rcc>
  <rcc rId="2749" sId="19">
    <nc r="DG38">
      <f>(DE38)-DA38-CW38-CS38-CO38-CK38-BW38</f>
    </nc>
  </rcc>
  <rcc rId="2750" sId="19">
    <nc r="DH38">
      <f>DE38+BG38+AK38+N38</f>
    </nc>
  </rcc>
  <rcc rId="2751" sId="19" numFmtId="4">
    <nc r="DQ38">
      <v>179510</v>
    </nc>
  </rcc>
  <rcc rId="2752" sId="19">
    <nc r="DR38">
      <f>IF((DQ38-DQ37)&lt;=0,0,(DQ38-DQ37))</f>
    </nc>
  </rcc>
  <rcc rId="2753" sId="19" numFmtId="4">
    <nc r="DS38">
      <v>7319200</v>
    </nc>
  </rcc>
  <rcc rId="2754" sId="19">
    <nc r="DT38">
      <f>IF((DS38-DS37)&lt;=0,0,(DS38-DS37))</f>
    </nc>
  </rcc>
  <rcc rId="2755" sId="19" numFmtId="4">
    <nc r="DU38">
      <v>8561.4</v>
    </nc>
  </rcc>
  <rcc rId="2756" sId="19" numFmtId="4">
    <nc r="DV38">
      <v>4797.8</v>
    </nc>
  </rcc>
  <rcc rId="2757" sId="19">
    <nc r="DW38">
      <f>IF((DU38-DU37)*1000&lt;=0,0,(DU38-DU37)*1000)</f>
    </nc>
  </rcc>
  <rcc rId="2758" sId="19" numFmtId="4">
    <nc r="DX38">
      <v>14172</v>
    </nc>
  </rcc>
  <rcc rId="2759" sId="19" numFmtId="4">
    <nc r="DY38">
      <v>8836.2999999999993</v>
    </nc>
  </rcc>
  <rcc rId="2760" sId="19">
    <nc r="DZ38">
      <f>IF((DX38-DX37)*1000&lt;=0,0,(DX38-DX37)*1000)+GX38</f>
    </nc>
  </rcc>
  <rcc rId="2761" sId="19" numFmtId="4">
    <nc r="EA38">
      <v>33058</v>
    </nc>
  </rcc>
  <rcc rId="2762" sId="19" numFmtId="4">
    <nc r="EB38">
      <v>22.469000000000001</v>
    </nc>
  </rcc>
  <rcc rId="2763" sId="19">
    <nc r="EC38">
      <f>IFERROR(IF((EA38-EA37)*1000&lt;=0,0,(EA38-EA37)*1000)+GX38+$EE$41,0)</f>
    </nc>
  </rcc>
  <rcc rId="2764" sId="19">
    <nc r="ED38">
      <f>DW38+DZ38+EC38</f>
    </nc>
  </rcc>
  <rcc rId="2765" sId="19" numFmtId="4">
    <nc r="EE38">
      <v>49734</v>
    </nc>
  </rcc>
  <rcc rId="2766" sId="19" numFmtId="4">
    <nc r="EF38">
      <v>32.908000000000001</v>
    </nc>
  </rcc>
  <rcc rId="2767" sId="19">
    <nc r="EG38">
      <f>IF((EE38-EE37)*1000&lt;=0,0,(EE38-EE37)*1000)+GX38+$EE$41</f>
    </nc>
  </rcc>
  <rcc rId="2768" sId="19" numFmtId="4">
    <nc r="EH38">
      <v>14835</v>
    </nc>
  </rcc>
  <rcc rId="2769" sId="19" numFmtId="4">
    <nc r="EI38">
      <v>2.2446999999999999</v>
    </nc>
  </rcc>
  <rcc rId="2770" sId="19">
    <nc r="EJ38">
      <f>IF((EH38-EH37)*1000&lt;=0,0,(EH38-EH37)*1000)+GX38</f>
    </nc>
  </rcc>
  <rcc rId="2771" sId="19" numFmtId="4">
    <nc r="EK38">
      <v>902.6</v>
    </nc>
  </rcc>
  <rcc rId="2772" sId="19" numFmtId="4">
    <nc r="EL38">
      <v>1291.5</v>
    </nc>
  </rcc>
  <rcc rId="2773" sId="19">
    <nc r="EM38">
      <f>IF((EK38-EK37)&lt;=0,0,(EK38-EK37))*1000</f>
    </nc>
  </rcc>
  <rcc rId="2774" sId="19">
    <nc r="EN38">
      <f>EG38+EJ38+EM38</f>
    </nc>
  </rcc>
  <rcc rId="2775" sId="19" numFmtId="4">
    <nc r="EO38">
      <v>14244</v>
    </nc>
  </rcc>
  <rcc rId="2776" sId="19">
    <nc r="EQ38">
      <f>IF((EO38-EO37)*1000&lt;=0,0,(EO38-EO37)*1000)+GX38-FU75+FV75</f>
    </nc>
  </rcc>
  <rcc rId="2777" sId="19" numFmtId="4">
    <nc r="ER38">
      <v>11948</v>
    </nc>
  </rcc>
  <rcc rId="2778" sId="19">
    <nc r="ET38">
      <f>IF((ER38-ER37)&lt;=0,0,(ER38-ER37))*1000</f>
    </nc>
  </rcc>
  <rcc rId="2779" sId="19" numFmtId="4">
    <nc r="EU38">
      <v>5131.8</v>
    </nc>
  </rcc>
  <rcc rId="2780" sId="19">
    <nc r="EW38">
      <f>IF((EU38-EU37)&lt;=0,0,(EU38-EU37))*1000+GX38</f>
    </nc>
  </rcc>
  <rcc rId="2781" sId="19" numFmtId="4">
    <nc r="EX38">
      <v>15337</v>
    </nc>
  </rcc>
  <rcc rId="2782" sId="19">
    <nc r="EZ38">
      <f>IF((EX38-EX37)&lt;=0,0,(EX38-EX37))*1000+GX38</f>
    </nc>
  </rcc>
  <rcc rId="2783" sId="19">
    <nc r="FA38">
      <f>FC38-EQ38-ET38-EW38-EZ38</f>
    </nc>
  </rcc>
  <rcc rId="2784" sId="19" numFmtId="4">
    <nc r="FB38">
      <v>40186734</v>
    </nc>
  </rcc>
  <rcc rId="2785" sId="19">
    <nc r="FC38">
      <f>IF((FB38-FB37)&lt;=0,0,(FB38-FB37))</f>
    </nc>
  </rcc>
  <rcc rId="2786" sId="19">
    <nc r="FD38">
      <f>EQ38+ET38+EW38+EZ38+GJ38</f>
    </nc>
  </rcc>
  <rcc rId="2787" sId="19" numFmtId="4">
    <nc r="FE38">
      <v>18400</v>
    </nc>
  </rcc>
  <rcc rId="2788" sId="19">
    <nc r="FG38">
      <f>IF((FE38-FE37)*1000&lt;=0,0,(FE38-FE37)*1000)+FL38+GX38+FW75</f>
    </nc>
  </rcc>
  <rcc rId="2789" sId="19" numFmtId="4">
    <nc r="FH38">
      <v>11308</v>
    </nc>
  </rcc>
  <rcc rId="2790" sId="19">
    <nc r="FJ38">
      <f>IF((FH38-FH37)&lt;=0,0,(FH38-FH37))*1000+FL38+GX38</f>
    </nc>
  </rcc>
  <rcc rId="2791" sId="19">
    <nc r="FM38">
      <f>FT38/3</f>
    </nc>
  </rcc>
  <rcc rId="2792" sId="19" numFmtId="4">
    <nc r="FN38">
      <v>18407</v>
    </nc>
  </rcc>
  <rcc rId="2793" sId="19">
    <nc r="FP38">
      <f>IF((FN38-FN37)*1000&lt;=0,0,(FN38-FN37)*1000)+FL38+GX38</f>
    </nc>
  </rcc>
  <rcc rId="2794" sId="19" numFmtId="4">
    <nc r="FQ38">
      <v>64600</v>
    </nc>
  </rcc>
  <rcc rId="2795" sId="19">
    <oc r="FS38">
      <f>IF((FQ38-FQ37)*1000&lt;=0,0,(FQ38-FQ37)*1000)</f>
    </oc>
    <nc r="FS38">
      <f>IF((FQ38-FQ37)*1000&lt;=0,0,(FQ38-FQ37)*1000)</f>
    </nc>
  </rcc>
  <rcc rId="2796" sId="19">
    <oc r="FT38">
      <f>FS38-FG38-FJ38-FP38</f>
    </oc>
    <nc r="FT38">
      <f>FS38-FG38-FJ38-FP38</f>
    </nc>
  </rcc>
  <rcc rId="2797" sId="19">
    <oc r="FU38">
      <f>FG38+FJ38+FP38+GM38</f>
    </oc>
    <nc r="FU38">
      <f>FG38+FJ38+FP38+GM38</f>
    </nc>
  </rcc>
  <rcc rId="2798" sId="19" numFmtId="4">
    <nc r="FV38">
      <v>8054900</v>
    </nc>
  </rcc>
  <rcc rId="2799" sId="19">
    <oc r="FX38">
      <f>IF((FV38-FV37)*1000&lt;=0,0,(FV38-FV37))</f>
    </oc>
    <nc r="FX38">
      <f>IF((FV38-FV37)*1000&lt;=0,0,(FV38-FV37))</f>
    </nc>
  </rcc>
  <rcc rId="2800" sId="19" numFmtId="4">
    <nc r="FY38">
      <v>419270</v>
    </nc>
  </rcc>
  <rcc rId="2801" sId="19">
    <oc r="GA38">
      <f>IF((FY38-FY37)*1000&lt;=0,0,(FY38-FY37))</f>
    </oc>
    <nc r="GA38">
      <f>IF((FY38-FY37)*1000&lt;=0,0,(FY38-FY37))</f>
    </nc>
  </rcc>
  <rcc rId="2802" sId="19" numFmtId="4">
    <nc r="GB38">
      <v>934.13099999999997</v>
    </nc>
  </rcc>
  <rcc rId="2803" sId="19">
    <oc r="GD38">
      <f>IF((GB38-GB37)*1000&lt;=0,0,(GB38-GB37)*1000)</f>
    </oc>
    <nc r="GD38">
      <f>IF((GB38-GB37)*1000&lt;=0,0,(GB38-GB37)*1000)</f>
    </nc>
  </rcc>
  <rcc rId="2804" sId="19" numFmtId="4">
    <nc r="GE38">
      <v>11444</v>
    </nc>
  </rcc>
  <rcc rId="2805" sId="19">
    <nc r="GG38">
      <f>IF((GE38-GE37)*1000&lt;=0,0,(GE38-GE37)*1000)-GJ38-GM38</f>
    </nc>
  </rcc>
  <rcc rId="2806" sId="19" numFmtId="4">
    <nc r="GH38">
      <v>172460</v>
    </nc>
  </rcc>
  <rcc rId="2807" sId="19">
    <nc r="GJ38">
      <f>IF((GH38-GH37)&lt;=0,0,(GH38-GH37))</f>
    </nc>
  </rcc>
  <rcc rId="2808" sId="19" numFmtId="4">
    <nc r="GK38">
      <v>1562</v>
    </nc>
  </rcc>
  <rcc rId="2809" sId="19" numFmtId="4">
    <nc r="GM38">
      <v>0</v>
    </nc>
  </rcc>
  <rcc rId="2810" sId="19" numFmtId="4">
    <nc r="GN38">
      <v>244300</v>
    </nc>
  </rcc>
  <rcc rId="2811" sId="19">
    <nc r="GP38">
      <f>IF((GN38-GN37)&lt;=0,0,(GN38-GN37))</f>
    </nc>
  </rcc>
  <rcc rId="2812" sId="19" numFmtId="4">
    <nc r="GQ38">
      <v>309340</v>
    </nc>
  </rcc>
  <rcc rId="2813" sId="19">
    <nc r="GS38">
      <f>IF((GQ38-GQ37)&lt;=0,0,(GQ38-GQ37))</f>
    </nc>
  </rcc>
  <rcc rId="2814" sId="19">
    <oc r="GU38">
      <f>IFERROR(DailyOct!B37-DailyOct!N37-DailyOct!V37-DailyOct!Y37-DailyOct!Z37-DailyOct!AA37-DailyOct!AB37-DailyOct!AC37-DailyOct!AD37-DailyOct!AE37-DailyOct!AK37-DailyOct!AO37-DailyOct!AS37-DailyOct!AY37-DailyOct!BD37+DailyOct!BU37-DailyOct!BG37-DailyOct!BT37-DailyOct!AF37-DailyOct!AG37,"-")</f>
    </oc>
    <nc r="GU38">
      <f>IFERROR(DailyNov!B38-DailyNov!N38-DailyNov!V38-DailyNov!Y38-DailyNov!Z38-DailyNov!AA38-DailyNov!AB38-DailyNov!AC38-DailyNov!AD38-DailyNov!AE38-DailyNov!AK38-DailyNov!AO38-DailyNov!AS38-DailyNov!AY38-DailyNov!BD38+DailyNov!BU38-DailyNov!BG38-DailyNov!BT38-DailyNov!AF38-DailyNov!AG38,"-")</f>
    </nc>
  </rcc>
  <rcc rId="2815" sId="19">
    <nc r="GW38">
      <f>GV38/15</f>
    </nc>
  </rcc>
  <rcc rId="2816" sId="19">
    <nc r="HG38">
      <v>1</v>
    </nc>
  </rcc>
  <rcc rId="2817" sId="19" numFmtId="4">
    <nc r="HH38">
      <v>35241</v>
    </nc>
  </rcc>
  <rcc rId="2818" sId="19" numFmtId="4">
    <nc r="HI38">
      <v>13363</v>
    </nc>
  </rcc>
  <rcc rId="2819" sId="19">
    <nc r="HJ38">
      <f>IF((HH38-HH37)&lt;=0,0,(HH38-HH37)*1000)</f>
    </nc>
  </rcc>
  <rcc rId="2820" sId="19">
    <nc r="HK38">
      <v>2.1432000000000002</v>
    </nc>
  </rcc>
  <rcc rId="2821" sId="19">
    <nc r="HL38">
      <v>807.23</v>
    </nc>
  </rcc>
  <rcc rId="2822" sId="19">
    <nc r="HM38">
      <f>IF((HK38-HK37)&lt;=0,0,(HK38-HK37))</f>
    </nc>
  </rcc>
  <rcc rId="2823" sId="19">
    <nc r="HN38">
      <v>8846.5</v>
    </nc>
  </rcc>
  <rcc rId="2824" sId="19">
    <nc r="HO38">
      <v>87586</v>
    </nc>
  </rcc>
  <rcc rId="2825" sId="19">
    <nc r="HP38">
      <f>IFERROR(IF((HN38-HN37)&lt;=0,0,(HN38-HN37)*1000)+IL75,0)</f>
    </nc>
  </rcc>
  <rcc rId="2826" sId="19" numFmtId="4">
    <nc r="HQ38">
      <v>6028.3</v>
    </nc>
  </rcc>
  <rcc rId="2827" sId="19" numFmtId="4">
    <nc r="HR38">
      <v>2510.4</v>
    </nc>
  </rcc>
  <rcc rId="2828" sId="19">
    <nc r="HS38">
      <f>IFERROR(IF((HQ38-HQ37)&lt;=0,0,(HQ38-HQ37)*1000)+IL75,0)</f>
    </nc>
  </rcc>
  <rcc rId="2829" sId="19" numFmtId="4">
    <nc r="HT38">
      <v>5998.2</v>
    </nc>
  </rcc>
  <rcc rId="2830" sId="19" numFmtId="4">
    <nc r="HU38">
      <v>2135.5</v>
    </nc>
  </rcc>
  <rcc rId="2831" sId="19">
    <nc r="HV38">
      <f>IFERROR(IF((HT38-HT37)&lt;=0,0,(HT38-HT37)*1000)+IL75,0)</f>
    </nc>
  </rcc>
  <rcc rId="2832" sId="19" numFmtId="4">
    <nc r="HW38">
      <v>4531.7</v>
    </nc>
  </rcc>
  <rcc rId="2833" sId="19" numFmtId="4">
    <nc r="HX38">
      <v>1912.1</v>
    </nc>
  </rcc>
  <rcc rId="2834" sId="19">
    <nc r="HY38">
      <f>IFERROR(IF((HW38-HW37)&lt;=0,0,(HW38-HW37)*1000)+IL75,0)</f>
    </nc>
  </rcc>
  <rcc rId="2835" sId="19">
    <nc r="HZ38">
      <v>4085300</v>
    </nc>
  </rcc>
  <rcc rId="2836" sId="19">
    <nc r="IA38">
      <v>17302</v>
    </nc>
  </rcc>
  <rcc rId="2837" sId="19">
    <nc r="IB38">
      <f>IF((HZ38-HZ37)&lt;=0,0,(HZ38-HZ37))</f>
    </nc>
  </rcc>
  <rcc rId="2838" sId="19" numFmtId="4">
    <nc r="IC38">
      <v>719.8</v>
    </nc>
  </rcc>
  <rcc rId="2839" sId="19" numFmtId="4">
    <nc r="ID38">
      <v>232.78</v>
    </nc>
  </rcc>
  <rcc rId="2840" sId="19">
    <nc r="IE38">
      <f>IF((IC38-IC37)&lt;=0,0,(IC38-IC37))</f>
    </nc>
  </rcc>
  <rcc rId="2841" sId="19">
    <nc r="IH38">
      <f>DT38</f>
    </nc>
  </rcc>
  <rcc rId="2842" sId="19">
    <nc r="II38">
      <f>HJ38+HM38-HS38-HV38-HY38-IH38-HP38-IB38-IE38</f>
    </nc>
  </rcc>
  <rcc rId="2843" sId="19">
    <nc r="IL38">
      <f>IF((IJ38-IJ37)&lt;=0,0,(IJ38-IJ37))</f>
    </nc>
  </rcc>
  <rcc rId="2844" sId="19">
    <nc r="IO38">
      <f>IF((IM38-IM37)&lt;=0,0,(IM38-IM37)*1000)</f>
    </nc>
  </rcc>
  <rcc rId="2845" sId="19">
    <nc r="IR38">
      <f>IF((IP38-IP37)&lt;=0,0,(IP38-IP37))</f>
    </nc>
  </rcc>
  <rcc rId="2846" sId="19">
    <nc r="IU38">
      <f>IF((IS38-IS37)&lt;=0,0,(IS38-IS37))</f>
    </nc>
  </rcc>
  <rcc rId="2847" sId="19">
    <nc r="IX38">
      <f>IF((IV38-IV37)&lt;=0,0,(IV38-IV37))</f>
    </nc>
  </rcc>
  <rcc rId="2848" sId="19">
    <nc r="JA38">
      <f>IF((IY38-IY37)&lt;=0,0,(IY38-IY37))</f>
    </nc>
  </rcc>
  <rcc rId="2849" sId="19">
    <nc r="JD38">
      <f>IF((JB38-JB37)&lt;=0,0,(JB38-JB37))</f>
    </nc>
  </rcc>
  <rcc rId="2850" sId="19">
    <nc r="JG38">
      <f>IF((JE38-JE37)&lt;=0,0,(JE38-JE37))</f>
    </nc>
  </rcc>
  <rcc rId="2851" sId="19">
    <nc r="JJ38">
      <f>IF((JH38-JH37)&lt;=0,0,(JH38-JH37))</f>
    </nc>
  </rcc>
  <rcc rId="2852" sId="19">
    <nc r="JM38">
      <f>IF((JK38-JK37)&lt;=0,0,(JK38-JK37))</f>
    </nc>
  </rcc>
  <rcc rId="2853" sId="19">
    <nc r="JP38">
      <f>IF((JN38-JN37)&lt;=0,0,(JN38-JN37))</f>
    </nc>
  </rcc>
  <rcc rId="2854" sId="19">
    <nc r="JS38">
      <f>IF((JQ38-JQ37)&lt;=0,0,(JQ38-JQ37))</f>
    </nc>
  </rcc>
  <rcc rId="2855" sId="19">
    <nc r="JV38">
      <f>IF((JT38-JT37)&lt;=0,0,(JT38-JT37))</f>
    </nc>
  </rcc>
  <rcc rId="2856" sId="19">
    <nc r="JY38">
      <f>IF((JW38-JW37)&lt;=0,0,(JW38-JW37))</f>
    </nc>
  </rcc>
  <rcc rId="2857" sId="19">
    <nc r="KB38">
      <f>IF((JZ38-JZ37)&lt;=0,0,(JZ38-JZ37))</f>
    </nc>
  </rcc>
  <rcc rId="2858" sId="19">
    <nc r="KE38">
      <f>IF((KC38-KC37)&lt;=0,0,(KC38-KC37))</f>
    </nc>
  </rcc>
  <rcc rId="2859" sId="19">
    <nc r="KG38">
      <f>HJ38+HM38-HS38-HV38-HY38-IH38</f>
    </nc>
  </rcc>
  <rcc rId="2860" sId="19" numFmtId="4">
    <nc r="CM38">
      <v>4625.9390000000003</v>
    </nc>
  </rcc>
  <rcc rId="2861" sId="19" numFmtId="4">
    <nc r="CQ38">
      <v>1143312</v>
    </nc>
  </rcc>
  <rcc rId="2862" sId="19" odxf="1" s="1" dxf="1">
    <oc r="CM5" t="inlineStr">
      <is>
        <t>INCOMING 1250A HOOD</t>
      </is>
    </oc>
    <nc r="CM5" t="inlineStr">
      <is>
        <t>INCOMING ABB PANEL DRIVE</t>
      </is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fmt sheetId="19" s="1" sqref="CN5" start="0" length="0">
    <dxf/>
  </rfmt>
  <rfmt sheetId="19" s="1" sqref="CO5" start="0" length="0">
    <dxf/>
  </rfmt>
  <rfmt sheetId="19" s="1" sqref="CP5" start="0" length="0">
    <dxf/>
  </rfmt>
  <rcc rId="2863" sId="19">
    <oc r="CQ5" t="inlineStr">
      <is>
        <t>INCOMING ABB PANEL DRIVE</t>
      </is>
    </oc>
    <nc r="CQ5" t="inlineStr">
      <is>
        <t>INCOMING 1250A HOOD</t>
      </is>
    </nc>
  </rcc>
  <rfmt sheetId="19" sqref="CM5:CP5">
    <dxf>
      <alignment wrapText="1" readingOrder="0"/>
    </dxf>
  </rfmt>
  <rfmt sheetId="19" sqref="CM5:CP5">
    <dxf>
      <alignment wrapText="0" readingOrder="0"/>
    </dxf>
  </rfmt>
  <rcv guid="{48545DB9-4D9D-4699-ACEC-DA6E2D3586A8}" action="delete"/>
  <rdn rId="0" localSheetId="1" customView="1" name="Z_48545DB9_4D9D_4699_ACEC_DA6E2D3586A8_.wvu.Cols" hidden="1" oldHidden="1">
    <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formula>
    <old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oldFormula>
  </rdn>
  <rdn rId="0" localSheetId="2" customView="1" name="Z_48545DB9_4D9D_4699_ACEC_DA6E2D3586A8_.wvu.Cols" hidden="1" oldHidden="1">
    <formula>DailyJan!$D:$M,DailyJan!$W:$X,DailyJan!$AH:$AJ,DailyJan!$AL:$AN,DailyJan!$AP:$AR,DailyJan!$AT:$AX,DailyJan!$AZ:$BC,DailyJan!$BX:$BY</formula>
    <oldFormula>DailyJan!$D:$M,DailyJan!$W:$X,DailyJan!$AH:$AJ,DailyJan!$AL:$AN,DailyJan!$AP:$AR,DailyJan!$AT:$AX,DailyJan!$AZ:$BC,DailyJan!$BX:$BY</oldFormula>
  </rdn>
  <rdn rId="0" localSheetId="3" customView="1" name="Z_48545DB9_4D9D_4699_ACEC_DA6E2D3586A8_.wvu.Rows" hidden="1" oldHidden="1">
    <formula>Feb!$36:$38</formula>
    <oldFormula>Feb!$36:$38</oldFormula>
  </rdn>
  <rdn rId="0" localSheetId="3" customView="1" name="Z_48545DB9_4D9D_4699_ACEC_DA6E2D3586A8_.wvu.Cols" hidden="1" oldHidden="1">
    <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formula>
    <old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oldFormula>
  </rdn>
  <rdn rId="0" localSheetId="4" customView="1" name="Z_48545DB9_4D9D_4699_ACEC_DA6E2D3586A8_.wvu.Rows" hidden="1" oldHidden="1">
    <formula>DailyFeb!$35:$37</formula>
    <oldFormula>DailyFeb!$35:$37</oldFormula>
  </rdn>
  <rdn rId="0" localSheetId="4" customView="1" name="Z_48545DB9_4D9D_4699_ACEC_DA6E2D3586A8_.wvu.Cols" hidden="1" oldHidden="1">
    <formula>DailyFeb!$D:$M,DailyFeb!$W:$X,DailyFeb!$AH:$AJ,DailyFeb!$AL:$AN,DailyFeb!$AP:$AR</formula>
    <oldFormula>DailyFeb!$D:$M,DailyFeb!$W:$X,DailyFeb!$AH:$AJ,DailyFeb!$AL:$AN,DailyFeb!$AP:$AR</oldFormula>
  </rdn>
  <rdn rId="0" localSheetId="5" customView="1" name="Z_48545DB9_4D9D_4699_ACEC_DA6E2D3586A8_.wvu.Cols" hidden="1" oldHidden="1">
    <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formula>
    <old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oldFormula>
  </rdn>
  <rdn rId="0" localSheetId="6" customView="1" name="Z_48545DB9_4D9D_4699_ACEC_DA6E2D3586A8_.wvu.Cols" hidden="1" oldHidden="1">
    <formula>DailyMar!$D:$M,DailyMar!$O:$U,DailyMar!$W:$X,DailyMar!$AH:$AJ,DailyMar!$AL:$AN,DailyMar!$AP:$AR,DailyMar!$AT:$AX,DailyMar!$AZ:$BC,DailyMar!$BE:$BF,DailyMar!$BV:$CC</formula>
    <oldFormula>DailyMar!$D:$M,DailyMar!$O:$U,DailyMar!$W:$X,DailyMar!$AH:$AJ,DailyMar!$AL:$AN,DailyMar!$AP:$AR,DailyMar!$AT:$AX,DailyMar!$AZ:$BC,DailyMar!$BE:$BF,DailyMar!$BV:$CC</oldFormula>
  </rdn>
  <rdn rId="0" localSheetId="7" customView="1" name="Z_48545DB9_4D9D_4699_ACEC_DA6E2D3586A8_.wvu.Rows" hidden="1" oldHidden="1">
    <formula>Apr!$38:$38</formula>
    <oldFormula>Apr!$38:$38</oldFormula>
  </rdn>
  <rdn rId="0" localSheetId="7" customView="1" name="Z_48545DB9_4D9D_4699_ACEC_DA6E2D3586A8_.wvu.Cols" hidden="1" oldHidden="1">
    <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formula>
    <old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oldFormula>
  </rdn>
  <rdn rId="0" localSheetId="8" customView="1" name="Z_48545DB9_4D9D_4699_ACEC_DA6E2D3586A8_.wvu.Rows" hidden="1" oldHidden="1">
    <formula>DailyApr!$37:$37</formula>
    <oldFormula>DailyApr!$37:$37</oldFormula>
  </rdn>
  <rdn rId="0" localSheetId="8" customView="1" name="Z_48545DB9_4D9D_4699_ACEC_DA6E2D3586A8_.wvu.Cols" hidden="1" oldHidden="1">
    <formula>DailyApr!$D:$M,DailyApr!$O:$U,DailyApr!$W:$X,DailyApr!$AH:$AJ,DailyApr!$AL:$AN,DailyApr!$AP:$AR,DailyApr!$AT:$AX,DailyApr!$AZ:$BC,DailyApr!$BE:$BF,DailyApr!$BV:$CG</formula>
    <oldFormula>DailyApr!$D:$M,DailyApr!$O:$U,DailyApr!$W:$X,DailyApr!$AH:$AJ,DailyApr!$AL:$AN,DailyApr!$AP:$AR,DailyApr!$AT:$AX,DailyApr!$AZ:$BC,DailyApr!$BE:$BF,DailyApr!$BV:$CG</oldFormula>
  </rdn>
  <rdn rId="0" localSheetId="9" customView="1" name="Z_48545DB9_4D9D_4699_ACEC_DA6E2D3586A8_.wvu.Cols" hidden="1" oldHidden="1">
    <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formula>
    <old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oldFormula>
  </rdn>
  <rdn rId="0" localSheetId="10" customView="1" name="Z_48545DB9_4D9D_4699_ACEC_DA6E2D3586A8_.wvu.Cols" hidden="1" oldHidden="1">
    <formula>DailyMei!$D:$M,DailyMei!$O:$U,DailyMei!$W:$X,DailyMei!$AH:$AJ,DailyMei!$AL:$AN,DailyMei!$AP:$AR,DailyMei!$AT:$AX,DailyMei!$AZ:$BC,DailyMei!$BE:$BF,DailyMei!$BV:$CK</formula>
    <oldFormula>DailyMei!$D:$M,DailyMei!$O:$U,DailyMei!$W:$X,DailyMei!$AH:$AJ,DailyMei!$AL:$AN,DailyMei!$AP:$AR,DailyMei!$AT:$AX,DailyMei!$AZ:$BC,DailyMei!$BE:$BF,DailyMei!$BV:$CK</oldFormula>
  </rdn>
  <rdn rId="0" localSheetId="11" customView="1" name="Z_48545DB9_4D9D_4699_ACEC_DA6E2D3586A8_.wvu.Cols" hidden="1" oldHidden="1">
    <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formula>
    <old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oldFormula>
  </rdn>
  <rdn rId="0" localSheetId="12" customView="1" name="Z_48545DB9_4D9D_4699_ACEC_DA6E2D3586A8_.wvu.Rows" hidden="1" oldHidden="1">
    <formula>DailyJun!$37:$37</formula>
    <oldFormula>DailyJun!$37:$37</oldFormula>
  </rdn>
  <rdn rId="0" localSheetId="12" customView="1" name="Z_48545DB9_4D9D_4699_ACEC_DA6E2D3586A8_.wvu.Cols" hidden="1" oldHidden="1">
    <formula>DailyJun!$D:$M,DailyJun!$O:$U,DailyJun!$W:$X,DailyJun!$AH:$AJ,DailyJun!$AL:$AN,DailyJun!$AP:$AR,DailyJun!$AT:$AX,DailyJun!$AZ:$BC,DailyJun!$BE:$BF,DailyJun!$BV:$CI</formula>
    <oldFormula>DailyJun!$D:$M,DailyJun!$O:$U,DailyJun!$W:$X,DailyJun!$AH:$AJ,DailyJun!$AL:$AN,DailyJun!$AP:$AR,DailyJun!$AT:$AX,DailyJun!$AZ:$BC,DailyJun!$BE:$BF,DailyJun!$BV:$CI</oldFormula>
  </rdn>
  <rdn rId="0" localSheetId="13" customView="1" name="Z_48545DB9_4D9D_4699_ACEC_DA6E2D3586A8_.wvu.Cols" hidden="1" oldHidden="1">
    <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formula>
    <old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oldFormula>
  </rdn>
  <rdn rId="0" localSheetId="14" customView="1" name="Z_48545DB9_4D9D_4699_ACEC_DA6E2D3586A8_.wvu.Cols" hidden="1" oldHidden="1">
    <formula>DailyJul!$D:$M,DailyJul!$O:$U,DailyJul!$W:$X,DailyJul!$AH:$AJ,DailyJul!$AL:$AN,DailyJul!$AP:$AR,DailyJul!$AT:$AX,DailyJul!$AZ:$BC,DailyJul!$BE:$BF</formula>
    <oldFormula>DailyJul!$D:$M,DailyJul!$O:$U,DailyJul!$W:$X,DailyJul!$AH:$AJ,DailyJul!$AL:$AN,DailyJul!$AP:$AR,DailyJul!$AT:$AX,DailyJul!$AZ:$BC,DailyJul!$BE:$BF</oldFormula>
  </rdn>
  <rdn rId="0" localSheetId="15" customView="1" name="Z_48545DB9_4D9D_4699_ACEC_DA6E2D3586A8_.wvu.Cols" hidden="1" oldHidden="1">
    <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formula>
    <old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oldFormula>
  </rdn>
  <rdn rId="0" localSheetId="16" customView="1" name="Z_48545DB9_4D9D_4699_ACEC_DA6E2D3586A8_.wvu.PrintArea" hidden="1" oldHidden="1">
    <formula>DailyAug!$A$1:$BU$69</formula>
    <oldFormula>DailyAug!$A$1:$BU$69</oldFormula>
  </rdn>
  <rdn rId="0" localSheetId="17" customView="1" name="Z_48545DB9_4D9D_4699_ACEC_DA6E2D3586A8_.wvu.Cols" hidden="1" oldHidden="1">
    <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formula>
    <old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oldFormula>
  </rdn>
  <rdn rId="0" localSheetId="19" customView="1" name="Z_48545DB9_4D9D_4699_ACEC_DA6E2D3586A8_.wvu.Cols" hidden="1" oldHidden="1">
    <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formula>
    <old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oldFormula>
  </rdn>
  <rdn rId="0" localSheetId="21" customView="1" name="Z_48545DB9_4D9D_4699_ACEC_DA6E2D3586A8_.wvu.Cols" hidden="1" oldHidden="1">
    <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formula>
    <old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oldFormula>
  </rdn>
  <rcv guid="{48545DB9-4D9D-4699-ACEC-DA6E2D3586A8}" action="add"/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9" sqref="CM5">
    <dxf>
      <alignment horizontal="left" readingOrder="0"/>
    </dxf>
  </rfmt>
  <rfmt sheetId="19" sqref="CM5" start="0" length="0">
    <dxf>
      <alignment horizontal="center" readingOrder="0"/>
    </dxf>
  </rfmt>
  <rfmt sheetId="19" sqref="CM5:CP5">
    <dxf>
      <alignment horizontal="left" readingOrder="0"/>
    </dxf>
  </rfmt>
  <rcc rId="2888" sId="19">
    <oc r="GU38">
      <f>IFERROR(DailyNov!B38-DailyNov!N38-DailyNov!V38-DailyNov!Y38-DailyNov!Z38-DailyNov!AA38-DailyNov!AB38-DailyNov!AC38-DailyNov!AD38-DailyNov!AE38-DailyNov!AK38-DailyNov!AO38-DailyNov!AS38-DailyNov!AY38-DailyNov!BD38+DailyNov!BU38-DailyNov!BG38-DailyNov!BT38-DailyNov!AF38-DailyNov!AG38,"-")</f>
    </oc>
    <nc r="GU38">
      <f>IFERROR(DailyOct!B37-DailyOct!N37-DailyOct!V37-DailyOct!Y37-DailyOct!Z37-DailyOct!AA37-DailyOct!AB37-DailyOct!AC37-DailyOct!AD37-DailyOct!AE37-DailyOct!AK37-DailyOct!AO37-DailyOct!AS37-DailyOct!AY37-DailyOct!BD37+DailyOct!BU37-DailyOct!BG37-DailyOct!BT37-DailyOct!AF37-DailyOct!AG37,"-")</f>
    </nc>
  </rcc>
  <rcc rId="2889" sId="19">
    <oc r="GW38">
      <f>GV38/15</f>
    </oc>
    <nc r="GW38">
      <f>GV38/15</f>
    </nc>
  </rcc>
  <rcc rId="2890" sId="19" numFmtId="34">
    <nc r="GV38">
      <v>0</v>
    </nc>
  </rcc>
  <rcc rId="2891" sId="19">
    <nc r="GX38">
      <v>0</v>
    </nc>
  </rcc>
  <rcc rId="2892" sId="19">
    <oc r="FG74">
      <f>100%-FF74</f>
    </oc>
    <nc r="FG74">
      <f>100%-FF74</f>
    </nc>
  </rcc>
  <rcc rId="2893" sId="19" numFmtId="13">
    <nc r="FF75">
      <v>1</v>
    </nc>
  </rcc>
  <rcc rId="2894" sId="19">
    <nc r="FG75">
      <f>100%-FF75</f>
    </nc>
  </rcc>
  <rcc rId="2895" sId="19" numFmtId="13">
    <oc r="FF74">
      <v>0.5</v>
    </oc>
    <nc r="FF74">
      <v>0.7</v>
    </nc>
  </rcc>
  <rcc rId="2896" sId="19">
    <nc r="FS75">
      <v>984.46</v>
    </nc>
  </rcc>
  <rfmt sheetId="19" sqref="FT75" start="0" length="0">
    <dxf/>
  </rfmt>
  <rcc rId="2897" sId="19" odxf="1" dxf="1">
    <nc r="FU75">
      <f>(FS75-FS74)*1000</f>
    </nc>
    <odxf/>
    <ndxf/>
  </rcc>
  <rcc rId="2898" sId="19" odxf="1" dxf="1">
    <oc r="FV75">
      <f>FU75/2</f>
    </oc>
    <nc r="FV75">
      <f>FU75/2</f>
    </nc>
    <odxf/>
    <ndxf/>
  </rcc>
  <rcc rId="2899" sId="19" odxf="1" dxf="1">
    <oc r="FW75">
      <f>FU75/2</f>
    </oc>
    <nc r="FW75">
      <f>FU75/2</f>
    </nc>
    <odxf/>
    <ndxf/>
  </rcc>
  <rcc rId="2900" sId="19">
    <oc r="EG38">
      <f>IF((EE38-EE37)*1000&lt;=0,0,(EE38-EE37)*1000)+GX38+$EE$41</f>
    </oc>
    <nc r="EG38">
      <f>IF((EE38-EE37)*1000&lt;=0,0,(EE38-EE37)*1000)+GX38+$EE$40</f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01" sId="19" numFmtId="4">
    <oc r="O38">
      <v>13809.3</v>
    </oc>
    <nc r="O38">
      <v>13803.3</v>
    </nc>
  </rcc>
  <rcc rId="2902" sId="19" numFmtId="4">
    <oc r="AA38">
      <v>929000</v>
    </oc>
    <nc r="AA38">
      <v>926000</v>
    </nc>
  </rcc>
  <rcc rId="2903" sId="19" numFmtId="4">
    <oc r="BM37">
      <v>968.39</v>
    </oc>
    <nc r="BM37">
      <v>969.12</v>
    </nc>
  </rcc>
  <rcc rId="2904" sId="20">
    <oc r="BO36">
      <f>(AS36-BL36-BM36-BN36)</f>
    </oc>
    <nc r="BO36">
      <f>(AS36-BL36-BM36-BN36)</f>
    </nc>
  </rcc>
  <rcc rId="2905" sId="20">
    <oc r="BL37">
      <f>+AS37</f>
    </oc>
    <nc r="BL37">
      <f>+AS37*0.52</f>
    </nc>
  </rcc>
  <rfmt sheetId="20" sqref="BV37" start="0" length="0">
    <dxf>
      <fill>
        <patternFill patternType="solid">
          <bgColor rgb="FFFFFF00"/>
        </patternFill>
      </fill>
    </dxf>
  </rfmt>
  <rcc rId="2906" sId="20">
    <nc r="BV37" t="inlineStr">
      <is>
        <t>DIP1 PM 12; DIP2 PM 15 52%, PM 17 48% ; WPL Stop</t>
      </is>
    </nc>
  </rcc>
  <rcc rId="2907" sId="19">
    <nc r="E77">
      <v>38521</v>
    </nc>
  </rcc>
  <rcc rId="2908" sId="19">
    <nc r="G77">
      <f>IF((E77-E76)&lt;=0,0,(E77-E76))*1000</f>
    </nc>
  </rcc>
  <rcc rId="2909" sId="19" odxf="1" dxf="1">
    <oc r="GU37">
      <f>IFERROR(DailyOct!B36-DailyOct!N36-DailyOct!V36-DailyOct!Y36-DailyOct!Z36-DailyOct!AA36-DailyOct!AB36-DailyOct!AC36-DailyOct!AD36-DailyOct!AE36-DailyOct!AK36-DailyOct!AO36-DailyOct!AS36-DailyOct!AY36-DailyOct!BD36+DailyOct!BU36-DailyOct!BG36-DailyOct!BT36-DailyOct!AF36-DailyOct!AG36,"-")</f>
    </oc>
    <nc r="GU37">
      <f>DailyOct!B36-DailyOct!N36-DailyOct!V36-DailyOct!Y36-DailyOct!Z36-DailyOct!AA36-DailyOct!AB36-DailyOct!AC36-DailyOct!AD36-DailyOct!AE36-DailyOct!AK36-DailyOct!AO36-DailyOct!AS36-DailyOct!AY36-DailyOct!BD36+DailyOct!BU36-DailyOct!BG36-DailyOct!BT36-DailyOct!AF36-DailyOct!AG36</f>
    </nc>
    <odxf>
      <alignment horizontal="right" readingOrder="0"/>
    </odxf>
    <ndxf>
      <alignment horizontal="center" readingOrder="0"/>
    </ndxf>
  </rcc>
  <rcc rId="2910" sId="19" odxf="1" dxf="1">
    <oc r="GU38">
      <f>IFERROR(DailyOct!B37-DailyOct!N37-DailyOct!V37-DailyOct!Y37-DailyOct!Z37-DailyOct!AA37-DailyOct!AB37-DailyOct!AC37-DailyOct!AD37-DailyOct!AE37-DailyOct!AK37-DailyOct!AO37-DailyOct!AS37-DailyOct!AY37-DailyOct!BD37+DailyOct!BU37-DailyOct!BG37-DailyOct!BT37-DailyOct!AF37-DailyOct!AG37,"-")</f>
    </oc>
    <nc r="GU38">
      <f>DailyOct!B37-DailyOct!N37-DailyOct!V37-DailyOct!Y37-DailyOct!Z37-DailyOct!AA37-DailyOct!AB37-DailyOct!AC37-DailyOct!AD37-DailyOct!AE37-DailyOct!AK37-DailyOct!AO37-DailyOct!AS37-DailyOct!AY37-DailyOct!BD37+DailyOct!BU37-DailyOct!BG37-DailyOct!BT37-DailyOct!AF37-DailyOct!AG37</f>
    </nc>
    <odxf>
      <alignment horizontal="right" readingOrder="0"/>
    </odxf>
    <ndxf>
      <alignment horizontal="center" readingOrder="0"/>
    </ndxf>
  </rcc>
  <rfmt sheetId="19" sqref="HO37:HO38">
    <dxf>
      <numFmt numFmtId="179" formatCode="0.0"/>
    </dxf>
  </rfmt>
  <rfmt sheetId="19" sqref="HO37:HO38">
    <dxf>
      <numFmt numFmtId="2" formatCode="0.00"/>
    </dxf>
  </rfmt>
  <rfmt sheetId="19" sqref="HN37:HN38">
    <dxf>
      <numFmt numFmtId="2" formatCode="0.00"/>
    </dxf>
  </rfmt>
  <rcc rId="2911" sId="19" numFmtId="34">
    <oc r="GV38">
      <v>0</v>
    </oc>
    <nc r="GV38">
      <v>13274.8</v>
    </nc>
  </rcc>
  <rcc rId="2912" sId="19">
    <oc r="GX38">
      <v>0</v>
    </oc>
    <nc r="GX38">
      <v>884.99</v>
    </nc>
  </rcc>
  <rcv guid="{32ABFE17-599B-4D0B-A1DB-D95B181877FC}" action="delete"/>
  <rdn rId="0" localSheetId="1" customView="1" name="Z_32ABFE17_599B_4D0B_A1DB_D95B181877FC_.wvu.Cols" hidden="1" oldHidden="1">
    <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formula>
    <old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oldFormula>
  </rdn>
  <rdn rId="0" localSheetId="2" customView="1" name="Z_32ABFE17_599B_4D0B_A1DB_D95B181877FC_.wvu.Cols" hidden="1" oldHidden="1">
    <formula>DailyJan!$D:$M,DailyJan!$W:$X,DailyJan!$AH:$AJ,DailyJan!$AL:$AN,DailyJan!$AP:$AR,DailyJan!$AT:$AX,DailyJan!$AZ:$BC,DailyJan!$BX:$BY</formula>
    <oldFormula>DailyJan!$D:$M,DailyJan!$W:$X,DailyJan!$AH:$AJ,DailyJan!$AL:$AN,DailyJan!$AP:$AR,DailyJan!$AT:$AX,DailyJan!$AZ:$BC,DailyJan!$BX:$BY</oldFormula>
  </rdn>
  <rdn rId="0" localSheetId="3" customView="1" name="Z_32ABFE17_599B_4D0B_A1DB_D95B181877FC_.wvu.Rows" hidden="1" oldHidden="1">
    <formula>Feb!$36:$38</formula>
    <oldFormula>Feb!$36:$38</oldFormula>
  </rdn>
  <rdn rId="0" localSheetId="3" customView="1" name="Z_32ABFE17_599B_4D0B_A1DB_D95B181877FC_.wvu.Cols" hidden="1" oldHidden="1">
    <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formula>
    <old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oldFormula>
  </rdn>
  <rdn rId="0" localSheetId="4" customView="1" name="Z_32ABFE17_599B_4D0B_A1DB_D95B181877FC_.wvu.Rows" hidden="1" oldHidden="1">
    <formula>DailyFeb!$35:$37</formula>
    <oldFormula>DailyFeb!$35:$37</oldFormula>
  </rdn>
  <rdn rId="0" localSheetId="4" customView="1" name="Z_32ABFE17_599B_4D0B_A1DB_D95B181877FC_.wvu.Cols" hidden="1" oldHidden="1">
    <formula>DailyFeb!$D:$M,DailyFeb!$W:$X,DailyFeb!$AH:$AJ,DailyFeb!$AL:$AN,DailyFeb!$AP:$AR</formula>
    <oldFormula>DailyFeb!$D:$M,DailyFeb!$W:$X,DailyFeb!$AH:$AJ,DailyFeb!$AL:$AN,DailyFeb!$AP:$AR</oldFormula>
  </rdn>
  <rdn rId="0" localSheetId="5" customView="1" name="Z_32ABFE17_599B_4D0B_A1DB_D95B181877FC_.wvu.Cols" hidden="1" oldHidden="1">
    <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formula>
    <old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oldFormula>
  </rdn>
  <rdn rId="0" localSheetId="6" customView="1" name="Z_32ABFE17_599B_4D0B_A1DB_D95B181877FC_.wvu.Cols" hidden="1" oldHidden="1">
    <formula>DailyMar!$D:$M,DailyMar!$O:$U,DailyMar!$W:$X,DailyMar!$AH:$AJ,DailyMar!$AL:$AN,DailyMar!$AP:$AR,DailyMar!$AT:$AX,DailyMar!$AZ:$BC,DailyMar!$BE:$BF,DailyMar!$BV:$CC</formula>
    <oldFormula>DailyMar!$D:$M,DailyMar!$O:$U,DailyMar!$W:$X,DailyMar!$AH:$AJ,DailyMar!$AL:$AN,DailyMar!$AP:$AR,DailyMar!$AT:$AX,DailyMar!$AZ:$BC,DailyMar!$BE:$BF,DailyMar!$BV:$CC</oldFormula>
  </rdn>
  <rdn rId="0" localSheetId="7" customView="1" name="Z_32ABFE17_599B_4D0B_A1DB_D95B181877FC_.wvu.Rows" hidden="1" oldHidden="1">
    <formula>Apr!$38:$38</formula>
    <oldFormula>Apr!$38:$38</oldFormula>
  </rdn>
  <rdn rId="0" localSheetId="7" customView="1" name="Z_32ABFE17_599B_4D0B_A1DB_D95B181877FC_.wvu.Cols" hidden="1" oldHidden="1">
    <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formula>
    <old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oldFormula>
  </rdn>
  <rdn rId="0" localSheetId="8" customView="1" name="Z_32ABFE17_599B_4D0B_A1DB_D95B181877FC_.wvu.Rows" hidden="1" oldHidden="1">
    <formula>DailyApr!$37:$37</formula>
    <oldFormula>DailyApr!$37:$37</oldFormula>
  </rdn>
  <rdn rId="0" localSheetId="8" customView="1" name="Z_32ABFE17_599B_4D0B_A1DB_D95B181877FC_.wvu.Cols" hidden="1" oldHidden="1">
    <formula>DailyApr!$D:$M,DailyApr!$O:$U,DailyApr!$W:$X,DailyApr!$AH:$AJ,DailyApr!$AL:$AN,DailyApr!$AP:$AR,DailyApr!$AT:$AX,DailyApr!$AZ:$BC,DailyApr!$BE:$BF,DailyApr!$BV:$CG</formula>
    <oldFormula>DailyApr!$D:$M,DailyApr!$O:$U,DailyApr!$W:$X,DailyApr!$AH:$AJ,DailyApr!$AL:$AN,DailyApr!$AP:$AR,DailyApr!$AT:$AX,DailyApr!$AZ:$BC,DailyApr!$BE:$BF,DailyApr!$BV:$CG</oldFormula>
  </rdn>
  <rdn rId="0" localSheetId="9" customView="1" name="Z_32ABFE17_599B_4D0B_A1DB_D95B181877FC_.wvu.Cols" hidden="1" oldHidden="1">
    <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formula>
    <old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oldFormula>
  </rdn>
  <rdn rId="0" localSheetId="10" customView="1" name="Z_32ABFE17_599B_4D0B_A1DB_D95B181877FC_.wvu.Cols" hidden="1" oldHidden="1">
    <formula>DailyMei!$D:$M,DailyMei!$O:$U,DailyMei!$W:$X,DailyMei!$AH:$AJ,DailyMei!$AL:$AN,DailyMei!$AP:$AR,DailyMei!$AT:$AX,DailyMei!$AZ:$BC,DailyMei!$BE:$BF,DailyMei!$BV:$CK</formula>
    <oldFormula>DailyMei!$D:$M,DailyMei!$O:$U,DailyMei!$W:$X,DailyMei!$AH:$AJ,DailyMei!$AL:$AN,DailyMei!$AP:$AR,DailyMei!$AT:$AX,DailyMei!$AZ:$BC,DailyMei!$BE:$BF,DailyMei!$BV:$CK</oldFormula>
  </rdn>
  <rdn rId="0" localSheetId="11" customView="1" name="Z_32ABFE17_599B_4D0B_A1DB_D95B181877FC_.wvu.Cols" hidden="1" oldHidden="1">
    <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formula>
    <old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oldFormula>
  </rdn>
  <rdn rId="0" localSheetId="12" customView="1" name="Z_32ABFE17_599B_4D0B_A1DB_D95B181877FC_.wvu.Rows" hidden="1" oldHidden="1">
    <formula>DailyJun!$37:$37</formula>
    <oldFormula>DailyJun!$37:$37</oldFormula>
  </rdn>
  <rdn rId="0" localSheetId="12" customView="1" name="Z_32ABFE17_599B_4D0B_A1DB_D95B181877FC_.wvu.Cols" hidden="1" oldHidden="1">
    <formula>DailyJun!$D:$M,DailyJun!$O:$U,DailyJun!$W:$X,DailyJun!$AH:$AJ,DailyJun!$AL:$AN,DailyJun!$AP:$AR,DailyJun!$AT:$AX,DailyJun!$AZ:$BC,DailyJun!$BE:$BF,DailyJun!$BV:$CI</formula>
    <oldFormula>DailyJun!$D:$M,DailyJun!$O:$U,DailyJun!$W:$X,DailyJun!$AH:$AJ,DailyJun!$AL:$AN,DailyJun!$AP:$AR,DailyJun!$AT:$AX,DailyJun!$AZ:$BC,DailyJun!$BE:$BF,DailyJun!$BV:$CI</oldFormula>
  </rdn>
  <rdn rId="0" localSheetId="13" customView="1" name="Z_32ABFE17_599B_4D0B_A1DB_D95B181877FC_.wvu.Cols" hidden="1" oldHidden="1">
    <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formula>
    <old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oldFormula>
  </rdn>
  <rdn rId="0" localSheetId="14" customView="1" name="Z_32ABFE17_599B_4D0B_A1DB_D95B181877FC_.wvu.Cols" hidden="1" oldHidden="1">
    <formula>DailyJul!$D:$M,DailyJul!$O:$U,DailyJul!$W:$X,DailyJul!$AH:$AJ,DailyJul!$AL:$AN,DailyJul!$AP:$AR,DailyJul!$AT:$AX,DailyJul!$AZ:$BC,DailyJul!$BE:$BF</formula>
    <oldFormula>DailyJul!$D:$M,DailyJul!$O:$U,DailyJul!$W:$X,DailyJul!$AH:$AJ,DailyJul!$AL:$AN,DailyJul!$AP:$AR,DailyJul!$AT:$AX,DailyJul!$AZ:$BC,DailyJul!$BE:$BF</oldFormula>
  </rdn>
  <rdn rId="0" localSheetId="15" customView="1" name="Z_32ABFE17_599B_4D0B_A1DB_D95B181877FC_.wvu.Cols" hidden="1" oldHidden="1">
    <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formula>
    <old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oldFormula>
  </rdn>
  <rdn rId="0" localSheetId="16" customView="1" name="Z_32ABFE17_599B_4D0B_A1DB_D95B181877FC_.wvu.PrintArea" hidden="1" oldHidden="1">
    <formula>DailyAug!$A$1:$BU$69</formula>
    <oldFormula>DailyAug!$A$1:$BU$69</oldFormula>
  </rdn>
  <rdn rId="0" localSheetId="17" customView="1" name="Z_32ABFE17_599B_4D0B_A1DB_D95B181877FC_.wvu.Cols" hidden="1" oldHidden="1">
    <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formula>
    <old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oldFormula>
  </rdn>
  <rdn rId="0" localSheetId="19" customView="1" name="Z_32ABFE17_599B_4D0B_A1DB_D95B181877FC_.wvu.Cols" hidden="1" oldHidden="1">
    <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formula>
    <old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oldFormula>
  </rdn>
  <rdn rId="0" localSheetId="21" customView="1" name="Z_32ABFE17_599B_4D0B_A1DB_D95B181877FC_.wvu.Cols" hidden="1" oldHidden="1">
    <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formula>
    <old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oldFormula>
  </rdn>
  <rcv guid="{32ABFE17-599B-4D0B-A1DB-D95B181877FC}" action="add"/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37" sId="19">
    <oc r="GP38">
      <f>IF((GN38-GN37)&lt;=0,0,(GN38-GN37))</f>
    </oc>
    <nc r="GP38">
      <f>IF((GN38-GN37)&lt;=0,0,(GN38-GN37))</f>
    </nc>
  </rcc>
  <rcc rId="2938" sId="19" numFmtId="4">
    <oc r="CY38">
      <v>2824000</v>
    </oc>
    <nc r="CY38">
      <v>2824990</v>
    </nc>
  </rcc>
  <rcc rId="2939" sId="19">
    <oc r="II38">
      <f>HJ38+HM38-HS38-HV38-HY38-IH38-HP38-IB38-IE38</f>
    </oc>
    <nc r="II38">
      <f>HJ38+HM38-HS38-HV38-HY38-IH38-HP38-IB38</f>
    </nc>
  </rcc>
  <rcc rId="2940" sId="19">
    <oc r="HZ38">
      <v>4085300</v>
    </oc>
    <nc r="HZ38">
      <v>4035300</v>
    </nc>
  </rcc>
  <rcc rId="2941" sId="19">
    <nc r="IJ75">
      <v>-400</v>
    </nc>
  </rcc>
  <rcc rId="2942" sId="19">
    <nc r="IL75">
      <v>-100</v>
    </nc>
  </rcc>
  <rcc rId="2943" sId="19">
    <oc r="EC38">
      <f>IFERROR(IF((EA38-EA37)*1000&lt;=0,0,(EA38-EA37)*1000)+GX38+$EE$41,0)</f>
    </oc>
    <nc r="EC38">
      <f>IF((EA38-EA37)*1000&lt;=0,0,(EA38-EA37)*1000)+GX38+$EE$40</f>
    </nc>
  </rcc>
  <rcc rId="2944" sId="19">
    <oc r="DZ38">
      <f>IF((DX38-DX37)*1000&lt;=0,0,(DX38-DX37)*1000)+GX38</f>
    </oc>
    <nc r="DZ38">
      <f>IF((DX38-DX37)*1000&lt;=0,0,(DX38-DX37)*1000)+GX38</f>
    </nc>
  </rcc>
  <rcc rId="2945" sId="19" numFmtId="4">
    <oc r="DX38">
      <v>14172</v>
    </oc>
    <nc r="DX38">
      <v>14172.1</v>
    </nc>
  </rcc>
  <rcc rId="2946" sId="19">
    <oc r="FH76">
      <f>FF76*$FC$45</f>
    </oc>
    <nc r="FH76"/>
  </rcc>
  <rcc rId="2947" sId="19">
    <oc r="FI76">
      <f>FG76*$FC$45</f>
    </oc>
    <nc r="FI76"/>
  </rcc>
  <rcc rId="2948" sId="19">
    <oc r="FJ76">
      <f>FF76*FD76</f>
    </oc>
    <nc r="FJ76"/>
  </rcc>
  <rcc rId="2949" sId="19">
    <oc r="FK76">
      <f>FG76*FD76</f>
    </oc>
    <nc r="FK76"/>
  </rcc>
  <rcc rId="2950" sId="19">
    <oc r="FL76">
      <f>FH76+FJ76</f>
    </oc>
    <nc r="FL76"/>
  </rcc>
  <rcc rId="2951" sId="19">
    <oc r="FM76">
      <f>FI76+FK76</f>
    </oc>
    <nc r="FM76"/>
  </rcc>
  <rcc rId="2952" sId="19">
    <oc r="FN76">
      <f>FL76+FM76</f>
    </oc>
    <nc r="FN76"/>
  </rcc>
  <rcc rId="2953" sId="19">
    <oc r="FR76">
      <v>1</v>
    </oc>
    <nc r="FR76"/>
  </rcc>
  <rcc rId="2954" sId="20">
    <oc r="BM37">
      <f>(AS37-BL37)</f>
    </oc>
    <nc r="BM37">
      <f>(AS37-BL37)*0.52</f>
    </nc>
  </rcc>
  <rfmt sheetId="20" sqref="BV37" start="0" length="0">
    <dxf>
      <fill>
        <patternFill patternType="solid">
          <bgColor rgb="FFFFFF00"/>
        </patternFill>
      </fill>
    </dxf>
  </rfmt>
  <rcc rId="2955" sId="20">
    <oc r="BU37">
      <f>Oct!G77</f>
    </oc>
    <nc r="BU37">
      <f>Oct!G77</f>
    </nc>
  </rcc>
  <rcc rId="2956" sId="19" numFmtId="34">
    <nc r="B77">
      <v>0.37280000000000002</v>
    </nc>
  </rcc>
  <rcc rId="2957" sId="19">
    <nc r="D77">
      <f>IF((B77-B76)&lt;=0,0,(B77-B76))*1000000</f>
    </nc>
  </rcc>
  <rcc rId="2958" sId="19">
    <nc r="J77">
      <f>IF((H77-H76)&lt;=0,0,(H77-H76))*1000</f>
    </nc>
  </rcc>
  <rcv guid="{48545DB9-4D9D-4699-ACEC-DA6E2D3586A8}" action="delete"/>
  <rdn rId="0" localSheetId="1" customView="1" name="Z_48545DB9_4D9D_4699_ACEC_DA6E2D3586A8_.wvu.Cols" hidden="1" oldHidden="1">
    <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formula>
    <old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oldFormula>
  </rdn>
  <rdn rId="0" localSheetId="2" customView="1" name="Z_48545DB9_4D9D_4699_ACEC_DA6E2D3586A8_.wvu.Cols" hidden="1" oldHidden="1">
    <formula>DailyJan!$D:$M,DailyJan!$W:$X,DailyJan!$AH:$AJ,DailyJan!$AL:$AN,DailyJan!$AP:$AR,DailyJan!$AT:$AX,DailyJan!$AZ:$BC,DailyJan!$BX:$BY</formula>
    <oldFormula>DailyJan!$D:$M,DailyJan!$W:$X,DailyJan!$AH:$AJ,DailyJan!$AL:$AN,DailyJan!$AP:$AR,DailyJan!$AT:$AX,DailyJan!$AZ:$BC,DailyJan!$BX:$BY</oldFormula>
  </rdn>
  <rdn rId="0" localSheetId="3" customView="1" name="Z_48545DB9_4D9D_4699_ACEC_DA6E2D3586A8_.wvu.Rows" hidden="1" oldHidden="1">
    <formula>Feb!$36:$38</formula>
    <oldFormula>Feb!$36:$38</oldFormula>
  </rdn>
  <rdn rId="0" localSheetId="3" customView="1" name="Z_48545DB9_4D9D_4699_ACEC_DA6E2D3586A8_.wvu.Cols" hidden="1" oldHidden="1">
    <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formula>
    <old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oldFormula>
  </rdn>
  <rdn rId="0" localSheetId="4" customView="1" name="Z_48545DB9_4D9D_4699_ACEC_DA6E2D3586A8_.wvu.Rows" hidden="1" oldHidden="1">
    <formula>DailyFeb!$35:$37</formula>
    <oldFormula>DailyFeb!$35:$37</oldFormula>
  </rdn>
  <rdn rId="0" localSheetId="4" customView="1" name="Z_48545DB9_4D9D_4699_ACEC_DA6E2D3586A8_.wvu.Cols" hidden="1" oldHidden="1">
    <formula>DailyFeb!$D:$M,DailyFeb!$W:$X,DailyFeb!$AH:$AJ,DailyFeb!$AL:$AN,DailyFeb!$AP:$AR</formula>
    <oldFormula>DailyFeb!$D:$M,DailyFeb!$W:$X,DailyFeb!$AH:$AJ,DailyFeb!$AL:$AN,DailyFeb!$AP:$AR</oldFormula>
  </rdn>
  <rdn rId="0" localSheetId="5" customView="1" name="Z_48545DB9_4D9D_4699_ACEC_DA6E2D3586A8_.wvu.Cols" hidden="1" oldHidden="1">
    <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formula>
    <old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oldFormula>
  </rdn>
  <rdn rId="0" localSheetId="6" customView="1" name="Z_48545DB9_4D9D_4699_ACEC_DA6E2D3586A8_.wvu.Cols" hidden="1" oldHidden="1">
    <formula>DailyMar!$D:$M,DailyMar!$O:$U,DailyMar!$W:$X,DailyMar!$AH:$AJ,DailyMar!$AL:$AN,DailyMar!$AP:$AR,DailyMar!$AT:$AX,DailyMar!$AZ:$BC,DailyMar!$BE:$BF,DailyMar!$BV:$CC</formula>
    <oldFormula>DailyMar!$D:$M,DailyMar!$O:$U,DailyMar!$W:$X,DailyMar!$AH:$AJ,DailyMar!$AL:$AN,DailyMar!$AP:$AR,DailyMar!$AT:$AX,DailyMar!$AZ:$BC,DailyMar!$BE:$BF,DailyMar!$BV:$CC</oldFormula>
  </rdn>
  <rdn rId="0" localSheetId="7" customView="1" name="Z_48545DB9_4D9D_4699_ACEC_DA6E2D3586A8_.wvu.Rows" hidden="1" oldHidden="1">
    <formula>Apr!$38:$38</formula>
    <oldFormula>Apr!$38:$38</oldFormula>
  </rdn>
  <rdn rId="0" localSheetId="7" customView="1" name="Z_48545DB9_4D9D_4699_ACEC_DA6E2D3586A8_.wvu.Cols" hidden="1" oldHidden="1">
    <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formula>
    <old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oldFormula>
  </rdn>
  <rdn rId="0" localSheetId="8" customView="1" name="Z_48545DB9_4D9D_4699_ACEC_DA6E2D3586A8_.wvu.Rows" hidden="1" oldHidden="1">
    <formula>DailyApr!$37:$37</formula>
    <oldFormula>DailyApr!$37:$37</oldFormula>
  </rdn>
  <rdn rId="0" localSheetId="8" customView="1" name="Z_48545DB9_4D9D_4699_ACEC_DA6E2D3586A8_.wvu.Cols" hidden="1" oldHidden="1">
    <formula>DailyApr!$D:$M,DailyApr!$O:$U,DailyApr!$W:$X,DailyApr!$AH:$AJ,DailyApr!$AL:$AN,DailyApr!$AP:$AR,DailyApr!$AT:$AX,DailyApr!$AZ:$BC,DailyApr!$BE:$BF,DailyApr!$BV:$CG</formula>
    <oldFormula>DailyApr!$D:$M,DailyApr!$O:$U,DailyApr!$W:$X,DailyApr!$AH:$AJ,DailyApr!$AL:$AN,DailyApr!$AP:$AR,DailyApr!$AT:$AX,DailyApr!$AZ:$BC,DailyApr!$BE:$BF,DailyApr!$BV:$CG</oldFormula>
  </rdn>
  <rdn rId="0" localSheetId="9" customView="1" name="Z_48545DB9_4D9D_4699_ACEC_DA6E2D3586A8_.wvu.Cols" hidden="1" oldHidden="1">
    <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formula>
    <old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oldFormula>
  </rdn>
  <rdn rId="0" localSheetId="10" customView="1" name="Z_48545DB9_4D9D_4699_ACEC_DA6E2D3586A8_.wvu.Cols" hidden="1" oldHidden="1">
    <formula>DailyMei!$D:$M,DailyMei!$O:$U,DailyMei!$W:$X,DailyMei!$AH:$AJ,DailyMei!$AL:$AN,DailyMei!$AP:$AR,DailyMei!$AT:$AX,DailyMei!$AZ:$BC,DailyMei!$BE:$BF,DailyMei!$BV:$CK</formula>
    <oldFormula>DailyMei!$D:$M,DailyMei!$O:$U,DailyMei!$W:$X,DailyMei!$AH:$AJ,DailyMei!$AL:$AN,DailyMei!$AP:$AR,DailyMei!$AT:$AX,DailyMei!$AZ:$BC,DailyMei!$BE:$BF,DailyMei!$BV:$CK</oldFormula>
  </rdn>
  <rdn rId="0" localSheetId="11" customView="1" name="Z_48545DB9_4D9D_4699_ACEC_DA6E2D3586A8_.wvu.Cols" hidden="1" oldHidden="1">
    <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formula>
    <old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oldFormula>
  </rdn>
  <rdn rId="0" localSheetId="12" customView="1" name="Z_48545DB9_4D9D_4699_ACEC_DA6E2D3586A8_.wvu.Rows" hidden="1" oldHidden="1">
    <formula>DailyJun!$37:$37</formula>
    <oldFormula>DailyJun!$37:$37</oldFormula>
  </rdn>
  <rdn rId="0" localSheetId="12" customView="1" name="Z_48545DB9_4D9D_4699_ACEC_DA6E2D3586A8_.wvu.Cols" hidden="1" oldHidden="1">
    <formula>DailyJun!$D:$M,DailyJun!$O:$U,DailyJun!$W:$X,DailyJun!$AH:$AJ,DailyJun!$AL:$AN,DailyJun!$AP:$AR,DailyJun!$AT:$AX,DailyJun!$AZ:$BC,DailyJun!$BE:$BF,DailyJun!$BV:$CI</formula>
    <oldFormula>DailyJun!$D:$M,DailyJun!$O:$U,DailyJun!$W:$X,DailyJun!$AH:$AJ,DailyJun!$AL:$AN,DailyJun!$AP:$AR,DailyJun!$AT:$AX,DailyJun!$AZ:$BC,DailyJun!$BE:$BF,DailyJun!$BV:$CI</oldFormula>
  </rdn>
  <rdn rId="0" localSheetId="13" customView="1" name="Z_48545DB9_4D9D_4699_ACEC_DA6E2D3586A8_.wvu.Cols" hidden="1" oldHidden="1">
    <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formula>
    <old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oldFormula>
  </rdn>
  <rdn rId="0" localSheetId="14" customView="1" name="Z_48545DB9_4D9D_4699_ACEC_DA6E2D3586A8_.wvu.Cols" hidden="1" oldHidden="1">
    <formula>DailyJul!$D:$M,DailyJul!$O:$U,DailyJul!$W:$X,DailyJul!$AH:$AJ,DailyJul!$AL:$AN,DailyJul!$AP:$AR,DailyJul!$AT:$AX,DailyJul!$AZ:$BC,DailyJul!$BE:$BF</formula>
    <oldFormula>DailyJul!$D:$M,DailyJul!$O:$U,DailyJul!$W:$X,DailyJul!$AH:$AJ,DailyJul!$AL:$AN,DailyJul!$AP:$AR,DailyJul!$AT:$AX,DailyJul!$AZ:$BC,DailyJul!$BE:$BF</oldFormula>
  </rdn>
  <rdn rId="0" localSheetId="15" customView="1" name="Z_48545DB9_4D9D_4699_ACEC_DA6E2D3586A8_.wvu.Cols" hidden="1" oldHidden="1">
    <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formula>
    <old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oldFormula>
  </rdn>
  <rdn rId="0" localSheetId="16" customView="1" name="Z_48545DB9_4D9D_4699_ACEC_DA6E2D3586A8_.wvu.PrintArea" hidden="1" oldHidden="1">
    <formula>DailyAug!$A$1:$BU$69</formula>
    <oldFormula>DailyAug!$A$1:$BU$69</oldFormula>
  </rdn>
  <rdn rId="0" localSheetId="17" customView="1" name="Z_48545DB9_4D9D_4699_ACEC_DA6E2D3586A8_.wvu.Cols" hidden="1" oldHidden="1">
    <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formula>
    <old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oldFormula>
  </rdn>
  <rdn rId="0" localSheetId="19" customView="1" name="Z_48545DB9_4D9D_4699_ACEC_DA6E2D3586A8_.wvu.Cols" hidden="1" oldHidden="1">
    <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formula>
    <old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oldFormula>
  </rdn>
  <rdn rId="0" localSheetId="21" customView="1" name="Z_48545DB9_4D9D_4699_ACEC_DA6E2D3586A8_.wvu.Cols" hidden="1" oldHidden="1">
    <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formula>
    <old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oldFormula>
  </rdn>
  <rcv guid="{48545DB9-4D9D-4699-ACEC-DA6E2D3586A8}" action="add"/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83" sId="19" numFmtId="34">
    <oc r="GV38">
      <v>13274.8</v>
    </oc>
    <nc r="GV38">
      <v>8024.8</v>
    </nc>
  </rcc>
  <rcc rId="2984" sId="19">
    <oc r="GX38">
      <v>884.99</v>
    </oc>
    <nc r="GX38">
      <v>534.99</v>
    </nc>
  </rcc>
  <rcc rId="2985" sId="20" numFmtId="34">
    <oc r="BL37">
      <f>+AS37*0.52</f>
    </oc>
    <nc r="BL37">
      <v>0</v>
    </nc>
  </rcc>
  <rcv guid="{48545DB9-4D9D-4699-ACEC-DA6E2D3586A8}" action="delete"/>
  <rdn rId="0" localSheetId="1" customView="1" name="Z_48545DB9_4D9D_4699_ACEC_DA6E2D3586A8_.wvu.Cols" hidden="1" oldHidden="1">
    <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formula>
    <old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oldFormula>
  </rdn>
  <rdn rId="0" localSheetId="2" customView="1" name="Z_48545DB9_4D9D_4699_ACEC_DA6E2D3586A8_.wvu.Cols" hidden="1" oldHidden="1">
    <formula>DailyJan!$D:$M,DailyJan!$W:$X,DailyJan!$AH:$AJ,DailyJan!$AL:$AN,DailyJan!$AP:$AR,DailyJan!$AT:$AX,DailyJan!$AZ:$BC,DailyJan!$BX:$BY</formula>
    <oldFormula>DailyJan!$D:$M,DailyJan!$W:$X,DailyJan!$AH:$AJ,DailyJan!$AL:$AN,DailyJan!$AP:$AR,DailyJan!$AT:$AX,DailyJan!$AZ:$BC,DailyJan!$BX:$BY</oldFormula>
  </rdn>
  <rdn rId="0" localSheetId="3" customView="1" name="Z_48545DB9_4D9D_4699_ACEC_DA6E2D3586A8_.wvu.Rows" hidden="1" oldHidden="1">
    <formula>Feb!$36:$38</formula>
    <oldFormula>Feb!$36:$38</oldFormula>
  </rdn>
  <rdn rId="0" localSheetId="3" customView="1" name="Z_48545DB9_4D9D_4699_ACEC_DA6E2D3586A8_.wvu.Cols" hidden="1" oldHidden="1">
    <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formula>
    <old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oldFormula>
  </rdn>
  <rdn rId="0" localSheetId="4" customView="1" name="Z_48545DB9_4D9D_4699_ACEC_DA6E2D3586A8_.wvu.Rows" hidden="1" oldHidden="1">
    <formula>DailyFeb!$35:$37</formula>
    <oldFormula>DailyFeb!$35:$37</oldFormula>
  </rdn>
  <rdn rId="0" localSheetId="4" customView="1" name="Z_48545DB9_4D9D_4699_ACEC_DA6E2D3586A8_.wvu.Cols" hidden="1" oldHidden="1">
    <formula>DailyFeb!$D:$M,DailyFeb!$W:$X,DailyFeb!$AH:$AJ,DailyFeb!$AL:$AN,DailyFeb!$AP:$AR</formula>
    <oldFormula>DailyFeb!$D:$M,DailyFeb!$W:$X,DailyFeb!$AH:$AJ,DailyFeb!$AL:$AN,DailyFeb!$AP:$AR</oldFormula>
  </rdn>
  <rdn rId="0" localSheetId="5" customView="1" name="Z_48545DB9_4D9D_4699_ACEC_DA6E2D3586A8_.wvu.Cols" hidden="1" oldHidden="1">
    <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formula>
    <old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oldFormula>
  </rdn>
  <rdn rId="0" localSheetId="6" customView="1" name="Z_48545DB9_4D9D_4699_ACEC_DA6E2D3586A8_.wvu.Cols" hidden="1" oldHidden="1">
    <formula>DailyMar!$D:$M,DailyMar!$O:$U,DailyMar!$W:$X,DailyMar!$AH:$AJ,DailyMar!$AL:$AN,DailyMar!$AP:$AR,DailyMar!$AT:$AX,DailyMar!$AZ:$BC,DailyMar!$BE:$BF,DailyMar!$BV:$CC</formula>
    <oldFormula>DailyMar!$D:$M,DailyMar!$O:$U,DailyMar!$W:$X,DailyMar!$AH:$AJ,DailyMar!$AL:$AN,DailyMar!$AP:$AR,DailyMar!$AT:$AX,DailyMar!$AZ:$BC,DailyMar!$BE:$BF,DailyMar!$BV:$CC</oldFormula>
  </rdn>
  <rdn rId="0" localSheetId="7" customView="1" name="Z_48545DB9_4D9D_4699_ACEC_DA6E2D3586A8_.wvu.Rows" hidden="1" oldHidden="1">
    <formula>Apr!$38:$38</formula>
    <oldFormula>Apr!$38:$38</oldFormula>
  </rdn>
  <rdn rId="0" localSheetId="7" customView="1" name="Z_48545DB9_4D9D_4699_ACEC_DA6E2D3586A8_.wvu.Cols" hidden="1" oldHidden="1">
    <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formula>
    <old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oldFormula>
  </rdn>
  <rdn rId="0" localSheetId="8" customView="1" name="Z_48545DB9_4D9D_4699_ACEC_DA6E2D3586A8_.wvu.Rows" hidden="1" oldHidden="1">
    <formula>DailyApr!$37:$37</formula>
    <oldFormula>DailyApr!$37:$37</oldFormula>
  </rdn>
  <rdn rId="0" localSheetId="8" customView="1" name="Z_48545DB9_4D9D_4699_ACEC_DA6E2D3586A8_.wvu.Cols" hidden="1" oldHidden="1">
    <formula>DailyApr!$D:$M,DailyApr!$O:$U,DailyApr!$W:$X,DailyApr!$AH:$AJ,DailyApr!$AL:$AN,DailyApr!$AP:$AR,DailyApr!$AT:$AX,DailyApr!$AZ:$BC,DailyApr!$BE:$BF,DailyApr!$BV:$CG</formula>
    <oldFormula>DailyApr!$D:$M,DailyApr!$O:$U,DailyApr!$W:$X,DailyApr!$AH:$AJ,DailyApr!$AL:$AN,DailyApr!$AP:$AR,DailyApr!$AT:$AX,DailyApr!$AZ:$BC,DailyApr!$BE:$BF,DailyApr!$BV:$CG</oldFormula>
  </rdn>
  <rdn rId="0" localSheetId="9" customView="1" name="Z_48545DB9_4D9D_4699_ACEC_DA6E2D3586A8_.wvu.Cols" hidden="1" oldHidden="1">
    <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formula>
    <old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oldFormula>
  </rdn>
  <rdn rId="0" localSheetId="10" customView="1" name="Z_48545DB9_4D9D_4699_ACEC_DA6E2D3586A8_.wvu.Cols" hidden="1" oldHidden="1">
    <formula>DailyMei!$D:$M,DailyMei!$O:$U,DailyMei!$W:$X,DailyMei!$AH:$AJ,DailyMei!$AL:$AN,DailyMei!$AP:$AR,DailyMei!$AT:$AX,DailyMei!$AZ:$BC,DailyMei!$BE:$BF,DailyMei!$BV:$CK</formula>
    <oldFormula>DailyMei!$D:$M,DailyMei!$O:$U,DailyMei!$W:$X,DailyMei!$AH:$AJ,DailyMei!$AL:$AN,DailyMei!$AP:$AR,DailyMei!$AT:$AX,DailyMei!$AZ:$BC,DailyMei!$BE:$BF,DailyMei!$BV:$CK</oldFormula>
  </rdn>
  <rdn rId="0" localSheetId="11" customView="1" name="Z_48545DB9_4D9D_4699_ACEC_DA6E2D3586A8_.wvu.Cols" hidden="1" oldHidden="1">
    <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formula>
    <old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oldFormula>
  </rdn>
  <rdn rId="0" localSheetId="12" customView="1" name="Z_48545DB9_4D9D_4699_ACEC_DA6E2D3586A8_.wvu.Rows" hidden="1" oldHidden="1">
    <formula>DailyJun!$37:$37</formula>
    <oldFormula>DailyJun!$37:$37</oldFormula>
  </rdn>
  <rdn rId="0" localSheetId="12" customView="1" name="Z_48545DB9_4D9D_4699_ACEC_DA6E2D3586A8_.wvu.Cols" hidden="1" oldHidden="1">
    <formula>DailyJun!$D:$M,DailyJun!$O:$U,DailyJun!$W:$X,DailyJun!$AH:$AJ,DailyJun!$AL:$AN,DailyJun!$AP:$AR,DailyJun!$AT:$AX,DailyJun!$AZ:$BC,DailyJun!$BE:$BF,DailyJun!$BV:$CI</formula>
    <oldFormula>DailyJun!$D:$M,DailyJun!$O:$U,DailyJun!$W:$X,DailyJun!$AH:$AJ,DailyJun!$AL:$AN,DailyJun!$AP:$AR,DailyJun!$AT:$AX,DailyJun!$AZ:$BC,DailyJun!$BE:$BF,DailyJun!$BV:$CI</oldFormula>
  </rdn>
  <rdn rId="0" localSheetId="13" customView="1" name="Z_48545DB9_4D9D_4699_ACEC_DA6E2D3586A8_.wvu.Cols" hidden="1" oldHidden="1">
    <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formula>
    <old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oldFormula>
  </rdn>
  <rdn rId="0" localSheetId="14" customView="1" name="Z_48545DB9_4D9D_4699_ACEC_DA6E2D3586A8_.wvu.Cols" hidden="1" oldHidden="1">
    <formula>DailyJul!$D:$M,DailyJul!$O:$U,DailyJul!$W:$X,DailyJul!$AH:$AJ,DailyJul!$AL:$AN,DailyJul!$AP:$AR,DailyJul!$AT:$AX,DailyJul!$AZ:$BC,DailyJul!$BE:$BF</formula>
    <oldFormula>DailyJul!$D:$M,DailyJul!$O:$U,DailyJul!$W:$X,DailyJul!$AH:$AJ,DailyJul!$AL:$AN,DailyJul!$AP:$AR,DailyJul!$AT:$AX,DailyJul!$AZ:$BC,DailyJul!$BE:$BF</oldFormula>
  </rdn>
  <rdn rId="0" localSheetId="15" customView="1" name="Z_48545DB9_4D9D_4699_ACEC_DA6E2D3586A8_.wvu.Cols" hidden="1" oldHidden="1">
    <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formula>
    <old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oldFormula>
  </rdn>
  <rdn rId="0" localSheetId="16" customView="1" name="Z_48545DB9_4D9D_4699_ACEC_DA6E2D3586A8_.wvu.PrintArea" hidden="1" oldHidden="1">
    <formula>DailyAug!$A$1:$BU$69</formula>
    <oldFormula>DailyAug!$A$1:$BU$69</oldFormula>
  </rdn>
  <rdn rId="0" localSheetId="17" customView="1" name="Z_48545DB9_4D9D_4699_ACEC_DA6E2D3586A8_.wvu.Cols" hidden="1" oldHidden="1">
    <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formula>
    <old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oldFormula>
  </rdn>
  <rdn rId="0" localSheetId="19" customView="1" name="Z_48545DB9_4D9D_4699_ACEC_DA6E2D3586A8_.wvu.Cols" hidden="1" oldHidden="1">
    <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formula>
    <old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oldFormula>
  </rdn>
  <rdn rId="0" localSheetId="21" customView="1" name="Z_48545DB9_4D9D_4699_ACEC_DA6E2D3586A8_.wvu.Cols" hidden="1" oldHidden="1">
    <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formula>
    <old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oldFormula>
  </rdn>
  <rcv guid="{48545DB9-4D9D-4699-ACEC-DA6E2D3586A8}" action="add"/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48545DB9-4D9D-4699-ACEC-DA6E2D3586A8}" action="delete"/>
  <rdn rId="0" localSheetId="1" customView="1" name="Z_48545DB9_4D9D_4699_ACEC_DA6E2D3586A8_.wvu.Cols" hidden="1" oldHidden="1">
    <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formula>
    <old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oldFormula>
  </rdn>
  <rdn rId="0" localSheetId="2" customView="1" name="Z_48545DB9_4D9D_4699_ACEC_DA6E2D3586A8_.wvu.Cols" hidden="1" oldHidden="1">
    <formula>DailyJan!$D:$M,DailyJan!$W:$X,DailyJan!$AH:$AJ,DailyJan!$AL:$AN,DailyJan!$AP:$AR,DailyJan!$AT:$AX,DailyJan!$AZ:$BC,DailyJan!$BX:$BY</formula>
    <oldFormula>DailyJan!$D:$M,DailyJan!$W:$X,DailyJan!$AH:$AJ,DailyJan!$AL:$AN,DailyJan!$AP:$AR,DailyJan!$AT:$AX,DailyJan!$AZ:$BC,DailyJan!$BX:$BY</oldFormula>
  </rdn>
  <rdn rId="0" localSheetId="3" customView="1" name="Z_48545DB9_4D9D_4699_ACEC_DA6E2D3586A8_.wvu.Rows" hidden="1" oldHidden="1">
    <formula>Feb!$36:$38</formula>
    <oldFormula>Feb!$36:$38</oldFormula>
  </rdn>
  <rdn rId="0" localSheetId="3" customView="1" name="Z_48545DB9_4D9D_4699_ACEC_DA6E2D3586A8_.wvu.Cols" hidden="1" oldHidden="1">
    <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formula>
    <old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oldFormula>
  </rdn>
  <rdn rId="0" localSheetId="4" customView="1" name="Z_48545DB9_4D9D_4699_ACEC_DA6E2D3586A8_.wvu.Rows" hidden="1" oldHidden="1">
    <formula>DailyFeb!$35:$37</formula>
    <oldFormula>DailyFeb!$35:$37</oldFormula>
  </rdn>
  <rdn rId="0" localSheetId="4" customView="1" name="Z_48545DB9_4D9D_4699_ACEC_DA6E2D3586A8_.wvu.Cols" hidden="1" oldHidden="1">
    <formula>DailyFeb!$D:$M,DailyFeb!$W:$X,DailyFeb!$AH:$AJ,DailyFeb!$AL:$AN,DailyFeb!$AP:$AR</formula>
    <oldFormula>DailyFeb!$D:$M,DailyFeb!$W:$X,DailyFeb!$AH:$AJ,DailyFeb!$AL:$AN,DailyFeb!$AP:$AR</oldFormula>
  </rdn>
  <rdn rId="0" localSheetId="5" customView="1" name="Z_48545DB9_4D9D_4699_ACEC_DA6E2D3586A8_.wvu.Cols" hidden="1" oldHidden="1">
    <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formula>
    <old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oldFormula>
  </rdn>
  <rdn rId="0" localSheetId="6" customView="1" name="Z_48545DB9_4D9D_4699_ACEC_DA6E2D3586A8_.wvu.Cols" hidden="1" oldHidden="1">
    <formula>DailyMar!$D:$M,DailyMar!$O:$U,DailyMar!$W:$X,DailyMar!$AH:$AJ,DailyMar!$AL:$AN,DailyMar!$AP:$AR,DailyMar!$AT:$AX,DailyMar!$AZ:$BC,DailyMar!$BE:$BF,DailyMar!$BV:$CC</formula>
    <oldFormula>DailyMar!$D:$M,DailyMar!$O:$U,DailyMar!$W:$X,DailyMar!$AH:$AJ,DailyMar!$AL:$AN,DailyMar!$AP:$AR,DailyMar!$AT:$AX,DailyMar!$AZ:$BC,DailyMar!$BE:$BF,DailyMar!$BV:$CC</oldFormula>
  </rdn>
  <rdn rId="0" localSheetId="7" customView="1" name="Z_48545DB9_4D9D_4699_ACEC_DA6E2D3586A8_.wvu.Rows" hidden="1" oldHidden="1">
    <formula>Apr!$38:$38</formula>
    <oldFormula>Apr!$38:$38</oldFormula>
  </rdn>
  <rdn rId="0" localSheetId="7" customView="1" name="Z_48545DB9_4D9D_4699_ACEC_DA6E2D3586A8_.wvu.Cols" hidden="1" oldHidden="1">
    <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formula>
    <old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oldFormula>
  </rdn>
  <rdn rId="0" localSheetId="8" customView="1" name="Z_48545DB9_4D9D_4699_ACEC_DA6E2D3586A8_.wvu.Rows" hidden="1" oldHidden="1">
    <formula>DailyApr!$37:$37</formula>
    <oldFormula>DailyApr!$37:$37</oldFormula>
  </rdn>
  <rdn rId="0" localSheetId="8" customView="1" name="Z_48545DB9_4D9D_4699_ACEC_DA6E2D3586A8_.wvu.Cols" hidden="1" oldHidden="1">
    <formula>DailyApr!$D:$M,DailyApr!$O:$U,DailyApr!$W:$X,DailyApr!$AH:$AJ,DailyApr!$AL:$AN,DailyApr!$AP:$AR,DailyApr!$AT:$AX,DailyApr!$AZ:$BC,DailyApr!$BE:$BF,DailyApr!$BV:$CG</formula>
    <oldFormula>DailyApr!$D:$M,DailyApr!$O:$U,DailyApr!$W:$X,DailyApr!$AH:$AJ,DailyApr!$AL:$AN,DailyApr!$AP:$AR,DailyApr!$AT:$AX,DailyApr!$AZ:$BC,DailyApr!$BE:$BF,DailyApr!$BV:$CG</oldFormula>
  </rdn>
  <rdn rId="0" localSheetId="9" customView="1" name="Z_48545DB9_4D9D_4699_ACEC_DA6E2D3586A8_.wvu.Cols" hidden="1" oldHidden="1">
    <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formula>
    <old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oldFormula>
  </rdn>
  <rdn rId="0" localSheetId="10" customView="1" name="Z_48545DB9_4D9D_4699_ACEC_DA6E2D3586A8_.wvu.Cols" hidden="1" oldHidden="1">
    <formula>DailyMei!$D:$M,DailyMei!$O:$U,DailyMei!$W:$X,DailyMei!$AH:$AJ,DailyMei!$AL:$AN,DailyMei!$AP:$AR,DailyMei!$AT:$AX,DailyMei!$AZ:$BC,DailyMei!$BE:$BF,DailyMei!$BV:$CK</formula>
    <oldFormula>DailyMei!$D:$M,DailyMei!$O:$U,DailyMei!$W:$X,DailyMei!$AH:$AJ,DailyMei!$AL:$AN,DailyMei!$AP:$AR,DailyMei!$AT:$AX,DailyMei!$AZ:$BC,DailyMei!$BE:$BF,DailyMei!$BV:$CK</oldFormula>
  </rdn>
  <rdn rId="0" localSheetId="11" customView="1" name="Z_48545DB9_4D9D_4699_ACEC_DA6E2D3586A8_.wvu.Cols" hidden="1" oldHidden="1">
    <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formula>
    <old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oldFormula>
  </rdn>
  <rdn rId="0" localSheetId="12" customView="1" name="Z_48545DB9_4D9D_4699_ACEC_DA6E2D3586A8_.wvu.Rows" hidden="1" oldHidden="1">
    <formula>DailyJun!$37:$37</formula>
    <oldFormula>DailyJun!$37:$37</oldFormula>
  </rdn>
  <rdn rId="0" localSheetId="12" customView="1" name="Z_48545DB9_4D9D_4699_ACEC_DA6E2D3586A8_.wvu.Cols" hidden="1" oldHidden="1">
    <formula>DailyJun!$D:$M,DailyJun!$O:$U,DailyJun!$W:$X,DailyJun!$AH:$AJ,DailyJun!$AL:$AN,DailyJun!$AP:$AR,DailyJun!$AT:$AX,DailyJun!$AZ:$BC,DailyJun!$BE:$BF,DailyJun!$BV:$CI</formula>
    <oldFormula>DailyJun!$D:$M,DailyJun!$O:$U,DailyJun!$W:$X,DailyJun!$AH:$AJ,DailyJun!$AL:$AN,DailyJun!$AP:$AR,DailyJun!$AT:$AX,DailyJun!$AZ:$BC,DailyJun!$BE:$BF,DailyJun!$BV:$CI</oldFormula>
  </rdn>
  <rdn rId="0" localSheetId="13" customView="1" name="Z_48545DB9_4D9D_4699_ACEC_DA6E2D3586A8_.wvu.Cols" hidden="1" oldHidden="1">
    <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formula>
    <old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oldFormula>
  </rdn>
  <rdn rId="0" localSheetId="14" customView="1" name="Z_48545DB9_4D9D_4699_ACEC_DA6E2D3586A8_.wvu.Cols" hidden="1" oldHidden="1">
    <formula>DailyJul!$D:$M,DailyJul!$O:$U,DailyJul!$W:$X,DailyJul!$AH:$AJ,DailyJul!$AL:$AN,DailyJul!$AP:$AR,DailyJul!$AT:$AX,DailyJul!$AZ:$BC,DailyJul!$BE:$BF</formula>
    <oldFormula>DailyJul!$D:$M,DailyJul!$O:$U,DailyJul!$W:$X,DailyJul!$AH:$AJ,DailyJul!$AL:$AN,DailyJul!$AP:$AR,DailyJul!$AT:$AX,DailyJul!$AZ:$BC,DailyJul!$BE:$BF</oldFormula>
  </rdn>
  <rdn rId="0" localSheetId="15" customView="1" name="Z_48545DB9_4D9D_4699_ACEC_DA6E2D3586A8_.wvu.Cols" hidden="1" oldHidden="1">
    <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formula>
    <old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oldFormula>
  </rdn>
  <rdn rId="0" localSheetId="16" customView="1" name="Z_48545DB9_4D9D_4699_ACEC_DA6E2D3586A8_.wvu.PrintArea" hidden="1" oldHidden="1">
    <formula>DailyAug!$A$1:$BU$69</formula>
    <oldFormula>DailyAug!$A$1:$BU$69</oldFormula>
  </rdn>
  <rdn rId="0" localSheetId="17" customView="1" name="Z_48545DB9_4D9D_4699_ACEC_DA6E2D3586A8_.wvu.Cols" hidden="1" oldHidden="1">
    <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formula>
    <old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oldFormula>
  </rdn>
  <rdn rId="0" localSheetId="19" customView="1" name="Z_48545DB9_4D9D_4699_ACEC_DA6E2D3586A8_.wvu.Cols" hidden="1" oldHidden="1">
    <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formula>
    <old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oldFormula>
  </rdn>
  <rdn rId="0" localSheetId="21" customView="1" name="Z_48545DB9_4D9D_4699_ACEC_DA6E2D3586A8_.wvu.Cols" hidden="1" oldHidden="1">
    <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formula>
    <old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oldFormula>
  </rdn>
  <rcv guid="{48545DB9-4D9D-4699-ACEC-DA6E2D3586A8}" action="add"/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32ABFE17-599B-4D0B-A1DB-D95B181877FC}" action="delete"/>
  <rdn rId="0" localSheetId="1" customView="1" name="Z_32ABFE17_599B_4D0B_A1DB_D95B181877FC_.wvu.Cols" hidden="1" oldHidden="1">
    <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formula>
    <old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oldFormula>
  </rdn>
  <rdn rId="0" localSheetId="2" customView="1" name="Z_32ABFE17_599B_4D0B_A1DB_D95B181877FC_.wvu.Cols" hidden="1" oldHidden="1">
    <formula>DailyJan!$D:$M,DailyJan!$W:$X,DailyJan!$AH:$AJ,DailyJan!$AL:$AN,DailyJan!$AP:$AR,DailyJan!$AT:$AX,DailyJan!$AZ:$BC,DailyJan!$BX:$BY</formula>
    <oldFormula>DailyJan!$D:$M,DailyJan!$W:$X,DailyJan!$AH:$AJ,DailyJan!$AL:$AN,DailyJan!$AP:$AR,DailyJan!$AT:$AX,DailyJan!$AZ:$BC,DailyJan!$BX:$BY</oldFormula>
  </rdn>
  <rdn rId="0" localSheetId="3" customView="1" name="Z_32ABFE17_599B_4D0B_A1DB_D95B181877FC_.wvu.Rows" hidden="1" oldHidden="1">
    <formula>Feb!$36:$38</formula>
    <oldFormula>Feb!$36:$38</oldFormula>
  </rdn>
  <rdn rId="0" localSheetId="3" customView="1" name="Z_32ABFE17_599B_4D0B_A1DB_D95B181877FC_.wvu.Cols" hidden="1" oldHidden="1">
    <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formula>
    <old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oldFormula>
  </rdn>
  <rdn rId="0" localSheetId="4" customView="1" name="Z_32ABFE17_599B_4D0B_A1DB_D95B181877FC_.wvu.Rows" hidden="1" oldHidden="1">
    <formula>DailyFeb!$35:$37</formula>
    <oldFormula>DailyFeb!$35:$37</oldFormula>
  </rdn>
  <rdn rId="0" localSheetId="4" customView="1" name="Z_32ABFE17_599B_4D0B_A1DB_D95B181877FC_.wvu.Cols" hidden="1" oldHidden="1">
    <formula>DailyFeb!$D:$M,DailyFeb!$W:$X,DailyFeb!$AH:$AJ,DailyFeb!$AL:$AN,DailyFeb!$AP:$AR</formula>
    <oldFormula>DailyFeb!$D:$M,DailyFeb!$W:$X,DailyFeb!$AH:$AJ,DailyFeb!$AL:$AN,DailyFeb!$AP:$AR</oldFormula>
  </rdn>
  <rdn rId="0" localSheetId="5" customView="1" name="Z_32ABFE17_599B_4D0B_A1DB_D95B181877FC_.wvu.Cols" hidden="1" oldHidden="1">
    <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formula>
    <old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oldFormula>
  </rdn>
  <rdn rId="0" localSheetId="6" customView="1" name="Z_32ABFE17_599B_4D0B_A1DB_D95B181877FC_.wvu.Cols" hidden="1" oldHidden="1">
    <formula>DailyMar!$D:$M,DailyMar!$O:$U,DailyMar!$W:$X,DailyMar!$AH:$AJ,DailyMar!$AL:$AN,DailyMar!$AP:$AR,DailyMar!$AT:$AX,DailyMar!$AZ:$BC,DailyMar!$BE:$BF,DailyMar!$BV:$CC</formula>
    <oldFormula>DailyMar!$D:$M,DailyMar!$O:$U,DailyMar!$W:$X,DailyMar!$AH:$AJ,DailyMar!$AL:$AN,DailyMar!$AP:$AR,DailyMar!$AT:$AX,DailyMar!$AZ:$BC,DailyMar!$BE:$BF,DailyMar!$BV:$CC</oldFormula>
  </rdn>
  <rdn rId="0" localSheetId="7" customView="1" name="Z_32ABFE17_599B_4D0B_A1DB_D95B181877FC_.wvu.Rows" hidden="1" oldHidden="1">
    <formula>Apr!$38:$38</formula>
    <oldFormula>Apr!$38:$38</oldFormula>
  </rdn>
  <rdn rId="0" localSheetId="7" customView="1" name="Z_32ABFE17_599B_4D0B_A1DB_D95B181877FC_.wvu.Cols" hidden="1" oldHidden="1">
    <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formula>
    <old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oldFormula>
  </rdn>
  <rdn rId="0" localSheetId="8" customView="1" name="Z_32ABFE17_599B_4D0B_A1DB_D95B181877FC_.wvu.Rows" hidden="1" oldHidden="1">
    <formula>DailyApr!$37:$37</formula>
    <oldFormula>DailyApr!$37:$37</oldFormula>
  </rdn>
  <rdn rId="0" localSheetId="8" customView="1" name="Z_32ABFE17_599B_4D0B_A1DB_D95B181877FC_.wvu.Cols" hidden="1" oldHidden="1">
    <formula>DailyApr!$D:$M,DailyApr!$O:$U,DailyApr!$W:$X,DailyApr!$AH:$AJ,DailyApr!$AL:$AN,DailyApr!$AP:$AR,DailyApr!$AT:$AX,DailyApr!$AZ:$BC,DailyApr!$BE:$BF,DailyApr!$BV:$CG</formula>
    <oldFormula>DailyApr!$D:$M,DailyApr!$O:$U,DailyApr!$W:$X,DailyApr!$AH:$AJ,DailyApr!$AL:$AN,DailyApr!$AP:$AR,DailyApr!$AT:$AX,DailyApr!$AZ:$BC,DailyApr!$BE:$BF,DailyApr!$BV:$CG</oldFormula>
  </rdn>
  <rdn rId="0" localSheetId="9" customView="1" name="Z_32ABFE17_599B_4D0B_A1DB_D95B181877FC_.wvu.Cols" hidden="1" oldHidden="1">
    <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formula>
    <old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oldFormula>
  </rdn>
  <rdn rId="0" localSheetId="10" customView="1" name="Z_32ABFE17_599B_4D0B_A1DB_D95B181877FC_.wvu.Cols" hidden="1" oldHidden="1">
    <formula>DailyMei!$D:$M,DailyMei!$O:$U,DailyMei!$W:$X,DailyMei!$AH:$AJ,DailyMei!$AL:$AN,DailyMei!$AP:$AR,DailyMei!$AT:$AX,DailyMei!$AZ:$BC,DailyMei!$BE:$BF,DailyMei!$BV:$CK</formula>
    <oldFormula>DailyMei!$D:$M,DailyMei!$O:$U,DailyMei!$W:$X,DailyMei!$AH:$AJ,DailyMei!$AL:$AN,DailyMei!$AP:$AR,DailyMei!$AT:$AX,DailyMei!$AZ:$BC,DailyMei!$BE:$BF,DailyMei!$BV:$CK</oldFormula>
  </rdn>
  <rdn rId="0" localSheetId="11" customView="1" name="Z_32ABFE17_599B_4D0B_A1DB_D95B181877FC_.wvu.Cols" hidden="1" oldHidden="1">
    <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formula>
    <old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oldFormula>
  </rdn>
  <rdn rId="0" localSheetId="12" customView="1" name="Z_32ABFE17_599B_4D0B_A1DB_D95B181877FC_.wvu.Rows" hidden="1" oldHidden="1">
    <formula>DailyJun!$37:$37</formula>
    <oldFormula>DailyJun!$37:$37</oldFormula>
  </rdn>
  <rdn rId="0" localSheetId="12" customView="1" name="Z_32ABFE17_599B_4D0B_A1DB_D95B181877FC_.wvu.Cols" hidden="1" oldHidden="1">
    <formula>DailyJun!$D:$M,DailyJun!$O:$U,DailyJun!$W:$X,DailyJun!$AH:$AJ,DailyJun!$AL:$AN,DailyJun!$AP:$AR,DailyJun!$AT:$AX,DailyJun!$AZ:$BC,DailyJun!$BE:$BF,DailyJun!$BV:$CI</formula>
    <oldFormula>DailyJun!$D:$M,DailyJun!$O:$U,DailyJun!$W:$X,DailyJun!$AH:$AJ,DailyJun!$AL:$AN,DailyJun!$AP:$AR,DailyJun!$AT:$AX,DailyJun!$AZ:$BC,DailyJun!$BE:$BF,DailyJun!$BV:$CI</oldFormula>
  </rdn>
  <rdn rId="0" localSheetId="13" customView="1" name="Z_32ABFE17_599B_4D0B_A1DB_D95B181877FC_.wvu.Cols" hidden="1" oldHidden="1">
    <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formula>
    <old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oldFormula>
  </rdn>
  <rdn rId="0" localSheetId="14" customView="1" name="Z_32ABFE17_599B_4D0B_A1DB_D95B181877FC_.wvu.Cols" hidden="1" oldHidden="1">
    <formula>DailyJul!$D:$M,DailyJul!$O:$U,DailyJul!$W:$X,DailyJul!$AH:$AJ,DailyJul!$AL:$AN,DailyJul!$AP:$AR,DailyJul!$AT:$AX,DailyJul!$AZ:$BC,DailyJul!$BE:$BF</formula>
    <oldFormula>DailyJul!$D:$M,DailyJul!$O:$U,DailyJul!$W:$X,DailyJul!$AH:$AJ,DailyJul!$AL:$AN,DailyJul!$AP:$AR,DailyJul!$AT:$AX,DailyJul!$AZ:$BC,DailyJul!$BE:$BF</oldFormula>
  </rdn>
  <rdn rId="0" localSheetId="15" customView="1" name="Z_32ABFE17_599B_4D0B_A1DB_D95B181877FC_.wvu.Cols" hidden="1" oldHidden="1">
    <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formula>
    <old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oldFormula>
  </rdn>
  <rdn rId="0" localSheetId="16" customView="1" name="Z_32ABFE17_599B_4D0B_A1DB_D95B181877FC_.wvu.PrintArea" hidden="1" oldHidden="1">
    <formula>DailyAug!$A$1:$BU$69</formula>
    <oldFormula>DailyAug!$A$1:$BU$69</oldFormula>
  </rdn>
  <rdn rId="0" localSheetId="17" customView="1" name="Z_32ABFE17_599B_4D0B_A1DB_D95B181877FC_.wvu.Cols" hidden="1" oldHidden="1">
    <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formula>
    <old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oldFormula>
  </rdn>
  <rdn rId="0" localSheetId="19" customView="1" name="Z_32ABFE17_599B_4D0B_A1DB_D95B181877FC_.wvu.Cols" hidden="1" oldHidden="1">
    <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formula>
    <old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oldFormula>
  </rdn>
  <rdn rId="0" localSheetId="21" customView="1" name="Z_32ABFE17_599B_4D0B_A1DB_D95B181877FC_.wvu.Cols" hidden="1" oldHidden="1">
    <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formula>
    <old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oldFormula>
  </rdn>
  <rcv guid="{32ABFE17-599B-4D0B-A1DB-D95B181877FC}" action="add"/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48545DB9-4D9D-4699-ACEC-DA6E2D3586A8}" action="delete"/>
  <rdn rId="0" localSheetId="1" customView="1" name="Z_48545DB9_4D9D_4699_ACEC_DA6E2D3586A8_.wvu.Cols" hidden="1" oldHidden="1">
    <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formula>
    <old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oldFormula>
  </rdn>
  <rdn rId="0" localSheetId="2" customView="1" name="Z_48545DB9_4D9D_4699_ACEC_DA6E2D3586A8_.wvu.Cols" hidden="1" oldHidden="1">
    <formula>DailyJan!$D:$M,DailyJan!$W:$X,DailyJan!$AH:$AJ,DailyJan!$AL:$AN,DailyJan!$AP:$AR,DailyJan!$AT:$AX,DailyJan!$AZ:$BC,DailyJan!$BX:$BY</formula>
    <oldFormula>DailyJan!$D:$M,DailyJan!$W:$X,DailyJan!$AH:$AJ,DailyJan!$AL:$AN,DailyJan!$AP:$AR,DailyJan!$AT:$AX,DailyJan!$AZ:$BC,DailyJan!$BX:$BY</oldFormula>
  </rdn>
  <rdn rId="0" localSheetId="3" customView="1" name="Z_48545DB9_4D9D_4699_ACEC_DA6E2D3586A8_.wvu.Rows" hidden="1" oldHidden="1">
    <formula>Feb!$36:$38</formula>
    <oldFormula>Feb!$36:$38</oldFormula>
  </rdn>
  <rdn rId="0" localSheetId="3" customView="1" name="Z_48545DB9_4D9D_4699_ACEC_DA6E2D3586A8_.wvu.Cols" hidden="1" oldHidden="1">
    <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formula>
    <old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oldFormula>
  </rdn>
  <rdn rId="0" localSheetId="4" customView="1" name="Z_48545DB9_4D9D_4699_ACEC_DA6E2D3586A8_.wvu.Rows" hidden="1" oldHidden="1">
    <formula>DailyFeb!$35:$37</formula>
    <oldFormula>DailyFeb!$35:$37</oldFormula>
  </rdn>
  <rdn rId="0" localSheetId="4" customView="1" name="Z_48545DB9_4D9D_4699_ACEC_DA6E2D3586A8_.wvu.Cols" hidden="1" oldHidden="1">
    <formula>DailyFeb!$D:$M,DailyFeb!$W:$X,DailyFeb!$AH:$AJ,DailyFeb!$AL:$AN,DailyFeb!$AP:$AR</formula>
    <oldFormula>DailyFeb!$D:$M,DailyFeb!$W:$X,DailyFeb!$AH:$AJ,DailyFeb!$AL:$AN,DailyFeb!$AP:$AR</oldFormula>
  </rdn>
  <rdn rId="0" localSheetId="5" customView="1" name="Z_48545DB9_4D9D_4699_ACEC_DA6E2D3586A8_.wvu.Cols" hidden="1" oldHidden="1">
    <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formula>
    <old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oldFormula>
  </rdn>
  <rdn rId="0" localSheetId="6" customView="1" name="Z_48545DB9_4D9D_4699_ACEC_DA6E2D3586A8_.wvu.Cols" hidden="1" oldHidden="1">
    <formula>DailyMar!$D:$M,DailyMar!$O:$U,DailyMar!$W:$X,DailyMar!$AH:$AJ,DailyMar!$AL:$AN,DailyMar!$AP:$AR,DailyMar!$AT:$AX,DailyMar!$AZ:$BC,DailyMar!$BE:$BF,DailyMar!$BV:$CC</formula>
    <oldFormula>DailyMar!$D:$M,DailyMar!$O:$U,DailyMar!$W:$X,DailyMar!$AH:$AJ,DailyMar!$AL:$AN,DailyMar!$AP:$AR,DailyMar!$AT:$AX,DailyMar!$AZ:$BC,DailyMar!$BE:$BF,DailyMar!$BV:$CC</oldFormula>
  </rdn>
  <rdn rId="0" localSheetId="7" customView="1" name="Z_48545DB9_4D9D_4699_ACEC_DA6E2D3586A8_.wvu.Rows" hidden="1" oldHidden="1">
    <formula>Apr!$38:$38</formula>
    <oldFormula>Apr!$38:$38</oldFormula>
  </rdn>
  <rdn rId="0" localSheetId="7" customView="1" name="Z_48545DB9_4D9D_4699_ACEC_DA6E2D3586A8_.wvu.Cols" hidden="1" oldHidden="1">
    <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formula>
    <old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oldFormula>
  </rdn>
  <rdn rId="0" localSheetId="8" customView="1" name="Z_48545DB9_4D9D_4699_ACEC_DA6E2D3586A8_.wvu.Rows" hidden="1" oldHidden="1">
    <formula>DailyApr!$37:$37</formula>
    <oldFormula>DailyApr!$37:$37</oldFormula>
  </rdn>
  <rdn rId="0" localSheetId="8" customView="1" name="Z_48545DB9_4D9D_4699_ACEC_DA6E2D3586A8_.wvu.Cols" hidden="1" oldHidden="1">
    <formula>DailyApr!$D:$M,DailyApr!$O:$U,DailyApr!$W:$X,DailyApr!$AH:$AJ,DailyApr!$AL:$AN,DailyApr!$AP:$AR,DailyApr!$AT:$AX,DailyApr!$AZ:$BC,DailyApr!$BE:$BF,DailyApr!$BV:$CG</formula>
    <oldFormula>DailyApr!$D:$M,DailyApr!$O:$U,DailyApr!$W:$X,DailyApr!$AH:$AJ,DailyApr!$AL:$AN,DailyApr!$AP:$AR,DailyApr!$AT:$AX,DailyApr!$AZ:$BC,DailyApr!$BE:$BF,DailyApr!$BV:$CG</oldFormula>
  </rdn>
  <rdn rId="0" localSheetId="9" customView="1" name="Z_48545DB9_4D9D_4699_ACEC_DA6E2D3586A8_.wvu.Cols" hidden="1" oldHidden="1">
    <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formula>
    <old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oldFormula>
  </rdn>
  <rdn rId="0" localSheetId="10" customView="1" name="Z_48545DB9_4D9D_4699_ACEC_DA6E2D3586A8_.wvu.Cols" hidden="1" oldHidden="1">
    <formula>DailyMei!$D:$M,DailyMei!$O:$U,DailyMei!$W:$X,DailyMei!$AH:$AJ,DailyMei!$AL:$AN,DailyMei!$AP:$AR,DailyMei!$AT:$AX,DailyMei!$AZ:$BC,DailyMei!$BE:$BF,DailyMei!$BV:$CK</formula>
    <oldFormula>DailyMei!$D:$M,DailyMei!$O:$U,DailyMei!$W:$X,DailyMei!$AH:$AJ,DailyMei!$AL:$AN,DailyMei!$AP:$AR,DailyMei!$AT:$AX,DailyMei!$AZ:$BC,DailyMei!$BE:$BF,DailyMei!$BV:$CK</oldFormula>
  </rdn>
  <rdn rId="0" localSheetId="11" customView="1" name="Z_48545DB9_4D9D_4699_ACEC_DA6E2D3586A8_.wvu.Cols" hidden="1" oldHidden="1">
    <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formula>
    <old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oldFormula>
  </rdn>
  <rdn rId="0" localSheetId="12" customView="1" name="Z_48545DB9_4D9D_4699_ACEC_DA6E2D3586A8_.wvu.Rows" hidden="1" oldHidden="1">
    <formula>DailyJun!$37:$37</formula>
    <oldFormula>DailyJun!$37:$37</oldFormula>
  </rdn>
  <rdn rId="0" localSheetId="12" customView="1" name="Z_48545DB9_4D9D_4699_ACEC_DA6E2D3586A8_.wvu.Cols" hidden="1" oldHidden="1">
    <formula>DailyJun!$D:$M,DailyJun!$O:$U,DailyJun!$W:$X,DailyJun!$AH:$AJ,DailyJun!$AL:$AN,DailyJun!$AP:$AR,DailyJun!$AT:$AX,DailyJun!$AZ:$BC,DailyJun!$BE:$BF,DailyJun!$BV:$CI</formula>
    <oldFormula>DailyJun!$D:$M,DailyJun!$O:$U,DailyJun!$W:$X,DailyJun!$AH:$AJ,DailyJun!$AL:$AN,DailyJun!$AP:$AR,DailyJun!$AT:$AX,DailyJun!$AZ:$BC,DailyJun!$BE:$BF,DailyJun!$BV:$CI</oldFormula>
  </rdn>
  <rdn rId="0" localSheetId="13" customView="1" name="Z_48545DB9_4D9D_4699_ACEC_DA6E2D3586A8_.wvu.Cols" hidden="1" oldHidden="1">
    <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formula>
    <old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oldFormula>
  </rdn>
  <rdn rId="0" localSheetId="14" customView="1" name="Z_48545DB9_4D9D_4699_ACEC_DA6E2D3586A8_.wvu.Cols" hidden="1" oldHidden="1">
    <formula>DailyJul!$D:$M,DailyJul!$O:$U,DailyJul!$W:$X,DailyJul!$AH:$AJ,DailyJul!$AL:$AN,DailyJul!$AP:$AR,DailyJul!$AT:$AX,DailyJul!$AZ:$BC,DailyJul!$BE:$BF</formula>
    <oldFormula>DailyJul!$D:$M,DailyJul!$O:$U,DailyJul!$W:$X,DailyJul!$AH:$AJ,DailyJul!$AL:$AN,DailyJul!$AP:$AR,DailyJul!$AT:$AX,DailyJul!$AZ:$BC,DailyJul!$BE:$BF</oldFormula>
  </rdn>
  <rdn rId="0" localSheetId="15" customView="1" name="Z_48545DB9_4D9D_4699_ACEC_DA6E2D3586A8_.wvu.Cols" hidden="1" oldHidden="1">
    <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formula>
    <old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oldFormula>
  </rdn>
  <rdn rId="0" localSheetId="16" customView="1" name="Z_48545DB9_4D9D_4699_ACEC_DA6E2D3586A8_.wvu.PrintArea" hidden="1" oldHidden="1">
    <formula>DailyAug!$A$1:$BU$69</formula>
    <oldFormula>DailyAug!$A$1:$BU$69</oldFormula>
  </rdn>
  <rdn rId="0" localSheetId="17" customView="1" name="Z_48545DB9_4D9D_4699_ACEC_DA6E2D3586A8_.wvu.Cols" hidden="1" oldHidden="1">
    <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formula>
    <old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oldFormula>
  </rdn>
  <rdn rId="0" localSheetId="19" customView="1" name="Z_48545DB9_4D9D_4699_ACEC_DA6E2D3586A8_.wvu.Cols" hidden="1" oldHidden="1">
    <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formula>
    <old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oldFormula>
  </rdn>
  <rdn rId="0" localSheetId="21" customView="1" name="Z_48545DB9_4D9D_4699_ACEC_DA6E2D3586A8_.wvu.Cols" hidden="1" oldHidden="1">
    <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formula>
    <old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oldFormula>
  </rdn>
  <rcv guid="{48545DB9-4D9D-4699-ACEC-DA6E2D3586A8}" action="add"/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48545DB9-4D9D-4699-ACEC-DA6E2D3586A8}" action="delete"/>
  <rdn rId="0" localSheetId="1" customView="1" name="Z_48545DB9_4D9D_4699_ACEC_DA6E2D3586A8_.wvu.Cols" hidden="1" oldHidden="1">
    <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formula>
    <old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oldFormula>
  </rdn>
  <rdn rId="0" localSheetId="2" customView="1" name="Z_48545DB9_4D9D_4699_ACEC_DA6E2D3586A8_.wvu.Cols" hidden="1" oldHidden="1">
    <formula>DailyJan!$D:$M,DailyJan!$W:$X,DailyJan!$AH:$AJ,DailyJan!$AL:$AN,DailyJan!$AP:$AR,DailyJan!$AT:$AX,DailyJan!$AZ:$BC,DailyJan!$BX:$BY</formula>
    <oldFormula>DailyJan!$D:$M,DailyJan!$W:$X,DailyJan!$AH:$AJ,DailyJan!$AL:$AN,DailyJan!$AP:$AR,DailyJan!$AT:$AX,DailyJan!$AZ:$BC,DailyJan!$BX:$BY</oldFormula>
  </rdn>
  <rdn rId="0" localSheetId="3" customView="1" name="Z_48545DB9_4D9D_4699_ACEC_DA6E2D3586A8_.wvu.Rows" hidden="1" oldHidden="1">
    <formula>Feb!$36:$38</formula>
    <oldFormula>Feb!$36:$38</oldFormula>
  </rdn>
  <rdn rId="0" localSheetId="3" customView="1" name="Z_48545DB9_4D9D_4699_ACEC_DA6E2D3586A8_.wvu.Cols" hidden="1" oldHidden="1">
    <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formula>
    <old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oldFormula>
  </rdn>
  <rdn rId="0" localSheetId="4" customView="1" name="Z_48545DB9_4D9D_4699_ACEC_DA6E2D3586A8_.wvu.Rows" hidden="1" oldHidden="1">
    <formula>DailyFeb!$35:$37</formula>
    <oldFormula>DailyFeb!$35:$37</oldFormula>
  </rdn>
  <rdn rId="0" localSheetId="4" customView="1" name="Z_48545DB9_4D9D_4699_ACEC_DA6E2D3586A8_.wvu.Cols" hidden="1" oldHidden="1">
    <formula>DailyFeb!$D:$M,DailyFeb!$W:$X,DailyFeb!$AH:$AJ,DailyFeb!$AL:$AN,DailyFeb!$AP:$AR</formula>
    <oldFormula>DailyFeb!$D:$M,DailyFeb!$W:$X,DailyFeb!$AH:$AJ,DailyFeb!$AL:$AN,DailyFeb!$AP:$AR</oldFormula>
  </rdn>
  <rdn rId="0" localSheetId="5" customView="1" name="Z_48545DB9_4D9D_4699_ACEC_DA6E2D3586A8_.wvu.Cols" hidden="1" oldHidden="1">
    <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formula>
    <old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oldFormula>
  </rdn>
  <rdn rId="0" localSheetId="6" customView="1" name="Z_48545DB9_4D9D_4699_ACEC_DA6E2D3586A8_.wvu.Cols" hidden="1" oldHidden="1">
    <formula>DailyMar!$D:$M,DailyMar!$O:$U,DailyMar!$W:$X,DailyMar!$AH:$AJ,DailyMar!$AL:$AN,DailyMar!$AP:$AR,DailyMar!$AT:$AX,DailyMar!$AZ:$BC,DailyMar!$BE:$BF,DailyMar!$BV:$CC</formula>
    <oldFormula>DailyMar!$D:$M,DailyMar!$O:$U,DailyMar!$W:$X,DailyMar!$AH:$AJ,DailyMar!$AL:$AN,DailyMar!$AP:$AR,DailyMar!$AT:$AX,DailyMar!$AZ:$BC,DailyMar!$BE:$BF,DailyMar!$BV:$CC</oldFormula>
  </rdn>
  <rdn rId="0" localSheetId="7" customView="1" name="Z_48545DB9_4D9D_4699_ACEC_DA6E2D3586A8_.wvu.Rows" hidden="1" oldHidden="1">
    <formula>Apr!$38:$38</formula>
    <oldFormula>Apr!$38:$38</oldFormula>
  </rdn>
  <rdn rId="0" localSheetId="7" customView="1" name="Z_48545DB9_4D9D_4699_ACEC_DA6E2D3586A8_.wvu.Cols" hidden="1" oldHidden="1">
    <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formula>
    <old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oldFormula>
  </rdn>
  <rdn rId="0" localSheetId="8" customView="1" name="Z_48545DB9_4D9D_4699_ACEC_DA6E2D3586A8_.wvu.Rows" hidden="1" oldHidden="1">
    <formula>DailyApr!$37:$37</formula>
    <oldFormula>DailyApr!$37:$37</oldFormula>
  </rdn>
  <rdn rId="0" localSheetId="8" customView="1" name="Z_48545DB9_4D9D_4699_ACEC_DA6E2D3586A8_.wvu.Cols" hidden="1" oldHidden="1">
    <formula>DailyApr!$D:$M,DailyApr!$O:$U,DailyApr!$W:$X,DailyApr!$AH:$AJ,DailyApr!$AL:$AN,DailyApr!$AP:$AR,DailyApr!$AT:$AX,DailyApr!$AZ:$BC,DailyApr!$BE:$BF,DailyApr!$BV:$CG</formula>
    <oldFormula>DailyApr!$D:$M,DailyApr!$O:$U,DailyApr!$W:$X,DailyApr!$AH:$AJ,DailyApr!$AL:$AN,DailyApr!$AP:$AR,DailyApr!$AT:$AX,DailyApr!$AZ:$BC,DailyApr!$BE:$BF,DailyApr!$BV:$CG</oldFormula>
  </rdn>
  <rdn rId="0" localSheetId="9" customView="1" name="Z_48545DB9_4D9D_4699_ACEC_DA6E2D3586A8_.wvu.Cols" hidden="1" oldHidden="1">
    <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formula>
    <old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oldFormula>
  </rdn>
  <rdn rId="0" localSheetId="10" customView="1" name="Z_48545DB9_4D9D_4699_ACEC_DA6E2D3586A8_.wvu.Cols" hidden="1" oldHidden="1">
    <formula>DailyMei!$D:$M,DailyMei!$O:$U,DailyMei!$W:$X,DailyMei!$AH:$AJ,DailyMei!$AL:$AN,DailyMei!$AP:$AR,DailyMei!$AT:$AX,DailyMei!$AZ:$BC,DailyMei!$BE:$BF,DailyMei!$BV:$CK</formula>
    <oldFormula>DailyMei!$D:$M,DailyMei!$O:$U,DailyMei!$W:$X,DailyMei!$AH:$AJ,DailyMei!$AL:$AN,DailyMei!$AP:$AR,DailyMei!$AT:$AX,DailyMei!$AZ:$BC,DailyMei!$BE:$BF,DailyMei!$BV:$CK</oldFormula>
  </rdn>
  <rdn rId="0" localSheetId="11" customView="1" name="Z_48545DB9_4D9D_4699_ACEC_DA6E2D3586A8_.wvu.Cols" hidden="1" oldHidden="1">
    <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formula>
    <old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oldFormula>
  </rdn>
  <rdn rId="0" localSheetId="12" customView="1" name="Z_48545DB9_4D9D_4699_ACEC_DA6E2D3586A8_.wvu.Rows" hidden="1" oldHidden="1">
    <formula>DailyJun!$37:$37</formula>
    <oldFormula>DailyJun!$37:$37</oldFormula>
  </rdn>
  <rdn rId="0" localSheetId="12" customView="1" name="Z_48545DB9_4D9D_4699_ACEC_DA6E2D3586A8_.wvu.Cols" hidden="1" oldHidden="1">
    <formula>DailyJun!$D:$M,DailyJun!$O:$U,DailyJun!$W:$X,DailyJun!$AH:$AJ,DailyJun!$AL:$AN,DailyJun!$AP:$AR,DailyJun!$AT:$AX,DailyJun!$AZ:$BC,DailyJun!$BE:$BF,DailyJun!$BV:$CI</formula>
    <oldFormula>DailyJun!$D:$M,DailyJun!$O:$U,DailyJun!$W:$X,DailyJun!$AH:$AJ,DailyJun!$AL:$AN,DailyJun!$AP:$AR,DailyJun!$AT:$AX,DailyJun!$AZ:$BC,DailyJun!$BE:$BF,DailyJun!$BV:$CI</oldFormula>
  </rdn>
  <rdn rId="0" localSheetId="13" customView="1" name="Z_48545DB9_4D9D_4699_ACEC_DA6E2D3586A8_.wvu.Cols" hidden="1" oldHidden="1">
    <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formula>
    <old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oldFormula>
  </rdn>
  <rdn rId="0" localSheetId="14" customView="1" name="Z_48545DB9_4D9D_4699_ACEC_DA6E2D3586A8_.wvu.Cols" hidden="1" oldHidden="1">
    <formula>DailyJul!$D:$M,DailyJul!$O:$U,DailyJul!$W:$X,DailyJul!$AH:$AJ,DailyJul!$AL:$AN,DailyJul!$AP:$AR,DailyJul!$AT:$AX,DailyJul!$AZ:$BC,DailyJul!$BE:$BF</formula>
    <oldFormula>DailyJul!$D:$M,DailyJul!$O:$U,DailyJul!$W:$X,DailyJul!$AH:$AJ,DailyJul!$AL:$AN,DailyJul!$AP:$AR,DailyJul!$AT:$AX,DailyJul!$AZ:$BC,DailyJul!$BE:$BF</oldFormula>
  </rdn>
  <rdn rId="0" localSheetId="15" customView="1" name="Z_48545DB9_4D9D_4699_ACEC_DA6E2D3586A8_.wvu.Cols" hidden="1" oldHidden="1">
    <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formula>
    <old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oldFormula>
  </rdn>
  <rdn rId="0" localSheetId="16" customView="1" name="Z_48545DB9_4D9D_4699_ACEC_DA6E2D3586A8_.wvu.PrintArea" hidden="1" oldHidden="1">
    <formula>DailyAug!$A$1:$BU$69</formula>
    <oldFormula>DailyAug!$A$1:$BU$69</oldFormula>
  </rdn>
  <rdn rId="0" localSheetId="17" customView="1" name="Z_48545DB9_4D9D_4699_ACEC_DA6E2D3586A8_.wvu.Cols" hidden="1" oldHidden="1">
    <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formula>
    <old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oldFormula>
  </rdn>
  <rdn rId="0" localSheetId="19" customView="1" name="Z_48545DB9_4D9D_4699_ACEC_DA6E2D3586A8_.wvu.Cols" hidden="1" oldHidden="1">
    <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formula>
    <old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oldFormula>
  </rdn>
  <rdn rId="0" localSheetId="21" customView="1" name="Z_48545DB9_4D9D_4699_ACEC_DA6E2D3586A8_.wvu.Cols" hidden="1" oldHidden="1">
    <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formula>
    <old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oldFormula>
  </rdn>
  <rcv guid="{48545DB9-4D9D-4699-ACEC-DA6E2D3586A8}" action="add"/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48545DB9-4D9D-4699-ACEC-DA6E2D3586A8}" action="delete"/>
  <rdn rId="0" localSheetId="1" customView="1" name="Z_48545DB9_4D9D_4699_ACEC_DA6E2D3586A8_.wvu.Cols" hidden="1" oldHidden="1">
    <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formula>
    <old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oldFormula>
  </rdn>
  <rdn rId="0" localSheetId="2" customView="1" name="Z_48545DB9_4D9D_4699_ACEC_DA6E2D3586A8_.wvu.Cols" hidden="1" oldHidden="1">
    <formula>DailyJan!$D:$M,DailyJan!$W:$X,DailyJan!$AH:$AJ,DailyJan!$AL:$AN,DailyJan!$AP:$AR,DailyJan!$AT:$AX,DailyJan!$AZ:$BC,DailyJan!$BX:$BY</formula>
    <oldFormula>DailyJan!$D:$M,DailyJan!$W:$X,DailyJan!$AH:$AJ,DailyJan!$AL:$AN,DailyJan!$AP:$AR,DailyJan!$AT:$AX,DailyJan!$AZ:$BC,DailyJan!$BX:$BY</oldFormula>
  </rdn>
  <rdn rId="0" localSheetId="3" customView="1" name="Z_48545DB9_4D9D_4699_ACEC_DA6E2D3586A8_.wvu.Rows" hidden="1" oldHidden="1">
    <formula>Feb!$36:$38</formula>
    <oldFormula>Feb!$36:$38</oldFormula>
  </rdn>
  <rdn rId="0" localSheetId="3" customView="1" name="Z_48545DB9_4D9D_4699_ACEC_DA6E2D3586A8_.wvu.Cols" hidden="1" oldHidden="1">
    <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formula>
    <old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oldFormula>
  </rdn>
  <rdn rId="0" localSheetId="4" customView="1" name="Z_48545DB9_4D9D_4699_ACEC_DA6E2D3586A8_.wvu.Rows" hidden="1" oldHidden="1">
    <formula>DailyFeb!$35:$37</formula>
    <oldFormula>DailyFeb!$35:$37</oldFormula>
  </rdn>
  <rdn rId="0" localSheetId="4" customView="1" name="Z_48545DB9_4D9D_4699_ACEC_DA6E2D3586A8_.wvu.Cols" hidden="1" oldHidden="1">
    <formula>DailyFeb!$D:$M,DailyFeb!$W:$X,DailyFeb!$AH:$AJ,DailyFeb!$AL:$AN,DailyFeb!$AP:$AR</formula>
    <oldFormula>DailyFeb!$D:$M,DailyFeb!$W:$X,DailyFeb!$AH:$AJ,DailyFeb!$AL:$AN,DailyFeb!$AP:$AR</oldFormula>
  </rdn>
  <rdn rId="0" localSheetId="5" customView="1" name="Z_48545DB9_4D9D_4699_ACEC_DA6E2D3586A8_.wvu.Cols" hidden="1" oldHidden="1">
    <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formula>
    <old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oldFormula>
  </rdn>
  <rdn rId="0" localSheetId="6" customView="1" name="Z_48545DB9_4D9D_4699_ACEC_DA6E2D3586A8_.wvu.Cols" hidden="1" oldHidden="1">
    <formula>DailyMar!$D:$M,DailyMar!$O:$U,DailyMar!$W:$X,DailyMar!$AH:$AJ,DailyMar!$AL:$AN,DailyMar!$AP:$AR,DailyMar!$AT:$AX,DailyMar!$AZ:$BC,DailyMar!$BE:$BF,DailyMar!$BV:$CC</formula>
    <oldFormula>DailyMar!$D:$M,DailyMar!$O:$U,DailyMar!$W:$X,DailyMar!$AH:$AJ,DailyMar!$AL:$AN,DailyMar!$AP:$AR,DailyMar!$AT:$AX,DailyMar!$AZ:$BC,DailyMar!$BE:$BF,DailyMar!$BV:$CC</oldFormula>
  </rdn>
  <rdn rId="0" localSheetId="7" customView="1" name="Z_48545DB9_4D9D_4699_ACEC_DA6E2D3586A8_.wvu.Rows" hidden="1" oldHidden="1">
    <formula>Apr!$38:$38</formula>
    <oldFormula>Apr!$38:$38</oldFormula>
  </rdn>
  <rdn rId="0" localSheetId="7" customView="1" name="Z_48545DB9_4D9D_4699_ACEC_DA6E2D3586A8_.wvu.Cols" hidden="1" oldHidden="1">
    <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formula>
    <old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oldFormula>
  </rdn>
  <rdn rId="0" localSheetId="8" customView="1" name="Z_48545DB9_4D9D_4699_ACEC_DA6E2D3586A8_.wvu.Rows" hidden="1" oldHidden="1">
    <formula>DailyApr!$37:$37</formula>
    <oldFormula>DailyApr!$37:$37</oldFormula>
  </rdn>
  <rdn rId="0" localSheetId="8" customView="1" name="Z_48545DB9_4D9D_4699_ACEC_DA6E2D3586A8_.wvu.Cols" hidden="1" oldHidden="1">
    <formula>DailyApr!$D:$M,DailyApr!$O:$U,DailyApr!$W:$X,DailyApr!$AH:$AJ,DailyApr!$AL:$AN,DailyApr!$AP:$AR,DailyApr!$AT:$AX,DailyApr!$AZ:$BC,DailyApr!$BE:$BF,DailyApr!$BV:$CG</formula>
    <oldFormula>DailyApr!$D:$M,DailyApr!$O:$U,DailyApr!$W:$X,DailyApr!$AH:$AJ,DailyApr!$AL:$AN,DailyApr!$AP:$AR,DailyApr!$AT:$AX,DailyApr!$AZ:$BC,DailyApr!$BE:$BF,DailyApr!$BV:$CG</oldFormula>
  </rdn>
  <rdn rId="0" localSheetId="9" customView="1" name="Z_48545DB9_4D9D_4699_ACEC_DA6E2D3586A8_.wvu.Cols" hidden="1" oldHidden="1">
    <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formula>
    <old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oldFormula>
  </rdn>
  <rdn rId="0" localSheetId="10" customView="1" name="Z_48545DB9_4D9D_4699_ACEC_DA6E2D3586A8_.wvu.Cols" hidden="1" oldHidden="1">
    <formula>DailyMei!$D:$M,DailyMei!$O:$U,DailyMei!$W:$X,DailyMei!$AH:$AJ,DailyMei!$AL:$AN,DailyMei!$AP:$AR,DailyMei!$AT:$AX,DailyMei!$AZ:$BC,DailyMei!$BE:$BF,DailyMei!$BV:$CK</formula>
    <oldFormula>DailyMei!$D:$M,DailyMei!$O:$U,DailyMei!$W:$X,DailyMei!$AH:$AJ,DailyMei!$AL:$AN,DailyMei!$AP:$AR,DailyMei!$AT:$AX,DailyMei!$AZ:$BC,DailyMei!$BE:$BF,DailyMei!$BV:$CK</oldFormula>
  </rdn>
  <rdn rId="0" localSheetId="11" customView="1" name="Z_48545DB9_4D9D_4699_ACEC_DA6E2D3586A8_.wvu.Cols" hidden="1" oldHidden="1">
    <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formula>
    <old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oldFormula>
  </rdn>
  <rdn rId="0" localSheetId="12" customView="1" name="Z_48545DB9_4D9D_4699_ACEC_DA6E2D3586A8_.wvu.Rows" hidden="1" oldHidden="1">
    <formula>DailyJun!$37:$37</formula>
    <oldFormula>DailyJun!$37:$37</oldFormula>
  </rdn>
  <rdn rId="0" localSheetId="12" customView="1" name="Z_48545DB9_4D9D_4699_ACEC_DA6E2D3586A8_.wvu.Cols" hidden="1" oldHidden="1">
    <formula>DailyJun!$D:$M,DailyJun!$O:$U,DailyJun!$W:$X,DailyJun!$AH:$AJ,DailyJun!$AL:$AN,DailyJun!$AP:$AR,DailyJun!$AT:$AX,DailyJun!$AZ:$BC,DailyJun!$BE:$BF,DailyJun!$BV:$CI</formula>
    <oldFormula>DailyJun!$D:$M,DailyJun!$O:$U,DailyJun!$W:$X,DailyJun!$AH:$AJ,DailyJun!$AL:$AN,DailyJun!$AP:$AR,DailyJun!$AT:$AX,DailyJun!$AZ:$BC,DailyJun!$BE:$BF,DailyJun!$BV:$CI</oldFormula>
  </rdn>
  <rdn rId="0" localSheetId="13" customView="1" name="Z_48545DB9_4D9D_4699_ACEC_DA6E2D3586A8_.wvu.Cols" hidden="1" oldHidden="1">
    <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formula>
    <old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oldFormula>
  </rdn>
  <rdn rId="0" localSheetId="14" customView="1" name="Z_48545DB9_4D9D_4699_ACEC_DA6E2D3586A8_.wvu.Cols" hidden="1" oldHidden="1">
    <formula>DailyJul!$D:$M,DailyJul!$O:$U,DailyJul!$W:$X,DailyJul!$AH:$AJ,DailyJul!$AL:$AN,DailyJul!$AP:$AR,DailyJul!$AT:$AX,DailyJul!$AZ:$BC,DailyJul!$BE:$BF</formula>
    <oldFormula>DailyJul!$D:$M,DailyJul!$O:$U,DailyJul!$W:$X,DailyJul!$AH:$AJ,DailyJul!$AL:$AN,DailyJul!$AP:$AR,DailyJul!$AT:$AX,DailyJul!$AZ:$BC,DailyJul!$BE:$BF</oldFormula>
  </rdn>
  <rdn rId="0" localSheetId="15" customView="1" name="Z_48545DB9_4D9D_4699_ACEC_DA6E2D3586A8_.wvu.Cols" hidden="1" oldHidden="1">
    <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formula>
    <old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oldFormula>
  </rdn>
  <rdn rId="0" localSheetId="16" customView="1" name="Z_48545DB9_4D9D_4699_ACEC_DA6E2D3586A8_.wvu.PrintArea" hidden="1" oldHidden="1">
    <formula>DailyAug!$A$1:$BU$69</formula>
    <oldFormula>DailyAug!$A$1:$BU$69</oldFormula>
  </rdn>
  <rdn rId="0" localSheetId="17" customView="1" name="Z_48545DB9_4D9D_4699_ACEC_DA6E2D3586A8_.wvu.Cols" hidden="1" oldHidden="1">
    <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formula>
    <old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oldFormula>
  </rdn>
  <rdn rId="0" localSheetId="19" customView="1" name="Z_48545DB9_4D9D_4699_ACEC_DA6E2D3586A8_.wvu.Cols" hidden="1" oldHidden="1">
    <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formula>
    <old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oldFormula>
  </rdn>
  <rdn rId="0" localSheetId="21" customView="1" name="Z_48545DB9_4D9D_4699_ACEC_DA6E2D3586A8_.wvu.Cols" hidden="1" oldHidden="1">
    <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formula>
    <old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oldFormula>
  </rdn>
  <rcv guid="{48545DB9-4D9D-4699-ACEC-DA6E2D3586A8}" action="add"/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48545DB9-4D9D-4699-ACEC-DA6E2D3586A8}" action="delete"/>
  <rdn rId="0" localSheetId="1" customView="1" name="Z_48545DB9_4D9D_4699_ACEC_DA6E2D3586A8_.wvu.Cols" hidden="1" oldHidden="1">
    <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formula>
    <old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oldFormula>
  </rdn>
  <rdn rId="0" localSheetId="2" customView="1" name="Z_48545DB9_4D9D_4699_ACEC_DA6E2D3586A8_.wvu.Cols" hidden="1" oldHidden="1">
    <formula>DailyJan!$D:$M,DailyJan!$W:$X,DailyJan!$AH:$AJ,DailyJan!$AL:$AN,DailyJan!$AP:$AR,DailyJan!$AT:$AX,DailyJan!$AZ:$BC,DailyJan!$BX:$BY</formula>
    <oldFormula>DailyJan!$D:$M,DailyJan!$W:$X,DailyJan!$AH:$AJ,DailyJan!$AL:$AN,DailyJan!$AP:$AR,DailyJan!$AT:$AX,DailyJan!$AZ:$BC,DailyJan!$BX:$BY</oldFormula>
  </rdn>
  <rdn rId="0" localSheetId="3" customView="1" name="Z_48545DB9_4D9D_4699_ACEC_DA6E2D3586A8_.wvu.Rows" hidden="1" oldHidden="1">
    <formula>Feb!$36:$38</formula>
    <oldFormula>Feb!$36:$38</oldFormula>
  </rdn>
  <rdn rId="0" localSheetId="3" customView="1" name="Z_48545DB9_4D9D_4699_ACEC_DA6E2D3586A8_.wvu.Cols" hidden="1" oldHidden="1">
    <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formula>
    <old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oldFormula>
  </rdn>
  <rdn rId="0" localSheetId="4" customView="1" name="Z_48545DB9_4D9D_4699_ACEC_DA6E2D3586A8_.wvu.Rows" hidden="1" oldHidden="1">
    <formula>DailyFeb!$35:$37</formula>
    <oldFormula>DailyFeb!$35:$37</oldFormula>
  </rdn>
  <rdn rId="0" localSheetId="4" customView="1" name="Z_48545DB9_4D9D_4699_ACEC_DA6E2D3586A8_.wvu.Cols" hidden="1" oldHidden="1">
    <formula>DailyFeb!$D:$M,DailyFeb!$W:$X,DailyFeb!$AH:$AJ,DailyFeb!$AL:$AN,DailyFeb!$AP:$AR</formula>
    <oldFormula>DailyFeb!$D:$M,DailyFeb!$W:$X,DailyFeb!$AH:$AJ,DailyFeb!$AL:$AN,DailyFeb!$AP:$AR</oldFormula>
  </rdn>
  <rdn rId="0" localSheetId="5" customView="1" name="Z_48545DB9_4D9D_4699_ACEC_DA6E2D3586A8_.wvu.Cols" hidden="1" oldHidden="1">
    <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formula>
    <old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oldFormula>
  </rdn>
  <rdn rId="0" localSheetId="6" customView="1" name="Z_48545DB9_4D9D_4699_ACEC_DA6E2D3586A8_.wvu.Cols" hidden="1" oldHidden="1">
    <formula>DailyMar!$D:$M,DailyMar!$O:$U,DailyMar!$W:$X,DailyMar!$AH:$AJ,DailyMar!$AL:$AN,DailyMar!$AP:$AR,DailyMar!$AT:$AX,DailyMar!$AZ:$BC,DailyMar!$BE:$BF,DailyMar!$BV:$CC</formula>
    <oldFormula>DailyMar!$D:$M,DailyMar!$O:$U,DailyMar!$W:$X,DailyMar!$AH:$AJ,DailyMar!$AL:$AN,DailyMar!$AP:$AR,DailyMar!$AT:$AX,DailyMar!$AZ:$BC,DailyMar!$BE:$BF,DailyMar!$BV:$CC</oldFormula>
  </rdn>
  <rdn rId="0" localSheetId="7" customView="1" name="Z_48545DB9_4D9D_4699_ACEC_DA6E2D3586A8_.wvu.Rows" hidden="1" oldHidden="1">
    <formula>Apr!$38:$38</formula>
    <oldFormula>Apr!$38:$38</oldFormula>
  </rdn>
  <rdn rId="0" localSheetId="7" customView="1" name="Z_48545DB9_4D9D_4699_ACEC_DA6E2D3586A8_.wvu.Cols" hidden="1" oldHidden="1">
    <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formula>
    <old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oldFormula>
  </rdn>
  <rdn rId="0" localSheetId="8" customView="1" name="Z_48545DB9_4D9D_4699_ACEC_DA6E2D3586A8_.wvu.Rows" hidden="1" oldHidden="1">
    <formula>DailyApr!$37:$37</formula>
    <oldFormula>DailyApr!$37:$37</oldFormula>
  </rdn>
  <rdn rId="0" localSheetId="8" customView="1" name="Z_48545DB9_4D9D_4699_ACEC_DA6E2D3586A8_.wvu.Cols" hidden="1" oldHidden="1">
    <formula>DailyApr!$D:$M,DailyApr!$O:$U,DailyApr!$W:$X,DailyApr!$AH:$AJ,DailyApr!$AL:$AN,DailyApr!$AP:$AR,DailyApr!$AT:$AX,DailyApr!$AZ:$BC,DailyApr!$BE:$BF,DailyApr!$BV:$CG</formula>
    <oldFormula>DailyApr!$D:$M,DailyApr!$O:$U,DailyApr!$W:$X,DailyApr!$AH:$AJ,DailyApr!$AL:$AN,DailyApr!$AP:$AR,DailyApr!$AT:$AX,DailyApr!$AZ:$BC,DailyApr!$BE:$BF,DailyApr!$BV:$CG</oldFormula>
  </rdn>
  <rdn rId="0" localSheetId="9" customView="1" name="Z_48545DB9_4D9D_4699_ACEC_DA6E2D3586A8_.wvu.Cols" hidden="1" oldHidden="1">
    <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formula>
    <old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oldFormula>
  </rdn>
  <rdn rId="0" localSheetId="10" customView="1" name="Z_48545DB9_4D9D_4699_ACEC_DA6E2D3586A8_.wvu.Cols" hidden="1" oldHidden="1">
    <formula>DailyMei!$D:$M,DailyMei!$O:$U,DailyMei!$W:$X,DailyMei!$AH:$AJ,DailyMei!$AL:$AN,DailyMei!$AP:$AR,DailyMei!$AT:$AX,DailyMei!$AZ:$BC,DailyMei!$BE:$BF,DailyMei!$BV:$CK</formula>
    <oldFormula>DailyMei!$D:$M,DailyMei!$O:$U,DailyMei!$W:$X,DailyMei!$AH:$AJ,DailyMei!$AL:$AN,DailyMei!$AP:$AR,DailyMei!$AT:$AX,DailyMei!$AZ:$BC,DailyMei!$BE:$BF,DailyMei!$BV:$CK</oldFormula>
  </rdn>
  <rdn rId="0" localSheetId="11" customView="1" name="Z_48545DB9_4D9D_4699_ACEC_DA6E2D3586A8_.wvu.Cols" hidden="1" oldHidden="1">
    <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formula>
    <old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oldFormula>
  </rdn>
  <rdn rId="0" localSheetId="12" customView="1" name="Z_48545DB9_4D9D_4699_ACEC_DA6E2D3586A8_.wvu.Rows" hidden="1" oldHidden="1">
    <formula>DailyJun!$37:$37</formula>
    <oldFormula>DailyJun!$37:$37</oldFormula>
  </rdn>
  <rdn rId="0" localSheetId="12" customView="1" name="Z_48545DB9_4D9D_4699_ACEC_DA6E2D3586A8_.wvu.Cols" hidden="1" oldHidden="1">
    <formula>DailyJun!$D:$M,DailyJun!$O:$U,DailyJun!$W:$X,DailyJun!$AH:$AJ,DailyJun!$AL:$AN,DailyJun!$AP:$AR,DailyJun!$AT:$AX,DailyJun!$AZ:$BC,DailyJun!$BE:$BF,DailyJun!$BV:$CI</formula>
    <oldFormula>DailyJun!$D:$M,DailyJun!$O:$U,DailyJun!$W:$X,DailyJun!$AH:$AJ,DailyJun!$AL:$AN,DailyJun!$AP:$AR,DailyJun!$AT:$AX,DailyJun!$AZ:$BC,DailyJun!$BE:$BF,DailyJun!$BV:$CI</oldFormula>
  </rdn>
  <rdn rId="0" localSheetId="13" customView="1" name="Z_48545DB9_4D9D_4699_ACEC_DA6E2D3586A8_.wvu.Cols" hidden="1" oldHidden="1">
    <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formula>
    <old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oldFormula>
  </rdn>
  <rdn rId="0" localSheetId="14" customView="1" name="Z_48545DB9_4D9D_4699_ACEC_DA6E2D3586A8_.wvu.Cols" hidden="1" oldHidden="1">
    <formula>DailyJul!$D:$M,DailyJul!$O:$U,DailyJul!$W:$X,DailyJul!$AH:$AJ,DailyJul!$AL:$AN,DailyJul!$AP:$AR,DailyJul!$AT:$AX,DailyJul!$AZ:$BC,DailyJul!$BE:$BF</formula>
    <oldFormula>DailyJul!$D:$M,DailyJul!$O:$U,DailyJul!$W:$X,DailyJul!$AH:$AJ,DailyJul!$AL:$AN,DailyJul!$AP:$AR,DailyJul!$AT:$AX,DailyJul!$AZ:$BC,DailyJul!$BE:$BF</oldFormula>
  </rdn>
  <rdn rId="0" localSheetId="15" customView="1" name="Z_48545DB9_4D9D_4699_ACEC_DA6E2D3586A8_.wvu.Cols" hidden="1" oldHidden="1">
    <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formula>
    <old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oldFormula>
  </rdn>
  <rdn rId="0" localSheetId="16" customView="1" name="Z_48545DB9_4D9D_4699_ACEC_DA6E2D3586A8_.wvu.PrintArea" hidden="1" oldHidden="1">
    <formula>DailyAug!$A$1:$BU$69</formula>
    <oldFormula>DailyAug!$A$1:$BU$69</oldFormula>
  </rdn>
  <rdn rId="0" localSheetId="17" customView="1" name="Z_48545DB9_4D9D_4699_ACEC_DA6E2D3586A8_.wvu.Cols" hidden="1" oldHidden="1">
    <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formula>
    <old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oldFormula>
  </rdn>
  <rdn rId="0" localSheetId="19" customView="1" name="Z_48545DB9_4D9D_4699_ACEC_DA6E2D3586A8_.wvu.Cols" hidden="1" oldHidden="1">
    <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formula>
    <old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oldFormula>
  </rdn>
  <rdn rId="0" localSheetId="21" customView="1" name="Z_48545DB9_4D9D_4699_ACEC_DA6E2D3586A8_.wvu.Cols" hidden="1" oldHidden="1">
    <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formula>
    <old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oldFormula>
  </rdn>
  <rcv guid="{48545DB9-4D9D-4699-ACEC-DA6E2D3586A8}" action="add"/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48545DB9-4D9D-4699-ACEC-DA6E2D3586A8}" action="delete"/>
  <rdn rId="0" localSheetId="1" customView="1" name="Z_48545DB9_4D9D_4699_ACEC_DA6E2D3586A8_.wvu.Cols" hidden="1" oldHidden="1">
    <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formula>
    <old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oldFormula>
  </rdn>
  <rdn rId="0" localSheetId="2" customView="1" name="Z_48545DB9_4D9D_4699_ACEC_DA6E2D3586A8_.wvu.Cols" hidden="1" oldHidden="1">
    <formula>DailyJan!$D:$M,DailyJan!$W:$X,DailyJan!$AH:$AJ,DailyJan!$AL:$AN,DailyJan!$AP:$AR,DailyJan!$AT:$AX,DailyJan!$AZ:$BC,DailyJan!$BX:$BY</formula>
    <oldFormula>DailyJan!$D:$M,DailyJan!$W:$X,DailyJan!$AH:$AJ,DailyJan!$AL:$AN,DailyJan!$AP:$AR,DailyJan!$AT:$AX,DailyJan!$AZ:$BC,DailyJan!$BX:$BY</oldFormula>
  </rdn>
  <rdn rId="0" localSheetId="3" customView="1" name="Z_48545DB9_4D9D_4699_ACEC_DA6E2D3586A8_.wvu.Rows" hidden="1" oldHidden="1">
    <formula>Feb!$36:$38</formula>
    <oldFormula>Feb!$36:$38</oldFormula>
  </rdn>
  <rdn rId="0" localSheetId="3" customView="1" name="Z_48545DB9_4D9D_4699_ACEC_DA6E2D3586A8_.wvu.Cols" hidden="1" oldHidden="1">
    <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formula>
    <old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oldFormula>
  </rdn>
  <rdn rId="0" localSheetId="4" customView="1" name="Z_48545DB9_4D9D_4699_ACEC_DA6E2D3586A8_.wvu.Rows" hidden="1" oldHidden="1">
    <formula>DailyFeb!$35:$37</formula>
    <oldFormula>DailyFeb!$35:$37</oldFormula>
  </rdn>
  <rdn rId="0" localSheetId="4" customView="1" name="Z_48545DB9_4D9D_4699_ACEC_DA6E2D3586A8_.wvu.Cols" hidden="1" oldHidden="1">
    <formula>DailyFeb!$D:$M,DailyFeb!$W:$X,DailyFeb!$AH:$AJ,DailyFeb!$AL:$AN,DailyFeb!$AP:$AR</formula>
    <oldFormula>DailyFeb!$D:$M,DailyFeb!$W:$X,DailyFeb!$AH:$AJ,DailyFeb!$AL:$AN,DailyFeb!$AP:$AR</oldFormula>
  </rdn>
  <rdn rId="0" localSheetId="5" customView="1" name="Z_48545DB9_4D9D_4699_ACEC_DA6E2D3586A8_.wvu.Cols" hidden="1" oldHidden="1">
    <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formula>
    <old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oldFormula>
  </rdn>
  <rdn rId="0" localSheetId="6" customView="1" name="Z_48545DB9_4D9D_4699_ACEC_DA6E2D3586A8_.wvu.Cols" hidden="1" oldHidden="1">
    <formula>DailyMar!$D:$M,DailyMar!$O:$U,DailyMar!$W:$X,DailyMar!$AH:$AJ,DailyMar!$AL:$AN,DailyMar!$AP:$AR,DailyMar!$AT:$AX,DailyMar!$AZ:$BC,DailyMar!$BE:$BF,DailyMar!$BV:$CC</formula>
    <oldFormula>DailyMar!$D:$M,DailyMar!$O:$U,DailyMar!$W:$X,DailyMar!$AH:$AJ,DailyMar!$AL:$AN,DailyMar!$AP:$AR,DailyMar!$AT:$AX,DailyMar!$AZ:$BC,DailyMar!$BE:$BF,DailyMar!$BV:$CC</oldFormula>
  </rdn>
  <rdn rId="0" localSheetId="7" customView="1" name="Z_48545DB9_4D9D_4699_ACEC_DA6E2D3586A8_.wvu.Rows" hidden="1" oldHidden="1">
    <formula>Apr!$38:$38</formula>
    <oldFormula>Apr!$38:$38</oldFormula>
  </rdn>
  <rdn rId="0" localSheetId="7" customView="1" name="Z_48545DB9_4D9D_4699_ACEC_DA6E2D3586A8_.wvu.Cols" hidden="1" oldHidden="1">
    <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formula>
    <old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oldFormula>
  </rdn>
  <rdn rId="0" localSheetId="8" customView="1" name="Z_48545DB9_4D9D_4699_ACEC_DA6E2D3586A8_.wvu.Rows" hidden="1" oldHidden="1">
    <formula>DailyApr!$37:$37</formula>
    <oldFormula>DailyApr!$37:$37</oldFormula>
  </rdn>
  <rdn rId="0" localSheetId="8" customView="1" name="Z_48545DB9_4D9D_4699_ACEC_DA6E2D3586A8_.wvu.Cols" hidden="1" oldHidden="1">
    <formula>DailyApr!$D:$M,DailyApr!$O:$U,DailyApr!$W:$X,DailyApr!$AH:$AJ,DailyApr!$AL:$AN,DailyApr!$AP:$AR,DailyApr!$AT:$AX,DailyApr!$AZ:$BC,DailyApr!$BE:$BF,DailyApr!$BV:$CG</formula>
    <oldFormula>DailyApr!$D:$M,DailyApr!$O:$U,DailyApr!$W:$X,DailyApr!$AH:$AJ,DailyApr!$AL:$AN,DailyApr!$AP:$AR,DailyApr!$AT:$AX,DailyApr!$AZ:$BC,DailyApr!$BE:$BF,DailyApr!$BV:$CG</oldFormula>
  </rdn>
  <rdn rId="0" localSheetId="9" customView="1" name="Z_48545DB9_4D9D_4699_ACEC_DA6E2D3586A8_.wvu.Cols" hidden="1" oldHidden="1">
    <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formula>
    <old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oldFormula>
  </rdn>
  <rdn rId="0" localSheetId="10" customView="1" name="Z_48545DB9_4D9D_4699_ACEC_DA6E2D3586A8_.wvu.Cols" hidden="1" oldHidden="1">
    <formula>DailyMei!$D:$M,DailyMei!$O:$U,DailyMei!$W:$X,DailyMei!$AH:$AJ,DailyMei!$AL:$AN,DailyMei!$AP:$AR,DailyMei!$AT:$AX,DailyMei!$AZ:$BC,DailyMei!$BE:$BF,DailyMei!$BV:$CK</formula>
    <oldFormula>DailyMei!$D:$M,DailyMei!$O:$U,DailyMei!$W:$X,DailyMei!$AH:$AJ,DailyMei!$AL:$AN,DailyMei!$AP:$AR,DailyMei!$AT:$AX,DailyMei!$AZ:$BC,DailyMei!$BE:$BF,DailyMei!$BV:$CK</oldFormula>
  </rdn>
  <rdn rId="0" localSheetId="11" customView="1" name="Z_48545DB9_4D9D_4699_ACEC_DA6E2D3586A8_.wvu.Cols" hidden="1" oldHidden="1">
    <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formula>
    <old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oldFormula>
  </rdn>
  <rdn rId="0" localSheetId="12" customView="1" name="Z_48545DB9_4D9D_4699_ACEC_DA6E2D3586A8_.wvu.Rows" hidden="1" oldHidden="1">
    <formula>DailyJun!$37:$37</formula>
    <oldFormula>DailyJun!$37:$37</oldFormula>
  </rdn>
  <rdn rId="0" localSheetId="12" customView="1" name="Z_48545DB9_4D9D_4699_ACEC_DA6E2D3586A8_.wvu.Cols" hidden="1" oldHidden="1">
    <formula>DailyJun!$D:$M,DailyJun!$O:$U,DailyJun!$W:$X,DailyJun!$AH:$AJ,DailyJun!$AL:$AN,DailyJun!$AP:$AR,DailyJun!$AT:$AX,DailyJun!$AZ:$BC,DailyJun!$BE:$BF,DailyJun!$BV:$CI</formula>
    <oldFormula>DailyJun!$D:$M,DailyJun!$O:$U,DailyJun!$W:$X,DailyJun!$AH:$AJ,DailyJun!$AL:$AN,DailyJun!$AP:$AR,DailyJun!$AT:$AX,DailyJun!$AZ:$BC,DailyJun!$BE:$BF,DailyJun!$BV:$CI</oldFormula>
  </rdn>
  <rdn rId="0" localSheetId="13" customView="1" name="Z_48545DB9_4D9D_4699_ACEC_DA6E2D3586A8_.wvu.Cols" hidden="1" oldHidden="1">
    <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formula>
    <old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oldFormula>
  </rdn>
  <rdn rId="0" localSheetId="14" customView="1" name="Z_48545DB9_4D9D_4699_ACEC_DA6E2D3586A8_.wvu.Cols" hidden="1" oldHidden="1">
    <formula>DailyJul!$D:$M,DailyJul!$O:$U,DailyJul!$W:$X,DailyJul!$AH:$AJ,DailyJul!$AL:$AN,DailyJul!$AP:$AR,DailyJul!$AT:$AX,DailyJul!$AZ:$BC,DailyJul!$BE:$BF</formula>
    <oldFormula>DailyJul!$D:$M,DailyJul!$O:$U,DailyJul!$W:$X,DailyJul!$AH:$AJ,DailyJul!$AL:$AN,DailyJul!$AP:$AR,DailyJul!$AT:$AX,DailyJul!$AZ:$BC,DailyJul!$BE:$BF</oldFormula>
  </rdn>
  <rdn rId="0" localSheetId="15" customView="1" name="Z_48545DB9_4D9D_4699_ACEC_DA6E2D3586A8_.wvu.Cols" hidden="1" oldHidden="1">
    <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formula>
    <old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oldFormula>
  </rdn>
  <rdn rId="0" localSheetId="16" customView="1" name="Z_48545DB9_4D9D_4699_ACEC_DA6E2D3586A8_.wvu.PrintArea" hidden="1" oldHidden="1">
    <formula>DailyAug!$A$1:$BU$69</formula>
    <oldFormula>DailyAug!$A$1:$BU$69</oldFormula>
  </rdn>
  <rdn rId="0" localSheetId="17" customView="1" name="Z_48545DB9_4D9D_4699_ACEC_DA6E2D3586A8_.wvu.Cols" hidden="1" oldHidden="1">
    <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formula>
    <old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oldFormula>
  </rdn>
  <rdn rId="0" localSheetId="19" customView="1" name="Z_48545DB9_4D9D_4699_ACEC_DA6E2D3586A8_.wvu.Cols" hidden="1" oldHidden="1">
    <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formula>
    <old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oldFormula>
  </rdn>
  <rdn rId="0" localSheetId="21" customView="1" name="Z_48545DB9_4D9D_4699_ACEC_DA6E2D3586A8_.wvu.Cols" hidden="1" oldHidden="1">
    <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formula>
    <old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oldFormula>
  </rdn>
  <rcv guid="{48545DB9-4D9D-4699-ACEC-DA6E2D3586A8}" action="add"/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32ABFE17-599B-4D0B-A1DB-D95B181877FC}" action="delete"/>
  <rdn rId="0" localSheetId="1" customView="1" name="Z_32ABFE17_599B_4D0B_A1DB_D95B181877FC_.wvu.Cols" hidden="1" oldHidden="1">
    <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formula>
    <old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oldFormula>
  </rdn>
  <rdn rId="0" localSheetId="2" customView="1" name="Z_32ABFE17_599B_4D0B_A1DB_D95B181877FC_.wvu.Cols" hidden="1" oldHidden="1">
    <formula>DailyJan!$D:$M,DailyJan!$W:$X,DailyJan!$AH:$AJ,DailyJan!$AL:$AN,DailyJan!$AP:$AR,DailyJan!$AT:$AX,DailyJan!$AZ:$BC,DailyJan!$BX:$BY</formula>
    <oldFormula>DailyJan!$D:$M,DailyJan!$W:$X,DailyJan!$AH:$AJ,DailyJan!$AL:$AN,DailyJan!$AP:$AR,DailyJan!$AT:$AX,DailyJan!$AZ:$BC,DailyJan!$BX:$BY</oldFormula>
  </rdn>
  <rdn rId="0" localSheetId="3" customView="1" name="Z_32ABFE17_599B_4D0B_A1DB_D95B181877FC_.wvu.Rows" hidden="1" oldHidden="1">
    <formula>Feb!$36:$38</formula>
    <oldFormula>Feb!$36:$38</oldFormula>
  </rdn>
  <rdn rId="0" localSheetId="3" customView="1" name="Z_32ABFE17_599B_4D0B_A1DB_D95B181877FC_.wvu.Cols" hidden="1" oldHidden="1">
    <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formula>
    <old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oldFormula>
  </rdn>
  <rdn rId="0" localSheetId="4" customView="1" name="Z_32ABFE17_599B_4D0B_A1DB_D95B181877FC_.wvu.Rows" hidden="1" oldHidden="1">
    <formula>DailyFeb!$35:$37</formula>
    <oldFormula>DailyFeb!$35:$37</oldFormula>
  </rdn>
  <rdn rId="0" localSheetId="4" customView="1" name="Z_32ABFE17_599B_4D0B_A1DB_D95B181877FC_.wvu.Cols" hidden="1" oldHidden="1">
    <formula>DailyFeb!$D:$M,DailyFeb!$W:$X,DailyFeb!$AH:$AJ,DailyFeb!$AL:$AN,DailyFeb!$AP:$AR</formula>
    <oldFormula>DailyFeb!$D:$M,DailyFeb!$W:$X,DailyFeb!$AH:$AJ,DailyFeb!$AL:$AN,DailyFeb!$AP:$AR</oldFormula>
  </rdn>
  <rdn rId="0" localSheetId="5" customView="1" name="Z_32ABFE17_599B_4D0B_A1DB_D95B181877FC_.wvu.Cols" hidden="1" oldHidden="1">
    <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formula>
    <old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oldFormula>
  </rdn>
  <rdn rId="0" localSheetId="6" customView="1" name="Z_32ABFE17_599B_4D0B_A1DB_D95B181877FC_.wvu.Cols" hidden="1" oldHidden="1">
    <formula>DailyMar!$D:$M,DailyMar!$O:$U,DailyMar!$W:$X,DailyMar!$AH:$AJ,DailyMar!$AL:$AN,DailyMar!$AP:$AR,DailyMar!$AT:$AX,DailyMar!$AZ:$BC,DailyMar!$BE:$BF,DailyMar!$BV:$CC</formula>
    <oldFormula>DailyMar!$D:$M,DailyMar!$O:$U,DailyMar!$W:$X,DailyMar!$AH:$AJ,DailyMar!$AL:$AN,DailyMar!$AP:$AR,DailyMar!$AT:$AX,DailyMar!$AZ:$BC,DailyMar!$BE:$BF,DailyMar!$BV:$CC</oldFormula>
  </rdn>
  <rdn rId="0" localSheetId="7" customView="1" name="Z_32ABFE17_599B_4D0B_A1DB_D95B181877FC_.wvu.Rows" hidden="1" oldHidden="1">
    <formula>Apr!$38:$38</formula>
    <oldFormula>Apr!$38:$38</oldFormula>
  </rdn>
  <rdn rId="0" localSheetId="7" customView="1" name="Z_32ABFE17_599B_4D0B_A1DB_D95B181877FC_.wvu.Cols" hidden="1" oldHidden="1">
    <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formula>
    <old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oldFormula>
  </rdn>
  <rdn rId="0" localSheetId="8" customView="1" name="Z_32ABFE17_599B_4D0B_A1DB_D95B181877FC_.wvu.Rows" hidden="1" oldHidden="1">
    <formula>DailyApr!$37:$37</formula>
    <oldFormula>DailyApr!$37:$37</oldFormula>
  </rdn>
  <rdn rId="0" localSheetId="8" customView="1" name="Z_32ABFE17_599B_4D0B_A1DB_D95B181877FC_.wvu.Cols" hidden="1" oldHidden="1">
    <formula>DailyApr!$D:$M,DailyApr!$O:$U,DailyApr!$W:$X,DailyApr!$AH:$AJ,DailyApr!$AL:$AN,DailyApr!$AP:$AR,DailyApr!$AT:$AX,DailyApr!$AZ:$BC,DailyApr!$BE:$BF,DailyApr!$BV:$CG</formula>
    <oldFormula>DailyApr!$D:$M,DailyApr!$O:$U,DailyApr!$W:$X,DailyApr!$AH:$AJ,DailyApr!$AL:$AN,DailyApr!$AP:$AR,DailyApr!$AT:$AX,DailyApr!$AZ:$BC,DailyApr!$BE:$BF,DailyApr!$BV:$CG</oldFormula>
  </rdn>
  <rdn rId="0" localSheetId="9" customView="1" name="Z_32ABFE17_599B_4D0B_A1DB_D95B181877FC_.wvu.Cols" hidden="1" oldHidden="1">
    <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formula>
    <old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oldFormula>
  </rdn>
  <rdn rId="0" localSheetId="10" customView="1" name="Z_32ABFE17_599B_4D0B_A1DB_D95B181877FC_.wvu.Cols" hidden="1" oldHidden="1">
    <formula>DailyMei!$D:$M,DailyMei!$O:$U,DailyMei!$W:$X,DailyMei!$AH:$AJ,DailyMei!$AL:$AN,DailyMei!$AP:$AR,DailyMei!$AT:$AX,DailyMei!$AZ:$BC,DailyMei!$BE:$BF,DailyMei!$BV:$CK</formula>
    <oldFormula>DailyMei!$D:$M,DailyMei!$O:$U,DailyMei!$W:$X,DailyMei!$AH:$AJ,DailyMei!$AL:$AN,DailyMei!$AP:$AR,DailyMei!$AT:$AX,DailyMei!$AZ:$BC,DailyMei!$BE:$BF,DailyMei!$BV:$CK</oldFormula>
  </rdn>
  <rdn rId="0" localSheetId="11" customView="1" name="Z_32ABFE17_599B_4D0B_A1DB_D95B181877FC_.wvu.Cols" hidden="1" oldHidden="1">
    <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formula>
    <old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oldFormula>
  </rdn>
  <rdn rId="0" localSheetId="12" customView="1" name="Z_32ABFE17_599B_4D0B_A1DB_D95B181877FC_.wvu.Rows" hidden="1" oldHidden="1">
    <formula>DailyJun!$37:$37</formula>
    <oldFormula>DailyJun!$37:$37</oldFormula>
  </rdn>
  <rdn rId="0" localSheetId="12" customView="1" name="Z_32ABFE17_599B_4D0B_A1DB_D95B181877FC_.wvu.Cols" hidden="1" oldHidden="1">
    <formula>DailyJun!$D:$M,DailyJun!$O:$U,DailyJun!$W:$X,DailyJun!$AH:$AJ,DailyJun!$AL:$AN,DailyJun!$AP:$AR,DailyJun!$AT:$AX,DailyJun!$AZ:$BC,DailyJun!$BE:$BF,DailyJun!$BV:$CI</formula>
    <oldFormula>DailyJun!$D:$M,DailyJun!$O:$U,DailyJun!$W:$X,DailyJun!$AH:$AJ,DailyJun!$AL:$AN,DailyJun!$AP:$AR,DailyJun!$AT:$AX,DailyJun!$AZ:$BC,DailyJun!$BE:$BF,DailyJun!$BV:$CI</oldFormula>
  </rdn>
  <rdn rId="0" localSheetId="13" customView="1" name="Z_32ABFE17_599B_4D0B_A1DB_D95B181877FC_.wvu.Cols" hidden="1" oldHidden="1">
    <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formula>
    <old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oldFormula>
  </rdn>
  <rdn rId="0" localSheetId="14" customView="1" name="Z_32ABFE17_599B_4D0B_A1DB_D95B181877FC_.wvu.Cols" hidden="1" oldHidden="1">
    <formula>DailyJul!$D:$M,DailyJul!$O:$U,DailyJul!$W:$X,DailyJul!$AH:$AJ,DailyJul!$AL:$AN,DailyJul!$AP:$AR,DailyJul!$AT:$AX,DailyJul!$AZ:$BC,DailyJul!$BE:$BF</formula>
    <oldFormula>DailyJul!$D:$M,DailyJul!$O:$U,DailyJul!$W:$X,DailyJul!$AH:$AJ,DailyJul!$AL:$AN,DailyJul!$AP:$AR,DailyJul!$AT:$AX,DailyJul!$AZ:$BC,DailyJul!$BE:$BF</oldFormula>
  </rdn>
  <rdn rId="0" localSheetId="15" customView="1" name="Z_32ABFE17_599B_4D0B_A1DB_D95B181877FC_.wvu.Cols" hidden="1" oldHidden="1">
    <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formula>
    <old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oldFormula>
  </rdn>
  <rdn rId="0" localSheetId="16" customView="1" name="Z_32ABFE17_599B_4D0B_A1DB_D95B181877FC_.wvu.PrintArea" hidden="1" oldHidden="1">
    <formula>DailyAug!$A$1:$BU$69</formula>
    <oldFormula>DailyAug!$A$1:$BU$69</oldFormula>
  </rdn>
  <rdn rId="0" localSheetId="17" customView="1" name="Z_32ABFE17_599B_4D0B_A1DB_D95B181877FC_.wvu.Cols" hidden="1" oldHidden="1">
    <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formula>
    <old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oldFormula>
  </rdn>
  <rdn rId="0" localSheetId="19" customView="1" name="Z_32ABFE17_599B_4D0B_A1DB_D95B181877FC_.wvu.Cols" hidden="1" oldHidden="1">
    <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formula>
    <old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oldFormula>
  </rdn>
  <rdn rId="0" localSheetId="21" customView="1" name="Z_32ABFE17_599B_4D0B_A1DB_D95B181877FC_.wvu.Cols" hidden="1" oldHidden="1">
    <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formula>
    <old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oldFormula>
  </rdn>
  <rcv guid="{32ABFE17-599B-4D0B-A1DB-D95B181877FC}" action="add"/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02" sId="20">
    <nc r="BQ38">
      <f>SUMIF(BQ7:BQ37,"&gt;0")</f>
    </nc>
  </rcc>
  <rcv guid="{48545DB9-4D9D-4699-ACEC-DA6E2D3586A8}" action="delete"/>
  <rdn rId="0" localSheetId="1" customView="1" name="Z_48545DB9_4D9D_4699_ACEC_DA6E2D3586A8_.wvu.Cols" hidden="1" oldHidden="1">
    <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formula>
    <oldFormula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oldFormula>
  </rdn>
  <rdn rId="0" localSheetId="2" customView="1" name="Z_48545DB9_4D9D_4699_ACEC_DA6E2D3586A8_.wvu.Cols" hidden="1" oldHidden="1">
    <formula>DailyJan!$D:$M,DailyJan!$W:$X,DailyJan!$AH:$AJ,DailyJan!$AL:$AN,DailyJan!$AP:$AR,DailyJan!$AT:$AX,DailyJan!$AZ:$BC,DailyJan!$BX:$BY</formula>
    <oldFormula>DailyJan!$D:$M,DailyJan!$W:$X,DailyJan!$AH:$AJ,DailyJan!$AL:$AN,DailyJan!$AP:$AR,DailyJan!$AT:$AX,DailyJan!$AZ:$BC,DailyJan!$BX:$BY</oldFormula>
  </rdn>
  <rdn rId="0" localSheetId="3" customView="1" name="Z_48545DB9_4D9D_4699_ACEC_DA6E2D3586A8_.wvu.Rows" hidden="1" oldHidden="1">
    <formula>Feb!$36:$38</formula>
    <oldFormula>Feb!$36:$38</oldFormula>
  </rdn>
  <rdn rId="0" localSheetId="3" customView="1" name="Z_48545DB9_4D9D_4699_ACEC_DA6E2D3586A8_.wvu.Cols" hidden="1" oldHidden="1">
    <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formula>
    <oldFormula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oldFormula>
  </rdn>
  <rdn rId="0" localSheetId="4" customView="1" name="Z_48545DB9_4D9D_4699_ACEC_DA6E2D3586A8_.wvu.Rows" hidden="1" oldHidden="1">
    <formula>DailyFeb!$35:$37</formula>
    <oldFormula>DailyFeb!$35:$37</oldFormula>
  </rdn>
  <rdn rId="0" localSheetId="4" customView="1" name="Z_48545DB9_4D9D_4699_ACEC_DA6E2D3586A8_.wvu.Cols" hidden="1" oldHidden="1">
    <formula>DailyFeb!$D:$M,DailyFeb!$W:$X,DailyFeb!$AH:$AJ,DailyFeb!$AL:$AN,DailyFeb!$AP:$AR</formula>
    <oldFormula>DailyFeb!$D:$M,DailyFeb!$W:$X,DailyFeb!$AH:$AJ,DailyFeb!$AL:$AN,DailyFeb!$AP:$AR</oldFormula>
  </rdn>
  <rdn rId="0" localSheetId="5" customView="1" name="Z_48545DB9_4D9D_4699_ACEC_DA6E2D3586A8_.wvu.Cols" hidden="1" oldHidden="1">
    <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formula>
    <oldFormula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oldFormula>
  </rdn>
  <rdn rId="0" localSheetId="6" customView="1" name="Z_48545DB9_4D9D_4699_ACEC_DA6E2D3586A8_.wvu.Cols" hidden="1" oldHidden="1">
    <formula>DailyMar!$D:$M,DailyMar!$O:$U,DailyMar!$W:$X,DailyMar!$AH:$AJ,DailyMar!$AL:$AN,DailyMar!$AP:$AR,DailyMar!$AT:$AX,DailyMar!$AZ:$BC,DailyMar!$BE:$BF,DailyMar!$BV:$CC</formula>
    <oldFormula>DailyMar!$D:$M,DailyMar!$O:$U,DailyMar!$W:$X,DailyMar!$AH:$AJ,DailyMar!$AL:$AN,DailyMar!$AP:$AR,DailyMar!$AT:$AX,DailyMar!$AZ:$BC,DailyMar!$BE:$BF,DailyMar!$BV:$CC</oldFormula>
  </rdn>
  <rdn rId="0" localSheetId="7" customView="1" name="Z_48545DB9_4D9D_4699_ACEC_DA6E2D3586A8_.wvu.Rows" hidden="1" oldHidden="1">
    <formula>Apr!$38:$38</formula>
    <oldFormula>Apr!$38:$38</oldFormula>
  </rdn>
  <rdn rId="0" localSheetId="7" customView="1" name="Z_48545DB9_4D9D_4699_ACEC_DA6E2D3586A8_.wvu.Cols" hidden="1" oldHidden="1">
    <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formula>
    <oldFormula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oldFormula>
  </rdn>
  <rdn rId="0" localSheetId="8" customView="1" name="Z_48545DB9_4D9D_4699_ACEC_DA6E2D3586A8_.wvu.Rows" hidden="1" oldHidden="1">
    <formula>DailyApr!$37:$37</formula>
    <oldFormula>DailyApr!$37:$37</oldFormula>
  </rdn>
  <rdn rId="0" localSheetId="8" customView="1" name="Z_48545DB9_4D9D_4699_ACEC_DA6E2D3586A8_.wvu.Cols" hidden="1" oldHidden="1">
    <formula>DailyApr!$D:$M,DailyApr!$O:$U,DailyApr!$W:$X,DailyApr!$AH:$AJ,DailyApr!$AL:$AN,DailyApr!$AP:$AR,DailyApr!$AT:$AX,DailyApr!$AZ:$BC,DailyApr!$BE:$BF,DailyApr!$BV:$CG</formula>
    <oldFormula>DailyApr!$D:$M,DailyApr!$O:$U,DailyApr!$W:$X,DailyApr!$AH:$AJ,DailyApr!$AL:$AN,DailyApr!$AP:$AR,DailyApr!$AT:$AX,DailyApr!$AZ:$BC,DailyApr!$BE:$BF,DailyApr!$BV:$CG</oldFormula>
  </rdn>
  <rdn rId="0" localSheetId="9" customView="1" name="Z_48545DB9_4D9D_4699_ACEC_DA6E2D3586A8_.wvu.Cols" hidden="1" oldHidden="1">
    <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formula>
    <oldFormula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oldFormula>
  </rdn>
  <rdn rId="0" localSheetId="10" customView="1" name="Z_48545DB9_4D9D_4699_ACEC_DA6E2D3586A8_.wvu.Cols" hidden="1" oldHidden="1">
    <formula>DailyMei!$D:$M,DailyMei!$O:$U,DailyMei!$W:$X,DailyMei!$AH:$AJ,DailyMei!$AL:$AN,DailyMei!$AP:$AR,DailyMei!$AT:$AX,DailyMei!$AZ:$BC,DailyMei!$BE:$BF,DailyMei!$BV:$CK</formula>
    <oldFormula>DailyMei!$D:$M,DailyMei!$O:$U,DailyMei!$W:$X,DailyMei!$AH:$AJ,DailyMei!$AL:$AN,DailyMei!$AP:$AR,DailyMei!$AT:$AX,DailyMei!$AZ:$BC,DailyMei!$BE:$BF,DailyMei!$BV:$CK</oldFormula>
  </rdn>
  <rdn rId="0" localSheetId="11" customView="1" name="Z_48545DB9_4D9D_4699_ACEC_DA6E2D3586A8_.wvu.Cols" hidden="1" oldHidden="1">
    <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formula>
    <oldFormula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oldFormula>
  </rdn>
  <rdn rId="0" localSheetId="12" customView="1" name="Z_48545DB9_4D9D_4699_ACEC_DA6E2D3586A8_.wvu.Rows" hidden="1" oldHidden="1">
    <formula>DailyJun!$37:$37</formula>
    <oldFormula>DailyJun!$37:$37</oldFormula>
  </rdn>
  <rdn rId="0" localSheetId="12" customView="1" name="Z_48545DB9_4D9D_4699_ACEC_DA6E2D3586A8_.wvu.Cols" hidden="1" oldHidden="1">
    <formula>DailyJun!$D:$M,DailyJun!$O:$U,DailyJun!$W:$X,DailyJun!$AH:$AJ,DailyJun!$AL:$AN,DailyJun!$AP:$AR,DailyJun!$AT:$AX,DailyJun!$AZ:$BC,DailyJun!$BE:$BF,DailyJun!$BV:$CI</formula>
    <oldFormula>DailyJun!$D:$M,DailyJun!$O:$U,DailyJun!$W:$X,DailyJun!$AH:$AJ,DailyJun!$AL:$AN,DailyJun!$AP:$AR,DailyJun!$AT:$AX,DailyJun!$AZ:$BC,DailyJun!$BE:$BF,DailyJun!$BV:$CI</oldFormula>
  </rdn>
  <rdn rId="0" localSheetId="13" customView="1" name="Z_48545DB9_4D9D_4699_ACEC_DA6E2D3586A8_.wvu.Cols" hidden="1" oldHidden="1">
    <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formula>
    <oldFormula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oldFormula>
  </rdn>
  <rdn rId="0" localSheetId="14" customView="1" name="Z_48545DB9_4D9D_4699_ACEC_DA6E2D3586A8_.wvu.Cols" hidden="1" oldHidden="1">
    <formula>DailyJul!$D:$M,DailyJul!$O:$U,DailyJul!$W:$X,DailyJul!$AH:$AJ,DailyJul!$AL:$AN,DailyJul!$AP:$AR,DailyJul!$AT:$AX,DailyJul!$AZ:$BC,DailyJul!$BE:$BF</formula>
    <oldFormula>DailyJul!$D:$M,DailyJul!$O:$U,DailyJul!$W:$X,DailyJul!$AH:$AJ,DailyJul!$AL:$AN,DailyJul!$AP:$AR,DailyJul!$AT:$AX,DailyJul!$AZ:$BC,DailyJul!$BE:$BF</oldFormula>
  </rdn>
  <rdn rId="0" localSheetId="15" customView="1" name="Z_48545DB9_4D9D_4699_ACEC_DA6E2D3586A8_.wvu.Cols" hidden="1" oldHidden="1">
    <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formula>
    <oldFormula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oldFormula>
  </rdn>
  <rdn rId="0" localSheetId="16" customView="1" name="Z_48545DB9_4D9D_4699_ACEC_DA6E2D3586A8_.wvu.PrintArea" hidden="1" oldHidden="1">
    <formula>DailyAug!$A$1:$BU$69</formula>
    <oldFormula>DailyAug!$A$1:$BU$69</oldFormula>
  </rdn>
  <rdn rId="0" localSheetId="17" customView="1" name="Z_48545DB9_4D9D_4699_ACEC_DA6E2D3586A8_.wvu.Cols" hidden="1" oldHidden="1">
    <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formula>
    <oldFormula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oldFormula>
  </rdn>
  <rdn rId="0" localSheetId="19" customView="1" name="Z_48545DB9_4D9D_4699_ACEC_DA6E2D3586A8_.wvu.Cols" hidden="1" oldHidden="1">
    <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formula>
    <oldFormula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oldFormula>
  </rdn>
  <rdn rId="0" localSheetId="20" customView="1" name="Z_48545DB9_4D9D_4699_ACEC_DA6E2D3586A8_.wvu.Cols" hidden="1" oldHidden="1">
    <formula>DailyOct!$D:$M,DailyOct!$O:$U,DailyOct!$W:$AJ,DailyOct!$AL:$AN,DailyOct!$AP:$AX,DailyOct!$AZ:$BC,DailyOct!$BE:$BG</formula>
  </rdn>
  <rdn rId="0" localSheetId="21" customView="1" name="Z_48545DB9_4D9D_4699_ACEC_DA6E2D3586A8_.wvu.Cols" hidden="1" oldHidden="1">
    <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formula>
    <oldFormula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oldFormula>
  </rdn>
  <rcv guid="{48545DB9-4D9D-4699-ACEC-DA6E2D3586A8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3">
  <userInfo guid="{E1FD47C4-A678-4E2B-9234-02AA383B792B}" name="win10" id="-916183034" dateTime="2025-10-31T12:46:46"/>
  <userInfo guid="{262AEF8C-E1F5-400F-8B91-71FC6C4B8D7C}" name="win10" id="-916150750" dateTime="2025-11-01T13:58:20"/>
  <userInfo guid="{7367EB87-81F3-426E-B205-BCDDBC11FD64}" name="win10" id="-916162725" dateTime="2025-11-03T14:51:11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4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Relationship Id="rId4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Relationship Id="rId4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5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.bin"/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Relationship Id="rId4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.bin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Relationship Id="rId4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.bin"/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Relationship Id="rId6" Type="http://schemas.openxmlformats.org/officeDocument/2006/relationships/comments" Target="../comments8.xml"/><Relationship Id="rId5" Type="http://schemas.openxmlformats.org/officeDocument/2006/relationships/vmlDrawing" Target="../drawings/vmlDrawing8.vml"/><Relationship Id="rId4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Relationship Id="rId4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.bin"/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Relationship Id="rId6" Type="http://schemas.openxmlformats.org/officeDocument/2006/relationships/comments" Target="../comments9.xml"/><Relationship Id="rId5" Type="http://schemas.openxmlformats.org/officeDocument/2006/relationships/vmlDrawing" Target="../drawings/vmlDrawing9.vml"/><Relationship Id="rId4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.bin"/><Relationship Id="rId2" Type="http://schemas.openxmlformats.org/officeDocument/2006/relationships/printerSettings" Target="../printerSettings/printerSettings53.bin"/><Relationship Id="rId1" Type="http://schemas.openxmlformats.org/officeDocument/2006/relationships/printerSettings" Target="../printerSettings/printerSettings52.bin"/><Relationship Id="rId4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7.bin"/><Relationship Id="rId2" Type="http://schemas.openxmlformats.org/officeDocument/2006/relationships/printerSettings" Target="../printerSettings/printerSettings56.bin"/><Relationship Id="rId1" Type="http://schemas.openxmlformats.org/officeDocument/2006/relationships/printerSettings" Target="../printerSettings/printerSettings55.bin"/><Relationship Id="rId5" Type="http://schemas.openxmlformats.org/officeDocument/2006/relationships/comments" Target="../comments10.xml"/><Relationship Id="rId4" Type="http://schemas.openxmlformats.org/officeDocument/2006/relationships/vmlDrawing" Target="../drawings/vmlDrawing10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0.bin"/><Relationship Id="rId2" Type="http://schemas.openxmlformats.org/officeDocument/2006/relationships/printerSettings" Target="../printerSettings/printerSettings59.bin"/><Relationship Id="rId1" Type="http://schemas.openxmlformats.org/officeDocument/2006/relationships/printerSettings" Target="../printerSettings/printerSettings58.bin"/><Relationship Id="rId4" Type="http://schemas.openxmlformats.org/officeDocument/2006/relationships/drawing" Target="../drawings/drawing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3.bin"/><Relationship Id="rId2" Type="http://schemas.openxmlformats.org/officeDocument/2006/relationships/printerSettings" Target="../printerSettings/printerSettings62.bin"/><Relationship Id="rId1" Type="http://schemas.openxmlformats.org/officeDocument/2006/relationships/printerSettings" Target="../printerSettings/printerSettings61.bin"/><Relationship Id="rId5" Type="http://schemas.openxmlformats.org/officeDocument/2006/relationships/comments" Target="../comments11.xml"/><Relationship Id="rId4" Type="http://schemas.openxmlformats.org/officeDocument/2006/relationships/vmlDrawing" Target="../drawings/vmlDrawing11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6.bin"/><Relationship Id="rId2" Type="http://schemas.openxmlformats.org/officeDocument/2006/relationships/printerSettings" Target="../printerSettings/printerSettings65.bin"/><Relationship Id="rId1" Type="http://schemas.openxmlformats.org/officeDocument/2006/relationships/printerSettings" Target="../printerSettings/printerSettings64.bin"/><Relationship Id="rId4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XAP88"/>
  <sheetViews>
    <sheetView zoomScale="82" zoomScaleNormal="82" workbookViewId="0">
      <pane xSplit="1" ySplit="6" topLeftCell="GI10" activePane="bottomRight" state="frozen"/>
      <selection pane="topRight" activeCell="B1" sqref="B1"/>
      <selection pane="bottomLeft" activeCell="A7" sqref="A7"/>
      <selection pane="bottomRight" activeCell="GV11" sqref="GV11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4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0.140625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1406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8.570312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8.5703125" bestFit="1" customWidth="1"/>
    <col min="183" max="183" width="8.7109375" bestFit="1" customWidth="1"/>
    <col min="184" max="185" width="10.7109375" bestFit="1" customWidth="1"/>
    <col min="186" max="186" width="8.42578125" customWidth="1"/>
    <col min="187" max="187" width="13.85546875" customWidth="1"/>
    <col min="188" max="188" width="8.5703125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2.140625" bestFit="1" customWidth="1"/>
    <col min="212" max="212" width="12.7109375" bestFit="1" customWidth="1"/>
    <col min="213" max="213" width="12.42578125" customWidth="1"/>
    <col min="214" max="214" width="11.7109375" customWidth="1"/>
    <col min="215" max="215" width="11.140625" customWidth="1"/>
    <col min="216" max="216" width="11.28515625" bestFit="1" customWidth="1"/>
    <col min="218" max="218" width="12" bestFit="1" customWidth="1"/>
    <col min="260" max="260" width="3.85546875" customWidth="1"/>
    <col min="261" max="261" width="15.28515625" bestFit="1" customWidth="1"/>
    <col min="262" max="262" width="12.28515625" customWidth="1"/>
    <col min="263" max="263" width="16.28515625" bestFit="1" customWidth="1"/>
    <col min="264" max="264" width="6.42578125" bestFit="1" customWidth="1"/>
    <col min="265" max="265" width="9.28515625" bestFit="1" customWidth="1"/>
    <col min="266" max="266" width="7.5703125" bestFit="1" customWidth="1"/>
    <col min="267" max="267" width="13.28515625" bestFit="1" customWidth="1"/>
    <col min="268" max="268" width="9.28515625" bestFit="1" customWidth="1"/>
    <col min="269" max="269" width="11.5703125" bestFit="1" customWidth="1"/>
    <col min="270" max="270" width="13.28515625" bestFit="1" customWidth="1"/>
    <col min="271" max="271" width="7.140625" bestFit="1" customWidth="1"/>
    <col min="272" max="272" width="12" bestFit="1" customWidth="1"/>
    <col min="273" max="273" width="13.28515625" bestFit="1" customWidth="1"/>
    <col min="274" max="274" width="7" bestFit="1" customWidth="1"/>
    <col min="275" max="275" width="12.7109375" bestFit="1" customWidth="1"/>
    <col min="276" max="276" width="11.5703125" bestFit="1" customWidth="1"/>
    <col min="277" max="277" width="10.5703125" bestFit="1" customWidth="1"/>
    <col min="278" max="279" width="15.7109375" bestFit="1" customWidth="1"/>
    <col min="280" max="280" width="11.5703125" bestFit="1" customWidth="1"/>
    <col min="281" max="281" width="7.7109375" bestFit="1" customWidth="1"/>
    <col min="282" max="282" width="15.140625" bestFit="1" customWidth="1"/>
    <col min="283" max="283" width="11.5703125" bestFit="1" customWidth="1"/>
    <col min="284" max="284" width="13.28515625" bestFit="1" customWidth="1"/>
    <col min="285" max="285" width="10.42578125" bestFit="1" customWidth="1"/>
    <col min="286" max="286" width="13.28515625" bestFit="1" customWidth="1"/>
    <col min="287" max="287" width="12.140625" bestFit="1" customWidth="1"/>
    <col min="288" max="288" width="14.42578125" bestFit="1" customWidth="1"/>
    <col min="289" max="289" width="13.28515625" bestFit="1" customWidth="1"/>
    <col min="290" max="290" width="11.5703125" bestFit="1" customWidth="1"/>
    <col min="291" max="291" width="7.7109375" bestFit="1" customWidth="1"/>
    <col min="292" max="293" width="14.42578125" bestFit="1" customWidth="1"/>
    <col min="294" max="294" width="11.5703125" bestFit="1" customWidth="1"/>
    <col min="295" max="295" width="7.7109375" bestFit="1" customWidth="1"/>
    <col min="296" max="296" width="13.5703125" customWidth="1"/>
    <col min="297" max="297" width="15.28515625" customWidth="1"/>
    <col min="298" max="298" width="14.5703125" customWidth="1"/>
    <col min="299" max="299" width="13.28515625" bestFit="1" customWidth="1"/>
    <col min="300" max="300" width="7.7109375" bestFit="1" customWidth="1"/>
    <col min="301" max="301" width="12.7109375" bestFit="1" customWidth="1"/>
    <col min="302" max="302" width="11.7109375" bestFit="1" customWidth="1"/>
    <col min="303" max="303" width="11.5703125" bestFit="1" customWidth="1"/>
    <col min="304" max="304" width="5.28515625" bestFit="1" customWidth="1"/>
    <col min="305" max="305" width="13.28515625" bestFit="1" customWidth="1"/>
    <col min="306" max="306" width="13.5703125" bestFit="1" customWidth="1"/>
    <col min="307" max="307" width="10.5703125" bestFit="1" customWidth="1"/>
    <col min="308" max="308" width="13.28515625" bestFit="1" customWidth="1"/>
    <col min="309" max="309" width="11.5703125" bestFit="1" customWidth="1"/>
    <col min="310" max="310" width="10.5703125" bestFit="1" customWidth="1"/>
    <col min="311" max="311" width="16.140625" bestFit="1" customWidth="1"/>
    <col min="312" max="313" width="11.28515625" bestFit="1" customWidth="1"/>
    <col min="314" max="314" width="13.28515625" bestFit="1" customWidth="1"/>
    <col min="315" max="315" width="7.7109375" bestFit="1" customWidth="1"/>
    <col min="316" max="319" width="9.140625" hidden="1" customWidth="1"/>
    <col min="320" max="320" width="10.42578125" bestFit="1" customWidth="1"/>
    <col min="321" max="321" width="10.5703125" bestFit="1" customWidth="1"/>
    <col min="322" max="322" width="10.42578125" bestFit="1" customWidth="1"/>
    <col min="323" max="323" width="10.5703125" bestFit="1" customWidth="1"/>
    <col min="324" max="324" width="9.5703125" bestFit="1" customWidth="1"/>
    <col min="325" max="325" width="11.5703125" bestFit="1" customWidth="1"/>
    <col min="326" max="326" width="10.42578125" bestFit="1" customWidth="1"/>
    <col min="327" max="327" width="10.85546875" customWidth="1"/>
    <col min="328" max="329" width="9.85546875" bestFit="1" customWidth="1"/>
    <col min="330" max="330" width="13.5703125" bestFit="1" customWidth="1"/>
    <col min="331" max="331" width="7.7109375" bestFit="1" customWidth="1"/>
    <col min="332" max="332" width="13.28515625" bestFit="1" customWidth="1"/>
    <col min="333" max="333" width="11.5703125" bestFit="1" customWidth="1"/>
    <col min="334" max="334" width="10.42578125" bestFit="1" customWidth="1"/>
    <col min="335" max="335" width="7.7109375" bestFit="1" customWidth="1"/>
    <col min="336" max="336" width="11.5703125" bestFit="1" customWidth="1"/>
    <col min="337" max="337" width="10.85546875" bestFit="1" customWidth="1"/>
    <col min="338" max="338" width="13.28515625" bestFit="1" customWidth="1"/>
    <col min="339" max="339" width="10.85546875" bestFit="1" customWidth="1"/>
    <col min="340" max="341" width="7.5703125" bestFit="1" customWidth="1"/>
    <col min="342" max="343" width="10.42578125" bestFit="1" customWidth="1"/>
    <col min="344" max="344" width="11.5703125" bestFit="1" customWidth="1"/>
    <col min="345" max="345" width="5.28515625" bestFit="1" customWidth="1"/>
    <col min="346" max="346" width="10.28515625" bestFit="1" customWidth="1"/>
    <col min="347" max="347" width="10.42578125" bestFit="1" customWidth="1"/>
    <col min="348" max="348" width="11.5703125" bestFit="1" customWidth="1"/>
    <col min="349" max="349" width="5.28515625" bestFit="1" customWidth="1"/>
    <col min="350" max="352" width="11.5703125" bestFit="1" customWidth="1"/>
    <col min="353" max="353" width="5.28515625" bestFit="1" customWidth="1"/>
    <col min="354" max="355" width="10.42578125" bestFit="1" customWidth="1"/>
    <col min="356" max="356" width="11.5703125" bestFit="1" customWidth="1"/>
    <col min="357" max="357" width="5.28515625" bestFit="1" customWidth="1"/>
    <col min="358" max="358" width="14.28515625" bestFit="1" customWidth="1"/>
    <col min="359" max="359" width="13" bestFit="1" customWidth="1"/>
    <col min="360" max="360" width="11.5703125" bestFit="1" customWidth="1"/>
    <col min="361" max="361" width="8.85546875" bestFit="1" customWidth="1"/>
    <col min="362" max="362" width="14.42578125" bestFit="1" customWidth="1"/>
    <col min="363" max="363" width="10.42578125" bestFit="1" customWidth="1"/>
    <col min="364" max="364" width="12.28515625" bestFit="1" customWidth="1"/>
    <col min="365" max="365" width="13.85546875" bestFit="1" customWidth="1"/>
    <col min="366" max="366" width="11.28515625" customWidth="1"/>
    <col min="367" max="367" width="11.5703125" customWidth="1"/>
    <col min="368" max="368" width="13.42578125" bestFit="1" customWidth="1"/>
    <col min="369" max="369" width="10.42578125" customWidth="1"/>
    <col min="370" max="370" width="13.85546875" bestFit="1" customWidth="1"/>
    <col min="371" max="371" width="15.42578125" bestFit="1" customWidth="1"/>
    <col min="372" max="372" width="12.28515625" bestFit="1" customWidth="1"/>
    <col min="373" max="373" width="12.7109375" customWidth="1"/>
    <col min="374" max="374" width="10.7109375" bestFit="1" customWidth="1"/>
    <col min="375" max="375" width="9.85546875" customWidth="1"/>
    <col min="376" max="377" width="10.140625" bestFit="1" customWidth="1"/>
    <col min="378" max="378" width="7.5703125" bestFit="1" customWidth="1"/>
    <col min="379" max="379" width="9.42578125" bestFit="1" customWidth="1"/>
    <col min="380" max="380" width="14.5703125" bestFit="1" customWidth="1"/>
    <col min="381" max="381" width="14.85546875" customWidth="1"/>
    <col min="382" max="382" width="15.140625" bestFit="1" customWidth="1"/>
    <col min="383" max="383" width="12.140625" bestFit="1" customWidth="1"/>
    <col min="384" max="384" width="14.85546875" bestFit="1" customWidth="1"/>
    <col min="385" max="385" width="12.28515625" bestFit="1" customWidth="1"/>
    <col min="386" max="394" width="9.140625" hidden="1" customWidth="1"/>
    <col min="395" max="395" width="5.28515625" bestFit="1" customWidth="1"/>
    <col min="396" max="401" width="11.5703125" bestFit="1" customWidth="1"/>
    <col min="402" max="402" width="11.28515625" bestFit="1" customWidth="1"/>
    <col min="403" max="403" width="10.140625" bestFit="1" customWidth="1"/>
    <col min="404" max="404" width="11.5703125" bestFit="1" customWidth="1"/>
    <col min="405" max="405" width="16.140625" customWidth="1"/>
    <col min="406" max="406" width="13.42578125" customWidth="1"/>
    <col min="407" max="407" width="10.140625" bestFit="1" customWidth="1"/>
    <col min="408" max="408" width="12.85546875" bestFit="1" customWidth="1"/>
    <col min="409" max="409" width="12.28515625" bestFit="1" customWidth="1"/>
    <col min="410" max="410" width="11.28515625" bestFit="1" customWidth="1"/>
    <col min="411" max="411" width="11.5703125" bestFit="1" customWidth="1"/>
    <col min="412" max="412" width="10.85546875" bestFit="1" customWidth="1"/>
    <col min="413" max="413" width="11.28515625" bestFit="1" customWidth="1"/>
    <col min="414" max="414" width="10.140625" bestFit="1" customWidth="1"/>
    <col min="415" max="415" width="13.28515625" bestFit="1" customWidth="1"/>
    <col min="416" max="417" width="12.7109375" bestFit="1" customWidth="1"/>
    <col min="418" max="418" width="11" bestFit="1" customWidth="1"/>
    <col min="419" max="419" width="11.28515625" bestFit="1" customWidth="1"/>
    <col min="420" max="420" width="11.5703125" bestFit="1" customWidth="1"/>
    <col min="421" max="421" width="12.28515625" bestFit="1" customWidth="1"/>
    <col min="422" max="422" width="15.140625" bestFit="1" customWidth="1"/>
    <col min="423" max="423" width="14.42578125" bestFit="1" customWidth="1"/>
    <col min="424" max="424" width="12.28515625" bestFit="1" customWidth="1"/>
    <col min="425" max="425" width="15.140625" bestFit="1" customWidth="1"/>
    <col min="426" max="426" width="14.42578125" bestFit="1" customWidth="1"/>
    <col min="427" max="427" width="12.28515625" bestFit="1" customWidth="1"/>
    <col min="428" max="428" width="14.42578125" bestFit="1" customWidth="1"/>
    <col min="429" max="429" width="11.28515625" bestFit="1" customWidth="1"/>
    <col min="430" max="430" width="12.28515625" bestFit="1" customWidth="1"/>
    <col min="431" max="431" width="13" bestFit="1" customWidth="1"/>
    <col min="432" max="432" width="15.140625" bestFit="1" customWidth="1"/>
    <col min="433" max="433" width="12.28515625" bestFit="1" customWidth="1"/>
    <col min="434" max="434" width="13.85546875" bestFit="1" customWidth="1"/>
    <col min="435" max="435" width="11.28515625" bestFit="1" customWidth="1"/>
    <col min="436" max="436" width="12.28515625" bestFit="1" customWidth="1"/>
    <col min="437" max="437" width="13.85546875" bestFit="1" customWidth="1"/>
    <col min="438" max="439" width="15.140625" bestFit="1" customWidth="1"/>
    <col min="440" max="440" width="12.28515625" bestFit="1" customWidth="1"/>
    <col min="441" max="441" width="5.7109375" bestFit="1" customWidth="1"/>
    <col min="442" max="442" width="8.5703125" bestFit="1" customWidth="1"/>
    <col min="443" max="443" width="5.5703125" bestFit="1" customWidth="1"/>
    <col min="444" max="444" width="14.42578125" bestFit="1" customWidth="1"/>
    <col min="445" max="445" width="11.28515625" bestFit="1" customWidth="1"/>
    <col min="446" max="447" width="12.28515625" bestFit="1" customWidth="1"/>
    <col min="448" max="448" width="11.28515625" bestFit="1" customWidth="1"/>
    <col min="449" max="449" width="13.85546875" bestFit="1" customWidth="1"/>
    <col min="450" max="450" width="12" bestFit="1" customWidth="1"/>
    <col min="451" max="451" width="13.85546875" bestFit="1" customWidth="1"/>
    <col min="452" max="453" width="14.42578125" customWidth="1"/>
    <col min="454" max="454" width="10.140625" bestFit="1" customWidth="1"/>
    <col min="455" max="455" width="12.28515625" bestFit="1" customWidth="1"/>
    <col min="456" max="456" width="7.42578125" bestFit="1" customWidth="1"/>
    <col min="457" max="457" width="8.5703125" bestFit="1" customWidth="1"/>
    <col min="458" max="458" width="11.5703125" bestFit="1" customWidth="1"/>
    <col min="459" max="459" width="13.28515625" bestFit="1" customWidth="1"/>
    <col min="460" max="460" width="13.28515625" customWidth="1"/>
    <col min="461" max="461" width="13.140625" customWidth="1"/>
    <col min="462" max="462" width="12.7109375" bestFit="1" customWidth="1"/>
    <col min="463" max="463" width="13.28515625" bestFit="1" customWidth="1"/>
    <col min="464" max="466" width="13.28515625" customWidth="1"/>
    <col min="467" max="467" width="12.140625" bestFit="1" customWidth="1"/>
    <col min="468" max="468" width="12.7109375" bestFit="1" customWidth="1"/>
    <col min="469" max="469" width="11" customWidth="1"/>
    <col min="470" max="470" width="16.7109375" customWidth="1"/>
    <col min="471" max="471" width="17" customWidth="1"/>
    <col min="472" max="472" width="10.42578125" bestFit="1" customWidth="1"/>
    <col min="516" max="516" width="3.85546875" customWidth="1"/>
    <col min="517" max="517" width="15.28515625" bestFit="1" customWidth="1"/>
    <col min="518" max="518" width="12.28515625" customWidth="1"/>
    <col min="519" max="519" width="16.28515625" bestFit="1" customWidth="1"/>
    <col min="520" max="520" width="6.42578125" bestFit="1" customWidth="1"/>
    <col min="521" max="521" width="9.28515625" bestFit="1" customWidth="1"/>
    <col min="522" max="522" width="7.5703125" bestFit="1" customWidth="1"/>
    <col min="523" max="523" width="13.28515625" bestFit="1" customWidth="1"/>
    <col min="524" max="524" width="9.28515625" bestFit="1" customWidth="1"/>
    <col min="525" max="525" width="11.5703125" bestFit="1" customWidth="1"/>
    <col min="526" max="526" width="13.28515625" bestFit="1" customWidth="1"/>
    <col min="527" max="527" width="7.140625" bestFit="1" customWidth="1"/>
    <col min="528" max="528" width="12" bestFit="1" customWidth="1"/>
    <col min="529" max="529" width="13.28515625" bestFit="1" customWidth="1"/>
    <col min="530" max="530" width="7" bestFit="1" customWidth="1"/>
    <col min="531" max="531" width="12.7109375" bestFit="1" customWidth="1"/>
    <col min="532" max="532" width="11.5703125" bestFit="1" customWidth="1"/>
    <col min="533" max="533" width="10.5703125" bestFit="1" customWidth="1"/>
    <col min="534" max="535" width="15.7109375" bestFit="1" customWidth="1"/>
    <col min="536" max="536" width="11.5703125" bestFit="1" customWidth="1"/>
    <col min="537" max="537" width="7.7109375" bestFit="1" customWidth="1"/>
    <col min="538" max="538" width="15.140625" bestFit="1" customWidth="1"/>
    <col min="539" max="539" width="11.5703125" bestFit="1" customWidth="1"/>
    <col min="540" max="540" width="13.28515625" bestFit="1" customWidth="1"/>
    <col min="541" max="541" width="10.42578125" bestFit="1" customWidth="1"/>
    <col min="542" max="542" width="13.28515625" bestFit="1" customWidth="1"/>
    <col min="543" max="543" width="12.140625" bestFit="1" customWidth="1"/>
    <col min="544" max="544" width="14.42578125" bestFit="1" customWidth="1"/>
    <col min="545" max="545" width="13.28515625" bestFit="1" customWidth="1"/>
    <col min="546" max="546" width="11.5703125" bestFit="1" customWidth="1"/>
    <col min="547" max="547" width="7.7109375" bestFit="1" customWidth="1"/>
    <col min="548" max="549" width="14.42578125" bestFit="1" customWidth="1"/>
    <col min="550" max="550" width="11.5703125" bestFit="1" customWidth="1"/>
    <col min="551" max="551" width="7.7109375" bestFit="1" customWidth="1"/>
    <col min="552" max="552" width="13.5703125" customWidth="1"/>
    <col min="553" max="553" width="15.28515625" customWidth="1"/>
    <col min="554" max="554" width="14.5703125" customWidth="1"/>
    <col min="555" max="555" width="13.28515625" bestFit="1" customWidth="1"/>
    <col min="556" max="556" width="7.7109375" bestFit="1" customWidth="1"/>
    <col min="557" max="557" width="12.7109375" bestFit="1" customWidth="1"/>
    <col min="558" max="558" width="11.7109375" bestFit="1" customWidth="1"/>
    <col min="559" max="559" width="11.5703125" bestFit="1" customWidth="1"/>
    <col min="560" max="560" width="5.28515625" bestFit="1" customWidth="1"/>
    <col min="561" max="561" width="13.28515625" bestFit="1" customWidth="1"/>
    <col min="562" max="562" width="13.5703125" bestFit="1" customWidth="1"/>
    <col min="563" max="563" width="10.5703125" bestFit="1" customWidth="1"/>
    <col min="564" max="564" width="13.28515625" bestFit="1" customWidth="1"/>
    <col min="565" max="565" width="11.5703125" bestFit="1" customWidth="1"/>
    <col min="566" max="566" width="10.5703125" bestFit="1" customWidth="1"/>
    <col min="567" max="567" width="16.140625" bestFit="1" customWidth="1"/>
    <col min="568" max="569" width="11.28515625" bestFit="1" customWidth="1"/>
    <col min="570" max="570" width="13.28515625" bestFit="1" customWidth="1"/>
    <col min="571" max="571" width="7.7109375" bestFit="1" customWidth="1"/>
    <col min="572" max="575" width="9.140625" hidden="1" customWidth="1"/>
    <col min="576" max="576" width="10.42578125" bestFit="1" customWidth="1"/>
    <col min="577" max="577" width="10.5703125" bestFit="1" customWidth="1"/>
    <col min="578" max="578" width="10.42578125" bestFit="1" customWidth="1"/>
    <col min="579" max="579" width="10.5703125" bestFit="1" customWidth="1"/>
    <col min="580" max="580" width="9.5703125" bestFit="1" customWidth="1"/>
    <col min="581" max="581" width="11.5703125" bestFit="1" customWidth="1"/>
    <col min="582" max="582" width="10.42578125" bestFit="1" customWidth="1"/>
    <col min="583" max="583" width="10.85546875" customWidth="1"/>
    <col min="584" max="585" width="9.85546875" bestFit="1" customWidth="1"/>
    <col min="586" max="586" width="13.5703125" bestFit="1" customWidth="1"/>
    <col min="587" max="587" width="7.7109375" bestFit="1" customWidth="1"/>
    <col min="588" max="588" width="13.28515625" bestFit="1" customWidth="1"/>
    <col min="589" max="589" width="11.5703125" bestFit="1" customWidth="1"/>
    <col min="590" max="590" width="10.42578125" bestFit="1" customWidth="1"/>
    <col min="591" max="591" width="7.7109375" bestFit="1" customWidth="1"/>
    <col min="592" max="592" width="11.5703125" bestFit="1" customWidth="1"/>
    <col min="593" max="593" width="10.85546875" bestFit="1" customWidth="1"/>
    <col min="594" max="594" width="13.28515625" bestFit="1" customWidth="1"/>
    <col min="595" max="595" width="10.85546875" bestFit="1" customWidth="1"/>
    <col min="596" max="597" width="7.5703125" bestFit="1" customWidth="1"/>
    <col min="598" max="599" width="10.42578125" bestFit="1" customWidth="1"/>
    <col min="600" max="600" width="11.5703125" bestFit="1" customWidth="1"/>
    <col min="601" max="601" width="5.28515625" bestFit="1" customWidth="1"/>
    <col min="602" max="602" width="10.28515625" bestFit="1" customWidth="1"/>
    <col min="603" max="603" width="10.42578125" bestFit="1" customWidth="1"/>
    <col min="604" max="604" width="11.5703125" bestFit="1" customWidth="1"/>
    <col min="605" max="605" width="5.28515625" bestFit="1" customWidth="1"/>
    <col min="606" max="608" width="11.5703125" bestFit="1" customWidth="1"/>
    <col min="609" max="609" width="5.28515625" bestFit="1" customWidth="1"/>
    <col min="610" max="611" width="10.42578125" bestFit="1" customWidth="1"/>
    <col min="612" max="612" width="11.5703125" bestFit="1" customWidth="1"/>
    <col min="613" max="613" width="5.28515625" bestFit="1" customWidth="1"/>
    <col min="614" max="614" width="14.28515625" bestFit="1" customWidth="1"/>
    <col min="615" max="615" width="13" bestFit="1" customWidth="1"/>
    <col min="616" max="616" width="11.5703125" bestFit="1" customWidth="1"/>
    <col min="617" max="617" width="8.85546875" bestFit="1" customWidth="1"/>
    <col min="618" max="618" width="14.42578125" bestFit="1" customWidth="1"/>
    <col min="619" max="619" width="10.42578125" bestFit="1" customWidth="1"/>
    <col min="620" max="620" width="12.28515625" bestFit="1" customWidth="1"/>
    <col min="621" max="621" width="13.85546875" bestFit="1" customWidth="1"/>
    <col min="622" max="622" width="11.28515625" customWidth="1"/>
    <col min="623" max="623" width="11.5703125" customWidth="1"/>
    <col min="624" max="624" width="13.42578125" bestFit="1" customWidth="1"/>
    <col min="625" max="625" width="10.42578125" customWidth="1"/>
    <col min="626" max="626" width="13.85546875" bestFit="1" customWidth="1"/>
    <col min="627" max="627" width="15.42578125" bestFit="1" customWidth="1"/>
    <col min="628" max="628" width="12.28515625" bestFit="1" customWidth="1"/>
    <col min="629" max="629" width="12.7109375" customWidth="1"/>
    <col min="630" max="630" width="10.7109375" bestFit="1" customWidth="1"/>
    <col min="631" max="631" width="9.85546875" customWidth="1"/>
    <col min="632" max="633" width="10.140625" bestFit="1" customWidth="1"/>
    <col min="634" max="634" width="7.5703125" bestFit="1" customWidth="1"/>
    <col min="635" max="635" width="9.42578125" bestFit="1" customWidth="1"/>
    <col min="636" max="636" width="14.5703125" bestFit="1" customWidth="1"/>
    <col min="637" max="637" width="14.85546875" customWidth="1"/>
    <col min="638" max="638" width="15.140625" bestFit="1" customWidth="1"/>
    <col min="639" max="639" width="12.140625" bestFit="1" customWidth="1"/>
    <col min="640" max="640" width="14.85546875" bestFit="1" customWidth="1"/>
    <col min="641" max="641" width="12.28515625" bestFit="1" customWidth="1"/>
    <col min="642" max="650" width="9.140625" hidden="1" customWidth="1"/>
    <col min="651" max="651" width="5.28515625" bestFit="1" customWidth="1"/>
    <col min="652" max="657" width="11.5703125" bestFit="1" customWidth="1"/>
    <col min="658" max="658" width="11.28515625" bestFit="1" customWidth="1"/>
    <col min="659" max="659" width="10.140625" bestFit="1" customWidth="1"/>
    <col min="660" max="660" width="11.5703125" bestFit="1" customWidth="1"/>
    <col min="661" max="661" width="16.140625" customWidth="1"/>
    <col min="662" max="662" width="13.42578125" customWidth="1"/>
    <col min="663" max="663" width="10.140625" bestFit="1" customWidth="1"/>
    <col min="664" max="664" width="12.85546875" bestFit="1" customWidth="1"/>
    <col min="665" max="665" width="12.28515625" bestFit="1" customWidth="1"/>
    <col min="666" max="666" width="11.28515625" bestFit="1" customWidth="1"/>
    <col min="667" max="667" width="11.5703125" bestFit="1" customWidth="1"/>
    <col min="668" max="668" width="10.85546875" bestFit="1" customWidth="1"/>
    <col min="669" max="669" width="11.28515625" bestFit="1" customWidth="1"/>
    <col min="670" max="670" width="10.140625" bestFit="1" customWidth="1"/>
    <col min="671" max="671" width="13.28515625" bestFit="1" customWidth="1"/>
    <col min="672" max="673" width="12.7109375" bestFit="1" customWidth="1"/>
    <col min="674" max="674" width="11" bestFit="1" customWidth="1"/>
    <col min="675" max="675" width="11.28515625" bestFit="1" customWidth="1"/>
    <col min="676" max="676" width="11.5703125" bestFit="1" customWidth="1"/>
    <col min="677" max="677" width="12.28515625" bestFit="1" customWidth="1"/>
    <col min="678" max="678" width="15.140625" bestFit="1" customWidth="1"/>
    <col min="679" max="679" width="14.42578125" bestFit="1" customWidth="1"/>
    <col min="680" max="680" width="12.28515625" bestFit="1" customWidth="1"/>
    <col min="681" max="681" width="15.140625" bestFit="1" customWidth="1"/>
    <col min="682" max="682" width="14.42578125" bestFit="1" customWidth="1"/>
    <col min="683" max="683" width="12.28515625" bestFit="1" customWidth="1"/>
    <col min="684" max="684" width="14.42578125" bestFit="1" customWidth="1"/>
    <col min="685" max="685" width="11.28515625" bestFit="1" customWidth="1"/>
    <col min="686" max="686" width="12.28515625" bestFit="1" customWidth="1"/>
    <col min="687" max="687" width="13" bestFit="1" customWidth="1"/>
    <col min="688" max="688" width="15.140625" bestFit="1" customWidth="1"/>
    <col min="689" max="689" width="12.28515625" bestFit="1" customWidth="1"/>
    <col min="690" max="690" width="13.85546875" bestFit="1" customWidth="1"/>
    <col min="691" max="691" width="11.28515625" bestFit="1" customWidth="1"/>
    <col min="692" max="692" width="12.28515625" bestFit="1" customWidth="1"/>
    <col min="693" max="693" width="13.85546875" bestFit="1" customWidth="1"/>
    <col min="694" max="695" width="15.140625" bestFit="1" customWidth="1"/>
    <col min="696" max="696" width="12.28515625" bestFit="1" customWidth="1"/>
    <col min="697" max="697" width="5.7109375" bestFit="1" customWidth="1"/>
    <col min="698" max="698" width="8.5703125" bestFit="1" customWidth="1"/>
    <col min="699" max="699" width="5.5703125" bestFit="1" customWidth="1"/>
    <col min="700" max="700" width="14.42578125" bestFit="1" customWidth="1"/>
    <col min="701" max="701" width="11.28515625" bestFit="1" customWidth="1"/>
    <col min="702" max="703" width="12.28515625" bestFit="1" customWidth="1"/>
    <col min="704" max="704" width="11.28515625" bestFit="1" customWidth="1"/>
    <col min="705" max="705" width="13.85546875" bestFit="1" customWidth="1"/>
    <col min="706" max="706" width="12" bestFit="1" customWidth="1"/>
    <col min="707" max="707" width="13.85546875" bestFit="1" customWidth="1"/>
    <col min="708" max="709" width="14.42578125" customWidth="1"/>
    <col min="710" max="710" width="10.140625" bestFit="1" customWidth="1"/>
    <col min="711" max="711" width="12.28515625" bestFit="1" customWidth="1"/>
    <col min="712" max="712" width="7.42578125" bestFit="1" customWidth="1"/>
    <col min="713" max="713" width="8.5703125" bestFit="1" customWidth="1"/>
    <col min="714" max="714" width="11.5703125" bestFit="1" customWidth="1"/>
    <col min="715" max="715" width="13.28515625" bestFit="1" customWidth="1"/>
    <col min="716" max="716" width="13.28515625" customWidth="1"/>
    <col min="717" max="717" width="13.140625" customWidth="1"/>
    <col min="718" max="718" width="12.7109375" bestFit="1" customWidth="1"/>
    <col min="719" max="719" width="13.28515625" bestFit="1" customWidth="1"/>
    <col min="720" max="722" width="13.28515625" customWidth="1"/>
    <col min="723" max="723" width="12.140625" bestFit="1" customWidth="1"/>
    <col min="724" max="724" width="12.7109375" bestFit="1" customWidth="1"/>
    <col min="725" max="725" width="11" customWidth="1"/>
    <col min="726" max="726" width="16.7109375" customWidth="1"/>
    <col min="727" max="727" width="17" customWidth="1"/>
    <col min="728" max="728" width="10.42578125" bestFit="1" customWidth="1"/>
    <col min="772" max="772" width="3.85546875" customWidth="1"/>
    <col min="773" max="773" width="15.28515625" bestFit="1" customWidth="1"/>
    <col min="774" max="774" width="12.28515625" customWidth="1"/>
    <col min="775" max="775" width="16.28515625" bestFit="1" customWidth="1"/>
    <col min="776" max="776" width="6.42578125" bestFit="1" customWidth="1"/>
    <col min="777" max="777" width="9.28515625" bestFit="1" customWidth="1"/>
    <col min="778" max="778" width="7.5703125" bestFit="1" customWidth="1"/>
    <col min="779" max="779" width="13.28515625" bestFit="1" customWidth="1"/>
    <col min="780" max="780" width="9.28515625" bestFit="1" customWidth="1"/>
    <col min="781" max="781" width="11.5703125" bestFit="1" customWidth="1"/>
    <col min="782" max="782" width="13.28515625" bestFit="1" customWidth="1"/>
    <col min="783" max="783" width="7.140625" bestFit="1" customWidth="1"/>
    <col min="784" max="784" width="12" bestFit="1" customWidth="1"/>
    <col min="785" max="785" width="13.28515625" bestFit="1" customWidth="1"/>
    <col min="786" max="786" width="7" bestFit="1" customWidth="1"/>
    <col min="787" max="787" width="12.7109375" bestFit="1" customWidth="1"/>
    <col min="788" max="788" width="11.5703125" bestFit="1" customWidth="1"/>
    <col min="789" max="789" width="10.5703125" bestFit="1" customWidth="1"/>
    <col min="790" max="791" width="15.7109375" bestFit="1" customWidth="1"/>
    <col min="792" max="792" width="11.5703125" bestFit="1" customWidth="1"/>
    <col min="793" max="793" width="7.7109375" bestFit="1" customWidth="1"/>
    <col min="794" max="794" width="15.140625" bestFit="1" customWidth="1"/>
    <col min="795" max="795" width="11.5703125" bestFit="1" customWidth="1"/>
    <col min="796" max="796" width="13.28515625" bestFit="1" customWidth="1"/>
    <col min="797" max="797" width="10.42578125" bestFit="1" customWidth="1"/>
    <col min="798" max="798" width="13.28515625" bestFit="1" customWidth="1"/>
    <col min="799" max="799" width="12.140625" bestFit="1" customWidth="1"/>
    <col min="800" max="800" width="14.42578125" bestFit="1" customWidth="1"/>
    <col min="801" max="801" width="13.28515625" bestFit="1" customWidth="1"/>
    <col min="802" max="802" width="11.5703125" bestFit="1" customWidth="1"/>
    <col min="803" max="803" width="7.7109375" bestFit="1" customWidth="1"/>
    <col min="804" max="805" width="14.42578125" bestFit="1" customWidth="1"/>
    <col min="806" max="806" width="11.5703125" bestFit="1" customWidth="1"/>
    <col min="807" max="807" width="7.7109375" bestFit="1" customWidth="1"/>
    <col min="808" max="808" width="13.5703125" customWidth="1"/>
    <col min="809" max="809" width="15.28515625" customWidth="1"/>
    <col min="810" max="810" width="14.5703125" customWidth="1"/>
    <col min="811" max="811" width="13.28515625" bestFit="1" customWidth="1"/>
    <col min="812" max="812" width="7.7109375" bestFit="1" customWidth="1"/>
    <col min="813" max="813" width="12.7109375" bestFit="1" customWidth="1"/>
    <col min="814" max="814" width="11.7109375" bestFit="1" customWidth="1"/>
    <col min="815" max="815" width="11.5703125" bestFit="1" customWidth="1"/>
    <col min="816" max="816" width="5.28515625" bestFit="1" customWidth="1"/>
    <col min="817" max="817" width="13.28515625" bestFit="1" customWidth="1"/>
    <col min="818" max="818" width="13.5703125" bestFit="1" customWidth="1"/>
    <col min="819" max="819" width="10.5703125" bestFit="1" customWidth="1"/>
    <col min="820" max="820" width="13.28515625" bestFit="1" customWidth="1"/>
    <col min="821" max="821" width="11.5703125" bestFit="1" customWidth="1"/>
    <col min="822" max="822" width="10.5703125" bestFit="1" customWidth="1"/>
    <col min="823" max="823" width="16.140625" bestFit="1" customWidth="1"/>
    <col min="824" max="825" width="11.28515625" bestFit="1" customWidth="1"/>
    <col min="826" max="826" width="13.28515625" bestFit="1" customWidth="1"/>
    <col min="827" max="827" width="7.7109375" bestFit="1" customWidth="1"/>
    <col min="828" max="831" width="9.140625" hidden="1" customWidth="1"/>
    <col min="832" max="832" width="10.42578125" bestFit="1" customWidth="1"/>
    <col min="833" max="833" width="10.5703125" bestFit="1" customWidth="1"/>
    <col min="834" max="834" width="10.42578125" bestFit="1" customWidth="1"/>
    <col min="835" max="835" width="10.5703125" bestFit="1" customWidth="1"/>
    <col min="836" max="836" width="9.5703125" bestFit="1" customWidth="1"/>
    <col min="837" max="837" width="11.5703125" bestFit="1" customWidth="1"/>
    <col min="838" max="838" width="10.42578125" bestFit="1" customWidth="1"/>
    <col min="839" max="839" width="10.85546875" customWidth="1"/>
    <col min="840" max="841" width="9.85546875" bestFit="1" customWidth="1"/>
    <col min="842" max="842" width="13.5703125" bestFit="1" customWidth="1"/>
    <col min="843" max="843" width="7.7109375" bestFit="1" customWidth="1"/>
    <col min="844" max="844" width="13.28515625" bestFit="1" customWidth="1"/>
    <col min="845" max="845" width="11.5703125" bestFit="1" customWidth="1"/>
    <col min="846" max="846" width="10.42578125" bestFit="1" customWidth="1"/>
    <col min="847" max="847" width="7.7109375" bestFit="1" customWidth="1"/>
    <col min="848" max="848" width="11.5703125" bestFit="1" customWidth="1"/>
    <col min="849" max="849" width="10.85546875" bestFit="1" customWidth="1"/>
    <col min="850" max="850" width="13.28515625" bestFit="1" customWidth="1"/>
    <col min="851" max="851" width="10.85546875" bestFit="1" customWidth="1"/>
    <col min="852" max="853" width="7.5703125" bestFit="1" customWidth="1"/>
    <col min="854" max="855" width="10.42578125" bestFit="1" customWidth="1"/>
    <col min="856" max="856" width="11.5703125" bestFit="1" customWidth="1"/>
    <col min="857" max="857" width="5.28515625" bestFit="1" customWidth="1"/>
    <col min="858" max="858" width="10.28515625" bestFit="1" customWidth="1"/>
    <col min="859" max="859" width="10.42578125" bestFit="1" customWidth="1"/>
    <col min="860" max="860" width="11.5703125" bestFit="1" customWidth="1"/>
    <col min="861" max="861" width="5.28515625" bestFit="1" customWidth="1"/>
    <col min="862" max="864" width="11.5703125" bestFit="1" customWidth="1"/>
    <col min="865" max="865" width="5.28515625" bestFit="1" customWidth="1"/>
    <col min="866" max="867" width="10.42578125" bestFit="1" customWidth="1"/>
    <col min="868" max="868" width="11.5703125" bestFit="1" customWidth="1"/>
    <col min="869" max="869" width="5.28515625" bestFit="1" customWidth="1"/>
    <col min="870" max="870" width="14.28515625" bestFit="1" customWidth="1"/>
    <col min="871" max="871" width="13" bestFit="1" customWidth="1"/>
    <col min="872" max="872" width="11.5703125" bestFit="1" customWidth="1"/>
    <col min="873" max="873" width="8.85546875" bestFit="1" customWidth="1"/>
    <col min="874" max="874" width="14.42578125" bestFit="1" customWidth="1"/>
    <col min="875" max="875" width="10.42578125" bestFit="1" customWidth="1"/>
    <col min="876" max="876" width="12.28515625" bestFit="1" customWidth="1"/>
    <col min="877" max="877" width="13.85546875" bestFit="1" customWidth="1"/>
    <col min="878" max="878" width="11.28515625" customWidth="1"/>
    <col min="879" max="879" width="11.5703125" customWidth="1"/>
    <col min="880" max="880" width="13.42578125" bestFit="1" customWidth="1"/>
    <col min="881" max="881" width="10.42578125" customWidth="1"/>
    <col min="882" max="882" width="13.85546875" bestFit="1" customWidth="1"/>
    <col min="883" max="883" width="15.42578125" bestFit="1" customWidth="1"/>
    <col min="884" max="884" width="12.28515625" bestFit="1" customWidth="1"/>
    <col min="885" max="885" width="12.7109375" customWidth="1"/>
    <col min="886" max="886" width="10.7109375" bestFit="1" customWidth="1"/>
    <col min="887" max="887" width="9.85546875" customWidth="1"/>
    <col min="888" max="889" width="10.140625" bestFit="1" customWidth="1"/>
    <col min="890" max="890" width="7.5703125" bestFit="1" customWidth="1"/>
    <col min="891" max="891" width="9.42578125" bestFit="1" customWidth="1"/>
    <col min="892" max="892" width="14.5703125" bestFit="1" customWidth="1"/>
    <col min="893" max="893" width="14.85546875" customWidth="1"/>
    <col min="894" max="894" width="15.140625" bestFit="1" customWidth="1"/>
    <col min="895" max="895" width="12.140625" bestFit="1" customWidth="1"/>
    <col min="896" max="896" width="14.85546875" bestFit="1" customWidth="1"/>
    <col min="897" max="897" width="12.28515625" bestFit="1" customWidth="1"/>
    <col min="898" max="906" width="9.140625" hidden="1" customWidth="1"/>
    <col min="907" max="907" width="5.28515625" bestFit="1" customWidth="1"/>
    <col min="908" max="913" width="11.5703125" bestFit="1" customWidth="1"/>
    <col min="914" max="914" width="11.28515625" bestFit="1" customWidth="1"/>
    <col min="915" max="915" width="10.140625" bestFit="1" customWidth="1"/>
    <col min="916" max="916" width="11.5703125" bestFit="1" customWidth="1"/>
    <col min="917" max="917" width="16.140625" customWidth="1"/>
    <col min="918" max="918" width="13.42578125" customWidth="1"/>
    <col min="919" max="919" width="10.140625" bestFit="1" customWidth="1"/>
    <col min="920" max="920" width="12.85546875" bestFit="1" customWidth="1"/>
    <col min="921" max="921" width="12.28515625" bestFit="1" customWidth="1"/>
    <col min="922" max="922" width="11.28515625" bestFit="1" customWidth="1"/>
    <col min="923" max="923" width="11.5703125" bestFit="1" customWidth="1"/>
    <col min="924" max="924" width="10.85546875" bestFit="1" customWidth="1"/>
    <col min="925" max="925" width="11.28515625" bestFit="1" customWidth="1"/>
    <col min="926" max="926" width="10.140625" bestFit="1" customWidth="1"/>
    <col min="927" max="927" width="13.28515625" bestFit="1" customWidth="1"/>
    <col min="928" max="929" width="12.7109375" bestFit="1" customWidth="1"/>
    <col min="930" max="930" width="11" bestFit="1" customWidth="1"/>
    <col min="931" max="931" width="11.28515625" bestFit="1" customWidth="1"/>
    <col min="932" max="932" width="11.5703125" bestFit="1" customWidth="1"/>
    <col min="933" max="933" width="12.28515625" bestFit="1" customWidth="1"/>
    <col min="934" max="934" width="15.140625" bestFit="1" customWidth="1"/>
    <col min="935" max="935" width="14.42578125" bestFit="1" customWidth="1"/>
    <col min="936" max="936" width="12.28515625" bestFit="1" customWidth="1"/>
    <col min="937" max="937" width="15.140625" bestFit="1" customWidth="1"/>
    <col min="938" max="938" width="14.42578125" bestFit="1" customWidth="1"/>
    <col min="939" max="939" width="12.28515625" bestFit="1" customWidth="1"/>
    <col min="940" max="940" width="14.42578125" bestFit="1" customWidth="1"/>
    <col min="941" max="941" width="11.28515625" bestFit="1" customWidth="1"/>
    <col min="942" max="942" width="12.28515625" bestFit="1" customWidth="1"/>
    <col min="943" max="943" width="13" bestFit="1" customWidth="1"/>
    <col min="944" max="944" width="15.140625" bestFit="1" customWidth="1"/>
    <col min="945" max="945" width="12.28515625" bestFit="1" customWidth="1"/>
    <col min="946" max="946" width="13.85546875" bestFit="1" customWidth="1"/>
    <col min="947" max="947" width="11.28515625" bestFit="1" customWidth="1"/>
    <col min="948" max="948" width="12.28515625" bestFit="1" customWidth="1"/>
    <col min="949" max="949" width="13.85546875" bestFit="1" customWidth="1"/>
    <col min="950" max="951" width="15.140625" bestFit="1" customWidth="1"/>
    <col min="952" max="952" width="12.28515625" bestFit="1" customWidth="1"/>
    <col min="953" max="953" width="5.7109375" bestFit="1" customWidth="1"/>
    <col min="954" max="954" width="8.5703125" bestFit="1" customWidth="1"/>
    <col min="955" max="955" width="5.5703125" bestFit="1" customWidth="1"/>
    <col min="956" max="956" width="14.42578125" bestFit="1" customWidth="1"/>
    <col min="957" max="957" width="11.28515625" bestFit="1" customWidth="1"/>
    <col min="958" max="959" width="12.28515625" bestFit="1" customWidth="1"/>
    <col min="960" max="960" width="11.28515625" bestFit="1" customWidth="1"/>
    <col min="961" max="961" width="13.85546875" bestFit="1" customWidth="1"/>
    <col min="962" max="962" width="12" bestFit="1" customWidth="1"/>
    <col min="963" max="963" width="13.85546875" bestFit="1" customWidth="1"/>
    <col min="964" max="965" width="14.42578125" customWidth="1"/>
    <col min="966" max="966" width="10.140625" bestFit="1" customWidth="1"/>
    <col min="967" max="967" width="12.28515625" bestFit="1" customWidth="1"/>
    <col min="968" max="968" width="7.42578125" bestFit="1" customWidth="1"/>
    <col min="969" max="969" width="8.5703125" bestFit="1" customWidth="1"/>
    <col min="970" max="970" width="11.5703125" bestFit="1" customWidth="1"/>
    <col min="971" max="971" width="13.28515625" bestFit="1" customWidth="1"/>
    <col min="972" max="972" width="13.28515625" customWidth="1"/>
    <col min="973" max="973" width="13.140625" customWidth="1"/>
    <col min="974" max="974" width="12.7109375" bestFit="1" customWidth="1"/>
    <col min="975" max="975" width="13.28515625" bestFit="1" customWidth="1"/>
    <col min="976" max="978" width="13.28515625" customWidth="1"/>
    <col min="979" max="979" width="12.140625" bestFit="1" customWidth="1"/>
    <col min="980" max="980" width="12.7109375" bestFit="1" customWidth="1"/>
    <col min="981" max="981" width="11" customWidth="1"/>
    <col min="982" max="982" width="16.7109375" customWidth="1"/>
    <col min="983" max="983" width="17" customWidth="1"/>
    <col min="984" max="984" width="10.42578125" bestFit="1" customWidth="1"/>
    <col min="1028" max="1028" width="3.85546875" customWidth="1"/>
    <col min="1029" max="1029" width="15.28515625" bestFit="1" customWidth="1"/>
    <col min="1030" max="1030" width="12.28515625" customWidth="1"/>
    <col min="1031" max="1031" width="16.28515625" bestFit="1" customWidth="1"/>
    <col min="1032" max="1032" width="6.42578125" bestFit="1" customWidth="1"/>
    <col min="1033" max="1033" width="9.28515625" bestFit="1" customWidth="1"/>
    <col min="1034" max="1034" width="7.5703125" bestFit="1" customWidth="1"/>
    <col min="1035" max="1035" width="13.28515625" bestFit="1" customWidth="1"/>
    <col min="1036" max="1036" width="9.28515625" bestFit="1" customWidth="1"/>
    <col min="1037" max="1037" width="11.5703125" bestFit="1" customWidth="1"/>
    <col min="1038" max="1038" width="13.28515625" bestFit="1" customWidth="1"/>
    <col min="1039" max="1039" width="7.140625" bestFit="1" customWidth="1"/>
    <col min="1040" max="1040" width="12" bestFit="1" customWidth="1"/>
    <col min="1041" max="1041" width="13.28515625" bestFit="1" customWidth="1"/>
    <col min="1042" max="1042" width="7" bestFit="1" customWidth="1"/>
    <col min="1043" max="1043" width="12.7109375" bestFit="1" customWidth="1"/>
    <col min="1044" max="1044" width="11.5703125" bestFit="1" customWidth="1"/>
    <col min="1045" max="1045" width="10.5703125" bestFit="1" customWidth="1"/>
    <col min="1046" max="1047" width="15.7109375" bestFit="1" customWidth="1"/>
    <col min="1048" max="1048" width="11.5703125" bestFit="1" customWidth="1"/>
    <col min="1049" max="1049" width="7.7109375" bestFit="1" customWidth="1"/>
    <col min="1050" max="1050" width="15.140625" bestFit="1" customWidth="1"/>
    <col min="1051" max="1051" width="11.5703125" bestFit="1" customWidth="1"/>
    <col min="1052" max="1052" width="13.28515625" bestFit="1" customWidth="1"/>
    <col min="1053" max="1053" width="10.42578125" bestFit="1" customWidth="1"/>
    <col min="1054" max="1054" width="13.28515625" bestFit="1" customWidth="1"/>
    <col min="1055" max="1055" width="12.140625" bestFit="1" customWidth="1"/>
    <col min="1056" max="1056" width="14.42578125" bestFit="1" customWidth="1"/>
    <col min="1057" max="1057" width="13.28515625" bestFit="1" customWidth="1"/>
    <col min="1058" max="1058" width="11.5703125" bestFit="1" customWidth="1"/>
    <col min="1059" max="1059" width="7.7109375" bestFit="1" customWidth="1"/>
    <col min="1060" max="1061" width="14.42578125" bestFit="1" customWidth="1"/>
    <col min="1062" max="1062" width="11.5703125" bestFit="1" customWidth="1"/>
    <col min="1063" max="1063" width="7.7109375" bestFit="1" customWidth="1"/>
    <col min="1064" max="1064" width="13.5703125" customWidth="1"/>
    <col min="1065" max="1065" width="15.28515625" customWidth="1"/>
    <col min="1066" max="1066" width="14.5703125" customWidth="1"/>
    <col min="1067" max="1067" width="13.28515625" bestFit="1" customWidth="1"/>
    <col min="1068" max="1068" width="7.7109375" bestFit="1" customWidth="1"/>
    <col min="1069" max="1069" width="12.7109375" bestFit="1" customWidth="1"/>
    <col min="1070" max="1070" width="11.7109375" bestFit="1" customWidth="1"/>
    <col min="1071" max="1071" width="11.5703125" bestFit="1" customWidth="1"/>
    <col min="1072" max="1072" width="5.28515625" bestFit="1" customWidth="1"/>
    <col min="1073" max="1073" width="13.28515625" bestFit="1" customWidth="1"/>
    <col min="1074" max="1074" width="13.5703125" bestFit="1" customWidth="1"/>
    <col min="1075" max="1075" width="10.5703125" bestFit="1" customWidth="1"/>
    <col min="1076" max="1076" width="13.28515625" bestFit="1" customWidth="1"/>
    <col min="1077" max="1077" width="11.5703125" bestFit="1" customWidth="1"/>
    <col min="1078" max="1078" width="10.5703125" bestFit="1" customWidth="1"/>
    <col min="1079" max="1079" width="16.140625" bestFit="1" customWidth="1"/>
    <col min="1080" max="1081" width="11.28515625" bestFit="1" customWidth="1"/>
    <col min="1082" max="1082" width="13.28515625" bestFit="1" customWidth="1"/>
    <col min="1083" max="1083" width="7.7109375" bestFit="1" customWidth="1"/>
    <col min="1084" max="1087" width="9.140625" hidden="1" customWidth="1"/>
    <col min="1088" max="1088" width="10.42578125" bestFit="1" customWidth="1"/>
    <col min="1089" max="1089" width="10.5703125" bestFit="1" customWidth="1"/>
    <col min="1090" max="1090" width="10.42578125" bestFit="1" customWidth="1"/>
    <col min="1091" max="1091" width="10.5703125" bestFit="1" customWidth="1"/>
    <col min="1092" max="1092" width="9.5703125" bestFit="1" customWidth="1"/>
    <col min="1093" max="1093" width="11.5703125" bestFit="1" customWidth="1"/>
    <col min="1094" max="1094" width="10.42578125" bestFit="1" customWidth="1"/>
    <col min="1095" max="1095" width="10.85546875" customWidth="1"/>
    <col min="1096" max="1097" width="9.85546875" bestFit="1" customWidth="1"/>
    <col min="1098" max="1098" width="13.5703125" bestFit="1" customWidth="1"/>
    <col min="1099" max="1099" width="7.7109375" bestFit="1" customWidth="1"/>
    <col min="1100" max="1100" width="13.28515625" bestFit="1" customWidth="1"/>
    <col min="1101" max="1101" width="11.5703125" bestFit="1" customWidth="1"/>
    <col min="1102" max="1102" width="10.42578125" bestFit="1" customWidth="1"/>
    <col min="1103" max="1103" width="7.7109375" bestFit="1" customWidth="1"/>
    <col min="1104" max="1104" width="11.5703125" bestFit="1" customWidth="1"/>
    <col min="1105" max="1105" width="10.85546875" bestFit="1" customWidth="1"/>
    <col min="1106" max="1106" width="13.28515625" bestFit="1" customWidth="1"/>
    <col min="1107" max="1107" width="10.85546875" bestFit="1" customWidth="1"/>
    <col min="1108" max="1109" width="7.5703125" bestFit="1" customWidth="1"/>
    <col min="1110" max="1111" width="10.42578125" bestFit="1" customWidth="1"/>
    <col min="1112" max="1112" width="11.5703125" bestFit="1" customWidth="1"/>
    <col min="1113" max="1113" width="5.28515625" bestFit="1" customWidth="1"/>
    <col min="1114" max="1114" width="10.28515625" bestFit="1" customWidth="1"/>
    <col min="1115" max="1115" width="10.42578125" bestFit="1" customWidth="1"/>
    <col min="1116" max="1116" width="11.5703125" bestFit="1" customWidth="1"/>
    <col min="1117" max="1117" width="5.28515625" bestFit="1" customWidth="1"/>
    <col min="1118" max="1120" width="11.5703125" bestFit="1" customWidth="1"/>
    <col min="1121" max="1121" width="5.28515625" bestFit="1" customWidth="1"/>
    <col min="1122" max="1123" width="10.42578125" bestFit="1" customWidth="1"/>
    <col min="1124" max="1124" width="11.5703125" bestFit="1" customWidth="1"/>
    <col min="1125" max="1125" width="5.28515625" bestFit="1" customWidth="1"/>
    <col min="1126" max="1126" width="14.28515625" bestFit="1" customWidth="1"/>
    <col min="1127" max="1127" width="13" bestFit="1" customWidth="1"/>
    <col min="1128" max="1128" width="11.5703125" bestFit="1" customWidth="1"/>
    <col min="1129" max="1129" width="8.85546875" bestFit="1" customWidth="1"/>
    <col min="1130" max="1130" width="14.42578125" bestFit="1" customWidth="1"/>
    <col min="1131" max="1131" width="10.42578125" bestFit="1" customWidth="1"/>
    <col min="1132" max="1132" width="12.28515625" bestFit="1" customWidth="1"/>
    <col min="1133" max="1133" width="13.85546875" bestFit="1" customWidth="1"/>
    <col min="1134" max="1134" width="11.28515625" customWidth="1"/>
    <col min="1135" max="1135" width="11.5703125" customWidth="1"/>
    <col min="1136" max="1136" width="13.42578125" bestFit="1" customWidth="1"/>
    <col min="1137" max="1137" width="10.42578125" customWidth="1"/>
    <col min="1138" max="1138" width="13.85546875" bestFit="1" customWidth="1"/>
    <col min="1139" max="1139" width="15.42578125" bestFit="1" customWidth="1"/>
    <col min="1140" max="1140" width="12.28515625" bestFit="1" customWidth="1"/>
    <col min="1141" max="1141" width="12.7109375" customWidth="1"/>
    <col min="1142" max="1142" width="10.7109375" bestFit="1" customWidth="1"/>
    <col min="1143" max="1143" width="9.85546875" customWidth="1"/>
    <col min="1144" max="1145" width="10.140625" bestFit="1" customWidth="1"/>
    <col min="1146" max="1146" width="7.5703125" bestFit="1" customWidth="1"/>
    <col min="1147" max="1147" width="9.42578125" bestFit="1" customWidth="1"/>
    <col min="1148" max="1148" width="14.5703125" bestFit="1" customWidth="1"/>
    <col min="1149" max="1149" width="14.85546875" customWidth="1"/>
    <col min="1150" max="1150" width="15.140625" bestFit="1" customWidth="1"/>
    <col min="1151" max="1151" width="12.140625" bestFit="1" customWidth="1"/>
    <col min="1152" max="1152" width="14.85546875" bestFit="1" customWidth="1"/>
    <col min="1153" max="1153" width="12.28515625" bestFit="1" customWidth="1"/>
    <col min="1154" max="1162" width="9.140625" hidden="1" customWidth="1"/>
    <col min="1163" max="1163" width="5.28515625" bestFit="1" customWidth="1"/>
    <col min="1164" max="1169" width="11.5703125" bestFit="1" customWidth="1"/>
    <col min="1170" max="1170" width="11.28515625" bestFit="1" customWidth="1"/>
    <col min="1171" max="1171" width="10.140625" bestFit="1" customWidth="1"/>
    <col min="1172" max="1172" width="11.5703125" bestFit="1" customWidth="1"/>
    <col min="1173" max="1173" width="16.140625" customWidth="1"/>
    <col min="1174" max="1174" width="13.42578125" customWidth="1"/>
    <col min="1175" max="1175" width="10.140625" bestFit="1" customWidth="1"/>
    <col min="1176" max="1176" width="12.85546875" bestFit="1" customWidth="1"/>
    <col min="1177" max="1177" width="12.28515625" bestFit="1" customWidth="1"/>
    <col min="1178" max="1178" width="11.28515625" bestFit="1" customWidth="1"/>
    <col min="1179" max="1179" width="11.5703125" bestFit="1" customWidth="1"/>
    <col min="1180" max="1180" width="10.85546875" bestFit="1" customWidth="1"/>
    <col min="1181" max="1181" width="11.28515625" bestFit="1" customWidth="1"/>
    <col min="1182" max="1182" width="10.140625" bestFit="1" customWidth="1"/>
    <col min="1183" max="1183" width="13.28515625" bestFit="1" customWidth="1"/>
    <col min="1184" max="1185" width="12.7109375" bestFit="1" customWidth="1"/>
    <col min="1186" max="1186" width="11" bestFit="1" customWidth="1"/>
    <col min="1187" max="1187" width="11.28515625" bestFit="1" customWidth="1"/>
    <col min="1188" max="1188" width="11.5703125" bestFit="1" customWidth="1"/>
    <col min="1189" max="1189" width="12.28515625" bestFit="1" customWidth="1"/>
    <col min="1190" max="1190" width="15.140625" bestFit="1" customWidth="1"/>
    <col min="1191" max="1191" width="14.42578125" bestFit="1" customWidth="1"/>
    <col min="1192" max="1192" width="12.28515625" bestFit="1" customWidth="1"/>
    <col min="1193" max="1193" width="15.140625" bestFit="1" customWidth="1"/>
    <col min="1194" max="1194" width="14.42578125" bestFit="1" customWidth="1"/>
    <col min="1195" max="1195" width="12.28515625" bestFit="1" customWidth="1"/>
    <col min="1196" max="1196" width="14.42578125" bestFit="1" customWidth="1"/>
    <col min="1197" max="1197" width="11.28515625" bestFit="1" customWidth="1"/>
    <col min="1198" max="1198" width="12.28515625" bestFit="1" customWidth="1"/>
    <col min="1199" max="1199" width="13" bestFit="1" customWidth="1"/>
    <col min="1200" max="1200" width="15.140625" bestFit="1" customWidth="1"/>
    <col min="1201" max="1201" width="12.28515625" bestFit="1" customWidth="1"/>
    <col min="1202" max="1202" width="13.85546875" bestFit="1" customWidth="1"/>
    <col min="1203" max="1203" width="11.28515625" bestFit="1" customWidth="1"/>
    <col min="1204" max="1204" width="12.28515625" bestFit="1" customWidth="1"/>
    <col min="1205" max="1205" width="13.85546875" bestFit="1" customWidth="1"/>
    <col min="1206" max="1207" width="15.140625" bestFit="1" customWidth="1"/>
    <col min="1208" max="1208" width="12.28515625" bestFit="1" customWidth="1"/>
    <col min="1209" max="1209" width="5.7109375" bestFit="1" customWidth="1"/>
    <col min="1210" max="1210" width="8.5703125" bestFit="1" customWidth="1"/>
    <col min="1211" max="1211" width="5.5703125" bestFit="1" customWidth="1"/>
    <col min="1212" max="1212" width="14.42578125" bestFit="1" customWidth="1"/>
    <col min="1213" max="1213" width="11.28515625" bestFit="1" customWidth="1"/>
    <col min="1214" max="1215" width="12.28515625" bestFit="1" customWidth="1"/>
    <col min="1216" max="1216" width="11.28515625" bestFit="1" customWidth="1"/>
    <col min="1217" max="1217" width="13.85546875" bestFit="1" customWidth="1"/>
    <col min="1218" max="1218" width="12" bestFit="1" customWidth="1"/>
    <col min="1219" max="1219" width="13.85546875" bestFit="1" customWidth="1"/>
    <col min="1220" max="1221" width="14.42578125" customWidth="1"/>
    <col min="1222" max="1222" width="10.140625" bestFit="1" customWidth="1"/>
    <col min="1223" max="1223" width="12.28515625" bestFit="1" customWidth="1"/>
    <col min="1224" max="1224" width="7.42578125" bestFit="1" customWidth="1"/>
    <col min="1225" max="1225" width="8.5703125" bestFit="1" customWidth="1"/>
    <col min="1226" max="1226" width="11.5703125" bestFit="1" customWidth="1"/>
    <col min="1227" max="1227" width="13.28515625" bestFit="1" customWidth="1"/>
    <col min="1228" max="1228" width="13.28515625" customWidth="1"/>
    <col min="1229" max="1229" width="13.140625" customWidth="1"/>
    <col min="1230" max="1230" width="12.7109375" bestFit="1" customWidth="1"/>
    <col min="1231" max="1231" width="13.28515625" bestFit="1" customWidth="1"/>
    <col min="1232" max="1234" width="13.28515625" customWidth="1"/>
    <col min="1235" max="1235" width="12.140625" bestFit="1" customWidth="1"/>
    <col min="1236" max="1236" width="12.7109375" bestFit="1" customWidth="1"/>
    <col min="1237" max="1237" width="11" customWidth="1"/>
    <col min="1238" max="1238" width="16.7109375" customWidth="1"/>
    <col min="1239" max="1239" width="17" customWidth="1"/>
    <col min="1240" max="1240" width="10.42578125" bestFit="1" customWidth="1"/>
    <col min="1284" max="1284" width="3.85546875" customWidth="1"/>
    <col min="1285" max="1285" width="15.28515625" bestFit="1" customWidth="1"/>
    <col min="1286" max="1286" width="12.28515625" customWidth="1"/>
    <col min="1287" max="1287" width="16.28515625" bestFit="1" customWidth="1"/>
    <col min="1288" max="1288" width="6.42578125" bestFit="1" customWidth="1"/>
    <col min="1289" max="1289" width="9.28515625" bestFit="1" customWidth="1"/>
    <col min="1290" max="1290" width="7.5703125" bestFit="1" customWidth="1"/>
    <col min="1291" max="1291" width="13.28515625" bestFit="1" customWidth="1"/>
    <col min="1292" max="1292" width="9.28515625" bestFit="1" customWidth="1"/>
    <col min="1293" max="1293" width="11.5703125" bestFit="1" customWidth="1"/>
    <col min="1294" max="1294" width="13.28515625" bestFit="1" customWidth="1"/>
    <col min="1295" max="1295" width="7.140625" bestFit="1" customWidth="1"/>
    <col min="1296" max="1296" width="12" bestFit="1" customWidth="1"/>
    <col min="1297" max="1297" width="13.28515625" bestFit="1" customWidth="1"/>
    <col min="1298" max="1298" width="7" bestFit="1" customWidth="1"/>
    <col min="1299" max="1299" width="12.7109375" bestFit="1" customWidth="1"/>
    <col min="1300" max="1300" width="11.5703125" bestFit="1" customWidth="1"/>
    <col min="1301" max="1301" width="10.5703125" bestFit="1" customWidth="1"/>
    <col min="1302" max="1303" width="15.7109375" bestFit="1" customWidth="1"/>
    <col min="1304" max="1304" width="11.5703125" bestFit="1" customWidth="1"/>
    <col min="1305" max="1305" width="7.7109375" bestFit="1" customWidth="1"/>
    <col min="1306" max="1306" width="15.140625" bestFit="1" customWidth="1"/>
    <col min="1307" max="1307" width="11.5703125" bestFit="1" customWidth="1"/>
    <col min="1308" max="1308" width="13.28515625" bestFit="1" customWidth="1"/>
    <col min="1309" max="1309" width="10.42578125" bestFit="1" customWidth="1"/>
    <col min="1310" max="1310" width="13.28515625" bestFit="1" customWidth="1"/>
    <col min="1311" max="1311" width="12.140625" bestFit="1" customWidth="1"/>
    <col min="1312" max="1312" width="14.42578125" bestFit="1" customWidth="1"/>
    <col min="1313" max="1313" width="13.28515625" bestFit="1" customWidth="1"/>
    <col min="1314" max="1314" width="11.5703125" bestFit="1" customWidth="1"/>
    <col min="1315" max="1315" width="7.7109375" bestFit="1" customWidth="1"/>
    <col min="1316" max="1317" width="14.42578125" bestFit="1" customWidth="1"/>
    <col min="1318" max="1318" width="11.5703125" bestFit="1" customWidth="1"/>
    <col min="1319" max="1319" width="7.7109375" bestFit="1" customWidth="1"/>
    <col min="1320" max="1320" width="13.5703125" customWidth="1"/>
    <col min="1321" max="1321" width="15.28515625" customWidth="1"/>
    <col min="1322" max="1322" width="14.5703125" customWidth="1"/>
    <col min="1323" max="1323" width="13.28515625" bestFit="1" customWidth="1"/>
    <col min="1324" max="1324" width="7.7109375" bestFit="1" customWidth="1"/>
    <col min="1325" max="1325" width="12.7109375" bestFit="1" customWidth="1"/>
    <col min="1326" max="1326" width="11.7109375" bestFit="1" customWidth="1"/>
    <col min="1327" max="1327" width="11.5703125" bestFit="1" customWidth="1"/>
    <col min="1328" max="1328" width="5.28515625" bestFit="1" customWidth="1"/>
    <col min="1329" max="1329" width="13.28515625" bestFit="1" customWidth="1"/>
    <col min="1330" max="1330" width="13.5703125" bestFit="1" customWidth="1"/>
    <col min="1331" max="1331" width="10.5703125" bestFit="1" customWidth="1"/>
    <col min="1332" max="1332" width="13.28515625" bestFit="1" customWidth="1"/>
    <col min="1333" max="1333" width="11.5703125" bestFit="1" customWidth="1"/>
    <col min="1334" max="1334" width="10.5703125" bestFit="1" customWidth="1"/>
    <col min="1335" max="1335" width="16.140625" bestFit="1" customWidth="1"/>
    <col min="1336" max="1337" width="11.28515625" bestFit="1" customWidth="1"/>
    <col min="1338" max="1338" width="13.28515625" bestFit="1" customWidth="1"/>
    <col min="1339" max="1339" width="7.7109375" bestFit="1" customWidth="1"/>
    <col min="1340" max="1343" width="9.140625" hidden="1" customWidth="1"/>
    <col min="1344" max="1344" width="10.42578125" bestFit="1" customWidth="1"/>
    <col min="1345" max="1345" width="10.5703125" bestFit="1" customWidth="1"/>
    <col min="1346" max="1346" width="10.42578125" bestFit="1" customWidth="1"/>
    <col min="1347" max="1347" width="10.5703125" bestFit="1" customWidth="1"/>
    <col min="1348" max="1348" width="9.5703125" bestFit="1" customWidth="1"/>
    <col min="1349" max="1349" width="11.5703125" bestFit="1" customWidth="1"/>
    <col min="1350" max="1350" width="10.42578125" bestFit="1" customWidth="1"/>
    <col min="1351" max="1351" width="10.85546875" customWidth="1"/>
    <col min="1352" max="1353" width="9.85546875" bestFit="1" customWidth="1"/>
    <col min="1354" max="1354" width="13.5703125" bestFit="1" customWidth="1"/>
    <col min="1355" max="1355" width="7.7109375" bestFit="1" customWidth="1"/>
    <col min="1356" max="1356" width="13.28515625" bestFit="1" customWidth="1"/>
    <col min="1357" max="1357" width="11.5703125" bestFit="1" customWidth="1"/>
    <col min="1358" max="1358" width="10.42578125" bestFit="1" customWidth="1"/>
    <col min="1359" max="1359" width="7.7109375" bestFit="1" customWidth="1"/>
    <col min="1360" max="1360" width="11.5703125" bestFit="1" customWidth="1"/>
    <col min="1361" max="1361" width="10.85546875" bestFit="1" customWidth="1"/>
    <col min="1362" max="1362" width="13.28515625" bestFit="1" customWidth="1"/>
    <col min="1363" max="1363" width="10.85546875" bestFit="1" customWidth="1"/>
    <col min="1364" max="1365" width="7.5703125" bestFit="1" customWidth="1"/>
    <col min="1366" max="1367" width="10.42578125" bestFit="1" customWidth="1"/>
    <col min="1368" max="1368" width="11.5703125" bestFit="1" customWidth="1"/>
    <col min="1369" max="1369" width="5.28515625" bestFit="1" customWidth="1"/>
    <col min="1370" max="1370" width="10.28515625" bestFit="1" customWidth="1"/>
    <col min="1371" max="1371" width="10.42578125" bestFit="1" customWidth="1"/>
    <col min="1372" max="1372" width="11.5703125" bestFit="1" customWidth="1"/>
    <col min="1373" max="1373" width="5.28515625" bestFit="1" customWidth="1"/>
    <col min="1374" max="1376" width="11.5703125" bestFit="1" customWidth="1"/>
    <col min="1377" max="1377" width="5.28515625" bestFit="1" customWidth="1"/>
    <col min="1378" max="1379" width="10.42578125" bestFit="1" customWidth="1"/>
    <col min="1380" max="1380" width="11.5703125" bestFit="1" customWidth="1"/>
    <col min="1381" max="1381" width="5.28515625" bestFit="1" customWidth="1"/>
    <col min="1382" max="1382" width="14.28515625" bestFit="1" customWidth="1"/>
    <col min="1383" max="1383" width="13" bestFit="1" customWidth="1"/>
    <col min="1384" max="1384" width="11.5703125" bestFit="1" customWidth="1"/>
    <col min="1385" max="1385" width="8.85546875" bestFit="1" customWidth="1"/>
    <col min="1386" max="1386" width="14.42578125" bestFit="1" customWidth="1"/>
    <col min="1387" max="1387" width="10.42578125" bestFit="1" customWidth="1"/>
    <col min="1388" max="1388" width="12.28515625" bestFit="1" customWidth="1"/>
    <col min="1389" max="1389" width="13.85546875" bestFit="1" customWidth="1"/>
    <col min="1390" max="1390" width="11.28515625" customWidth="1"/>
    <col min="1391" max="1391" width="11.5703125" customWidth="1"/>
    <col min="1392" max="1392" width="13.42578125" bestFit="1" customWidth="1"/>
    <col min="1393" max="1393" width="10.42578125" customWidth="1"/>
    <col min="1394" max="1394" width="13.85546875" bestFit="1" customWidth="1"/>
    <col min="1395" max="1395" width="15.42578125" bestFit="1" customWidth="1"/>
    <col min="1396" max="1396" width="12.28515625" bestFit="1" customWidth="1"/>
    <col min="1397" max="1397" width="12.7109375" customWidth="1"/>
    <col min="1398" max="1398" width="10.7109375" bestFit="1" customWidth="1"/>
    <col min="1399" max="1399" width="9.85546875" customWidth="1"/>
    <col min="1400" max="1401" width="10.140625" bestFit="1" customWidth="1"/>
    <col min="1402" max="1402" width="7.5703125" bestFit="1" customWidth="1"/>
    <col min="1403" max="1403" width="9.42578125" bestFit="1" customWidth="1"/>
    <col min="1404" max="1404" width="14.5703125" bestFit="1" customWidth="1"/>
    <col min="1405" max="1405" width="14.85546875" customWidth="1"/>
    <col min="1406" max="1406" width="15.140625" bestFit="1" customWidth="1"/>
    <col min="1407" max="1407" width="12.140625" bestFit="1" customWidth="1"/>
    <col min="1408" max="1408" width="14.85546875" bestFit="1" customWidth="1"/>
    <col min="1409" max="1409" width="12.28515625" bestFit="1" customWidth="1"/>
    <col min="1410" max="1418" width="9.140625" hidden="1" customWidth="1"/>
    <col min="1419" max="1419" width="5.28515625" bestFit="1" customWidth="1"/>
    <col min="1420" max="1425" width="11.5703125" bestFit="1" customWidth="1"/>
    <col min="1426" max="1426" width="11.28515625" bestFit="1" customWidth="1"/>
    <col min="1427" max="1427" width="10.140625" bestFit="1" customWidth="1"/>
    <col min="1428" max="1428" width="11.5703125" bestFit="1" customWidth="1"/>
    <col min="1429" max="1429" width="16.140625" customWidth="1"/>
    <col min="1430" max="1430" width="13.42578125" customWidth="1"/>
    <col min="1431" max="1431" width="10.140625" bestFit="1" customWidth="1"/>
    <col min="1432" max="1432" width="12.85546875" bestFit="1" customWidth="1"/>
    <col min="1433" max="1433" width="12.28515625" bestFit="1" customWidth="1"/>
    <col min="1434" max="1434" width="11.28515625" bestFit="1" customWidth="1"/>
    <col min="1435" max="1435" width="11.5703125" bestFit="1" customWidth="1"/>
    <col min="1436" max="1436" width="10.85546875" bestFit="1" customWidth="1"/>
    <col min="1437" max="1437" width="11.28515625" bestFit="1" customWidth="1"/>
    <col min="1438" max="1438" width="10.140625" bestFit="1" customWidth="1"/>
    <col min="1439" max="1439" width="13.28515625" bestFit="1" customWidth="1"/>
    <col min="1440" max="1441" width="12.7109375" bestFit="1" customWidth="1"/>
    <col min="1442" max="1442" width="11" bestFit="1" customWidth="1"/>
    <col min="1443" max="1443" width="11.28515625" bestFit="1" customWidth="1"/>
    <col min="1444" max="1444" width="11.5703125" bestFit="1" customWidth="1"/>
    <col min="1445" max="1445" width="12.28515625" bestFit="1" customWidth="1"/>
    <col min="1446" max="1446" width="15.140625" bestFit="1" customWidth="1"/>
    <col min="1447" max="1447" width="14.42578125" bestFit="1" customWidth="1"/>
    <col min="1448" max="1448" width="12.28515625" bestFit="1" customWidth="1"/>
    <col min="1449" max="1449" width="15.140625" bestFit="1" customWidth="1"/>
    <col min="1450" max="1450" width="14.42578125" bestFit="1" customWidth="1"/>
    <col min="1451" max="1451" width="12.28515625" bestFit="1" customWidth="1"/>
    <col min="1452" max="1452" width="14.42578125" bestFit="1" customWidth="1"/>
    <col min="1453" max="1453" width="11.28515625" bestFit="1" customWidth="1"/>
    <col min="1454" max="1454" width="12.28515625" bestFit="1" customWidth="1"/>
    <col min="1455" max="1455" width="13" bestFit="1" customWidth="1"/>
    <col min="1456" max="1456" width="15.140625" bestFit="1" customWidth="1"/>
    <col min="1457" max="1457" width="12.28515625" bestFit="1" customWidth="1"/>
    <col min="1458" max="1458" width="13.85546875" bestFit="1" customWidth="1"/>
    <col min="1459" max="1459" width="11.28515625" bestFit="1" customWidth="1"/>
    <col min="1460" max="1460" width="12.28515625" bestFit="1" customWidth="1"/>
    <col min="1461" max="1461" width="13.85546875" bestFit="1" customWidth="1"/>
    <col min="1462" max="1463" width="15.140625" bestFit="1" customWidth="1"/>
    <col min="1464" max="1464" width="12.28515625" bestFit="1" customWidth="1"/>
    <col min="1465" max="1465" width="5.7109375" bestFit="1" customWidth="1"/>
    <col min="1466" max="1466" width="8.5703125" bestFit="1" customWidth="1"/>
    <col min="1467" max="1467" width="5.5703125" bestFit="1" customWidth="1"/>
    <col min="1468" max="1468" width="14.42578125" bestFit="1" customWidth="1"/>
    <col min="1469" max="1469" width="11.28515625" bestFit="1" customWidth="1"/>
    <col min="1470" max="1471" width="12.28515625" bestFit="1" customWidth="1"/>
    <col min="1472" max="1472" width="11.28515625" bestFit="1" customWidth="1"/>
    <col min="1473" max="1473" width="13.85546875" bestFit="1" customWidth="1"/>
    <col min="1474" max="1474" width="12" bestFit="1" customWidth="1"/>
    <col min="1475" max="1475" width="13.85546875" bestFit="1" customWidth="1"/>
    <col min="1476" max="1477" width="14.42578125" customWidth="1"/>
    <col min="1478" max="1478" width="10.140625" bestFit="1" customWidth="1"/>
    <col min="1479" max="1479" width="12.28515625" bestFit="1" customWidth="1"/>
    <col min="1480" max="1480" width="7.42578125" bestFit="1" customWidth="1"/>
    <col min="1481" max="1481" width="8.5703125" bestFit="1" customWidth="1"/>
    <col min="1482" max="1482" width="11.5703125" bestFit="1" customWidth="1"/>
    <col min="1483" max="1483" width="13.28515625" bestFit="1" customWidth="1"/>
    <col min="1484" max="1484" width="13.28515625" customWidth="1"/>
    <col min="1485" max="1485" width="13.140625" customWidth="1"/>
    <col min="1486" max="1486" width="12.7109375" bestFit="1" customWidth="1"/>
    <col min="1487" max="1487" width="13.28515625" bestFit="1" customWidth="1"/>
    <col min="1488" max="1490" width="13.28515625" customWidth="1"/>
    <col min="1491" max="1491" width="12.140625" bestFit="1" customWidth="1"/>
    <col min="1492" max="1492" width="12.7109375" bestFit="1" customWidth="1"/>
    <col min="1493" max="1493" width="11" customWidth="1"/>
    <col min="1494" max="1494" width="16.7109375" customWidth="1"/>
    <col min="1495" max="1495" width="17" customWidth="1"/>
    <col min="1496" max="1496" width="10.42578125" bestFit="1" customWidth="1"/>
    <col min="1540" max="1540" width="3.85546875" customWidth="1"/>
    <col min="1541" max="1541" width="15.28515625" bestFit="1" customWidth="1"/>
    <col min="1542" max="1542" width="12.28515625" customWidth="1"/>
    <col min="1543" max="1543" width="16.28515625" bestFit="1" customWidth="1"/>
    <col min="1544" max="1544" width="6.42578125" bestFit="1" customWidth="1"/>
    <col min="1545" max="1545" width="9.28515625" bestFit="1" customWidth="1"/>
    <col min="1546" max="1546" width="7.5703125" bestFit="1" customWidth="1"/>
    <col min="1547" max="1547" width="13.28515625" bestFit="1" customWidth="1"/>
    <col min="1548" max="1548" width="9.28515625" bestFit="1" customWidth="1"/>
    <col min="1549" max="1549" width="11.5703125" bestFit="1" customWidth="1"/>
    <col min="1550" max="1550" width="13.28515625" bestFit="1" customWidth="1"/>
    <col min="1551" max="1551" width="7.140625" bestFit="1" customWidth="1"/>
    <col min="1552" max="1552" width="12" bestFit="1" customWidth="1"/>
    <col min="1553" max="1553" width="13.28515625" bestFit="1" customWidth="1"/>
    <col min="1554" max="1554" width="7" bestFit="1" customWidth="1"/>
    <col min="1555" max="1555" width="12.7109375" bestFit="1" customWidth="1"/>
    <col min="1556" max="1556" width="11.5703125" bestFit="1" customWidth="1"/>
    <col min="1557" max="1557" width="10.5703125" bestFit="1" customWidth="1"/>
    <col min="1558" max="1559" width="15.7109375" bestFit="1" customWidth="1"/>
    <col min="1560" max="1560" width="11.5703125" bestFit="1" customWidth="1"/>
    <col min="1561" max="1561" width="7.7109375" bestFit="1" customWidth="1"/>
    <col min="1562" max="1562" width="15.140625" bestFit="1" customWidth="1"/>
    <col min="1563" max="1563" width="11.5703125" bestFit="1" customWidth="1"/>
    <col min="1564" max="1564" width="13.28515625" bestFit="1" customWidth="1"/>
    <col min="1565" max="1565" width="10.42578125" bestFit="1" customWidth="1"/>
    <col min="1566" max="1566" width="13.28515625" bestFit="1" customWidth="1"/>
    <col min="1567" max="1567" width="12.140625" bestFit="1" customWidth="1"/>
    <col min="1568" max="1568" width="14.42578125" bestFit="1" customWidth="1"/>
    <col min="1569" max="1569" width="13.28515625" bestFit="1" customWidth="1"/>
    <col min="1570" max="1570" width="11.5703125" bestFit="1" customWidth="1"/>
    <col min="1571" max="1571" width="7.7109375" bestFit="1" customWidth="1"/>
    <col min="1572" max="1573" width="14.42578125" bestFit="1" customWidth="1"/>
    <col min="1574" max="1574" width="11.5703125" bestFit="1" customWidth="1"/>
    <col min="1575" max="1575" width="7.7109375" bestFit="1" customWidth="1"/>
    <col min="1576" max="1576" width="13.5703125" customWidth="1"/>
    <col min="1577" max="1577" width="15.28515625" customWidth="1"/>
    <col min="1578" max="1578" width="14.5703125" customWidth="1"/>
    <col min="1579" max="1579" width="13.28515625" bestFit="1" customWidth="1"/>
    <col min="1580" max="1580" width="7.7109375" bestFit="1" customWidth="1"/>
    <col min="1581" max="1581" width="12.7109375" bestFit="1" customWidth="1"/>
    <col min="1582" max="1582" width="11.7109375" bestFit="1" customWidth="1"/>
    <col min="1583" max="1583" width="11.5703125" bestFit="1" customWidth="1"/>
    <col min="1584" max="1584" width="5.28515625" bestFit="1" customWidth="1"/>
    <col min="1585" max="1585" width="13.28515625" bestFit="1" customWidth="1"/>
    <col min="1586" max="1586" width="13.5703125" bestFit="1" customWidth="1"/>
    <col min="1587" max="1587" width="10.5703125" bestFit="1" customWidth="1"/>
    <col min="1588" max="1588" width="13.28515625" bestFit="1" customWidth="1"/>
    <col min="1589" max="1589" width="11.5703125" bestFit="1" customWidth="1"/>
    <col min="1590" max="1590" width="10.5703125" bestFit="1" customWidth="1"/>
    <col min="1591" max="1591" width="16.140625" bestFit="1" customWidth="1"/>
    <col min="1592" max="1593" width="11.28515625" bestFit="1" customWidth="1"/>
    <col min="1594" max="1594" width="13.28515625" bestFit="1" customWidth="1"/>
    <col min="1595" max="1595" width="7.7109375" bestFit="1" customWidth="1"/>
    <col min="1596" max="1599" width="9.140625" hidden="1" customWidth="1"/>
    <col min="1600" max="1600" width="10.42578125" bestFit="1" customWidth="1"/>
    <col min="1601" max="1601" width="10.5703125" bestFit="1" customWidth="1"/>
    <col min="1602" max="1602" width="10.42578125" bestFit="1" customWidth="1"/>
    <col min="1603" max="1603" width="10.5703125" bestFit="1" customWidth="1"/>
    <col min="1604" max="1604" width="9.5703125" bestFit="1" customWidth="1"/>
    <col min="1605" max="1605" width="11.5703125" bestFit="1" customWidth="1"/>
    <col min="1606" max="1606" width="10.42578125" bestFit="1" customWidth="1"/>
    <col min="1607" max="1607" width="10.85546875" customWidth="1"/>
    <col min="1608" max="1609" width="9.85546875" bestFit="1" customWidth="1"/>
    <col min="1610" max="1610" width="13.5703125" bestFit="1" customWidth="1"/>
    <col min="1611" max="1611" width="7.7109375" bestFit="1" customWidth="1"/>
    <col min="1612" max="1612" width="13.28515625" bestFit="1" customWidth="1"/>
    <col min="1613" max="1613" width="11.5703125" bestFit="1" customWidth="1"/>
    <col min="1614" max="1614" width="10.42578125" bestFit="1" customWidth="1"/>
    <col min="1615" max="1615" width="7.7109375" bestFit="1" customWidth="1"/>
    <col min="1616" max="1616" width="11.5703125" bestFit="1" customWidth="1"/>
    <col min="1617" max="1617" width="10.85546875" bestFit="1" customWidth="1"/>
    <col min="1618" max="1618" width="13.28515625" bestFit="1" customWidth="1"/>
    <col min="1619" max="1619" width="10.85546875" bestFit="1" customWidth="1"/>
    <col min="1620" max="1621" width="7.5703125" bestFit="1" customWidth="1"/>
    <col min="1622" max="1623" width="10.42578125" bestFit="1" customWidth="1"/>
    <col min="1624" max="1624" width="11.5703125" bestFit="1" customWidth="1"/>
    <col min="1625" max="1625" width="5.28515625" bestFit="1" customWidth="1"/>
    <col min="1626" max="1626" width="10.28515625" bestFit="1" customWidth="1"/>
    <col min="1627" max="1627" width="10.42578125" bestFit="1" customWidth="1"/>
    <col min="1628" max="1628" width="11.5703125" bestFit="1" customWidth="1"/>
    <col min="1629" max="1629" width="5.28515625" bestFit="1" customWidth="1"/>
    <col min="1630" max="1632" width="11.5703125" bestFit="1" customWidth="1"/>
    <col min="1633" max="1633" width="5.28515625" bestFit="1" customWidth="1"/>
    <col min="1634" max="1635" width="10.42578125" bestFit="1" customWidth="1"/>
    <col min="1636" max="1636" width="11.5703125" bestFit="1" customWidth="1"/>
    <col min="1637" max="1637" width="5.28515625" bestFit="1" customWidth="1"/>
    <col min="1638" max="1638" width="14.28515625" bestFit="1" customWidth="1"/>
    <col min="1639" max="1639" width="13" bestFit="1" customWidth="1"/>
    <col min="1640" max="1640" width="11.5703125" bestFit="1" customWidth="1"/>
    <col min="1641" max="1641" width="8.85546875" bestFit="1" customWidth="1"/>
    <col min="1642" max="1642" width="14.42578125" bestFit="1" customWidth="1"/>
    <col min="1643" max="1643" width="10.42578125" bestFit="1" customWidth="1"/>
    <col min="1644" max="1644" width="12.28515625" bestFit="1" customWidth="1"/>
    <col min="1645" max="1645" width="13.85546875" bestFit="1" customWidth="1"/>
    <col min="1646" max="1646" width="11.28515625" customWidth="1"/>
    <col min="1647" max="1647" width="11.5703125" customWidth="1"/>
    <col min="1648" max="1648" width="13.42578125" bestFit="1" customWidth="1"/>
    <col min="1649" max="1649" width="10.42578125" customWidth="1"/>
    <col min="1650" max="1650" width="13.85546875" bestFit="1" customWidth="1"/>
    <col min="1651" max="1651" width="15.42578125" bestFit="1" customWidth="1"/>
    <col min="1652" max="1652" width="12.28515625" bestFit="1" customWidth="1"/>
    <col min="1653" max="1653" width="12.7109375" customWidth="1"/>
    <col min="1654" max="1654" width="10.7109375" bestFit="1" customWidth="1"/>
    <col min="1655" max="1655" width="9.85546875" customWidth="1"/>
    <col min="1656" max="1657" width="10.140625" bestFit="1" customWidth="1"/>
    <col min="1658" max="1658" width="7.5703125" bestFit="1" customWidth="1"/>
    <col min="1659" max="1659" width="9.42578125" bestFit="1" customWidth="1"/>
    <col min="1660" max="1660" width="14.5703125" bestFit="1" customWidth="1"/>
    <col min="1661" max="1661" width="14.85546875" customWidth="1"/>
    <col min="1662" max="1662" width="15.140625" bestFit="1" customWidth="1"/>
    <col min="1663" max="1663" width="12.140625" bestFit="1" customWidth="1"/>
    <col min="1664" max="1664" width="14.85546875" bestFit="1" customWidth="1"/>
    <col min="1665" max="1665" width="12.28515625" bestFit="1" customWidth="1"/>
    <col min="1666" max="1674" width="9.140625" hidden="1" customWidth="1"/>
    <col min="1675" max="1675" width="5.28515625" bestFit="1" customWidth="1"/>
    <col min="1676" max="1681" width="11.5703125" bestFit="1" customWidth="1"/>
    <col min="1682" max="1682" width="11.28515625" bestFit="1" customWidth="1"/>
    <col min="1683" max="1683" width="10.140625" bestFit="1" customWidth="1"/>
    <col min="1684" max="1684" width="11.5703125" bestFit="1" customWidth="1"/>
    <col min="1685" max="1685" width="16.140625" customWidth="1"/>
    <col min="1686" max="1686" width="13.42578125" customWidth="1"/>
    <col min="1687" max="1687" width="10.140625" bestFit="1" customWidth="1"/>
    <col min="1688" max="1688" width="12.85546875" bestFit="1" customWidth="1"/>
    <col min="1689" max="1689" width="12.28515625" bestFit="1" customWidth="1"/>
    <col min="1690" max="1690" width="11.28515625" bestFit="1" customWidth="1"/>
    <col min="1691" max="1691" width="11.5703125" bestFit="1" customWidth="1"/>
    <col min="1692" max="1692" width="10.85546875" bestFit="1" customWidth="1"/>
    <col min="1693" max="1693" width="11.28515625" bestFit="1" customWidth="1"/>
    <col min="1694" max="1694" width="10.140625" bestFit="1" customWidth="1"/>
    <col min="1695" max="1695" width="13.28515625" bestFit="1" customWidth="1"/>
    <col min="1696" max="1697" width="12.7109375" bestFit="1" customWidth="1"/>
    <col min="1698" max="1698" width="11" bestFit="1" customWidth="1"/>
    <col min="1699" max="1699" width="11.28515625" bestFit="1" customWidth="1"/>
    <col min="1700" max="1700" width="11.5703125" bestFit="1" customWidth="1"/>
    <col min="1701" max="1701" width="12.28515625" bestFit="1" customWidth="1"/>
    <col min="1702" max="1702" width="15.140625" bestFit="1" customWidth="1"/>
    <col min="1703" max="1703" width="14.42578125" bestFit="1" customWidth="1"/>
    <col min="1704" max="1704" width="12.28515625" bestFit="1" customWidth="1"/>
    <col min="1705" max="1705" width="15.140625" bestFit="1" customWidth="1"/>
    <col min="1706" max="1706" width="14.42578125" bestFit="1" customWidth="1"/>
    <col min="1707" max="1707" width="12.28515625" bestFit="1" customWidth="1"/>
    <col min="1708" max="1708" width="14.42578125" bestFit="1" customWidth="1"/>
    <col min="1709" max="1709" width="11.28515625" bestFit="1" customWidth="1"/>
    <col min="1710" max="1710" width="12.28515625" bestFit="1" customWidth="1"/>
    <col min="1711" max="1711" width="13" bestFit="1" customWidth="1"/>
    <col min="1712" max="1712" width="15.140625" bestFit="1" customWidth="1"/>
    <col min="1713" max="1713" width="12.28515625" bestFit="1" customWidth="1"/>
    <col min="1714" max="1714" width="13.85546875" bestFit="1" customWidth="1"/>
    <col min="1715" max="1715" width="11.28515625" bestFit="1" customWidth="1"/>
    <col min="1716" max="1716" width="12.28515625" bestFit="1" customWidth="1"/>
    <col min="1717" max="1717" width="13.85546875" bestFit="1" customWidth="1"/>
    <col min="1718" max="1719" width="15.140625" bestFit="1" customWidth="1"/>
    <col min="1720" max="1720" width="12.28515625" bestFit="1" customWidth="1"/>
    <col min="1721" max="1721" width="5.7109375" bestFit="1" customWidth="1"/>
    <col min="1722" max="1722" width="8.5703125" bestFit="1" customWidth="1"/>
    <col min="1723" max="1723" width="5.5703125" bestFit="1" customWidth="1"/>
    <col min="1724" max="1724" width="14.42578125" bestFit="1" customWidth="1"/>
    <col min="1725" max="1725" width="11.28515625" bestFit="1" customWidth="1"/>
    <col min="1726" max="1727" width="12.28515625" bestFit="1" customWidth="1"/>
    <col min="1728" max="1728" width="11.28515625" bestFit="1" customWidth="1"/>
    <col min="1729" max="1729" width="13.85546875" bestFit="1" customWidth="1"/>
    <col min="1730" max="1730" width="12" bestFit="1" customWidth="1"/>
    <col min="1731" max="1731" width="13.85546875" bestFit="1" customWidth="1"/>
    <col min="1732" max="1733" width="14.42578125" customWidth="1"/>
    <col min="1734" max="1734" width="10.140625" bestFit="1" customWidth="1"/>
    <col min="1735" max="1735" width="12.28515625" bestFit="1" customWidth="1"/>
    <col min="1736" max="1736" width="7.42578125" bestFit="1" customWidth="1"/>
    <col min="1737" max="1737" width="8.5703125" bestFit="1" customWidth="1"/>
    <col min="1738" max="1738" width="11.5703125" bestFit="1" customWidth="1"/>
    <col min="1739" max="1739" width="13.28515625" bestFit="1" customWidth="1"/>
    <col min="1740" max="1740" width="13.28515625" customWidth="1"/>
    <col min="1741" max="1741" width="13.140625" customWidth="1"/>
    <col min="1742" max="1742" width="12.7109375" bestFit="1" customWidth="1"/>
    <col min="1743" max="1743" width="13.28515625" bestFit="1" customWidth="1"/>
    <col min="1744" max="1746" width="13.28515625" customWidth="1"/>
    <col min="1747" max="1747" width="12.140625" bestFit="1" customWidth="1"/>
    <col min="1748" max="1748" width="12.7109375" bestFit="1" customWidth="1"/>
    <col min="1749" max="1749" width="11" customWidth="1"/>
    <col min="1750" max="1750" width="16.7109375" customWidth="1"/>
    <col min="1751" max="1751" width="17" customWidth="1"/>
    <col min="1752" max="1752" width="10.42578125" bestFit="1" customWidth="1"/>
    <col min="1796" max="1796" width="3.85546875" customWidth="1"/>
    <col min="1797" max="1797" width="15.28515625" bestFit="1" customWidth="1"/>
    <col min="1798" max="1798" width="12.28515625" customWidth="1"/>
    <col min="1799" max="1799" width="16.28515625" bestFit="1" customWidth="1"/>
    <col min="1800" max="1800" width="6.42578125" bestFit="1" customWidth="1"/>
    <col min="1801" max="1801" width="9.28515625" bestFit="1" customWidth="1"/>
    <col min="1802" max="1802" width="7.5703125" bestFit="1" customWidth="1"/>
    <col min="1803" max="1803" width="13.28515625" bestFit="1" customWidth="1"/>
    <col min="1804" max="1804" width="9.28515625" bestFit="1" customWidth="1"/>
    <col min="1805" max="1805" width="11.5703125" bestFit="1" customWidth="1"/>
    <col min="1806" max="1806" width="13.28515625" bestFit="1" customWidth="1"/>
    <col min="1807" max="1807" width="7.140625" bestFit="1" customWidth="1"/>
    <col min="1808" max="1808" width="12" bestFit="1" customWidth="1"/>
    <col min="1809" max="1809" width="13.28515625" bestFit="1" customWidth="1"/>
    <col min="1810" max="1810" width="7" bestFit="1" customWidth="1"/>
    <col min="1811" max="1811" width="12.7109375" bestFit="1" customWidth="1"/>
    <col min="1812" max="1812" width="11.5703125" bestFit="1" customWidth="1"/>
    <col min="1813" max="1813" width="10.5703125" bestFit="1" customWidth="1"/>
    <col min="1814" max="1815" width="15.7109375" bestFit="1" customWidth="1"/>
    <col min="1816" max="1816" width="11.5703125" bestFit="1" customWidth="1"/>
    <col min="1817" max="1817" width="7.7109375" bestFit="1" customWidth="1"/>
    <col min="1818" max="1818" width="15.140625" bestFit="1" customWidth="1"/>
    <col min="1819" max="1819" width="11.5703125" bestFit="1" customWidth="1"/>
    <col min="1820" max="1820" width="13.28515625" bestFit="1" customWidth="1"/>
    <col min="1821" max="1821" width="10.42578125" bestFit="1" customWidth="1"/>
    <col min="1822" max="1822" width="13.28515625" bestFit="1" customWidth="1"/>
    <col min="1823" max="1823" width="12.140625" bestFit="1" customWidth="1"/>
    <col min="1824" max="1824" width="14.42578125" bestFit="1" customWidth="1"/>
    <col min="1825" max="1825" width="13.28515625" bestFit="1" customWidth="1"/>
    <col min="1826" max="1826" width="11.5703125" bestFit="1" customWidth="1"/>
    <col min="1827" max="1827" width="7.7109375" bestFit="1" customWidth="1"/>
    <col min="1828" max="1829" width="14.42578125" bestFit="1" customWidth="1"/>
    <col min="1830" max="1830" width="11.5703125" bestFit="1" customWidth="1"/>
    <col min="1831" max="1831" width="7.7109375" bestFit="1" customWidth="1"/>
    <col min="1832" max="1832" width="13.5703125" customWidth="1"/>
    <col min="1833" max="1833" width="15.28515625" customWidth="1"/>
    <col min="1834" max="1834" width="14.5703125" customWidth="1"/>
    <col min="1835" max="1835" width="13.28515625" bestFit="1" customWidth="1"/>
    <col min="1836" max="1836" width="7.7109375" bestFit="1" customWidth="1"/>
    <col min="1837" max="1837" width="12.7109375" bestFit="1" customWidth="1"/>
    <col min="1838" max="1838" width="11.7109375" bestFit="1" customWidth="1"/>
    <col min="1839" max="1839" width="11.5703125" bestFit="1" customWidth="1"/>
    <col min="1840" max="1840" width="5.28515625" bestFit="1" customWidth="1"/>
    <col min="1841" max="1841" width="13.28515625" bestFit="1" customWidth="1"/>
    <col min="1842" max="1842" width="13.5703125" bestFit="1" customWidth="1"/>
    <col min="1843" max="1843" width="10.5703125" bestFit="1" customWidth="1"/>
    <col min="1844" max="1844" width="13.28515625" bestFit="1" customWidth="1"/>
    <col min="1845" max="1845" width="11.5703125" bestFit="1" customWidth="1"/>
    <col min="1846" max="1846" width="10.5703125" bestFit="1" customWidth="1"/>
    <col min="1847" max="1847" width="16.140625" bestFit="1" customWidth="1"/>
    <col min="1848" max="1849" width="11.28515625" bestFit="1" customWidth="1"/>
    <col min="1850" max="1850" width="13.28515625" bestFit="1" customWidth="1"/>
    <col min="1851" max="1851" width="7.7109375" bestFit="1" customWidth="1"/>
    <col min="1852" max="1855" width="9.140625" hidden="1" customWidth="1"/>
    <col min="1856" max="1856" width="10.42578125" bestFit="1" customWidth="1"/>
    <col min="1857" max="1857" width="10.5703125" bestFit="1" customWidth="1"/>
    <col min="1858" max="1858" width="10.42578125" bestFit="1" customWidth="1"/>
    <col min="1859" max="1859" width="10.5703125" bestFit="1" customWidth="1"/>
    <col min="1860" max="1860" width="9.5703125" bestFit="1" customWidth="1"/>
    <col min="1861" max="1861" width="11.5703125" bestFit="1" customWidth="1"/>
    <col min="1862" max="1862" width="10.42578125" bestFit="1" customWidth="1"/>
    <col min="1863" max="1863" width="10.85546875" customWidth="1"/>
    <col min="1864" max="1865" width="9.85546875" bestFit="1" customWidth="1"/>
    <col min="1866" max="1866" width="13.5703125" bestFit="1" customWidth="1"/>
    <col min="1867" max="1867" width="7.7109375" bestFit="1" customWidth="1"/>
    <col min="1868" max="1868" width="13.28515625" bestFit="1" customWidth="1"/>
    <col min="1869" max="1869" width="11.5703125" bestFit="1" customWidth="1"/>
    <col min="1870" max="1870" width="10.42578125" bestFit="1" customWidth="1"/>
    <col min="1871" max="1871" width="7.7109375" bestFit="1" customWidth="1"/>
    <col min="1872" max="1872" width="11.5703125" bestFit="1" customWidth="1"/>
    <col min="1873" max="1873" width="10.85546875" bestFit="1" customWidth="1"/>
    <col min="1874" max="1874" width="13.28515625" bestFit="1" customWidth="1"/>
    <col min="1875" max="1875" width="10.85546875" bestFit="1" customWidth="1"/>
    <col min="1876" max="1877" width="7.5703125" bestFit="1" customWidth="1"/>
    <col min="1878" max="1879" width="10.42578125" bestFit="1" customWidth="1"/>
    <col min="1880" max="1880" width="11.5703125" bestFit="1" customWidth="1"/>
    <col min="1881" max="1881" width="5.28515625" bestFit="1" customWidth="1"/>
    <col min="1882" max="1882" width="10.28515625" bestFit="1" customWidth="1"/>
    <col min="1883" max="1883" width="10.42578125" bestFit="1" customWidth="1"/>
    <col min="1884" max="1884" width="11.5703125" bestFit="1" customWidth="1"/>
    <col min="1885" max="1885" width="5.28515625" bestFit="1" customWidth="1"/>
    <col min="1886" max="1888" width="11.5703125" bestFit="1" customWidth="1"/>
    <col min="1889" max="1889" width="5.28515625" bestFit="1" customWidth="1"/>
    <col min="1890" max="1891" width="10.42578125" bestFit="1" customWidth="1"/>
    <col min="1892" max="1892" width="11.5703125" bestFit="1" customWidth="1"/>
    <col min="1893" max="1893" width="5.28515625" bestFit="1" customWidth="1"/>
    <col min="1894" max="1894" width="14.28515625" bestFit="1" customWidth="1"/>
    <col min="1895" max="1895" width="13" bestFit="1" customWidth="1"/>
    <col min="1896" max="1896" width="11.5703125" bestFit="1" customWidth="1"/>
    <col min="1897" max="1897" width="8.85546875" bestFit="1" customWidth="1"/>
    <col min="1898" max="1898" width="14.42578125" bestFit="1" customWidth="1"/>
    <col min="1899" max="1899" width="10.42578125" bestFit="1" customWidth="1"/>
    <col min="1900" max="1900" width="12.28515625" bestFit="1" customWidth="1"/>
    <col min="1901" max="1901" width="13.85546875" bestFit="1" customWidth="1"/>
    <col min="1902" max="1902" width="11.28515625" customWidth="1"/>
    <col min="1903" max="1903" width="11.5703125" customWidth="1"/>
    <col min="1904" max="1904" width="13.42578125" bestFit="1" customWidth="1"/>
    <col min="1905" max="1905" width="10.42578125" customWidth="1"/>
    <col min="1906" max="1906" width="13.85546875" bestFit="1" customWidth="1"/>
    <col min="1907" max="1907" width="15.42578125" bestFit="1" customWidth="1"/>
    <col min="1908" max="1908" width="12.28515625" bestFit="1" customWidth="1"/>
    <col min="1909" max="1909" width="12.7109375" customWidth="1"/>
    <col min="1910" max="1910" width="10.7109375" bestFit="1" customWidth="1"/>
    <col min="1911" max="1911" width="9.85546875" customWidth="1"/>
    <col min="1912" max="1913" width="10.140625" bestFit="1" customWidth="1"/>
    <col min="1914" max="1914" width="7.5703125" bestFit="1" customWidth="1"/>
    <col min="1915" max="1915" width="9.42578125" bestFit="1" customWidth="1"/>
    <col min="1916" max="1916" width="14.5703125" bestFit="1" customWidth="1"/>
    <col min="1917" max="1917" width="14.85546875" customWidth="1"/>
    <col min="1918" max="1918" width="15.140625" bestFit="1" customWidth="1"/>
    <col min="1919" max="1919" width="12.140625" bestFit="1" customWidth="1"/>
    <col min="1920" max="1920" width="14.85546875" bestFit="1" customWidth="1"/>
    <col min="1921" max="1921" width="12.28515625" bestFit="1" customWidth="1"/>
    <col min="1922" max="1930" width="9.140625" hidden="1" customWidth="1"/>
    <col min="1931" max="1931" width="5.28515625" bestFit="1" customWidth="1"/>
    <col min="1932" max="1937" width="11.5703125" bestFit="1" customWidth="1"/>
    <col min="1938" max="1938" width="11.28515625" bestFit="1" customWidth="1"/>
    <col min="1939" max="1939" width="10.140625" bestFit="1" customWidth="1"/>
    <col min="1940" max="1940" width="11.5703125" bestFit="1" customWidth="1"/>
    <col min="1941" max="1941" width="16.140625" customWidth="1"/>
    <col min="1942" max="1942" width="13.42578125" customWidth="1"/>
    <col min="1943" max="1943" width="10.140625" bestFit="1" customWidth="1"/>
    <col min="1944" max="1944" width="12.85546875" bestFit="1" customWidth="1"/>
    <col min="1945" max="1945" width="12.28515625" bestFit="1" customWidth="1"/>
    <col min="1946" max="1946" width="11.28515625" bestFit="1" customWidth="1"/>
    <col min="1947" max="1947" width="11.5703125" bestFit="1" customWidth="1"/>
    <col min="1948" max="1948" width="10.85546875" bestFit="1" customWidth="1"/>
    <col min="1949" max="1949" width="11.28515625" bestFit="1" customWidth="1"/>
    <col min="1950" max="1950" width="10.140625" bestFit="1" customWidth="1"/>
    <col min="1951" max="1951" width="13.28515625" bestFit="1" customWidth="1"/>
    <col min="1952" max="1953" width="12.7109375" bestFit="1" customWidth="1"/>
    <col min="1954" max="1954" width="11" bestFit="1" customWidth="1"/>
    <col min="1955" max="1955" width="11.28515625" bestFit="1" customWidth="1"/>
    <col min="1956" max="1956" width="11.5703125" bestFit="1" customWidth="1"/>
    <col min="1957" max="1957" width="12.28515625" bestFit="1" customWidth="1"/>
    <col min="1958" max="1958" width="15.140625" bestFit="1" customWidth="1"/>
    <col min="1959" max="1959" width="14.42578125" bestFit="1" customWidth="1"/>
    <col min="1960" max="1960" width="12.28515625" bestFit="1" customWidth="1"/>
    <col min="1961" max="1961" width="15.140625" bestFit="1" customWidth="1"/>
    <col min="1962" max="1962" width="14.42578125" bestFit="1" customWidth="1"/>
    <col min="1963" max="1963" width="12.28515625" bestFit="1" customWidth="1"/>
    <col min="1964" max="1964" width="14.42578125" bestFit="1" customWidth="1"/>
    <col min="1965" max="1965" width="11.28515625" bestFit="1" customWidth="1"/>
    <col min="1966" max="1966" width="12.28515625" bestFit="1" customWidth="1"/>
    <col min="1967" max="1967" width="13" bestFit="1" customWidth="1"/>
    <col min="1968" max="1968" width="15.140625" bestFit="1" customWidth="1"/>
    <col min="1969" max="1969" width="12.28515625" bestFit="1" customWidth="1"/>
    <col min="1970" max="1970" width="13.85546875" bestFit="1" customWidth="1"/>
    <col min="1971" max="1971" width="11.28515625" bestFit="1" customWidth="1"/>
    <col min="1972" max="1972" width="12.28515625" bestFit="1" customWidth="1"/>
    <col min="1973" max="1973" width="13.85546875" bestFit="1" customWidth="1"/>
    <col min="1974" max="1975" width="15.140625" bestFit="1" customWidth="1"/>
    <col min="1976" max="1976" width="12.28515625" bestFit="1" customWidth="1"/>
    <col min="1977" max="1977" width="5.7109375" bestFit="1" customWidth="1"/>
    <col min="1978" max="1978" width="8.5703125" bestFit="1" customWidth="1"/>
    <col min="1979" max="1979" width="5.5703125" bestFit="1" customWidth="1"/>
    <col min="1980" max="1980" width="14.42578125" bestFit="1" customWidth="1"/>
    <col min="1981" max="1981" width="11.28515625" bestFit="1" customWidth="1"/>
    <col min="1982" max="1983" width="12.28515625" bestFit="1" customWidth="1"/>
    <col min="1984" max="1984" width="11.28515625" bestFit="1" customWidth="1"/>
    <col min="1985" max="1985" width="13.85546875" bestFit="1" customWidth="1"/>
    <col min="1986" max="1986" width="12" bestFit="1" customWidth="1"/>
    <col min="1987" max="1987" width="13.85546875" bestFit="1" customWidth="1"/>
    <col min="1988" max="1989" width="14.42578125" customWidth="1"/>
    <col min="1990" max="1990" width="10.140625" bestFit="1" customWidth="1"/>
    <col min="1991" max="1991" width="12.28515625" bestFit="1" customWidth="1"/>
    <col min="1992" max="1992" width="7.42578125" bestFit="1" customWidth="1"/>
    <col min="1993" max="1993" width="8.5703125" bestFit="1" customWidth="1"/>
    <col min="1994" max="1994" width="11.5703125" bestFit="1" customWidth="1"/>
    <col min="1995" max="1995" width="13.28515625" bestFit="1" customWidth="1"/>
    <col min="1996" max="1996" width="13.28515625" customWidth="1"/>
    <col min="1997" max="1997" width="13.140625" customWidth="1"/>
    <col min="1998" max="1998" width="12.7109375" bestFit="1" customWidth="1"/>
    <col min="1999" max="1999" width="13.28515625" bestFit="1" customWidth="1"/>
    <col min="2000" max="2002" width="13.28515625" customWidth="1"/>
    <col min="2003" max="2003" width="12.140625" bestFit="1" customWidth="1"/>
    <col min="2004" max="2004" width="12.7109375" bestFit="1" customWidth="1"/>
    <col min="2005" max="2005" width="11" customWidth="1"/>
    <col min="2006" max="2006" width="16.7109375" customWidth="1"/>
    <col min="2007" max="2007" width="17" customWidth="1"/>
    <col min="2008" max="2008" width="10.42578125" bestFit="1" customWidth="1"/>
    <col min="2052" max="2052" width="3.85546875" customWidth="1"/>
    <col min="2053" max="2053" width="15.28515625" bestFit="1" customWidth="1"/>
    <col min="2054" max="2054" width="12.28515625" customWidth="1"/>
    <col min="2055" max="2055" width="16.28515625" bestFit="1" customWidth="1"/>
    <col min="2056" max="2056" width="6.42578125" bestFit="1" customWidth="1"/>
    <col min="2057" max="2057" width="9.28515625" bestFit="1" customWidth="1"/>
    <col min="2058" max="2058" width="7.5703125" bestFit="1" customWidth="1"/>
    <col min="2059" max="2059" width="13.28515625" bestFit="1" customWidth="1"/>
    <col min="2060" max="2060" width="9.28515625" bestFit="1" customWidth="1"/>
    <col min="2061" max="2061" width="11.5703125" bestFit="1" customWidth="1"/>
    <col min="2062" max="2062" width="13.28515625" bestFit="1" customWidth="1"/>
    <col min="2063" max="2063" width="7.140625" bestFit="1" customWidth="1"/>
    <col min="2064" max="2064" width="12" bestFit="1" customWidth="1"/>
    <col min="2065" max="2065" width="13.28515625" bestFit="1" customWidth="1"/>
    <col min="2066" max="2066" width="7" bestFit="1" customWidth="1"/>
    <col min="2067" max="2067" width="12.7109375" bestFit="1" customWidth="1"/>
    <col min="2068" max="2068" width="11.5703125" bestFit="1" customWidth="1"/>
    <col min="2069" max="2069" width="10.5703125" bestFit="1" customWidth="1"/>
    <col min="2070" max="2071" width="15.7109375" bestFit="1" customWidth="1"/>
    <col min="2072" max="2072" width="11.5703125" bestFit="1" customWidth="1"/>
    <col min="2073" max="2073" width="7.7109375" bestFit="1" customWidth="1"/>
    <col min="2074" max="2074" width="15.140625" bestFit="1" customWidth="1"/>
    <col min="2075" max="2075" width="11.5703125" bestFit="1" customWidth="1"/>
    <col min="2076" max="2076" width="13.28515625" bestFit="1" customWidth="1"/>
    <col min="2077" max="2077" width="10.42578125" bestFit="1" customWidth="1"/>
    <col min="2078" max="2078" width="13.28515625" bestFit="1" customWidth="1"/>
    <col min="2079" max="2079" width="12.140625" bestFit="1" customWidth="1"/>
    <col min="2080" max="2080" width="14.42578125" bestFit="1" customWidth="1"/>
    <col min="2081" max="2081" width="13.28515625" bestFit="1" customWidth="1"/>
    <col min="2082" max="2082" width="11.5703125" bestFit="1" customWidth="1"/>
    <col min="2083" max="2083" width="7.7109375" bestFit="1" customWidth="1"/>
    <col min="2084" max="2085" width="14.42578125" bestFit="1" customWidth="1"/>
    <col min="2086" max="2086" width="11.5703125" bestFit="1" customWidth="1"/>
    <col min="2087" max="2087" width="7.7109375" bestFit="1" customWidth="1"/>
    <col min="2088" max="2088" width="13.5703125" customWidth="1"/>
    <col min="2089" max="2089" width="15.28515625" customWidth="1"/>
    <col min="2090" max="2090" width="14.5703125" customWidth="1"/>
    <col min="2091" max="2091" width="13.28515625" bestFit="1" customWidth="1"/>
    <col min="2092" max="2092" width="7.7109375" bestFit="1" customWidth="1"/>
    <col min="2093" max="2093" width="12.7109375" bestFit="1" customWidth="1"/>
    <col min="2094" max="2094" width="11.7109375" bestFit="1" customWidth="1"/>
    <col min="2095" max="2095" width="11.5703125" bestFit="1" customWidth="1"/>
    <col min="2096" max="2096" width="5.28515625" bestFit="1" customWidth="1"/>
    <col min="2097" max="2097" width="13.28515625" bestFit="1" customWidth="1"/>
    <col min="2098" max="2098" width="13.5703125" bestFit="1" customWidth="1"/>
    <col min="2099" max="2099" width="10.5703125" bestFit="1" customWidth="1"/>
    <col min="2100" max="2100" width="13.28515625" bestFit="1" customWidth="1"/>
    <col min="2101" max="2101" width="11.5703125" bestFit="1" customWidth="1"/>
    <col min="2102" max="2102" width="10.5703125" bestFit="1" customWidth="1"/>
    <col min="2103" max="2103" width="16.140625" bestFit="1" customWidth="1"/>
    <col min="2104" max="2105" width="11.28515625" bestFit="1" customWidth="1"/>
    <col min="2106" max="2106" width="13.28515625" bestFit="1" customWidth="1"/>
    <col min="2107" max="2107" width="7.7109375" bestFit="1" customWidth="1"/>
    <col min="2108" max="2111" width="9.140625" hidden="1" customWidth="1"/>
    <col min="2112" max="2112" width="10.42578125" bestFit="1" customWidth="1"/>
    <col min="2113" max="2113" width="10.5703125" bestFit="1" customWidth="1"/>
    <col min="2114" max="2114" width="10.42578125" bestFit="1" customWidth="1"/>
    <col min="2115" max="2115" width="10.5703125" bestFit="1" customWidth="1"/>
    <col min="2116" max="2116" width="9.5703125" bestFit="1" customWidth="1"/>
    <col min="2117" max="2117" width="11.5703125" bestFit="1" customWidth="1"/>
    <col min="2118" max="2118" width="10.42578125" bestFit="1" customWidth="1"/>
    <col min="2119" max="2119" width="10.85546875" customWidth="1"/>
    <col min="2120" max="2121" width="9.85546875" bestFit="1" customWidth="1"/>
    <col min="2122" max="2122" width="13.5703125" bestFit="1" customWidth="1"/>
    <col min="2123" max="2123" width="7.7109375" bestFit="1" customWidth="1"/>
    <col min="2124" max="2124" width="13.28515625" bestFit="1" customWidth="1"/>
    <col min="2125" max="2125" width="11.5703125" bestFit="1" customWidth="1"/>
    <col min="2126" max="2126" width="10.42578125" bestFit="1" customWidth="1"/>
    <col min="2127" max="2127" width="7.7109375" bestFit="1" customWidth="1"/>
    <col min="2128" max="2128" width="11.5703125" bestFit="1" customWidth="1"/>
    <col min="2129" max="2129" width="10.85546875" bestFit="1" customWidth="1"/>
    <col min="2130" max="2130" width="13.28515625" bestFit="1" customWidth="1"/>
    <col min="2131" max="2131" width="10.85546875" bestFit="1" customWidth="1"/>
    <col min="2132" max="2133" width="7.5703125" bestFit="1" customWidth="1"/>
    <col min="2134" max="2135" width="10.42578125" bestFit="1" customWidth="1"/>
    <col min="2136" max="2136" width="11.5703125" bestFit="1" customWidth="1"/>
    <col min="2137" max="2137" width="5.28515625" bestFit="1" customWidth="1"/>
    <col min="2138" max="2138" width="10.28515625" bestFit="1" customWidth="1"/>
    <col min="2139" max="2139" width="10.42578125" bestFit="1" customWidth="1"/>
    <col min="2140" max="2140" width="11.5703125" bestFit="1" customWidth="1"/>
    <col min="2141" max="2141" width="5.28515625" bestFit="1" customWidth="1"/>
    <col min="2142" max="2144" width="11.5703125" bestFit="1" customWidth="1"/>
    <col min="2145" max="2145" width="5.28515625" bestFit="1" customWidth="1"/>
    <col min="2146" max="2147" width="10.42578125" bestFit="1" customWidth="1"/>
    <col min="2148" max="2148" width="11.5703125" bestFit="1" customWidth="1"/>
    <col min="2149" max="2149" width="5.28515625" bestFit="1" customWidth="1"/>
    <col min="2150" max="2150" width="14.28515625" bestFit="1" customWidth="1"/>
    <col min="2151" max="2151" width="13" bestFit="1" customWidth="1"/>
    <col min="2152" max="2152" width="11.5703125" bestFit="1" customWidth="1"/>
    <col min="2153" max="2153" width="8.85546875" bestFit="1" customWidth="1"/>
    <col min="2154" max="2154" width="14.42578125" bestFit="1" customWidth="1"/>
    <col min="2155" max="2155" width="10.42578125" bestFit="1" customWidth="1"/>
    <col min="2156" max="2156" width="12.28515625" bestFit="1" customWidth="1"/>
    <col min="2157" max="2157" width="13.85546875" bestFit="1" customWidth="1"/>
    <col min="2158" max="2158" width="11.28515625" customWidth="1"/>
    <col min="2159" max="2159" width="11.5703125" customWidth="1"/>
    <col min="2160" max="2160" width="13.42578125" bestFit="1" customWidth="1"/>
    <col min="2161" max="2161" width="10.42578125" customWidth="1"/>
    <col min="2162" max="2162" width="13.85546875" bestFit="1" customWidth="1"/>
    <col min="2163" max="2163" width="15.42578125" bestFit="1" customWidth="1"/>
    <col min="2164" max="2164" width="12.28515625" bestFit="1" customWidth="1"/>
    <col min="2165" max="2165" width="12.7109375" customWidth="1"/>
    <col min="2166" max="2166" width="10.7109375" bestFit="1" customWidth="1"/>
    <col min="2167" max="2167" width="9.85546875" customWidth="1"/>
    <col min="2168" max="2169" width="10.140625" bestFit="1" customWidth="1"/>
    <col min="2170" max="2170" width="7.5703125" bestFit="1" customWidth="1"/>
    <col min="2171" max="2171" width="9.42578125" bestFit="1" customWidth="1"/>
    <col min="2172" max="2172" width="14.5703125" bestFit="1" customWidth="1"/>
    <col min="2173" max="2173" width="14.85546875" customWidth="1"/>
    <col min="2174" max="2174" width="15.140625" bestFit="1" customWidth="1"/>
    <col min="2175" max="2175" width="12.140625" bestFit="1" customWidth="1"/>
    <col min="2176" max="2176" width="14.85546875" bestFit="1" customWidth="1"/>
    <col min="2177" max="2177" width="12.28515625" bestFit="1" customWidth="1"/>
    <col min="2178" max="2186" width="9.140625" hidden="1" customWidth="1"/>
    <col min="2187" max="2187" width="5.28515625" bestFit="1" customWidth="1"/>
    <col min="2188" max="2193" width="11.5703125" bestFit="1" customWidth="1"/>
    <col min="2194" max="2194" width="11.28515625" bestFit="1" customWidth="1"/>
    <col min="2195" max="2195" width="10.140625" bestFit="1" customWidth="1"/>
    <col min="2196" max="2196" width="11.5703125" bestFit="1" customWidth="1"/>
    <col min="2197" max="2197" width="16.140625" customWidth="1"/>
    <col min="2198" max="2198" width="13.42578125" customWidth="1"/>
    <col min="2199" max="2199" width="10.140625" bestFit="1" customWidth="1"/>
    <col min="2200" max="2200" width="12.85546875" bestFit="1" customWidth="1"/>
    <col min="2201" max="2201" width="12.28515625" bestFit="1" customWidth="1"/>
    <col min="2202" max="2202" width="11.28515625" bestFit="1" customWidth="1"/>
    <col min="2203" max="2203" width="11.5703125" bestFit="1" customWidth="1"/>
    <col min="2204" max="2204" width="10.85546875" bestFit="1" customWidth="1"/>
    <col min="2205" max="2205" width="11.28515625" bestFit="1" customWidth="1"/>
    <col min="2206" max="2206" width="10.140625" bestFit="1" customWidth="1"/>
    <col min="2207" max="2207" width="13.28515625" bestFit="1" customWidth="1"/>
    <col min="2208" max="2209" width="12.7109375" bestFit="1" customWidth="1"/>
    <col min="2210" max="2210" width="11" bestFit="1" customWidth="1"/>
    <col min="2211" max="2211" width="11.28515625" bestFit="1" customWidth="1"/>
    <col min="2212" max="2212" width="11.5703125" bestFit="1" customWidth="1"/>
    <col min="2213" max="2213" width="12.28515625" bestFit="1" customWidth="1"/>
    <col min="2214" max="2214" width="15.140625" bestFit="1" customWidth="1"/>
    <col min="2215" max="2215" width="14.42578125" bestFit="1" customWidth="1"/>
    <col min="2216" max="2216" width="12.28515625" bestFit="1" customWidth="1"/>
    <col min="2217" max="2217" width="15.140625" bestFit="1" customWidth="1"/>
    <col min="2218" max="2218" width="14.42578125" bestFit="1" customWidth="1"/>
    <col min="2219" max="2219" width="12.28515625" bestFit="1" customWidth="1"/>
    <col min="2220" max="2220" width="14.42578125" bestFit="1" customWidth="1"/>
    <col min="2221" max="2221" width="11.28515625" bestFit="1" customWidth="1"/>
    <col min="2222" max="2222" width="12.28515625" bestFit="1" customWidth="1"/>
    <col min="2223" max="2223" width="13" bestFit="1" customWidth="1"/>
    <col min="2224" max="2224" width="15.140625" bestFit="1" customWidth="1"/>
    <col min="2225" max="2225" width="12.28515625" bestFit="1" customWidth="1"/>
    <col min="2226" max="2226" width="13.85546875" bestFit="1" customWidth="1"/>
    <col min="2227" max="2227" width="11.28515625" bestFit="1" customWidth="1"/>
    <col min="2228" max="2228" width="12.28515625" bestFit="1" customWidth="1"/>
    <col min="2229" max="2229" width="13.85546875" bestFit="1" customWidth="1"/>
    <col min="2230" max="2231" width="15.140625" bestFit="1" customWidth="1"/>
    <col min="2232" max="2232" width="12.28515625" bestFit="1" customWidth="1"/>
    <col min="2233" max="2233" width="5.7109375" bestFit="1" customWidth="1"/>
    <col min="2234" max="2234" width="8.5703125" bestFit="1" customWidth="1"/>
    <col min="2235" max="2235" width="5.5703125" bestFit="1" customWidth="1"/>
    <col min="2236" max="2236" width="14.42578125" bestFit="1" customWidth="1"/>
    <col min="2237" max="2237" width="11.28515625" bestFit="1" customWidth="1"/>
    <col min="2238" max="2239" width="12.28515625" bestFit="1" customWidth="1"/>
    <col min="2240" max="2240" width="11.28515625" bestFit="1" customWidth="1"/>
    <col min="2241" max="2241" width="13.85546875" bestFit="1" customWidth="1"/>
    <col min="2242" max="2242" width="12" bestFit="1" customWidth="1"/>
    <col min="2243" max="2243" width="13.85546875" bestFit="1" customWidth="1"/>
    <col min="2244" max="2245" width="14.42578125" customWidth="1"/>
    <col min="2246" max="2246" width="10.140625" bestFit="1" customWidth="1"/>
    <col min="2247" max="2247" width="12.28515625" bestFit="1" customWidth="1"/>
    <col min="2248" max="2248" width="7.42578125" bestFit="1" customWidth="1"/>
    <col min="2249" max="2249" width="8.5703125" bestFit="1" customWidth="1"/>
    <col min="2250" max="2250" width="11.5703125" bestFit="1" customWidth="1"/>
    <col min="2251" max="2251" width="13.28515625" bestFit="1" customWidth="1"/>
    <col min="2252" max="2252" width="13.28515625" customWidth="1"/>
    <col min="2253" max="2253" width="13.140625" customWidth="1"/>
    <col min="2254" max="2254" width="12.7109375" bestFit="1" customWidth="1"/>
    <col min="2255" max="2255" width="13.28515625" bestFit="1" customWidth="1"/>
    <col min="2256" max="2258" width="13.28515625" customWidth="1"/>
    <col min="2259" max="2259" width="12.140625" bestFit="1" customWidth="1"/>
    <col min="2260" max="2260" width="12.7109375" bestFit="1" customWidth="1"/>
    <col min="2261" max="2261" width="11" customWidth="1"/>
    <col min="2262" max="2262" width="16.7109375" customWidth="1"/>
    <col min="2263" max="2263" width="17" customWidth="1"/>
    <col min="2264" max="2264" width="10.42578125" bestFit="1" customWidth="1"/>
    <col min="2308" max="2308" width="3.85546875" customWidth="1"/>
    <col min="2309" max="2309" width="15.28515625" bestFit="1" customWidth="1"/>
    <col min="2310" max="2310" width="12.28515625" customWidth="1"/>
    <col min="2311" max="2311" width="16.28515625" bestFit="1" customWidth="1"/>
    <col min="2312" max="2312" width="6.42578125" bestFit="1" customWidth="1"/>
    <col min="2313" max="2313" width="9.28515625" bestFit="1" customWidth="1"/>
    <col min="2314" max="2314" width="7.5703125" bestFit="1" customWidth="1"/>
    <col min="2315" max="2315" width="13.28515625" bestFit="1" customWidth="1"/>
    <col min="2316" max="2316" width="9.28515625" bestFit="1" customWidth="1"/>
    <col min="2317" max="2317" width="11.5703125" bestFit="1" customWidth="1"/>
    <col min="2318" max="2318" width="13.28515625" bestFit="1" customWidth="1"/>
    <col min="2319" max="2319" width="7.140625" bestFit="1" customWidth="1"/>
    <col min="2320" max="2320" width="12" bestFit="1" customWidth="1"/>
    <col min="2321" max="2321" width="13.28515625" bestFit="1" customWidth="1"/>
    <col min="2322" max="2322" width="7" bestFit="1" customWidth="1"/>
    <col min="2323" max="2323" width="12.7109375" bestFit="1" customWidth="1"/>
    <col min="2324" max="2324" width="11.5703125" bestFit="1" customWidth="1"/>
    <col min="2325" max="2325" width="10.5703125" bestFit="1" customWidth="1"/>
    <col min="2326" max="2327" width="15.7109375" bestFit="1" customWidth="1"/>
    <col min="2328" max="2328" width="11.5703125" bestFit="1" customWidth="1"/>
    <col min="2329" max="2329" width="7.7109375" bestFit="1" customWidth="1"/>
    <col min="2330" max="2330" width="15.140625" bestFit="1" customWidth="1"/>
    <col min="2331" max="2331" width="11.5703125" bestFit="1" customWidth="1"/>
    <col min="2332" max="2332" width="13.28515625" bestFit="1" customWidth="1"/>
    <col min="2333" max="2333" width="10.42578125" bestFit="1" customWidth="1"/>
    <col min="2334" max="2334" width="13.28515625" bestFit="1" customWidth="1"/>
    <col min="2335" max="2335" width="12.140625" bestFit="1" customWidth="1"/>
    <col min="2336" max="2336" width="14.42578125" bestFit="1" customWidth="1"/>
    <col min="2337" max="2337" width="13.28515625" bestFit="1" customWidth="1"/>
    <col min="2338" max="2338" width="11.5703125" bestFit="1" customWidth="1"/>
    <col min="2339" max="2339" width="7.7109375" bestFit="1" customWidth="1"/>
    <col min="2340" max="2341" width="14.42578125" bestFit="1" customWidth="1"/>
    <col min="2342" max="2342" width="11.5703125" bestFit="1" customWidth="1"/>
    <col min="2343" max="2343" width="7.7109375" bestFit="1" customWidth="1"/>
    <col min="2344" max="2344" width="13.5703125" customWidth="1"/>
    <col min="2345" max="2345" width="15.28515625" customWidth="1"/>
    <col min="2346" max="2346" width="14.5703125" customWidth="1"/>
    <col min="2347" max="2347" width="13.28515625" bestFit="1" customWidth="1"/>
    <col min="2348" max="2348" width="7.7109375" bestFit="1" customWidth="1"/>
    <col min="2349" max="2349" width="12.7109375" bestFit="1" customWidth="1"/>
    <col min="2350" max="2350" width="11.7109375" bestFit="1" customWidth="1"/>
    <col min="2351" max="2351" width="11.5703125" bestFit="1" customWidth="1"/>
    <col min="2352" max="2352" width="5.28515625" bestFit="1" customWidth="1"/>
    <col min="2353" max="2353" width="13.28515625" bestFit="1" customWidth="1"/>
    <col min="2354" max="2354" width="13.5703125" bestFit="1" customWidth="1"/>
    <col min="2355" max="2355" width="10.5703125" bestFit="1" customWidth="1"/>
    <col min="2356" max="2356" width="13.28515625" bestFit="1" customWidth="1"/>
    <col min="2357" max="2357" width="11.5703125" bestFit="1" customWidth="1"/>
    <col min="2358" max="2358" width="10.5703125" bestFit="1" customWidth="1"/>
    <col min="2359" max="2359" width="16.140625" bestFit="1" customWidth="1"/>
    <col min="2360" max="2361" width="11.28515625" bestFit="1" customWidth="1"/>
    <col min="2362" max="2362" width="13.28515625" bestFit="1" customWidth="1"/>
    <col min="2363" max="2363" width="7.7109375" bestFit="1" customWidth="1"/>
    <col min="2364" max="2367" width="9.140625" hidden="1" customWidth="1"/>
    <col min="2368" max="2368" width="10.42578125" bestFit="1" customWidth="1"/>
    <col min="2369" max="2369" width="10.5703125" bestFit="1" customWidth="1"/>
    <col min="2370" max="2370" width="10.42578125" bestFit="1" customWidth="1"/>
    <col min="2371" max="2371" width="10.5703125" bestFit="1" customWidth="1"/>
    <col min="2372" max="2372" width="9.5703125" bestFit="1" customWidth="1"/>
    <col min="2373" max="2373" width="11.5703125" bestFit="1" customWidth="1"/>
    <col min="2374" max="2374" width="10.42578125" bestFit="1" customWidth="1"/>
    <col min="2375" max="2375" width="10.85546875" customWidth="1"/>
    <col min="2376" max="2377" width="9.85546875" bestFit="1" customWidth="1"/>
    <col min="2378" max="2378" width="13.5703125" bestFit="1" customWidth="1"/>
    <col min="2379" max="2379" width="7.7109375" bestFit="1" customWidth="1"/>
    <col min="2380" max="2380" width="13.28515625" bestFit="1" customWidth="1"/>
    <col min="2381" max="2381" width="11.5703125" bestFit="1" customWidth="1"/>
    <col min="2382" max="2382" width="10.42578125" bestFit="1" customWidth="1"/>
    <col min="2383" max="2383" width="7.7109375" bestFit="1" customWidth="1"/>
    <col min="2384" max="2384" width="11.5703125" bestFit="1" customWidth="1"/>
    <col min="2385" max="2385" width="10.85546875" bestFit="1" customWidth="1"/>
    <col min="2386" max="2386" width="13.28515625" bestFit="1" customWidth="1"/>
    <col min="2387" max="2387" width="10.85546875" bestFit="1" customWidth="1"/>
    <col min="2388" max="2389" width="7.5703125" bestFit="1" customWidth="1"/>
    <col min="2390" max="2391" width="10.42578125" bestFit="1" customWidth="1"/>
    <col min="2392" max="2392" width="11.5703125" bestFit="1" customWidth="1"/>
    <col min="2393" max="2393" width="5.28515625" bestFit="1" customWidth="1"/>
    <col min="2394" max="2394" width="10.28515625" bestFit="1" customWidth="1"/>
    <col min="2395" max="2395" width="10.42578125" bestFit="1" customWidth="1"/>
    <col min="2396" max="2396" width="11.5703125" bestFit="1" customWidth="1"/>
    <col min="2397" max="2397" width="5.28515625" bestFit="1" customWidth="1"/>
    <col min="2398" max="2400" width="11.5703125" bestFit="1" customWidth="1"/>
    <col min="2401" max="2401" width="5.28515625" bestFit="1" customWidth="1"/>
    <col min="2402" max="2403" width="10.42578125" bestFit="1" customWidth="1"/>
    <col min="2404" max="2404" width="11.5703125" bestFit="1" customWidth="1"/>
    <col min="2405" max="2405" width="5.28515625" bestFit="1" customWidth="1"/>
    <col min="2406" max="2406" width="14.28515625" bestFit="1" customWidth="1"/>
    <col min="2407" max="2407" width="13" bestFit="1" customWidth="1"/>
    <col min="2408" max="2408" width="11.5703125" bestFit="1" customWidth="1"/>
    <col min="2409" max="2409" width="8.85546875" bestFit="1" customWidth="1"/>
    <col min="2410" max="2410" width="14.42578125" bestFit="1" customWidth="1"/>
    <col min="2411" max="2411" width="10.42578125" bestFit="1" customWidth="1"/>
    <col min="2412" max="2412" width="12.28515625" bestFit="1" customWidth="1"/>
    <col min="2413" max="2413" width="13.85546875" bestFit="1" customWidth="1"/>
    <col min="2414" max="2414" width="11.28515625" customWidth="1"/>
    <col min="2415" max="2415" width="11.5703125" customWidth="1"/>
    <col min="2416" max="2416" width="13.42578125" bestFit="1" customWidth="1"/>
    <col min="2417" max="2417" width="10.42578125" customWidth="1"/>
    <col min="2418" max="2418" width="13.85546875" bestFit="1" customWidth="1"/>
    <col min="2419" max="2419" width="15.42578125" bestFit="1" customWidth="1"/>
    <col min="2420" max="2420" width="12.28515625" bestFit="1" customWidth="1"/>
    <col min="2421" max="2421" width="12.7109375" customWidth="1"/>
    <col min="2422" max="2422" width="10.7109375" bestFit="1" customWidth="1"/>
    <col min="2423" max="2423" width="9.85546875" customWidth="1"/>
    <col min="2424" max="2425" width="10.140625" bestFit="1" customWidth="1"/>
    <col min="2426" max="2426" width="7.5703125" bestFit="1" customWidth="1"/>
    <col min="2427" max="2427" width="9.42578125" bestFit="1" customWidth="1"/>
    <col min="2428" max="2428" width="14.5703125" bestFit="1" customWidth="1"/>
    <col min="2429" max="2429" width="14.85546875" customWidth="1"/>
    <col min="2430" max="2430" width="15.140625" bestFit="1" customWidth="1"/>
    <col min="2431" max="2431" width="12.140625" bestFit="1" customWidth="1"/>
    <col min="2432" max="2432" width="14.85546875" bestFit="1" customWidth="1"/>
    <col min="2433" max="2433" width="12.28515625" bestFit="1" customWidth="1"/>
    <col min="2434" max="2442" width="9.140625" hidden="1" customWidth="1"/>
    <col min="2443" max="2443" width="5.28515625" bestFit="1" customWidth="1"/>
    <col min="2444" max="2449" width="11.5703125" bestFit="1" customWidth="1"/>
    <col min="2450" max="2450" width="11.28515625" bestFit="1" customWidth="1"/>
    <col min="2451" max="2451" width="10.140625" bestFit="1" customWidth="1"/>
    <col min="2452" max="2452" width="11.5703125" bestFit="1" customWidth="1"/>
    <col min="2453" max="2453" width="16.140625" customWidth="1"/>
    <col min="2454" max="2454" width="13.42578125" customWidth="1"/>
    <col min="2455" max="2455" width="10.140625" bestFit="1" customWidth="1"/>
    <col min="2456" max="2456" width="12.85546875" bestFit="1" customWidth="1"/>
    <col min="2457" max="2457" width="12.28515625" bestFit="1" customWidth="1"/>
    <col min="2458" max="2458" width="11.28515625" bestFit="1" customWidth="1"/>
    <col min="2459" max="2459" width="11.5703125" bestFit="1" customWidth="1"/>
    <col min="2460" max="2460" width="10.85546875" bestFit="1" customWidth="1"/>
    <col min="2461" max="2461" width="11.28515625" bestFit="1" customWidth="1"/>
    <col min="2462" max="2462" width="10.140625" bestFit="1" customWidth="1"/>
    <col min="2463" max="2463" width="13.28515625" bestFit="1" customWidth="1"/>
    <col min="2464" max="2465" width="12.7109375" bestFit="1" customWidth="1"/>
    <col min="2466" max="2466" width="11" bestFit="1" customWidth="1"/>
    <col min="2467" max="2467" width="11.28515625" bestFit="1" customWidth="1"/>
    <col min="2468" max="2468" width="11.5703125" bestFit="1" customWidth="1"/>
    <col min="2469" max="2469" width="12.28515625" bestFit="1" customWidth="1"/>
    <col min="2470" max="2470" width="15.140625" bestFit="1" customWidth="1"/>
    <col min="2471" max="2471" width="14.42578125" bestFit="1" customWidth="1"/>
    <col min="2472" max="2472" width="12.28515625" bestFit="1" customWidth="1"/>
    <col min="2473" max="2473" width="15.140625" bestFit="1" customWidth="1"/>
    <col min="2474" max="2474" width="14.42578125" bestFit="1" customWidth="1"/>
    <col min="2475" max="2475" width="12.28515625" bestFit="1" customWidth="1"/>
    <col min="2476" max="2476" width="14.42578125" bestFit="1" customWidth="1"/>
    <col min="2477" max="2477" width="11.28515625" bestFit="1" customWidth="1"/>
    <col min="2478" max="2478" width="12.28515625" bestFit="1" customWidth="1"/>
    <col min="2479" max="2479" width="13" bestFit="1" customWidth="1"/>
    <col min="2480" max="2480" width="15.140625" bestFit="1" customWidth="1"/>
    <col min="2481" max="2481" width="12.28515625" bestFit="1" customWidth="1"/>
    <col min="2482" max="2482" width="13.85546875" bestFit="1" customWidth="1"/>
    <col min="2483" max="2483" width="11.28515625" bestFit="1" customWidth="1"/>
    <col min="2484" max="2484" width="12.28515625" bestFit="1" customWidth="1"/>
    <col min="2485" max="2485" width="13.85546875" bestFit="1" customWidth="1"/>
    <col min="2486" max="2487" width="15.140625" bestFit="1" customWidth="1"/>
    <col min="2488" max="2488" width="12.28515625" bestFit="1" customWidth="1"/>
    <col min="2489" max="2489" width="5.7109375" bestFit="1" customWidth="1"/>
    <col min="2490" max="2490" width="8.5703125" bestFit="1" customWidth="1"/>
    <col min="2491" max="2491" width="5.5703125" bestFit="1" customWidth="1"/>
    <col min="2492" max="2492" width="14.42578125" bestFit="1" customWidth="1"/>
    <col min="2493" max="2493" width="11.28515625" bestFit="1" customWidth="1"/>
    <col min="2494" max="2495" width="12.28515625" bestFit="1" customWidth="1"/>
    <col min="2496" max="2496" width="11.28515625" bestFit="1" customWidth="1"/>
    <col min="2497" max="2497" width="13.85546875" bestFit="1" customWidth="1"/>
    <col min="2498" max="2498" width="12" bestFit="1" customWidth="1"/>
    <col min="2499" max="2499" width="13.85546875" bestFit="1" customWidth="1"/>
    <col min="2500" max="2501" width="14.42578125" customWidth="1"/>
    <col min="2502" max="2502" width="10.140625" bestFit="1" customWidth="1"/>
    <col min="2503" max="2503" width="12.28515625" bestFit="1" customWidth="1"/>
    <col min="2504" max="2504" width="7.42578125" bestFit="1" customWidth="1"/>
    <col min="2505" max="2505" width="8.5703125" bestFit="1" customWidth="1"/>
    <col min="2506" max="2506" width="11.5703125" bestFit="1" customWidth="1"/>
    <col min="2507" max="2507" width="13.28515625" bestFit="1" customWidth="1"/>
    <col min="2508" max="2508" width="13.28515625" customWidth="1"/>
    <col min="2509" max="2509" width="13.140625" customWidth="1"/>
    <col min="2510" max="2510" width="12.7109375" bestFit="1" customWidth="1"/>
    <col min="2511" max="2511" width="13.28515625" bestFit="1" customWidth="1"/>
    <col min="2512" max="2514" width="13.28515625" customWidth="1"/>
    <col min="2515" max="2515" width="12.140625" bestFit="1" customWidth="1"/>
    <col min="2516" max="2516" width="12.7109375" bestFit="1" customWidth="1"/>
    <col min="2517" max="2517" width="11" customWidth="1"/>
    <col min="2518" max="2518" width="16.7109375" customWidth="1"/>
    <col min="2519" max="2519" width="17" customWidth="1"/>
    <col min="2520" max="2520" width="10.42578125" bestFit="1" customWidth="1"/>
    <col min="2564" max="2564" width="3.85546875" customWidth="1"/>
    <col min="2565" max="2565" width="15.28515625" bestFit="1" customWidth="1"/>
    <col min="2566" max="2566" width="12.28515625" customWidth="1"/>
    <col min="2567" max="2567" width="16.28515625" bestFit="1" customWidth="1"/>
    <col min="2568" max="2568" width="6.42578125" bestFit="1" customWidth="1"/>
    <col min="2569" max="2569" width="9.28515625" bestFit="1" customWidth="1"/>
    <col min="2570" max="2570" width="7.5703125" bestFit="1" customWidth="1"/>
    <col min="2571" max="2571" width="13.28515625" bestFit="1" customWidth="1"/>
    <col min="2572" max="2572" width="9.28515625" bestFit="1" customWidth="1"/>
    <col min="2573" max="2573" width="11.5703125" bestFit="1" customWidth="1"/>
    <col min="2574" max="2574" width="13.28515625" bestFit="1" customWidth="1"/>
    <col min="2575" max="2575" width="7.140625" bestFit="1" customWidth="1"/>
    <col min="2576" max="2576" width="12" bestFit="1" customWidth="1"/>
    <col min="2577" max="2577" width="13.28515625" bestFit="1" customWidth="1"/>
    <col min="2578" max="2578" width="7" bestFit="1" customWidth="1"/>
    <col min="2579" max="2579" width="12.7109375" bestFit="1" customWidth="1"/>
    <col min="2580" max="2580" width="11.5703125" bestFit="1" customWidth="1"/>
    <col min="2581" max="2581" width="10.5703125" bestFit="1" customWidth="1"/>
    <col min="2582" max="2583" width="15.7109375" bestFit="1" customWidth="1"/>
    <col min="2584" max="2584" width="11.5703125" bestFit="1" customWidth="1"/>
    <col min="2585" max="2585" width="7.7109375" bestFit="1" customWidth="1"/>
    <col min="2586" max="2586" width="15.140625" bestFit="1" customWidth="1"/>
    <col min="2587" max="2587" width="11.5703125" bestFit="1" customWidth="1"/>
    <col min="2588" max="2588" width="13.28515625" bestFit="1" customWidth="1"/>
    <col min="2589" max="2589" width="10.42578125" bestFit="1" customWidth="1"/>
    <col min="2590" max="2590" width="13.28515625" bestFit="1" customWidth="1"/>
    <col min="2591" max="2591" width="12.140625" bestFit="1" customWidth="1"/>
    <col min="2592" max="2592" width="14.42578125" bestFit="1" customWidth="1"/>
    <col min="2593" max="2593" width="13.28515625" bestFit="1" customWidth="1"/>
    <col min="2594" max="2594" width="11.5703125" bestFit="1" customWidth="1"/>
    <col min="2595" max="2595" width="7.7109375" bestFit="1" customWidth="1"/>
    <col min="2596" max="2597" width="14.42578125" bestFit="1" customWidth="1"/>
    <col min="2598" max="2598" width="11.5703125" bestFit="1" customWidth="1"/>
    <col min="2599" max="2599" width="7.7109375" bestFit="1" customWidth="1"/>
    <col min="2600" max="2600" width="13.5703125" customWidth="1"/>
    <col min="2601" max="2601" width="15.28515625" customWidth="1"/>
    <col min="2602" max="2602" width="14.5703125" customWidth="1"/>
    <col min="2603" max="2603" width="13.28515625" bestFit="1" customWidth="1"/>
    <col min="2604" max="2604" width="7.7109375" bestFit="1" customWidth="1"/>
    <col min="2605" max="2605" width="12.7109375" bestFit="1" customWidth="1"/>
    <col min="2606" max="2606" width="11.7109375" bestFit="1" customWidth="1"/>
    <col min="2607" max="2607" width="11.5703125" bestFit="1" customWidth="1"/>
    <col min="2608" max="2608" width="5.28515625" bestFit="1" customWidth="1"/>
    <col min="2609" max="2609" width="13.28515625" bestFit="1" customWidth="1"/>
    <col min="2610" max="2610" width="13.5703125" bestFit="1" customWidth="1"/>
    <col min="2611" max="2611" width="10.5703125" bestFit="1" customWidth="1"/>
    <col min="2612" max="2612" width="13.28515625" bestFit="1" customWidth="1"/>
    <col min="2613" max="2613" width="11.5703125" bestFit="1" customWidth="1"/>
    <col min="2614" max="2614" width="10.5703125" bestFit="1" customWidth="1"/>
    <col min="2615" max="2615" width="16.140625" bestFit="1" customWidth="1"/>
    <col min="2616" max="2617" width="11.28515625" bestFit="1" customWidth="1"/>
    <col min="2618" max="2618" width="13.28515625" bestFit="1" customWidth="1"/>
    <col min="2619" max="2619" width="7.7109375" bestFit="1" customWidth="1"/>
    <col min="2620" max="2623" width="9.140625" hidden="1" customWidth="1"/>
    <col min="2624" max="2624" width="10.42578125" bestFit="1" customWidth="1"/>
    <col min="2625" max="2625" width="10.5703125" bestFit="1" customWidth="1"/>
    <col min="2626" max="2626" width="10.42578125" bestFit="1" customWidth="1"/>
    <col min="2627" max="2627" width="10.5703125" bestFit="1" customWidth="1"/>
    <col min="2628" max="2628" width="9.5703125" bestFit="1" customWidth="1"/>
    <col min="2629" max="2629" width="11.5703125" bestFit="1" customWidth="1"/>
    <col min="2630" max="2630" width="10.42578125" bestFit="1" customWidth="1"/>
    <col min="2631" max="2631" width="10.85546875" customWidth="1"/>
    <col min="2632" max="2633" width="9.85546875" bestFit="1" customWidth="1"/>
    <col min="2634" max="2634" width="13.5703125" bestFit="1" customWidth="1"/>
    <col min="2635" max="2635" width="7.7109375" bestFit="1" customWidth="1"/>
    <col min="2636" max="2636" width="13.28515625" bestFit="1" customWidth="1"/>
    <col min="2637" max="2637" width="11.5703125" bestFit="1" customWidth="1"/>
    <col min="2638" max="2638" width="10.42578125" bestFit="1" customWidth="1"/>
    <col min="2639" max="2639" width="7.7109375" bestFit="1" customWidth="1"/>
    <col min="2640" max="2640" width="11.5703125" bestFit="1" customWidth="1"/>
    <col min="2641" max="2641" width="10.85546875" bestFit="1" customWidth="1"/>
    <col min="2642" max="2642" width="13.28515625" bestFit="1" customWidth="1"/>
    <col min="2643" max="2643" width="10.85546875" bestFit="1" customWidth="1"/>
    <col min="2644" max="2645" width="7.5703125" bestFit="1" customWidth="1"/>
    <col min="2646" max="2647" width="10.42578125" bestFit="1" customWidth="1"/>
    <col min="2648" max="2648" width="11.5703125" bestFit="1" customWidth="1"/>
    <col min="2649" max="2649" width="5.28515625" bestFit="1" customWidth="1"/>
    <col min="2650" max="2650" width="10.28515625" bestFit="1" customWidth="1"/>
    <col min="2651" max="2651" width="10.42578125" bestFit="1" customWidth="1"/>
    <col min="2652" max="2652" width="11.5703125" bestFit="1" customWidth="1"/>
    <col min="2653" max="2653" width="5.28515625" bestFit="1" customWidth="1"/>
    <col min="2654" max="2656" width="11.5703125" bestFit="1" customWidth="1"/>
    <col min="2657" max="2657" width="5.28515625" bestFit="1" customWidth="1"/>
    <col min="2658" max="2659" width="10.42578125" bestFit="1" customWidth="1"/>
    <col min="2660" max="2660" width="11.5703125" bestFit="1" customWidth="1"/>
    <col min="2661" max="2661" width="5.28515625" bestFit="1" customWidth="1"/>
    <col min="2662" max="2662" width="14.28515625" bestFit="1" customWidth="1"/>
    <col min="2663" max="2663" width="13" bestFit="1" customWidth="1"/>
    <col min="2664" max="2664" width="11.5703125" bestFit="1" customWidth="1"/>
    <col min="2665" max="2665" width="8.85546875" bestFit="1" customWidth="1"/>
    <col min="2666" max="2666" width="14.42578125" bestFit="1" customWidth="1"/>
    <col min="2667" max="2667" width="10.42578125" bestFit="1" customWidth="1"/>
    <col min="2668" max="2668" width="12.28515625" bestFit="1" customWidth="1"/>
    <col min="2669" max="2669" width="13.85546875" bestFit="1" customWidth="1"/>
    <col min="2670" max="2670" width="11.28515625" customWidth="1"/>
    <col min="2671" max="2671" width="11.5703125" customWidth="1"/>
    <col min="2672" max="2672" width="13.42578125" bestFit="1" customWidth="1"/>
    <col min="2673" max="2673" width="10.42578125" customWidth="1"/>
    <col min="2674" max="2674" width="13.85546875" bestFit="1" customWidth="1"/>
    <col min="2675" max="2675" width="15.42578125" bestFit="1" customWidth="1"/>
    <col min="2676" max="2676" width="12.28515625" bestFit="1" customWidth="1"/>
    <col min="2677" max="2677" width="12.7109375" customWidth="1"/>
    <col min="2678" max="2678" width="10.7109375" bestFit="1" customWidth="1"/>
    <col min="2679" max="2679" width="9.85546875" customWidth="1"/>
    <col min="2680" max="2681" width="10.140625" bestFit="1" customWidth="1"/>
    <col min="2682" max="2682" width="7.5703125" bestFit="1" customWidth="1"/>
    <col min="2683" max="2683" width="9.42578125" bestFit="1" customWidth="1"/>
    <col min="2684" max="2684" width="14.5703125" bestFit="1" customWidth="1"/>
    <col min="2685" max="2685" width="14.85546875" customWidth="1"/>
    <col min="2686" max="2686" width="15.140625" bestFit="1" customWidth="1"/>
    <col min="2687" max="2687" width="12.140625" bestFit="1" customWidth="1"/>
    <col min="2688" max="2688" width="14.85546875" bestFit="1" customWidth="1"/>
    <col min="2689" max="2689" width="12.28515625" bestFit="1" customWidth="1"/>
    <col min="2690" max="2698" width="9.140625" hidden="1" customWidth="1"/>
    <col min="2699" max="2699" width="5.28515625" bestFit="1" customWidth="1"/>
    <col min="2700" max="2705" width="11.5703125" bestFit="1" customWidth="1"/>
    <col min="2706" max="2706" width="11.28515625" bestFit="1" customWidth="1"/>
    <col min="2707" max="2707" width="10.140625" bestFit="1" customWidth="1"/>
    <col min="2708" max="2708" width="11.5703125" bestFit="1" customWidth="1"/>
    <col min="2709" max="2709" width="16.140625" customWidth="1"/>
    <col min="2710" max="2710" width="13.42578125" customWidth="1"/>
    <col min="2711" max="2711" width="10.140625" bestFit="1" customWidth="1"/>
    <col min="2712" max="2712" width="12.85546875" bestFit="1" customWidth="1"/>
    <col min="2713" max="2713" width="12.28515625" bestFit="1" customWidth="1"/>
    <col min="2714" max="2714" width="11.28515625" bestFit="1" customWidth="1"/>
    <col min="2715" max="2715" width="11.5703125" bestFit="1" customWidth="1"/>
    <col min="2716" max="2716" width="10.85546875" bestFit="1" customWidth="1"/>
    <col min="2717" max="2717" width="11.28515625" bestFit="1" customWidth="1"/>
    <col min="2718" max="2718" width="10.140625" bestFit="1" customWidth="1"/>
    <col min="2719" max="2719" width="13.28515625" bestFit="1" customWidth="1"/>
    <col min="2720" max="2721" width="12.7109375" bestFit="1" customWidth="1"/>
    <col min="2722" max="2722" width="11" bestFit="1" customWidth="1"/>
    <col min="2723" max="2723" width="11.28515625" bestFit="1" customWidth="1"/>
    <col min="2724" max="2724" width="11.5703125" bestFit="1" customWidth="1"/>
    <col min="2725" max="2725" width="12.28515625" bestFit="1" customWidth="1"/>
    <col min="2726" max="2726" width="15.140625" bestFit="1" customWidth="1"/>
    <col min="2727" max="2727" width="14.42578125" bestFit="1" customWidth="1"/>
    <col min="2728" max="2728" width="12.28515625" bestFit="1" customWidth="1"/>
    <col min="2729" max="2729" width="15.140625" bestFit="1" customWidth="1"/>
    <col min="2730" max="2730" width="14.42578125" bestFit="1" customWidth="1"/>
    <col min="2731" max="2731" width="12.28515625" bestFit="1" customWidth="1"/>
    <col min="2732" max="2732" width="14.42578125" bestFit="1" customWidth="1"/>
    <col min="2733" max="2733" width="11.28515625" bestFit="1" customWidth="1"/>
    <col min="2734" max="2734" width="12.28515625" bestFit="1" customWidth="1"/>
    <col min="2735" max="2735" width="13" bestFit="1" customWidth="1"/>
    <col min="2736" max="2736" width="15.140625" bestFit="1" customWidth="1"/>
    <col min="2737" max="2737" width="12.28515625" bestFit="1" customWidth="1"/>
    <col min="2738" max="2738" width="13.85546875" bestFit="1" customWidth="1"/>
    <col min="2739" max="2739" width="11.28515625" bestFit="1" customWidth="1"/>
    <col min="2740" max="2740" width="12.28515625" bestFit="1" customWidth="1"/>
    <col min="2741" max="2741" width="13.85546875" bestFit="1" customWidth="1"/>
    <col min="2742" max="2743" width="15.140625" bestFit="1" customWidth="1"/>
    <col min="2744" max="2744" width="12.28515625" bestFit="1" customWidth="1"/>
    <col min="2745" max="2745" width="5.7109375" bestFit="1" customWidth="1"/>
    <col min="2746" max="2746" width="8.5703125" bestFit="1" customWidth="1"/>
    <col min="2747" max="2747" width="5.5703125" bestFit="1" customWidth="1"/>
    <col min="2748" max="2748" width="14.42578125" bestFit="1" customWidth="1"/>
    <col min="2749" max="2749" width="11.28515625" bestFit="1" customWidth="1"/>
    <col min="2750" max="2751" width="12.28515625" bestFit="1" customWidth="1"/>
    <col min="2752" max="2752" width="11.28515625" bestFit="1" customWidth="1"/>
    <col min="2753" max="2753" width="13.85546875" bestFit="1" customWidth="1"/>
    <col min="2754" max="2754" width="12" bestFit="1" customWidth="1"/>
    <col min="2755" max="2755" width="13.85546875" bestFit="1" customWidth="1"/>
    <col min="2756" max="2757" width="14.42578125" customWidth="1"/>
    <col min="2758" max="2758" width="10.140625" bestFit="1" customWidth="1"/>
    <col min="2759" max="2759" width="12.28515625" bestFit="1" customWidth="1"/>
    <col min="2760" max="2760" width="7.42578125" bestFit="1" customWidth="1"/>
    <col min="2761" max="2761" width="8.5703125" bestFit="1" customWidth="1"/>
    <col min="2762" max="2762" width="11.5703125" bestFit="1" customWidth="1"/>
    <col min="2763" max="2763" width="13.28515625" bestFit="1" customWidth="1"/>
    <col min="2764" max="2764" width="13.28515625" customWidth="1"/>
    <col min="2765" max="2765" width="13.140625" customWidth="1"/>
    <col min="2766" max="2766" width="12.7109375" bestFit="1" customWidth="1"/>
    <col min="2767" max="2767" width="13.28515625" bestFit="1" customWidth="1"/>
    <col min="2768" max="2770" width="13.28515625" customWidth="1"/>
    <col min="2771" max="2771" width="12.140625" bestFit="1" customWidth="1"/>
    <col min="2772" max="2772" width="12.7109375" bestFit="1" customWidth="1"/>
    <col min="2773" max="2773" width="11" customWidth="1"/>
    <col min="2774" max="2774" width="16.7109375" customWidth="1"/>
    <col min="2775" max="2775" width="17" customWidth="1"/>
    <col min="2776" max="2776" width="10.42578125" bestFit="1" customWidth="1"/>
    <col min="2820" max="2820" width="3.85546875" customWidth="1"/>
    <col min="2821" max="2821" width="15.28515625" bestFit="1" customWidth="1"/>
    <col min="2822" max="2822" width="12.28515625" customWidth="1"/>
    <col min="2823" max="2823" width="16.28515625" bestFit="1" customWidth="1"/>
    <col min="2824" max="2824" width="6.42578125" bestFit="1" customWidth="1"/>
    <col min="2825" max="2825" width="9.28515625" bestFit="1" customWidth="1"/>
    <col min="2826" max="2826" width="7.5703125" bestFit="1" customWidth="1"/>
    <col min="2827" max="2827" width="13.28515625" bestFit="1" customWidth="1"/>
    <col min="2828" max="2828" width="9.28515625" bestFit="1" customWidth="1"/>
    <col min="2829" max="2829" width="11.5703125" bestFit="1" customWidth="1"/>
    <col min="2830" max="2830" width="13.28515625" bestFit="1" customWidth="1"/>
    <col min="2831" max="2831" width="7.140625" bestFit="1" customWidth="1"/>
    <col min="2832" max="2832" width="12" bestFit="1" customWidth="1"/>
    <col min="2833" max="2833" width="13.28515625" bestFit="1" customWidth="1"/>
    <col min="2834" max="2834" width="7" bestFit="1" customWidth="1"/>
    <col min="2835" max="2835" width="12.7109375" bestFit="1" customWidth="1"/>
    <col min="2836" max="2836" width="11.5703125" bestFit="1" customWidth="1"/>
    <col min="2837" max="2837" width="10.5703125" bestFit="1" customWidth="1"/>
    <col min="2838" max="2839" width="15.7109375" bestFit="1" customWidth="1"/>
    <col min="2840" max="2840" width="11.5703125" bestFit="1" customWidth="1"/>
    <col min="2841" max="2841" width="7.7109375" bestFit="1" customWidth="1"/>
    <col min="2842" max="2842" width="15.140625" bestFit="1" customWidth="1"/>
    <col min="2843" max="2843" width="11.5703125" bestFit="1" customWidth="1"/>
    <col min="2844" max="2844" width="13.28515625" bestFit="1" customWidth="1"/>
    <col min="2845" max="2845" width="10.42578125" bestFit="1" customWidth="1"/>
    <col min="2846" max="2846" width="13.28515625" bestFit="1" customWidth="1"/>
    <col min="2847" max="2847" width="12.140625" bestFit="1" customWidth="1"/>
    <col min="2848" max="2848" width="14.42578125" bestFit="1" customWidth="1"/>
    <col min="2849" max="2849" width="13.28515625" bestFit="1" customWidth="1"/>
    <col min="2850" max="2850" width="11.5703125" bestFit="1" customWidth="1"/>
    <col min="2851" max="2851" width="7.7109375" bestFit="1" customWidth="1"/>
    <col min="2852" max="2853" width="14.42578125" bestFit="1" customWidth="1"/>
    <col min="2854" max="2854" width="11.5703125" bestFit="1" customWidth="1"/>
    <col min="2855" max="2855" width="7.7109375" bestFit="1" customWidth="1"/>
    <col min="2856" max="2856" width="13.5703125" customWidth="1"/>
    <col min="2857" max="2857" width="15.28515625" customWidth="1"/>
    <col min="2858" max="2858" width="14.5703125" customWidth="1"/>
    <col min="2859" max="2859" width="13.28515625" bestFit="1" customWidth="1"/>
    <col min="2860" max="2860" width="7.7109375" bestFit="1" customWidth="1"/>
    <col min="2861" max="2861" width="12.7109375" bestFit="1" customWidth="1"/>
    <col min="2862" max="2862" width="11.7109375" bestFit="1" customWidth="1"/>
    <col min="2863" max="2863" width="11.5703125" bestFit="1" customWidth="1"/>
    <col min="2864" max="2864" width="5.28515625" bestFit="1" customWidth="1"/>
    <col min="2865" max="2865" width="13.28515625" bestFit="1" customWidth="1"/>
    <col min="2866" max="2866" width="13.5703125" bestFit="1" customWidth="1"/>
    <col min="2867" max="2867" width="10.5703125" bestFit="1" customWidth="1"/>
    <col min="2868" max="2868" width="13.28515625" bestFit="1" customWidth="1"/>
    <col min="2869" max="2869" width="11.5703125" bestFit="1" customWidth="1"/>
    <col min="2870" max="2870" width="10.5703125" bestFit="1" customWidth="1"/>
    <col min="2871" max="2871" width="16.140625" bestFit="1" customWidth="1"/>
    <col min="2872" max="2873" width="11.28515625" bestFit="1" customWidth="1"/>
    <col min="2874" max="2874" width="13.28515625" bestFit="1" customWidth="1"/>
    <col min="2875" max="2875" width="7.7109375" bestFit="1" customWidth="1"/>
    <col min="2876" max="2879" width="9.140625" hidden="1" customWidth="1"/>
    <col min="2880" max="2880" width="10.42578125" bestFit="1" customWidth="1"/>
    <col min="2881" max="2881" width="10.5703125" bestFit="1" customWidth="1"/>
    <col min="2882" max="2882" width="10.42578125" bestFit="1" customWidth="1"/>
    <col min="2883" max="2883" width="10.5703125" bestFit="1" customWidth="1"/>
    <col min="2884" max="2884" width="9.5703125" bestFit="1" customWidth="1"/>
    <col min="2885" max="2885" width="11.5703125" bestFit="1" customWidth="1"/>
    <col min="2886" max="2886" width="10.42578125" bestFit="1" customWidth="1"/>
    <col min="2887" max="2887" width="10.85546875" customWidth="1"/>
    <col min="2888" max="2889" width="9.85546875" bestFit="1" customWidth="1"/>
    <col min="2890" max="2890" width="13.5703125" bestFit="1" customWidth="1"/>
    <col min="2891" max="2891" width="7.7109375" bestFit="1" customWidth="1"/>
    <col min="2892" max="2892" width="13.28515625" bestFit="1" customWidth="1"/>
    <col min="2893" max="2893" width="11.5703125" bestFit="1" customWidth="1"/>
    <col min="2894" max="2894" width="10.42578125" bestFit="1" customWidth="1"/>
    <col min="2895" max="2895" width="7.7109375" bestFit="1" customWidth="1"/>
    <col min="2896" max="2896" width="11.5703125" bestFit="1" customWidth="1"/>
    <col min="2897" max="2897" width="10.85546875" bestFit="1" customWidth="1"/>
    <col min="2898" max="2898" width="13.28515625" bestFit="1" customWidth="1"/>
    <col min="2899" max="2899" width="10.85546875" bestFit="1" customWidth="1"/>
    <col min="2900" max="2901" width="7.5703125" bestFit="1" customWidth="1"/>
    <col min="2902" max="2903" width="10.42578125" bestFit="1" customWidth="1"/>
    <col min="2904" max="2904" width="11.5703125" bestFit="1" customWidth="1"/>
    <col min="2905" max="2905" width="5.28515625" bestFit="1" customWidth="1"/>
    <col min="2906" max="2906" width="10.28515625" bestFit="1" customWidth="1"/>
    <col min="2907" max="2907" width="10.42578125" bestFit="1" customWidth="1"/>
    <col min="2908" max="2908" width="11.5703125" bestFit="1" customWidth="1"/>
    <col min="2909" max="2909" width="5.28515625" bestFit="1" customWidth="1"/>
    <col min="2910" max="2912" width="11.5703125" bestFit="1" customWidth="1"/>
    <col min="2913" max="2913" width="5.28515625" bestFit="1" customWidth="1"/>
    <col min="2914" max="2915" width="10.42578125" bestFit="1" customWidth="1"/>
    <col min="2916" max="2916" width="11.5703125" bestFit="1" customWidth="1"/>
    <col min="2917" max="2917" width="5.28515625" bestFit="1" customWidth="1"/>
    <col min="2918" max="2918" width="14.28515625" bestFit="1" customWidth="1"/>
    <col min="2919" max="2919" width="13" bestFit="1" customWidth="1"/>
    <col min="2920" max="2920" width="11.5703125" bestFit="1" customWidth="1"/>
    <col min="2921" max="2921" width="8.85546875" bestFit="1" customWidth="1"/>
    <col min="2922" max="2922" width="14.42578125" bestFit="1" customWidth="1"/>
    <col min="2923" max="2923" width="10.42578125" bestFit="1" customWidth="1"/>
    <col min="2924" max="2924" width="12.28515625" bestFit="1" customWidth="1"/>
    <col min="2925" max="2925" width="13.85546875" bestFit="1" customWidth="1"/>
    <col min="2926" max="2926" width="11.28515625" customWidth="1"/>
    <col min="2927" max="2927" width="11.5703125" customWidth="1"/>
    <col min="2928" max="2928" width="13.42578125" bestFit="1" customWidth="1"/>
    <col min="2929" max="2929" width="10.42578125" customWidth="1"/>
    <col min="2930" max="2930" width="13.85546875" bestFit="1" customWidth="1"/>
    <col min="2931" max="2931" width="15.42578125" bestFit="1" customWidth="1"/>
    <col min="2932" max="2932" width="12.28515625" bestFit="1" customWidth="1"/>
    <col min="2933" max="2933" width="12.7109375" customWidth="1"/>
    <col min="2934" max="2934" width="10.7109375" bestFit="1" customWidth="1"/>
    <col min="2935" max="2935" width="9.85546875" customWidth="1"/>
    <col min="2936" max="2937" width="10.140625" bestFit="1" customWidth="1"/>
    <col min="2938" max="2938" width="7.5703125" bestFit="1" customWidth="1"/>
    <col min="2939" max="2939" width="9.42578125" bestFit="1" customWidth="1"/>
    <col min="2940" max="2940" width="14.5703125" bestFit="1" customWidth="1"/>
    <col min="2941" max="2941" width="14.85546875" customWidth="1"/>
    <col min="2942" max="2942" width="15.140625" bestFit="1" customWidth="1"/>
    <col min="2943" max="2943" width="12.140625" bestFit="1" customWidth="1"/>
    <col min="2944" max="2944" width="14.85546875" bestFit="1" customWidth="1"/>
    <col min="2945" max="2945" width="12.28515625" bestFit="1" customWidth="1"/>
    <col min="2946" max="2954" width="9.140625" hidden="1" customWidth="1"/>
    <col min="2955" max="2955" width="5.28515625" bestFit="1" customWidth="1"/>
    <col min="2956" max="2961" width="11.5703125" bestFit="1" customWidth="1"/>
    <col min="2962" max="2962" width="11.28515625" bestFit="1" customWidth="1"/>
    <col min="2963" max="2963" width="10.140625" bestFit="1" customWidth="1"/>
    <col min="2964" max="2964" width="11.5703125" bestFit="1" customWidth="1"/>
    <col min="2965" max="2965" width="16.140625" customWidth="1"/>
    <col min="2966" max="2966" width="13.42578125" customWidth="1"/>
    <col min="2967" max="2967" width="10.140625" bestFit="1" customWidth="1"/>
    <col min="2968" max="2968" width="12.85546875" bestFit="1" customWidth="1"/>
    <col min="2969" max="2969" width="12.28515625" bestFit="1" customWidth="1"/>
    <col min="2970" max="2970" width="11.28515625" bestFit="1" customWidth="1"/>
    <col min="2971" max="2971" width="11.5703125" bestFit="1" customWidth="1"/>
    <col min="2972" max="2972" width="10.85546875" bestFit="1" customWidth="1"/>
    <col min="2973" max="2973" width="11.28515625" bestFit="1" customWidth="1"/>
    <col min="2974" max="2974" width="10.140625" bestFit="1" customWidth="1"/>
    <col min="2975" max="2975" width="13.28515625" bestFit="1" customWidth="1"/>
    <col min="2976" max="2977" width="12.7109375" bestFit="1" customWidth="1"/>
    <col min="2978" max="2978" width="11" bestFit="1" customWidth="1"/>
    <col min="2979" max="2979" width="11.28515625" bestFit="1" customWidth="1"/>
    <col min="2980" max="2980" width="11.5703125" bestFit="1" customWidth="1"/>
    <col min="2981" max="2981" width="12.28515625" bestFit="1" customWidth="1"/>
    <col min="2982" max="2982" width="15.140625" bestFit="1" customWidth="1"/>
    <col min="2983" max="2983" width="14.42578125" bestFit="1" customWidth="1"/>
    <col min="2984" max="2984" width="12.28515625" bestFit="1" customWidth="1"/>
    <col min="2985" max="2985" width="15.140625" bestFit="1" customWidth="1"/>
    <col min="2986" max="2986" width="14.42578125" bestFit="1" customWidth="1"/>
    <col min="2987" max="2987" width="12.28515625" bestFit="1" customWidth="1"/>
    <col min="2988" max="2988" width="14.42578125" bestFit="1" customWidth="1"/>
    <col min="2989" max="2989" width="11.28515625" bestFit="1" customWidth="1"/>
    <col min="2990" max="2990" width="12.28515625" bestFit="1" customWidth="1"/>
    <col min="2991" max="2991" width="13" bestFit="1" customWidth="1"/>
    <col min="2992" max="2992" width="15.140625" bestFit="1" customWidth="1"/>
    <col min="2993" max="2993" width="12.28515625" bestFit="1" customWidth="1"/>
    <col min="2994" max="2994" width="13.85546875" bestFit="1" customWidth="1"/>
    <col min="2995" max="2995" width="11.28515625" bestFit="1" customWidth="1"/>
    <col min="2996" max="2996" width="12.28515625" bestFit="1" customWidth="1"/>
    <col min="2997" max="2997" width="13.85546875" bestFit="1" customWidth="1"/>
    <col min="2998" max="2999" width="15.140625" bestFit="1" customWidth="1"/>
    <col min="3000" max="3000" width="12.28515625" bestFit="1" customWidth="1"/>
    <col min="3001" max="3001" width="5.7109375" bestFit="1" customWidth="1"/>
    <col min="3002" max="3002" width="8.5703125" bestFit="1" customWidth="1"/>
    <col min="3003" max="3003" width="5.5703125" bestFit="1" customWidth="1"/>
    <col min="3004" max="3004" width="14.42578125" bestFit="1" customWidth="1"/>
    <col min="3005" max="3005" width="11.28515625" bestFit="1" customWidth="1"/>
    <col min="3006" max="3007" width="12.28515625" bestFit="1" customWidth="1"/>
    <col min="3008" max="3008" width="11.28515625" bestFit="1" customWidth="1"/>
    <col min="3009" max="3009" width="13.85546875" bestFit="1" customWidth="1"/>
    <col min="3010" max="3010" width="12" bestFit="1" customWidth="1"/>
    <col min="3011" max="3011" width="13.85546875" bestFit="1" customWidth="1"/>
    <col min="3012" max="3013" width="14.42578125" customWidth="1"/>
    <col min="3014" max="3014" width="10.140625" bestFit="1" customWidth="1"/>
    <col min="3015" max="3015" width="12.28515625" bestFit="1" customWidth="1"/>
    <col min="3016" max="3016" width="7.42578125" bestFit="1" customWidth="1"/>
    <col min="3017" max="3017" width="8.5703125" bestFit="1" customWidth="1"/>
    <col min="3018" max="3018" width="11.5703125" bestFit="1" customWidth="1"/>
    <col min="3019" max="3019" width="13.28515625" bestFit="1" customWidth="1"/>
    <col min="3020" max="3020" width="13.28515625" customWidth="1"/>
    <col min="3021" max="3021" width="13.140625" customWidth="1"/>
    <col min="3022" max="3022" width="12.7109375" bestFit="1" customWidth="1"/>
    <col min="3023" max="3023" width="13.28515625" bestFit="1" customWidth="1"/>
    <col min="3024" max="3026" width="13.28515625" customWidth="1"/>
    <col min="3027" max="3027" width="12.140625" bestFit="1" customWidth="1"/>
    <col min="3028" max="3028" width="12.7109375" bestFit="1" customWidth="1"/>
    <col min="3029" max="3029" width="11" customWidth="1"/>
    <col min="3030" max="3030" width="16.7109375" customWidth="1"/>
    <col min="3031" max="3031" width="17" customWidth="1"/>
    <col min="3032" max="3032" width="10.42578125" bestFit="1" customWidth="1"/>
    <col min="3076" max="3076" width="3.85546875" customWidth="1"/>
    <col min="3077" max="3077" width="15.28515625" bestFit="1" customWidth="1"/>
    <col min="3078" max="3078" width="12.28515625" customWidth="1"/>
    <col min="3079" max="3079" width="16.28515625" bestFit="1" customWidth="1"/>
    <col min="3080" max="3080" width="6.42578125" bestFit="1" customWidth="1"/>
    <col min="3081" max="3081" width="9.28515625" bestFit="1" customWidth="1"/>
    <col min="3082" max="3082" width="7.5703125" bestFit="1" customWidth="1"/>
    <col min="3083" max="3083" width="13.28515625" bestFit="1" customWidth="1"/>
    <col min="3084" max="3084" width="9.28515625" bestFit="1" customWidth="1"/>
    <col min="3085" max="3085" width="11.5703125" bestFit="1" customWidth="1"/>
    <col min="3086" max="3086" width="13.28515625" bestFit="1" customWidth="1"/>
    <col min="3087" max="3087" width="7.140625" bestFit="1" customWidth="1"/>
    <col min="3088" max="3088" width="12" bestFit="1" customWidth="1"/>
    <col min="3089" max="3089" width="13.28515625" bestFit="1" customWidth="1"/>
    <col min="3090" max="3090" width="7" bestFit="1" customWidth="1"/>
    <col min="3091" max="3091" width="12.7109375" bestFit="1" customWidth="1"/>
    <col min="3092" max="3092" width="11.5703125" bestFit="1" customWidth="1"/>
    <col min="3093" max="3093" width="10.5703125" bestFit="1" customWidth="1"/>
    <col min="3094" max="3095" width="15.7109375" bestFit="1" customWidth="1"/>
    <col min="3096" max="3096" width="11.5703125" bestFit="1" customWidth="1"/>
    <col min="3097" max="3097" width="7.7109375" bestFit="1" customWidth="1"/>
    <col min="3098" max="3098" width="15.140625" bestFit="1" customWidth="1"/>
    <col min="3099" max="3099" width="11.5703125" bestFit="1" customWidth="1"/>
    <col min="3100" max="3100" width="13.28515625" bestFit="1" customWidth="1"/>
    <col min="3101" max="3101" width="10.42578125" bestFit="1" customWidth="1"/>
    <col min="3102" max="3102" width="13.28515625" bestFit="1" customWidth="1"/>
    <col min="3103" max="3103" width="12.140625" bestFit="1" customWidth="1"/>
    <col min="3104" max="3104" width="14.42578125" bestFit="1" customWidth="1"/>
    <col min="3105" max="3105" width="13.28515625" bestFit="1" customWidth="1"/>
    <col min="3106" max="3106" width="11.5703125" bestFit="1" customWidth="1"/>
    <col min="3107" max="3107" width="7.7109375" bestFit="1" customWidth="1"/>
    <col min="3108" max="3109" width="14.42578125" bestFit="1" customWidth="1"/>
    <col min="3110" max="3110" width="11.5703125" bestFit="1" customWidth="1"/>
    <col min="3111" max="3111" width="7.7109375" bestFit="1" customWidth="1"/>
    <col min="3112" max="3112" width="13.5703125" customWidth="1"/>
    <col min="3113" max="3113" width="15.28515625" customWidth="1"/>
    <col min="3114" max="3114" width="14.5703125" customWidth="1"/>
    <col min="3115" max="3115" width="13.28515625" bestFit="1" customWidth="1"/>
    <col min="3116" max="3116" width="7.7109375" bestFit="1" customWidth="1"/>
    <col min="3117" max="3117" width="12.7109375" bestFit="1" customWidth="1"/>
    <col min="3118" max="3118" width="11.7109375" bestFit="1" customWidth="1"/>
    <col min="3119" max="3119" width="11.5703125" bestFit="1" customWidth="1"/>
    <col min="3120" max="3120" width="5.28515625" bestFit="1" customWidth="1"/>
    <col min="3121" max="3121" width="13.28515625" bestFit="1" customWidth="1"/>
    <col min="3122" max="3122" width="13.5703125" bestFit="1" customWidth="1"/>
    <col min="3123" max="3123" width="10.5703125" bestFit="1" customWidth="1"/>
    <col min="3124" max="3124" width="13.28515625" bestFit="1" customWidth="1"/>
    <col min="3125" max="3125" width="11.5703125" bestFit="1" customWidth="1"/>
    <col min="3126" max="3126" width="10.5703125" bestFit="1" customWidth="1"/>
    <col min="3127" max="3127" width="16.140625" bestFit="1" customWidth="1"/>
    <col min="3128" max="3129" width="11.28515625" bestFit="1" customWidth="1"/>
    <col min="3130" max="3130" width="13.28515625" bestFit="1" customWidth="1"/>
    <col min="3131" max="3131" width="7.7109375" bestFit="1" customWidth="1"/>
    <col min="3132" max="3135" width="9.140625" hidden="1" customWidth="1"/>
    <col min="3136" max="3136" width="10.42578125" bestFit="1" customWidth="1"/>
    <col min="3137" max="3137" width="10.5703125" bestFit="1" customWidth="1"/>
    <col min="3138" max="3138" width="10.42578125" bestFit="1" customWidth="1"/>
    <col min="3139" max="3139" width="10.5703125" bestFit="1" customWidth="1"/>
    <col min="3140" max="3140" width="9.5703125" bestFit="1" customWidth="1"/>
    <col min="3141" max="3141" width="11.5703125" bestFit="1" customWidth="1"/>
    <col min="3142" max="3142" width="10.42578125" bestFit="1" customWidth="1"/>
    <col min="3143" max="3143" width="10.85546875" customWidth="1"/>
    <col min="3144" max="3145" width="9.85546875" bestFit="1" customWidth="1"/>
    <col min="3146" max="3146" width="13.5703125" bestFit="1" customWidth="1"/>
    <col min="3147" max="3147" width="7.7109375" bestFit="1" customWidth="1"/>
    <col min="3148" max="3148" width="13.28515625" bestFit="1" customWidth="1"/>
    <col min="3149" max="3149" width="11.5703125" bestFit="1" customWidth="1"/>
    <col min="3150" max="3150" width="10.42578125" bestFit="1" customWidth="1"/>
    <col min="3151" max="3151" width="7.7109375" bestFit="1" customWidth="1"/>
    <col min="3152" max="3152" width="11.5703125" bestFit="1" customWidth="1"/>
    <col min="3153" max="3153" width="10.85546875" bestFit="1" customWidth="1"/>
    <col min="3154" max="3154" width="13.28515625" bestFit="1" customWidth="1"/>
    <col min="3155" max="3155" width="10.85546875" bestFit="1" customWidth="1"/>
    <col min="3156" max="3157" width="7.5703125" bestFit="1" customWidth="1"/>
    <col min="3158" max="3159" width="10.42578125" bestFit="1" customWidth="1"/>
    <col min="3160" max="3160" width="11.5703125" bestFit="1" customWidth="1"/>
    <col min="3161" max="3161" width="5.28515625" bestFit="1" customWidth="1"/>
    <col min="3162" max="3162" width="10.28515625" bestFit="1" customWidth="1"/>
    <col min="3163" max="3163" width="10.42578125" bestFit="1" customWidth="1"/>
    <col min="3164" max="3164" width="11.5703125" bestFit="1" customWidth="1"/>
    <col min="3165" max="3165" width="5.28515625" bestFit="1" customWidth="1"/>
    <col min="3166" max="3168" width="11.5703125" bestFit="1" customWidth="1"/>
    <col min="3169" max="3169" width="5.28515625" bestFit="1" customWidth="1"/>
    <col min="3170" max="3171" width="10.42578125" bestFit="1" customWidth="1"/>
    <col min="3172" max="3172" width="11.5703125" bestFit="1" customWidth="1"/>
    <col min="3173" max="3173" width="5.28515625" bestFit="1" customWidth="1"/>
    <col min="3174" max="3174" width="14.28515625" bestFit="1" customWidth="1"/>
    <col min="3175" max="3175" width="13" bestFit="1" customWidth="1"/>
    <col min="3176" max="3176" width="11.5703125" bestFit="1" customWidth="1"/>
    <col min="3177" max="3177" width="8.85546875" bestFit="1" customWidth="1"/>
    <col min="3178" max="3178" width="14.42578125" bestFit="1" customWidth="1"/>
    <col min="3179" max="3179" width="10.42578125" bestFit="1" customWidth="1"/>
    <col min="3180" max="3180" width="12.28515625" bestFit="1" customWidth="1"/>
    <col min="3181" max="3181" width="13.85546875" bestFit="1" customWidth="1"/>
    <col min="3182" max="3182" width="11.28515625" customWidth="1"/>
    <col min="3183" max="3183" width="11.5703125" customWidth="1"/>
    <col min="3184" max="3184" width="13.42578125" bestFit="1" customWidth="1"/>
    <col min="3185" max="3185" width="10.42578125" customWidth="1"/>
    <col min="3186" max="3186" width="13.85546875" bestFit="1" customWidth="1"/>
    <col min="3187" max="3187" width="15.42578125" bestFit="1" customWidth="1"/>
    <col min="3188" max="3188" width="12.28515625" bestFit="1" customWidth="1"/>
    <col min="3189" max="3189" width="12.7109375" customWidth="1"/>
    <col min="3190" max="3190" width="10.7109375" bestFit="1" customWidth="1"/>
    <col min="3191" max="3191" width="9.85546875" customWidth="1"/>
    <col min="3192" max="3193" width="10.140625" bestFit="1" customWidth="1"/>
    <col min="3194" max="3194" width="7.5703125" bestFit="1" customWidth="1"/>
    <col min="3195" max="3195" width="9.42578125" bestFit="1" customWidth="1"/>
    <col min="3196" max="3196" width="14.5703125" bestFit="1" customWidth="1"/>
    <col min="3197" max="3197" width="14.85546875" customWidth="1"/>
    <col min="3198" max="3198" width="15.140625" bestFit="1" customWidth="1"/>
    <col min="3199" max="3199" width="12.140625" bestFit="1" customWidth="1"/>
    <col min="3200" max="3200" width="14.85546875" bestFit="1" customWidth="1"/>
    <col min="3201" max="3201" width="12.28515625" bestFit="1" customWidth="1"/>
    <col min="3202" max="3210" width="9.140625" hidden="1" customWidth="1"/>
    <col min="3211" max="3211" width="5.28515625" bestFit="1" customWidth="1"/>
    <col min="3212" max="3217" width="11.5703125" bestFit="1" customWidth="1"/>
    <col min="3218" max="3218" width="11.28515625" bestFit="1" customWidth="1"/>
    <col min="3219" max="3219" width="10.140625" bestFit="1" customWidth="1"/>
    <col min="3220" max="3220" width="11.5703125" bestFit="1" customWidth="1"/>
    <col min="3221" max="3221" width="16.140625" customWidth="1"/>
    <col min="3222" max="3222" width="13.42578125" customWidth="1"/>
    <col min="3223" max="3223" width="10.140625" bestFit="1" customWidth="1"/>
    <col min="3224" max="3224" width="12.85546875" bestFit="1" customWidth="1"/>
    <col min="3225" max="3225" width="12.28515625" bestFit="1" customWidth="1"/>
    <col min="3226" max="3226" width="11.28515625" bestFit="1" customWidth="1"/>
    <col min="3227" max="3227" width="11.5703125" bestFit="1" customWidth="1"/>
    <col min="3228" max="3228" width="10.85546875" bestFit="1" customWidth="1"/>
    <col min="3229" max="3229" width="11.28515625" bestFit="1" customWidth="1"/>
    <col min="3230" max="3230" width="10.140625" bestFit="1" customWidth="1"/>
    <col min="3231" max="3231" width="13.28515625" bestFit="1" customWidth="1"/>
    <col min="3232" max="3233" width="12.7109375" bestFit="1" customWidth="1"/>
    <col min="3234" max="3234" width="11" bestFit="1" customWidth="1"/>
    <col min="3235" max="3235" width="11.28515625" bestFit="1" customWidth="1"/>
    <col min="3236" max="3236" width="11.5703125" bestFit="1" customWidth="1"/>
    <col min="3237" max="3237" width="12.28515625" bestFit="1" customWidth="1"/>
    <col min="3238" max="3238" width="15.140625" bestFit="1" customWidth="1"/>
    <col min="3239" max="3239" width="14.42578125" bestFit="1" customWidth="1"/>
    <col min="3240" max="3240" width="12.28515625" bestFit="1" customWidth="1"/>
    <col min="3241" max="3241" width="15.140625" bestFit="1" customWidth="1"/>
    <col min="3242" max="3242" width="14.42578125" bestFit="1" customWidth="1"/>
    <col min="3243" max="3243" width="12.28515625" bestFit="1" customWidth="1"/>
    <col min="3244" max="3244" width="14.42578125" bestFit="1" customWidth="1"/>
    <col min="3245" max="3245" width="11.28515625" bestFit="1" customWidth="1"/>
    <col min="3246" max="3246" width="12.28515625" bestFit="1" customWidth="1"/>
    <col min="3247" max="3247" width="13" bestFit="1" customWidth="1"/>
    <col min="3248" max="3248" width="15.140625" bestFit="1" customWidth="1"/>
    <col min="3249" max="3249" width="12.28515625" bestFit="1" customWidth="1"/>
    <col min="3250" max="3250" width="13.85546875" bestFit="1" customWidth="1"/>
    <col min="3251" max="3251" width="11.28515625" bestFit="1" customWidth="1"/>
    <col min="3252" max="3252" width="12.28515625" bestFit="1" customWidth="1"/>
    <col min="3253" max="3253" width="13.85546875" bestFit="1" customWidth="1"/>
    <col min="3254" max="3255" width="15.140625" bestFit="1" customWidth="1"/>
    <col min="3256" max="3256" width="12.28515625" bestFit="1" customWidth="1"/>
    <col min="3257" max="3257" width="5.7109375" bestFit="1" customWidth="1"/>
    <col min="3258" max="3258" width="8.5703125" bestFit="1" customWidth="1"/>
    <col min="3259" max="3259" width="5.5703125" bestFit="1" customWidth="1"/>
    <col min="3260" max="3260" width="14.42578125" bestFit="1" customWidth="1"/>
    <col min="3261" max="3261" width="11.28515625" bestFit="1" customWidth="1"/>
    <col min="3262" max="3263" width="12.28515625" bestFit="1" customWidth="1"/>
    <col min="3264" max="3264" width="11.28515625" bestFit="1" customWidth="1"/>
    <col min="3265" max="3265" width="13.85546875" bestFit="1" customWidth="1"/>
    <col min="3266" max="3266" width="12" bestFit="1" customWidth="1"/>
    <col min="3267" max="3267" width="13.85546875" bestFit="1" customWidth="1"/>
    <col min="3268" max="3269" width="14.42578125" customWidth="1"/>
    <col min="3270" max="3270" width="10.140625" bestFit="1" customWidth="1"/>
    <col min="3271" max="3271" width="12.28515625" bestFit="1" customWidth="1"/>
    <col min="3272" max="3272" width="7.42578125" bestFit="1" customWidth="1"/>
    <col min="3273" max="3273" width="8.5703125" bestFit="1" customWidth="1"/>
    <col min="3274" max="3274" width="11.5703125" bestFit="1" customWidth="1"/>
    <col min="3275" max="3275" width="13.28515625" bestFit="1" customWidth="1"/>
    <col min="3276" max="3276" width="13.28515625" customWidth="1"/>
    <col min="3277" max="3277" width="13.140625" customWidth="1"/>
    <col min="3278" max="3278" width="12.7109375" bestFit="1" customWidth="1"/>
    <col min="3279" max="3279" width="13.28515625" bestFit="1" customWidth="1"/>
    <col min="3280" max="3282" width="13.28515625" customWidth="1"/>
    <col min="3283" max="3283" width="12.140625" bestFit="1" customWidth="1"/>
    <col min="3284" max="3284" width="12.7109375" bestFit="1" customWidth="1"/>
    <col min="3285" max="3285" width="11" customWidth="1"/>
    <col min="3286" max="3286" width="16.7109375" customWidth="1"/>
    <col min="3287" max="3287" width="17" customWidth="1"/>
    <col min="3288" max="3288" width="10.42578125" bestFit="1" customWidth="1"/>
    <col min="3332" max="3332" width="3.85546875" customWidth="1"/>
    <col min="3333" max="3333" width="15.28515625" bestFit="1" customWidth="1"/>
    <col min="3334" max="3334" width="12.28515625" customWidth="1"/>
    <col min="3335" max="3335" width="16.28515625" bestFit="1" customWidth="1"/>
    <col min="3336" max="3336" width="6.42578125" bestFit="1" customWidth="1"/>
    <col min="3337" max="3337" width="9.28515625" bestFit="1" customWidth="1"/>
    <col min="3338" max="3338" width="7.5703125" bestFit="1" customWidth="1"/>
    <col min="3339" max="3339" width="13.28515625" bestFit="1" customWidth="1"/>
    <col min="3340" max="3340" width="9.28515625" bestFit="1" customWidth="1"/>
    <col min="3341" max="3341" width="11.5703125" bestFit="1" customWidth="1"/>
    <col min="3342" max="3342" width="13.28515625" bestFit="1" customWidth="1"/>
    <col min="3343" max="3343" width="7.140625" bestFit="1" customWidth="1"/>
    <col min="3344" max="3344" width="12" bestFit="1" customWidth="1"/>
    <col min="3345" max="3345" width="13.28515625" bestFit="1" customWidth="1"/>
    <col min="3346" max="3346" width="7" bestFit="1" customWidth="1"/>
    <col min="3347" max="3347" width="12.7109375" bestFit="1" customWidth="1"/>
    <col min="3348" max="3348" width="11.5703125" bestFit="1" customWidth="1"/>
    <col min="3349" max="3349" width="10.5703125" bestFit="1" customWidth="1"/>
    <col min="3350" max="3351" width="15.7109375" bestFit="1" customWidth="1"/>
    <col min="3352" max="3352" width="11.5703125" bestFit="1" customWidth="1"/>
    <col min="3353" max="3353" width="7.7109375" bestFit="1" customWidth="1"/>
    <col min="3354" max="3354" width="15.140625" bestFit="1" customWidth="1"/>
    <col min="3355" max="3355" width="11.5703125" bestFit="1" customWidth="1"/>
    <col min="3356" max="3356" width="13.28515625" bestFit="1" customWidth="1"/>
    <col min="3357" max="3357" width="10.42578125" bestFit="1" customWidth="1"/>
    <col min="3358" max="3358" width="13.28515625" bestFit="1" customWidth="1"/>
    <col min="3359" max="3359" width="12.140625" bestFit="1" customWidth="1"/>
    <col min="3360" max="3360" width="14.42578125" bestFit="1" customWidth="1"/>
    <col min="3361" max="3361" width="13.28515625" bestFit="1" customWidth="1"/>
    <col min="3362" max="3362" width="11.5703125" bestFit="1" customWidth="1"/>
    <col min="3363" max="3363" width="7.7109375" bestFit="1" customWidth="1"/>
    <col min="3364" max="3365" width="14.42578125" bestFit="1" customWidth="1"/>
    <col min="3366" max="3366" width="11.5703125" bestFit="1" customWidth="1"/>
    <col min="3367" max="3367" width="7.7109375" bestFit="1" customWidth="1"/>
    <col min="3368" max="3368" width="13.5703125" customWidth="1"/>
    <col min="3369" max="3369" width="15.28515625" customWidth="1"/>
    <col min="3370" max="3370" width="14.5703125" customWidth="1"/>
    <col min="3371" max="3371" width="13.28515625" bestFit="1" customWidth="1"/>
    <col min="3372" max="3372" width="7.7109375" bestFit="1" customWidth="1"/>
    <col min="3373" max="3373" width="12.7109375" bestFit="1" customWidth="1"/>
    <col min="3374" max="3374" width="11.7109375" bestFit="1" customWidth="1"/>
    <col min="3375" max="3375" width="11.5703125" bestFit="1" customWidth="1"/>
    <col min="3376" max="3376" width="5.28515625" bestFit="1" customWidth="1"/>
    <col min="3377" max="3377" width="13.28515625" bestFit="1" customWidth="1"/>
    <col min="3378" max="3378" width="13.5703125" bestFit="1" customWidth="1"/>
    <col min="3379" max="3379" width="10.5703125" bestFit="1" customWidth="1"/>
    <col min="3380" max="3380" width="13.28515625" bestFit="1" customWidth="1"/>
    <col min="3381" max="3381" width="11.5703125" bestFit="1" customWidth="1"/>
    <col min="3382" max="3382" width="10.5703125" bestFit="1" customWidth="1"/>
    <col min="3383" max="3383" width="16.140625" bestFit="1" customWidth="1"/>
    <col min="3384" max="3385" width="11.28515625" bestFit="1" customWidth="1"/>
    <col min="3386" max="3386" width="13.28515625" bestFit="1" customWidth="1"/>
    <col min="3387" max="3387" width="7.7109375" bestFit="1" customWidth="1"/>
    <col min="3388" max="3391" width="9.140625" hidden="1" customWidth="1"/>
    <col min="3392" max="3392" width="10.42578125" bestFit="1" customWidth="1"/>
    <col min="3393" max="3393" width="10.5703125" bestFit="1" customWidth="1"/>
    <col min="3394" max="3394" width="10.42578125" bestFit="1" customWidth="1"/>
    <col min="3395" max="3395" width="10.5703125" bestFit="1" customWidth="1"/>
    <col min="3396" max="3396" width="9.5703125" bestFit="1" customWidth="1"/>
    <col min="3397" max="3397" width="11.5703125" bestFit="1" customWidth="1"/>
    <col min="3398" max="3398" width="10.42578125" bestFit="1" customWidth="1"/>
    <col min="3399" max="3399" width="10.85546875" customWidth="1"/>
    <col min="3400" max="3401" width="9.85546875" bestFit="1" customWidth="1"/>
    <col min="3402" max="3402" width="13.5703125" bestFit="1" customWidth="1"/>
    <col min="3403" max="3403" width="7.7109375" bestFit="1" customWidth="1"/>
    <col min="3404" max="3404" width="13.28515625" bestFit="1" customWidth="1"/>
    <col min="3405" max="3405" width="11.5703125" bestFit="1" customWidth="1"/>
    <col min="3406" max="3406" width="10.42578125" bestFit="1" customWidth="1"/>
    <col min="3407" max="3407" width="7.7109375" bestFit="1" customWidth="1"/>
    <col min="3408" max="3408" width="11.5703125" bestFit="1" customWidth="1"/>
    <col min="3409" max="3409" width="10.85546875" bestFit="1" customWidth="1"/>
    <col min="3410" max="3410" width="13.28515625" bestFit="1" customWidth="1"/>
    <col min="3411" max="3411" width="10.85546875" bestFit="1" customWidth="1"/>
    <col min="3412" max="3413" width="7.5703125" bestFit="1" customWidth="1"/>
    <col min="3414" max="3415" width="10.42578125" bestFit="1" customWidth="1"/>
    <col min="3416" max="3416" width="11.5703125" bestFit="1" customWidth="1"/>
    <col min="3417" max="3417" width="5.28515625" bestFit="1" customWidth="1"/>
    <col min="3418" max="3418" width="10.28515625" bestFit="1" customWidth="1"/>
    <col min="3419" max="3419" width="10.42578125" bestFit="1" customWidth="1"/>
    <col min="3420" max="3420" width="11.5703125" bestFit="1" customWidth="1"/>
    <col min="3421" max="3421" width="5.28515625" bestFit="1" customWidth="1"/>
    <col min="3422" max="3424" width="11.5703125" bestFit="1" customWidth="1"/>
    <col min="3425" max="3425" width="5.28515625" bestFit="1" customWidth="1"/>
    <col min="3426" max="3427" width="10.42578125" bestFit="1" customWidth="1"/>
    <col min="3428" max="3428" width="11.5703125" bestFit="1" customWidth="1"/>
    <col min="3429" max="3429" width="5.28515625" bestFit="1" customWidth="1"/>
    <col min="3430" max="3430" width="14.28515625" bestFit="1" customWidth="1"/>
    <col min="3431" max="3431" width="13" bestFit="1" customWidth="1"/>
    <col min="3432" max="3432" width="11.5703125" bestFit="1" customWidth="1"/>
    <col min="3433" max="3433" width="8.85546875" bestFit="1" customWidth="1"/>
    <col min="3434" max="3434" width="14.42578125" bestFit="1" customWidth="1"/>
    <col min="3435" max="3435" width="10.42578125" bestFit="1" customWidth="1"/>
    <col min="3436" max="3436" width="12.28515625" bestFit="1" customWidth="1"/>
    <col min="3437" max="3437" width="13.85546875" bestFit="1" customWidth="1"/>
    <col min="3438" max="3438" width="11.28515625" customWidth="1"/>
    <col min="3439" max="3439" width="11.5703125" customWidth="1"/>
    <col min="3440" max="3440" width="13.42578125" bestFit="1" customWidth="1"/>
    <col min="3441" max="3441" width="10.42578125" customWidth="1"/>
    <col min="3442" max="3442" width="13.85546875" bestFit="1" customWidth="1"/>
    <col min="3443" max="3443" width="15.42578125" bestFit="1" customWidth="1"/>
    <col min="3444" max="3444" width="12.28515625" bestFit="1" customWidth="1"/>
    <col min="3445" max="3445" width="12.7109375" customWidth="1"/>
    <col min="3446" max="3446" width="10.7109375" bestFit="1" customWidth="1"/>
    <col min="3447" max="3447" width="9.85546875" customWidth="1"/>
    <col min="3448" max="3449" width="10.140625" bestFit="1" customWidth="1"/>
    <col min="3450" max="3450" width="7.5703125" bestFit="1" customWidth="1"/>
    <col min="3451" max="3451" width="9.42578125" bestFit="1" customWidth="1"/>
    <col min="3452" max="3452" width="14.5703125" bestFit="1" customWidth="1"/>
    <col min="3453" max="3453" width="14.85546875" customWidth="1"/>
    <col min="3454" max="3454" width="15.140625" bestFit="1" customWidth="1"/>
    <col min="3455" max="3455" width="12.140625" bestFit="1" customWidth="1"/>
    <col min="3456" max="3456" width="14.85546875" bestFit="1" customWidth="1"/>
    <col min="3457" max="3457" width="12.28515625" bestFit="1" customWidth="1"/>
    <col min="3458" max="3466" width="9.140625" hidden="1" customWidth="1"/>
    <col min="3467" max="3467" width="5.28515625" bestFit="1" customWidth="1"/>
    <col min="3468" max="3473" width="11.5703125" bestFit="1" customWidth="1"/>
    <col min="3474" max="3474" width="11.28515625" bestFit="1" customWidth="1"/>
    <col min="3475" max="3475" width="10.140625" bestFit="1" customWidth="1"/>
    <col min="3476" max="3476" width="11.5703125" bestFit="1" customWidth="1"/>
    <col min="3477" max="3477" width="16.140625" customWidth="1"/>
    <col min="3478" max="3478" width="13.42578125" customWidth="1"/>
    <col min="3479" max="3479" width="10.140625" bestFit="1" customWidth="1"/>
    <col min="3480" max="3480" width="12.85546875" bestFit="1" customWidth="1"/>
    <col min="3481" max="3481" width="12.28515625" bestFit="1" customWidth="1"/>
    <col min="3482" max="3482" width="11.28515625" bestFit="1" customWidth="1"/>
    <col min="3483" max="3483" width="11.5703125" bestFit="1" customWidth="1"/>
    <col min="3484" max="3484" width="10.85546875" bestFit="1" customWidth="1"/>
    <col min="3485" max="3485" width="11.28515625" bestFit="1" customWidth="1"/>
    <col min="3486" max="3486" width="10.140625" bestFit="1" customWidth="1"/>
    <col min="3487" max="3487" width="13.28515625" bestFit="1" customWidth="1"/>
    <col min="3488" max="3489" width="12.7109375" bestFit="1" customWidth="1"/>
    <col min="3490" max="3490" width="11" bestFit="1" customWidth="1"/>
    <col min="3491" max="3491" width="11.28515625" bestFit="1" customWidth="1"/>
    <col min="3492" max="3492" width="11.5703125" bestFit="1" customWidth="1"/>
    <col min="3493" max="3493" width="12.28515625" bestFit="1" customWidth="1"/>
    <col min="3494" max="3494" width="15.140625" bestFit="1" customWidth="1"/>
    <col min="3495" max="3495" width="14.42578125" bestFit="1" customWidth="1"/>
    <col min="3496" max="3496" width="12.28515625" bestFit="1" customWidth="1"/>
    <col min="3497" max="3497" width="15.140625" bestFit="1" customWidth="1"/>
    <col min="3498" max="3498" width="14.42578125" bestFit="1" customWidth="1"/>
    <col min="3499" max="3499" width="12.28515625" bestFit="1" customWidth="1"/>
    <col min="3500" max="3500" width="14.42578125" bestFit="1" customWidth="1"/>
    <col min="3501" max="3501" width="11.28515625" bestFit="1" customWidth="1"/>
    <col min="3502" max="3502" width="12.28515625" bestFit="1" customWidth="1"/>
    <col min="3503" max="3503" width="13" bestFit="1" customWidth="1"/>
    <col min="3504" max="3504" width="15.140625" bestFit="1" customWidth="1"/>
    <col min="3505" max="3505" width="12.28515625" bestFit="1" customWidth="1"/>
    <col min="3506" max="3506" width="13.85546875" bestFit="1" customWidth="1"/>
    <col min="3507" max="3507" width="11.28515625" bestFit="1" customWidth="1"/>
    <col min="3508" max="3508" width="12.28515625" bestFit="1" customWidth="1"/>
    <col min="3509" max="3509" width="13.85546875" bestFit="1" customWidth="1"/>
    <col min="3510" max="3511" width="15.140625" bestFit="1" customWidth="1"/>
    <col min="3512" max="3512" width="12.28515625" bestFit="1" customWidth="1"/>
    <col min="3513" max="3513" width="5.7109375" bestFit="1" customWidth="1"/>
    <col min="3514" max="3514" width="8.5703125" bestFit="1" customWidth="1"/>
    <col min="3515" max="3515" width="5.5703125" bestFit="1" customWidth="1"/>
    <col min="3516" max="3516" width="14.42578125" bestFit="1" customWidth="1"/>
    <col min="3517" max="3517" width="11.28515625" bestFit="1" customWidth="1"/>
    <col min="3518" max="3519" width="12.28515625" bestFit="1" customWidth="1"/>
    <col min="3520" max="3520" width="11.28515625" bestFit="1" customWidth="1"/>
    <col min="3521" max="3521" width="13.85546875" bestFit="1" customWidth="1"/>
    <col min="3522" max="3522" width="12" bestFit="1" customWidth="1"/>
    <col min="3523" max="3523" width="13.85546875" bestFit="1" customWidth="1"/>
    <col min="3524" max="3525" width="14.42578125" customWidth="1"/>
    <col min="3526" max="3526" width="10.140625" bestFit="1" customWidth="1"/>
    <col min="3527" max="3527" width="12.28515625" bestFit="1" customWidth="1"/>
    <col min="3528" max="3528" width="7.42578125" bestFit="1" customWidth="1"/>
    <col min="3529" max="3529" width="8.5703125" bestFit="1" customWidth="1"/>
    <col min="3530" max="3530" width="11.5703125" bestFit="1" customWidth="1"/>
    <col min="3531" max="3531" width="13.28515625" bestFit="1" customWidth="1"/>
    <col min="3532" max="3532" width="13.28515625" customWidth="1"/>
    <col min="3533" max="3533" width="13.140625" customWidth="1"/>
    <col min="3534" max="3534" width="12.7109375" bestFit="1" customWidth="1"/>
    <col min="3535" max="3535" width="13.28515625" bestFit="1" customWidth="1"/>
    <col min="3536" max="3538" width="13.28515625" customWidth="1"/>
    <col min="3539" max="3539" width="12.140625" bestFit="1" customWidth="1"/>
    <col min="3540" max="3540" width="12.7109375" bestFit="1" customWidth="1"/>
    <col min="3541" max="3541" width="11" customWidth="1"/>
    <col min="3542" max="3542" width="16.7109375" customWidth="1"/>
    <col min="3543" max="3543" width="17" customWidth="1"/>
    <col min="3544" max="3544" width="10.42578125" bestFit="1" customWidth="1"/>
    <col min="3588" max="3588" width="3.85546875" customWidth="1"/>
    <col min="3589" max="3589" width="15.28515625" bestFit="1" customWidth="1"/>
    <col min="3590" max="3590" width="12.28515625" customWidth="1"/>
    <col min="3591" max="3591" width="16.28515625" bestFit="1" customWidth="1"/>
    <col min="3592" max="3592" width="6.42578125" bestFit="1" customWidth="1"/>
    <col min="3593" max="3593" width="9.28515625" bestFit="1" customWidth="1"/>
    <col min="3594" max="3594" width="7.5703125" bestFit="1" customWidth="1"/>
    <col min="3595" max="3595" width="13.28515625" bestFit="1" customWidth="1"/>
    <col min="3596" max="3596" width="9.28515625" bestFit="1" customWidth="1"/>
    <col min="3597" max="3597" width="11.5703125" bestFit="1" customWidth="1"/>
    <col min="3598" max="3598" width="13.28515625" bestFit="1" customWidth="1"/>
    <col min="3599" max="3599" width="7.140625" bestFit="1" customWidth="1"/>
    <col min="3600" max="3600" width="12" bestFit="1" customWidth="1"/>
    <col min="3601" max="3601" width="13.28515625" bestFit="1" customWidth="1"/>
    <col min="3602" max="3602" width="7" bestFit="1" customWidth="1"/>
    <col min="3603" max="3603" width="12.7109375" bestFit="1" customWidth="1"/>
    <col min="3604" max="3604" width="11.5703125" bestFit="1" customWidth="1"/>
    <col min="3605" max="3605" width="10.5703125" bestFit="1" customWidth="1"/>
    <col min="3606" max="3607" width="15.7109375" bestFit="1" customWidth="1"/>
    <col min="3608" max="3608" width="11.5703125" bestFit="1" customWidth="1"/>
    <col min="3609" max="3609" width="7.7109375" bestFit="1" customWidth="1"/>
    <col min="3610" max="3610" width="15.140625" bestFit="1" customWidth="1"/>
    <col min="3611" max="3611" width="11.5703125" bestFit="1" customWidth="1"/>
    <col min="3612" max="3612" width="13.28515625" bestFit="1" customWidth="1"/>
    <col min="3613" max="3613" width="10.42578125" bestFit="1" customWidth="1"/>
    <col min="3614" max="3614" width="13.28515625" bestFit="1" customWidth="1"/>
    <col min="3615" max="3615" width="12.140625" bestFit="1" customWidth="1"/>
    <col min="3616" max="3616" width="14.42578125" bestFit="1" customWidth="1"/>
    <col min="3617" max="3617" width="13.28515625" bestFit="1" customWidth="1"/>
    <col min="3618" max="3618" width="11.5703125" bestFit="1" customWidth="1"/>
    <col min="3619" max="3619" width="7.7109375" bestFit="1" customWidth="1"/>
    <col min="3620" max="3621" width="14.42578125" bestFit="1" customWidth="1"/>
    <col min="3622" max="3622" width="11.5703125" bestFit="1" customWidth="1"/>
    <col min="3623" max="3623" width="7.7109375" bestFit="1" customWidth="1"/>
    <col min="3624" max="3624" width="13.5703125" customWidth="1"/>
    <col min="3625" max="3625" width="15.28515625" customWidth="1"/>
    <col min="3626" max="3626" width="14.5703125" customWidth="1"/>
    <col min="3627" max="3627" width="13.28515625" bestFit="1" customWidth="1"/>
    <col min="3628" max="3628" width="7.7109375" bestFit="1" customWidth="1"/>
    <col min="3629" max="3629" width="12.7109375" bestFit="1" customWidth="1"/>
    <col min="3630" max="3630" width="11.7109375" bestFit="1" customWidth="1"/>
    <col min="3631" max="3631" width="11.5703125" bestFit="1" customWidth="1"/>
    <col min="3632" max="3632" width="5.28515625" bestFit="1" customWidth="1"/>
    <col min="3633" max="3633" width="13.28515625" bestFit="1" customWidth="1"/>
    <col min="3634" max="3634" width="13.5703125" bestFit="1" customWidth="1"/>
    <col min="3635" max="3635" width="10.5703125" bestFit="1" customWidth="1"/>
    <col min="3636" max="3636" width="13.28515625" bestFit="1" customWidth="1"/>
    <col min="3637" max="3637" width="11.5703125" bestFit="1" customWidth="1"/>
    <col min="3638" max="3638" width="10.5703125" bestFit="1" customWidth="1"/>
    <col min="3639" max="3639" width="16.140625" bestFit="1" customWidth="1"/>
    <col min="3640" max="3641" width="11.28515625" bestFit="1" customWidth="1"/>
    <col min="3642" max="3642" width="13.28515625" bestFit="1" customWidth="1"/>
    <col min="3643" max="3643" width="7.7109375" bestFit="1" customWidth="1"/>
    <col min="3644" max="3647" width="9.140625" hidden="1" customWidth="1"/>
    <col min="3648" max="3648" width="10.42578125" bestFit="1" customWidth="1"/>
    <col min="3649" max="3649" width="10.5703125" bestFit="1" customWidth="1"/>
    <col min="3650" max="3650" width="10.42578125" bestFit="1" customWidth="1"/>
    <col min="3651" max="3651" width="10.5703125" bestFit="1" customWidth="1"/>
    <col min="3652" max="3652" width="9.5703125" bestFit="1" customWidth="1"/>
    <col min="3653" max="3653" width="11.5703125" bestFit="1" customWidth="1"/>
    <col min="3654" max="3654" width="10.42578125" bestFit="1" customWidth="1"/>
    <col min="3655" max="3655" width="10.85546875" customWidth="1"/>
    <col min="3656" max="3657" width="9.85546875" bestFit="1" customWidth="1"/>
    <col min="3658" max="3658" width="13.5703125" bestFit="1" customWidth="1"/>
    <col min="3659" max="3659" width="7.7109375" bestFit="1" customWidth="1"/>
    <col min="3660" max="3660" width="13.28515625" bestFit="1" customWidth="1"/>
    <col min="3661" max="3661" width="11.5703125" bestFit="1" customWidth="1"/>
    <col min="3662" max="3662" width="10.42578125" bestFit="1" customWidth="1"/>
    <col min="3663" max="3663" width="7.7109375" bestFit="1" customWidth="1"/>
    <col min="3664" max="3664" width="11.5703125" bestFit="1" customWidth="1"/>
    <col min="3665" max="3665" width="10.85546875" bestFit="1" customWidth="1"/>
    <col min="3666" max="3666" width="13.28515625" bestFit="1" customWidth="1"/>
    <col min="3667" max="3667" width="10.85546875" bestFit="1" customWidth="1"/>
    <col min="3668" max="3669" width="7.5703125" bestFit="1" customWidth="1"/>
    <col min="3670" max="3671" width="10.42578125" bestFit="1" customWidth="1"/>
    <col min="3672" max="3672" width="11.5703125" bestFit="1" customWidth="1"/>
    <col min="3673" max="3673" width="5.28515625" bestFit="1" customWidth="1"/>
    <col min="3674" max="3674" width="10.28515625" bestFit="1" customWidth="1"/>
    <col min="3675" max="3675" width="10.42578125" bestFit="1" customWidth="1"/>
    <col min="3676" max="3676" width="11.5703125" bestFit="1" customWidth="1"/>
    <col min="3677" max="3677" width="5.28515625" bestFit="1" customWidth="1"/>
    <col min="3678" max="3680" width="11.5703125" bestFit="1" customWidth="1"/>
    <col min="3681" max="3681" width="5.28515625" bestFit="1" customWidth="1"/>
    <col min="3682" max="3683" width="10.42578125" bestFit="1" customWidth="1"/>
    <col min="3684" max="3684" width="11.5703125" bestFit="1" customWidth="1"/>
    <col min="3685" max="3685" width="5.28515625" bestFit="1" customWidth="1"/>
    <col min="3686" max="3686" width="14.28515625" bestFit="1" customWidth="1"/>
    <col min="3687" max="3687" width="13" bestFit="1" customWidth="1"/>
    <col min="3688" max="3688" width="11.5703125" bestFit="1" customWidth="1"/>
    <col min="3689" max="3689" width="8.85546875" bestFit="1" customWidth="1"/>
    <col min="3690" max="3690" width="14.42578125" bestFit="1" customWidth="1"/>
    <col min="3691" max="3691" width="10.42578125" bestFit="1" customWidth="1"/>
    <col min="3692" max="3692" width="12.28515625" bestFit="1" customWidth="1"/>
    <col min="3693" max="3693" width="13.85546875" bestFit="1" customWidth="1"/>
    <col min="3694" max="3694" width="11.28515625" customWidth="1"/>
    <col min="3695" max="3695" width="11.5703125" customWidth="1"/>
    <col min="3696" max="3696" width="13.42578125" bestFit="1" customWidth="1"/>
    <col min="3697" max="3697" width="10.42578125" customWidth="1"/>
    <col min="3698" max="3698" width="13.85546875" bestFit="1" customWidth="1"/>
    <col min="3699" max="3699" width="15.42578125" bestFit="1" customWidth="1"/>
    <col min="3700" max="3700" width="12.28515625" bestFit="1" customWidth="1"/>
    <col min="3701" max="3701" width="12.7109375" customWidth="1"/>
    <col min="3702" max="3702" width="10.7109375" bestFit="1" customWidth="1"/>
    <col min="3703" max="3703" width="9.85546875" customWidth="1"/>
    <col min="3704" max="3705" width="10.140625" bestFit="1" customWidth="1"/>
    <col min="3706" max="3706" width="7.5703125" bestFit="1" customWidth="1"/>
    <col min="3707" max="3707" width="9.42578125" bestFit="1" customWidth="1"/>
    <col min="3708" max="3708" width="14.5703125" bestFit="1" customWidth="1"/>
    <col min="3709" max="3709" width="14.85546875" customWidth="1"/>
    <col min="3710" max="3710" width="15.140625" bestFit="1" customWidth="1"/>
    <col min="3711" max="3711" width="12.140625" bestFit="1" customWidth="1"/>
    <col min="3712" max="3712" width="14.85546875" bestFit="1" customWidth="1"/>
    <col min="3713" max="3713" width="12.28515625" bestFit="1" customWidth="1"/>
    <col min="3714" max="3722" width="9.140625" hidden="1" customWidth="1"/>
    <col min="3723" max="3723" width="5.28515625" bestFit="1" customWidth="1"/>
    <col min="3724" max="3729" width="11.5703125" bestFit="1" customWidth="1"/>
    <col min="3730" max="3730" width="11.28515625" bestFit="1" customWidth="1"/>
    <col min="3731" max="3731" width="10.140625" bestFit="1" customWidth="1"/>
    <col min="3732" max="3732" width="11.5703125" bestFit="1" customWidth="1"/>
    <col min="3733" max="3733" width="16.140625" customWidth="1"/>
    <col min="3734" max="3734" width="13.42578125" customWidth="1"/>
    <col min="3735" max="3735" width="10.140625" bestFit="1" customWidth="1"/>
    <col min="3736" max="3736" width="12.85546875" bestFit="1" customWidth="1"/>
    <col min="3737" max="3737" width="12.28515625" bestFit="1" customWidth="1"/>
    <col min="3738" max="3738" width="11.28515625" bestFit="1" customWidth="1"/>
    <col min="3739" max="3739" width="11.5703125" bestFit="1" customWidth="1"/>
    <col min="3740" max="3740" width="10.85546875" bestFit="1" customWidth="1"/>
    <col min="3741" max="3741" width="11.28515625" bestFit="1" customWidth="1"/>
    <col min="3742" max="3742" width="10.140625" bestFit="1" customWidth="1"/>
    <col min="3743" max="3743" width="13.28515625" bestFit="1" customWidth="1"/>
    <col min="3744" max="3745" width="12.7109375" bestFit="1" customWidth="1"/>
    <col min="3746" max="3746" width="11" bestFit="1" customWidth="1"/>
    <col min="3747" max="3747" width="11.28515625" bestFit="1" customWidth="1"/>
    <col min="3748" max="3748" width="11.5703125" bestFit="1" customWidth="1"/>
    <col min="3749" max="3749" width="12.28515625" bestFit="1" customWidth="1"/>
    <col min="3750" max="3750" width="15.140625" bestFit="1" customWidth="1"/>
    <col min="3751" max="3751" width="14.42578125" bestFit="1" customWidth="1"/>
    <col min="3752" max="3752" width="12.28515625" bestFit="1" customWidth="1"/>
    <col min="3753" max="3753" width="15.140625" bestFit="1" customWidth="1"/>
    <col min="3754" max="3754" width="14.42578125" bestFit="1" customWidth="1"/>
    <col min="3755" max="3755" width="12.28515625" bestFit="1" customWidth="1"/>
    <col min="3756" max="3756" width="14.42578125" bestFit="1" customWidth="1"/>
    <col min="3757" max="3757" width="11.28515625" bestFit="1" customWidth="1"/>
    <col min="3758" max="3758" width="12.28515625" bestFit="1" customWidth="1"/>
    <col min="3759" max="3759" width="13" bestFit="1" customWidth="1"/>
    <col min="3760" max="3760" width="15.140625" bestFit="1" customWidth="1"/>
    <col min="3761" max="3761" width="12.28515625" bestFit="1" customWidth="1"/>
    <col min="3762" max="3762" width="13.85546875" bestFit="1" customWidth="1"/>
    <col min="3763" max="3763" width="11.28515625" bestFit="1" customWidth="1"/>
    <col min="3764" max="3764" width="12.28515625" bestFit="1" customWidth="1"/>
    <col min="3765" max="3765" width="13.85546875" bestFit="1" customWidth="1"/>
    <col min="3766" max="3767" width="15.140625" bestFit="1" customWidth="1"/>
    <col min="3768" max="3768" width="12.28515625" bestFit="1" customWidth="1"/>
    <col min="3769" max="3769" width="5.7109375" bestFit="1" customWidth="1"/>
    <col min="3770" max="3770" width="8.5703125" bestFit="1" customWidth="1"/>
    <col min="3771" max="3771" width="5.5703125" bestFit="1" customWidth="1"/>
    <col min="3772" max="3772" width="14.42578125" bestFit="1" customWidth="1"/>
    <col min="3773" max="3773" width="11.28515625" bestFit="1" customWidth="1"/>
    <col min="3774" max="3775" width="12.28515625" bestFit="1" customWidth="1"/>
    <col min="3776" max="3776" width="11.28515625" bestFit="1" customWidth="1"/>
    <col min="3777" max="3777" width="13.85546875" bestFit="1" customWidth="1"/>
    <col min="3778" max="3778" width="12" bestFit="1" customWidth="1"/>
    <col min="3779" max="3779" width="13.85546875" bestFit="1" customWidth="1"/>
    <col min="3780" max="3781" width="14.42578125" customWidth="1"/>
    <col min="3782" max="3782" width="10.140625" bestFit="1" customWidth="1"/>
    <col min="3783" max="3783" width="12.28515625" bestFit="1" customWidth="1"/>
    <col min="3784" max="3784" width="7.42578125" bestFit="1" customWidth="1"/>
    <col min="3785" max="3785" width="8.5703125" bestFit="1" customWidth="1"/>
    <col min="3786" max="3786" width="11.5703125" bestFit="1" customWidth="1"/>
    <col min="3787" max="3787" width="13.28515625" bestFit="1" customWidth="1"/>
    <col min="3788" max="3788" width="13.28515625" customWidth="1"/>
    <col min="3789" max="3789" width="13.140625" customWidth="1"/>
    <col min="3790" max="3790" width="12.7109375" bestFit="1" customWidth="1"/>
    <col min="3791" max="3791" width="13.28515625" bestFit="1" customWidth="1"/>
    <col min="3792" max="3794" width="13.28515625" customWidth="1"/>
    <col min="3795" max="3795" width="12.140625" bestFit="1" customWidth="1"/>
    <col min="3796" max="3796" width="12.7109375" bestFit="1" customWidth="1"/>
    <col min="3797" max="3797" width="11" customWidth="1"/>
    <col min="3798" max="3798" width="16.7109375" customWidth="1"/>
    <col min="3799" max="3799" width="17" customWidth="1"/>
    <col min="3800" max="3800" width="10.42578125" bestFit="1" customWidth="1"/>
    <col min="3844" max="3844" width="3.85546875" customWidth="1"/>
    <col min="3845" max="3845" width="15.28515625" bestFit="1" customWidth="1"/>
    <col min="3846" max="3846" width="12.28515625" customWidth="1"/>
    <col min="3847" max="3847" width="16.28515625" bestFit="1" customWidth="1"/>
    <col min="3848" max="3848" width="6.42578125" bestFit="1" customWidth="1"/>
    <col min="3849" max="3849" width="9.28515625" bestFit="1" customWidth="1"/>
    <col min="3850" max="3850" width="7.5703125" bestFit="1" customWidth="1"/>
    <col min="3851" max="3851" width="13.28515625" bestFit="1" customWidth="1"/>
    <col min="3852" max="3852" width="9.28515625" bestFit="1" customWidth="1"/>
    <col min="3853" max="3853" width="11.5703125" bestFit="1" customWidth="1"/>
    <col min="3854" max="3854" width="13.28515625" bestFit="1" customWidth="1"/>
    <col min="3855" max="3855" width="7.140625" bestFit="1" customWidth="1"/>
    <col min="3856" max="3856" width="12" bestFit="1" customWidth="1"/>
    <col min="3857" max="3857" width="13.28515625" bestFit="1" customWidth="1"/>
    <col min="3858" max="3858" width="7" bestFit="1" customWidth="1"/>
    <col min="3859" max="3859" width="12.7109375" bestFit="1" customWidth="1"/>
    <col min="3860" max="3860" width="11.5703125" bestFit="1" customWidth="1"/>
    <col min="3861" max="3861" width="10.5703125" bestFit="1" customWidth="1"/>
    <col min="3862" max="3863" width="15.7109375" bestFit="1" customWidth="1"/>
    <col min="3864" max="3864" width="11.5703125" bestFit="1" customWidth="1"/>
    <col min="3865" max="3865" width="7.7109375" bestFit="1" customWidth="1"/>
    <col min="3866" max="3866" width="15.140625" bestFit="1" customWidth="1"/>
    <col min="3867" max="3867" width="11.5703125" bestFit="1" customWidth="1"/>
    <col min="3868" max="3868" width="13.28515625" bestFit="1" customWidth="1"/>
    <col min="3869" max="3869" width="10.42578125" bestFit="1" customWidth="1"/>
    <col min="3870" max="3870" width="13.28515625" bestFit="1" customWidth="1"/>
    <col min="3871" max="3871" width="12.140625" bestFit="1" customWidth="1"/>
    <col min="3872" max="3872" width="14.42578125" bestFit="1" customWidth="1"/>
    <col min="3873" max="3873" width="13.28515625" bestFit="1" customWidth="1"/>
    <col min="3874" max="3874" width="11.5703125" bestFit="1" customWidth="1"/>
    <col min="3875" max="3875" width="7.7109375" bestFit="1" customWidth="1"/>
    <col min="3876" max="3877" width="14.42578125" bestFit="1" customWidth="1"/>
    <col min="3878" max="3878" width="11.5703125" bestFit="1" customWidth="1"/>
    <col min="3879" max="3879" width="7.7109375" bestFit="1" customWidth="1"/>
    <col min="3880" max="3880" width="13.5703125" customWidth="1"/>
    <col min="3881" max="3881" width="15.28515625" customWidth="1"/>
    <col min="3882" max="3882" width="14.5703125" customWidth="1"/>
    <col min="3883" max="3883" width="13.28515625" bestFit="1" customWidth="1"/>
    <col min="3884" max="3884" width="7.7109375" bestFit="1" customWidth="1"/>
    <col min="3885" max="3885" width="12.7109375" bestFit="1" customWidth="1"/>
    <col min="3886" max="3886" width="11.7109375" bestFit="1" customWidth="1"/>
    <col min="3887" max="3887" width="11.5703125" bestFit="1" customWidth="1"/>
    <col min="3888" max="3888" width="5.28515625" bestFit="1" customWidth="1"/>
    <col min="3889" max="3889" width="13.28515625" bestFit="1" customWidth="1"/>
    <col min="3890" max="3890" width="13.5703125" bestFit="1" customWidth="1"/>
    <col min="3891" max="3891" width="10.5703125" bestFit="1" customWidth="1"/>
    <col min="3892" max="3892" width="13.28515625" bestFit="1" customWidth="1"/>
    <col min="3893" max="3893" width="11.5703125" bestFit="1" customWidth="1"/>
    <col min="3894" max="3894" width="10.5703125" bestFit="1" customWidth="1"/>
    <col min="3895" max="3895" width="16.140625" bestFit="1" customWidth="1"/>
    <col min="3896" max="3897" width="11.28515625" bestFit="1" customWidth="1"/>
    <col min="3898" max="3898" width="13.28515625" bestFit="1" customWidth="1"/>
    <col min="3899" max="3899" width="7.7109375" bestFit="1" customWidth="1"/>
    <col min="3900" max="3903" width="9.140625" hidden="1" customWidth="1"/>
    <col min="3904" max="3904" width="10.42578125" bestFit="1" customWidth="1"/>
    <col min="3905" max="3905" width="10.5703125" bestFit="1" customWidth="1"/>
    <col min="3906" max="3906" width="10.42578125" bestFit="1" customWidth="1"/>
    <col min="3907" max="3907" width="10.5703125" bestFit="1" customWidth="1"/>
    <col min="3908" max="3908" width="9.5703125" bestFit="1" customWidth="1"/>
    <col min="3909" max="3909" width="11.5703125" bestFit="1" customWidth="1"/>
    <col min="3910" max="3910" width="10.42578125" bestFit="1" customWidth="1"/>
    <col min="3911" max="3911" width="10.85546875" customWidth="1"/>
    <col min="3912" max="3913" width="9.85546875" bestFit="1" customWidth="1"/>
    <col min="3914" max="3914" width="13.5703125" bestFit="1" customWidth="1"/>
    <col min="3915" max="3915" width="7.7109375" bestFit="1" customWidth="1"/>
    <col min="3916" max="3916" width="13.28515625" bestFit="1" customWidth="1"/>
    <col min="3917" max="3917" width="11.5703125" bestFit="1" customWidth="1"/>
    <col min="3918" max="3918" width="10.42578125" bestFit="1" customWidth="1"/>
    <col min="3919" max="3919" width="7.7109375" bestFit="1" customWidth="1"/>
    <col min="3920" max="3920" width="11.5703125" bestFit="1" customWidth="1"/>
    <col min="3921" max="3921" width="10.85546875" bestFit="1" customWidth="1"/>
    <col min="3922" max="3922" width="13.28515625" bestFit="1" customWidth="1"/>
    <col min="3923" max="3923" width="10.85546875" bestFit="1" customWidth="1"/>
    <col min="3924" max="3925" width="7.5703125" bestFit="1" customWidth="1"/>
    <col min="3926" max="3927" width="10.42578125" bestFit="1" customWidth="1"/>
    <col min="3928" max="3928" width="11.5703125" bestFit="1" customWidth="1"/>
    <col min="3929" max="3929" width="5.28515625" bestFit="1" customWidth="1"/>
    <col min="3930" max="3930" width="10.28515625" bestFit="1" customWidth="1"/>
    <col min="3931" max="3931" width="10.42578125" bestFit="1" customWidth="1"/>
    <col min="3932" max="3932" width="11.5703125" bestFit="1" customWidth="1"/>
    <col min="3933" max="3933" width="5.28515625" bestFit="1" customWidth="1"/>
    <col min="3934" max="3936" width="11.5703125" bestFit="1" customWidth="1"/>
    <col min="3937" max="3937" width="5.28515625" bestFit="1" customWidth="1"/>
    <col min="3938" max="3939" width="10.42578125" bestFit="1" customWidth="1"/>
    <col min="3940" max="3940" width="11.5703125" bestFit="1" customWidth="1"/>
    <col min="3941" max="3941" width="5.28515625" bestFit="1" customWidth="1"/>
    <col min="3942" max="3942" width="14.28515625" bestFit="1" customWidth="1"/>
    <col min="3943" max="3943" width="13" bestFit="1" customWidth="1"/>
    <col min="3944" max="3944" width="11.5703125" bestFit="1" customWidth="1"/>
    <col min="3945" max="3945" width="8.85546875" bestFit="1" customWidth="1"/>
    <col min="3946" max="3946" width="14.42578125" bestFit="1" customWidth="1"/>
    <col min="3947" max="3947" width="10.42578125" bestFit="1" customWidth="1"/>
    <col min="3948" max="3948" width="12.28515625" bestFit="1" customWidth="1"/>
    <col min="3949" max="3949" width="13.85546875" bestFit="1" customWidth="1"/>
    <col min="3950" max="3950" width="11.28515625" customWidth="1"/>
    <col min="3951" max="3951" width="11.5703125" customWidth="1"/>
    <col min="3952" max="3952" width="13.42578125" bestFit="1" customWidth="1"/>
    <col min="3953" max="3953" width="10.42578125" customWidth="1"/>
    <col min="3954" max="3954" width="13.85546875" bestFit="1" customWidth="1"/>
    <col min="3955" max="3955" width="15.42578125" bestFit="1" customWidth="1"/>
    <col min="3956" max="3956" width="12.28515625" bestFit="1" customWidth="1"/>
    <col min="3957" max="3957" width="12.7109375" customWidth="1"/>
    <col min="3958" max="3958" width="10.7109375" bestFit="1" customWidth="1"/>
    <col min="3959" max="3959" width="9.85546875" customWidth="1"/>
    <col min="3960" max="3961" width="10.140625" bestFit="1" customWidth="1"/>
    <col min="3962" max="3962" width="7.5703125" bestFit="1" customWidth="1"/>
    <col min="3963" max="3963" width="9.42578125" bestFit="1" customWidth="1"/>
    <col min="3964" max="3964" width="14.5703125" bestFit="1" customWidth="1"/>
    <col min="3965" max="3965" width="14.85546875" customWidth="1"/>
    <col min="3966" max="3966" width="15.140625" bestFit="1" customWidth="1"/>
    <col min="3967" max="3967" width="12.140625" bestFit="1" customWidth="1"/>
    <col min="3968" max="3968" width="14.85546875" bestFit="1" customWidth="1"/>
    <col min="3969" max="3969" width="12.28515625" bestFit="1" customWidth="1"/>
    <col min="3970" max="3978" width="9.140625" hidden="1" customWidth="1"/>
    <col min="3979" max="3979" width="5.28515625" bestFit="1" customWidth="1"/>
    <col min="3980" max="3985" width="11.5703125" bestFit="1" customWidth="1"/>
    <col min="3986" max="3986" width="11.28515625" bestFit="1" customWidth="1"/>
    <col min="3987" max="3987" width="10.140625" bestFit="1" customWidth="1"/>
    <col min="3988" max="3988" width="11.5703125" bestFit="1" customWidth="1"/>
    <col min="3989" max="3989" width="16.140625" customWidth="1"/>
    <col min="3990" max="3990" width="13.42578125" customWidth="1"/>
    <col min="3991" max="3991" width="10.140625" bestFit="1" customWidth="1"/>
    <col min="3992" max="3992" width="12.85546875" bestFit="1" customWidth="1"/>
    <col min="3993" max="3993" width="12.28515625" bestFit="1" customWidth="1"/>
    <col min="3994" max="3994" width="11.28515625" bestFit="1" customWidth="1"/>
    <col min="3995" max="3995" width="11.5703125" bestFit="1" customWidth="1"/>
    <col min="3996" max="3996" width="10.85546875" bestFit="1" customWidth="1"/>
    <col min="3997" max="3997" width="11.28515625" bestFit="1" customWidth="1"/>
    <col min="3998" max="3998" width="10.140625" bestFit="1" customWidth="1"/>
    <col min="3999" max="3999" width="13.28515625" bestFit="1" customWidth="1"/>
    <col min="4000" max="4001" width="12.7109375" bestFit="1" customWidth="1"/>
    <col min="4002" max="4002" width="11" bestFit="1" customWidth="1"/>
    <col min="4003" max="4003" width="11.28515625" bestFit="1" customWidth="1"/>
    <col min="4004" max="4004" width="11.5703125" bestFit="1" customWidth="1"/>
    <col min="4005" max="4005" width="12.28515625" bestFit="1" customWidth="1"/>
    <col min="4006" max="4006" width="15.140625" bestFit="1" customWidth="1"/>
    <col min="4007" max="4007" width="14.42578125" bestFit="1" customWidth="1"/>
    <col min="4008" max="4008" width="12.28515625" bestFit="1" customWidth="1"/>
    <col min="4009" max="4009" width="15.140625" bestFit="1" customWidth="1"/>
    <col min="4010" max="4010" width="14.42578125" bestFit="1" customWidth="1"/>
    <col min="4011" max="4011" width="12.28515625" bestFit="1" customWidth="1"/>
    <col min="4012" max="4012" width="14.42578125" bestFit="1" customWidth="1"/>
    <col min="4013" max="4013" width="11.28515625" bestFit="1" customWidth="1"/>
    <col min="4014" max="4014" width="12.28515625" bestFit="1" customWidth="1"/>
    <col min="4015" max="4015" width="13" bestFit="1" customWidth="1"/>
    <col min="4016" max="4016" width="15.140625" bestFit="1" customWidth="1"/>
    <col min="4017" max="4017" width="12.28515625" bestFit="1" customWidth="1"/>
    <col min="4018" max="4018" width="13.85546875" bestFit="1" customWidth="1"/>
    <col min="4019" max="4019" width="11.28515625" bestFit="1" customWidth="1"/>
    <col min="4020" max="4020" width="12.28515625" bestFit="1" customWidth="1"/>
    <col min="4021" max="4021" width="13.85546875" bestFit="1" customWidth="1"/>
    <col min="4022" max="4023" width="15.140625" bestFit="1" customWidth="1"/>
    <col min="4024" max="4024" width="12.28515625" bestFit="1" customWidth="1"/>
    <col min="4025" max="4025" width="5.7109375" bestFit="1" customWidth="1"/>
    <col min="4026" max="4026" width="8.5703125" bestFit="1" customWidth="1"/>
    <col min="4027" max="4027" width="5.5703125" bestFit="1" customWidth="1"/>
    <col min="4028" max="4028" width="14.42578125" bestFit="1" customWidth="1"/>
    <col min="4029" max="4029" width="11.28515625" bestFit="1" customWidth="1"/>
    <col min="4030" max="4031" width="12.28515625" bestFit="1" customWidth="1"/>
    <col min="4032" max="4032" width="11.28515625" bestFit="1" customWidth="1"/>
    <col min="4033" max="4033" width="13.85546875" bestFit="1" customWidth="1"/>
    <col min="4034" max="4034" width="12" bestFit="1" customWidth="1"/>
    <col min="4035" max="4035" width="13.85546875" bestFit="1" customWidth="1"/>
    <col min="4036" max="4037" width="14.42578125" customWidth="1"/>
    <col min="4038" max="4038" width="10.140625" bestFit="1" customWidth="1"/>
    <col min="4039" max="4039" width="12.28515625" bestFit="1" customWidth="1"/>
    <col min="4040" max="4040" width="7.42578125" bestFit="1" customWidth="1"/>
    <col min="4041" max="4041" width="8.5703125" bestFit="1" customWidth="1"/>
    <col min="4042" max="4042" width="11.5703125" bestFit="1" customWidth="1"/>
    <col min="4043" max="4043" width="13.28515625" bestFit="1" customWidth="1"/>
    <col min="4044" max="4044" width="13.28515625" customWidth="1"/>
    <col min="4045" max="4045" width="13.140625" customWidth="1"/>
    <col min="4046" max="4046" width="12.7109375" bestFit="1" customWidth="1"/>
    <col min="4047" max="4047" width="13.28515625" bestFit="1" customWidth="1"/>
    <col min="4048" max="4050" width="13.28515625" customWidth="1"/>
    <col min="4051" max="4051" width="12.140625" bestFit="1" customWidth="1"/>
    <col min="4052" max="4052" width="12.7109375" bestFit="1" customWidth="1"/>
    <col min="4053" max="4053" width="11" customWidth="1"/>
    <col min="4054" max="4054" width="16.7109375" customWidth="1"/>
    <col min="4055" max="4055" width="17" customWidth="1"/>
    <col min="4056" max="4056" width="10.42578125" bestFit="1" customWidth="1"/>
    <col min="4100" max="4100" width="3.85546875" customWidth="1"/>
    <col min="4101" max="4101" width="15.28515625" bestFit="1" customWidth="1"/>
    <col min="4102" max="4102" width="12.28515625" customWidth="1"/>
    <col min="4103" max="4103" width="16.28515625" bestFit="1" customWidth="1"/>
    <col min="4104" max="4104" width="6.42578125" bestFit="1" customWidth="1"/>
    <col min="4105" max="4105" width="9.28515625" bestFit="1" customWidth="1"/>
    <col min="4106" max="4106" width="7.5703125" bestFit="1" customWidth="1"/>
    <col min="4107" max="4107" width="13.28515625" bestFit="1" customWidth="1"/>
    <col min="4108" max="4108" width="9.28515625" bestFit="1" customWidth="1"/>
    <col min="4109" max="4109" width="11.5703125" bestFit="1" customWidth="1"/>
    <col min="4110" max="4110" width="13.28515625" bestFit="1" customWidth="1"/>
    <col min="4111" max="4111" width="7.140625" bestFit="1" customWidth="1"/>
    <col min="4112" max="4112" width="12" bestFit="1" customWidth="1"/>
    <col min="4113" max="4113" width="13.28515625" bestFit="1" customWidth="1"/>
    <col min="4114" max="4114" width="7" bestFit="1" customWidth="1"/>
    <col min="4115" max="4115" width="12.7109375" bestFit="1" customWidth="1"/>
    <col min="4116" max="4116" width="11.5703125" bestFit="1" customWidth="1"/>
    <col min="4117" max="4117" width="10.5703125" bestFit="1" customWidth="1"/>
    <col min="4118" max="4119" width="15.7109375" bestFit="1" customWidth="1"/>
    <col min="4120" max="4120" width="11.5703125" bestFit="1" customWidth="1"/>
    <col min="4121" max="4121" width="7.7109375" bestFit="1" customWidth="1"/>
    <col min="4122" max="4122" width="15.140625" bestFit="1" customWidth="1"/>
    <col min="4123" max="4123" width="11.5703125" bestFit="1" customWidth="1"/>
    <col min="4124" max="4124" width="13.28515625" bestFit="1" customWidth="1"/>
    <col min="4125" max="4125" width="10.42578125" bestFit="1" customWidth="1"/>
    <col min="4126" max="4126" width="13.28515625" bestFit="1" customWidth="1"/>
    <col min="4127" max="4127" width="12.140625" bestFit="1" customWidth="1"/>
    <col min="4128" max="4128" width="14.42578125" bestFit="1" customWidth="1"/>
    <col min="4129" max="4129" width="13.28515625" bestFit="1" customWidth="1"/>
    <col min="4130" max="4130" width="11.5703125" bestFit="1" customWidth="1"/>
    <col min="4131" max="4131" width="7.7109375" bestFit="1" customWidth="1"/>
    <col min="4132" max="4133" width="14.42578125" bestFit="1" customWidth="1"/>
    <col min="4134" max="4134" width="11.5703125" bestFit="1" customWidth="1"/>
    <col min="4135" max="4135" width="7.7109375" bestFit="1" customWidth="1"/>
    <col min="4136" max="4136" width="13.5703125" customWidth="1"/>
    <col min="4137" max="4137" width="15.28515625" customWidth="1"/>
    <col min="4138" max="4138" width="14.5703125" customWidth="1"/>
    <col min="4139" max="4139" width="13.28515625" bestFit="1" customWidth="1"/>
    <col min="4140" max="4140" width="7.7109375" bestFit="1" customWidth="1"/>
    <col min="4141" max="4141" width="12.7109375" bestFit="1" customWidth="1"/>
    <col min="4142" max="4142" width="11.7109375" bestFit="1" customWidth="1"/>
    <col min="4143" max="4143" width="11.5703125" bestFit="1" customWidth="1"/>
    <col min="4144" max="4144" width="5.28515625" bestFit="1" customWidth="1"/>
    <col min="4145" max="4145" width="13.28515625" bestFit="1" customWidth="1"/>
    <col min="4146" max="4146" width="13.5703125" bestFit="1" customWidth="1"/>
    <col min="4147" max="4147" width="10.5703125" bestFit="1" customWidth="1"/>
    <col min="4148" max="4148" width="13.28515625" bestFit="1" customWidth="1"/>
    <col min="4149" max="4149" width="11.5703125" bestFit="1" customWidth="1"/>
    <col min="4150" max="4150" width="10.5703125" bestFit="1" customWidth="1"/>
    <col min="4151" max="4151" width="16.140625" bestFit="1" customWidth="1"/>
    <col min="4152" max="4153" width="11.28515625" bestFit="1" customWidth="1"/>
    <col min="4154" max="4154" width="13.28515625" bestFit="1" customWidth="1"/>
    <col min="4155" max="4155" width="7.7109375" bestFit="1" customWidth="1"/>
    <col min="4156" max="4159" width="9.140625" hidden="1" customWidth="1"/>
    <col min="4160" max="4160" width="10.42578125" bestFit="1" customWidth="1"/>
    <col min="4161" max="4161" width="10.5703125" bestFit="1" customWidth="1"/>
    <col min="4162" max="4162" width="10.42578125" bestFit="1" customWidth="1"/>
    <col min="4163" max="4163" width="10.5703125" bestFit="1" customWidth="1"/>
    <col min="4164" max="4164" width="9.5703125" bestFit="1" customWidth="1"/>
    <col min="4165" max="4165" width="11.5703125" bestFit="1" customWidth="1"/>
    <col min="4166" max="4166" width="10.42578125" bestFit="1" customWidth="1"/>
    <col min="4167" max="4167" width="10.85546875" customWidth="1"/>
    <col min="4168" max="4169" width="9.85546875" bestFit="1" customWidth="1"/>
    <col min="4170" max="4170" width="13.5703125" bestFit="1" customWidth="1"/>
    <col min="4171" max="4171" width="7.7109375" bestFit="1" customWidth="1"/>
    <col min="4172" max="4172" width="13.28515625" bestFit="1" customWidth="1"/>
    <col min="4173" max="4173" width="11.5703125" bestFit="1" customWidth="1"/>
    <col min="4174" max="4174" width="10.42578125" bestFit="1" customWidth="1"/>
    <col min="4175" max="4175" width="7.7109375" bestFit="1" customWidth="1"/>
    <col min="4176" max="4176" width="11.5703125" bestFit="1" customWidth="1"/>
    <col min="4177" max="4177" width="10.85546875" bestFit="1" customWidth="1"/>
    <col min="4178" max="4178" width="13.28515625" bestFit="1" customWidth="1"/>
    <col min="4179" max="4179" width="10.85546875" bestFit="1" customWidth="1"/>
    <col min="4180" max="4181" width="7.5703125" bestFit="1" customWidth="1"/>
    <col min="4182" max="4183" width="10.42578125" bestFit="1" customWidth="1"/>
    <col min="4184" max="4184" width="11.5703125" bestFit="1" customWidth="1"/>
    <col min="4185" max="4185" width="5.28515625" bestFit="1" customWidth="1"/>
    <col min="4186" max="4186" width="10.28515625" bestFit="1" customWidth="1"/>
    <col min="4187" max="4187" width="10.42578125" bestFit="1" customWidth="1"/>
    <col min="4188" max="4188" width="11.5703125" bestFit="1" customWidth="1"/>
    <col min="4189" max="4189" width="5.28515625" bestFit="1" customWidth="1"/>
    <col min="4190" max="4192" width="11.5703125" bestFit="1" customWidth="1"/>
    <col min="4193" max="4193" width="5.28515625" bestFit="1" customWidth="1"/>
    <col min="4194" max="4195" width="10.42578125" bestFit="1" customWidth="1"/>
    <col min="4196" max="4196" width="11.5703125" bestFit="1" customWidth="1"/>
    <col min="4197" max="4197" width="5.28515625" bestFit="1" customWidth="1"/>
    <col min="4198" max="4198" width="14.28515625" bestFit="1" customWidth="1"/>
    <col min="4199" max="4199" width="13" bestFit="1" customWidth="1"/>
    <col min="4200" max="4200" width="11.5703125" bestFit="1" customWidth="1"/>
    <col min="4201" max="4201" width="8.85546875" bestFit="1" customWidth="1"/>
    <col min="4202" max="4202" width="14.42578125" bestFit="1" customWidth="1"/>
    <col min="4203" max="4203" width="10.42578125" bestFit="1" customWidth="1"/>
    <col min="4204" max="4204" width="12.28515625" bestFit="1" customWidth="1"/>
    <col min="4205" max="4205" width="13.85546875" bestFit="1" customWidth="1"/>
    <col min="4206" max="4206" width="11.28515625" customWidth="1"/>
    <col min="4207" max="4207" width="11.5703125" customWidth="1"/>
    <col min="4208" max="4208" width="13.42578125" bestFit="1" customWidth="1"/>
    <col min="4209" max="4209" width="10.42578125" customWidth="1"/>
    <col min="4210" max="4210" width="13.85546875" bestFit="1" customWidth="1"/>
    <col min="4211" max="4211" width="15.42578125" bestFit="1" customWidth="1"/>
    <col min="4212" max="4212" width="12.28515625" bestFit="1" customWidth="1"/>
    <col min="4213" max="4213" width="12.7109375" customWidth="1"/>
    <col min="4214" max="4214" width="10.7109375" bestFit="1" customWidth="1"/>
    <col min="4215" max="4215" width="9.85546875" customWidth="1"/>
    <col min="4216" max="4217" width="10.140625" bestFit="1" customWidth="1"/>
    <col min="4218" max="4218" width="7.5703125" bestFit="1" customWidth="1"/>
    <col min="4219" max="4219" width="9.42578125" bestFit="1" customWidth="1"/>
    <col min="4220" max="4220" width="14.5703125" bestFit="1" customWidth="1"/>
    <col min="4221" max="4221" width="14.85546875" customWidth="1"/>
    <col min="4222" max="4222" width="15.140625" bestFit="1" customWidth="1"/>
    <col min="4223" max="4223" width="12.140625" bestFit="1" customWidth="1"/>
    <col min="4224" max="4224" width="14.85546875" bestFit="1" customWidth="1"/>
    <col min="4225" max="4225" width="12.28515625" bestFit="1" customWidth="1"/>
    <col min="4226" max="4234" width="9.140625" hidden="1" customWidth="1"/>
    <col min="4235" max="4235" width="5.28515625" bestFit="1" customWidth="1"/>
    <col min="4236" max="4241" width="11.5703125" bestFit="1" customWidth="1"/>
    <col min="4242" max="4242" width="11.28515625" bestFit="1" customWidth="1"/>
    <col min="4243" max="4243" width="10.140625" bestFit="1" customWidth="1"/>
    <col min="4244" max="4244" width="11.5703125" bestFit="1" customWidth="1"/>
    <col min="4245" max="4245" width="16.140625" customWidth="1"/>
    <col min="4246" max="4246" width="13.42578125" customWidth="1"/>
    <col min="4247" max="4247" width="10.140625" bestFit="1" customWidth="1"/>
    <col min="4248" max="4248" width="12.85546875" bestFit="1" customWidth="1"/>
    <col min="4249" max="4249" width="12.28515625" bestFit="1" customWidth="1"/>
    <col min="4250" max="4250" width="11.28515625" bestFit="1" customWidth="1"/>
    <col min="4251" max="4251" width="11.5703125" bestFit="1" customWidth="1"/>
    <col min="4252" max="4252" width="10.85546875" bestFit="1" customWidth="1"/>
    <col min="4253" max="4253" width="11.28515625" bestFit="1" customWidth="1"/>
    <col min="4254" max="4254" width="10.140625" bestFit="1" customWidth="1"/>
    <col min="4255" max="4255" width="13.28515625" bestFit="1" customWidth="1"/>
    <col min="4256" max="4257" width="12.7109375" bestFit="1" customWidth="1"/>
    <col min="4258" max="4258" width="11" bestFit="1" customWidth="1"/>
    <col min="4259" max="4259" width="11.28515625" bestFit="1" customWidth="1"/>
    <col min="4260" max="4260" width="11.5703125" bestFit="1" customWidth="1"/>
    <col min="4261" max="4261" width="12.28515625" bestFit="1" customWidth="1"/>
    <col min="4262" max="4262" width="15.140625" bestFit="1" customWidth="1"/>
    <col min="4263" max="4263" width="14.42578125" bestFit="1" customWidth="1"/>
    <col min="4264" max="4264" width="12.28515625" bestFit="1" customWidth="1"/>
    <col min="4265" max="4265" width="15.140625" bestFit="1" customWidth="1"/>
    <col min="4266" max="4266" width="14.42578125" bestFit="1" customWidth="1"/>
    <col min="4267" max="4267" width="12.28515625" bestFit="1" customWidth="1"/>
    <col min="4268" max="4268" width="14.42578125" bestFit="1" customWidth="1"/>
    <col min="4269" max="4269" width="11.28515625" bestFit="1" customWidth="1"/>
    <col min="4270" max="4270" width="12.28515625" bestFit="1" customWidth="1"/>
    <col min="4271" max="4271" width="13" bestFit="1" customWidth="1"/>
    <col min="4272" max="4272" width="15.140625" bestFit="1" customWidth="1"/>
    <col min="4273" max="4273" width="12.28515625" bestFit="1" customWidth="1"/>
    <col min="4274" max="4274" width="13.85546875" bestFit="1" customWidth="1"/>
    <col min="4275" max="4275" width="11.28515625" bestFit="1" customWidth="1"/>
    <col min="4276" max="4276" width="12.28515625" bestFit="1" customWidth="1"/>
    <col min="4277" max="4277" width="13.85546875" bestFit="1" customWidth="1"/>
    <col min="4278" max="4279" width="15.140625" bestFit="1" customWidth="1"/>
    <col min="4280" max="4280" width="12.28515625" bestFit="1" customWidth="1"/>
    <col min="4281" max="4281" width="5.7109375" bestFit="1" customWidth="1"/>
    <col min="4282" max="4282" width="8.5703125" bestFit="1" customWidth="1"/>
    <col min="4283" max="4283" width="5.5703125" bestFit="1" customWidth="1"/>
    <col min="4284" max="4284" width="14.42578125" bestFit="1" customWidth="1"/>
    <col min="4285" max="4285" width="11.28515625" bestFit="1" customWidth="1"/>
    <col min="4286" max="4287" width="12.28515625" bestFit="1" customWidth="1"/>
    <col min="4288" max="4288" width="11.28515625" bestFit="1" customWidth="1"/>
    <col min="4289" max="4289" width="13.85546875" bestFit="1" customWidth="1"/>
    <col min="4290" max="4290" width="12" bestFit="1" customWidth="1"/>
    <col min="4291" max="4291" width="13.85546875" bestFit="1" customWidth="1"/>
    <col min="4292" max="4293" width="14.42578125" customWidth="1"/>
    <col min="4294" max="4294" width="10.140625" bestFit="1" customWidth="1"/>
    <col min="4295" max="4295" width="12.28515625" bestFit="1" customWidth="1"/>
    <col min="4296" max="4296" width="7.42578125" bestFit="1" customWidth="1"/>
    <col min="4297" max="4297" width="8.5703125" bestFit="1" customWidth="1"/>
    <col min="4298" max="4298" width="11.5703125" bestFit="1" customWidth="1"/>
    <col min="4299" max="4299" width="13.28515625" bestFit="1" customWidth="1"/>
    <col min="4300" max="4300" width="13.28515625" customWidth="1"/>
    <col min="4301" max="4301" width="13.140625" customWidth="1"/>
    <col min="4302" max="4302" width="12.7109375" bestFit="1" customWidth="1"/>
    <col min="4303" max="4303" width="13.28515625" bestFit="1" customWidth="1"/>
    <col min="4304" max="4306" width="13.28515625" customWidth="1"/>
    <col min="4307" max="4307" width="12.140625" bestFit="1" customWidth="1"/>
    <col min="4308" max="4308" width="12.7109375" bestFit="1" customWidth="1"/>
    <col min="4309" max="4309" width="11" customWidth="1"/>
    <col min="4310" max="4310" width="16.7109375" customWidth="1"/>
    <col min="4311" max="4311" width="17" customWidth="1"/>
    <col min="4312" max="4312" width="10.42578125" bestFit="1" customWidth="1"/>
    <col min="4356" max="4356" width="3.85546875" customWidth="1"/>
    <col min="4357" max="4357" width="15.28515625" bestFit="1" customWidth="1"/>
    <col min="4358" max="4358" width="12.28515625" customWidth="1"/>
    <col min="4359" max="4359" width="16.28515625" bestFit="1" customWidth="1"/>
    <col min="4360" max="4360" width="6.42578125" bestFit="1" customWidth="1"/>
    <col min="4361" max="4361" width="9.28515625" bestFit="1" customWidth="1"/>
    <col min="4362" max="4362" width="7.5703125" bestFit="1" customWidth="1"/>
    <col min="4363" max="4363" width="13.28515625" bestFit="1" customWidth="1"/>
    <col min="4364" max="4364" width="9.28515625" bestFit="1" customWidth="1"/>
    <col min="4365" max="4365" width="11.5703125" bestFit="1" customWidth="1"/>
    <col min="4366" max="4366" width="13.28515625" bestFit="1" customWidth="1"/>
    <col min="4367" max="4367" width="7.140625" bestFit="1" customWidth="1"/>
    <col min="4368" max="4368" width="12" bestFit="1" customWidth="1"/>
    <col min="4369" max="4369" width="13.28515625" bestFit="1" customWidth="1"/>
    <col min="4370" max="4370" width="7" bestFit="1" customWidth="1"/>
    <col min="4371" max="4371" width="12.7109375" bestFit="1" customWidth="1"/>
    <col min="4372" max="4372" width="11.5703125" bestFit="1" customWidth="1"/>
    <col min="4373" max="4373" width="10.5703125" bestFit="1" customWidth="1"/>
    <col min="4374" max="4375" width="15.7109375" bestFit="1" customWidth="1"/>
    <col min="4376" max="4376" width="11.5703125" bestFit="1" customWidth="1"/>
    <col min="4377" max="4377" width="7.7109375" bestFit="1" customWidth="1"/>
    <col min="4378" max="4378" width="15.140625" bestFit="1" customWidth="1"/>
    <col min="4379" max="4379" width="11.5703125" bestFit="1" customWidth="1"/>
    <col min="4380" max="4380" width="13.28515625" bestFit="1" customWidth="1"/>
    <col min="4381" max="4381" width="10.42578125" bestFit="1" customWidth="1"/>
    <col min="4382" max="4382" width="13.28515625" bestFit="1" customWidth="1"/>
    <col min="4383" max="4383" width="12.140625" bestFit="1" customWidth="1"/>
    <col min="4384" max="4384" width="14.42578125" bestFit="1" customWidth="1"/>
    <col min="4385" max="4385" width="13.28515625" bestFit="1" customWidth="1"/>
    <col min="4386" max="4386" width="11.5703125" bestFit="1" customWidth="1"/>
    <col min="4387" max="4387" width="7.7109375" bestFit="1" customWidth="1"/>
    <col min="4388" max="4389" width="14.42578125" bestFit="1" customWidth="1"/>
    <col min="4390" max="4390" width="11.5703125" bestFit="1" customWidth="1"/>
    <col min="4391" max="4391" width="7.7109375" bestFit="1" customWidth="1"/>
    <col min="4392" max="4392" width="13.5703125" customWidth="1"/>
    <col min="4393" max="4393" width="15.28515625" customWidth="1"/>
    <col min="4394" max="4394" width="14.5703125" customWidth="1"/>
    <col min="4395" max="4395" width="13.28515625" bestFit="1" customWidth="1"/>
    <col min="4396" max="4396" width="7.7109375" bestFit="1" customWidth="1"/>
    <col min="4397" max="4397" width="12.7109375" bestFit="1" customWidth="1"/>
    <col min="4398" max="4398" width="11.7109375" bestFit="1" customWidth="1"/>
    <col min="4399" max="4399" width="11.5703125" bestFit="1" customWidth="1"/>
    <col min="4400" max="4400" width="5.28515625" bestFit="1" customWidth="1"/>
    <col min="4401" max="4401" width="13.28515625" bestFit="1" customWidth="1"/>
    <col min="4402" max="4402" width="13.5703125" bestFit="1" customWidth="1"/>
    <col min="4403" max="4403" width="10.5703125" bestFit="1" customWidth="1"/>
    <col min="4404" max="4404" width="13.28515625" bestFit="1" customWidth="1"/>
    <col min="4405" max="4405" width="11.5703125" bestFit="1" customWidth="1"/>
    <col min="4406" max="4406" width="10.5703125" bestFit="1" customWidth="1"/>
    <col min="4407" max="4407" width="16.140625" bestFit="1" customWidth="1"/>
    <col min="4408" max="4409" width="11.28515625" bestFit="1" customWidth="1"/>
    <col min="4410" max="4410" width="13.28515625" bestFit="1" customWidth="1"/>
    <col min="4411" max="4411" width="7.7109375" bestFit="1" customWidth="1"/>
    <col min="4412" max="4415" width="9.140625" hidden="1" customWidth="1"/>
    <col min="4416" max="4416" width="10.42578125" bestFit="1" customWidth="1"/>
    <col min="4417" max="4417" width="10.5703125" bestFit="1" customWidth="1"/>
    <col min="4418" max="4418" width="10.42578125" bestFit="1" customWidth="1"/>
    <col min="4419" max="4419" width="10.5703125" bestFit="1" customWidth="1"/>
    <col min="4420" max="4420" width="9.5703125" bestFit="1" customWidth="1"/>
    <col min="4421" max="4421" width="11.5703125" bestFit="1" customWidth="1"/>
    <col min="4422" max="4422" width="10.42578125" bestFit="1" customWidth="1"/>
    <col min="4423" max="4423" width="10.85546875" customWidth="1"/>
    <col min="4424" max="4425" width="9.85546875" bestFit="1" customWidth="1"/>
    <col min="4426" max="4426" width="13.5703125" bestFit="1" customWidth="1"/>
    <col min="4427" max="4427" width="7.7109375" bestFit="1" customWidth="1"/>
    <col min="4428" max="4428" width="13.28515625" bestFit="1" customWidth="1"/>
    <col min="4429" max="4429" width="11.5703125" bestFit="1" customWidth="1"/>
    <col min="4430" max="4430" width="10.42578125" bestFit="1" customWidth="1"/>
    <col min="4431" max="4431" width="7.7109375" bestFit="1" customWidth="1"/>
    <col min="4432" max="4432" width="11.5703125" bestFit="1" customWidth="1"/>
    <col min="4433" max="4433" width="10.85546875" bestFit="1" customWidth="1"/>
    <col min="4434" max="4434" width="13.28515625" bestFit="1" customWidth="1"/>
    <col min="4435" max="4435" width="10.85546875" bestFit="1" customWidth="1"/>
    <col min="4436" max="4437" width="7.5703125" bestFit="1" customWidth="1"/>
    <col min="4438" max="4439" width="10.42578125" bestFit="1" customWidth="1"/>
    <col min="4440" max="4440" width="11.5703125" bestFit="1" customWidth="1"/>
    <col min="4441" max="4441" width="5.28515625" bestFit="1" customWidth="1"/>
    <col min="4442" max="4442" width="10.28515625" bestFit="1" customWidth="1"/>
    <col min="4443" max="4443" width="10.42578125" bestFit="1" customWidth="1"/>
    <col min="4444" max="4444" width="11.5703125" bestFit="1" customWidth="1"/>
    <col min="4445" max="4445" width="5.28515625" bestFit="1" customWidth="1"/>
    <col min="4446" max="4448" width="11.5703125" bestFit="1" customWidth="1"/>
    <col min="4449" max="4449" width="5.28515625" bestFit="1" customWidth="1"/>
    <col min="4450" max="4451" width="10.42578125" bestFit="1" customWidth="1"/>
    <col min="4452" max="4452" width="11.5703125" bestFit="1" customWidth="1"/>
    <col min="4453" max="4453" width="5.28515625" bestFit="1" customWidth="1"/>
    <col min="4454" max="4454" width="14.28515625" bestFit="1" customWidth="1"/>
    <col min="4455" max="4455" width="13" bestFit="1" customWidth="1"/>
    <col min="4456" max="4456" width="11.5703125" bestFit="1" customWidth="1"/>
    <col min="4457" max="4457" width="8.85546875" bestFit="1" customWidth="1"/>
    <col min="4458" max="4458" width="14.42578125" bestFit="1" customWidth="1"/>
    <col min="4459" max="4459" width="10.42578125" bestFit="1" customWidth="1"/>
    <col min="4460" max="4460" width="12.28515625" bestFit="1" customWidth="1"/>
    <col min="4461" max="4461" width="13.85546875" bestFit="1" customWidth="1"/>
    <col min="4462" max="4462" width="11.28515625" customWidth="1"/>
    <col min="4463" max="4463" width="11.5703125" customWidth="1"/>
    <col min="4464" max="4464" width="13.42578125" bestFit="1" customWidth="1"/>
    <col min="4465" max="4465" width="10.42578125" customWidth="1"/>
    <col min="4466" max="4466" width="13.85546875" bestFit="1" customWidth="1"/>
    <col min="4467" max="4467" width="15.42578125" bestFit="1" customWidth="1"/>
    <col min="4468" max="4468" width="12.28515625" bestFit="1" customWidth="1"/>
    <col min="4469" max="4469" width="12.7109375" customWidth="1"/>
    <col min="4470" max="4470" width="10.7109375" bestFit="1" customWidth="1"/>
    <col min="4471" max="4471" width="9.85546875" customWidth="1"/>
    <col min="4472" max="4473" width="10.140625" bestFit="1" customWidth="1"/>
    <col min="4474" max="4474" width="7.5703125" bestFit="1" customWidth="1"/>
    <col min="4475" max="4475" width="9.42578125" bestFit="1" customWidth="1"/>
    <col min="4476" max="4476" width="14.5703125" bestFit="1" customWidth="1"/>
    <col min="4477" max="4477" width="14.85546875" customWidth="1"/>
    <col min="4478" max="4478" width="15.140625" bestFit="1" customWidth="1"/>
    <col min="4479" max="4479" width="12.140625" bestFit="1" customWidth="1"/>
    <col min="4480" max="4480" width="14.85546875" bestFit="1" customWidth="1"/>
    <col min="4481" max="4481" width="12.28515625" bestFit="1" customWidth="1"/>
    <col min="4482" max="4490" width="9.140625" hidden="1" customWidth="1"/>
    <col min="4491" max="4491" width="5.28515625" bestFit="1" customWidth="1"/>
    <col min="4492" max="4497" width="11.5703125" bestFit="1" customWidth="1"/>
    <col min="4498" max="4498" width="11.28515625" bestFit="1" customWidth="1"/>
    <col min="4499" max="4499" width="10.140625" bestFit="1" customWidth="1"/>
    <col min="4500" max="4500" width="11.5703125" bestFit="1" customWidth="1"/>
    <col min="4501" max="4501" width="16.140625" customWidth="1"/>
    <col min="4502" max="4502" width="13.42578125" customWidth="1"/>
    <col min="4503" max="4503" width="10.140625" bestFit="1" customWidth="1"/>
    <col min="4504" max="4504" width="12.85546875" bestFit="1" customWidth="1"/>
    <col min="4505" max="4505" width="12.28515625" bestFit="1" customWidth="1"/>
    <col min="4506" max="4506" width="11.28515625" bestFit="1" customWidth="1"/>
    <col min="4507" max="4507" width="11.5703125" bestFit="1" customWidth="1"/>
    <col min="4508" max="4508" width="10.85546875" bestFit="1" customWidth="1"/>
    <col min="4509" max="4509" width="11.28515625" bestFit="1" customWidth="1"/>
    <col min="4510" max="4510" width="10.140625" bestFit="1" customWidth="1"/>
    <col min="4511" max="4511" width="13.28515625" bestFit="1" customWidth="1"/>
    <col min="4512" max="4513" width="12.7109375" bestFit="1" customWidth="1"/>
    <col min="4514" max="4514" width="11" bestFit="1" customWidth="1"/>
    <col min="4515" max="4515" width="11.28515625" bestFit="1" customWidth="1"/>
    <col min="4516" max="4516" width="11.5703125" bestFit="1" customWidth="1"/>
    <col min="4517" max="4517" width="12.28515625" bestFit="1" customWidth="1"/>
    <col min="4518" max="4518" width="15.140625" bestFit="1" customWidth="1"/>
    <col min="4519" max="4519" width="14.42578125" bestFit="1" customWidth="1"/>
    <col min="4520" max="4520" width="12.28515625" bestFit="1" customWidth="1"/>
    <col min="4521" max="4521" width="15.140625" bestFit="1" customWidth="1"/>
    <col min="4522" max="4522" width="14.42578125" bestFit="1" customWidth="1"/>
    <col min="4523" max="4523" width="12.28515625" bestFit="1" customWidth="1"/>
    <col min="4524" max="4524" width="14.42578125" bestFit="1" customWidth="1"/>
    <col min="4525" max="4525" width="11.28515625" bestFit="1" customWidth="1"/>
    <col min="4526" max="4526" width="12.28515625" bestFit="1" customWidth="1"/>
    <col min="4527" max="4527" width="13" bestFit="1" customWidth="1"/>
    <col min="4528" max="4528" width="15.140625" bestFit="1" customWidth="1"/>
    <col min="4529" max="4529" width="12.28515625" bestFit="1" customWidth="1"/>
    <col min="4530" max="4530" width="13.85546875" bestFit="1" customWidth="1"/>
    <col min="4531" max="4531" width="11.28515625" bestFit="1" customWidth="1"/>
    <col min="4532" max="4532" width="12.28515625" bestFit="1" customWidth="1"/>
    <col min="4533" max="4533" width="13.85546875" bestFit="1" customWidth="1"/>
    <col min="4534" max="4535" width="15.140625" bestFit="1" customWidth="1"/>
    <col min="4536" max="4536" width="12.28515625" bestFit="1" customWidth="1"/>
    <col min="4537" max="4537" width="5.7109375" bestFit="1" customWidth="1"/>
    <col min="4538" max="4538" width="8.5703125" bestFit="1" customWidth="1"/>
    <col min="4539" max="4539" width="5.5703125" bestFit="1" customWidth="1"/>
    <col min="4540" max="4540" width="14.42578125" bestFit="1" customWidth="1"/>
    <col min="4541" max="4541" width="11.28515625" bestFit="1" customWidth="1"/>
    <col min="4542" max="4543" width="12.28515625" bestFit="1" customWidth="1"/>
    <col min="4544" max="4544" width="11.28515625" bestFit="1" customWidth="1"/>
    <col min="4545" max="4545" width="13.85546875" bestFit="1" customWidth="1"/>
    <col min="4546" max="4546" width="12" bestFit="1" customWidth="1"/>
    <col min="4547" max="4547" width="13.85546875" bestFit="1" customWidth="1"/>
    <col min="4548" max="4549" width="14.42578125" customWidth="1"/>
    <col min="4550" max="4550" width="10.140625" bestFit="1" customWidth="1"/>
    <col min="4551" max="4551" width="12.28515625" bestFit="1" customWidth="1"/>
    <col min="4552" max="4552" width="7.42578125" bestFit="1" customWidth="1"/>
    <col min="4553" max="4553" width="8.5703125" bestFit="1" customWidth="1"/>
    <col min="4554" max="4554" width="11.5703125" bestFit="1" customWidth="1"/>
    <col min="4555" max="4555" width="13.28515625" bestFit="1" customWidth="1"/>
    <col min="4556" max="4556" width="13.28515625" customWidth="1"/>
    <col min="4557" max="4557" width="13.140625" customWidth="1"/>
    <col min="4558" max="4558" width="12.7109375" bestFit="1" customWidth="1"/>
    <col min="4559" max="4559" width="13.28515625" bestFit="1" customWidth="1"/>
    <col min="4560" max="4562" width="13.28515625" customWidth="1"/>
    <col min="4563" max="4563" width="12.140625" bestFit="1" customWidth="1"/>
    <col min="4564" max="4564" width="12.7109375" bestFit="1" customWidth="1"/>
    <col min="4565" max="4565" width="11" customWidth="1"/>
    <col min="4566" max="4566" width="16.7109375" customWidth="1"/>
    <col min="4567" max="4567" width="17" customWidth="1"/>
    <col min="4568" max="4568" width="10.42578125" bestFit="1" customWidth="1"/>
    <col min="4612" max="4612" width="3.85546875" customWidth="1"/>
    <col min="4613" max="4613" width="15.28515625" bestFit="1" customWidth="1"/>
    <col min="4614" max="4614" width="12.28515625" customWidth="1"/>
    <col min="4615" max="4615" width="16.28515625" bestFit="1" customWidth="1"/>
    <col min="4616" max="4616" width="6.42578125" bestFit="1" customWidth="1"/>
    <col min="4617" max="4617" width="9.28515625" bestFit="1" customWidth="1"/>
    <col min="4618" max="4618" width="7.5703125" bestFit="1" customWidth="1"/>
    <col min="4619" max="4619" width="13.28515625" bestFit="1" customWidth="1"/>
    <col min="4620" max="4620" width="9.28515625" bestFit="1" customWidth="1"/>
    <col min="4621" max="4621" width="11.5703125" bestFit="1" customWidth="1"/>
    <col min="4622" max="4622" width="13.28515625" bestFit="1" customWidth="1"/>
    <col min="4623" max="4623" width="7.140625" bestFit="1" customWidth="1"/>
    <col min="4624" max="4624" width="12" bestFit="1" customWidth="1"/>
    <col min="4625" max="4625" width="13.28515625" bestFit="1" customWidth="1"/>
    <col min="4626" max="4626" width="7" bestFit="1" customWidth="1"/>
    <col min="4627" max="4627" width="12.7109375" bestFit="1" customWidth="1"/>
    <col min="4628" max="4628" width="11.5703125" bestFit="1" customWidth="1"/>
    <col min="4629" max="4629" width="10.5703125" bestFit="1" customWidth="1"/>
    <col min="4630" max="4631" width="15.7109375" bestFit="1" customWidth="1"/>
    <col min="4632" max="4632" width="11.5703125" bestFit="1" customWidth="1"/>
    <col min="4633" max="4633" width="7.7109375" bestFit="1" customWidth="1"/>
    <col min="4634" max="4634" width="15.140625" bestFit="1" customWidth="1"/>
    <col min="4635" max="4635" width="11.5703125" bestFit="1" customWidth="1"/>
    <col min="4636" max="4636" width="13.28515625" bestFit="1" customWidth="1"/>
    <col min="4637" max="4637" width="10.42578125" bestFit="1" customWidth="1"/>
    <col min="4638" max="4638" width="13.28515625" bestFit="1" customWidth="1"/>
    <col min="4639" max="4639" width="12.140625" bestFit="1" customWidth="1"/>
    <col min="4640" max="4640" width="14.42578125" bestFit="1" customWidth="1"/>
    <col min="4641" max="4641" width="13.28515625" bestFit="1" customWidth="1"/>
    <col min="4642" max="4642" width="11.5703125" bestFit="1" customWidth="1"/>
    <col min="4643" max="4643" width="7.7109375" bestFit="1" customWidth="1"/>
    <col min="4644" max="4645" width="14.42578125" bestFit="1" customWidth="1"/>
    <col min="4646" max="4646" width="11.5703125" bestFit="1" customWidth="1"/>
    <col min="4647" max="4647" width="7.7109375" bestFit="1" customWidth="1"/>
    <col min="4648" max="4648" width="13.5703125" customWidth="1"/>
    <col min="4649" max="4649" width="15.28515625" customWidth="1"/>
    <col min="4650" max="4650" width="14.5703125" customWidth="1"/>
    <col min="4651" max="4651" width="13.28515625" bestFit="1" customWidth="1"/>
    <col min="4652" max="4652" width="7.7109375" bestFit="1" customWidth="1"/>
    <col min="4653" max="4653" width="12.7109375" bestFit="1" customWidth="1"/>
    <col min="4654" max="4654" width="11.7109375" bestFit="1" customWidth="1"/>
    <col min="4655" max="4655" width="11.5703125" bestFit="1" customWidth="1"/>
    <col min="4656" max="4656" width="5.28515625" bestFit="1" customWidth="1"/>
    <col min="4657" max="4657" width="13.28515625" bestFit="1" customWidth="1"/>
    <col min="4658" max="4658" width="13.5703125" bestFit="1" customWidth="1"/>
    <col min="4659" max="4659" width="10.5703125" bestFit="1" customWidth="1"/>
    <col min="4660" max="4660" width="13.28515625" bestFit="1" customWidth="1"/>
    <col min="4661" max="4661" width="11.5703125" bestFit="1" customWidth="1"/>
    <col min="4662" max="4662" width="10.5703125" bestFit="1" customWidth="1"/>
    <col min="4663" max="4663" width="16.140625" bestFit="1" customWidth="1"/>
    <col min="4664" max="4665" width="11.28515625" bestFit="1" customWidth="1"/>
    <col min="4666" max="4666" width="13.28515625" bestFit="1" customWidth="1"/>
    <col min="4667" max="4667" width="7.7109375" bestFit="1" customWidth="1"/>
    <col min="4668" max="4671" width="9.140625" hidden="1" customWidth="1"/>
    <col min="4672" max="4672" width="10.42578125" bestFit="1" customWidth="1"/>
    <col min="4673" max="4673" width="10.5703125" bestFit="1" customWidth="1"/>
    <col min="4674" max="4674" width="10.42578125" bestFit="1" customWidth="1"/>
    <col min="4675" max="4675" width="10.5703125" bestFit="1" customWidth="1"/>
    <col min="4676" max="4676" width="9.5703125" bestFit="1" customWidth="1"/>
    <col min="4677" max="4677" width="11.5703125" bestFit="1" customWidth="1"/>
    <col min="4678" max="4678" width="10.42578125" bestFit="1" customWidth="1"/>
    <col min="4679" max="4679" width="10.85546875" customWidth="1"/>
    <col min="4680" max="4681" width="9.85546875" bestFit="1" customWidth="1"/>
    <col min="4682" max="4682" width="13.5703125" bestFit="1" customWidth="1"/>
    <col min="4683" max="4683" width="7.7109375" bestFit="1" customWidth="1"/>
    <col min="4684" max="4684" width="13.28515625" bestFit="1" customWidth="1"/>
    <col min="4685" max="4685" width="11.5703125" bestFit="1" customWidth="1"/>
    <col min="4686" max="4686" width="10.42578125" bestFit="1" customWidth="1"/>
    <col min="4687" max="4687" width="7.7109375" bestFit="1" customWidth="1"/>
    <col min="4688" max="4688" width="11.5703125" bestFit="1" customWidth="1"/>
    <col min="4689" max="4689" width="10.85546875" bestFit="1" customWidth="1"/>
    <col min="4690" max="4690" width="13.28515625" bestFit="1" customWidth="1"/>
    <col min="4691" max="4691" width="10.85546875" bestFit="1" customWidth="1"/>
    <col min="4692" max="4693" width="7.5703125" bestFit="1" customWidth="1"/>
    <col min="4694" max="4695" width="10.42578125" bestFit="1" customWidth="1"/>
    <col min="4696" max="4696" width="11.5703125" bestFit="1" customWidth="1"/>
    <col min="4697" max="4697" width="5.28515625" bestFit="1" customWidth="1"/>
    <col min="4698" max="4698" width="10.28515625" bestFit="1" customWidth="1"/>
    <col min="4699" max="4699" width="10.42578125" bestFit="1" customWidth="1"/>
    <col min="4700" max="4700" width="11.5703125" bestFit="1" customWidth="1"/>
    <col min="4701" max="4701" width="5.28515625" bestFit="1" customWidth="1"/>
    <col min="4702" max="4704" width="11.5703125" bestFit="1" customWidth="1"/>
    <col min="4705" max="4705" width="5.28515625" bestFit="1" customWidth="1"/>
    <col min="4706" max="4707" width="10.42578125" bestFit="1" customWidth="1"/>
    <col min="4708" max="4708" width="11.5703125" bestFit="1" customWidth="1"/>
    <col min="4709" max="4709" width="5.28515625" bestFit="1" customWidth="1"/>
    <col min="4710" max="4710" width="14.28515625" bestFit="1" customWidth="1"/>
    <col min="4711" max="4711" width="13" bestFit="1" customWidth="1"/>
    <col min="4712" max="4712" width="11.5703125" bestFit="1" customWidth="1"/>
    <col min="4713" max="4713" width="8.85546875" bestFit="1" customWidth="1"/>
    <col min="4714" max="4714" width="14.42578125" bestFit="1" customWidth="1"/>
    <col min="4715" max="4715" width="10.42578125" bestFit="1" customWidth="1"/>
    <col min="4716" max="4716" width="12.28515625" bestFit="1" customWidth="1"/>
    <col min="4717" max="4717" width="13.85546875" bestFit="1" customWidth="1"/>
    <col min="4718" max="4718" width="11.28515625" customWidth="1"/>
    <col min="4719" max="4719" width="11.5703125" customWidth="1"/>
    <col min="4720" max="4720" width="13.42578125" bestFit="1" customWidth="1"/>
    <col min="4721" max="4721" width="10.42578125" customWidth="1"/>
    <col min="4722" max="4722" width="13.85546875" bestFit="1" customWidth="1"/>
    <col min="4723" max="4723" width="15.42578125" bestFit="1" customWidth="1"/>
    <col min="4724" max="4724" width="12.28515625" bestFit="1" customWidth="1"/>
    <col min="4725" max="4725" width="12.7109375" customWidth="1"/>
    <col min="4726" max="4726" width="10.7109375" bestFit="1" customWidth="1"/>
    <col min="4727" max="4727" width="9.85546875" customWidth="1"/>
    <col min="4728" max="4729" width="10.140625" bestFit="1" customWidth="1"/>
    <col min="4730" max="4730" width="7.5703125" bestFit="1" customWidth="1"/>
    <col min="4731" max="4731" width="9.42578125" bestFit="1" customWidth="1"/>
    <col min="4732" max="4732" width="14.5703125" bestFit="1" customWidth="1"/>
    <col min="4733" max="4733" width="14.85546875" customWidth="1"/>
    <col min="4734" max="4734" width="15.140625" bestFit="1" customWidth="1"/>
    <col min="4735" max="4735" width="12.140625" bestFit="1" customWidth="1"/>
    <col min="4736" max="4736" width="14.85546875" bestFit="1" customWidth="1"/>
    <col min="4737" max="4737" width="12.28515625" bestFit="1" customWidth="1"/>
    <col min="4738" max="4746" width="9.140625" hidden="1" customWidth="1"/>
    <col min="4747" max="4747" width="5.28515625" bestFit="1" customWidth="1"/>
    <col min="4748" max="4753" width="11.5703125" bestFit="1" customWidth="1"/>
    <col min="4754" max="4754" width="11.28515625" bestFit="1" customWidth="1"/>
    <col min="4755" max="4755" width="10.140625" bestFit="1" customWidth="1"/>
    <col min="4756" max="4756" width="11.5703125" bestFit="1" customWidth="1"/>
    <col min="4757" max="4757" width="16.140625" customWidth="1"/>
    <col min="4758" max="4758" width="13.42578125" customWidth="1"/>
    <col min="4759" max="4759" width="10.140625" bestFit="1" customWidth="1"/>
    <col min="4760" max="4760" width="12.85546875" bestFit="1" customWidth="1"/>
    <col min="4761" max="4761" width="12.28515625" bestFit="1" customWidth="1"/>
    <col min="4762" max="4762" width="11.28515625" bestFit="1" customWidth="1"/>
    <col min="4763" max="4763" width="11.5703125" bestFit="1" customWidth="1"/>
    <col min="4764" max="4764" width="10.85546875" bestFit="1" customWidth="1"/>
    <col min="4765" max="4765" width="11.28515625" bestFit="1" customWidth="1"/>
    <col min="4766" max="4766" width="10.140625" bestFit="1" customWidth="1"/>
    <col min="4767" max="4767" width="13.28515625" bestFit="1" customWidth="1"/>
    <col min="4768" max="4769" width="12.7109375" bestFit="1" customWidth="1"/>
    <col min="4770" max="4770" width="11" bestFit="1" customWidth="1"/>
    <col min="4771" max="4771" width="11.28515625" bestFit="1" customWidth="1"/>
    <col min="4772" max="4772" width="11.5703125" bestFit="1" customWidth="1"/>
    <col min="4773" max="4773" width="12.28515625" bestFit="1" customWidth="1"/>
    <col min="4774" max="4774" width="15.140625" bestFit="1" customWidth="1"/>
    <col min="4775" max="4775" width="14.42578125" bestFit="1" customWidth="1"/>
    <col min="4776" max="4776" width="12.28515625" bestFit="1" customWidth="1"/>
    <col min="4777" max="4777" width="15.140625" bestFit="1" customWidth="1"/>
    <col min="4778" max="4778" width="14.42578125" bestFit="1" customWidth="1"/>
    <col min="4779" max="4779" width="12.28515625" bestFit="1" customWidth="1"/>
    <col min="4780" max="4780" width="14.42578125" bestFit="1" customWidth="1"/>
    <col min="4781" max="4781" width="11.28515625" bestFit="1" customWidth="1"/>
    <col min="4782" max="4782" width="12.28515625" bestFit="1" customWidth="1"/>
    <col min="4783" max="4783" width="13" bestFit="1" customWidth="1"/>
    <col min="4784" max="4784" width="15.140625" bestFit="1" customWidth="1"/>
    <col min="4785" max="4785" width="12.28515625" bestFit="1" customWidth="1"/>
    <col min="4786" max="4786" width="13.85546875" bestFit="1" customWidth="1"/>
    <col min="4787" max="4787" width="11.28515625" bestFit="1" customWidth="1"/>
    <col min="4788" max="4788" width="12.28515625" bestFit="1" customWidth="1"/>
    <col min="4789" max="4789" width="13.85546875" bestFit="1" customWidth="1"/>
    <col min="4790" max="4791" width="15.140625" bestFit="1" customWidth="1"/>
    <col min="4792" max="4792" width="12.28515625" bestFit="1" customWidth="1"/>
    <col min="4793" max="4793" width="5.7109375" bestFit="1" customWidth="1"/>
    <col min="4794" max="4794" width="8.5703125" bestFit="1" customWidth="1"/>
    <col min="4795" max="4795" width="5.5703125" bestFit="1" customWidth="1"/>
    <col min="4796" max="4796" width="14.42578125" bestFit="1" customWidth="1"/>
    <col min="4797" max="4797" width="11.28515625" bestFit="1" customWidth="1"/>
    <col min="4798" max="4799" width="12.28515625" bestFit="1" customWidth="1"/>
    <col min="4800" max="4800" width="11.28515625" bestFit="1" customWidth="1"/>
    <col min="4801" max="4801" width="13.85546875" bestFit="1" customWidth="1"/>
    <col min="4802" max="4802" width="12" bestFit="1" customWidth="1"/>
    <col min="4803" max="4803" width="13.85546875" bestFit="1" customWidth="1"/>
    <col min="4804" max="4805" width="14.42578125" customWidth="1"/>
    <col min="4806" max="4806" width="10.140625" bestFit="1" customWidth="1"/>
    <col min="4807" max="4807" width="12.28515625" bestFit="1" customWidth="1"/>
    <col min="4808" max="4808" width="7.42578125" bestFit="1" customWidth="1"/>
    <col min="4809" max="4809" width="8.5703125" bestFit="1" customWidth="1"/>
    <col min="4810" max="4810" width="11.5703125" bestFit="1" customWidth="1"/>
    <col min="4811" max="4811" width="13.28515625" bestFit="1" customWidth="1"/>
    <col min="4812" max="4812" width="13.28515625" customWidth="1"/>
    <col min="4813" max="4813" width="13.140625" customWidth="1"/>
    <col min="4814" max="4814" width="12.7109375" bestFit="1" customWidth="1"/>
    <col min="4815" max="4815" width="13.28515625" bestFit="1" customWidth="1"/>
    <col min="4816" max="4818" width="13.28515625" customWidth="1"/>
    <col min="4819" max="4819" width="12.140625" bestFit="1" customWidth="1"/>
    <col min="4820" max="4820" width="12.7109375" bestFit="1" customWidth="1"/>
    <col min="4821" max="4821" width="11" customWidth="1"/>
    <col min="4822" max="4822" width="16.7109375" customWidth="1"/>
    <col min="4823" max="4823" width="17" customWidth="1"/>
    <col min="4824" max="4824" width="10.42578125" bestFit="1" customWidth="1"/>
    <col min="4868" max="4868" width="3.85546875" customWidth="1"/>
    <col min="4869" max="4869" width="15.28515625" bestFit="1" customWidth="1"/>
    <col min="4870" max="4870" width="12.28515625" customWidth="1"/>
    <col min="4871" max="4871" width="16.28515625" bestFit="1" customWidth="1"/>
    <col min="4872" max="4872" width="6.42578125" bestFit="1" customWidth="1"/>
    <col min="4873" max="4873" width="9.28515625" bestFit="1" customWidth="1"/>
    <col min="4874" max="4874" width="7.5703125" bestFit="1" customWidth="1"/>
    <col min="4875" max="4875" width="13.28515625" bestFit="1" customWidth="1"/>
    <col min="4876" max="4876" width="9.28515625" bestFit="1" customWidth="1"/>
    <col min="4877" max="4877" width="11.5703125" bestFit="1" customWidth="1"/>
    <col min="4878" max="4878" width="13.28515625" bestFit="1" customWidth="1"/>
    <col min="4879" max="4879" width="7.140625" bestFit="1" customWidth="1"/>
    <col min="4880" max="4880" width="12" bestFit="1" customWidth="1"/>
    <col min="4881" max="4881" width="13.28515625" bestFit="1" customWidth="1"/>
    <col min="4882" max="4882" width="7" bestFit="1" customWidth="1"/>
    <col min="4883" max="4883" width="12.7109375" bestFit="1" customWidth="1"/>
    <col min="4884" max="4884" width="11.5703125" bestFit="1" customWidth="1"/>
    <col min="4885" max="4885" width="10.5703125" bestFit="1" customWidth="1"/>
    <col min="4886" max="4887" width="15.7109375" bestFit="1" customWidth="1"/>
    <col min="4888" max="4888" width="11.5703125" bestFit="1" customWidth="1"/>
    <col min="4889" max="4889" width="7.7109375" bestFit="1" customWidth="1"/>
    <col min="4890" max="4890" width="15.140625" bestFit="1" customWidth="1"/>
    <col min="4891" max="4891" width="11.5703125" bestFit="1" customWidth="1"/>
    <col min="4892" max="4892" width="13.28515625" bestFit="1" customWidth="1"/>
    <col min="4893" max="4893" width="10.42578125" bestFit="1" customWidth="1"/>
    <col min="4894" max="4894" width="13.28515625" bestFit="1" customWidth="1"/>
    <col min="4895" max="4895" width="12.140625" bestFit="1" customWidth="1"/>
    <col min="4896" max="4896" width="14.42578125" bestFit="1" customWidth="1"/>
    <col min="4897" max="4897" width="13.28515625" bestFit="1" customWidth="1"/>
    <col min="4898" max="4898" width="11.5703125" bestFit="1" customWidth="1"/>
    <col min="4899" max="4899" width="7.7109375" bestFit="1" customWidth="1"/>
    <col min="4900" max="4901" width="14.42578125" bestFit="1" customWidth="1"/>
    <col min="4902" max="4902" width="11.5703125" bestFit="1" customWidth="1"/>
    <col min="4903" max="4903" width="7.7109375" bestFit="1" customWidth="1"/>
    <col min="4904" max="4904" width="13.5703125" customWidth="1"/>
    <col min="4905" max="4905" width="15.28515625" customWidth="1"/>
    <col min="4906" max="4906" width="14.5703125" customWidth="1"/>
    <col min="4907" max="4907" width="13.28515625" bestFit="1" customWidth="1"/>
    <col min="4908" max="4908" width="7.7109375" bestFit="1" customWidth="1"/>
    <col min="4909" max="4909" width="12.7109375" bestFit="1" customWidth="1"/>
    <col min="4910" max="4910" width="11.7109375" bestFit="1" customWidth="1"/>
    <col min="4911" max="4911" width="11.5703125" bestFit="1" customWidth="1"/>
    <col min="4912" max="4912" width="5.28515625" bestFit="1" customWidth="1"/>
    <col min="4913" max="4913" width="13.28515625" bestFit="1" customWidth="1"/>
    <col min="4914" max="4914" width="13.5703125" bestFit="1" customWidth="1"/>
    <col min="4915" max="4915" width="10.5703125" bestFit="1" customWidth="1"/>
    <col min="4916" max="4916" width="13.28515625" bestFit="1" customWidth="1"/>
    <col min="4917" max="4917" width="11.5703125" bestFit="1" customWidth="1"/>
    <col min="4918" max="4918" width="10.5703125" bestFit="1" customWidth="1"/>
    <col min="4919" max="4919" width="16.140625" bestFit="1" customWidth="1"/>
    <col min="4920" max="4921" width="11.28515625" bestFit="1" customWidth="1"/>
    <col min="4922" max="4922" width="13.28515625" bestFit="1" customWidth="1"/>
    <col min="4923" max="4923" width="7.7109375" bestFit="1" customWidth="1"/>
    <col min="4924" max="4927" width="9.140625" hidden="1" customWidth="1"/>
    <col min="4928" max="4928" width="10.42578125" bestFit="1" customWidth="1"/>
    <col min="4929" max="4929" width="10.5703125" bestFit="1" customWidth="1"/>
    <col min="4930" max="4930" width="10.42578125" bestFit="1" customWidth="1"/>
    <col min="4931" max="4931" width="10.5703125" bestFit="1" customWidth="1"/>
    <col min="4932" max="4932" width="9.5703125" bestFit="1" customWidth="1"/>
    <col min="4933" max="4933" width="11.5703125" bestFit="1" customWidth="1"/>
    <col min="4934" max="4934" width="10.42578125" bestFit="1" customWidth="1"/>
    <col min="4935" max="4935" width="10.85546875" customWidth="1"/>
    <col min="4936" max="4937" width="9.85546875" bestFit="1" customWidth="1"/>
    <col min="4938" max="4938" width="13.5703125" bestFit="1" customWidth="1"/>
    <col min="4939" max="4939" width="7.7109375" bestFit="1" customWidth="1"/>
    <col min="4940" max="4940" width="13.28515625" bestFit="1" customWidth="1"/>
    <col min="4941" max="4941" width="11.5703125" bestFit="1" customWidth="1"/>
    <col min="4942" max="4942" width="10.42578125" bestFit="1" customWidth="1"/>
    <col min="4943" max="4943" width="7.7109375" bestFit="1" customWidth="1"/>
    <col min="4944" max="4944" width="11.5703125" bestFit="1" customWidth="1"/>
    <col min="4945" max="4945" width="10.85546875" bestFit="1" customWidth="1"/>
    <col min="4946" max="4946" width="13.28515625" bestFit="1" customWidth="1"/>
    <col min="4947" max="4947" width="10.85546875" bestFit="1" customWidth="1"/>
    <col min="4948" max="4949" width="7.5703125" bestFit="1" customWidth="1"/>
    <col min="4950" max="4951" width="10.42578125" bestFit="1" customWidth="1"/>
    <col min="4952" max="4952" width="11.5703125" bestFit="1" customWidth="1"/>
    <col min="4953" max="4953" width="5.28515625" bestFit="1" customWidth="1"/>
    <col min="4954" max="4954" width="10.28515625" bestFit="1" customWidth="1"/>
    <col min="4955" max="4955" width="10.42578125" bestFit="1" customWidth="1"/>
    <col min="4956" max="4956" width="11.5703125" bestFit="1" customWidth="1"/>
    <col min="4957" max="4957" width="5.28515625" bestFit="1" customWidth="1"/>
    <col min="4958" max="4960" width="11.5703125" bestFit="1" customWidth="1"/>
    <col min="4961" max="4961" width="5.28515625" bestFit="1" customWidth="1"/>
    <col min="4962" max="4963" width="10.42578125" bestFit="1" customWidth="1"/>
    <col min="4964" max="4964" width="11.5703125" bestFit="1" customWidth="1"/>
    <col min="4965" max="4965" width="5.28515625" bestFit="1" customWidth="1"/>
    <col min="4966" max="4966" width="14.28515625" bestFit="1" customWidth="1"/>
    <col min="4967" max="4967" width="13" bestFit="1" customWidth="1"/>
    <col min="4968" max="4968" width="11.5703125" bestFit="1" customWidth="1"/>
    <col min="4969" max="4969" width="8.85546875" bestFit="1" customWidth="1"/>
    <col min="4970" max="4970" width="14.42578125" bestFit="1" customWidth="1"/>
    <col min="4971" max="4971" width="10.42578125" bestFit="1" customWidth="1"/>
    <col min="4972" max="4972" width="12.28515625" bestFit="1" customWidth="1"/>
    <col min="4973" max="4973" width="13.85546875" bestFit="1" customWidth="1"/>
    <col min="4974" max="4974" width="11.28515625" customWidth="1"/>
    <col min="4975" max="4975" width="11.5703125" customWidth="1"/>
    <col min="4976" max="4976" width="13.42578125" bestFit="1" customWidth="1"/>
    <col min="4977" max="4977" width="10.42578125" customWidth="1"/>
    <col min="4978" max="4978" width="13.85546875" bestFit="1" customWidth="1"/>
    <col min="4979" max="4979" width="15.42578125" bestFit="1" customWidth="1"/>
    <col min="4980" max="4980" width="12.28515625" bestFit="1" customWidth="1"/>
    <col min="4981" max="4981" width="12.7109375" customWidth="1"/>
    <col min="4982" max="4982" width="10.7109375" bestFit="1" customWidth="1"/>
    <col min="4983" max="4983" width="9.85546875" customWidth="1"/>
    <col min="4984" max="4985" width="10.140625" bestFit="1" customWidth="1"/>
    <col min="4986" max="4986" width="7.5703125" bestFit="1" customWidth="1"/>
    <col min="4987" max="4987" width="9.42578125" bestFit="1" customWidth="1"/>
    <col min="4988" max="4988" width="14.5703125" bestFit="1" customWidth="1"/>
    <col min="4989" max="4989" width="14.85546875" customWidth="1"/>
    <col min="4990" max="4990" width="15.140625" bestFit="1" customWidth="1"/>
    <col min="4991" max="4991" width="12.140625" bestFit="1" customWidth="1"/>
    <col min="4992" max="4992" width="14.85546875" bestFit="1" customWidth="1"/>
    <col min="4993" max="4993" width="12.28515625" bestFit="1" customWidth="1"/>
    <col min="4994" max="5002" width="9.140625" hidden="1" customWidth="1"/>
    <col min="5003" max="5003" width="5.28515625" bestFit="1" customWidth="1"/>
    <col min="5004" max="5009" width="11.5703125" bestFit="1" customWidth="1"/>
    <col min="5010" max="5010" width="11.28515625" bestFit="1" customWidth="1"/>
    <col min="5011" max="5011" width="10.140625" bestFit="1" customWidth="1"/>
    <col min="5012" max="5012" width="11.5703125" bestFit="1" customWidth="1"/>
    <col min="5013" max="5013" width="16.140625" customWidth="1"/>
    <col min="5014" max="5014" width="13.42578125" customWidth="1"/>
    <col min="5015" max="5015" width="10.140625" bestFit="1" customWidth="1"/>
    <col min="5016" max="5016" width="12.85546875" bestFit="1" customWidth="1"/>
    <col min="5017" max="5017" width="12.28515625" bestFit="1" customWidth="1"/>
    <col min="5018" max="5018" width="11.28515625" bestFit="1" customWidth="1"/>
    <col min="5019" max="5019" width="11.5703125" bestFit="1" customWidth="1"/>
    <col min="5020" max="5020" width="10.85546875" bestFit="1" customWidth="1"/>
    <col min="5021" max="5021" width="11.28515625" bestFit="1" customWidth="1"/>
    <col min="5022" max="5022" width="10.140625" bestFit="1" customWidth="1"/>
    <col min="5023" max="5023" width="13.28515625" bestFit="1" customWidth="1"/>
    <col min="5024" max="5025" width="12.7109375" bestFit="1" customWidth="1"/>
    <col min="5026" max="5026" width="11" bestFit="1" customWidth="1"/>
    <col min="5027" max="5027" width="11.28515625" bestFit="1" customWidth="1"/>
    <col min="5028" max="5028" width="11.5703125" bestFit="1" customWidth="1"/>
    <col min="5029" max="5029" width="12.28515625" bestFit="1" customWidth="1"/>
    <col min="5030" max="5030" width="15.140625" bestFit="1" customWidth="1"/>
    <col min="5031" max="5031" width="14.42578125" bestFit="1" customWidth="1"/>
    <col min="5032" max="5032" width="12.28515625" bestFit="1" customWidth="1"/>
    <col min="5033" max="5033" width="15.140625" bestFit="1" customWidth="1"/>
    <col min="5034" max="5034" width="14.42578125" bestFit="1" customWidth="1"/>
    <col min="5035" max="5035" width="12.28515625" bestFit="1" customWidth="1"/>
    <col min="5036" max="5036" width="14.42578125" bestFit="1" customWidth="1"/>
    <col min="5037" max="5037" width="11.28515625" bestFit="1" customWidth="1"/>
    <col min="5038" max="5038" width="12.28515625" bestFit="1" customWidth="1"/>
    <col min="5039" max="5039" width="13" bestFit="1" customWidth="1"/>
    <col min="5040" max="5040" width="15.140625" bestFit="1" customWidth="1"/>
    <col min="5041" max="5041" width="12.28515625" bestFit="1" customWidth="1"/>
    <col min="5042" max="5042" width="13.85546875" bestFit="1" customWidth="1"/>
    <col min="5043" max="5043" width="11.28515625" bestFit="1" customWidth="1"/>
    <col min="5044" max="5044" width="12.28515625" bestFit="1" customWidth="1"/>
    <col min="5045" max="5045" width="13.85546875" bestFit="1" customWidth="1"/>
    <col min="5046" max="5047" width="15.140625" bestFit="1" customWidth="1"/>
    <col min="5048" max="5048" width="12.28515625" bestFit="1" customWidth="1"/>
    <col min="5049" max="5049" width="5.7109375" bestFit="1" customWidth="1"/>
    <col min="5050" max="5050" width="8.5703125" bestFit="1" customWidth="1"/>
    <col min="5051" max="5051" width="5.5703125" bestFit="1" customWidth="1"/>
    <col min="5052" max="5052" width="14.42578125" bestFit="1" customWidth="1"/>
    <col min="5053" max="5053" width="11.28515625" bestFit="1" customWidth="1"/>
    <col min="5054" max="5055" width="12.28515625" bestFit="1" customWidth="1"/>
    <col min="5056" max="5056" width="11.28515625" bestFit="1" customWidth="1"/>
    <col min="5057" max="5057" width="13.85546875" bestFit="1" customWidth="1"/>
    <col min="5058" max="5058" width="12" bestFit="1" customWidth="1"/>
    <col min="5059" max="5059" width="13.85546875" bestFit="1" customWidth="1"/>
    <col min="5060" max="5061" width="14.42578125" customWidth="1"/>
    <col min="5062" max="5062" width="10.140625" bestFit="1" customWidth="1"/>
    <col min="5063" max="5063" width="12.28515625" bestFit="1" customWidth="1"/>
    <col min="5064" max="5064" width="7.42578125" bestFit="1" customWidth="1"/>
    <col min="5065" max="5065" width="8.5703125" bestFit="1" customWidth="1"/>
    <col min="5066" max="5066" width="11.5703125" bestFit="1" customWidth="1"/>
    <col min="5067" max="5067" width="13.28515625" bestFit="1" customWidth="1"/>
    <col min="5068" max="5068" width="13.28515625" customWidth="1"/>
    <col min="5069" max="5069" width="13.140625" customWidth="1"/>
    <col min="5070" max="5070" width="12.7109375" bestFit="1" customWidth="1"/>
    <col min="5071" max="5071" width="13.28515625" bestFit="1" customWidth="1"/>
    <col min="5072" max="5074" width="13.28515625" customWidth="1"/>
    <col min="5075" max="5075" width="12.140625" bestFit="1" customWidth="1"/>
    <col min="5076" max="5076" width="12.7109375" bestFit="1" customWidth="1"/>
    <col min="5077" max="5077" width="11" customWidth="1"/>
    <col min="5078" max="5078" width="16.7109375" customWidth="1"/>
    <col min="5079" max="5079" width="17" customWidth="1"/>
    <col min="5080" max="5080" width="10.42578125" bestFit="1" customWidth="1"/>
    <col min="5124" max="5124" width="3.85546875" customWidth="1"/>
    <col min="5125" max="5125" width="15.28515625" bestFit="1" customWidth="1"/>
    <col min="5126" max="5126" width="12.28515625" customWidth="1"/>
    <col min="5127" max="5127" width="16.28515625" bestFit="1" customWidth="1"/>
    <col min="5128" max="5128" width="6.42578125" bestFit="1" customWidth="1"/>
    <col min="5129" max="5129" width="9.28515625" bestFit="1" customWidth="1"/>
    <col min="5130" max="5130" width="7.5703125" bestFit="1" customWidth="1"/>
    <col min="5131" max="5131" width="13.28515625" bestFit="1" customWidth="1"/>
    <col min="5132" max="5132" width="9.28515625" bestFit="1" customWidth="1"/>
    <col min="5133" max="5133" width="11.5703125" bestFit="1" customWidth="1"/>
    <col min="5134" max="5134" width="13.28515625" bestFit="1" customWidth="1"/>
    <col min="5135" max="5135" width="7.140625" bestFit="1" customWidth="1"/>
    <col min="5136" max="5136" width="12" bestFit="1" customWidth="1"/>
    <col min="5137" max="5137" width="13.28515625" bestFit="1" customWidth="1"/>
    <col min="5138" max="5138" width="7" bestFit="1" customWidth="1"/>
    <col min="5139" max="5139" width="12.7109375" bestFit="1" customWidth="1"/>
    <col min="5140" max="5140" width="11.5703125" bestFit="1" customWidth="1"/>
    <col min="5141" max="5141" width="10.5703125" bestFit="1" customWidth="1"/>
    <col min="5142" max="5143" width="15.7109375" bestFit="1" customWidth="1"/>
    <col min="5144" max="5144" width="11.5703125" bestFit="1" customWidth="1"/>
    <col min="5145" max="5145" width="7.7109375" bestFit="1" customWidth="1"/>
    <col min="5146" max="5146" width="15.140625" bestFit="1" customWidth="1"/>
    <col min="5147" max="5147" width="11.5703125" bestFit="1" customWidth="1"/>
    <col min="5148" max="5148" width="13.28515625" bestFit="1" customWidth="1"/>
    <col min="5149" max="5149" width="10.42578125" bestFit="1" customWidth="1"/>
    <col min="5150" max="5150" width="13.28515625" bestFit="1" customWidth="1"/>
    <col min="5151" max="5151" width="12.140625" bestFit="1" customWidth="1"/>
    <col min="5152" max="5152" width="14.42578125" bestFit="1" customWidth="1"/>
    <col min="5153" max="5153" width="13.28515625" bestFit="1" customWidth="1"/>
    <col min="5154" max="5154" width="11.5703125" bestFit="1" customWidth="1"/>
    <col min="5155" max="5155" width="7.7109375" bestFit="1" customWidth="1"/>
    <col min="5156" max="5157" width="14.42578125" bestFit="1" customWidth="1"/>
    <col min="5158" max="5158" width="11.5703125" bestFit="1" customWidth="1"/>
    <col min="5159" max="5159" width="7.7109375" bestFit="1" customWidth="1"/>
    <col min="5160" max="5160" width="13.5703125" customWidth="1"/>
    <col min="5161" max="5161" width="15.28515625" customWidth="1"/>
    <col min="5162" max="5162" width="14.5703125" customWidth="1"/>
    <col min="5163" max="5163" width="13.28515625" bestFit="1" customWidth="1"/>
    <col min="5164" max="5164" width="7.7109375" bestFit="1" customWidth="1"/>
    <col min="5165" max="5165" width="12.7109375" bestFit="1" customWidth="1"/>
    <col min="5166" max="5166" width="11.7109375" bestFit="1" customWidth="1"/>
    <col min="5167" max="5167" width="11.5703125" bestFit="1" customWidth="1"/>
    <col min="5168" max="5168" width="5.28515625" bestFit="1" customWidth="1"/>
    <col min="5169" max="5169" width="13.28515625" bestFit="1" customWidth="1"/>
    <col min="5170" max="5170" width="13.5703125" bestFit="1" customWidth="1"/>
    <col min="5171" max="5171" width="10.5703125" bestFit="1" customWidth="1"/>
    <col min="5172" max="5172" width="13.28515625" bestFit="1" customWidth="1"/>
    <col min="5173" max="5173" width="11.5703125" bestFit="1" customWidth="1"/>
    <col min="5174" max="5174" width="10.5703125" bestFit="1" customWidth="1"/>
    <col min="5175" max="5175" width="16.140625" bestFit="1" customWidth="1"/>
    <col min="5176" max="5177" width="11.28515625" bestFit="1" customWidth="1"/>
    <col min="5178" max="5178" width="13.28515625" bestFit="1" customWidth="1"/>
    <col min="5179" max="5179" width="7.7109375" bestFit="1" customWidth="1"/>
    <col min="5180" max="5183" width="9.140625" hidden="1" customWidth="1"/>
    <col min="5184" max="5184" width="10.42578125" bestFit="1" customWidth="1"/>
    <col min="5185" max="5185" width="10.5703125" bestFit="1" customWidth="1"/>
    <col min="5186" max="5186" width="10.42578125" bestFit="1" customWidth="1"/>
    <col min="5187" max="5187" width="10.5703125" bestFit="1" customWidth="1"/>
    <col min="5188" max="5188" width="9.5703125" bestFit="1" customWidth="1"/>
    <col min="5189" max="5189" width="11.5703125" bestFit="1" customWidth="1"/>
    <col min="5190" max="5190" width="10.42578125" bestFit="1" customWidth="1"/>
    <col min="5191" max="5191" width="10.85546875" customWidth="1"/>
    <col min="5192" max="5193" width="9.85546875" bestFit="1" customWidth="1"/>
    <col min="5194" max="5194" width="13.5703125" bestFit="1" customWidth="1"/>
    <col min="5195" max="5195" width="7.7109375" bestFit="1" customWidth="1"/>
    <col min="5196" max="5196" width="13.28515625" bestFit="1" customWidth="1"/>
    <col min="5197" max="5197" width="11.5703125" bestFit="1" customWidth="1"/>
    <col min="5198" max="5198" width="10.42578125" bestFit="1" customWidth="1"/>
    <col min="5199" max="5199" width="7.7109375" bestFit="1" customWidth="1"/>
    <col min="5200" max="5200" width="11.5703125" bestFit="1" customWidth="1"/>
    <col min="5201" max="5201" width="10.85546875" bestFit="1" customWidth="1"/>
    <col min="5202" max="5202" width="13.28515625" bestFit="1" customWidth="1"/>
    <col min="5203" max="5203" width="10.85546875" bestFit="1" customWidth="1"/>
    <col min="5204" max="5205" width="7.5703125" bestFit="1" customWidth="1"/>
    <col min="5206" max="5207" width="10.42578125" bestFit="1" customWidth="1"/>
    <col min="5208" max="5208" width="11.5703125" bestFit="1" customWidth="1"/>
    <col min="5209" max="5209" width="5.28515625" bestFit="1" customWidth="1"/>
    <col min="5210" max="5210" width="10.28515625" bestFit="1" customWidth="1"/>
    <col min="5211" max="5211" width="10.42578125" bestFit="1" customWidth="1"/>
    <col min="5212" max="5212" width="11.5703125" bestFit="1" customWidth="1"/>
    <col min="5213" max="5213" width="5.28515625" bestFit="1" customWidth="1"/>
    <col min="5214" max="5216" width="11.5703125" bestFit="1" customWidth="1"/>
    <col min="5217" max="5217" width="5.28515625" bestFit="1" customWidth="1"/>
    <col min="5218" max="5219" width="10.42578125" bestFit="1" customWidth="1"/>
    <col min="5220" max="5220" width="11.5703125" bestFit="1" customWidth="1"/>
    <col min="5221" max="5221" width="5.28515625" bestFit="1" customWidth="1"/>
    <col min="5222" max="5222" width="14.28515625" bestFit="1" customWidth="1"/>
    <col min="5223" max="5223" width="13" bestFit="1" customWidth="1"/>
    <col min="5224" max="5224" width="11.5703125" bestFit="1" customWidth="1"/>
    <col min="5225" max="5225" width="8.85546875" bestFit="1" customWidth="1"/>
    <col min="5226" max="5226" width="14.42578125" bestFit="1" customWidth="1"/>
    <col min="5227" max="5227" width="10.42578125" bestFit="1" customWidth="1"/>
    <col min="5228" max="5228" width="12.28515625" bestFit="1" customWidth="1"/>
    <col min="5229" max="5229" width="13.85546875" bestFit="1" customWidth="1"/>
    <col min="5230" max="5230" width="11.28515625" customWidth="1"/>
    <col min="5231" max="5231" width="11.5703125" customWidth="1"/>
    <col min="5232" max="5232" width="13.42578125" bestFit="1" customWidth="1"/>
    <col min="5233" max="5233" width="10.42578125" customWidth="1"/>
    <col min="5234" max="5234" width="13.85546875" bestFit="1" customWidth="1"/>
    <col min="5235" max="5235" width="15.42578125" bestFit="1" customWidth="1"/>
    <col min="5236" max="5236" width="12.28515625" bestFit="1" customWidth="1"/>
    <col min="5237" max="5237" width="12.7109375" customWidth="1"/>
    <col min="5238" max="5238" width="10.7109375" bestFit="1" customWidth="1"/>
    <col min="5239" max="5239" width="9.85546875" customWidth="1"/>
    <col min="5240" max="5241" width="10.140625" bestFit="1" customWidth="1"/>
    <col min="5242" max="5242" width="7.5703125" bestFit="1" customWidth="1"/>
    <col min="5243" max="5243" width="9.42578125" bestFit="1" customWidth="1"/>
    <col min="5244" max="5244" width="14.5703125" bestFit="1" customWidth="1"/>
    <col min="5245" max="5245" width="14.85546875" customWidth="1"/>
    <col min="5246" max="5246" width="15.140625" bestFit="1" customWidth="1"/>
    <col min="5247" max="5247" width="12.140625" bestFit="1" customWidth="1"/>
    <col min="5248" max="5248" width="14.85546875" bestFit="1" customWidth="1"/>
    <col min="5249" max="5249" width="12.28515625" bestFit="1" customWidth="1"/>
    <col min="5250" max="5258" width="9.140625" hidden="1" customWidth="1"/>
    <col min="5259" max="5259" width="5.28515625" bestFit="1" customWidth="1"/>
    <col min="5260" max="5265" width="11.5703125" bestFit="1" customWidth="1"/>
    <col min="5266" max="5266" width="11.28515625" bestFit="1" customWidth="1"/>
    <col min="5267" max="5267" width="10.140625" bestFit="1" customWidth="1"/>
    <col min="5268" max="5268" width="11.5703125" bestFit="1" customWidth="1"/>
    <col min="5269" max="5269" width="16.140625" customWidth="1"/>
    <col min="5270" max="5270" width="13.42578125" customWidth="1"/>
    <col min="5271" max="5271" width="10.140625" bestFit="1" customWidth="1"/>
    <col min="5272" max="5272" width="12.85546875" bestFit="1" customWidth="1"/>
    <col min="5273" max="5273" width="12.28515625" bestFit="1" customWidth="1"/>
    <col min="5274" max="5274" width="11.28515625" bestFit="1" customWidth="1"/>
    <col min="5275" max="5275" width="11.5703125" bestFit="1" customWidth="1"/>
    <col min="5276" max="5276" width="10.85546875" bestFit="1" customWidth="1"/>
    <col min="5277" max="5277" width="11.28515625" bestFit="1" customWidth="1"/>
    <col min="5278" max="5278" width="10.140625" bestFit="1" customWidth="1"/>
    <col min="5279" max="5279" width="13.28515625" bestFit="1" customWidth="1"/>
    <col min="5280" max="5281" width="12.7109375" bestFit="1" customWidth="1"/>
    <col min="5282" max="5282" width="11" bestFit="1" customWidth="1"/>
    <col min="5283" max="5283" width="11.28515625" bestFit="1" customWidth="1"/>
    <col min="5284" max="5284" width="11.5703125" bestFit="1" customWidth="1"/>
    <col min="5285" max="5285" width="12.28515625" bestFit="1" customWidth="1"/>
    <col min="5286" max="5286" width="15.140625" bestFit="1" customWidth="1"/>
    <col min="5287" max="5287" width="14.42578125" bestFit="1" customWidth="1"/>
    <col min="5288" max="5288" width="12.28515625" bestFit="1" customWidth="1"/>
    <col min="5289" max="5289" width="15.140625" bestFit="1" customWidth="1"/>
    <col min="5290" max="5290" width="14.42578125" bestFit="1" customWidth="1"/>
    <col min="5291" max="5291" width="12.28515625" bestFit="1" customWidth="1"/>
    <col min="5292" max="5292" width="14.42578125" bestFit="1" customWidth="1"/>
    <col min="5293" max="5293" width="11.28515625" bestFit="1" customWidth="1"/>
    <col min="5294" max="5294" width="12.28515625" bestFit="1" customWidth="1"/>
    <col min="5295" max="5295" width="13" bestFit="1" customWidth="1"/>
    <col min="5296" max="5296" width="15.140625" bestFit="1" customWidth="1"/>
    <col min="5297" max="5297" width="12.28515625" bestFit="1" customWidth="1"/>
    <col min="5298" max="5298" width="13.85546875" bestFit="1" customWidth="1"/>
    <col min="5299" max="5299" width="11.28515625" bestFit="1" customWidth="1"/>
    <col min="5300" max="5300" width="12.28515625" bestFit="1" customWidth="1"/>
    <col min="5301" max="5301" width="13.85546875" bestFit="1" customWidth="1"/>
    <col min="5302" max="5303" width="15.140625" bestFit="1" customWidth="1"/>
    <col min="5304" max="5304" width="12.28515625" bestFit="1" customWidth="1"/>
    <col min="5305" max="5305" width="5.7109375" bestFit="1" customWidth="1"/>
    <col min="5306" max="5306" width="8.5703125" bestFit="1" customWidth="1"/>
    <col min="5307" max="5307" width="5.5703125" bestFit="1" customWidth="1"/>
    <col min="5308" max="5308" width="14.42578125" bestFit="1" customWidth="1"/>
    <col min="5309" max="5309" width="11.28515625" bestFit="1" customWidth="1"/>
    <col min="5310" max="5311" width="12.28515625" bestFit="1" customWidth="1"/>
    <col min="5312" max="5312" width="11.28515625" bestFit="1" customWidth="1"/>
    <col min="5313" max="5313" width="13.85546875" bestFit="1" customWidth="1"/>
    <col min="5314" max="5314" width="12" bestFit="1" customWidth="1"/>
    <col min="5315" max="5315" width="13.85546875" bestFit="1" customWidth="1"/>
    <col min="5316" max="5317" width="14.42578125" customWidth="1"/>
    <col min="5318" max="5318" width="10.140625" bestFit="1" customWidth="1"/>
    <col min="5319" max="5319" width="12.28515625" bestFit="1" customWidth="1"/>
    <col min="5320" max="5320" width="7.42578125" bestFit="1" customWidth="1"/>
    <col min="5321" max="5321" width="8.5703125" bestFit="1" customWidth="1"/>
    <col min="5322" max="5322" width="11.5703125" bestFit="1" customWidth="1"/>
    <col min="5323" max="5323" width="13.28515625" bestFit="1" customWidth="1"/>
    <col min="5324" max="5324" width="13.28515625" customWidth="1"/>
    <col min="5325" max="5325" width="13.140625" customWidth="1"/>
    <col min="5326" max="5326" width="12.7109375" bestFit="1" customWidth="1"/>
    <col min="5327" max="5327" width="13.28515625" bestFit="1" customWidth="1"/>
    <col min="5328" max="5330" width="13.28515625" customWidth="1"/>
    <col min="5331" max="5331" width="12.140625" bestFit="1" customWidth="1"/>
    <col min="5332" max="5332" width="12.7109375" bestFit="1" customWidth="1"/>
    <col min="5333" max="5333" width="11" customWidth="1"/>
    <col min="5334" max="5334" width="16.7109375" customWidth="1"/>
    <col min="5335" max="5335" width="17" customWidth="1"/>
    <col min="5336" max="5336" width="10.42578125" bestFit="1" customWidth="1"/>
    <col min="5380" max="5380" width="3.85546875" customWidth="1"/>
    <col min="5381" max="5381" width="15.28515625" bestFit="1" customWidth="1"/>
    <col min="5382" max="5382" width="12.28515625" customWidth="1"/>
    <col min="5383" max="5383" width="16.28515625" bestFit="1" customWidth="1"/>
    <col min="5384" max="5384" width="6.42578125" bestFit="1" customWidth="1"/>
    <col min="5385" max="5385" width="9.28515625" bestFit="1" customWidth="1"/>
    <col min="5386" max="5386" width="7.5703125" bestFit="1" customWidth="1"/>
    <col min="5387" max="5387" width="13.28515625" bestFit="1" customWidth="1"/>
    <col min="5388" max="5388" width="9.28515625" bestFit="1" customWidth="1"/>
    <col min="5389" max="5389" width="11.5703125" bestFit="1" customWidth="1"/>
    <col min="5390" max="5390" width="13.28515625" bestFit="1" customWidth="1"/>
    <col min="5391" max="5391" width="7.140625" bestFit="1" customWidth="1"/>
    <col min="5392" max="5392" width="12" bestFit="1" customWidth="1"/>
    <col min="5393" max="5393" width="13.28515625" bestFit="1" customWidth="1"/>
    <col min="5394" max="5394" width="7" bestFit="1" customWidth="1"/>
    <col min="5395" max="5395" width="12.7109375" bestFit="1" customWidth="1"/>
    <col min="5396" max="5396" width="11.5703125" bestFit="1" customWidth="1"/>
    <col min="5397" max="5397" width="10.5703125" bestFit="1" customWidth="1"/>
    <col min="5398" max="5399" width="15.7109375" bestFit="1" customWidth="1"/>
    <col min="5400" max="5400" width="11.5703125" bestFit="1" customWidth="1"/>
    <col min="5401" max="5401" width="7.7109375" bestFit="1" customWidth="1"/>
    <col min="5402" max="5402" width="15.140625" bestFit="1" customWidth="1"/>
    <col min="5403" max="5403" width="11.5703125" bestFit="1" customWidth="1"/>
    <col min="5404" max="5404" width="13.28515625" bestFit="1" customWidth="1"/>
    <col min="5405" max="5405" width="10.42578125" bestFit="1" customWidth="1"/>
    <col min="5406" max="5406" width="13.28515625" bestFit="1" customWidth="1"/>
    <col min="5407" max="5407" width="12.140625" bestFit="1" customWidth="1"/>
    <col min="5408" max="5408" width="14.42578125" bestFit="1" customWidth="1"/>
    <col min="5409" max="5409" width="13.28515625" bestFit="1" customWidth="1"/>
    <col min="5410" max="5410" width="11.5703125" bestFit="1" customWidth="1"/>
    <col min="5411" max="5411" width="7.7109375" bestFit="1" customWidth="1"/>
    <col min="5412" max="5413" width="14.42578125" bestFit="1" customWidth="1"/>
    <col min="5414" max="5414" width="11.5703125" bestFit="1" customWidth="1"/>
    <col min="5415" max="5415" width="7.7109375" bestFit="1" customWidth="1"/>
    <col min="5416" max="5416" width="13.5703125" customWidth="1"/>
    <col min="5417" max="5417" width="15.28515625" customWidth="1"/>
    <col min="5418" max="5418" width="14.5703125" customWidth="1"/>
    <col min="5419" max="5419" width="13.28515625" bestFit="1" customWidth="1"/>
    <col min="5420" max="5420" width="7.7109375" bestFit="1" customWidth="1"/>
    <col min="5421" max="5421" width="12.7109375" bestFit="1" customWidth="1"/>
    <col min="5422" max="5422" width="11.7109375" bestFit="1" customWidth="1"/>
    <col min="5423" max="5423" width="11.5703125" bestFit="1" customWidth="1"/>
    <col min="5424" max="5424" width="5.28515625" bestFit="1" customWidth="1"/>
    <col min="5425" max="5425" width="13.28515625" bestFit="1" customWidth="1"/>
    <col min="5426" max="5426" width="13.5703125" bestFit="1" customWidth="1"/>
    <col min="5427" max="5427" width="10.5703125" bestFit="1" customWidth="1"/>
    <col min="5428" max="5428" width="13.28515625" bestFit="1" customWidth="1"/>
    <col min="5429" max="5429" width="11.5703125" bestFit="1" customWidth="1"/>
    <col min="5430" max="5430" width="10.5703125" bestFit="1" customWidth="1"/>
    <col min="5431" max="5431" width="16.140625" bestFit="1" customWidth="1"/>
    <col min="5432" max="5433" width="11.28515625" bestFit="1" customWidth="1"/>
    <col min="5434" max="5434" width="13.28515625" bestFit="1" customWidth="1"/>
    <col min="5435" max="5435" width="7.7109375" bestFit="1" customWidth="1"/>
    <col min="5436" max="5439" width="9.140625" hidden="1" customWidth="1"/>
    <col min="5440" max="5440" width="10.42578125" bestFit="1" customWidth="1"/>
    <col min="5441" max="5441" width="10.5703125" bestFit="1" customWidth="1"/>
    <col min="5442" max="5442" width="10.42578125" bestFit="1" customWidth="1"/>
    <col min="5443" max="5443" width="10.5703125" bestFit="1" customWidth="1"/>
    <col min="5444" max="5444" width="9.5703125" bestFit="1" customWidth="1"/>
    <col min="5445" max="5445" width="11.5703125" bestFit="1" customWidth="1"/>
    <col min="5446" max="5446" width="10.42578125" bestFit="1" customWidth="1"/>
    <col min="5447" max="5447" width="10.85546875" customWidth="1"/>
    <col min="5448" max="5449" width="9.85546875" bestFit="1" customWidth="1"/>
    <col min="5450" max="5450" width="13.5703125" bestFit="1" customWidth="1"/>
    <col min="5451" max="5451" width="7.7109375" bestFit="1" customWidth="1"/>
    <col min="5452" max="5452" width="13.28515625" bestFit="1" customWidth="1"/>
    <col min="5453" max="5453" width="11.5703125" bestFit="1" customWidth="1"/>
    <col min="5454" max="5454" width="10.42578125" bestFit="1" customWidth="1"/>
    <col min="5455" max="5455" width="7.7109375" bestFit="1" customWidth="1"/>
    <col min="5456" max="5456" width="11.5703125" bestFit="1" customWidth="1"/>
    <col min="5457" max="5457" width="10.85546875" bestFit="1" customWidth="1"/>
    <col min="5458" max="5458" width="13.28515625" bestFit="1" customWidth="1"/>
    <col min="5459" max="5459" width="10.85546875" bestFit="1" customWidth="1"/>
    <col min="5460" max="5461" width="7.5703125" bestFit="1" customWidth="1"/>
    <col min="5462" max="5463" width="10.42578125" bestFit="1" customWidth="1"/>
    <col min="5464" max="5464" width="11.5703125" bestFit="1" customWidth="1"/>
    <col min="5465" max="5465" width="5.28515625" bestFit="1" customWidth="1"/>
    <col min="5466" max="5466" width="10.28515625" bestFit="1" customWidth="1"/>
    <col min="5467" max="5467" width="10.42578125" bestFit="1" customWidth="1"/>
    <col min="5468" max="5468" width="11.5703125" bestFit="1" customWidth="1"/>
    <col min="5469" max="5469" width="5.28515625" bestFit="1" customWidth="1"/>
    <col min="5470" max="5472" width="11.5703125" bestFit="1" customWidth="1"/>
    <col min="5473" max="5473" width="5.28515625" bestFit="1" customWidth="1"/>
    <col min="5474" max="5475" width="10.42578125" bestFit="1" customWidth="1"/>
    <col min="5476" max="5476" width="11.5703125" bestFit="1" customWidth="1"/>
    <col min="5477" max="5477" width="5.28515625" bestFit="1" customWidth="1"/>
    <col min="5478" max="5478" width="14.28515625" bestFit="1" customWidth="1"/>
    <col min="5479" max="5479" width="13" bestFit="1" customWidth="1"/>
    <col min="5480" max="5480" width="11.5703125" bestFit="1" customWidth="1"/>
    <col min="5481" max="5481" width="8.85546875" bestFit="1" customWidth="1"/>
    <col min="5482" max="5482" width="14.42578125" bestFit="1" customWidth="1"/>
    <col min="5483" max="5483" width="10.42578125" bestFit="1" customWidth="1"/>
    <col min="5484" max="5484" width="12.28515625" bestFit="1" customWidth="1"/>
    <col min="5485" max="5485" width="13.85546875" bestFit="1" customWidth="1"/>
    <col min="5486" max="5486" width="11.28515625" customWidth="1"/>
    <col min="5487" max="5487" width="11.5703125" customWidth="1"/>
    <col min="5488" max="5488" width="13.42578125" bestFit="1" customWidth="1"/>
    <col min="5489" max="5489" width="10.42578125" customWidth="1"/>
    <col min="5490" max="5490" width="13.85546875" bestFit="1" customWidth="1"/>
    <col min="5491" max="5491" width="15.42578125" bestFit="1" customWidth="1"/>
    <col min="5492" max="5492" width="12.28515625" bestFit="1" customWidth="1"/>
    <col min="5493" max="5493" width="12.7109375" customWidth="1"/>
    <col min="5494" max="5494" width="10.7109375" bestFit="1" customWidth="1"/>
    <col min="5495" max="5495" width="9.85546875" customWidth="1"/>
    <col min="5496" max="5497" width="10.140625" bestFit="1" customWidth="1"/>
    <col min="5498" max="5498" width="7.5703125" bestFit="1" customWidth="1"/>
    <col min="5499" max="5499" width="9.42578125" bestFit="1" customWidth="1"/>
    <col min="5500" max="5500" width="14.5703125" bestFit="1" customWidth="1"/>
    <col min="5501" max="5501" width="14.85546875" customWidth="1"/>
    <col min="5502" max="5502" width="15.140625" bestFit="1" customWidth="1"/>
    <col min="5503" max="5503" width="12.140625" bestFit="1" customWidth="1"/>
    <col min="5504" max="5504" width="14.85546875" bestFit="1" customWidth="1"/>
    <col min="5505" max="5505" width="12.28515625" bestFit="1" customWidth="1"/>
    <col min="5506" max="5514" width="9.140625" hidden="1" customWidth="1"/>
    <col min="5515" max="5515" width="5.28515625" bestFit="1" customWidth="1"/>
    <col min="5516" max="5521" width="11.5703125" bestFit="1" customWidth="1"/>
    <col min="5522" max="5522" width="11.28515625" bestFit="1" customWidth="1"/>
    <col min="5523" max="5523" width="10.140625" bestFit="1" customWidth="1"/>
    <col min="5524" max="5524" width="11.5703125" bestFit="1" customWidth="1"/>
    <col min="5525" max="5525" width="16.140625" customWidth="1"/>
    <col min="5526" max="5526" width="13.42578125" customWidth="1"/>
    <col min="5527" max="5527" width="10.140625" bestFit="1" customWidth="1"/>
    <col min="5528" max="5528" width="12.85546875" bestFit="1" customWidth="1"/>
    <col min="5529" max="5529" width="12.28515625" bestFit="1" customWidth="1"/>
    <col min="5530" max="5530" width="11.28515625" bestFit="1" customWidth="1"/>
    <col min="5531" max="5531" width="11.5703125" bestFit="1" customWidth="1"/>
    <col min="5532" max="5532" width="10.85546875" bestFit="1" customWidth="1"/>
    <col min="5533" max="5533" width="11.28515625" bestFit="1" customWidth="1"/>
    <col min="5534" max="5534" width="10.140625" bestFit="1" customWidth="1"/>
    <col min="5535" max="5535" width="13.28515625" bestFit="1" customWidth="1"/>
    <col min="5536" max="5537" width="12.7109375" bestFit="1" customWidth="1"/>
    <col min="5538" max="5538" width="11" bestFit="1" customWidth="1"/>
    <col min="5539" max="5539" width="11.28515625" bestFit="1" customWidth="1"/>
    <col min="5540" max="5540" width="11.5703125" bestFit="1" customWidth="1"/>
    <col min="5541" max="5541" width="12.28515625" bestFit="1" customWidth="1"/>
    <col min="5542" max="5542" width="15.140625" bestFit="1" customWidth="1"/>
    <col min="5543" max="5543" width="14.42578125" bestFit="1" customWidth="1"/>
    <col min="5544" max="5544" width="12.28515625" bestFit="1" customWidth="1"/>
    <col min="5545" max="5545" width="15.140625" bestFit="1" customWidth="1"/>
    <col min="5546" max="5546" width="14.42578125" bestFit="1" customWidth="1"/>
    <col min="5547" max="5547" width="12.28515625" bestFit="1" customWidth="1"/>
    <col min="5548" max="5548" width="14.42578125" bestFit="1" customWidth="1"/>
    <col min="5549" max="5549" width="11.28515625" bestFit="1" customWidth="1"/>
    <col min="5550" max="5550" width="12.28515625" bestFit="1" customWidth="1"/>
    <col min="5551" max="5551" width="13" bestFit="1" customWidth="1"/>
    <col min="5552" max="5552" width="15.140625" bestFit="1" customWidth="1"/>
    <col min="5553" max="5553" width="12.28515625" bestFit="1" customWidth="1"/>
    <col min="5554" max="5554" width="13.85546875" bestFit="1" customWidth="1"/>
    <col min="5555" max="5555" width="11.28515625" bestFit="1" customWidth="1"/>
    <col min="5556" max="5556" width="12.28515625" bestFit="1" customWidth="1"/>
    <col min="5557" max="5557" width="13.85546875" bestFit="1" customWidth="1"/>
    <col min="5558" max="5559" width="15.140625" bestFit="1" customWidth="1"/>
    <col min="5560" max="5560" width="12.28515625" bestFit="1" customWidth="1"/>
    <col min="5561" max="5561" width="5.7109375" bestFit="1" customWidth="1"/>
    <col min="5562" max="5562" width="8.5703125" bestFit="1" customWidth="1"/>
    <col min="5563" max="5563" width="5.5703125" bestFit="1" customWidth="1"/>
    <col min="5564" max="5564" width="14.42578125" bestFit="1" customWidth="1"/>
    <col min="5565" max="5565" width="11.28515625" bestFit="1" customWidth="1"/>
    <col min="5566" max="5567" width="12.28515625" bestFit="1" customWidth="1"/>
    <col min="5568" max="5568" width="11.28515625" bestFit="1" customWidth="1"/>
    <col min="5569" max="5569" width="13.85546875" bestFit="1" customWidth="1"/>
    <col min="5570" max="5570" width="12" bestFit="1" customWidth="1"/>
    <col min="5571" max="5571" width="13.85546875" bestFit="1" customWidth="1"/>
    <col min="5572" max="5573" width="14.42578125" customWidth="1"/>
    <col min="5574" max="5574" width="10.140625" bestFit="1" customWidth="1"/>
    <col min="5575" max="5575" width="12.28515625" bestFit="1" customWidth="1"/>
    <col min="5576" max="5576" width="7.42578125" bestFit="1" customWidth="1"/>
    <col min="5577" max="5577" width="8.5703125" bestFit="1" customWidth="1"/>
    <col min="5578" max="5578" width="11.5703125" bestFit="1" customWidth="1"/>
    <col min="5579" max="5579" width="13.28515625" bestFit="1" customWidth="1"/>
    <col min="5580" max="5580" width="13.28515625" customWidth="1"/>
    <col min="5581" max="5581" width="13.140625" customWidth="1"/>
    <col min="5582" max="5582" width="12.7109375" bestFit="1" customWidth="1"/>
    <col min="5583" max="5583" width="13.28515625" bestFit="1" customWidth="1"/>
    <col min="5584" max="5586" width="13.28515625" customWidth="1"/>
    <col min="5587" max="5587" width="12.140625" bestFit="1" customWidth="1"/>
    <col min="5588" max="5588" width="12.7109375" bestFit="1" customWidth="1"/>
    <col min="5589" max="5589" width="11" customWidth="1"/>
    <col min="5590" max="5590" width="16.7109375" customWidth="1"/>
    <col min="5591" max="5591" width="17" customWidth="1"/>
    <col min="5592" max="5592" width="10.42578125" bestFit="1" customWidth="1"/>
    <col min="5636" max="5636" width="3.85546875" customWidth="1"/>
    <col min="5637" max="5637" width="15.28515625" bestFit="1" customWidth="1"/>
    <col min="5638" max="5638" width="12.28515625" customWidth="1"/>
    <col min="5639" max="5639" width="16.28515625" bestFit="1" customWidth="1"/>
    <col min="5640" max="5640" width="6.42578125" bestFit="1" customWidth="1"/>
    <col min="5641" max="5641" width="9.28515625" bestFit="1" customWidth="1"/>
    <col min="5642" max="5642" width="7.5703125" bestFit="1" customWidth="1"/>
    <col min="5643" max="5643" width="13.28515625" bestFit="1" customWidth="1"/>
    <col min="5644" max="5644" width="9.28515625" bestFit="1" customWidth="1"/>
    <col min="5645" max="5645" width="11.5703125" bestFit="1" customWidth="1"/>
    <col min="5646" max="5646" width="13.28515625" bestFit="1" customWidth="1"/>
    <col min="5647" max="5647" width="7.140625" bestFit="1" customWidth="1"/>
    <col min="5648" max="5648" width="12" bestFit="1" customWidth="1"/>
    <col min="5649" max="5649" width="13.28515625" bestFit="1" customWidth="1"/>
    <col min="5650" max="5650" width="7" bestFit="1" customWidth="1"/>
    <col min="5651" max="5651" width="12.7109375" bestFit="1" customWidth="1"/>
    <col min="5652" max="5652" width="11.5703125" bestFit="1" customWidth="1"/>
    <col min="5653" max="5653" width="10.5703125" bestFit="1" customWidth="1"/>
    <col min="5654" max="5655" width="15.7109375" bestFit="1" customWidth="1"/>
    <col min="5656" max="5656" width="11.5703125" bestFit="1" customWidth="1"/>
    <col min="5657" max="5657" width="7.7109375" bestFit="1" customWidth="1"/>
    <col min="5658" max="5658" width="15.140625" bestFit="1" customWidth="1"/>
    <col min="5659" max="5659" width="11.5703125" bestFit="1" customWidth="1"/>
    <col min="5660" max="5660" width="13.28515625" bestFit="1" customWidth="1"/>
    <col min="5661" max="5661" width="10.42578125" bestFit="1" customWidth="1"/>
    <col min="5662" max="5662" width="13.28515625" bestFit="1" customWidth="1"/>
    <col min="5663" max="5663" width="12.140625" bestFit="1" customWidth="1"/>
    <col min="5664" max="5664" width="14.42578125" bestFit="1" customWidth="1"/>
    <col min="5665" max="5665" width="13.28515625" bestFit="1" customWidth="1"/>
    <col min="5666" max="5666" width="11.5703125" bestFit="1" customWidth="1"/>
    <col min="5667" max="5667" width="7.7109375" bestFit="1" customWidth="1"/>
    <col min="5668" max="5669" width="14.42578125" bestFit="1" customWidth="1"/>
    <col min="5670" max="5670" width="11.5703125" bestFit="1" customWidth="1"/>
    <col min="5671" max="5671" width="7.7109375" bestFit="1" customWidth="1"/>
    <col min="5672" max="5672" width="13.5703125" customWidth="1"/>
    <col min="5673" max="5673" width="15.28515625" customWidth="1"/>
    <col min="5674" max="5674" width="14.5703125" customWidth="1"/>
    <col min="5675" max="5675" width="13.28515625" bestFit="1" customWidth="1"/>
    <col min="5676" max="5676" width="7.7109375" bestFit="1" customWidth="1"/>
    <col min="5677" max="5677" width="12.7109375" bestFit="1" customWidth="1"/>
    <col min="5678" max="5678" width="11.7109375" bestFit="1" customWidth="1"/>
    <col min="5679" max="5679" width="11.5703125" bestFit="1" customWidth="1"/>
    <col min="5680" max="5680" width="5.28515625" bestFit="1" customWidth="1"/>
    <col min="5681" max="5681" width="13.28515625" bestFit="1" customWidth="1"/>
    <col min="5682" max="5682" width="13.5703125" bestFit="1" customWidth="1"/>
    <col min="5683" max="5683" width="10.5703125" bestFit="1" customWidth="1"/>
    <col min="5684" max="5684" width="13.28515625" bestFit="1" customWidth="1"/>
    <col min="5685" max="5685" width="11.5703125" bestFit="1" customWidth="1"/>
    <col min="5686" max="5686" width="10.5703125" bestFit="1" customWidth="1"/>
    <col min="5687" max="5687" width="16.140625" bestFit="1" customWidth="1"/>
    <col min="5688" max="5689" width="11.28515625" bestFit="1" customWidth="1"/>
    <col min="5690" max="5690" width="13.28515625" bestFit="1" customWidth="1"/>
    <col min="5691" max="5691" width="7.7109375" bestFit="1" customWidth="1"/>
    <col min="5692" max="5695" width="9.140625" hidden="1" customWidth="1"/>
    <col min="5696" max="5696" width="10.42578125" bestFit="1" customWidth="1"/>
    <col min="5697" max="5697" width="10.5703125" bestFit="1" customWidth="1"/>
    <col min="5698" max="5698" width="10.42578125" bestFit="1" customWidth="1"/>
    <col min="5699" max="5699" width="10.5703125" bestFit="1" customWidth="1"/>
    <col min="5700" max="5700" width="9.5703125" bestFit="1" customWidth="1"/>
    <col min="5701" max="5701" width="11.5703125" bestFit="1" customWidth="1"/>
    <col min="5702" max="5702" width="10.42578125" bestFit="1" customWidth="1"/>
    <col min="5703" max="5703" width="10.85546875" customWidth="1"/>
    <col min="5704" max="5705" width="9.85546875" bestFit="1" customWidth="1"/>
    <col min="5706" max="5706" width="13.5703125" bestFit="1" customWidth="1"/>
    <col min="5707" max="5707" width="7.7109375" bestFit="1" customWidth="1"/>
    <col min="5708" max="5708" width="13.28515625" bestFit="1" customWidth="1"/>
    <col min="5709" max="5709" width="11.5703125" bestFit="1" customWidth="1"/>
    <col min="5710" max="5710" width="10.42578125" bestFit="1" customWidth="1"/>
    <col min="5711" max="5711" width="7.7109375" bestFit="1" customWidth="1"/>
    <col min="5712" max="5712" width="11.5703125" bestFit="1" customWidth="1"/>
    <col min="5713" max="5713" width="10.85546875" bestFit="1" customWidth="1"/>
    <col min="5714" max="5714" width="13.28515625" bestFit="1" customWidth="1"/>
    <col min="5715" max="5715" width="10.85546875" bestFit="1" customWidth="1"/>
    <col min="5716" max="5717" width="7.5703125" bestFit="1" customWidth="1"/>
    <col min="5718" max="5719" width="10.42578125" bestFit="1" customWidth="1"/>
    <col min="5720" max="5720" width="11.5703125" bestFit="1" customWidth="1"/>
    <col min="5721" max="5721" width="5.28515625" bestFit="1" customWidth="1"/>
    <col min="5722" max="5722" width="10.28515625" bestFit="1" customWidth="1"/>
    <col min="5723" max="5723" width="10.42578125" bestFit="1" customWidth="1"/>
    <col min="5724" max="5724" width="11.5703125" bestFit="1" customWidth="1"/>
    <col min="5725" max="5725" width="5.28515625" bestFit="1" customWidth="1"/>
    <col min="5726" max="5728" width="11.5703125" bestFit="1" customWidth="1"/>
    <col min="5729" max="5729" width="5.28515625" bestFit="1" customWidth="1"/>
    <col min="5730" max="5731" width="10.42578125" bestFit="1" customWidth="1"/>
    <col min="5732" max="5732" width="11.5703125" bestFit="1" customWidth="1"/>
    <col min="5733" max="5733" width="5.28515625" bestFit="1" customWidth="1"/>
    <col min="5734" max="5734" width="14.28515625" bestFit="1" customWidth="1"/>
    <col min="5735" max="5735" width="13" bestFit="1" customWidth="1"/>
    <col min="5736" max="5736" width="11.5703125" bestFit="1" customWidth="1"/>
    <col min="5737" max="5737" width="8.85546875" bestFit="1" customWidth="1"/>
    <col min="5738" max="5738" width="14.42578125" bestFit="1" customWidth="1"/>
    <col min="5739" max="5739" width="10.42578125" bestFit="1" customWidth="1"/>
    <col min="5740" max="5740" width="12.28515625" bestFit="1" customWidth="1"/>
    <col min="5741" max="5741" width="13.85546875" bestFit="1" customWidth="1"/>
    <col min="5742" max="5742" width="11.28515625" customWidth="1"/>
    <col min="5743" max="5743" width="11.5703125" customWidth="1"/>
    <col min="5744" max="5744" width="13.42578125" bestFit="1" customWidth="1"/>
    <col min="5745" max="5745" width="10.42578125" customWidth="1"/>
    <col min="5746" max="5746" width="13.85546875" bestFit="1" customWidth="1"/>
    <col min="5747" max="5747" width="15.42578125" bestFit="1" customWidth="1"/>
    <col min="5748" max="5748" width="12.28515625" bestFit="1" customWidth="1"/>
    <col min="5749" max="5749" width="12.7109375" customWidth="1"/>
    <col min="5750" max="5750" width="10.7109375" bestFit="1" customWidth="1"/>
    <col min="5751" max="5751" width="9.85546875" customWidth="1"/>
    <col min="5752" max="5753" width="10.140625" bestFit="1" customWidth="1"/>
    <col min="5754" max="5754" width="7.5703125" bestFit="1" customWidth="1"/>
    <col min="5755" max="5755" width="9.42578125" bestFit="1" customWidth="1"/>
    <col min="5756" max="5756" width="14.5703125" bestFit="1" customWidth="1"/>
    <col min="5757" max="5757" width="14.85546875" customWidth="1"/>
    <col min="5758" max="5758" width="15.140625" bestFit="1" customWidth="1"/>
    <col min="5759" max="5759" width="12.140625" bestFit="1" customWidth="1"/>
    <col min="5760" max="5760" width="14.85546875" bestFit="1" customWidth="1"/>
    <col min="5761" max="5761" width="12.28515625" bestFit="1" customWidth="1"/>
    <col min="5762" max="5770" width="9.140625" hidden="1" customWidth="1"/>
    <col min="5771" max="5771" width="5.28515625" bestFit="1" customWidth="1"/>
    <col min="5772" max="5777" width="11.5703125" bestFit="1" customWidth="1"/>
    <col min="5778" max="5778" width="11.28515625" bestFit="1" customWidth="1"/>
    <col min="5779" max="5779" width="10.140625" bestFit="1" customWidth="1"/>
    <col min="5780" max="5780" width="11.5703125" bestFit="1" customWidth="1"/>
    <col min="5781" max="5781" width="16.140625" customWidth="1"/>
    <col min="5782" max="5782" width="13.42578125" customWidth="1"/>
    <col min="5783" max="5783" width="10.140625" bestFit="1" customWidth="1"/>
    <col min="5784" max="5784" width="12.85546875" bestFit="1" customWidth="1"/>
    <col min="5785" max="5785" width="12.28515625" bestFit="1" customWidth="1"/>
    <col min="5786" max="5786" width="11.28515625" bestFit="1" customWidth="1"/>
    <col min="5787" max="5787" width="11.5703125" bestFit="1" customWidth="1"/>
    <col min="5788" max="5788" width="10.85546875" bestFit="1" customWidth="1"/>
    <col min="5789" max="5789" width="11.28515625" bestFit="1" customWidth="1"/>
    <col min="5790" max="5790" width="10.140625" bestFit="1" customWidth="1"/>
    <col min="5791" max="5791" width="13.28515625" bestFit="1" customWidth="1"/>
    <col min="5792" max="5793" width="12.7109375" bestFit="1" customWidth="1"/>
    <col min="5794" max="5794" width="11" bestFit="1" customWidth="1"/>
    <col min="5795" max="5795" width="11.28515625" bestFit="1" customWidth="1"/>
    <col min="5796" max="5796" width="11.5703125" bestFit="1" customWidth="1"/>
    <col min="5797" max="5797" width="12.28515625" bestFit="1" customWidth="1"/>
    <col min="5798" max="5798" width="15.140625" bestFit="1" customWidth="1"/>
    <col min="5799" max="5799" width="14.42578125" bestFit="1" customWidth="1"/>
    <col min="5800" max="5800" width="12.28515625" bestFit="1" customWidth="1"/>
    <col min="5801" max="5801" width="15.140625" bestFit="1" customWidth="1"/>
    <col min="5802" max="5802" width="14.42578125" bestFit="1" customWidth="1"/>
    <col min="5803" max="5803" width="12.28515625" bestFit="1" customWidth="1"/>
    <col min="5804" max="5804" width="14.42578125" bestFit="1" customWidth="1"/>
    <col min="5805" max="5805" width="11.28515625" bestFit="1" customWidth="1"/>
    <col min="5806" max="5806" width="12.28515625" bestFit="1" customWidth="1"/>
    <col min="5807" max="5807" width="13" bestFit="1" customWidth="1"/>
    <col min="5808" max="5808" width="15.140625" bestFit="1" customWidth="1"/>
    <col min="5809" max="5809" width="12.28515625" bestFit="1" customWidth="1"/>
    <col min="5810" max="5810" width="13.85546875" bestFit="1" customWidth="1"/>
    <col min="5811" max="5811" width="11.28515625" bestFit="1" customWidth="1"/>
    <col min="5812" max="5812" width="12.28515625" bestFit="1" customWidth="1"/>
    <col min="5813" max="5813" width="13.85546875" bestFit="1" customWidth="1"/>
    <col min="5814" max="5815" width="15.140625" bestFit="1" customWidth="1"/>
    <col min="5816" max="5816" width="12.28515625" bestFit="1" customWidth="1"/>
    <col min="5817" max="5817" width="5.7109375" bestFit="1" customWidth="1"/>
    <col min="5818" max="5818" width="8.5703125" bestFit="1" customWidth="1"/>
    <col min="5819" max="5819" width="5.5703125" bestFit="1" customWidth="1"/>
    <col min="5820" max="5820" width="14.42578125" bestFit="1" customWidth="1"/>
    <col min="5821" max="5821" width="11.28515625" bestFit="1" customWidth="1"/>
    <col min="5822" max="5823" width="12.28515625" bestFit="1" customWidth="1"/>
    <col min="5824" max="5824" width="11.28515625" bestFit="1" customWidth="1"/>
    <col min="5825" max="5825" width="13.85546875" bestFit="1" customWidth="1"/>
    <col min="5826" max="5826" width="12" bestFit="1" customWidth="1"/>
    <col min="5827" max="5827" width="13.85546875" bestFit="1" customWidth="1"/>
    <col min="5828" max="5829" width="14.42578125" customWidth="1"/>
    <col min="5830" max="5830" width="10.140625" bestFit="1" customWidth="1"/>
    <col min="5831" max="5831" width="12.28515625" bestFit="1" customWidth="1"/>
    <col min="5832" max="5832" width="7.42578125" bestFit="1" customWidth="1"/>
    <col min="5833" max="5833" width="8.5703125" bestFit="1" customWidth="1"/>
    <col min="5834" max="5834" width="11.5703125" bestFit="1" customWidth="1"/>
    <col min="5835" max="5835" width="13.28515625" bestFit="1" customWidth="1"/>
    <col min="5836" max="5836" width="13.28515625" customWidth="1"/>
    <col min="5837" max="5837" width="13.140625" customWidth="1"/>
    <col min="5838" max="5838" width="12.7109375" bestFit="1" customWidth="1"/>
    <col min="5839" max="5839" width="13.28515625" bestFit="1" customWidth="1"/>
    <col min="5840" max="5842" width="13.28515625" customWidth="1"/>
    <col min="5843" max="5843" width="12.140625" bestFit="1" customWidth="1"/>
    <col min="5844" max="5844" width="12.7109375" bestFit="1" customWidth="1"/>
    <col min="5845" max="5845" width="11" customWidth="1"/>
    <col min="5846" max="5846" width="16.7109375" customWidth="1"/>
    <col min="5847" max="5847" width="17" customWidth="1"/>
    <col min="5848" max="5848" width="10.42578125" bestFit="1" customWidth="1"/>
    <col min="5892" max="5892" width="3.85546875" customWidth="1"/>
    <col min="5893" max="5893" width="15.28515625" bestFit="1" customWidth="1"/>
    <col min="5894" max="5894" width="12.28515625" customWidth="1"/>
    <col min="5895" max="5895" width="16.28515625" bestFit="1" customWidth="1"/>
    <col min="5896" max="5896" width="6.42578125" bestFit="1" customWidth="1"/>
    <col min="5897" max="5897" width="9.28515625" bestFit="1" customWidth="1"/>
    <col min="5898" max="5898" width="7.5703125" bestFit="1" customWidth="1"/>
    <col min="5899" max="5899" width="13.28515625" bestFit="1" customWidth="1"/>
    <col min="5900" max="5900" width="9.28515625" bestFit="1" customWidth="1"/>
    <col min="5901" max="5901" width="11.5703125" bestFit="1" customWidth="1"/>
    <col min="5902" max="5902" width="13.28515625" bestFit="1" customWidth="1"/>
    <col min="5903" max="5903" width="7.140625" bestFit="1" customWidth="1"/>
    <col min="5904" max="5904" width="12" bestFit="1" customWidth="1"/>
    <col min="5905" max="5905" width="13.28515625" bestFit="1" customWidth="1"/>
    <col min="5906" max="5906" width="7" bestFit="1" customWidth="1"/>
    <col min="5907" max="5907" width="12.7109375" bestFit="1" customWidth="1"/>
    <col min="5908" max="5908" width="11.5703125" bestFit="1" customWidth="1"/>
    <col min="5909" max="5909" width="10.5703125" bestFit="1" customWidth="1"/>
    <col min="5910" max="5911" width="15.7109375" bestFit="1" customWidth="1"/>
    <col min="5912" max="5912" width="11.5703125" bestFit="1" customWidth="1"/>
    <col min="5913" max="5913" width="7.7109375" bestFit="1" customWidth="1"/>
    <col min="5914" max="5914" width="15.140625" bestFit="1" customWidth="1"/>
    <col min="5915" max="5915" width="11.5703125" bestFit="1" customWidth="1"/>
    <col min="5916" max="5916" width="13.28515625" bestFit="1" customWidth="1"/>
    <col min="5917" max="5917" width="10.42578125" bestFit="1" customWidth="1"/>
    <col min="5918" max="5918" width="13.28515625" bestFit="1" customWidth="1"/>
    <col min="5919" max="5919" width="12.140625" bestFit="1" customWidth="1"/>
    <col min="5920" max="5920" width="14.42578125" bestFit="1" customWidth="1"/>
    <col min="5921" max="5921" width="13.28515625" bestFit="1" customWidth="1"/>
    <col min="5922" max="5922" width="11.5703125" bestFit="1" customWidth="1"/>
    <col min="5923" max="5923" width="7.7109375" bestFit="1" customWidth="1"/>
    <col min="5924" max="5925" width="14.42578125" bestFit="1" customWidth="1"/>
    <col min="5926" max="5926" width="11.5703125" bestFit="1" customWidth="1"/>
    <col min="5927" max="5927" width="7.7109375" bestFit="1" customWidth="1"/>
    <col min="5928" max="5928" width="13.5703125" customWidth="1"/>
    <col min="5929" max="5929" width="15.28515625" customWidth="1"/>
    <col min="5930" max="5930" width="14.5703125" customWidth="1"/>
    <col min="5931" max="5931" width="13.28515625" bestFit="1" customWidth="1"/>
    <col min="5932" max="5932" width="7.7109375" bestFit="1" customWidth="1"/>
    <col min="5933" max="5933" width="12.7109375" bestFit="1" customWidth="1"/>
    <col min="5934" max="5934" width="11.7109375" bestFit="1" customWidth="1"/>
    <col min="5935" max="5935" width="11.5703125" bestFit="1" customWidth="1"/>
    <col min="5936" max="5936" width="5.28515625" bestFit="1" customWidth="1"/>
    <col min="5937" max="5937" width="13.28515625" bestFit="1" customWidth="1"/>
    <col min="5938" max="5938" width="13.5703125" bestFit="1" customWidth="1"/>
    <col min="5939" max="5939" width="10.5703125" bestFit="1" customWidth="1"/>
    <col min="5940" max="5940" width="13.28515625" bestFit="1" customWidth="1"/>
    <col min="5941" max="5941" width="11.5703125" bestFit="1" customWidth="1"/>
    <col min="5942" max="5942" width="10.5703125" bestFit="1" customWidth="1"/>
    <col min="5943" max="5943" width="16.140625" bestFit="1" customWidth="1"/>
    <col min="5944" max="5945" width="11.28515625" bestFit="1" customWidth="1"/>
    <col min="5946" max="5946" width="13.28515625" bestFit="1" customWidth="1"/>
    <col min="5947" max="5947" width="7.7109375" bestFit="1" customWidth="1"/>
    <col min="5948" max="5951" width="9.140625" hidden="1" customWidth="1"/>
    <col min="5952" max="5952" width="10.42578125" bestFit="1" customWidth="1"/>
    <col min="5953" max="5953" width="10.5703125" bestFit="1" customWidth="1"/>
    <col min="5954" max="5954" width="10.42578125" bestFit="1" customWidth="1"/>
    <col min="5955" max="5955" width="10.5703125" bestFit="1" customWidth="1"/>
    <col min="5956" max="5956" width="9.5703125" bestFit="1" customWidth="1"/>
    <col min="5957" max="5957" width="11.5703125" bestFit="1" customWidth="1"/>
    <col min="5958" max="5958" width="10.42578125" bestFit="1" customWidth="1"/>
    <col min="5959" max="5959" width="10.85546875" customWidth="1"/>
    <col min="5960" max="5961" width="9.85546875" bestFit="1" customWidth="1"/>
    <col min="5962" max="5962" width="13.5703125" bestFit="1" customWidth="1"/>
    <col min="5963" max="5963" width="7.7109375" bestFit="1" customWidth="1"/>
    <col min="5964" max="5964" width="13.28515625" bestFit="1" customWidth="1"/>
    <col min="5965" max="5965" width="11.5703125" bestFit="1" customWidth="1"/>
    <col min="5966" max="5966" width="10.42578125" bestFit="1" customWidth="1"/>
    <col min="5967" max="5967" width="7.7109375" bestFit="1" customWidth="1"/>
    <col min="5968" max="5968" width="11.5703125" bestFit="1" customWidth="1"/>
    <col min="5969" max="5969" width="10.85546875" bestFit="1" customWidth="1"/>
    <col min="5970" max="5970" width="13.28515625" bestFit="1" customWidth="1"/>
    <col min="5971" max="5971" width="10.85546875" bestFit="1" customWidth="1"/>
    <col min="5972" max="5973" width="7.5703125" bestFit="1" customWidth="1"/>
    <col min="5974" max="5975" width="10.42578125" bestFit="1" customWidth="1"/>
    <col min="5976" max="5976" width="11.5703125" bestFit="1" customWidth="1"/>
    <col min="5977" max="5977" width="5.28515625" bestFit="1" customWidth="1"/>
    <col min="5978" max="5978" width="10.28515625" bestFit="1" customWidth="1"/>
    <col min="5979" max="5979" width="10.42578125" bestFit="1" customWidth="1"/>
    <col min="5980" max="5980" width="11.5703125" bestFit="1" customWidth="1"/>
    <col min="5981" max="5981" width="5.28515625" bestFit="1" customWidth="1"/>
    <col min="5982" max="5984" width="11.5703125" bestFit="1" customWidth="1"/>
    <col min="5985" max="5985" width="5.28515625" bestFit="1" customWidth="1"/>
    <col min="5986" max="5987" width="10.42578125" bestFit="1" customWidth="1"/>
    <col min="5988" max="5988" width="11.5703125" bestFit="1" customWidth="1"/>
    <col min="5989" max="5989" width="5.28515625" bestFit="1" customWidth="1"/>
    <col min="5990" max="5990" width="14.28515625" bestFit="1" customWidth="1"/>
    <col min="5991" max="5991" width="13" bestFit="1" customWidth="1"/>
    <col min="5992" max="5992" width="11.5703125" bestFit="1" customWidth="1"/>
    <col min="5993" max="5993" width="8.85546875" bestFit="1" customWidth="1"/>
    <col min="5994" max="5994" width="14.42578125" bestFit="1" customWidth="1"/>
    <col min="5995" max="5995" width="10.42578125" bestFit="1" customWidth="1"/>
    <col min="5996" max="5996" width="12.28515625" bestFit="1" customWidth="1"/>
    <col min="5997" max="5997" width="13.85546875" bestFit="1" customWidth="1"/>
    <col min="5998" max="5998" width="11.28515625" customWidth="1"/>
    <col min="5999" max="5999" width="11.5703125" customWidth="1"/>
    <col min="6000" max="6000" width="13.42578125" bestFit="1" customWidth="1"/>
    <col min="6001" max="6001" width="10.42578125" customWidth="1"/>
    <col min="6002" max="6002" width="13.85546875" bestFit="1" customWidth="1"/>
    <col min="6003" max="6003" width="15.42578125" bestFit="1" customWidth="1"/>
    <col min="6004" max="6004" width="12.28515625" bestFit="1" customWidth="1"/>
    <col min="6005" max="6005" width="12.7109375" customWidth="1"/>
    <col min="6006" max="6006" width="10.7109375" bestFit="1" customWidth="1"/>
    <col min="6007" max="6007" width="9.85546875" customWidth="1"/>
    <col min="6008" max="6009" width="10.140625" bestFit="1" customWidth="1"/>
    <col min="6010" max="6010" width="7.5703125" bestFit="1" customWidth="1"/>
    <col min="6011" max="6011" width="9.42578125" bestFit="1" customWidth="1"/>
    <col min="6012" max="6012" width="14.5703125" bestFit="1" customWidth="1"/>
    <col min="6013" max="6013" width="14.85546875" customWidth="1"/>
    <col min="6014" max="6014" width="15.140625" bestFit="1" customWidth="1"/>
    <col min="6015" max="6015" width="12.140625" bestFit="1" customWidth="1"/>
    <col min="6016" max="6016" width="14.85546875" bestFit="1" customWidth="1"/>
    <col min="6017" max="6017" width="12.28515625" bestFit="1" customWidth="1"/>
    <col min="6018" max="6026" width="9.140625" hidden="1" customWidth="1"/>
    <col min="6027" max="6027" width="5.28515625" bestFit="1" customWidth="1"/>
    <col min="6028" max="6033" width="11.5703125" bestFit="1" customWidth="1"/>
    <col min="6034" max="6034" width="11.28515625" bestFit="1" customWidth="1"/>
    <col min="6035" max="6035" width="10.140625" bestFit="1" customWidth="1"/>
    <col min="6036" max="6036" width="11.5703125" bestFit="1" customWidth="1"/>
    <col min="6037" max="6037" width="16.140625" customWidth="1"/>
    <col min="6038" max="6038" width="13.42578125" customWidth="1"/>
    <col min="6039" max="6039" width="10.140625" bestFit="1" customWidth="1"/>
    <col min="6040" max="6040" width="12.85546875" bestFit="1" customWidth="1"/>
    <col min="6041" max="6041" width="12.28515625" bestFit="1" customWidth="1"/>
    <col min="6042" max="6042" width="11.28515625" bestFit="1" customWidth="1"/>
    <col min="6043" max="6043" width="11.5703125" bestFit="1" customWidth="1"/>
    <col min="6044" max="6044" width="10.85546875" bestFit="1" customWidth="1"/>
    <col min="6045" max="6045" width="11.28515625" bestFit="1" customWidth="1"/>
    <col min="6046" max="6046" width="10.140625" bestFit="1" customWidth="1"/>
    <col min="6047" max="6047" width="13.28515625" bestFit="1" customWidth="1"/>
    <col min="6048" max="6049" width="12.7109375" bestFit="1" customWidth="1"/>
    <col min="6050" max="6050" width="11" bestFit="1" customWidth="1"/>
    <col min="6051" max="6051" width="11.28515625" bestFit="1" customWidth="1"/>
    <col min="6052" max="6052" width="11.5703125" bestFit="1" customWidth="1"/>
    <col min="6053" max="6053" width="12.28515625" bestFit="1" customWidth="1"/>
    <col min="6054" max="6054" width="15.140625" bestFit="1" customWidth="1"/>
    <col min="6055" max="6055" width="14.42578125" bestFit="1" customWidth="1"/>
    <col min="6056" max="6056" width="12.28515625" bestFit="1" customWidth="1"/>
    <col min="6057" max="6057" width="15.140625" bestFit="1" customWidth="1"/>
    <col min="6058" max="6058" width="14.42578125" bestFit="1" customWidth="1"/>
    <col min="6059" max="6059" width="12.28515625" bestFit="1" customWidth="1"/>
    <col min="6060" max="6060" width="14.42578125" bestFit="1" customWidth="1"/>
    <col min="6061" max="6061" width="11.28515625" bestFit="1" customWidth="1"/>
    <col min="6062" max="6062" width="12.28515625" bestFit="1" customWidth="1"/>
    <col min="6063" max="6063" width="13" bestFit="1" customWidth="1"/>
    <col min="6064" max="6064" width="15.140625" bestFit="1" customWidth="1"/>
    <col min="6065" max="6065" width="12.28515625" bestFit="1" customWidth="1"/>
    <col min="6066" max="6066" width="13.85546875" bestFit="1" customWidth="1"/>
    <col min="6067" max="6067" width="11.28515625" bestFit="1" customWidth="1"/>
    <col min="6068" max="6068" width="12.28515625" bestFit="1" customWidth="1"/>
    <col min="6069" max="6069" width="13.85546875" bestFit="1" customWidth="1"/>
    <col min="6070" max="6071" width="15.140625" bestFit="1" customWidth="1"/>
    <col min="6072" max="6072" width="12.28515625" bestFit="1" customWidth="1"/>
    <col min="6073" max="6073" width="5.7109375" bestFit="1" customWidth="1"/>
    <col min="6074" max="6074" width="8.5703125" bestFit="1" customWidth="1"/>
    <col min="6075" max="6075" width="5.5703125" bestFit="1" customWidth="1"/>
    <col min="6076" max="6076" width="14.42578125" bestFit="1" customWidth="1"/>
    <col min="6077" max="6077" width="11.28515625" bestFit="1" customWidth="1"/>
    <col min="6078" max="6079" width="12.28515625" bestFit="1" customWidth="1"/>
    <col min="6080" max="6080" width="11.28515625" bestFit="1" customWidth="1"/>
    <col min="6081" max="6081" width="13.85546875" bestFit="1" customWidth="1"/>
    <col min="6082" max="6082" width="12" bestFit="1" customWidth="1"/>
    <col min="6083" max="6083" width="13.85546875" bestFit="1" customWidth="1"/>
    <col min="6084" max="6085" width="14.42578125" customWidth="1"/>
    <col min="6086" max="6086" width="10.140625" bestFit="1" customWidth="1"/>
    <col min="6087" max="6087" width="12.28515625" bestFit="1" customWidth="1"/>
    <col min="6088" max="6088" width="7.42578125" bestFit="1" customWidth="1"/>
    <col min="6089" max="6089" width="8.5703125" bestFit="1" customWidth="1"/>
    <col min="6090" max="6090" width="11.5703125" bestFit="1" customWidth="1"/>
    <col min="6091" max="6091" width="13.28515625" bestFit="1" customWidth="1"/>
    <col min="6092" max="6092" width="13.28515625" customWidth="1"/>
    <col min="6093" max="6093" width="13.140625" customWidth="1"/>
    <col min="6094" max="6094" width="12.7109375" bestFit="1" customWidth="1"/>
    <col min="6095" max="6095" width="13.28515625" bestFit="1" customWidth="1"/>
    <col min="6096" max="6098" width="13.28515625" customWidth="1"/>
    <col min="6099" max="6099" width="12.140625" bestFit="1" customWidth="1"/>
    <col min="6100" max="6100" width="12.7109375" bestFit="1" customWidth="1"/>
    <col min="6101" max="6101" width="11" customWidth="1"/>
    <col min="6102" max="6102" width="16.7109375" customWidth="1"/>
    <col min="6103" max="6103" width="17" customWidth="1"/>
    <col min="6104" max="6104" width="10.42578125" bestFit="1" customWidth="1"/>
    <col min="6148" max="6148" width="3.85546875" customWidth="1"/>
    <col min="6149" max="6149" width="15.28515625" bestFit="1" customWidth="1"/>
    <col min="6150" max="6150" width="12.28515625" customWidth="1"/>
    <col min="6151" max="6151" width="16.28515625" bestFit="1" customWidth="1"/>
    <col min="6152" max="6152" width="6.42578125" bestFit="1" customWidth="1"/>
    <col min="6153" max="6153" width="9.28515625" bestFit="1" customWidth="1"/>
    <col min="6154" max="6154" width="7.5703125" bestFit="1" customWidth="1"/>
    <col min="6155" max="6155" width="13.28515625" bestFit="1" customWidth="1"/>
    <col min="6156" max="6156" width="9.28515625" bestFit="1" customWidth="1"/>
    <col min="6157" max="6157" width="11.5703125" bestFit="1" customWidth="1"/>
    <col min="6158" max="6158" width="13.28515625" bestFit="1" customWidth="1"/>
    <col min="6159" max="6159" width="7.140625" bestFit="1" customWidth="1"/>
    <col min="6160" max="6160" width="12" bestFit="1" customWidth="1"/>
    <col min="6161" max="6161" width="13.28515625" bestFit="1" customWidth="1"/>
    <col min="6162" max="6162" width="7" bestFit="1" customWidth="1"/>
    <col min="6163" max="6163" width="12.7109375" bestFit="1" customWidth="1"/>
    <col min="6164" max="6164" width="11.5703125" bestFit="1" customWidth="1"/>
    <col min="6165" max="6165" width="10.5703125" bestFit="1" customWidth="1"/>
    <col min="6166" max="6167" width="15.7109375" bestFit="1" customWidth="1"/>
    <col min="6168" max="6168" width="11.5703125" bestFit="1" customWidth="1"/>
    <col min="6169" max="6169" width="7.7109375" bestFit="1" customWidth="1"/>
    <col min="6170" max="6170" width="15.140625" bestFit="1" customWidth="1"/>
    <col min="6171" max="6171" width="11.5703125" bestFit="1" customWidth="1"/>
    <col min="6172" max="6172" width="13.28515625" bestFit="1" customWidth="1"/>
    <col min="6173" max="6173" width="10.42578125" bestFit="1" customWidth="1"/>
    <col min="6174" max="6174" width="13.28515625" bestFit="1" customWidth="1"/>
    <col min="6175" max="6175" width="12.140625" bestFit="1" customWidth="1"/>
    <col min="6176" max="6176" width="14.42578125" bestFit="1" customWidth="1"/>
    <col min="6177" max="6177" width="13.28515625" bestFit="1" customWidth="1"/>
    <col min="6178" max="6178" width="11.5703125" bestFit="1" customWidth="1"/>
    <col min="6179" max="6179" width="7.7109375" bestFit="1" customWidth="1"/>
    <col min="6180" max="6181" width="14.42578125" bestFit="1" customWidth="1"/>
    <col min="6182" max="6182" width="11.5703125" bestFit="1" customWidth="1"/>
    <col min="6183" max="6183" width="7.7109375" bestFit="1" customWidth="1"/>
    <col min="6184" max="6184" width="13.5703125" customWidth="1"/>
    <col min="6185" max="6185" width="15.28515625" customWidth="1"/>
    <col min="6186" max="6186" width="14.5703125" customWidth="1"/>
    <col min="6187" max="6187" width="13.28515625" bestFit="1" customWidth="1"/>
    <col min="6188" max="6188" width="7.7109375" bestFit="1" customWidth="1"/>
    <col min="6189" max="6189" width="12.7109375" bestFit="1" customWidth="1"/>
    <col min="6190" max="6190" width="11.7109375" bestFit="1" customWidth="1"/>
    <col min="6191" max="6191" width="11.5703125" bestFit="1" customWidth="1"/>
    <col min="6192" max="6192" width="5.28515625" bestFit="1" customWidth="1"/>
    <col min="6193" max="6193" width="13.28515625" bestFit="1" customWidth="1"/>
    <col min="6194" max="6194" width="13.5703125" bestFit="1" customWidth="1"/>
    <col min="6195" max="6195" width="10.5703125" bestFit="1" customWidth="1"/>
    <col min="6196" max="6196" width="13.28515625" bestFit="1" customWidth="1"/>
    <col min="6197" max="6197" width="11.5703125" bestFit="1" customWidth="1"/>
    <col min="6198" max="6198" width="10.5703125" bestFit="1" customWidth="1"/>
    <col min="6199" max="6199" width="16.140625" bestFit="1" customWidth="1"/>
    <col min="6200" max="6201" width="11.28515625" bestFit="1" customWidth="1"/>
    <col min="6202" max="6202" width="13.28515625" bestFit="1" customWidth="1"/>
    <col min="6203" max="6203" width="7.7109375" bestFit="1" customWidth="1"/>
    <col min="6204" max="6207" width="9.140625" hidden="1" customWidth="1"/>
    <col min="6208" max="6208" width="10.42578125" bestFit="1" customWidth="1"/>
    <col min="6209" max="6209" width="10.5703125" bestFit="1" customWidth="1"/>
    <col min="6210" max="6210" width="10.42578125" bestFit="1" customWidth="1"/>
    <col min="6211" max="6211" width="10.5703125" bestFit="1" customWidth="1"/>
    <col min="6212" max="6212" width="9.5703125" bestFit="1" customWidth="1"/>
    <col min="6213" max="6213" width="11.5703125" bestFit="1" customWidth="1"/>
    <col min="6214" max="6214" width="10.42578125" bestFit="1" customWidth="1"/>
    <col min="6215" max="6215" width="10.85546875" customWidth="1"/>
    <col min="6216" max="6217" width="9.85546875" bestFit="1" customWidth="1"/>
    <col min="6218" max="6218" width="13.5703125" bestFit="1" customWidth="1"/>
    <col min="6219" max="6219" width="7.7109375" bestFit="1" customWidth="1"/>
    <col min="6220" max="6220" width="13.28515625" bestFit="1" customWidth="1"/>
    <col min="6221" max="6221" width="11.5703125" bestFit="1" customWidth="1"/>
    <col min="6222" max="6222" width="10.42578125" bestFit="1" customWidth="1"/>
    <col min="6223" max="6223" width="7.7109375" bestFit="1" customWidth="1"/>
    <col min="6224" max="6224" width="11.5703125" bestFit="1" customWidth="1"/>
    <col min="6225" max="6225" width="10.85546875" bestFit="1" customWidth="1"/>
    <col min="6226" max="6226" width="13.28515625" bestFit="1" customWidth="1"/>
    <col min="6227" max="6227" width="10.85546875" bestFit="1" customWidth="1"/>
    <col min="6228" max="6229" width="7.5703125" bestFit="1" customWidth="1"/>
    <col min="6230" max="6231" width="10.42578125" bestFit="1" customWidth="1"/>
    <col min="6232" max="6232" width="11.5703125" bestFit="1" customWidth="1"/>
    <col min="6233" max="6233" width="5.28515625" bestFit="1" customWidth="1"/>
    <col min="6234" max="6234" width="10.28515625" bestFit="1" customWidth="1"/>
    <col min="6235" max="6235" width="10.42578125" bestFit="1" customWidth="1"/>
    <col min="6236" max="6236" width="11.5703125" bestFit="1" customWidth="1"/>
    <col min="6237" max="6237" width="5.28515625" bestFit="1" customWidth="1"/>
    <col min="6238" max="6240" width="11.5703125" bestFit="1" customWidth="1"/>
    <col min="6241" max="6241" width="5.28515625" bestFit="1" customWidth="1"/>
    <col min="6242" max="6243" width="10.42578125" bestFit="1" customWidth="1"/>
    <col min="6244" max="6244" width="11.5703125" bestFit="1" customWidth="1"/>
    <col min="6245" max="6245" width="5.28515625" bestFit="1" customWidth="1"/>
    <col min="6246" max="6246" width="14.28515625" bestFit="1" customWidth="1"/>
    <col min="6247" max="6247" width="13" bestFit="1" customWidth="1"/>
    <col min="6248" max="6248" width="11.5703125" bestFit="1" customWidth="1"/>
    <col min="6249" max="6249" width="8.85546875" bestFit="1" customWidth="1"/>
    <col min="6250" max="6250" width="14.42578125" bestFit="1" customWidth="1"/>
    <col min="6251" max="6251" width="10.42578125" bestFit="1" customWidth="1"/>
    <col min="6252" max="6252" width="12.28515625" bestFit="1" customWidth="1"/>
    <col min="6253" max="6253" width="13.85546875" bestFit="1" customWidth="1"/>
    <col min="6254" max="6254" width="11.28515625" customWidth="1"/>
    <col min="6255" max="6255" width="11.5703125" customWidth="1"/>
    <col min="6256" max="6256" width="13.42578125" bestFit="1" customWidth="1"/>
    <col min="6257" max="6257" width="10.42578125" customWidth="1"/>
    <col min="6258" max="6258" width="13.85546875" bestFit="1" customWidth="1"/>
    <col min="6259" max="6259" width="15.42578125" bestFit="1" customWidth="1"/>
    <col min="6260" max="6260" width="12.28515625" bestFit="1" customWidth="1"/>
    <col min="6261" max="6261" width="12.7109375" customWidth="1"/>
    <col min="6262" max="6262" width="10.7109375" bestFit="1" customWidth="1"/>
    <col min="6263" max="6263" width="9.85546875" customWidth="1"/>
    <col min="6264" max="6265" width="10.140625" bestFit="1" customWidth="1"/>
    <col min="6266" max="6266" width="7.5703125" bestFit="1" customWidth="1"/>
    <col min="6267" max="6267" width="9.42578125" bestFit="1" customWidth="1"/>
    <col min="6268" max="6268" width="14.5703125" bestFit="1" customWidth="1"/>
    <col min="6269" max="6269" width="14.85546875" customWidth="1"/>
    <col min="6270" max="6270" width="15.140625" bestFit="1" customWidth="1"/>
    <col min="6271" max="6271" width="12.140625" bestFit="1" customWidth="1"/>
    <col min="6272" max="6272" width="14.85546875" bestFit="1" customWidth="1"/>
    <col min="6273" max="6273" width="12.28515625" bestFit="1" customWidth="1"/>
    <col min="6274" max="6282" width="9.140625" hidden="1" customWidth="1"/>
    <col min="6283" max="6283" width="5.28515625" bestFit="1" customWidth="1"/>
    <col min="6284" max="6289" width="11.5703125" bestFit="1" customWidth="1"/>
    <col min="6290" max="6290" width="11.28515625" bestFit="1" customWidth="1"/>
    <col min="6291" max="6291" width="10.140625" bestFit="1" customWidth="1"/>
    <col min="6292" max="6292" width="11.5703125" bestFit="1" customWidth="1"/>
    <col min="6293" max="6293" width="16.140625" customWidth="1"/>
    <col min="6294" max="6294" width="13.42578125" customWidth="1"/>
    <col min="6295" max="6295" width="10.140625" bestFit="1" customWidth="1"/>
    <col min="6296" max="6296" width="12.85546875" bestFit="1" customWidth="1"/>
    <col min="6297" max="6297" width="12.28515625" bestFit="1" customWidth="1"/>
    <col min="6298" max="6298" width="11.28515625" bestFit="1" customWidth="1"/>
    <col min="6299" max="6299" width="11.5703125" bestFit="1" customWidth="1"/>
    <col min="6300" max="6300" width="10.85546875" bestFit="1" customWidth="1"/>
    <col min="6301" max="6301" width="11.28515625" bestFit="1" customWidth="1"/>
    <col min="6302" max="6302" width="10.140625" bestFit="1" customWidth="1"/>
    <col min="6303" max="6303" width="13.28515625" bestFit="1" customWidth="1"/>
    <col min="6304" max="6305" width="12.7109375" bestFit="1" customWidth="1"/>
    <col min="6306" max="6306" width="11" bestFit="1" customWidth="1"/>
    <col min="6307" max="6307" width="11.28515625" bestFit="1" customWidth="1"/>
    <col min="6308" max="6308" width="11.5703125" bestFit="1" customWidth="1"/>
    <col min="6309" max="6309" width="12.28515625" bestFit="1" customWidth="1"/>
    <col min="6310" max="6310" width="15.140625" bestFit="1" customWidth="1"/>
    <col min="6311" max="6311" width="14.42578125" bestFit="1" customWidth="1"/>
    <col min="6312" max="6312" width="12.28515625" bestFit="1" customWidth="1"/>
    <col min="6313" max="6313" width="15.140625" bestFit="1" customWidth="1"/>
    <col min="6314" max="6314" width="14.42578125" bestFit="1" customWidth="1"/>
    <col min="6315" max="6315" width="12.28515625" bestFit="1" customWidth="1"/>
    <col min="6316" max="6316" width="14.42578125" bestFit="1" customWidth="1"/>
    <col min="6317" max="6317" width="11.28515625" bestFit="1" customWidth="1"/>
    <col min="6318" max="6318" width="12.28515625" bestFit="1" customWidth="1"/>
    <col min="6319" max="6319" width="13" bestFit="1" customWidth="1"/>
    <col min="6320" max="6320" width="15.140625" bestFit="1" customWidth="1"/>
    <col min="6321" max="6321" width="12.28515625" bestFit="1" customWidth="1"/>
    <col min="6322" max="6322" width="13.85546875" bestFit="1" customWidth="1"/>
    <col min="6323" max="6323" width="11.28515625" bestFit="1" customWidth="1"/>
    <col min="6324" max="6324" width="12.28515625" bestFit="1" customWidth="1"/>
    <col min="6325" max="6325" width="13.85546875" bestFit="1" customWidth="1"/>
    <col min="6326" max="6327" width="15.140625" bestFit="1" customWidth="1"/>
    <col min="6328" max="6328" width="12.28515625" bestFit="1" customWidth="1"/>
    <col min="6329" max="6329" width="5.7109375" bestFit="1" customWidth="1"/>
    <col min="6330" max="6330" width="8.5703125" bestFit="1" customWidth="1"/>
    <col min="6331" max="6331" width="5.5703125" bestFit="1" customWidth="1"/>
    <col min="6332" max="6332" width="14.42578125" bestFit="1" customWidth="1"/>
    <col min="6333" max="6333" width="11.28515625" bestFit="1" customWidth="1"/>
    <col min="6334" max="6335" width="12.28515625" bestFit="1" customWidth="1"/>
    <col min="6336" max="6336" width="11.28515625" bestFit="1" customWidth="1"/>
    <col min="6337" max="6337" width="13.85546875" bestFit="1" customWidth="1"/>
    <col min="6338" max="6338" width="12" bestFit="1" customWidth="1"/>
    <col min="6339" max="6339" width="13.85546875" bestFit="1" customWidth="1"/>
    <col min="6340" max="6341" width="14.42578125" customWidth="1"/>
    <col min="6342" max="6342" width="10.140625" bestFit="1" customWidth="1"/>
    <col min="6343" max="6343" width="12.28515625" bestFit="1" customWidth="1"/>
    <col min="6344" max="6344" width="7.42578125" bestFit="1" customWidth="1"/>
    <col min="6345" max="6345" width="8.5703125" bestFit="1" customWidth="1"/>
    <col min="6346" max="6346" width="11.5703125" bestFit="1" customWidth="1"/>
    <col min="6347" max="6347" width="13.28515625" bestFit="1" customWidth="1"/>
    <col min="6348" max="6348" width="13.28515625" customWidth="1"/>
    <col min="6349" max="6349" width="13.140625" customWidth="1"/>
    <col min="6350" max="6350" width="12.7109375" bestFit="1" customWidth="1"/>
    <col min="6351" max="6351" width="13.28515625" bestFit="1" customWidth="1"/>
    <col min="6352" max="6354" width="13.28515625" customWidth="1"/>
    <col min="6355" max="6355" width="12.140625" bestFit="1" customWidth="1"/>
    <col min="6356" max="6356" width="12.7109375" bestFit="1" customWidth="1"/>
    <col min="6357" max="6357" width="11" customWidth="1"/>
    <col min="6358" max="6358" width="16.7109375" customWidth="1"/>
    <col min="6359" max="6359" width="17" customWidth="1"/>
    <col min="6360" max="6360" width="10.42578125" bestFit="1" customWidth="1"/>
    <col min="6404" max="6404" width="3.85546875" customWidth="1"/>
    <col min="6405" max="6405" width="15.28515625" bestFit="1" customWidth="1"/>
    <col min="6406" max="6406" width="12.28515625" customWidth="1"/>
    <col min="6407" max="6407" width="16.28515625" bestFit="1" customWidth="1"/>
    <col min="6408" max="6408" width="6.42578125" bestFit="1" customWidth="1"/>
    <col min="6409" max="6409" width="9.28515625" bestFit="1" customWidth="1"/>
    <col min="6410" max="6410" width="7.5703125" bestFit="1" customWidth="1"/>
    <col min="6411" max="6411" width="13.28515625" bestFit="1" customWidth="1"/>
    <col min="6412" max="6412" width="9.28515625" bestFit="1" customWidth="1"/>
    <col min="6413" max="6413" width="11.5703125" bestFit="1" customWidth="1"/>
    <col min="6414" max="6414" width="13.28515625" bestFit="1" customWidth="1"/>
    <col min="6415" max="6415" width="7.140625" bestFit="1" customWidth="1"/>
    <col min="6416" max="6416" width="12" bestFit="1" customWidth="1"/>
    <col min="6417" max="6417" width="13.28515625" bestFit="1" customWidth="1"/>
    <col min="6418" max="6418" width="7" bestFit="1" customWidth="1"/>
    <col min="6419" max="6419" width="12.7109375" bestFit="1" customWidth="1"/>
    <col min="6420" max="6420" width="11.5703125" bestFit="1" customWidth="1"/>
    <col min="6421" max="6421" width="10.5703125" bestFit="1" customWidth="1"/>
    <col min="6422" max="6423" width="15.7109375" bestFit="1" customWidth="1"/>
    <col min="6424" max="6424" width="11.5703125" bestFit="1" customWidth="1"/>
    <col min="6425" max="6425" width="7.7109375" bestFit="1" customWidth="1"/>
    <col min="6426" max="6426" width="15.140625" bestFit="1" customWidth="1"/>
    <col min="6427" max="6427" width="11.5703125" bestFit="1" customWidth="1"/>
    <col min="6428" max="6428" width="13.28515625" bestFit="1" customWidth="1"/>
    <col min="6429" max="6429" width="10.42578125" bestFit="1" customWidth="1"/>
    <col min="6430" max="6430" width="13.28515625" bestFit="1" customWidth="1"/>
    <col min="6431" max="6431" width="12.140625" bestFit="1" customWidth="1"/>
    <col min="6432" max="6432" width="14.42578125" bestFit="1" customWidth="1"/>
    <col min="6433" max="6433" width="13.28515625" bestFit="1" customWidth="1"/>
    <col min="6434" max="6434" width="11.5703125" bestFit="1" customWidth="1"/>
    <col min="6435" max="6435" width="7.7109375" bestFit="1" customWidth="1"/>
    <col min="6436" max="6437" width="14.42578125" bestFit="1" customWidth="1"/>
    <col min="6438" max="6438" width="11.5703125" bestFit="1" customWidth="1"/>
    <col min="6439" max="6439" width="7.7109375" bestFit="1" customWidth="1"/>
    <col min="6440" max="6440" width="13.5703125" customWidth="1"/>
    <col min="6441" max="6441" width="15.28515625" customWidth="1"/>
    <col min="6442" max="6442" width="14.5703125" customWidth="1"/>
    <col min="6443" max="6443" width="13.28515625" bestFit="1" customWidth="1"/>
    <col min="6444" max="6444" width="7.7109375" bestFit="1" customWidth="1"/>
    <col min="6445" max="6445" width="12.7109375" bestFit="1" customWidth="1"/>
    <col min="6446" max="6446" width="11.7109375" bestFit="1" customWidth="1"/>
    <col min="6447" max="6447" width="11.5703125" bestFit="1" customWidth="1"/>
    <col min="6448" max="6448" width="5.28515625" bestFit="1" customWidth="1"/>
    <col min="6449" max="6449" width="13.28515625" bestFit="1" customWidth="1"/>
    <col min="6450" max="6450" width="13.5703125" bestFit="1" customWidth="1"/>
    <col min="6451" max="6451" width="10.5703125" bestFit="1" customWidth="1"/>
    <col min="6452" max="6452" width="13.28515625" bestFit="1" customWidth="1"/>
    <col min="6453" max="6453" width="11.5703125" bestFit="1" customWidth="1"/>
    <col min="6454" max="6454" width="10.5703125" bestFit="1" customWidth="1"/>
    <col min="6455" max="6455" width="16.140625" bestFit="1" customWidth="1"/>
    <col min="6456" max="6457" width="11.28515625" bestFit="1" customWidth="1"/>
    <col min="6458" max="6458" width="13.28515625" bestFit="1" customWidth="1"/>
    <col min="6459" max="6459" width="7.7109375" bestFit="1" customWidth="1"/>
    <col min="6460" max="6463" width="9.140625" hidden="1" customWidth="1"/>
    <col min="6464" max="6464" width="10.42578125" bestFit="1" customWidth="1"/>
    <col min="6465" max="6465" width="10.5703125" bestFit="1" customWidth="1"/>
    <col min="6466" max="6466" width="10.42578125" bestFit="1" customWidth="1"/>
    <col min="6467" max="6467" width="10.5703125" bestFit="1" customWidth="1"/>
    <col min="6468" max="6468" width="9.5703125" bestFit="1" customWidth="1"/>
    <col min="6469" max="6469" width="11.5703125" bestFit="1" customWidth="1"/>
    <col min="6470" max="6470" width="10.42578125" bestFit="1" customWidth="1"/>
    <col min="6471" max="6471" width="10.85546875" customWidth="1"/>
    <col min="6472" max="6473" width="9.85546875" bestFit="1" customWidth="1"/>
    <col min="6474" max="6474" width="13.5703125" bestFit="1" customWidth="1"/>
    <col min="6475" max="6475" width="7.7109375" bestFit="1" customWidth="1"/>
    <col min="6476" max="6476" width="13.28515625" bestFit="1" customWidth="1"/>
    <col min="6477" max="6477" width="11.5703125" bestFit="1" customWidth="1"/>
    <col min="6478" max="6478" width="10.42578125" bestFit="1" customWidth="1"/>
    <col min="6479" max="6479" width="7.7109375" bestFit="1" customWidth="1"/>
    <col min="6480" max="6480" width="11.5703125" bestFit="1" customWidth="1"/>
    <col min="6481" max="6481" width="10.85546875" bestFit="1" customWidth="1"/>
    <col min="6482" max="6482" width="13.28515625" bestFit="1" customWidth="1"/>
    <col min="6483" max="6483" width="10.85546875" bestFit="1" customWidth="1"/>
    <col min="6484" max="6485" width="7.5703125" bestFit="1" customWidth="1"/>
    <col min="6486" max="6487" width="10.42578125" bestFit="1" customWidth="1"/>
    <col min="6488" max="6488" width="11.5703125" bestFit="1" customWidth="1"/>
    <col min="6489" max="6489" width="5.28515625" bestFit="1" customWidth="1"/>
    <col min="6490" max="6490" width="10.28515625" bestFit="1" customWidth="1"/>
    <col min="6491" max="6491" width="10.42578125" bestFit="1" customWidth="1"/>
    <col min="6492" max="6492" width="11.5703125" bestFit="1" customWidth="1"/>
    <col min="6493" max="6493" width="5.28515625" bestFit="1" customWidth="1"/>
    <col min="6494" max="6496" width="11.5703125" bestFit="1" customWidth="1"/>
    <col min="6497" max="6497" width="5.28515625" bestFit="1" customWidth="1"/>
    <col min="6498" max="6499" width="10.42578125" bestFit="1" customWidth="1"/>
    <col min="6500" max="6500" width="11.5703125" bestFit="1" customWidth="1"/>
    <col min="6501" max="6501" width="5.28515625" bestFit="1" customWidth="1"/>
    <col min="6502" max="6502" width="14.28515625" bestFit="1" customWidth="1"/>
    <col min="6503" max="6503" width="13" bestFit="1" customWidth="1"/>
    <col min="6504" max="6504" width="11.5703125" bestFit="1" customWidth="1"/>
    <col min="6505" max="6505" width="8.85546875" bestFit="1" customWidth="1"/>
    <col min="6506" max="6506" width="14.42578125" bestFit="1" customWidth="1"/>
    <col min="6507" max="6507" width="10.42578125" bestFit="1" customWidth="1"/>
    <col min="6508" max="6508" width="12.28515625" bestFit="1" customWidth="1"/>
    <col min="6509" max="6509" width="13.85546875" bestFit="1" customWidth="1"/>
    <col min="6510" max="6510" width="11.28515625" customWidth="1"/>
    <col min="6511" max="6511" width="11.5703125" customWidth="1"/>
    <col min="6512" max="6512" width="13.42578125" bestFit="1" customWidth="1"/>
    <col min="6513" max="6513" width="10.42578125" customWidth="1"/>
    <col min="6514" max="6514" width="13.85546875" bestFit="1" customWidth="1"/>
    <col min="6515" max="6515" width="15.42578125" bestFit="1" customWidth="1"/>
    <col min="6516" max="6516" width="12.28515625" bestFit="1" customWidth="1"/>
    <col min="6517" max="6517" width="12.7109375" customWidth="1"/>
    <col min="6518" max="6518" width="10.7109375" bestFit="1" customWidth="1"/>
    <col min="6519" max="6519" width="9.85546875" customWidth="1"/>
    <col min="6520" max="6521" width="10.140625" bestFit="1" customWidth="1"/>
    <col min="6522" max="6522" width="7.5703125" bestFit="1" customWidth="1"/>
    <col min="6523" max="6523" width="9.42578125" bestFit="1" customWidth="1"/>
    <col min="6524" max="6524" width="14.5703125" bestFit="1" customWidth="1"/>
    <col min="6525" max="6525" width="14.85546875" customWidth="1"/>
    <col min="6526" max="6526" width="15.140625" bestFit="1" customWidth="1"/>
    <col min="6527" max="6527" width="12.140625" bestFit="1" customWidth="1"/>
    <col min="6528" max="6528" width="14.85546875" bestFit="1" customWidth="1"/>
    <col min="6529" max="6529" width="12.28515625" bestFit="1" customWidth="1"/>
    <col min="6530" max="6538" width="9.140625" hidden="1" customWidth="1"/>
    <col min="6539" max="6539" width="5.28515625" bestFit="1" customWidth="1"/>
    <col min="6540" max="6545" width="11.5703125" bestFit="1" customWidth="1"/>
    <col min="6546" max="6546" width="11.28515625" bestFit="1" customWidth="1"/>
    <col min="6547" max="6547" width="10.140625" bestFit="1" customWidth="1"/>
    <col min="6548" max="6548" width="11.5703125" bestFit="1" customWidth="1"/>
    <col min="6549" max="6549" width="16.140625" customWidth="1"/>
    <col min="6550" max="6550" width="13.42578125" customWidth="1"/>
    <col min="6551" max="6551" width="10.140625" bestFit="1" customWidth="1"/>
    <col min="6552" max="6552" width="12.85546875" bestFit="1" customWidth="1"/>
    <col min="6553" max="6553" width="12.28515625" bestFit="1" customWidth="1"/>
    <col min="6554" max="6554" width="11.28515625" bestFit="1" customWidth="1"/>
    <col min="6555" max="6555" width="11.5703125" bestFit="1" customWidth="1"/>
    <col min="6556" max="6556" width="10.85546875" bestFit="1" customWidth="1"/>
    <col min="6557" max="6557" width="11.28515625" bestFit="1" customWidth="1"/>
    <col min="6558" max="6558" width="10.140625" bestFit="1" customWidth="1"/>
    <col min="6559" max="6559" width="13.28515625" bestFit="1" customWidth="1"/>
    <col min="6560" max="6561" width="12.7109375" bestFit="1" customWidth="1"/>
    <col min="6562" max="6562" width="11" bestFit="1" customWidth="1"/>
    <col min="6563" max="6563" width="11.28515625" bestFit="1" customWidth="1"/>
    <col min="6564" max="6564" width="11.5703125" bestFit="1" customWidth="1"/>
    <col min="6565" max="6565" width="12.28515625" bestFit="1" customWidth="1"/>
    <col min="6566" max="6566" width="15.140625" bestFit="1" customWidth="1"/>
    <col min="6567" max="6567" width="14.42578125" bestFit="1" customWidth="1"/>
    <col min="6568" max="6568" width="12.28515625" bestFit="1" customWidth="1"/>
    <col min="6569" max="6569" width="15.140625" bestFit="1" customWidth="1"/>
    <col min="6570" max="6570" width="14.42578125" bestFit="1" customWidth="1"/>
    <col min="6571" max="6571" width="12.28515625" bestFit="1" customWidth="1"/>
    <col min="6572" max="6572" width="14.42578125" bestFit="1" customWidth="1"/>
    <col min="6573" max="6573" width="11.28515625" bestFit="1" customWidth="1"/>
    <col min="6574" max="6574" width="12.28515625" bestFit="1" customWidth="1"/>
    <col min="6575" max="6575" width="13" bestFit="1" customWidth="1"/>
    <col min="6576" max="6576" width="15.140625" bestFit="1" customWidth="1"/>
    <col min="6577" max="6577" width="12.28515625" bestFit="1" customWidth="1"/>
    <col min="6578" max="6578" width="13.85546875" bestFit="1" customWidth="1"/>
    <col min="6579" max="6579" width="11.28515625" bestFit="1" customWidth="1"/>
    <col min="6580" max="6580" width="12.28515625" bestFit="1" customWidth="1"/>
    <col min="6581" max="6581" width="13.85546875" bestFit="1" customWidth="1"/>
    <col min="6582" max="6583" width="15.140625" bestFit="1" customWidth="1"/>
    <col min="6584" max="6584" width="12.28515625" bestFit="1" customWidth="1"/>
    <col min="6585" max="6585" width="5.7109375" bestFit="1" customWidth="1"/>
    <col min="6586" max="6586" width="8.5703125" bestFit="1" customWidth="1"/>
    <col min="6587" max="6587" width="5.5703125" bestFit="1" customWidth="1"/>
    <col min="6588" max="6588" width="14.42578125" bestFit="1" customWidth="1"/>
    <col min="6589" max="6589" width="11.28515625" bestFit="1" customWidth="1"/>
    <col min="6590" max="6591" width="12.28515625" bestFit="1" customWidth="1"/>
    <col min="6592" max="6592" width="11.28515625" bestFit="1" customWidth="1"/>
    <col min="6593" max="6593" width="13.85546875" bestFit="1" customWidth="1"/>
    <col min="6594" max="6594" width="12" bestFit="1" customWidth="1"/>
    <col min="6595" max="6595" width="13.85546875" bestFit="1" customWidth="1"/>
    <col min="6596" max="6597" width="14.42578125" customWidth="1"/>
    <col min="6598" max="6598" width="10.140625" bestFit="1" customWidth="1"/>
    <col min="6599" max="6599" width="12.28515625" bestFit="1" customWidth="1"/>
    <col min="6600" max="6600" width="7.42578125" bestFit="1" customWidth="1"/>
    <col min="6601" max="6601" width="8.5703125" bestFit="1" customWidth="1"/>
    <col min="6602" max="6602" width="11.5703125" bestFit="1" customWidth="1"/>
    <col min="6603" max="6603" width="13.28515625" bestFit="1" customWidth="1"/>
    <col min="6604" max="6604" width="13.28515625" customWidth="1"/>
    <col min="6605" max="6605" width="13.140625" customWidth="1"/>
    <col min="6606" max="6606" width="12.7109375" bestFit="1" customWidth="1"/>
    <col min="6607" max="6607" width="13.28515625" bestFit="1" customWidth="1"/>
    <col min="6608" max="6610" width="13.28515625" customWidth="1"/>
    <col min="6611" max="6611" width="12.140625" bestFit="1" customWidth="1"/>
    <col min="6612" max="6612" width="12.7109375" bestFit="1" customWidth="1"/>
    <col min="6613" max="6613" width="11" customWidth="1"/>
    <col min="6614" max="6614" width="16.7109375" customWidth="1"/>
    <col min="6615" max="6615" width="17" customWidth="1"/>
    <col min="6616" max="6616" width="10.42578125" bestFit="1" customWidth="1"/>
    <col min="6660" max="6660" width="3.85546875" customWidth="1"/>
    <col min="6661" max="6661" width="15.28515625" bestFit="1" customWidth="1"/>
    <col min="6662" max="6662" width="12.28515625" customWidth="1"/>
    <col min="6663" max="6663" width="16.28515625" bestFit="1" customWidth="1"/>
    <col min="6664" max="6664" width="6.42578125" bestFit="1" customWidth="1"/>
    <col min="6665" max="6665" width="9.28515625" bestFit="1" customWidth="1"/>
    <col min="6666" max="6666" width="7.5703125" bestFit="1" customWidth="1"/>
    <col min="6667" max="6667" width="13.28515625" bestFit="1" customWidth="1"/>
    <col min="6668" max="6668" width="9.28515625" bestFit="1" customWidth="1"/>
    <col min="6669" max="6669" width="11.5703125" bestFit="1" customWidth="1"/>
    <col min="6670" max="6670" width="13.28515625" bestFit="1" customWidth="1"/>
    <col min="6671" max="6671" width="7.140625" bestFit="1" customWidth="1"/>
    <col min="6672" max="6672" width="12" bestFit="1" customWidth="1"/>
    <col min="6673" max="6673" width="13.28515625" bestFit="1" customWidth="1"/>
    <col min="6674" max="6674" width="7" bestFit="1" customWidth="1"/>
    <col min="6675" max="6675" width="12.7109375" bestFit="1" customWidth="1"/>
    <col min="6676" max="6676" width="11.5703125" bestFit="1" customWidth="1"/>
    <col min="6677" max="6677" width="10.5703125" bestFit="1" customWidth="1"/>
    <col min="6678" max="6679" width="15.7109375" bestFit="1" customWidth="1"/>
    <col min="6680" max="6680" width="11.5703125" bestFit="1" customWidth="1"/>
    <col min="6681" max="6681" width="7.7109375" bestFit="1" customWidth="1"/>
    <col min="6682" max="6682" width="15.140625" bestFit="1" customWidth="1"/>
    <col min="6683" max="6683" width="11.5703125" bestFit="1" customWidth="1"/>
    <col min="6684" max="6684" width="13.28515625" bestFit="1" customWidth="1"/>
    <col min="6685" max="6685" width="10.42578125" bestFit="1" customWidth="1"/>
    <col min="6686" max="6686" width="13.28515625" bestFit="1" customWidth="1"/>
    <col min="6687" max="6687" width="12.140625" bestFit="1" customWidth="1"/>
    <col min="6688" max="6688" width="14.42578125" bestFit="1" customWidth="1"/>
    <col min="6689" max="6689" width="13.28515625" bestFit="1" customWidth="1"/>
    <col min="6690" max="6690" width="11.5703125" bestFit="1" customWidth="1"/>
    <col min="6691" max="6691" width="7.7109375" bestFit="1" customWidth="1"/>
    <col min="6692" max="6693" width="14.42578125" bestFit="1" customWidth="1"/>
    <col min="6694" max="6694" width="11.5703125" bestFit="1" customWidth="1"/>
    <col min="6695" max="6695" width="7.7109375" bestFit="1" customWidth="1"/>
    <col min="6696" max="6696" width="13.5703125" customWidth="1"/>
    <col min="6697" max="6697" width="15.28515625" customWidth="1"/>
    <col min="6698" max="6698" width="14.5703125" customWidth="1"/>
    <col min="6699" max="6699" width="13.28515625" bestFit="1" customWidth="1"/>
    <col min="6700" max="6700" width="7.7109375" bestFit="1" customWidth="1"/>
    <col min="6701" max="6701" width="12.7109375" bestFit="1" customWidth="1"/>
    <col min="6702" max="6702" width="11.7109375" bestFit="1" customWidth="1"/>
    <col min="6703" max="6703" width="11.5703125" bestFit="1" customWidth="1"/>
    <col min="6704" max="6704" width="5.28515625" bestFit="1" customWidth="1"/>
    <col min="6705" max="6705" width="13.28515625" bestFit="1" customWidth="1"/>
    <col min="6706" max="6706" width="13.5703125" bestFit="1" customWidth="1"/>
    <col min="6707" max="6707" width="10.5703125" bestFit="1" customWidth="1"/>
    <col min="6708" max="6708" width="13.28515625" bestFit="1" customWidth="1"/>
    <col min="6709" max="6709" width="11.5703125" bestFit="1" customWidth="1"/>
    <col min="6710" max="6710" width="10.5703125" bestFit="1" customWidth="1"/>
    <col min="6711" max="6711" width="16.140625" bestFit="1" customWidth="1"/>
    <col min="6712" max="6713" width="11.28515625" bestFit="1" customWidth="1"/>
    <col min="6714" max="6714" width="13.28515625" bestFit="1" customWidth="1"/>
    <col min="6715" max="6715" width="7.7109375" bestFit="1" customWidth="1"/>
    <col min="6716" max="6719" width="9.140625" hidden="1" customWidth="1"/>
    <col min="6720" max="6720" width="10.42578125" bestFit="1" customWidth="1"/>
    <col min="6721" max="6721" width="10.5703125" bestFit="1" customWidth="1"/>
    <col min="6722" max="6722" width="10.42578125" bestFit="1" customWidth="1"/>
    <col min="6723" max="6723" width="10.5703125" bestFit="1" customWidth="1"/>
    <col min="6724" max="6724" width="9.5703125" bestFit="1" customWidth="1"/>
    <col min="6725" max="6725" width="11.5703125" bestFit="1" customWidth="1"/>
    <col min="6726" max="6726" width="10.42578125" bestFit="1" customWidth="1"/>
    <col min="6727" max="6727" width="10.85546875" customWidth="1"/>
    <col min="6728" max="6729" width="9.85546875" bestFit="1" customWidth="1"/>
    <col min="6730" max="6730" width="13.5703125" bestFit="1" customWidth="1"/>
    <col min="6731" max="6731" width="7.7109375" bestFit="1" customWidth="1"/>
    <col min="6732" max="6732" width="13.28515625" bestFit="1" customWidth="1"/>
    <col min="6733" max="6733" width="11.5703125" bestFit="1" customWidth="1"/>
    <col min="6734" max="6734" width="10.42578125" bestFit="1" customWidth="1"/>
    <col min="6735" max="6735" width="7.7109375" bestFit="1" customWidth="1"/>
    <col min="6736" max="6736" width="11.5703125" bestFit="1" customWidth="1"/>
    <col min="6737" max="6737" width="10.85546875" bestFit="1" customWidth="1"/>
    <col min="6738" max="6738" width="13.28515625" bestFit="1" customWidth="1"/>
    <col min="6739" max="6739" width="10.85546875" bestFit="1" customWidth="1"/>
    <col min="6740" max="6741" width="7.5703125" bestFit="1" customWidth="1"/>
    <col min="6742" max="6743" width="10.42578125" bestFit="1" customWidth="1"/>
    <col min="6744" max="6744" width="11.5703125" bestFit="1" customWidth="1"/>
    <col min="6745" max="6745" width="5.28515625" bestFit="1" customWidth="1"/>
    <col min="6746" max="6746" width="10.28515625" bestFit="1" customWidth="1"/>
    <col min="6747" max="6747" width="10.42578125" bestFit="1" customWidth="1"/>
    <col min="6748" max="6748" width="11.5703125" bestFit="1" customWidth="1"/>
    <col min="6749" max="6749" width="5.28515625" bestFit="1" customWidth="1"/>
    <col min="6750" max="6752" width="11.5703125" bestFit="1" customWidth="1"/>
    <col min="6753" max="6753" width="5.28515625" bestFit="1" customWidth="1"/>
    <col min="6754" max="6755" width="10.42578125" bestFit="1" customWidth="1"/>
    <col min="6756" max="6756" width="11.5703125" bestFit="1" customWidth="1"/>
    <col min="6757" max="6757" width="5.28515625" bestFit="1" customWidth="1"/>
    <col min="6758" max="6758" width="14.28515625" bestFit="1" customWidth="1"/>
    <col min="6759" max="6759" width="13" bestFit="1" customWidth="1"/>
    <col min="6760" max="6760" width="11.5703125" bestFit="1" customWidth="1"/>
    <col min="6761" max="6761" width="8.85546875" bestFit="1" customWidth="1"/>
    <col min="6762" max="6762" width="14.42578125" bestFit="1" customWidth="1"/>
    <col min="6763" max="6763" width="10.42578125" bestFit="1" customWidth="1"/>
    <col min="6764" max="6764" width="12.28515625" bestFit="1" customWidth="1"/>
    <col min="6765" max="6765" width="13.85546875" bestFit="1" customWidth="1"/>
    <col min="6766" max="6766" width="11.28515625" customWidth="1"/>
    <col min="6767" max="6767" width="11.5703125" customWidth="1"/>
    <col min="6768" max="6768" width="13.42578125" bestFit="1" customWidth="1"/>
    <col min="6769" max="6769" width="10.42578125" customWidth="1"/>
    <col min="6770" max="6770" width="13.85546875" bestFit="1" customWidth="1"/>
    <col min="6771" max="6771" width="15.42578125" bestFit="1" customWidth="1"/>
    <col min="6772" max="6772" width="12.28515625" bestFit="1" customWidth="1"/>
    <col min="6773" max="6773" width="12.7109375" customWidth="1"/>
    <col min="6774" max="6774" width="10.7109375" bestFit="1" customWidth="1"/>
    <col min="6775" max="6775" width="9.85546875" customWidth="1"/>
    <col min="6776" max="6777" width="10.140625" bestFit="1" customWidth="1"/>
    <col min="6778" max="6778" width="7.5703125" bestFit="1" customWidth="1"/>
    <col min="6779" max="6779" width="9.42578125" bestFit="1" customWidth="1"/>
    <col min="6780" max="6780" width="14.5703125" bestFit="1" customWidth="1"/>
    <col min="6781" max="6781" width="14.85546875" customWidth="1"/>
    <col min="6782" max="6782" width="15.140625" bestFit="1" customWidth="1"/>
    <col min="6783" max="6783" width="12.140625" bestFit="1" customWidth="1"/>
    <col min="6784" max="6784" width="14.85546875" bestFit="1" customWidth="1"/>
    <col min="6785" max="6785" width="12.28515625" bestFit="1" customWidth="1"/>
    <col min="6786" max="6794" width="9.140625" hidden="1" customWidth="1"/>
    <col min="6795" max="6795" width="5.28515625" bestFit="1" customWidth="1"/>
    <col min="6796" max="6801" width="11.5703125" bestFit="1" customWidth="1"/>
    <col min="6802" max="6802" width="11.28515625" bestFit="1" customWidth="1"/>
    <col min="6803" max="6803" width="10.140625" bestFit="1" customWidth="1"/>
    <col min="6804" max="6804" width="11.5703125" bestFit="1" customWidth="1"/>
    <col min="6805" max="6805" width="16.140625" customWidth="1"/>
    <col min="6806" max="6806" width="13.42578125" customWidth="1"/>
    <col min="6807" max="6807" width="10.140625" bestFit="1" customWidth="1"/>
    <col min="6808" max="6808" width="12.85546875" bestFit="1" customWidth="1"/>
    <col min="6809" max="6809" width="12.28515625" bestFit="1" customWidth="1"/>
    <col min="6810" max="6810" width="11.28515625" bestFit="1" customWidth="1"/>
    <col min="6811" max="6811" width="11.5703125" bestFit="1" customWidth="1"/>
    <col min="6812" max="6812" width="10.85546875" bestFit="1" customWidth="1"/>
    <col min="6813" max="6813" width="11.28515625" bestFit="1" customWidth="1"/>
    <col min="6814" max="6814" width="10.140625" bestFit="1" customWidth="1"/>
    <col min="6815" max="6815" width="13.28515625" bestFit="1" customWidth="1"/>
    <col min="6816" max="6817" width="12.7109375" bestFit="1" customWidth="1"/>
    <col min="6818" max="6818" width="11" bestFit="1" customWidth="1"/>
    <col min="6819" max="6819" width="11.28515625" bestFit="1" customWidth="1"/>
    <col min="6820" max="6820" width="11.5703125" bestFit="1" customWidth="1"/>
    <col min="6821" max="6821" width="12.28515625" bestFit="1" customWidth="1"/>
    <col min="6822" max="6822" width="15.140625" bestFit="1" customWidth="1"/>
    <col min="6823" max="6823" width="14.42578125" bestFit="1" customWidth="1"/>
    <col min="6824" max="6824" width="12.28515625" bestFit="1" customWidth="1"/>
    <col min="6825" max="6825" width="15.140625" bestFit="1" customWidth="1"/>
    <col min="6826" max="6826" width="14.42578125" bestFit="1" customWidth="1"/>
    <col min="6827" max="6827" width="12.28515625" bestFit="1" customWidth="1"/>
    <col min="6828" max="6828" width="14.42578125" bestFit="1" customWidth="1"/>
    <col min="6829" max="6829" width="11.28515625" bestFit="1" customWidth="1"/>
    <col min="6830" max="6830" width="12.28515625" bestFit="1" customWidth="1"/>
    <col min="6831" max="6831" width="13" bestFit="1" customWidth="1"/>
    <col min="6832" max="6832" width="15.140625" bestFit="1" customWidth="1"/>
    <col min="6833" max="6833" width="12.28515625" bestFit="1" customWidth="1"/>
    <col min="6834" max="6834" width="13.85546875" bestFit="1" customWidth="1"/>
    <col min="6835" max="6835" width="11.28515625" bestFit="1" customWidth="1"/>
    <col min="6836" max="6836" width="12.28515625" bestFit="1" customWidth="1"/>
    <col min="6837" max="6837" width="13.85546875" bestFit="1" customWidth="1"/>
    <col min="6838" max="6839" width="15.140625" bestFit="1" customWidth="1"/>
    <col min="6840" max="6840" width="12.28515625" bestFit="1" customWidth="1"/>
    <col min="6841" max="6841" width="5.7109375" bestFit="1" customWidth="1"/>
    <col min="6842" max="6842" width="8.5703125" bestFit="1" customWidth="1"/>
    <col min="6843" max="6843" width="5.5703125" bestFit="1" customWidth="1"/>
    <col min="6844" max="6844" width="14.42578125" bestFit="1" customWidth="1"/>
    <col min="6845" max="6845" width="11.28515625" bestFit="1" customWidth="1"/>
    <col min="6846" max="6847" width="12.28515625" bestFit="1" customWidth="1"/>
    <col min="6848" max="6848" width="11.28515625" bestFit="1" customWidth="1"/>
    <col min="6849" max="6849" width="13.85546875" bestFit="1" customWidth="1"/>
    <col min="6850" max="6850" width="12" bestFit="1" customWidth="1"/>
    <col min="6851" max="6851" width="13.85546875" bestFit="1" customWidth="1"/>
    <col min="6852" max="6853" width="14.42578125" customWidth="1"/>
    <col min="6854" max="6854" width="10.140625" bestFit="1" customWidth="1"/>
    <col min="6855" max="6855" width="12.28515625" bestFit="1" customWidth="1"/>
    <col min="6856" max="6856" width="7.42578125" bestFit="1" customWidth="1"/>
    <col min="6857" max="6857" width="8.5703125" bestFit="1" customWidth="1"/>
    <col min="6858" max="6858" width="11.5703125" bestFit="1" customWidth="1"/>
    <col min="6859" max="6859" width="13.28515625" bestFit="1" customWidth="1"/>
    <col min="6860" max="6860" width="13.28515625" customWidth="1"/>
    <col min="6861" max="6861" width="13.140625" customWidth="1"/>
    <col min="6862" max="6862" width="12.7109375" bestFit="1" customWidth="1"/>
    <col min="6863" max="6863" width="13.28515625" bestFit="1" customWidth="1"/>
    <col min="6864" max="6866" width="13.28515625" customWidth="1"/>
    <col min="6867" max="6867" width="12.140625" bestFit="1" customWidth="1"/>
    <col min="6868" max="6868" width="12.7109375" bestFit="1" customWidth="1"/>
    <col min="6869" max="6869" width="11" customWidth="1"/>
    <col min="6870" max="6870" width="16.7109375" customWidth="1"/>
    <col min="6871" max="6871" width="17" customWidth="1"/>
    <col min="6872" max="6872" width="10.42578125" bestFit="1" customWidth="1"/>
    <col min="6916" max="6916" width="3.85546875" customWidth="1"/>
    <col min="6917" max="6917" width="15.28515625" bestFit="1" customWidth="1"/>
    <col min="6918" max="6918" width="12.28515625" customWidth="1"/>
    <col min="6919" max="6919" width="16.28515625" bestFit="1" customWidth="1"/>
    <col min="6920" max="6920" width="6.42578125" bestFit="1" customWidth="1"/>
    <col min="6921" max="6921" width="9.28515625" bestFit="1" customWidth="1"/>
    <col min="6922" max="6922" width="7.5703125" bestFit="1" customWidth="1"/>
    <col min="6923" max="6923" width="13.28515625" bestFit="1" customWidth="1"/>
    <col min="6924" max="6924" width="9.28515625" bestFit="1" customWidth="1"/>
    <col min="6925" max="6925" width="11.5703125" bestFit="1" customWidth="1"/>
    <col min="6926" max="6926" width="13.28515625" bestFit="1" customWidth="1"/>
    <col min="6927" max="6927" width="7.140625" bestFit="1" customWidth="1"/>
    <col min="6928" max="6928" width="12" bestFit="1" customWidth="1"/>
    <col min="6929" max="6929" width="13.28515625" bestFit="1" customWidth="1"/>
    <col min="6930" max="6930" width="7" bestFit="1" customWidth="1"/>
    <col min="6931" max="6931" width="12.7109375" bestFit="1" customWidth="1"/>
    <col min="6932" max="6932" width="11.5703125" bestFit="1" customWidth="1"/>
    <col min="6933" max="6933" width="10.5703125" bestFit="1" customWidth="1"/>
    <col min="6934" max="6935" width="15.7109375" bestFit="1" customWidth="1"/>
    <col min="6936" max="6936" width="11.5703125" bestFit="1" customWidth="1"/>
    <col min="6937" max="6937" width="7.7109375" bestFit="1" customWidth="1"/>
    <col min="6938" max="6938" width="15.140625" bestFit="1" customWidth="1"/>
    <col min="6939" max="6939" width="11.5703125" bestFit="1" customWidth="1"/>
    <col min="6940" max="6940" width="13.28515625" bestFit="1" customWidth="1"/>
    <col min="6941" max="6941" width="10.42578125" bestFit="1" customWidth="1"/>
    <col min="6942" max="6942" width="13.28515625" bestFit="1" customWidth="1"/>
    <col min="6943" max="6943" width="12.140625" bestFit="1" customWidth="1"/>
    <col min="6944" max="6944" width="14.42578125" bestFit="1" customWidth="1"/>
    <col min="6945" max="6945" width="13.28515625" bestFit="1" customWidth="1"/>
    <col min="6946" max="6946" width="11.5703125" bestFit="1" customWidth="1"/>
    <col min="6947" max="6947" width="7.7109375" bestFit="1" customWidth="1"/>
    <col min="6948" max="6949" width="14.42578125" bestFit="1" customWidth="1"/>
    <col min="6950" max="6950" width="11.5703125" bestFit="1" customWidth="1"/>
    <col min="6951" max="6951" width="7.7109375" bestFit="1" customWidth="1"/>
    <col min="6952" max="6952" width="13.5703125" customWidth="1"/>
    <col min="6953" max="6953" width="15.28515625" customWidth="1"/>
    <col min="6954" max="6954" width="14.5703125" customWidth="1"/>
    <col min="6955" max="6955" width="13.28515625" bestFit="1" customWidth="1"/>
    <col min="6956" max="6956" width="7.7109375" bestFit="1" customWidth="1"/>
    <col min="6957" max="6957" width="12.7109375" bestFit="1" customWidth="1"/>
    <col min="6958" max="6958" width="11.7109375" bestFit="1" customWidth="1"/>
    <col min="6959" max="6959" width="11.5703125" bestFit="1" customWidth="1"/>
    <col min="6960" max="6960" width="5.28515625" bestFit="1" customWidth="1"/>
    <col min="6961" max="6961" width="13.28515625" bestFit="1" customWidth="1"/>
    <col min="6962" max="6962" width="13.5703125" bestFit="1" customWidth="1"/>
    <col min="6963" max="6963" width="10.5703125" bestFit="1" customWidth="1"/>
    <col min="6964" max="6964" width="13.28515625" bestFit="1" customWidth="1"/>
    <col min="6965" max="6965" width="11.5703125" bestFit="1" customWidth="1"/>
    <col min="6966" max="6966" width="10.5703125" bestFit="1" customWidth="1"/>
    <col min="6967" max="6967" width="16.140625" bestFit="1" customWidth="1"/>
    <col min="6968" max="6969" width="11.28515625" bestFit="1" customWidth="1"/>
    <col min="6970" max="6970" width="13.28515625" bestFit="1" customWidth="1"/>
    <col min="6971" max="6971" width="7.7109375" bestFit="1" customWidth="1"/>
    <col min="6972" max="6975" width="9.140625" hidden="1" customWidth="1"/>
    <col min="6976" max="6976" width="10.42578125" bestFit="1" customWidth="1"/>
    <col min="6977" max="6977" width="10.5703125" bestFit="1" customWidth="1"/>
    <col min="6978" max="6978" width="10.42578125" bestFit="1" customWidth="1"/>
    <col min="6979" max="6979" width="10.5703125" bestFit="1" customWidth="1"/>
    <col min="6980" max="6980" width="9.5703125" bestFit="1" customWidth="1"/>
    <col min="6981" max="6981" width="11.5703125" bestFit="1" customWidth="1"/>
    <col min="6982" max="6982" width="10.42578125" bestFit="1" customWidth="1"/>
    <col min="6983" max="6983" width="10.85546875" customWidth="1"/>
    <col min="6984" max="6985" width="9.85546875" bestFit="1" customWidth="1"/>
    <col min="6986" max="6986" width="13.5703125" bestFit="1" customWidth="1"/>
    <col min="6987" max="6987" width="7.7109375" bestFit="1" customWidth="1"/>
    <col min="6988" max="6988" width="13.28515625" bestFit="1" customWidth="1"/>
    <col min="6989" max="6989" width="11.5703125" bestFit="1" customWidth="1"/>
    <col min="6990" max="6990" width="10.42578125" bestFit="1" customWidth="1"/>
    <col min="6991" max="6991" width="7.7109375" bestFit="1" customWidth="1"/>
    <col min="6992" max="6992" width="11.5703125" bestFit="1" customWidth="1"/>
    <col min="6993" max="6993" width="10.85546875" bestFit="1" customWidth="1"/>
    <col min="6994" max="6994" width="13.28515625" bestFit="1" customWidth="1"/>
    <col min="6995" max="6995" width="10.85546875" bestFit="1" customWidth="1"/>
    <col min="6996" max="6997" width="7.5703125" bestFit="1" customWidth="1"/>
    <col min="6998" max="6999" width="10.42578125" bestFit="1" customWidth="1"/>
    <col min="7000" max="7000" width="11.5703125" bestFit="1" customWidth="1"/>
    <col min="7001" max="7001" width="5.28515625" bestFit="1" customWidth="1"/>
    <col min="7002" max="7002" width="10.28515625" bestFit="1" customWidth="1"/>
    <col min="7003" max="7003" width="10.42578125" bestFit="1" customWidth="1"/>
    <col min="7004" max="7004" width="11.5703125" bestFit="1" customWidth="1"/>
    <col min="7005" max="7005" width="5.28515625" bestFit="1" customWidth="1"/>
    <col min="7006" max="7008" width="11.5703125" bestFit="1" customWidth="1"/>
    <col min="7009" max="7009" width="5.28515625" bestFit="1" customWidth="1"/>
    <col min="7010" max="7011" width="10.42578125" bestFit="1" customWidth="1"/>
    <col min="7012" max="7012" width="11.5703125" bestFit="1" customWidth="1"/>
    <col min="7013" max="7013" width="5.28515625" bestFit="1" customWidth="1"/>
    <col min="7014" max="7014" width="14.28515625" bestFit="1" customWidth="1"/>
    <col min="7015" max="7015" width="13" bestFit="1" customWidth="1"/>
    <col min="7016" max="7016" width="11.5703125" bestFit="1" customWidth="1"/>
    <col min="7017" max="7017" width="8.85546875" bestFit="1" customWidth="1"/>
    <col min="7018" max="7018" width="14.42578125" bestFit="1" customWidth="1"/>
    <col min="7019" max="7019" width="10.42578125" bestFit="1" customWidth="1"/>
    <col min="7020" max="7020" width="12.28515625" bestFit="1" customWidth="1"/>
    <col min="7021" max="7021" width="13.85546875" bestFit="1" customWidth="1"/>
    <col min="7022" max="7022" width="11.28515625" customWidth="1"/>
    <col min="7023" max="7023" width="11.5703125" customWidth="1"/>
    <col min="7024" max="7024" width="13.42578125" bestFit="1" customWidth="1"/>
    <col min="7025" max="7025" width="10.42578125" customWidth="1"/>
    <col min="7026" max="7026" width="13.85546875" bestFit="1" customWidth="1"/>
    <col min="7027" max="7027" width="15.42578125" bestFit="1" customWidth="1"/>
    <col min="7028" max="7028" width="12.28515625" bestFit="1" customWidth="1"/>
    <col min="7029" max="7029" width="12.7109375" customWidth="1"/>
    <col min="7030" max="7030" width="10.7109375" bestFit="1" customWidth="1"/>
    <col min="7031" max="7031" width="9.85546875" customWidth="1"/>
    <col min="7032" max="7033" width="10.140625" bestFit="1" customWidth="1"/>
    <col min="7034" max="7034" width="7.5703125" bestFit="1" customWidth="1"/>
    <col min="7035" max="7035" width="9.42578125" bestFit="1" customWidth="1"/>
    <col min="7036" max="7036" width="14.5703125" bestFit="1" customWidth="1"/>
    <col min="7037" max="7037" width="14.85546875" customWidth="1"/>
    <col min="7038" max="7038" width="15.140625" bestFit="1" customWidth="1"/>
    <col min="7039" max="7039" width="12.140625" bestFit="1" customWidth="1"/>
    <col min="7040" max="7040" width="14.85546875" bestFit="1" customWidth="1"/>
    <col min="7041" max="7041" width="12.28515625" bestFit="1" customWidth="1"/>
    <col min="7042" max="7050" width="9.140625" hidden="1" customWidth="1"/>
    <col min="7051" max="7051" width="5.28515625" bestFit="1" customWidth="1"/>
    <col min="7052" max="7057" width="11.5703125" bestFit="1" customWidth="1"/>
    <col min="7058" max="7058" width="11.28515625" bestFit="1" customWidth="1"/>
    <col min="7059" max="7059" width="10.140625" bestFit="1" customWidth="1"/>
    <col min="7060" max="7060" width="11.5703125" bestFit="1" customWidth="1"/>
    <col min="7061" max="7061" width="16.140625" customWidth="1"/>
    <col min="7062" max="7062" width="13.42578125" customWidth="1"/>
    <col min="7063" max="7063" width="10.140625" bestFit="1" customWidth="1"/>
    <col min="7064" max="7064" width="12.85546875" bestFit="1" customWidth="1"/>
    <col min="7065" max="7065" width="12.28515625" bestFit="1" customWidth="1"/>
    <col min="7066" max="7066" width="11.28515625" bestFit="1" customWidth="1"/>
    <col min="7067" max="7067" width="11.5703125" bestFit="1" customWidth="1"/>
    <col min="7068" max="7068" width="10.85546875" bestFit="1" customWidth="1"/>
    <col min="7069" max="7069" width="11.28515625" bestFit="1" customWidth="1"/>
    <col min="7070" max="7070" width="10.140625" bestFit="1" customWidth="1"/>
    <col min="7071" max="7071" width="13.28515625" bestFit="1" customWidth="1"/>
    <col min="7072" max="7073" width="12.7109375" bestFit="1" customWidth="1"/>
    <col min="7074" max="7074" width="11" bestFit="1" customWidth="1"/>
    <col min="7075" max="7075" width="11.28515625" bestFit="1" customWidth="1"/>
    <col min="7076" max="7076" width="11.5703125" bestFit="1" customWidth="1"/>
    <col min="7077" max="7077" width="12.28515625" bestFit="1" customWidth="1"/>
    <col min="7078" max="7078" width="15.140625" bestFit="1" customWidth="1"/>
    <col min="7079" max="7079" width="14.42578125" bestFit="1" customWidth="1"/>
    <col min="7080" max="7080" width="12.28515625" bestFit="1" customWidth="1"/>
    <col min="7081" max="7081" width="15.140625" bestFit="1" customWidth="1"/>
    <col min="7082" max="7082" width="14.42578125" bestFit="1" customWidth="1"/>
    <col min="7083" max="7083" width="12.28515625" bestFit="1" customWidth="1"/>
    <col min="7084" max="7084" width="14.42578125" bestFit="1" customWidth="1"/>
    <col min="7085" max="7085" width="11.28515625" bestFit="1" customWidth="1"/>
    <col min="7086" max="7086" width="12.28515625" bestFit="1" customWidth="1"/>
    <col min="7087" max="7087" width="13" bestFit="1" customWidth="1"/>
    <col min="7088" max="7088" width="15.140625" bestFit="1" customWidth="1"/>
    <col min="7089" max="7089" width="12.28515625" bestFit="1" customWidth="1"/>
    <col min="7090" max="7090" width="13.85546875" bestFit="1" customWidth="1"/>
    <col min="7091" max="7091" width="11.28515625" bestFit="1" customWidth="1"/>
    <col min="7092" max="7092" width="12.28515625" bestFit="1" customWidth="1"/>
    <col min="7093" max="7093" width="13.85546875" bestFit="1" customWidth="1"/>
    <col min="7094" max="7095" width="15.140625" bestFit="1" customWidth="1"/>
    <col min="7096" max="7096" width="12.28515625" bestFit="1" customWidth="1"/>
    <col min="7097" max="7097" width="5.7109375" bestFit="1" customWidth="1"/>
    <col min="7098" max="7098" width="8.5703125" bestFit="1" customWidth="1"/>
    <col min="7099" max="7099" width="5.5703125" bestFit="1" customWidth="1"/>
    <col min="7100" max="7100" width="14.42578125" bestFit="1" customWidth="1"/>
    <col min="7101" max="7101" width="11.28515625" bestFit="1" customWidth="1"/>
    <col min="7102" max="7103" width="12.28515625" bestFit="1" customWidth="1"/>
    <col min="7104" max="7104" width="11.28515625" bestFit="1" customWidth="1"/>
    <col min="7105" max="7105" width="13.85546875" bestFit="1" customWidth="1"/>
    <col min="7106" max="7106" width="12" bestFit="1" customWidth="1"/>
    <col min="7107" max="7107" width="13.85546875" bestFit="1" customWidth="1"/>
    <col min="7108" max="7109" width="14.42578125" customWidth="1"/>
    <col min="7110" max="7110" width="10.140625" bestFit="1" customWidth="1"/>
    <col min="7111" max="7111" width="12.28515625" bestFit="1" customWidth="1"/>
    <col min="7112" max="7112" width="7.42578125" bestFit="1" customWidth="1"/>
    <col min="7113" max="7113" width="8.5703125" bestFit="1" customWidth="1"/>
    <col min="7114" max="7114" width="11.5703125" bestFit="1" customWidth="1"/>
    <col min="7115" max="7115" width="13.28515625" bestFit="1" customWidth="1"/>
    <col min="7116" max="7116" width="13.28515625" customWidth="1"/>
    <col min="7117" max="7117" width="13.140625" customWidth="1"/>
    <col min="7118" max="7118" width="12.7109375" bestFit="1" customWidth="1"/>
    <col min="7119" max="7119" width="13.28515625" bestFit="1" customWidth="1"/>
    <col min="7120" max="7122" width="13.28515625" customWidth="1"/>
    <col min="7123" max="7123" width="12.140625" bestFit="1" customWidth="1"/>
    <col min="7124" max="7124" width="12.7109375" bestFit="1" customWidth="1"/>
    <col min="7125" max="7125" width="11" customWidth="1"/>
    <col min="7126" max="7126" width="16.7109375" customWidth="1"/>
    <col min="7127" max="7127" width="17" customWidth="1"/>
    <col min="7128" max="7128" width="10.42578125" bestFit="1" customWidth="1"/>
    <col min="7172" max="7172" width="3.85546875" customWidth="1"/>
    <col min="7173" max="7173" width="15.28515625" bestFit="1" customWidth="1"/>
    <col min="7174" max="7174" width="12.28515625" customWidth="1"/>
    <col min="7175" max="7175" width="16.28515625" bestFit="1" customWidth="1"/>
    <col min="7176" max="7176" width="6.42578125" bestFit="1" customWidth="1"/>
    <col min="7177" max="7177" width="9.28515625" bestFit="1" customWidth="1"/>
    <col min="7178" max="7178" width="7.5703125" bestFit="1" customWidth="1"/>
    <col min="7179" max="7179" width="13.28515625" bestFit="1" customWidth="1"/>
    <col min="7180" max="7180" width="9.28515625" bestFit="1" customWidth="1"/>
    <col min="7181" max="7181" width="11.5703125" bestFit="1" customWidth="1"/>
    <col min="7182" max="7182" width="13.28515625" bestFit="1" customWidth="1"/>
    <col min="7183" max="7183" width="7.140625" bestFit="1" customWidth="1"/>
    <col min="7184" max="7184" width="12" bestFit="1" customWidth="1"/>
    <col min="7185" max="7185" width="13.28515625" bestFit="1" customWidth="1"/>
    <col min="7186" max="7186" width="7" bestFit="1" customWidth="1"/>
    <col min="7187" max="7187" width="12.7109375" bestFit="1" customWidth="1"/>
    <col min="7188" max="7188" width="11.5703125" bestFit="1" customWidth="1"/>
    <col min="7189" max="7189" width="10.5703125" bestFit="1" customWidth="1"/>
    <col min="7190" max="7191" width="15.7109375" bestFit="1" customWidth="1"/>
    <col min="7192" max="7192" width="11.5703125" bestFit="1" customWidth="1"/>
    <col min="7193" max="7193" width="7.7109375" bestFit="1" customWidth="1"/>
    <col min="7194" max="7194" width="15.140625" bestFit="1" customWidth="1"/>
    <col min="7195" max="7195" width="11.5703125" bestFit="1" customWidth="1"/>
    <col min="7196" max="7196" width="13.28515625" bestFit="1" customWidth="1"/>
    <col min="7197" max="7197" width="10.42578125" bestFit="1" customWidth="1"/>
    <col min="7198" max="7198" width="13.28515625" bestFit="1" customWidth="1"/>
    <col min="7199" max="7199" width="12.140625" bestFit="1" customWidth="1"/>
    <col min="7200" max="7200" width="14.42578125" bestFit="1" customWidth="1"/>
    <col min="7201" max="7201" width="13.28515625" bestFit="1" customWidth="1"/>
    <col min="7202" max="7202" width="11.5703125" bestFit="1" customWidth="1"/>
    <col min="7203" max="7203" width="7.7109375" bestFit="1" customWidth="1"/>
    <col min="7204" max="7205" width="14.42578125" bestFit="1" customWidth="1"/>
    <col min="7206" max="7206" width="11.5703125" bestFit="1" customWidth="1"/>
    <col min="7207" max="7207" width="7.7109375" bestFit="1" customWidth="1"/>
    <col min="7208" max="7208" width="13.5703125" customWidth="1"/>
    <col min="7209" max="7209" width="15.28515625" customWidth="1"/>
    <col min="7210" max="7210" width="14.5703125" customWidth="1"/>
    <col min="7211" max="7211" width="13.28515625" bestFit="1" customWidth="1"/>
    <col min="7212" max="7212" width="7.7109375" bestFit="1" customWidth="1"/>
    <col min="7213" max="7213" width="12.7109375" bestFit="1" customWidth="1"/>
    <col min="7214" max="7214" width="11.7109375" bestFit="1" customWidth="1"/>
    <col min="7215" max="7215" width="11.5703125" bestFit="1" customWidth="1"/>
    <col min="7216" max="7216" width="5.28515625" bestFit="1" customWidth="1"/>
    <col min="7217" max="7217" width="13.28515625" bestFit="1" customWidth="1"/>
    <col min="7218" max="7218" width="13.5703125" bestFit="1" customWidth="1"/>
    <col min="7219" max="7219" width="10.5703125" bestFit="1" customWidth="1"/>
    <col min="7220" max="7220" width="13.28515625" bestFit="1" customWidth="1"/>
    <col min="7221" max="7221" width="11.5703125" bestFit="1" customWidth="1"/>
    <col min="7222" max="7222" width="10.5703125" bestFit="1" customWidth="1"/>
    <col min="7223" max="7223" width="16.140625" bestFit="1" customWidth="1"/>
    <col min="7224" max="7225" width="11.28515625" bestFit="1" customWidth="1"/>
    <col min="7226" max="7226" width="13.28515625" bestFit="1" customWidth="1"/>
    <col min="7227" max="7227" width="7.7109375" bestFit="1" customWidth="1"/>
    <col min="7228" max="7231" width="9.140625" hidden="1" customWidth="1"/>
    <col min="7232" max="7232" width="10.42578125" bestFit="1" customWidth="1"/>
    <col min="7233" max="7233" width="10.5703125" bestFit="1" customWidth="1"/>
    <col min="7234" max="7234" width="10.42578125" bestFit="1" customWidth="1"/>
    <col min="7235" max="7235" width="10.5703125" bestFit="1" customWidth="1"/>
    <col min="7236" max="7236" width="9.5703125" bestFit="1" customWidth="1"/>
    <col min="7237" max="7237" width="11.5703125" bestFit="1" customWidth="1"/>
    <col min="7238" max="7238" width="10.42578125" bestFit="1" customWidth="1"/>
    <col min="7239" max="7239" width="10.85546875" customWidth="1"/>
    <col min="7240" max="7241" width="9.85546875" bestFit="1" customWidth="1"/>
    <col min="7242" max="7242" width="13.5703125" bestFit="1" customWidth="1"/>
    <col min="7243" max="7243" width="7.7109375" bestFit="1" customWidth="1"/>
    <col min="7244" max="7244" width="13.28515625" bestFit="1" customWidth="1"/>
    <col min="7245" max="7245" width="11.5703125" bestFit="1" customWidth="1"/>
    <col min="7246" max="7246" width="10.42578125" bestFit="1" customWidth="1"/>
    <col min="7247" max="7247" width="7.7109375" bestFit="1" customWidth="1"/>
    <col min="7248" max="7248" width="11.5703125" bestFit="1" customWidth="1"/>
    <col min="7249" max="7249" width="10.85546875" bestFit="1" customWidth="1"/>
    <col min="7250" max="7250" width="13.28515625" bestFit="1" customWidth="1"/>
    <col min="7251" max="7251" width="10.85546875" bestFit="1" customWidth="1"/>
    <col min="7252" max="7253" width="7.5703125" bestFit="1" customWidth="1"/>
    <col min="7254" max="7255" width="10.42578125" bestFit="1" customWidth="1"/>
    <col min="7256" max="7256" width="11.5703125" bestFit="1" customWidth="1"/>
    <col min="7257" max="7257" width="5.28515625" bestFit="1" customWidth="1"/>
    <col min="7258" max="7258" width="10.28515625" bestFit="1" customWidth="1"/>
    <col min="7259" max="7259" width="10.42578125" bestFit="1" customWidth="1"/>
    <col min="7260" max="7260" width="11.5703125" bestFit="1" customWidth="1"/>
    <col min="7261" max="7261" width="5.28515625" bestFit="1" customWidth="1"/>
    <col min="7262" max="7264" width="11.5703125" bestFit="1" customWidth="1"/>
    <col min="7265" max="7265" width="5.28515625" bestFit="1" customWidth="1"/>
    <col min="7266" max="7267" width="10.42578125" bestFit="1" customWidth="1"/>
    <col min="7268" max="7268" width="11.5703125" bestFit="1" customWidth="1"/>
    <col min="7269" max="7269" width="5.28515625" bestFit="1" customWidth="1"/>
    <col min="7270" max="7270" width="14.28515625" bestFit="1" customWidth="1"/>
    <col min="7271" max="7271" width="13" bestFit="1" customWidth="1"/>
    <col min="7272" max="7272" width="11.5703125" bestFit="1" customWidth="1"/>
    <col min="7273" max="7273" width="8.85546875" bestFit="1" customWidth="1"/>
    <col min="7274" max="7274" width="14.42578125" bestFit="1" customWidth="1"/>
    <col min="7275" max="7275" width="10.42578125" bestFit="1" customWidth="1"/>
    <col min="7276" max="7276" width="12.28515625" bestFit="1" customWidth="1"/>
    <col min="7277" max="7277" width="13.85546875" bestFit="1" customWidth="1"/>
    <col min="7278" max="7278" width="11.28515625" customWidth="1"/>
    <col min="7279" max="7279" width="11.5703125" customWidth="1"/>
    <col min="7280" max="7280" width="13.42578125" bestFit="1" customWidth="1"/>
    <col min="7281" max="7281" width="10.42578125" customWidth="1"/>
    <col min="7282" max="7282" width="13.85546875" bestFit="1" customWidth="1"/>
    <col min="7283" max="7283" width="15.42578125" bestFit="1" customWidth="1"/>
    <col min="7284" max="7284" width="12.28515625" bestFit="1" customWidth="1"/>
    <col min="7285" max="7285" width="12.7109375" customWidth="1"/>
    <col min="7286" max="7286" width="10.7109375" bestFit="1" customWidth="1"/>
    <col min="7287" max="7287" width="9.85546875" customWidth="1"/>
    <col min="7288" max="7289" width="10.140625" bestFit="1" customWidth="1"/>
    <col min="7290" max="7290" width="7.5703125" bestFit="1" customWidth="1"/>
    <col min="7291" max="7291" width="9.42578125" bestFit="1" customWidth="1"/>
    <col min="7292" max="7292" width="14.5703125" bestFit="1" customWidth="1"/>
    <col min="7293" max="7293" width="14.85546875" customWidth="1"/>
    <col min="7294" max="7294" width="15.140625" bestFit="1" customWidth="1"/>
    <col min="7295" max="7295" width="12.140625" bestFit="1" customWidth="1"/>
    <col min="7296" max="7296" width="14.85546875" bestFit="1" customWidth="1"/>
    <col min="7297" max="7297" width="12.28515625" bestFit="1" customWidth="1"/>
    <col min="7298" max="7306" width="9.140625" hidden="1" customWidth="1"/>
    <col min="7307" max="7307" width="5.28515625" bestFit="1" customWidth="1"/>
    <col min="7308" max="7313" width="11.5703125" bestFit="1" customWidth="1"/>
    <col min="7314" max="7314" width="11.28515625" bestFit="1" customWidth="1"/>
    <col min="7315" max="7315" width="10.140625" bestFit="1" customWidth="1"/>
    <col min="7316" max="7316" width="11.5703125" bestFit="1" customWidth="1"/>
    <col min="7317" max="7317" width="16.140625" customWidth="1"/>
    <col min="7318" max="7318" width="13.42578125" customWidth="1"/>
    <col min="7319" max="7319" width="10.140625" bestFit="1" customWidth="1"/>
    <col min="7320" max="7320" width="12.85546875" bestFit="1" customWidth="1"/>
    <col min="7321" max="7321" width="12.28515625" bestFit="1" customWidth="1"/>
    <col min="7322" max="7322" width="11.28515625" bestFit="1" customWidth="1"/>
    <col min="7323" max="7323" width="11.5703125" bestFit="1" customWidth="1"/>
    <col min="7324" max="7324" width="10.85546875" bestFit="1" customWidth="1"/>
    <col min="7325" max="7325" width="11.28515625" bestFit="1" customWidth="1"/>
    <col min="7326" max="7326" width="10.140625" bestFit="1" customWidth="1"/>
    <col min="7327" max="7327" width="13.28515625" bestFit="1" customWidth="1"/>
    <col min="7328" max="7329" width="12.7109375" bestFit="1" customWidth="1"/>
    <col min="7330" max="7330" width="11" bestFit="1" customWidth="1"/>
    <col min="7331" max="7331" width="11.28515625" bestFit="1" customWidth="1"/>
    <col min="7332" max="7332" width="11.5703125" bestFit="1" customWidth="1"/>
    <col min="7333" max="7333" width="12.28515625" bestFit="1" customWidth="1"/>
    <col min="7334" max="7334" width="15.140625" bestFit="1" customWidth="1"/>
    <col min="7335" max="7335" width="14.42578125" bestFit="1" customWidth="1"/>
    <col min="7336" max="7336" width="12.28515625" bestFit="1" customWidth="1"/>
    <col min="7337" max="7337" width="15.140625" bestFit="1" customWidth="1"/>
    <col min="7338" max="7338" width="14.42578125" bestFit="1" customWidth="1"/>
    <col min="7339" max="7339" width="12.28515625" bestFit="1" customWidth="1"/>
    <col min="7340" max="7340" width="14.42578125" bestFit="1" customWidth="1"/>
    <col min="7341" max="7341" width="11.28515625" bestFit="1" customWidth="1"/>
    <col min="7342" max="7342" width="12.28515625" bestFit="1" customWidth="1"/>
    <col min="7343" max="7343" width="13" bestFit="1" customWidth="1"/>
    <col min="7344" max="7344" width="15.140625" bestFit="1" customWidth="1"/>
    <col min="7345" max="7345" width="12.28515625" bestFit="1" customWidth="1"/>
    <col min="7346" max="7346" width="13.85546875" bestFit="1" customWidth="1"/>
    <col min="7347" max="7347" width="11.28515625" bestFit="1" customWidth="1"/>
    <col min="7348" max="7348" width="12.28515625" bestFit="1" customWidth="1"/>
    <col min="7349" max="7349" width="13.85546875" bestFit="1" customWidth="1"/>
    <col min="7350" max="7351" width="15.140625" bestFit="1" customWidth="1"/>
    <col min="7352" max="7352" width="12.28515625" bestFit="1" customWidth="1"/>
    <col min="7353" max="7353" width="5.7109375" bestFit="1" customWidth="1"/>
    <col min="7354" max="7354" width="8.5703125" bestFit="1" customWidth="1"/>
    <col min="7355" max="7355" width="5.5703125" bestFit="1" customWidth="1"/>
    <col min="7356" max="7356" width="14.42578125" bestFit="1" customWidth="1"/>
    <col min="7357" max="7357" width="11.28515625" bestFit="1" customWidth="1"/>
    <col min="7358" max="7359" width="12.28515625" bestFit="1" customWidth="1"/>
    <col min="7360" max="7360" width="11.28515625" bestFit="1" customWidth="1"/>
    <col min="7361" max="7361" width="13.85546875" bestFit="1" customWidth="1"/>
    <col min="7362" max="7362" width="12" bestFit="1" customWidth="1"/>
    <col min="7363" max="7363" width="13.85546875" bestFit="1" customWidth="1"/>
    <col min="7364" max="7365" width="14.42578125" customWidth="1"/>
    <col min="7366" max="7366" width="10.140625" bestFit="1" customWidth="1"/>
    <col min="7367" max="7367" width="12.28515625" bestFit="1" customWidth="1"/>
    <col min="7368" max="7368" width="7.42578125" bestFit="1" customWidth="1"/>
    <col min="7369" max="7369" width="8.5703125" bestFit="1" customWidth="1"/>
    <col min="7370" max="7370" width="11.5703125" bestFit="1" customWidth="1"/>
    <col min="7371" max="7371" width="13.28515625" bestFit="1" customWidth="1"/>
    <col min="7372" max="7372" width="13.28515625" customWidth="1"/>
    <col min="7373" max="7373" width="13.140625" customWidth="1"/>
    <col min="7374" max="7374" width="12.7109375" bestFit="1" customWidth="1"/>
    <col min="7375" max="7375" width="13.28515625" bestFit="1" customWidth="1"/>
    <col min="7376" max="7378" width="13.28515625" customWidth="1"/>
    <col min="7379" max="7379" width="12.140625" bestFit="1" customWidth="1"/>
    <col min="7380" max="7380" width="12.7109375" bestFit="1" customWidth="1"/>
    <col min="7381" max="7381" width="11" customWidth="1"/>
    <col min="7382" max="7382" width="16.7109375" customWidth="1"/>
    <col min="7383" max="7383" width="17" customWidth="1"/>
    <col min="7384" max="7384" width="10.42578125" bestFit="1" customWidth="1"/>
    <col min="7428" max="7428" width="3.85546875" customWidth="1"/>
    <col min="7429" max="7429" width="15.28515625" bestFit="1" customWidth="1"/>
    <col min="7430" max="7430" width="12.28515625" customWidth="1"/>
    <col min="7431" max="7431" width="16.28515625" bestFit="1" customWidth="1"/>
    <col min="7432" max="7432" width="6.42578125" bestFit="1" customWidth="1"/>
    <col min="7433" max="7433" width="9.28515625" bestFit="1" customWidth="1"/>
    <col min="7434" max="7434" width="7.5703125" bestFit="1" customWidth="1"/>
    <col min="7435" max="7435" width="13.28515625" bestFit="1" customWidth="1"/>
    <col min="7436" max="7436" width="9.28515625" bestFit="1" customWidth="1"/>
    <col min="7437" max="7437" width="11.5703125" bestFit="1" customWidth="1"/>
    <col min="7438" max="7438" width="13.28515625" bestFit="1" customWidth="1"/>
    <col min="7439" max="7439" width="7.140625" bestFit="1" customWidth="1"/>
    <col min="7440" max="7440" width="12" bestFit="1" customWidth="1"/>
    <col min="7441" max="7441" width="13.28515625" bestFit="1" customWidth="1"/>
    <col min="7442" max="7442" width="7" bestFit="1" customWidth="1"/>
    <col min="7443" max="7443" width="12.7109375" bestFit="1" customWidth="1"/>
    <col min="7444" max="7444" width="11.5703125" bestFit="1" customWidth="1"/>
    <col min="7445" max="7445" width="10.5703125" bestFit="1" customWidth="1"/>
    <col min="7446" max="7447" width="15.7109375" bestFit="1" customWidth="1"/>
    <col min="7448" max="7448" width="11.5703125" bestFit="1" customWidth="1"/>
    <col min="7449" max="7449" width="7.7109375" bestFit="1" customWidth="1"/>
    <col min="7450" max="7450" width="15.140625" bestFit="1" customWidth="1"/>
    <col min="7451" max="7451" width="11.5703125" bestFit="1" customWidth="1"/>
    <col min="7452" max="7452" width="13.28515625" bestFit="1" customWidth="1"/>
    <col min="7453" max="7453" width="10.42578125" bestFit="1" customWidth="1"/>
    <col min="7454" max="7454" width="13.28515625" bestFit="1" customWidth="1"/>
    <col min="7455" max="7455" width="12.140625" bestFit="1" customWidth="1"/>
    <col min="7456" max="7456" width="14.42578125" bestFit="1" customWidth="1"/>
    <col min="7457" max="7457" width="13.28515625" bestFit="1" customWidth="1"/>
    <col min="7458" max="7458" width="11.5703125" bestFit="1" customWidth="1"/>
    <col min="7459" max="7459" width="7.7109375" bestFit="1" customWidth="1"/>
    <col min="7460" max="7461" width="14.42578125" bestFit="1" customWidth="1"/>
    <col min="7462" max="7462" width="11.5703125" bestFit="1" customWidth="1"/>
    <col min="7463" max="7463" width="7.7109375" bestFit="1" customWidth="1"/>
    <col min="7464" max="7464" width="13.5703125" customWidth="1"/>
    <col min="7465" max="7465" width="15.28515625" customWidth="1"/>
    <col min="7466" max="7466" width="14.5703125" customWidth="1"/>
    <col min="7467" max="7467" width="13.28515625" bestFit="1" customWidth="1"/>
    <col min="7468" max="7468" width="7.7109375" bestFit="1" customWidth="1"/>
    <col min="7469" max="7469" width="12.7109375" bestFit="1" customWidth="1"/>
    <col min="7470" max="7470" width="11.7109375" bestFit="1" customWidth="1"/>
    <col min="7471" max="7471" width="11.5703125" bestFit="1" customWidth="1"/>
    <col min="7472" max="7472" width="5.28515625" bestFit="1" customWidth="1"/>
    <col min="7473" max="7473" width="13.28515625" bestFit="1" customWidth="1"/>
    <col min="7474" max="7474" width="13.5703125" bestFit="1" customWidth="1"/>
    <col min="7475" max="7475" width="10.5703125" bestFit="1" customWidth="1"/>
    <col min="7476" max="7476" width="13.28515625" bestFit="1" customWidth="1"/>
    <col min="7477" max="7477" width="11.5703125" bestFit="1" customWidth="1"/>
    <col min="7478" max="7478" width="10.5703125" bestFit="1" customWidth="1"/>
    <col min="7479" max="7479" width="16.140625" bestFit="1" customWidth="1"/>
    <col min="7480" max="7481" width="11.28515625" bestFit="1" customWidth="1"/>
    <col min="7482" max="7482" width="13.28515625" bestFit="1" customWidth="1"/>
    <col min="7483" max="7483" width="7.7109375" bestFit="1" customWidth="1"/>
    <col min="7484" max="7487" width="9.140625" hidden="1" customWidth="1"/>
    <col min="7488" max="7488" width="10.42578125" bestFit="1" customWidth="1"/>
    <col min="7489" max="7489" width="10.5703125" bestFit="1" customWidth="1"/>
    <col min="7490" max="7490" width="10.42578125" bestFit="1" customWidth="1"/>
    <col min="7491" max="7491" width="10.5703125" bestFit="1" customWidth="1"/>
    <col min="7492" max="7492" width="9.5703125" bestFit="1" customWidth="1"/>
    <col min="7493" max="7493" width="11.5703125" bestFit="1" customWidth="1"/>
    <col min="7494" max="7494" width="10.42578125" bestFit="1" customWidth="1"/>
    <col min="7495" max="7495" width="10.85546875" customWidth="1"/>
    <col min="7496" max="7497" width="9.85546875" bestFit="1" customWidth="1"/>
    <col min="7498" max="7498" width="13.5703125" bestFit="1" customWidth="1"/>
    <col min="7499" max="7499" width="7.7109375" bestFit="1" customWidth="1"/>
    <col min="7500" max="7500" width="13.28515625" bestFit="1" customWidth="1"/>
    <col min="7501" max="7501" width="11.5703125" bestFit="1" customWidth="1"/>
    <col min="7502" max="7502" width="10.42578125" bestFit="1" customWidth="1"/>
    <col min="7503" max="7503" width="7.7109375" bestFit="1" customWidth="1"/>
    <col min="7504" max="7504" width="11.5703125" bestFit="1" customWidth="1"/>
    <col min="7505" max="7505" width="10.85546875" bestFit="1" customWidth="1"/>
    <col min="7506" max="7506" width="13.28515625" bestFit="1" customWidth="1"/>
    <col min="7507" max="7507" width="10.85546875" bestFit="1" customWidth="1"/>
    <col min="7508" max="7509" width="7.5703125" bestFit="1" customWidth="1"/>
    <col min="7510" max="7511" width="10.42578125" bestFit="1" customWidth="1"/>
    <col min="7512" max="7512" width="11.5703125" bestFit="1" customWidth="1"/>
    <col min="7513" max="7513" width="5.28515625" bestFit="1" customWidth="1"/>
    <col min="7514" max="7514" width="10.28515625" bestFit="1" customWidth="1"/>
    <col min="7515" max="7515" width="10.42578125" bestFit="1" customWidth="1"/>
    <col min="7516" max="7516" width="11.5703125" bestFit="1" customWidth="1"/>
    <col min="7517" max="7517" width="5.28515625" bestFit="1" customWidth="1"/>
    <col min="7518" max="7520" width="11.5703125" bestFit="1" customWidth="1"/>
    <col min="7521" max="7521" width="5.28515625" bestFit="1" customWidth="1"/>
    <col min="7522" max="7523" width="10.42578125" bestFit="1" customWidth="1"/>
    <col min="7524" max="7524" width="11.5703125" bestFit="1" customWidth="1"/>
    <col min="7525" max="7525" width="5.28515625" bestFit="1" customWidth="1"/>
    <col min="7526" max="7526" width="14.28515625" bestFit="1" customWidth="1"/>
    <col min="7527" max="7527" width="13" bestFit="1" customWidth="1"/>
    <col min="7528" max="7528" width="11.5703125" bestFit="1" customWidth="1"/>
    <col min="7529" max="7529" width="8.85546875" bestFit="1" customWidth="1"/>
    <col min="7530" max="7530" width="14.42578125" bestFit="1" customWidth="1"/>
    <col min="7531" max="7531" width="10.42578125" bestFit="1" customWidth="1"/>
    <col min="7532" max="7532" width="12.28515625" bestFit="1" customWidth="1"/>
    <col min="7533" max="7533" width="13.85546875" bestFit="1" customWidth="1"/>
    <col min="7534" max="7534" width="11.28515625" customWidth="1"/>
    <col min="7535" max="7535" width="11.5703125" customWidth="1"/>
    <col min="7536" max="7536" width="13.42578125" bestFit="1" customWidth="1"/>
    <col min="7537" max="7537" width="10.42578125" customWidth="1"/>
    <col min="7538" max="7538" width="13.85546875" bestFit="1" customWidth="1"/>
    <col min="7539" max="7539" width="15.42578125" bestFit="1" customWidth="1"/>
    <col min="7540" max="7540" width="12.28515625" bestFit="1" customWidth="1"/>
    <col min="7541" max="7541" width="12.7109375" customWidth="1"/>
    <col min="7542" max="7542" width="10.7109375" bestFit="1" customWidth="1"/>
    <col min="7543" max="7543" width="9.85546875" customWidth="1"/>
    <col min="7544" max="7545" width="10.140625" bestFit="1" customWidth="1"/>
    <col min="7546" max="7546" width="7.5703125" bestFit="1" customWidth="1"/>
    <col min="7547" max="7547" width="9.42578125" bestFit="1" customWidth="1"/>
    <col min="7548" max="7548" width="14.5703125" bestFit="1" customWidth="1"/>
    <col min="7549" max="7549" width="14.85546875" customWidth="1"/>
    <col min="7550" max="7550" width="15.140625" bestFit="1" customWidth="1"/>
    <col min="7551" max="7551" width="12.140625" bestFit="1" customWidth="1"/>
    <col min="7552" max="7552" width="14.85546875" bestFit="1" customWidth="1"/>
    <col min="7553" max="7553" width="12.28515625" bestFit="1" customWidth="1"/>
    <col min="7554" max="7562" width="9.140625" hidden="1" customWidth="1"/>
    <col min="7563" max="7563" width="5.28515625" bestFit="1" customWidth="1"/>
    <col min="7564" max="7569" width="11.5703125" bestFit="1" customWidth="1"/>
    <col min="7570" max="7570" width="11.28515625" bestFit="1" customWidth="1"/>
    <col min="7571" max="7571" width="10.140625" bestFit="1" customWidth="1"/>
    <col min="7572" max="7572" width="11.5703125" bestFit="1" customWidth="1"/>
    <col min="7573" max="7573" width="16.140625" customWidth="1"/>
    <col min="7574" max="7574" width="13.42578125" customWidth="1"/>
    <col min="7575" max="7575" width="10.140625" bestFit="1" customWidth="1"/>
    <col min="7576" max="7576" width="12.85546875" bestFit="1" customWidth="1"/>
    <col min="7577" max="7577" width="12.28515625" bestFit="1" customWidth="1"/>
    <col min="7578" max="7578" width="11.28515625" bestFit="1" customWidth="1"/>
    <col min="7579" max="7579" width="11.5703125" bestFit="1" customWidth="1"/>
    <col min="7580" max="7580" width="10.85546875" bestFit="1" customWidth="1"/>
    <col min="7581" max="7581" width="11.28515625" bestFit="1" customWidth="1"/>
    <col min="7582" max="7582" width="10.140625" bestFit="1" customWidth="1"/>
    <col min="7583" max="7583" width="13.28515625" bestFit="1" customWidth="1"/>
    <col min="7584" max="7585" width="12.7109375" bestFit="1" customWidth="1"/>
    <col min="7586" max="7586" width="11" bestFit="1" customWidth="1"/>
    <col min="7587" max="7587" width="11.28515625" bestFit="1" customWidth="1"/>
    <col min="7588" max="7588" width="11.5703125" bestFit="1" customWidth="1"/>
    <col min="7589" max="7589" width="12.28515625" bestFit="1" customWidth="1"/>
    <col min="7590" max="7590" width="15.140625" bestFit="1" customWidth="1"/>
    <col min="7591" max="7591" width="14.42578125" bestFit="1" customWidth="1"/>
    <col min="7592" max="7592" width="12.28515625" bestFit="1" customWidth="1"/>
    <col min="7593" max="7593" width="15.140625" bestFit="1" customWidth="1"/>
    <col min="7594" max="7594" width="14.42578125" bestFit="1" customWidth="1"/>
    <col min="7595" max="7595" width="12.28515625" bestFit="1" customWidth="1"/>
    <col min="7596" max="7596" width="14.42578125" bestFit="1" customWidth="1"/>
    <col min="7597" max="7597" width="11.28515625" bestFit="1" customWidth="1"/>
    <col min="7598" max="7598" width="12.28515625" bestFit="1" customWidth="1"/>
    <col min="7599" max="7599" width="13" bestFit="1" customWidth="1"/>
    <col min="7600" max="7600" width="15.140625" bestFit="1" customWidth="1"/>
    <col min="7601" max="7601" width="12.28515625" bestFit="1" customWidth="1"/>
    <col min="7602" max="7602" width="13.85546875" bestFit="1" customWidth="1"/>
    <col min="7603" max="7603" width="11.28515625" bestFit="1" customWidth="1"/>
    <col min="7604" max="7604" width="12.28515625" bestFit="1" customWidth="1"/>
    <col min="7605" max="7605" width="13.85546875" bestFit="1" customWidth="1"/>
    <col min="7606" max="7607" width="15.140625" bestFit="1" customWidth="1"/>
    <col min="7608" max="7608" width="12.28515625" bestFit="1" customWidth="1"/>
    <col min="7609" max="7609" width="5.7109375" bestFit="1" customWidth="1"/>
    <col min="7610" max="7610" width="8.5703125" bestFit="1" customWidth="1"/>
    <col min="7611" max="7611" width="5.5703125" bestFit="1" customWidth="1"/>
    <col min="7612" max="7612" width="14.42578125" bestFit="1" customWidth="1"/>
    <col min="7613" max="7613" width="11.28515625" bestFit="1" customWidth="1"/>
    <col min="7614" max="7615" width="12.28515625" bestFit="1" customWidth="1"/>
    <col min="7616" max="7616" width="11.28515625" bestFit="1" customWidth="1"/>
    <col min="7617" max="7617" width="13.85546875" bestFit="1" customWidth="1"/>
    <col min="7618" max="7618" width="12" bestFit="1" customWidth="1"/>
    <col min="7619" max="7619" width="13.85546875" bestFit="1" customWidth="1"/>
    <col min="7620" max="7621" width="14.42578125" customWidth="1"/>
    <col min="7622" max="7622" width="10.140625" bestFit="1" customWidth="1"/>
    <col min="7623" max="7623" width="12.28515625" bestFit="1" customWidth="1"/>
    <col min="7624" max="7624" width="7.42578125" bestFit="1" customWidth="1"/>
    <col min="7625" max="7625" width="8.5703125" bestFit="1" customWidth="1"/>
    <col min="7626" max="7626" width="11.5703125" bestFit="1" customWidth="1"/>
    <col min="7627" max="7627" width="13.28515625" bestFit="1" customWidth="1"/>
    <col min="7628" max="7628" width="13.28515625" customWidth="1"/>
    <col min="7629" max="7629" width="13.140625" customWidth="1"/>
    <col min="7630" max="7630" width="12.7109375" bestFit="1" customWidth="1"/>
    <col min="7631" max="7631" width="13.28515625" bestFit="1" customWidth="1"/>
    <col min="7632" max="7634" width="13.28515625" customWidth="1"/>
    <col min="7635" max="7635" width="12.140625" bestFit="1" customWidth="1"/>
    <col min="7636" max="7636" width="12.7109375" bestFit="1" customWidth="1"/>
    <col min="7637" max="7637" width="11" customWidth="1"/>
    <col min="7638" max="7638" width="16.7109375" customWidth="1"/>
    <col min="7639" max="7639" width="17" customWidth="1"/>
    <col min="7640" max="7640" width="10.42578125" bestFit="1" customWidth="1"/>
    <col min="7684" max="7684" width="3.85546875" customWidth="1"/>
    <col min="7685" max="7685" width="15.28515625" bestFit="1" customWidth="1"/>
    <col min="7686" max="7686" width="12.28515625" customWidth="1"/>
    <col min="7687" max="7687" width="16.28515625" bestFit="1" customWidth="1"/>
    <col min="7688" max="7688" width="6.42578125" bestFit="1" customWidth="1"/>
    <col min="7689" max="7689" width="9.28515625" bestFit="1" customWidth="1"/>
    <col min="7690" max="7690" width="7.5703125" bestFit="1" customWidth="1"/>
    <col min="7691" max="7691" width="13.28515625" bestFit="1" customWidth="1"/>
    <col min="7692" max="7692" width="9.28515625" bestFit="1" customWidth="1"/>
    <col min="7693" max="7693" width="11.5703125" bestFit="1" customWidth="1"/>
    <col min="7694" max="7694" width="13.28515625" bestFit="1" customWidth="1"/>
    <col min="7695" max="7695" width="7.140625" bestFit="1" customWidth="1"/>
    <col min="7696" max="7696" width="12" bestFit="1" customWidth="1"/>
    <col min="7697" max="7697" width="13.28515625" bestFit="1" customWidth="1"/>
    <col min="7698" max="7698" width="7" bestFit="1" customWidth="1"/>
    <col min="7699" max="7699" width="12.7109375" bestFit="1" customWidth="1"/>
    <col min="7700" max="7700" width="11.5703125" bestFit="1" customWidth="1"/>
    <col min="7701" max="7701" width="10.5703125" bestFit="1" customWidth="1"/>
    <col min="7702" max="7703" width="15.7109375" bestFit="1" customWidth="1"/>
    <col min="7704" max="7704" width="11.5703125" bestFit="1" customWidth="1"/>
    <col min="7705" max="7705" width="7.7109375" bestFit="1" customWidth="1"/>
    <col min="7706" max="7706" width="15.140625" bestFit="1" customWidth="1"/>
    <col min="7707" max="7707" width="11.5703125" bestFit="1" customWidth="1"/>
    <col min="7708" max="7708" width="13.28515625" bestFit="1" customWidth="1"/>
    <col min="7709" max="7709" width="10.42578125" bestFit="1" customWidth="1"/>
    <col min="7710" max="7710" width="13.28515625" bestFit="1" customWidth="1"/>
    <col min="7711" max="7711" width="12.140625" bestFit="1" customWidth="1"/>
    <col min="7712" max="7712" width="14.42578125" bestFit="1" customWidth="1"/>
    <col min="7713" max="7713" width="13.28515625" bestFit="1" customWidth="1"/>
    <col min="7714" max="7714" width="11.5703125" bestFit="1" customWidth="1"/>
    <col min="7715" max="7715" width="7.7109375" bestFit="1" customWidth="1"/>
    <col min="7716" max="7717" width="14.42578125" bestFit="1" customWidth="1"/>
    <col min="7718" max="7718" width="11.5703125" bestFit="1" customWidth="1"/>
    <col min="7719" max="7719" width="7.7109375" bestFit="1" customWidth="1"/>
    <col min="7720" max="7720" width="13.5703125" customWidth="1"/>
    <col min="7721" max="7721" width="15.28515625" customWidth="1"/>
    <col min="7722" max="7722" width="14.5703125" customWidth="1"/>
    <col min="7723" max="7723" width="13.28515625" bestFit="1" customWidth="1"/>
    <col min="7724" max="7724" width="7.7109375" bestFit="1" customWidth="1"/>
    <col min="7725" max="7725" width="12.7109375" bestFit="1" customWidth="1"/>
    <col min="7726" max="7726" width="11.7109375" bestFit="1" customWidth="1"/>
    <col min="7727" max="7727" width="11.5703125" bestFit="1" customWidth="1"/>
    <col min="7728" max="7728" width="5.28515625" bestFit="1" customWidth="1"/>
    <col min="7729" max="7729" width="13.28515625" bestFit="1" customWidth="1"/>
    <col min="7730" max="7730" width="13.5703125" bestFit="1" customWidth="1"/>
    <col min="7731" max="7731" width="10.5703125" bestFit="1" customWidth="1"/>
    <col min="7732" max="7732" width="13.28515625" bestFit="1" customWidth="1"/>
    <col min="7733" max="7733" width="11.5703125" bestFit="1" customWidth="1"/>
    <col min="7734" max="7734" width="10.5703125" bestFit="1" customWidth="1"/>
    <col min="7735" max="7735" width="16.140625" bestFit="1" customWidth="1"/>
    <col min="7736" max="7737" width="11.28515625" bestFit="1" customWidth="1"/>
    <col min="7738" max="7738" width="13.28515625" bestFit="1" customWidth="1"/>
    <col min="7739" max="7739" width="7.7109375" bestFit="1" customWidth="1"/>
    <col min="7740" max="7743" width="9.140625" hidden="1" customWidth="1"/>
    <col min="7744" max="7744" width="10.42578125" bestFit="1" customWidth="1"/>
    <col min="7745" max="7745" width="10.5703125" bestFit="1" customWidth="1"/>
    <col min="7746" max="7746" width="10.42578125" bestFit="1" customWidth="1"/>
    <col min="7747" max="7747" width="10.5703125" bestFit="1" customWidth="1"/>
    <col min="7748" max="7748" width="9.5703125" bestFit="1" customWidth="1"/>
    <col min="7749" max="7749" width="11.5703125" bestFit="1" customWidth="1"/>
    <col min="7750" max="7750" width="10.42578125" bestFit="1" customWidth="1"/>
    <col min="7751" max="7751" width="10.85546875" customWidth="1"/>
    <col min="7752" max="7753" width="9.85546875" bestFit="1" customWidth="1"/>
    <col min="7754" max="7754" width="13.5703125" bestFit="1" customWidth="1"/>
    <col min="7755" max="7755" width="7.7109375" bestFit="1" customWidth="1"/>
    <col min="7756" max="7756" width="13.28515625" bestFit="1" customWidth="1"/>
    <col min="7757" max="7757" width="11.5703125" bestFit="1" customWidth="1"/>
    <col min="7758" max="7758" width="10.42578125" bestFit="1" customWidth="1"/>
    <col min="7759" max="7759" width="7.7109375" bestFit="1" customWidth="1"/>
    <col min="7760" max="7760" width="11.5703125" bestFit="1" customWidth="1"/>
    <col min="7761" max="7761" width="10.85546875" bestFit="1" customWidth="1"/>
    <col min="7762" max="7762" width="13.28515625" bestFit="1" customWidth="1"/>
    <col min="7763" max="7763" width="10.85546875" bestFit="1" customWidth="1"/>
    <col min="7764" max="7765" width="7.5703125" bestFit="1" customWidth="1"/>
    <col min="7766" max="7767" width="10.42578125" bestFit="1" customWidth="1"/>
    <col min="7768" max="7768" width="11.5703125" bestFit="1" customWidth="1"/>
    <col min="7769" max="7769" width="5.28515625" bestFit="1" customWidth="1"/>
    <col min="7770" max="7770" width="10.28515625" bestFit="1" customWidth="1"/>
    <col min="7771" max="7771" width="10.42578125" bestFit="1" customWidth="1"/>
    <col min="7772" max="7772" width="11.5703125" bestFit="1" customWidth="1"/>
    <col min="7773" max="7773" width="5.28515625" bestFit="1" customWidth="1"/>
    <col min="7774" max="7776" width="11.5703125" bestFit="1" customWidth="1"/>
    <col min="7777" max="7777" width="5.28515625" bestFit="1" customWidth="1"/>
    <col min="7778" max="7779" width="10.42578125" bestFit="1" customWidth="1"/>
    <col min="7780" max="7780" width="11.5703125" bestFit="1" customWidth="1"/>
    <col min="7781" max="7781" width="5.28515625" bestFit="1" customWidth="1"/>
    <col min="7782" max="7782" width="14.28515625" bestFit="1" customWidth="1"/>
    <col min="7783" max="7783" width="13" bestFit="1" customWidth="1"/>
    <col min="7784" max="7784" width="11.5703125" bestFit="1" customWidth="1"/>
    <col min="7785" max="7785" width="8.85546875" bestFit="1" customWidth="1"/>
    <col min="7786" max="7786" width="14.42578125" bestFit="1" customWidth="1"/>
    <col min="7787" max="7787" width="10.42578125" bestFit="1" customWidth="1"/>
    <col min="7788" max="7788" width="12.28515625" bestFit="1" customWidth="1"/>
    <col min="7789" max="7789" width="13.85546875" bestFit="1" customWidth="1"/>
    <col min="7790" max="7790" width="11.28515625" customWidth="1"/>
    <col min="7791" max="7791" width="11.5703125" customWidth="1"/>
    <col min="7792" max="7792" width="13.42578125" bestFit="1" customWidth="1"/>
    <col min="7793" max="7793" width="10.42578125" customWidth="1"/>
    <col min="7794" max="7794" width="13.85546875" bestFit="1" customWidth="1"/>
    <col min="7795" max="7795" width="15.42578125" bestFit="1" customWidth="1"/>
    <col min="7796" max="7796" width="12.28515625" bestFit="1" customWidth="1"/>
    <col min="7797" max="7797" width="12.7109375" customWidth="1"/>
    <col min="7798" max="7798" width="10.7109375" bestFit="1" customWidth="1"/>
    <col min="7799" max="7799" width="9.85546875" customWidth="1"/>
    <col min="7800" max="7801" width="10.140625" bestFit="1" customWidth="1"/>
    <col min="7802" max="7802" width="7.5703125" bestFit="1" customWidth="1"/>
    <col min="7803" max="7803" width="9.42578125" bestFit="1" customWidth="1"/>
    <col min="7804" max="7804" width="14.5703125" bestFit="1" customWidth="1"/>
    <col min="7805" max="7805" width="14.85546875" customWidth="1"/>
    <col min="7806" max="7806" width="15.140625" bestFit="1" customWidth="1"/>
    <col min="7807" max="7807" width="12.140625" bestFit="1" customWidth="1"/>
    <col min="7808" max="7808" width="14.85546875" bestFit="1" customWidth="1"/>
    <col min="7809" max="7809" width="12.28515625" bestFit="1" customWidth="1"/>
    <col min="7810" max="7818" width="9.140625" hidden="1" customWidth="1"/>
    <col min="7819" max="7819" width="5.28515625" bestFit="1" customWidth="1"/>
    <col min="7820" max="7825" width="11.5703125" bestFit="1" customWidth="1"/>
    <col min="7826" max="7826" width="11.28515625" bestFit="1" customWidth="1"/>
    <col min="7827" max="7827" width="10.140625" bestFit="1" customWidth="1"/>
    <col min="7828" max="7828" width="11.5703125" bestFit="1" customWidth="1"/>
    <col min="7829" max="7829" width="16.140625" customWidth="1"/>
    <col min="7830" max="7830" width="13.42578125" customWidth="1"/>
    <col min="7831" max="7831" width="10.140625" bestFit="1" customWidth="1"/>
    <col min="7832" max="7832" width="12.85546875" bestFit="1" customWidth="1"/>
    <col min="7833" max="7833" width="12.28515625" bestFit="1" customWidth="1"/>
    <col min="7834" max="7834" width="11.28515625" bestFit="1" customWidth="1"/>
    <col min="7835" max="7835" width="11.5703125" bestFit="1" customWidth="1"/>
    <col min="7836" max="7836" width="10.85546875" bestFit="1" customWidth="1"/>
    <col min="7837" max="7837" width="11.28515625" bestFit="1" customWidth="1"/>
    <col min="7838" max="7838" width="10.140625" bestFit="1" customWidth="1"/>
    <col min="7839" max="7839" width="13.28515625" bestFit="1" customWidth="1"/>
    <col min="7840" max="7841" width="12.7109375" bestFit="1" customWidth="1"/>
    <col min="7842" max="7842" width="11" bestFit="1" customWidth="1"/>
    <col min="7843" max="7843" width="11.28515625" bestFit="1" customWidth="1"/>
    <col min="7844" max="7844" width="11.5703125" bestFit="1" customWidth="1"/>
    <col min="7845" max="7845" width="12.28515625" bestFit="1" customWidth="1"/>
    <col min="7846" max="7846" width="15.140625" bestFit="1" customWidth="1"/>
    <col min="7847" max="7847" width="14.42578125" bestFit="1" customWidth="1"/>
    <col min="7848" max="7848" width="12.28515625" bestFit="1" customWidth="1"/>
    <col min="7849" max="7849" width="15.140625" bestFit="1" customWidth="1"/>
    <col min="7850" max="7850" width="14.42578125" bestFit="1" customWidth="1"/>
    <col min="7851" max="7851" width="12.28515625" bestFit="1" customWidth="1"/>
    <col min="7852" max="7852" width="14.42578125" bestFit="1" customWidth="1"/>
    <col min="7853" max="7853" width="11.28515625" bestFit="1" customWidth="1"/>
    <col min="7854" max="7854" width="12.28515625" bestFit="1" customWidth="1"/>
    <col min="7855" max="7855" width="13" bestFit="1" customWidth="1"/>
    <col min="7856" max="7856" width="15.140625" bestFit="1" customWidth="1"/>
    <col min="7857" max="7857" width="12.28515625" bestFit="1" customWidth="1"/>
    <col min="7858" max="7858" width="13.85546875" bestFit="1" customWidth="1"/>
    <col min="7859" max="7859" width="11.28515625" bestFit="1" customWidth="1"/>
    <col min="7860" max="7860" width="12.28515625" bestFit="1" customWidth="1"/>
    <col min="7861" max="7861" width="13.85546875" bestFit="1" customWidth="1"/>
    <col min="7862" max="7863" width="15.140625" bestFit="1" customWidth="1"/>
    <col min="7864" max="7864" width="12.28515625" bestFit="1" customWidth="1"/>
    <col min="7865" max="7865" width="5.7109375" bestFit="1" customWidth="1"/>
    <col min="7866" max="7866" width="8.5703125" bestFit="1" customWidth="1"/>
    <col min="7867" max="7867" width="5.5703125" bestFit="1" customWidth="1"/>
    <col min="7868" max="7868" width="14.42578125" bestFit="1" customWidth="1"/>
    <col min="7869" max="7869" width="11.28515625" bestFit="1" customWidth="1"/>
    <col min="7870" max="7871" width="12.28515625" bestFit="1" customWidth="1"/>
    <col min="7872" max="7872" width="11.28515625" bestFit="1" customWidth="1"/>
    <col min="7873" max="7873" width="13.85546875" bestFit="1" customWidth="1"/>
    <col min="7874" max="7874" width="12" bestFit="1" customWidth="1"/>
    <col min="7875" max="7875" width="13.85546875" bestFit="1" customWidth="1"/>
    <col min="7876" max="7877" width="14.42578125" customWidth="1"/>
    <col min="7878" max="7878" width="10.140625" bestFit="1" customWidth="1"/>
    <col min="7879" max="7879" width="12.28515625" bestFit="1" customWidth="1"/>
    <col min="7880" max="7880" width="7.42578125" bestFit="1" customWidth="1"/>
    <col min="7881" max="7881" width="8.5703125" bestFit="1" customWidth="1"/>
    <col min="7882" max="7882" width="11.5703125" bestFit="1" customWidth="1"/>
    <col min="7883" max="7883" width="13.28515625" bestFit="1" customWidth="1"/>
    <col min="7884" max="7884" width="13.28515625" customWidth="1"/>
    <col min="7885" max="7885" width="13.140625" customWidth="1"/>
    <col min="7886" max="7886" width="12.7109375" bestFit="1" customWidth="1"/>
    <col min="7887" max="7887" width="13.28515625" bestFit="1" customWidth="1"/>
    <col min="7888" max="7890" width="13.28515625" customWidth="1"/>
    <col min="7891" max="7891" width="12.140625" bestFit="1" customWidth="1"/>
    <col min="7892" max="7892" width="12.7109375" bestFit="1" customWidth="1"/>
    <col min="7893" max="7893" width="11" customWidth="1"/>
    <col min="7894" max="7894" width="16.7109375" customWidth="1"/>
    <col min="7895" max="7895" width="17" customWidth="1"/>
    <col min="7896" max="7896" width="10.42578125" bestFit="1" customWidth="1"/>
    <col min="7940" max="7940" width="3.85546875" customWidth="1"/>
    <col min="7941" max="7941" width="15.28515625" bestFit="1" customWidth="1"/>
    <col min="7942" max="7942" width="12.28515625" customWidth="1"/>
    <col min="7943" max="7943" width="16.28515625" bestFit="1" customWidth="1"/>
    <col min="7944" max="7944" width="6.42578125" bestFit="1" customWidth="1"/>
    <col min="7945" max="7945" width="9.28515625" bestFit="1" customWidth="1"/>
    <col min="7946" max="7946" width="7.5703125" bestFit="1" customWidth="1"/>
    <col min="7947" max="7947" width="13.28515625" bestFit="1" customWidth="1"/>
    <col min="7948" max="7948" width="9.28515625" bestFit="1" customWidth="1"/>
    <col min="7949" max="7949" width="11.5703125" bestFit="1" customWidth="1"/>
    <col min="7950" max="7950" width="13.28515625" bestFit="1" customWidth="1"/>
    <col min="7951" max="7951" width="7.140625" bestFit="1" customWidth="1"/>
    <col min="7952" max="7952" width="12" bestFit="1" customWidth="1"/>
    <col min="7953" max="7953" width="13.28515625" bestFit="1" customWidth="1"/>
    <col min="7954" max="7954" width="7" bestFit="1" customWidth="1"/>
    <col min="7955" max="7955" width="12.7109375" bestFit="1" customWidth="1"/>
    <col min="7956" max="7956" width="11.5703125" bestFit="1" customWidth="1"/>
    <col min="7957" max="7957" width="10.5703125" bestFit="1" customWidth="1"/>
    <col min="7958" max="7959" width="15.7109375" bestFit="1" customWidth="1"/>
    <col min="7960" max="7960" width="11.5703125" bestFit="1" customWidth="1"/>
    <col min="7961" max="7961" width="7.7109375" bestFit="1" customWidth="1"/>
    <col min="7962" max="7962" width="15.140625" bestFit="1" customWidth="1"/>
    <col min="7963" max="7963" width="11.5703125" bestFit="1" customWidth="1"/>
    <col min="7964" max="7964" width="13.28515625" bestFit="1" customWidth="1"/>
    <col min="7965" max="7965" width="10.42578125" bestFit="1" customWidth="1"/>
    <col min="7966" max="7966" width="13.28515625" bestFit="1" customWidth="1"/>
    <col min="7967" max="7967" width="12.140625" bestFit="1" customWidth="1"/>
    <col min="7968" max="7968" width="14.42578125" bestFit="1" customWidth="1"/>
    <col min="7969" max="7969" width="13.28515625" bestFit="1" customWidth="1"/>
    <col min="7970" max="7970" width="11.5703125" bestFit="1" customWidth="1"/>
    <col min="7971" max="7971" width="7.7109375" bestFit="1" customWidth="1"/>
    <col min="7972" max="7973" width="14.42578125" bestFit="1" customWidth="1"/>
    <col min="7974" max="7974" width="11.5703125" bestFit="1" customWidth="1"/>
    <col min="7975" max="7975" width="7.7109375" bestFit="1" customWidth="1"/>
    <col min="7976" max="7976" width="13.5703125" customWidth="1"/>
    <col min="7977" max="7977" width="15.28515625" customWidth="1"/>
    <col min="7978" max="7978" width="14.5703125" customWidth="1"/>
    <col min="7979" max="7979" width="13.28515625" bestFit="1" customWidth="1"/>
    <col min="7980" max="7980" width="7.7109375" bestFit="1" customWidth="1"/>
    <col min="7981" max="7981" width="12.7109375" bestFit="1" customWidth="1"/>
    <col min="7982" max="7982" width="11.7109375" bestFit="1" customWidth="1"/>
    <col min="7983" max="7983" width="11.5703125" bestFit="1" customWidth="1"/>
    <col min="7984" max="7984" width="5.28515625" bestFit="1" customWidth="1"/>
    <col min="7985" max="7985" width="13.28515625" bestFit="1" customWidth="1"/>
    <col min="7986" max="7986" width="13.5703125" bestFit="1" customWidth="1"/>
    <col min="7987" max="7987" width="10.5703125" bestFit="1" customWidth="1"/>
    <col min="7988" max="7988" width="13.28515625" bestFit="1" customWidth="1"/>
    <col min="7989" max="7989" width="11.5703125" bestFit="1" customWidth="1"/>
    <col min="7990" max="7990" width="10.5703125" bestFit="1" customWidth="1"/>
    <col min="7991" max="7991" width="16.140625" bestFit="1" customWidth="1"/>
    <col min="7992" max="7993" width="11.28515625" bestFit="1" customWidth="1"/>
    <col min="7994" max="7994" width="13.28515625" bestFit="1" customWidth="1"/>
    <col min="7995" max="7995" width="7.7109375" bestFit="1" customWidth="1"/>
    <col min="7996" max="7999" width="9.140625" hidden="1" customWidth="1"/>
    <col min="8000" max="8000" width="10.42578125" bestFit="1" customWidth="1"/>
    <col min="8001" max="8001" width="10.5703125" bestFit="1" customWidth="1"/>
    <col min="8002" max="8002" width="10.42578125" bestFit="1" customWidth="1"/>
    <col min="8003" max="8003" width="10.5703125" bestFit="1" customWidth="1"/>
    <col min="8004" max="8004" width="9.5703125" bestFit="1" customWidth="1"/>
    <col min="8005" max="8005" width="11.5703125" bestFit="1" customWidth="1"/>
    <col min="8006" max="8006" width="10.42578125" bestFit="1" customWidth="1"/>
    <col min="8007" max="8007" width="10.85546875" customWidth="1"/>
    <col min="8008" max="8009" width="9.85546875" bestFit="1" customWidth="1"/>
    <col min="8010" max="8010" width="13.5703125" bestFit="1" customWidth="1"/>
    <col min="8011" max="8011" width="7.7109375" bestFit="1" customWidth="1"/>
    <col min="8012" max="8012" width="13.28515625" bestFit="1" customWidth="1"/>
    <col min="8013" max="8013" width="11.5703125" bestFit="1" customWidth="1"/>
    <col min="8014" max="8014" width="10.42578125" bestFit="1" customWidth="1"/>
    <col min="8015" max="8015" width="7.7109375" bestFit="1" customWidth="1"/>
    <col min="8016" max="8016" width="11.5703125" bestFit="1" customWidth="1"/>
    <col min="8017" max="8017" width="10.85546875" bestFit="1" customWidth="1"/>
    <col min="8018" max="8018" width="13.28515625" bestFit="1" customWidth="1"/>
    <col min="8019" max="8019" width="10.85546875" bestFit="1" customWidth="1"/>
    <col min="8020" max="8021" width="7.5703125" bestFit="1" customWidth="1"/>
    <col min="8022" max="8023" width="10.42578125" bestFit="1" customWidth="1"/>
    <col min="8024" max="8024" width="11.5703125" bestFit="1" customWidth="1"/>
    <col min="8025" max="8025" width="5.28515625" bestFit="1" customWidth="1"/>
    <col min="8026" max="8026" width="10.28515625" bestFit="1" customWidth="1"/>
    <col min="8027" max="8027" width="10.42578125" bestFit="1" customWidth="1"/>
    <col min="8028" max="8028" width="11.5703125" bestFit="1" customWidth="1"/>
    <col min="8029" max="8029" width="5.28515625" bestFit="1" customWidth="1"/>
    <col min="8030" max="8032" width="11.5703125" bestFit="1" customWidth="1"/>
    <col min="8033" max="8033" width="5.28515625" bestFit="1" customWidth="1"/>
    <col min="8034" max="8035" width="10.42578125" bestFit="1" customWidth="1"/>
    <col min="8036" max="8036" width="11.5703125" bestFit="1" customWidth="1"/>
    <col min="8037" max="8037" width="5.28515625" bestFit="1" customWidth="1"/>
    <col min="8038" max="8038" width="14.28515625" bestFit="1" customWidth="1"/>
    <col min="8039" max="8039" width="13" bestFit="1" customWidth="1"/>
    <col min="8040" max="8040" width="11.5703125" bestFit="1" customWidth="1"/>
    <col min="8041" max="8041" width="8.85546875" bestFit="1" customWidth="1"/>
    <col min="8042" max="8042" width="14.42578125" bestFit="1" customWidth="1"/>
    <col min="8043" max="8043" width="10.42578125" bestFit="1" customWidth="1"/>
    <col min="8044" max="8044" width="12.28515625" bestFit="1" customWidth="1"/>
    <col min="8045" max="8045" width="13.85546875" bestFit="1" customWidth="1"/>
    <col min="8046" max="8046" width="11.28515625" customWidth="1"/>
    <col min="8047" max="8047" width="11.5703125" customWidth="1"/>
    <col min="8048" max="8048" width="13.42578125" bestFit="1" customWidth="1"/>
    <col min="8049" max="8049" width="10.42578125" customWidth="1"/>
    <col min="8050" max="8050" width="13.85546875" bestFit="1" customWidth="1"/>
    <col min="8051" max="8051" width="15.42578125" bestFit="1" customWidth="1"/>
    <col min="8052" max="8052" width="12.28515625" bestFit="1" customWidth="1"/>
    <col min="8053" max="8053" width="12.7109375" customWidth="1"/>
    <col min="8054" max="8054" width="10.7109375" bestFit="1" customWidth="1"/>
    <col min="8055" max="8055" width="9.85546875" customWidth="1"/>
    <col min="8056" max="8057" width="10.140625" bestFit="1" customWidth="1"/>
    <col min="8058" max="8058" width="7.5703125" bestFit="1" customWidth="1"/>
    <col min="8059" max="8059" width="9.42578125" bestFit="1" customWidth="1"/>
    <col min="8060" max="8060" width="14.5703125" bestFit="1" customWidth="1"/>
    <col min="8061" max="8061" width="14.85546875" customWidth="1"/>
    <col min="8062" max="8062" width="15.140625" bestFit="1" customWidth="1"/>
    <col min="8063" max="8063" width="12.140625" bestFit="1" customWidth="1"/>
    <col min="8064" max="8064" width="14.85546875" bestFit="1" customWidth="1"/>
    <col min="8065" max="8065" width="12.28515625" bestFit="1" customWidth="1"/>
    <col min="8066" max="8074" width="9.140625" hidden="1" customWidth="1"/>
    <col min="8075" max="8075" width="5.28515625" bestFit="1" customWidth="1"/>
    <col min="8076" max="8081" width="11.5703125" bestFit="1" customWidth="1"/>
    <col min="8082" max="8082" width="11.28515625" bestFit="1" customWidth="1"/>
    <col min="8083" max="8083" width="10.140625" bestFit="1" customWidth="1"/>
    <col min="8084" max="8084" width="11.5703125" bestFit="1" customWidth="1"/>
    <col min="8085" max="8085" width="16.140625" customWidth="1"/>
    <col min="8086" max="8086" width="13.42578125" customWidth="1"/>
    <col min="8087" max="8087" width="10.140625" bestFit="1" customWidth="1"/>
    <col min="8088" max="8088" width="12.85546875" bestFit="1" customWidth="1"/>
    <col min="8089" max="8089" width="12.28515625" bestFit="1" customWidth="1"/>
    <col min="8090" max="8090" width="11.28515625" bestFit="1" customWidth="1"/>
    <col min="8091" max="8091" width="11.5703125" bestFit="1" customWidth="1"/>
    <col min="8092" max="8092" width="10.85546875" bestFit="1" customWidth="1"/>
    <col min="8093" max="8093" width="11.28515625" bestFit="1" customWidth="1"/>
    <col min="8094" max="8094" width="10.140625" bestFit="1" customWidth="1"/>
    <col min="8095" max="8095" width="13.28515625" bestFit="1" customWidth="1"/>
    <col min="8096" max="8097" width="12.7109375" bestFit="1" customWidth="1"/>
    <col min="8098" max="8098" width="11" bestFit="1" customWidth="1"/>
    <col min="8099" max="8099" width="11.28515625" bestFit="1" customWidth="1"/>
    <col min="8100" max="8100" width="11.5703125" bestFit="1" customWidth="1"/>
    <col min="8101" max="8101" width="12.28515625" bestFit="1" customWidth="1"/>
    <col min="8102" max="8102" width="15.140625" bestFit="1" customWidth="1"/>
    <col min="8103" max="8103" width="14.42578125" bestFit="1" customWidth="1"/>
    <col min="8104" max="8104" width="12.28515625" bestFit="1" customWidth="1"/>
    <col min="8105" max="8105" width="15.140625" bestFit="1" customWidth="1"/>
    <col min="8106" max="8106" width="14.42578125" bestFit="1" customWidth="1"/>
    <col min="8107" max="8107" width="12.28515625" bestFit="1" customWidth="1"/>
    <col min="8108" max="8108" width="14.42578125" bestFit="1" customWidth="1"/>
    <col min="8109" max="8109" width="11.28515625" bestFit="1" customWidth="1"/>
    <col min="8110" max="8110" width="12.28515625" bestFit="1" customWidth="1"/>
    <col min="8111" max="8111" width="13" bestFit="1" customWidth="1"/>
    <col min="8112" max="8112" width="15.140625" bestFit="1" customWidth="1"/>
    <col min="8113" max="8113" width="12.28515625" bestFit="1" customWidth="1"/>
    <col min="8114" max="8114" width="13.85546875" bestFit="1" customWidth="1"/>
    <col min="8115" max="8115" width="11.28515625" bestFit="1" customWidth="1"/>
    <col min="8116" max="8116" width="12.28515625" bestFit="1" customWidth="1"/>
    <col min="8117" max="8117" width="13.85546875" bestFit="1" customWidth="1"/>
    <col min="8118" max="8119" width="15.140625" bestFit="1" customWidth="1"/>
    <col min="8120" max="8120" width="12.28515625" bestFit="1" customWidth="1"/>
    <col min="8121" max="8121" width="5.7109375" bestFit="1" customWidth="1"/>
    <col min="8122" max="8122" width="8.5703125" bestFit="1" customWidth="1"/>
    <col min="8123" max="8123" width="5.5703125" bestFit="1" customWidth="1"/>
    <col min="8124" max="8124" width="14.42578125" bestFit="1" customWidth="1"/>
    <col min="8125" max="8125" width="11.28515625" bestFit="1" customWidth="1"/>
    <col min="8126" max="8127" width="12.28515625" bestFit="1" customWidth="1"/>
    <col min="8128" max="8128" width="11.28515625" bestFit="1" customWidth="1"/>
    <col min="8129" max="8129" width="13.85546875" bestFit="1" customWidth="1"/>
    <col min="8130" max="8130" width="12" bestFit="1" customWidth="1"/>
    <col min="8131" max="8131" width="13.85546875" bestFit="1" customWidth="1"/>
    <col min="8132" max="8133" width="14.42578125" customWidth="1"/>
    <col min="8134" max="8134" width="10.140625" bestFit="1" customWidth="1"/>
    <col min="8135" max="8135" width="12.28515625" bestFit="1" customWidth="1"/>
    <col min="8136" max="8136" width="7.42578125" bestFit="1" customWidth="1"/>
    <col min="8137" max="8137" width="8.5703125" bestFit="1" customWidth="1"/>
    <col min="8138" max="8138" width="11.5703125" bestFit="1" customWidth="1"/>
    <col min="8139" max="8139" width="13.28515625" bestFit="1" customWidth="1"/>
    <col min="8140" max="8140" width="13.28515625" customWidth="1"/>
    <col min="8141" max="8141" width="13.140625" customWidth="1"/>
    <col min="8142" max="8142" width="12.7109375" bestFit="1" customWidth="1"/>
    <col min="8143" max="8143" width="13.28515625" bestFit="1" customWidth="1"/>
    <col min="8144" max="8146" width="13.28515625" customWidth="1"/>
    <col min="8147" max="8147" width="12.140625" bestFit="1" customWidth="1"/>
    <col min="8148" max="8148" width="12.7109375" bestFit="1" customWidth="1"/>
    <col min="8149" max="8149" width="11" customWidth="1"/>
    <col min="8150" max="8150" width="16.7109375" customWidth="1"/>
    <col min="8151" max="8151" width="17" customWidth="1"/>
    <col min="8152" max="8152" width="10.42578125" bestFit="1" customWidth="1"/>
    <col min="8196" max="8196" width="3.85546875" customWidth="1"/>
    <col min="8197" max="8197" width="15.28515625" bestFit="1" customWidth="1"/>
    <col min="8198" max="8198" width="12.28515625" customWidth="1"/>
    <col min="8199" max="8199" width="16.28515625" bestFit="1" customWidth="1"/>
    <col min="8200" max="8200" width="6.42578125" bestFit="1" customWidth="1"/>
    <col min="8201" max="8201" width="9.28515625" bestFit="1" customWidth="1"/>
    <col min="8202" max="8202" width="7.5703125" bestFit="1" customWidth="1"/>
    <col min="8203" max="8203" width="13.28515625" bestFit="1" customWidth="1"/>
    <col min="8204" max="8204" width="9.28515625" bestFit="1" customWidth="1"/>
    <col min="8205" max="8205" width="11.5703125" bestFit="1" customWidth="1"/>
    <col min="8206" max="8206" width="13.28515625" bestFit="1" customWidth="1"/>
    <col min="8207" max="8207" width="7.140625" bestFit="1" customWidth="1"/>
    <col min="8208" max="8208" width="12" bestFit="1" customWidth="1"/>
    <col min="8209" max="8209" width="13.28515625" bestFit="1" customWidth="1"/>
    <col min="8210" max="8210" width="7" bestFit="1" customWidth="1"/>
    <col min="8211" max="8211" width="12.7109375" bestFit="1" customWidth="1"/>
    <col min="8212" max="8212" width="11.5703125" bestFit="1" customWidth="1"/>
    <col min="8213" max="8213" width="10.5703125" bestFit="1" customWidth="1"/>
    <col min="8214" max="8215" width="15.7109375" bestFit="1" customWidth="1"/>
    <col min="8216" max="8216" width="11.5703125" bestFit="1" customWidth="1"/>
    <col min="8217" max="8217" width="7.7109375" bestFit="1" customWidth="1"/>
    <col min="8218" max="8218" width="15.140625" bestFit="1" customWidth="1"/>
    <col min="8219" max="8219" width="11.5703125" bestFit="1" customWidth="1"/>
    <col min="8220" max="8220" width="13.28515625" bestFit="1" customWidth="1"/>
    <col min="8221" max="8221" width="10.42578125" bestFit="1" customWidth="1"/>
    <col min="8222" max="8222" width="13.28515625" bestFit="1" customWidth="1"/>
    <col min="8223" max="8223" width="12.140625" bestFit="1" customWidth="1"/>
    <col min="8224" max="8224" width="14.42578125" bestFit="1" customWidth="1"/>
    <col min="8225" max="8225" width="13.28515625" bestFit="1" customWidth="1"/>
    <col min="8226" max="8226" width="11.5703125" bestFit="1" customWidth="1"/>
    <col min="8227" max="8227" width="7.7109375" bestFit="1" customWidth="1"/>
    <col min="8228" max="8229" width="14.42578125" bestFit="1" customWidth="1"/>
    <col min="8230" max="8230" width="11.5703125" bestFit="1" customWidth="1"/>
    <col min="8231" max="8231" width="7.7109375" bestFit="1" customWidth="1"/>
    <col min="8232" max="8232" width="13.5703125" customWidth="1"/>
    <col min="8233" max="8233" width="15.28515625" customWidth="1"/>
    <col min="8234" max="8234" width="14.5703125" customWidth="1"/>
    <col min="8235" max="8235" width="13.28515625" bestFit="1" customWidth="1"/>
    <col min="8236" max="8236" width="7.7109375" bestFit="1" customWidth="1"/>
    <col min="8237" max="8237" width="12.7109375" bestFit="1" customWidth="1"/>
    <col min="8238" max="8238" width="11.7109375" bestFit="1" customWidth="1"/>
    <col min="8239" max="8239" width="11.5703125" bestFit="1" customWidth="1"/>
    <col min="8240" max="8240" width="5.28515625" bestFit="1" customWidth="1"/>
    <col min="8241" max="8241" width="13.28515625" bestFit="1" customWidth="1"/>
    <col min="8242" max="8242" width="13.5703125" bestFit="1" customWidth="1"/>
    <col min="8243" max="8243" width="10.5703125" bestFit="1" customWidth="1"/>
    <col min="8244" max="8244" width="13.28515625" bestFit="1" customWidth="1"/>
    <col min="8245" max="8245" width="11.5703125" bestFit="1" customWidth="1"/>
    <col min="8246" max="8246" width="10.5703125" bestFit="1" customWidth="1"/>
    <col min="8247" max="8247" width="16.140625" bestFit="1" customWidth="1"/>
    <col min="8248" max="8249" width="11.28515625" bestFit="1" customWidth="1"/>
    <col min="8250" max="8250" width="13.28515625" bestFit="1" customWidth="1"/>
    <col min="8251" max="8251" width="7.7109375" bestFit="1" customWidth="1"/>
    <col min="8252" max="8255" width="9.140625" hidden="1" customWidth="1"/>
    <col min="8256" max="8256" width="10.42578125" bestFit="1" customWidth="1"/>
    <col min="8257" max="8257" width="10.5703125" bestFit="1" customWidth="1"/>
    <col min="8258" max="8258" width="10.42578125" bestFit="1" customWidth="1"/>
    <col min="8259" max="8259" width="10.5703125" bestFit="1" customWidth="1"/>
    <col min="8260" max="8260" width="9.5703125" bestFit="1" customWidth="1"/>
    <col min="8261" max="8261" width="11.5703125" bestFit="1" customWidth="1"/>
    <col min="8262" max="8262" width="10.42578125" bestFit="1" customWidth="1"/>
    <col min="8263" max="8263" width="10.85546875" customWidth="1"/>
    <col min="8264" max="8265" width="9.85546875" bestFit="1" customWidth="1"/>
    <col min="8266" max="8266" width="13.5703125" bestFit="1" customWidth="1"/>
    <col min="8267" max="8267" width="7.7109375" bestFit="1" customWidth="1"/>
    <col min="8268" max="8268" width="13.28515625" bestFit="1" customWidth="1"/>
    <col min="8269" max="8269" width="11.5703125" bestFit="1" customWidth="1"/>
    <col min="8270" max="8270" width="10.42578125" bestFit="1" customWidth="1"/>
    <col min="8271" max="8271" width="7.7109375" bestFit="1" customWidth="1"/>
    <col min="8272" max="8272" width="11.5703125" bestFit="1" customWidth="1"/>
    <col min="8273" max="8273" width="10.85546875" bestFit="1" customWidth="1"/>
    <col min="8274" max="8274" width="13.28515625" bestFit="1" customWidth="1"/>
    <col min="8275" max="8275" width="10.85546875" bestFit="1" customWidth="1"/>
    <col min="8276" max="8277" width="7.5703125" bestFit="1" customWidth="1"/>
    <col min="8278" max="8279" width="10.42578125" bestFit="1" customWidth="1"/>
    <col min="8280" max="8280" width="11.5703125" bestFit="1" customWidth="1"/>
    <col min="8281" max="8281" width="5.28515625" bestFit="1" customWidth="1"/>
    <col min="8282" max="8282" width="10.28515625" bestFit="1" customWidth="1"/>
    <col min="8283" max="8283" width="10.42578125" bestFit="1" customWidth="1"/>
    <col min="8284" max="8284" width="11.5703125" bestFit="1" customWidth="1"/>
    <col min="8285" max="8285" width="5.28515625" bestFit="1" customWidth="1"/>
    <col min="8286" max="8288" width="11.5703125" bestFit="1" customWidth="1"/>
    <col min="8289" max="8289" width="5.28515625" bestFit="1" customWidth="1"/>
    <col min="8290" max="8291" width="10.42578125" bestFit="1" customWidth="1"/>
    <col min="8292" max="8292" width="11.5703125" bestFit="1" customWidth="1"/>
    <col min="8293" max="8293" width="5.28515625" bestFit="1" customWidth="1"/>
    <col min="8294" max="8294" width="14.28515625" bestFit="1" customWidth="1"/>
    <col min="8295" max="8295" width="13" bestFit="1" customWidth="1"/>
    <col min="8296" max="8296" width="11.5703125" bestFit="1" customWidth="1"/>
    <col min="8297" max="8297" width="8.85546875" bestFit="1" customWidth="1"/>
    <col min="8298" max="8298" width="14.42578125" bestFit="1" customWidth="1"/>
    <col min="8299" max="8299" width="10.42578125" bestFit="1" customWidth="1"/>
    <col min="8300" max="8300" width="12.28515625" bestFit="1" customWidth="1"/>
    <col min="8301" max="8301" width="13.85546875" bestFit="1" customWidth="1"/>
    <col min="8302" max="8302" width="11.28515625" customWidth="1"/>
    <col min="8303" max="8303" width="11.5703125" customWidth="1"/>
    <col min="8304" max="8304" width="13.42578125" bestFit="1" customWidth="1"/>
    <col min="8305" max="8305" width="10.42578125" customWidth="1"/>
    <col min="8306" max="8306" width="13.85546875" bestFit="1" customWidth="1"/>
    <col min="8307" max="8307" width="15.42578125" bestFit="1" customWidth="1"/>
    <col min="8308" max="8308" width="12.28515625" bestFit="1" customWidth="1"/>
    <col min="8309" max="8309" width="12.7109375" customWidth="1"/>
    <col min="8310" max="8310" width="10.7109375" bestFit="1" customWidth="1"/>
    <col min="8311" max="8311" width="9.85546875" customWidth="1"/>
    <col min="8312" max="8313" width="10.140625" bestFit="1" customWidth="1"/>
    <col min="8314" max="8314" width="7.5703125" bestFit="1" customWidth="1"/>
    <col min="8315" max="8315" width="9.42578125" bestFit="1" customWidth="1"/>
    <col min="8316" max="8316" width="14.5703125" bestFit="1" customWidth="1"/>
    <col min="8317" max="8317" width="14.85546875" customWidth="1"/>
    <col min="8318" max="8318" width="15.140625" bestFit="1" customWidth="1"/>
    <col min="8319" max="8319" width="12.140625" bestFit="1" customWidth="1"/>
    <col min="8320" max="8320" width="14.85546875" bestFit="1" customWidth="1"/>
    <col min="8321" max="8321" width="12.28515625" bestFit="1" customWidth="1"/>
    <col min="8322" max="8330" width="9.140625" hidden="1" customWidth="1"/>
    <col min="8331" max="8331" width="5.28515625" bestFit="1" customWidth="1"/>
    <col min="8332" max="8337" width="11.5703125" bestFit="1" customWidth="1"/>
    <col min="8338" max="8338" width="11.28515625" bestFit="1" customWidth="1"/>
    <col min="8339" max="8339" width="10.140625" bestFit="1" customWidth="1"/>
    <col min="8340" max="8340" width="11.5703125" bestFit="1" customWidth="1"/>
    <col min="8341" max="8341" width="16.140625" customWidth="1"/>
    <col min="8342" max="8342" width="13.42578125" customWidth="1"/>
    <col min="8343" max="8343" width="10.140625" bestFit="1" customWidth="1"/>
    <col min="8344" max="8344" width="12.85546875" bestFit="1" customWidth="1"/>
    <col min="8345" max="8345" width="12.28515625" bestFit="1" customWidth="1"/>
    <col min="8346" max="8346" width="11.28515625" bestFit="1" customWidth="1"/>
    <col min="8347" max="8347" width="11.5703125" bestFit="1" customWidth="1"/>
    <col min="8348" max="8348" width="10.85546875" bestFit="1" customWidth="1"/>
    <col min="8349" max="8349" width="11.28515625" bestFit="1" customWidth="1"/>
    <col min="8350" max="8350" width="10.140625" bestFit="1" customWidth="1"/>
    <col min="8351" max="8351" width="13.28515625" bestFit="1" customWidth="1"/>
    <col min="8352" max="8353" width="12.7109375" bestFit="1" customWidth="1"/>
    <col min="8354" max="8354" width="11" bestFit="1" customWidth="1"/>
    <col min="8355" max="8355" width="11.28515625" bestFit="1" customWidth="1"/>
    <col min="8356" max="8356" width="11.5703125" bestFit="1" customWidth="1"/>
    <col min="8357" max="8357" width="12.28515625" bestFit="1" customWidth="1"/>
    <col min="8358" max="8358" width="15.140625" bestFit="1" customWidth="1"/>
    <col min="8359" max="8359" width="14.42578125" bestFit="1" customWidth="1"/>
    <col min="8360" max="8360" width="12.28515625" bestFit="1" customWidth="1"/>
    <col min="8361" max="8361" width="15.140625" bestFit="1" customWidth="1"/>
    <col min="8362" max="8362" width="14.42578125" bestFit="1" customWidth="1"/>
    <col min="8363" max="8363" width="12.28515625" bestFit="1" customWidth="1"/>
    <col min="8364" max="8364" width="14.42578125" bestFit="1" customWidth="1"/>
    <col min="8365" max="8365" width="11.28515625" bestFit="1" customWidth="1"/>
    <col min="8366" max="8366" width="12.28515625" bestFit="1" customWidth="1"/>
    <col min="8367" max="8367" width="13" bestFit="1" customWidth="1"/>
    <col min="8368" max="8368" width="15.140625" bestFit="1" customWidth="1"/>
    <col min="8369" max="8369" width="12.28515625" bestFit="1" customWidth="1"/>
    <col min="8370" max="8370" width="13.85546875" bestFit="1" customWidth="1"/>
    <col min="8371" max="8371" width="11.28515625" bestFit="1" customWidth="1"/>
    <col min="8372" max="8372" width="12.28515625" bestFit="1" customWidth="1"/>
    <col min="8373" max="8373" width="13.85546875" bestFit="1" customWidth="1"/>
    <col min="8374" max="8375" width="15.140625" bestFit="1" customWidth="1"/>
    <col min="8376" max="8376" width="12.28515625" bestFit="1" customWidth="1"/>
    <col min="8377" max="8377" width="5.7109375" bestFit="1" customWidth="1"/>
    <col min="8378" max="8378" width="8.5703125" bestFit="1" customWidth="1"/>
    <col min="8379" max="8379" width="5.5703125" bestFit="1" customWidth="1"/>
    <col min="8380" max="8380" width="14.42578125" bestFit="1" customWidth="1"/>
    <col min="8381" max="8381" width="11.28515625" bestFit="1" customWidth="1"/>
    <col min="8382" max="8383" width="12.28515625" bestFit="1" customWidth="1"/>
    <col min="8384" max="8384" width="11.28515625" bestFit="1" customWidth="1"/>
    <col min="8385" max="8385" width="13.85546875" bestFit="1" customWidth="1"/>
    <col min="8386" max="8386" width="12" bestFit="1" customWidth="1"/>
    <col min="8387" max="8387" width="13.85546875" bestFit="1" customWidth="1"/>
    <col min="8388" max="8389" width="14.42578125" customWidth="1"/>
    <col min="8390" max="8390" width="10.140625" bestFit="1" customWidth="1"/>
    <col min="8391" max="8391" width="12.28515625" bestFit="1" customWidth="1"/>
    <col min="8392" max="8392" width="7.42578125" bestFit="1" customWidth="1"/>
    <col min="8393" max="8393" width="8.5703125" bestFit="1" customWidth="1"/>
    <col min="8394" max="8394" width="11.5703125" bestFit="1" customWidth="1"/>
    <col min="8395" max="8395" width="13.28515625" bestFit="1" customWidth="1"/>
    <col min="8396" max="8396" width="13.28515625" customWidth="1"/>
    <col min="8397" max="8397" width="13.140625" customWidth="1"/>
    <col min="8398" max="8398" width="12.7109375" bestFit="1" customWidth="1"/>
    <col min="8399" max="8399" width="13.28515625" bestFit="1" customWidth="1"/>
    <col min="8400" max="8402" width="13.28515625" customWidth="1"/>
    <col min="8403" max="8403" width="12.140625" bestFit="1" customWidth="1"/>
    <col min="8404" max="8404" width="12.7109375" bestFit="1" customWidth="1"/>
    <col min="8405" max="8405" width="11" customWidth="1"/>
    <col min="8406" max="8406" width="16.7109375" customWidth="1"/>
    <col min="8407" max="8407" width="17" customWidth="1"/>
    <col min="8408" max="8408" width="10.42578125" bestFit="1" customWidth="1"/>
    <col min="8452" max="8452" width="3.85546875" customWidth="1"/>
    <col min="8453" max="8453" width="15.28515625" bestFit="1" customWidth="1"/>
    <col min="8454" max="8454" width="12.28515625" customWidth="1"/>
    <col min="8455" max="8455" width="16.28515625" bestFit="1" customWidth="1"/>
    <col min="8456" max="8456" width="6.42578125" bestFit="1" customWidth="1"/>
    <col min="8457" max="8457" width="9.28515625" bestFit="1" customWidth="1"/>
    <col min="8458" max="8458" width="7.5703125" bestFit="1" customWidth="1"/>
    <col min="8459" max="8459" width="13.28515625" bestFit="1" customWidth="1"/>
    <col min="8460" max="8460" width="9.28515625" bestFit="1" customWidth="1"/>
    <col min="8461" max="8461" width="11.5703125" bestFit="1" customWidth="1"/>
    <col min="8462" max="8462" width="13.28515625" bestFit="1" customWidth="1"/>
    <col min="8463" max="8463" width="7.140625" bestFit="1" customWidth="1"/>
    <col min="8464" max="8464" width="12" bestFit="1" customWidth="1"/>
    <col min="8465" max="8465" width="13.28515625" bestFit="1" customWidth="1"/>
    <col min="8466" max="8466" width="7" bestFit="1" customWidth="1"/>
    <col min="8467" max="8467" width="12.7109375" bestFit="1" customWidth="1"/>
    <col min="8468" max="8468" width="11.5703125" bestFit="1" customWidth="1"/>
    <col min="8469" max="8469" width="10.5703125" bestFit="1" customWidth="1"/>
    <col min="8470" max="8471" width="15.7109375" bestFit="1" customWidth="1"/>
    <col min="8472" max="8472" width="11.5703125" bestFit="1" customWidth="1"/>
    <col min="8473" max="8473" width="7.7109375" bestFit="1" customWidth="1"/>
    <col min="8474" max="8474" width="15.140625" bestFit="1" customWidth="1"/>
    <col min="8475" max="8475" width="11.5703125" bestFit="1" customWidth="1"/>
    <col min="8476" max="8476" width="13.28515625" bestFit="1" customWidth="1"/>
    <col min="8477" max="8477" width="10.42578125" bestFit="1" customWidth="1"/>
    <col min="8478" max="8478" width="13.28515625" bestFit="1" customWidth="1"/>
    <col min="8479" max="8479" width="12.140625" bestFit="1" customWidth="1"/>
    <col min="8480" max="8480" width="14.42578125" bestFit="1" customWidth="1"/>
    <col min="8481" max="8481" width="13.28515625" bestFit="1" customWidth="1"/>
    <col min="8482" max="8482" width="11.5703125" bestFit="1" customWidth="1"/>
    <col min="8483" max="8483" width="7.7109375" bestFit="1" customWidth="1"/>
    <col min="8484" max="8485" width="14.42578125" bestFit="1" customWidth="1"/>
    <col min="8486" max="8486" width="11.5703125" bestFit="1" customWidth="1"/>
    <col min="8487" max="8487" width="7.7109375" bestFit="1" customWidth="1"/>
    <col min="8488" max="8488" width="13.5703125" customWidth="1"/>
    <col min="8489" max="8489" width="15.28515625" customWidth="1"/>
    <col min="8490" max="8490" width="14.5703125" customWidth="1"/>
    <col min="8491" max="8491" width="13.28515625" bestFit="1" customWidth="1"/>
    <col min="8492" max="8492" width="7.7109375" bestFit="1" customWidth="1"/>
    <col min="8493" max="8493" width="12.7109375" bestFit="1" customWidth="1"/>
    <col min="8494" max="8494" width="11.7109375" bestFit="1" customWidth="1"/>
    <col min="8495" max="8495" width="11.5703125" bestFit="1" customWidth="1"/>
    <col min="8496" max="8496" width="5.28515625" bestFit="1" customWidth="1"/>
    <col min="8497" max="8497" width="13.28515625" bestFit="1" customWidth="1"/>
    <col min="8498" max="8498" width="13.5703125" bestFit="1" customWidth="1"/>
    <col min="8499" max="8499" width="10.5703125" bestFit="1" customWidth="1"/>
    <col min="8500" max="8500" width="13.28515625" bestFit="1" customWidth="1"/>
    <col min="8501" max="8501" width="11.5703125" bestFit="1" customWidth="1"/>
    <col min="8502" max="8502" width="10.5703125" bestFit="1" customWidth="1"/>
    <col min="8503" max="8503" width="16.140625" bestFit="1" customWidth="1"/>
    <col min="8504" max="8505" width="11.28515625" bestFit="1" customWidth="1"/>
    <col min="8506" max="8506" width="13.28515625" bestFit="1" customWidth="1"/>
    <col min="8507" max="8507" width="7.7109375" bestFit="1" customWidth="1"/>
    <col min="8508" max="8511" width="9.140625" hidden="1" customWidth="1"/>
    <col min="8512" max="8512" width="10.42578125" bestFit="1" customWidth="1"/>
    <col min="8513" max="8513" width="10.5703125" bestFit="1" customWidth="1"/>
    <col min="8514" max="8514" width="10.42578125" bestFit="1" customWidth="1"/>
    <col min="8515" max="8515" width="10.5703125" bestFit="1" customWidth="1"/>
    <col min="8516" max="8516" width="9.5703125" bestFit="1" customWidth="1"/>
    <col min="8517" max="8517" width="11.5703125" bestFit="1" customWidth="1"/>
    <col min="8518" max="8518" width="10.42578125" bestFit="1" customWidth="1"/>
    <col min="8519" max="8519" width="10.85546875" customWidth="1"/>
    <col min="8520" max="8521" width="9.85546875" bestFit="1" customWidth="1"/>
    <col min="8522" max="8522" width="13.5703125" bestFit="1" customWidth="1"/>
    <col min="8523" max="8523" width="7.7109375" bestFit="1" customWidth="1"/>
    <col min="8524" max="8524" width="13.28515625" bestFit="1" customWidth="1"/>
    <col min="8525" max="8525" width="11.5703125" bestFit="1" customWidth="1"/>
    <col min="8526" max="8526" width="10.42578125" bestFit="1" customWidth="1"/>
    <col min="8527" max="8527" width="7.7109375" bestFit="1" customWidth="1"/>
    <col min="8528" max="8528" width="11.5703125" bestFit="1" customWidth="1"/>
    <col min="8529" max="8529" width="10.85546875" bestFit="1" customWidth="1"/>
    <col min="8530" max="8530" width="13.28515625" bestFit="1" customWidth="1"/>
    <col min="8531" max="8531" width="10.85546875" bestFit="1" customWidth="1"/>
    <col min="8532" max="8533" width="7.5703125" bestFit="1" customWidth="1"/>
    <col min="8534" max="8535" width="10.42578125" bestFit="1" customWidth="1"/>
    <col min="8536" max="8536" width="11.5703125" bestFit="1" customWidth="1"/>
    <col min="8537" max="8537" width="5.28515625" bestFit="1" customWidth="1"/>
    <col min="8538" max="8538" width="10.28515625" bestFit="1" customWidth="1"/>
    <col min="8539" max="8539" width="10.42578125" bestFit="1" customWidth="1"/>
    <col min="8540" max="8540" width="11.5703125" bestFit="1" customWidth="1"/>
    <col min="8541" max="8541" width="5.28515625" bestFit="1" customWidth="1"/>
    <col min="8542" max="8544" width="11.5703125" bestFit="1" customWidth="1"/>
    <col min="8545" max="8545" width="5.28515625" bestFit="1" customWidth="1"/>
    <col min="8546" max="8547" width="10.42578125" bestFit="1" customWidth="1"/>
    <col min="8548" max="8548" width="11.5703125" bestFit="1" customWidth="1"/>
    <col min="8549" max="8549" width="5.28515625" bestFit="1" customWidth="1"/>
    <col min="8550" max="8550" width="14.28515625" bestFit="1" customWidth="1"/>
    <col min="8551" max="8551" width="13" bestFit="1" customWidth="1"/>
    <col min="8552" max="8552" width="11.5703125" bestFit="1" customWidth="1"/>
    <col min="8553" max="8553" width="8.85546875" bestFit="1" customWidth="1"/>
    <col min="8554" max="8554" width="14.42578125" bestFit="1" customWidth="1"/>
    <col min="8555" max="8555" width="10.42578125" bestFit="1" customWidth="1"/>
    <col min="8556" max="8556" width="12.28515625" bestFit="1" customWidth="1"/>
    <col min="8557" max="8557" width="13.85546875" bestFit="1" customWidth="1"/>
    <col min="8558" max="8558" width="11.28515625" customWidth="1"/>
    <col min="8559" max="8559" width="11.5703125" customWidth="1"/>
    <col min="8560" max="8560" width="13.42578125" bestFit="1" customWidth="1"/>
    <col min="8561" max="8561" width="10.42578125" customWidth="1"/>
    <col min="8562" max="8562" width="13.85546875" bestFit="1" customWidth="1"/>
    <col min="8563" max="8563" width="15.42578125" bestFit="1" customWidth="1"/>
    <col min="8564" max="8564" width="12.28515625" bestFit="1" customWidth="1"/>
    <col min="8565" max="8565" width="12.7109375" customWidth="1"/>
    <col min="8566" max="8566" width="10.7109375" bestFit="1" customWidth="1"/>
    <col min="8567" max="8567" width="9.85546875" customWidth="1"/>
    <col min="8568" max="8569" width="10.140625" bestFit="1" customWidth="1"/>
    <col min="8570" max="8570" width="7.5703125" bestFit="1" customWidth="1"/>
    <col min="8571" max="8571" width="9.42578125" bestFit="1" customWidth="1"/>
    <col min="8572" max="8572" width="14.5703125" bestFit="1" customWidth="1"/>
    <col min="8573" max="8573" width="14.85546875" customWidth="1"/>
    <col min="8574" max="8574" width="15.140625" bestFit="1" customWidth="1"/>
    <col min="8575" max="8575" width="12.140625" bestFit="1" customWidth="1"/>
    <col min="8576" max="8576" width="14.85546875" bestFit="1" customWidth="1"/>
    <col min="8577" max="8577" width="12.28515625" bestFit="1" customWidth="1"/>
    <col min="8578" max="8586" width="9.140625" hidden="1" customWidth="1"/>
    <col min="8587" max="8587" width="5.28515625" bestFit="1" customWidth="1"/>
    <col min="8588" max="8593" width="11.5703125" bestFit="1" customWidth="1"/>
    <col min="8594" max="8594" width="11.28515625" bestFit="1" customWidth="1"/>
    <col min="8595" max="8595" width="10.140625" bestFit="1" customWidth="1"/>
    <col min="8596" max="8596" width="11.5703125" bestFit="1" customWidth="1"/>
    <col min="8597" max="8597" width="16.140625" customWidth="1"/>
    <col min="8598" max="8598" width="13.42578125" customWidth="1"/>
    <col min="8599" max="8599" width="10.140625" bestFit="1" customWidth="1"/>
    <col min="8600" max="8600" width="12.85546875" bestFit="1" customWidth="1"/>
    <col min="8601" max="8601" width="12.28515625" bestFit="1" customWidth="1"/>
    <col min="8602" max="8602" width="11.28515625" bestFit="1" customWidth="1"/>
    <col min="8603" max="8603" width="11.5703125" bestFit="1" customWidth="1"/>
    <col min="8604" max="8604" width="10.85546875" bestFit="1" customWidth="1"/>
    <col min="8605" max="8605" width="11.28515625" bestFit="1" customWidth="1"/>
    <col min="8606" max="8606" width="10.140625" bestFit="1" customWidth="1"/>
    <col min="8607" max="8607" width="13.28515625" bestFit="1" customWidth="1"/>
    <col min="8608" max="8609" width="12.7109375" bestFit="1" customWidth="1"/>
    <col min="8610" max="8610" width="11" bestFit="1" customWidth="1"/>
    <col min="8611" max="8611" width="11.28515625" bestFit="1" customWidth="1"/>
    <col min="8612" max="8612" width="11.5703125" bestFit="1" customWidth="1"/>
    <col min="8613" max="8613" width="12.28515625" bestFit="1" customWidth="1"/>
    <col min="8614" max="8614" width="15.140625" bestFit="1" customWidth="1"/>
    <col min="8615" max="8615" width="14.42578125" bestFit="1" customWidth="1"/>
    <col min="8616" max="8616" width="12.28515625" bestFit="1" customWidth="1"/>
    <col min="8617" max="8617" width="15.140625" bestFit="1" customWidth="1"/>
    <col min="8618" max="8618" width="14.42578125" bestFit="1" customWidth="1"/>
    <col min="8619" max="8619" width="12.28515625" bestFit="1" customWidth="1"/>
    <col min="8620" max="8620" width="14.42578125" bestFit="1" customWidth="1"/>
    <col min="8621" max="8621" width="11.28515625" bestFit="1" customWidth="1"/>
    <col min="8622" max="8622" width="12.28515625" bestFit="1" customWidth="1"/>
    <col min="8623" max="8623" width="13" bestFit="1" customWidth="1"/>
    <col min="8624" max="8624" width="15.140625" bestFit="1" customWidth="1"/>
    <col min="8625" max="8625" width="12.28515625" bestFit="1" customWidth="1"/>
    <col min="8626" max="8626" width="13.85546875" bestFit="1" customWidth="1"/>
    <col min="8627" max="8627" width="11.28515625" bestFit="1" customWidth="1"/>
    <col min="8628" max="8628" width="12.28515625" bestFit="1" customWidth="1"/>
    <col min="8629" max="8629" width="13.85546875" bestFit="1" customWidth="1"/>
    <col min="8630" max="8631" width="15.140625" bestFit="1" customWidth="1"/>
    <col min="8632" max="8632" width="12.28515625" bestFit="1" customWidth="1"/>
    <col min="8633" max="8633" width="5.7109375" bestFit="1" customWidth="1"/>
    <col min="8634" max="8634" width="8.5703125" bestFit="1" customWidth="1"/>
    <col min="8635" max="8635" width="5.5703125" bestFit="1" customWidth="1"/>
    <col min="8636" max="8636" width="14.42578125" bestFit="1" customWidth="1"/>
    <col min="8637" max="8637" width="11.28515625" bestFit="1" customWidth="1"/>
    <col min="8638" max="8639" width="12.28515625" bestFit="1" customWidth="1"/>
    <col min="8640" max="8640" width="11.28515625" bestFit="1" customWidth="1"/>
    <col min="8641" max="8641" width="13.85546875" bestFit="1" customWidth="1"/>
    <col min="8642" max="8642" width="12" bestFit="1" customWidth="1"/>
    <col min="8643" max="8643" width="13.85546875" bestFit="1" customWidth="1"/>
    <col min="8644" max="8645" width="14.42578125" customWidth="1"/>
    <col min="8646" max="8646" width="10.140625" bestFit="1" customWidth="1"/>
    <col min="8647" max="8647" width="12.28515625" bestFit="1" customWidth="1"/>
    <col min="8648" max="8648" width="7.42578125" bestFit="1" customWidth="1"/>
    <col min="8649" max="8649" width="8.5703125" bestFit="1" customWidth="1"/>
    <col min="8650" max="8650" width="11.5703125" bestFit="1" customWidth="1"/>
    <col min="8651" max="8651" width="13.28515625" bestFit="1" customWidth="1"/>
    <col min="8652" max="8652" width="13.28515625" customWidth="1"/>
    <col min="8653" max="8653" width="13.140625" customWidth="1"/>
    <col min="8654" max="8654" width="12.7109375" bestFit="1" customWidth="1"/>
    <col min="8655" max="8655" width="13.28515625" bestFit="1" customWidth="1"/>
    <col min="8656" max="8658" width="13.28515625" customWidth="1"/>
    <col min="8659" max="8659" width="12.140625" bestFit="1" customWidth="1"/>
    <col min="8660" max="8660" width="12.7109375" bestFit="1" customWidth="1"/>
    <col min="8661" max="8661" width="11" customWidth="1"/>
    <col min="8662" max="8662" width="16.7109375" customWidth="1"/>
    <col min="8663" max="8663" width="17" customWidth="1"/>
    <col min="8664" max="8664" width="10.42578125" bestFit="1" customWidth="1"/>
    <col min="8708" max="8708" width="3.85546875" customWidth="1"/>
    <col min="8709" max="8709" width="15.28515625" bestFit="1" customWidth="1"/>
    <col min="8710" max="8710" width="12.28515625" customWidth="1"/>
    <col min="8711" max="8711" width="16.28515625" bestFit="1" customWidth="1"/>
    <col min="8712" max="8712" width="6.42578125" bestFit="1" customWidth="1"/>
    <col min="8713" max="8713" width="9.28515625" bestFit="1" customWidth="1"/>
    <col min="8714" max="8714" width="7.5703125" bestFit="1" customWidth="1"/>
    <col min="8715" max="8715" width="13.28515625" bestFit="1" customWidth="1"/>
    <col min="8716" max="8716" width="9.28515625" bestFit="1" customWidth="1"/>
    <col min="8717" max="8717" width="11.5703125" bestFit="1" customWidth="1"/>
    <col min="8718" max="8718" width="13.28515625" bestFit="1" customWidth="1"/>
    <col min="8719" max="8719" width="7.140625" bestFit="1" customWidth="1"/>
    <col min="8720" max="8720" width="12" bestFit="1" customWidth="1"/>
    <col min="8721" max="8721" width="13.28515625" bestFit="1" customWidth="1"/>
    <col min="8722" max="8722" width="7" bestFit="1" customWidth="1"/>
    <col min="8723" max="8723" width="12.7109375" bestFit="1" customWidth="1"/>
    <col min="8724" max="8724" width="11.5703125" bestFit="1" customWidth="1"/>
    <col min="8725" max="8725" width="10.5703125" bestFit="1" customWidth="1"/>
    <col min="8726" max="8727" width="15.7109375" bestFit="1" customWidth="1"/>
    <col min="8728" max="8728" width="11.5703125" bestFit="1" customWidth="1"/>
    <col min="8729" max="8729" width="7.7109375" bestFit="1" customWidth="1"/>
    <col min="8730" max="8730" width="15.140625" bestFit="1" customWidth="1"/>
    <col min="8731" max="8731" width="11.5703125" bestFit="1" customWidth="1"/>
    <col min="8732" max="8732" width="13.28515625" bestFit="1" customWidth="1"/>
    <col min="8733" max="8733" width="10.42578125" bestFit="1" customWidth="1"/>
    <col min="8734" max="8734" width="13.28515625" bestFit="1" customWidth="1"/>
    <col min="8735" max="8735" width="12.140625" bestFit="1" customWidth="1"/>
    <col min="8736" max="8736" width="14.42578125" bestFit="1" customWidth="1"/>
    <col min="8737" max="8737" width="13.28515625" bestFit="1" customWidth="1"/>
    <col min="8738" max="8738" width="11.5703125" bestFit="1" customWidth="1"/>
    <col min="8739" max="8739" width="7.7109375" bestFit="1" customWidth="1"/>
    <col min="8740" max="8741" width="14.42578125" bestFit="1" customWidth="1"/>
    <col min="8742" max="8742" width="11.5703125" bestFit="1" customWidth="1"/>
    <col min="8743" max="8743" width="7.7109375" bestFit="1" customWidth="1"/>
    <col min="8744" max="8744" width="13.5703125" customWidth="1"/>
    <col min="8745" max="8745" width="15.28515625" customWidth="1"/>
    <col min="8746" max="8746" width="14.5703125" customWidth="1"/>
    <col min="8747" max="8747" width="13.28515625" bestFit="1" customWidth="1"/>
    <col min="8748" max="8748" width="7.7109375" bestFit="1" customWidth="1"/>
    <col min="8749" max="8749" width="12.7109375" bestFit="1" customWidth="1"/>
    <col min="8750" max="8750" width="11.7109375" bestFit="1" customWidth="1"/>
    <col min="8751" max="8751" width="11.5703125" bestFit="1" customWidth="1"/>
    <col min="8752" max="8752" width="5.28515625" bestFit="1" customWidth="1"/>
    <col min="8753" max="8753" width="13.28515625" bestFit="1" customWidth="1"/>
    <col min="8754" max="8754" width="13.5703125" bestFit="1" customWidth="1"/>
    <col min="8755" max="8755" width="10.5703125" bestFit="1" customWidth="1"/>
    <col min="8756" max="8756" width="13.28515625" bestFit="1" customWidth="1"/>
    <col min="8757" max="8757" width="11.5703125" bestFit="1" customWidth="1"/>
    <col min="8758" max="8758" width="10.5703125" bestFit="1" customWidth="1"/>
    <col min="8759" max="8759" width="16.140625" bestFit="1" customWidth="1"/>
    <col min="8760" max="8761" width="11.28515625" bestFit="1" customWidth="1"/>
    <col min="8762" max="8762" width="13.28515625" bestFit="1" customWidth="1"/>
    <col min="8763" max="8763" width="7.7109375" bestFit="1" customWidth="1"/>
    <col min="8764" max="8767" width="9.140625" hidden="1" customWidth="1"/>
    <col min="8768" max="8768" width="10.42578125" bestFit="1" customWidth="1"/>
    <col min="8769" max="8769" width="10.5703125" bestFit="1" customWidth="1"/>
    <col min="8770" max="8770" width="10.42578125" bestFit="1" customWidth="1"/>
    <col min="8771" max="8771" width="10.5703125" bestFit="1" customWidth="1"/>
    <col min="8772" max="8772" width="9.5703125" bestFit="1" customWidth="1"/>
    <col min="8773" max="8773" width="11.5703125" bestFit="1" customWidth="1"/>
    <col min="8774" max="8774" width="10.42578125" bestFit="1" customWidth="1"/>
    <col min="8775" max="8775" width="10.85546875" customWidth="1"/>
    <col min="8776" max="8777" width="9.85546875" bestFit="1" customWidth="1"/>
    <col min="8778" max="8778" width="13.5703125" bestFit="1" customWidth="1"/>
    <col min="8779" max="8779" width="7.7109375" bestFit="1" customWidth="1"/>
    <col min="8780" max="8780" width="13.28515625" bestFit="1" customWidth="1"/>
    <col min="8781" max="8781" width="11.5703125" bestFit="1" customWidth="1"/>
    <col min="8782" max="8782" width="10.42578125" bestFit="1" customWidth="1"/>
    <col min="8783" max="8783" width="7.7109375" bestFit="1" customWidth="1"/>
    <col min="8784" max="8784" width="11.5703125" bestFit="1" customWidth="1"/>
    <col min="8785" max="8785" width="10.85546875" bestFit="1" customWidth="1"/>
    <col min="8786" max="8786" width="13.28515625" bestFit="1" customWidth="1"/>
    <col min="8787" max="8787" width="10.85546875" bestFit="1" customWidth="1"/>
    <col min="8788" max="8789" width="7.5703125" bestFit="1" customWidth="1"/>
    <col min="8790" max="8791" width="10.42578125" bestFit="1" customWidth="1"/>
    <col min="8792" max="8792" width="11.5703125" bestFit="1" customWidth="1"/>
    <col min="8793" max="8793" width="5.28515625" bestFit="1" customWidth="1"/>
    <col min="8794" max="8794" width="10.28515625" bestFit="1" customWidth="1"/>
    <col min="8795" max="8795" width="10.42578125" bestFit="1" customWidth="1"/>
    <col min="8796" max="8796" width="11.5703125" bestFit="1" customWidth="1"/>
    <col min="8797" max="8797" width="5.28515625" bestFit="1" customWidth="1"/>
    <col min="8798" max="8800" width="11.5703125" bestFit="1" customWidth="1"/>
    <col min="8801" max="8801" width="5.28515625" bestFit="1" customWidth="1"/>
    <col min="8802" max="8803" width="10.42578125" bestFit="1" customWidth="1"/>
    <col min="8804" max="8804" width="11.5703125" bestFit="1" customWidth="1"/>
    <col min="8805" max="8805" width="5.28515625" bestFit="1" customWidth="1"/>
    <col min="8806" max="8806" width="14.28515625" bestFit="1" customWidth="1"/>
    <col min="8807" max="8807" width="13" bestFit="1" customWidth="1"/>
    <col min="8808" max="8808" width="11.5703125" bestFit="1" customWidth="1"/>
    <col min="8809" max="8809" width="8.85546875" bestFit="1" customWidth="1"/>
    <col min="8810" max="8810" width="14.42578125" bestFit="1" customWidth="1"/>
    <col min="8811" max="8811" width="10.42578125" bestFit="1" customWidth="1"/>
    <col min="8812" max="8812" width="12.28515625" bestFit="1" customWidth="1"/>
    <col min="8813" max="8813" width="13.85546875" bestFit="1" customWidth="1"/>
    <col min="8814" max="8814" width="11.28515625" customWidth="1"/>
    <col min="8815" max="8815" width="11.5703125" customWidth="1"/>
    <col min="8816" max="8816" width="13.42578125" bestFit="1" customWidth="1"/>
    <col min="8817" max="8817" width="10.42578125" customWidth="1"/>
    <col min="8818" max="8818" width="13.85546875" bestFit="1" customWidth="1"/>
    <col min="8819" max="8819" width="15.42578125" bestFit="1" customWidth="1"/>
    <col min="8820" max="8820" width="12.28515625" bestFit="1" customWidth="1"/>
    <col min="8821" max="8821" width="12.7109375" customWidth="1"/>
    <col min="8822" max="8822" width="10.7109375" bestFit="1" customWidth="1"/>
    <col min="8823" max="8823" width="9.85546875" customWidth="1"/>
    <col min="8824" max="8825" width="10.140625" bestFit="1" customWidth="1"/>
    <col min="8826" max="8826" width="7.5703125" bestFit="1" customWidth="1"/>
    <col min="8827" max="8827" width="9.42578125" bestFit="1" customWidth="1"/>
    <col min="8828" max="8828" width="14.5703125" bestFit="1" customWidth="1"/>
    <col min="8829" max="8829" width="14.85546875" customWidth="1"/>
    <col min="8830" max="8830" width="15.140625" bestFit="1" customWidth="1"/>
    <col min="8831" max="8831" width="12.140625" bestFit="1" customWidth="1"/>
    <col min="8832" max="8832" width="14.85546875" bestFit="1" customWidth="1"/>
    <col min="8833" max="8833" width="12.28515625" bestFit="1" customWidth="1"/>
    <col min="8834" max="8842" width="9.140625" hidden="1" customWidth="1"/>
    <col min="8843" max="8843" width="5.28515625" bestFit="1" customWidth="1"/>
    <col min="8844" max="8849" width="11.5703125" bestFit="1" customWidth="1"/>
    <col min="8850" max="8850" width="11.28515625" bestFit="1" customWidth="1"/>
    <col min="8851" max="8851" width="10.140625" bestFit="1" customWidth="1"/>
    <col min="8852" max="8852" width="11.5703125" bestFit="1" customWidth="1"/>
    <col min="8853" max="8853" width="16.140625" customWidth="1"/>
    <col min="8854" max="8854" width="13.42578125" customWidth="1"/>
    <col min="8855" max="8855" width="10.140625" bestFit="1" customWidth="1"/>
    <col min="8856" max="8856" width="12.85546875" bestFit="1" customWidth="1"/>
    <col min="8857" max="8857" width="12.28515625" bestFit="1" customWidth="1"/>
    <col min="8858" max="8858" width="11.28515625" bestFit="1" customWidth="1"/>
    <col min="8859" max="8859" width="11.5703125" bestFit="1" customWidth="1"/>
    <col min="8860" max="8860" width="10.85546875" bestFit="1" customWidth="1"/>
    <col min="8861" max="8861" width="11.28515625" bestFit="1" customWidth="1"/>
    <col min="8862" max="8862" width="10.140625" bestFit="1" customWidth="1"/>
    <col min="8863" max="8863" width="13.28515625" bestFit="1" customWidth="1"/>
    <col min="8864" max="8865" width="12.7109375" bestFit="1" customWidth="1"/>
    <col min="8866" max="8866" width="11" bestFit="1" customWidth="1"/>
    <col min="8867" max="8867" width="11.28515625" bestFit="1" customWidth="1"/>
    <col min="8868" max="8868" width="11.5703125" bestFit="1" customWidth="1"/>
    <col min="8869" max="8869" width="12.28515625" bestFit="1" customWidth="1"/>
    <col min="8870" max="8870" width="15.140625" bestFit="1" customWidth="1"/>
    <col min="8871" max="8871" width="14.42578125" bestFit="1" customWidth="1"/>
    <col min="8872" max="8872" width="12.28515625" bestFit="1" customWidth="1"/>
    <col min="8873" max="8873" width="15.140625" bestFit="1" customWidth="1"/>
    <col min="8874" max="8874" width="14.42578125" bestFit="1" customWidth="1"/>
    <col min="8875" max="8875" width="12.28515625" bestFit="1" customWidth="1"/>
    <col min="8876" max="8876" width="14.42578125" bestFit="1" customWidth="1"/>
    <col min="8877" max="8877" width="11.28515625" bestFit="1" customWidth="1"/>
    <col min="8878" max="8878" width="12.28515625" bestFit="1" customWidth="1"/>
    <col min="8879" max="8879" width="13" bestFit="1" customWidth="1"/>
    <col min="8880" max="8880" width="15.140625" bestFit="1" customWidth="1"/>
    <col min="8881" max="8881" width="12.28515625" bestFit="1" customWidth="1"/>
    <col min="8882" max="8882" width="13.85546875" bestFit="1" customWidth="1"/>
    <col min="8883" max="8883" width="11.28515625" bestFit="1" customWidth="1"/>
    <col min="8884" max="8884" width="12.28515625" bestFit="1" customWidth="1"/>
    <col min="8885" max="8885" width="13.85546875" bestFit="1" customWidth="1"/>
    <col min="8886" max="8887" width="15.140625" bestFit="1" customWidth="1"/>
    <col min="8888" max="8888" width="12.28515625" bestFit="1" customWidth="1"/>
    <col min="8889" max="8889" width="5.7109375" bestFit="1" customWidth="1"/>
    <col min="8890" max="8890" width="8.5703125" bestFit="1" customWidth="1"/>
    <col min="8891" max="8891" width="5.5703125" bestFit="1" customWidth="1"/>
    <col min="8892" max="8892" width="14.42578125" bestFit="1" customWidth="1"/>
    <col min="8893" max="8893" width="11.28515625" bestFit="1" customWidth="1"/>
    <col min="8894" max="8895" width="12.28515625" bestFit="1" customWidth="1"/>
    <col min="8896" max="8896" width="11.28515625" bestFit="1" customWidth="1"/>
    <col min="8897" max="8897" width="13.85546875" bestFit="1" customWidth="1"/>
    <col min="8898" max="8898" width="12" bestFit="1" customWidth="1"/>
    <col min="8899" max="8899" width="13.85546875" bestFit="1" customWidth="1"/>
    <col min="8900" max="8901" width="14.42578125" customWidth="1"/>
    <col min="8902" max="8902" width="10.140625" bestFit="1" customWidth="1"/>
    <col min="8903" max="8903" width="12.28515625" bestFit="1" customWidth="1"/>
    <col min="8904" max="8904" width="7.42578125" bestFit="1" customWidth="1"/>
    <col min="8905" max="8905" width="8.5703125" bestFit="1" customWidth="1"/>
    <col min="8906" max="8906" width="11.5703125" bestFit="1" customWidth="1"/>
    <col min="8907" max="8907" width="13.28515625" bestFit="1" customWidth="1"/>
    <col min="8908" max="8908" width="13.28515625" customWidth="1"/>
    <col min="8909" max="8909" width="13.140625" customWidth="1"/>
    <col min="8910" max="8910" width="12.7109375" bestFit="1" customWidth="1"/>
    <col min="8911" max="8911" width="13.28515625" bestFit="1" customWidth="1"/>
    <col min="8912" max="8914" width="13.28515625" customWidth="1"/>
    <col min="8915" max="8915" width="12.140625" bestFit="1" customWidth="1"/>
    <col min="8916" max="8916" width="12.7109375" bestFit="1" customWidth="1"/>
    <col min="8917" max="8917" width="11" customWidth="1"/>
    <col min="8918" max="8918" width="16.7109375" customWidth="1"/>
    <col min="8919" max="8919" width="17" customWidth="1"/>
    <col min="8920" max="8920" width="10.42578125" bestFit="1" customWidth="1"/>
    <col min="8964" max="8964" width="3.85546875" customWidth="1"/>
    <col min="8965" max="8965" width="15.28515625" bestFit="1" customWidth="1"/>
    <col min="8966" max="8966" width="12.28515625" customWidth="1"/>
    <col min="8967" max="8967" width="16.28515625" bestFit="1" customWidth="1"/>
    <col min="8968" max="8968" width="6.42578125" bestFit="1" customWidth="1"/>
    <col min="8969" max="8969" width="9.28515625" bestFit="1" customWidth="1"/>
    <col min="8970" max="8970" width="7.5703125" bestFit="1" customWidth="1"/>
    <col min="8971" max="8971" width="13.28515625" bestFit="1" customWidth="1"/>
    <col min="8972" max="8972" width="9.28515625" bestFit="1" customWidth="1"/>
    <col min="8973" max="8973" width="11.5703125" bestFit="1" customWidth="1"/>
    <col min="8974" max="8974" width="13.28515625" bestFit="1" customWidth="1"/>
    <col min="8975" max="8975" width="7.140625" bestFit="1" customWidth="1"/>
    <col min="8976" max="8976" width="12" bestFit="1" customWidth="1"/>
    <col min="8977" max="8977" width="13.28515625" bestFit="1" customWidth="1"/>
    <col min="8978" max="8978" width="7" bestFit="1" customWidth="1"/>
    <col min="8979" max="8979" width="12.7109375" bestFit="1" customWidth="1"/>
    <col min="8980" max="8980" width="11.5703125" bestFit="1" customWidth="1"/>
    <col min="8981" max="8981" width="10.5703125" bestFit="1" customWidth="1"/>
    <col min="8982" max="8983" width="15.7109375" bestFit="1" customWidth="1"/>
    <col min="8984" max="8984" width="11.5703125" bestFit="1" customWidth="1"/>
    <col min="8985" max="8985" width="7.7109375" bestFit="1" customWidth="1"/>
    <col min="8986" max="8986" width="15.140625" bestFit="1" customWidth="1"/>
    <col min="8987" max="8987" width="11.5703125" bestFit="1" customWidth="1"/>
    <col min="8988" max="8988" width="13.28515625" bestFit="1" customWidth="1"/>
    <col min="8989" max="8989" width="10.42578125" bestFit="1" customWidth="1"/>
    <col min="8990" max="8990" width="13.28515625" bestFit="1" customWidth="1"/>
    <col min="8991" max="8991" width="12.140625" bestFit="1" customWidth="1"/>
    <col min="8992" max="8992" width="14.42578125" bestFit="1" customWidth="1"/>
    <col min="8993" max="8993" width="13.28515625" bestFit="1" customWidth="1"/>
    <col min="8994" max="8994" width="11.5703125" bestFit="1" customWidth="1"/>
    <col min="8995" max="8995" width="7.7109375" bestFit="1" customWidth="1"/>
    <col min="8996" max="8997" width="14.42578125" bestFit="1" customWidth="1"/>
    <col min="8998" max="8998" width="11.5703125" bestFit="1" customWidth="1"/>
    <col min="8999" max="8999" width="7.7109375" bestFit="1" customWidth="1"/>
    <col min="9000" max="9000" width="13.5703125" customWidth="1"/>
    <col min="9001" max="9001" width="15.28515625" customWidth="1"/>
    <col min="9002" max="9002" width="14.5703125" customWidth="1"/>
    <col min="9003" max="9003" width="13.28515625" bestFit="1" customWidth="1"/>
    <col min="9004" max="9004" width="7.7109375" bestFit="1" customWidth="1"/>
    <col min="9005" max="9005" width="12.7109375" bestFit="1" customWidth="1"/>
    <col min="9006" max="9006" width="11.7109375" bestFit="1" customWidth="1"/>
    <col min="9007" max="9007" width="11.5703125" bestFit="1" customWidth="1"/>
    <col min="9008" max="9008" width="5.28515625" bestFit="1" customWidth="1"/>
    <col min="9009" max="9009" width="13.28515625" bestFit="1" customWidth="1"/>
    <col min="9010" max="9010" width="13.5703125" bestFit="1" customWidth="1"/>
    <col min="9011" max="9011" width="10.5703125" bestFit="1" customWidth="1"/>
    <col min="9012" max="9012" width="13.28515625" bestFit="1" customWidth="1"/>
    <col min="9013" max="9013" width="11.5703125" bestFit="1" customWidth="1"/>
    <col min="9014" max="9014" width="10.5703125" bestFit="1" customWidth="1"/>
    <col min="9015" max="9015" width="16.140625" bestFit="1" customWidth="1"/>
    <col min="9016" max="9017" width="11.28515625" bestFit="1" customWidth="1"/>
    <col min="9018" max="9018" width="13.28515625" bestFit="1" customWidth="1"/>
    <col min="9019" max="9019" width="7.7109375" bestFit="1" customWidth="1"/>
    <col min="9020" max="9023" width="9.140625" hidden="1" customWidth="1"/>
    <col min="9024" max="9024" width="10.42578125" bestFit="1" customWidth="1"/>
    <col min="9025" max="9025" width="10.5703125" bestFit="1" customWidth="1"/>
    <col min="9026" max="9026" width="10.42578125" bestFit="1" customWidth="1"/>
    <col min="9027" max="9027" width="10.5703125" bestFit="1" customWidth="1"/>
    <col min="9028" max="9028" width="9.5703125" bestFit="1" customWidth="1"/>
    <col min="9029" max="9029" width="11.5703125" bestFit="1" customWidth="1"/>
    <col min="9030" max="9030" width="10.42578125" bestFit="1" customWidth="1"/>
    <col min="9031" max="9031" width="10.85546875" customWidth="1"/>
    <col min="9032" max="9033" width="9.85546875" bestFit="1" customWidth="1"/>
    <col min="9034" max="9034" width="13.5703125" bestFit="1" customWidth="1"/>
    <col min="9035" max="9035" width="7.7109375" bestFit="1" customWidth="1"/>
    <col min="9036" max="9036" width="13.28515625" bestFit="1" customWidth="1"/>
    <col min="9037" max="9037" width="11.5703125" bestFit="1" customWidth="1"/>
    <col min="9038" max="9038" width="10.42578125" bestFit="1" customWidth="1"/>
    <col min="9039" max="9039" width="7.7109375" bestFit="1" customWidth="1"/>
    <col min="9040" max="9040" width="11.5703125" bestFit="1" customWidth="1"/>
    <col min="9041" max="9041" width="10.85546875" bestFit="1" customWidth="1"/>
    <col min="9042" max="9042" width="13.28515625" bestFit="1" customWidth="1"/>
    <col min="9043" max="9043" width="10.85546875" bestFit="1" customWidth="1"/>
    <col min="9044" max="9045" width="7.5703125" bestFit="1" customWidth="1"/>
    <col min="9046" max="9047" width="10.42578125" bestFit="1" customWidth="1"/>
    <col min="9048" max="9048" width="11.5703125" bestFit="1" customWidth="1"/>
    <col min="9049" max="9049" width="5.28515625" bestFit="1" customWidth="1"/>
    <col min="9050" max="9050" width="10.28515625" bestFit="1" customWidth="1"/>
    <col min="9051" max="9051" width="10.42578125" bestFit="1" customWidth="1"/>
    <col min="9052" max="9052" width="11.5703125" bestFit="1" customWidth="1"/>
    <col min="9053" max="9053" width="5.28515625" bestFit="1" customWidth="1"/>
    <col min="9054" max="9056" width="11.5703125" bestFit="1" customWidth="1"/>
    <col min="9057" max="9057" width="5.28515625" bestFit="1" customWidth="1"/>
    <col min="9058" max="9059" width="10.42578125" bestFit="1" customWidth="1"/>
    <col min="9060" max="9060" width="11.5703125" bestFit="1" customWidth="1"/>
    <col min="9061" max="9061" width="5.28515625" bestFit="1" customWidth="1"/>
    <col min="9062" max="9062" width="14.28515625" bestFit="1" customWidth="1"/>
    <col min="9063" max="9063" width="13" bestFit="1" customWidth="1"/>
    <col min="9064" max="9064" width="11.5703125" bestFit="1" customWidth="1"/>
    <col min="9065" max="9065" width="8.85546875" bestFit="1" customWidth="1"/>
    <col min="9066" max="9066" width="14.42578125" bestFit="1" customWidth="1"/>
    <col min="9067" max="9067" width="10.42578125" bestFit="1" customWidth="1"/>
    <col min="9068" max="9068" width="12.28515625" bestFit="1" customWidth="1"/>
    <col min="9069" max="9069" width="13.85546875" bestFit="1" customWidth="1"/>
    <col min="9070" max="9070" width="11.28515625" customWidth="1"/>
    <col min="9071" max="9071" width="11.5703125" customWidth="1"/>
    <col min="9072" max="9072" width="13.42578125" bestFit="1" customWidth="1"/>
    <col min="9073" max="9073" width="10.42578125" customWidth="1"/>
    <col min="9074" max="9074" width="13.85546875" bestFit="1" customWidth="1"/>
    <col min="9075" max="9075" width="15.42578125" bestFit="1" customWidth="1"/>
    <col min="9076" max="9076" width="12.28515625" bestFit="1" customWidth="1"/>
    <col min="9077" max="9077" width="12.7109375" customWidth="1"/>
    <col min="9078" max="9078" width="10.7109375" bestFit="1" customWidth="1"/>
    <col min="9079" max="9079" width="9.85546875" customWidth="1"/>
    <col min="9080" max="9081" width="10.140625" bestFit="1" customWidth="1"/>
    <col min="9082" max="9082" width="7.5703125" bestFit="1" customWidth="1"/>
    <col min="9083" max="9083" width="9.42578125" bestFit="1" customWidth="1"/>
    <col min="9084" max="9084" width="14.5703125" bestFit="1" customWidth="1"/>
    <col min="9085" max="9085" width="14.85546875" customWidth="1"/>
    <col min="9086" max="9086" width="15.140625" bestFit="1" customWidth="1"/>
    <col min="9087" max="9087" width="12.140625" bestFit="1" customWidth="1"/>
    <col min="9088" max="9088" width="14.85546875" bestFit="1" customWidth="1"/>
    <col min="9089" max="9089" width="12.28515625" bestFit="1" customWidth="1"/>
    <col min="9090" max="9098" width="9.140625" hidden="1" customWidth="1"/>
    <col min="9099" max="9099" width="5.28515625" bestFit="1" customWidth="1"/>
    <col min="9100" max="9105" width="11.5703125" bestFit="1" customWidth="1"/>
    <col min="9106" max="9106" width="11.28515625" bestFit="1" customWidth="1"/>
    <col min="9107" max="9107" width="10.140625" bestFit="1" customWidth="1"/>
    <col min="9108" max="9108" width="11.5703125" bestFit="1" customWidth="1"/>
    <col min="9109" max="9109" width="16.140625" customWidth="1"/>
    <col min="9110" max="9110" width="13.42578125" customWidth="1"/>
    <col min="9111" max="9111" width="10.140625" bestFit="1" customWidth="1"/>
    <col min="9112" max="9112" width="12.85546875" bestFit="1" customWidth="1"/>
    <col min="9113" max="9113" width="12.28515625" bestFit="1" customWidth="1"/>
    <col min="9114" max="9114" width="11.28515625" bestFit="1" customWidth="1"/>
    <col min="9115" max="9115" width="11.5703125" bestFit="1" customWidth="1"/>
    <col min="9116" max="9116" width="10.85546875" bestFit="1" customWidth="1"/>
    <col min="9117" max="9117" width="11.28515625" bestFit="1" customWidth="1"/>
    <col min="9118" max="9118" width="10.140625" bestFit="1" customWidth="1"/>
    <col min="9119" max="9119" width="13.28515625" bestFit="1" customWidth="1"/>
    <col min="9120" max="9121" width="12.7109375" bestFit="1" customWidth="1"/>
    <col min="9122" max="9122" width="11" bestFit="1" customWidth="1"/>
    <col min="9123" max="9123" width="11.28515625" bestFit="1" customWidth="1"/>
    <col min="9124" max="9124" width="11.5703125" bestFit="1" customWidth="1"/>
    <col min="9125" max="9125" width="12.28515625" bestFit="1" customWidth="1"/>
    <col min="9126" max="9126" width="15.140625" bestFit="1" customWidth="1"/>
    <col min="9127" max="9127" width="14.42578125" bestFit="1" customWidth="1"/>
    <col min="9128" max="9128" width="12.28515625" bestFit="1" customWidth="1"/>
    <col min="9129" max="9129" width="15.140625" bestFit="1" customWidth="1"/>
    <col min="9130" max="9130" width="14.42578125" bestFit="1" customWidth="1"/>
    <col min="9131" max="9131" width="12.28515625" bestFit="1" customWidth="1"/>
    <col min="9132" max="9132" width="14.42578125" bestFit="1" customWidth="1"/>
    <col min="9133" max="9133" width="11.28515625" bestFit="1" customWidth="1"/>
    <col min="9134" max="9134" width="12.28515625" bestFit="1" customWidth="1"/>
    <col min="9135" max="9135" width="13" bestFit="1" customWidth="1"/>
    <col min="9136" max="9136" width="15.140625" bestFit="1" customWidth="1"/>
    <col min="9137" max="9137" width="12.28515625" bestFit="1" customWidth="1"/>
    <col min="9138" max="9138" width="13.85546875" bestFit="1" customWidth="1"/>
    <col min="9139" max="9139" width="11.28515625" bestFit="1" customWidth="1"/>
    <col min="9140" max="9140" width="12.28515625" bestFit="1" customWidth="1"/>
    <col min="9141" max="9141" width="13.85546875" bestFit="1" customWidth="1"/>
    <col min="9142" max="9143" width="15.140625" bestFit="1" customWidth="1"/>
    <col min="9144" max="9144" width="12.28515625" bestFit="1" customWidth="1"/>
    <col min="9145" max="9145" width="5.7109375" bestFit="1" customWidth="1"/>
    <col min="9146" max="9146" width="8.5703125" bestFit="1" customWidth="1"/>
    <col min="9147" max="9147" width="5.5703125" bestFit="1" customWidth="1"/>
    <col min="9148" max="9148" width="14.42578125" bestFit="1" customWidth="1"/>
    <col min="9149" max="9149" width="11.28515625" bestFit="1" customWidth="1"/>
    <col min="9150" max="9151" width="12.28515625" bestFit="1" customWidth="1"/>
    <col min="9152" max="9152" width="11.28515625" bestFit="1" customWidth="1"/>
    <col min="9153" max="9153" width="13.85546875" bestFit="1" customWidth="1"/>
    <col min="9154" max="9154" width="12" bestFit="1" customWidth="1"/>
    <col min="9155" max="9155" width="13.85546875" bestFit="1" customWidth="1"/>
    <col min="9156" max="9157" width="14.42578125" customWidth="1"/>
    <col min="9158" max="9158" width="10.140625" bestFit="1" customWidth="1"/>
    <col min="9159" max="9159" width="12.28515625" bestFit="1" customWidth="1"/>
    <col min="9160" max="9160" width="7.42578125" bestFit="1" customWidth="1"/>
    <col min="9161" max="9161" width="8.5703125" bestFit="1" customWidth="1"/>
    <col min="9162" max="9162" width="11.5703125" bestFit="1" customWidth="1"/>
    <col min="9163" max="9163" width="13.28515625" bestFit="1" customWidth="1"/>
    <col min="9164" max="9164" width="13.28515625" customWidth="1"/>
    <col min="9165" max="9165" width="13.140625" customWidth="1"/>
    <col min="9166" max="9166" width="12.7109375" bestFit="1" customWidth="1"/>
    <col min="9167" max="9167" width="13.28515625" bestFit="1" customWidth="1"/>
    <col min="9168" max="9170" width="13.28515625" customWidth="1"/>
    <col min="9171" max="9171" width="12.140625" bestFit="1" customWidth="1"/>
    <col min="9172" max="9172" width="12.7109375" bestFit="1" customWidth="1"/>
    <col min="9173" max="9173" width="11" customWidth="1"/>
    <col min="9174" max="9174" width="16.7109375" customWidth="1"/>
    <col min="9175" max="9175" width="17" customWidth="1"/>
    <col min="9176" max="9176" width="10.42578125" bestFit="1" customWidth="1"/>
    <col min="9220" max="9220" width="3.85546875" customWidth="1"/>
    <col min="9221" max="9221" width="15.28515625" bestFit="1" customWidth="1"/>
    <col min="9222" max="9222" width="12.28515625" customWidth="1"/>
    <col min="9223" max="9223" width="16.28515625" bestFit="1" customWidth="1"/>
    <col min="9224" max="9224" width="6.42578125" bestFit="1" customWidth="1"/>
    <col min="9225" max="9225" width="9.28515625" bestFit="1" customWidth="1"/>
    <col min="9226" max="9226" width="7.5703125" bestFit="1" customWidth="1"/>
    <col min="9227" max="9227" width="13.28515625" bestFit="1" customWidth="1"/>
    <col min="9228" max="9228" width="9.28515625" bestFit="1" customWidth="1"/>
    <col min="9229" max="9229" width="11.5703125" bestFit="1" customWidth="1"/>
    <col min="9230" max="9230" width="13.28515625" bestFit="1" customWidth="1"/>
    <col min="9231" max="9231" width="7.140625" bestFit="1" customWidth="1"/>
    <col min="9232" max="9232" width="12" bestFit="1" customWidth="1"/>
    <col min="9233" max="9233" width="13.28515625" bestFit="1" customWidth="1"/>
    <col min="9234" max="9234" width="7" bestFit="1" customWidth="1"/>
    <col min="9235" max="9235" width="12.7109375" bestFit="1" customWidth="1"/>
    <col min="9236" max="9236" width="11.5703125" bestFit="1" customWidth="1"/>
    <col min="9237" max="9237" width="10.5703125" bestFit="1" customWidth="1"/>
    <col min="9238" max="9239" width="15.7109375" bestFit="1" customWidth="1"/>
    <col min="9240" max="9240" width="11.5703125" bestFit="1" customWidth="1"/>
    <col min="9241" max="9241" width="7.7109375" bestFit="1" customWidth="1"/>
    <col min="9242" max="9242" width="15.140625" bestFit="1" customWidth="1"/>
    <col min="9243" max="9243" width="11.5703125" bestFit="1" customWidth="1"/>
    <col min="9244" max="9244" width="13.28515625" bestFit="1" customWidth="1"/>
    <col min="9245" max="9245" width="10.42578125" bestFit="1" customWidth="1"/>
    <col min="9246" max="9246" width="13.28515625" bestFit="1" customWidth="1"/>
    <col min="9247" max="9247" width="12.140625" bestFit="1" customWidth="1"/>
    <col min="9248" max="9248" width="14.42578125" bestFit="1" customWidth="1"/>
    <col min="9249" max="9249" width="13.28515625" bestFit="1" customWidth="1"/>
    <col min="9250" max="9250" width="11.5703125" bestFit="1" customWidth="1"/>
    <col min="9251" max="9251" width="7.7109375" bestFit="1" customWidth="1"/>
    <col min="9252" max="9253" width="14.42578125" bestFit="1" customWidth="1"/>
    <col min="9254" max="9254" width="11.5703125" bestFit="1" customWidth="1"/>
    <col min="9255" max="9255" width="7.7109375" bestFit="1" customWidth="1"/>
    <col min="9256" max="9256" width="13.5703125" customWidth="1"/>
    <col min="9257" max="9257" width="15.28515625" customWidth="1"/>
    <col min="9258" max="9258" width="14.5703125" customWidth="1"/>
    <col min="9259" max="9259" width="13.28515625" bestFit="1" customWidth="1"/>
    <col min="9260" max="9260" width="7.7109375" bestFit="1" customWidth="1"/>
    <col min="9261" max="9261" width="12.7109375" bestFit="1" customWidth="1"/>
    <col min="9262" max="9262" width="11.7109375" bestFit="1" customWidth="1"/>
    <col min="9263" max="9263" width="11.5703125" bestFit="1" customWidth="1"/>
    <col min="9264" max="9264" width="5.28515625" bestFit="1" customWidth="1"/>
    <col min="9265" max="9265" width="13.28515625" bestFit="1" customWidth="1"/>
    <col min="9266" max="9266" width="13.5703125" bestFit="1" customWidth="1"/>
    <col min="9267" max="9267" width="10.5703125" bestFit="1" customWidth="1"/>
    <col min="9268" max="9268" width="13.28515625" bestFit="1" customWidth="1"/>
    <col min="9269" max="9269" width="11.5703125" bestFit="1" customWidth="1"/>
    <col min="9270" max="9270" width="10.5703125" bestFit="1" customWidth="1"/>
    <col min="9271" max="9271" width="16.140625" bestFit="1" customWidth="1"/>
    <col min="9272" max="9273" width="11.28515625" bestFit="1" customWidth="1"/>
    <col min="9274" max="9274" width="13.28515625" bestFit="1" customWidth="1"/>
    <col min="9275" max="9275" width="7.7109375" bestFit="1" customWidth="1"/>
    <col min="9276" max="9279" width="9.140625" hidden="1" customWidth="1"/>
    <col min="9280" max="9280" width="10.42578125" bestFit="1" customWidth="1"/>
    <col min="9281" max="9281" width="10.5703125" bestFit="1" customWidth="1"/>
    <col min="9282" max="9282" width="10.42578125" bestFit="1" customWidth="1"/>
    <col min="9283" max="9283" width="10.5703125" bestFit="1" customWidth="1"/>
    <col min="9284" max="9284" width="9.5703125" bestFit="1" customWidth="1"/>
    <col min="9285" max="9285" width="11.5703125" bestFit="1" customWidth="1"/>
    <col min="9286" max="9286" width="10.42578125" bestFit="1" customWidth="1"/>
    <col min="9287" max="9287" width="10.85546875" customWidth="1"/>
    <col min="9288" max="9289" width="9.85546875" bestFit="1" customWidth="1"/>
    <col min="9290" max="9290" width="13.5703125" bestFit="1" customWidth="1"/>
    <col min="9291" max="9291" width="7.7109375" bestFit="1" customWidth="1"/>
    <col min="9292" max="9292" width="13.28515625" bestFit="1" customWidth="1"/>
    <col min="9293" max="9293" width="11.5703125" bestFit="1" customWidth="1"/>
    <col min="9294" max="9294" width="10.42578125" bestFit="1" customWidth="1"/>
    <col min="9295" max="9295" width="7.7109375" bestFit="1" customWidth="1"/>
    <col min="9296" max="9296" width="11.5703125" bestFit="1" customWidth="1"/>
    <col min="9297" max="9297" width="10.85546875" bestFit="1" customWidth="1"/>
    <col min="9298" max="9298" width="13.28515625" bestFit="1" customWidth="1"/>
    <col min="9299" max="9299" width="10.85546875" bestFit="1" customWidth="1"/>
    <col min="9300" max="9301" width="7.5703125" bestFit="1" customWidth="1"/>
    <col min="9302" max="9303" width="10.42578125" bestFit="1" customWidth="1"/>
    <col min="9304" max="9304" width="11.5703125" bestFit="1" customWidth="1"/>
    <col min="9305" max="9305" width="5.28515625" bestFit="1" customWidth="1"/>
    <col min="9306" max="9306" width="10.28515625" bestFit="1" customWidth="1"/>
    <col min="9307" max="9307" width="10.42578125" bestFit="1" customWidth="1"/>
    <col min="9308" max="9308" width="11.5703125" bestFit="1" customWidth="1"/>
    <col min="9309" max="9309" width="5.28515625" bestFit="1" customWidth="1"/>
    <col min="9310" max="9312" width="11.5703125" bestFit="1" customWidth="1"/>
    <col min="9313" max="9313" width="5.28515625" bestFit="1" customWidth="1"/>
    <col min="9314" max="9315" width="10.42578125" bestFit="1" customWidth="1"/>
    <col min="9316" max="9316" width="11.5703125" bestFit="1" customWidth="1"/>
    <col min="9317" max="9317" width="5.28515625" bestFit="1" customWidth="1"/>
    <col min="9318" max="9318" width="14.28515625" bestFit="1" customWidth="1"/>
    <col min="9319" max="9319" width="13" bestFit="1" customWidth="1"/>
    <col min="9320" max="9320" width="11.5703125" bestFit="1" customWidth="1"/>
    <col min="9321" max="9321" width="8.85546875" bestFit="1" customWidth="1"/>
    <col min="9322" max="9322" width="14.42578125" bestFit="1" customWidth="1"/>
    <col min="9323" max="9323" width="10.42578125" bestFit="1" customWidth="1"/>
    <col min="9324" max="9324" width="12.28515625" bestFit="1" customWidth="1"/>
    <col min="9325" max="9325" width="13.85546875" bestFit="1" customWidth="1"/>
    <col min="9326" max="9326" width="11.28515625" customWidth="1"/>
    <col min="9327" max="9327" width="11.5703125" customWidth="1"/>
    <col min="9328" max="9328" width="13.42578125" bestFit="1" customWidth="1"/>
    <col min="9329" max="9329" width="10.42578125" customWidth="1"/>
    <col min="9330" max="9330" width="13.85546875" bestFit="1" customWidth="1"/>
    <col min="9331" max="9331" width="15.42578125" bestFit="1" customWidth="1"/>
    <col min="9332" max="9332" width="12.28515625" bestFit="1" customWidth="1"/>
    <col min="9333" max="9333" width="12.7109375" customWidth="1"/>
    <col min="9334" max="9334" width="10.7109375" bestFit="1" customWidth="1"/>
    <col min="9335" max="9335" width="9.85546875" customWidth="1"/>
    <col min="9336" max="9337" width="10.140625" bestFit="1" customWidth="1"/>
    <col min="9338" max="9338" width="7.5703125" bestFit="1" customWidth="1"/>
    <col min="9339" max="9339" width="9.42578125" bestFit="1" customWidth="1"/>
    <col min="9340" max="9340" width="14.5703125" bestFit="1" customWidth="1"/>
    <col min="9341" max="9341" width="14.85546875" customWidth="1"/>
    <col min="9342" max="9342" width="15.140625" bestFit="1" customWidth="1"/>
    <col min="9343" max="9343" width="12.140625" bestFit="1" customWidth="1"/>
    <col min="9344" max="9344" width="14.85546875" bestFit="1" customWidth="1"/>
    <col min="9345" max="9345" width="12.28515625" bestFit="1" customWidth="1"/>
    <col min="9346" max="9354" width="9.140625" hidden="1" customWidth="1"/>
    <col min="9355" max="9355" width="5.28515625" bestFit="1" customWidth="1"/>
    <col min="9356" max="9361" width="11.5703125" bestFit="1" customWidth="1"/>
    <col min="9362" max="9362" width="11.28515625" bestFit="1" customWidth="1"/>
    <col min="9363" max="9363" width="10.140625" bestFit="1" customWidth="1"/>
    <col min="9364" max="9364" width="11.5703125" bestFit="1" customWidth="1"/>
    <col min="9365" max="9365" width="16.140625" customWidth="1"/>
    <col min="9366" max="9366" width="13.42578125" customWidth="1"/>
    <col min="9367" max="9367" width="10.140625" bestFit="1" customWidth="1"/>
    <col min="9368" max="9368" width="12.85546875" bestFit="1" customWidth="1"/>
    <col min="9369" max="9369" width="12.28515625" bestFit="1" customWidth="1"/>
    <col min="9370" max="9370" width="11.28515625" bestFit="1" customWidth="1"/>
    <col min="9371" max="9371" width="11.5703125" bestFit="1" customWidth="1"/>
    <col min="9372" max="9372" width="10.85546875" bestFit="1" customWidth="1"/>
    <col min="9373" max="9373" width="11.28515625" bestFit="1" customWidth="1"/>
    <col min="9374" max="9374" width="10.140625" bestFit="1" customWidth="1"/>
    <col min="9375" max="9375" width="13.28515625" bestFit="1" customWidth="1"/>
    <col min="9376" max="9377" width="12.7109375" bestFit="1" customWidth="1"/>
    <col min="9378" max="9378" width="11" bestFit="1" customWidth="1"/>
    <col min="9379" max="9379" width="11.28515625" bestFit="1" customWidth="1"/>
    <col min="9380" max="9380" width="11.5703125" bestFit="1" customWidth="1"/>
    <col min="9381" max="9381" width="12.28515625" bestFit="1" customWidth="1"/>
    <col min="9382" max="9382" width="15.140625" bestFit="1" customWidth="1"/>
    <col min="9383" max="9383" width="14.42578125" bestFit="1" customWidth="1"/>
    <col min="9384" max="9384" width="12.28515625" bestFit="1" customWidth="1"/>
    <col min="9385" max="9385" width="15.140625" bestFit="1" customWidth="1"/>
    <col min="9386" max="9386" width="14.42578125" bestFit="1" customWidth="1"/>
    <col min="9387" max="9387" width="12.28515625" bestFit="1" customWidth="1"/>
    <col min="9388" max="9388" width="14.42578125" bestFit="1" customWidth="1"/>
    <col min="9389" max="9389" width="11.28515625" bestFit="1" customWidth="1"/>
    <col min="9390" max="9390" width="12.28515625" bestFit="1" customWidth="1"/>
    <col min="9391" max="9391" width="13" bestFit="1" customWidth="1"/>
    <col min="9392" max="9392" width="15.140625" bestFit="1" customWidth="1"/>
    <col min="9393" max="9393" width="12.28515625" bestFit="1" customWidth="1"/>
    <col min="9394" max="9394" width="13.85546875" bestFit="1" customWidth="1"/>
    <col min="9395" max="9395" width="11.28515625" bestFit="1" customWidth="1"/>
    <col min="9396" max="9396" width="12.28515625" bestFit="1" customWidth="1"/>
    <col min="9397" max="9397" width="13.85546875" bestFit="1" customWidth="1"/>
    <col min="9398" max="9399" width="15.140625" bestFit="1" customWidth="1"/>
    <col min="9400" max="9400" width="12.28515625" bestFit="1" customWidth="1"/>
    <col min="9401" max="9401" width="5.7109375" bestFit="1" customWidth="1"/>
    <col min="9402" max="9402" width="8.5703125" bestFit="1" customWidth="1"/>
    <col min="9403" max="9403" width="5.5703125" bestFit="1" customWidth="1"/>
    <col min="9404" max="9404" width="14.42578125" bestFit="1" customWidth="1"/>
    <col min="9405" max="9405" width="11.28515625" bestFit="1" customWidth="1"/>
    <col min="9406" max="9407" width="12.28515625" bestFit="1" customWidth="1"/>
    <col min="9408" max="9408" width="11.28515625" bestFit="1" customWidth="1"/>
    <col min="9409" max="9409" width="13.85546875" bestFit="1" customWidth="1"/>
    <col min="9410" max="9410" width="12" bestFit="1" customWidth="1"/>
    <col min="9411" max="9411" width="13.85546875" bestFit="1" customWidth="1"/>
    <col min="9412" max="9413" width="14.42578125" customWidth="1"/>
    <col min="9414" max="9414" width="10.140625" bestFit="1" customWidth="1"/>
    <col min="9415" max="9415" width="12.28515625" bestFit="1" customWidth="1"/>
    <col min="9416" max="9416" width="7.42578125" bestFit="1" customWidth="1"/>
    <col min="9417" max="9417" width="8.5703125" bestFit="1" customWidth="1"/>
    <col min="9418" max="9418" width="11.5703125" bestFit="1" customWidth="1"/>
    <col min="9419" max="9419" width="13.28515625" bestFit="1" customWidth="1"/>
    <col min="9420" max="9420" width="13.28515625" customWidth="1"/>
    <col min="9421" max="9421" width="13.140625" customWidth="1"/>
    <col min="9422" max="9422" width="12.7109375" bestFit="1" customWidth="1"/>
    <col min="9423" max="9423" width="13.28515625" bestFit="1" customWidth="1"/>
    <col min="9424" max="9426" width="13.28515625" customWidth="1"/>
    <col min="9427" max="9427" width="12.140625" bestFit="1" customWidth="1"/>
    <col min="9428" max="9428" width="12.7109375" bestFit="1" customWidth="1"/>
    <col min="9429" max="9429" width="11" customWidth="1"/>
    <col min="9430" max="9430" width="16.7109375" customWidth="1"/>
    <col min="9431" max="9431" width="17" customWidth="1"/>
    <col min="9432" max="9432" width="10.42578125" bestFit="1" customWidth="1"/>
    <col min="9476" max="9476" width="3.85546875" customWidth="1"/>
    <col min="9477" max="9477" width="15.28515625" bestFit="1" customWidth="1"/>
    <col min="9478" max="9478" width="12.28515625" customWidth="1"/>
    <col min="9479" max="9479" width="16.28515625" bestFit="1" customWidth="1"/>
    <col min="9480" max="9480" width="6.42578125" bestFit="1" customWidth="1"/>
    <col min="9481" max="9481" width="9.28515625" bestFit="1" customWidth="1"/>
    <col min="9482" max="9482" width="7.5703125" bestFit="1" customWidth="1"/>
    <col min="9483" max="9483" width="13.28515625" bestFit="1" customWidth="1"/>
    <col min="9484" max="9484" width="9.28515625" bestFit="1" customWidth="1"/>
    <col min="9485" max="9485" width="11.5703125" bestFit="1" customWidth="1"/>
    <col min="9486" max="9486" width="13.28515625" bestFit="1" customWidth="1"/>
    <col min="9487" max="9487" width="7.140625" bestFit="1" customWidth="1"/>
    <col min="9488" max="9488" width="12" bestFit="1" customWidth="1"/>
    <col min="9489" max="9489" width="13.28515625" bestFit="1" customWidth="1"/>
    <col min="9490" max="9490" width="7" bestFit="1" customWidth="1"/>
    <col min="9491" max="9491" width="12.7109375" bestFit="1" customWidth="1"/>
    <col min="9492" max="9492" width="11.5703125" bestFit="1" customWidth="1"/>
    <col min="9493" max="9493" width="10.5703125" bestFit="1" customWidth="1"/>
    <col min="9494" max="9495" width="15.7109375" bestFit="1" customWidth="1"/>
    <col min="9496" max="9496" width="11.5703125" bestFit="1" customWidth="1"/>
    <col min="9497" max="9497" width="7.7109375" bestFit="1" customWidth="1"/>
    <col min="9498" max="9498" width="15.140625" bestFit="1" customWidth="1"/>
    <col min="9499" max="9499" width="11.5703125" bestFit="1" customWidth="1"/>
    <col min="9500" max="9500" width="13.28515625" bestFit="1" customWidth="1"/>
    <col min="9501" max="9501" width="10.42578125" bestFit="1" customWidth="1"/>
    <col min="9502" max="9502" width="13.28515625" bestFit="1" customWidth="1"/>
    <col min="9503" max="9503" width="12.140625" bestFit="1" customWidth="1"/>
    <col min="9504" max="9504" width="14.42578125" bestFit="1" customWidth="1"/>
    <col min="9505" max="9505" width="13.28515625" bestFit="1" customWidth="1"/>
    <col min="9506" max="9506" width="11.5703125" bestFit="1" customWidth="1"/>
    <col min="9507" max="9507" width="7.7109375" bestFit="1" customWidth="1"/>
    <col min="9508" max="9509" width="14.42578125" bestFit="1" customWidth="1"/>
    <col min="9510" max="9510" width="11.5703125" bestFit="1" customWidth="1"/>
    <col min="9511" max="9511" width="7.7109375" bestFit="1" customWidth="1"/>
    <col min="9512" max="9512" width="13.5703125" customWidth="1"/>
    <col min="9513" max="9513" width="15.28515625" customWidth="1"/>
    <col min="9514" max="9514" width="14.5703125" customWidth="1"/>
    <col min="9515" max="9515" width="13.28515625" bestFit="1" customWidth="1"/>
    <col min="9516" max="9516" width="7.7109375" bestFit="1" customWidth="1"/>
    <col min="9517" max="9517" width="12.7109375" bestFit="1" customWidth="1"/>
    <col min="9518" max="9518" width="11.7109375" bestFit="1" customWidth="1"/>
    <col min="9519" max="9519" width="11.5703125" bestFit="1" customWidth="1"/>
    <col min="9520" max="9520" width="5.28515625" bestFit="1" customWidth="1"/>
    <col min="9521" max="9521" width="13.28515625" bestFit="1" customWidth="1"/>
    <col min="9522" max="9522" width="13.5703125" bestFit="1" customWidth="1"/>
    <col min="9523" max="9523" width="10.5703125" bestFit="1" customWidth="1"/>
    <col min="9524" max="9524" width="13.28515625" bestFit="1" customWidth="1"/>
    <col min="9525" max="9525" width="11.5703125" bestFit="1" customWidth="1"/>
    <col min="9526" max="9526" width="10.5703125" bestFit="1" customWidth="1"/>
    <col min="9527" max="9527" width="16.140625" bestFit="1" customWidth="1"/>
    <col min="9528" max="9529" width="11.28515625" bestFit="1" customWidth="1"/>
    <col min="9530" max="9530" width="13.28515625" bestFit="1" customWidth="1"/>
    <col min="9531" max="9531" width="7.7109375" bestFit="1" customWidth="1"/>
    <col min="9532" max="9535" width="9.140625" hidden="1" customWidth="1"/>
    <col min="9536" max="9536" width="10.42578125" bestFit="1" customWidth="1"/>
    <col min="9537" max="9537" width="10.5703125" bestFit="1" customWidth="1"/>
    <col min="9538" max="9538" width="10.42578125" bestFit="1" customWidth="1"/>
    <col min="9539" max="9539" width="10.5703125" bestFit="1" customWidth="1"/>
    <col min="9540" max="9540" width="9.5703125" bestFit="1" customWidth="1"/>
    <col min="9541" max="9541" width="11.5703125" bestFit="1" customWidth="1"/>
    <col min="9542" max="9542" width="10.42578125" bestFit="1" customWidth="1"/>
    <col min="9543" max="9543" width="10.85546875" customWidth="1"/>
    <col min="9544" max="9545" width="9.85546875" bestFit="1" customWidth="1"/>
    <col min="9546" max="9546" width="13.5703125" bestFit="1" customWidth="1"/>
    <col min="9547" max="9547" width="7.7109375" bestFit="1" customWidth="1"/>
    <col min="9548" max="9548" width="13.28515625" bestFit="1" customWidth="1"/>
    <col min="9549" max="9549" width="11.5703125" bestFit="1" customWidth="1"/>
    <col min="9550" max="9550" width="10.42578125" bestFit="1" customWidth="1"/>
    <col min="9551" max="9551" width="7.7109375" bestFit="1" customWidth="1"/>
    <col min="9552" max="9552" width="11.5703125" bestFit="1" customWidth="1"/>
    <col min="9553" max="9553" width="10.85546875" bestFit="1" customWidth="1"/>
    <col min="9554" max="9554" width="13.28515625" bestFit="1" customWidth="1"/>
    <col min="9555" max="9555" width="10.85546875" bestFit="1" customWidth="1"/>
    <col min="9556" max="9557" width="7.5703125" bestFit="1" customWidth="1"/>
    <col min="9558" max="9559" width="10.42578125" bestFit="1" customWidth="1"/>
    <col min="9560" max="9560" width="11.5703125" bestFit="1" customWidth="1"/>
    <col min="9561" max="9561" width="5.28515625" bestFit="1" customWidth="1"/>
    <col min="9562" max="9562" width="10.28515625" bestFit="1" customWidth="1"/>
    <col min="9563" max="9563" width="10.42578125" bestFit="1" customWidth="1"/>
    <col min="9564" max="9564" width="11.5703125" bestFit="1" customWidth="1"/>
    <col min="9565" max="9565" width="5.28515625" bestFit="1" customWidth="1"/>
    <col min="9566" max="9568" width="11.5703125" bestFit="1" customWidth="1"/>
    <col min="9569" max="9569" width="5.28515625" bestFit="1" customWidth="1"/>
    <col min="9570" max="9571" width="10.42578125" bestFit="1" customWidth="1"/>
    <col min="9572" max="9572" width="11.5703125" bestFit="1" customWidth="1"/>
    <col min="9573" max="9573" width="5.28515625" bestFit="1" customWidth="1"/>
    <col min="9574" max="9574" width="14.28515625" bestFit="1" customWidth="1"/>
    <col min="9575" max="9575" width="13" bestFit="1" customWidth="1"/>
    <col min="9576" max="9576" width="11.5703125" bestFit="1" customWidth="1"/>
    <col min="9577" max="9577" width="8.85546875" bestFit="1" customWidth="1"/>
    <col min="9578" max="9578" width="14.42578125" bestFit="1" customWidth="1"/>
    <col min="9579" max="9579" width="10.42578125" bestFit="1" customWidth="1"/>
    <col min="9580" max="9580" width="12.28515625" bestFit="1" customWidth="1"/>
    <col min="9581" max="9581" width="13.85546875" bestFit="1" customWidth="1"/>
    <col min="9582" max="9582" width="11.28515625" customWidth="1"/>
    <col min="9583" max="9583" width="11.5703125" customWidth="1"/>
    <col min="9584" max="9584" width="13.42578125" bestFit="1" customWidth="1"/>
    <col min="9585" max="9585" width="10.42578125" customWidth="1"/>
    <col min="9586" max="9586" width="13.85546875" bestFit="1" customWidth="1"/>
    <col min="9587" max="9587" width="15.42578125" bestFit="1" customWidth="1"/>
    <col min="9588" max="9588" width="12.28515625" bestFit="1" customWidth="1"/>
    <col min="9589" max="9589" width="12.7109375" customWidth="1"/>
    <col min="9590" max="9590" width="10.7109375" bestFit="1" customWidth="1"/>
    <col min="9591" max="9591" width="9.85546875" customWidth="1"/>
    <col min="9592" max="9593" width="10.140625" bestFit="1" customWidth="1"/>
    <col min="9594" max="9594" width="7.5703125" bestFit="1" customWidth="1"/>
    <col min="9595" max="9595" width="9.42578125" bestFit="1" customWidth="1"/>
    <col min="9596" max="9596" width="14.5703125" bestFit="1" customWidth="1"/>
    <col min="9597" max="9597" width="14.85546875" customWidth="1"/>
    <col min="9598" max="9598" width="15.140625" bestFit="1" customWidth="1"/>
    <col min="9599" max="9599" width="12.140625" bestFit="1" customWidth="1"/>
    <col min="9600" max="9600" width="14.85546875" bestFit="1" customWidth="1"/>
    <col min="9601" max="9601" width="12.28515625" bestFit="1" customWidth="1"/>
    <col min="9602" max="9610" width="9.140625" hidden="1" customWidth="1"/>
    <col min="9611" max="9611" width="5.28515625" bestFit="1" customWidth="1"/>
    <col min="9612" max="9617" width="11.5703125" bestFit="1" customWidth="1"/>
    <col min="9618" max="9618" width="11.28515625" bestFit="1" customWidth="1"/>
    <col min="9619" max="9619" width="10.140625" bestFit="1" customWidth="1"/>
    <col min="9620" max="9620" width="11.5703125" bestFit="1" customWidth="1"/>
    <col min="9621" max="9621" width="16.140625" customWidth="1"/>
    <col min="9622" max="9622" width="13.42578125" customWidth="1"/>
    <col min="9623" max="9623" width="10.140625" bestFit="1" customWidth="1"/>
    <col min="9624" max="9624" width="12.85546875" bestFit="1" customWidth="1"/>
    <col min="9625" max="9625" width="12.28515625" bestFit="1" customWidth="1"/>
    <col min="9626" max="9626" width="11.28515625" bestFit="1" customWidth="1"/>
    <col min="9627" max="9627" width="11.5703125" bestFit="1" customWidth="1"/>
    <col min="9628" max="9628" width="10.85546875" bestFit="1" customWidth="1"/>
    <col min="9629" max="9629" width="11.28515625" bestFit="1" customWidth="1"/>
    <col min="9630" max="9630" width="10.140625" bestFit="1" customWidth="1"/>
    <col min="9631" max="9631" width="13.28515625" bestFit="1" customWidth="1"/>
    <col min="9632" max="9633" width="12.7109375" bestFit="1" customWidth="1"/>
    <col min="9634" max="9634" width="11" bestFit="1" customWidth="1"/>
    <col min="9635" max="9635" width="11.28515625" bestFit="1" customWidth="1"/>
    <col min="9636" max="9636" width="11.5703125" bestFit="1" customWidth="1"/>
    <col min="9637" max="9637" width="12.28515625" bestFit="1" customWidth="1"/>
    <col min="9638" max="9638" width="15.140625" bestFit="1" customWidth="1"/>
    <col min="9639" max="9639" width="14.42578125" bestFit="1" customWidth="1"/>
    <col min="9640" max="9640" width="12.28515625" bestFit="1" customWidth="1"/>
    <col min="9641" max="9641" width="15.140625" bestFit="1" customWidth="1"/>
    <col min="9642" max="9642" width="14.42578125" bestFit="1" customWidth="1"/>
    <col min="9643" max="9643" width="12.28515625" bestFit="1" customWidth="1"/>
    <col min="9644" max="9644" width="14.42578125" bestFit="1" customWidth="1"/>
    <col min="9645" max="9645" width="11.28515625" bestFit="1" customWidth="1"/>
    <col min="9646" max="9646" width="12.28515625" bestFit="1" customWidth="1"/>
    <col min="9647" max="9647" width="13" bestFit="1" customWidth="1"/>
    <col min="9648" max="9648" width="15.140625" bestFit="1" customWidth="1"/>
    <col min="9649" max="9649" width="12.28515625" bestFit="1" customWidth="1"/>
    <col min="9650" max="9650" width="13.85546875" bestFit="1" customWidth="1"/>
    <col min="9651" max="9651" width="11.28515625" bestFit="1" customWidth="1"/>
    <col min="9652" max="9652" width="12.28515625" bestFit="1" customWidth="1"/>
    <col min="9653" max="9653" width="13.85546875" bestFit="1" customWidth="1"/>
    <col min="9654" max="9655" width="15.140625" bestFit="1" customWidth="1"/>
    <col min="9656" max="9656" width="12.28515625" bestFit="1" customWidth="1"/>
    <col min="9657" max="9657" width="5.7109375" bestFit="1" customWidth="1"/>
    <col min="9658" max="9658" width="8.5703125" bestFit="1" customWidth="1"/>
    <col min="9659" max="9659" width="5.5703125" bestFit="1" customWidth="1"/>
    <col min="9660" max="9660" width="14.42578125" bestFit="1" customWidth="1"/>
    <col min="9661" max="9661" width="11.28515625" bestFit="1" customWidth="1"/>
    <col min="9662" max="9663" width="12.28515625" bestFit="1" customWidth="1"/>
    <col min="9664" max="9664" width="11.28515625" bestFit="1" customWidth="1"/>
    <col min="9665" max="9665" width="13.85546875" bestFit="1" customWidth="1"/>
    <col min="9666" max="9666" width="12" bestFit="1" customWidth="1"/>
    <col min="9667" max="9667" width="13.85546875" bestFit="1" customWidth="1"/>
    <col min="9668" max="9669" width="14.42578125" customWidth="1"/>
    <col min="9670" max="9670" width="10.140625" bestFit="1" customWidth="1"/>
    <col min="9671" max="9671" width="12.28515625" bestFit="1" customWidth="1"/>
    <col min="9672" max="9672" width="7.42578125" bestFit="1" customWidth="1"/>
    <col min="9673" max="9673" width="8.5703125" bestFit="1" customWidth="1"/>
    <col min="9674" max="9674" width="11.5703125" bestFit="1" customWidth="1"/>
    <col min="9675" max="9675" width="13.28515625" bestFit="1" customWidth="1"/>
    <col min="9676" max="9676" width="13.28515625" customWidth="1"/>
    <col min="9677" max="9677" width="13.140625" customWidth="1"/>
    <col min="9678" max="9678" width="12.7109375" bestFit="1" customWidth="1"/>
    <col min="9679" max="9679" width="13.28515625" bestFit="1" customWidth="1"/>
    <col min="9680" max="9682" width="13.28515625" customWidth="1"/>
    <col min="9683" max="9683" width="12.140625" bestFit="1" customWidth="1"/>
    <col min="9684" max="9684" width="12.7109375" bestFit="1" customWidth="1"/>
    <col min="9685" max="9685" width="11" customWidth="1"/>
    <col min="9686" max="9686" width="16.7109375" customWidth="1"/>
    <col min="9687" max="9687" width="17" customWidth="1"/>
    <col min="9688" max="9688" width="10.42578125" bestFit="1" customWidth="1"/>
    <col min="9732" max="9732" width="3.85546875" customWidth="1"/>
    <col min="9733" max="9733" width="15.28515625" bestFit="1" customWidth="1"/>
    <col min="9734" max="9734" width="12.28515625" customWidth="1"/>
    <col min="9735" max="9735" width="16.28515625" bestFit="1" customWidth="1"/>
    <col min="9736" max="9736" width="6.42578125" bestFit="1" customWidth="1"/>
    <col min="9737" max="9737" width="9.28515625" bestFit="1" customWidth="1"/>
    <col min="9738" max="9738" width="7.5703125" bestFit="1" customWidth="1"/>
    <col min="9739" max="9739" width="13.28515625" bestFit="1" customWidth="1"/>
    <col min="9740" max="9740" width="9.28515625" bestFit="1" customWidth="1"/>
    <col min="9741" max="9741" width="11.5703125" bestFit="1" customWidth="1"/>
    <col min="9742" max="9742" width="13.28515625" bestFit="1" customWidth="1"/>
    <col min="9743" max="9743" width="7.140625" bestFit="1" customWidth="1"/>
    <col min="9744" max="9744" width="12" bestFit="1" customWidth="1"/>
    <col min="9745" max="9745" width="13.28515625" bestFit="1" customWidth="1"/>
    <col min="9746" max="9746" width="7" bestFit="1" customWidth="1"/>
    <col min="9747" max="9747" width="12.7109375" bestFit="1" customWidth="1"/>
    <col min="9748" max="9748" width="11.5703125" bestFit="1" customWidth="1"/>
    <col min="9749" max="9749" width="10.5703125" bestFit="1" customWidth="1"/>
    <col min="9750" max="9751" width="15.7109375" bestFit="1" customWidth="1"/>
    <col min="9752" max="9752" width="11.5703125" bestFit="1" customWidth="1"/>
    <col min="9753" max="9753" width="7.7109375" bestFit="1" customWidth="1"/>
    <col min="9754" max="9754" width="15.140625" bestFit="1" customWidth="1"/>
    <col min="9755" max="9755" width="11.5703125" bestFit="1" customWidth="1"/>
    <col min="9756" max="9756" width="13.28515625" bestFit="1" customWidth="1"/>
    <col min="9757" max="9757" width="10.42578125" bestFit="1" customWidth="1"/>
    <col min="9758" max="9758" width="13.28515625" bestFit="1" customWidth="1"/>
    <col min="9759" max="9759" width="12.140625" bestFit="1" customWidth="1"/>
    <col min="9760" max="9760" width="14.42578125" bestFit="1" customWidth="1"/>
    <col min="9761" max="9761" width="13.28515625" bestFit="1" customWidth="1"/>
    <col min="9762" max="9762" width="11.5703125" bestFit="1" customWidth="1"/>
    <col min="9763" max="9763" width="7.7109375" bestFit="1" customWidth="1"/>
    <col min="9764" max="9765" width="14.42578125" bestFit="1" customWidth="1"/>
    <col min="9766" max="9766" width="11.5703125" bestFit="1" customWidth="1"/>
    <col min="9767" max="9767" width="7.7109375" bestFit="1" customWidth="1"/>
    <col min="9768" max="9768" width="13.5703125" customWidth="1"/>
    <col min="9769" max="9769" width="15.28515625" customWidth="1"/>
    <col min="9770" max="9770" width="14.5703125" customWidth="1"/>
    <col min="9771" max="9771" width="13.28515625" bestFit="1" customWidth="1"/>
    <col min="9772" max="9772" width="7.7109375" bestFit="1" customWidth="1"/>
    <col min="9773" max="9773" width="12.7109375" bestFit="1" customWidth="1"/>
    <col min="9774" max="9774" width="11.7109375" bestFit="1" customWidth="1"/>
    <col min="9775" max="9775" width="11.5703125" bestFit="1" customWidth="1"/>
    <col min="9776" max="9776" width="5.28515625" bestFit="1" customWidth="1"/>
    <col min="9777" max="9777" width="13.28515625" bestFit="1" customWidth="1"/>
    <col min="9778" max="9778" width="13.5703125" bestFit="1" customWidth="1"/>
    <col min="9779" max="9779" width="10.5703125" bestFit="1" customWidth="1"/>
    <col min="9780" max="9780" width="13.28515625" bestFit="1" customWidth="1"/>
    <col min="9781" max="9781" width="11.5703125" bestFit="1" customWidth="1"/>
    <col min="9782" max="9782" width="10.5703125" bestFit="1" customWidth="1"/>
    <col min="9783" max="9783" width="16.140625" bestFit="1" customWidth="1"/>
    <col min="9784" max="9785" width="11.28515625" bestFit="1" customWidth="1"/>
    <col min="9786" max="9786" width="13.28515625" bestFit="1" customWidth="1"/>
    <col min="9787" max="9787" width="7.7109375" bestFit="1" customWidth="1"/>
    <col min="9788" max="9791" width="9.140625" hidden="1" customWidth="1"/>
    <col min="9792" max="9792" width="10.42578125" bestFit="1" customWidth="1"/>
    <col min="9793" max="9793" width="10.5703125" bestFit="1" customWidth="1"/>
    <col min="9794" max="9794" width="10.42578125" bestFit="1" customWidth="1"/>
    <col min="9795" max="9795" width="10.5703125" bestFit="1" customWidth="1"/>
    <col min="9796" max="9796" width="9.5703125" bestFit="1" customWidth="1"/>
    <col min="9797" max="9797" width="11.5703125" bestFit="1" customWidth="1"/>
    <col min="9798" max="9798" width="10.42578125" bestFit="1" customWidth="1"/>
    <col min="9799" max="9799" width="10.85546875" customWidth="1"/>
    <col min="9800" max="9801" width="9.85546875" bestFit="1" customWidth="1"/>
    <col min="9802" max="9802" width="13.5703125" bestFit="1" customWidth="1"/>
    <col min="9803" max="9803" width="7.7109375" bestFit="1" customWidth="1"/>
    <col min="9804" max="9804" width="13.28515625" bestFit="1" customWidth="1"/>
    <col min="9805" max="9805" width="11.5703125" bestFit="1" customWidth="1"/>
    <col min="9806" max="9806" width="10.42578125" bestFit="1" customWidth="1"/>
    <col min="9807" max="9807" width="7.7109375" bestFit="1" customWidth="1"/>
    <col min="9808" max="9808" width="11.5703125" bestFit="1" customWidth="1"/>
    <col min="9809" max="9809" width="10.85546875" bestFit="1" customWidth="1"/>
    <col min="9810" max="9810" width="13.28515625" bestFit="1" customWidth="1"/>
    <col min="9811" max="9811" width="10.85546875" bestFit="1" customWidth="1"/>
    <col min="9812" max="9813" width="7.5703125" bestFit="1" customWidth="1"/>
    <col min="9814" max="9815" width="10.42578125" bestFit="1" customWidth="1"/>
    <col min="9816" max="9816" width="11.5703125" bestFit="1" customWidth="1"/>
    <col min="9817" max="9817" width="5.28515625" bestFit="1" customWidth="1"/>
    <col min="9818" max="9818" width="10.28515625" bestFit="1" customWidth="1"/>
    <col min="9819" max="9819" width="10.42578125" bestFit="1" customWidth="1"/>
    <col min="9820" max="9820" width="11.5703125" bestFit="1" customWidth="1"/>
    <col min="9821" max="9821" width="5.28515625" bestFit="1" customWidth="1"/>
    <col min="9822" max="9824" width="11.5703125" bestFit="1" customWidth="1"/>
    <col min="9825" max="9825" width="5.28515625" bestFit="1" customWidth="1"/>
    <col min="9826" max="9827" width="10.42578125" bestFit="1" customWidth="1"/>
    <col min="9828" max="9828" width="11.5703125" bestFit="1" customWidth="1"/>
    <col min="9829" max="9829" width="5.28515625" bestFit="1" customWidth="1"/>
    <col min="9830" max="9830" width="14.28515625" bestFit="1" customWidth="1"/>
    <col min="9831" max="9831" width="13" bestFit="1" customWidth="1"/>
    <col min="9832" max="9832" width="11.5703125" bestFit="1" customWidth="1"/>
    <col min="9833" max="9833" width="8.85546875" bestFit="1" customWidth="1"/>
    <col min="9834" max="9834" width="14.42578125" bestFit="1" customWidth="1"/>
    <col min="9835" max="9835" width="10.42578125" bestFit="1" customWidth="1"/>
    <col min="9836" max="9836" width="12.28515625" bestFit="1" customWidth="1"/>
    <col min="9837" max="9837" width="13.85546875" bestFit="1" customWidth="1"/>
    <col min="9838" max="9838" width="11.28515625" customWidth="1"/>
    <col min="9839" max="9839" width="11.5703125" customWidth="1"/>
    <col min="9840" max="9840" width="13.42578125" bestFit="1" customWidth="1"/>
    <col min="9841" max="9841" width="10.42578125" customWidth="1"/>
    <col min="9842" max="9842" width="13.85546875" bestFit="1" customWidth="1"/>
    <col min="9843" max="9843" width="15.42578125" bestFit="1" customWidth="1"/>
    <col min="9844" max="9844" width="12.28515625" bestFit="1" customWidth="1"/>
    <col min="9845" max="9845" width="12.7109375" customWidth="1"/>
    <col min="9846" max="9846" width="10.7109375" bestFit="1" customWidth="1"/>
    <col min="9847" max="9847" width="9.85546875" customWidth="1"/>
    <col min="9848" max="9849" width="10.140625" bestFit="1" customWidth="1"/>
    <col min="9850" max="9850" width="7.5703125" bestFit="1" customWidth="1"/>
    <col min="9851" max="9851" width="9.42578125" bestFit="1" customWidth="1"/>
    <col min="9852" max="9852" width="14.5703125" bestFit="1" customWidth="1"/>
    <col min="9853" max="9853" width="14.85546875" customWidth="1"/>
    <col min="9854" max="9854" width="15.140625" bestFit="1" customWidth="1"/>
    <col min="9855" max="9855" width="12.140625" bestFit="1" customWidth="1"/>
    <col min="9856" max="9856" width="14.85546875" bestFit="1" customWidth="1"/>
    <col min="9857" max="9857" width="12.28515625" bestFit="1" customWidth="1"/>
    <col min="9858" max="9866" width="9.140625" hidden="1" customWidth="1"/>
    <col min="9867" max="9867" width="5.28515625" bestFit="1" customWidth="1"/>
    <col min="9868" max="9873" width="11.5703125" bestFit="1" customWidth="1"/>
    <col min="9874" max="9874" width="11.28515625" bestFit="1" customWidth="1"/>
    <col min="9875" max="9875" width="10.140625" bestFit="1" customWidth="1"/>
    <col min="9876" max="9876" width="11.5703125" bestFit="1" customWidth="1"/>
    <col min="9877" max="9877" width="16.140625" customWidth="1"/>
    <col min="9878" max="9878" width="13.42578125" customWidth="1"/>
    <col min="9879" max="9879" width="10.140625" bestFit="1" customWidth="1"/>
    <col min="9880" max="9880" width="12.85546875" bestFit="1" customWidth="1"/>
    <col min="9881" max="9881" width="12.28515625" bestFit="1" customWidth="1"/>
    <col min="9882" max="9882" width="11.28515625" bestFit="1" customWidth="1"/>
    <col min="9883" max="9883" width="11.5703125" bestFit="1" customWidth="1"/>
    <col min="9884" max="9884" width="10.85546875" bestFit="1" customWidth="1"/>
    <col min="9885" max="9885" width="11.28515625" bestFit="1" customWidth="1"/>
    <col min="9886" max="9886" width="10.140625" bestFit="1" customWidth="1"/>
    <col min="9887" max="9887" width="13.28515625" bestFit="1" customWidth="1"/>
    <col min="9888" max="9889" width="12.7109375" bestFit="1" customWidth="1"/>
    <col min="9890" max="9890" width="11" bestFit="1" customWidth="1"/>
    <col min="9891" max="9891" width="11.28515625" bestFit="1" customWidth="1"/>
    <col min="9892" max="9892" width="11.5703125" bestFit="1" customWidth="1"/>
    <col min="9893" max="9893" width="12.28515625" bestFit="1" customWidth="1"/>
    <col min="9894" max="9894" width="15.140625" bestFit="1" customWidth="1"/>
    <col min="9895" max="9895" width="14.42578125" bestFit="1" customWidth="1"/>
    <col min="9896" max="9896" width="12.28515625" bestFit="1" customWidth="1"/>
    <col min="9897" max="9897" width="15.140625" bestFit="1" customWidth="1"/>
    <col min="9898" max="9898" width="14.42578125" bestFit="1" customWidth="1"/>
    <col min="9899" max="9899" width="12.28515625" bestFit="1" customWidth="1"/>
    <col min="9900" max="9900" width="14.42578125" bestFit="1" customWidth="1"/>
    <col min="9901" max="9901" width="11.28515625" bestFit="1" customWidth="1"/>
    <col min="9902" max="9902" width="12.28515625" bestFit="1" customWidth="1"/>
    <col min="9903" max="9903" width="13" bestFit="1" customWidth="1"/>
    <col min="9904" max="9904" width="15.140625" bestFit="1" customWidth="1"/>
    <col min="9905" max="9905" width="12.28515625" bestFit="1" customWidth="1"/>
    <col min="9906" max="9906" width="13.85546875" bestFit="1" customWidth="1"/>
    <col min="9907" max="9907" width="11.28515625" bestFit="1" customWidth="1"/>
    <col min="9908" max="9908" width="12.28515625" bestFit="1" customWidth="1"/>
    <col min="9909" max="9909" width="13.85546875" bestFit="1" customWidth="1"/>
    <col min="9910" max="9911" width="15.140625" bestFit="1" customWidth="1"/>
    <col min="9912" max="9912" width="12.28515625" bestFit="1" customWidth="1"/>
    <col min="9913" max="9913" width="5.7109375" bestFit="1" customWidth="1"/>
    <col min="9914" max="9914" width="8.5703125" bestFit="1" customWidth="1"/>
    <col min="9915" max="9915" width="5.5703125" bestFit="1" customWidth="1"/>
    <col min="9916" max="9916" width="14.42578125" bestFit="1" customWidth="1"/>
    <col min="9917" max="9917" width="11.28515625" bestFit="1" customWidth="1"/>
    <col min="9918" max="9919" width="12.28515625" bestFit="1" customWidth="1"/>
    <col min="9920" max="9920" width="11.28515625" bestFit="1" customWidth="1"/>
    <col min="9921" max="9921" width="13.85546875" bestFit="1" customWidth="1"/>
    <col min="9922" max="9922" width="12" bestFit="1" customWidth="1"/>
    <col min="9923" max="9923" width="13.85546875" bestFit="1" customWidth="1"/>
    <col min="9924" max="9925" width="14.42578125" customWidth="1"/>
    <col min="9926" max="9926" width="10.140625" bestFit="1" customWidth="1"/>
    <col min="9927" max="9927" width="12.28515625" bestFit="1" customWidth="1"/>
    <col min="9928" max="9928" width="7.42578125" bestFit="1" customWidth="1"/>
    <col min="9929" max="9929" width="8.5703125" bestFit="1" customWidth="1"/>
    <col min="9930" max="9930" width="11.5703125" bestFit="1" customWidth="1"/>
    <col min="9931" max="9931" width="13.28515625" bestFit="1" customWidth="1"/>
    <col min="9932" max="9932" width="13.28515625" customWidth="1"/>
    <col min="9933" max="9933" width="13.140625" customWidth="1"/>
    <col min="9934" max="9934" width="12.7109375" bestFit="1" customWidth="1"/>
    <col min="9935" max="9935" width="13.28515625" bestFit="1" customWidth="1"/>
    <col min="9936" max="9938" width="13.28515625" customWidth="1"/>
    <col min="9939" max="9939" width="12.140625" bestFit="1" customWidth="1"/>
    <col min="9940" max="9940" width="12.7109375" bestFit="1" customWidth="1"/>
    <col min="9941" max="9941" width="11" customWidth="1"/>
    <col min="9942" max="9942" width="16.7109375" customWidth="1"/>
    <col min="9943" max="9943" width="17" customWidth="1"/>
    <col min="9944" max="9944" width="10.42578125" bestFit="1" customWidth="1"/>
    <col min="9988" max="9988" width="3.85546875" customWidth="1"/>
    <col min="9989" max="9989" width="15.28515625" bestFit="1" customWidth="1"/>
    <col min="9990" max="9990" width="12.28515625" customWidth="1"/>
    <col min="9991" max="9991" width="16.28515625" bestFit="1" customWidth="1"/>
    <col min="9992" max="9992" width="6.42578125" bestFit="1" customWidth="1"/>
    <col min="9993" max="9993" width="9.28515625" bestFit="1" customWidth="1"/>
    <col min="9994" max="9994" width="7.5703125" bestFit="1" customWidth="1"/>
    <col min="9995" max="9995" width="13.28515625" bestFit="1" customWidth="1"/>
    <col min="9996" max="9996" width="9.28515625" bestFit="1" customWidth="1"/>
    <col min="9997" max="9997" width="11.5703125" bestFit="1" customWidth="1"/>
    <col min="9998" max="9998" width="13.28515625" bestFit="1" customWidth="1"/>
    <col min="9999" max="9999" width="7.140625" bestFit="1" customWidth="1"/>
    <col min="10000" max="10000" width="12" bestFit="1" customWidth="1"/>
    <col min="10001" max="10001" width="13.28515625" bestFit="1" customWidth="1"/>
    <col min="10002" max="10002" width="7" bestFit="1" customWidth="1"/>
    <col min="10003" max="10003" width="12.7109375" bestFit="1" customWidth="1"/>
    <col min="10004" max="10004" width="11.5703125" bestFit="1" customWidth="1"/>
    <col min="10005" max="10005" width="10.5703125" bestFit="1" customWidth="1"/>
    <col min="10006" max="10007" width="15.7109375" bestFit="1" customWidth="1"/>
    <col min="10008" max="10008" width="11.5703125" bestFit="1" customWidth="1"/>
    <col min="10009" max="10009" width="7.7109375" bestFit="1" customWidth="1"/>
    <col min="10010" max="10010" width="15.140625" bestFit="1" customWidth="1"/>
    <col min="10011" max="10011" width="11.5703125" bestFit="1" customWidth="1"/>
    <col min="10012" max="10012" width="13.28515625" bestFit="1" customWidth="1"/>
    <col min="10013" max="10013" width="10.42578125" bestFit="1" customWidth="1"/>
    <col min="10014" max="10014" width="13.28515625" bestFit="1" customWidth="1"/>
    <col min="10015" max="10015" width="12.140625" bestFit="1" customWidth="1"/>
    <col min="10016" max="10016" width="14.42578125" bestFit="1" customWidth="1"/>
    <col min="10017" max="10017" width="13.28515625" bestFit="1" customWidth="1"/>
    <col min="10018" max="10018" width="11.5703125" bestFit="1" customWidth="1"/>
    <col min="10019" max="10019" width="7.7109375" bestFit="1" customWidth="1"/>
    <col min="10020" max="10021" width="14.42578125" bestFit="1" customWidth="1"/>
    <col min="10022" max="10022" width="11.5703125" bestFit="1" customWidth="1"/>
    <col min="10023" max="10023" width="7.7109375" bestFit="1" customWidth="1"/>
    <col min="10024" max="10024" width="13.5703125" customWidth="1"/>
    <col min="10025" max="10025" width="15.28515625" customWidth="1"/>
    <col min="10026" max="10026" width="14.5703125" customWidth="1"/>
    <col min="10027" max="10027" width="13.28515625" bestFit="1" customWidth="1"/>
    <col min="10028" max="10028" width="7.7109375" bestFit="1" customWidth="1"/>
    <col min="10029" max="10029" width="12.7109375" bestFit="1" customWidth="1"/>
    <col min="10030" max="10030" width="11.7109375" bestFit="1" customWidth="1"/>
    <col min="10031" max="10031" width="11.5703125" bestFit="1" customWidth="1"/>
    <col min="10032" max="10032" width="5.28515625" bestFit="1" customWidth="1"/>
    <col min="10033" max="10033" width="13.28515625" bestFit="1" customWidth="1"/>
    <col min="10034" max="10034" width="13.5703125" bestFit="1" customWidth="1"/>
    <col min="10035" max="10035" width="10.5703125" bestFit="1" customWidth="1"/>
    <col min="10036" max="10036" width="13.28515625" bestFit="1" customWidth="1"/>
    <col min="10037" max="10037" width="11.5703125" bestFit="1" customWidth="1"/>
    <col min="10038" max="10038" width="10.5703125" bestFit="1" customWidth="1"/>
    <col min="10039" max="10039" width="16.140625" bestFit="1" customWidth="1"/>
    <col min="10040" max="10041" width="11.28515625" bestFit="1" customWidth="1"/>
    <col min="10042" max="10042" width="13.28515625" bestFit="1" customWidth="1"/>
    <col min="10043" max="10043" width="7.7109375" bestFit="1" customWidth="1"/>
    <col min="10044" max="10047" width="9.140625" hidden="1" customWidth="1"/>
    <col min="10048" max="10048" width="10.42578125" bestFit="1" customWidth="1"/>
    <col min="10049" max="10049" width="10.5703125" bestFit="1" customWidth="1"/>
    <col min="10050" max="10050" width="10.42578125" bestFit="1" customWidth="1"/>
    <col min="10051" max="10051" width="10.5703125" bestFit="1" customWidth="1"/>
    <col min="10052" max="10052" width="9.5703125" bestFit="1" customWidth="1"/>
    <col min="10053" max="10053" width="11.5703125" bestFit="1" customWidth="1"/>
    <col min="10054" max="10054" width="10.42578125" bestFit="1" customWidth="1"/>
    <col min="10055" max="10055" width="10.85546875" customWidth="1"/>
    <col min="10056" max="10057" width="9.85546875" bestFit="1" customWidth="1"/>
    <col min="10058" max="10058" width="13.5703125" bestFit="1" customWidth="1"/>
    <col min="10059" max="10059" width="7.7109375" bestFit="1" customWidth="1"/>
    <col min="10060" max="10060" width="13.28515625" bestFit="1" customWidth="1"/>
    <col min="10061" max="10061" width="11.5703125" bestFit="1" customWidth="1"/>
    <col min="10062" max="10062" width="10.42578125" bestFit="1" customWidth="1"/>
    <col min="10063" max="10063" width="7.7109375" bestFit="1" customWidth="1"/>
    <col min="10064" max="10064" width="11.5703125" bestFit="1" customWidth="1"/>
    <col min="10065" max="10065" width="10.85546875" bestFit="1" customWidth="1"/>
    <col min="10066" max="10066" width="13.28515625" bestFit="1" customWidth="1"/>
    <col min="10067" max="10067" width="10.85546875" bestFit="1" customWidth="1"/>
    <col min="10068" max="10069" width="7.5703125" bestFit="1" customWidth="1"/>
    <col min="10070" max="10071" width="10.42578125" bestFit="1" customWidth="1"/>
    <col min="10072" max="10072" width="11.5703125" bestFit="1" customWidth="1"/>
    <col min="10073" max="10073" width="5.28515625" bestFit="1" customWidth="1"/>
    <col min="10074" max="10074" width="10.28515625" bestFit="1" customWidth="1"/>
    <col min="10075" max="10075" width="10.42578125" bestFit="1" customWidth="1"/>
    <col min="10076" max="10076" width="11.5703125" bestFit="1" customWidth="1"/>
    <col min="10077" max="10077" width="5.28515625" bestFit="1" customWidth="1"/>
    <col min="10078" max="10080" width="11.5703125" bestFit="1" customWidth="1"/>
    <col min="10081" max="10081" width="5.28515625" bestFit="1" customWidth="1"/>
    <col min="10082" max="10083" width="10.42578125" bestFit="1" customWidth="1"/>
    <col min="10084" max="10084" width="11.5703125" bestFit="1" customWidth="1"/>
    <col min="10085" max="10085" width="5.28515625" bestFit="1" customWidth="1"/>
    <col min="10086" max="10086" width="14.28515625" bestFit="1" customWidth="1"/>
    <col min="10087" max="10087" width="13" bestFit="1" customWidth="1"/>
    <col min="10088" max="10088" width="11.5703125" bestFit="1" customWidth="1"/>
    <col min="10089" max="10089" width="8.85546875" bestFit="1" customWidth="1"/>
    <col min="10090" max="10090" width="14.42578125" bestFit="1" customWidth="1"/>
    <col min="10091" max="10091" width="10.42578125" bestFit="1" customWidth="1"/>
    <col min="10092" max="10092" width="12.28515625" bestFit="1" customWidth="1"/>
    <col min="10093" max="10093" width="13.85546875" bestFit="1" customWidth="1"/>
    <col min="10094" max="10094" width="11.28515625" customWidth="1"/>
    <col min="10095" max="10095" width="11.5703125" customWidth="1"/>
    <col min="10096" max="10096" width="13.42578125" bestFit="1" customWidth="1"/>
    <col min="10097" max="10097" width="10.42578125" customWidth="1"/>
    <col min="10098" max="10098" width="13.85546875" bestFit="1" customWidth="1"/>
    <col min="10099" max="10099" width="15.42578125" bestFit="1" customWidth="1"/>
    <col min="10100" max="10100" width="12.28515625" bestFit="1" customWidth="1"/>
    <col min="10101" max="10101" width="12.7109375" customWidth="1"/>
    <col min="10102" max="10102" width="10.7109375" bestFit="1" customWidth="1"/>
    <col min="10103" max="10103" width="9.85546875" customWidth="1"/>
    <col min="10104" max="10105" width="10.140625" bestFit="1" customWidth="1"/>
    <col min="10106" max="10106" width="7.5703125" bestFit="1" customWidth="1"/>
    <col min="10107" max="10107" width="9.42578125" bestFit="1" customWidth="1"/>
    <col min="10108" max="10108" width="14.5703125" bestFit="1" customWidth="1"/>
    <col min="10109" max="10109" width="14.85546875" customWidth="1"/>
    <col min="10110" max="10110" width="15.140625" bestFit="1" customWidth="1"/>
    <col min="10111" max="10111" width="12.140625" bestFit="1" customWidth="1"/>
    <col min="10112" max="10112" width="14.85546875" bestFit="1" customWidth="1"/>
    <col min="10113" max="10113" width="12.28515625" bestFit="1" customWidth="1"/>
    <col min="10114" max="10122" width="9.140625" hidden="1" customWidth="1"/>
    <col min="10123" max="10123" width="5.28515625" bestFit="1" customWidth="1"/>
    <col min="10124" max="10129" width="11.5703125" bestFit="1" customWidth="1"/>
    <col min="10130" max="10130" width="11.28515625" bestFit="1" customWidth="1"/>
    <col min="10131" max="10131" width="10.140625" bestFit="1" customWidth="1"/>
    <col min="10132" max="10132" width="11.5703125" bestFit="1" customWidth="1"/>
    <col min="10133" max="10133" width="16.140625" customWidth="1"/>
    <col min="10134" max="10134" width="13.42578125" customWidth="1"/>
    <col min="10135" max="10135" width="10.140625" bestFit="1" customWidth="1"/>
    <col min="10136" max="10136" width="12.85546875" bestFit="1" customWidth="1"/>
    <col min="10137" max="10137" width="12.28515625" bestFit="1" customWidth="1"/>
    <col min="10138" max="10138" width="11.28515625" bestFit="1" customWidth="1"/>
    <col min="10139" max="10139" width="11.5703125" bestFit="1" customWidth="1"/>
    <col min="10140" max="10140" width="10.85546875" bestFit="1" customWidth="1"/>
    <col min="10141" max="10141" width="11.28515625" bestFit="1" customWidth="1"/>
    <col min="10142" max="10142" width="10.140625" bestFit="1" customWidth="1"/>
    <col min="10143" max="10143" width="13.28515625" bestFit="1" customWidth="1"/>
    <col min="10144" max="10145" width="12.7109375" bestFit="1" customWidth="1"/>
    <col min="10146" max="10146" width="11" bestFit="1" customWidth="1"/>
    <col min="10147" max="10147" width="11.28515625" bestFit="1" customWidth="1"/>
    <col min="10148" max="10148" width="11.5703125" bestFit="1" customWidth="1"/>
    <col min="10149" max="10149" width="12.28515625" bestFit="1" customWidth="1"/>
    <col min="10150" max="10150" width="15.140625" bestFit="1" customWidth="1"/>
    <col min="10151" max="10151" width="14.42578125" bestFit="1" customWidth="1"/>
    <col min="10152" max="10152" width="12.28515625" bestFit="1" customWidth="1"/>
    <col min="10153" max="10153" width="15.140625" bestFit="1" customWidth="1"/>
    <col min="10154" max="10154" width="14.42578125" bestFit="1" customWidth="1"/>
    <col min="10155" max="10155" width="12.28515625" bestFit="1" customWidth="1"/>
    <col min="10156" max="10156" width="14.42578125" bestFit="1" customWidth="1"/>
    <col min="10157" max="10157" width="11.28515625" bestFit="1" customWidth="1"/>
    <col min="10158" max="10158" width="12.28515625" bestFit="1" customWidth="1"/>
    <col min="10159" max="10159" width="13" bestFit="1" customWidth="1"/>
    <col min="10160" max="10160" width="15.140625" bestFit="1" customWidth="1"/>
    <col min="10161" max="10161" width="12.28515625" bestFit="1" customWidth="1"/>
    <col min="10162" max="10162" width="13.85546875" bestFit="1" customWidth="1"/>
    <col min="10163" max="10163" width="11.28515625" bestFit="1" customWidth="1"/>
    <col min="10164" max="10164" width="12.28515625" bestFit="1" customWidth="1"/>
    <col min="10165" max="10165" width="13.85546875" bestFit="1" customWidth="1"/>
    <col min="10166" max="10167" width="15.140625" bestFit="1" customWidth="1"/>
    <col min="10168" max="10168" width="12.28515625" bestFit="1" customWidth="1"/>
    <col min="10169" max="10169" width="5.7109375" bestFit="1" customWidth="1"/>
    <col min="10170" max="10170" width="8.5703125" bestFit="1" customWidth="1"/>
    <col min="10171" max="10171" width="5.5703125" bestFit="1" customWidth="1"/>
    <col min="10172" max="10172" width="14.42578125" bestFit="1" customWidth="1"/>
    <col min="10173" max="10173" width="11.28515625" bestFit="1" customWidth="1"/>
    <col min="10174" max="10175" width="12.28515625" bestFit="1" customWidth="1"/>
    <col min="10176" max="10176" width="11.28515625" bestFit="1" customWidth="1"/>
    <col min="10177" max="10177" width="13.85546875" bestFit="1" customWidth="1"/>
    <col min="10178" max="10178" width="12" bestFit="1" customWidth="1"/>
    <col min="10179" max="10179" width="13.85546875" bestFit="1" customWidth="1"/>
    <col min="10180" max="10181" width="14.42578125" customWidth="1"/>
    <col min="10182" max="10182" width="10.140625" bestFit="1" customWidth="1"/>
    <col min="10183" max="10183" width="12.28515625" bestFit="1" customWidth="1"/>
    <col min="10184" max="10184" width="7.42578125" bestFit="1" customWidth="1"/>
    <col min="10185" max="10185" width="8.5703125" bestFit="1" customWidth="1"/>
    <col min="10186" max="10186" width="11.5703125" bestFit="1" customWidth="1"/>
    <col min="10187" max="10187" width="13.28515625" bestFit="1" customWidth="1"/>
    <col min="10188" max="10188" width="13.28515625" customWidth="1"/>
    <col min="10189" max="10189" width="13.140625" customWidth="1"/>
    <col min="10190" max="10190" width="12.7109375" bestFit="1" customWidth="1"/>
    <col min="10191" max="10191" width="13.28515625" bestFit="1" customWidth="1"/>
    <col min="10192" max="10194" width="13.28515625" customWidth="1"/>
    <col min="10195" max="10195" width="12.140625" bestFit="1" customWidth="1"/>
    <col min="10196" max="10196" width="12.7109375" bestFit="1" customWidth="1"/>
    <col min="10197" max="10197" width="11" customWidth="1"/>
    <col min="10198" max="10198" width="16.7109375" customWidth="1"/>
    <col min="10199" max="10199" width="17" customWidth="1"/>
    <col min="10200" max="10200" width="10.42578125" bestFit="1" customWidth="1"/>
    <col min="10244" max="10244" width="3.85546875" customWidth="1"/>
    <col min="10245" max="10245" width="15.28515625" bestFit="1" customWidth="1"/>
    <col min="10246" max="10246" width="12.28515625" customWidth="1"/>
    <col min="10247" max="10247" width="16.28515625" bestFit="1" customWidth="1"/>
    <col min="10248" max="10248" width="6.42578125" bestFit="1" customWidth="1"/>
    <col min="10249" max="10249" width="9.28515625" bestFit="1" customWidth="1"/>
    <col min="10250" max="10250" width="7.5703125" bestFit="1" customWidth="1"/>
    <col min="10251" max="10251" width="13.28515625" bestFit="1" customWidth="1"/>
    <col min="10252" max="10252" width="9.28515625" bestFit="1" customWidth="1"/>
    <col min="10253" max="10253" width="11.5703125" bestFit="1" customWidth="1"/>
    <col min="10254" max="10254" width="13.28515625" bestFit="1" customWidth="1"/>
    <col min="10255" max="10255" width="7.140625" bestFit="1" customWidth="1"/>
    <col min="10256" max="10256" width="12" bestFit="1" customWidth="1"/>
    <col min="10257" max="10257" width="13.28515625" bestFit="1" customWidth="1"/>
    <col min="10258" max="10258" width="7" bestFit="1" customWidth="1"/>
    <col min="10259" max="10259" width="12.7109375" bestFit="1" customWidth="1"/>
    <col min="10260" max="10260" width="11.5703125" bestFit="1" customWidth="1"/>
    <col min="10261" max="10261" width="10.5703125" bestFit="1" customWidth="1"/>
    <col min="10262" max="10263" width="15.7109375" bestFit="1" customWidth="1"/>
    <col min="10264" max="10264" width="11.5703125" bestFit="1" customWidth="1"/>
    <col min="10265" max="10265" width="7.7109375" bestFit="1" customWidth="1"/>
    <col min="10266" max="10266" width="15.140625" bestFit="1" customWidth="1"/>
    <col min="10267" max="10267" width="11.5703125" bestFit="1" customWidth="1"/>
    <col min="10268" max="10268" width="13.28515625" bestFit="1" customWidth="1"/>
    <col min="10269" max="10269" width="10.42578125" bestFit="1" customWidth="1"/>
    <col min="10270" max="10270" width="13.28515625" bestFit="1" customWidth="1"/>
    <col min="10271" max="10271" width="12.140625" bestFit="1" customWidth="1"/>
    <col min="10272" max="10272" width="14.42578125" bestFit="1" customWidth="1"/>
    <col min="10273" max="10273" width="13.28515625" bestFit="1" customWidth="1"/>
    <col min="10274" max="10274" width="11.5703125" bestFit="1" customWidth="1"/>
    <col min="10275" max="10275" width="7.7109375" bestFit="1" customWidth="1"/>
    <col min="10276" max="10277" width="14.42578125" bestFit="1" customWidth="1"/>
    <col min="10278" max="10278" width="11.5703125" bestFit="1" customWidth="1"/>
    <col min="10279" max="10279" width="7.7109375" bestFit="1" customWidth="1"/>
    <col min="10280" max="10280" width="13.5703125" customWidth="1"/>
    <col min="10281" max="10281" width="15.28515625" customWidth="1"/>
    <col min="10282" max="10282" width="14.5703125" customWidth="1"/>
    <col min="10283" max="10283" width="13.28515625" bestFit="1" customWidth="1"/>
    <col min="10284" max="10284" width="7.7109375" bestFit="1" customWidth="1"/>
    <col min="10285" max="10285" width="12.7109375" bestFit="1" customWidth="1"/>
    <col min="10286" max="10286" width="11.7109375" bestFit="1" customWidth="1"/>
    <col min="10287" max="10287" width="11.5703125" bestFit="1" customWidth="1"/>
    <col min="10288" max="10288" width="5.28515625" bestFit="1" customWidth="1"/>
    <col min="10289" max="10289" width="13.28515625" bestFit="1" customWidth="1"/>
    <col min="10290" max="10290" width="13.5703125" bestFit="1" customWidth="1"/>
    <col min="10291" max="10291" width="10.5703125" bestFit="1" customWidth="1"/>
    <col min="10292" max="10292" width="13.28515625" bestFit="1" customWidth="1"/>
    <col min="10293" max="10293" width="11.5703125" bestFit="1" customWidth="1"/>
    <col min="10294" max="10294" width="10.5703125" bestFit="1" customWidth="1"/>
    <col min="10295" max="10295" width="16.140625" bestFit="1" customWidth="1"/>
    <col min="10296" max="10297" width="11.28515625" bestFit="1" customWidth="1"/>
    <col min="10298" max="10298" width="13.28515625" bestFit="1" customWidth="1"/>
    <col min="10299" max="10299" width="7.7109375" bestFit="1" customWidth="1"/>
    <col min="10300" max="10303" width="9.140625" hidden="1" customWidth="1"/>
    <col min="10304" max="10304" width="10.42578125" bestFit="1" customWidth="1"/>
    <col min="10305" max="10305" width="10.5703125" bestFit="1" customWidth="1"/>
    <col min="10306" max="10306" width="10.42578125" bestFit="1" customWidth="1"/>
    <col min="10307" max="10307" width="10.5703125" bestFit="1" customWidth="1"/>
    <col min="10308" max="10308" width="9.5703125" bestFit="1" customWidth="1"/>
    <col min="10309" max="10309" width="11.5703125" bestFit="1" customWidth="1"/>
    <col min="10310" max="10310" width="10.42578125" bestFit="1" customWidth="1"/>
    <col min="10311" max="10311" width="10.85546875" customWidth="1"/>
    <col min="10312" max="10313" width="9.85546875" bestFit="1" customWidth="1"/>
    <col min="10314" max="10314" width="13.5703125" bestFit="1" customWidth="1"/>
    <col min="10315" max="10315" width="7.7109375" bestFit="1" customWidth="1"/>
    <col min="10316" max="10316" width="13.28515625" bestFit="1" customWidth="1"/>
    <col min="10317" max="10317" width="11.5703125" bestFit="1" customWidth="1"/>
    <col min="10318" max="10318" width="10.42578125" bestFit="1" customWidth="1"/>
    <col min="10319" max="10319" width="7.7109375" bestFit="1" customWidth="1"/>
    <col min="10320" max="10320" width="11.5703125" bestFit="1" customWidth="1"/>
    <col min="10321" max="10321" width="10.85546875" bestFit="1" customWidth="1"/>
    <col min="10322" max="10322" width="13.28515625" bestFit="1" customWidth="1"/>
    <col min="10323" max="10323" width="10.85546875" bestFit="1" customWidth="1"/>
    <col min="10324" max="10325" width="7.5703125" bestFit="1" customWidth="1"/>
    <col min="10326" max="10327" width="10.42578125" bestFit="1" customWidth="1"/>
    <col min="10328" max="10328" width="11.5703125" bestFit="1" customWidth="1"/>
    <col min="10329" max="10329" width="5.28515625" bestFit="1" customWidth="1"/>
    <col min="10330" max="10330" width="10.28515625" bestFit="1" customWidth="1"/>
    <col min="10331" max="10331" width="10.42578125" bestFit="1" customWidth="1"/>
    <col min="10332" max="10332" width="11.5703125" bestFit="1" customWidth="1"/>
    <col min="10333" max="10333" width="5.28515625" bestFit="1" customWidth="1"/>
    <col min="10334" max="10336" width="11.5703125" bestFit="1" customWidth="1"/>
    <col min="10337" max="10337" width="5.28515625" bestFit="1" customWidth="1"/>
    <col min="10338" max="10339" width="10.42578125" bestFit="1" customWidth="1"/>
    <col min="10340" max="10340" width="11.5703125" bestFit="1" customWidth="1"/>
    <col min="10341" max="10341" width="5.28515625" bestFit="1" customWidth="1"/>
    <col min="10342" max="10342" width="14.28515625" bestFit="1" customWidth="1"/>
    <col min="10343" max="10343" width="13" bestFit="1" customWidth="1"/>
    <col min="10344" max="10344" width="11.5703125" bestFit="1" customWidth="1"/>
    <col min="10345" max="10345" width="8.85546875" bestFit="1" customWidth="1"/>
    <col min="10346" max="10346" width="14.42578125" bestFit="1" customWidth="1"/>
    <col min="10347" max="10347" width="10.42578125" bestFit="1" customWidth="1"/>
    <col min="10348" max="10348" width="12.28515625" bestFit="1" customWidth="1"/>
    <col min="10349" max="10349" width="13.85546875" bestFit="1" customWidth="1"/>
    <col min="10350" max="10350" width="11.28515625" customWidth="1"/>
    <col min="10351" max="10351" width="11.5703125" customWidth="1"/>
    <col min="10352" max="10352" width="13.42578125" bestFit="1" customWidth="1"/>
    <col min="10353" max="10353" width="10.42578125" customWidth="1"/>
    <col min="10354" max="10354" width="13.85546875" bestFit="1" customWidth="1"/>
    <col min="10355" max="10355" width="15.42578125" bestFit="1" customWidth="1"/>
    <col min="10356" max="10356" width="12.28515625" bestFit="1" customWidth="1"/>
    <col min="10357" max="10357" width="12.7109375" customWidth="1"/>
    <col min="10358" max="10358" width="10.7109375" bestFit="1" customWidth="1"/>
    <col min="10359" max="10359" width="9.85546875" customWidth="1"/>
    <col min="10360" max="10361" width="10.140625" bestFit="1" customWidth="1"/>
    <col min="10362" max="10362" width="7.5703125" bestFit="1" customWidth="1"/>
    <col min="10363" max="10363" width="9.42578125" bestFit="1" customWidth="1"/>
    <col min="10364" max="10364" width="14.5703125" bestFit="1" customWidth="1"/>
    <col min="10365" max="10365" width="14.85546875" customWidth="1"/>
    <col min="10366" max="10366" width="15.140625" bestFit="1" customWidth="1"/>
    <col min="10367" max="10367" width="12.140625" bestFit="1" customWidth="1"/>
    <col min="10368" max="10368" width="14.85546875" bestFit="1" customWidth="1"/>
    <col min="10369" max="10369" width="12.28515625" bestFit="1" customWidth="1"/>
    <col min="10370" max="10378" width="9.140625" hidden="1" customWidth="1"/>
    <col min="10379" max="10379" width="5.28515625" bestFit="1" customWidth="1"/>
    <col min="10380" max="10385" width="11.5703125" bestFit="1" customWidth="1"/>
    <col min="10386" max="10386" width="11.28515625" bestFit="1" customWidth="1"/>
    <col min="10387" max="10387" width="10.140625" bestFit="1" customWidth="1"/>
    <col min="10388" max="10388" width="11.5703125" bestFit="1" customWidth="1"/>
    <col min="10389" max="10389" width="16.140625" customWidth="1"/>
    <col min="10390" max="10390" width="13.42578125" customWidth="1"/>
    <col min="10391" max="10391" width="10.140625" bestFit="1" customWidth="1"/>
    <col min="10392" max="10392" width="12.85546875" bestFit="1" customWidth="1"/>
    <col min="10393" max="10393" width="12.28515625" bestFit="1" customWidth="1"/>
    <col min="10394" max="10394" width="11.28515625" bestFit="1" customWidth="1"/>
    <col min="10395" max="10395" width="11.5703125" bestFit="1" customWidth="1"/>
    <col min="10396" max="10396" width="10.85546875" bestFit="1" customWidth="1"/>
    <col min="10397" max="10397" width="11.28515625" bestFit="1" customWidth="1"/>
    <col min="10398" max="10398" width="10.140625" bestFit="1" customWidth="1"/>
    <col min="10399" max="10399" width="13.28515625" bestFit="1" customWidth="1"/>
    <col min="10400" max="10401" width="12.7109375" bestFit="1" customWidth="1"/>
    <col min="10402" max="10402" width="11" bestFit="1" customWidth="1"/>
    <col min="10403" max="10403" width="11.28515625" bestFit="1" customWidth="1"/>
    <col min="10404" max="10404" width="11.5703125" bestFit="1" customWidth="1"/>
    <col min="10405" max="10405" width="12.28515625" bestFit="1" customWidth="1"/>
    <col min="10406" max="10406" width="15.140625" bestFit="1" customWidth="1"/>
    <col min="10407" max="10407" width="14.42578125" bestFit="1" customWidth="1"/>
    <col min="10408" max="10408" width="12.28515625" bestFit="1" customWidth="1"/>
    <col min="10409" max="10409" width="15.140625" bestFit="1" customWidth="1"/>
    <col min="10410" max="10410" width="14.42578125" bestFit="1" customWidth="1"/>
    <col min="10411" max="10411" width="12.28515625" bestFit="1" customWidth="1"/>
    <col min="10412" max="10412" width="14.42578125" bestFit="1" customWidth="1"/>
    <col min="10413" max="10413" width="11.28515625" bestFit="1" customWidth="1"/>
    <col min="10414" max="10414" width="12.28515625" bestFit="1" customWidth="1"/>
    <col min="10415" max="10415" width="13" bestFit="1" customWidth="1"/>
    <col min="10416" max="10416" width="15.140625" bestFit="1" customWidth="1"/>
    <col min="10417" max="10417" width="12.28515625" bestFit="1" customWidth="1"/>
    <col min="10418" max="10418" width="13.85546875" bestFit="1" customWidth="1"/>
    <col min="10419" max="10419" width="11.28515625" bestFit="1" customWidth="1"/>
    <col min="10420" max="10420" width="12.28515625" bestFit="1" customWidth="1"/>
    <col min="10421" max="10421" width="13.85546875" bestFit="1" customWidth="1"/>
    <col min="10422" max="10423" width="15.140625" bestFit="1" customWidth="1"/>
    <col min="10424" max="10424" width="12.28515625" bestFit="1" customWidth="1"/>
    <col min="10425" max="10425" width="5.7109375" bestFit="1" customWidth="1"/>
    <col min="10426" max="10426" width="8.5703125" bestFit="1" customWidth="1"/>
    <col min="10427" max="10427" width="5.5703125" bestFit="1" customWidth="1"/>
    <col min="10428" max="10428" width="14.42578125" bestFit="1" customWidth="1"/>
    <col min="10429" max="10429" width="11.28515625" bestFit="1" customWidth="1"/>
    <col min="10430" max="10431" width="12.28515625" bestFit="1" customWidth="1"/>
    <col min="10432" max="10432" width="11.28515625" bestFit="1" customWidth="1"/>
    <col min="10433" max="10433" width="13.85546875" bestFit="1" customWidth="1"/>
    <col min="10434" max="10434" width="12" bestFit="1" customWidth="1"/>
    <col min="10435" max="10435" width="13.85546875" bestFit="1" customWidth="1"/>
    <col min="10436" max="10437" width="14.42578125" customWidth="1"/>
    <col min="10438" max="10438" width="10.140625" bestFit="1" customWidth="1"/>
    <col min="10439" max="10439" width="12.28515625" bestFit="1" customWidth="1"/>
    <col min="10440" max="10440" width="7.42578125" bestFit="1" customWidth="1"/>
    <col min="10441" max="10441" width="8.5703125" bestFit="1" customWidth="1"/>
    <col min="10442" max="10442" width="11.5703125" bestFit="1" customWidth="1"/>
    <col min="10443" max="10443" width="13.28515625" bestFit="1" customWidth="1"/>
    <col min="10444" max="10444" width="13.28515625" customWidth="1"/>
    <col min="10445" max="10445" width="13.140625" customWidth="1"/>
    <col min="10446" max="10446" width="12.7109375" bestFit="1" customWidth="1"/>
    <col min="10447" max="10447" width="13.28515625" bestFit="1" customWidth="1"/>
    <col min="10448" max="10450" width="13.28515625" customWidth="1"/>
    <col min="10451" max="10451" width="12.140625" bestFit="1" customWidth="1"/>
    <col min="10452" max="10452" width="12.7109375" bestFit="1" customWidth="1"/>
    <col min="10453" max="10453" width="11" customWidth="1"/>
    <col min="10454" max="10454" width="16.7109375" customWidth="1"/>
    <col min="10455" max="10455" width="17" customWidth="1"/>
    <col min="10456" max="10456" width="10.42578125" bestFit="1" customWidth="1"/>
    <col min="10500" max="10500" width="3.85546875" customWidth="1"/>
    <col min="10501" max="10501" width="15.28515625" bestFit="1" customWidth="1"/>
    <col min="10502" max="10502" width="12.28515625" customWidth="1"/>
    <col min="10503" max="10503" width="16.28515625" bestFit="1" customWidth="1"/>
    <col min="10504" max="10504" width="6.42578125" bestFit="1" customWidth="1"/>
    <col min="10505" max="10505" width="9.28515625" bestFit="1" customWidth="1"/>
    <col min="10506" max="10506" width="7.5703125" bestFit="1" customWidth="1"/>
    <col min="10507" max="10507" width="13.28515625" bestFit="1" customWidth="1"/>
    <col min="10508" max="10508" width="9.28515625" bestFit="1" customWidth="1"/>
    <col min="10509" max="10509" width="11.5703125" bestFit="1" customWidth="1"/>
    <col min="10510" max="10510" width="13.28515625" bestFit="1" customWidth="1"/>
    <col min="10511" max="10511" width="7.140625" bestFit="1" customWidth="1"/>
    <col min="10512" max="10512" width="12" bestFit="1" customWidth="1"/>
    <col min="10513" max="10513" width="13.28515625" bestFit="1" customWidth="1"/>
    <col min="10514" max="10514" width="7" bestFit="1" customWidth="1"/>
    <col min="10515" max="10515" width="12.7109375" bestFit="1" customWidth="1"/>
    <col min="10516" max="10516" width="11.5703125" bestFit="1" customWidth="1"/>
    <col min="10517" max="10517" width="10.5703125" bestFit="1" customWidth="1"/>
    <col min="10518" max="10519" width="15.7109375" bestFit="1" customWidth="1"/>
    <col min="10520" max="10520" width="11.5703125" bestFit="1" customWidth="1"/>
    <col min="10521" max="10521" width="7.7109375" bestFit="1" customWidth="1"/>
    <col min="10522" max="10522" width="15.140625" bestFit="1" customWidth="1"/>
    <col min="10523" max="10523" width="11.5703125" bestFit="1" customWidth="1"/>
    <col min="10524" max="10524" width="13.28515625" bestFit="1" customWidth="1"/>
    <col min="10525" max="10525" width="10.42578125" bestFit="1" customWidth="1"/>
    <col min="10526" max="10526" width="13.28515625" bestFit="1" customWidth="1"/>
    <col min="10527" max="10527" width="12.140625" bestFit="1" customWidth="1"/>
    <col min="10528" max="10528" width="14.42578125" bestFit="1" customWidth="1"/>
    <col min="10529" max="10529" width="13.28515625" bestFit="1" customWidth="1"/>
    <col min="10530" max="10530" width="11.5703125" bestFit="1" customWidth="1"/>
    <col min="10531" max="10531" width="7.7109375" bestFit="1" customWidth="1"/>
    <col min="10532" max="10533" width="14.42578125" bestFit="1" customWidth="1"/>
    <col min="10534" max="10534" width="11.5703125" bestFit="1" customWidth="1"/>
    <col min="10535" max="10535" width="7.7109375" bestFit="1" customWidth="1"/>
    <col min="10536" max="10536" width="13.5703125" customWidth="1"/>
    <col min="10537" max="10537" width="15.28515625" customWidth="1"/>
    <col min="10538" max="10538" width="14.5703125" customWidth="1"/>
    <col min="10539" max="10539" width="13.28515625" bestFit="1" customWidth="1"/>
    <col min="10540" max="10540" width="7.7109375" bestFit="1" customWidth="1"/>
    <col min="10541" max="10541" width="12.7109375" bestFit="1" customWidth="1"/>
    <col min="10542" max="10542" width="11.7109375" bestFit="1" customWidth="1"/>
    <col min="10543" max="10543" width="11.5703125" bestFit="1" customWidth="1"/>
    <col min="10544" max="10544" width="5.28515625" bestFit="1" customWidth="1"/>
    <col min="10545" max="10545" width="13.28515625" bestFit="1" customWidth="1"/>
    <col min="10546" max="10546" width="13.5703125" bestFit="1" customWidth="1"/>
    <col min="10547" max="10547" width="10.5703125" bestFit="1" customWidth="1"/>
    <col min="10548" max="10548" width="13.28515625" bestFit="1" customWidth="1"/>
    <col min="10549" max="10549" width="11.5703125" bestFit="1" customWidth="1"/>
    <col min="10550" max="10550" width="10.5703125" bestFit="1" customWidth="1"/>
    <col min="10551" max="10551" width="16.140625" bestFit="1" customWidth="1"/>
    <col min="10552" max="10553" width="11.28515625" bestFit="1" customWidth="1"/>
    <col min="10554" max="10554" width="13.28515625" bestFit="1" customWidth="1"/>
    <col min="10555" max="10555" width="7.7109375" bestFit="1" customWidth="1"/>
    <col min="10556" max="10559" width="9.140625" hidden="1" customWidth="1"/>
    <col min="10560" max="10560" width="10.42578125" bestFit="1" customWidth="1"/>
    <col min="10561" max="10561" width="10.5703125" bestFit="1" customWidth="1"/>
    <col min="10562" max="10562" width="10.42578125" bestFit="1" customWidth="1"/>
    <col min="10563" max="10563" width="10.5703125" bestFit="1" customWidth="1"/>
    <col min="10564" max="10564" width="9.5703125" bestFit="1" customWidth="1"/>
    <col min="10565" max="10565" width="11.5703125" bestFit="1" customWidth="1"/>
    <col min="10566" max="10566" width="10.42578125" bestFit="1" customWidth="1"/>
    <col min="10567" max="10567" width="10.85546875" customWidth="1"/>
    <col min="10568" max="10569" width="9.85546875" bestFit="1" customWidth="1"/>
    <col min="10570" max="10570" width="13.5703125" bestFit="1" customWidth="1"/>
    <col min="10571" max="10571" width="7.7109375" bestFit="1" customWidth="1"/>
    <col min="10572" max="10572" width="13.28515625" bestFit="1" customWidth="1"/>
    <col min="10573" max="10573" width="11.5703125" bestFit="1" customWidth="1"/>
    <col min="10574" max="10574" width="10.42578125" bestFit="1" customWidth="1"/>
    <col min="10575" max="10575" width="7.7109375" bestFit="1" customWidth="1"/>
    <col min="10576" max="10576" width="11.5703125" bestFit="1" customWidth="1"/>
    <col min="10577" max="10577" width="10.85546875" bestFit="1" customWidth="1"/>
    <col min="10578" max="10578" width="13.28515625" bestFit="1" customWidth="1"/>
    <col min="10579" max="10579" width="10.85546875" bestFit="1" customWidth="1"/>
    <col min="10580" max="10581" width="7.5703125" bestFit="1" customWidth="1"/>
    <col min="10582" max="10583" width="10.42578125" bestFit="1" customWidth="1"/>
    <col min="10584" max="10584" width="11.5703125" bestFit="1" customWidth="1"/>
    <col min="10585" max="10585" width="5.28515625" bestFit="1" customWidth="1"/>
    <col min="10586" max="10586" width="10.28515625" bestFit="1" customWidth="1"/>
    <col min="10587" max="10587" width="10.42578125" bestFit="1" customWidth="1"/>
    <col min="10588" max="10588" width="11.5703125" bestFit="1" customWidth="1"/>
    <col min="10589" max="10589" width="5.28515625" bestFit="1" customWidth="1"/>
    <col min="10590" max="10592" width="11.5703125" bestFit="1" customWidth="1"/>
    <col min="10593" max="10593" width="5.28515625" bestFit="1" customWidth="1"/>
    <col min="10594" max="10595" width="10.42578125" bestFit="1" customWidth="1"/>
    <col min="10596" max="10596" width="11.5703125" bestFit="1" customWidth="1"/>
    <col min="10597" max="10597" width="5.28515625" bestFit="1" customWidth="1"/>
    <col min="10598" max="10598" width="14.28515625" bestFit="1" customWidth="1"/>
    <col min="10599" max="10599" width="13" bestFit="1" customWidth="1"/>
    <col min="10600" max="10600" width="11.5703125" bestFit="1" customWidth="1"/>
    <col min="10601" max="10601" width="8.85546875" bestFit="1" customWidth="1"/>
    <col min="10602" max="10602" width="14.42578125" bestFit="1" customWidth="1"/>
    <col min="10603" max="10603" width="10.42578125" bestFit="1" customWidth="1"/>
    <col min="10604" max="10604" width="12.28515625" bestFit="1" customWidth="1"/>
    <col min="10605" max="10605" width="13.85546875" bestFit="1" customWidth="1"/>
    <col min="10606" max="10606" width="11.28515625" customWidth="1"/>
    <col min="10607" max="10607" width="11.5703125" customWidth="1"/>
    <col min="10608" max="10608" width="13.42578125" bestFit="1" customWidth="1"/>
    <col min="10609" max="10609" width="10.42578125" customWidth="1"/>
    <col min="10610" max="10610" width="13.85546875" bestFit="1" customWidth="1"/>
    <col min="10611" max="10611" width="15.42578125" bestFit="1" customWidth="1"/>
    <col min="10612" max="10612" width="12.28515625" bestFit="1" customWidth="1"/>
    <col min="10613" max="10613" width="12.7109375" customWidth="1"/>
    <col min="10614" max="10614" width="10.7109375" bestFit="1" customWidth="1"/>
    <col min="10615" max="10615" width="9.85546875" customWidth="1"/>
    <col min="10616" max="10617" width="10.140625" bestFit="1" customWidth="1"/>
    <col min="10618" max="10618" width="7.5703125" bestFit="1" customWidth="1"/>
    <col min="10619" max="10619" width="9.42578125" bestFit="1" customWidth="1"/>
    <col min="10620" max="10620" width="14.5703125" bestFit="1" customWidth="1"/>
    <col min="10621" max="10621" width="14.85546875" customWidth="1"/>
    <col min="10622" max="10622" width="15.140625" bestFit="1" customWidth="1"/>
    <col min="10623" max="10623" width="12.140625" bestFit="1" customWidth="1"/>
    <col min="10624" max="10624" width="14.85546875" bestFit="1" customWidth="1"/>
    <col min="10625" max="10625" width="12.28515625" bestFit="1" customWidth="1"/>
    <col min="10626" max="10634" width="9.140625" hidden="1" customWidth="1"/>
    <col min="10635" max="10635" width="5.28515625" bestFit="1" customWidth="1"/>
    <col min="10636" max="10641" width="11.5703125" bestFit="1" customWidth="1"/>
    <col min="10642" max="10642" width="11.28515625" bestFit="1" customWidth="1"/>
    <col min="10643" max="10643" width="10.140625" bestFit="1" customWidth="1"/>
    <col min="10644" max="10644" width="11.5703125" bestFit="1" customWidth="1"/>
    <col min="10645" max="10645" width="16.140625" customWidth="1"/>
    <col min="10646" max="10646" width="13.42578125" customWidth="1"/>
    <col min="10647" max="10647" width="10.140625" bestFit="1" customWidth="1"/>
    <col min="10648" max="10648" width="12.85546875" bestFit="1" customWidth="1"/>
    <col min="10649" max="10649" width="12.28515625" bestFit="1" customWidth="1"/>
    <col min="10650" max="10650" width="11.28515625" bestFit="1" customWidth="1"/>
    <col min="10651" max="10651" width="11.5703125" bestFit="1" customWidth="1"/>
    <col min="10652" max="10652" width="10.85546875" bestFit="1" customWidth="1"/>
    <col min="10653" max="10653" width="11.28515625" bestFit="1" customWidth="1"/>
    <col min="10654" max="10654" width="10.140625" bestFit="1" customWidth="1"/>
    <col min="10655" max="10655" width="13.28515625" bestFit="1" customWidth="1"/>
    <col min="10656" max="10657" width="12.7109375" bestFit="1" customWidth="1"/>
    <col min="10658" max="10658" width="11" bestFit="1" customWidth="1"/>
    <col min="10659" max="10659" width="11.28515625" bestFit="1" customWidth="1"/>
    <col min="10660" max="10660" width="11.5703125" bestFit="1" customWidth="1"/>
    <col min="10661" max="10661" width="12.28515625" bestFit="1" customWidth="1"/>
    <col min="10662" max="10662" width="15.140625" bestFit="1" customWidth="1"/>
    <col min="10663" max="10663" width="14.42578125" bestFit="1" customWidth="1"/>
    <col min="10664" max="10664" width="12.28515625" bestFit="1" customWidth="1"/>
    <col min="10665" max="10665" width="15.140625" bestFit="1" customWidth="1"/>
    <col min="10666" max="10666" width="14.42578125" bestFit="1" customWidth="1"/>
    <col min="10667" max="10667" width="12.28515625" bestFit="1" customWidth="1"/>
    <col min="10668" max="10668" width="14.42578125" bestFit="1" customWidth="1"/>
    <col min="10669" max="10669" width="11.28515625" bestFit="1" customWidth="1"/>
    <col min="10670" max="10670" width="12.28515625" bestFit="1" customWidth="1"/>
    <col min="10671" max="10671" width="13" bestFit="1" customWidth="1"/>
    <col min="10672" max="10672" width="15.140625" bestFit="1" customWidth="1"/>
    <col min="10673" max="10673" width="12.28515625" bestFit="1" customWidth="1"/>
    <col min="10674" max="10674" width="13.85546875" bestFit="1" customWidth="1"/>
    <col min="10675" max="10675" width="11.28515625" bestFit="1" customWidth="1"/>
    <col min="10676" max="10676" width="12.28515625" bestFit="1" customWidth="1"/>
    <col min="10677" max="10677" width="13.85546875" bestFit="1" customWidth="1"/>
    <col min="10678" max="10679" width="15.140625" bestFit="1" customWidth="1"/>
    <col min="10680" max="10680" width="12.28515625" bestFit="1" customWidth="1"/>
    <col min="10681" max="10681" width="5.7109375" bestFit="1" customWidth="1"/>
    <col min="10682" max="10682" width="8.5703125" bestFit="1" customWidth="1"/>
    <col min="10683" max="10683" width="5.5703125" bestFit="1" customWidth="1"/>
    <col min="10684" max="10684" width="14.42578125" bestFit="1" customWidth="1"/>
    <col min="10685" max="10685" width="11.28515625" bestFit="1" customWidth="1"/>
    <col min="10686" max="10687" width="12.28515625" bestFit="1" customWidth="1"/>
    <col min="10688" max="10688" width="11.28515625" bestFit="1" customWidth="1"/>
    <col min="10689" max="10689" width="13.85546875" bestFit="1" customWidth="1"/>
    <col min="10690" max="10690" width="12" bestFit="1" customWidth="1"/>
    <col min="10691" max="10691" width="13.85546875" bestFit="1" customWidth="1"/>
    <col min="10692" max="10693" width="14.42578125" customWidth="1"/>
    <col min="10694" max="10694" width="10.140625" bestFit="1" customWidth="1"/>
    <col min="10695" max="10695" width="12.28515625" bestFit="1" customWidth="1"/>
    <col min="10696" max="10696" width="7.42578125" bestFit="1" customWidth="1"/>
    <col min="10697" max="10697" width="8.5703125" bestFit="1" customWidth="1"/>
    <col min="10698" max="10698" width="11.5703125" bestFit="1" customWidth="1"/>
    <col min="10699" max="10699" width="13.28515625" bestFit="1" customWidth="1"/>
    <col min="10700" max="10700" width="13.28515625" customWidth="1"/>
    <col min="10701" max="10701" width="13.140625" customWidth="1"/>
    <col min="10702" max="10702" width="12.7109375" bestFit="1" customWidth="1"/>
    <col min="10703" max="10703" width="13.28515625" bestFit="1" customWidth="1"/>
    <col min="10704" max="10706" width="13.28515625" customWidth="1"/>
    <col min="10707" max="10707" width="12.140625" bestFit="1" customWidth="1"/>
    <col min="10708" max="10708" width="12.7109375" bestFit="1" customWidth="1"/>
    <col min="10709" max="10709" width="11" customWidth="1"/>
    <col min="10710" max="10710" width="16.7109375" customWidth="1"/>
    <col min="10711" max="10711" width="17" customWidth="1"/>
    <col min="10712" max="10712" width="10.42578125" bestFit="1" customWidth="1"/>
    <col min="10756" max="10756" width="3.85546875" customWidth="1"/>
    <col min="10757" max="10757" width="15.28515625" bestFit="1" customWidth="1"/>
    <col min="10758" max="10758" width="12.28515625" customWidth="1"/>
    <col min="10759" max="10759" width="16.28515625" bestFit="1" customWidth="1"/>
    <col min="10760" max="10760" width="6.42578125" bestFit="1" customWidth="1"/>
    <col min="10761" max="10761" width="9.28515625" bestFit="1" customWidth="1"/>
    <col min="10762" max="10762" width="7.5703125" bestFit="1" customWidth="1"/>
    <col min="10763" max="10763" width="13.28515625" bestFit="1" customWidth="1"/>
    <col min="10764" max="10764" width="9.28515625" bestFit="1" customWidth="1"/>
    <col min="10765" max="10765" width="11.5703125" bestFit="1" customWidth="1"/>
    <col min="10766" max="10766" width="13.28515625" bestFit="1" customWidth="1"/>
    <col min="10767" max="10767" width="7.140625" bestFit="1" customWidth="1"/>
    <col min="10768" max="10768" width="12" bestFit="1" customWidth="1"/>
    <col min="10769" max="10769" width="13.28515625" bestFit="1" customWidth="1"/>
    <col min="10770" max="10770" width="7" bestFit="1" customWidth="1"/>
    <col min="10771" max="10771" width="12.7109375" bestFit="1" customWidth="1"/>
    <col min="10772" max="10772" width="11.5703125" bestFit="1" customWidth="1"/>
    <col min="10773" max="10773" width="10.5703125" bestFit="1" customWidth="1"/>
    <col min="10774" max="10775" width="15.7109375" bestFit="1" customWidth="1"/>
    <col min="10776" max="10776" width="11.5703125" bestFit="1" customWidth="1"/>
    <col min="10777" max="10777" width="7.7109375" bestFit="1" customWidth="1"/>
    <col min="10778" max="10778" width="15.140625" bestFit="1" customWidth="1"/>
    <col min="10779" max="10779" width="11.5703125" bestFit="1" customWidth="1"/>
    <col min="10780" max="10780" width="13.28515625" bestFit="1" customWidth="1"/>
    <col min="10781" max="10781" width="10.42578125" bestFit="1" customWidth="1"/>
    <col min="10782" max="10782" width="13.28515625" bestFit="1" customWidth="1"/>
    <col min="10783" max="10783" width="12.140625" bestFit="1" customWidth="1"/>
    <col min="10784" max="10784" width="14.42578125" bestFit="1" customWidth="1"/>
    <col min="10785" max="10785" width="13.28515625" bestFit="1" customWidth="1"/>
    <col min="10786" max="10786" width="11.5703125" bestFit="1" customWidth="1"/>
    <col min="10787" max="10787" width="7.7109375" bestFit="1" customWidth="1"/>
    <col min="10788" max="10789" width="14.42578125" bestFit="1" customWidth="1"/>
    <col min="10790" max="10790" width="11.5703125" bestFit="1" customWidth="1"/>
    <col min="10791" max="10791" width="7.7109375" bestFit="1" customWidth="1"/>
    <col min="10792" max="10792" width="13.5703125" customWidth="1"/>
    <col min="10793" max="10793" width="15.28515625" customWidth="1"/>
    <col min="10794" max="10794" width="14.5703125" customWidth="1"/>
    <col min="10795" max="10795" width="13.28515625" bestFit="1" customWidth="1"/>
    <col min="10796" max="10796" width="7.7109375" bestFit="1" customWidth="1"/>
    <col min="10797" max="10797" width="12.7109375" bestFit="1" customWidth="1"/>
    <col min="10798" max="10798" width="11.7109375" bestFit="1" customWidth="1"/>
    <col min="10799" max="10799" width="11.5703125" bestFit="1" customWidth="1"/>
    <col min="10800" max="10800" width="5.28515625" bestFit="1" customWidth="1"/>
    <col min="10801" max="10801" width="13.28515625" bestFit="1" customWidth="1"/>
    <col min="10802" max="10802" width="13.5703125" bestFit="1" customWidth="1"/>
    <col min="10803" max="10803" width="10.5703125" bestFit="1" customWidth="1"/>
    <col min="10804" max="10804" width="13.28515625" bestFit="1" customWidth="1"/>
    <col min="10805" max="10805" width="11.5703125" bestFit="1" customWidth="1"/>
    <col min="10806" max="10806" width="10.5703125" bestFit="1" customWidth="1"/>
    <col min="10807" max="10807" width="16.140625" bestFit="1" customWidth="1"/>
    <col min="10808" max="10809" width="11.28515625" bestFit="1" customWidth="1"/>
    <col min="10810" max="10810" width="13.28515625" bestFit="1" customWidth="1"/>
    <col min="10811" max="10811" width="7.7109375" bestFit="1" customWidth="1"/>
    <col min="10812" max="10815" width="9.140625" hidden="1" customWidth="1"/>
    <col min="10816" max="10816" width="10.42578125" bestFit="1" customWidth="1"/>
    <col min="10817" max="10817" width="10.5703125" bestFit="1" customWidth="1"/>
    <col min="10818" max="10818" width="10.42578125" bestFit="1" customWidth="1"/>
    <col min="10819" max="10819" width="10.5703125" bestFit="1" customWidth="1"/>
    <col min="10820" max="10820" width="9.5703125" bestFit="1" customWidth="1"/>
    <col min="10821" max="10821" width="11.5703125" bestFit="1" customWidth="1"/>
    <col min="10822" max="10822" width="10.42578125" bestFit="1" customWidth="1"/>
    <col min="10823" max="10823" width="10.85546875" customWidth="1"/>
    <col min="10824" max="10825" width="9.85546875" bestFit="1" customWidth="1"/>
    <col min="10826" max="10826" width="13.5703125" bestFit="1" customWidth="1"/>
    <col min="10827" max="10827" width="7.7109375" bestFit="1" customWidth="1"/>
    <col min="10828" max="10828" width="13.28515625" bestFit="1" customWidth="1"/>
    <col min="10829" max="10829" width="11.5703125" bestFit="1" customWidth="1"/>
    <col min="10830" max="10830" width="10.42578125" bestFit="1" customWidth="1"/>
    <col min="10831" max="10831" width="7.7109375" bestFit="1" customWidth="1"/>
    <col min="10832" max="10832" width="11.5703125" bestFit="1" customWidth="1"/>
    <col min="10833" max="10833" width="10.85546875" bestFit="1" customWidth="1"/>
    <col min="10834" max="10834" width="13.28515625" bestFit="1" customWidth="1"/>
    <col min="10835" max="10835" width="10.85546875" bestFit="1" customWidth="1"/>
    <col min="10836" max="10837" width="7.5703125" bestFit="1" customWidth="1"/>
    <col min="10838" max="10839" width="10.42578125" bestFit="1" customWidth="1"/>
    <col min="10840" max="10840" width="11.5703125" bestFit="1" customWidth="1"/>
    <col min="10841" max="10841" width="5.28515625" bestFit="1" customWidth="1"/>
    <col min="10842" max="10842" width="10.28515625" bestFit="1" customWidth="1"/>
    <col min="10843" max="10843" width="10.42578125" bestFit="1" customWidth="1"/>
    <col min="10844" max="10844" width="11.5703125" bestFit="1" customWidth="1"/>
    <col min="10845" max="10845" width="5.28515625" bestFit="1" customWidth="1"/>
    <col min="10846" max="10848" width="11.5703125" bestFit="1" customWidth="1"/>
    <col min="10849" max="10849" width="5.28515625" bestFit="1" customWidth="1"/>
    <col min="10850" max="10851" width="10.42578125" bestFit="1" customWidth="1"/>
    <col min="10852" max="10852" width="11.5703125" bestFit="1" customWidth="1"/>
    <col min="10853" max="10853" width="5.28515625" bestFit="1" customWidth="1"/>
    <col min="10854" max="10854" width="14.28515625" bestFit="1" customWidth="1"/>
    <col min="10855" max="10855" width="13" bestFit="1" customWidth="1"/>
    <col min="10856" max="10856" width="11.5703125" bestFit="1" customWidth="1"/>
    <col min="10857" max="10857" width="8.85546875" bestFit="1" customWidth="1"/>
    <col min="10858" max="10858" width="14.42578125" bestFit="1" customWidth="1"/>
    <col min="10859" max="10859" width="10.42578125" bestFit="1" customWidth="1"/>
    <col min="10860" max="10860" width="12.28515625" bestFit="1" customWidth="1"/>
    <col min="10861" max="10861" width="13.85546875" bestFit="1" customWidth="1"/>
    <col min="10862" max="10862" width="11.28515625" customWidth="1"/>
    <col min="10863" max="10863" width="11.5703125" customWidth="1"/>
    <col min="10864" max="10864" width="13.42578125" bestFit="1" customWidth="1"/>
    <col min="10865" max="10865" width="10.42578125" customWidth="1"/>
    <col min="10866" max="10866" width="13.85546875" bestFit="1" customWidth="1"/>
    <col min="10867" max="10867" width="15.42578125" bestFit="1" customWidth="1"/>
    <col min="10868" max="10868" width="12.28515625" bestFit="1" customWidth="1"/>
    <col min="10869" max="10869" width="12.7109375" customWidth="1"/>
    <col min="10870" max="10870" width="10.7109375" bestFit="1" customWidth="1"/>
    <col min="10871" max="10871" width="9.85546875" customWidth="1"/>
    <col min="10872" max="10873" width="10.140625" bestFit="1" customWidth="1"/>
    <col min="10874" max="10874" width="7.5703125" bestFit="1" customWidth="1"/>
    <col min="10875" max="10875" width="9.42578125" bestFit="1" customWidth="1"/>
    <col min="10876" max="10876" width="14.5703125" bestFit="1" customWidth="1"/>
    <col min="10877" max="10877" width="14.85546875" customWidth="1"/>
    <col min="10878" max="10878" width="15.140625" bestFit="1" customWidth="1"/>
    <col min="10879" max="10879" width="12.140625" bestFit="1" customWidth="1"/>
    <col min="10880" max="10880" width="14.85546875" bestFit="1" customWidth="1"/>
    <col min="10881" max="10881" width="12.28515625" bestFit="1" customWidth="1"/>
    <col min="10882" max="10890" width="9.140625" hidden="1" customWidth="1"/>
    <col min="10891" max="10891" width="5.28515625" bestFit="1" customWidth="1"/>
    <col min="10892" max="10897" width="11.5703125" bestFit="1" customWidth="1"/>
    <col min="10898" max="10898" width="11.28515625" bestFit="1" customWidth="1"/>
    <col min="10899" max="10899" width="10.140625" bestFit="1" customWidth="1"/>
    <col min="10900" max="10900" width="11.5703125" bestFit="1" customWidth="1"/>
    <col min="10901" max="10901" width="16.140625" customWidth="1"/>
    <col min="10902" max="10902" width="13.42578125" customWidth="1"/>
    <col min="10903" max="10903" width="10.140625" bestFit="1" customWidth="1"/>
    <col min="10904" max="10904" width="12.85546875" bestFit="1" customWidth="1"/>
    <col min="10905" max="10905" width="12.28515625" bestFit="1" customWidth="1"/>
    <col min="10906" max="10906" width="11.28515625" bestFit="1" customWidth="1"/>
    <col min="10907" max="10907" width="11.5703125" bestFit="1" customWidth="1"/>
    <col min="10908" max="10908" width="10.85546875" bestFit="1" customWidth="1"/>
    <col min="10909" max="10909" width="11.28515625" bestFit="1" customWidth="1"/>
    <col min="10910" max="10910" width="10.140625" bestFit="1" customWidth="1"/>
    <col min="10911" max="10911" width="13.28515625" bestFit="1" customWidth="1"/>
    <col min="10912" max="10913" width="12.7109375" bestFit="1" customWidth="1"/>
    <col min="10914" max="10914" width="11" bestFit="1" customWidth="1"/>
    <col min="10915" max="10915" width="11.28515625" bestFit="1" customWidth="1"/>
    <col min="10916" max="10916" width="11.5703125" bestFit="1" customWidth="1"/>
    <col min="10917" max="10917" width="12.28515625" bestFit="1" customWidth="1"/>
    <col min="10918" max="10918" width="15.140625" bestFit="1" customWidth="1"/>
    <col min="10919" max="10919" width="14.42578125" bestFit="1" customWidth="1"/>
    <col min="10920" max="10920" width="12.28515625" bestFit="1" customWidth="1"/>
    <col min="10921" max="10921" width="15.140625" bestFit="1" customWidth="1"/>
    <col min="10922" max="10922" width="14.42578125" bestFit="1" customWidth="1"/>
    <col min="10923" max="10923" width="12.28515625" bestFit="1" customWidth="1"/>
    <col min="10924" max="10924" width="14.42578125" bestFit="1" customWidth="1"/>
    <col min="10925" max="10925" width="11.28515625" bestFit="1" customWidth="1"/>
    <col min="10926" max="10926" width="12.28515625" bestFit="1" customWidth="1"/>
    <col min="10927" max="10927" width="13" bestFit="1" customWidth="1"/>
    <col min="10928" max="10928" width="15.140625" bestFit="1" customWidth="1"/>
    <col min="10929" max="10929" width="12.28515625" bestFit="1" customWidth="1"/>
    <col min="10930" max="10930" width="13.85546875" bestFit="1" customWidth="1"/>
    <col min="10931" max="10931" width="11.28515625" bestFit="1" customWidth="1"/>
    <col min="10932" max="10932" width="12.28515625" bestFit="1" customWidth="1"/>
    <col min="10933" max="10933" width="13.85546875" bestFit="1" customWidth="1"/>
    <col min="10934" max="10935" width="15.140625" bestFit="1" customWidth="1"/>
    <col min="10936" max="10936" width="12.28515625" bestFit="1" customWidth="1"/>
    <col min="10937" max="10937" width="5.7109375" bestFit="1" customWidth="1"/>
    <col min="10938" max="10938" width="8.5703125" bestFit="1" customWidth="1"/>
    <col min="10939" max="10939" width="5.5703125" bestFit="1" customWidth="1"/>
    <col min="10940" max="10940" width="14.42578125" bestFit="1" customWidth="1"/>
    <col min="10941" max="10941" width="11.28515625" bestFit="1" customWidth="1"/>
    <col min="10942" max="10943" width="12.28515625" bestFit="1" customWidth="1"/>
    <col min="10944" max="10944" width="11.28515625" bestFit="1" customWidth="1"/>
    <col min="10945" max="10945" width="13.85546875" bestFit="1" customWidth="1"/>
    <col min="10946" max="10946" width="12" bestFit="1" customWidth="1"/>
    <col min="10947" max="10947" width="13.85546875" bestFit="1" customWidth="1"/>
    <col min="10948" max="10949" width="14.42578125" customWidth="1"/>
    <col min="10950" max="10950" width="10.140625" bestFit="1" customWidth="1"/>
    <col min="10951" max="10951" width="12.28515625" bestFit="1" customWidth="1"/>
    <col min="10952" max="10952" width="7.42578125" bestFit="1" customWidth="1"/>
    <col min="10953" max="10953" width="8.5703125" bestFit="1" customWidth="1"/>
    <col min="10954" max="10954" width="11.5703125" bestFit="1" customWidth="1"/>
    <col min="10955" max="10955" width="13.28515625" bestFit="1" customWidth="1"/>
    <col min="10956" max="10956" width="13.28515625" customWidth="1"/>
    <col min="10957" max="10957" width="13.140625" customWidth="1"/>
    <col min="10958" max="10958" width="12.7109375" bestFit="1" customWidth="1"/>
    <col min="10959" max="10959" width="13.28515625" bestFit="1" customWidth="1"/>
    <col min="10960" max="10962" width="13.28515625" customWidth="1"/>
    <col min="10963" max="10963" width="12.140625" bestFit="1" customWidth="1"/>
    <col min="10964" max="10964" width="12.7109375" bestFit="1" customWidth="1"/>
    <col min="10965" max="10965" width="11" customWidth="1"/>
    <col min="10966" max="10966" width="16.7109375" customWidth="1"/>
    <col min="10967" max="10967" width="17" customWidth="1"/>
    <col min="10968" max="10968" width="10.42578125" bestFit="1" customWidth="1"/>
    <col min="11012" max="11012" width="3.85546875" customWidth="1"/>
    <col min="11013" max="11013" width="15.28515625" bestFit="1" customWidth="1"/>
    <col min="11014" max="11014" width="12.28515625" customWidth="1"/>
    <col min="11015" max="11015" width="16.28515625" bestFit="1" customWidth="1"/>
    <col min="11016" max="11016" width="6.42578125" bestFit="1" customWidth="1"/>
    <col min="11017" max="11017" width="9.28515625" bestFit="1" customWidth="1"/>
    <col min="11018" max="11018" width="7.5703125" bestFit="1" customWidth="1"/>
    <col min="11019" max="11019" width="13.28515625" bestFit="1" customWidth="1"/>
    <col min="11020" max="11020" width="9.28515625" bestFit="1" customWidth="1"/>
    <col min="11021" max="11021" width="11.5703125" bestFit="1" customWidth="1"/>
    <col min="11022" max="11022" width="13.28515625" bestFit="1" customWidth="1"/>
    <col min="11023" max="11023" width="7.140625" bestFit="1" customWidth="1"/>
    <col min="11024" max="11024" width="12" bestFit="1" customWidth="1"/>
    <col min="11025" max="11025" width="13.28515625" bestFit="1" customWidth="1"/>
    <col min="11026" max="11026" width="7" bestFit="1" customWidth="1"/>
    <col min="11027" max="11027" width="12.7109375" bestFit="1" customWidth="1"/>
    <col min="11028" max="11028" width="11.5703125" bestFit="1" customWidth="1"/>
    <col min="11029" max="11029" width="10.5703125" bestFit="1" customWidth="1"/>
    <col min="11030" max="11031" width="15.7109375" bestFit="1" customWidth="1"/>
    <col min="11032" max="11032" width="11.5703125" bestFit="1" customWidth="1"/>
    <col min="11033" max="11033" width="7.7109375" bestFit="1" customWidth="1"/>
    <col min="11034" max="11034" width="15.140625" bestFit="1" customWidth="1"/>
    <col min="11035" max="11035" width="11.5703125" bestFit="1" customWidth="1"/>
    <col min="11036" max="11036" width="13.28515625" bestFit="1" customWidth="1"/>
    <col min="11037" max="11037" width="10.42578125" bestFit="1" customWidth="1"/>
    <col min="11038" max="11038" width="13.28515625" bestFit="1" customWidth="1"/>
    <col min="11039" max="11039" width="12.140625" bestFit="1" customWidth="1"/>
    <col min="11040" max="11040" width="14.42578125" bestFit="1" customWidth="1"/>
    <col min="11041" max="11041" width="13.28515625" bestFit="1" customWidth="1"/>
    <col min="11042" max="11042" width="11.5703125" bestFit="1" customWidth="1"/>
    <col min="11043" max="11043" width="7.7109375" bestFit="1" customWidth="1"/>
    <col min="11044" max="11045" width="14.42578125" bestFit="1" customWidth="1"/>
    <col min="11046" max="11046" width="11.5703125" bestFit="1" customWidth="1"/>
    <col min="11047" max="11047" width="7.7109375" bestFit="1" customWidth="1"/>
    <col min="11048" max="11048" width="13.5703125" customWidth="1"/>
    <col min="11049" max="11049" width="15.28515625" customWidth="1"/>
    <col min="11050" max="11050" width="14.5703125" customWidth="1"/>
    <col min="11051" max="11051" width="13.28515625" bestFit="1" customWidth="1"/>
    <col min="11052" max="11052" width="7.7109375" bestFit="1" customWidth="1"/>
    <col min="11053" max="11053" width="12.7109375" bestFit="1" customWidth="1"/>
    <col min="11054" max="11054" width="11.7109375" bestFit="1" customWidth="1"/>
    <col min="11055" max="11055" width="11.5703125" bestFit="1" customWidth="1"/>
    <col min="11056" max="11056" width="5.28515625" bestFit="1" customWidth="1"/>
    <col min="11057" max="11057" width="13.28515625" bestFit="1" customWidth="1"/>
    <col min="11058" max="11058" width="13.5703125" bestFit="1" customWidth="1"/>
    <col min="11059" max="11059" width="10.5703125" bestFit="1" customWidth="1"/>
    <col min="11060" max="11060" width="13.28515625" bestFit="1" customWidth="1"/>
    <col min="11061" max="11061" width="11.5703125" bestFit="1" customWidth="1"/>
    <col min="11062" max="11062" width="10.5703125" bestFit="1" customWidth="1"/>
    <col min="11063" max="11063" width="16.140625" bestFit="1" customWidth="1"/>
    <col min="11064" max="11065" width="11.28515625" bestFit="1" customWidth="1"/>
    <col min="11066" max="11066" width="13.28515625" bestFit="1" customWidth="1"/>
    <col min="11067" max="11067" width="7.7109375" bestFit="1" customWidth="1"/>
    <col min="11068" max="11071" width="9.140625" hidden="1" customWidth="1"/>
    <col min="11072" max="11072" width="10.42578125" bestFit="1" customWidth="1"/>
    <col min="11073" max="11073" width="10.5703125" bestFit="1" customWidth="1"/>
    <col min="11074" max="11074" width="10.42578125" bestFit="1" customWidth="1"/>
    <col min="11075" max="11075" width="10.5703125" bestFit="1" customWidth="1"/>
    <col min="11076" max="11076" width="9.5703125" bestFit="1" customWidth="1"/>
    <col min="11077" max="11077" width="11.5703125" bestFit="1" customWidth="1"/>
    <col min="11078" max="11078" width="10.42578125" bestFit="1" customWidth="1"/>
    <col min="11079" max="11079" width="10.85546875" customWidth="1"/>
    <col min="11080" max="11081" width="9.85546875" bestFit="1" customWidth="1"/>
    <col min="11082" max="11082" width="13.5703125" bestFit="1" customWidth="1"/>
    <col min="11083" max="11083" width="7.7109375" bestFit="1" customWidth="1"/>
    <col min="11084" max="11084" width="13.28515625" bestFit="1" customWidth="1"/>
    <col min="11085" max="11085" width="11.5703125" bestFit="1" customWidth="1"/>
    <col min="11086" max="11086" width="10.42578125" bestFit="1" customWidth="1"/>
    <col min="11087" max="11087" width="7.7109375" bestFit="1" customWidth="1"/>
    <col min="11088" max="11088" width="11.5703125" bestFit="1" customWidth="1"/>
    <col min="11089" max="11089" width="10.85546875" bestFit="1" customWidth="1"/>
    <col min="11090" max="11090" width="13.28515625" bestFit="1" customWidth="1"/>
    <col min="11091" max="11091" width="10.85546875" bestFit="1" customWidth="1"/>
    <col min="11092" max="11093" width="7.5703125" bestFit="1" customWidth="1"/>
    <col min="11094" max="11095" width="10.42578125" bestFit="1" customWidth="1"/>
    <col min="11096" max="11096" width="11.5703125" bestFit="1" customWidth="1"/>
    <col min="11097" max="11097" width="5.28515625" bestFit="1" customWidth="1"/>
    <col min="11098" max="11098" width="10.28515625" bestFit="1" customWidth="1"/>
    <col min="11099" max="11099" width="10.42578125" bestFit="1" customWidth="1"/>
    <col min="11100" max="11100" width="11.5703125" bestFit="1" customWidth="1"/>
    <col min="11101" max="11101" width="5.28515625" bestFit="1" customWidth="1"/>
    <col min="11102" max="11104" width="11.5703125" bestFit="1" customWidth="1"/>
    <col min="11105" max="11105" width="5.28515625" bestFit="1" customWidth="1"/>
    <col min="11106" max="11107" width="10.42578125" bestFit="1" customWidth="1"/>
    <col min="11108" max="11108" width="11.5703125" bestFit="1" customWidth="1"/>
    <col min="11109" max="11109" width="5.28515625" bestFit="1" customWidth="1"/>
    <col min="11110" max="11110" width="14.28515625" bestFit="1" customWidth="1"/>
    <col min="11111" max="11111" width="13" bestFit="1" customWidth="1"/>
    <col min="11112" max="11112" width="11.5703125" bestFit="1" customWidth="1"/>
    <col min="11113" max="11113" width="8.85546875" bestFit="1" customWidth="1"/>
    <col min="11114" max="11114" width="14.42578125" bestFit="1" customWidth="1"/>
    <col min="11115" max="11115" width="10.42578125" bestFit="1" customWidth="1"/>
    <col min="11116" max="11116" width="12.28515625" bestFit="1" customWidth="1"/>
    <col min="11117" max="11117" width="13.85546875" bestFit="1" customWidth="1"/>
    <col min="11118" max="11118" width="11.28515625" customWidth="1"/>
    <col min="11119" max="11119" width="11.5703125" customWidth="1"/>
    <col min="11120" max="11120" width="13.42578125" bestFit="1" customWidth="1"/>
    <col min="11121" max="11121" width="10.42578125" customWidth="1"/>
    <col min="11122" max="11122" width="13.85546875" bestFit="1" customWidth="1"/>
    <col min="11123" max="11123" width="15.42578125" bestFit="1" customWidth="1"/>
    <col min="11124" max="11124" width="12.28515625" bestFit="1" customWidth="1"/>
    <col min="11125" max="11125" width="12.7109375" customWidth="1"/>
    <col min="11126" max="11126" width="10.7109375" bestFit="1" customWidth="1"/>
    <col min="11127" max="11127" width="9.85546875" customWidth="1"/>
    <col min="11128" max="11129" width="10.140625" bestFit="1" customWidth="1"/>
    <col min="11130" max="11130" width="7.5703125" bestFit="1" customWidth="1"/>
    <col min="11131" max="11131" width="9.42578125" bestFit="1" customWidth="1"/>
    <col min="11132" max="11132" width="14.5703125" bestFit="1" customWidth="1"/>
    <col min="11133" max="11133" width="14.85546875" customWidth="1"/>
    <col min="11134" max="11134" width="15.140625" bestFit="1" customWidth="1"/>
    <col min="11135" max="11135" width="12.140625" bestFit="1" customWidth="1"/>
    <col min="11136" max="11136" width="14.85546875" bestFit="1" customWidth="1"/>
    <col min="11137" max="11137" width="12.28515625" bestFit="1" customWidth="1"/>
    <col min="11138" max="11146" width="9.140625" hidden="1" customWidth="1"/>
    <col min="11147" max="11147" width="5.28515625" bestFit="1" customWidth="1"/>
    <col min="11148" max="11153" width="11.5703125" bestFit="1" customWidth="1"/>
    <col min="11154" max="11154" width="11.28515625" bestFit="1" customWidth="1"/>
    <col min="11155" max="11155" width="10.140625" bestFit="1" customWidth="1"/>
    <col min="11156" max="11156" width="11.5703125" bestFit="1" customWidth="1"/>
    <col min="11157" max="11157" width="16.140625" customWidth="1"/>
    <col min="11158" max="11158" width="13.42578125" customWidth="1"/>
    <col min="11159" max="11159" width="10.140625" bestFit="1" customWidth="1"/>
    <col min="11160" max="11160" width="12.85546875" bestFit="1" customWidth="1"/>
    <col min="11161" max="11161" width="12.28515625" bestFit="1" customWidth="1"/>
    <col min="11162" max="11162" width="11.28515625" bestFit="1" customWidth="1"/>
    <col min="11163" max="11163" width="11.5703125" bestFit="1" customWidth="1"/>
    <col min="11164" max="11164" width="10.85546875" bestFit="1" customWidth="1"/>
    <col min="11165" max="11165" width="11.28515625" bestFit="1" customWidth="1"/>
    <col min="11166" max="11166" width="10.140625" bestFit="1" customWidth="1"/>
    <col min="11167" max="11167" width="13.28515625" bestFit="1" customWidth="1"/>
    <col min="11168" max="11169" width="12.7109375" bestFit="1" customWidth="1"/>
    <col min="11170" max="11170" width="11" bestFit="1" customWidth="1"/>
    <col min="11171" max="11171" width="11.28515625" bestFit="1" customWidth="1"/>
    <col min="11172" max="11172" width="11.5703125" bestFit="1" customWidth="1"/>
    <col min="11173" max="11173" width="12.28515625" bestFit="1" customWidth="1"/>
    <col min="11174" max="11174" width="15.140625" bestFit="1" customWidth="1"/>
    <col min="11175" max="11175" width="14.42578125" bestFit="1" customWidth="1"/>
    <col min="11176" max="11176" width="12.28515625" bestFit="1" customWidth="1"/>
    <col min="11177" max="11177" width="15.140625" bestFit="1" customWidth="1"/>
    <col min="11178" max="11178" width="14.42578125" bestFit="1" customWidth="1"/>
    <col min="11179" max="11179" width="12.28515625" bestFit="1" customWidth="1"/>
    <col min="11180" max="11180" width="14.42578125" bestFit="1" customWidth="1"/>
    <col min="11181" max="11181" width="11.28515625" bestFit="1" customWidth="1"/>
    <col min="11182" max="11182" width="12.28515625" bestFit="1" customWidth="1"/>
    <col min="11183" max="11183" width="13" bestFit="1" customWidth="1"/>
    <col min="11184" max="11184" width="15.140625" bestFit="1" customWidth="1"/>
    <col min="11185" max="11185" width="12.28515625" bestFit="1" customWidth="1"/>
    <col min="11186" max="11186" width="13.85546875" bestFit="1" customWidth="1"/>
    <col min="11187" max="11187" width="11.28515625" bestFit="1" customWidth="1"/>
    <col min="11188" max="11188" width="12.28515625" bestFit="1" customWidth="1"/>
    <col min="11189" max="11189" width="13.85546875" bestFit="1" customWidth="1"/>
    <col min="11190" max="11191" width="15.140625" bestFit="1" customWidth="1"/>
    <col min="11192" max="11192" width="12.28515625" bestFit="1" customWidth="1"/>
    <col min="11193" max="11193" width="5.7109375" bestFit="1" customWidth="1"/>
    <col min="11194" max="11194" width="8.5703125" bestFit="1" customWidth="1"/>
    <col min="11195" max="11195" width="5.5703125" bestFit="1" customWidth="1"/>
    <col min="11196" max="11196" width="14.42578125" bestFit="1" customWidth="1"/>
    <col min="11197" max="11197" width="11.28515625" bestFit="1" customWidth="1"/>
    <col min="11198" max="11199" width="12.28515625" bestFit="1" customWidth="1"/>
    <col min="11200" max="11200" width="11.28515625" bestFit="1" customWidth="1"/>
    <col min="11201" max="11201" width="13.85546875" bestFit="1" customWidth="1"/>
    <col min="11202" max="11202" width="12" bestFit="1" customWidth="1"/>
    <col min="11203" max="11203" width="13.85546875" bestFit="1" customWidth="1"/>
    <col min="11204" max="11205" width="14.42578125" customWidth="1"/>
    <col min="11206" max="11206" width="10.140625" bestFit="1" customWidth="1"/>
    <col min="11207" max="11207" width="12.28515625" bestFit="1" customWidth="1"/>
    <col min="11208" max="11208" width="7.42578125" bestFit="1" customWidth="1"/>
    <col min="11209" max="11209" width="8.5703125" bestFit="1" customWidth="1"/>
    <col min="11210" max="11210" width="11.5703125" bestFit="1" customWidth="1"/>
    <col min="11211" max="11211" width="13.28515625" bestFit="1" customWidth="1"/>
    <col min="11212" max="11212" width="13.28515625" customWidth="1"/>
    <col min="11213" max="11213" width="13.140625" customWidth="1"/>
    <col min="11214" max="11214" width="12.7109375" bestFit="1" customWidth="1"/>
    <col min="11215" max="11215" width="13.28515625" bestFit="1" customWidth="1"/>
    <col min="11216" max="11218" width="13.28515625" customWidth="1"/>
    <col min="11219" max="11219" width="12.140625" bestFit="1" customWidth="1"/>
    <col min="11220" max="11220" width="12.7109375" bestFit="1" customWidth="1"/>
    <col min="11221" max="11221" width="11" customWidth="1"/>
    <col min="11222" max="11222" width="16.7109375" customWidth="1"/>
    <col min="11223" max="11223" width="17" customWidth="1"/>
    <col min="11224" max="11224" width="10.42578125" bestFit="1" customWidth="1"/>
    <col min="11268" max="11268" width="3.85546875" customWidth="1"/>
    <col min="11269" max="11269" width="15.28515625" bestFit="1" customWidth="1"/>
    <col min="11270" max="11270" width="12.28515625" customWidth="1"/>
    <col min="11271" max="11271" width="16.28515625" bestFit="1" customWidth="1"/>
    <col min="11272" max="11272" width="6.42578125" bestFit="1" customWidth="1"/>
    <col min="11273" max="11273" width="9.28515625" bestFit="1" customWidth="1"/>
    <col min="11274" max="11274" width="7.5703125" bestFit="1" customWidth="1"/>
    <col min="11275" max="11275" width="13.28515625" bestFit="1" customWidth="1"/>
    <col min="11276" max="11276" width="9.28515625" bestFit="1" customWidth="1"/>
    <col min="11277" max="11277" width="11.5703125" bestFit="1" customWidth="1"/>
    <col min="11278" max="11278" width="13.28515625" bestFit="1" customWidth="1"/>
    <col min="11279" max="11279" width="7.140625" bestFit="1" customWidth="1"/>
    <col min="11280" max="11280" width="12" bestFit="1" customWidth="1"/>
    <col min="11281" max="11281" width="13.28515625" bestFit="1" customWidth="1"/>
    <col min="11282" max="11282" width="7" bestFit="1" customWidth="1"/>
    <col min="11283" max="11283" width="12.7109375" bestFit="1" customWidth="1"/>
    <col min="11284" max="11284" width="11.5703125" bestFit="1" customWidth="1"/>
    <col min="11285" max="11285" width="10.5703125" bestFit="1" customWidth="1"/>
    <col min="11286" max="11287" width="15.7109375" bestFit="1" customWidth="1"/>
    <col min="11288" max="11288" width="11.5703125" bestFit="1" customWidth="1"/>
    <col min="11289" max="11289" width="7.7109375" bestFit="1" customWidth="1"/>
    <col min="11290" max="11290" width="15.140625" bestFit="1" customWidth="1"/>
    <col min="11291" max="11291" width="11.5703125" bestFit="1" customWidth="1"/>
    <col min="11292" max="11292" width="13.28515625" bestFit="1" customWidth="1"/>
    <col min="11293" max="11293" width="10.42578125" bestFit="1" customWidth="1"/>
    <col min="11294" max="11294" width="13.28515625" bestFit="1" customWidth="1"/>
    <col min="11295" max="11295" width="12.140625" bestFit="1" customWidth="1"/>
    <col min="11296" max="11296" width="14.42578125" bestFit="1" customWidth="1"/>
    <col min="11297" max="11297" width="13.28515625" bestFit="1" customWidth="1"/>
    <col min="11298" max="11298" width="11.5703125" bestFit="1" customWidth="1"/>
    <col min="11299" max="11299" width="7.7109375" bestFit="1" customWidth="1"/>
    <col min="11300" max="11301" width="14.42578125" bestFit="1" customWidth="1"/>
    <col min="11302" max="11302" width="11.5703125" bestFit="1" customWidth="1"/>
    <col min="11303" max="11303" width="7.7109375" bestFit="1" customWidth="1"/>
    <col min="11304" max="11304" width="13.5703125" customWidth="1"/>
    <col min="11305" max="11305" width="15.28515625" customWidth="1"/>
    <col min="11306" max="11306" width="14.5703125" customWidth="1"/>
    <col min="11307" max="11307" width="13.28515625" bestFit="1" customWidth="1"/>
    <col min="11308" max="11308" width="7.7109375" bestFit="1" customWidth="1"/>
    <col min="11309" max="11309" width="12.7109375" bestFit="1" customWidth="1"/>
    <col min="11310" max="11310" width="11.7109375" bestFit="1" customWidth="1"/>
    <col min="11311" max="11311" width="11.5703125" bestFit="1" customWidth="1"/>
    <col min="11312" max="11312" width="5.28515625" bestFit="1" customWidth="1"/>
    <col min="11313" max="11313" width="13.28515625" bestFit="1" customWidth="1"/>
    <col min="11314" max="11314" width="13.5703125" bestFit="1" customWidth="1"/>
    <col min="11315" max="11315" width="10.5703125" bestFit="1" customWidth="1"/>
    <col min="11316" max="11316" width="13.28515625" bestFit="1" customWidth="1"/>
    <col min="11317" max="11317" width="11.5703125" bestFit="1" customWidth="1"/>
    <col min="11318" max="11318" width="10.5703125" bestFit="1" customWidth="1"/>
    <col min="11319" max="11319" width="16.140625" bestFit="1" customWidth="1"/>
    <col min="11320" max="11321" width="11.28515625" bestFit="1" customWidth="1"/>
    <col min="11322" max="11322" width="13.28515625" bestFit="1" customWidth="1"/>
    <col min="11323" max="11323" width="7.7109375" bestFit="1" customWidth="1"/>
    <col min="11324" max="11327" width="9.140625" hidden="1" customWidth="1"/>
    <col min="11328" max="11328" width="10.42578125" bestFit="1" customWidth="1"/>
    <col min="11329" max="11329" width="10.5703125" bestFit="1" customWidth="1"/>
    <col min="11330" max="11330" width="10.42578125" bestFit="1" customWidth="1"/>
    <col min="11331" max="11331" width="10.5703125" bestFit="1" customWidth="1"/>
    <col min="11332" max="11332" width="9.5703125" bestFit="1" customWidth="1"/>
    <col min="11333" max="11333" width="11.5703125" bestFit="1" customWidth="1"/>
    <col min="11334" max="11334" width="10.42578125" bestFit="1" customWidth="1"/>
    <col min="11335" max="11335" width="10.85546875" customWidth="1"/>
    <col min="11336" max="11337" width="9.85546875" bestFit="1" customWidth="1"/>
    <col min="11338" max="11338" width="13.5703125" bestFit="1" customWidth="1"/>
    <col min="11339" max="11339" width="7.7109375" bestFit="1" customWidth="1"/>
    <col min="11340" max="11340" width="13.28515625" bestFit="1" customWidth="1"/>
    <col min="11341" max="11341" width="11.5703125" bestFit="1" customWidth="1"/>
    <col min="11342" max="11342" width="10.42578125" bestFit="1" customWidth="1"/>
    <col min="11343" max="11343" width="7.7109375" bestFit="1" customWidth="1"/>
    <col min="11344" max="11344" width="11.5703125" bestFit="1" customWidth="1"/>
    <col min="11345" max="11345" width="10.85546875" bestFit="1" customWidth="1"/>
    <col min="11346" max="11346" width="13.28515625" bestFit="1" customWidth="1"/>
    <col min="11347" max="11347" width="10.85546875" bestFit="1" customWidth="1"/>
    <col min="11348" max="11349" width="7.5703125" bestFit="1" customWidth="1"/>
    <col min="11350" max="11351" width="10.42578125" bestFit="1" customWidth="1"/>
    <col min="11352" max="11352" width="11.5703125" bestFit="1" customWidth="1"/>
    <col min="11353" max="11353" width="5.28515625" bestFit="1" customWidth="1"/>
    <col min="11354" max="11354" width="10.28515625" bestFit="1" customWidth="1"/>
    <col min="11355" max="11355" width="10.42578125" bestFit="1" customWidth="1"/>
    <col min="11356" max="11356" width="11.5703125" bestFit="1" customWidth="1"/>
    <col min="11357" max="11357" width="5.28515625" bestFit="1" customWidth="1"/>
    <col min="11358" max="11360" width="11.5703125" bestFit="1" customWidth="1"/>
    <col min="11361" max="11361" width="5.28515625" bestFit="1" customWidth="1"/>
    <col min="11362" max="11363" width="10.42578125" bestFit="1" customWidth="1"/>
    <col min="11364" max="11364" width="11.5703125" bestFit="1" customWidth="1"/>
    <col min="11365" max="11365" width="5.28515625" bestFit="1" customWidth="1"/>
    <col min="11366" max="11366" width="14.28515625" bestFit="1" customWidth="1"/>
    <col min="11367" max="11367" width="13" bestFit="1" customWidth="1"/>
    <col min="11368" max="11368" width="11.5703125" bestFit="1" customWidth="1"/>
    <col min="11369" max="11369" width="8.85546875" bestFit="1" customWidth="1"/>
    <col min="11370" max="11370" width="14.42578125" bestFit="1" customWidth="1"/>
    <col min="11371" max="11371" width="10.42578125" bestFit="1" customWidth="1"/>
    <col min="11372" max="11372" width="12.28515625" bestFit="1" customWidth="1"/>
    <col min="11373" max="11373" width="13.85546875" bestFit="1" customWidth="1"/>
    <col min="11374" max="11374" width="11.28515625" customWidth="1"/>
    <col min="11375" max="11375" width="11.5703125" customWidth="1"/>
    <col min="11376" max="11376" width="13.42578125" bestFit="1" customWidth="1"/>
    <col min="11377" max="11377" width="10.42578125" customWidth="1"/>
    <col min="11378" max="11378" width="13.85546875" bestFit="1" customWidth="1"/>
    <col min="11379" max="11379" width="15.42578125" bestFit="1" customWidth="1"/>
    <col min="11380" max="11380" width="12.28515625" bestFit="1" customWidth="1"/>
    <col min="11381" max="11381" width="12.7109375" customWidth="1"/>
    <col min="11382" max="11382" width="10.7109375" bestFit="1" customWidth="1"/>
    <col min="11383" max="11383" width="9.85546875" customWidth="1"/>
    <col min="11384" max="11385" width="10.140625" bestFit="1" customWidth="1"/>
    <col min="11386" max="11386" width="7.5703125" bestFit="1" customWidth="1"/>
    <col min="11387" max="11387" width="9.42578125" bestFit="1" customWidth="1"/>
    <col min="11388" max="11388" width="14.5703125" bestFit="1" customWidth="1"/>
    <col min="11389" max="11389" width="14.85546875" customWidth="1"/>
    <col min="11390" max="11390" width="15.140625" bestFit="1" customWidth="1"/>
    <col min="11391" max="11391" width="12.140625" bestFit="1" customWidth="1"/>
    <col min="11392" max="11392" width="14.85546875" bestFit="1" customWidth="1"/>
    <col min="11393" max="11393" width="12.28515625" bestFit="1" customWidth="1"/>
    <col min="11394" max="11402" width="9.140625" hidden="1" customWidth="1"/>
    <col min="11403" max="11403" width="5.28515625" bestFit="1" customWidth="1"/>
    <col min="11404" max="11409" width="11.5703125" bestFit="1" customWidth="1"/>
    <col min="11410" max="11410" width="11.28515625" bestFit="1" customWidth="1"/>
    <col min="11411" max="11411" width="10.140625" bestFit="1" customWidth="1"/>
    <col min="11412" max="11412" width="11.5703125" bestFit="1" customWidth="1"/>
    <col min="11413" max="11413" width="16.140625" customWidth="1"/>
    <col min="11414" max="11414" width="13.42578125" customWidth="1"/>
    <col min="11415" max="11415" width="10.140625" bestFit="1" customWidth="1"/>
    <col min="11416" max="11416" width="12.85546875" bestFit="1" customWidth="1"/>
    <col min="11417" max="11417" width="12.28515625" bestFit="1" customWidth="1"/>
    <col min="11418" max="11418" width="11.28515625" bestFit="1" customWidth="1"/>
    <col min="11419" max="11419" width="11.5703125" bestFit="1" customWidth="1"/>
    <col min="11420" max="11420" width="10.85546875" bestFit="1" customWidth="1"/>
    <col min="11421" max="11421" width="11.28515625" bestFit="1" customWidth="1"/>
    <col min="11422" max="11422" width="10.140625" bestFit="1" customWidth="1"/>
    <col min="11423" max="11423" width="13.28515625" bestFit="1" customWidth="1"/>
    <col min="11424" max="11425" width="12.7109375" bestFit="1" customWidth="1"/>
    <col min="11426" max="11426" width="11" bestFit="1" customWidth="1"/>
    <col min="11427" max="11427" width="11.28515625" bestFit="1" customWidth="1"/>
    <col min="11428" max="11428" width="11.5703125" bestFit="1" customWidth="1"/>
    <col min="11429" max="11429" width="12.28515625" bestFit="1" customWidth="1"/>
    <col min="11430" max="11430" width="15.140625" bestFit="1" customWidth="1"/>
    <col min="11431" max="11431" width="14.42578125" bestFit="1" customWidth="1"/>
    <col min="11432" max="11432" width="12.28515625" bestFit="1" customWidth="1"/>
    <col min="11433" max="11433" width="15.140625" bestFit="1" customWidth="1"/>
    <col min="11434" max="11434" width="14.42578125" bestFit="1" customWidth="1"/>
    <col min="11435" max="11435" width="12.28515625" bestFit="1" customWidth="1"/>
    <col min="11436" max="11436" width="14.42578125" bestFit="1" customWidth="1"/>
    <col min="11437" max="11437" width="11.28515625" bestFit="1" customWidth="1"/>
    <col min="11438" max="11438" width="12.28515625" bestFit="1" customWidth="1"/>
    <col min="11439" max="11439" width="13" bestFit="1" customWidth="1"/>
    <col min="11440" max="11440" width="15.140625" bestFit="1" customWidth="1"/>
    <col min="11441" max="11441" width="12.28515625" bestFit="1" customWidth="1"/>
    <col min="11442" max="11442" width="13.85546875" bestFit="1" customWidth="1"/>
    <col min="11443" max="11443" width="11.28515625" bestFit="1" customWidth="1"/>
    <col min="11444" max="11444" width="12.28515625" bestFit="1" customWidth="1"/>
    <col min="11445" max="11445" width="13.85546875" bestFit="1" customWidth="1"/>
    <col min="11446" max="11447" width="15.140625" bestFit="1" customWidth="1"/>
    <col min="11448" max="11448" width="12.28515625" bestFit="1" customWidth="1"/>
    <col min="11449" max="11449" width="5.7109375" bestFit="1" customWidth="1"/>
    <col min="11450" max="11450" width="8.5703125" bestFit="1" customWidth="1"/>
    <col min="11451" max="11451" width="5.5703125" bestFit="1" customWidth="1"/>
    <col min="11452" max="11452" width="14.42578125" bestFit="1" customWidth="1"/>
    <col min="11453" max="11453" width="11.28515625" bestFit="1" customWidth="1"/>
    <col min="11454" max="11455" width="12.28515625" bestFit="1" customWidth="1"/>
    <col min="11456" max="11456" width="11.28515625" bestFit="1" customWidth="1"/>
    <col min="11457" max="11457" width="13.85546875" bestFit="1" customWidth="1"/>
    <col min="11458" max="11458" width="12" bestFit="1" customWidth="1"/>
    <col min="11459" max="11459" width="13.85546875" bestFit="1" customWidth="1"/>
    <col min="11460" max="11461" width="14.42578125" customWidth="1"/>
    <col min="11462" max="11462" width="10.140625" bestFit="1" customWidth="1"/>
    <col min="11463" max="11463" width="12.28515625" bestFit="1" customWidth="1"/>
    <col min="11464" max="11464" width="7.42578125" bestFit="1" customWidth="1"/>
    <col min="11465" max="11465" width="8.5703125" bestFit="1" customWidth="1"/>
    <col min="11466" max="11466" width="11.5703125" bestFit="1" customWidth="1"/>
    <col min="11467" max="11467" width="13.28515625" bestFit="1" customWidth="1"/>
    <col min="11468" max="11468" width="13.28515625" customWidth="1"/>
    <col min="11469" max="11469" width="13.140625" customWidth="1"/>
    <col min="11470" max="11470" width="12.7109375" bestFit="1" customWidth="1"/>
    <col min="11471" max="11471" width="13.28515625" bestFit="1" customWidth="1"/>
    <col min="11472" max="11474" width="13.28515625" customWidth="1"/>
    <col min="11475" max="11475" width="12.140625" bestFit="1" customWidth="1"/>
    <col min="11476" max="11476" width="12.7109375" bestFit="1" customWidth="1"/>
    <col min="11477" max="11477" width="11" customWidth="1"/>
    <col min="11478" max="11478" width="16.7109375" customWidth="1"/>
    <col min="11479" max="11479" width="17" customWidth="1"/>
    <col min="11480" max="11480" width="10.42578125" bestFit="1" customWidth="1"/>
    <col min="11524" max="11524" width="3.85546875" customWidth="1"/>
    <col min="11525" max="11525" width="15.28515625" bestFit="1" customWidth="1"/>
    <col min="11526" max="11526" width="12.28515625" customWidth="1"/>
    <col min="11527" max="11527" width="16.28515625" bestFit="1" customWidth="1"/>
    <col min="11528" max="11528" width="6.42578125" bestFit="1" customWidth="1"/>
    <col min="11529" max="11529" width="9.28515625" bestFit="1" customWidth="1"/>
    <col min="11530" max="11530" width="7.5703125" bestFit="1" customWidth="1"/>
    <col min="11531" max="11531" width="13.28515625" bestFit="1" customWidth="1"/>
    <col min="11532" max="11532" width="9.28515625" bestFit="1" customWidth="1"/>
    <col min="11533" max="11533" width="11.5703125" bestFit="1" customWidth="1"/>
    <col min="11534" max="11534" width="13.28515625" bestFit="1" customWidth="1"/>
    <col min="11535" max="11535" width="7.140625" bestFit="1" customWidth="1"/>
    <col min="11536" max="11536" width="12" bestFit="1" customWidth="1"/>
    <col min="11537" max="11537" width="13.28515625" bestFit="1" customWidth="1"/>
    <col min="11538" max="11538" width="7" bestFit="1" customWidth="1"/>
    <col min="11539" max="11539" width="12.7109375" bestFit="1" customWidth="1"/>
    <col min="11540" max="11540" width="11.5703125" bestFit="1" customWidth="1"/>
    <col min="11541" max="11541" width="10.5703125" bestFit="1" customWidth="1"/>
    <col min="11542" max="11543" width="15.7109375" bestFit="1" customWidth="1"/>
    <col min="11544" max="11544" width="11.5703125" bestFit="1" customWidth="1"/>
    <col min="11545" max="11545" width="7.7109375" bestFit="1" customWidth="1"/>
    <col min="11546" max="11546" width="15.140625" bestFit="1" customWidth="1"/>
    <col min="11547" max="11547" width="11.5703125" bestFit="1" customWidth="1"/>
    <col min="11548" max="11548" width="13.28515625" bestFit="1" customWidth="1"/>
    <col min="11549" max="11549" width="10.42578125" bestFit="1" customWidth="1"/>
    <col min="11550" max="11550" width="13.28515625" bestFit="1" customWidth="1"/>
    <col min="11551" max="11551" width="12.140625" bestFit="1" customWidth="1"/>
    <col min="11552" max="11552" width="14.42578125" bestFit="1" customWidth="1"/>
    <col min="11553" max="11553" width="13.28515625" bestFit="1" customWidth="1"/>
    <col min="11554" max="11554" width="11.5703125" bestFit="1" customWidth="1"/>
    <col min="11555" max="11555" width="7.7109375" bestFit="1" customWidth="1"/>
    <col min="11556" max="11557" width="14.42578125" bestFit="1" customWidth="1"/>
    <col min="11558" max="11558" width="11.5703125" bestFit="1" customWidth="1"/>
    <col min="11559" max="11559" width="7.7109375" bestFit="1" customWidth="1"/>
    <col min="11560" max="11560" width="13.5703125" customWidth="1"/>
    <col min="11561" max="11561" width="15.28515625" customWidth="1"/>
    <col min="11562" max="11562" width="14.5703125" customWidth="1"/>
    <col min="11563" max="11563" width="13.28515625" bestFit="1" customWidth="1"/>
    <col min="11564" max="11564" width="7.7109375" bestFit="1" customWidth="1"/>
    <col min="11565" max="11565" width="12.7109375" bestFit="1" customWidth="1"/>
    <col min="11566" max="11566" width="11.7109375" bestFit="1" customWidth="1"/>
    <col min="11567" max="11567" width="11.5703125" bestFit="1" customWidth="1"/>
    <col min="11568" max="11568" width="5.28515625" bestFit="1" customWidth="1"/>
    <col min="11569" max="11569" width="13.28515625" bestFit="1" customWidth="1"/>
    <col min="11570" max="11570" width="13.5703125" bestFit="1" customWidth="1"/>
    <col min="11571" max="11571" width="10.5703125" bestFit="1" customWidth="1"/>
    <col min="11572" max="11572" width="13.28515625" bestFit="1" customWidth="1"/>
    <col min="11573" max="11573" width="11.5703125" bestFit="1" customWidth="1"/>
    <col min="11574" max="11574" width="10.5703125" bestFit="1" customWidth="1"/>
    <col min="11575" max="11575" width="16.140625" bestFit="1" customWidth="1"/>
    <col min="11576" max="11577" width="11.28515625" bestFit="1" customWidth="1"/>
    <col min="11578" max="11578" width="13.28515625" bestFit="1" customWidth="1"/>
    <col min="11579" max="11579" width="7.7109375" bestFit="1" customWidth="1"/>
    <col min="11580" max="11583" width="9.140625" hidden="1" customWidth="1"/>
    <col min="11584" max="11584" width="10.42578125" bestFit="1" customWidth="1"/>
    <col min="11585" max="11585" width="10.5703125" bestFit="1" customWidth="1"/>
    <col min="11586" max="11586" width="10.42578125" bestFit="1" customWidth="1"/>
    <col min="11587" max="11587" width="10.5703125" bestFit="1" customWidth="1"/>
    <col min="11588" max="11588" width="9.5703125" bestFit="1" customWidth="1"/>
    <col min="11589" max="11589" width="11.5703125" bestFit="1" customWidth="1"/>
    <col min="11590" max="11590" width="10.42578125" bestFit="1" customWidth="1"/>
    <col min="11591" max="11591" width="10.85546875" customWidth="1"/>
    <col min="11592" max="11593" width="9.85546875" bestFit="1" customWidth="1"/>
    <col min="11594" max="11594" width="13.5703125" bestFit="1" customWidth="1"/>
    <col min="11595" max="11595" width="7.7109375" bestFit="1" customWidth="1"/>
    <col min="11596" max="11596" width="13.28515625" bestFit="1" customWidth="1"/>
    <col min="11597" max="11597" width="11.5703125" bestFit="1" customWidth="1"/>
    <col min="11598" max="11598" width="10.42578125" bestFit="1" customWidth="1"/>
    <col min="11599" max="11599" width="7.7109375" bestFit="1" customWidth="1"/>
    <col min="11600" max="11600" width="11.5703125" bestFit="1" customWidth="1"/>
    <col min="11601" max="11601" width="10.85546875" bestFit="1" customWidth="1"/>
    <col min="11602" max="11602" width="13.28515625" bestFit="1" customWidth="1"/>
    <col min="11603" max="11603" width="10.85546875" bestFit="1" customWidth="1"/>
    <col min="11604" max="11605" width="7.5703125" bestFit="1" customWidth="1"/>
    <col min="11606" max="11607" width="10.42578125" bestFit="1" customWidth="1"/>
    <col min="11608" max="11608" width="11.5703125" bestFit="1" customWidth="1"/>
    <col min="11609" max="11609" width="5.28515625" bestFit="1" customWidth="1"/>
    <col min="11610" max="11610" width="10.28515625" bestFit="1" customWidth="1"/>
    <col min="11611" max="11611" width="10.42578125" bestFit="1" customWidth="1"/>
    <col min="11612" max="11612" width="11.5703125" bestFit="1" customWidth="1"/>
    <col min="11613" max="11613" width="5.28515625" bestFit="1" customWidth="1"/>
    <col min="11614" max="11616" width="11.5703125" bestFit="1" customWidth="1"/>
    <col min="11617" max="11617" width="5.28515625" bestFit="1" customWidth="1"/>
    <col min="11618" max="11619" width="10.42578125" bestFit="1" customWidth="1"/>
    <col min="11620" max="11620" width="11.5703125" bestFit="1" customWidth="1"/>
    <col min="11621" max="11621" width="5.28515625" bestFit="1" customWidth="1"/>
    <col min="11622" max="11622" width="14.28515625" bestFit="1" customWidth="1"/>
    <col min="11623" max="11623" width="13" bestFit="1" customWidth="1"/>
    <col min="11624" max="11624" width="11.5703125" bestFit="1" customWidth="1"/>
    <col min="11625" max="11625" width="8.85546875" bestFit="1" customWidth="1"/>
    <col min="11626" max="11626" width="14.42578125" bestFit="1" customWidth="1"/>
    <col min="11627" max="11627" width="10.42578125" bestFit="1" customWidth="1"/>
    <col min="11628" max="11628" width="12.28515625" bestFit="1" customWidth="1"/>
    <col min="11629" max="11629" width="13.85546875" bestFit="1" customWidth="1"/>
    <col min="11630" max="11630" width="11.28515625" customWidth="1"/>
    <col min="11631" max="11631" width="11.5703125" customWidth="1"/>
    <col min="11632" max="11632" width="13.42578125" bestFit="1" customWidth="1"/>
    <col min="11633" max="11633" width="10.42578125" customWidth="1"/>
    <col min="11634" max="11634" width="13.85546875" bestFit="1" customWidth="1"/>
    <col min="11635" max="11635" width="15.42578125" bestFit="1" customWidth="1"/>
    <col min="11636" max="11636" width="12.28515625" bestFit="1" customWidth="1"/>
    <col min="11637" max="11637" width="12.7109375" customWidth="1"/>
    <col min="11638" max="11638" width="10.7109375" bestFit="1" customWidth="1"/>
    <col min="11639" max="11639" width="9.85546875" customWidth="1"/>
    <col min="11640" max="11641" width="10.140625" bestFit="1" customWidth="1"/>
    <col min="11642" max="11642" width="7.5703125" bestFit="1" customWidth="1"/>
    <col min="11643" max="11643" width="9.42578125" bestFit="1" customWidth="1"/>
    <col min="11644" max="11644" width="14.5703125" bestFit="1" customWidth="1"/>
    <col min="11645" max="11645" width="14.85546875" customWidth="1"/>
    <col min="11646" max="11646" width="15.140625" bestFit="1" customWidth="1"/>
    <col min="11647" max="11647" width="12.140625" bestFit="1" customWidth="1"/>
    <col min="11648" max="11648" width="14.85546875" bestFit="1" customWidth="1"/>
    <col min="11649" max="11649" width="12.28515625" bestFit="1" customWidth="1"/>
    <col min="11650" max="11658" width="9.140625" hidden="1" customWidth="1"/>
    <col min="11659" max="11659" width="5.28515625" bestFit="1" customWidth="1"/>
    <col min="11660" max="11665" width="11.5703125" bestFit="1" customWidth="1"/>
    <col min="11666" max="11666" width="11.28515625" bestFit="1" customWidth="1"/>
    <col min="11667" max="11667" width="10.140625" bestFit="1" customWidth="1"/>
    <col min="11668" max="11668" width="11.5703125" bestFit="1" customWidth="1"/>
    <col min="11669" max="11669" width="16.140625" customWidth="1"/>
    <col min="11670" max="11670" width="13.42578125" customWidth="1"/>
    <col min="11671" max="11671" width="10.140625" bestFit="1" customWidth="1"/>
    <col min="11672" max="11672" width="12.85546875" bestFit="1" customWidth="1"/>
    <col min="11673" max="11673" width="12.28515625" bestFit="1" customWidth="1"/>
    <col min="11674" max="11674" width="11.28515625" bestFit="1" customWidth="1"/>
    <col min="11675" max="11675" width="11.5703125" bestFit="1" customWidth="1"/>
    <col min="11676" max="11676" width="10.85546875" bestFit="1" customWidth="1"/>
    <col min="11677" max="11677" width="11.28515625" bestFit="1" customWidth="1"/>
    <col min="11678" max="11678" width="10.140625" bestFit="1" customWidth="1"/>
    <col min="11679" max="11679" width="13.28515625" bestFit="1" customWidth="1"/>
    <col min="11680" max="11681" width="12.7109375" bestFit="1" customWidth="1"/>
    <col min="11682" max="11682" width="11" bestFit="1" customWidth="1"/>
    <col min="11683" max="11683" width="11.28515625" bestFit="1" customWidth="1"/>
    <col min="11684" max="11684" width="11.5703125" bestFit="1" customWidth="1"/>
    <col min="11685" max="11685" width="12.28515625" bestFit="1" customWidth="1"/>
    <col min="11686" max="11686" width="15.140625" bestFit="1" customWidth="1"/>
    <col min="11687" max="11687" width="14.42578125" bestFit="1" customWidth="1"/>
    <col min="11688" max="11688" width="12.28515625" bestFit="1" customWidth="1"/>
    <col min="11689" max="11689" width="15.140625" bestFit="1" customWidth="1"/>
    <col min="11690" max="11690" width="14.42578125" bestFit="1" customWidth="1"/>
    <col min="11691" max="11691" width="12.28515625" bestFit="1" customWidth="1"/>
    <col min="11692" max="11692" width="14.42578125" bestFit="1" customWidth="1"/>
    <col min="11693" max="11693" width="11.28515625" bestFit="1" customWidth="1"/>
    <col min="11694" max="11694" width="12.28515625" bestFit="1" customWidth="1"/>
    <col min="11695" max="11695" width="13" bestFit="1" customWidth="1"/>
    <col min="11696" max="11696" width="15.140625" bestFit="1" customWidth="1"/>
    <col min="11697" max="11697" width="12.28515625" bestFit="1" customWidth="1"/>
    <col min="11698" max="11698" width="13.85546875" bestFit="1" customWidth="1"/>
    <col min="11699" max="11699" width="11.28515625" bestFit="1" customWidth="1"/>
    <col min="11700" max="11700" width="12.28515625" bestFit="1" customWidth="1"/>
    <col min="11701" max="11701" width="13.85546875" bestFit="1" customWidth="1"/>
    <col min="11702" max="11703" width="15.140625" bestFit="1" customWidth="1"/>
    <col min="11704" max="11704" width="12.28515625" bestFit="1" customWidth="1"/>
    <col min="11705" max="11705" width="5.7109375" bestFit="1" customWidth="1"/>
    <col min="11706" max="11706" width="8.5703125" bestFit="1" customWidth="1"/>
    <col min="11707" max="11707" width="5.5703125" bestFit="1" customWidth="1"/>
    <col min="11708" max="11708" width="14.42578125" bestFit="1" customWidth="1"/>
    <col min="11709" max="11709" width="11.28515625" bestFit="1" customWidth="1"/>
    <col min="11710" max="11711" width="12.28515625" bestFit="1" customWidth="1"/>
    <col min="11712" max="11712" width="11.28515625" bestFit="1" customWidth="1"/>
    <col min="11713" max="11713" width="13.85546875" bestFit="1" customWidth="1"/>
    <col min="11714" max="11714" width="12" bestFit="1" customWidth="1"/>
    <col min="11715" max="11715" width="13.85546875" bestFit="1" customWidth="1"/>
    <col min="11716" max="11717" width="14.42578125" customWidth="1"/>
    <col min="11718" max="11718" width="10.140625" bestFit="1" customWidth="1"/>
    <col min="11719" max="11719" width="12.28515625" bestFit="1" customWidth="1"/>
    <col min="11720" max="11720" width="7.42578125" bestFit="1" customWidth="1"/>
    <col min="11721" max="11721" width="8.5703125" bestFit="1" customWidth="1"/>
    <col min="11722" max="11722" width="11.5703125" bestFit="1" customWidth="1"/>
    <col min="11723" max="11723" width="13.28515625" bestFit="1" customWidth="1"/>
    <col min="11724" max="11724" width="13.28515625" customWidth="1"/>
    <col min="11725" max="11725" width="13.140625" customWidth="1"/>
    <col min="11726" max="11726" width="12.7109375" bestFit="1" customWidth="1"/>
    <col min="11727" max="11727" width="13.28515625" bestFit="1" customWidth="1"/>
    <col min="11728" max="11730" width="13.28515625" customWidth="1"/>
    <col min="11731" max="11731" width="12.140625" bestFit="1" customWidth="1"/>
    <col min="11732" max="11732" width="12.7109375" bestFit="1" customWidth="1"/>
    <col min="11733" max="11733" width="11" customWidth="1"/>
    <col min="11734" max="11734" width="16.7109375" customWidth="1"/>
    <col min="11735" max="11735" width="17" customWidth="1"/>
    <col min="11736" max="11736" width="10.42578125" bestFit="1" customWidth="1"/>
    <col min="11780" max="11780" width="3.85546875" customWidth="1"/>
    <col min="11781" max="11781" width="15.28515625" bestFit="1" customWidth="1"/>
    <col min="11782" max="11782" width="12.28515625" customWidth="1"/>
    <col min="11783" max="11783" width="16.28515625" bestFit="1" customWidth="1"/>
    <col min="11784" max="11784" width="6.42578125" bestFit="1" customWidth="1"/>
    <col min="11785" max="11785" width="9.28515625" bestFit="1" customWidth="1"/>
    <col min="11786" max="11786" width="7.5703125" bestFit="1" customWidth="1"/>
    <col min="11787" max="11787" width="13.28515625" bestFit="1" customWidth="1"/>
    <col min="11788" max="11788" width="9.28515625" bestFit="1" customWidth="1"/>
    <col min="11789" max="11789" width="11.5703125" bestFit="1" customWidth="1"/>
    <col min="11790" max="11790" width="13.28515625" bestFit="1" customWidth="1"/>
    <col min="11791" max="11791" width="7.140625" bestFit="1" customWidth="1"/>
    <col min="11792" max="11792" width="12" bestFit="1" customWidth="1"/>
    <col min="11793" max="11793" width="13.28515625" bestFit="1" customWidth="1"/>
    <col min="11794" max="11794" width="7" bestFit="1" customWidth="1"/>
    <col min="11795" max="11795" width="12.7109375" bestFit="1" customWidth="1"/>
    <col min="11796" max="11796" width="11.5703125" bestFit="1" customWidth="1"/>
    <col min="11797" max="11797" width="10.5703125" bestFit="1" customWidth="1"/>
    <col min="11798" max="11799" width="15.7109375" bestFit="1" customWidth="1"/>
    <col min="11800" max="11800" width="11.5703125" bestFit="1" customWidth="1"/>
    <col min="11801" max="11801" width="7.7109375" bestFit="1" customWidth="1"/>
    <col min="11802" max="11802" width="15.140625" bestFit="1" customWidth="1"/>
    <col min="11803" max="11803" width="11.5703125" bestFit="1" customWidth="1"/>
    <col min="11804" max="11804" width="13.28515625" bestFit="1" customWidth="1"/>
    <col min="11805" max="11805" width="10.42578125" bestFit="1" customWidth="1"/>
    <col min="11806" max="11806" width="13.28515625" bestFit="1" customWidth="1"/>
    <col min="11807" max="11807" width="12.140625" bestFit="1" customWidth="1"/>
    <col min="11808" max="11808" width="14.42578125" bestFit="1" customWidth="1"/>
    <col min="11809" max="11809" width="13.28515625" bestFit="1" customWidth="1"/>
    <col min="11810" max="11810" width="11.5703125" bestFit="1" customWidth="1"/>
    <col min="11811" max="11811" width="7.7109375" bestFit="1" customWidth="1"/>
    <col min="11812" max="11813" width="14.42578125" bestFit="1" customWidth="1"/>
    <col min="11814" max="11814" width="11.5703125" bestFit="1" customWidth="1"/>
    <col min="11815" max="11815" width="7.7109375" bestFit="1" customWidth="1"/>
    <col min="11816" max="11816" width="13.5703125" customWidth="1"/>
    <col min="11817" max="11817" width="15.28515625" customWidth="1"/>
    <col min="11818" max="11818" width="14.5703125" customWidth="1"/>
    <col min="11819" max="11819" width="13.28515625" bestFit="1" customWidth="1"/>
    <col min="11820" max="11820" width="7.7109375" bestFit="1" customWidth="1"/>
    <col min="11821" max="11821" width="12.7109375" bestFit="1" customWidth="1"/>
    <col min="11822" max="11822" width="11.7109375" bestFit="1" customWidth="1"/>
    <col min="11823" max="11823" width="11.5703125" bestFit="1" customWidth="1"/>
    <col min="11824" max="11824" width="5.28515625" bestFit="1" customWidth="1"/>
    <col min="11825" max="11825" width="13.28515625" bestFit="1" customWidth="1"/>
    <col min="11826" max="11826" width="13.5703125" bestFit="1" customWidth="1"/>
    <col min="11827" max="11827" width="10.5703125" bestFit="1" customWidth="1"/>
    <col min="11828" max="11828" width="13.28515625" bestFit="1" customWidth="1"/>
    <col min="11829" max="11829" width="11.5703125" bestFit="1" customWidth="1"/>
    <col min="11830" max="11830" width="10.5703125" bestFit="1" customWidth="1"/>
    <col min="11831" max="11831" width="16.140625" bestFit="1" customWidth="1"/>
    <col min="11832" max="11833" width="11.28515625" bestFit="1" customWidth="1"/>
    <col min="11834" max="11834" width="13.28515625" bestFit="1" customWidth="1"/>
    <col min="11835" max="11835" width="7.7109375" bestFit="1" customWidth="1"/>
    <col min="11836" max="11839" width="9.140625" hidden="1" customWidth="1"/>
    <col min="11840" max="11840" width="10.42578125" bestFit="1" customWidth="1"/>
    <col min="11841" max="11841" width="10.5703125" bestFit="1" customWidth="1"/>
    <col min="11842" max="11842" width="10.42578125" bestFit="1" customWidth="1"/>
    <col min="11843" max="11843" width="10.5703125" bestFit="1" customWidth="1"/>
    <col min="11844" max="11844" width="9.5703125" bestFit="1" customWidth="1"/>
    <col min="11845" max="11845" width="11.5703125" bestFit="1" customWidth="1"/>
    <col min="11846" max="11846" width="10.42578125" bestFit="1" customWidth="1"/>
    <col min="11847" max="11847" width="10.85546875" customWidth="1"/>
    <col min="11848" max="11849" width="9.85546875" bestFit="1" customWidth="1"/>
    <col min="11850" max="11850" width="13.5703125" bestFit="1" customWidth="1"/>
    <col min="11851" max="11851" width="7.7109375" bestFit="1" customWidth="1"/>
    <col min="11852" max="11852" width="13.28515625" bestFit="1" customWidth="1"/>
    <col min="11853" max="11853" width="11.5703125" bestFit="1" customWidth="1"/>
    <col min="11854" max="11854" width="10.42578125" bestFit="1" customWidth="1"/>
    <col min="11855" max="11855" width="7.7109375" bestFit="1" customWidth="1"/>
    <col min="11856" max="11856" width="11.5703125" bestFit="1" customWidth="1"/>
    <col min="11857" max="11857" width="10.85546875" bestFit="1" customWidth="1"/>
    <col min="11858" max="11858" width="13.28515625" bestFit="1" customWidth="1"/>
    <col min="11859" max="11859" width="10.85546875" bestFit="1" customWidth="1"/>
    <col min="11860" max="11861" width="7.5703125" bestFit="1" customWidth="1"/>
    <col min="11862" max="11863" width="10.42578125" bestFit="1" customWidth="1"/>
    <col min="11864" max="11864" width="11.5703125" bestFit="1" customWidth="1"/>
    <col min="11865" max="11865" width="5.28515625" bestFit="1" customWidth="1"/>
    <col min="11866" max="11866" width="10.28515625" bestFit="1" customWidth="1"/>
    <col min="11867" max="11867" width="10.42578125" bestFit="1" customWidth="1"/>
    <col min="11868" max="11868" width="11.5703125" bestFit="1" customWidth="1"/>
    <col min="11869" max="11869" width="5.28515625" bestFit="1" customWidth="1"/>
    <col min="11870" max="11872" width="11.5703125" bestFit="1" customWidth="1"/>
    <col min="11873" max="11873" width="5.28515625" bestFit="1" customWidth="1"/>
    <col min="11874" max="11875" width="10.42578125" bestFit="1" customWidth="1"/>
    <col min="11876" max="11876" width="11.5703125" bestFit="1" customWidth="1"/>
    <col min="11877" max="11877" width="5.28515625" bestFit="1" customWidth="1"/>
    <col min="11878" max="11878" width="14.28515625" bestFit="1" customWidth="1"/>
    <col min="11879" max="11879" width="13" bestFit="1" customWidth="1"/>
    <col min="11880" max="11880" width="11.5703125" bestFit="1" customWidth="1"/>
    <col min="11881" max="11881" width="8.85546875" bestFit="1" customWidth="1"/>
    <col min="11882" max="11882" width="14.42578125" bestFit="1" customWidth="1"/>
    <col min="11883" max="11883" width="10.42578125" bestFit="1" customWidth="1"/>
    <col min="11884" max="11884" width="12.28515625" bestFit="1" customWidth="1"/>
    <col min="11885" max="11885" width="13.85546875" bestFit="1" customWidth="1"/>
    <col min="11886" max="11886" width="11.28515625" customWidth="1"/>
    <col min="11887" max="11887" width="11.5703125" customWidth="1"/>
    <col min="11888" max="11888" width="13.42578125" bestFit="1" customWidth="1"/>
    <col min="11889" max="11889" width="10.42578125" customWidth="1"/>
    <col min="11890" max="11890" width="13.85546875" bestFit="1" customWidth="1"/>
    <col min="11891" max="11891" width="15.42578125" bestFit="1" customWidth="1"/>
    <col min="11892" max="11892" width="12.28515625" bestFit="1" customWidth="1"/>
    <col min="11893" max="11893" width="12.7109375" customWidth="1"/>
    <col min="11894" max="11894" width="10.7109375" bestFit="1" customWidth="1"/>
    <col min="11895" max="11895" width="9.85546875" customWidth="1"/>
    <col min="11896" max="11897" width="10.140625" bestFit="1" customWidth="1"/>
    <col min="11898" max="11898" width="7.5703125" bestFit="1" customWidth="1"/>
    <col min="11899" max="11899" width="9.42578125" bestFit="1" customWidth="1"/>
    <col min="11900" max="11900" width="14.5703125" bestFit="1" customWidth="1"/>
    <col min="11901" max="11901" width="14.85546875" customWidth="1"/>
    <col min="11902" max="11902" width="15.140625" bestFit="1" customWidth="1"/>
    <col min="11903" max="11903" width="12.140625" bestFit="1" customWidth="1"/>
    <col min="11904" max="11904" width="14.85546875" bestFit="1" customWidth="1"/>
    <col min="11905" max="11905" width="12.28515625" bestFit="1" customWidth="1"/>
    <col min="11906" max="11914" width="9.140625" hidden="1" customWidth="1"/>
    <col min="11915" max="11915" width="5.28515625" bestFit="1" customWidth="1"/>
    <col min="11916" max="11921" width="11.5703125" bestFit="1" customWidth="1"/>
    <col min="11922" max="11922" width="11.28515625" bestFit="1" customWidth="1"/>
    <col min="11923" max="11923" width="10.140625" bestFit="1" customWidth="1"/>
    <col min="11924" max="11924" width="11.5703125" bestFit="1" customWidth="1"/>
    <col min="11925" max="11925" width="16.140625" customWidth="1"/>
    <col min="11926" max="11926" width="13.42578125" customWidth="1"/>
    <col min="11927" max="11927" width="10.140625" bestFit="1" customWidth="1"/>
    <col min="11928" max="11928" width="12.85546875" bestFit="1" customWidth="1"/>
    <col min="11929" max="11929" width="12.28515625" bestFit="1" customWidth="1"/>
    <col min="11930" max="11930" width="11.28515625" bestFit="1" customWidth="1"/>
    <col min="11931" max="11931" width="11.5703125" bestFit="1" customWidth="1"/>
    <col min="11932" max="11932" width="10.85546875" bestFit="1" customWidth="1"/>
    <col min="11933" max="11933" width="11.28515625" bestFit="1" customWidth="1"/>
    <col min="11934" max="11934" width="10.140625" bestFit="1" customWidth="1"/>
    <col min="11935" max="11935" width="13.28515625" bestFit="1" customWidth="1"/>
    <col min="11936" max="11937" width="12.7109375" bestFit="1" customWidth="1"/>
    <col min="11938" max="11938" width="11" bestFit="1" customWidth="1"/>
    <col min="11939" max="11939" width="11.28515625" bestFit="1" customWidth="1"/>
    <col min="11940" max="11940" width="11.5703125" bestFit="1" customWidth="1"/>
    <col min="11941" max="11941" width="12.28515625" bestFit="1" customWidth="1"/>
    <col min="11942" max="11942" width="15.140625" bestFit="1" customWidth="1"/>
    <col min="11943" max="11943" width="14.42578125" bestFit="1" customWidth="1"/>
    <col min="11944" max="11944" width="12.28515625" bestFit="1" customWidth="1"/>
    <col min="11945" max="11945" width="15.140625" bestFit="1" customWidth="1"/>
    <col min="11946" max="11946" width="14.42578125" bestFit="1" customWidth="1"/>
    <col min="11947" max="11947" width="12.28515625" bestFit="1" customWidth="1"/>
    <col min="11948" max="11948" width="14.42578125" bestFit="1" customWidth="1"/>
    <col min="11949" max="11949" width="11.28515625" bestFit="1" customWidth="1"/>
    <col min="11950" max="11950" width="12.28515625" bestFit="1" customWidth="1"/>
    <col min="11951" max="11951" width="13" bestFit="1" customWidth="1"/>
    <col min="11952" max="11952" width="15.140625" bestFit="1" customWidth="1"/>
    <col min="11953" max="11953" width="12.28515625" bestFit="1" customWidth="1"/>
    <col min="11954" max="11954" width="13.85546875" bestFit="1" customWidth="1"/>
    <col min="11955" max="11955" width="11.28515625" bestFit="1" customWidth="1"/>
    <col min="11956" max="11956" width="12.28515625" bestFit="1" customWidth="1"/>
    <col min="11957" max="11957" width="13.85546875" bestFit="1" customWidth="1"/>
    <col min="11958" max="11959" width="15.140625" bestFit="1" customWidth="1"/>
    <col min="11960" max="11960" width="12.28515625" bestFit="1" customWidth="1"/>
    <col min="11961" max="11961" width="5.7109375" bestFit="1" customWidth="1"/>
    <col min="11962" max="11962" width="8.5703125" bestFit="1" customWidth="1"/>
    <col min="11963" max="11963" width="5.5703125" bestFit="1" customWidth="1"/>
    <col min="11964" max="11964" width="14.42578125" bestFit="1" customWidth="1"/>
    <col min="11965" max="11965" width="11.28515625" bestFit="1" customWidth="1"/>
    <col min="11966" max="11967" width="12.28515625" bestFit="1" customWidth="1"/>
    <col min="11968" max="11968" width="11.28515625" bestFit="1" customWidth="1"/>
    <col min="11969" max="11969" width="13.85546875" bestFit="1" customWidth="1"/>
    <col min="11970" max="11970" width="12" bestFit="1" customWidth="1"/>
    <col min="11971" max="11971" width="13.85546875" bestFit="1" customWidth="1"/>
    <col min="11972" max="11973" width="14.42578125" customWidth="1"/>
    <col min="11974" max="11974" width="10.140625" bestFit="1" customWidth="1"/>
    <col min="11975" max="11975" width="12.28515625" bestFit="1" customWidth="1"/>
    <col min="11976" max="11976" width="7.42578125" bestFit="1" customWidth="1"/>
    <col min="11977" max="11977" width="8.5703125" bestFit="1" customWidth="1"/>
    <col min="11978" max="11978" width="11.5703125" bestFit="1" customWidth="1"/>
    <col min="11979" max="11979" width="13.28515625" bestFit="1" customWidth="1"/>
    <col min="11980" max="11980" width="13.28515625" customWidth="1"/>
    <col min="11981" max="11981" width="13.140625" customWidth="1"/>
    <col min="11982" max="11982" width="12.7109375" bestFit="1" customWidth="1"/>
    <col min="11983" max="11983" width="13.28515625" bestFit="1" customWidth="1"/>
    <col min="11984" max="11986" width="13.28515625" customWidth="1"/>
    <col min="11987" max="11987" width="12.140625" bestFit="1" customWidth="1"/>
    <col min="11988" max="11988" width="12.7109375" bestFit="1" customWidth="1"/>
    <col min="11989" max="11989" width="11" customWidth="1"/>
    <col min="11990" max="11990" width="16.7109375" customWidth="1"/>
    <col min="11991" max="11991" width="17" customWidth="1"/>
    <col min="11992" max="11992" width="10.42578125" bestFit="1" customWidth="1"/>
    <col min="12036" max="12036" width="3.85546875" customWidth="1"/>
    <col min="12037" max="12037" width="15.28515625" bestFit="1" customWidth="1"/>
    <col min="12038" max="12038" width="12.28515625" customWidth="1"/>
    <col min="12039" max="12039" width="16.28515625" bestFit="1" customWidth="1"/>
    <col min="12040" max="12040" width="6.42578125" bestFit="1" customWidth="1"/>
    <col min="12041" max="12041" width="9.28515625" bestFit="1" customWidth="1"/>
    <col min="12042" max="12042" width="7.5703125" bestFit="1" customWidth="1"/>
    <col min="12043" max="12043" width="13.28515625" bestFit="1" customWidth="1"/>
    <col min="12044" max="12044" width="9.28515625" bestFit="1" customWidth="1"/>
    <col min="12045" max="12045" width="11.5703125" bestFit="1" customWidth="1"/>
    <col min="12046" max="12046" width="13.28515625" bestFit="1" customWidth="1"/>
    <col min="12047" max="12047" width="7.140625" bestFit="1" customWidth="1"/>
    <col min="12048" max="12048" width="12" bestFit="1" customWidth="1"/>
    <col min="12049" max="12049" width="13.28515625" bestFit="1" customWidth="1"/>
    <col min="12050" max="12050" width="7" bestFit="1" customWidth="1"/>
    <col min="12051" max="12051" width="12.7109375" bestFit="1" customWidth="1"/>
    <col min="12052" max="12052" width="11.5703125" bestFit="1" customWidth="1"/>
    <col min="12053" max="12053" width="10.5703125" bestFit="1" customWidth="1"/>
    <col min="12054" max="12055" width="15.7109375" bestFit="1" customWidth="1"/>
    <col min="12056" max="12056" width="11.5703125" bestFit="1" customWidth="1"/>
    <col min="12057" max="12057" width="7.7109375" bestFit="1" customWidth="1"/>
    <col min="12058" max="12058" width="15.140625" bestFit="1" customWidth="1"/>
    <col min="12059" max="12059" width="11.5703125" bestFit="1" customWidth="1"/>
    <col min="12060" max="12060" width="13.28515625" bestFit="1" customWidth="1"/>
    <col min="12061" max="12061" width="10.42578125" bestFit="1" customWidth="1"/>
    <col min="12062" max="12062" width="13.28515625" bestFit="1" customWidth="1"/>
    <col min="12063" max="12063" width="12.140625" bestFit="1" customWidth="1"/>
    <col min="12064" max="12064" width="14.42578125" bestFit="1" customWidth="1"/>
    <col min="12065" max="12065" width="13.28515625" bestFit="1" customWidth="1"/>
    <col min="12066" max="12066" width="11.5703125" bestFit="1" customWidth="1"/>
    <col min="12067" max="12067" width="7.7109375" bestFit="1" customWidth="1"/>
    <col min="12068" max="12069" width="14.42578125" bestFit="1" customWidth="1"/>
    <col min="12070" max="12070" width="11.5703125" bestFit="1" customWidth="1"/>
    <col min="12071" max="12071" width="7.7109375" bestFit="1" customWidth="1"/>
    <col min="12072" max="12072" width="13.5703125" customWidth="1"/>
    <col min="12073" max="12073" width="15.28515625" customWidth="1"/>
    <col min="12074" max="12074" width="14.5703125" customWidth="1"/>
    <col min="12075" max="12075" width="13.28515625" bestFit="1" customWidth="1"/>
    <col min="12076" max="12076" width="7.7109375" bestFit="1" customWidth="1"/>
    <col min="12077" max="12077" width="12.7109375" bestFit="1" customWidth="1"/>
    <col min="12078" max="12078" width="11.7109375" bestFit="1" customWidth="1"/>
    <col min="12079" max="12079" width="11.5703125" bestFit="1" customWidth="1"/>
    <col min="12080" max="12080" width="5.28515625" bestFit="1" customWidth="1"/>
    <col min="12081" max="12081" width="13.28515625" bestFit="1" customWidth="1"/>
    <col min="12082" max="12082" width="13.5703125" bestFit="1" customWidth="1"/>
    <col min="12083" max="12083" width="10.5703125" bestFit="1" customWidth="1"/>
    <col min="12084" max="12084" width="13.28515625" bestFit="1" customWidth="1"/>
    <col min="12085" max="12085" width="11.5703125" bestFit="1" customWidth="1"/>
    <col min="12086" max="12086" width="10.5703125" bestFit="1" customWidth="1"/>
    <col min="12087" max="12087" width="16.140625" bestFit="1" customWidth="1"/>
    <col min="12088" max="12089" width="11.28515625" bestFit="1" customWidth="1"/>
    <col min="12090" max="12090" width="13.28515625" bestFit="1" customWidth="1"/>
    <col min="12091" max="12091" width="7.7109375" bestFit="1" customWidth="1"/>
    <col min="12092" max="12095" width="9.140625" hidden="1" customWidth="1"/>
    <col min="12096" max="12096" width="10.42578125" bestFit="1" customWidth="1"/>
    <col min="12097" max="12097" width="10.5703125" bestFit="1" customWidth="1"/>
    <col min="12098" max="12098" width="10.42578125" bestFit="1" customWidth="1"/>
    <col min="12099" max="12099" width="10.5703125" bestFit="1" customWidth="1"/>
    <col min="12100" max="12100" width="9.5703125" bestFit="1" customWidth="1"/>
    <col min="12101" max="12101" width="11.5703125" bestFit="1" customWidth="1"/>
    <col min="12102" max="12102" width="10.42578125" bestFit="1" customWidth="1"/>
    <col min="12103" max="12103" width="10.85546875" customWidth="1"/>
    <col min="12104" max="12105" width="9.85546875" bestFit="1" customWidth="1"/>
    <col min="12106" max="12106" width="13.5703125" bestFit="1" customWidth="1"/>
    <col min="12107" max="12107" width="7.7109375" bestFit="1" customWidth="1"/>
    <col min="12108" max="12108" width="13.28515625" bestFit="1" customWidth="1"/>
    <col min="12109" max="12109" width="11.5703125" bestFit="1" customWidth="1"/>
    <col min="12110" max="12110" width="10.42578125" bestFit="1" customWidth="1"/>
    <col min="12111" max="12111" width="7.7109375" bestFit="1" customWidth="1"/>
    <col min="12112" max="12112" width="11.5703125" bestFit="1" customWidth="1"/>
    <col min="12113" max="12113" width="10.85546875" bestFit="1" customWidth="1"/>
    <col min="12114" max="12114" width="13.28515625" bestFit="1" customWidth="1"/>
    <col min="12115" max="12115" width="10.85546875" bestFit="1" customWidth="1"/>
    <col min="12116" max="12117" width="7.5703125" bestFit="1" customWidth="1"/>
    <col min="12118" max="12119" width="10.42578125" bestFit="1" customWidth="1"/>
    <col min="12120" max="12120" width="11.5703125" bestFit="1" customWidth="1"/>
    <col min="12121" max="12121" width="5.28515625" bestFit="1" customWidth="1"/>
    <col min="12122" max="12122" width="10.28515625" bestFit="1" customWidth="1"/>
    <col min="12123" max="12123" width="10.42578125" bestFit="1" customWidth="1"/>
    <col min="12124" max="12124" width="11.5703125" bestFit="1" customWidth="1"/>
    <col min="12125" max="12125" width="5.28515625" bestFit="1" customWidth="1"/>
    <col min="12126" max="12128" width="11.5703125" bestFit="1" customWidth="1"/>
    <col min="12129" max="12129" width="5.28515625" bestFit="1" customWidth="1"/>
    <col min="12130" max="12131" width="10.42578125" bestFit="1" customWidth="1"/>
    <col min="12132" max="12132" width="11.5703125" bestFit="1" customWidth="1"/>
    <col min="12133" max="12133" width="5.28515625" bestFit="1" customWidth="1"/>
    <col min="12134" max="12134" width="14.28515625" bestFit="1" customWidth="1"/>
    <col min="12135" max="12135" width="13" bestFit="1" customWidth="1"/>
    <col min="12136" max="12136" width="11.5703125" bestFit="1" customWidth="1"/>
    <col min="12137" max="12137" width="8.85546875" bestFit="1" customWidth="1"/>
    <col min="12138" max="12138" width="14.42578125" bestFit="1" customWidth="1"/>
    <col min="12139" max="12139" width="10.42578125" bestFit="1" customWidth="1"/>
    <col min="12140" max="12140" width="12.28515625" bestFit="1" customWidth="1"/>
    <col min="12141" max="12141" width="13.85546875" bestFit="1" customWidth="1"/>
    <col min="12142" max="12142" width="11.28515625" customWidth="1"/>
    <col min="12143" max="12143" width="11.5703125" customWidth="1"/>
    <col min="12144" max="12144" width="13.42578125" bestFit="1" customWidth="1"/>
    <col min="12145" max="12145" width="10.42578125" customWidth="1"/>
    <col min="12146" max="12146" width="13.85546875" bestFit="1" customWidth="1"/>
    <col min="12147" max="12147" width="15.42578125" bestFit="1" customWidth="1"/>
    <col min="12148" max="12148" width="12.28515625" bestFit="1" customWidth="1"/>
    <col min="12149" max="12149" width="12.7109375" customWidth="1"/>
    <col min="12150" max="12150" width="10.7109375" bestFit="1" customWidth="1"/>
    <col min="12151" max="12151" width="9.85546875" customWidth="1"/>
    <col min="12152" max="12153" width="10.140625" bestFit="1" customWidth="1"/>
    <col min="12154" max="12154" width="7.5703125" bestFit="1" customWidth="1"/>
    <col min="12155" max="12155" width="9.42578125" bestFit="1" customWidth="1"/>
    <col min="12156" max="12156" width="14.5703125" bestFit="1" customWidth="1"/>
    <col min="12157" max="12157" width="14.85546875" customWidth="1"/>
    <col min="12158" max="12158" width="15.140625" bestFit="1" customWidth="1"/>
    <col min="12159" max="12159" width="12.140625" bestFit="1" customWidth="1"/>
    <col min="12160" max="12160" width="14.85546875" bestFit="1" customWidth="1"/>
    <col min="12161" max="12161" width="12.28515625" bestFit="1" customWidth="1"/>
    <col min="12162" max="12170" width="9.140625" hidden="1" customWidth="1"/>
    <col min="12171" max="12171" width="5.28515625" bestFit="1" customWidth="1"/>
    <col min="12172" max="12177" width="11.5703125" bestFit="1" customWidth="1"/>
    <col min="12178" max="12178" width="11.28515625" bestFit="1" customWidth="1"/>
    <col min="12179" max="12179" width="10.140625" bestFit="1" customWidth="1"/>
    <col min="12180" max="12180" width="11.5703125" bestFit="1" customWidth="1"/>
    <col min="12181" max="12181" width="16.140625" customWidth="1"/>
    <col min="12182" max="12182" width="13.42578125" customWidth="1"/>
    <col min="12183" max="12183" width="10.140625" bestFit="1" customWidth="1"/>
    <col min="12184" max="12184" width="12.85546875" bestFit="1" customWidth="1"/>
    <col min="12185" max="12185" width="12.28515625" bestFit="1" customWidth="1"/>
    <col min="12186" max="12186" width="11.28515625" bestFit="1" customWidth="1"/>
    <col min="12187" max="12187" width="11.5703125" bestFit="1" customWidth="1"/>
    <col min="12188" max="12188" width="10.85546875" bestFit="1" customWidth="1"/>
    <col min="12189" max="12189" width="11.28515625" bestFit="1" customWidth="1"/>
    <col min="12190" max="12190" width="10.140625" bestFit="1" customWidth="1"/>
    <col min="12191" max="12191" width="13.28515625" bestFit="1" customWidth="1"/>
    <col min="12192" max="12193" width="12.7109375" bestFit="1" customWidth="1"/>
    <col min="12194" max="12194" width="11" bestFit="1" customWidth="1"/>
    <col min="12195" max="12195" width="11.28515625" bestFit="1" customWidth="1"/>
    <col min="12196" max="12196" width="11.5703125" bestFit="1" customWidth="1"/>
    <col min="12197" max="12197" width="12.28515625" bestFit="1" customWidth="1"/>
    <col min="12198" max="12198" width="15.140625" bestFit="1" customWidth="1"/>
    <col min="12199" max="12199" width="14.42578125" bestFit="1" customWidth="1"/>
    <col min="12200" max="12200" width="12.28515625" bestFit="1" customWidth="1"/>
    <col min="12201" max="12201" width="15.140625" bestFit="1" customWidth="1"/>
    <col min="12202" max="12202" width="14.42578125" bestFit="1" customWidth="1"/>
    <col min="12203" max="12203" width="12.28515625" bestFit="1" customWidth="1"/>
    <col min="12204" max="12204" width="14.42578125" bestFit="1" customWidth="1"/>
    <col min="12205" max="12205" width="11.28515625" bestFit="1" customWidth="1"/>
    <col min="12206" max="12206" width="12.28515625" bestFit="1" customWidth="1"/>
    <col min="12207" max="12207" width="13" bestFit="1" customWidth="1"/>
    <col min="12208" max="12208" width="15.140625" bestFit="1" customWidth="1"/>
    <col min="12209" max="12209" width="12.28515625" bestFit="1" customWidth="1"/>
    <col min="12210" max="12210" width="13.85546875" bestFit="1" customWidth="1"/>
    <col min="12211" max="12211" width="11.28515625" bestFit="1" customWidth="1"/>
    <col min="12212" max="12212" width="12.28515625" bestFit="1" customWidth="1"/>
    <col min="12213" max="12213" width="13.85546875" bestFit="1" customWidth="1"/>
    <col min="12214" max="12215" width="15.140625" bestFit="1" customWidth="1"/>
    <col min="12216" max="12216" width="12.28515625" bestFit="1" customWidth="1"/>
    <col min="12217" max="12217" width="5.7109375" bestFit="1" customWidth="1"/>
    <col min="12218" max="12218" width="8.5703125" bestFit="1" customWidth="1"/>
    <col min="12219" max="12219" width="5.5703125" bestFit="1" customWidth="1"/>
    <col min="12220" max="12220" width="14.42578125" bestFit="1" customWidth="1"/>
    <col min="12221" max="12221" width="11.28515625" bestFit="1" customWidth="1"/>
    <col min="12222" max="12223" width="12.28515625" bestFit="1" customWidth="1"/>
    <col min="12224" max="12224" width="11.28515625" bestFit="1" customWidth="1"/>
    <col min="12225" max="12225" width="13.85546875" bestFit="1" customWidth="1"/>
    <col min="12226" max="12226" width="12" bestFit="1" customWidth="1"/>
    <col min="12227" max="12227" width="13.85546875" bestFit="1" customWidth="1"/>
    <col min="12228" max="12229" width="14.42578125" customWidth="1"/>
    <col min="12230" max="12230" width="10.140625" bestFit="1" customWidth="1"/>
    <col min="12231" max="12231" width="12.28515625" bestFit="1" customWidth="1"/>
    <col min="12232" max="12232" width="7.42578125" bestFit="1" customWidth="1"/>
    <col min="12233" max="12233" width="8.5703125" bestFit="1" customWidth="1"/>
    <col min="12234" max="12234" width="11.5703125" bestFit="1" customWidth="1"/>
    <col min="12235" max="12235" width="13.28515625" bestFit="1" customWidth="1"/>
    <col min="12236" max="12236" width="13.28515625" customWidth="1"/>
    <col min="12237" max="12237" width="13.140625" customWidth="1"/>
    <col min="12238" max="12238" width="12.7109375" bestFit="1" customWidth="1"/>
    <col min="12239" max="12239" width="13.28515625" bestFit="1" customWidth="1"/>
    <col min="12240" max="12242" width="13.28515625" customWidth="1"/>
    <col min="12243" max="12243" width="12.140625" bestFit="1" customWidth="1"/>
    <col min="12244" max="12244" width="12.7109375" bestFit="1" customWidth="1"/>
    <col min="12245" max="12245" width="11" customWidth="1"/>
    <col min="12246" max="12246" width="16.7109375" customWidth="1"/>
    <col min="12247" max="12247" width="17" customWidth="1"/>
    <col min="12248" max="12248" width="10.42578125" bestFit="1" customWidth="1"/>
    <col min="12292" max="12292" width="3.85546875" customWidth="1"/>
    <col min="12293" max="12293" width="15.28515625" bestFit="1" customWidth="1"/>
    <col min="12294" max="12294" width="12.28515625" customWidth="1"/>
    <col min="12295" max="12295" width="16.28515625" bestFit="1" customWidth="1"/>
    <col min="12296" max="12296" width="6.42578125" bestFit="1" customWidth="1"/>
    <col min="12297" max="12297" width="9.28515625" bestFit="1" customWidth="1"/>
    <col min="12298" max="12298" width="7.5703125" bestFit="1" customWidth="1"/>
    <col min="12299" max="12299" width="13.28515625" bestFit="1" customWidth="1"/>
    <col min="12300" max="12300" width="9.28515625" bestFit="1" customWidth="1"/>
    <col min="12301" max="12301" width="11.5703125" bestFit="1" customWidth="1"/>
    <col min="12302" max="12302" width="13.28515625" bestFit="1" customWidth="1"/>
    <col min="12303" max="12303" width="7.140625" bestFit="1" customWidth="1"/>
    <col min="12304" max="12304" width="12" bestFit="1" customWidth="1"/>
    <col min="12305" max="12305" width="13.28515625" bestFit="1" customWidth="1"/>
    <col min="12306" max="12306" width="7" bestFit="1" customWidth="1"/>
    <col min="12307" max="12307" width="12.7109375" bestFit="1" customWidth="1"/>
    <col min="12308" max="12308" width="11.5703125" bestFit="1" customWidth="1"/>
    <col min="12309" max="12309" width="10.5703125" bestFit="1" customWidth="1"/>
    <col min="12310" max="12311" width="15.7109375" bestFit="1" customWidth="1"/>
    <col min="12312" max="12312" width="11.5703125" bestFit="1" customWidth="1"/>
    <col min="12313" max="12313" width="7.7109375" bestFit="1" customWidth="1"/>
    <col min="12314" max="12314" width="15.140625" bestFit="1" customWidth="1"/>
    <col min="12315" max="12315" width="11.5703125" bestFit="1" customWidth="1"/>
    <col min="12316" max="12316" width="13.28515625" bestFit="1" customWidth="1"/>
    <col min="12317" max="12317" width="10.42578125" bestFit="1" customWidth="1"/>
    <col min="12318" max="12318" width="13.28515625" bestFit="1" customWidth="1"/>
    <col min="12319" max="12319" width="12.140625" bestFit="1" customWidth="1"/>
    <col min="12320" max="12320" width="14.42578125" bestFit="1" customWidth="1"/>
    <col min="12321" max="12321" width="13.28515625" bestFit="1" customWidth="1"/>
    <col min="12322" max="12322" width="11.5703125" bestFit="1" customWidth="1"/>
    <col min="12323" max="12323" width="7.7109375" bestFit="1" customWidth="1"/>
    <col min="12324" max="12325" width="14.42578125" bestFit="1" customWidth="1"/>
    <col min="12326" max="12326" width="11.5703125" bestFit="1" customWidth="1"/>
    <col min="12327" max="12327" width="7.7109375" bestFit="1" customWidth="1"/>
    <col min="12328" max="12328" width="13.5703125" customWidth="1"/>
    <col min="12329" max="12329" width="15.28515625" customWidth="1"/>
    <col min="12330" max="12330" width="14.5703125" customWidth="1"/>
    <col min="12331" max="12331" width="13.28515625" bestFit="1" customWidth="1"/>
    <col min="12332" max="12332" width="7.7109375" bestFit="1" customWidth="1"/>
    <col min="12333" max="12333" width="12.7109375" bestFit="1" customWidth="1"/>
    <col min="12334" max="12334" width="11.7109375" bestFit="1" customWidth="1"/>
    <col min="12335" max="12335" width="11.5703125" bestFit="1" customWidth="1"/>
    <col min="12336" max="12336" width="5.28515625" bestFit="1" customWidth="1"/>
    <col min="12337" max="12337" width="13.28515625" bestFit="1" customWidth="1"/>
    <col min="12338" max="12338" width="13.5703125" bestFit="1" customWidth="1"/>
    <col min="12339" max="12339" width="10.5703125" bestFit="1" customWidth="1"/>
    <col min="12340" max="12340" width="13.28515625" bestFit="1" customWidth="1"/>
    <col min="12341" max="12341" width="11.5703125" bestFit="1" customWidth="1"/>
    <col min="12342" max="12342" width="10.5703125" bestFit="1" customWidth="1"/>
    <col min="12343" max="12343" width="16.140625" bestFit="1" customWidth="1"/>
    <col min="12344" max="12345" width="11.28515625" bestFit="1" customWidth="1"/>
    <col min="12346" max="12346" width="13.28515625" bestFit="1" customWidth="1"/>
    <col min="12347" max="12347" width="7.7109375" bestFit="1" customWidth="1"/>
    <col min="12348" max="12351" width="9.140625" hidden="1" customWidth="1"/>
    <col min="12352" max="12352" width="10.42578125" bestFit="1" customWidth="1"/>
    <col min="12353" max="12353" width="10.5703125" bestFit="1" customWidth="1"/>
    <col min="12354" max="12354" width="10.42578125" bestFit="1" customWidth="1"/>
    <col min="12355" max="12355" width="10.5703125" bestFit="1" customWidth="1"/>
    <col min="12356" max="12356" width="9.5703125" bestFit="1" customWidth="1"/>
    <col min="12357" max="12357" width="11.5703125" bestFit="1" customWidth="1"/>
    <col min="12358" max="12358" width="10.42578125" bestFit="1" customWidth="1"/>
    <col min="12359" max="12359" width="10.85546875" customWidth="1"/>
    <col min="12360" max="12361" width="9.85546875" bestFit="1" customWidth="1"/>
    <col min="12362" max="12362" width="13.5703125" bestFit="1" customWidth="1"/>
    <col min="12363" max="12363" width="7.7109375" bestFit="1" customWidth="1"/>
    <col min="12364" max="12364" width="13.28515625" bestFit="1" customWidth="1"/>
    <col min="12365" max="12365" width="11.5703125" bestFit="1" customWidth="1"/>
    <col min="12366" max="12366" width="10.42578125" bestFit="1" customWidth="1"/>
    <col min="12367" max="12367" width="7.7109375" bestFit="1" customWidth="1"/>
    <col min="12368" max="12368" width="11.5703125" bestFit="1" customWidth="1"/>
    <col min="12369" max="12369" width="10.85546875" bestFit="1" customWidth="1"/>
    <col min="12370" max="12370" width="13.28515625" bestFit="1" customWidth="1"/>
    <col min="12371" max="12371" width="10.85546875" bestFit="1" customWidth="1"/>
    <col min="12372" max="12373" width="7.5703125" bestFit="1" customWidth="1"/>
    <col min="12374" max="12375" width="10.42578125" bestFit="1" customWidth="1"/>
    <col min="12376" max="12376" width="11.5703125" bestFit="1" customWidth="1"/>
    <col min="12377" max="12377" width="5.28515625" bestFit="1" customWidth="1"/>
    <col min="12378" max="12378" width="10.28515625" bestFit="1" customWidth="1"/>
    <col min="12379" max="12379" width="10.42578125" bestFit="1" customWidth="1"/>
    <col min="12380" max="12380" width="11.5703125" bestFit="1" customWidth="1"/>
    <col min="12381" max="12381" width="5.28515625" bestFit="1" customWidth="1"/>
    <col min="12382" max="12384" width="11.5703125" bestFit="1" customWidth="1"/>
    <col min="12385" max="12385" width="5.28515625" bestFit="1" customWidth="1"/>
    <col min="12386" max="12387" width="10.42578125" bestFit="1" customWidth="1"/>
    <col min="12388" max="12388" width="11.5703125" bestFit="1" customWidth="1"/>
    <col min="12389" max="12389" width="5.28515625" bestFit="1" customWidth="1"/>
    <col min="12390" max="12390" width="14.28515625" bestFit="1" customWidth="1"/>
    <col min="12391" max="12391" width="13" bestFit="1" customWidth="1"/>
    <col min="12392" max="12392" width="11.5703125" bestFit="1" customWidth="1"/>
    <col min="12393" max="12393" width="8.85546875" bestFit="1" customWidth="1"/>
    <col min="12394" max="12394" width="14.42578125" bestFit="1" customWidth="1"/>
    <col min="12395" max="12395" width="10.42578125" bestFit="1" customWidth="1"/>
    <col min="12396" max="12396" width="12.28515625" bestFit="1" customWidth="1"/>
    <col min="12397" max="12397" width="13.85546875" bestFit="1" customWidth="1"/>
    <col min="12398" max="12398" width="11.28515625" customWidth="1"/>
    <col min="12399" max="12399" width="11.5703125" customWidth="1"/>
    <col min="12400" max="12400" width="13.42578125" bestFit="1" customWidth="1"/>
    <col min="12401" max="12401" width="10.42578125" customWidth="1"/>
    <col min="12402" max="12402" width="13.85546875" bestFit="1" customWidth="1"/>
    <col min="12403" max="12403" width="15.42578125" bestFit="1" customWidth="1"/>
    <col min="12404" max="12404" width="12.28515625" bestFit="1" customWidth="1"/>
    <col min="12405" max="12405" width="12.7109375" customWidth="1"/>
    <col min="12406" max="12406" width="10.7109375" bestFit="1" customWidth="1"/>
    <col min="12407" max="12407" width="9.85546875" customWidth="1"/>
    <col min="12408" max="12409" width="10.140625" bestFit="1" customWidth="1"/>
    <col min="12410" max="12410" width="7.5703125" bestFit="1" customWidth="1"/>
    <col min="12411" max="12411" width="9.42578125" bestFit="1" customWidth="1"/>
    <col min="12412" max="12412" width="14.5703125" bestFit="1" customWidth="1"/>
    <col min="12413" max="12413" width="14.85546875" customWidth="1"/>
    <col min="12414" max="12414" width="15.140625" bestFit="1" customWidth="1"/>
    <col min="12415" max="12415" width="12.140625" bestFit="1" customWidth="1"/>
    <col min="12416" max="12416" width="14.85546875" bestFit="1" customWidth="1"/>
    <col min="12417" max="12417" width="12.28515625" bestFit="1" customWidth="1"/>
    <col min="12418" max="12426" width="9.140625" hidden="1" customWidth="1"/>
    <col min="12427" max="12427" width="5.28515625" bestFit="1" customWidth="1"/>
    <col min="12428" max="12433" width="11.5703125" bestFit="1" customWidth="1"/>
    <col min="12434" max="12434" width="11.28515625" bestFit="1" customWidth="1"/>
    <col min="12435" max="12435" width="10.140625" bestFit="1" customWidth="1"/>
    <col min="12436" max="12436" width="11.5703125" bestFit="1" customWidth="1"/>
    <col min="12437" max="12437" width="16.140625" customWidth="1"/>
    <col min="12438" max="12438" width="13.42578125" customWidth="1"/>
    <col min="12439" max="12439" width="10.140625" bestFit="1" customWidth="1"/>
    <col min="12440" max="12440" width="12.85546875" bestFit="1" customWidth="1"/>
    <col min="12441" max="12441" width="12.28515625" bestFit="1" customWidth="1"/>
    <col min="12442" max="12442" width="11.28515625" bestFit="1" customWidth="1"/>
    <col min="12443" max="12443" width="11.5703125" bestFit="1" customWidth="1"/>
    <col min="12444" max="12444" width="10.85546875" bestFit="1" customWidth="1"/>
    <col min="12445" max="12445" width="11.28515625" bestFit="1" customWidth="1"/>
    <col min="12446" max="12446" width="10.140625" bestFit="1" customWidth="1"/>
    <col min="12447" max="12447" width="13.28515625" bestFit="1" customWidth="1"/>
    <col min="12448" max="12449" width="12.7109375" bestFit="1" customWidth="1"/>
    <col min="12450" max="12450" width="11" bestFit="1" customWidth="1"/>
    <col min="12451" max="12451" width="11.28515625" bestFit="1" customWidth="1"/>
    <col min="12452" max="12452" width="11.5703125" bestFit="1" customWidth="1"/>
    <col min="12453" max="12453" width="12.28515625" bestFit="1" customWidth="1"/>
    <col min="12454" max="12454" width="15.140625" bestFit="1" customWidth="1"/>
    <col min="12455" max="12455" width="14.42578125" bestFit="1" customWidth="1"/>
    <col min="12456" max="12456" width="12.28515625" bestFit="1" customWidth="1"/>
    <col min="12457" max="12457" width="15.140625" bestFit="1" customWidth="1"/>
    <col min="12458" max="12458" width="14.42578125" bestFit="1" customWidth="1"/>
    <col min="12459" max="12459" width="12.28515625" bestFit="1" customWidth="1"/>
    <col min="12460" max="12460" width="14.42578125" bestFit="1" customWidth="1"/>
    <col min="12461" max="12461" width="11.28515625" bestFit="1" customWidth="1"/>
    <col min="12462" max="12462" width="12.28515625" bestFit="1" customWidth="1"/>
    <col min="12463" max="12463" width="13" bestFit="1" customWidth="1"/>
    <col min="12464" max="12464" width="15.140625" bestFit="1" customWidth="1"/>
    <col min="12465" max="12465" width="12.28515625" bestFit="1" customWidth="1"/>
    <col min="12466" max="12466" width="13.85546875" bestFit="1" customWidth="1"/>
    <col min="12467" max="12467" width="11.28515625" bestFit="1" customWidth="1"/>
    <col min="12468" max="12468" width="12.28515625" bestFit="1" customWidth="1"/>
    <col min="12469" max="12469" width="13.85546875" bestFit="1" customWidth="1"/>
    <col min="12470" max="12471" width="15.140625" bestFit="1" customWidth="1"/>
    <col min="12472" max="12472" width="12.28515625" bestFit="1" customWidth="1"/>
    <col min="12473" max="12473" width="5.7109375" bestFit="1" customWidth="1"/>
    <col min="12474" max="12474" width="8.5703125" bestFit="1" customWidth="1"/>
    <col min="12475" max="12475" width="5.5703125" bestFit="1" customWidth="1"/>
    <col min="12476" max="12476" width="14.42578125" bestFit="1" customWidth="1"/>
    <col min="12477" max="12477" width="11.28515625" bestFit="1" customWidth="1"/>
    <col min="12478" max="12479" width="12.28515625" bestFit="1" customWidth="1"/>
    <col min="12480" max="12480" width="11.28515625" bestFit="1" customWidth="1"/>
    <col min="12481" max="12481" width="13.85546875" bestFit="1" customWidth="1"/>
    <col min="12482" max="12482" width="12" bestFit="1" customWidth="1"/>
    <col min="12483" max="12483" width="13.85546875" bestFit="1" customWidth="1"/>
    <col min="12484" max="12485" width="14.42578125" customWidth="1"/>
    <col min="12486" max="12486" width="10.140625" bestFit="1" customWidth="1"/>
    <col min="12487" max="12487" width="12.28515625" bestFit="1" customWidth="1"/>
    <col min="12488" max="12488" width="7.42578125" bestFit="1" customWidth="1"/>
    <col min="12489" max="12489" width="8.5703125" bestFit="1" customWidth="1"/>
    <col min="12490" max="12490" width="11.5703125" bestFit="1" customWidth="1"/>
    <col min="12491" max="12491" width="13.28515625" bestFit="1" customWidth="1"/>
    <col min="12492" max="12492" width="13.28515625" customWidth="1"/>
    <col min="12493" max="12493" width="13.140625" customWidth="1"/>
    <col min="12494" max="12494" width="12.7109375" bestFit="1" customWidth="1"/>
    <col min="12495" max="12495" width="13.28515625" bestFit="1" customWidth="1"/>
    <col min="12496" max="12498" width="13.28515625" customWidth="1"/>
    <col min="12499" max="12499" width="12.140625" bestFit="1" customWidth="1"/>
    <col min="12500" max="12500" width="12.7109375" bestFit="1" customWidth="1"/>
    <col min="12501" max="12501" width="11" customWidth="1"/>
    <col min="12502" max="12502" width="16.7109375" customWidth="1"/>
    <col min="12503" max="12503" width="17" customWidth="1"/>
    <col min="12504" max="12504" width="10.42578125" bestFit="1" customWidth="1"/>
    <col min="12548" max="12548" width="3.85546875" customWidth="1"/>
    <col min="12549" max="12549" width="15.28515625" bestFit="1" customWidth="1"/>
    <col min="12550" max="12550" width="12.28515625" customWidth="1"/>
    <col min="12551" max="12551" width="16.28515625" bestFit="1" customWidth="1"/>
    <col min="12552" max="12552" width="6.42578125" bestFit="1" customWidth="1"/>
    <col min="12553" max="12553" width="9.28515625" bestFit="1" customWidth="1"/>
    <col min="12554" max="12554" width="7.5703125" bestFit="1" customWidth="1"/>
    <col min="12555" max="12555" width="13.28515625" bestFit="1" customWidth="1"/>
    <col min="12556" max="12556" width="9.28515625" bestFit="1" customWidth="1"/>
    <col min="12557" max="12557" width="11.5703125" bestFit="1" customWidth="1"/>
    <col min="12558" max="12558" width="13.28515625" bestFit="1" customWidth="1"/>
    <col min="12559" max="12559" width="7.140625" bestFit="1" customWidth="1"/>
    <col min="12560" max="12560" width="12" bestFit="1" customWidth="1"/>
    <col min="12561" max="12561" width="13.28515625" bestFit="1" customWidth="1"/>
    <col min="12562" max="12562" width="7" bestFit="1" customWidth="1"/>
    <col min="12563" max="12563" width="12.7109375" bestFit="1" customWidth="1"/>
    <col min="12564" max="12564" width="11.5703125" bestFit="1" customWidth="1"/>
    <col min="12565" max="12565" width="10.5703125" bestFit="1" customWidth="1"/>
    <col min="12566" max="12567" width="15.7109375" bestFit="1" customWidth="1"/>
    <col min="12568" max="12568" width="11.5703125" bestFit="1" customWidth="1"/>
    <col min="12569" max="12569" width="7.7109375" bestFit="1" customWidth="1"/>
    <col min="12570" max="12570" width="15.140625" bestFit="1" customWidth="1"/>
    <col min="12571" max="12571" width="11.5703125" bestFit="1" customWidth="1"/>
    <col min="12572" max="12572" width="13.28515625" bestFit="1" customWidth="1"/>
    <col min="12573" max="12573" width="10.42578125" bestFit="1" customWidth="1"/>
    <col min="12574" max="12574" width="13.28515625" bestFit="1" customWidth="1"/>
    <col min="12575" max="12575" width="12.140625" bestFit="1" customWidth="1"/>
    <col min="12576" max="12576" width="14.42578125" bestFit="1" customWidth="1"/>
    <col min="12577" max="12577" width="13.28515625" bestFit="1" customWidth="1"/>
    <col min="12578" max="12578" width="11.5703125" bestFit="1" customWidth="1"/>
    <col min="12579" max="12579" width="7.7109375" bestFit="1" customWidth="1"/>
    <col min="12580" max="12581" width="14.42578125" bestFit="1" customWidth="1"/>
    <col min="12582" max="12582" width="11.5703125" bestFit="1" customWidth="1"/>
    <col min="12583" max="12583" width="7.7109375" bestFit="1" customWidth="1"/>
    <col min="12584" max="12584" width="13.5703125" customWidth="1"/>
    <col min="12585" max="12585" width="15.28515625" customWidth="1"/>
    <col min="12586" max="12586" width="14.5703125" customWidth="1"/>
    <col min="12587" max="12587" width="13.28515625" bestFit="1" customWidth="1"/>
    <col min="12588" max="12588" width="7.7109375" bestFit="1" customWidth="1"/>
    <col min="12589" max="12589" width="12.7109375" bestFit="1" customWidth="1"/>
    <col min="12590" max="12590" width="11.7109375" bestFit="1" customWidth="1"/>
    <col min="12591" max="12591" width="11.5703125" bestFit="1" customWidth="1"/>
    <col min="12592" max="12592" width="5.28515625" bestFit="1" customWidth="1"/>
    <col min="12593" max="12593" width="13.28515625" bestFit="1" customWidth="1"/>
    <col min="12594" max="12594" width="13.5703125" bestFit="1" customWidth="1"/>
    <col min="12595" max="12595" width="10.5703125" bestFit="1" customWidth="1"/>
    <col min="12596" max="12596" width="13.28515625" bestFit="1" customWidth="1"/>
    <col min="12597" max="12597" width="11.5703125" bestFit="1" customWidth="1"/>
    <col min="12598" max="12598" width="10.5703125" bestFit="1" customWidth="1"/>
    <col min="12599" max="12599" width="16.140625" bestFit="1" customWidth="1"/>
    <col min="12600" max="12601" width="11.28515625" bestFit="1" customWidth="1"/>
    <col min="12602" max="12602" width="13.28515625" bestFit="1" customWidth="1"/>
    <col min="12603" max="12603" width="7.7109375" bestFit="1" customWidth="1"/>
    <col min="12604" max="12607" width="9.140625" hidden="1" customWidth="1"/>
    <col min="12608" max="12608" width="10.42578125" bestFit="1" customWidth="1"/>
    <col min="12609" max="12609" width="10.5703125" bestFit="1" customWidth="1"/>
    <col min="12610" max="12610" width="10.42578125" bestFit="1" customWidth="1"/>
    <col min="12611" max="12611" width="10.5703125" bestFit="1" customWidth="1"/>
    <col min="12612" max="12612" width="9.5703125" bestFit="1" customWidth="1"/>
    <col min="12613" max="12613" width="11.5703125" bestFit="1" customWidth="1"/>
    <col min="12614" max="12614" width="10.42578125" bestFit="1" customWidth="1"/>
    <col min="12615" max="12615" width="10.85546875" customWidth="1"/>
    <col min="12616" max="12617" width="9.85546875" bestFit="1" customWidth="1"/>
    <col min="12618" max="12618" width="13.5703125" bestFit="1" customWidth="1"/>
    <col min="12619" max="12619" width="7.7109375" bestFit="1" customWidth="1"/>
    <col min="12620" max="12620" width="13.28515625" bestFit="1" customWidth="1"/>
    <col min="12621" max="12621" width="11.5703125" bestFit="1" customWidth="1"/>
    <col min="12622" max="12622" width="10.42578125" bestFit="1" customWidth="1"/>
    <col min="12623" max="12623" width="7.7109375" bestFit="1" customWidth="1"/>
    <col min="12624" max="12624" width="11.5703125" bestFit="1" customWidth="1"/>
    <col min="12625" max="12625" width="10.85546875" bestFit="1" customWidth="1"/>
    <col min="12626" max="12626" width="13.28515625" bestFit="1" customWidth="1"/>
    <col min="12627" max="12627" width="10.85546875" bestFit="1" customWidth="1"/>
    <col min="12628" max="12629" width="7.5703125" bestFit="1" customWidth="1"/>
    <col min="12630" max="12631" width="10.42578125" bestFit="1" customWidth="1"/>
    <col min="12632" max="12632" width="11.5703125" bestFit="1" customWidth="1"/>
    <col min="12633" max="12633" width="5.28515625" bestFit="1" customWidth="1"/>
    <col min="12634" max="12634" width="10.28515625" bestFit="1" customWidth="1"/>
    <col min="12635" max="12635" width="10.42578125" bestFit="1" customWidth="1"/>
    <col min="12636" max="12636" width="11.5703125" bestFit="1" customWidth="1"/>
    <col min="12637" max="12637" width="5.28515625" bestFit="1" customWidth="1"/>
    <col min="12638" max="12640" width="11.5703125" bestFit="1" customWidth="1"/>
    <col min="12641" max="12641" width="5.28515625" bestFit="1" customWidth="1"/>
    <col min="12642" max="12643" width="10.42578125" bestFit="1" customWidth="1"/>
    <col min="12644" max="12644" width="11.5703125" bestFit="1" customWidth="1"/>
    <col min="12645" max="12645" width="5.28515625" bestFit="1" customWidth="1"/>
    <col min="12646" max="12646" width="14.28515625" bestFit="1" customWidth="1"/>
    <col min="12647" max="12647" width="13" bestFit="1" customWidth="1"/>
    <col min="12648" max="12648" width="11.5703125" bestFit="1" customWidth="1"/>
    <col min="12649" max="12649" width="8.85546875" bestFit="1" customWidth="1"/>
    <col min="12650" max="12650" width="14.42578125" bestFit="1" customWidth="1"/>
    <col min="12651" max="12651" width="10.42578125" bestFit="1" customWidth="1"/>
    <col min="12652" max="12652" width="12.28515625" bestFit="1" customWidth="1"/>
    <col min="12653" max="12653" width="13.85546875" bestFit="1" customWidth="1"/>
    <col min="12654" max="12654" width="11.28515625" customWidth="1"/>
    <col min="12655" max="12655" width="11.5703125" customWidth="1"/>
    <col min="12656" max="12656" width="13.42578125" bestFit="1" customWidth="1"/>
    <col min="12657" max="12657" width="10.42578125" customWidth="1"/>
    <col min="12658" max="12658" width="13.85546875" bestFit="1" customWidth="1"/>
    <col min="12659" max="12659" width="15.42578125" bestFit="1" customWidth="1"/>
    <col min="12660" max="12660" width="12.28515625" bestFit="1" customWidth="1"/>
    <col min="12661" max="12661" width="12.7109375" customWidth="1"/>
    <col min="12662" max="12662" width="10.7109375" bestFit="1" customWidth="1"/>
    <col min="12663" max="12663" width="9.85546875" customWidth="1"/>
    <col min="12664" max="12665" width="10.140625" bestFit="1" customWidth="1"/>
    <col min="12666" max="12666" width="7.5703125" bestFit="1" customWidth="1"/>
    <col min="12667" max="12667" width="9.42578125" bestFit="1" customWidth="1"/>
    <col min="12668" max="12668" width="14.5703125" bestFit="1" customWidth="1"/>
    <col min="12669" max="12669" width="14.85546875" customWidth="1"/>
    <col min="12670" max="12670" width="15.140625" bestFit="1" customWidth="1"/>
    <col min="12671" max="12671" width="12.140625" bestFit="1" customWidth="1"/>
    <col min="12672" max="12672" width="14.85546875" bestFit="1" customWidth="1"/>
    <col min="12673" max="12673" width="12.28515625" bestFit="1" customWidth="1"/>
    <col min="12674" max="12682" width="9.140625" hidden="1" customWidth="1"/>
    <col min="12683" max="12683" width="5.28515625" bestFit="1" customWidth="1"/>
    <col min="12684" max="12689" width="11.5703125" bestFit="1" customWidth="1"/>
    <col min="12690" max="12690" width="11.28515625" bestFit="1" customWidth="1"/>
    <col min="12691" max="12691" width="10.140625" bestFit="1" customWidth="1"/>
    <col min="12692" max="12692" width="11.5703125" bestFit="1" customWidth="1"/>
    <col min="12693" max="12693" width="16.140625" customWidth="1"/>
    <col min="12694" max="12694" width="13.42578125" customWidth="1"/>
    <col min="12695" max="12695" width="10.140625" bestFit="1" customWidth="1"/>
    <col min="12696" max="12696" width="12.85546875" bestFit="1" customWidth="1"/>
    <col min="12697" max="12697" width="12.28515625" bestFit="1" customWidth="1"/>
    <col min="12698" max="12698" width="11.28515625" bestFit="1" customWidth="1"/>
    <col min="12699" max="12699" width="11.5703125" bestFit="1" customWidth="1"/>
    <col min="12700" max="12700" width="10.85546875" bestFit="1" customWidth="1"/>
    <col min="12701" max="12701" width="11.28515625" bestFit="1" customWidth="1"/>
    <col min="12702" max="12702" width="10.140625" bestFit="1" customWidth="1"/>
    <col min="12703" max="12703" width="13.28515625" bestFit="1" customWidth="1"/>
    <col min="12704" max="12705" width="12.7109375" bestFit="1" customWidth="1"/>
    <col min="12706" max="12706" width="11" bestFit="1" customWidth="1"/>
    <col min="12707" max="12707" width="11.28515625" bestFit="1" customWidth="1"/>
    <col min="12708" max="12708" width="11.5703125" bestFit="1" customWidth="1"/>
    <col min="12709" max="12709" width="12.28515625" bestFit="1" customWidth="1"/>
    <col min="12710" max="12710" width="15.140625" bestFit="1" customWidth="1"/>
    <col min="12711" max="12711" width="14.42578125" bestFit="1" customWidth="1"/>
    <col min="12712" max="12712" width="12.28515625" bestFit="1" customWidth="1"/>
    <col min="12713" max="12713" width="15.140625" bestFit="1" customWidth="1"/>
    <col min="12714" max="12714" width="14.42578125" bestFit="1" customWidth="1"/>
    <col min="12715" max="12715" width="12.28515625" bestFit="1" customWidth="1"/>
    <col min="12716" max="12716" width="14.42578125" bestFit="1" customWidth="1"/>
    <col min="12717" max="12717" width="11.28515625" bestFit="1" customWidth="1"/>
    <col min="12718" max="12718" width="12.28515625" bestFit="1" customWidth="1"/>
    <col min="12719" max="12719" width="13" bestFit="1" customWidth="1"/>
    <col min="12720" max="12720" width="15.140625" bestFit="1" customWidth="1"/>
    <col min="12721" max="12721" width="12.28515625" bestFit="1" customWidth="1"/>
    <col min="12722" max="12722" width="13.85546875" bestFit="1" customWidth="1"/>
    <col min="12723" max="12723" width="11.28515625" bestFit="1" customWidth="1"/>
    <col min="12724" max="12724" width="12.28515625" bestFit="1" customWidth="1"/>
    <col min="12725" max="12725" width="13.85546875" bestFit="1" customWidth="1"/>
    <col min="12726" max="12727" width="15.140625" bestFit="1" customWidth="1"/>
    <col min="12728" max="12728" width="12.28515625" bestFit="1" customWidth="1"/>
    <col min="12729" max="12729" width="5.7109375" bestFit="1" customWidth="1"/>
    <col min="12730" max="12730" width="8.5703125" bestFit="1" customWidth="1"/>
    <col min="12731" max="12731" width="5.5703125" bestFit="1" customWidth="1"/>
    <col min="12732" max="12732" width="14.42578125" bestFit="1" customWidth="1"/>
    <col min="12733" max="12733" width="11.28515625" bestFit="1" customWidth="1"/>
    <col min="12734" max="12735" width="12.28515625" bestFit="1" customWidth="1"/>
    <col min="12736" max="12736" width="11.28515625" bestFit="1" customWidth="1"/>
    <col min="12737" max="12737" width="13.85546875" bestFit="1" customWidth="1"/>
    <col min="12738" max="12738" width="12" bestFit="1" customWidth="1"/>
    <col min="12739" max="12739" width="13.85546875" bestFit="1" customWidth="1"/>
    <col min="12740" max="12741" width="14.42578125" customWidth="1"/>
    <col min="12742" max="12742" width="10.140625" bestFit="1" customWidth="1"/>
    <col min="12743" max="12743" width="12.28515625" bestFit="1" customWidth="1"/>
    <col min="12744" max="12744" width="7.42578125" bestFit="1" customWidth="1"/>
    <col min="12745" max="12745" width="8.5703125" bestFit="1" customWidth="1"/>
    <col min="12746" max="12746" width="11.5703125" bestFit="1" customWidth="1"/>
    <col min="12747" max="12747" width="13.28515625" bestFit="1" customWidth="1"/>
    <col min="12748" max="12748" width="13.28515625" customWidth="1"/>
    <col min="12749" max="12749" width="13.140625" customWidth="1"/>
    <col min="12750" max="12750" width="12.7109375" bestFit="1" customWidth="1"/>
    <col min="12751" max="12751" width="13.28515625" bestFit="1" customWidth="1"/>
    <col min="12752" max="12754" width="13.28515625" customWidth="1"/>
    <col min="12755" max="12755" width="12.140625" bestFit="1" customWidth="1"/>
    <col min="12756" max="12756" width="12.7109375" bestFit="1" customWidth="1"/>
    <col min="12757" max="12757" width="11" customWidth="1"/>
    <col min="12758" max="12758" width="16.7109375" customWidth="1"/>
    <col min="12759" max="12759" width="17" customWidth="1"/>
    <col min="12760" max="12760" width="10.42578125" bestFit="1" customWidth="1"/>
    <col min="12804" max="12804" width="3.85546875" customWidth="1"/>
    <col min="12805" max="12805" width="15.28515625" bestFit="1" customWidth="1"/>
    <col min="12806" max="12806" width="12.28515625" customWidth="1"/>
    <col min="12807" max="12807" width="16.28515625" bestFit="1" customWidth="1"/>
    <col min="12808" max="12808" width="6.42578125" bestFit="1" customWidth="1"/>
    <col min="12809" max="12809" width="9.28515625" bestFit="1" customWidth="1"/>
    <col min="12810" max="12810" width="7.5703125" bestFit="1" customWidth="1"/>
    <col min="12811" max="12811" width="13.28515625" bestFit="1" customWidth="1"/>
    <col min="12812" max="12812" width="9.28515625" bestFit="1" customWidth="1"/>
    <col min="12813" max="12813" width="11.5703125" bestFit="1" customWidth="1"/>
    <col min="12814" max="12814" width="13.28515625" bestFit="1" customWidth="1"/>
    <col min="12815" max="12815" width="7.140625" bestFit="1" customWidth="1"/>
    <col min="12816" max="12816" width="12" bestFit="1" customWidth="1"/>
    <col min="12817" max="12817" width="13.28515625" bestFit="1" customWidth="1"/>
    <col min="12818" max="12818" width="7" bestFit="1" customWidth="1"/>
    <col min="12819" max="12819" width="12.7109375" bestFit="1" customWidth="1"/>
    <col min="12820" max="12820" width="11.5703125" bestFit="1" customWidth="1"/>
    <col min="12821" max="12821" width="10.5703125" bestFit="1" customWidth="1"/>
    <col min="12822" max="12823" width="15.7109375" bestFit="1" customWidth="1"/>
    <col min="12824" max="12824" width="11.5703125" bestFit="1" customWidth="1"/>
    <col min="12825" max="12825" width="7.7109375" bestFit="1" customWidth="1"/>
    <col min="12826" max="12826" width="15.140625" bestFit="1" customWidth="1"/>
    <col min="12827" max="12827" width="11.5703125" bestFit="1" customWidth="1"/>
    <col min="12828" max="12828" width="13.28515625" bestFit="1" customWidth="1"/>
    <col min="12829" max="12829" width="10.42578125" bestFit="1" customWidth="1"/>
    <col min="12830" max="12830" width="13.28515625" bestFit="1" customWidth="1"/>
    <col min="12831" max="12831" width="12.140625" bestFit="1" customWidth="1"/>
    <col min="12832" max="12832" width="14.42578125" bestFit="1" customWidth="1"/>
    <col min="12833" max="12833" width="13.28515625" bestFit="1" customWidth="1"/>
    <col min="12834" max="12834" width="11.5703125" bestFit="1" customWidth="1"/>
    <col min="12835" max="12835" width="7.7109375" bestFit="1" customWidth="1"/>
    <col min="12836" max="12837" width="14.42578125" bestFit="1" customWidth="1"/>
    <col min="12838" max="12838" width="11.5703125" bestFit="1" customWidth="1"/>
    <col min="12839" max="12839" width="7.7109375" bestFit="1" customWidth="1"/>
    <col min="12840" max="12840" width="13.5703125" customWidth="1"/>
    <col min="12841" max="12841" width="15.28515625" customWidth="1"/>
    <col min="12842" max="12842" width="14.5703125" customWidth="1"/>
    <col min="12843" max="12843" width="13.28515625" bestFit="1" customWidth="1"/>
    <col min="12844" max="12844" width="7.7109375" bestFit="1" customWidth="1"/>
    <col min="12845" max="12845" width="12.7109375" bestFit="1" customWidth="1"/>
    <col min="12846" max="12846" width="11.7109375" bestFit="1" customWidth="1"/>
    <col min="12847" max="12847" width="11.5703125" bestFit="1" customWidth="1"/>
    <col min="12848" max="12848" width="5.28515625" bestFit="1" customWidth="1"/>
    <col min="12849" max="12849" width="13.28515625" bestFit="1" customWidth="1"/>
    <col min="12850" max="12850" width="13.5703125" bestFit="1" customWidth="1"/>
    <col min="12851" max="12851" width="10.5703125" bestFit="1" customWidth="1"/>
    <col min="12852" max="12852" width="13.28515625" bestFit="1" customWidth="1"/>
    <col min="12853" max="12853" width="11.5703125" bestFit="1" customWidth="1"/>
    <col min="12854" max="12854" width="10.5703125" bestFit="1" customWidth="1"/>
    <col min="12855" max="12855" width="16.140625" bestFit="1" customWidth="1"/>
    <col min="12856" max="12857" width="11.28515625" bestFit="1" customWidth="1"/>
    <col min="12858" max="12858" width="13.28515625" bestFit="1" customWidth="1"/>
    <col min="12859" max="12859" width="7.7109375" bestFit="1" customWidth="1"/>
    <col min="12860" max="12863" width="9.140625" hidden="1" customWidth="1"/>
    <col min="12864" max="12864" width="10.42578125" bestFit="1" customWidth="1"/>
    <col min="12865" max="12865" width="10.5703125" bestFit="1" customWidth="1"/>
    <col min="12866" max="12866" width="10.42578125" bestFit="1" customWidth="1"/>
    <col min="12867" max="12867" width="10.5703125" bestFit="1" customWidth="1"/>
    <col min="12868" max="12868" width="9.5703125" bestFit="1" customWidth="1"/>
    <col min="12869" max="12869" width="11.5703125" bestFit="1" customWidth="1"/>
    <col min="12870" max="12870" width="10.42578125" bestFit="1" customWidth="1"/>
    <col min="12871" max="12871" width="10.85546875" customWidth="1"/>
    <col min="12872" max="12873" width="9.85546875" bestFit="1" customWidth="1"/>
    <col min="12874" max="12874" width="13.5703125" bestFit="1" customWidth="1"/>
    <col min="12875" max="12875" width="7.7109375" bestFit="1" customWidth="1"/>
    <col min="12876" max="12876" width="13.28515625" bestFit="1" customWidth="1"/>
    <col min="12877" max="12877" width="11.5703125" bestFit="1" customWidth="1"/>
    <col min="12878" max="12878" width="10.42578125" bestFit="1" customWidth="1"/>
    <col min="12879" max="12879" width="7.7109375" bestFit="1" customWidth="1"/>
    <col min="12880" max="12880" width="11.5703125" bestFit="1" customWidth="1"/>
    <col min="12881" max="12881" width="10.85546875" bestFit="1" customWidth="1"/>
    <col min="12882" max="12882" width="13.28515625" bestFit="1" customWidth="1"/>
    <col min="12883" max="12883" width="10.85546875" bestFit="1" customWidth="1"/>
    <col min="12884" max="12885" width="7.5703125" bestFit="1" customWidth="1"/>
    <col min="12886" max="12887" width="10.42578125" bestFit="1" customWidth="1"/>
    <col min="12888" max="12888" width="11.5703125" bestFit="1" customWidth="1"/>
    <col min="12889" max="12889" width="5.28515625" bestFit="1" customWidth="1"/>
    <col min="12890" max="12890" width="10.28515625" bestFit="1" customWidth="1"/>
    <col min="12891" max="12891" width="10.42578125" bestFit="1" customWidth="1"/>
    <col min="12892" max="12892" width="11.5703125" bestFit="1" customWidth="1"/>
    <col min="12893" max="12893" width="5.28515625" bestFit="1" customWidth="1"/>
    <col min="12894" max="12896" width="11.5703125" bestFit="1" customWidth="1"/>
    <col min="12897" max="12897" width="5.28515625" bestFit="1" customWidth="1"/>
    <col min="12898" max="12899" width="10.42578125" bestFit="1" customWidth="1"/>
    <col min="12900" max="12900" width="11.5703125" bestFit="1" customWidth="1"/>
    <col min="12901" max="12901" width="5.28515625" bestFit="1" customWidth="1"/>
    <col min="12902" max="12902" width="14.28515625" bestFit="1" customWidth="1"/>
    <col min="12903" max="12903" width="13" bestFit="1" customWidth="1"/>
    <col min="12904" max="12904" width="11.5703125" bestFit="1" customWidth="1"/>
    <col min="12905" max="12905" width="8.85546875" bestFit="1" customWidth="1"/>
    <col min="12906" max="12906" width="14.42578125" bestFit="1" customWidth="1"/>
    <col min="12907" max="12907" width="10.42578125" bestFit="1" customWidth="1"/>
    <col min="12908" max="12908" width="12.28515625" bestFit="1" customWidth="1"/>
    <col min="12909" max="12909" width="13.85546875" bestFit="1" customWidth="1"/>
    <col min="12910" max="12910" width="11.28515625" customWidth="1"/>
    <col min="12911" max="12911" width="11.5703125" customWidth="1"/>
    <col min="12912" max="12912" width="13.42578125" bestFit="1" customWidth="1"/>
    <col min="12913" max="12913" width="10.42578125" customWidth="1"/>
    <col min="12914" max="12914" width="13.85546875" bestFit="1" customWidth="1"/>
    <col min="12915" max="12915" width="15.42578125" bestFit="1" customWidth="1"/>
    <col min="12916" max="12916" width="12.28515625" bestFit="1" customWidth="1"/>
    <col min="12917" max="12917" width="12.7109375" customWidth="1"/>
    <col min="12918" max="12918" width="10.7109375" bestFit="1" customWidth="1"/>
    <col min="12919" max="12919" width="9.85546875" customWidth="1"/>
    <col min="12920" max="12921" width="10.140625" bestFit="1" customWidth="1"/>
    <col min="12922" max="12922" width="7.5703125" bestFit="1" customWidth="1"/>
    <col min="12923" max="12923" width="9.42578125" bestFit="1" customWidth="1"/>
    <col min="12924" max="12924" width="14.5703125" bestFit="1" customWidth="1"/>
    <col min="12925" max="12925" width="14.85546875" customWidth="1"/>
    <col min="12926" max="12926" width="15.140625" bestFit="1" customWidth="1"/>
    <col min="12927" max="12927" width="12.140625" bestFit="1" customWidth="1"/>
    <col min="12928" max="12928" width="14.85546875" bestFit="1" customWidth="1"/>
    <col min="12929" max="12929" width="12.28515625" bestFit="1" customWidth="1"/>
    <col min="12930" max="12938" width="9.140625" hidden="1" customWidth="1"/>
    <col min="12939" max="12939" width="5.28515625" bestFit="1" customWidth="1"/>
    <col min="12940" max="12945" width="11.5703125" bestFit="1" customWidth="1"/>
    <col min="12946" max="12946" width="11.28515625" bestFit="1" customWidth="1"/>
    <col min="12947" max="12947" width="10.140625" bestFit="1" customWidth="1"/>
    <col min="12948" max="12948" width="11.5703125" bestFit="1" customWidth="1"/>
    <col min="12949" max="12949" width="16.140625" customWidth="1"/>
    <col min="12950" max="12950" width="13.42578125" customWidth="1"/>
    <col min="12951" max="12951" width="10.140625" bestFit="1" customWidth="1"/>
    <col min="12952" max="12952" width="12.85546875" bestFit="1" customWidth="1"/>
    <col min="12953" max="12953" width="12.28515625" bestFit="1" customWidth="1"/>
    <col min="12954" max="12954" width="11.28515625" bestFit="1" customWidth="1"/>
    <col min="12955" max="12955" width="11.5703125" bestFit="1" customWidth="1"/>
    <col min="12956" max="12956" width="10.85546875" bestFit="1" customWidth="1"/>
    <col min="12957" max="12957" width="11.28515625" bestFit="1" customWidth="1"/>
    <col min="12958" max="12958" width="10.140625" bestFit="1" customWidth="1"/>
    <col min="12959" max="12959" width="13.28515625" bestFit="1" customWidth="1"/>
    <col min="12960" max="12961" width="12.7109375" bestFit="1" customWidth="1"/>
    <col min="12962" max="12962" width="11" bestFit="1" customWidth="1"/>
    <col min="12963" max="12963" width="11.28515625" bestFit="1" customWidth="1"/>
    <col min="12964" max="12964" width="11.5703125" bestFit="1" customWidth="1"/>
    <col min="12965" max="12965" width="12.28515625" bestFit="1" customWidth="1"/>
    <col min="12966" max="12966" width="15.140625" bestFit="1" customWidth="1"/>
    <col min="12967" max="12967" width="14.42578125" bestFit="1" customWidth="1"/>
    <col min="12968" max="12968" width="12.28515625" bestFit="1" customWidth="1"/>
    <col min="12969" max="12969" width="15.140625" bestFit="1" customWidth="1"/>
    <col min="12970" max="12970" width="14.42578125" bestFit="1" customWidth="1"/>
    <col min="12971" max="12971" width="12.28515625" bestFit="1" customWidth="1"/>
    <col min="12972" max="12972" width="14.42578125" bestFit="1" customWidth="1"/>
    <col min="12973" max="12973" width="11.28515625" bestFit="1" customWidth="1"/>
    <col min="12974" max="12974" width="12.28515625" bestFit="1" customWidth="1"/>
    <col min="12975" max="12975" width="13" bestFit="1" customWidth="1"/>
    <col min="12976" max="12976" width="15.140625" bestFit="1" customWidth="1"/>
    <col min="12977" max="12977" width="12.28515625" bestFit="1" customWidth="1"/>
    <col min="12978" max="12978" width="13.85546875" bestFit="1" customWidth="1"/>
    <col min="12979" max="12979" width="11.28515625" bestFit="1" customWidth="1"/>
    <col min="12980" max="12980" width="12.28515625" bestFit="1" customWidth="1"/>
    <col min="12981" max="12981" width="13.85546875" bestFit="1" customWidth="1"/>
    <col min="12982" max="12983" width="15.140625" bestFit="1" customWidth="1"/>
    <col min="12984" max="12984" width="12.28515625" bestFit="1" customWidth="1"/>
    <col min="12985" max="12985" width="5.7109375" bestFit="1" customWidth="1"/>
    <col min="12986" max="12986" width="8.5703125" bestFit="1" customWidth="1"/>
    <col min="12987" max="12987" width="5.5703125" bestFit="1" customWidth="1"/>
    <col min="12988" max="12988" width="14.42578125" bestFit="1" customWidth="1"/>
    <col min="12989" max="12989" width="11.28515625" bestFit="1" customWidth="1"/>
    <col min="12990" max="12991" width="12.28515625" bestFit="1" customWidth="1"/>
    <col min="12992" max="12992" width="11.28515625" bestFit="1" customWidth="1"/>
    <col min="12993" max="12993" width="13.85546875" bestFit="1" customWidth="1"/>
    <col min="12994" max="12994" width="12" bestFit="1" customWidth="1"/>
    <col min="12995" max="12995" width="13.85546875" bestFit="1" customWidth="1"/>
    <col min="12996" max="12997" width="14.42578125" customWidth="1"/>
    <col min="12998" max="12998" width="10.140625" bestFit="1" customWidth="1"/>
    <col min="12999" max="12999" width="12.28515625" bestFit="1" customWidth="1"/>
    <col min="13000" max="13000" width="7.42578125" bestFit="1" customWidth="1"/>
    <col min="13001" max="13001" width="8.5703125" bestFit="1" customWidth="1"/>
    <col min="13002" max="13002" width="11.5703125" bestFit="1" customWidth="1"/>
    <col min="13003" max="13003" width="13.28515625" bestFit="1" customWidth="1"/>
    <col min="13004" max="13004" width="13.28515625" customWidth="1"/>
    <col min="13005" max="13005" width="13.140625" customWidth="1"/>
    <col min="13006" max="13006" width="12.7109375" bestFit="1" customWidth="1"/>
    <col min="13007" max="13007" width="13.28515625" bestFit="1" customWidth="1"/>
    <col min="13008" max="13010" width="13.28515625" customWidth="1"/>
    <col min="13011" max="13011" width="12.140625" bestFit="1" customWidth="1"/>
    <col min="13012" max="13012" width="12.7109375" bestFit="1" customWidth="1"/>
    <col min="13013" max="13013" width="11" customWidth="1"/>
    <col min="13014" max="13014" width="16.7109375" customWidth="1"/>
    <col min="13015" max="13015" width="17" customWidth="1"/>
    <col min="13016" max="13016" width="10.42578125" bestFit="1" customWidth="1"/>
    <col min="13060" max="13060" width="3.85546875" customWidth="1"/>
    <col min="13061" max="13061" width="15.28515625" bestFit="1" customWidth="1"/>
    <col min="13062" max="13062" width="12.28515625" customWidth="1"/>
    <col min="13063" max="13063" width="16.28515625" bestFit="1" customWidth="1"/>
    <col min="13064" max="13064" width="6.42578125" bestFit="1" customWidth="1"/>
    <col min="13065" max="13065" width="9.28515625" bestFit="1" customWidth="1"/>
    <col min="13066" max="13066" width="7.5703125" bestFit="1" customWidth="1"/>
    <col min="13067" max="13067" width="13.28515625" bestFit="1" customWidth="1"/>
    <col min="13068" max="13068" width="9.28515625" bestFit="1" customWidth="1"/>
    <col min="13069" max="13069" width="11.5703125" bestFit="1" customWidth="1"/>
    <col min="13070" max="13070" width="13.28515625" bestFit="1" customWidth="1"/>
    <col min="13071" max="13071" width="7.140625" bestFit="1" customWidth="1"/>
    <col min="13072" max="13072" width="12" bestFit="1" customWidth="1"/>
    <col min="13073" max="13073" width="13.28515625" bestFit="1" customWidth="1"/>
    <col min="13074" max="13074" width="7" bestFit="1" customWidth="1"/>
    <col min="13075" max="13075" width="12.7109375" bestFit="1" customWidth="1"/>
    <col min="13076" max="13076" width="11.5703125" bestFit="1" customWidth="1"/>
    <col min="13077" max="13077" width="10.5703125" bestFit="1" customWidth="1"/>
    <col min="13078" max="13079" width="15.7109375" bestFit="1" customWidth="1"/>
    <col min="13080" max="13080" width="11.5703125" bestFit="1" customWidth="1"/>
    <col min="13081" max="13081" width="7.7109375" bestFit="1" customWidth="1"/>
    <col min="13082" max="13082" width="15.140625" bestFit="1" customWidth="1"/>
    <col min="13083" max="13083" width="11.5703125" bestFit="1" customWidth="1"/>
    <col min="13084" max="13084" width="13.28515625" bestFit="1" customWidth="1"/>
    <col min="13085" max="13085" width="10.42578125" bestFit="1" customWidth="1"/>
    <col min="13086" max="13086" width="13.28515625" bestFit="1" customWidth="1"/>
    <col min="13087" max="13087" width="12.140625" bestFit="1" customWidth="1"/>
    <col min="13088" max="13088" width="14.42578125" bestFit="1" customWidth="1"/>
    <col min="13089" max="13089" width="13.28515625" bestFit="1" customWidth="1"/>
    <col min="13090" max="13090" width="11.5703125" bestFit="1" customWidth="1"/>
    <col min="13091" max="13091" width="7.7109375" bestFit="1" customWidth="1"/>
    <col min="13092" max="13093" width="14.42578125" bestFit="1" customWidth="1"/>
    <col min="13094" max="13094" width="11.5703125" bestFit="1" customWidth="1"/>
    <col min="13095" max="13095" width="7.7109375" bestFit="1" customWidth="1"/>
    <col min="13096" max="13096" width="13.5703125" customWidth="1"/>
    <col min="13097" max="13097" width="15.28515625" customWidth="1"/>
    <col min="13098" max="13098" width="14.5703125" customWidth="1"/>
    <col min="13099" max="13099" width="13.28515625" bestFit="1" customWidth="1"/>
    <col min="13100" max="13100" width="7.7109375" bestFit="1" customWidth="1"/>
    <col min="13101" max="13101" width="12.7109375" bestFit="1" customWidth="1"/>
    <col min="13102" max="13102" width="11.7109375" bestFit="1" customWidth="1"/>
    <col min="13103" max="13103" width="11.5703125" bestFit="1" customWidth="1"/>
    <col min="13104" max="13104" width="5.28515625" bestFit="1" customWidth="1"/>
    <col min="13105" max="13105" width="13.28515625" bestFit="1" customWidth="1"/>
    <col min="13106" max="13106" width="13.5703125" bestFit="1" customWidth="1"/>
    <col min="13107" max="13107" width="10.5703125" bestFit="1" customWidth="1"/>
    <col min="13108" max="13108" width="13.28515625" bestFit="1" customWidth="1"/>
    <col min="13109" max="13109" width="11.5703125" bestFit="1" customWidth="1"/>
    <col min="13110" max="13110" width="10.5703125" bestFit="1" customWidth="1"/>
    <col min="13111" max="13111" width="16.140625" bestFit="1" customWidth="1"/>
    <col min="13112" max="13113" width="11.28515625" bestFit="1" customWidth="1"/>
    <col min="13114" max="13114" width="13.28515625" bestFit="1" customWidth="1"/>
    <col min="13115" max="13115" width="7.7109375" bestFit="1" customWidth="1"/>
    <col min="13116" max="13119" width="9.140625" hidden="1" customWidth="1"/>
    <col min="13120" max="13120" width="10.42578125" bestFit="1" customWidth="1"/>
    <col min="13121" max="13121" width="10.5703125" bestFit="1" customWidth="1"/>
    <col min="13122" max="13122" width="10.42578125" bestFit="1" customWidth="1"/>
    <col min="13123" max="13123" width="10.5703125" bestFit="1" customWidth="1"/>
    <col min="13124" max="13124" width="9.5703125" bestFit="1" customWidth="1"/>
    <col min="13125" max="13125" width="11.5703125" bestFit="1" customWidth="1"/>
    <col min="13126" max="13126" width="10.42578125" bestFit="1" customWidth="1"/>
    <col min="13127" max="13127" width="10.85546875" customWidth="1"/>
    <col min="13128" max="13129" width="9.85546875" bestFit="1" customWidth="1"/>
    <col min="13130" max="13130" width="13.5703125" bestFit="1" customWidth="1"/>
    <col min="13131" max="13131" width="7.7109375" bestFit="1" customWidth="1"/>
    <col min="13132" max="13132" width="13.28515625" bestFit="1" customWidth="1"/>
    <col min="13133" max="13133" width="11.5703125" bestFit="1" customWidth="1"/>
    <col min="13134" max="13134" width="10.42578125" bestFit="1" customWidth="1"/>
    <col min="13135" max="13135" width="7.7109375" bestFit="1" customWidth="1"/>
    <col min="13136" max="13136" width="11.5703125" bestFit="1" customWidth="1"/>
    <col min="13137" max="13137" width="10.85546875" bestFit="1" customWidth="1"/>
    <col min="13138" max="13138" width="13.28515625" bestFit="1" customWidth="1"/>
    <col min="13139" max="13139" width="10.85546875" bestFit="1" customWidth="1"/>
    <col min="13140" max="13141" width="7.5703125" bestFit="1" customWidth="1"/>
    <col min="13142" max="13143" width="10.42578125" bestFit="1" customWidth="1"/>
    <col min="13144" max="13144" width="11.5703125" bestFit="1" customWidth="1"/>
    <col min="13145" max="13145" width="5.28515625" bestFit="1" customWidth="1"/>
    <col min="13146" max="13146" width="10.28515625" bestFit="1" customWidth="1"/>
    <col min="13147" max="13147" width="10.42578125" bestFit="1" customWidth="1"/>
    <col min="13148" max="13148" width="11.5703125" bestFit="1" customWidth="1"/>
    <col min="13149" max="13149" width="5.28515625" bestFit="1" customWidth="1"/>
    <col min="13150" max="13152" width="11.5703125" bestFit="1" customWidth="1"/>
    <col min="13153" max="13153" width="5.28515625" bestFit="1" customWidth="1"/>
    <col min="13154" max="13155" width="10.42578125" bestFit="1" customWidth="1"/>
    <col min="13156" max="13156" width="11.5703125" bestFit="1" customWidth="1"/>
    <col min="13157" max="13157" width="5.28515625" bestFit="1" customWidth="1"/>
    <col min="13158" max="13158" width="14.28515625" bestFit="1" customWidth="1"/>
    <col min="13159" max="13159" width="13" bestFit="1" customWidth="1"/>
    <col min="13160" max="13160" width="11.5703125" bestFit="1" customWidth="1"/>
    <col min="13161" max="13161" width="8.85546875" bestFit="1" customWidth="1"/>
    <col min="13162" max="13162" width="14.42578125" bestFit="1" customWidth="1"/>
    <col min="13163" max="13163" width="10.42578125" bestFit="1" customWidth="1"/>
    <col min="13164" max="13164" width="12.28515625" bestFit="1" customWidth="1"/>
    <col min="13165" max="13165" width="13.85546875" bestFit="1" customWidth="1"/>
    <col min="13166" max="13166" width="11.28515625" customWidth="1"/>
    <col min="13167" max="13167" width="11.5703125" customWidth="1"/>
    <col min="13168" max="13168" width="13.42578125" bestFit="1" customWidth="1"/>
    <col min="13169" max="13169" width="10.42578125" customWidth="1"/>
    <col min="13170" max="13170" width="13.85546875" bestFit="1" customWidth="1"/>
    <col min="13171" max="13171" width="15.42578125" bestFit="1" customWidth="1"/>
    <col min="13172" max="13172" width="12.28515625" bestFit="1" customWidth="1"/>
    <col min="13173" max="13173" width="12.7109375" customWidth="1"/>
    <col min="13174" max="13174" width="10.7109375" bestFit="1" customWidth="1"/>
    <col min="13175" max="13175" width="9.85546875" customWidth="1"/>
    <col min="13176" max="13177" width="10.140625" bestFit="1" customWidth="1"/>
    <col min="13178" max="13178" width="7.5703125" bestFit="1" customWidth="1"/>
    <col min="13179" max="13179" width="9.42578125" bestFit="1" customWidth="1"/>
    <col min="13180" max="13180" width="14.5703125" bestFit="1" customWidth="1"/>
    <col min="13181" max="13181" width="14.85546875" customWidth="1"/>
    <col min="13182" max="13182" width="15.140625" bestFit="1" customWidth="1"/>
    <col min="13183" max="13183" width="12.140625" bestFit="1" customWidth="1"/>
    <col min="13184" max="13184" width="14.85546875" bestFit="1" customWidth="1"/>
    <col min="13185" max="13185" width="12.28515625" bestFit="1" customWidth="1"/>
    <col min="13186" max="13194" width="9.140625" hidden="1" customWidth="1"/>
    <col min="13195" max="13195" width="5.28515625" bestFit="1" customWidth="1"/>
    <col min="13196" max="13201" width="11.5703125" bestFit="1" customWidth="1"/>
    <col min="13202" max="13202" width="11.28515625" bestFit="1" customWidth="1"/>
    <col min="13203" max="13203" width="10.140625" bestFit="1" customWidth="1"/>
    <col min="13204" max="13204" width="11.5703125" bestFit="1" customWidth="1"/>
    <col min="13205" max="13205" width="16.140625" customWidth="1"/>
    <col min="13206" max="13206" width="13.42578125" customWidth="1"/>
    <col min="13207" max="13207" width="10.140625" bestFit="1" customWidth="1"/>
    <col min="13208" max="13208" width="12.85546875" bestFit="1" customWidth="1"/>
    <col min="13209" max="13209" width="12.28515625" bestFit="1" customWidth="1"/>
    <col min="13210" max="13210" width="11.28515625" bestFit="1" customWidth="1"/>
    <col min="13211" max="13211" width="11.5703125" bestFit="1" customWidth="1"/>
    <col min="13212" max="13212" width="10.85546875" bestFit="1" customWidth="1"/>
    <col min="13213" max="13213" width="11.28515625" bestFit="1" customWidth="1"/>
    <col min="13214" max="13214" width="10.140625" bestFit="1" customWidth="1"/>
    <col min="13215" max="13215" width="13.28515625" bestFit="1" customWidth="1"/>
    <col min="13216" max="13217" width="12.7109375" bestFit="1" customWidth="1"/>
    <col min="13218" max="13218" width="11" bestFit="1" customWidth="1"/>
    <col min="13219" max="13219" width="11.28515625" bestFit="1" customWidth="1"/>
    <col min="13220" max="13220" width="11.5703125" bestFit="1" customWidth="1"/>
    <col min="13221" max="13221" width="12.28515625" bestFit="1" customWidth="1"/>
    <col min="13222" max="13222" width="15.140625" bestFit="1" customWidth="1"/>
    <col min="13223" max="13223" width="14.42578125" bestFit="1" customWidth="1"/>
    <col min="13224" max="13224" width="12.28515625" bestFit="1" customWidth="1"/>
    <col min="13225" max="13225" width="15.140625" bestFit="1" customWidth="1"/>
    <col min="13226" max="13226" width="14.42578125" bestFit="1" customWidth="1"/>
    <col min="13227" max="13227" width="12.28515625" bestFit="1" customWidth="1"/>
    <col min="13228" max="13228" width="14.42578125" bestFit="1" customWidth="1"/>
    <col min="13229" max="13229" width="11.28515625" bestFit="1" customWidth="1"/>
    <col min="13230" max="13230" width="12.28515625" bestFit="1" customWidth="1"/>
    <col min="13231" max="13231" width="13" bestFit="1" customWidth="1"/>
    <col min="13232" max="13232" width="15.140625" bestFit="1" customWidth="1"/>
    <col min="13233" max="13233" width="12.28515625" bestFit="1" customWidth="1"/>
    <col min="13234" max="13234" width="13.85546875" bestFit="1" customWidth="1"/>
    <col min="13235" max="13235" width="11.28515625" bestFit="1" customWidth="1"/>
    <col min="13236" max="13236" width="12.28515625" bestFit="1" customWidth="1"/>
    <col min="13237" max="13237" width="13.85546875" bestFit="1" customWidth="1"/>
    <col min="13238" max="13239" width="15.140625" bestFit="1" customWidth="1"/>
    <col min="13240" max="13240" width="12.28515625" bestFit="1" customWidth="1"/>
    <col min="13241" max="13241" width="5.7109375" bestFit="1" customWidth="1"/>
    <col min="13242" max="13242" width="8.5703125" bestFit="1" customWidth="1"/>
    <col min="13243" max="13243" width="5.5703125" bestFit="1" customWidth="1"/>
    <col min="13244" max="13244" width="14.42578125" bestFit="1" customWidth="1"/>
    <col min="13245" max="13245" width="11.28515625" bestFit="1" customWidth="1"/>
    <col min="13246" max="13247" width="12.28515625" bestFit="1" customWidth="1"/>
    <col min="13248" max="13248" width="11.28515625" bestFit="1" customWidth="1"/>
    <col min="13249" max="13249" width="13.85546875" bestFit="1" customWidth="1"/>
    <col min="13250" max="13250" width="12" bestFit="1" customWidth="1"/>
    <col min="13251" max="13251" width="13.85546875" bestFit="1" customWidth="1"/>
    <col min="13252" max="13253" width="14.42578125" customWidth="1"/>
    <col min="13254" max="13254" width="10.140625" bestFit="1" customWidth="1"/>
    <col min="13255" max="13255" width="12.28515625" bestFit="1" customWidth="1"/>
    <col min="13256" max="13256" width="7.42578125" bestFit="1" customWidth="1"/>
    <col min="13257" max="13257" width="8.5703125" bestFit="1" customWidth="1"/>
    <col min="13258" max="13258" width="11.5703125" bestFit="1" customWidth="1"/>
    <col min="13259" max="13259" width="13.28515625" bestFit="1" customWidth="1"/>
    <col min="13260" max="13260" width="13.28515625" customWidth="1"/>
    <col min="13261" max="13261" width="13.140625" customWidth="1"/>
    <col min="13262" max="13262" width="12.7109375" bestFit="1" customWidth="1"/>
    <col min="13263" max="13263" width="13.28515625" bestFit="1" customWidth="1"/>
    <col min="13264" max="13266" width="13.28515625" customWidth="1"/>
    <col min="13267" max="13267" width="12.140625" bestFit="1" customWidth="1"/>
    <col min="13268" max="13268" width="12.7109375" bestFit="1" customWidth="1"/>
    <col min="13269" max="13269" width="11" customWidth="1"/>
    <col min="13270" max="13270" width="16.7109375" customWidth="1"/>
    <col min="13271" max="13271" width="17" customWidth="1"/>
    <col min="13272" max="13272" width="10.42578125" bestFit="1" customWidth="1"/>
    <col min="13316" max="13316" width="3.85546875" customWidth="1"/>
    <col min="13317" max="13317" width="15.28515625" bestFit="1" customWidth="1"/>
    <col min="13318" max="13318" width="12.28515625" customWidth="1"/>
    <col min="13319" max="13319" width="16.28515625" bestFit="1" customWidth="1"/>
    <col min="13320" max="13320" width="6.42578125" bestFit="1" customWidth="1"/>
    <col min="13321" max="13321" width="9.28515625" bestFit="1" customWidth="1"/>
    <col min="13322" max="13322" width="7.5703125" bestFit="1" customWidth="1"/>
    <col min="13323" max="13323" width="13.28515625" bestFit="1" customWidth="1"/>
    <col min="13324" max="13324" width="9.28515625" bestFit="1" customWidth="1"/>
    <col min="13325" max="13325" width="11.5703125" bestFit="1" customWidth="1"/>
    <col min="13326" max="13326" width="13.28515625" bestFit="1" customWidth="1"/>
    <col min="13327" max="13327" width="7.140625" bestFit="1" customWidth="1"/>
    <col min="13328" max="13328" width="12" bestFit="1" customWidth="1"/>
    <col min="13329" max="13329" width="13.28515625" bestFit="1" customWidth="1"/>
    <col min="13330" max="13330" width="7" bestFit="1" customWidth="1"/>
    <col min="13331" max="13331" width="12.7109375" bestFit="1" customWidth="1"/>
    <col min="13332" max="13332" width="11.5703125" bestFit="1" customWidth="1"/>
    <col min="13333" max="13333" width="10.5703125" bestFit="1" customWidth="1"/>
    <col min="13334" max="13335" width="15.7109375" bestFit="1" customWidth="1"/>
    <col min="13336" max="13336" width="11.5703125" bestFit="1" customWidth="1"/>
    <col min="13337" max="13337" width="7.7109375" bestFit="1" customWidth="1"/>
    <col min="13338" max="13338" width="15.140625" bestFit="1" customWidth="1"/>
    <col min="13339" max="13339" width="11.5703125" bestFit="1" customWidth="1"/>
    <col min="13340" max="13340" width="13.28515625" bestFit="1" customWidth="1"/>
    <col min="13341" max="13341" width="10.42578125" bestFit="1" customWidth="1"/>
    <col min="13342" max="13342" width="13.28515625" bestFit="1" customWidth="1"/>
    <col min="13343" max="13343" width="12.140625" bestFit="1" customWidth="1"/>
    <col min="13344" max="13344" width="14.42578125" bestFit="1" customWidth="1"/>
    <col min="13345" max="13345" width="13.28515625" bestFit="1" customWidth="1"/>
    <col min="13346" max="13346" width="11.5703125" bestFit="1" customWidth="1"/>
    <col min="13347" max="13347" width="7.7109375" bestFit="1" customWidth="1"/>
    <col min="13348" max="13349" width="14.42578125" bestFit="1" customWidth="1"/>
    <col min="13350" max="13350" width="11.5703125" bestFit="1" customWidth="1"/>
    <col min="13351" max="13351" width="7.7109375" bestFit="1" customWidth="1"/>
    <col min="13352" max="13352" width="13.5703125" customWidth="1"/>
    <col min="13353" max="13353" width="15.28515625" customWidth="1"/>
    <col min="13354" max="13354" width="14.5703125" customWidth="1"/>
    <col min="13355" max="13355" width="13.28515625" bestFit="1" customWidth="1"/>
    <col min="13356" max="13356" width="7.7109375" bestFit="1" customWidth="1"/>
    <col min="13357" max="13357" width="12.7109375" bestFit="1" customWidth="1"/>
    <col min="13358" max="13358" width="11.7109375" bestFit="1" customWidth="1"/>
    <col min="13359" max="13359" width="11.5703125" bestFit="1" customWidth="1"/>
    <col min="13360" max="13360" width="5.28515625" bestFit="1" customWidth="1"/>
    <col min="13361" max="13361" width="13.28515625" bestFit="1" customWidth="1"/>
    <col min="13362" max="13362" width="13.5703125" bestFit="1" customWidth="1"/>
    <col min="13363" max="13363" width="10.5703125" bestFit="1" customWidth="1"/>
    <col min="13364" max="13364" width="13.28515625" bestFit="1" customWidth="1"/>
    <col min="13365" max="13365" width="11.5703125" bestFit="1" customWidth="1"/>
    <col min="13366" max="13366" width="10.5703125" bestFit="1" customWidth="1"/>
    <col min="13367" max="13367" width="16.140625" bestFit="1" customWidth="1"/>
    <col min="13368" max="13369" width="11.28515625" bestFit="1" customWidth="1"/>
    <col min="13370" max="13370" width="13.28515625" bestFit="1" customWidth="1"/>
    <col min="13371" max="13371" width="7.7109375" bestFit="1" customWidth="1"/>
    <col min="13372" max="13375" width="9.140625" hidden="1" customWidth="1"/>
    <col min="13376" max="13376" width="10.42578125" bestFit="1" customWidth="1"/>
    <col min="13377" max="13377" width="10.5703125" bestFit="1" customWidth="1"/>
    <col min="13378" max="13378" width="10.42578125" bestFit="1" customWidth="1"/>
    <col min="13379" max="13379" width="10.5703125" bestFit="1" customWidth="1"/>
    <col min="13380" max="13380" width="9.5703125" bestFit="1" customWidth="1"/>
    <col min="13381" max="13381" width="11.5703125" bestFit="1" customWidth="1"/>
    <col min="13382" max="13382" width="10.42578125" bestFit="1" customWidth="1"/>
    <col min="13383" max="13383" width="10.85546875" customWidth="1"/>
    <col min="13384" max="13385" width="9.85546875" bestFit="1" customWidth="1"/>
    <col min="13386" max="13386" width="13.5703125" bestFit="1" customWidth="1"/>
    <col min="13387" max="13387" width="7.7109375" bestFit="1" customWidth="1"/>
    <col min="13388" max="13388" width="13.28515625" bestFit="1" customWidth="1"/>
    <col min="13389" max="13389" width="11.5703125" bestFit="1" customWidth="1"/>
    <col min="13390" max="13390" width="10.42578125" bestFit="1" customWidth="1"/>
    <col min="13391" max="13391" width="7.7109375" bestFit="1" customWidth="1"/>
    <col min="13392" max="13392" width="11.5703125" bestFit="1" customWidth="1"/>
    <col min="13393" max="13393" width="10.85546875" bestFit="1" customWidth="1"/>
    <col min="13394" max="13394" width="13.28515625" bestFit="1" customWidth="1"/>
    <col min="13395" max="13395" width="10.85546875" bestFit="1" customWidth="1"/>
    <col min="13396" max="13397" width="7.5703125" bestFit="1" customWidth="1"/>
    <col min="13398" max="13399" width="10.42578125" bestFit="1" customWidth="1"/>
    <col min="13400" max="13400" width="11.5703125" bestFit="1" customWidth="1"/>
    <col min="13401" max="13401" width="5.28515625" bestFit="1" customWidth="1"/>
    <col min="13402" max="13402" width="10.28515625" bestFit="1" customWidth="1"/>
    <col min="13403" max="13403" width="10.42578125" bestFit="1" customWidth="1"/>
    <col min="13404" max="13404" width="11.5703125" bestFit="1" customWidth="1"/>
    <col min="13405" max="13405" width="5.28515625" bestFit="1" customWidth="1"/>
    <col min="13406" max="13408" width="11.5703125" bestFit="1" customWidth="1"/>
    <col min="13409" max="13409" width="5.28515625" bestFit="1" customWidth="1"/>
    <col min="13410" max="13411" width="10.42578125" bestFit="1" customWidth="1"/>
    <col min="13412" max="13412" width="11.5703125" bestFit="1" customWidth="1"/>
    <col min="13413" max="13413" width="5.28515625" bestFit="1" customWidth="1"/>
    <col min="13414" max="13414" width="14.28515625" bestFit="1" customWidth="1"/>
    <col min="13415" max="13415" width="13" bestFit="1" customWidth="1"/>
    <col min="13416" max="13416" width="11.5703125" bestFit="1" customWidth="1"/>
    <col min="13417" max="13417" width="8.85546875" bestFit="1" customWidth="1"/>
    <col min="13418" max="13418" width="14.42578125" bestFit="1" customWidth="1"/>
    <col min="13419" max="13419" width="10.42578125" bestFit="1" customWidth="1"/>
    <col min="13420" max="13420" width="12.28515625" bestFit="1" customWidth="1"/>
    <col min="13421" max="13421" width="13.85546875" bestFit="1" customWidth="1"/>
    <col min="13422" max="13422" width="11.28515625" customWidth="1"/>
    <col min="13423" max="13423" width="11.5703125" customWidth="1"/>
    <col min="13424" max="13424" width="13.42578125" bestFit="1" customWidth="1"/>
    <col min="13425" max="13425" width="10.42578125" customWidth="1"/>
    <col min="13426" max="13426" width="13.85546875" bestFit="1" customWidth="1"/>
    <col min="13427" max="13427" width="15.42578125" bestFit="1" customWidth="1"/>
    <col min="13428" max="13428" width="12.28515625" bestFit="1" customWidth="1"/>
    <col min="13429" max="13429" width="12.7109375" customWidth="1"/>
    <col min="13430" max="13430" width="10.7109375" bestFit="1" customWidth="1"/>
    <col min="13431" max="13431" width="9.85546875" customWidth="1"/>
    <col min="13432" max="13433" width="10.140625" bestFit="1" customWidth="1"/>
    <col min="13434" max="13434" width="7.5703125" bestFit="1" customWidth="1"/>
    <col min="13435" max="13435" width="9.42578125" bestFit="1" customWidth="1"/>
    <col min="13436" max="13436" width="14.5703125" bestFit="1" customWidth="1"/>
    <col min="13437" max="13437" width="14.85546875" customWidth="1"/>
    <col min="13438" max="13438" width="15.140625" bestFit="1" customWidth="1"/>
    <col min="13439" max="13439" width="12.140625" bestFit="1" customWidth="1"/>
    <col min="13440" max="13440" width="14.85546875" bestFit="1" customWidth="1"/>
    <col min="13441" max="13441" width="12.28515625" bestFit="1" customWidth="1"/>
    <col min="13442" max="13450" width="9.140625" hidden="1" customWidth="1"/>
    <col min="13451" max="13451" width="5.28515625" bestFit="1" customWidth="1"/>
    <col min="13452" max="13457" width="11.5703125" bestFit="1" customWidth="1"/>
    <col min="13458" max="13458" width="11.28515625" bestFit="1" customWidth="1"/>
    <col min="13459" max="13459" width="10.140625" bestFit="1" customWidth="1"/>
    <col min="13460" max="13460" width="11.5703125" bestFit="1" customWidth="1"/>
    <col min="13461" max="13461" width="16.140625" customWidth="1"/>
    <col min="13462" max="13462" width="13.42578125" customWidth="1"/>
    <col min="13463" max="13463" width="10.140625" bestFit="1" customWidth="1"/>
    <col min="13464" max="13464" width="12.85546875" bestFit="1" customWidth="1"/>
    <col min="13465" max="13465" width="12.28515625" bestFit="1" customWidth="1"/>
    <col min="13466" max="13466" width="11.28515625" bestFit="1" customWidth="1"/>
    <col min="13467" max="13467" width="11.5703125" bestFit="1" customWidth="1"/>
    <col min="13468" max="13468" width="10.85546875" bestFit="1" customWidth="1"/>
    <col min="13469" max="13469" width="11.28515625" bestFit="1" customWidth="1"/>
    <col min="13470" max="13470" width="10.140625" bestFit="1" customWidth="1"/>
    <col min="13471" max="13471" width="13.28515625" bestFit="1" customWidth="1"/>
    <col min="13472" max="13473" width="12.7109375" bestFit="1" customWidth="1"/>
    <col min="13474" max="13474" width="11" bestFit="1" customWidth="1"/>
    <col min="13475" max="13475" width="11.28515625" bestFit="1" customWidth="1"/>
    <col min="13476" max="13476" width="11.5703125" bestFit="1" customWidth="1"/>
    <col min="13477" max="13477" width="12.28515625" bestFit="1" customWidth="1"/>
    <col min="13478" max="13478" width="15.140625" bestFit="1" customWidth="1"/>
    <col min="13479" max="13479" width="14.42578125" bestFit="1" customWidth="1"/>
    <col min="13480" max="13480" width="12.28515625" bestFit="1" customWidth="1"/>
    <col min="13481" max="13481" width="15.140625" bestFit="1" customWidth="1"/>
    <col min="13482" max="13482" width="14.42578125" bestFit="1" customWidth="1"/>
    <col min="13483" max="13483" width="12.28515625" bestFit="1" customWidth="1"/>
    <col min="13484" max="13484" width="14.42578125" bestFit="1" customWidth="1"/>
    <col min="13485" max="13485" width="11.28515625" bestFit="1" customWidth="1"/>
    <col min="13486" max="13486" width="12.28515625" bestFit="1" customWidth="1"/>
    <col min="13487" max="13487" width="13" bestFit="1" customWidth="1"/>
    <col min="13488" max="13488" width="15.140625" bestFit="1" customWidth="1"/>
    <col min="13489" max="13489" width="12.28515625" bestFit="1" customWidth="1"/>
    <col min="13490" max="13490" width="13.85546875" bestFit="1" customWidth="1"/>
    <col min="13491" max="13491" width="11.28515625" bestFit="1" customWidth="1"/>
    <col min="13492" max="13492" width="12.28515625" bestFit="1" customWidth="1"/>
    <col min="13493" max="13493" width="13.85546875" bestFit="1" customWidth="1"/>
    <col min="13494" max="13495" width="15.140625" bestFit="1" customWidth="1"/>
    <col min="13496" max="13496" width="12.28515625" bestFit="1" customWidth="1"/>
    <col min="13497" max="13497" width="5.7109375" bestFit="1" customWidth="1"/>
    <col min="13498" max="13498" width="8.5703125" bestFit="1" customWidth="1"/>
    <col min="13499" max="13499" width="5.5703125" bestFit="1" customWidth="1"/>
    <col min="13500" max="13500" width="14.42578125" bestFit="1" customWidth="1"/>
    <col min="13501" max="13501" width="11.28515625" bestFit="1" customWidth="1"/>
    <col min="13502" max="13503" width="12.28515625" bestFit="1" customWidth="1"/>
    <col min="13504" max="13504" width="11.28515625" bestFit="1" customWidth="1"/>
    <col min="13505" max="13505" width="13.85546875" bestFit="1" customWidth="1"/>
    <col min="13506" max="13506" width="12" bestFit="1" customWidth="1"/>
    <col min="13507" max="13507" width="13.85546875" bestFit="1" customWidth="1"/>
    <col min="13508" max="13509" width="14.42578125" customWidth="1"/>
    <col min="13510" max="13510" width="10.140625" bestFit="1" customWidth="1"/>
    <col min="13511" max="13511" width="12.28515625" bestFit="1" customWidth="1"/>
    <col min="13512" max="13512" width="7.42578125" bestFit="1" customWidth="1"/>
    <col min="13513" max="13513" width="8.5703125" bestFit="1" customWidth="1"/>
    <col min="13514" max="13514" width="11.5703125" bestFit="1" customWidth="1"/>
    <col min="13515" max="13515" width="13.28515625" bestFit="1" customWidth="1"/>
    <col min="13516" max="13516" width="13.28515625" customWidth="1"/>
    <col min="13517" max="13517" width="13.140625" customWidth="1"/>
    <col min="13518" max="13518" width="12.7109375" bestFit="1" customWidth="1"/>
    <col min="13519" max="13519" width="13.28515625" bestFit="1" customWidth="1"/>
    <col min="13520" max="13522" width="13.28515625" customWidth="1"/>
    <col min="13523" max="13523" width="12.140625" bestFit="1" customWidth="1"/>
    <col min="13524" max="13524" width="12.7109375" bestFit="1" customWidth="1"/>
    <col min="13525" max="13525" width="11" customWidth="1"/>
    <col min="13526" max="13526" width="16.7109375" customWidth="1"/>
    <col min="13527" max="13527" width="17" customWidth="1"/>
    <col min="13528" max="13528" width="10.42578125" bestFit="1" customWidth="1"/>
    <col min="13572" max="13572" width="3.85546875" customWidth="1"/>
    <col min="13573" max="13573" width="15.28515625" bestFit="1" customWidth="1"/>
    <col min="13574" max="13574" width="12.28515625" customWidth="1"/>
    <col min="13575" max="13575" width="16.28515625" bestFit="1" customWidth="1"/>
    <col min="13576" max="13576" width="6.42578125" bestFit="1" customWidth="1"/>
    <col min="13577" max="13577" width="9.28515625" bestFit="1" customWidth="1"/>
    <col min="13578" max="13578" width="7.5703125" bestFit="1" customWidth="1"/>
    <col min="13579" max="13579" width="13.28515625" bestFit="1" customWidth="1"/>
    <col min="13580" max="13580" width="9.28515625" bestFit="1" customWidth="1"/>
    <col min="13581" max="13581" width="11.5703125" bestFit="1" customWidth="1"/>
    <col min="13582" max="13582" width="13.28515625" bestFit="1" customWidth="1"/>
    <col min="13583" max="13583" width="7.140625" bestFit="1" customWidth="1"/>
    <col min="13584" max="13584" width="12" bestFit="1" customWidth="1"/>
    <col min="13585" max="13585" width="13.28515625" bestFit="1" customWidth="1"/>
    <col min="13586" max="13586" width="7" bestFit="1" customWidth="1"/>
    <col min="13587" max="13587" width="12.7109375" bestFit="1" customWidth="1"/>
    <col min="13588" max="13588" width="11.5703125" bestFit="1" customWidth="1"/>
    <col min="13589" max="13589" width="10.5703125" bestFit="1" customWidth="1"/>
    <col min="13590" max="13591" width="15.7109375" bestFit="1" customWidth="1"/>
    <col min="13592" max="13592" width="11.5703125" bestFit="1" customWidth="1"/>
    <col min="13593" max="13593" width="7.7109375" bestFit="1" customWidth="1"/>
    <col min="13594" max="13594" width="15.140625" bestFit="1" customWidth="1"/>
    <col min="13595" max="13595" width="11.5703125" bestFit="1" customWidth="1"/>
    <col min="13596" max="13596" width="13.28515625" bestFit="1" customWidth="1"/>
    <col min="13597" max="13597" width="10.42578125" bestFit="1" customWidth="1"/>
    <col min="13598" max="13598" width="13.28515625" bestFit="1" customWidth="1"/>
    <col min="13599" max="13599" width="12.140625" bestFit="1" customWidth="1"/>
    <col min="13600" max="13600" width="14.42578125" bestFit="1" customWidth="1"/>
    <col min="13601" max="13601" width="13.28515625" bestFit="1" customWidth="1"/>
    <col min="13602" max="13602" width="11.5703125" bestFit="1" customWidth="1"/>
    <col min="13603" max="13603" width="7.7109375" bestFit="1" customWidth="1"/>
    <col min="13604" max="13605" width="14.42578125" bestFit="1" customWidth="1"/>
    <col min="13606" max="13606" width="11.5703125" bestFit="1" customWidth="1"/>
    <col min="13607" max="13607" width="7.7109375" bestFit="1" customWidth="1"/>
    <col min="13608" max="13608" width="13.5703125" customWidth="1"/>
    <col min="13609" max="13609" width="15.28515625" customWidth="1"/>
    <col min="13610" max="13610" width="14.5703125" customWidth="1"/>
    <col min="13611" max="13611" width="13.28515625" bestFit="1" customWidth="1"/>
    <col min="13612" max="13612" width="7.7109375" bestFit="1" customWidth="1"/>
    <col min="13613" max="13613" width="12.7109375" bestFit="1" customWidth="1"/>
    <col min="13614" max="13614" width="11.7109375" bestFit="1" customWidth="1"/>
    <col min="13615" max="13615" width="11.5703125" bestFit="1" customWidth="1"/>
    <col min="13616" max="13616" width="5.28515625" bestFit="1" customWidth="1"/>
    <col min="13617" max="13617" width="13.28515625" bestFit="1" customWidth="1"/>
    <col min="13618" max="13618" width="13.5703125" bestFit="1" customWidth="1"/>
    <col min="13619" max="13619" width="10.5703125" bestFit="1" customWidth="1"/>
    <col min="13620" max="13620" width="13.28515625" bestFit="1" customWidth="1"/>
    <col min="13621" max="13621" width="11.5703125" bestFit="1" customWidth="1"/>
    <col min="13622" max="13622" width="10.5703125" bestFit="1" customWidth="1"/>
    <col min="13623" max="13623" width="16.140625" bestFit="1" customWidth="1"/>
    <col min="13624" max="13625" width="11.28515625" bestFit="1" customWidth="1"/>
    <col min="13626" max="13626" width="13.28515625" bestFit="1" customWidth="1"/>
    <col min="13627" max="13627" width="7.7109375" bestFit="1" customWidth="1"/>
    <col min="13628" max="13631" width="9.140625" hidden="1" customWidth="1"/>
    <col min="13632" max="13632" width="10.42578125" bestFit="1" customWidth="1"/>
    <col min="13633" max="13633" width="10.5703125" bestFit="1" customWidth="1"/>
    <col min="13634" max="13634" width="10.42578125" bestFit="1" customWidth="1"/>
    <col min="13635" max="13635" width="10.5703125" bestFit="1" customWidth="1"/>
    <col min="13636" max="13636" width="9.5703125" bestFit="1" customWidth="1"/>
    <col min="13637" max="13637" width="11.5703125" bestFit="1" customWidth="1"/>
    <col min="13638" max="13638" width="10.42578125" bestFit="1" customWidth="1"/>
    <col min="13639" max="13639" width="10.85546875" customWidth="1"/>
    <col min="13640" max="13641" width="9.85546875" bestFit="1" customWidth="1"/>
    <col min="13642" max="13642" width="13.5703125" bestFit="1" customWidth="1"/>
    <col min="13643" max="13643" width="7.7109375" bestFit="1" customWidth="1"/>
    <col min="13644" max="13644" width="13.28515625" bestFit="1" customWidth="1"/>
    <col min="13645" max="13645" width="11.5703125" bestFit="1" customWidth="1"/>
    <col min="13646" max="13646" width="10.42578125" bestFit="1" customWidth="1"/>
    <col min="13647" max="13647" width="7.7109375" bestFit="1" customWidth="1"/>
    <col min="13648" max="13648" width="11.5703125" bestFit="1" customWidth="1"/>
    <col min="13649" max="13649" width="10.85546875" bestFit="1" customWidth="1"/>
    <col min="13650" max="13650" width="13.28515625" bestFit="1" customWidth="1"/>
    <col min="13651" max="13651" width="10.85546875" bestFit="1" customWidth="1"/>
    <col min="13652" max="13653" width="7.5703125" bestFit="1" customWidth="1"/>
    <col min="13654" max="13655" width="10.42578125" bestFit="1" customWidth="1"/>
    <col min="13656" max="13656" width="11.5703125" bestFit="1" customWidth="1"/>
    <col min="13657" max="13657" width="5.28515625" bestFit="1" customWidth="1"/>
    <col min="13658" max="13658" width="10.28515625" bestFit="1" customWidth="1"/>
    <col min="13659" max="13659" width="10.42578125" bestFit="1" customWidth="1"/>
    <col min="13660" max="13660" width="11.5703125" bestFit="1" customWidth="1"/>
    <col min="13661" max="13661" width="5.28515625" bestFit="1" customWidth="1"/>
    <col min="13662" max="13664" width="11.5703125" bestFit="1" customWidth="1"/>
    <col min="13665" max="13665" width="5.28515625" bestFit="1" customWidth="1"/>
    <col min="13666" max="13667" width="10.42578125" bestFit="1" customWidth="1"/>
    <col min="13668" max="13668" width="11.5703125" bestFit="1" customWidth="1"/>
    <col min="13669" max="13669" width="5.28515625" bestFit="1" customWidth="1"/>
    <col min="13670" max="13670" width="14.28515625" bestFit="1" customWidth="1"/>
    <col min="13671" max="13671" width="13" bestFit="1" customWidth="1"/>
    <col min="13672" max="13672" width="11.5703125" bestFit="1" customWidth="1"/>
    <col min="13673" max="13673" width="8.85546875" bestFit="1" customWidth="1"/>
    <col min="13674" max="13674" width="14.42578125" bestFit="1" customWidth="1"/>
    <col min="13675" max="13675" width="10.42578125" bestFit="1" customWidth="1"/>
    <col min="13676" max="13676" width="12.28515625" bestFit="1" customWidth="1"/>
    <col min="13677" max="13677" width="13.85546875" bestFit="1" customWidth="1"/>
    <col min="13678" max="13678" width="11.28515625" customWidth="1"/>
    <col min="13679" max="13679" width="11.5703125" customWidth="1"/>
    <col min="13680" max="13680" width="13.42578125" bestFit="1" customWidth="1"/>
    <col min="13681" max="13681" width="10.42578125" customWidth="1"/>
    <col min="13682" max="13682" width="13.85546875" bestFit="1" customWidth="1"/>
    <col min="13683" max="13683" width="15.42578125" bestFit="1" customWidth="1"/>
    <col min="13684" max="13684" width="12.28515625" bestFit="1" customWidth="1"/>
    <col min="13685" max="13685" width="12.7109375" customWidth="1"/>
    <col min="13686" max="13686" width="10.7109375" bestFit="1" customWidth="1"/>
    <col min="13687" max="13687" width="9.85546875" customWidth="1"/>
    <col min="13688" max="13689" width="10.140625" bestFit="1" customWidth="1"/>
    <col min="13690" max="13690" width="7.5703125" bestFit="1" customWidth="1"/>
    <col min="13691" max="13691" width="9.42578125" bestFit="1" customWidth="1"/>
    <col min="13692" max="13692" width="14.5703125" bestFit="1" customWidth="1"/>
    <col min="13693" max="13693" width="14.85546875" customWidth="1"/>
    <col min="13694" max="13694" width="15.140625" bestFit="1" customWidth="1"/>
    <col min="13695" max="13695" width="12.140625" bestFit="1" customWidth="1"/>
    <col min="13696" max="13696" width="14.85546875" bestFit="1" customWidth="1"/>
    <col min="13697" max="13697" width="12.28515625" bestFit="1" customWidth="1"/>
    <col min="13698" max="13706" width="9.140625" hidden="1" customWidth="1"/>
    <col min="13707" max="13707" width="5.28515625" bestFit="1" customWidth="1"/>
    <col min="13708" max="13713" width="11.5703125" bestFit="1" customWidth="1"/>
    <col min="13714" max="13714" width="11.28515625" bestFit="1" customWidth="1"/>
    <col min="13715" max="13715" width="10.140625" bestFit="1" customWidth="1"/>
    <col min="13716" max="13716" width="11.5703125" bestFit="1" customWidth="1"/>
    <col min="13717" max="13717" width="16.140625" customWidth="1"/>
    <col min="13718" max="13718" width="13.42578125" customWidth="1"/>
    <col min="13719" max="13719" width="10.140625" bestFit="1" customWidth="1"/>
    <col min="13720" max="13720" width="12.85546875" bestFit="1" customWidth="1"/>
    <col min="13721" max="13721" width="12.28515625" bestFit="1" customWidth="1"/>
    <col min="13722" max="13722" width="11.28515625" bestFit="1" customWidth="1"/>
    <col min="13723" max="13723" width="11.5703125" bestFit="1" customWidth="1"/>
    <col min="13724" max="13724" width="10.85546875" bestFit="1" customWidth="1"/>
    <col min="13725" max="13725" width="11.28515625" bestFit="1" customWidth="1"/>
    <col min="13726" max="13726" width="10.140625" bestFit="1" customWidth="1"/>
    <col min="13727" max="13727" width="13.28515625" bestFit="1" customWidth="1"/>
    <col min="13728" max="13729" width="12.7109375" bestFit="1" customWidth="1"/>
    <col min="13730" max="13730" width="11" bestFit="1" customWidth="1"/>
    <col min="13731" max="13731" width="11.28515625" bestFit="1" customWidth="1"/>
    <col min="13732" max="13732" width="11.5703125" bestFit="1" customWidth="1"/>
    <col min="13733" max="13733" width="12.28515625" bestFit="1" customWidth="1"/>
    <col min="13734" max="13734" width="15.140625" bestFit="1" customWidth="1"/>
    <col min="13735" max="13735" width="14.42578125" bestFit="1" customWidth="1"/>
    <col min="13736" max="13736" width="12.28515625" bestFit="1" customWidth="1"/>
    <col min="13737" max="13737" width="15.140625" bestFit="1" customWidth="1"/>
    <col min="13738" max="13738" width="14.42578125" bestFit="1" customWidth="1"/>
    <col min="13739" max="13739" width="12.28515625" bestFit="1" customWidth="1"/>
    <col min="13740" max="13740" width="14.42578125" bestFit="1" customWidth="1"/>
    <col min="13741" max="13741" width="11.28515625" bestFit="1" customWidth="1"/>
    <col min="13742" max="13742" width="12.28515625" bestFit="1" customWidth="1"/>
    <col min="13743" max="13743" width="13" bestFit="1" customWidth="1"/>
    <col min="13744" max="13744" width="15.140625" bestFit="1" customWidth="1"/>
    <col min="13745" max="13745" width="12.28515625" bestFit="1" customWidth="1"/>
    <col min="13746" max="13746" width="13.85546875" bestFit="1" customWidth="1"/>
    <col min="13747" max="13747" width="11.28515625" bestFit="1" customWidth="1"/>
    <col min="13748" max="13748" width="12.28515625" bestFit="1" customWidth="1"/>
    <col min="13749" max="13749" width="13.85546875" bestFit="1" customWidth="1"/>
    <col min="13750" max="13751" width="15.140625" bestFit="1" customWidth="1"/>
    <col min="13752" max="13752" width="12.28515625" bestFit="1" customWidth="1"/>
    <col min="13753" max="13753" width="5.7109375" bestFit="1" customWidth="1"/>
    <col min="13754" max="13754" width="8.5703125" bestFit="1" customWidth="1"/>
    <col min="13755" max="13755" width="5.5703125" bestFit="1" customWidth="1"/>
    <col min="13756" max="13756" width="14.42578125" bestFit="1" customWidth="1"/>
    <col min="13757" max="13757" width="11.28515625" bestFit="1" customWidth="1"/>
    <col min="13758" max="13759" width="12.28515625" bestFit="1" customWidth="1"/>
    <col min="13760" max="13760" width="11.28515625" bestFit="1" customWidth="1"/>
    <col min="13761" max="13761" width="13.85546875" bestFit="1" customWidth="1"/>
    <col min="13762" max="13762" width="12" bestFit="1" customWidth="1"/>
    <col min="13763" max="13763" width="13.85546875" bestFit="1" customWidth="1"/>
    <col min="13764" max="13765" width="14.42578125" customWidth="1"/>
    <col min="13766" max="13766" width="10.140625" bestFit="1" customWidth="1"/>
    <col min="13767" max="13767" width="12.28515625" bestFit="1" customWidth="1"/>
    <col min="13768" max="13768" width="7.42578125" bestFit="1" customWidth="1"/>
    <col min="13769" max="13769" width="8.5703125" bestFit="1" customWidth="1"/>
    <col min="13770" max="13770" width="11.5703125" bestFit="1" customWidth="1"/>
    <col min="13771" max="13771" width="13.28515625" bestFit="1" customWidth="1"/>
    <col min="13772" max="13772" width="13.28515625" customWidth="1"/>
    <col min="13773" max="13773" width="13.140625" customWidth="1"/>
    <col min="13774" max="13774" width="12.7109375" bestFit="1" customWidth="1"/>
    <col min="13775" max="13775" width="13.28515625" bestFit="1" customWidth="1"/>
    <col min="13776" max="13778" width="13.28515625" customWidth="1"/>
    <col min="13779" max="13779" width="12.140625" bestFit="1" customWidth="1"/>
    <col min="13780" max="13780" width="12.7109375" bestFit="1" customWidth="1"/>
    <col min="13781" max="13781" width="11" customWidth="1"/>
    <col min="13782" max="13782" width="16.7109375" customWidth="1"/>
    <col min="13783" max="13783" width="17" customWidth="1"/>
    <col min="13784" max="13784" width="10.42578125" bestFit="1" customWidth="1"/>
    <col min="13828" max="13828" width="3.85546875" customWidth="1"/>
    <col min="13829" max="13829" width="15.28515625" bestFit="1" customWidth="1"/>
    <col min="13830" max="13830" width="12.28515625" customWidth="1"/>
    <col min="13831" max="13831" width="16.28515625" bestFit="1" customWidth="1"/>
    <col min="13832" max="13832" width="6.42578125" bestFit="1" customWidth="1"/>
    <col min="13833" max="13833" width="9.28515625" bestFit="1" customWidth="1"/>
    <col min="13834" max="13834" width="7.5703125" bestFit="1" customWidth="1"/>
    <col min="13835" max="13835" width="13.28515625" bestFit="1" customWidth="1"/>
    <col min="13836" max="13836" width="9.28515625" bestFit="1" customWidth="1"/>
    <col min="13837" max="13837" width="11.5703125" bestFit="1" customWidth="1"/>
    <col min="13838" max="13838" width="13.28515625" bestFit="1" customWidth="1"/>
    <col min="13839" max="13839" width="7.140625" bestFit="1" customWidth="1"/>
    <col min="13840" max="13840" width="12" bestFit="1" customWidth="1"/>
    <col min="13841" max="13841" width="13.28515625" bestFit="1" customWidth="1"/>
    <col min="13842" max="13842" width="7" bestFit="1" customWidth="1"/>
    <col min="13843" max="13843" width="12.7109375" bestFit="1" customWidth="1"/>
    <col min="13844" max="13844" width="11.5703125" bestFit="1" customWidth="1"/>
    <col min="13845" max="13845" width="10.5703125" bestFit="1" customWidth="1"/>
    <col min="13846" max="13847" width="15.7109375" bestFit="1" customWidth="1"/>
    <col min="13848" max="13848" width="11.5703125" bestFit="1" customWidth="1"/>
    <col min="13849" max="13849" width="7.7109375" bestFit="1" customWidth="1"/>
    <col min="13850" max="13850" width="15.140625" bestFit="1" customWidth="1"/>
    <col min="13851" max="13851" width="11.5703125" bestFit="1" customWidth="1"/>
    <col min="13852" max="13852" width="13.28515625" bestFit="1" customWidth="1"/>
    <col min="13853" max="13853" width="10.42578125" bestFit="1" customWidth="1"/>
    <col min="13854" max="13854" width="13.28515625" bestFit="1" customWidth="1"/>
    <col min="13855" max="13855" width="12.140625" bestFit="1" customWidth="1"/>
    <col min="13856" max="13856" width="14.42578125" bestFit="1" customWidth="1"/>
    <col min="13857" max="13857" width="13.28515625" bestFit="1" customWidth="1"/>
    <col min="13858" max="13858" width="11.5703125" bestFit="1" customWidth="1"/>
    <col min="13859" max="13859" width="7.7109375" bestFit="1" customWidth="1"/>
    <col min="13860" max="13861" width="14.42578125" bestFit="1" customWidth="1"/>
    <col min="13862" max="13862" width="11.5703125" bestFit="1" customWidth="1"/>
    <col min="13863" max="13863" width="7.7109375" bestFit="1" customWidth="1"/>
    <col min="13864" max="13864" width="13.5703125" customWidth="1"/>
    <col min="13865" max="13865" width="15.28515625" customWidth="1"/>
    <col min="13866" max="13866" width="14.5703125" customWidth="1"/>
    <col min="13867" max="13867" width="13.28515625" bestFit="1" customWidth="1"/>
    <col min="13868" max="13868" width="7.7109375" bestFit="1" customWidth="1"/>
    <col min="13869" max="13869" width="12.7109375" bestFit="1" customWidth="1"/>
    <col min="13870" max="13870" width="11.7109375" bestFit="1" customWidth="1"/>
    <col min="13871" max="13871" width="11.5703125" bestFit="1" customWidth="1"/>
    <col min="13872" max="13872" width="5.28515625" bestFit="1" customWidth="1"/>
    <col min="13873" max="13873" width="13.28515625" bestFit="1" customWidth="1"/>
    <col min="13874" max="13874" width="13.5703125" bestFit="1" customWidth="1"/>
    <col min="13875" max="13875" width="10.5703125" bestFit="1" customWidth="1"/>
    <col min="13876" max="13876" width="13.28515625" bestFit="1" customWidth="1"/>
    <col min="13877" max="13877" width="11.5703125" bestFit="1" customWidth="1"/>
    <col min="13878" max="13878" width="10.5703125" bestFit="1" customWidth="1"/>
    <col min="13879" max="13879" width="16.140625" bestFit="1" customWidth="1"/>
    <col min="13880" max="13881" width="11.28515625" bestFit="1" customWidth="1"/>
    <col min="13882" max="13882" width="13.28515625" bestFit="1" customWidth="1"/>
    <col min="13883" max="13883" width="7.7109375" bestFit="1" customWidth="1"/>
    <col min="13884" max="13887" width="9.140625" hidden="1" customWidth="1"/>
    <col min="13888" max="13888" width="10.42578125" bestFit="1" customWidth="1"/>
    <col min="13889" max="13889" width="10.5703125" bestFit="1" customWidth="1"/>
    <col min="13890" max="13890" width="10.42578125" bestFit="1" customWidth="1"/>
    <col min="13891" max="13891" width="10.5703125" bestFit="1" customWidth="1"/>
    <col min="13892" max="13892" width="9.5703125" bestFit="1" customWidth="1"/>
    <col min="13893" max="13893" width="11.5703125" bestFit="1" customWidth="1"/>
    <col min="13894" max="13894" width="10.42578125" bestFit="1" customWidth="1"/>
    <col min="13895" max="13895" width="10.85546875" customWidth="1"/>
    <col min="13896" max="13897" width="9.85546875" bestFit="1" customWidth="1"/>
    <col min="13898" max="13898" width="13.5703125" bestFit="1" customWidth="1"/>
    <col min="13899" max="13899" width="7.7109375" bestFit="1" customWidth="1"/>
    <col min="13900" max="13900" width="13.28515625" bestFit="1" customWidth="1"/>
    <col min="13901" max="13901" width="11.5703125" bestFit="1" customWidth="1"/>
    <col min="13902" max="13902" width="10.42578125" bestFit="1" customWidth="1"/>
    <col min="13903" max="13903" width="7.7109375" bestFit="1" customWidth="1"/>
    <col min="13904" max="13904" width="11.5703125" bestFit="1" customWidth="1"/>
    <col min="13905" max="13905" width="10.85546875" bestFit="1" customWidth="1"/>
    <col min="13906" max="13906" width="13.28515625" bestFit="1" customWidth="1"/>
    <col min="13907" max="13907" width="10.85546875" bestFit="1" customWidth="1"/>
    <col min="13908" max="13909" width="7.5703125" bestFit="1" customWidth="1"/>
    <col min="13910" max="13911" width="10.42578125" bestFit="1" customWidth="1"/>
    <col min="13912" max="13912" width="11.5703125" bestFit="1" customWidth="1"/>
    <col min="13913" max="13913" width="5.28515625" bestFit="1" customWidth="1"/>
    <col min="13914" max="13914" width="10.28515625" bestFit="1" customWidth="1"/>
    <col min="13915" max="13915" width="10.42578125" bestFit="1" customWidth="1"/>
    <col min="13916" max="13916" width="11.5703125" bestFit="1" customWidth="1"/>
    <col min="13917" max="13917" width="5.28515625" bestFit="1" customWidth="1"/>
    <col min="13918" max="13920" width="11.5703125" bestFit="1" customWidth="1"/>
    <col min="13921" max="13921" width="5.28515625" bestFit="1" customWidth="1"/>
    <col min="13922" max="13923" width="10.42578125" bestFit="1" customWidth="1"/>
    <col min="13924" max="13924" width="11.5703125" bestFit="1" customWidth="1"/>
    <col min="13925" max="13925" width="5.28515625" bestFit="1" customWidth="1"/>
    <col min="13926" max="13926" width="14.28515625" bestFit="1" customWidth="1"/>
    <col min="13927" max="13927" width="13" bestFit="1" customWidth="1"/>
    <col min="13928" max="13928" width="11.5703125" bestFit="1" customWidth="1"/>
    <col min="13929" max="13929" width="8.85546875" bestFit="1" customWidth="1"/>
    <col min="13930" max="13930" width="14.42578125" bestFit="1" customWidth="1"/>
    <col min="13931" max="13931" width="10.42578125" bestFit="1" customWidth="1"/>
    <col min="13932" max="13932" width="12.28515625" bestFit="1" customWidth="1"/>
    <col min="13933" max="13933" width="13.85546875" bestFit="1" customWidth="1"/>
    <col min="13934" max="13934" width="11.28515625" customWidth="1"/>
    <col min="13935" max="13935" width="11.5703125" customWidth="1"/>
    <col min="13936" max="13936" width="13.42578125" bestFit="1" customWidth="1"/>
    <col min="13937" max="13937" width="10.42578125" customWidth="1"/>
    <col min="13938" max="13938" width="13.85546875" bestFit="1" customWidth="1"/>
    <col min="13939" max="13939" width="15.42578125" bestFit="1" customWidth="1"/>
    <col min="13940" max="13940" width="12.28515625" bestFit="1" customWidth="1"/>
    <col min="13941" max="13941" width="12.7109375" customWidth="1"/>
    <col min="13942" max="13942" width="10.7109375" bestFit="1" customWidth="1"/>
    <col min="13943" max="13943" width="9.85546875" customWidth="1"/>
    <col min="13944" max="13945" width="10.140625" bestFit="1" customWidth="1"/>
    <col min="13946" max="13946" width="7.5703125" bestFit="1" customWidth="1"/>
    <col min="13947" max="13947" width="9.42578125" bestFit="1" customWidth="1"/>
    <col min="13948" max="13948" width="14.5703125" bestFit="1" customWidth="1"/>
    <col min="13949" max="13949" width="14.85546875" customWidth="1"/>
    <col min="13950" max="13950" width="15.140625" bestFit="1" customWidth="1"/>
    <col min="13951" max="13951" width="12.140625" bestFit="1" customWidth="1"/>
    <col min="13952" max="13952" width="14.85546875" bestFit="1" customWidth="1"/>
    <col min="13953" max="13953" width="12.28515625" bestFit="1" customWidth="1"/>
    <col min="13954" max="13962" width="9.140625" hidden="1" customWidth="1"/>
    <col min="13963" max="13963" width="5.28515625" bestFit="1" customWidth="1"/>
    <col min="13964" max="13969" width="11.5703125" bestFit="1" customWidth="1"/>
    <col min="13970" max="13970" width="11.28515625" bestFit="1" customWidth="1"/>
    <col min="13971" max="13971" width="10.140625" bestFit="1" customWidth="1"/>
    <col min="13972" max="13972" width="11.5703125" bestFit="1" customWidth="1"/>
    <col min="13973" max="13973" width="16.140625" customWidth="1"/>
    <col min="13974" max="13974" width="13.42578125" customWidth="1"/>
    <col min="13975" max="13975" width="10.140625" bestFit="1" customWidth="1"/>
    <col min="13976" max="13976" width="12.85546875" bestFit="1" customWidth="1"/>
    <col min="13977" max="13977" width="12.28515625" bestFit="1" customWidth="1"/>
    <col min="13978" max="13978" width="11.28515625" bestFit="1" customWidth="1"/>
    <col min="13979" max="13979" width="11.5703125" bestFit="1" customWidth="1"/>
    <col min="13980" max="13980" width="10.85546875" bestFit="1" customWidth="1"/>
    <col min="13981" max="13981" width="11.28515625" bestFit="1" customWidth="1"/>
    <col min="13982" max="13982" width="10.140625" bestFit="1" customWidth="1"/>
    <col min="13983" max="13983" width="13.28515625" bestFit="1" customWidth="1"/>
    <col min="13984" max="13985" width="12.7109375" bestFit="1" customWidth="1"/>
    <col min="13986" max="13986" width="11" bestFit="1" customWidth="1"/>
    <col min="13987" max="13987" width="11.28515625" bestFit="1" customWidth="1"/>
    <col min="13988" max="13988" width="11.5703125" bestFit="1" customWidth="1"/>
    <col min="13989" max="13989" width="12.28515625" bestFit="1" customWidth="1"/>
    <col min="13990" max="13990" width="15.140625" bestFit="1" customWidth="1"/>
    <col min="13991" max="13991" width="14.42578125" bestFit="1" customWidth="1"/>
    <col min="13992" max="13992" width="12.28515625" bestFit="1" customWidth="1"/>
    <col min="13993" max="13993" width="15.140625" bestFit="1" customWidth="1"/>
    <col min="13994" max="13994" width="14.42578125" bestFit="1" customWidth="1"/>
    <col min="13995" max="13995" width="12.28515625" bestFit="1" customWidth="1"/>
    <col min="13996" max="13996" width="14.42578125" bestFit="1" customWidth="1"/>
    <col min="13997" max="13997" width="11.28515625" bestFit="1" customWidth="1"/>
    <col min="13998" max="13998" width="12.28515625" bestFit="1" customWidth="1"/>
    <col min="13999" max="13999" width="13" bestFit="1" customWidth="1"/>
    <col min="14000" max="14000" width="15.140625" bestFit="1" customWidth="1"/>
    <col min="14001" max="14001" width="12.28515625" bestFit="1" customWidth="1"/>
    <col min="14002" max="14002" width="13.85546875" bestFit="1" customWidth="1"/>
    <col min="14003" max="14003" width="11.28515625" bestFit="1" customWidth="1"/>
    <col min="14004" max="14004" width="12.28515625" bestFit="1" customWidth="1"/>
    <col min="14005" max="14005" width="13.85546875" bestFit="1" customWidth="1"/>
    <col min="14006" max="14007" width="15.140625" bestFit="1" customWidth="1"/>
    <col min="14008" max="14008" width="12.28515625" bestFit="1" customWidth="1"/>
    <col min="14009" max="14009" width="5.7109375" bestFit="1" customWidth="1"/>
    <col min="14010" max="14010" width="8.5703125" bestFit="1" customWidth="1"/>
    <col min="14011" max="14011" width="5.5703125" bestFit="1" customWidth="1"/>
    <col min="14012" max="14012" width="14.42578125" bestFit="1" customWidth="1"/>
    <col min="14013" max="14013" width="11.28515625" bestFit="1" customWidth="1"/>
    <col min="14014" max="14015" width="12.28515625" bestFit="1" customWidth="1"/>
    <col min="14016" max="14016" width="11.28515625" bestFit="1" customWidth="1"/>
    <col min="14017" max="14017" width="13.85546875" bestFit="1" customWidth="1"/>
    <col min="14018" max="14018" width="12" bestFit="1" customWidth="1"/>
    <col min="14019" max="14019" width="13.85546875" bestFit="1" customWidth="1"/>
    <col min="14020" max="14021" width="14.42578125" customWidth="1"/>
    <col min="14022" max="14022" width="10.140625" bestFit="1" customWidth="1"/>
    <col min="14023" max="14023" width="12.28515625" bestFit="1" customWidth="1"/>
    <col min="14024" max="14024" width="7.42578125" bestFit="1" customWidth="1"/>
    <col min="14025" max="14025" width="8.5703125" bestFit="1" customWidth="1"/>
    <col min="14026" max="14026" width="11.5703125" bestFit="1" customWidth="1"/>
    <col min="14027" max="14027" width="13.28515625" bestFit="1" customWidth="1"/>
    <col min="14028" max="14028" width="13.28515625" customWidth="1"/>
    <col min="14029" max="14029" width="13.140625" customWidth="1"/>
    <col min="14030" max="14030" width="12.7109375" bestFit="1" customWidth="1"/>
    <col min="14031" max="14031" width="13.28515625" bestFit="1" customWidth="1"/>
    <col min="14032" max="14034" width="13.28515625" customWidth="1"/>
    <col min="14035" max="14035" width="12.140625" bestFit="1" customWidth="1"/>
    <col min="14036" max="14036" width="12.7109375" bestFit="1" customWidth="1"/>
    <col min="14037" max="14037" width="11" customWidth="1"/>
    <col min="14038" max="14038" width="16.7109375" customWidth="1"/>
    <col min="14039" max="14039" width="17" customWidth="1"/>
    <col min="14040" max="14040" width="10.42578125" bestFit="1" customWidth="1"/>
    <col min="14084" max="14084" width="3.85546875" customWidth="1"/>
    <col min="14085" max="14085" width="15.28515625" bestFit="1" customWidth="1"/>
    <col min="14086" max="14086" width="12.28515625" customWidth="1"/>
    <col min="14087" max="14087" width="16.28515625" bestFit="1" customWidth="1"/>
    <col min="14088" max="14088" width="6.42578125" bestFit="1" customWidth="1"/>
    <col min="14089" max="14089" width="9.28515625" bestFit="1" customWidth="1"/>
    <col min="14090" max="14090" width="7.5703125" bestFit="1" customWidth="1"/>
    <col min="14091" max="14091" width="13.28515625" bestFit="1" customWidth="1"/>
    <col min="14092" max="14092" width="9.28515625" bestFit="1" customWidth="1"/>
    <col min="14093" max="14093" width="11.5703125" bestFit="1" customWidth="1"/>
    <col min="14094" max="14094" width="13.28515625" bestFit="1" customWidth="1"/>
    <col min="14095" max="14095" width="7.140625" bestFit="1" customWidth="1"/>
    <col min="14096" max="14096" width="12" bestFit="1" customWidth="1"/>
    <col min="14097" max="14097" width="13.28515625" bestFit="1" customWidth="1"/>
    <col min="14098" max="14098" width="7" bestFit="1" customWidth="1"/>
    <col min="14099" max="14099" width="12.7109375" bestFit="1" customWidth="1"/>
    <col min="14100" max="14100" width="11.5703125" bestFit="1" customWidth="1"/>
    <col min="14101" max="14101" width="10.5703125" bestFit="1" customWidth="1"/>
    <col min="14102" max="14103" width="15.7109375" bestFit="1" customWidth="1"/>
    <col min="14104" max="14104" width="11.5703125" bestFit="1" customWidth="1"/>
    <col min="14105" max="14105" width="7.7109375" bestFit="1" customWidth="1"/>
    <col min="14106" max="14106" width="15.140625" bestFit="1" customWidth="1"/>
    <col min="14107" max="14107" width="11.5703125" bestFit="1" customWidth="1"/>
    <col min="14108" max="14108" width="13.28515625" bestFit="1" customWidth="1"/>
    <col min="14109" max="14109" width="10.42578125" bestFit="1" customWidth="1"/>
    <col min="14110" max="14110" width="13.28515625" bestFit="1" customWidth="1"/>
    <col min="14111" max="14111" width="12.140625" bestFit="1" customWidth="1"/>
    <col min="14112" max="14112" width="14.42578125" bestFit="1" customWidth="1"/>
    <col min="14113" max="14113" width="13.28515625" bestFit="1" customWidth="1"/>
    <col min="14114" max="14114" width="11.5703125" bestFit="1" customWidth="1"/>
    <col min="14115" max="14115" width="7.7109375" bestFit="1" customWidth="1"/>
    <col min="14116" max="14117" width="14.42578125" bestFit="1" customWidth="1"/>
    <col min="14118" max="14118" width="11.5703125" bestFit="1" customWidth="1"/>
    <col min="14119" max="14119" width="7.7109375" bestFit="1" customWidth="1"/>
    <col min="14120" max="14120" width="13.5703125" customWidth="1"/>
    <col min="14121" max="14121" width="15.28515625" customWidth="1"/>
    <col min="14122" max="14122" width="14.5703125" customWidth="1"/>
    <col min="14123" max="14123" width="13.28515625" bestFit="1" customWidth="1"/>
    <col min="14124" max="14124" width="7.7109375" bestFit="1" customWidth="1"/>
    <col min="14125" max="14125" width="12.7109375" bestFit="1" customWidth="1"/>
    <col min="14126" max="14126" width="11.7109375" bestFit="1" customWidth="1"/>
    <col min="14127" max="14127" width="11.5703125" bestFit="1" customWidth="1"/>
    <col min="14128" max="14128" width="5.28515625" bestFit="1" customWidth="1"/>
    <col min="14129" max="14129" width="13.28515625" bestFit="1" customWidth="1"/>
    <col min="14130" max="14130" width="13.5703125" bestFit="1" customWidth="1"/>
    <col min="14131" max="14131" width="10.5703125" bestFit="1" customWidth="1"/>
    <col min="14132" max="14132" width="13.28515625" bestFit="1" customWidth="1"/>
    <col min="14133" max="14133" width="11.5703125" bestFit="1" customWidth="1"/>
    <col min="14134" max="14134" width="10.5703125" bestFit="1" customWidth="1"/>
    <col min="14135" max="14135" width="16.140625" bestFit="1" customWidth="1"/>
    <col min="14136" max="14137" width="11.28515625" bestFit="1" customWidth="1"/>
    <col min="14138" max="14138" width="13.28515625" bestFit="1" customWidth="1"/>
    <col min="14139" max="14139" width="7.7109375" bestFit="1" customWidth="1"/>
    <col min="14140" max="14143" width="9.140625" hidden="1" customWidth="1"/>
    <col min="14144" max="14144" width="10.42578125" bestFit="1" customWidth="1"/>
    <col min="14145" max="14145" width="10.5703125" bestFit="1" customWidth="1"/>
    <col min="14146" max="14146" width="10.42578125" bestFit="1" customWidth="1"/>
    <col min="14147" max="14147" width="10.5703125" bestFit="1" customWidth="1"/>
    <col min="14148" max="14148" width="9.5703125" bestFit="1" customWidth="1"/>
    <col min="14149" max="14149" width="11.5703125" bestFit="1" customWidth="1"/>
    <col min="14150" max="14150" width="10.42578125" bestFit="1" customWidth="1"/>
    <col min="14151" max="14151" width="10.85546875" customWidth="1"/>
    <col min="14152" max="14153" width="9.85546875" bestFit="1" customWidth="1"/>
    <col min="14154" max="14154" width="13.5703125" bestFit="1" customWidth="1"/>
    <col min="14155" max="14155" width="7.7109375" bestFit="1" customWidth="1"/>
    <col min="14156" max="14156" width="13.28515625" bestFit="1" customWidth="1"/>
    <col min="14157" max="14157" width="11.5703125" bestFit="1" customWidth="1"/>
    <col min="14158" max="14158" width="10.42578125" bestFit="1" customWidth="1"/>
    <col min="14159" max="14159" width="7.7109375" bestFit="1" customWidth="1"/>
    <col min="14160" max="14160" width="11.5703125" bestFit="1" customWidth="1"/>
    <col min="14161" max="14161" width="10.85546875" bestFit="1" customWidth="1"/>
    <col min="14162" max="14162" width="13.28515625" bestFit="1" customWidth="1"/>
    <col min="14163" max="14163" width="10.85546875" bestFit="1" customWidth="1"/>
    <col min="14164" max="14165" width="7.5703125" bestFit="1" customWidth="1"/>
    <col min="14166" max="14167" width="10.42578125" bestFit="1" customWidth="1"/>
    <col min="14168" max="14168" width="11.5703125" bestFit="1" customWidth="1"/>
    <col min="14169" max="14169" width="5.28515625" bestFit="1" customWidth="1"/>
    <col min="14170" max="14170" width="10.28515625" bestFit="1" customWidth="1"/>
    <col min="14171" max="14171" width="10.42578125" bestFit="1" customWidth="1"/>
    <col min="14172" max="14172" width="11.5703125" bestFit="1" customWidth="1"/>
    <col min="14173" max="14173" width="5.28515625" bestFit="1" customWidth="1"/>
    <col min="14174" max="14176" width="11.5703125" bestFit="1" customWidth="1"/>
    <col min="14177" max="14177" width="5.28515625" bestFit="1" customWidth="1"/>
    <col min="14178" max="14179" width="10.42578125" bestFit="1" customWidth="1"/>
    <col min="14180" max="14180" width="11.5703125" bestFit="1" customWidth="1"/>
    <col min="14181" max="14181" width="5.28515625" bestFit="1" customWidth="1"/>
    <col min="14182" max="14182" width="14.28515625" bestFit="1" customWidth="1"/>
    <col min="14183" max="14183" width="13" bestFit="1" customWidth="1"/>
    <col min="14184" max="14184" width="11.5703125" bestFit="1" customWidth="1"/>
    <col min="14185" max="14185" width="8.85546875" bestFit="1" customWidth="1"/>
    <col min="14186" max="14186" width="14.42578125" bestFit="1" customWidth="1"/>
    <col min="14187" max="14187" width="10.42578125" bestFit="1" customWidth="1"/>
    <col min="14188" max="14188" width="12.28515625" bestFit="1" customWidth="1"/>
    <col min="14189" max="14189" width="13.85546875" bestFit="1" customWidth="1"/>
    <col min="14190" max="14190" width="11.28515625" customWidth="1"/>
    <col min="14191" max="14191" width="11.5703125" customWidth="1"/>
    <col min="14192" max="14192" width="13.42578125" bestFit="1" customWidth="1"/>
    <col min="14193" max="14193" width="10.42578125" customWidth="1"/>
    <col min="14194" max="14194" width="13.85546875" bestFit="1" customWidth="1"/>
    <col min="14195" max="14195" width="15.42578125" bestFit="1" customWidth="1"/>
    <col min="14196" max="14196" width="12.28515625" bestFit="1" customWidth="1"/>
    <col min="14197" max="14197" width="12.7109375" customWidth="1"/>
    <col min="14198" max="14198" width="10.7109375" bestFit="1" customWidth="1"/>
    <col min="14199" max="14199" width="9.85546875" customWidth="1"/>
    <col min="14200" max="14201" width="10.140625" bestFit="1" customWidth="1"/>
    <col min="14202" max="14202" width="7.5703125" bestFit="1" customWidth="1"/>
    <col min="14203" max="14203" width="9.42578125" bestFit="1" customWidth="1"/>
    <col min="14204" max="14204" width="14.5703125" bestFit="1" customWidth="1"/>
    <col min="14205" max="14205" width="14.85546875" customWidth="1"/>
    <col min="14206" max="14206" width="15.140625" bestFit="1" customWidth="1"/>
    <col min="14207" max="14207" width="12.140625" bestFit="1" customWidth="1"/>
    <col min="14208" max="14208" width="14.85546875" bestFit="1" customWidth="1"/>
    <col min="14209" max="14209" width="12.28515625" bestFit="1" customWidth="1"/>
    <col min="14210" max="14218" width="9.140625" hidden="1" customWidth="1"/>
    <col min="14219" max="14219" width="5.28515625" bestFit="1" customWidth="1"/>
    <col min="14220" max="14225" width="11.5703125" bestFit="1" customWidth="1"/>
    <col min="14226" max="14226" width="11.28515625" bestFit="1" customWidth="1"/>
    <col min="14227" max="14227" width="10.140625" bestFit="1" customWidth="1"/>
    <col min="14228" max="14228" width="11.5703125" bestFit="1" customWidth="1"/>
    <col min="14229" max="14229" width="16.140625" customWidth="1"/>
    <col min="14230" max="14230" width="13.42578125" customWidth="1"/>
    <col min="14231" max="14231" width="10.140625" bestFit="1" customWidth="1"/>
    <col min="14232" max="14232" width="12.85546875" bestFit="1" customWidth="1"/>
    <col min="14233" max="14233" width="12.28515625" bestFit="1" customWidth="1"/>
    <col min="14234" max="14234" width="11.28515625" bestFit="1" customWidth="1"/>
    <col min="14235" max="14235" width="11.5703125" bestFit="1" customWidth="1"/>
    <col min="14236" max="14236" width="10.85546875" bestFit="1" customWidth="1"/>
    <col min="14237" max="14237" width="11.28515625" bestFit="1" customWidth="1"/>
    <col min="14238" max="14238" width="10.140625" bestFit="1" customWidth="1"/>
    <col min="14239" max="14239" width="13.28515625" bestFit="1" customWidth="1"/>
    <col min="14240" max="14241" width="12.7109375" bestFit="1" customWidth="1"/>
    <col min="14242" max="14242" width="11" bestFit="1" customWidth="1"/>
    <col min="14243" max="14243" width="11.28515625" bestFit="1" customWidth="1"/>
    <col min="14244" max="14244" width="11.5703125" bestFit="1" customWidth="1"/>
    <col min="14245" max="14245" width="12.28515625" bestFit="1" customWidth="1"/>
    <col min="14246" max="14246" width="15.140625" bestFit="1" customWidth="1"/>
    <col min="14247" max="14247" width="14.42578125" bestFit="1" customWidth="1"/>
    <col min="14248" max="14248" width="12.28515625" bestFit="1" customWidth="1"/>
    <col min="14249" max="14249" width="15.140625" bestFit="1" customWidth="1"/>
    <col min="14250" max="14250" width="14.42578125" bestFit="1" customWidth="1"/>
    <col min="14251" max="14251" width="12.28515625" bestFit="1" customWidth="1"/>
    <col min="14252" max="14252" width="14.42578125" bestFit="1" customWidth="1"/>
    <col min="14253" max="14253" width="11.28515625" bestFit="1" customWidth="1"/>
    <col min="14254" max="14254" width="12.28515625" bestFit="1" customWidth="1"/>
    <col min="14255" max="14255" width="13" bestFit="1" customWidth="1"/>
    <col min="14256" max="14256" width="15.140625" bestFit="1" customWidth="1"/>
    <col min="14257" max="14257" width="12.28515625" bestFit="1" customWidth="1"/>
    <col min="14258" max="14258" width="13.85546875" bestFit="1" customWidth="1"/>
    <col min="14259" max="14259" width="11.28515625" bestFit="1" customWidth="1"/>
    <col min="14260" max="14260" width="12.28515625" bestFit="1" customWidth="1"/>
    <col min="14261" max="14261" width="13.85546875" bestFit="1" customWidth="1"/>
    <col min="14262" max="14263" width="15.140625" bestFit="1" customWidth="1"/>
    <col min="14264" max="14264" width="12.28515625" bestFit="1" customWidth="1"/>
    <col min="14265" max="14265" width="5.7109375" bestFit="1" customWidth="1"/>
    <col min="14266" max="14266" width="8.5703125" bestFit="1" customWidth="1"/>
    <col min="14267" max="14267" width="5.5703125" bestFit="1" customWidth="1"/>
    <col min="14268" max="14268" width="14.42578125" bestFit="1" customWidth="1"/>
    <col min="14269" max="14269" width="11.28515625" bestFit="1" customWidth="1"/>
    <col min="14270" max="14271" width="12.28515625" bestFit="1" customWidth="1"/>
    <col min="14272" max="14272" width="11.28515625" bestFit="1" customWidth="1"/>
    <col min="14273" max="14273" width="13.85546875" bestFit="1" customWidth="1"/>
    <col min="14274" max="14274" width="12" bestFit="1" customWidth="1"/>
    <col min="14275" max="14275" width="13.85546875" bestFit="1" customWidth="1"/>
    <col min="14276" max="14277" width="14.42578125" customWidth="1"/>
    <col min="14278" max="14278" width="10.140625" bestFit="1" customWidth="1"/>
    <col min="14279" max="14279" width="12.28515625" bestFit="1" customWidth="1"/>
    <col min="14280" max="14280" width="7.42578125" bestFit="1" customWidth="1"/>
    <col min="14281" max="14281" width="8.5703125" bestFit="1" customWidth="1"/>
    <col min="14282" max="14282" width="11.5703125" bestFit="1" customWidth="1"/>
    <col min="14283" max="14283" width="13.28515625" bestFit="1" customWidth="1"/>
    <col min="14284" max="14284" width="13.28515625" customWidth="1"/>
    <col min="14285" max="14285" width="13.140625" customWidth="1"/>
    <col min="14286" max="14286" width="12.7109375" bestFit="1" customWidth="1"/>
    <col min="14287" max="14287" width="13.28515625" bestFit="1" customWidth="1"/>
    <col min="14288" max="14290" width="13.28515625" customWidth="1"/>
    <col min="14291" max="14291" width="12.140625" bestFit="1" customWidth="1"/>
    <col min="14292" max="14292" width="12.7109375" bestFit="1" customWidth="1"/>
    <col min="14293" max="14293" width="11" customWidth="1"/>
    <col min="14294" max="14294" width="16.7109375" customWidth="1"/>
    <col min="14295" max="14295" width="17" customWidth="1"/>
    <col min="14296" max="14296" width="10.42578125" bestFit="1" customWidth="1"/>
    <col min="14340" max="14340" width="3.85546875" customWidth="1"/>
    <col min="14341" max="14341" width="15.28515625" bestFit="1" customWidth="1"/>
    <col min="14342" max="14342" width="12.28515625" customWidth="1"/>
    <col min="14343" max="14343" width="16.28515625" bestFit="1" customWidth="1"/>
    <col min="14344" max="14344" width="6.42578125" bestFit="1" customWidth="1"/>
    <col min="14345" max="14345" width="9.28515625" bestFit="1" customWidth="1"/>
    <col min="14346" max="14346" width="7.5703125" bestFit="1" customWidth="1"/>
    <col min="14347" max="14347" width="13.28515625" bestFit="1" customWidth="1"/>
    <col min="14348" max="14348" width="9.28515625" bestFit="1" customWidth="1"/>
    <col min="14349" max="14349" width="11.5703125" bestFit="1" customWidth="1"/>
    <col min="14350" max="14350" width="13.28515625" bestFit="1" customWidth="1"/>
    <col min="14351" max="14351" width="7.140625" bestFit="1" customWidth="1"/>
    <col min="14352" max="14352" width="12" bestFit="1" customWidth="1"/>
    <col min="14353" max="14353" width="13.28515625" bestFit="1" customWidth="1"/>
    <col min="14354" max="14354" width="7" bestFit="1" customWidth="1"/>
    <col min="14355" max="14355" width="12.7109375" bestFit="1" customWidth="1"/>
    <col min="14356" max="14356" width="11.5703125" bestFit="1" customWidth="1"/>
    <col min="14357" max="14357" width="10.5703125" bestFit="1" customWidth="1"/>
    <col min="14358" max="14359" width="15.7109375" bestFit="1" customWidth="1"/>
    <col min="14360" max="14360" width="11.5703125" bestFit="1" customWidth="1"/>
    <col min="14361" max="14361" width="7.7109375" bestFit="1" customWidth="1"/>
    <col min="14362" max="14362" width="15.140625" bestFit="1" customWidth="1"/>
    <col min="14363" max="14363" width="11.5703125" bestFit="1" customWidth="1"/>
    <col min="14364" max="14364" width="13.28515625" bestFit="1" customWidth="1"/>
    <col min="14365" max="14365" width="10.42578125" bestFit="1" customWidth="1"/>
    <col min="14366" max="14366" width="13.28515625" bestFit="1" customWidth="1"/>
    <col min="14367" max="14367" width="12.140625" bestFit="1" customWidth="1"/>
    <col min="14368" max="14368" width="14.42578125" bestFit="1" customWidth="1"/>
    <col min="14369" max="14369" width="13.28515625" bestFit="1" customWidth="1"/>
    <col min="14370" max="14370" width="11.5703125" bestFit="1" customWidth="1"/>
    <col min="14371" max="14371" width="7.7109375" bestFit="1" customWidth="1"/>
    <col min="14372" max="14373" width="14.42578125" bestFit="1" customWidth="1"/>
    <col min="14374" max="14374" width="11.5703125" bestFit="1" customWidth="1"/>
    <col min="14375" max="14375" width="7.7109375" bestFit="1" customWidth="1"/>
    <col min="14376" max="14376" width="13.5703125" customWidth="1"/>
    <col min="14377" max="14377" width="15.28515625" customWidth="1"/>
    <col min="14378" max="14378" width="14.5703125" customWidth="1"/>
    <col min="14379" max="14379" width="13.28515625" bestFit="1" customWidth="1"/>
    <col min="14380" max="14380" width="7.7109375" bestFit="1" customWidth="1"/>
    <col min="14381" max="14381" width="12.7109375" bestFit="1" customWidth="1"/>
    <col min="14382" max="14382" width="11.7109375" bestFit="1" customWidth="1"/>
    <col min="14383" max="14383" width="11.5703125" bestFit="1" customWidth="1"/>
    <col min="14384" max="14384" width="5.28515625" bestFit="1" customWidth="1"/>
    <col min="14385" max="14385" width="13.28515625" bestFit="1" customWidth="1"/>
    <col min="14386" max="14386" width="13.5703125" bestFit="1" customWidth="1"/>
    <col min="14387" max="14387" width="10.5703125" bestFit="1" customWidth="1"/>
    <col min="14388" max="14388" width="13.28515625" bestFit="1" customWidth="1"/>
    <col min="14389" max="14389" width="11.5703125" bestFit="1" customWidth="1"/>
    <col min="14390" max="14390" width="10.5703125" bestFit="1" customWidth="1"/>
    <col min="14391" max="14391" width="16.140625" bestFit="1" customWidth="1"/>
    <col min="14392" max="14393" width="11.28515625" bestFit="1" customWidth="1"/>
    <col min="14394" max="14394" width="13.28515625" bestFit="1" customWidth="1"/>
    <col min="14395" max="14395" width="7.7109375" bestFit="1" customWidth="1"/>
    <col min="14396" max="14399" width="9.140625" hidden="1" customWidth="1"/>
    <col min="14400" max="14400" width="10.42578125" bestFit="1" customWidth="1"/>
    <col min="14401" max="14401" width="10.5703125" bestFit="1" customWidth="1"/>
    <col min="14402" max="14402" width="10.42578125" bestFit="1" customWidth="1"/>
    <col min="14403" max="14403" width="10.5703125" bestFit="1" customWidth="1"/>
    <col min="14404" max="14404" width="9.5703125" bestFit="1" customWidth="1"/>
    <col min="14405" max="14405" width="11.5703125" bestFit="1" customWidth="1"/>
    <col min="14406" max="14406" width="10.42578125" bestFit="1" customWidth="1"/>
    <col min="14407" max="14407" width="10.85546875" customWidth="1"/>
    <col min="14408" max="14409" width="9.85546875" bestFit="1" customWidth="1"/>
    <col min="14410" max="14410" width="13.5703125" bestFit="1" customWidth="1"/>
    <col min="14411" max="14411" width="7.7109375" bestFit="1" customWidth="1"/>
    <col min="14412" max="14412" width="13.28515625" bestFit="1" customWidth="1"/>
    <col min="14413" max="14413" width="11.5703125" bestFit="1" customWidth="1"/>
    <col min="14414" max="14414" width="10.42578125" bestFit="1" customWidth="1"/>
    <col min="14415" max="14415" width="7.7109375" bestFit="1" customWidth="1"/>
    <col min="14416" max="14416" width="11.5703125" bestFit="1" customWidth="1"/>
    <col min="14417" max="14417" width="10.85546875" bestFit="1" customWidth="1"/>
    <col min="14418" max="14418" width="13.28515625" bestFit="1" customWidth="1"/>
    <col min="14419" max="14419" width="10.85546875" bestFit="1" customWidth="1"/>
    <col min="14420" max="14421" width="7.5703125" bestFit="1" customWidth="1"/>
    <col min="14422" max="14423" width="10.42578125" bestFit="1" customWidth="1"/>
    <col min="14424" max="14424" width="11.5703125" bestFit="1" customWidth="1"/>
    <col min="14425" max="14425" width="5.28515625" bestFit="1" customWidth="1"/>
    <col min="14426" max="14426" width="10.28515625" bestFit="1" customWidth="1"/>
    <col min="14427" max="14427" width="10.42578125" bestFit="1" customWidth="1"/>
    <col min="14428" max="14428" width="11.5703125" bestFit="1" customWidth="1"/>
    <col min="14429" max="14429" width="5.28515625" bestFit="1" customWidth="1"/>
    <col min="14430" max="14432" width="11.5703125" bestFit="1" customWidth="1"/>
    <col min="14433" max="14433" width="5.28515625" bestFit="1" customWidth="1"/>
    <col min="14434" max="14435" width="10.42578125" bestFit="1" customWidth="1"/>
    <col min="14436" max="14436" width="11.5703125" bestFit="1" customWidth="1"/>
    <col min="14437" max="14437" width="5.28515625" bestFit="1" customWidth="1"/>
    <col min="14438" max="14438" width="14.28515625" bestFit="1" customWidth="1"/>
    <col min="14439" max="14439" width="13" bestFit="1" customWidth="1"/>
    <col min="14440" max="14440" width="11.5703125" bestFit="1" customWidth="1"/>
    <col min="14441" max="14441" width="8.85546875" bestFit="1" customWidth="1"/>
    <col min="14442" max="14442" width="14.42578125" bestFit="1" customWidth="1"/>
    <col min="14443" max="14443" width="10.42578125" bestFit="1" customWidth="1"/>
    <col min="14444" max="14444" width="12.28515625" bestFit="1" customWidth="1"/>
    <col min="14445" max="14445" width="13.85546875" bestFit="1" customWidth="1"/>
    <col min="14446" max="14446" width="11.28515625" customWidth="1"/>
    <col min="14447" max="14447" width="11.5703125" customWidth="1"/>
    <col min="14448" max="14448" width="13.42578125" bestFit="1" customWidth="1"/>
    <col min="14449" max="14449" width="10.42578125" customWidth="1"/>
    <col min="14450" max="14450" width="13.85546875" bestFit="1" customWidth="1"/>
    <col min="14451" max="14451" width="15.42578125" bestFit="1" customWidth="1"/>
    <col min="14452" max="14452" width="12.28515625" bestFit="1" customWidth="1"/>
    <col min="14453" max="14453" width="12.7109375" customWidth="1"/>
    <col min="14454" max="14454" width="10.7109375" bestFit="1" customWidth="1"/>
    <col min="14455" max="14455" width="9.85546875" customWidth="1"/>
    <col min="14456" max="14457" width="10.140625" bestFit="1" customWidth="1"/>
    <col min="14458" max="14458" width="7.5703125" bestFit="1" customWidth="1"/>
    <col min="14459" max="14459" width="9.42578125" bestFit="1" customWidth="1"/>
    <col min="14460" max="14460" width="14.5703125" bestFit="1" customWidth="1"/>
    <col min="14461" max="14461" width="14.85546875" customWidth="1"/>
    <col min="14462" max="14462" width="15.140625" bestFit="1" customWidth="1"/>
    <col min="14463" max="14463" width="12.140625" bestFit="1" customWidth="1"/>
    <col min="14464" max="14464" width="14.85546875" bestFit="1" customWidth="1"/>
    <col min="14465" max="14465" width="12.28515625" bestFit="1" customWidth="1"/>
    <col min="14466" max="14474" width="9.140625" hidden="1" customWidth="1"/>
    <col min="14475" max="14475" width="5.28515625" bestFit="1" customWidth="1"/>
    <col min="14476" max="14481" width="11.5703125" bestFit="1" customWidth="1"/>
    <col min="14482" max="14482" width="11.28515625" bestFit="1" customWidth="1"/>
    <col min="14483" max="14483" width="10.140625" bestFit="1" customWidth="1"/>
    <col min="14484" max="14484" width="11.5703125" bestFit="1" customWidth="1"/>
    <col min="14485" max="14485" width="16.140625" customWidth="1"/>
    <col min="14486" max="14486" width="13.42578125" customWidth="1"/>
    <col min="14487" max="14487" width="10.140625" bestFit="1" customWidth="1"/>
    <col min="14488" max="14488" width="12.85546875" bestFit="1" customWidth="1"/>
    <col min="14489" max="14489" width="12.28515625" bestFit="1" customWidth="1"/>
    <col min="14490" max="14490" width="11.28515625" bestFit="1" customWidth="1"/>
    <col min="14491" max="14491" width="11.5703125" bestFit="1" customWidth="1"/>
    <col min="14492" max="14492" width="10.85546875" bestFit="1" customWidth="1"/>
    <col min="14493" max="14493" width="11.28515625" bestFit="1" customWidth="1"/>
    <col min="14494" max="14494" width="10.140625" bestFit="1" customWidth="1"/>
    <col min="14495" max="14495" width="13.28515625" bestFit="1" customWidth="1"/>
    <col min="14496" max="14497" width="12.7109375" bestFit="1" customWidth="1"/>
    <col min="14498" max="14498" width="11" bestFit="1" customWidth="1"/>
    <col min="14499" max="14499" width="11.28515625" bestFit="1" customWidth="1"/>
    <col min="14500" max="14500" width="11.5703125" bestFit="1" customWidth="1"/>
    <col min="14501" max="14501" width="12.28515625" bestFit="1" customWidth="1"/>
    <col min="14502" max="14502" width="15.140625" bestFit="1" customWidth="1"/>
    <col min="14503" max="14503" width="14.42578125" bestFit="1" customWidth="1"/>
    <col min="14504" max="14504" width="12.28515625" bestFit="1" customWidth="1"/>
    <col min="14505" max="14505" width="15.140625" bestFit="1" customWidth="1"/>
    <col min="14506" max="14506" width="14.42578125" bestFit="1" customWidth="1"/>
    <col min="14507" max="14507" width="12.28515625" bestFit="1" customWidth="1"/>
    <col min="14508" max="14508" width="14.42578125" bestFit="1" customWidth="1"/>
    <col min="14509" max="14509" width="11.28515625" bestFit="1" customWidth="1"/>
    <col min="14510" max="14510" width="12.28515625" bestFit="1" customWidth="1"/>
    <col min="14511" max="14511" width="13" bestFit="1" customWidth="1"/>
    <col min="14512" max="14512" width="15.140625" bestFit="1" customWidth="1"/>
    <col min="14513" max="14513" width="12.28515625" bestFit="1" customWidth="1"/>
    <col min="14514" max="14514" width="13.85546875" bestFit="1" customWidth="1"/>
    <col min="14515" max="14515" width="11.28515625" bestFit="1" customWidth="1"/>
    <col min="14516" max="14516" width="12.28515625" bestFit="1" customWidth="1"/>
    <col min="14517" max="14517" width="13.85546875" bestFit="1" customWidth="1"/>
    <col min="14518" max="14519" width="15.140625" bestFit="1" customWidth="1"/>
    <col min="14520" max="14520" width="12.28515625" bestFit="1" customWidth="1"/>
    <col min="14521" max="14521" width="5.7109375" bestFit="1" customWidth="1"/>
    <col min="14522" max="14522" width="8.5703125" bestFit="1" customWidth="1"/>
    <col min="14523" max="14523" width="5.5703125" bestFit="1" customWidth="1"/>
    <col min="14524" max="14524" width="14.42578125" bestFit="1" customWidth="1"/>
    <col min="14525" max="14525" width="11.28515625" bestFit="1" customWidth="1"/>
    <col min="14526" max="14527" width="12.28515625" bestFit="1" customWidth="1"/>
    <col min="14528" max="14528" width="11.28515625" bestFit="1" customWidth="1"/>
    <col min="14529" max="14529" width="13.85546875" bestFit="1" customWidth="1"/>
    <col min="14530" max="14530" width="12" bestFit="1" customWidth="1"/>
    <col min="14531" max="14531" width="13.85546875" bestFit="1" customWidth="1"/>
    <col min="14532" max="14533" width="14.42578125" customWidth="1"/>
    <col min="14534" max="14534" width="10.140625" bestFit="1" customWidth="1"/>
    <col min="14535" max="14535" width="12.28515625" bestFit="1" customWidth="1"/>
    <col min="14536" max="14536" width="7.42578125" bestFit="1" customWidth="1"/>
    <col min="14537" max="14537" width="8.5703125" bestFit="1" customWidth="1"/>
    <col min="14538" max="14538" width="11.5703125" bestFit="1" customWidth="1"/>
    <col min="14539" max="14539" width="13.28515625" bestFit="1" customWidth="1"/>
    <col min="14540" max="14540" width="13.28515625" customWidth="1"/>
    <col min="14541" max="14541" width="13.140625" customWidth="1"/>
    <col min="14542" max="14542" width="12.7109375" bestFit="1" customWidth="1"/>
    <col min="14543" max="14543" width="13.28515625" bestFit="1" customWidth="1"/>
    <col min="14544" max="14546" width="13.28515625" customWidth="1"/>
    <col min="14547" max="14547" width="12.140625" bestFit="1" customWidth="1"/>
    <col min="14548" max="14548" width="12.7109375" bestFit="1" customWidth="1"/>
    <col min="14549" max="14549" width="11" customWidth="1"/>
    <col min="14550" max="14550" width="16.7109375" customWidth="1"/>
    <col min="14551" max="14551" width="17" customWidth="1"/>
    <col min="14552" max="14552" width="10.42578125" bestFit="1" customWidth="1"/>
    <col min="14596" max="14596" width="3.85546875" customWidth="1"/>
    <col min="14597" max="14597" width="15.28515625" bestFit="1" customWidth="1"/>
    <col min="14598" max="14598" width="12.28515625" customWidth="1"/>
    <col min="14599" max="14599" width="16.28515625" bestFit="1" customWidth="1"/>
    <col min="14600" max="14600" width="6.42578125" bestFit="1" customWidth="1"/>
    <col min="14601" max="14601" width="9.28515625" bestFit="1" customWidth="1"/>
    <col min="14602" max="14602" width="7.5703125" bestFit="1" customWidth="1"/>
    <col min="14603" max="14603" width="13.28515625" bestFit="1" customWidth="1"/>
    <col min="14604" max="14604" width="9.28515625" bestFit="1" customWidth="1"/>
    <col min="14605" max="14605" width="11.5703125" bestFit="1" customWidth="1"/>
    <col min="14606" max="14606" width="13.28515625" bestFit="1" customWidth="1"/>
    <col min="14607" max="14607" width="7.140625" bestFit="1" customWidth="1"/>
    <col min="14608" max="14608" width="12" bestFit="1" customWidth="1"/>
    <col min="14609" max="14609" width="13.28515625" bestFit="1" customWidth="1"/>
    <col min="14610" max="14610" width="7" bestFit="1" customWidth="1"/>
    <col min="14611" max="14611" width="12.7109375" bestFit="1" customWidth="1"/>
    <col min="14612" max="14612" width="11.5703125" bestFit="1" customWidth="1"/>
    <col min="14613" max="14613" width="10.5703125" bestFit="1" customWidth="1"/>
    <col min="14614" max="14615" width="15.7109375" bestFit="1" customWidth="1"/>
    <col min="14616" max="14616" width="11.5703125" bestFit="1" customWidth="1"/>
    <col min="14617" max="14617" width="7.7109375" bestFit="1" customWidth="1"/>
    <col min="14618" max="14618" width="15.140625" bestFit="1" customWidth="1"/>
    <col min="14619" max="14619" width="11.5703125" bestFit="1" customWidth="1"/>
    <col min="14620" max="14620" width="13.28515625" bestFit="1" customWidth="1"/>
    <col min="14621" max="14621" width="10.42578125" bestFit="1" customWidth="1"/>
    <col min="14622" max="14622" width="13.28515625" bestFit="1" customWidth="1"/>
    <col min="14623" max="14623" width="12.140625" bestFit="1" customWidth="1"/>
    <col min="14624" max="14624" width="14.42578125" bestFit="1" customWidth="1"/>
    <col min="14625" max="14625" width="13.28515625" bestFit="1" customWidth="1"/>
    <col min="14626" max="14626" width="11.5703125" bestFit="1" customWidth="1"/>
    <col min="14627" max="14627" width="7.7109375" bestFit="1" customWidth="1"/>
    <col min="14628" max="14629" width="14.42578125" bestFit="1" customWidth="1"/>
    <col min="14630" max="14630" width="11.5703125" bestFit="1" customWidth="1"/>
    <col min="14631" max="14631" width="7.7109375" bestFit="1" customWidth="1"/>
    <col min="14632" max="14632" width="13.5703125" customWidth="1"/>
    <col min="14633" max="14633" width="15.28515625" customWidth="1"/>
    <col min="14634" max="14634" width="14.5703125" customWidth="1"/>
    <col min="14635" max="14635" width="13.28515625" bestFit="1" customWidth="1"/>
    <col min="14636" max="14636" width="7.7109375" bestFit="1" customWidth="1"/>
    <col min="14637" max="14637" width="12.7109375" bestFit="1" customWidth="1"/>
    <col min="14638" max="14638" width="11.7109375" bestFit="1" customWidth="1"/>
    <col min="14639" max="14639" width="11.5703125" bestFit="1" customWidth="1"/>
    <col min="14640" max="14640" width="5.28515625" bestFit="1" customWidth="1"/>
    <col min="14641" max="14641" width="13.28515625" bestFit="1" customWidth="1"/>
    <col min="14642" max="14642" width="13.5703125" bestFit="1" customWidth="1"/>
    <col min="14643" max="14643" width="10.5703125" bestFit="1" customWidth="1"/>
    <col min="14644" max="14644" width="13.28515625" bestFit="1" customWidth="1"/>
    <col min="14645" max="14645" width="11.5703125" bestFit="1" customWidth="1"/>
    <col min="14646" max="14646" width="10.5703125" bestFit="1" customWidth="1"/>
    <col min="14647" max="14647" width="16.140625" bestFit="1" customWidth="1"/>
    <col min="14648" max="14649" width="11.28515625" bestFit="1" customWidth="1"/>
    <col min="14650" max="14650" width="13.28515625" bestFit="1" customWidth="1"/>
    <col min="14651" max="14651" width="7.7109375" bestFit="1" customWidth="1"/>
    <col min="14652" max="14655" width="9.140625" hidden="1" customWidth="1"/>
    <col min="14656" max="14656" width="10.42578125" bestFit="1" customWidth="1"/>
    <col min="14657" max="14657" width="10.5703125" bestFit="1" customWidth="1"/>
    <col min="14658" max="14658" width="10.42578125" bestFit="1" customWidth="1"/>
    <col min="14659" max="14659" width="10.5703125" bestFit="1" customWidth="1"/>
    <col min="14660" max="14660" width="9.5703125" bestFit="1" customWidth="1"/>
    <col min="14661" max="14661" width="11.5703125" bestFit="1" customWidth="1"/>
    <col min="14662" max="14662" width="10.42578125" bestFit="1" customWidth="1"/>
    <col min="14663" max="14663" width="10.85546875" customWidth="1"/>
    <col min="14664" max="14665" width="9.85546875" bestFit="1" customWidth="1"/>
    <col min="14666" max="14666" width="13.5703125" bestFit="1" customWidth="1"/>
    <col min="14667" max="14667" width="7.7109375" bestFit="1" customWidth="1"/>
    <col min="14668" max="14668" width="13.28515625" bestFit="1" customWidth="1"/>
    <col min="14669" max="14669" width="11.5703125" bestFit="1" customWidth="1"/>
    <col min="14670" max="14670" width="10.42578125" bestFit="1" customWidth="1"/>
    <col min="14671" max="14671" width="7.7109375" bestFit="1" customWidth="1"/>
    <col min="14672" max="14672" width="11.5703125" bestFit="1" customWidth="1"/>
    <col min="14673" max="14673" width="10.85546875" bestFit="1" customWidth="1"/>
    <col min="14674" max="14674" width="13.28515625" bestFit="1" customWidth="1"/>
    <col min="14675" max="14675" width="10.85546875" bestFit="1" customWidth="1"/>
    <col min="14676" max="14677" width="7.5703125" bestFit="1" customWidth="1"/>
    <col min="14678" max="14679" width="10.42578125" bestFit="1" customWidth="1"/>
    <col min="14680" max="14680" width="11.5703125" bestFit="1" customWidth="1"/>
    <col min="14681" max="14681" width="5.28515625" bestFit="1" customWidth="1"/>
    <col min="14682" max="14682" width="10.28515625" bestFit="1" customWidth="1"/>
    <col min="14683" max="14683" width="10.42578125" bestFit="1" customWidth="1"/>
    <col min="14684" max="14684" width="11.5703125" bestFit="1" customWidth="1"/>
    <col min="14685" max="14685" width="5.28515625" bestFit="1" customWidth="1"/>
    <col min="14686" max="14688" width="11.5703125" bestFit="1" customWidth="1"/>
    <col min="14689" max="14689" width="5.28515625" bestFit="1" customWidth="1"/>
    <col min="14690" max="14691" width="10.42578125" bestFit="1" customWidth="1"/>
    <col min="14692" max="14692" width="11.5703125" bestFit="1" customWidth="1"/>
    <col min="14693" max="14693" width="5.28515625" bestFit="1" customWidth="1"/>
    <col min="14694" max="14694" width="14.28515625" bestFit="1" customWidth="1"/>
    <col min="14695" max="14695" width="13" bestFit="1" customWidth="1"/>
    <col min="14696" max="14696" width="11.5703125" bestFit="1" customWidth="1"/>
    <col min="14697" max="14697" width="8.85546875" bestFit="1" customWidth="1"/>
    <col min="14698" max="14698" width="14.42578125" bestFit="1" customWidth="1"/>
    <col min="14699" max="14699" width="10.42578125" bestFit="1" customWidth="1"/>
    <col min="14700" max="14700" width="12.28515625" bestFit="1" customWidth="1"/>
    <col min="14701" max="14701" width="13.85546875" bestFit="1" customWidth="1"/>
    <col min="14702" max="14702" width="11.28515625" customWidth="1"/>
    <col min="14703" max="14703" width="11.5703125" customWidth="1"/>
    <col min="14704" max="14704" width="13.42578125" bestFit="1" customWidth="1"/>
    <col min="14705" max="14705" width="10.42578125" customWidth="1"/>
    <col min="14706" max="14706" width="13.85546875" bestFit="1" customWidth="1"/>
    <col min="14707" max="14707" width="15.42578125" bestFit="1" customWidth="1"/>
    <col min="14708" max="14708" width="12.28515625" bestFit="1" customWidth="1"/>
    <col min="14709" max="14709" width="12.7109375" customWidth="1"/>
    <col min="14710" max="14710" width="10.7109375" bestFit="1" customWidth="1"/>
    <col min="14711" max="14711" width="9.85546875" customWidth="1"/>
    <col min="14712" max="14713" width="10.140625" bestFit="1" customWidth="1"/>
    <col min="14714" max="14714" width="7.5703125" bestFit="1" customWidth="1"/>
    <col min="14715" max="14715" width="9.42578125" bestFit="1" customWidth="1"/>
    <col min="14716" max="14716" width="14.5703125" bestFit="1" customWidth="1"/>
    <col min="14717" max="14717" width="14.85546875" customWidth="1"/>
    <col min="14718" max="14718" width="15.140625" bestFit="1" customWidth="1"/>
    <col min="14719" max="14719" width="12.140625" bestFit="1" customWidth="1"/>
    <col min="14720" max="14720" width="14.85546875" bestFit="1" customWidth="1"/>
    <col min="14721" max="14721" width="12.28515625" bestFit="1" customWidth="1"/>
    <col min="14722" max="14730" width="9.140625" hidden="1" customWidth="1"/>
    <col min="14731" max="14731" width="5.28515625" bestFit="1" customWidth="1"/>
    <col min="14732" max="14737" width="11.5703125" bestFit="1" customWidth="1"/>
    <col min="14738" max="14738" width="11.28515625" bestFit="1" customWidth="1"/>
    <col min="14739" max="14739" width="10.140625" bestFit="1" customWidth="1"/>
    <col min="14740" max="14740" width="11.5703125" bestFit="1" customWidth="1"/>
    <col min="14741" max="14741" width="16.140625" customWidth="1"/>
    <col min="14742" max="14742" width="13.42578125" customWidth="1"/>
    <col min="14743" max="14743" width="10.140625" bestFit="1" customWidth="1"/>
    <col min="14744" max="14744" width="12.85546875" bestFit="1" customWidth="1"/>
    <col min="14745" max="14745" width="12.28515625" bestFit="1" customWidth="1"/>
    <col min="14746" max="14746" width="11.28515625" bestFit="1" customWidth="1"/>
    <col min="14747" max="14747" width="11.5703125" bestFit="1" customWidth="1"/>
    <col min="14748" max="14748" width="10.85546875" bestFit="1" customWidth="1"/>
    <col min="14749" max="14749" width="11.28515625" bestFit="1" customWidth="1"/>
    <col min="14750" max="14750" width="10.140625" bestFit="1" customWidth="1"/>
    <col min="14751" max="14751" width="13.28515625" bestFit="1" customWidth="1"/>
    <col min="14752" max="14753" width="12.7109375" bestFit="1" customWidth="1"/>
    <col min="14754" max="14754" width="11" bestFit="1" customWidth="1"/>
    <col min="14755" max="14755" width="11.28515625" bestFit="1" customWidth="1"/>
    <col min="14756" max="14756" width="11.5703125" bestFit="1" customWidth="1"/>
    <col min="14757" max="14757" width="12.28515625" bestFit="1" customWidth="1"/>
    <col min="14758" max="14758" width="15.140625" bestFit="1" customWidth="1"/>
    <col min="14759" max="14759" width="14.42578125" bestFit="1" customWidth="1"/>
    <col min="14760" max="14760" width="12.28515625" bestFit="1" customWidth="1"/>
    <col min="14761" max="14761" width="15.140625" bestFit="1" customWidth="1"/>
    <col min="14762" max="14762" width="14.42578125" bestFit="1" customWidth="1"/>
    <col min="14763" max="14763" width="12.28515625" bestFit="1" customWidth="1"/>
    <col min="14764" max="14764" width="14.42578125" bestFit="1" customWidth="1"/>
    <col min="14765" max="14765" width="11.28515625" bestFit="1" customWidth="1"/>
    <col min="14766" max="14766" width="12.28515625" bestFit="1" customWidth="1"/>
    <col min="14767" max="14767" width="13" bestFit="1" customWidth="1"/>
    <col min="14768" max="14768" width="15.140625" bestFit="1" customWidth="1"/>
    <col min="14769" max="14769" width="12.28515625" bestFit="1" customWidth="1"/>
    <col min="14770" max="14770" width="13.85546875" bestFit="1" customWidth="1"/>
    <col min="14771" max="14771" width="11.28515625" bestFit="1" customWidth="1"/>
    <col min="14772" max="14772" width="12.28515625" bestFit="1" customWidth="1"/>
    <col min="14773" max="14773" width="13.85546875" bestFit="1" customWidth="1"/>
    <col min="14774" max="14775" width="15.140625" bestFit="1" customWidth="1"/>
    <col min="14776" max="14776" width="12.28515625" bestFit="1" customWidth="1"/>
    <col min="14777" max="14777" width="5.7109375" bestFit="1" customWidth="1"/>
    <col min="14778" max="14778" width="8.5703125" bestFit="1" customWidth="1"/>
    <col min="14779" max="14779" width="5.5703125" bestFit="1" customWidth="1"/>
    <col min="14780" max="14780" width="14.42578125" bestFit="1" customWidth="1"/>
    <col min="14781" max="14781" width="11.28515625" bestFit="1" customWidth="1"/>
    <col min="14782" max="14783" width="12.28515625" bestFit="1" customWidth="1"/>
    <col min="14784" max="14784" width="11.28515625" bestFit="1" customWidth="1"/>
    <col min="14785" max="14785" width="13.85546875" bestFit="1" customWidth="1"/>
    <col min="14786" max="14786" width="12" bestFit="1" customWidth="1"/>
    <col min="14787" max="14787" width="13.85546875" bestFit="1" customWidth="1"/>
    <col min="14788" max="14789" width="14.42578125" customWidth="1"/>
    <col min="14790" max="14790" width="10.140625" bestFit="1" customWidth="1"/>
    <col min="14791" max="14791" width="12.28515625" bestFit="1" customWidth="1"/>
    <col min="14792" max="14792" width="7.42578125" bestFit="1" customWidth="1"/>
    <col min="14793" max="14793" width="8.5703125" bestFit="1" customWidth="1"/>
    <col min="14794" max="14794" width="11.5703125" bestFit="1" customWidth="1"/>
    <col min="14795" max="14795" width="13.28515625" bestFit="1" customWidth="1"/>
    <col min="14796" max="14796" width="13.28515625" customWidth="1"/>
    <col min="14797" max="14797" width="13.140625" customWidth="1"/>
    <col min="14798" max="14798" width="12.7109375" bestFit="1" customWidth="1"/>
    <col min="14799" max="14799" width="13.28515625" bestFit="1" customWidth="1"/>
    <col min="14800" max="14802" width="13.28515625" customWidth="1"/>
    <col min="14803" max="14803" width="12.140625" bestFit="1" customWidth="1"/>
    <col min="14804" max="14804" width="12.7109375" bestFit="1" customWidth="1"/>
    <col min="14805" max="14805" width="11" customWidth="1"/>
    <col min="14806" max="14806" width="16.7109375" customWidth="1"/>
    <col min="14807" max="14807" width="17" customWidth="1"/>
    <col min="14808" max="14808" width="10.42578125" bestFit="1" customWidth="1"/>
    <col min="14852" max="14852" width="3.85546875" customWidth="1"/>
    <col min="14853" max="14853" width="15.28515625" bestFit="1" customWidth="1"/>
    <col min="14854" max="14854" width="12.28515625" customWidth="1"/>
    <col min="14855" max="14855" width="16.28515625" bestFit="1" customWidth="1"/>
    <col min="14856" max="14856" width="6.42578125" bestFit="1" customWidth="1"/>
    <col min="14857" max="14857" width="9.28515625" bestFit="1" customWidth="1"/>
    <col min="14858" max="14858" width="7.5703125" bestFit="1" customWidth="1"/>
    <col min="14859" max="14859" width="13.28515625" bestFit="1" customWidth="1"/>
    <col min="14860" max="14860" width="9.28515625" bestFit="1" customWidth="1"/>
    <col min="14861" max="14861" width="11.5703125" bestFit="1" customWidth="1"/>
    <col min="14862" max="14862" width="13.28515625" bestFit="1" customWidth="1"/>
    <col min="14863" max="14863" width="7.140625" bestFit="1" customWidth="1"/>
    <col min="14864" max="14864" width="12" bestFit="1" customWidth="1"/>
    <col min="14865" max="14865" width="13.28515625" bestFit="1" customWidth="1"/>
    <col min="14866" max="14866" width="7" bestFit="1" customWidth="1"/>
    <col min="14867" max="14867" width="12.7109375" bestFit="1" customWidth="1"/>
    <col min="14868" max="14868" width="11.5703125" bestFit="1" customWidth="1"/>
    <col min="14869" max="14869" width="10.5703125" bestFit="1" customWidth="1"/>
    <col min="14870" max="14871" width="15.7109375" bestFit="1" customWidth="1"/>
    <col min="14872" max="14872" width="11.5703125" bestFit="1" customWidth="1"/>
    <col min="14873" max="14873" width="7.7109375" bestFit="1" customWidth="1"/>
    <col min="14874" max="14874" width="15.140625" bestFit="1" customWidth="1"/>
    <col min="14875" max="14875" width="11.5703125" bestFit="1" customWidth="1"/>
    <col min="14876" max="14876" width="13.28515625" bestFit="1" customWidth="1"/>
    <col min="14877" max="14877" width="10.42578125" bestFit="1" customWidth="1"/>
    <col min="14878" max="14878" width="13.28515625" bestFit="1" customWidth="1"/>
    <col min="14879" max="14879" width="12.140625" bestFit="1" customWidth="1"/>
    <col min="14880" max="14880" width="14.42578125" bestFit="1" customWidth="1"/>
    <col min="14881" max="14881" width="13.28515625" bestFit="1" customWidth="1"/>
    <col min="14882" max="14882" width="11.5703125" bestFit="1" customWidth="1"/>
    <col min="14883" max="14883" width="7.7109375" bestFit="1" customWidth="1"/>
    <col min="14884" max="14885" width="14.42578125" bestFit="1" customWidth="1"/>
    <col min="14886" max="14886" width="11.5703125" bestFit="1" customWidth="1"/>
    <col min="14887" max="14887" width="7.7109375" bestFit="1" customWidth="1"/>
    <col min="14888" max="14888" width="13.5703125" customWidth="1"/>
    <col min="14889" max="14889" width="15.28515625" customWidth="1"/>
    <col min="14890" max="14890" width="14.5703125" customWidth="1"/>
    <col min="14891" max="14891" width="13.28515625" bestFit="1" customWidth="1"/>
    <col min="14892" max="14892" width="7.7109375" bestFit="1" customWidth="1"/>
    <col min="14893" max="14893" width="12.7109375" bestFit="1" customWidth="1"/>
    <col min="14894" max="14894" width="11.7109375" bestFit="1" customWidth="1"/>
    <col min="14895" max="14895" width="11.5703125" bestFit="1" customWidth="1"/>
    <col min="14896" max="14896" width="5.28515625" bestFit="1" customWidth="1"/>
    <col min="14897" max="14897" width="13.28515625" bestFit="1" customWidth="1"/>
    <col min="14898" max="14898" width="13.5703125" bestFit="1" customWidth="1"/>
    <col min="14899" max="14899" width="10.5703125" bestFit="1" customWidth="1"/>
    <col min="14900" max="14900" width="13.28515625" bestFit="1" customWidth="1"/>
    <col min="14901" max="14901" width="11.5703125" bestFit="1" customWidth="1"/>
    <col min="14902" max="14902" width="10.5703125" bestFit="1" customWidth="1"/>
    <col min="14903" max="14903" width="16.140625" bestFit="1" customWidth="1"/>
    <col min="14904" max="14905" width="11.28515625" bestFit="1" customWidth="1"/>
    <col min="14906" max="14906" width="13.28515625" bestFit="1" customWidth="1"/>
    <col min="14907" max="14907" width="7.7109375" bestFit="1" customWidth="1"/>
    <col min="14908" max="14911" width="9.140625" hidden="1" customWidth="1"/>
    <col min="14912" max="14912" width="10.42578125" bestFit="1" customWidth="1"/>
    <col min="14913" max="14913" width="10.5703125" bestFit="1" customWidth="1"/>
    <col min="14914" max="14914" width="10.42578125" bestFit="1" customWidth="1"/>
    <col min="14915" max="14915" width="10.5703125" bestFit="1" customWidth="1"/>
    <col min="14916" max="14916" width="9.5703125" bestFit="1" customWidth="1"/>
    <col min="14917" max="14917" width="11.5703125" bestFit="1" customWidth="1"/>
    <col min="14918" max="14918" width="10.42578125" bestFit="1" customWidth="1"/>
    <col min="14919" max="14919" width="10.85546875" customWidth="1"/>
    <col min="14920" max="14921" width="9.85546875" bestFit="1" customWidth="1"/>
    <col min="14922" max="14922" width="13.5703125" bestFit="1" customWidth="1"/>
    <col min="14923" max="14923" width="7.7109375" bestFit="1" customWidth="1"/>
    <col min="14924" max="14924" width="13.28515625" bestFit="1" customWidth="1"/>
    <col min="14925" max="14925" width="11.5703125" bestFit="1" customWidth="1"/>
    <col min="14926" max="14926" width="10.42578125" bestFit="1" customWidth="1"/>
    <col min="14927" max="14927" width="7.7109375" bestFit="1" customWidth="1"/>
    <col min="14928" max="14928" width="11.5703125" bestFit="1" customWidth="1"/>
    <col min="14929" max="14929" width="10.85546875" bestFit="1" customWidth="1"/>
    <col min="14930" max="14930" width="13.28515625" bestFit="1" customWidth="1"/>
    <col min="14931" max="14931" width="10.85546875" bestFit="1" customWidth="1"/>
    <col min="14932" max="14933" width="7.5703125" bestFit="1" customWidth="1"/>
    <col min="14934" max="14935" width="10.42578125" bestFit="1" customWidth="1"/>
    <col min="14936" max="14936" width="11.5703125" bestFit="1" customWidth="1"/>
    <col min="14937" max="14937" width="5.28515625" bestFit="1" customWidth="1"/>
    <col min="14938" max="14938" width="10.28515625" bestFit="1" customWidth="1"/>
    <col min="14939" max="14939" width="10.42578125" bestFit="1" customWidth="1"/>
    <col min="14940" max="14940" width="11.5703125" bestFit="1" customWidth="1"/>
    <col min="14941" max="14941" width="5.28515625" bestFit="1" customWidth="1"/>
    <col min="14942" max="14944" width="11.5703125" bestFit="1" customWidth="1"/>
    <col min="14945" max="14945" width="5.28515625" bestFit="1" customWidth="1"/>
    <col min="14946" max="14947" width="10.42578125" bestFit="1" customWidth="1"/>
    <col min="14948" max="14948" width="11.5703125" bestFit="1" customWidth="1"/>
    <col min="14949" max="14949" width="5.28515625" bestFit="1" customWidth="1"/>
    <col min="14950" max="14950" width="14.28515625" bestFit="1" customWidth="1"/>
    <col min="14951" max="14951" width="13" bestFit="1" customWidth="1"/>
    <col min="14952" max="14952" width="11.5703125" bestFit="1" customWidth="1"/>
    <col min="14953" max="14953" width="8.85546875" bestFit="1" customWidth="1"/>
    <col min="14954" max="14954" width="14.42578125" bestFit="1" customWidth="1"/>
    <col min="14955" max="14955" width="10.42578125" bestFit="1" customWidth="1"/>
    <col min="14956" max="14956" width="12.28515625" bestFit="1" customWidth="1"/>
    <col min="14957" max="14957" width="13.85546875" bestFit="1" customWidth="1"/>
    <col min="14958" max="14958" width="11.28515625" customWidth="1"/>
    <col min="14959" max="14959" width="11.5703125" customWidth="1"/>
    <col min="14960" max="14960" width="13.42578125" bestFit="1" customWidth="1"/>
    <col min="14961" max="14961" width="10.42578125" customWidth="1"/>
    <col min="14962" max="14962" width="13.85546875" bestFit="1" customWidth="1"/>
    <col min="14963" max="14963" width="15.42578125" bestFit="1" customWidth="1"/>
    <col min="14964" max="14964" width="12.28515625" bestFit="1" customWidth="1"/>
    <col min="14965" max="14965" width="12.7109375" customWidth="1"/>
    <col min="14966" max="14966" width="10.7109375" bestFit="1" customWidth="1"/>
    <col min="14967" max="14967" width="9.85546875" customWidth="1"/>
    <col min="14968" max="14969" width="10.140625" bestFit="1" customWidth="1"/>
    <col min="14970" max="14970" width="7.5703125" bestFit="1" customWidth="1"/>
    <col min="14971" max="14971" width="9.42578125" bestFit="1" customWidth="1"/>
    <col min="14972" max="14972" width="14.5703125" bestFit="1" customWidth="1"/>
    <col min="14973" max="14973" width="14.85546875" customWidth="1"/>
    <col min="14974" max="14974" width="15.140625" bestFit="1" customWidth="1"/>
    <col min="14975" max="14975" width="12.140625" bestFit="1" customWidth="1"/>
    <col min="14976" max="14976" width="14.85546875" bestFit="1" customWidth="1"/>
    <col min="14977" max="14977" width="12.28515625" bestFit="1" customWidth="1"/>
    <col min="14978" max="14986" width="9.140625" hidden="1" customWidth="1"/>
    <col min="14987" max="14987" width="5.28515625" bestFit="1" customWidth="1"/>
    <col min="14988" max="14993" width="11.5703125" bestFit="1" customWidth="1"/>
    <col min="14994" max="14994" width="11.28515625" bestFit="1" customWidth="1"/>
    <col min="14995" max="14995" width="10.140625" bestFit="1" customWidth="1"/>
    <col min="14996" max="14996" width="11.5703125" bestFit="1" customWidth="1"/>
    <col min="14997" max="14997" width="16.140625" customWidth="1"/>
    <col min="14998" max="14998" width="13.42578125" customWidth="1"/>
    <col min="14999" max="14999" width="10.140625" bestFit="1" customWidth="1"/>
    <col min="15000" max="15000" width="12.85546875" bestFit="1" customWidth="1"/>
    <col min="15001" max="15001" width="12.28515625" bestFit="1" customWidth="1"/>
    <col min="15002" max="15002" width="11.28515625" bestFit="1" customWidth="1"/>
    <col min="15003" max="15003" width="11.5703125" bestFit="1" customWidth="1"/>
    <col min="15004" max="15004" width="10.85546875" bestFit="1" customWidth="1"/>
    <col min="15005" max="15005" width="11.28515625" bestFit="1" customWidth="1"/>
    <col min="15006" max="15006" width="10.140625" bestFit="1" customWidth="1"/>
    <col min="15007" max="15007" width="13.28515625" bestFit="1" customWidth="1"/>
    <col min="15008" max="15009" width="12.7109375" bestFit="1" customWidth="1"/>
    <col min="15010" max="15010" width="11" bestFit="1" customWidth="1"/>
    <col min="15011" max="15011" width="11.28515625" bestFit="1" customWidth="1"/>
    <col min="15012" max="15012" width="11.5703125" bestFit="1" customWidth="1"/>
    <col min="15013" max="15013" width="12.28515625" bestFit="1" customWidth="1"/>
    <col min="15014" max="15014" width="15.140625" bestFit="1" customWidth="1"/>
    <col min="15015" max="15015" width="14.42578125" bestFit="1" customWidth="1"/>
    <col min="15016" max="15016" width="12.28515625" bestFit="1" customWidth="1"/>
    <col min="15017" max="15017" width="15.140625" bestFit="1" customWidth="1"/>
    <col min="15018" max="15018" width="14.42578125" bestFit="1" customWidth="1"/>
    <col min="15019" max="15019" width="12.28515625" bestFit="1" customWidth="1"/>
    <col min="15020" max="15020" width="14.42578125" bestFit="1" customWidth="1"/>
    <col min="15021" max="15021" width="11.28515625" bestFit="1" customWidth="1"/>
    <col min="15022" max="15022" width="12.28515625" bestFit="1" customWidth="1"/>
    <col min="15023" max="15023" width="13" bestFit="1" customWidth="1"/>
    <col min="15024" max="15024" width="15.140625" bestFit="1" customWidth="1"/>
    <col min="15025" max="15025" width="12.28515625" bestFit="1" customWidth="1"/>
    <col min="15026" max="15026" width="13.85546875" bestFit="1" customWidth="1"/>
    <col min="15027" max="15027" width="11.28515625" bestFit="1" customWidth="1"/>
    <col min="15028" max="15028" width="12.28515625" bestFit="1" customWidth="1"/>
    <col min="15029" max="15029" width="13.85546875" bestFit="1" customWidth="1"/>
    <col min="15030" max="15031" width="15.140625" bestFit="1" customWidth="1"/>
    <col min="15032" max="15032" width="12.28515625" bestFit="1" customWidth="1"/>
    <col min="15033" max="15033" width="5.7109375" bestFit="1" customWidth="1"/>
    <col min="15034" max="15034" width="8.5703125" bestFit="1" customWidth="1"/>
    <col min="15035" max="15035" width="5.5703125" bestFit="1" customWidth="1"/>
    <col min="15036" max="15036" width="14.42578125" bestFit="1" customWidth="1"/>
    <col min="15037" max="15037" width="11.28515625" bestFit="1" customWidth="1"/>
    <col min="15038" max="15039" width="12.28515625" bestFit="1" customWidth="1"/>
    <col min="15040" max="15040" width="11.28515625" bestFit="1" customWidth="1"/>
    <col min="15041" max="15041" width="13.85546875" bestFit="1" customWidth="1"/>
    <col min="15042" max="15042" width="12" bestFit="1" customWidth="1"/>
    <col min="15043" max="15043" width="13.85546875" bestFit="1" customWidth="1"/>
    <col min="15044" max="15045" width="14.42578125" customWidth="1"/>
    <col min="15046" max="15046" width="10.140625" bestFit="1" customWidth="1"/>
    <col min="15047" max="15047" width="12.28515625" bestFit="1" customWidth="1"/>
    <col min="15048" max="15048" width="7.42578125" bestFit="1" customWidth="1"/>
    <col min="15049" max="15049" width="8.5703125" bestFit="1" customWidth="1"/>
    <col min="15050" max="15050" width="11.5703125" bestFit="1" customWidth="1"/>
    <col min="15051" max="15051" width="13.28515625" bestFit="1" customWidth="1"/>
    <col min="15052" max="15052" width="13.28515625" customWidth="1"/>
    <col min="15053" max="15053" width="13.140625" customWidth="1"/>
    <col min="15054" max="15054" width="12.7109375" bestFit="1" customWidth="1"/>
    <col min="15055" max="15055" width="13.28515625" bestFit="1" customWidth="1"/>
    <col min="15056" max="15058" width="13.28515625" customWidth="1"/>
    <col min="15059" max="15059" width="12.140625" bestFit="1" customWidth="1"/>
    <col min="15060" max="15060" width="12.7109375" bestFit="1" customWidth="1"/>
    <col min="15061" max="15061" width="11" customWidth="1"/>
    <col min="15062" max="15062" width="16.7109375" customWidth="1"/>
    <col min="15063" max="15063" width="17" customWidth="1"/>
    <col min="15064" max="15064" width="10.42578125" bestFit="1" customWidth="1"/>
    <col min="15108" max="15108" width="3.85546875" customWidth="1"/>
    <col min="15109" max="15109" width="15.28515625" bestFit="1" customWidth="1"/>
    <col min="15110" max="15110" width="12.28515625" customWidth="1"/>
    <col min="15111" max="15111" width="16.28515625" bestFit="1" customWidth="1"/>
    <col min="15112" max="15112" width="6.42578125" bestFit="1" customWidth="1"/>
    <col min="15113" max="15113" width="9.28515625" bestFit="1" customWidth="1"/>
    <col min="15114" max="15114" width="7.5703125" bestFit="1" customWidth="1"/>
    <col min="15115" max="15115" width="13.28515625" bestFit="1" customWidth="1"/>
    <col min="15116" max="15116" width="9.28515625" bestFit="1" customWidth="1"/>
    <col min="15117" max="15117" width="11.5703125" bestFit="1" customWidth="1"/>
    <col min="15118" max="15118" width="13.28515625" bestFit="1" customWidth="1"/>
    <col min="15119" max="15119" width="7.140625" bestFit="1" customWidth="1"/>
    <col min="15120" max="15120" width="12" bestFit="1" customWidth="1"/>
    <col min="15121" max="15121" width="13.28515625" bestFit="1" customWidth="1"/>
    <col min="15122" max="15122" width="7" bestFit="1" customWidth="1"/>
    <col min="15123" max="15123" width="12.7109375" bestFit="1" customWidth="1"/>
    <col min="15124" max="15124" width="11.5703125" bestFit="1" customWidth="1"/>
    <col min="15125" max="15125" width="10.5703125" bestFit="1" customWidth="1"/>
    <col min="15126" max="15127" width="15.7109375" bestFit="1" customWidth="1"/>
    <col min="15128" max="15128" width="11.5703125" bestFit="1" customWidth="1"/>
    <col min="15129" max="15129" width="7.7109375" bestFit="1" customWidth="1"/>
    <col min="15130" max="15130" width="15.140625" bestFit="1" customWidth="1"/>
    <col min="15131" max="15131" width="11.5703125" bestFit="1" customWidth="1"/>
    <col min="15132" max="15132" width="13.28515625" bestFit="1" customWidth="1"/>
    <col min="15133" max="15133" width="10.42578125" bestFit="1" customWidth="1"/>
    <col min="15134" max="15134" width="13.28515625" bestFit="1" customWidth="1"/>
    <col min="15135" max="15135" width="12.140625" bestFit="1" customWidth="1"/>
    <col min="15136" max="15136" width="14.42578125" bestFit="1" customWidth="1"/>
    <col min="15137" max="15137" width="13.28515625" bestFit="1" customWidth="1"/>
    <col min="15138" max="15138" width="11.5703125" bestFit="1" customWidth="1"/>
    <col min="15139" max="15139" width="7.7109375" bestFit="1" customWidth="1"/>
    <col min="15140" max="15141" width="14.42578125" bestFit="1" customWidth="1"/>
    <col min="15142" max="15142" width="11.5703125" bestFit="1" customWidth="1"/>
    <col min="15143" max="15143" width="7.7109375" bestFit="1" customWidth="1"/>
    <col min="15144" max="15144" width="13.5703125" customWidth="1"/>
    <col min="15145" max="15145" width="15.28515625" customWidth="1"/>
    <col min="15146" max="15146" width="14.5703125" customWidth="1"/>
    <col min="15147" max="15147" width="13.28515625" bestFit="1" customWidth="1"/>
    <col min="15148" max="15148" width="7.7109375" bestFit="1" customWidth="1"/>
    <col min="15149" max="15149" width="12.7109375" bestFit="1" customWidth="1"/>
    <col min="15150" max="15150" width="11.7109375" bestFit="1" customWidth="1"/>
    <col min="15151" max="15151" width="11.5703125" bestFit="1" customWidth="1"/>
    <col min="15152" max="15152" width="5.28515625" bestFit="1" customWidth="1"/>
    <col min="15153" max="15153" width="13.28515625" bestFit="1" customWidth="1"/>
    <col min="15154" max="15154" width="13.5703125" bestFit="1" customWidth="1"/>
    <col min="15155" max="15155" width="10.5703125" bestFit="1" customWidth="1"/>
    <col min="15156" max="15156" width="13.28515625" bestFit="1" customWidth="1"/>
    <col min="15157" max="15157" width="11.5703125" bestFit="1" customWidth="1"/>
    <col min="15158" max="15158" width="10.5703125" bestFit="1" customWidth="1"/>
    <col min="15159" max="15159" width="16.140625" bestFit="1" customWidth="1"/>
    <col min="15160" max="15161" width="11.28515625" bestFit="1" customWidth="1"/>
    <col min="15162" max="15162" width="13.28515625" bestFit="1" customWidth="1"/>
    <col min="15163" max="15163" width="7.7109375" bestFit="1" customWidth="1"/>
    <col min="15164" max="15167" width="9.140625" hidden="1" customWidth="1"/>
    <col min="15168" max="15168" width="10.42578125" bestFit="1" customWidth="1"/>
    <col min="15169" max="15169" width="10.5703125" bestFit="1" customWidth="1"/>
    <col min="15170" max="15170" width="10.42578125" bestFit="1" customWidth="1"/>
    <col min="15171" max="15171" width="10.5703125" bestFit="1" customWidth="1"/>
    <col min="15172" max="15172" width="9.5703125" bestFit="1" customWidth="1"/>
    <col min="15173" max="15173" width="11.5703125" bestFit="1" customWidth="1"/>
    <col min="15174" max="15174" width="10.42578125" bestFit="1" customWidth="1"/>
    <col min="15175" max="15175" width="10.85546875" customWidth="1"/>
    <col min="15176" max="15177" width="9.85546875" bestFit="1" customWidth="1"/>
    <col min="15178" max="15178" width="13.5703125" bestFit="1" customWidth="1"/>
    <col min="15179" max="15179" width="7.7109375" bestFit="1" customWidth="1"/>
    <col min="15180" max="15180" width="13.28515625" bestFit="1" customWidth="1"/>
    <col min="15181" max="15181" width="11.5703125" bestFit="1" customWidth="1"/>
    <col min="15182" max="15182" width="10.42578125" bestFit="1" customWidth="1"/>
    <col min="15183" max="15183" width="7.7109375" bestFit="1" customWidth="1"/>
    <col min="15184" max="15184" width="11.5703125" bestFit="1" customWidth="1"/>
    <col min="15185" max="15185" width="10.85546875" bestFit="1" customWidth="1"/>
    <col min="15186" max="15186" width="13.28515625" bestFit="1" customWidth="1"/>
    <col min="15187" max="15187" width="10.85546875" bestFit="1" customWidth="1"/>
    <col min="15188" max="15189" width="7.5703125" bestFit="1" customWidth="1"/>
    <col min="15190" max="15191" width="10.42578125" bestFit="1" customWidth="1"/>
    <col min="15192" max="15192" width="11.5703125" bestFit="1" customWidth="1"/>
    <col min="15193" max="15193" width="5.28515625" bestFit="1" customWidth="1"/>
    <col min="15194" max="15194" width="10.28515625" bestFit="1" customWidth="1"/>
    <col min="15195" max="15195" width="10.42578125" bestFit="1" customWidth="1"/>
    <col min="15196" max="15196" width="11.5703125" bestFit="1" customWidth="1"/>
    <col min="15197" max="15197" width="5.28515625" bestFit="1" customWidth="1"/>
    <col min="15198" max="15200" width="11.5703125" bestFit="1" customWidth="1"/>
    <col min="15201" max="15201" width="5.28515625" bestFit="1" customWidth="1"/>
    <col min="15202" max="15203" width="10.42578125" bestFit="1" customWidth="1"/>
    <col min="15204" max="15204" width="11.5703125" bestFit="1" customWidth="1"/>
    <col min="15205" max="15205" width="5.28515625" bestFit="1" customWidth="1"/>
    <col min="15206" max="15206" width="14.28515625" bestFit="1" customWidth="1"/>
    <col min="15207" max="15207" width="13" bestFit="1" customWidth="1"/>
    <col min="15208" max="15208" width="11.5703125" bestFit="1" customWidth="1"/>
    <col min="15209" max="15209" width="8.85546875" bestFit="1" customWidth="1"/>
    <col min="15210" max="15210" width="14.42578125" bestFit="1" customWidth="1"/>
    <col min="15211" max="15211" width="10.42578125" bestFit="1" customWidth="1"/>
    <col min="15212" max="15212" width="12.28515625" bestFit="1" customWidth="1"/>
    <col min="15213" max="15213" width="13.85546875" bestFit="1" customWidth="1"/>
    <col min="15214" max="15214" width="11.28515625" customWidth="1"/>
    <col min="15215" max="15215" width="11.5703125" customWidth="1"/>
    <col min="15216" max="15216" width="13.42578125" bestFit="1" customWidth="1"/>
    <col min="15217" max="15217" width="10.42578125" customWidth="1"/>
    <col min="15218" max="15218" width="13.85546875" bestFit="1" customWidth="1"/>
    <col min="15219" max="15219" width="15.42578125" bestFit="1" customWidth="1"/>
    <col min="15220" max="15220" width="12.28515625" bestFit="1" customWidth="1"/>
    <col min="15221" max="15221" width="12.7109375" customWidth="1"/>
    <col min="15222" max="15222" width="10.7109375" bestFit="1" customWidth="1"/>
    <col min="15223" max="15223" width="9.85546875" customWidth="1"/>
    <col min="15224" max="15225" width="10.140625" bestFit="1" customWidth="1"/>
    <col min="15226" max="15226" width="7.5703125" bestFit="1" customWidth="1"/>
    <col min="15227" max="15227" width="9.42578125" bestFit="1" customWidth="1"/>
    <col min="15228" max="15228" width="14.5703125" bestFit="1" customWidth="1"/>
    <col min="15229" max="15229" width="14.85546875" customWidth="1"/>
    <col min="15230" max="15230" width="15.140625" bestFit="1" customWidth="1"/>
    <col min="15231" max="15231" width="12.140625" bestFit="1" customWidth="1"/>
    <col min="15232" max="15232" width="14.85546875" bestFit="1" customWidth="1"/>
    <col min="15233" max="15233" width="12.28515625" bestFit="1" customWidth="1"/>
    <col min="15234" max="15242" width="9.140625" hidden="1" customWidth="1"/>
    <col min="15243" max="15243" width="5.28515625" bestFit="1" customWidth="1"/>
    <col min="15244" max="15249" width="11.5703125" bestFit="1" customWidth="1"/>
    <col min="15250" max="15250" width="11.28515625" bestFit="1" customWidth="1"/>
    <col min="15251" max="15251" width="10.140625" bestFit="1" customWidth="1"/>
    <col min="15252" max="15252" width="11.5703125" bestFit="1" customWidth="1"/>
    <col min="15253" max="15253" width="16.140625" customWidth="1"/>
    <col min="15254" max="15254" width="13.42578125" customWidth="1"/>
    <col min="15255" max="15255" width="10.140625" bestFit="1" customWidth="1"/>
    <col min="15256" max="15256" width="12.85546875" bestFit="1" customWidth="1"/>
    <col min="15257" max="15257" width="12.28515625" bestFit="1" customWidth="1"/>
    <col min="15258" max="15258" width="11.28515625" bestFit="1" customWidth="1"/>
    <col min="15259" max="15259" width="11.5703125" bestFit="1" customWidth="1"/>
    <col min="15260" max="15260" width="10.85546875" bestFit="1" customWidth="1"/>
    <col min="15261" max="15261" width="11.28515625" bestFit="1" customWidth="1"/>
    <col min="15262" max="15262" width="10.140625" bestFit="1" customWidth="1"/>
    <col min="15263" max="15263" width="13.28515625" bestFit="1" customWidth="1"/>
    <col min="15264" max="15265" width="12.7109375" bestFit="1" customWidth="1"/>
    <col min="15266" max="15266" width="11" bestFit="1" customWidth="1"/>
    <col min="15267" max="15267" width="11.28515625" bestFit="1" customWidth="1"/>
    <col min="15268" max="15268" width="11.5703125" bestFit="1" customWidth="1"/>
    <col min="15269" max="15269" width="12.28515625" bestFit="1" customWidth="1"/>
    <col min="15270" max="15270" width="15.140625" bestFit="1" customWidth="1"/>
    <col min="15271" max="15271" width="14.42578125" bestFit="1" customWidth="1"/>
    <col min="15272" max="15272" width="12.28515625" bestFit="1" customWidth="1"/>
    <col min="15273" max="15273" width="15.140625" bestFit="1" customWidth="1"/>
    <col min="15274" max="15274" width="14.42578125" bestFit="1" customWidth="1"/>
    <col min="15275" max="15275" width="12.28515625" bestFit="1" customWidth="1"/>
    <col min="15276" max="15276" width="14.42578125" bestFit="1" customWidth="1"/>
    <col min="15277" max="15277" width="11.28515625" bestFit="1" customWidth="1"/>
    <col min="15278" max="15278" width="12.28515625" bestFit="1" customWidth="1"/>
    <col min="15279" max="15279" width="13" bestFit="1" customWidth="1"/>
    <col min="15280" max="15280" width="15.140625" bestFit="1" customWidth="1"/>
    <col min="15281" max="15281" width="12.28515625" bestFit="1" customWidth="1"/>
    <col min="15282" max="15282" width="13.85546875" bestFit="1" customWidth="1"/>
    <col min="15283" max="15283" width="11.28515625" bestFit="1" customWidth="1"/>
    <col min="15284" max="15284" width="12.28515625" bestFit="1" customWidth="1"/>
    <col min="15285" max="15285" width="13.85546875" bestFit="1" customWidth="1"/>
    <col min="15286" max="15287" width="15.140625" bestFit="1" customWidth="1"/>
    <col min="15288" max="15288" width="12.28515625" bestFit="1" customWidth="1"/>
    <col min="15289" max="15289" width="5.7109375" bestFit="1" customWidth="1"/>
    <col min="15290" max="15290" width="8.5703125" bestFit="1" customWidth="1"/>
    <col min="15291" max="15291" width="5.5703125" bestFit="1" customWidth="1"/>
    <col min="15292" max="15292" width="14.42578125" bestFit="1" customWidth="1"/>
    <col min="15293" max="15293" width="11.28515625" bestFit="1" customWidth="1"/>
    <col min="15294" max="15295" width="12.28515625" bestFit="1" customWidth="1"/>
    <col min="15296" max="15296" width="11.28515625" bestFit="1" customWidth="1"/>
    <col min="15297" max="15297" width="13.85546875" bestFit="1" customWidth="1"/>
    <col min="15298" max="15298" width="12" bestFit="1" customWidth="1"/>
    <col min="15299" max="15299" width="13.85546875" bestFit="1" customWidth="1"/>
    <col min="15300" max="15301" width="14.42578125" customWidth="1"/>
    <col min="15302" max="15302" width="10.140625" bestFit="1" customWidth="1"/>
    <col min="15303" max="15303" width="12.28515625" bestFit="1" customWidth="1"/>
    <col min="15304" max="15304" width="7.42578125" bestFit="1" customWidth="1"/>
    <col min="15305" max="15305" width="8.5703125" bestFit="1" customWidth="1"/>
    <col min="15306" max="15306" width="11.5703125" bestFit="1" customWidth="1"/>
    <col min="15307" max="15307" width="13.28515625" bestFit="1" customWidth="1"/>
    <col min="15308" max="15308" width="13.28515625" customWidth="1"/>
    <col min="15309" max="15309" width="13.140625" customWidth="1"/>
    <col min="15310" max="15310" width="12.7109375" bestFit="1" customWidth="1"/>
    <col min="15311" max="15311" width="13.28515625" bestFit="1" customWidth="1"/>
    <col min="15312" max="15314" width="13.28515625" customWidth="1"/>
    <col min="15315" max="15315" width="12.140625" bestFit="1" customWidth="1"/>
    <col min="15316" max="15316" width="12.7109375" bestFit="1" customWidth="1"/>
    <col min="15317" max="15317" width="11" customWidth="1"/>
    <col min="15318" max="15318" width="16.7109375" customWidth="1"/>
    <col min="15319" max="15319" width="17" customWidth="1"/>
    <col min="15320" max="15320" width="10.42578125" bestFit="1" customWidth="1"/>
    <col min="15364" max="15364" width="3.85546875" customWidth="1"/>
    <col min="15365" max="15365" width="15.28515625" bestFit="1" customWidth="1"/>
    <col min="15366" max="15366" width="12.28515625" customWidth="1"/>
    <col min="15367" max="15367" width="16.28515625" bestFit="1" customWidth="1"/>
    <col min="15368" max="15368" width="6.42578125" bestFit="1" customWidth="1"/>
    <col min="15369" max="15369" width="9.28515625" bestFit="1" customWidth="1"/>
    <col min="15370" max="15370" width="7.5703125" bestFit="1" customWidth="1"/>
    <col min="15371" max="15371" width="13.28515625" bestFit="1" customWidth="1"/>
    <col min="15372" max="15372" width="9.28515625" bestFit="1" customWidth="1"/>
    <col min="15373" max="15373" width="11.5703125" bestFit="1" customWidth="1"/>
    <col min="15374" max="15374" width="13.28515625" bestFit="1" customWidth="1"/>
    <col min="15375" max="15375" width="7.140625" bestFit="1" customWidth="1"/>
    <col min="15376" max="15376" width="12" bestFit="1" customWidth="1"/>
    <col min="15377" max="15377" width="13.28515625" bestFit="1" customWidth="1"/>
    <col min="15378" max="15378" width="7" bestFit="1" customWidth="1"/>
    <col min="15379" max="15379" width="12.7109375" bestFit="1" customWidth="1"/>
    <col min="15380" max="15380" width="11.5703125" bestFit="1" customWidth="1"/>
    <col min="15381" max="15381" width="10.5703125" bestFit="1" customWidth="1"/>
    <col min="15382" max="15383" width="15.7109375" bestFit="1" customWidth="1"/>
    <col min="15384" max="15384" width="11.5703125" bestFit="1" customWidth="1"/>
    <col min="15385" max="15385" width="7.7109375" bestFit="1" customWidth="1"/>
    <col min="15386" max="15386" width="15.140625" bestFit="1" customWidth="1"/>
    <col min="15387" max="15387" width="11.5703125" bestFit="1" customWidth="1"/>
    <col min="15388" max="15388" width="13.28515625" bestFit="1" customWidth="1"/>
    <col min="15389" max="15389" width="10.42578125" bestFit="1" customWidth="1"/>
    <col min="15390" max="15390" width="13.28515625" bestFit="1" customWidth="1"/>
    <col min="15391" max="15391" width="12.140625" bestFit="1" customWidth="1"/>
    <col min="15392" max="15392" width="14.42578125" bestFit="1" customWidth="1"/>
    <col min="15393" max="15393" width="13.28515625" bestFit="1" customWidth="1"/>
    <col min="15394" max="15394" width="11.5703125" bestFit="1" customWidth="1"/>
    <col min="15395" max="15395" width="7.7109375" bestFit="1" customWidth="1"/>
    <col min="15396" max="15397" width="14.42578125" bestFit="1" customWidth="1"/>
    <col min="15398" max="15398" width="11.5703125" bestFit="1" customWidth="1"/>
    <col min="15399" max="15399" width="7.7109375" bestFit="1" customWidth="1"/>
    <col min="15400" max="15400" width="13.5703125" customWidth="1"/>
    <col min="15401" max="15401" width="15.28515625" customWidth="1"/>
    <col min="15402" max="15402" width="14.5703125" customWidth="1"/>
    <col min="15403" max="15403" width="13.28515625" bestFit="1" customWidth="1"/>
    <col min="15404" max="15404" width="7.7109375" bestFit="1" customWidth="1"/>
    <col min="15405" max="15405" width="12.7109375" bestFit="1" customWidth="1"/>
    <col min="15406" max="15406" width="11.7109375" bestFit="1" customWidth="1"/>
    <col min="15407" max="15407" width="11.5703125" bestFit="1" customWidth="1"/>
    <col min="15408" max="15408" width="5.28515625" bestFit="1" customWidth="1"/>
    <col min="15409" max="15409" width="13.28515625" bestFit="1" customWidth="1"/>
    <col min="15410" max="15410" width="13.5703125" bestFit="1" customWidth="1"/>
    <col min="15411" max="15411" width="10.5703125" bestFit="1" customWidth="1"/>
    <col min="15412" max="15412" width="13.28515625" bestFit="1" customWidth="1"/>
    <col min="15413" max="15413" width="11.5703125" bestFit="1" customWidth="1"/>
    <col min="15414" max="15414" width="10.5703125" bestFit="1" customWidth="1"/>
    <col min="15415" max="15415" width="16.140625" bestFit="1" customWidth="1"/>
    <col min="15416" max="15417" width="11.28515625" bestFit="1" customWidth="1"/>
    <col min="15418" max="15418" width="13.28515625" bestFit="1" customWidth="1"/>
    <col min="15419" max="15419" width="7.7109375" bestFit="1" customWidth="1"/>
    <col min="15420" max="15423" width="9.140625" hidden="1" customWidth="1"/>
    <col min="15424" max="15424" width="10.42578125" bestFit="1" customWidth="1"/>
    <col min="15425" max="15425" width="10.5703125" bestFit="1" customWidth="1"/>
    <col min="15426" max="15426" width="10.42578125" bestFit="1" customWidth="1"/>
    <col min="15427" max="15427" width="10.5703125" bestFit="1" customWidth="1"/>
    <col min="15428" max="15428" width="9.5703125" bestFit="1" customWidth="1"/>
    <col min="15429" max="15429" width="11.5703125" bestFit="1" customWidth="1"/>
    <col min="15430" max="15430" width="10.42578125" bestFit="1" customWidth="1"/>
    <col min="15431" max="15431" width="10.85546875" customWidth="1"/>
    <col min="15432" max="15433" width="9.85546875" bestFit="1" customWidth="1"/>
    <col min="15434" max="15434" width="13.5703125" bestFit="1" customWidth="1"/>
    <col min="15435" max="15435" width="7.7109375" bestFit="1" customWidth="1"/>
    <col min="15436" max="15436" width="13.28515625" bestFit="1" customWidth="1"/>
    <col min="15437" max="15437" width="11.5703125" bestFit="1" customWidth="1"/>
    <col min="15438" max="15438" width="10.42578125" bestFit="1" customWidth="1"/>
    <col min="15439" max="15439" width="7.7109375" bestFit="1" customWidth="1"/>
    <col min="15440" max="15440" width="11.5703125" bestFit="1" customWidth="1"/>
    <col min="15441" max="15441" width="10.85546875" bestFit="1" customWidth="1"/>
    <col min="15442" max="15442" width="13.28515625" bestFit="1" customWidth="1"/>
    <col min="15443" max="15443" width="10.85546875" bestFit="1" customWidth="1"/>
    <col min="15444" max="15445" width="7.5703125" bestFit="1" customWidth="1"/>
    <col min="15446" max="15447" width="10.42578125" bestFit="1" customWidth="1"/>
    <col min="15448" max="15448" width="11.5703125" bestFit="1" customWidth="1"/>
    <col min="15449" max="15449" width="5.28515625" bestFit="1" customWidth="1"/>
    <col min="15450" max="15450" width="10.28515625" bestFit="1" customWidth="1"/>
    <col min="15451" max="15451" width="10.42578125" bestFit="1" customWidth="1"/>
    <col min="15452" max="15452" width="11.5703125" bestFit="1" customWidth="1"/>
    <col min="15453" max="15453" width="5.28515625" bestFit="1" customWidth="1"/>
    <col min="15454" max="15456" width="11.5703125" bestFit="1" customWidth="1"/>
    <col min="15457" max="15457" width="5.28515625" bestFit="1" customWidth="1"/>
    <col min="15458" max="15459" width="10.42578125" bestFit="1" customWidth="1"/>
    <col min="15460" max="15460" width="11.5703125" bestFit="1" customWidth="1"/>
    <col min="15461" max="15461" width="5.28515625" bestFit="1" customWidth="1"/>
    <col min="15462" max="15462" width="14.28515625" bestFit="1" customWidth="1"/>
    <col min="15463" max="15463" width="13" bestFit="1" customWidth="1"/>
    <col min="15464" max="15464" width="11.5703125" bestFit="1" customWidth="1"/>
    <col min="15465" max="15465" width="8.85546875" bestFit="1" customWidth="1"/>
    <col min="15466" max="15466" width="14.42578125" bestFit="1" customWidth="1"/>
    <col min="15467" max="15467" width="10.42578125" bestFit="1" customWidth="1"/>
    <col min="15468" max="15468" width="12.28515625" bestFit="1" customWidth="1"/>
    <col min="15469" max="15469" width="13.85546875" bestFit="1" customWidth="1"/>
    <col min="15470" max="15470" width="11.28515625" customWidth="1"/>
    <col min="15471" max="15471" width="11.5703125" customWidth="1"/>
    <col min="15472" max="15472" width="13.42578125" bestFit="1" customWidth="1"/>
    <col min="15473" max="15473" width="10.42578125" customWidth="1"/>
    <col min="15474" max="15474" width="13.85546875" bestFit="1" customWidth="1"/>
    <col min="15475" max="15475" width="15.42578125" bestFit="1" customWidth="1"/>
    <col min="15476" max="15476" width="12.28515625" bestFit="1" customWidth="1"/>
    <col min="15477" max="15477" width="12.7109375" customWidth="1"/>
    <col min="15478" max="15478" width="10.7109375" bestFit="1" customWidth="1"/>
    <col min="15479" max="15479" width="9.85546875" customWidth="1"/>
    <col min="15480" max="15481" width="10.140625" bestFit="1" customWidth="1"/>
    <col min="15482" max="15482" width="7.5703125" bestFit="1" customWidth="1"/>
    <col min="15483" max="15483" width="9.42578125" bestFit="1" customWidth="1"/>
    <col min="15484" max="15484" width="14.5703125" bestFit="1" customWidth="1"/>
    <col min="15485" max="15485" width="14.85546875" customWidth="1"/>
    <col min="15486" max="15486" width="15.140625" bestFit="1" customWidth="1"/>
    <col min="15487" max="15487" width="12.140625" bestFit="1" customWidth="1"/>
    <col min="15488" max="15488" width="14.85546875" bestFit="1" customWidth="1"/>
    <col min="15489" max="15489" width="12.28515625" bestFit="1" customWidth="1"/>
    <col min="15490" max="15498" width="9.140625" hidden="1" customWidth="1"/>
    <col min="15499" max="15499" width="5.28515625" bestFit="1" customWidth="1"/>
    <col min="15500" max="15505" width="11.5703125" bestFit="1" customWidth="1"/>
    <col min="15506" max="15506" width="11.28515625" bestFit="1" customWidth="1"/>
    <col min="15507" max="15507" width="10.140625" bestFit="1" customWidth="1"/>
    <col min="15508" max="15508" width="11.5703125" bestFit="1" customWidth="1"/>
    <col min="15509" max="15509" width="16.140625" customWidth="1"/>
    <col min="15510" max="15510" width="13.42578125" customWidth="1"/>
    <col min="15511" max="15511" width="10.140625" bestFit="1" customWidth="1"/>
    <col min="15512" max="15512" width="12.85546875" bestFit="1" customWidth="1"/>
    <col min="15513" max="15513" width="12.28515625" bestFit="1" customWidth="1"/>
    <col min="15514" max="15514" width="11.28515625" bestFit="1" customWidth="1"/>
    <col min="15515" max="15515" width="11.5703125" bestFit="1" customWidth="1"/>
    <col min="15516" max="15516" width="10.85546875" bestFit="1" customWidth="1"/>
    <col min="15517" max="15517" width="11.28515625" bestFit="1" customWidth="1"/>
    <col min="15518" max="15518" width="10.140625" bestFit="1" customWidth="1"/>
    <col min="15519" max="15519" width="13.28515625" bestFit="1" customWidth="1"/>
    <col min="15520" max="15521" width="12.7109375" bestFit="1" customWidth="1"/>
    <col min="15522" max="15522" width="11" bestFit="1" customWidth="1"/>
    <col min="15523" max="15523" width="11.28515625" bestFit="1" customWidth="1"/>
    <col min="15524" max="15524" width="11.5703125" bestFit="1" customWidth="1"/>
    <col min="15525" max="15525" width="12.28515625" bestFit="1" customWidth="1"/>
    <col min="15526" max="15526" width="15.140625" bestFit="1" customWidth="1"/>
    <col min="15527" max="15527" width="14.42578125" bestFit="1" customWidth="1"/>
    <col min="15528" max="15528" width="12.28515625" bestFit="1" customWidth="1"/>
    <col min="15529" max="15529" width="15.140625" bestFit="1" customWidth="1"/>
    <col min="15530" max="15530" width="14.42578125" bestFit="1" customWidth="1"/>
    <col min="15531" max="15531" width="12.28515625" bestFit="1" customWidth="1"/>
    <col min="15532" max="15532" width="14.42578125" bestFit="1" customWidth="1"/>
    <col min="15533" max="15533" width="11.28515625" bestFit="1" customWidth="1"/>
    <col min="15534" max="15534" width="12.28515625" bestFit="1" customWidth="1"/>
    <col min="15535" max="15535" width="13" bestFit="1" customWidth="1"/>
    <col min="15536" max="15536" width="15.140625" bestFit="1" customWidth="1"/>
    <col min="15537" max="15537" width="12.28515625" bestFit="1" customWidth="1"/>
    <col min="15538" max="15538" width="13.85546875" bestFit="1" customWidth="1"/>
    <col min="15539" max="15539" width="11.28515625" bestFit="1" customWidth="1"/>
    <col min="15540" max="15540" width="12.28515625" bestFit="1" customWidth="1"/>
    <col min="15541" max="15541" width="13.85546875" bestFit="1" customWidth="1"/>
    <col min="15542" max="15543" width="15.140625" bestFit="1" customWidth="1"/>
    <col min="15544" max="15544" width="12.28515625" bestFit="1" customWidth="1"/>
    <col min="15545" max="15545" width="5.7109375" bestFit="1" customWidth="1"/>
    <col min="15546" max="15546" width="8.5703125" bestFit="1" customWidth="1"/>
    <col min="15547" max="15547" width="5.5703125" bestFit="1" customWidth="1"/>
    <col min="15548" max="15548" width="14.42578125" bestFit="1" customWidth="1"/>
    <col min="15549" max="15549" width="11.28515625" bestFit="1" customWidth="1"/>
    <col min="15550" max="15551" width="12.28515625" bestFit="1" customWidth="1"/>
    <col min="15552" max="15552" width="11.28515625" bestFit="1" customWidth="1"/>
    <col min="15553" max="15553" width="13.85546875" bestFit="1" customWidth="1"/>
    <col min="15554" max="15554" width="12" bestFit="1" customWidth="1"/>
    <col min="15555" max="15555" width="13.85546875" bestFit="1" customWidth="1"/>
    <col min="15556" max="15557" width="14.42578125" customWidth="1"/>
    <col min="15558" max="15558" width="10.140625" bestFit="1" customWidth="1"/>
    <col min="15559" max="15559" width="12.28515625" bestFit="1" customWidth="1"/>
    <col min="15560" max="15560" width="7.42578125" bestFit="1" customWidth="1"/>
    <col min="15561" max="15561" width="8.5703125" bestFit="1" customWidth="1"/>
    <col min="15562" max="15562" width="11.5703125" bestFit="1" customWidth="1"/>
    <col min="15563" max="15563" width="13.28515625" bestFit="1" customWidth="1"/>
    <col min="15564" max="15564" width="13.28515625" customWidth="1"/>
    <col min="15565" max="15565" width="13.140625" customWidth="1"/>
    <col min="15566" max="15566" width="12.7109375" bestFit="1" customWidth="1"/>
    <col min="15567" max="15567" width="13.28515625" bestFit="1" customWidth="1"/>
    <col min="15568" max="15570" width="13.28515625" customWidth="1"/>
    <col min="15571" max="15571" width="12.140625" bestFit="1" customWidth="1"/>
    <col min="15572" max="15572" width="12.7109375" bestFit="1" customWidth="1"/>
    <col min="15573" max="15573" width="11" customWidth="1"/>
    <col min="15574" max="15574" width="16.7109375" customWidth="1"/>
    <col min="15575" max="15575" width="17" customWidth="1"/>
    <col min="15576" max="15576" width="10.42578125" bestFit="1" customWidth="1"/>
    <col min="15620" max="15620" width="3.85546875" customWidth="1"/>
    <col min="15621" max="15621" width="15.28515625" bestFit="1" customWidth="1"/>
    <col min="15622" max="15622" width="12.28515625" customWidth="1"/>
    <col min="15623" max="15623" width="16.28515625" bestFit="1" customWidth="1"/>
    <col min="15624" max="15624" width="6.42578125" bestFit="1" customWidth="1"/>
    <col min="15625" max="15625" width="9.28515625" bestFit="1" customWidth="1"/>
    <col min="15626" max="15626" width="7.5703125" bestFit="1" customWidth="1"/>
    <col min="15627" max="15627" width="13.28515625" bestFit="1" customWidth="1"/>
    <col min="15628" max="15628" width="9.28515625" bestFit="1" customWidth="1"/>
    <col min="15629" max="15629" width="11.5703125" bestFit="1" customWidth="1"/>
    <col min="15630" max="15630" width="13.28515625" bestFit="1" customWidth="1"/>
    <col min="15631" max="15631" width="7.140625" bestFit="1" customWidth="1"/>
    <col min="15632" max="15632" width="12" bestFit="1" customWidth="1"/>
    <col min="15633" max="15633" width="13.28515625" bestFit="1" customWidth="1"/>
    <col min="15634" max="15634" width="7" bestFit="1" customWidth="1"/>
    <col min="15635" max="15635" width="12.7109375" bestFit="1" customWidth="1"/>
    <col min="15636" max="15636" width="11.5703125" bestFit="1" customWidth="1"/>
    <col min="15637" max="15637" width="10.5703125" bestFit="1" customWidth="1"/>
    <col min="15638" max="15639" width="15.7109375" bestFit="1" customWidth="1"/>
    <col min="15640" max="15640" width="11.5703125" bestFit="1" customWidth="1"/>
    <col min="15641" max="15641" width="7.7109375" bestFit="1" customWidth="1"/>
    <col min="15642" max="15642" width="15.140625" bestFit="1" customWidth="1"/>
    <col min="15643" max="15643" width="11.5703125" bestFit="1" customWidth="1"/>
    <col min="15644" max="15644" width="13.28515625" bestFit="1" customWidth="1"/>
    <col min="15645" max="15645" width="10.42578125" bestFit="1" customWidth="1"/>
    <col min="15646" max="15646" width="13.28515625" bestFit="1" customWidth="1"/>
    <col min="15647" max="15647" width="12.140625" bestFit="1" customWidth="1"/>
    <col min="15648" max="15648" width="14.42578125" bestFit="1" customWidth="1"/>
    <col min="15649" max="15649" width="13.28515625" bestFit="1" customWidth="1"/>
    <col min="15650" max="15650" width="11.5703125" bestFit="1" customWidth="1"/>
    <col min="15651" max="15651" width="7.7109375" bestFit="1" customWidth="1"/>
    <col min="15652" max="15653" width="14.42578125" bestFit="1" customWidth="1"/>
    <col min="15654" max="15654" width="11.5703125" bestFit="1" customWidth="1"/>
    <col min="15655" max="15655" width="7.7109375" bestFit="1" customWidth="1"/>
    <col min="15656" max="15656" width="13.5703125" customWidth="1"/>
    <col min="15657" max="15657" width="15.28515625" customWidth="1"/>
    <col min="15658" max="15658" width="14.5703125" customWidth="1"/>
    <col min="15659" max="15659" width="13.28515625" bestFit="1" customWidth="1"/>
    <col min="15660" max="15660" width="7.7109375" bestFit="1" customWidth="1"/>
    <col min="15661" max="15661" width="12.7109375" bestFit="1" customWidth="1"/>
    <col min="15662" max="15662" width="11.7109375" bestFit="1" customWidth="1"/>
    <col min="15663" max="15663" width="11.5703125" bestFit="1" customWidth="1"/>
    <col min="15664" max="15664" width="5.28515625" bestFit="1" customWidth="1"/>
    <col min="15665" max="15665" width="13.28515625" bestFit="1" customWidth="1"/>
    <col min="15666" max="15666" width="13.5703125" bestFit="1" customWidth="1"/>
    <col min="15667" max="15667" width="10.5703125" bestFit="1" customWidth="1"/>
    <col min="15668" max="15668" width="13.28515625" bestFit="1" customWidth="1"/>
    <col min="15669" max="15669" width="11.5703125" bestFit="1" customWidth="1"/>
    <col min="15670" max="15670" width="10.5703125" bestFit="1" customWidth="1"/>
    <col min="15671" max="15671" width="16.140625" bestFit="1" customWidth="1"/>
    <col min="15672" max="15673" width="11.28515625" bestFit="1" customWidth="1"/>
    <col min="15674" max="15674" width="13.28515625" bestFit="1" customWidth="1"/>
    <col min="15675" max="15675" width="7.7109375" bestFit="1" customWidth="1"/>
    <col min="15676" max="15679" width="9.140625" hidden="1" customWidth="1"/>
    <col min="15680" max="15680" width="10.42578125" bestFit="1" customWidth="1"/>
    <col min="15681" max="15681" width="10.5703125" bestFit="1" customWidth="1"/>
    <col min="15682" max="15682" width="10.42578125" bestFit="1" customWidth="1"/>
    <col min="15683" max="15683" width="10.5703125" bestFit="1" customWidth="1"/>
    <col min="15684" max="15684" width="9.5703125" bestFit="1" customWidth="1"/>
    <col min="15685" max="15685" width="11.5703125" bestFit="1" customWidth="1"/>
    <col min="15686" max="15686" width="10.42578125" bestFit="1" customWidth="1"/>
    <col min="15687" max="15687" width="10.85546875" customWidth="1"/>
    <col min="15688" max="15689" width="9.85546875" bestFit="1" customWidth="1"/>
    <col min="15690" max="15690" width="13.5703125" bestFit="1" customWidth="1"/>
    <col min="15691" max="15691" width="7.7109375" bestFit="1" customWidth="1"/>
    <col min="15692" max="15692" width="13.28515625" bestFit="1" customWidth="1"/>
    <col min="15693" max="15693" width="11.5703125" bestFit="1" customWidth="1"/>
    <col min="15694" max="15694" width="10.42578125" bestFit="1" customWidth="1"/>
    <col min="15695" max="15695" width="7.7109375" bestFit="1" customWidth="1"/>
    <col min="15696" max="15696" width="11.5703125" bestFit="1" customWidth="1"/>
    <col min="15697" max="15697" width="10.85546875" bestFit="1" customWidth="1"/>
    <col min="15698" max="15698" width="13.28515625" bestFit="1" customWidth="1"/>
    <col min="15699" max="15699" width="10.85546875" bestFit="1" customWidth="1"/>
    <col min="15700" max="15701" width="7.5703125" bestFit="1" customWidth="1"/>
    <col min="15702" max="15703" width="10.42578125" bestFit="1" customWidth="1"/>
    <col min="15704" max="15704" width="11.5703125" bestFit="1" customWidth="1"/>
    <col min="15705" max="15705" width="5.28515625" bestFit="1" customWidth="1"/>
    <col min="15706" max="15706" width="10.28515625" bestFit="1" customWidth="1"/>
    <col min="15707" max="15707" width="10.42578125" bestFit="1" customWidth="1"/>
    <col min="15708" max="15708" width="11.5703125" bestFit="1" customWidth="1"/>
    <col min="15709" max="15709" width="5.28515625" bestFit="1" customWidth="1"/>
    <col min="15710" max="15712" width="11.5703125" bestFit="1" customWidth="1"/>
    <col min="15713" max="15713" width="5.28515625" bestFit="1" customWidth="1"/>
    <col min="15714" max="15715" width="10.42578125" bestFit="1" customWidth="1"/>
    <col min="15716" max="15716" width="11.5703125" bestFit="1" customWidth="1"/>
    <col min="15717" max="15717" width="5.28515625" bestFit="1" customWidth="1"/>
    <col min="15718" max="15718" width="14.28515625" bestFit="1" customWidth="1"/>
    <col min="15719" max="15719" width="13" bestFit="1" customWidth="1"/>
    <col min="15720" max="15720" width="11.5703125" bestFit="1" customWidth="1"/>
    <col min="15721" max="15721" width="8.85546875" bestFit="1" customWidth="1"/>
    <col min="15722" max="15722" width="14.42578125" bestFit="1" customWidth="1"/>
    <col min="15723" max="15723" width="10.42578125" bestFit="1" customWidth="1"/>
    <col min="15724" max="15724" width="12.28515625" bestFit="1" customWidth="1"/>
    <col min="15725" max="15725" width="13.85546875" bestFit="1" customWidth="1"/>
    <col min="15726" max="15726" width="11.28515625" customWidth="1"/>
    <col min="15727" max="15727" width="11.5703125" customWidth="1"/>
    <col min="15728" max="15728" width="13.42578125" bestFit="1" customWidth="1"/>
    <col min="15729" max="15729" width="10.42578125" customWidth="1"/>
    <col min="15730" max="15730" width="13.85546875" bestFit="1" customWidth="1"/>
    <col min="15731" max="15731" width="15.42578125" bestFit="1" customWidth="1"/>
    <col min="15732" max="15732" width="12.28515625" bestFit="1" customWidth="1"/>
    <col min="15733" max="15733" width="12.7109375" customWidth="1"/>
    <col min="15734" max="15734" width="10.7109375" bestFit="1" customWidth="1"/>
    <col min="15735" max="15735" width="9.85546875" customWidth="1"/>
    <col min="15736" max="15737" width="10.140625" bestFit="1" customWidth="1"/>
    <col min="15738" max="15738" width="7.5703125" bestFit="1" customWidth="1"/>
    <col min="15739" max="15739" width="9.42578125" bestFit="1" customWidth="1"/>
    <col min="15740" max="15740" width="14.5703125" bestFit="1" customWidth="1"/>
    <col min="15741" max="15741" width="14.85546875" customWidth="1"/>
    <col min="15742" max="15742" width="15.140625" bestFit="1" customWidth="1"/>
    <col min="15743" max="15743" width="12.140625" bestFit="1" customWidth="1"/>
    <col min="15744" max="15744" width="14.85546875" bestFit="1" customWidth="1"/>
    <col min="15745" max="15745" width="12.28515625" bestFit="1" customWidth="1"/>
    <col min="15746" max="15754" width="9.140625" hidden="1" customWidth="1"/>
    <col min="15755" max="15755" width="5.28515625" bestFit="1" customWidth="1"/>
    <col min="15756" max="15761" width="11.5703125" bestFit="1" customWidth="1"/>
    <col min="15762" max="15762" width="11.28515625" bestFit="1" customWidth="1"/>
    <col min="15763" max="15763" width="10.140625" bestFit="1" customWidth="1"/>
    <col min="15764" max="15764" width="11.5703125" bestFit="1" customWidth="1"/>
    <col min="15765" max="15765" width="16.140625" customWidth="1"/>
    <col min="15766" max="15766" width="13.42578125" customWidth="1"/>
    <col min="15767" max="15767" width="10.140625" bestFit="1" customWidth="1"/>
    <col min="15768" max="15768" width="12.85546875" bestFit="1" customWidth="1"/>
    <col min="15769" max="15769" width="12.28515625" bestFit="1" customWidth="1"/>
    <col min="15770" max="15770" width="11.28515625" bestFit="1" customWidth="1"/>
    <col min="15771" max="15771" width="11.5703125" bestFit="1" customWidth="1"/>
    <col min="15772" max="15772" width="10.85546875" bestFit="1" customWidth="1"/>
    <col min="15773" max="15773" width="11.28515625" bestFit="1" customWidth="1"/>
    <col min="15774" max="15774" width="10.140625" bestFit="1" customWidth="1"/>
    <col min="15775" max="15775" width="13.28515625" bestFit="1" customWidth="1"/>
    <col min="15776" max="15777" width="12.7109375" bestFit="1" customWidth="1"/>
    <col min="15778" max="15778" width="11" bestFit="1" customWidth="1"/>
    <col min="15779" max="15779" width="11.28515625" bestFit="1" customWidth="1"/>
    <col min="15780" max="15780" width="11.5703125" bestFit="1" customWidth="1"/>
    <col min="15781" max="15781" width="12.28515625" bestFit="1" customWidth="1"/>
    <col min="15782" max="15782" width="15.140625" bestFit="1" customWidth="1"/>
    <col min="15783" max="15783" width="14.42578125" bestFit="1" customWidth="1"/>
    <col min="15784" max="15784" width="12.28515625" bestFit="1" customWidth="1"/>
    <col min="15785" max="15785" width="15.140625" bestFit="1" customWidth="1"/>
    <col min="15786" max="15786" width="14.42578125" bestFit="1" customWidth="1"/>
    <col min="15787" max="15787" width="12.28515625" bestFit="1" customWidth="1"/>
    <col min="15788" max="15788" width="14.42578125" bestFit="1" customWidth="1"/>
    <col min="15789" max="15789" width="11.28515625" bestFit="1" customWidth="1"/>
    <col min="15790" max="15790" width="12.28515625" bestFit="1" customWidth="1"/>
    <col min="15791" max="15791" width="13" bestFit="1" customWidth="1"/>
    <col min="15792" max="15792" width="15.140625" bestFit="1" customWidth="1"/>
    <col min="15793" max="15793" width="12.28515625" bestFit="1" customWidth="1"/>
    <col min="15794" max="15794" width="13.85546875" bestFit="1" customWidth="1"/>
    <col min="15795" max="15795" width="11.28515625" bestFit="1" customWidth="1"/>
    <col min="15796" max="15796" width="12.28515625" bestFit="1" customWidth="1"/>
    <col min="15797" max="15797" width="13.85546875" bestFit="1" customWidth="1"/>
    <col min="15798" max="15799" width="15.140625" bestFit="1" customWidth="1"/>
    <col min="15800" max="15800" width="12.28515625" bestFit="1" customWidth="1"/>
    <col min="15801" max="15801" width="5.7109375" bestFit="1" customWidth="1"/>
    <col min="15802" max="15802" width="8.5703125" bestFit="1" customWidth="1"/>
    <col min="15803" max="15803" width="5.5703125" bestFit="1" customWidth="1"/>
    <col min="15804" max="15804" width="14.42578125" bestFit="1" customWidth="1"/>
    <col min="15805" max="15805" width="11.28515625" bestFit="1" customWidth="1"/>
    <col min="15806" max="15807" width="12.28515625" bestFit="1" customWidth="1"/>
    <col min="15808" max="15808" width="11.28515625" bestFit="1" customWidth="1"/>
    <col min="15809" max="15809" width="13.85546875" bestFit="1" customWidth="1"/>
    <col min="15810" max="15810" width="12" bestFit="1" customWidth="1"/>
    <col min="15811" max="15811" width="13.85546875" bestFit="1" customWidth="1"/>
    <col min="15812" max="15813" width="14.42578125" customWidth="1"/>
    <col min="15814" max="15814" width="10.140625" bestFit="1" customWidth="1"/>
    <col min="15815" max="15815" width="12.28515625" bestFit="1" customWidth="1"/>
    <col min="15816" max="15816" width="7.42578125" bestFit="1" customWidth="1"/>
    <col min="15817" max="15817" width="8.5703125" bestFit="1" customWidth="1"/>
    <col min="15818" max="15818" width="11.5703125" bestFit="1" customWidth="1"/>
    <col min="15819" max="15819" width="13.28515625" bestFit="1" customWidth="1"/>
    <col min="15820" max="15820" width="13.28515625" customWidth="1"/>
    <col min="15821" max="15821" width="13.140625" customWidth="1"/>
    <col min="15822" max="15822" width="12.7109375" bestFit="1" customWidth="1"/>
    <col min="15823" max="15823" width="13.28515625" bestFit="1" customWidth="1"/>
    <col min="15824" max="15826" width="13.28515625" customWidth="1"/>
    <col min="15827" max="15827" width="12.140625" bestFit="1" customWidth="1"/>
    <col min="15828" max="15828" width="12.7109375" bestFit="1" customWidth="1"/>
    <col min="15829" max="15829" width="11" customWidth="1"/>
    <col min="15830" max="15830" width="16.7109375" customWidth="1"/>
    <col min="15831" max="15831" width="17" customWidth="1"/>
    <col min="15832" max="15832" width="10.42578125" bestFit="1" customWidth="1"/>
    <col min="15876" max="15876" width="3.85546875" customWidth="1"/>
    <col min="15877" max="15877" width="15.28515625" bestFit="1" customWidth="1"/>
    <col min="15878" max="15878" width="12.28515625" customWidth="1"/>
    <col min="15879" max="15879" width="16.28515625" bestFit="1" customWidth="1"/>
    <col min="15880" max="15880" width="6.42578125" bestFit="1" customWidth="1"/>
    <col min="15881" max="15881" width="9.28515625" bestFit="1" customWidth="1"/>
    <col min="15882" max="15882" width="7.5703125" bestFit="1" customWidth="1"/>
    <col min="15883" max="15883" width="13.28515625" bestFit="1" customWidth="1"/>
    <col min="15884" max="15884" width="9.28515625" bestFit="1" customWidth="1"/>
    <col min="15885" max="15885" width="11.5703125" bestFit="1" customWidth="1"/>
    <col min="15886" max="15886" width="13.28515625" bestFit="1" customWidth="1"/>
    <col min="15887" max="15887" width="7.140625" bestFit="1" customWidth="1"/>
    <col min="15888" max="15888" width="12" bestFit="1" customWidth="1"/>
    <col min="15889" max="15889" width="13.28515625" bestFit="1" customWidth="1"/>
    <col min="15890" max="15890" width="7" bestFit="1" customWidth="1"/>
    <col min="15891" max="15891" width="12.7109375" bestFit="1" customWidth="1"/>
    <col min="15892" max="15892" width="11.5703125" bestFit="1" customWidth="1"/>
    <col min="15893" max="15893" width="10.5703125" bestFit="1" customWidth="1"/>
    <col min="15894" max="15895" width="15.7109375" bestFit="1" customWidth="1"/>
    <col min="15896" max="15896" width="11.5703125" bestFit="1" customWidth="1"/>
    <col min="15897" max="15897" width="7.7109375" bestFit="1" customWidth="1"/>
    <col min="15898" max="15898" width="15.140625" bestFit="1" customWidth="1"/>
    <col min="15899" max="15899" width="11.5703125" bestFit="1" customWidth="1"/>
    <col min="15900" max="15900" width="13.28515625" bestFit="1" customWidth="1"/>
    <col min="15901" max="15901" width="10.42578125" bestFit="1" customWidth="1"/>
    <col min="15902" max="15902" width="13.28515625" bestFit="1" customWidth="1"/>
    <col min="15903" max="15903" width="12.140625" bestFit="1" customWidth="1"/>
    <col min="15904" max="15904" width="14.42578125" bestFit="1" customWidth="1"/>
    <col min="15905" max="15905" width="13.28515625" bestFit="1" customWidth="1"/>
    <col min="15906" max="15906" width="11.5703125" bestFit="1" customWidth="1"/>
    <col min="15907" max="15907" width="7.7109375" bestFit="1" customWidth="1"/>
    <col min="15908" max="15909" width="14.42578125" bestFit="1" customWidth="1"/>
    <col min="15910" max="15910" width="11.5703125" bestFit="1" customWidth="1"/>
    <col min="15911" max="15911" width="7.7109375" bestFit="1" customWidth="1"/>
    <col min="15912" max="15912" width="13.5703125" customWidth="1"/>
    <col min="15913" max="15913" width="15.28515625" customWidth="1"/>
    <col min="15914" max="15914" width="14.5703125" customWidth="1"/>
    <col min="15915" max="15915" width="13.28515625" bestFit="1" customWidth="1"/>
    <col min="15916" max="15916" width="7.7109375" bestFit="1" customWidth="1"/>
    <col min="15917" max="15917" width="12.7109375" bestFit="1" customWidth="1"/>
    <col min="15918" max="15918" width="11.7109375" bestFit="1" customWidth="1"/>
    <col min="15919" max="15919" width="11.5703125" bestFit="1" customWidth="1"/>
    <col min="15920" max="15920" width="5.28515625" bestFit="1" customWidth="1"/>
    <col min="15921" max="15921" width="13.28515625" bestFit="1" customWidth="1"/>
    <col min="15922" max="15922" width="13.5703125" bestFit="1" customWidth="1"/>
    <col min="15923" max="15923" width="10.5703125" bestFit="1" customWidth="1"/>
    <col min="15924" max="15924" width="13.28515625" bestFit="1" customWidth="1"/>
    <col min="15925" max="15925" width="11.5703125" bestFit="1" customWidth="1"/>
    <col min="15926" max="15926" width="10.5703125" bestFit="1" customWidth="1"/>
    <col min="15927" max="15927" width="16.140625" bestFit="1" customWidth="1"/>
    <col min="15928" max="15929" width="11.28515625" bestFit="1" customWidth="1"/>
    <col min="15930" max="15930" width="13.28515625" bestFit="1" customWidth="1"/>
    <col min="15931" max="15931" width="7.7109375" bestFit="1" customWidth="1"/>
    <col min="15932" max="15935" width="9.140625" hidden="1" customWidth="1"/>
    <col min="15936" max="15936" width="10.42578125" bestFit="1" customWidth="1"/>
    <col min="15937" max="15937" width="10.5703125" bestFit="1" customWidth="1"/>
    <col min="15938" max="15938" width="10.42578125" bestFit="1" customWidth="1"/>
    <col min="15939" max="15939" width="10.5703125" bestFit="1" customWidth="1"/>
    <col min="15940" max="15940" width="9.5703125" bestFit="1" customWidth="1"/>
    <col min="15941" max="15941" width="11.5703125" bestFit="1" customWidth="1"/>
    <col min="15942" max="15942" width="10.42578125" bestFit="1" customWidth="1"/>
    <col min="15943" max="15943" width="10.85546875" customWidth="1"/>
    <col min="15944" max="15945" width="9.85546875" bestFit="1" customWidth="1"/>
    <col min="15946" max="15946" width="13.5703125" bestFit="1" customWidth="1"/>
    <col min="15947" max="15947" width="7.7109375" bestFit="1" customWidth="1"/>
    <col min="15948" max="15948" width="13.28515625" bestFit="1" customWidth="1"/>
    <col min="15949" max="15949" width="11.5703125" bestFit="1" customWidth="1"/>
    <col min="15950" max="15950" width="10.42578125" bestFit="1" customWidth="1"/>
    <col min="15951" max="15951" width="7.7109375" bestFit="1" customWidth="1"/>
    <col min="15952" max="15952" width="11.5703125" bestFit="1" customWidth="1"/>
    <col min="15953" max="15953" width="10.85546875" bestFit="1" customWidth="1"/>
    <col min="15954" max="15954" width="13.28515625" bestFit="1" customWidth="1"/>
    <col min="15955" max="15955" width="10.85546875" bestFit="1" customWidth="1"/>
    <col min="15956" max="15957" width="7.5703125" bestFit="1" customWidth="1"/>
    <col min="15958" max="15959" width="10.42578125" bestFit="1" customWidth="1"/>
    <col min="15960" max="15960" width="11.5703125" bestFit="1" customWidth="1"/>
    <col min="15961" max="15961" width="5.28515625" bestFit="1" customWidth="1"/>
    <col min="15962" max="15962" width="10.28515625" bestFit="1" customWidth="1"/>
    <col min="15963" max="15963" width="10.42578125" bestFit="1" customWidth="1"/>
    <col min="15964" max="15964" width="11.5703125" bestFit="1" customWidth="1"/>
    <col min="15965" max="15965" width="5.28515625" bestFit="1" customWidth="1"/>
    <col min="15966" max="15968" width="11.5703125" bestFit="1" customWidth="1"/>
    <col min="15969" max="15969" width="5.28515625" bestFit="1" customWidth="1"/>
    <col min="15970" max="15971" width="10.42578125" bestFit="1" customWidth="1"/>
    <col min="15972" max="15972" width="11.5703125" bestFit="1" customWidth="1"/>
    <col min="15973" max="15973" width="5.28515625" bestFit="1" customWidth="1"/>
    <col min="15974" max="15974" width="14.28515625" bestFit="1" customWidth="1"/>
    <col min="15975" max="15975" width="13" bestFit="1" customWidth="1"/>
    <col min="15976" max="15976" width="11.5703125" bestFit="1" customWidth="1"/>
    <col min="15977" max="15977" width="8.85546875" bestFit="1" customWidth="1"/>
    <col min="15978" max="15978" width="14.42578125" bestFit="1" customWidth="1"/>
    <col min="15979" max="15979" width="10.42578125" bestFit="1" customWidth="1"/>
    <col min="15980" max="15980" width="12.28515625" bestFit="1" customWidth="1"/>
    <col min="15981" max="15981" width="13.85546875" bestFit="1" customWidth="1"/>
    <col min="15982" max="15982" width="11.28515625" customWidth="1"/>
    <col min="15983" max="15983" width="11.5703125" customWidth="1"/>
    <col min="15984" max="15984" width="13.42578125" bestFit="1" customWidth="1"/>
    <col min="15985" max="15985" width="10.42578125" customWidth="1"/>
    <col min="15986" max="15986" width="13.85546875" bestFit="1" customWidth="1"/>
    <col min="15987" max="15987" width="15.42578125" bestFit="1" customWidth="1"/>
    <col min="15988" max="15988" width="12.28515625" bestFit="1" customWidth="1"/>
    <col min="15989" max="15989" width="12.7109375" customWidth="1"/>
    <col min="15990" max="15990" width="10.7109375" bestFit="1" customWidth="1"/>
    <col min="15991" max="15991" width="9.85546875" customWidth="1"/>
    <col min="15992" max="15993" width="10.140625" bestFit="1" customWidth="1"/>
    <col min="15994" max="15994" width="7.5703125" bestFit="1" customWidth="1"/>
    <col min="15995" max="15995" width="9.42578125" bestFit="1" customWidth="1"/>
    <col min="15996" max="15996" width="14.5703125" bestFit="1" customWidth="1"/>
    <col min="15997" max="15997" width="14.85546875" customWidth="1"/>
    <col min="15998" max="15998" width="15.140625" bestFit="1" customWidth="1"/>
    <col min="15999" max="15999" width="12.140625" bestFit="1" customWidth="1"/>
    <col min="16000" max="16000" width="14.85546875" bestFit="1" customWidth="1"/>
    <col min="16001" max="16001" width="12.28515625" bestFit="1" customWidth="1"/>
    <col min="16002" max="16010" width="9.140625" hidden="1" customWidth="1"/>
    <col min="16011" max="16011" width="5.28515625" bestFit="1" customWidth="1"/>
    <col min="16012" max="16017" width="11.5703125" bestFit="1" customWidth="1"/>
    <col min="16018" max="16018" width="11.28515625" bestFit="1" customWidth="1"/>
    <col min="16019" max="16019" width="10.140625" bestFit="1" customWidth="1"/>
    <col min="16020" max="16020" width="11.5703125" bestFit="1" customWidth="1"/>
    <col min="16021" max="16021" width="16.140625" customWidth="1"/>
    <col min="16022" max="16022" width="13.42578125" customWidth="1"/>
    <col min="16023" max="16023" width="10.140625" bestFit="1" customWidth="1"/>
    <col min="16024" max="16024" width="12.85546875" bestFit="1" customWidth="1"/>
    <col min="16025" max="16025" width="12.28515625" bestFit="1" customWidth="1"/>
    <col min="16026" max="16026" width="11.28515625" bestFit="1" customWidth="1"/>
    <col min="16027" max="16027" width="11.5703125" bestFit="1" customWidth="1"/>
    <col min="16028" max="16028" width="10.85546875" bestFit="1" customWidth="1"/>
    <col min="16029" max="16029" width="11.28515625" bestFit="1" customWidth="1"/>
    <col min="16030" max="16030" width="10.140625" bestFit="1" customWidth="1"/>
    <col min="16031" max="16031" width="13.28515625" bestFit="1" customWidth="1"/>
    <col min="16032" max="16033" width="12.7109375" bestFit="1" customWidth="1"/>
    <col min="16034" max="16034" width="11" bestFit="1" customWidth="1"/>
    <col min="16035" max="16035" width="11.28515625" bestFit="1" customWidth="1"/>
    <col min="16036" max="16036" width="11.5703125" bestFit="1" customWidth="1"/>
    <col min="16037" max="16037" width="12.28515625" bestFit="1" customWidth="1"/>
    <col min="16038" max="16038" width="15.140625" bestFit="1" customWidth="1"/>
    <col min="16039" max="16039" width="14.42578125" bestFit="1" customWidth="1"/>
    <col min="16040" max="16040" width="12.28515625" bestFit="1" customWidth="1"/>
    <col min="16041" max="16041" width="15.140625" bestFit="1" customWidth="1"/>
    <col min="16042" max="16042" width="14.42578125" bestFit="1" customWidth="1"/>
    <col min="16043" max="16043" width="12.28515625" bestFit="1" customWidth="1"/>
    <col min="16044" max="16044" width="14.42578125" bestFit="1" customWidth="1"/>
    <col min="16045" max="16045" width="11.28515625" bestFit="1" customWidth="1"/>
    <col min="16046" max="16046" width="12.28515625" bestFit="1" customWidth="1"/>
    <col min="16047" max="16047" width="13" bestFit="1" customWidth="1"/>
    <col min="16048" max="16048" width="15.140625" bestFit="1" customWidth="1"/>
    <col min="16049" max="16049" width="12.28515625" bestFit="1" customWidth="1"/>
    <col min="16050" max="16050" width="13.85546875" bestFit="1" customWidth="1"/>
    <col min="16051" max="16051" width="11.28515625" bestFit="1" customWidth="1"/>
    <col min="16052" max="16052" width="12.28515625" bestFit="1" customWidth="1"/>
    <col min="16053" max="16053" width="13.85546875" bestFit="1" customWidth="1"/>
    <col min="16054" max="16055" width="15.140625" bestFit="1" customWidth="1"/>
    <col min="16056" max="16056" width="12.28515625" bestFit="1" customWidth="1"/>
    <col min="16057" max="16057" width="5.7109375" bestFit="1" customWidth="1"/>
    <col min="16058" max="16058" width="8.5703125" bestFit="1" customWidth="1"/>
    <col min="16059" max="16059" width="5.5703125" bestFit="1" customWidth="1"/>
    <col min="16060" max="16060" width="14.42578125" bestFit="1" customWidth="1"/>
    <col min="16061" max="16061" width="11.28515625" bestFit="1" customWidth="1"/>
    <col min="16062" max="16063" width="12.28515625" bestFit="1" customWidth="1"/>
    <col min="16064" max="16064" width="11.28515625" bestFit="1" customWidth="1"/>
    <col min="16065" max="16065" width="13.85546875" bestFit="1" customWidth="1"/>
    <col min="16066" max="16066" width="12" bestFit="1" customWidth="1"/>
    <col min="16067" max="16067" width="13.85546875" bestFit="1" customWidth="1"/>
    <col min="16068" max="16069" width="14.42578125" customWidth="1"/>
    <col min="16070" max="16070" width="10.140625" bestFit="1" customWidth="1"/>
    <col min="16071" max="16071" width="12.28515625" bestFit="1" customWidth="1"/>
    <col min="16072" max="16072" width="7.42578125" bestFit="1" customWidth="1"/>
    <col min="16073" max="16073" width="8.5703125" bestFit="1" customWidth="1"/>
    <col min="16074" max="16074" width="11.5703125" bestFit="1" customWidth="1"/>
    <col min="16075" max="16075" width="13.28515625" bestFit="1" customWidth="1"/>
    <col min="16076" max="16076" width="13.28515625" customWidth="1"/>
    <col min="16077" max="16077" width="13.140625" customWidth="1"/>
    <col min="16078" max="16078" width="12.7109375" bestFit="1" customWidth="1"/>
    <col min="16079" max="16079" width="13.28515625" bestFit="1" customWidth="1"/>
    <col min="16080" max="16082" width="13.28515625" customWidth="1"/>
    <col min="16083" max="16083" width="12.140625" bestFit="1" customWidth="1"/>
    <col min="16084" max="16084" width="12.7109375" bestFit="1" customWidth="1"/>
    <col min="16085" max="16085" width="11" customWidth="1"/>
    <col min="16086" max="16086" width="16.7109375" customWidth="1"/>
    <col min="16087" max="16087" width="17" customWidth="1"/>
    <col min="16088" max="16088" width="10.42578125" bestFit="1" customWidth="1"/>
    <col min="16132" max="16132" width="3.85546875" customWidth="1"/>
    <col min="16133" max="16133" width="15.28515625" bestFit="1" customWidth="1"/>
    <col min="16134" max="16134" width="12.28515625" customWidth="1"/>
    <col min="16135" max="16135" width="16.28515625" bestFit="1" customWidth="1"/>
    <col min="16136" max="16136" width="6.42578125" bestFit="1" customWidth="1"/>
    <col min="16137" max="16137" width="9.28515625" bestFit="1" customWidth="1"/>
    <col min="16138" max="16138" width="7.5703125" bestFit="1" customWidth="1"/>
    <col min="16139" max="16139" width="13.28515625" bestFit="1" customWidth="1"/>
    <col min="16140" max="16140" width="9.28515625" bestFit="1" customWidth="1"/>
    <col min="16141" max="16141" width="11.5703125" bestFit="1" customWidth="1"/>
    <col min="16142" max="16142" width="13.28515625" bestFit="1" customWidth="1"/>
    <col min="16143" max="16143" width="7.140625" bestFit="1" customWidth="1"/>
    <col min="16144" max="16144" width="12" bestFit="1" customWidth="1"/>
    <col min="16145" max="16145" width="13.28515625" bestFit="1" customWidth="1"/>
    <col min="16146" max="16146" width="7" bestFit="1" customWidth="1"/>
    <col min="16147" max="16147" width="12.7109375" bestFit="1" customWidth="1"/>
    <col min="16148" max="16148" width="11.5703125" bestFit="1" customWidth="1"/>
    <col min="16149" max="16149" width="10.5703125" bestFit="1" customWidth="1"/>
    <col min="16150" max="16151" width="15.7109375" bestFit="1" customWidth="1"/>
    <col min="16152" max="16152" width="11.5703125" bestFit="1" customWidth="1"/>
    <col min="16153" max="16153" width="7.7109375" bestFit="1" customWidth="1"/>
    <col min="16154" max="16154" width="15.140625" bestFit="1" customWidth="1"/>
    <col min="16155" max="16155" width="11.5703125" bestFit="1" customWidth="1"/>
    <col min="16156" max="16156" width="13.28515625" bestFit="1" customWidth="1"/>
    <col min="16157" max="16157" width="10.42578125" bestFit="1" customWidth="1"/>
    <col min="16158" max="16158" width="13.28515625" bestFit="1" customWidth="1"/>
    <col min="16159" max="16159" width="12.140625" bestFit="1" customWidth="1"/>
    <col min="16160" max="16160" width="14.42578125" bestFit="1" customWidth="1"/>
    <col min="16161" max="16161" width="13.28515625" bestFit="1" customWidth="1"/>
    <col min="16162" max="16162" width="11.5703125" bestFit="1" customWidth="1"/>
    <col min="16163" max="16163" width="7.7109375" bestFit="1" customWidth="1"/>
    <col min="16164" max="16165" width="14.42578125" bestFit="1" customWidth="1"/>
    <col min="16166" max="16166" width="11.5703125" bestFit="1" customWidth="1"/>
    <col min="16167" max="16167" width="7.7109375" bestFit="1" customWidth="1"/>
    <col min="16168" max="16168" width="13.5703125" customWidth="1"/>
    <col min="16169" max="16169" width="15.28515625" customWidth="1"/>
    <col min="16170" max="16170" width="14.5703125" customWidth="1"/>
    <col min="16171" max="16171" width="13.28515625" bestFit="1" customWidth="1"/>
    <col min="16172" max="16172" width="7.7109375" bestFit="1" customWidth="1"/>
    <col min="16173" max="16173" width="12.7109375" bestFit="1" customWidth="1"/>
    <col min="16174" max="16174" width="11.7109375" bestFit="1" customWidth="1"/>
    <col min="16175" max="16175" width="11.5703125" bestFit="1" customWidth="1"/>
    <col min="16176" max="16176" width="5.28515625" bestFit="1" customWidth="1"/>
    <col min="16177" max="16177" width="13.28515625" bestFit="1" customWidth="1"/>
    <col min="16178" max="16178" width="13.5703125" bestFit="1" customWidth="1"/>
    <col min="16179" max="16179" width="10.5703125" bestFit="1" customWidth="1"/>
    <col min="16180" max="16180" width="13.28515625" bestFit="1" customWidth="1"/>
    <col min="16181" max="16181" width="11.5703125" bestFit="1" customWidth="1"/>
    <col min="16182" max="16182" width="10.5703125" bestFit="1" customWidth="1"/>
    <col min="16183" max="16183" width="16.140625" bestFit="1" customWidth="1"/>
    <col min="16184" max="16185" width="11.28515625" bestFit="1" customWidth="1"/>
    <col min="16186" max="16186" width="13.28515625" bestFit="1" customWidth="1"/>
    <col min="16187" max="16187" width="7.7109375" bestFit="1" customWidth="1"/>
    <col min="16188" max="16191" width="9.140625" hidden="1" customWidth="1"/>
    <col min="16192" max="16192" width="10.42578125" bestFit="1" customWidth="1"/>
    <col min="16193" max="16193" width="10.5703125" bestFit="1" customWidth="1"/>
    <col min="16194" max="16194" width="10.42578125" bestFit="1" customWidth="1"/>
    <col min="16195" max="16195" width="10.5703125" bestFit="1" customWidth="1"/>
    <col min="16196" max="16196" width="9.5703125" bestFit="1" customWidth="1"/>
    <col min="16197" max="16197" width="11.5703125" bestFit="1" customWidth="1"/>
    <col min="16198" max="16198" width="10.42578125" bestFit="1" customWidth="1"/>
    <col min="16199" max="16199" width="10.85546875" customWidth="1"/>
    <col min="16200" max="16201" width="9.85546875" bestFit="1" customWidth="1"/>
    <col min="16202" max="16202" width="13.5703125" bestFit="1" customWidth="1"/>
    <col min="16203" max="16203" width="7.7109375" bestFit="1" customWidth="1"/>
    <col min="16204" max="16204" width="13.28515625" bestFit="1" customWidth="1"/>
    <col min="16205" max="16205" width="11.5703125" bestFit="1" customWidth="1"/>
    <col min="16206" max="16206" width="10.42578125" bestFit="1" customWidth="1"/>
    <col min="16207" max="16207" width="7.7109375" bestFit="1" customWidth="1"/>
    <col min="16208" max="16208" width="11.5703125" bestFit="1" customWidth="1"/>
    <col min="16209" max="16209" width="10.85546875" bestFit="1" customWidth="1"/>
    <col min="16210" max="16210" width="13.28515625" bestFit="1" customWidth="1"/>
    <col min="16211" max="16211" width="10.85546875" bestFit="1" customWidth="1"/>
    <col min="16212" max="16213" width="7.5703125" bestFit="1" customWidth="1"/>
    <col min="16214" max="16215" width="10.42578125" bestFit="1" customWidth="1"/>
    <col min="16216" max="16216" width="11.5703125" bestFit="1" customWidth="1"/>
    <col min="16217" max="16217" width="5.28515625" bestFit="1" customWidth="1"/>
    <col min="16218" max="16218" width="10.28515625" bestFit="1" customWidth="1"/>
    <col min="16219" max="16219" width="10.42578125" bestFit="1" customWidth="1"/>
    <col min="16220" max="16220" width="11.5703125" bestFit="1" customWidth="1"/>
    <col min="16221" max="16221" width="5.28515625" bestFit="1" customWidth="1"/>
    <col min="16222" max="16224" width="11.5703125" bestFit="1" customWidth="1"/>
    <col min="16225" max="16225" width="5.28515625" bestFit="1" customWidth="1"/>
    <col min="16226" max="16227" width="10.42578125" bestFit="1" customWidth="1"/>
    <col min="16228" max="16228" width="11.5703125" bestFit="1" customWidth="1"/>
    <col min="16229" max="16229" width="5.28515625" bestFit="1" customWidth="1"/>
    <col min="16230" max="16230" width="14.28515625" bestFit="1" customWidth="1"/>
    <col min="16231" max="16231" width="13" bestFit="1" customWidth="1"/>
    <col min="16232" max="16232" width="11.5703125" bestFit="1" customWidth="1"/>
    <col min="16233" max="16233" width="8.85546875" bestFit="1" customWidth="1"/>
    <col min="16234" max="16234" width="14.42578125" bestFit="1" customWidth="1"/>
    <col min="16235" max="16235" width="10.42578125" bestFit="1" customWidth="1"/>
    <col min="16236" max="16236" width="12.28515625" bestFit="1" customWidth="1"/>
    <col min="16237" max="16237" width="13.85546875" bestFit="1" customWidth="1"/>
    <col min="16238" max="16238" width="11.28515625" customWidth="1"/>
    <col min="16239" max="16239" width="11.5703125" customWidth="1"/>
    <col min="16240" max="16240" width="13.42578125" bestFit="1" customWidth="1"/>
    <col min="16241" max="16241" width="10.42578125" customWidth="1"/>
    <col min="16242" max="16242" width="13.85546875" bestFit="1" customWidth="1"/>
    <col min="16243" max="16243" width="15.42578125" bestFit="1" customWidth="1"/>
    <col min="16244" max="16244" width="12.28515625" bestFit="1" customWidth="1"/>
    <col min="16245" max="16245" width="12.7109375" customWidth="1"/>
    <col min="16246" max="16246" width="10.7109375" bestFit="1" customWidth="1"/>
    <col min="16247" max="16247" width="9.85546875" customWidth="1"/>
    <col min="16248" max="16249" width="10.140625" bestFit="1" customWidth="1"/>
    <col min="16250" max="16250" width="7.5703125" bestFit="1" customWidth="1"/>
    <col min="16251" max="16251" width="9.42578125" bestFit="1" customWidth="1"/>
    <col min="16252" max="16252" width="14.5703125" bestFit="1" customWidth="1"/>
    <col min="16253" max="16253" width="14.85546875" customWidth="1"/>
    <col min="16254" max="16254" width="15.140625" bestFit="1" customWidth="1"/>
    <col min="16255" max="16255" width="12.140625" bestFit="1" customWidth="1"/>
    <col min="16256" max="16256" width="14.85546875" bestFit="1" customWidth="1"/>
    <col min="16257" max="16257" width="12.28515625" bestFit="1" customWidth="1"/>
    <col min="16258" max="16266" width="9.140625" hidden="1" customWidth="1"/>
    <col min="16267" max="16267" width="5.28515625" bestFit="1" customWidth="1"/>
    <col min="16268" max="16273" width="11.5703125" bestFit="1" customWidth="1"/>
    <col min="16274" max="16274" width="11.28515625" bestFit="1" customWidth="1"/>
    <col min="16275" max="16275" width="10.140625" bestFit="1" customWidth="1"/>
    <col min="16276" max="16276" width="11.5703125" bestFit="1" customWidth="1"/>
    <col min="16277" max="16277" width="16.140625" customWidth="1"/>
    <col min="16278" max="16278" width="13.42578125" customWidth="1"/>
    <col min="16279" max="16279" width="10.140625" bestFit="1" customWidth="1"/>
    <col min="16280" max="16280" width="12.85546875" bestFit="1" customWidth="1"/>
    <col min="16281" max="16281" width="12.28515625" bestFit="1" customWidth="1"/>
    <col min="16282" max="16282" width="11.28515625" bestFit="1" customWidth="1"/>
    <col min="16283" max="16283" width="11.5703125" bestFit="1" customWidth="1"/>
    <col min="16284" max="16284" width="10.85546875" bestFit="1" customWidth="1"/>
    <col min="16285" max="16285" width="11.28515625" bestFit="1" customWidth="1"/>
    <col min="16286" max="16286" width="10.140625" bestFit="1" customWidth="1"/>
    <col min="16287" max="16287" width="13.28515625" bestFit="1" customWidth="1"/>
    <col min="16288" max="16289" width="12.7109375" bestFit="1" customWidth="1"/>
    <col min="16290" max="16290" width="11" bestFit="1" customWidth="1"/>
    <col min="16291" max="16291" width="11.28515625" bestFit="1" customWidth="1"/>
    <col min="16292" max="16292" width="11.5703125" bestFit="1" customWidth="1"/>
    <col min="16293" max="16293" width="12.28515625" bestFit="1" customWidth="1"/>
    <col min="16294" max="16294" width="15.140625" bestFit="1" customWidth="1"/>
    <col min="16295" max="16295" width="14.42578125" bestFit="1" customWidth="1"/>
    <col min="16296" max="16296" width="12.28515625" bestFit="1" customWidth="1"/>
    <col min="16297" max="16297" width="15.140625" bestFit="1" customWidth="1"/>
    <col min="16298" max="16298" width="14.42578125" bestFit="1" customWidth="1"/>
    <col min="16299" max="16299" width="12.28515625" bestFit="1" customWidth="1"/>
    <col min="16300" max="16300" width="14.42578125" bestFit="1" customWidth="1"/>
    <col min="16301" max="16301" width="11.28515625" bestFit="1" customWidth="1"/>
    <col min="16302" max="16302" width="12.28515625" bestFit="1" customWidth="1"/>
    <col min="16303" max="16303" width="13" bestFit="1" customWidth="1"/>
    <col min="16304" max="16304" width="15.140625" bestFit="1" customWidth="1"/>
    <col min="16305" max="16305" width="12.28515625" bestFit="1" customWidth="1"/>
    <col min="16306" max="16306" width="13.85546875" bestFit="1" customWidth="1"/>
    <col min="16307" max="16307" width="11.28515625" bestFit="1" customWidth="1"/>
    <col min="16308" max="16308" width="12.28515625" bestFit="1" customWidth="1"/>
    <col min="16309" max="16309" width="13.85546875" bestFit="1" customWidth="1"/>
    <col min="16310" max="16311" width="15.140625" bestFit="1" customWidth="1"/>
    <col min="16312" max="16312" width="12.28515625" bestFit="1" customWidth="1"/>
    <col min="16313" max="16313" width="5.7109375" bestFit="1" customWidth="1"/>
    <col min="16314" max="16314" width="8.5703125" bestFit="1" customWidth="1"/>
    <col min="16315" max="16315" width="5.5703125" bestFit="1" customWidth="1"/>
    <col min="16316" max="16316" width="14.42578125" bestFit="1" customWidth="1"/>
    <col min="16317" max="16317" width="11.28515625" bestFit="1" customWidth="1"/>
    <col min="16318" max="16319" width="12.28515625" bestFit="1" customWidth="1"/>
    <col min="16320" max="16320" width="11.28515625" bestFit="1" customWidth="1"/>
    <col min="16321" max="16321" width="13.85546875" bestFit="1" customWidth="1"/>
    <col min="16322" max="16322" width="12" bestFit="1" customWidth="1"/>
    <col min="16323" max="16323" width="13.85546875" bestFit="1" customWidth="1"/>
    <col min="16324" max="16325" width="14.42578125" customWidth="1"/>
    <col min="16326" max="16326" width="10.140625" bestFit="1" customWidth="1"/>
    <col min="16327" max="16327" width="12.28515625" bestFit="1" customWidth="1"/>
    <col min="16328" max="16328" width="7.42578125" bestFit="1" customWidth="1"/>
    <col min="16329" max="16329" width="8.5703125" bestFit="1" customWidth="1"/>
    <col min="16330" max="16330" width="11.5703125" bestFit="1" customWidth="1"/>
    <col min="16331" max="16331" width="13.28515625" bestFit="1" customWidth="1"/>
    <col min="16332" max="16332" width="13.28515625" customWidth="1"/>
    <col min="16333" max="16333" width="13.140625" customWidth="1"/>
    <col min="16334" max="16334" width="12.7109375" bestFit="1" customWidth="1"/>
    <col min="16335" max="16335" width="13.28515625" bestFit="1" customWidth="1"/>
    <col min="16336" max="16338" width="13.28515625" customWidth="1"/>
    <col min="16339" max="16339" width="12.140625" bestFit="1" customWidth="1"/>
    <col min="16340" max="16340" width="12.7109375" bestFit="1" customWidth="1"/>
    <col min="16341" max="16341" width="11" customWidth="1"/>
    <col min="16342" max="16342" width="16.7109375" customWidth="1"/>
    <col min="16343" max="16343" width="17" customWidth="1"/>
    <col min="16344" max="16344" width="10.42578125" bestFit="1" customWidth="1"/>
  </cols>
  <sheetData>
    <row r="1" spans="1:218" x14ac:dyDescent="0.25">
      <c r="A1" s="1" t="s">
        <v>0</v>
      </c>
      <c r="CE1" s="2"/>
      <c r="ED1" s="3"/>
      <c r="EE1" s="3"/>
      <c r="EP1" s="2"/>
      <c r="FD1" s="2"/>
    </row>
    <row r="2" spans="1:218" x14ac:dyDescent="0.25">
      <c r="A2" s="1" t="s">
        <v>184</v>
      </c>
      <c r="ED2" s="3"/>
      <c r="EP2" s="2"/>
      <c r="FD2" s="2"/>
      <c r="FE2" s="3"/>
      <c r="GA2" t="s">
        <v>211</v>
      </c>
      <c r="GP2" s="447" t="s">
        <v>210</v>
      </c>
      <c r="GQ2" s="447"/>
    </row>
    <row r="3" spans="1:218" x14ac:dyDescent="0.25">
      <c r="A3" s="448" t="s">
        <v>1</v>
      </c>
      <c r="B3" s="449" t="s">
        <v>2</v>
      </c>
      <c r="C3" s="449"/>
      <c r="D3" s="449"/>
      <c r="E3" s="449"/>
      <c r="F3" s="449"/>
      <c r="G3" s="449"/>
      <c r="H3" s="420" t="s">
        <v>3</v>
      </c>
      <c r="I3" s="420"/>
      <c r="J3" s="420"/>
      <c r="K3" s="420"/>
      <c r="L3" s="420"/>
      <c r="M3" s="420"/>
      <c r="N3" s="420"/>
      <c r="O3" s="420" t="s">
        <v>4</v>
      </c>
      <c r="P3" s="420"/>
      <c r="Q3" s="420"/>
      <c r="R3" s="420"/>
      <c r="S3" s="420"/>
      <c r="T3" s="420"/>
      <c r="U3" s="420"/>
      <c r="V3" s="420"/>
      <c r="W3" s="420"/>
      <c r="X3" s="420"/>
      <c r="Y3" s="420"/>
      <c r="Z3" s="420"/>
      <c r="AA3" s="420"/>
      <c r="AB3" s="420"/>
      <c r="AC3" s="420"/>
      <c r="AD3" s="420"/>
      <c r="AE3" s="420"/>
      <c r="AF3" s="420"/>
      <c r="AG3" s="420"/>
      <c r="AH3" s="420"/>
      <c r="AI3" s="420"/>
      <c r="AJ3" s="420"/>
      <c r="AK3" s="420"/>
      <c r="AL3" s="420"/>
      <c r="AM3" s="420"/>
      <c r="AN3" s="420"/>
      <c r="AO3" s="420"/>
      <c r="AP3" s="420"/>
      <c r="AQ3" s="420"/>
      <c r="AR3" s="420"/>
      <c r="AS3" s="420"/>
      <c r="AT3" s="420"/>
      <c r="AU3" s="420"/>
      <c r="AV3" s="420"/>
      <c r="AW3" s="420"/>
      <c r="AX3" s="420"/>
      <c r="AY3" s="420"/>
      <c r="AZ3" s="420"/>
      <c r="BA3" s="420"/>
      <c r="BB3" s="420"/>
      <c r="BC3" s="420"/>
      <c r="BD3" s="420"/>
      <c r="BE3" s="433" t="s">
        <v>5</v>
      </c>
      <c r="BF3" s="445"/>
      <c r="BG3" s="434"/>
      <c r="BH3" s="403" t="s">
        <v>6</v>
      </c>
      <c r="BI3" s="417"/>
      <c r="BJ3" s="404"/>
      <c r="BK3" s="433" t="s">
        <v>7</v>
      </c>
      <c r="BL3" s="445"/>
      <c r="BM3" s="445"/>
      <c r="BN3" s="445"/>
      <c r="BO3" s="445"/>
      <c r="BP3" s="434"/>
      <c r="BQ3" s="420" t="s">
        <v>8</v>
      </c>
      <c r="BR3" s="420"/>
      <c r="BS3" s="450"/>
      <c r="BT3" s="451"/>
      <c r="BU3" s="420" t="s">
        <v>9</v>
      </c>
      <c r="BV3" s="420"/>
      <c r="BW3" s="420"/>
      <c r="BX3" s="420"/>
      <c r="BY3" s="420"/>
      <c r="BZ3" s="420"/>
      <c r="CA3" s="420"/>
      <c r="CB3" s="420"/>
      <c r="CC3" s="420"/>
      <c r="CD3" s="420"/>
      <c r="CE3" s="420"/>
      <c r="CF3" s="420"/>
      <c r="CG3" s="420"/>
      <c r="CH3" s="420"/>
      <c r="CI3" s="420"/>
      <c r="CJ3" s="420"/>
      <c r="CK3" s="420"/>
      <c r="CL3" s="420"/>
      <c r="CM3" s="420"/>
      <c r="CN3" s="420"/>
      <c r="CO3" s="420"/>
      <c r="CP3" s="420"/>
      <c r="CQ3" s="420"/>
      <c r="CR3" s="420"/>
      <c r="CS3" s="420"/>
      <c r="CT3" s="420"/>
      <c r="CU3" s="420"/>
      <c r="CV3" s="420"/>
      <c r="CW3" s="420"/>
      <c r="CX3" s="420"/>
      <c r="CY3" s="420"/>
      <c r="CZ3" s="420"/>
      <c r="DA3" s="420"/>
      <c r="DB3" s="420"/>
      <c r="DC3" s="420"/>
      <c r="DD3" s="420"/>
      <c r="DE3" s="420"/>
      <c r="DF3" s="420"/>
      <c r="DG3" s="420"/>
      <c r="DH3" s="438" t="s">
        <v>10</v>
      </c>
      <c r="DI3" s="421" t="s">
        <v>11</v>
      </c>
      <c r="DJ3" s="421"/>
      <c r="DK3" s="421"/>
      <c r="DL3" s="421"/>
      <c r="DM3" s="421"/>
      <c r="DN3" s="421"/>
      <c r="DO3" s="421"/>
      <c r="DP3" s="421"/>
      <c r="DQ3" s="408" t="s">
        <v>180</v>
      </c>
      <c r="DR3" s="409"/>
      <c r="DS3" s="408" t="s">
        <v>12</v>
      </c>
      <c r="DT3" s="409"/>
      <c r="DU3" s="440" t="s">
        <v>13</v>
      </c>
      <c r="DV3" s="441"/>
      <c r="DW3" s="441"/>
      <c r="DX3" s="441"/>
      <c r="DY3" s="441"/>
      <c r="DZ3" s="441"/>
      <c r="EA3" s="441"/>
      <c r="EB3" s="441"/>
      <c r="EC3" s="442"/>
      <c r="ED3" s="4"/>
      <c r="EE3" s="440" t="s">
        <v>14</v>
      </c>
      <c r="EF3" s="441"/>
      <c r="EG3" s="441"/>
      <c r="EH3" s="441"/>
      <c r="EI3" s="441"/>
      <c r="EJ3" s="441"/>
      <c r="EK3" s="441"/>
      <c r="EL3" s="441"/>
      <c r="EM3" s="442"/>
      <c r="EN3" s="5"/>
      <c r="EO3" s="446" t="s">
        <v>15</v>
      </c>
      <c r="EP3" s="446"/>
      <c r="EQ3" s="446"/>
      <c r="ER3" s="446"/>
      <c r="ES3" s="446"/>
      <c r="ET3" s="446"/>
      <c r="EU3" s="446"/>
      <c r="EV3" s="446"/>
      <c r="EW3" s="446"/>
      <c r="EX3" s="446"/>
      <c r="EY3" s="446"/>
      <c r="EZ3" s="446"/>
      <c r="FA3" s="446"/>
      <c r="FB3" s="446"/>
      <c r="FC3" s="446"/>
      <c r="FD3" s="446"/>
      <c r="FE3" s="446" t="s">
        <v>16</v>
      </c>
      <c r="FF3" s="446"/>
      <c r="FG3" s="446"/>
      <c r="FH3" s="446"/>
      <c r="FI3" s="446"/>
      <c r="FJ3" s="446"/>
      <c r="FK3" s="446"/>
      <c r="FL3" s="446"/>
      <c r="FM3" s="446"/>
      <c r="FN3" s="446"/>
      <c r="FO3" s="446"/>
      <c r="FP3" s="446"/>
      <c r="FQ3" s="446"/>
      <c r="FR3" s="446"/>
      <c r="FS3" s="446"/>
      <c r="FT3" s="446"/>
      <c r="FU3" s="446"/>
      <c r="FV3" s="446" t="s">
        <v>17</v>
      </c>
      <c r="FW3" s="446"/>
      <c r="FX3" s="446"/>
      <c r="FY3" s="446"/>
      <c r="FZ3" s="446"/>
      <c r="GA3" s="446"/>
      <c r="GB3" s="446"/>
      <c r="GC3" s="446"/>
      <c r="GD3" s="446"/>
      <c r="GE3" s="446"/>
      <c r="GF3" s="446"/>
      <c r="GG3" s="446"/>
      <c r="GH3" s="404" t="s">
        <v>18</v>
      </c>
      <c r="GI3" s="402"/>
      <c r="GJ3" s="402"/>
      <c r="GK3" s="402"/>
      <c r="GL3" s="402"/>
      <c r="GM3" s="402"/>
      <c r="GN3" s="403" t="s">
        <v>202</v>
      </c>
      <c r="GO3" s="417"/>
      <c r="GP3" s="404"/>
      <c r="GQ3" s="403" t="s">
        <v>209</v>
      </c>
      <c r="GR3" s="417"/>
      <c r="GS3" s="404"/>
    </row>
    <row r="4" spans="1:218" x14ac:dyDescent="0.25">
      <c r="A4" s="448"/>
      <c r="B4" s="449"/>
      <c r="C4" s="449"/>
      <c r="D4" s="449"/>
      <c r="E4" s="449"/>
      <c r="F4" s="449"/>
      <c r="G4" s="449"/>
      <c r="H4" s="420"/>
      <c r="I4" s="420"/>
      <c r="J4" s="420"/>
      <c r="K4" s="420"/>
      <c r="L4" s="420"/>
      <c r="M4" s="420"/>
      <c r="N4" s="420"/>
      <c r="O4" s="420" t="s">
        <v>20</v>
      </c>
      <c r="P4" s="420"/>
      <c r="Q4" s="420"/>
      <c r="R4" s="420"/>
      <c r="S4" s="420"/>
      <c r="T4" s="420"/>
      <c r="U4" s="420"/>
      <c r="V4" s="420"/>
      <c r="W4" s="420"/>
      <c r="X4" s="420"/>
      <c r="Y4" s="420"/>
      <c r="Z4" s="420"/>
      <c r="AA4" s="420"/>
      <c r="AB4" s="420"/>
      <c r="AC4" s="420"/>
      <c r="AD4" s="420"/>
      <c r="AE4" s="420"/>
      <c r="AF4" s="420"/>
      <c r="AG4" s="420"/>
      <c r="AH4" s="420"/>
      <c r="AI4" s="420"/>
      <c r="AJ4" s="7"/>
      <c r="AK4" s="430" t="s">
        <v>21</v>
      </c>
      <c r="AL4" s="420" t="s">
        <v>22</v>
      </c>
      <c r="AM4" s="420"/>
      <c r="AN4" s="420"/>
      <c r="AO4" s="420"/>
      <c r="AP4" s="420"/>
      <c r="AQ4" s="420"/>
      <c r="AR4" s="420"/>
      <c r="AS4" s="420"/>
      <c r="AT4" s="420"/>
      <c r="AU4" s="420"/>
      <c r="AV4" s="420"/>
      <c r="AW4" s="420"/>
      <c r="AX4" s="420"/>
      <c r="AY4" s="420"/>
      <c r="AZ4" s="420"/>
      <c r="BA4" s="420"/>
      <c r="BB4" s="420"/>
      <c r="BC4" s="420"/>
      <c r="BD4" s="430" t="s">
        <v>23</v>
      </c>
      <c r="BE4" s="420" t="s">
        <v>24</v>
      </c>
      <c r="BF4" s="420"/>
      <c r="BG4" s="420"/>
      <c r="BH4" s="7"/>
      <c r="BI4" s="7"/>
      <c r="BJ4" s="7"/>
      <c r="BK4" s="420" t="s">
        <v>25</v>
      </c>
      <c r="BL4" s="420"/>
      <c r="BM4" s="420" t="s">
        <v>26</v>
      </c>
      <c r="BN4" s="420"/>
      <c r="BO4" s="427" t="s">
        <v>27</v>
      </c>
      <c r="BP4" s="427"/>
      <c r="BQ4" s="420"/>
      <c r="BR4" s="420"/>
      <c r="BS4" s="428" t="s">
        <v>28</v>
      </c>
      <c r="BT4" s="429"/>
      <c r="BU4" s="420"/>
      <c r="BV4" s="420"/>
      <c r="BW4" s="420"/>
      <c r="BX4" s="420"/>
      <c r="BY4" s="420"/>
      <c r="BZ4" s="420"/>
      <c r="CA4" s="420"/>
      <c r="CB4" s="420"/>
      <c r="CC4" s="420"/>
      <c r="CD4" s="420"/>
      <c r="CE4" s="420"/>
      <c r="CF4" s="420"/>
      <c r="CG4" s="420"/>
      <c r="CH4" s="420"/>
      <c r="CI4" s="420"/>
      <c r="CJ4" s="420"/>
      <c r="CK4" s="420"/>
      <c r="CL4" s="420"/>
      <c r="CM4" s="420"/>
      <c r="CN4" s="420"/>
      <c r="CO4" s="420"/>
      <c r="CP4" s="420"/>
      <c r="CQ4" s="420"/>
      <c r="CR4" s="420"/>
      <c r="CS4" s="420"/>
      <c r="CT4" s="420"/>
      <c r="CU4" s="420"/>
      <c r="CV4" s="420"/>
      <c r="CW4" s="420"/>
      <c r="CX4" s="420"/>
      <c r="CY4" s="420"/>
      <c r="CZ4" s="420"/>
      <c r="DA4" s="420"/>
      <c r="DB4" s="420"/>
      <c r="DC4" s="420"/>
      <c r="DD4" s="420"/>
      <c r="DE4" s="420"/>
      <c r="DF4" s="420"/>
      <c r="DG4" s="420"/>
      <c r="DH4" s="439"/>
      <c r="DI4" s="421"/>
      <c r="DJ4" s="421"/>
      <c r="DK4" s="421"/>
      <c r="DL4" s="421"/>
      <c r="DM4" s="421"/>
      <c r="DN4" s="421"/>
      <c r="DO4" s="421"/>
      <c r="DP4" s="421"/>
      <c r="DQ4" s="410"/>
      <c r="DR4" s="411"/>
      <c r="DS4" s="410"/>
      <c r="DT4" s="411"/>
      <c r="DU4" s="435" t="s">
        <v>29</v>
      </c>
      <c r="DV4" s="436"/>
      <c r="DW4" s="437"/>
      <c r="DX4" s="435" t="s">
        <v>30</v>
      </c>
      <c r="DY4" s="436"/>
      <c r="DZ4" s="437"/>
      <c r="EA4" s="435"/>
      <c r="EB4" s="436"/>
      <c r="EC4" s="437"/>
      <c r="ED4" s="8" t="s">
        <v>31</v>
      </c>
      <c r="EE4" s="435"/>
      <c r="EF4" s="436"/>
      <c r="EG4" s="437"/>
      <c r="EH4" s="435"/>
      <c r="EI4" s="436"/>
      <c r="EJ4" s="437"/>
      <c r="EK4" s="435"/>
      <c r="EL4" s="436"/>
      <c r="EM4" s="437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403" t="s">
        <v>33</v>
      </c>
      <c r="FW4" s="417"/>
      <c r="FX4" s="417"/>
      <c r="FY4" s="417" t="s">
        <v>33</v>
      </c>
      <c r="FZ4" s="417"/>
      <c r="GA4" s="417"/>
      <c r="GB4" s="417"/>
      <c r="GC4" s="417"/>
      <c r="GD4" s="417"/>
      <c r="GE4" s="417"/>
      <c r="GF4" s="417"/>
      <c r="GG4" s="404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</row>
    <row r="5" spans="1:218" x14ac:dyDescent="0.25">
      <c r="A5" s="448"/>
      <c r="B5" s="452" t="s">
        <v>35</v>
      </c>
      <c r="C5" s="452"/>
      <c r="D5" s="452"/>
      <c r="E5" s="452" t="s">
        <v>36</v>
      </c>
      <c r="F5" s="452"/>
      <c r="G5" s="15" t="s">
        <v>37</v>
      </c>
      <c r="H5" s="420" t="s">
        <v>38</v>
      </c>
      <c r="I5" s="420"/>
      <c r="J5" s="420"/>
      <c r="K5" s="420"/>
      <c r="L5" s="420" t="s">
        <v>39</v>
      </c>
      <c r="M5" s="420"/>
      <c r="N5" s="420"/>
      <c r="O5" s="420" t="s">
        <v>40</v>
      </c>
      <c r="P5" s="420"/>
      <c r="Q5" s="420"/>
      <c r="R5" s="7"/>
      <c r="S5" s="420" t="s">
        <v>41</v>
      </c>
      <c r="T5" s="420"/>
      <c r="U5" s="420" t="s">
        <v>42</v>
      </c>
      <c r="V5" s="420"/>
      <c r="W5" s="420" t="s">
        <v>43</v>
      </c>
      <c r="X5" s="420"/>
      <c r="Y5" s="431" t="s">
        <v>44</v>
      </c>
      <c r="Z5" s="432"/>
      <c r="AA5" s="433" t="s">
        <v>188</v>
      </c>
      <c r="AB5" s="434"/>
      <c r="AC5" s="420" t="s">
        <v>45</v>
      </c>
      <c r="AD5" s="420"/>
      <c r="AE5" s="420"/>
      <c r="AF5" s="420"/>
      <c r="AG5" s="420" t="s">
        <v>46</v>
      </c>
      <c r="AH5" s="420"/>
      <c r="AI5" s="420"/>
      <c r="AJ5" s="420"/>
      <c r="AK5" s="430"/>
      <c r="AL5" s="421" t="s">
        <v>47</v>
      </c>
      <c r="AM5" s="421"/>
      <c r="AN5" s="421"/>
      <c r="AO5" s="421"/>
      <c r="AP5" s="421" t="s">
        <v>48</v>
      </c>
      <c r="AQ5" s="421"/>
      <c r="AR5" s="421"/>
      <c r="AS5" s="421"/>
      <c r="AT5" s="422" t="s">
        <v>49</v>
      </c>
      <c r="AU5" s="423"/>
      <c r="AV5" s="422" t="s">
        <v>50</v>
      </c>
      <c r="AW5" s="423"/>
      <c r="AX5" s="421" t="s">
        <v>51</v>
      </c>
      <c r="AY5" s="421"/>
      <c r="AZ5" s="421"/>
      <c r="BA5" s="421" t="s">
        <v>52</v>
      </c>
      <c r="BB5" s="421"/>
      <c r="BC5" s="421"/>
      <c r="BD5" s="430"/>
      <c r="BE5" s="420"/>
      <c r="BF5" s="420"/>
      <c r="BG5" s="420"/>
      <c r="BH5" s="16"/>
      <c r="BI5" s="16"/>
      <c r="BJ5" s="16"/>
      <c r="BK5" s="420"/>
      <c r="BL5" s="420"/>
      <c r="BM5" s="420"/>
      <c r="BN5" s="420"/>
      <c r="BO5" s="427"/>
      <c r="BP5" s="427"/>
      <c r="BQ5" s="420"/>
      <c r="BR5" s="420"/>
      <c r="BS5" s="443" t="s">
        <v>53</v>
      </c>
      <c r="BT5" s="444"/>
      <c r="BU5" s="420" t="s">
        <v>54</v>
      </c>
      <c r="BV5" s="420"/>
      <c r="BW5" s="420"/>
      <c r="BX5" s="420"/>
      <c r="BY5" s="433" t="s">
        <v>55</v>
      </c>
      <c r="BZ5" s="445"/>
      <c r="CA5" s="445"/>
      <c r="CB5" s="434"/>
      <c r="CC5" s="420" t="s">
        <v>56</v>
      </c>
      <c r="CD5" s="420"/>
      <c r="CE5" s="420" t="s">
        <v>57</v>
      </c>
      <c r="CF5" s="420"/>
      <c r="CG5" s="420" t="s">
        <v>58</v>
      </c>
      <c r="CH5" s="420"/>
      <c r="CI5" s="420" t="s">
        <v>59</v>
      </c>
      <c r="CJ5" s="420"/>
      <c r="CK5" s="420"/>
      <c r="CL5" s="420"/>
      <c r="CM5" s="420" t="s">
        <v>60</v>
      </c>
      <c r="CN5" s="420"/>
      <c r="CO5" s="420"/>
      <c r="CP5" s="420"/>
      <c r="CQ5" s="421" t="s">
        <v>61</v>
      </c>
      <c r="CR5" s="421"/>
      <c r="CS5" s="421"/>
      <c r="CT5" s="421"/>
      <c r="CU5" s="421" t="s">
        <v>62</v>
      </c>
      <c r="CV5" s="421"/>
      <c r="CW5" s="421"/>
      <c r="CX5" s="421"/>
      <c r="CY5" s="421" t="s">
        <v>63</v>
      </c>
      <c r="CZ5" s="421"/>
      <c r="DA5" s="421"/>
      <c r="DB5" s="421"/>
      <c r="DC5" s="421" t="s">
        <v>64</v>
      </c>
      <c r="DD5" s="421"/>
      <c r="DE5" s="421"/>
      <c r="DF5" s="421"/>
      <c r="DG5" s="17" t="s">
        <v>65</v>
      </c>
      <c r="DH5" s="17"/>
      <c r="DI5" s="421"/>
      <c r="DJ5" s="421"/>
      <c r="DK5" s="421"/>
      <c r="DL5" s="421"/>
      <c r="DM5" s="421"/>
      <c r="DN5" s="421"/>
      <c r="DO5" s="421"/>
      <c r="DP5" s="421"/>
      <c r="DQ5" s="412"/>
      <c r="DR5" s="413"/>
      <c r="DS5" s="412"/>
      <c r="DT5" s="413"/>
      <c r="DU5" s="424" t="s">
        <v>66</v>
      </c>
      <c r="DV5" s="425"/>
      <c r="DW5" s="426"/>
      <c r="DX5" s="424" t="s">
        <v>67</v>
      </c>
      <c r="DY5" s="425"/>
      <c r="DZ5" s="426"/>
      <c r="EA5" s="424" t="s">
        <v>68</v>
      </c>
      <c r="EB5" s="425"/>
      <c r="EC5" s="426"/>
      <c r="ED5" s="18"/>
      <c r="EE5" s="424" t="s">
        <v>69</v>
      </c>
      <c r="EF5" s="425"/>
      <c r="EG5" s="426"/>
      <c r="EH5" s="424" t="s">
        <v>70</v>
      </c>
      <c r="EI5" s="425"/>
      <c r="EJ5" s="426"/>
      <c r="EK5" s="424" t="s">
        <v>71</v>
      </c>
      <c r="EL5" s="425"/>
      <c r="EM5" s="426"/>
      <c r="EN5" s="19"/>
      <c r="EO5" s="403" t="s">
        <v>72</v>
      </c>
      <c r="EP5" s="417"/>
      <c r="EQ5" s="404"/>
      <c r="ER5" s="403" t="s">
        <v>73</v>
      </c>
      <c r="ES5" s="417"/>
      <c r="ET5" s="404"/>
      <c r="EU5" s="403" t="s">
        <v>74</v>
      </c>
      <c r="EV5" s="417"/>
      <c r="EW5" s="404"/>
      <c r="EX5" s="403" t="s">
        <v>75</v>
      </c>
      <c r="EY5" s="417"/>
      <c r="EZ5" s="404"/>
      <c r="FA5" s="20"/>
      <c r="FB5" s="403" t="s">
        <v>76</v>
      </c>
      <c r="FC5" s="404"/>
      <c r="FD5" s="16" t="s">
        <v>77</v>
      </c>
      <c r="FE5" s="403" t="s">
        <v>72</v>
      </c>
      <c r="FF5" s="417"/>
      <c r="FG5" s="404"/>
      <c r="FH5" s="403" t="s">
        <v>73</v>
      </c>
      <c r="FI5" s="417"/>
      <c r="FJ5" s="404"/>
      <c r="FK5" s="10" t="s">
        <v>78</v>
      </c>
      <c r="FL5" s="11"/>
      <c r="FM5" s="21"/>
      <c r="FN5" s="403" t="s">
        <v>75</v>
      </c>
      <c r="FO5" s="417"/>
      <c r="FP5" s="404"/>
      <c r="FQ5" s="403" t="s">
        <v>79</v>
      </c>
      <c r="FR5" s="417"/>
      <c r="FS5" s="404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</row>
    <row r="6" spans="1:218" x14ac:dyDescent="0.25">
      <c r="A6" s="448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403" t="s">
        <v>99</v>
      </c>
      <c r="FW6" s="417"/>
      <c r="FX6" s="404"/>
      <c r="FY6" s="403" t="s">
        <v>100</v>
      </c>
      <c r="FZ6" s="417"/>
      <c r="GA6" s="404"/>
      <c r="GB6" s="403" t="s">
        <v>101</v>
      </c>
      <c r="GC6" s="417"/>
      <c r="GD6" s="404"/>
      <c r="GE6" s="403" t="s">
        <v>102</v>
      </c>
      <c r="GF6" s="417"/>
      <c r="GG6" s="404"/>
      <c r="GH6" s="403" t="s">
        <v>103</v>
      </c>
      <c r="GI6" s="417"/>
      <c r="GJ6" s="404"/>
      <c r="GK6" s="403" t="s">
        <v>104</v>
      </c>
      <c r="GL6" s="417"/>
      <c r="GM6" s="404"/>
      <c r="GN6" s="33"/>
      <c r="GO6" s="33"/>
      <c r="GP6" s="33"/>
      <c r="GQ6" s="6"/>
      <c r="GR6" s="6"/>
      <c r="GS6" s="6"/>
      <c r="GT6" s="177"/>
      <c r="GU6" s="402" t="s">
        <v>105</v>
      </c>
      <c r="GV6" s="402"/>
      <c r="GW6" s="402"/>
      <c r="GX6" s="402"/>
      <c r="GY6" s="418"/>
      <c r="GZ6" s="406"/>
      <c r="HA6" s="406"/>
      <c r="HB6" s="406"/>
    </row>
    <row r="7" spans="1:218" x14ac:dyDescent="0.25">
      <c r="A7" s="35">
        <v>1</v>
      </c>
      <c r="B7" s="38">
        <v>3149.45</v>
      </c>
      <c r="C7" s="38"/>
      <c r="D7" s="38"/>
      <c r="E7" s="38">
        <v>633.84</v>
      </c>
      <c r="F7" s="38"/>
      <c r="G7" s="38"/>
      <c r="H7" s="37"/>
      <c r="I7" s="39"/>
      <c r="J7" s="42"/>
      <c r="K7" s="37">
        <f>IF(J7&lt;=0,0,(J7/SQRT(J7^2+(I7-I6)^2)))</f>
        <v>0</v>
      </c>
      <c r="L7" s="40">
        <v>8779300</v>
      </c>
      <c r="M7" s="40"/>
      <c r="N7" s="37"/>
      <c r="O7" s="37">
        <v>9008.1</v>
      </c>
      <c r="P7" s="37"/>
      <c r="Q7" s="37"/>
      <c r="R7" s="37"/>
      <c r="S7" s="37">
        <v>10911687.060000001</v>
      </c>
      <c r="T7" s="37"/>
      <c r="U7" s="37">
        <v>1518125.2</v>
      </c>
      <c r="V7" s="37"/>
      <c r="W7" s="37">
        <v>3032.7</v>
      </c>
      <c r="X7" s="37"/>
      <c r="Y7" s="183"/>
      <c r="Z7" s="183"/>
      <c r="AA7" s="37">
        <v>315940</v>
      </c>
      <c r="AB7" s="37"/>
      <c r="AC7" s="37">
        <v>3248.1</v>
      </c>
      <c r="AD7" s="37"/>
      <c r="AE7" s="37"/>
      <c r="AF7" s="37"/>
      <c r="AG7" s="37">
        <v>7064.8</v>
      </c>
      <c r="AH7" s="37"/>
      <c r="AI7" s="37"/>
      <c r="AJ7" s="37"/>
      <c r="AK7" s="37"/>
      <c r="AL7" s="42">
        <v>9224.2000000000007</v>
      </c>
      <c r="AM7" s="42"/>
      <c r="AN7" s="37"/>
      <c r="AO7" s="37"/>
      <c r="AP7" s="37">
        <v>6925.6</v>
      </c>
      <c r="AQ7" s="37"/>
      <c r="AR7" s="37"/>
      <c r="AS7" s="37"/>
      <c r="AT7" s="183">
        <v>101794.83</v>
      </c>
      <c r="AU7" s="183"/>
      <c r="AV7" s="183">
        <v>383.12</v>
      </c>
      <c r="AW7" s="183"/>
      <c r="AX7" s="37">
        <v>433554.6</v>
      </c>
      <c r="AY7" s="37"/>
      <c r="AZ7" s="37"/>
      <c r="BA7" s="37">
        <v>75411.392000000007</v>
      </c>
      <c r="BB7" s="37"/>
      <c r="BC7" s="37"/>
      <c r="BD7" s="37"/>
      <c r="BE7" s="43">
        <v>1572.4</v>
      </c>
      <c r="BF7" s="43">
        <v>850.16</v>
      </c>
      <c r="BG7" s="37"/>
      <c r="BH7" s="44">
        <v>7577.9</v>
      </c>
      <c r="BI7" s="44">
        <v>4873.3</v>
      </c>
      <c r="BJ7" s="37"/>
      <c r="BK7" s="40">
        <v>977430</v>
      </c>
      <c r="BL7" s="40"/>
      <c r="BM7" s="40">
        <v>775.01</v>
      </c>
      <c r="BN7" s="37"/>
      <c r="BO7" s="186">
        <v>563.99</v>
      </c>
      <c r="BP7" s="183"/>
      <c r="BQ7" s="40">
        <v>735.99</v>
      </c>
      <c r="BR7" s="37"/>
      <c r="BS7" s="37">
        <v>69162.240000000005</v>
      </c>
      <c r="BT7" s="37"/>
      <c r="BU7" s="42">
        <v>1734800</v>
      </c>
      <c r="BV7" s="42"/>
      <c r="BW7" s="37"/>
      <c r="BX7" s="37"/>
      <c r="BY7" s="43">
        <v>245.79</v>
      </c>
      <c r="BZ7" s="43"/>
      <c r="CA7" s="37"/>
      <c r="CB7" s="37"/>
      <c r="CC7" s="37">
        <v>404140</v>
      </c>
      <c r="CD7" s="37"/>
      <c r="CE7" s="41">
        <v>697300</v>
      </c>
      <c r="CF7" s="37"/>
      <c r="CG7" s="37">
        <v>46510</v>
      </c>
      <c r="CH7" s="37"/>
      <c r="CI7" s="40">
        <v>10271</v>
      </c>
      <c r="CJ7" s="40"/>
      <c r="CK7" s="37"/>
      <c r="CL7" s="37"/>
      <c r="CM7" s="37">
        <v>2560.6</v>
      </c>
      <c r="CN7" s="37"/>
      <c r="CO7" s="37"/>
      <c r="CP7" s="37"/>
      <c r="CQ7" s="39">
        <v>2505.4</v>
      </c>
      <c r="CR7" s="39"/>
      <c r="CS7" s="37"/>
      <c r="CT7" s="37"/>
      <c r="CU7" s="37">
        <v>1678000</v>
      </c>
      <c r="CV7" s="41"/>
      <c r="CW7" s="38"/>
      <c r="CX7" s="37"/>
      <c r="CY7" s="37">
        <v>842240</v>
      </c>
      <c r="CZ7" s="37"/>
      <c r="DA7" s="37"/>
      <c r="DB7" s="37"/>
      <c r="DC7" s="37"/>
      <c r="DD7" s="40"/>
      <c r="DE7" s="37" t="e">
        <f>IF((DC7-DC6)&lt;=0,0,(DC7-DC6))</f>
        <v>#VALUE!</v>
      </c>
      <c r="DF7" s="37" t="e">
        <f>IF(DE7&lt;=0,0,(DE7/SQRT(DE7^2+(DD7-DD6)^2)))</f>
        <v>#VALUE!</v>
      </c>
      <c r="DG7" s="37" t="e">
        <f t="shared" ref="DG7" si="0">(DE7)-DA7-CW7-CS7-CO7-CK7-BW7</f>
        <v>#VALUE!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2233100</v>
      </c>
      <c r="DR7" s="49"/>
      <c r="DS7" s="50">
        <v>1374700</v>
      </c>
      <c r="DT7" s="49"/>
      <c r="DU7" s="51">
        <v>7367.4</v>
      </c>
      <c r="DV7" s="51">
        <v>4102</v>
      </c>
      <c r="DW7" s="37"/>
      <c r="DX7" s="52">
        <v>12231</v>
      </c>
      <c r="DY7" s="52">
        <v>8170.8</v>
      </c>
      <c r="DZ7" s="37"/>
      <c r="EA7" s="49">
        <v>26979</v>
      </c>
      <c r="EB7" s="49">
        <v>19.346</v>
      </c>
      <c r="EC7" s="37"/>
      <c r="ED7" s="53">
        <f t="shared" ref="ED7" si="1">DW7+DZ7+EC7</f>
        <v>0</v>
      </c>
      <c r="EE7" s="49">
        <v>42030</v>
      </c>
      <c r="EF7" s="49">
        <v>26.396000000000001</v>
      </c>
      <c r="EG7" s="37"/>
      <c r="EH7" s="51">
        <v>11677</v>
      </c>
      <c r="EI7" s="51">
        <v>1.5316000000000001</v>
      </c>
      <c r="EJ7" s="37"/>
      <c r="EK7" s="37">
        <v>703.57</v>
      </c>
      <c r="EL7" s="40">
        <v>1012.8</v>
      </c>
      <c r="EM7" s="37"/>
      <c r="EN7" s="54"/>
      <c r="EO7" s="48">
        <v>11798</v>
      </c>
      <c r="EP7" s="48">
        <v>4106.3999999999996</v>
      </c>
      <c r="EQ7" s="37"/>
      <c r="ER7" s="48">
        <v>7112.6</v>
      </c>
      <c r="ES7" s="55">
        <v>2874.4</v>
      </c>
      <c r="ET7" s="49"/>
      <c r="EU7" s="48">
        <v>2496.5</v>
      </c>
      <c r="EV7" s="48">
        <v>894.01</v>
      </c>
      <c r="EW7" s="49"/>
      <c r="EX7" s="48">
        <v>11883</v>
      </c>
      <c r="EY7" s="48">
        <v>1.2285999999999999</v>
      </c>
      <c r="EZ7" s="37"/>
      <c r="FA7" s="48"/>
      <c r="FB7" s="48">
        <v>33354255</v>
      </c>
      <c r="FC7" s="49"/>
      <c r="FD7" s="48"/>
      <c r="FE7" s="153">
        <v>15841</v>
      </c>
      <c r="FF7" s="154">
        <v>5695.2</v>
      </c>
      <c r="FG7" s="37"/>
      <c r="FH7" s="48">
        <v>6548.8</v>
      </c>
      <c r="FI7" s="48"/>
      <c r="FJ7" s="49"/>
      <c r="FK7" s="48"/>
      <c r="FL7" s="58"/>
      <c r="FM7" s="48"/>
      <c r="FN7" s="48">
        <v>15039</v>
      </c>
      <c r="FO7" s="48">
        <v>0.6381</v>
      </c>
      <c r="FP7" s="37"/>
      <c r="FQ7" s="48">
        <v>53165</v>
      </c>
      <c r="FR7" s="48">
        <v>12.603</v>
      </c>
      <c r="FS7" s="37"/>
      <c r="FT7" s="48"/>
      <c r="FU7" s="48"/>
      <c r="FV7" s="44">
        <v>1945200</v>
      </c>
      <c r="FW7" s="44">
        <v>633140</v>
      </c>
      <c r="FX7" s="37"/>
      <c r="FY7" s="56">
        <v>2676.8</v>
      </c>
      <c r="FZ7" s="56">
        <v>1.5058</v>
      </c>
      <c r="GA7" s="37"/>
      <c r="GB7" s="56">
        <v>719.94</v>
      </c>
      <c r="GC7" s="56">
        <v>794.88</v>
      </c>
      <c r="GD7" s="37"/>
      <c r="GE7" s="56">
        <v>8981</v>
      </c>
      <c r="GF7" s="63">
        <v>2.6101999999999999</v>
      </c>
      <c r="GG7" s="37"/>
      <c r="GH7" s="48">
        <v>1723.6</v>
      </c>
      <c r="GI7" s="56">
        <v>1449.6</v>
      </c>
      <c r="GJ7" s="38"/>
      <c r="GK7" s="56">
        <v>1392.3</v>
      </c>
      <c r="GL7" s="44">
        <v>1086.2</v>
      </c>
      <c r="GM7" s="38"/>
      <c r="GN7" s="57">
        <v>150590</v>
      </c>
      <c r="GO7" s="57">
        <v>130800</v>
      </c>
      <c r="GP7" s="38"/>
      <c r="GQ7" s="38">
        <v>169800</v>
      </c>
      <c r="GR7" s="38">
        <v>171340</v>
      </c>
      <c r="GS7" s="38"/>
      <c r="GT7" s="178"/>
      <c r="GU7" s="144"/>
      <c r="GV7" s="59"/>
      <c r="GW7" s="60"/>
      <c r="GX7" s="61"/>
      <c r="GY7" s="140"/>
      <c r="GZ7" s="74"/>
      <c r="HA7" s="141"/>
      <c r="HB7" s="62"/>
      <c r="HC7" s="74"/>
      <c r="HD7" s="74"/>
      <c r="HE7" s="24"/>
      <c r="HG7" s="62"/>
    </row>
    <row r="8" spans="1:218" x14ac:dyDescent="0.25">
      <c r="A8" s="35">
        <f t="shared" ref="A8:A36" si="2">A7+1</f>
        <v>2</v>
      </c>
      <c r="B8" s="38">
        <v>3155.82</v>
      </c>
      <c r="C8" s="38">
        <f t="shared" ref="C8:C38" si="3">IF((B8-B7)&lt;=0,0,(B8-B7))</f>
        <v>6.3700000000003456</v>
      </c>
      <c r="D8" s="38">
        <f t="shared" ref="D8:D38" si="4">IF((B8-B7)*32000&lt;=0,0,(B8-B7)*32000)</f>
        <v>203840.00000001106</v>
      </c>
      <c r="E8" s="38">
        <v>634.96</v>
      </c>
      <c r="F8" s="38">
        <f t="shared" ref="F8:F10" si="5">IF((E8-E7)*32000&lt;=0,0,(E8-E7)*32000)</f>
        <v>35840.000000000146</v>
      </c>
      <c r="G8" s="38">
        <f t="shared" ref="G8:G38" si="6">D8+F8</f>
        <v>239680.0000000112</v>
      </c>
      <c r="H8" s="37"/>
      <c r="I8" s="39"/>
      <c r="J8" s="42"/>
      <c r="K8" s="37">
        <f>IF(J8&lt;=0,0,(J8/SQRT(J8^2+(I8-I7)^2)))</f>
        <v>0</v>
      </c>
      <c r="L8" s="40">
        <v>8803100</v>
      </c>
      <c r="M8" s="40"/>
      <c r="N8" s="37">
        <f>IF((L8-L7)&lt;=0,0,(L8-L7)*10)</f>
        <v>238000</v>
      </c>
      <c r="O8" s="37">
        <v>9022.1</v>
      </c>
      <c r="P8" s="37"/>
      <c r="Q8" s="37">
        <f t="shared" ref="Q8:Q21" si="7">IF((O8-O7)&lt;=0,0,(O8-O7))*1000</f>
        <v>14000</v>
      </c>
      <c r="R8" s="37">
        <f>IF(Q8&lt;=0,0,(Q8/SQRT(Q8^2+(P8-P7)^2)))</f>
        <v>1</v>
      </c>
      <c r="S8" s="41">
        <v>10911687.060000001</v>
      </c>
      <c r="T8" s="37">
        <f t="shared" ref="T8:T38" si="8">IF((S8-S7)&lt;=0,0,(S8-S7))</f>
        <v>0</v>
      </c>
      <c r="U8" s="37">
        <v>1518125.2</v>
      </c>
      <c r="V8" s="37">
        <f t="shared" ref="V8:V35" si="9">IF((U8-U7)&lt;=0,0,(U8-U7))</f>
        <v>0</v>
      </c>
      <c r="W8" s="37">
        <v>3039.8</v>
      </c>
      <c r="X8" s="37">
        <f>Q8-T8-V8-AB8</f>
        <v>8940</v>
      </c>
      <c r="Y8" s="183"/>
      <c r="Z8" s="183">
        <f t="shared" ref="Z8:Z38" si="10">IF((Y8-Y7)&lt;=0,0,(Y8-Y7))</f>
        <v>0</v>
      </c>
      <c r="AA8" s="37">
        <v>321000</v>
      </c>
      <c r="AB8" s="37">
        <f t="shared" ref="AB8:AB38" si="11">IF((AA8-AA7)&lt;=0,0,(AA8-AA7))</f>
        <v>5060</v>
      </c>
      <c r="AC8" s="37">
        <v>3255.8</v>
      </c>
      <c r="AD8" s="37"/>
      <c r="AE8" s="37">
        <f t="shared" ref="AE8:AE21" si="12">IF((AC8-AC7)&lt;=0,0,(AC8-AC7))*1000</f>
        <v>7700.0000000002728</v>
      </c>
      <c r="AF8" s="37">
        <f>IF(AE8&lt;=0,0,(AE8/SQRT(AE8^2+(AD8-AD7)^2)))</f>
        <v>1</v>
      </c>
      <c r="AG8" s="37">
        <v>7081.2</v>
      </c>
      <c r="AH8" s="37"/>
      <c r="AI8" s="37">
        <f t="shared" ref="AI8:AI38" si="13">IF((AG8-AG7)&lt;=0,0,(AG8-AG7))*1000+GX8</f>
        <v>16863.299999999635</v>
      </c>
      <c r="AJ8" s="37">
        <f t="shared" ref="AJ8:AJ38" si="14">IF(AI8&lt;=0,0,(AI8/SQRT(AI8^2+(AH8-AH7)^2)))</f>
        <v>1</v>
      </c>
      <c r="AK8" s="37">
        <f t="shared" ref="AK8:AK38" si="15">T8+V8+X8+AE8+AI8</f>
        <v>33503.299999999908</v>
      </c>
      <c r="AL8" s="42">
        <v>9236.4</v>
      </c>
      <c r="AM8" s="42"/>
      <c r="AN8" s="37">
        <f>IF((AL8-AL7)&lt;=0,0,(AL8-AL7))*1000+GX8-BL8-BN8-BP8-BR8</f>
        <v>5913.2999999988579</v>
      </c>
      <c r="AO8" s="37">
        <f>IF(AN8&lt;=0,0,(AN8/SQRT(AN8^2+(AM8-AM7)^2)))</f>
        <v>1</v>
      </c>
      <c r="AP8" s="37">
        <v>6935.9</v>
      </c>
      <c r="AQ8" s="37"/>
      <c r="AR8" s="37">
        <f t="shared" ref="AR8:AR38" si="16">IF((AP8-AP7)&lt;=0,0,(AP8-AP7))*1000</f>
        <v>10299.999999999272</v>
      </c>
      <c r="AS8" s="37">
        <f>IF(AR8&lt;=0,0,(AR8/SQRT(AR8^2+(AQ8-AQ7)^2)))</f>
        <v>1</v>
      </c>
      <c r="AT8" s="183"/>
      <c r="AU8" s="183">
        <f t="shared" ref="AU8:AU38" si="17">IF((AT8-AT7)&lt;=0,0,(AT8-AT7))</f>
        <v>0</v>
      </c>
      <c r="AV8" s="183"/>
      <c r="AW8" s="183">
        <f t="shared" ref="AW8:AW38" si="18">IF((AV8-AV7)&lt;=0,0,(AV8-AV7))</f>
        <v>0</v>
      </c>
      <c r="AX8" s="37">
        <v>433969.84</v>
      </c>
      <c r="AY8" s="37"/>
      <c r="AZ8" s="37">
        <f t="shared" ref="AZ8:AZ38" si="19">IF((AX8-AX7)&lt;=0,0,(AX8-AX7))</f>
        <v>415.24000000004889</v>
      </c>
      <c r="BA8" s="37">
        <v>75957.351999999999</v>
      </c>
      <c r="BB8" s="37"/>
      <c r="BC8" s="37">
        <f t="shared" ref="BC8:BC38" si="20">IF((BA8-BA7)&lt;=0,0,(BA8-BA7))</f>
        <v>545.95999999999185</v>
      </c>
      <c r="BD8" s="37">
        <f>AN8+AR8+AZ8+BC8</f>
        <v>17174.49999999817</v>
      </c>
      <c r="BE8" s="43">
        <v>1574.5</v>
      </c>
      <c r="BF8" s="43">
        <v>851.47</v>
      </c>
      <c r="BG8" s="37">
        <f t="shared" ref="BG8:BG38" si="21">IF((BE8-BE7)&lt;=0,0,(BE8-BE7))*1000</f>
        <v>2099.9999999999091</v>
      </c>
      <c r="BH8" s="44">
        <v>7587.2</v>
      </c>
      <c r="BI8" s="44">
        <v>4879.3999999999996</v>
      </c>
      <c r="BJ8" s="37">
        <f t="shared" ref="BJ8:BJ38" si="22">IF((BH8-BH7)&lt;=0,0,(BH8-BH7))*1000</f>
        <v>9300.0000000001819</v>
      </c>
      <c r="BK8" s="40">
        <v>983110</v>
      </c>
      <c r="BL8" s="40">
        <f>IF((BK8-BK7)&lt;=0,0,(BK8-BK7))</f>
        <v>5680</v>
      </c>
      <c r="BM8" s="40">
        <v>775.74</v>
      </c>
      <c r="BN8" s="37">
        <f t="shared" ref="BN8:BN38" si="23">IF((BM8-BM7)&lt;=0,0,BM8-BM7)*1000</f>
        <v>730.00000000001819</v>
      </c>
      <c r="BO8" s="186"/>
      <c r="BP8" s="183">
        <f t="shared" ref="BP8:BP38" si="24">IF((BO8-BO7)&lt;=0,0,(BO8-BO7))*1000</f>
        <v>0</v>
      </c>
      <c r="BQ8" s="40">
        <v>736.33</v>
      </c>
      <c r="BR8" s="37">
        <f>IF((BQ8-BQ7)&lt;=0,0,(BQ8-BQ7))*1000</f>
        <v>340.00000000003183</v>
      </c>
      <c r="BS8" s="37">
        <v>69339.490000000005</v>
      </c>
      <c r="BT8" s="37">
        <f t="shared" ref="BT8:BT38" si="25">IF((BS8-BS7)&lt;=0,0,(BS8-BS7))</f>
        <v>177.25</v>
      </c>
      <c r="BU8" s="42">
        <v>1744000</v>
      </c>
      <c r="BV8" s="42"/>
      <c r="BW8" s="37">
        <f t="shared" ref="BW8:BW38" si="26">IF((BU8-BU7)&lt;=0,0,(BU8-BU7))</f>
        <v>9200</v>
      </c>
      <c r="BX8" s="37">
        <f>IF(BW8&lt;=0,0,(BW8/SQRT(BW8^2+(BV8-BV7)^2)))</f>
        <v>1</v>
      </c>
      <c r="BY8" s="43">
        <v>246.48</v>
      </c>
      <c r="BZ8" s="43"/>
      <c r="CA8" s="37">
        <f t="shared" ref="CA8:CA16" si="27">IF((BY8-BY7)&lt;=0,0,(BY8-BY7)*1000)</f>
        <v>689.99999999999773</v>
      </c>
      <c r="CB8" s="37">
        <f>IF(CA8&lt;=0,0,(CA8/SQRT(CA8^2+(BZ8-BZ7)^2)))</f>
        <v>1</v>
      </c>
      <c r="CC8" s="37">
        <v>408070</v>
      </c>
      <c r="CD8" s="37">
        <f t="shared" ref="CD8:CD38" si="28">IF((CC8-CC7)&lt;=0,0,(CC8-CC7))</f>
        <v>3930</v>
      </c>
      <c r="CE8" s="41">
        <v>697300</v>
      </c>
      <c r="CF8" s="37">
        <f>IF((CE8-CE7)&lt;=0,0,(CE8-CE7))</f>
        <v>0</v>
      </c>
      <c r="CG8" s="37">
        <v>46603</v>
      </c>
      <c r="CH8" s="37">
        <f>IF((CG8-CG7)&lt;=0,0,(CG8-CG7))</f>
        <v>93</v>
      </c>
      <c r="CI8" s="40">
        <v>10289</v>
      </c>
      <c r="CJ8" s="40"/>
      <c r="CK8" s="37">
        <f>IF((CI8-CI7)*1000&lt;=0,0,(CI8-CI7)*1000)+GX8-CA8</f>
        <v>17773.300000000003</v>
      </c>
      <c r="CL8" s="37">
        <f t="shared" ref="CL8:CL38" si="29">IF(CK8&lt;=0,0,(CK8/SQRT(CK8^2+(CJ8-CJ7)^2)))</f>
        <v>1</v>
      </c>
      <c r="CM8" s="37">
        <v>2567.3000000000002</v>
      </c>
      <c r="CN8" s="37"/>
      <c r="CO8" s="37">
        <f t="shared" ref="CO8:CO38" si="30">IF((CM8-CM7)&lt;=0,0,(CM8-CM7))*1000+GX8</f>
        <v>7163.300000000273</v>
      </c>
      <c r="CP8" s="37">
        <f>IF(CO8&lt;=0,0,(CO8/SQRT(CO8^2+(CN8-CN7)^2)))</f>
        <v>1</v>
      </c>
      <c r="CQ8" s="39">
        <v>2511.5</v>
      </c>
      <c r="CR8" s="45"/>
      <c r="CS8" s="37">
        <f t="shared" ref="CS8:CS34" si="31">IF((CQ8-CQ7)&lt;=0,0,(CQ8-CQ7))*1000+GX8</f>
        <v>6563.2999999999092</v>
      </c>
      <c r="CT8" s="37">
        <f>IF(CS8&lt;=0,0,(CS8/SQRT(CS8^2+(CR8-CR7)^2)))</f>
        <v>1</v>
      </c>
      <c r="CU8" s="37">
        <v>1689600</v>
      </c>
      <c r="CV8" s="37"/>
      <c r="CW8" s="38">
        <f t="shared" ref="CW8:CW38" si="32">IF((CU8-CU7)&lt;=0,0,(CU8-CU7))</f>
        <v>11600</v>
      </c>
      <c r="CX8" s="37">
        <f>IF(CW8&lt;=0,0,(CW8/SQRT(CW8^2+(CV8-CV7)^2)))</f>
        <v>1</v>
      </c>
      <c r="CY8" s="37">
        <v>851711</v>
      </c>
      <c r="CZ8" s="37"/>
      <c r="DA8" s="37">
        <f t="shared" ref="DA8:DA26" si="33">IF((CY8-CY7)&lt;=0,0,(CY8-CY7))</f>
        <v>9471</v>
      </c>
      <c r="DB8" s="37">
        <f>IF(DA8&lt;=0,0,(DA8/SQRT(DA8^2+(CZ8-CZ7)^2)))</f>
        <v>1</v>
      </c>
      <c r="DC8" s="37"/>
      <c r="DD8" s="40"/>
      <c r="DE8" s="37">
        <f t="shared" ref="DE8:DE33" si="34">IF((DC8-DC7)&lt;=0,0,(DC8-DC7))</f>
        <v>0</v>
      </c>
      <c r="DF8" s="37">
        <f>IF(DE8&lt;=0,0,(DE8/SQRT(DE8^2+(DD8-DD7)^2)))</f>
        <v>0</v>
      </c>
      <c r="DG8" s="37">
        <f t="shared" ref="DG8:DG38" si="35">(DE8)-DA8-CW8-CS8-CO8-CK8-BW8</f>
        <v>-61770.900000000183</v>
      </c>
      <c r="DH8" s="37">
        <f t="shared" ref="DH8:DH38" si="36">DE8+BG8+AK8+N8</f>
        <v>273603.29999999981</v>
      </c>
      <c r="DI8" s="46"/>
      <c r="DJ8" s="46"/>
      <c r="DK8" s="47"/>
      <c r="DL8" s="47"/>
      <c r="DM8" s="37"/>
      <c r="DN8" s="37"/>
      <c r="DO8" s="37"/>
      <c r="DP8" s="37"/>
      <c r="DQ8" s="50">
        <v>2233100</v>
      </c>
      <c r="DR8" s="49">
        <f>IF((DQ8-DQ7)&lt;=0,0,(DQ8-DQ7))</f>
        <v>0</v>
      </c>
      <c r="DS8" s="50">
        <v>1374700</v>
      </c>
      <c r="DT8" s="49">
        <f>IF((DS8-DS7)&lt;=0,0,(DS8-DS7))</f>
        <v>0</v>
      </c>
      <c r="DU8" s="52">
        <v>7371.5</v>
      </c>
      <c r="DV8" s="52">
        <v>4104.5</v>
      </c>
      <c r="DW8" s="37">
        <f>IF((DU8-DU7)*1000&lt;=0,0,(DU8-DU7)*1000)</f>
        <v>4100.0000000003638</v>
      </c>
      <c r="DX8" s="52">
        <v>12238</v>
      </c>
      <c r="DY8" s="52">
        <v>8173.4</v>
      </c>
      <c r="DZ8" s="37">
        <f t="shared" ref="DZ8:DZ38" si="37">IF((DX8-DX7)*1000&lt;=0,0,(DX8-DX7)*1000)+GX8</f>
        <v>7463.3</v>
      </c>
      <c r="EA8" s="49">
        <v>27003</v>
      </c>
      <c r="EB8" s="49">
        <v>19.358000000000001</v>
      </c>
      <c r="EC8" s="37">
        <f t="shared" ref="EC8:EC38" si="38">IF((EA8-EA7)*1000&lt;=0,0,(EA8-EA7)*1000)+GX8+$EE$40</f>
        <v>26623.3</v>
      </c>
      <c r="ED8" s="53">
        <f t="shared" ref="ED8:ED38" si="39">DW8+DZ8+EC8</f>
        <v>38186.600000000362</v>
      </c>
      <c r="EE8" s="49">
        <v>42064</v>
      </c>
      <c r="EF8" s="49">
        <v>26.427</v>
      </c>
      <c r="EG8" s="37">
        <f t="shared" ref="EG8:EG38" si="40">IF((EE8-EE7)*1000&lt;=0,0,(EE8-EE7)*1000)+GX8+$EE$40</f>
        <v>36623.300000000003</v>
      </c>
      <c r="EH8" s="52">
        <v>11687</v>
      </c>
      <c r="EI8" s="52">
        <v>1.5335000000000001</v>
      </c>
      <c r="EJ8" s="37">
        <f t="shared" ref="EJ8:EJ38" si="41">IF((EH8-EH7)*1000&lt;=0,0,(EH8-EH7)*1000)+GX8</f>
        <v>10463.299999999999</v>
      </c>
      <c r="EK8" s="37">
        <v>704.3</v>
      </c>
      <c r="EL8" s="40">
        <v>1013.8</v>
      </c>
      <c r="EM8" s="37">
        <f>IF((EK8-EK7)&lt;=0,0,(EK8-EK7))*1000</f>
        <v>729.9999999999045</v>
      </c>
      <c r="EN8" s="54">
        <f>EG8+EJ8+EM8</f>
        <v>47816.599999999911</v>
      </c>
      <c r="EO8" s="48">
        <v>11807</v>
      </c>
      <c r="EP8" s="48">
        <v>4110</v>
      </c>
      <c r="EQ8" s="37">
        <f t="shared" ref="EQ8:EQ38" si="42">IF((EO8-EO7)*1000&lt;=0,0,(EO8-EO7)*1000)+GX8</f>
        <v>9463.2999999999993</v>
      </c>
      <c r="ER8" s="48">
        <v>7134.2</v>
      </c>
      <c r="ES8" s="48">
        <v>2883.5</v>
      </c>
      <c r="ET8" s="49">
        <f t="shared" ref="ET8:ET14" si="43">IF((ER8-ER7)&lt;=0,0,(ER8-ER7))*1000</f>
        <v>21599.999999999454</v>
      </c>
      <c r="EU8" s="48">
        <v>2504.1</v>
      </c>
      <c r="EV8" s="48">
        <v>896.7</v>
      </c>
      <c r="EW8" s="49">
        <f t="shared" ref="EW8:EW38" si="44">IF((EU8-EU7)&lt;=0,0,(EU8-EU7))*1000+GX8</f>
        <v>8063.2999999999092</v>
      </c>
      <c r="EX8" s="48">
        <v>11895</v>
      </c>
      <c r="EY8" s="48">
        <v>1.2306999999999999</v>
      </c>
      <c r="EZ8" s="37">
        <f t="shared" ref="EZ8:EZ38" si="45">IF((EX8-EX7)&lt;=0,0,(EX8-EX7))*1000+GX8</f>
        <v>12463.3</v>
      </c>
      <c r="FA8" s="48">
        <f>FC8-EQ8-ET8-EW8-EZ8</f>
        <v>-26003.899999999361</v>
      </c>
      <c r="FB8" s="48">
        <v>33379841</v>
      </c>
      <c r="FC8" s="49">
        <f>IF((FB8-FB7)&lt;=0,0,(FB8-FB7))</f>
        <v>25586</v>
      </c>
      <c r="FD8" s="48">
        <f>EQ8+ET8+EW8+EZ8+GJ8</f>
        <v>53289.899999999412</v>
      </c>
      <c r="FE8" s="48">
        <v>15852</v>
      </c>
      <c r="FF8" s="48">
        <v>5698.7</v>
      </c>
      <c r="FG8" s="37">
        <f>IF((FE8-FE7)*1000&lt;=0,0,(FE8-FE7)*1000)+FL8+GX8</f>
        <v>12063.3</v>
      </c>
      <c r="FH8" s="48">
        <v>6570</v>
      </c>
      <c r="FI8" s="48">
        <v>2.5257999999999998</v>
      </c>
      <c r="FJ8" s="49">
        <f t="shared" ref="FJ8:FJ38" si="46">IF((FH8-FH7)&lt;=0,0,(FH8-FH7))*1000+FL8+GX8</f>
        <v>22263.299999999817</v>
      </c>
      <c r="FK8" s="48"/>
      <c r="FL8" s="58">
        <v>600</v>
      </c>
      <c r="FM8" s="48">
        <f>FT8/3</f>
        <v>-463.29999999993987</v>
      </c>
      <c r="FN8" s="48">
        <v>15051</v>
      </c>
      <c r="FO8" s="48">
        <v>0.63990000000000002</v>
      </c>
      <c r="FP8" s="37">
        <f>IF((FN8-FN7)*1000&lt;=0,0,(FN8-FN7)*1000)+FL8+GX8</f>
        <v>13063.3</v>
      </c>
      <c r="FQ8" s="48">
        <v>53211</v>
      </c>
      <c r="FR8" s="48">
        <v>12.616</v>
      </c>
      <c r="FS8" s="37">
        <f t="shared" ref="FS8:FS34" si="47">IF((FQ8-FQ7)*1000&lt;=0,0,(FQ8-FQ7)*1000)</f>
        <v>46000</v>
      </c>
      <c r="FT8" s="48">
        <f>FS8-FG8-FJ8-FP8-DT8</f>
        <v>-1389.8999999998196</v>
      </c>
      <c r="FU8" s="48">
        <f>FG8+FJ8+FP8+GM8</f>
        <v>48889.89999999982</v>
      </c>
      <c r="FV8" s="44">
        <v>1946000</v>
      </c>
      <c r="FW8" s="44">
        <v>633650</v>
      </c>
      <c r="FX8" s="37">
        <f t="shared" ref="FX8:FX38" si="48">IF((FV8-FV7)*1000&lt;=0,0,(FV8-FV7))</f>
        <v>800</v>
      </c>
      <c r="FY8" s="56">
        <v>2678.4</v>
      </c>
      <c r="FZ8" s="56">
        <v>1.5061</v>
      </c>
      <c r="GA8" s="37">
        <f>IF((FY8-FY7)*1000&lt;=0,0,((FY8-FY7)*1000)-1000)</f>
        <v>599.99999999990905</v>
      </c>
      <c r="GB8" s="56">
        <v>720.18</v>
      </c>
      <c r="GC8" s="56">
        <v>795.29</v>
      </c>
      <c r="GD8" s="37">
        <f t="shared" ref="GD8:GD38" si="49">IF((GB8-GB7)*1000&lt;=0,0,(GB8-GB7)*1000)</f>
        <v>239.99999999989541</v>
      </c>
      <c r="GE8" s="56">
        <v>8986.7000000000007</v>
      </c>
      <c r="GF8" s="63">
        <v>2.6122000000000001</v>
      </c>
      <c r="GG8" s="37">
        <f t="shared" ref="GG8:GG38" si="50">IF((GE8-GE7)*1000&lt;=0,0,(GE8-GE7)*1000)-GJ8-GM8</f>
        <v>2500.0000000006821</v>
      </c>
      <c r="GH8" s="48">
        <v>1725.3</v>
      </c>
      <c r="GI8" s="56">
        <v>1451.3</v>
      </c>
      <c r="GJ8" s="38">
        <f t="shared" ref="GJ8:GJ38" si="51">IF((GH8-GH7)&lt;=0,0,(GH8-GH7))*1000</f>
        <v>1700.0000000000455</v>
      </c>
      <c r="GK8" s="56">
        <v>1393.8</v>
      </c>
      <c r="GL8" s="44">
        <v>1086.8</v>
      </c>
      <c r="GM8" s="38">
        <f t="shared" ref="GM8:GM38" si="52">IF((GK8-GK7)&lt;=0,0,(GK8-GK7))*1000</f>
        <v>1500</v>
      </c>
      <c r="GN8" s="57">
        <v>152700</v>
      </c>
      <c r="GO8" s="57">
        <v>132870</v>
      </c>
      <c r="GP8" s="38">
        <f>IF((GN8-GN7)&lt;=0,0,(GN8-GN7)+1000)</f>
        <v>3110</v>
      </c>
      <c r="GQ8" s="38">
        <v>171320</v>
      </c>
      <c r="GR8" s="38">
        <v>173000</v>
      </c>
      <c r="GS8" s="38">
        <f>IF((GQ8-GQ7)&lt;=0,0,(GQ8-GQ7))</f>
        <v>1520</v>
      </c>
      <c r="GT8" s="178"/>
      <c r="GU8" s="144">
        <f>DailyJan!B7-DailyJan!N7-DailyJan!V7-DailyJan!Y7-DailyJan!Z7-DailyJan!AA7-DailyJan!AB7-DailyJan!AC7-DailyJan!AD7-DailyJan!AE7-DailyJan!AK7-DailyJan!AO7-DailyJan!AS7-DailyJan!AY7-DailyJan!BD7+DailyJan!BS7-SUM(DailyJan!BM7:BQ7)-DailyJan!BR7-DailyJan!AF7-DailyJan!AG7</f>
        <v>-5.2971415883803274E-2</v>
      </c>
      <c r="GV8" s="59">
        <v>6949.45</v>
      </c>
      <c r="GW8" s="60">
        <f t="shared" ref="GW8:GW38" si="53">GV8/15</f>
        <v>463.29666666666668</v>
      </c>
      <c r="GX8" s="61">
        <v>463.3</v>
      </c>
      <c r="GY8" s="140"/>
      <c r="GZ8" s="62"/>
      <c r="HA8" s="62">
        <v>1968.971200000092</v>
      </c>
      <c r="HB8" s="62"/>
      <c r="HC8" s="62">
        <v>7640.8287999999075</v>
      </c>
      <c r="HD8" s="74"/>
      <c r="HE8" s="24">
        <v>2660.3529714285614</v>
      </c>
      <c r="HG8" s="62"/>
      <c r="HJ8" s="3"/>
    </row>
    <row r="9" spans="1:218" x14ac:dyDescent="0.25">
      <c r="A9" s="35">
        <f t="shared" si="2"/>
        <v>3</v>
      </c>
      <c r="B9" s="38">
        <v>3162.15</v>
      </c>
      <c r="C9" s="38">
        <f t="shared" si="3"/>
        <v>6.3299999999999272</v>
      </c>
      <c r="D9" s="38">
        <f t="shared" si="4"/>
        <v>202559.99999999767</v>
      </c>
      <c r="E9" s="37">
        <v>636.17999999999995</v>
      </c>
      <c r="F9" s="38">
        <f t="shared" si="5"/>
        <v>39039.999999997235</v>
      </c>
      <c r="G9" s="38">
        <f t="shared" si="6"/>
        <v>241599.99999999491</v>
      </c>
      <c r="H9" s="37"/>
      <c r="I9" s="39"/>
      <c r="J9" s="42"/>
      <c r="K9" s="37">
        <f>IF(J9&lt;=0,0,(J9/SQRT(J9^2+(I9-I8)^2)))</f>
        <v>0</v>
      </c>
      <c r="L9" s="40">
        <v>8827100</v>
      </c>
      <c r="M9" s="40"/>
      <c r="N9" s="37">
        <f>IF((L9-L8)&lt;=0,0,(L9-L8)*10)</f>
        <v>240000</v>
      </c>
      <c r="O9" s="37">
        <v>9034.7999999999993</v>
      </c>
      <c r="P9" s="37"/>
      <c r="Q9" s="37">
        <f t="shared" si="7"/>
        <v>12699.999999998909</v>
      </c>
      <c r="R9" s="37">
        <f>IF(Q9&lt;=0,0,(Q9/SQRT(Q9^2+(P9-P8)^2)))</f>
        <v>1</v>
      </c>
      <c r="S9" s="41">
        <v>10911687.060000001</v>
      </c>
      <c r="T9" s="37">
        <f t="shared" si="8"/>
        <v>0</v>
      </c>
      <c r="U9" s="37">
        <v>1518125.2</v>
      </c>
      <c r="V9" s="37">
        <f t="shared" si="9"/>
        <v>0</v>
      </c>
      <c r="W9" s="37">
        <v>3046.2</v>
      </c>
      <c r="X9" s="37">
        <f>Q9-T9-V9-AB9</f>
        <v>7819.9999999989086</v>
      </c>
      <c r="Y9" s="183"/>
      <c r="Z9" s="183">
        <f t="shared" si="10"/>
        <v>0</v>
      </c>
      <c r="AA9" s="37">
        <v>325880</v>
      </c>
      <c r="AB9" s="37">
        <f t="shared" si="11"/>
        <v>4880</v>
      </c>
      <c r="AC9" s="37">
        <v>3262.3</v>
      </c>
      <c r="AD9" s="37"/>
      <c r="AE9" s="37">
        <f t="shared" si="12"/>
        <v>6500</v>
      </c>
      <c r="AF9" s="37">
        <f>IF(AE9&lt;=0,0,(AE9/SQRT(AE9^2+(AD9-AD8)^2)))</f>
        <v>1</v>
      </c>
      <c r="AG9" s="37">
        <v>7096</v>
      </c>
      <c r="AH9" s="37"/>
      <c r="AI9" s="37">
        <f t="shared" si="13"/>
        <v>15042.700000000183</v>
      </c>
      <c r="AJ9" s="37">
        <f t="shared" si="14"/>
        <v>1</v>
      </c>
      <c r="AK9" s="37">
        <f t="shared" si="15"/>
        <v>29362.699999999091</v>
      </c>
      <c r="AL9" s="42">
        <v>9247.6</v>
      </c>
      <c r="AM9" s="42"/>
      <c r="AN9" s="37">
        <f t="shared" ref="AN9:AN38" si="54">IF((AL9-AL8)&lt;=0,0,(AL9-AL8))*1000+GX9-BL9-BN9-BP9-BR9</f>
        <v>4772.7000000007874</v>
      </c>
      <c r="AO9" s="37">
        <f>IF(AN9&lt;=0,0,(AN9/SQRT(AN9^2+(AM9-AM8)^2)))</f>
        <v>1</v>
      </c>
      <c r="AP9" s="37">
        <v>6944.6</v>
      </c>
      <c r="AQ9" s="37"/>
      <c r="AR9" s="37">
        <f t="shared" si="16"/>
        <v>8700.0000000007276</v>
      </c>
      <c r="AS9" s="37">
        <f>IF(AR9&lt;=0,0,(AR9/SQRT(AR9^2+(AQ9-AQ8)^2)))</f>
        <v>1</v>
      </c>
      <c r="AT9" s="183"/>
      <c r="AU9" s="183">
        <f t="shared" si="17"/>
        <v>0</v>
      </c>
      <c r="AV9" s="183"/>
      <c r="AW9" s="183">
        <f t="shared" si="18"/>
        <v>0</v>
      </c>
      <c r="AX9" s="37">
        <v>434085.88</v>
      </c>
      <c r="AY9" s="37"/>
      <c r="AZ9" s="37">
        <f t="shared" si="19"/>
        <v>116.03999999997905</v>
      </c>
      <c r="BA9" s="37">
        <v>76066.432000000001</v>
      </c>
      <c r="BB9" s="37"/>
      <c r="BC9" s="37">
        <f t="shared" si="20"/>
        <v>109.08000000000175</v>
      </c>
      <c r="BD9" s="37">
        <f>AN9+AR9+AZ9+BC9</f>
        <v>13697.820000001495</v>
      </c>
      <c r="BE9" s="43">
        <v>1576.4</v>
      </c>
      <c r="BF9" s="43">
        <v>852.74</v>
      </c>
      <c r="BG9" s="37">
        <f t="shared" si="21"/>
        <v>1900.0000000000909</v>
      </c>
      <c r="BH9" s="44">
        <v>7596.6</v>
      </c>
      <c r="BI9" s="44">
        <v>4885.6000000000004</v>
      </c>
      <c r="BJ9" s="37">
        <f t="shared" si="22"/>
        <v>9400.0000000005457</v>
      </c>
      <c r="BK9" s="40">
        <v>988340</v>
      </c>
      <c r="BL9" s="40">
        <f>IF((BK9-BK8)&lt;=0,0,(BK9-BK8))</f>
        <v>5230</v>
      </c>
      <c r="BM9" s="40">
        <v>776.42</v>
      </c>
      <c r="BN9" s="37">
        <f t="shared" si="23"/>
        <v>679.99999999994998</v>
      </c>
      <c r="BO9" s="186"/>
      <c r="BP9" s="183">
        <f t="shared" si="24"/>
        <v>0</v>
      </c>
      <c r="BQ9" s="40">
        <v>737.09</v>
      </c>
      <c r="BR9" s="37">
        <f t="shared" ref="BR9:BR38" si="55">IF((BQ9-BQ8)&lt;=0,0,(BQ9-BQ8))*1000</f>
        <v>759.99999999999091</v>
      </c>
      <c r="BS9" s="37">
        <v>69513</v>
      </c>
      <c r="BT9" s="37">
        <f t="shared" si="25"/>
        <v>173.50999999999476</v>
      </c>
      <c r="BU9" s="42">
        <v>1752800</v>
      </c>
      <c r="BV9" s="42"/>
      <c r="BW9" s="37">
        <f t="shared" si="26"/>
        <v>8800</v>
      </c>
      <c r="BX9" s="37">
        <f>IF(BW9&lt;=0,0,(BW9/SQRT(BW9^2+(BV9-BV8)^2)))</f>
        <v>1</v>
      </c>
      <c r="BY9" s="43">
        <v>247.21</v>
      </c>
      <c r="BZ9" s="43"/>
      <c r="CA9" s="37">
        <f t="shared" si="27"/>
        <v>730.00000000001819</v>
      </c>
      <c r="CB9" s="37">
        <f t="shared" ref="CB9:CB38" si="56">IF(CA9&lt;=0,0,(CA9/SQRT(CA9^2+(BZ9-BZ8)^2)))</f>
        <v>1</v>
      </c>
      <c r="CC9" s="37">
        <v>411880</v>
      </c>
      <c r="CD9" s="37">
        <f t="shared" si="28"/>
        <v>3810</v>
      </c>
      <c r="CE9" s="41">
        <v>697300</v>
      </c>
      <c r="CF9" s="37">
        <f t="shared" ref="CF9:CF38" si="57">IF((CE9-CE8)&lt;=0,0,(CE9-CE8))</f>
        <v>0</v>
      </c>
      <c r="CG9" s="37">
        <v>46603</v>
      </c>
      <c r="CH9" s="37">
        <f t="shared" ref="CH9:CH38" si="58">IF((CG9-CG8)&lt;=0,0,(CG9-CG8))</f>
        <v>0</v>
      </c>
      <c r="CI9" s="40">
        <v>10306</v>
      </c>
      <c r="CJ9" s="40"/>
      <c r="CK9" s="37">
        <f t="shared" ref="CK9:CK38" si="59">IF((CI9-CI8)*1000&lt;=0,0,(CI9-CI8)*1000)+GX9-CA9</f>
        <v>16512.699999999983</v>
      </c>
      <c r="CL9" s="37">
        <f t="shared" si="29"/>
        <v>1</v>
      </c>
      <c r="CM9" s="37">
        <v>2573.6</v>
      </c>
      <c r="CN9" s="37"/>
      <c r="CO9" s="37">
        <f t="shared" si="30"/>
        <v>6542.699999999727</v>
      </c>
      <c r="CP9" s="37">
        <f>IF(CO9&lt;=0,0,(CO9/SQRT(CO9^2+(CN9-CN8)^2)))</f>
        <v>1</v>
      </c>
      <c r="CQ9" s="39">
        <v>2517.6</v>
      </c>
      <c r="CR9" s="45"/>
      <c r="CS9" s="37">
        <f t="shared" si="31"/>
        <v>6342.6999999999089</v>
      </c>
      <c r="CT9" s="37">
        <f>IF(CS9&lt;=0,0,(CS9/SQRT(CS9^2+(CR9-CR8)^2)))</f>
        <v>1</v>
      </c>
      <c r="CU9" s="37">
        <v>1701600</v>
      </c>
      <c r="CV9" s="37"/>
      <c r="CW9" s="38">
        <f t="shared" si="32"/>
        <v>12000</v>
      </c>
      <c r="CX9" s="37">
        <f>IF(CW9&lt;=0,0,(CW9/SQRT(CW9^2+(CV9-CV8)^2)))</f>
        <v>1</v>
      </c>
      <c r="CY9" s="37">
        <v>861880</v>
      </c>
      <c r="CZ9" s="37"/>
      <c r="DA9" s="37">
        <f t="shared" si="33"/>
        <v>10169</v>
      </c>
      <c r="DB9" s="37">
        <f>IF(DA9&lt;=0,0,(DA9/SQRT(DA9^2+(CZ9-CZ8)^2)))</f>
        <v>1</v>
      </c>
      <c r="DC9" s="37"/>
      <c r="DD9" s="40"/>
      <c r="DE9" s="37">
        <f t="shared" si="34"/>
        <v>0</v>
      </c>
      <c r="DF9" s="37">
        <f>IF(DE9&lt;=0,0,(DE9/SQRT(DE9^2+(DD9-DD8)^2)))</f>
        <v>0</v>
      </c>
      <c r="DG9" s="37">
        <f t="shared" si="35"/>
        <v>-60367.09999999962</v>
      </c>
      <c r="DH9" s="37">
        <f t="shared" si="36"/>
        <v>271262.6999999992</v>
      </c>
      <c r="DI9" s="46"/>
      <c r="DJ9" s="46"/>
      <c r="DK9" s="47"/>
      <c r="DL9" s="47"/>
      <c r="DM9" s="37"/>
      <c r="DN9" s="37"/>
      <c r="DO9" s="37"/>
      <c r="DP9" s="37"/>
      <c r="DQ9" s="50">
        <v>2243500</v>
      </c>
      <c r="DR9" s="49">
        <f t="shared" ref="DR9:DR38" si="60">IF((DQ9-DQ8)&lt;=0,0,(DQ9-DQ8))</f>
        <v>10400</v>
      </c>
      <c r="DS9" s="50">
        <v>1390400</v>
      </c>
      <c r="DT9" s="49">
        <f t="shared" ref="DT9:DT38" si="61">IF((DS9-DS8)&lt;=0,0,(DS9-DS8))</f>
        <v>15700</v>
      </c>
      <c r="DU9" s="52">
        <v>7375.4</v>
      </c>
      <c r="DV9" s="52">
        <v>4107</v>
      </c>
      <c r="DW9" s="37">
        <f>IF((DU9-DU8)*1000&lt;=0,0,(DU9-DU8)*1000)</f>
        <v>3899.9999999996362</v>
      </c>
      <c r="DX9" s="52">
        <v>12245</v>
      </c>
      <c r="DY9" s="52">
        <v>8176</v>
      </c>
      <c r="DZ9" s="37">
        <f t="shared" si="37"/>
        <v>7242.7</v>
      </c>
      <c r="EA9" s="49">
        <v>27026</v>
      </c>
      <c r="EB9" s="49">
        <v>19.37</v>
      </c>
      <c r="EC9" s="37">
        <f t="shared" si="38"/>
        <v>25402.7</v>
      </c>
      <c r="ED9" s="53">
        <f t="shared" si="39"/>
        <v>36545.399999999638</v>
      </c>
      <c r="EE9" s="49">
        <v>42098</v>
      </c>
      <c r="EF9" s="49">
        <v>26.457999999999998</v>
      </c>
      <c r="EG9" s="37">
        <f t="shared" si="40"/>
        <v>36402.699999999997</v>
      </c>
      <c r="EH9" s="52">
        <v>11697</v>
      </c>
      <c r="EI9" s="52">
        <v>1.5355000000000001</v>
      </c>
      <c r="EJ9" s="37">
        <f t="shared" si="41"/>
        <v>10242.700000000001</v>
      </c>
      <c r="EK9" s="37">
        <v>705.04</v>
      </c>
      <c r="EL9" s="40">
        <v>1014.8</v>
      </c>
      <c r="EM9" s="37">
        <f t="shared" ref="EM9:EM38" si="62">IF((EK9-EK8)&lt;=0,0,(EK9-EK8))*1000</f>
        <v>740.00000000000909</v>
      </c>
      <c r="EN9" s="54">
        <f t="shared" ref="EN9:EN38" si="63">EG9+EJ9+EM9</f>
        <v>47385.4</v>
      </c>
      <c r="EO9" s="48">
        <v>11816</v>
      </c>
      <c r="EP9" s="48">
        <v>4113</v>
      </c>
      <c r="EQ9" s="37">
        <f t="shared" si="42"/>
        <v>9242.7000000000007</v>
      </c>
      <c r="ER9" s="48">
        <v>7149.2</v>
      </c>
      <c r="ES9" s="48">
        <v>2890.3</v>
      </c>
      <c r="ET9" s="49">
        <f t="shared" si="43"/>
        <v>15000</v>
      </c>
      <c r="EU9" s="48">
        <v>2511.8000000000002</v>
      </c>
      <c r="EV9" s="48">
        <v>899.41</v>
      </c>
      <c r="EW9" s="49">
        <f t="shared" si="44"/>
        <v>7942.7000000002727</v>
      </c>
      <c r="EX9" s="48">
        <v>11905</v>
      </c>
      <c r="EY9" s="48">
        <v>1.2325999999999999</v>
      </c>
      <c r="EZ9" s="37">
        <f t="shared" si="45"/>
        <v>10242.700000000001</v>
      </c>
      <c r="FA9" s="48">
        <f t="shared" ref="FA9:FA38" si="64">FC9-EQ9-ET9-EW9-EZ9</f>
        <v>-21153.100000000275</v>
      </c>
      <c r="FB9" s="48">
        <v>33401116</v>
      </c>
      <c r="FC9" s="49">
        <f>IF((FB9-FB8)&lt;=0,0,(FB9-FB8))</f>
        <v>21275</v>
      </c>
      <c r="FD9" s="48">
        <f t="shared" ref="FD9:FD38" si="65">EQ9+ET9+EW9+EZ9+GJ9</f>
        <v>44128.100000000319</v>
      </c>
      <c r="FE9" s="48">
        <v>15862</v>
      </c>
      <c r="FF9" s="48">
        <v>5702.2</v>
      </c>
      <c r="FG9" s="37">
        <f t="shared" ref="FG9:FG38" si="66">IF((FE9-FE8)*1000&lt;=0,0,(FE9-FE8)*1000)+FL9+GX9</f>
        <v>10176.030000000001</v>
      </c>
      <c r="FH9" s="48">
        <v>6590.5</v>
      </c>
      <c r="FI9" s="48">
        <v>2.5337999999999998</v>
      </c>
      <c r="FJ9" s="49">
        <f t="shared" si="46"/>
        <v>20676.030000000002</v>
      </c>
      <c r="FK9" s="48"/>
      <c r="FL9" s="58">
        <v>-66.67</v>
      </c>
      <c r="FM9" s="48">
        <f>FT9/3</f>
        <v>-242.69666666666731</v>
      </c>
      <c r="FN9" s="48">
        <v>15063</v>
      </c>
      <c r="FO9" s="48">
        <v>0.64139999999999997</v>
      </c>
      <c r="FP9" s="37">
        <f t="shared" ref="FP9:FP38" si="67">IF((FN9-FN8)*1000&lt;=0,0,(FN9-FN8)*1000)+FL9+GX9</f>
        <v>12176.03</v>
      </c>
      <c r="FQ9" s="48">
        <v>53269</v>
      </c>
      <c r="FR9" s="48">
        <v>12.632999999999999</v>
      </c>
      <c r="FS9" s="37">
        <f t="shared" si="47"/>
        <v>58000</v>
      </c>
      <c r="FT9" s="48">
        <f t="shared" ref="FT9:FT15" si="68">FS9-FG9-FJ9-FP9-DT9</f>
        <v>-728.09000000000196</v>
      </c>
      <c r="FU9" s="48">
        <f t="shared" ref="FU9:FU38" si="69">FG9+FJ9+FP9+GM9</f>
        <v>44428.090000000098</v>
      </c>
      <c r="FV9" s="44">
        <v>1946800</v>
      </c>
      <c r="FW9" s="44">
        <v>634190</v>
      </c>
      <c r="FX9" s="37">
        <f t="shared" si="48"/>
        <v>800</v>
      </c>
      <c r="FY9" s="56">
        <v>2679.9</v>
      </c>
      <c r="FZ9" s="56">
        <v>1.5065</v>
      </c>
      <c r="GA9" s="37">
        <f>IF((FY9-FY8)*1000&lt;=0,0,((FY9-FY8)*1000)-1000)</f>
        <v>500</v>
      </c>
      <c r="GB9" s="56">
        <v>720.43</v>
      </c>
      <c r="GC9" s="56">
        <v>795.7</v>
      </c>
      <c r="GD9" s="37">
        <f t="shared" si="49"/>
        <v>250</v>
      </c>
      <c r="GE9" s="63">
        <v>8991.7999999999993</v>
      </c>
      <c r="GF9" s="56">
        <v>2.6139000000000001</v>
      </c>
      <c r="GG9" s="37">
        <f t="shared" si="50"/>
        <v>1999.9999999984084</v>
      </c>
      <c r="GH9" s="48">
        <v>1727</v>
      </c>
      <c r="GI9" s="56">
        <v>1453</v>
      </c>
      <c r="GJ9" s="38">
        <f t="shared" si="51"/>
        <v>1700.0000000000455</v>
      </c>
      <c r="GK9" s="56">
        <v>1395.2</v>
      </c>
      <c r="GL9" s="44">
        <v>1087.3</v>
      </c>
      <c r="GM9" s="38">
        <f t="shared" si="52"/>
        <v>1400.0000000000909</v>
      </c>
      <c r="GN9" s="57">
        <v>154270</v>
      </c>
      <c r="GO9" s="57">
        <v>134400</v>
      </c>
      <c r="GP9" s="38">
        <f>IF((GN9-GN8)&lt;=0,0,(GN9-GN8)+1000)</f>
        <v>2570</v>
      </c>
      <c r="GQ9" s="38">
        <v>172650</v>
      </c>
      <c r="GR9" s="38">
        <v>174590</v>
      </c>
      <c r="GS9" s="38">
        <f t="shared" ref="GS9:GS38" si="70">IF((GQ9-GQ8)&lt;=0,0,(GQ9-GQ8))</f>
        <v>1330</v>
      </c>
      <c r="GT9" s="178"/>
      <c r="GU9" s="144">
        <f>DailyJan!B8-DailyJan!N8-DailyJan!V8-DailyJan!Y8-DailyJan!Z8-DailyJan!AA8-DailyJan!AB8-DailyJan!AC8-DailyJan!AD8-DailyJan!AE8-DailyJan!AK8-DailyJan!AO8-DailyJan!AS8-DailyJan!AY8-DailyJan!BD8+DailyJan!BS8-SUM(DailyJan!BM8:BQ8)-DailyJan!BR8-DailyJan!AF8-DailyJan!AG8</f>
        <v>3135.0370285670579</v>
      </c>
      <c r="GV9" s="59">
        <v>3640.54</v>
      </c>
      <c r="GW9" s="60">
        <f t="shared" si="53"/>
        <v>242.70266666666666</v>
      </c>
      <c r="GX9" s="61">
        <v>242.7</v>
      </c>
      <c r="GY9" s="140"/>
      <c r="GZ9" s="62"/>
      <c r="HA9" s="62">
        <v>1984.7439999999581</v>
      </c>
      <c r="HB9" s="74"/>
      <c r="HC9" s="62">
        <v>4316.1460000000425</v>
      </c>
      <c r="HD9" s="74"/>
      <c r="HE9" s="24">
        <v>2660.3529714285614</v>
      </c>
      <c r="HG9" s="62"/>
      <c r="HJ9" s="3"/>
    </row>
    <row r="10" spans="1:218" x14ac:dyDescent="0.25">
      <c r="A10" s="35">
        <f t="shared" si="2"/>
        <v>4</v>
      </c>
      <c r="B10" s="38">
        <v>3167.64</v>
      </c>
      <c r="C10" s="38">
        <f t="shared" si="3"/>
        <v>5.4899999999997817</v>
      </c>
      <c r="D10" s="38">
        <f t="shared" si="4"/>
        <v>175679.99999999302</v>
      </c>
      <c r="E10" s="38">
        <v>637.37</v>
      </c>
      <c r="F10" s="38">
        <f t="shared" si="5"/>
        <v>38080.000000001746</v>
      </c>
      <c r="G10" s="38">
        <f t="shared" si="6"/>
        <v>213759.99999999476</v>
      </c>
      <c r="H10" s="37"/>
      <c r="I10" s="39"/>
      <c r="J10" s="42"/>
      <c r="K10" s="37">
        <f t="shared" ref="K10:K34" si="71">IF(J10&lt;=0,0,(J10/SQRT(J10^2+(I10-I9)^2)))</f>
        <v>0</v>
      </c>
      <c r="L10" s="40">
        <v>8848300</v>
      </c>
      <c r="M10" s="40"/>
      <c r="N10" s="37">
        <f t="shared" ref="N10:N38" si="72">IF((L10-L9)&lt;=0,0,(L10-L9)*10)</f>
        <v>212000</v>
      </c>
      <c r="O10" s="37">
        <v>9048</v>
      </c>
      <c r="P10" s="37"/>
      <c r="Q10" s="37">
        <f t="shared" si="7"/>
        <v>13200.000000000728</v>
      </c>
      <c r="R10" s="37">
        <f t="shared" ref="R10:R34" si="73">IF(Q10&lt;=0,0,(Q10/SQRT(Q10^2+(P10-P9)^2)))</f>
        <v>1</v>
      </c>
      <c r="S10" s="41">
        <v>10911687.060000001</v>
      </c>
      <c r="T10" s="37">
        <f t="shared" si="8"/>
        <v>0</v>
      </c>
      <c r="U10" s="37">
        <v>1518125.2</v>
      </c>
      <c r="V10" s="37">
        <f t="shared" si="9"/>
        <v>0</v>
      </c>
      <c r="W10" s="37">
        <v>3052.5</v>
      </c>
      <c r="X10" s="37">
        <f>Q10-T10-V10-AB10</f>
        <v>7990.0000000007276</v>
      </c>
      <c r="Y10" s="183"/>
      <c r="Z10" s="183">
        <f t="shared" si="10"/>
        <v>0</v>
      </c>
      <c r="AA10" s="37">
        <v>331090</v>
      </c>
      <c r="AB10" s="37">
        <f t="shared" si="11"/>
        <v>5210</v>
      </c>
      <c r="AC10" s="37">
        <v>3269.5</v>
      </c>
      <c r="AD10" s="37"/>
      <c r="AE10" s="37">
        <f t="shared" si="12"/>
        <v>7199.9999999998181</v>
      </c>
      <c r="AF10" s="37">
        <f t="shared" ref="AF10:AF34" si="74">IF(AE10&lt;=0,0,(AE10/SQRT(AE10^2+(AD10-AD9)^2)))</f>
        <v>1</v>
      </c>
      <c r="AG10" s="37">
        <v>7112.1</v>
      </c>
      <c r="AH10" s="37"/>
      <c r="AI10" s="37">
        <f t="shared" si="13"/>
        <v>15475.810000000363</v>
      </c>
      <c r="AJ10" s="37">
        <f t="shared" si="14"/>
        <v>1</v>
      </c>
      <c r="AK10" s="37">
        <f t="shared" si="15"/>
        <v>30665.810000000907</v>
      </c>
      <c r="AL10" s="2">
        <v>9258.9</v>
      </c>
      <c r="AM10" s="42"/>
      <c r="AN10" s="37">
        <f t="shared" si="54"/>
        <v>4025.8099999992673</v>
      </c>
      <c r="AO10" s="37">
        <f t="shared" ref="AO10:AO34" si="75">IF(AN10&lt;=0,0,(AN10/SQRT(AN10^2+(AM10-AM9)^2)))</f>
        <v>1</v>
      </c>
      <c r="AP10" s="37">
        <v>6954.6</v>
      </c>
      <c r="AQ10" s="37"/>
      <c r="AR10" s="37">
        <f t="shared" si="16"/>
        <v>10000</v>
      </c>
      <c r="AS10" s="37">
        <f t="shared" ref="AS10:AS34" si="76">IF(AR10&lt;=0,0,(AR10/SQRT(AR10^2+(AQ10-AQ9)^2)))</f>
        <v>1</v>
      </c>
      <c r="AT10" s="183"/>
      <c r="AU10" s="183">
        <f t="shared" si="17"/>
        <v>0</v>
      </c>
      <c r="AV10" s="183"/>
      <c r="AW10" s="183">
        <f t="shared" si="18"/>
        <v>0</v>
      </c>
      <c r="AX10" s="37">
        <v>434349.2</v>
      </c>
      <c r="AY10" s="37"/>
      <c r="AZ10" s="37">
        <f t="shared" si="19"/>
        <v>263.32000000000698</v>
      </c>
      <c r="BA10" s="37">
        <v>76270.615999999995</v>
      </c>
      <c r="BB10" s="37"/>
      <c r="BC10" s="37">
        <f t="shared" si="20"/>
        <v>204.18399999999383</v>
      </c>
      <c r="BD10" s="37">
        <f t="shared" ref="BD10:BD34" si="77">AN10+AR10+AZ10+BC10</f>
        <v>14493.313999999267</v>
      </c>
      <c r="BE10" s="37">
        <v>1578.3</v>
      </c>
      <c r="BF10" s="37">
        <v>853.94</v>
      </c>
      <c r="BG10" s="37">
        <f t="shared" si="21"/>
        <v>1899.9999999998636</v>
      </c>
      <c r="BH10" s="44">
        <v>7605.8</v>
      </c>
      <c r="BI10" s="44">
        <v>4891.7</v>
      </c>
      <c r="BJ10" s="37">
        <f t="shared" si="22"/>
        <v>9199.9999999998181</v>
      </c>
      <c r="BK10" s="40">
        <v>993620</v>
      </c>
      <c r="BL10" s="40">
        <f t="shared" ref="BL10:BL38" si="78">IF((BK10-BK9)&lt;=0,0,(BK10-BK9))</f>
        <v>5280</v>
      </c>
      <c r="BM10" s="40">
        <v>777.1</v>
      </c>
      <c r="BN10" s="37">
        <f t="shared" si="23"/>
        <v>680.00000000006366</v>
      </c>
      <c r="BO10" s="186"/>
      <c r="BP10" s="183">
        <f t="shared" si="24"/>
        <v>0</v>
      </c>
      <c r="BQ10" s="40">
        <v>737.78</v>
      </c>
      <c r="BR10" s="37">
        <f t="shared" si="55"/>
        <v>689.99999999994088</v>
      </c>
      <c r="BS10" s="37">
        <v>69705.89</v>
      </c>
      <c r="BT10" s="37">
        <f t="shared" si="25"/>
        <v>192.88999999999942</v>
      </c>
      <c r="BU10" s="42">
        <v>1757200</v>
      </c>
      <c r="BV10" s="42"/>
      <c r="BW10" s="37">
        <f t="shared" si="26"/>
        <v>4400</v>
      </c>
      <c r="BX10" s="37">
        <f t="shared" ref="BX10:BX33" si="79">IF(BW10&lt;=0,0,(BW10/SQRT(BW10^2+(BV10-BV9)^2)))</f>
        <v>1</v>
      </c>
      <c r="BY10" s="43">
        <v>247.84</v>
      </c>
      <c r="BZ10" s="43"/>
      <c r="CA10" s="37">
        <f t="shared" si="27"/>
        <v>629.99999999999545</v>
      </c>
      <c r="CB10" s="37">
        <f t="shared" si="56"/>
        <v>1</v>
      </c>
      <c r="CC10" s="37">
        <v>412300</v>
      </c>
      <c r="CD10" s="37">
        <f t="shared" si="28"/>
        <v>420</v>
      </c>
      <c r="CE10" s="37">
        <v>697300</v>
      </c>
      <c r="CF10" s="37">
        <f t="shared" si="57"/>
        <v>0</v>
      </c>
      <c r="CG10" s="37">
        <v>46603</v>
      </c>
      <c r="CH10" s="37">
        <f t="shared" si="58"/>
        <v>0</v>
      </c>
      <c r="CI10" s="40">
        <v>10322</v>
      </c>
      <c r="CJ10" s="40"/>
      <c r="CK10" s="37">
        <f t="shared" si="59"/>
        <v>14745.810000000005</v>
      </c>
      <c r="CL10" s="37">
        <f t="shared" si="29"/>
        <v>1</v>
      </c>
      <c r="CM10" s="37">
        <v>2578.8000000000002</v>
      </c>
      <c r="CN10" s="37"/>
      <c r="CO10" s="37">
        <f t="shared" si="30"/>
        <v>4575.8100000002723</v>
      </c>
      <c r="CP10" s="37">
        <f t="shared" ref="CP10:CP34" si="80">IF(CO10&lt;=0,0,(CO10/SQRT(CO10^2+(CN10-CN9)^2)))</f>
        <v>1</v>
      </c>
      <c r="CQ10" s="39">
        <v>2523</v>
      </c>
      <c r="CR10" s="45"/>
      <c r="CS10" s="37">
        <f t="shared" si="31"/>
        <v>4775.8100000000904</v>
      </c>
      <c r="CT10" s="37">
        <f t="shared" ref="CT10:CT33" si="81">IF(CS10&lt;=0,0,(CS10/SQRT(CS10^2+(CR10-CR9)^2)))</f>
        <v>1</v>
      </c>
      <c r="CU10" s="37">
        <v>1715700</v>
      </c>
      <c r="CV10" s="37"/>
      <c r="CW10" s="38">
        <f t="shared" si="32"/>
        <v>14100</v>
      </c>
      <c r="CX10" s="37">
        <f t="shared" ref="CX10:CX38" si="82">IF(CW10&lt;=0,0,(CW10/SQRT(CW10^2+(CV10-CV9)^2)))</f>
        <v>1</v>
      </c>
      <c r="CY10" s="37">
        <v>872760</v>
      </c>
      <c r="CZ10" s="37"/>
      <c r="DA10" s="37">
        <f t="shared" si="33"/>
        <v>10880</v>
      </c>
      <c r="DB10" s="37">
        <f t="shared" ref="DB10:DB34" si="83">IF(DA10&lt;=0,0,(DA10/SQRT(DA10^2+(CZ10-CZ9)^2)))</f>
        <v>1</v>
      </c>
      <c r="DC10" s="37"/>
      <c r="DD10" s="40"/>
      <c r="DE10" s="37">
        <f t="shared" si="34"/>
        <v>0</v>
      </c>
      <c r="DF10" s="37">
        <f>IF(DE10&lt;=0,0,(DE10/SQRT(DE10^2+(DD10-DD9)^2)))</f>
        <v>0</v>
      </c>
      <c r="DG10" s="37">
        <f t="shared" si="35"/>
        <v>-53477.430000000371</v>
      </c>
      <c r="DH10" s="37">
        <f t="shared" si="36"/>
        <v>244565.81000000075</v>
      </c>
      <c r="DI10" s="46"/>
      <c r="DJ10" s="46"/>
      <c r="DK10" s="47"/>
      <c r="DL10" s="47"/>
      <c r="DM10" s="37"/>
      <c r="DN10" s="37"/>
      <c r="DO10" s="37"/>
      <c r="DP10" s="37"/>
      <c r="DQ10" s="50">
        <v>2253900</v>
      </c>
      <c r="DR10" s="49">
        <f t="shared" si="60"/>
        <v>10400</v>
      </c>
      <c r="DS10" s="50">
        <v>1405700</v>
      </c>
      <c r="DT10" s="49">
        <f t="shared" si="61"/>
        <v>15300</v>
      </c>
      <c r="DU10" s="52">
        <v>7379.7</v>
      </c>
      <c r="DV10" s="52">
        <v>4109.7</v>
      </c>
      <c r="DW10" s="37">
        <f t="shared" ref="DW10:DW38" si="84">IF((DU10-DU9)*1000&lt;=0,0,(DU10-DU9)*1000)</f>
        <v>4300.0000000001819</v>
      </c>
      <c r="DX10" s="52">
        <v>12253</v>
      </c>
      <c r="DY10" s="52">
        <v>8178.6</v>
      </c>
      <c r="DZ10" s="37">
        <f t="shared" si="37"/>
        <v>7375.8099999999995</v>
      </c>
      <c r="EA10" s="49">
        <v>27051</v>
      </c>
      <c r="EB10" s="49">
        <v>19.382000000000001</v>
      </c>
      <c r="EC10" s="37">
        <f t="shared" si="38"/>
        <v>26535.81</v>
      </c>
      <c r="ED10" s="53">
        <f t="shared" si="39"/>
        <v>38211.620000000185</v>
      </c>
      <c r="EE10" s="49">
        <v>42133</v>
      </c>
      <c r="EF10" s="49">
        <v>26.489000000000001</v>
      </c>
      <c r="EG10" s="37">
        <f t="shared" si="40"/>
        <v>36535.81</v>
      </c>
      <c r="EH10" s="52">
        <v>11707</v>
      </c>
      <c r="EI10" s="52">
        <v>1.5370999999999999</v>
      </c>
      <c r="EJ10" s="37">
        <f t="shared" si="41"/>
        <v>9375.81</v>
      </c>
      <c r="EK10" s="37">
        <v>705.79</v>
      </c>
      <c r="EL10" s="40">
        <v>1015.8</v>
      </c>
      <c r="EM10" s="37">
        <f t="shared" si="62"/>
        <v>750</v>
      </c>
      <c r="EN10" s="54">
        <f t="shared" si="63"/>
        <v>46661.619999999995</v>
      </c>
      <c r="EO10" s="48">
        <v>11825</v>
      </c>
      <c r="EP10" s="48">
        <v>4116.6000000000004</v>
      </c>
      <c r="EQ10" s="37">
        <f t="shared" si="42"/>
        <v>8375.81</v>
      </c>
      <c r="ER10" s="48">
        <v>7160.7</v>
      </c>
      <c r="ES10" s="48">
        <v>2896.1</v>
      </c>
      <c r="ET10" s="49">
        <f t="shared" si="43"/>
        <v>11500</v>
      </c>
      <c r="EU10" s="48">
        <v>2521.1</v>
      </c>
      <c r="EV10" s="48">
        <v>902.67</v>
      </c>
      <c r="EW10" s="49">
        <f t="shared" si="44"/>
        <v>8675.8099999997266</v>
      </c>
      <c r="EX10" s="48">
        <v>11916</v>
      </c>
      <c r="EY10" s="48">
        <v>1.234</v>
      </c>
      <c r="EZ10" s="37">
        <f t="shared" si="45"/>
        <v>10375.81</v>
      </c>
      <c r="FA10" s="48">
        <f t="shared" si="64"/>
        <v>-17790.429999999724</v>
      </c>
      <c r="FB10" s="48">
        <v>33422253</v>
      </c>
      <c r="FC10" s="49">
        <f t="shared" ref="FC10:FC35" si="85">IF((FB10-FB9)&lt;=0,0,(FB10-FB9))</f>
        <v>21137</v>
      </c>
      <c r="FD10" s="48">
        <f t="shared" si="65"/>
        <v>41027.429999999629</v>
      </c>
      <c r="FE10" s="48">
        <v>15868</v>
      </c>
      <c r="FF10" s="48">
        <v>5704.9</v>
      </c>
      <c r="FG10" s="37">
        <f t="shared" si="66"/>
        <v>5809.1399999999994</v>
      </c>
      <c r="FH10" s="48">
        <v>6598.9</v>
      </c>
      <c r="FI10" s="48">
        <v>2.5375000000000001</v>
      </c>
      <c r="FJ10" s="49">
        <f t="shared" si="46"/>
        <v>8209.1399999996356</v>
      </c>
      <c r="FK10" s="48"/>
      <c r="FL10" s="58">
        <v>433.33</v>
      </c>
      <c r="FM10" s="48">
        <f t="shared" ref="FM10:FM38" si="86">FT10/3</f>
        <v>624.19333333345514</v>
      </c>
      <c r="FN10" s="55">
        <v>15071</v>
      </c>
      <c r="FO10" s="48">
        <v>0.64249999999999996</v>
      </c>
      <c r="FP10" s="37">
        <f t="shared" si="67"/>
        <v>7809.1399999999994</v>
      </c>
      <c r="FQ10" s="48">
        <v>53308</v>
      </c>
      <c r="FR10" s="48">
        <v>12.646000000000001</v>
      </c>
      <c r="FS10" s="37">
        <f t="shared" si="47"/>
        <v>39000</v>
      </c>
      <c r="FT10" s="48">
        <f t="shared" si="68"/>
        <v>1872.5800000003655</v>
      </c>
      <c r="FU10" s="48">
        <f t="shared" si="69"/>
        <v>22527.419999999678</v>
      </c>
      <c r="FV10" s="44">
        <v>1947500</v>
      </c>
      <c r="FW10" s="44">
        <v>634720</v>
      </c>
      <c r="FX10" s="37">
        <f t="shared" si="48"/>
        <v>700</v>
      </c>
      <c r="FY10" s="56">
        <v>2681.5</v>
      </c>
      <c r="FZ10" s="56">
        <v>1.5068999999999999</v>
      </c>
      <c r="GA10" s="37">
        <f>IF((FY10-FY9)*1000&lt;=0,0,((FY10-FY9)*1000)-1000)</f>
        <v>599.99999999990905</v>
      </c>
      <c r="GB10" s="56">
        <v>720.7</v>
      </c>
      <c r="GC10" s="56">
        <v>796.14</v>
      </c>
      <c r="GD10" s="37">
        <f t="shared" si="49"/>
        <v>270.0000000000955</v>
      </c>
      <c r="GE10" s="56">
        <v>8996.2000000000007</v>
      </c>
      <c r="GF10" s="56">
        <v>2.6154999999999999</v>
      </c>
      <c r="GG10" s="37">
        <f t="shared" si="50"/>
        <v>1600.0000000015007</v>
      </c>
      <c r="GH10" s="153">
        <v>1729.1</v>
      </c>
      <c r="GI10" s="162">
        <v>1455.1</v>
      </c>
      <c r="GJ10" s="38">
        <f t="shared" si="51"/>
        <v>2099.9999999999091</v>
      </c>
      <c r="GK10" s="162">
        <v>1395.9</v>
      </c>
      <c r="GL10" s="163">
        <v>1087.5999999999999</v>
      </c>
      <c r="GM10" s="38">
        <f t="shared" si="52"/>
        <v>700.00000000004547</v>
      </c>
      <c r="GN10" s="57">
        <v>155510</v>
      </c>
      <c r="GO10" s="57">
        <v>135580</v>
      </c>
      <c r="GP10" s="38">
        <f>IF((GN10-GN9)&lt;=0,0,(GN10-GN9)+1000)</f>
        <v>2240</v>
      </c>
      <c r="GQ10" s="38">
        <v>174100</v>
      </c>
      <c r="GR10" s="38">
        <v>176340</v>
      </c>
      <c r="GS10" s="38">
        <f t="shared" si="70"/>
        <v>1450</v>
      </c>
      <c r="GT10" s="178"/>
      <c r="GU10" s="144">
        <f>DailyJan!B9-DailyJan!N9-DailyJan!V9-DailyJan!Y9-DailyJan!Z9-DailyJan!AA9-DailyJan!AB9-DailyJan!AC9-DailyJan!AD9-DailyJan!AE9-DailyJan!AK9-DailyJan!AO9-DailyJan!AS9-DailyJan!AY9-DailyJan!BD9+DailyJan!BS9-SUM(DailyJan!BM9:BQ9)-DailyJan!BR9-DailyJan!AF9-DailyJan!AG9</f>
        <v>3135.0030285650646</v>
      </c>
      <c r="GV10" s="59">
        <v>-9362.85</v>
      </c>
      <c r="GW10" s="60">
        <f t="shared" si="53"/>
        <v>-624.19000000000005</v>
      </c>
      <c r="GX10" s="61">
        <v>-624.19000000000005</v>
      </c>
      <c r="GY10" s="140"/>
      <c r="GZ10" s="62"/>
      <c r="HA10" s="62">
        <v>1756.0383999999569</v>
      </c>
      <c r="HB10" s="74"/>
      <c r="HC10" s="62">
        <v>-8458.5283999999574</v>
      </c>
      <c r="HD10" s="74"/>
      <c r="HE10" s="24">
        <v>2660.3529714285614</v>
      </c>
      <c r="HG10" s="62"/>
      <c r="HJ10" s="3"/>
    </row>
    <row r="11" spans="1:218" x14ac:dyDescent="0.25">
      <c r="A11" s="35">
        <f t="shared" si="2"/>
        <v>5</v>
      </c>
      <c r="B11" s="38">
        <v>3173.52</v>
      </c>
      <c r="C11" s="38">
        <f t="shared" si="3"/>
        <v>5.8800000000001091</v>
      </c>
      <c r="D11" s="38">
        <f t="shared" si="4"/>
        <v>188160.00000000349</v>
      </c>
      <c r="E11" s="38">
        <v>638.58000000000004</v>
      </c>
      <c r="F11" s="38">
        <f>IF((E11-E10)*32000&lt;=0,0,(E11-E10)*32000)</f>
        <v>38720.000000001164</v>
      </c>
      <c r="G11" s="38">
        <f t="shared" si="6"/>
        <v>226880.00000000466</v>
      </c>
      <c r="H11" s="37"/>
      <c r="I11" s="39"/>
      <c r="J11" s="42"/>
      <c r="K11" s="37">
        <f t="shared" si="71"/>
        <v>0</v>
      </c>
      <c r="L11" s="40">
        <v>8870900</v>
      </c>
      <c r="M11" s="40"/>
      <c r="N11" s="37">
        <f t="shared" si="72"/>
        <v>226000</v>
      </c>
      <c r="O11" s="37">
        <v>9053.9</v>
      </c>
      <c r="P11" s="37"/>
      <c r="Q11" s="37">
        <f t="shared" si="7"/>
        <v>5899.9999999996362</v>
      </c>
      <c r="R11" s="37">
        <f t="shared" si="73"/>
        <v>1</v>
      </c>
      <c r="S11" s="41">
        <v>10911687.060000001</v>
      </c>
      <c r="T11" s="37">
        <f t="shared" si="8"/>
        <v>0</v>
      </c>
      <c r="U11" s="37">
        <v>1518125.2</v>
      </c>
      <c r="V11" s="37">
        <f t="shared" si="9"/>
        <v>0</v>
      </c>
      <c r="W11" s="37">
        <v>3055.7</v>
      </c>
      <c r="X11" s="37">
        <f t="shared" ref="X11:X38" si="87">Q11-T11-V11-AB11</f>
        <v>3789.9999999996362</v>
      </c>
      <c r="Y11" s="183"/>
      <c r="Z11" s="183">
        <f t="shared" si="10"/>
        <v>0</v>
      </c>
      <c r="AA11" s="37">
        <v>333200</v>
      </c>
      <c r="AB11" s="37">
        <f t="shared" si="11"/>
        <v>2110</v>
      </c>
      <c r="AC11" s="37">
        <v>3272</v>
      </c>
      <c r="AD11" s="37"/>
      <c r="AE11" s="37">
        <f t="shared" si="12"/>
        <v>2500</v>
      </c>
      <c r="AF11" s="37">
        <f t="shared" si="74"/>
        <v>1</v>
      </c>
      <c r="AG11" s="37">
        <v>7117.4</v>
      </c>
      <c r="AH11" s="37"/>
      <c r="AI11" s="37">
        <f t="shared" si="13"/>
        <v>5909.5899999992725</v>
      </c>
      <c r="AJ11" s="37">
        <f t="shared" si="14"/>
        <v>1</v>
      </c>
      <c r="AK11" s="37">
        <f t="shared" si="15"/>
        <v>12199.589999998909</v>
      </c>
      <c r="AL11" s="42">
        <v>9268.1</v>
      </c>
      <c r="AM11" s="2"/>
      <c r="AN11" s="37">
        <f t="shared" si="54"/>
        <v>3329.5900000007277</v>
      </c>
      <c r="AO11" s="37">
        <f t="shared" si="75"/>
        <v>1</v>
      </c>
      <c r="AP11" s="37">
        <v>6959.2</v>
      </c>
      <c r="AQ11" s="37"/>
      <c r="AR11" s="37">
        <f t="shared" si="16"/>
        <v>4599.9999999994543</v>
      </c>
      <c r="AS11" s="37">
        <f t="shared" si="76"/>
        <v>1</v>
      </c>
      <c r="AT11" s="183"/>
      <c r="AU11" s="183">
        <f t="shared" si="17"/>
        <v>0</v>
      </c>
      <c r="AV11" s="183"/>
      <c r="AW11" s="183">
        <f t="shared" si="18"/>
        <v>0</v>
      </c>
      <c r="AX11" s="37">
        <v>434532.48</v>
      </c>
      <c r="AY11" s="37"/>
      <c r="AZ11" s="37">
        <f t="shared" si="19"/>
        <v>183.27999999996973</v>
      </c>
      <c r="BA11" s="37">
        <v>76498.16</v>
      </c>
      <c r="BB11" s="37"/>
      <c r="BC11" s="37">
        <f t="shared" si="20"/>
        <v>227.54400000000896</v>
      </c>
      <c r="BD11" s="37">
        <f t="shared" si="77"/>
        <v>8340.4140000001607</v>
      </c>
      <c r="BE11" s="43">
        <v>1580.2</v>
      </c>
      <c r="BF11" s="43">
        <v>855.12</v>
      </c>
      <c r="BG11" s="37">
        <f t="shared" si="21"/>
        <v>1900.0000000000909</v>
      </c>
      <c r="BH11" s="44">
        <v>7615.2</v>
      </c>
      <c r="BI11" s="44">
        <v>4897.8</v>
      </c>
      <c r="BJ11" s="37">
        <f t="shared" si="22"/>
        <v>9399.9999999996362</v>
      </c>
      <c r="BK11" s="40">
        <v>998850</v>
      </c>
      <c r="BL11" s="40">
        <f t="shared" si="78"/>
        <v>5230</v>
      </c>
      <c r="BM11" s="40">
        <v>777.82</v>
      </c>
      <c r="BN11" s="37">
        <f t="shared" si="23"/>
        <v>720.00000000002728</v>
      </c>
      <c r="BO11" s="186"/>
      <c r="BP11" s="183">
        <f t="shared" si="24"/>
        <v>0</v>
      </c>
      <c r="BQ11" s="40">
        <v>738.31</v>
      </c>
      <c r="BR11" s="37">
        <f t="shared" si="55"/>
        <v>529.99999999997272</v>
      </c>
      <c r="BS11" s="37">
        <v>69893.89</v>
      </c>
      <c r="BT11" s="37">
        <f t="shared" si="25"/>
        <v>188</v>
      </c>
      <c r="BU11" s="42">
        <v>1761400</v>
      </c>
      <c r="BV11" s="42"/>
      <c r="BW11" s="37">
        <f t="shared" si="26"/>
        <v>4200</v>
      </c>
      <c r="BX11" s="37">
        <f t="shared" si="79"/>
        <v>1</v>
      </c>
      <c r="BY11" s="43">
        <v>248.53</v>
      </c>
      <c r="BZ11" s="43"/>
      <c r="CA11" s="37">
        <f t="shared" si="27"/>
        <v>689.99999999999773</v>
      </c>
      <c r="CB11" s="37">
        <f t="shared" si="56"/>
        <v>1</v>
      </c>
      <c r="CC11" s="37">
        <v>412300</v>
      </c>
      <c r="CD11" s="37">
        <f t="shared" si="28"/>
        <v>0</v>
      </c>
      <c r="CE11" s="37">
        <v>697300</v>
      </c>
      <c r="CF11" s="37">
        <f t="shared" si="57"/>
        <v>0</v>
      </c>
      <c r="CG11" s="37">
        <v>46603</v>
      </c>
      <c r="CH11" s="37">
        <f t="shared" si="58"/>
        <v>0</v>
      </c>
      <c r="CI11" s="40">
        <v>10338</v>
      </c>
      <c r="CJ11" s="40"/>
      <c r="CK11" s="37">
        <f t="shared" si="59"/>
        <v>15919.590000000002</v>
      </c>
      <c r="CL11" s="37">
        <f t="shared" si="29"/>
        <v>1</v>
      </c>
      <c r="CM11" s="37">
        <v>2584.9</v>
      </c>
      <c r="CN11" s="37"/>
      <c r="CO11" s="37">
        <f t="shared" si="30"/>
        <v>6709.5899999999092</v>
      </c>
      <c r="CP11" s="37">
        <f>IF(CO11&lt;=0,0,(CO11/SQRT(CO11^2+(CN11-CN10)^2)))</f>
        <v>1</v>
      </c>
      <c r="CQ11" s="39">
        <v>2528.8000000000002</v>
      </c>
      <c r="CR11" s="45"/>
      <c r="CS11" s="37">
        <f t="shared" si="31"/>
        <v>6409.590000000182</v>
      </c>
      <c r="CT11" s="37">
        <f t="shared" si="81"/>
        <v>1</v>
      </c>
      <c r="CU11" s="37">
        <v>1732100</v>
      </c>
      <c r="CV11" s="37"/>
      <c r="CW11" s="38">
        <f t="shared" si="32"/>
        <v>16400</v>
      </c>
      <c r="CX11" s="37">
        <f t="shared" si="82"/>
        <v>1</v>
      </c>
      <c r="CY11" s="37">
        <v>884650</v>
      </c>
      <c r="CZ11" s="37"/>
      <c r="DA11" s="37">
        <f t="shared" si="33"/>
        <v>11890</v>
      </c>
      <c r="DB11" s="37">
        <f t="shared" si="83"/>
        <v>1</v>
      </c>
      <c r="DC11" s="37"/>
      <c r="DD11" s="40"/>
      <c r="DE11" s="37">
        <f t="shared" si="34"/>
        <v>0</v>
      </c>
      <c r="DF11" s="37">
        <f t="shared" ref="DF11:DF33" si="88">IF(DE11&lt;=0,0,(DE11/SQRT(DE11^2+(DD11-DD10)^2)))</f>
        <v>0</v>
      </c>
      <c r="DG11" s="37">
        <f t="shared" si="35"/>
        <v>-61528.770000000099</v>
      </c>
      <c r="DH11" s="37">
        <f t="shared" si="36"/>
        <v>240099.58999999901</v>
      </c>
      <c r="DI11" s="46"/>
      <c r="DJ11" s="46"/>
      <c r="DK11" s="47"/>
      <c r="DL11" s="47"/>
      <c r="DM11" s="37"/>
      <c r="DN11" s="37"/>
      <c r="DO11" s="37"/>
      <c r="DP11" s="37"/>
      <c r="DQ11" s="50">
        <v>2264100</v>
      </c>
      <c r="DR11" s="49">
        <f t="shared" si="60"/>
        <v>10200</v>
      </c>
      <c r="DS11" s="50">
        <v>1421700</v>
      </c>
      <c r="DT11" s="49">
        <f t="shared" si="61"/>
        <v>16000</v>
      </c>
      <c r="DU11" s="52">
        <v>7384</v>
      </c>
      <c r="DV11" s="52">
        <v>4112.5</v>
      </c>
      <c r="DW11" s="37">
        <f t="shared" si="84"/>
        <v>4300.0000000001819</v>
      </c>
      <c r="DX11" s="52">
        <v>12260</v>
      </c>
      <c r="DY11" s="52">
        <v>8181.1</v>
      </c>
      <c r="DZ11" s="37">
        <f t="shared" si="37"/>
        <v>7609.59</v>
      </c>
      <c r="EA11" s="49">
        <v>27073</v>
      </c>
      <c r="EB11" s="49">
        <v>19.393000000000001</v>
      </c>
      <c r="EC11" s="37">
        <f t="shared" si="38"/>
        <v>24769.59</v>
      </c>
      <c r="ED11" s="53">
        <f t="shared" si="39"/>
        <v>36679.180000000182</v>
      </c>
      <c r="EE11" s="49">
        <v>42164</v>
      </c>
      <c r="EF11" s="49">
        <v>26.518999999999998</v>
      </c>
      <c r="EG11" s="37">
        <f t="shared" si="40"/>
        <v>33769.589999999997</v>
      </c>
      <c r="EH11" s="52">
        <v>11718</v>
      </c>
      <c r="EI11" s="52">
        <v>1.5401</v>
      </c>
      <c r="EJ11" s="37">
        <f t="shared" si="41"/>
        <v>11609.59</v>
      </c>
      <c r="EK11" s="37">
        <v>706.46</v>
      </c>
      <c r="EL11" s="64">
        <v>1016.7</v>
      </c>
      <c r="EM11" s="37">
        <f t="shared" si="62"/>
        <v>670.00000000007276</v>
      </c>
      <c r="EN11" s="54">
        <f t="shared" si="63"/>
        <v>46049.180000000066</v>
      </c>
      <c r="EO11" s="48">
        <v>11834</v>
      </c>
      <c r="EP11" s="48">
        <v>4120</v>
      </c>
      <c r="EQ11" s="37">
        <f t="shared" si="42"/>
        <v>9609.59</v>
      </c>
      <c r="ER11" s="48">
        <v>7178.6</v>
      </c>
      <c r="ES11" s="48">
        <v>2903.8</v>
      </c>
      <c r="ET11" s="49">
        <f t="shared" si="43"/>
        <v>17900.000000000546</v>
      </c>
      <c r="EU11" s="48">
        <v>2529.8000000000002</v>
      </c>
      <c r="EV11" s="48">
        <v>905.63</v>
      </c>
      <c r="EW11" s="49">
        <f t="shared" si="44"/>
        <v>9309.590000000273</v>
      </c>
      <c r="EX11" s="48">
        <v>11928</v>
      </c>
      <c r="EY11" s="48">
        <v>1.2361</v>
      </c>
      <c r="EZ11" s="37">
        <f t="shared" si="45"/>
        <v>12609.59</v>
      </c>
      <c r="FA11" s="48">
        <f t="shared" si="64"/>
        <v>-25368.770000000819</v>
      </c>
      <c r="FB11" s="48">
        <v>33446313</v>
      </c>
      <c r="FC11" s="49">
        <f t="shared" si="85"/>
        <v>24060</v>
      </c>
      <c r="FD11" s="48">
        <f t="shared" si="65"/>
        <v>51228.770000001001</v>
      </c>
      <c r="FE11" s="48">
        <v>15875</v>
      </c>
      <c r="FF11" s="48">
        <v>5708.3</v>
      </c>
      <c r="FG11" s="37">
        <f t="shared" si="66"/>
        <v>7542.92</v>
      </c>
      <c r="FH11" s="48">
        <v>6615.1</v>
      </c>
      <c r="FI11" s="48">
        <v>2.5440999999999998</v>
      </c>
      <c r="FJ11" s="49">
        <f t="shared" si="46"/>
        <v>16742.920000000726</v>
      </c>
      <c r="FK11" s="48"/>
      <c r="FL11" s="58">
        <v>-66.67</v>
      </c>
      <c r="FM11" s="48">
        <f t="shared" si="86"/>
        <v>-609.58666666690806</v>
      </c>
      <c r="FN11" s="48">
        <v>15082</v>
      </c>
      <c r="FO11" s="48">
        <v>0.64359999999999995</v>
      </c>
      <c r="FP11" s="37">
        <f t="shared" si="67"/>
        <v>11542.92</v>
      </c>
      <c r="FQ11" s="48">
        <v>53358</v>
      </c>
      <c r="FR11" s="48">
        <v>12.662000000000001</v>
      </c>
      <c r="FS11" s="37">
        <f t="shared" si="47"/>
        <v>50000</v>
      </c>
      <c r="FT11" s="48">
        <f t="shared" si="68"/>
        <v>-1828.7600000007242</v>
      </c>
      <c r="FU11" s="48">
        <f>FG11+FJ11+FP11+GM11</f>
        <v>37028.76000000054</v>
      </c>
      <c r="FV11" s="44">
        <v>1955100</v>
      </c>
      <c r="FW11" s="44">
        <v>637320</v>
      </c>
      <c r="FX11" s="37">
        <f t="shared" si="48"/>
        <v>7600</v>
      </c>
      <c r="FY11" s="56">
        <v>2683.6</v>
      </c>
      <c r="FZ11" s="56">
        <v>1.5074000000000001</v>
      </c>
      <c r="GA11" s="37">
        <f>IF((FY11-FY10)*1000&lt;=0,0,((FY11-FY10)*1000)-1000)</f>
        <v>1099.9999999999091</v>
      </c>
      <c r="GB11" s="56">
        <v>721.13</v>
      </c>
      <c r="GC11" s="56">
        <v>796.74</v>
      </c>
      <c r="GD11" s="37">
        <f t="shared" si="49"/>
        <v>429.99999999994998</v>
      </c>
      <c r="GE11" s="56">
        <v>9004.5</v>
      </c>
      <c r="GF11" s="63">
        <v>2.6179999999999999</v>
      </c>
      <c r="GG11" s="37">
        <f t="shared" si="50"/>
        <v>5299.9999999992724</v>
      </c>
      <c r="GH11" s="153">
        <v>1730.9</v>
      </c>
      <c r="GI11" s="162">
        <v>1456.9</v>
      </c>
      <c r="GJ11" s="38">
        <f t="shared" si="51"/>
        <v>1800.0000000001819</v>
      </c>
      <c r="GK11" s="162">
        <v>1397.1</v>
      </c>
      <c r="GL11" s="163">
        <v>1088</v>
      </c>
      <c r="GM11" s="38">
        <f t="shared" si="52"/>
        <v>1199.9999999998181</v>
      </c>
      <c r="GN11" s="57">
        <v>157490</v>
      </c>
      <c r="GO11" s="57">
        <v>137350</v>
      </c>
      <c r="GP11" s="38">
        <f>IF((GN11-GN10)&lt;=0,0,(GN11-GN10)+1000)</f>
        <v>2980</v>
      </c>
      <c r="GQ11" s="38">
        <v>175570</v>
      </c>
      <c r="GR11" s="38">
        <v>177970</v>
      </c>
      <c r="GS11" s="38">
        <f t="shared" si="70"/>
        <v>1470</v>
      </c>
      <c r="GT11" s="178"/>
      <c r="GU11" s="144">
        <f>DailyJan!B10-DailyJan!N10-DailyJan!V10-DailyJan!Y10-DailyJan!Z10-DailyJan!AA10-DailyJan!AB10-DailyJan!AC10-DailyJan!AD10-DailyJan!AE10-DailyJan!AK10-DailyJan!AO10-DailyJan!AS10-DailyJan!AY10-DailyJan!BD10+DailyJan!BS10-SUM(DailyJan!BM10:BQ10)-DailyJan!BR10-DailyJan!AF10-DailyJan!AG10</f>
        <v>3134.9830285762218</v>
      </c>
      <c r="GV11" s="59">
        <v>9143.83</v>
      </c>
      <c r="GW11" s="60">
        <f t="shared" si="53"/>
        <v>609.58866666666665</v>
      </c>
      <c r="GX11" s="61">
        <v>609.59</v>
      </c>
      <c r="GY11" s="140"/>
      <c r="GZ11" s="62"/>
      <c r="HA11" s="62">
        <v>1863.8192000000383</v>
      </c>
      <c r="HB11" s="74"/>
      <c r="HC11" s="62">
        <v>9940.3707999999624</v>
      </c>
      <c r="HD11" s="74"/>
      <c r="HE11" s="24">
        <v>2660.3529714285614</v>
      </c>
      <c r="HG11" s="62"/>
      <c r="HJ11" s="3"/>
    </row>
    <row r="12" spans="1:218" x14ac:dyDescent="0.25">
      <c r="A12" s="35">
        <f t="shared" si="2"/>
        <v>6</v>
      </c>
      <c r="B12" s="38">
        <v>3180.23</v>
      </c>
      <c r="C12" s="38">
        <f t="shared" si="3"/>
        <v>6.7100000000000364</v>
      </c>
      <c r="D12" s="38">
        <f t="shared" si="4"/>
        <v>214720.00000000116</v>
      </c>
      <c r="E12" s="38">
        <v>639.99</v>
      </c>
      <c r="F12" s="38">
        <f t="shared" ref="F12:F38" si="89">IF((E12-E11)*32000&lt;=0,0,(E12-E11)*32000)</f>
        <v>45119.999999998981</v>
      </c>
      <c r="G12" s="38">
        <f t="shared" si="6"/>
        <v>259840.00000000015</v>
      </c>
      <c r="H12" s="37"/>
      <c r="I12" s="39"/>
      <c r="J12" s="42"/>
      <c r="K12" s="37">
        <f>IF(J12&lt;=0,0,(J12/SQRT(J12^2+(I12-I11)^2)))</f>
        <v>0</v>
      </c>
      <c r="L12" s="40">
        <v>8896700</v>
      </c>
      <c r="M12" s="40"/>
      <c r="N12" s="37">
        <f t="shared" si="72"/>
        <v>258000</v>
      </c>
      <c r="O12" s="37">
        <v>9066.9</v>
      </c>
      <c r="P12" s="37"/>
      <c r="Q12" s="37">
        <f t="shared" si="7"/>
        <v>13000</v>
      </c>
      <c r="R12" s="37">
        <f>IF(Q12&lt;=0,0,(Q12/SQRT(Q12^2+(P12-P11)^2)))</f>
        <v>1</v>
      </c>
      <c r="S12" s="41">
        <v>10911687.060000001</v>
      </c>
      <c r="T12" s="37">
        <f t="shared" si="8"/>
        <v>0</v>
      </c>
      <c r="U12" s="37">
        <v>1518125.2</v>
      </c>
      <c r="V12" s="37">
        <f t="shared" si="9"/>
        <v>0</v>
      </c>
      <c r="W12" s="37">
        <v>3062.1</v>
      </c>
      <c r="X12" s="37">
        <f t="shared" si="87"/>
        <v>8000</v>
      </c>
      <c r="Y12" s="183"/>
      <c r="Z12" s="183">
        <f t="shared" si="10"/>
        <v>0</v>
      </c>
      <c r="AA12" s="37">
        <v>338200</v>
      </c>
      <c r="AB12" s="37">
        <f t="shared" si="11"/>
        <v>5000</v>
      </c>
      <c r="AC12" s="37">
        <v>3279.3</v>
      </c>
      <c r="AD12" s="2"/>
      <c r="AE12" s="37">
        <f t="shared" si="12"/>
        <v>7300.0000000001819</v>
      </c>
      <c r="AF12" s="37">
        <f>IF(AE12&lt;=0,0,(AE12/SQRT(AE12^2+(AD12-AD11)^2)))</f>
        <v>1</v>
      </c>
      <c r="AG12" s="37">
        <v>7131.9</v>
      </c>
      <c r="AH12" s="48"/>
      <c r="AI12" s="37">
        <f t="shared" si="13"/>
        <v>14547.62</v>
      </c>
      <c r="AJ12" s="37">
        <f t="shared" si="14"/>
        <v>1</v>
      </c>
      <c r="AK12" s="37">
        <f t="shared" si="15"/>
        <v>29847.620000000185</v>
      </c>
      <c r="AL12" s="42">
        <v>9279.4</v>
      </c>
      <c r="AM12" s="42"/>
      <c r="AN12" s="37">
        <f t="shared" si="54"/>
        <v>5147.6199999992277</v>
      </c>
      <c r="AO12" s="37">
        <f>IF(AN12&lt;=0,0,(AN12/SQRT(AN12^2+(AM12-AM11)^2)))</f>
        <v>1</v>
      </c>
      <c r="AP12" s="37">
        <v>6969.3</v>
      </c>
      <c r="AQ12" s="37"/>
      <c r="AR12" s="37">
        <f t="shared" si="16"/>
        <v>10100.000000000364</v>
      </c>
      <c r="AS12" s="37">
        <f>IF(AR12&lt;=0,0,(AR12/SQRT(AR12^2+(AQ12-AQ11)^2)))</f>
        <v>1</v>
      </c>
      <c r="AT12" s="183"/>
      <c r="AU12" s="183">
        <f t="shared" si="17"/>
        <v>0</v>
      </c>
      <c r="AV12" s="183"/>
      <c r="AW12" s="183">
        <f t="shared" si="18"/>
        <v>0</v>
      </c>
      <c r="AX12" s="37">
        <v>434938.76</v>
      </c>
      <c r="AY12" s="37"/>
      <c r="AZ12" s="37">
        <f t="shared" si="19"/>
        <v>406.28000000002794</v>
      </c>
      <c r="BA12" s="37">
        <v>77052.304000000004</v>
      </c>
      <c r="BB12" s="37"/>
      <c r="BC12" s="37">
        <f t="shared" si="20"/>
        <v>554.14400000000023</v>
      </c>
      <c r="BD12" s="37">
        <f t="shared" si="77"/>
        <v>16208.04399999962</v>
      </c>
      <c r="BE12" s="43">
        <v>1581.8</v>
      </c>
      <c r="BF12" s="43">
        <v>856.22</v>
      </c>
      <c r="BG12" s="37">
        <f t="shared" si="21"/>
        <v>1599.9999999999091</v>
      </c>
      <c r="BH12" s="44">
        <v>7624.6</v>
      </c>
      <c r="BI12" s="44">
        <v>4904</v>
      </c>
      <c r="BJ12" s="37">
        <f t="shared" si="22"/>
        <v>9400.0000000005457</v>
      </c>
      <c r="BK12" s="40">
        <v>1004100</v>
      </c>
      <c r="BL12" s="40">
        <f t="shared" si="78"/>
        <v>5250</v>
      </c>
      <c r="BM12" s="40">
        <v>778.51</v>
      </c>
      <c r="BN12" s="37">
        <f t="shared" si="23"/>
        <v>689.99999999994088</v>
      </c>
      <c r="BO12" s="186"/>
      <c r="BP12" s="183">
        <f t="shared" si="24"/>
        <v>0</v>
      </c>
      <c r="BQ12" s="40">
        <v>738.57</v>
      </c>
      <c r="BR12" s="37">
        <f t="shared" si="55"/>
        <v>260.00000000010459</v>
      </c>
      <c r="BS12" s="37">
        <v>70079.14</v>
      </c>
      <c r="BT12" s="37">
        <f t="shared" si="25"/>
        <v>185.25</v>
      </c>
      <c r="BU12" s="42">
        <v>1767600</v>
      </c>
      <c r="BV12" s="42"/>
      <c r="BW12" s="37">
        <f t="shared" si="26"/>
        <v>6200</v>
      </c>
      <c r="BX12" s="37">
        <f>IF(BW12&lt;=0,0,(BW12/SQRT(BW12^2+(BV12-BV11)^2)))</f>
        <v>1</v>
      </c>
      <c r="BY12" s="43">
        <v>249.21</v>
      </c>
      <c r="BZ12" s="43"/>
      <c r="CA12" s="37">
        <f t="shared" si="27"/>
        <v>680.00000000000682</v>
      </c>
      <c r="CB12" s="37">
        <f t="shared" si="56"/>
        <v>1</v>
      </c>
      <c r="CC12" s="37">
        <v>413980</v>
      </c>
      <c r="CD12" s="37">
        <f t="shared" si="28"/>
        <v>1680</v>
      </c>
      <c r="CE12" s="37">
        <v>697300</v>
      </c>
      <c r="CF12" s="37">
        <f t="shared" si="57"/>
        <v>0</v>
      </c>
      <c r="CG12" s="37">
        <v>46603</v>
      </c>
      <c r="CH12" s="37">
        <f t="shared" si="58"/>
        <v>0</v>
      </c>
      <c r="CI12" s="40">
        <v>10355</v>
      </c>
      <c r="CJ12" s="40"/>
      <c r="CK12" s="37">
        <f t="shared" si="59"/>
        <v>16367.619999999992</v>
      </c>
      <c r="CL12" s="37">
        <f t="shared" si="29"/>
        <v>1</v>
      </c>
      <c r="CM12" s="37">
        <v>2592.8000000000002</v>
      </c>
      <c r="CN12" s="37"/>
      <c r="CO12" s="37">
        <f t="shared" si="30"/>
        <v>7947.6200000000908</v>
      </c>
      <c r="CP12" s="37">
        <f>IF(CO12&lt;=0,0,(CO12/SQRT(CO12^2+(CN12-CN11)^2)))</f>
        <v>1</v>
      </c>
      <c r="CQ12" s="39">
        <v>2534.9</v>
      </c>
      <c r="CR12" s="45"/>
      <c r="CS12" s="37">
        <f t="shared" si="31"/>
        <v>6147.6199999999089</v>
      </c>
      <c r="CT12" s="37">
        <f>IF(CS12&lt;=0,0,(CS12/SQRT(CS12^2+(CR12-CR11)^2)))</f>
        <v>1</v>
      </c>
      <c r="CU12" s="37">
        <v>1745200</v>
      </c>
      <c r="CV12" s="37"/>
      <c r="CW12" s="38">
        <f t="shared" si="32"/>
        <v>13100</v>
      </c>
      <c r="CX12" s="37">
        <f>IF(CW12&lt;=0,0,(CW12/SQRT(CW12^2+(CV12-CV11)^2)))</f>
        <v>1</v>
      </c>
      <c r="CY12" s="37">
        <v>894480</v>
      </c>
      <c r="CZ12" s="37"/>
      <c r="DA12" s="37">
        <f t="shared" si="33"/>
        <v>9830</v>
      </c>
      <c r="DB12" s="37">
        <f>IF(DA12&lt;=0,0,(DA12/SQRT(DA12^2+(CZ12-CZ11)^2)))</f>
        <v>1</v>
      </c>
      <c r="DC12" s="37"/>
      <c r="DD12" s="40"/>
      <c r="DE12" s="37">
        <f t="shared" si="34"/>
        <v>0</v>
      </c>
      <c r="DF12" s="37">
        <f>IF(DE12&lt;=0,0,(DE12/SQRT(DE12^2+(DD12-DD11)^2)))</f>
        <v>0</v>
      </c>
      <c r="DG12" s="37">
        <f t="shared" si="35"/>
        <v>-59592.859999999986</v>
      </c>
      <c r="DH12" s="37">
        <f t="shared" si="36"/>
        <v>289447.62000000011</v>
      </c>
      <c r="DI12" s="46"/>
      <c r="DJ12" s="46"/>
      <c r="DK12" s="47"/>
      <c r="DL12" s="47"/>
      <c r="DM12" s="37"/>
      <c r="DN12" s="37"/>
      <c r="DO12" s="37"/>
      <c r="DP12" s="37"/>
      <c r="DQ12" s="50">
        <v>2274000</v>
      </c>
      <c r="DR12" s="49">
        <f t="shared" si="60"/>
        <v>9900</v>
      </c>
      <c r="DS12" s="50">
        <v>1438500</v>
      </c>
      <c r="DT12" s="49">
        <f t="shared" si="61"/>
        <v>16800</v>
      </c>
      <c r="DU12" s="52">
        <v>7388</v>
      </c>
      <c r="DV12" s="52">
        <v>4114.8999999999996</v>
      </c>
      <c r="DW12" s="37">
        <f t="shared" si="84"/>
        <v>4000</v>
      </c>
      <c r="DX12" s="52">
        <v>12267</v>
      </c>
      <c r="DY12" s="52">
        <v>8183.7</v>
      </c>
      <c r="DZ12" s="37">
        <f t="shared" si="37"/>
        <v>7047.62</v>
      </c>
      <c r="EA12" s="49">
        <v>27097</v>
      </c>
      <c r="EB12" s="49">
        <v>19.405000000000001</v>
      </c>
      <c r="EC12" s="37">
        <f t="shared" si="38"/>
        <v>26207.62</v>
      </c>
      <c r="ED12" s="53">
        <f t="shared" si="39"/>
        <v>37255.24</v>
      </c>
      <c r="EE12" s="49">
        <v>42199</v>
      </c>
      <c r="EF12" s="49">
        <v>26.55</v>
      </c>
      <c r="EG12" s="37">
        <f t="shared" si="40"/>
        <v>37207.620000000003</v>
      </c>
      <c r="EH12" s="52">
        <v>11731</v>
      </c>
      <c r="EI12" s="52">
        <v>1.5439000000000001</v>
      </c>
      <c r="EJ12" s="37">
        <f t="shared" si="41"/>
        <v>13047.62</v>
      </c>
      <c r="EK12" s="37">
        <v>707.12</v>
      </c>
      <c r="EL12" s="64">
        <v>1017.6</v>
      </c>
      <c r="EM12" s="37">
        <f t="shared" si="62"/>
        <v>659.99999999996817</v>
      </c>
      <c r="EN12" s="54">
        <f t="shared" si="63"/>
        <v>50915.239999999976</v>
      </c>
      <c r="EO12" s="48">
        <v>11843</v>
      </c>
      <c r="EP12" s="48">
        <v>4123.3999999999996</v>
      </c>
      <c r="EQ12" s="37">
        <f t="shared" si="42"/>
        <v>9047.6200000000008</v>
      </c>
      <c r="ER12" s="48">
        <v>7198.2</v>
      </c>
      <c r="ES12" s="48">
        <v>2912.1</v>
      </c>
      <c r="ET12" s="49">
        <f t="shared" si="43"/>
        <v>19599.999999999454</v>
      </c>
      <c r="EU12" s="48">
        <v>2538.9</v>
      </c>
      <c r="EV12" s="48">
        <v>908.75</v>
      </c>
      <c r="EW12" s="49">
        <f t="shared" si="44"/>
        <v>9147.6199999999099</v>
      </c>
      <c r="EX12" s="48">
        <v>11941</v>
      </c>
      <c r="EY12" s="48">
        <v>1.2385999999999999</v>
      </c>
      <c r="EZ12" s="37">
        <f t="shared" si="45"/>
        <v>13047.62</v>
      </c>
      <c r="FA12" s="48">
        <f t="shared" si="64"/>
        <v>-25076.859999999368</v>
      </c>
      <c r="FB12" s="48">
        <v>33472079</v>
      </c>
      <c r="FC12" s="49">
        <f t="shared" si="85"/>
        <v>25766</v>
      </c>
      <c r="FD12" s="48">
        <f t="shared" si="65"/>
        <v>52542.859999999186</v>
      </c>
      <c r="FE12" s="48">
        <v>15882</v>
      </c>
      <c r="FF12" s="48">
        <v>5711.6</v>
      </c>
      <c r="FG12" s="37">
        <f t="shared" si="66"/>
        <v>7280.95</v>
      </c>
      <c r="FH12" s="48">
        <v>6634.6</v>
      </c>
      <c r="FI12" s="48">
        <v>2.5518000000000001</v>
      </c>
      <c r="FJ12" s="49">
        <f t="shared" si="46"/>
        <v>19780.95</v>
      </c>
      <c r="FK12" s="48"/>
      <c r="FL12" s="58">
        <v>233.33</v>
      </c>
      <c r="FM12" s="48">
        <f t="shared" si="86"/>
        <v>-47.616666666666184</v>
      </c>
      <c r="FN12" s="48">
        <v>15094</v>
      </c>
      <c r="FO12" s="48">
        <v>0.64510000000000001</v>
      </c>
      <c r="FP12" s="37">
        <f t="shared" si="67"/>
        <v>12280.95</v>
      </c>
      <c r="FQ12" s="48">
        <v>53414</v>
      </c>
      <c r="FR12" s="48">
        <v>12.679</v>
      </c>
      <c r="FS12" s="37">
        <f>IF((FQ12-FQ11)*1000&lt;=0,0,(FQ12-FQ11)*1000)</f>
        <v>56000</v>
      </c>
      <c r="FT12" s="48">
        <f t="shared" si="68"/>
        <v>-142.84999999999854</v>
      </c>
      <c r="FU12" s="48">
        <f>FG12+FJ12+FP12+GM12</f>
        <v>40542.850000000049</v>
      </c>
      <c r="FV12" s="44">
        <v>1964000</v>
      </c>
      <c r="FW12" s="65">
        <v>640170</v>
      </c>
      <c r="FX12" s="37">
        <f t="shared" si="48"/>
        <v>8900</v>
      </c>
      <c r="FY12" s="56">
        <v>2685.9</v>
      </c>
      <c r="FZ12" s="56">
        <v>1.5078</v>
      </c>
      <c r="GA12" s="37">
        <f>IF((FY12-FY11)*1000&lt;=0,0,((FY12-FY11)*1000)-GS12)</f>
        <v>930.0000000001819</v>
      </c>
      <c r="GB12" s="56">
        <v>721.58</v>
      </c>
      <c r="GC12" s="63">
        <v>797.36</v>
      </c>
      <c r="GD12" s="37">
        <f t="shared" si="49"/>
        <v>450.00000000004547</v>
      </c>
      <c r="GE12" s="56">
        <v>9012</v>
      </c>
      <c r="GF12" s="56">
        <v>2.6202999999999999</v>
      </c>
      <c r="GG12" s="37">
        <f t="shared" si="50"/>
        <v>4600.0000000001364</v>
      </c>
      <c r="GH12" s="153">
        <v>1732.6</v>
      </c>
      <c r="GI12" s="162">
        <v>1458.5</v>
      </c>
      <c r="GJ12" s="38">
        <f t="shared" si="51"/>
        <v>1699.9999999998181</v>
      </c>
      <c r="GK12" s="162">
        <v>1398.3</v>
      </c>
      <c r="GL12" s="163">
        <v>1088.5</v>
      </c>
      <c r="GM12" s="38">
        <f t="shared" si="52"/>
        <v>1200.0000000000455</v>
      </c>
      <c r="GN12" s="57">
        <v>158770</v>
      </c>
      <c r="GO12" s="57">
        <v>138490</v>
      </c>
      <c r="GP12" s="38">
        <f t="shared" ref="GP12:GP38" si="90">IF((GN12-GN11)&lt;=0,0,(GN12-GN11))</f>
        <v>1280</v>
      </c>
      <c r="GQ12" s="38">
        <v>176940</v>
      </c>
      <c r="GR12" s="38">
        <v>179590</v>
      </c>
      <c r="GS12" s="38">
        <f t="shared" si="70"/>
        <v>1370</v>
      </c>
      <c r="GT12" s="178"/>
      <c r="GU12" s="144">
        <f>DailyJan!B11-DailyJan!N11-DailyJan!V11-DailyJan!Y11-DailyJan!Z11-DailyJan!AA11-DailyJan!AB11-DailyJan!AC11-DailyJan!AD11-DailyJan!AE11-DailyJan!AK11-DailyJan!AO11-DailyJan!AS11-DailyJan!AY11-DailyJan!BD11+DailyJan!BS11-SUM(DailyJan!BM11:BQ11)-DailyJan!BR11-DailyJan!AF11-DailyJan!AG11</f>
        <v>3134.9330285717806</v>
      </c>
      <c r="GV12" s="59">
        <v>714.23</v>
      </c>
      <c r="GW12" s="60">
        <f t="shared" si="53"/>
        <v>47.615333333333332</v>
      </c>
      <c r="GX12" s="61">
        <v>47.62</v>
      </c>
      <c r="GY12" s="140"/>
      <c r="GZ12" s="62"/>
      <c r="HA12" s="62">
        <v>2134.5856000000013</v>
      </c>
      <c r="HB12" s="74"/>
      <c r="HC12" s="62">
        <v>1240.0043999999989</v>
      </c>
      <c r="HD12" s="74"/>
      <c r="HE12" s="24">
        <v>2660.3529714285614</v>
      </c>
      <c r="HG12" s="62"/>
      <c r="HJ12" s="3"/>
    </row>
    <row r="13" spans="1:218" x14ac:dyDescent="0.25">
      <c r="A13" s="35">
        <f t="shared" si="2"/>
        <v>7</v>
      </c>
      <c r="B13" s="38">
        <v>3187.22</v>
      </c>
      <c r="C13" s="38">
        <f t="shared" si="3"/>
        <v>6.9899999999997817</v>
      </c>
      <c r="D13" s="38">
        <f t="shared" si="4"/>
        <v>223679.99999999302</v>
      </c>
      <c r="E13" s="38">
        <v>641.42999999999995</v>
      </c>
      <c r="F13" s="38">
        <f t="shared" si="89"/>
        <v>46079.999999998108</v>
      </c>
      <c r="G13" s="38">
        <f t="shared" si="6"/>
        <v>269759.99999999115</v>
      </c>
      <c r="H13" s="37"/>
      <c r="I13" s="39"/>
      <c r="J13" s="42"/>
      <c r="K13" s="37">
        <f t="shared" si="71"/>
        <v>0</v>
      </c>
      <c r="L13" s="40">
        <v>8923500</v>
      </c>
      <c r="M13" s="40"/>
      <c r="N13" s="37">
        <f t="shared" si="72"/>
        <v>268000</v>
      </c>
      <c r="O13" s="37">
        <v>9079.6</v>
      </c>
      <c r="P13" s="37"/>
      <c r="Q13" s="37">
        <f t="shared" si="7"/>
        <v>12700.000000000728</v>
      </c>
      <c r="R13" s="37">
        <f t="shared" si="73"/>
        <v>1</v>
      </c>
      <c r="S13" s="41">
        <v>10911687.060000001</v>
      </c>
      <c r="T13" s="37">
        <f t="shared" si="8"/>
        <v>0</v>
      </c>
      <c r="U13" s="37">
        <v>1518125.2</v>
      </c>
      <c r="V13" s="37">
        <f t="shared" si="9"/>
        <v>0</v>
      </c>
      <c r="W13" s="37">
        <v>3068.5</v>
      </c>
      <c r="X13" s="37">
        <f t="shared" si="87"/>
        <v>8020.0000000007276</v>
      </c>
      <c r="Y13" s="183"/>
      <c r="Z13" s="183">
        <f t="shared" si="10"/>
        <v>0</v>
      </c>
      <c r="AA13" s="37">
        <v>342880</v>
      </c>
      <c r="AB13" s="37">
        <f t="shared" si="11"/>
        <v>4680</v>
      </c>
      <c r="AC13" s="37">
        <v>3284.7</v>
      </c>
      <c r="AD13" s="37"/>
      <c r="AE13" s="37">
        <f t="shared" si="12"/>
        <v>5399.9999999996362</v>
      </c>
      <c r="AF13" s="37">
        <f t="shared" si="74"/>
        <v>1</v>
      </c>
      <c r="AG13" s="37">
        <v>7144.9</v>
      </c>
      <c r="AH13" s="48"/>
      <c r="AI13" s="37">
        <f t="shared" si="13"/>
        <v>13436.37</v>
      </c>
      <c r="AJ13" s="37">
        <f t="shared" si="14"/>
        <v>1</v>
      </c>
      <c r="AK13" s="37">
        <f t="shared" si="15"/>
        <v>26856.370000000366</v>
      </c>
      <c r="AL13" s="42">
        <v>9292.6</v>
      </c>
      <c r="AM13" s="42"/>
      <c r="AN13" s="37">
        <f t="shared" si="54"/>
        <v>6956.3700000007102</v>
      </c>
      <c r="AO13" s="37">
        <f t="shared" si="75"/>
        <v>1</v>
      </c>
      <c r="AP13" s="37">
        <v>6982.7</v>
      </c>
      <c r="AQ13" s="37"/>
      <c r="AR13" s="37">
        <f t="shared" si="16"/>
        <v>13399.999999999636</v>
      </c>
      <c r="AS13" s="37">
        <f t="shared" si="76"/>
        <v>1</v>
      </c>
      <c r="AT13" s="183"/>
      <c r="AU13" s="183">
        <f t="shared" si="17"/>
        <v>0</v>
      </c>
      <c r="AV13" s="183"/>
      <c r="AW13" s="183">
        <f t="shared" si="18"/>
        <v>0</v>
      </c>
      <c r="AX13" s="37">
        <v>435334.8</v>
      </c>
      <c r="AY13" s="37"/>
      <c r="AZ13" s="37">
        <f t="shared" si="19"/>
        <v>396.03999999997905</v>
      </c>
      <c r="BA13" s="37">
        <v>77755.423999999999</v>
      </c>
      <c r="BB13" s="37"/>
      <c r="BC13" s="37">
        <f t="shared" si="20"/>
        <v>703.11999999999534</v>
      </c>
      <c r="BD13" s="37">
        <f t="shared" si="77"/>
        <v>21455.530000000319</v>
      </c>
      <c r="BE13" s="43">
        <v>1583.7</v>
      </c>
      <c r="BF13" s="43">
        <v>857.37</v>
      </c>
      <c r="BG13" s="37">
        <f t="shared" si="21"/>
        <v>1900.0000000000909</v>
      </c>
      <c r="BH13" s="44">
        <v>7633.9</v>
      </c>
      <c r="BI13" s="44">
        <v>4910.7</v>
      </c>
      <c r="BJ13" s="37">
        <f t="shared" si="22"/>
        <v>9299.9999999992724</v>
      </c>
      <c r="BK13" s="40">
        <v>1009300</v>
      </c>
      <c r="BL13" s="40">
        <f t="shared" si="78"/>
        <v>5200</v>
      </c>
      <c r="BM13" s="40">
        <v>779.23</v>
      </c>
      <c r="BN13" s="37">
        <f t="shared" si="23"/>
        <v>720.00000000002728</v>
      </c>
      <c r="BO13" s="186"/>
      <c r="BP13" s="183">
        <f t="shared" si="24"/>
        <v>0</v>
      </c>
      <c r="BQ13" s="40">
        <v>739.33</v>
      </c>
      <c r="BR13" s="37">
        <f t="shared" si="55"/>
        <v>759.99999999999091</v>
      </c>
      <c r="BS13" s="37">
        <v>70260.77</v>
      </c>
      <c r="BT13" s="37">
        <f t="shared" si="25"/>
        <v>181.63000000000466</v>
      </c>
      <c r="BU13" s="42">
        <v>1771900</v>
      </c>
      <c r="BV13" s="42"/>
      <c r="BW13" s="37">
        <f t="shared" si="26"/>
        <v>4300</v>
      </c>
      <c r="BX13" s="37">
        <f t="shared" si="79"/>
        <v>1</v>
      </c>
      <c r="BY13" s="43">
        <v>249.93</v>
      </c>
      <c r="BZ13" s="37"/>
      <c r="CA13" s="37">
        <f t="shared" si="27"/>
        <v>719.99999999999886</v>
      </c>
      <c r="CB13" s="37">
        <f t="shared" si="56"/>
        <v>1</v>
      </c>
      <c r="CC13" s="37">
        <v>414370</v>
      </c>
      <c r="CD13" s="37">
        <f t="shared" si="28"/>
        <v>390</v>
      </c>
      <c r="CE13" s="37">
        <v>697300</v>
      </c>
      <c r="CF13" s="37">
        <f t="shared" si="57"/>
        <v>0</v>
      </c>
      <c r="CG13" s="37">
        <v>46603</v>
      </c>
      <c r="CH13" s="37">
        <f t="shared" si="58"/>
        <v>0</v>
      </c>
      <c r="CI13" s="40">
        <v>10370</v>
      </c>
      <c r="CJ13" s="40"/>
      <c r="CK13" s="37">
        <f t="shared" si="59"/>
        <v>14716.370000000003</v>
      </c>
      <c r="CL13" s="37">
        <f t="shared" si="29"/>
        <v>1</v>
      </c>
      <c r="CM13" s="37">
        <v>2600.1999999999998</v>
      </c>
      <c r="CN13" s="37"/>
      <c r="CO13" s="37">
        <f t="shared" si="30"/>
        <v>7836.3699999996361</v>
      </c>
      <c r="CP13" s="37">
        <f t="shared" si="80"/>
        <v>1</v>
      </c>
      <c r="CQ13" s="39">
        <v>2540.4</v>
      </c>
      <c r="CR13" s="45"/>
      <c r="CS13" s="37">
        <f t="shared" si="31"/>
        <v>5936.37</v>
      </c>
      <c r="CT13" s="37">
        <f t="shared" si="81"/>
        <v>1</v>
      </c>
      <c r="CU13" s="37">
        <v>1762700</v>
      </c>
      <c r="CV13" s="37"/>
      <c r="CW13" s="38">
        <f t="shared" si="32"/>
        <v>17500</v>
      </c>
      <c r="CX13" s="37">
        <f t="shared" si="82"/>
        <v>1</v>
      </c>
      <c r="CY13" s="37">
        <v>905570</v>
      </c>
      <c r="CZ13" s="37"/>
      <c r="DA13" s="37">
        <f t="shared" si="33"/>
        <v>11090</v>
      </c>
      <c r="DB13" s="37">
        <f t="shared" si="83"/>
        <v>1</v>
      </c>
      <c r="DC13" s="37"/>
      <c r="DD13" s="40"/>
      <c r="DE13" s="37">
        <f t="shared" si="34"/>
        <v>0</v>
      </c>
      <c r="DF13" s="37">
        <f t="shared" si="88"/>
        <v>0</v>
      </c>
      <c r="DG13" s="37">
        <f t="shared" si="35"/>
        <v>-61379.109999999644</v>
      </c>
      <c r="DH13" s="37">
        <f t="shared" si="36"/>
        <v>296756.37000000046</v>
      </c>
      <c r="DI13" s="46"/>
      <c r="DJ13" s="46"/>
      <c r="DK13" s="47"/>
      <c r="DL13" s="47"/>
      <c r="DM13" s="37"/>
      <c r="DN13" s="37"/>
      <c r="DO13" s="37"/>
      <c r="DP13" s="37"/>
      <c r="DQ13" s="50">
        <v>2285600</v>
      </c>
      <c r="DR13" s="49">
        <f t="shared" si="60"/>
        <v>11600</v>
      </c>
      <c r="DS13" s="50">
        <v>1454900</v>
      </c>
      <c r="DT13" s="49">
        <f t="shared" si="61"/>
        <v>16400</v>
      </c>
      <c r="DU13" s="52">
        <v>7392.2</v>
      </c>
      <c r="DV13" s="52">
        <v>4117.5</v>
      </c>
      <c r="DW13" s="37">
        <f t="shared" si="84"/>
        <v>4199.9999999998181</v>
      </c>
      <c r="DX13" s="52">
        <v>12274</v>
      </c>
      <c r="DY13" s="52">
        <v>8186.3</v>
      </c>
      <c r="DZ13" s="37">
        <f t="shared" si="37"/>
        <v>7436.37</v>
      </c>
      <c r="EA13" s="49">
        <v>27120</v>
      </c>
      <c r="EB13" s="49">
        <v>19.416</v>
      </c>
      <c r="EC13" s="37">
        <f t="shared" si="38"/>
        <v>25596.37</v>
      </c>
      <c r="ED13" s="53">
        <f t="shared" si="39"/>
        <v>37232.739999999816</v>
      </c>
      <c r="EE13" s="49">
        <v>42231</v>
      </c>
      <c r="EF13" s="49">
        <v>26.58</v>
      </c>
      <c r="EG13" s="37">
        <f t="shared" si="40"/>
        <v>34596.369999999995</v>
      </c>
      <c r="EH13" s="52">
        <v>11743</v>
      </c>
      <c r="EI13" s="52">
        <v>1.5472999999999999</v>
      </c>
      <c r="EJ13" s="37">
        <f t="shared" si="41"/>
        <v>12436.37</v>
      </c>
      <c r="EK13" s="37">
        <v>707.78</v>
      </c>
      <c r="EL13" s="40">
        <v>1018.5</v>
      </c>
      <c r="EM13" s="37">
        <f t="shared" si="62"/>
        <v>659.99999999996817</v>
      </c>
      <c r="EN13" s="54">
        <f t="shared" si="63"/>
        <v>47692.739999999969</v>
      </c>
      <c r="EO13" s="48">
        <v>11851</v>
      </c>
      <c r="EP13" s="48">
        <v>4126.8</v>
      </c>
      <c r="EQ13" s="37">
        <f t="shared" si="42"/>
        <v>8436.3700000000008</v>
      </c>
      <c r="ER13" s="48">
        <v>7215</v>
      </c>
      <c r="ES13" s="48">
        <v>2919.6</v>
      </c>
      <c r="ET13" s="49">
        <f t="shared" si="43"/>
        <v>16800.000000000182</v>
      </c>
      <c r="EU13" s="48">
        <v>2548.3000000000002</v>
      </c>
      <c r="EV13" s="48">
        <v>911.97</v>
      </c>
      <c r="EW13" s="49">
        <f t="shared" si="44"/>
        <v>9836.3700000000917</v>
      </c>
      <c r="EX13" s="48">
        <v>11953</v>
      </c>
      <c r="EY13" s="48">
        <v>1.2406999999999999</v>
      </c>
      <c r="EZ13" s="37">
        <f t="shared" si="45"/>
        <v>12436.37</v>
      </c>
      <c r="FA13" s="48">
        <f>FC13-EQ13-ET13-EW13-EZ13</f>
        <v>-23396.110000000277</v>
      </c>
      <c r="FB13" s="48">
        <v>33496192</v>
      </c>
      <c r="FC13" s="49">
        <f t="shared" si="85"/>
        <v>24113</v>
      </c>
      <c r="FD13" s="48">
        <f t="shared" si="65"/>
        <v>48909.110000000364</v>
      </c>
      <c r="FE13" s="48">
        <v>15890</v>
      </c>
      <c r="FF13" s="48">
        <v>5714</v>
      </c>
      <c r="FG13" s="37">
        <f t="shared" si="66"/>
        <v>8103.04</v>
      </c>
      <c r="FH13" s="48">
        <v>6654.2</v>
      </c>
      <c r="FI13" s="48">
        <v>2.5594000000000001</v>
      </c>
      <c r="FJ13" s="49">
        <f t="shared" si="46"/>
        <v>19703.039999999452</v>
      </c>
      <c r="FK13" s="48"/>
      <c r="FL13" s="58">
        <v>-333.33</v>
      </c>
      <c r="FM13" s="48">
        <f t="shared" si="86"/>
        <v>-436.37333333315109</v>
      </c>
      <c r="FN13" s="48">
        <v>15106</v>
      </c>
      <c r="FO13" s="48">
        <v>0.64600000000000002</v>
      </c>
      <c r="FP13" s="37">
        <f t="shared" si="67"/>
        <v>12103.04</v>
      </c>
      <c r="FQ13" s="48">
        <v>53469</v>
      </c>
      <c r="FR13" s="48">
        <v>12.696</v>
      </c>
      <c r="FS13" s="37">
        <f t="shared" si="47"/>
        <v>55000</v>
      </c>
      <c r="FT13" s="48">
        <f t="shared" si="68"/>
        <v>-1309.1199999994533</v>
      </c>
      <c r="FU13" s="48">
        <f>FG13+FJ13+FP13+GM13</f>
        <v>40109.119999999501</v>
      </c>
      <c r="FV13" s="44">
        <v>1981200</v>
      </c>
      <c r="FW13" s="44">
        <v>645490</v>
      </c>
      <c r="FX13" s="37">
        <f t="shared" si="48"/>
        <v>17200</v>
      </c>
      <c r="FY13" s="56">
        <v>2688.7</v>
      </c>
      <c r="FZ13" s="56">
        <v>1.5083</v>
      </c>
      <c r="GA13" s="37">
        <f>IF((FY13-FY12)*1000&lt;=0,0,((FY13-FY12)*1000)-GS13)</f>
        <v>1569.9999999997272</v>
      </c>
      <c r="GB13" s="56">
        <v>722.59</v>
      </c>
      <c r="GC13" s="56">
        <v>798.7</v>
      </c>
      <c r="GD13" s="37">
        <f t="shared" si="49"/>
        <v>1009.9999999999909</v>
      </c>
      <c r="GE13" s="56">
        <v>9020.5</v>
      </c>
      <c r="GF13" s="56">
        <v>2.6227999999999998</v>
      </c>
      <c r="GG13" s="37">
        <f t="shared" si="50"/>
        <v>6899.9999999998636</v>
      </c>
      <c r="GH13" s="153">
        <v>1734</v>
      </c>
      <c r="GI13" s="162">
        <v>1459.9</v>
      </c>
      <c r="GJ13" s="38">
        <f t="shared" si="51"/>
        <v>1400.0000000000909</v>
      </c>
      <c r="GK13" s="162">
        <v>1398.5</v>
      </c>
      <c r="GL13" s="163">
        <v>1088.5999999999999</v>
      </c>
      <c r="GM13" s="38">
        <f t="shared" si="52"/>
        <v>200.00000000004547</v>
      </c>
      <c r="GN13" s="57">
        <v>158830</v>
      </c>
      <c r="GO13" s="57">
        <v>138550</v>
      </c>
      <c r="GP13" s="38">
        <f t="shared" si="90"/>
        <v>60</v>
      </c>
      <c r="GQ13" s="38">
        <v>178170</v>
      </c>
      <c r="GR13" s="38">
        <v>180860</v>
      </c>
      <c r="GS13" s="38">
        <f t="shared" si="70"/>
        <v>1230</v>
      </c>
      <c r="GT13" s="178"/>
      <c r="GU13" s="144">
        <f>DailyJan!B12-DailyJan!N12-DailyJan!V12-DailyJan!Y12-DailyJan!Z12-DailyJan!AA12-DailyJan!AB12-DailyJan!AC12-DailyJan!AD12-DailyJan!AE12-DailyJan!AK12-DailyJan!AO12-DailyJan!AS12-DailyJan!AY12-DailyJan!BD12+DailyJan!BS12-SUM(DailyJan!BM12:BQ12)-DailyJan!BR12-DailyJan!AF12-DailyJan!AG12</f>
        <v>3134.9270285636376</v>
      </c>
      <c r="GV13" s="59">
        <v>6545.48</v>
      </c>
      <c r="GW13" s="60">
        <f t="shared" si="53"/>
        <v>436.3653333333333</v>
      </c>
      <c r="GX13" s="61">
        <v>436.37</v>
      </c>
      <c r="GY13" s="140"/>
      <c r="GZ13" s="62"/>
      <c r="HA13" s="62">
        <v>2216.0783999999271</v>
      </c>
      <c r="HB13" s="74"/>
      <c r="HC13" s="62">
        <v>6989.7516000000724</v>
      </c>
      <c r="HD13" s="74"/>
      <c r="HE13" s="24">
        <v>2660.3529714285614</v>
      </c>
      <c r="HG13" s="62"/>
      <c r="HJ13" s="3"/>
    </row>
    <row r="14" spans="1:218" x14ac:dyDescent="0.25">
      <c r="A14" s="35">
        <f t="shared" si="2"/>
        <v>8</v>
      </c>
      <c r="B14" s="38">
        <v>3194.4</v>
      </c>
      <c r="C14" s="38">
        <f t="shared" si="3"/>
        <v>7.180000000000291</v>
      </c>
      <c r="D14" s="38">
        <f t="shared" si="4"/>
        <v>229760.00000000931</v>
      </c>
      <c r="E14" s="38">
        <v>642.98</v>
      </c>
      <c r="F14" s="38">
        <f t="shared" si="89"/>
        <v>49600.000000002183</v>
      </c>
      <c r="G14" s="38">
        <f t="shared" si="6"/>
        <v>279360.00000001153</v>
      </c>
      <c r="H14" s="37"/>
      <c r="I14" s="39"/>
      <c r="J14" s="42"/>
      <c r="K14" s="37">
        <f>IF(J14&lt;=0,0,(J14/SQRT(J14^2+(I14-I13)^2)))</f>
        <v>0</v>
      </c>
      <c r="L14" s="40">
        <v>8951200</v>
      </c>
      <c r="M14" s="40"/>
      <c r="N14" s="37">
        <f t="shared" si="72"/>
        <v>277000</v>
      </c>
      <c r="O14" s="37">
        <v>9092.7999999999993</v>
      </c>
      <c r="P14" s="37"/>
      <c r="Q14" s="37">
        <f t="shared" si="7"/>
        <v>13199.999999998909</v>
      </c>
      <c r="R14" s="37">
        <f t="shared" si="73"/>
        <v>1</v>
      </c>
      <c r="S14" s="41">
        <v>10911687.060000001</v>
      </c>
      <c r="T14" s="37">
        <f t="shared" si="8"/>
        <v>0</v>
      </c>
      <c r="U14" s="37">
        <v>1518125.2</v>
      </c>
      <c r="V14" s="37">
        <f t="shared" si="9"/>
        <v>0</v>
      </c>
      <c r="W14" s="37">
        <v>3075.2</v>
      </c>
      <c r="X14" s="37">
        <f t="shared" si="87"/>
        <v>8369.9999999989086</v>
      </c>
      <c r="Y14" s="183"/>
      <c r="Z14" s="183">
        <f t="shared" si="10"/>
        <v>0</v>
      </c>
      <c r="AA14" s="37">
        <v>347710</v>
      </c>
      <c r="AB14" s="37">
        <f t="shared" si="11"/>
        <v>4830</v>
      </c>
      <c r="AC14" s="37">
        <v>3289.6</v>
      </c>
      <c r="AD14" s="37"/>
      <c r="AE14" s="37">
        <f t="shared" si="12"/>
        <v>4900.0000000000909</v>
      </c>
      <c r="AF14" s="37">
        <f t="shared" si="74"/>
        <v>1</v>
      </c>
      <c r="AG14" s="37">
        <v>7157</v>
      </c>
      <c r="AH14" s="48"/>
      <c r="AI14" s="37">
        <f t="shared" si="13"/>
        <v>11872.570000000364</v>
      </c>
      <c r="AJ14" s="37">
        <f t="shared" si="14"/>
        <v>1</v>
      </c>
      <c r="AK14" s="37">
        <f t="shared" si="15"/>
        <v>25142.569999999363</v>
      </c>
      <c r="AL14" s="42">
        <v>9306.2999999999993</v>
      </c>
      <c r="AM14" s="42"/>
      <c r="AN14" s="37">
        <f t="shared" si="54"/>
        <v>6912.5699999990084</v>
      </c>
      <c r="AO14" s="37">
        <f t="shared" si="75"/>
        <v>1</v>
      </c>
      <c r="AP14" s="37">
        <v>6997.3</v>
      </c>
      <c r="AQ14" s="37"/>
      <c r="AR14" s="37">
        <f t="shared" si="16"/>
        <v>14600.000000000364</v>
      </c>
      <c r="AS14" s="37">
        <f t="shared" si="76"/>
        <v>1</v>
      </c>
      <c r="AT14" s="183"/>
      <c r="AU14" s="183">
        <f t="shared" si="17"/>
        <v>0</v>
      </c>
      <c r="AV14" s="183"/>
      <c r="AW14" s="183">
        <f t="shared" si="18"/>
        <v>0</v>
      </c>
      <c r="AX14" s="37">
        <v>435832.08</v>
      </c>
      <c r="AY14" s="37"/>
      <c r="AZ14" s="37">
        <f t="shared" si="19"/>
        <v>497.28000000002794</v>
      </c>
      <c r="BA14" s="37">
        <v>78446.296000000002</v>
      </c>
      <c r="BB14" s="37"/>
      <c r="BC14" s="37">
        <f t="shared" si="20"/>
        <v>690.87200000000303</v>
      </c>
      <c r="BD14" s="37">
        <f t="shared" si="77"/>
        <v>22700.721999999405</v>
      </c>
      <c r="BE14" s="43">
        <v>1585.6</v>
      </c>
      <c r="BF14" s="43">
        <v>858.54</v>
      </c>
      <c r="BG14" s="37">
        <f t="shared" si="21"/>
        <v>1899.9999999998636</v>
      </c>
      <c r="BH14" s="44">
        <v>7643.1</v>
      </c>
      <c r="BI14" s="44">
        <v>4916.2</v>
      </c>
      <c r="BJ14" s="37">
        <f t="shared" si="22"/>
        <v>9200.0000000007276</v>
      </c>
      <c r="BK14" s="40">
        <v>1014500</v>
      </c>
      <c r="BL14" s="40">
        <f t="shared" si="78"/>
        <v>5200</v>
      </c>
      <c r="BM14" s="40">
        <v>779.91</v>
      </c>
      <c r="BN14" s="37">
        <f t="shared" si="23"/>
        <v>679.99999999994998</v>
      </c>
      <c r="BO14" s="186"/>
      <c r="BP14" s="183">
        <f t="shared" si="24"/>
        <v>0</v>
      </c>
      <c r="BQ14" s="40">
        <v>740.01</v>
      </c>
      <c r="BR14" s="37">
        <f t="shared" si="55"/>
        <v>679.99999999994998</v>
      </c>
      <c r="BS14" s="37">
        <v>70445.070000000007</v>
      </c>
      <c r="BT14" s="37">
        <f t="shared" si="25"/>
        <v>184.30000000000291</v>
      </c>
      <c r="BU14" s="42">
        <v>1776000</v>
      </c>
      <c r="BV14" s="42"/>
      <c r="BW14" s="37">
        <f t="shared" si="26"/>
        <v>4100</v>
      </c>
      <c r="BX14" s="37">
        <f t="shared" si="79"/>
        <v>1</v>
      </c>
      <c r="BY14" s="147">
        <v>250.84</v>
      </c>
      <c r="BZ14" s="40"/>
      <c r="CA14" s="37">
        <f t="shared" si="27"/>
        <v>909.99999999999659</v>
      </c>
      <c r="CB14" s="37">
        <f t="shared" si="56"/>
        <v>1</v>
      </c>
      <c r="CC14" s="37">
        <v>414370</v>
      </c>
      <c r="CD14" s="37">
        <f t="shared" si="28"/>
        <v>0</v>
      </c>
      <c r="CE14" s="37">
        <v>697300</v>
      </c>
      <c r="CF14" s="37">
        <f t="shared" si="57"/>
        <v>0</v>
      </c>
      <c r="CG14" s="37">
        <v>46631</v>
      </c>
      <c r="CH14" s="37">
        <f t="shared" si="58"/>
        <v>28</v>
      </c>
      <c r="CI14" s="40">
        <v>10386</v>
      </c>
      <c r="CJ14" s="40"/>
      <c r="CK14" s="37">
        <f t="shared" si="59"/>
        <v>14862.570000000003</v>
      </c>
      <c r="CL14" s="37">
        <f t="shared" si="29"/>
        <v>1</v>
      </c>
      <c r="CM14" s="37">
        <v>2608.3000000000002</v>
      </c>
      <c r="CN14" s="37"/>
      <c r="CO14" s="37">
        <f t="shared" si="30"/>
        <v>7872.5700000003635</v>
      </c>
      <c r="CP14" s="37">
        <f t="shared" si="80"/>
        <v>1</v>
      </c>
      <c r="CQ14" s="39">
        <v>2546.6</v>
      </c>
      <c r="CR14" s="45"/>
      <c r="CS14" s="37">
        <f t="shared" si="31"/>
        <v>5972.5699999998178</v>
      </c>
      <c r="CT14" s="37">
        <f t="shared" si="81"/>
        <v>1</v>
      </c>
      <c r="CU14" s="37">
        <v>1782400</v>
      </c>
      <c r="CV14" s="37"/>
      <c r="CW14" s="38">
        <f t="shared" si="32"/>
        <v>19700</v>
      </c>
      <c r="CX14" s="37">
        <f t="shared" si="82"/>
        <v>1</v>
      </c>
      <c r="CY14" s="37">
        <v>917800</v>
      </c>
      <c r="CZ14" s="37"/>
      <c r="DA14" s="37">
        <f t="shared" si="33"/>
        <v>12230</v>
      </c>
      <c r="DB14" s="37">
        <f t="shared" si="83"/>
        <v>1</v>
      </c>
      <c r="DC14" s="37"/>
      <c r="DD14" s="40"/>
      <c r="DE14" s="37">
        <f t="shared" si="34"/>
        <v>0</v>
      </c>
      <c r="DF14" s="37">
        <f t="shared" si="88"/>
        <v>0</v>
      </c>
      <c r="DG14" s="37">
        <f t="shared" si="35"/>
        <v>-64737.710000000181</v>
      </c>
      <c r="DH14" s="37">
        <f t="shared" si="36"/>
        <v>304042.56999999925</v>
      </c>
      <c r="DI14" s="46"/>
      <c r="DJ14" s="46"/>
      <c r="DK14" s="47"/>
      <c r="DL14" s="47"/>
      <c r="DM14" s="37"/>
      <c r="DN14" s="37"/>
      <c r="DO14" s="37"/>
      <c r="DP14" s="37"/>
      <c r="DQ14" s="50">
        <v>2298100</v>
      </c>
      <c r="DR14" s="49">
        <f t="shared" si="60"/>
        <v>12500</v>
      </c>
      <c r="DS14" s="50">
        <v>1469500</v>
      </c>
      <c r="DT14" s="49">
        <f t="shared" si="61"/>
        <v>14600</v>
      </c>
      <c r="DU14" s="52">
        <v>7396.4</v>
      </c>
      <c r="DV14" s="52">
        <v>4120</v>
      </c>
      <c r="DW14" s="37">
        <f t="shared" si="84"/>
        <v>4199.9999999998181</v>
      </c>
      <c r="DX14" s="52">
        <v>12281</v>
      </c>
      <c r="DY14" s="52">
        <v>8188.9</v>
      </c>
      <c r="DZ14" s="37">
        <f t="shared" si="37"/>
        <v>6772.57</v>
      </c>
      <c r="EA14" s="49">
        <v>27143</v>
      </c>
      <c r="EB14" s="49">
        <v>19.428000000000001</v>
      </c>
      <c r="EC14" s="37">
        <f t="shared" si="38"/>
        <v>24932.57</v>
      </c>
      <c r="ED14" s="53">
        <f t="shared" si="39"/>
        <v>35905.139999999818</v>
      </c>
      <c r="EE14" s="49">
        <v>42261</v>
      </c>
      <c r="EF14" s="49">
        <v>26.608000000000001</v>
      </c>
      <c r="EG14" s="37">
        <f t="shared" si="40"/>
        <v>31932.57</v>
      </c>
      <c r="EH14" s="52">
        <v>11755</v>
      </c>
      <c r="EI14" s="52">
        <v>1.5505</v>
      </c>
      <c r="EJ14" s="37">
        <f t="shared" si="41"/>
        <v>11772.57</v>
      </c>
      <c r="EK14" s="37">
        <v>708.39</v>
      </c>
      <c r="EL14" s="40">
        <v>1019.3</v>
      </c>
      <c r="EM14" s="37">
        <f t="shared" si="62"/>
        <v>610.00000000001364</v>
      </c>
      <c r="EN14" s="54">
        <f t="shared" si="63"/>
        <v>44315.140000000014</v>
      </c>
      <c r="EO14" s="48">
        <v>11860</v>
      </c>
      <c r="EP14" s="48">
        <v>4129.8999999999996</v>
      </c>
      <c r="EQ14" s="37">
        <f t="shared" si="42"/>
        <v>8772.57</v>
      </c>
      <c r="ER14" s="48">
        <v>7233.1</v>
      </c>
      <c r="ES14" s="48">
        <v>2927.3</v>
      </c>
      <c r="ET14" s="49">
        <f t="shared" si="43"/>
        <v>18100.000000000364</v>
      </c>
      <c r="EU14" s="48">
        <v>2557.8000000000002</v>
      </c>
      <c r="EV14" s="48">
        <v>915.28</v>
      </c>
      <c r="EW14" s="49">
        <f t="shared" si="44"/>
        <v>9272.57</v>
      </c>
      <c r="EX14" s="48">
        <v>11966</v>
      </c>
      <c r="EY14" s="48">
        <v>1.2426999999999999</v>
      </c>
      <c r="EZ14" s="37">
        <f t="shared" si="45"/>
        <v>12772.57</v>
      </c>
      <c r="FA14" s="48">
        <f t="shared" si="64"/>
        <v>-24200.710000000363</v>
      </c>
      <c r="FB14" s="48">
        <v>33520909</v>
      </c>
      <c r="FC14" s="49">
        <f t="shared" si="85"/>
        <v>24717</v>
      </c>
      <c r="FD14" s="48">
        <f t="shared" si="65"/>
        <v>50517.710000000268</v>
      </c>
      <c r="FE14" s="48">
        <v>15898</v>
      </c>
      <c r="FF14" s="48">
        <v>5712</v>
      </c>
      <c r="FG14" s="37">
        <f t="shared" si="66"/>
        <v>8539.24</v>
      </c>
      <c r="FH14" s="48">
        <v>6674.3</v>
      </c>
      <c r="FI14" s="48">
        <v>2.5670999999999999</v>
      </c>
      <c r="FJ14" s="49">
        <f t="shared" si="46"/>
        <v>20639.240000000362</v>
      </c>
      <c r="FK14" s="48"/>
      <c r="FL14" s="58">
        <v>766.67</v>
      </c>
      <c r="FM14" s="48">
        <f t="shared" si="86"/>
        <v>227.42666666654682</v>
      </c>
      <c r="FN14" s="48">
        <v>15119</v>
      </c>
      <c r="FO14" s="48">
        <v>0.64849999999999997</v>
      </c>
      <c r="FP14" s="37">
        <f t="shared" si="67"/>
        <v>13539.24</v>
      </c>
      <c r="FQ14" s="48">
        <v>53527</v>
      </c>
      <c r="FR14" s="48">
        <v>12.712</v>
      </c>
      <c r="FS14" s="37">
        <f t="shared" si="47"/>
        <v>58000</v>
      </c>
      <c r="FT14" s="48">
        <f t="shared" si="68"/>
        <v>682.27999999964049</v>
      </c>
      <c r="FU14" s="48">
        <f t="shared" si="69"/>
        <v>42717.720000000358</v>
      </c>
      <c r="FV14" s="44">
        <v>1999600</v>
      </c>
      <c r="FW14" s="44">
        <v>651240</v>
      </c>
      <c r="FX14" s="37">
        <f t="shared" si="48"/>
        <v>18400</v>
      </c>
      <c r="FY14" s="56">
        <v>2691.3</v>
      </c>
      <c r="FZ14" s="56">
        <v>1.5088999999999999</v>
      </c>
      <c r="GA14" s="37">
        <f>IF((FY14-FY13)*1000&lt;=0,0,((FY14-FY13)*1000)-GS14)</f>
        <v>1530.0000000003638</v>
      </c>
      <c r="GB14" s="56">
        <v>724.07</v>
      </c>
      <c r="GC14" s="56">
        <v>800.67</v>
      </c>
      <c r="GD14" s="37">
        <f t="shared" si="49"/>
        <v>1480.0000000000182</v>
      </c>
      <c r="GE14" s="56">
        <v>9031.2000000000007</v>
      </c>
      <c r="GF14" s="56">
        <v>2.6259999999999999</v>
      </c>
      <c r="GG14" s="37">
        <f t="shared" si="50"/>
        <v>9100.0000000008185</v>
      </c>
      <c r="GH14" s="153">
        <v>1735.6</v>
      </c>
      <c r="GI14" s="162">
        <v>1461.5</v>
      </c>
      <c r="GJ14" s="38">
        <f t="shared" si="51"/>
        <v>1599.9999999999091</v>
      </c>
      <c r="GK14" s="162">
        <v>1398.5</v>
      </c>
      <c r="GL14" s="163">
        <v>1088.5999999999999</v>
      </c>
      <c r="GM14" s="38">
        <f t="shared" si="52"/>
        <v>0</v>
      </c>
      <c r="GN14" s="57">
        <v>158830</v>
      </c>
      <c r="GO14" s="57">
        <v>138560</v>
      </c>
      <c r="GP14" s="38">
        <f t="shared" si="90"/>
        <v>0</v>
      </c>
      <c r="GQ14" s="38">
        <v>179240</v>
      </c>
      <c r="GR14" s="38">
        <v>181920</v>
      </c>
      <c r="GS14" s="38">
        <f t="shared" si="70"/>
        <v>1070</v>
      </c>
      <c r="GT14" s="178"/>
      <c r="GU14" s="144">
        <f>DailyJan!B13-DailyJan!N13-DailyJan!V13-DailyJan!Y13-DailyJan!Z13-DailyJan!AA13-DailyJan!AB13-DailyJan!AC13-DailyJan!AD13-DailyJan!AE13-DailyJan!AK13-DailyJan!AO13-DailyJan!AS13-DailyJan!AY13-DailyJan!BD13+DailyJan!BS13-SUM(DailyJan!BM13:BQ13)-DailyJan!BR13-DailyJan!AF13-DailyJan!AG13</f>
        <v>3134.9350285819455</v>
      </c>
      <c r="GV14" s="59">
        <v>-3411.51</v>
      </c>
      <c r="GW14" s="60">
        <f t="shared" si="53"/>
        <v>-227.43400000000003</v>
      </c>
      <c r="GX14" s="61">
        <v>-227.43</v>
      </c>
      <c r="GY14" s="140"/>
      <c r="GZ14" s="62"/>
      <c r="HA14" s="62">
        <v>2294.9424000000945</v>
      </c>
      <c r="HB14" s="74"/>
      <c r="HC14" s="62">
        <v>-3046.1024000000943</v>
      </c>
      <c r="HD14" s="74"/>
      <c r="HE14" s="24">
        <v>2660.3529714285614</v>
      </c>
      <c r="HG14" s="62"/>
      <c r="HJ14" s="3"/>
    </row>
    <row r="15" spans="1:218" x14ac:dyDescent="0.25">
      <c r="A15" s="35">
        <f t="shared" si="2"/>
        <v>9</v>
      </c>
      <c r="B15" s="38">
        <v>3201.8</v>
      </c>
      <c r="C15" s="38">
        <f t="shared" si="3"/>
        <v>7.4000000000000909</v>
      </c>
      <c r="D15" s="38">
        <f t="shared" si="4"/>
        <v>236800.00000000291</v>
      </c>
      <c r="E15" s="38">
        <v>644.36</v>
      </c>
      <c r="F15" s="38">
        <f t="shared" si="89"/>
        <v>44159.999999999854</v>
      </c>
      <c r="G15" s="38">
        <f t="shared" si="6"/>
        <v>280960.00000000279</v>
      </c>
      <c r="H15" s="37"/>
      <c r="I15" s="39"/>
      <c r="J15" s="42"/>
      <c r="K15" s="37">
        <f>IF(J15&lt;=0,0,(J15/SQRT(J15^2+(I15-I14)^2)))</f>
        <v>0</v>
      </c>
      <c r="L15" s="40">
        <v>8979100</v>
      </c>
      <c r="M15" s="40"/>
      <c r="N15" s="37">
        <f t="shared" si="72"/>
        <v>279000</v>
      </c>
      <c r="O15" s="37">
        <v>9106.1</v>
      </c>
      <c r="P15" s="2"/>
      <c r="Q15" s="37">
        <f t="shared" si="7"/>
        <v>13300.000000001091</v>
      </c>
      <c r="R15" s="37">
        <f>IF(Q15&lt;=0,0,(Q15/SQRT(Q15^2+(P15-P14)^2)))</f>
        <v>1</v>
      </c>
      <c r="S15" s="37">
        <v>10911687.060000001</v>
      </c>
      <c r="T15" s="37">
        <f t="shared" si="8"/>
        <v>0</v>
      </c>
      <c r="U15" s="37">
        <v>1518125.2</v>
      </c>
      <c r="V15" s="37">
        <f t="shared" si="9"/>
        <v>0</v>
      </c>
      <c r="W15" s="37">
        <v>3082.1</v>
      </c>
      <c r="X15" s="37">
        <f t="shared" si="87"/>
        <v>8400.0000000010914</v>
      </c>
      <c r="Y15" s="183"/>
      <c r="Z15" s="183">
        <f t="shared" si="10"/>
        <v>0</v>
      </c>
      <c r="AA15" s="37">
        <v>352610</v>
      </c>
      <c r="AB15" s="37">
        <f t="shared" si="11"/>
        <v>4900</v>
      </c>
      <c r="AC15" s="37">
        <v>3294.3</v>
      </c>
      <c r="AD15" s="37"/>
      <c r="AE15" s="37">
        <f t="shared" si="12"/>
        <v>4700.0000000002728</v>
      </c>
      <c r="AF15" s="37">
        <f>IF(AE15&lt;=0,0,(AE15/SQRT(AE15^2+(AD15-AD14)^2)))</f>
        <v>1</v>
      </c>
      <c r="AG15" s="37">
        <v>7168.5</v>
      </c>
      <c r="AH15" s="48"/>
      <c r="AI15" s="37">
        <f t="shared" si="13"/>
        <v>11653.87</v>
      </c>
      <c r="AJ15" s="37">
        <f t="shared" si="14"/>
        <v>1</v>
      </c>
      <c r="AK15" s="37">
        <f t="shared" si="15"/>
        <v>24753.870000001363</v>
      </c>
      <c r="AL15" s="2">
        <v>9320.6</v>
      </c>
      <c r="AM15" s="42"/>
      <c r="AN15" s="37">
        <f t="shared" si="54"/>
        <v>7623.8700000010285</v>
      </c>
      <c r="AO15" s="37">
        <f>IF(AN15&lt;=0,0,(AN15/SQRT(AN15^2+(AM15-AM14)^2)))</f>
        <v>1</v>
      </c>
      <c r="AP15" s="37">
        <v>7012.5</v>
      </c>
      <c r="AQ15" s="37"/>
      <c r="AR15" s="37">
        <f t="shared" si="16"/>
        <v>15199.999999999818</v>
      </c>
      <c r="AS15" s="37">
        <f>IF(AR15&lt;=0,0,(AR15/SQRT(AR15^2+(AQ15-AQ14)^2)))</f>
        <v>1</v>
      </c>
      <c r="AT15" s="183"/>
      <c r="AU15" s="183">
        <f t="shared" si="17"/>
        <v>0</v>
      </c>
      <c r="AV15" s="183"/>
      <c r="AW15" s="183">
        <f t="shared" si="18"/>
        <v>0</v>
      </c>
      <c r="AX15" s="37">
        <v>436360.8</v>
      </c>
      <c r="AY15" s="37"/>
      <c r="AZ15" s="37">
        <f t="shared" si="19"/>
        <v>528.71999999997206</v>
      </c>
      <c r="BA15" s="37">
        <v>79162.695999999996</v>
      </c>
      <c r="BB15" s="37"/>
      <c r="BC15" s="37">
        <f t="shared" si="20"/>
        <v>716.39999999999418</v>
      </c>
      <c r="BD15" s="37">
        <f t="shared" si="77"/>
        <v>24068.990000000813</v>
      </c>
      <c r="BE15" s="43">
        <v>1587.8</v>
      </c>
      <c r="BF15" s="43">
        <v>859.86</v>
      </c>
      <c r="BG15" s="37">
        <f t="shared" si="21"/>
        <v>2200.0000000000455</v>
      </c>
      <c r="BH15" s="44">
        <v>7652.7</v>
      </c>
      <c r="BI15" s="44">
        <v>4922.6000000000004</v>
      </c>
      <c r="BJ15" s="37">
        <f t="shared" si="22"/>
        <v>9599.9999999994543</v>
      </c>
      <c r="BK15" s="40">
        <v>1019900</v>
      </c>
      <c r="BL15" s="40">
        <f t="shared" si="78"/>
        <v>5400</v>
      </c>
      <c r="BM15" s="40">
        <v>780.62</v>
      </c>
      <c r="BN15" s="37">
        <f t="shared" si="23"/>
        <v>710.00000000003638</v>
      </c>
      <c r="BO15" s="186"/>
      <c r="BP15" s="183">
        <f t="shared" si="24"/>
        <v>0</v>
      </c>
      <c r="BQ15" s="40">
        <v>740.73</v>
      </c>
      <c r="BR15" s="37">
        <f t="shared" si="55"/>
        <v>720.00000000002728</v>
      </c>
      <c r="BS15" s="37">
        <v>70614.210000000006</v>
      </c>
      <c r="BT15" s="37">
        <f t="shared" si="25"/>
        <v>169.13999999999942</v>
      </c>
      <c r="BU15" s="42">
        <v>1780500</v>
      </c>
      <c r="BV15" s="42"/>
      <c r="BW15" s="37">
        <f t="shared" si="26"/>
        <v>4500</v>
      </c>
      <c r="BX15" s="37">
        <f>IF(BW15&lt;=0,0,(BW15/SQRT(BW15^2+(BV15-BV14)^2)))</f>
        <v>1</v>
      </c>
      <c r="BY15" s="43">
        <v>251.79</v>
      </c>
      <c r="BZ15" s="37"/>
      <c r="CA15" s="37">
        <f t="shared" si="27"/>
        <v>949.99999999998863</v>
      </c>
      <c r="CB15" s="37">
        <f t="shared" si="56"/>
        <v>1</v>
      </c>
      <c r="CC15" s="37">
        <v>414370</v>
      </c>
      <c r="CD15" s="37">
        <f t="shared" si="28"/>
        <v>0</v>
      </c>
      <c r="CE15" s="37">
        <v>697300</v>
      </c>
      <c r="CF15" s="37">
        <f t="shared" si="57"/>
        <v>0</v>
      </c>
      <c r="CG15" s="37">
        <v>47059</v>
      </c>
      <c r="CH15" s="37">
        <f t="shared" si="58"/>
        <v>428</v>
      </c>
      <c r="CI15" s="40">
        <v>10403</v>
      </c>
      <c r="CJ15" s="40"/>
      <c r="CK15" s="37">
        <f t="shared" si="59"/>
        <v>16203.87000000001</v>
      </c>
      <c r="CL15" s="37">
        <f t="shared" si="29"/>
        <v>1</v>
      </c>
      <c r="CM15" s="37">
        <v>2617.1</v>
      </c>
      <c r="CN15" s="37"/>
      <c r="CO15" s="37">
        <f t="shared" si="30"/>
        <v>8953.869999999728</v>
      </c>
      <c r="CP15" s="37">
        <f>IF(CO15&lt;=0,0,(CO15/SQRT(CO15^2+(CN15-CN14)^2)))</f>
        <v>1</v>
      </c>
      <c r="CQ15" s="39">
        <v>2553</v>
      </c>
      <c r="CR15" s="45"/>
      <c r="CS15" s="37">
        <f t="shared" si="31"/>
        <v>6553.8700000000908</v>
      </c>
      <c r="CT15" s="37">
        <f>IF(CS15&lt;=0,0,(CS15/SQRT(CS15^2+(CR15-CR14)^2)))</f>
        <v>1</v>
      </c>
      <c r="CU15" s="37">
        <v>1800000</v>
      </c>
      <c r="CV15" s="37"/>
      <c r="CW15" s="38">
        <f t="shared" si="32"/>
        <v>17600</v>
      </c>
      <c r="CX15" s="37">
        <f t="shared" si="82"/>
        <v>1</v>
      </c>
      <c r="CY15" s="37">
        <v>927810</v>
      </c>
      <c r="CZ15" s="37"/>
      <c r="DA15" s="37">
        <f t="shared" si="33"/>
        <v>10010</v>
      </c>
      <c r="DB15" s="37">
        <f>IF(DA15&lt;=0,0,(DA15/SQRT(DA15^2+(CZ15-CZ14)^2)))</f>
        <v>1</v>
      </c>
      <c r="DC15" s="37"/>
      <c r="DD15" s="40"/>
      <c r="DE15" s="37">
        <f t="shared" si="34"/>
        <v>0</v>
      </c>
      <c r="DF15" s="37">
        <f>IF(DE15&lt;=0,0,(DE15/SQRT(DE15^2+(DD15-DD14)^2)))</f>
        <v>0</v>
      </c>
      <c r="DG15" s="37">
        <f t="shared" si="35"/>
        <v>-63821.609999999826</v>
      </c>
      <c r="DH15" s="37">
        <f t="shared" si="36"/>
        <v>305953.87000000139</v>
      </c>
      <c r="DI15" s="46"/>
      <c r="DJ15" s="46"/>
      <c r="DK15" s="47"/>
      <c r="DL15" s="47"/>
      <c r="DM15" s="37"/>
      <c r="DN15" s="37"/>
      <c r="DO15" s="37"/>
      <c r="DP15" s="37"/>
      <c r="DQ15" s="50">
        <v>2310600</v>
      </c>
      <c r="DR15" s="49">
        <f t="shared" si="60"/>
        <v>12500</v>
      </c>
      <c r="DS15" s="50">
        <v>1482900</v>
      </c>
      <c r="DT15" s="49">
        <f t="shared" si="61"/>
        <v>13400</v>
      </c>
      <c r="DU15" s="52">
        <v>7399.7</v>
      </c>
      <c r="DV15" s="52">
        <v>4122</v>
      </c>
      <c r="DW15" s="37">
        <f t="shared" si="84"/>
        <v>3300.0000000001819</v>
      </c>
      <c r="DX15" s="52">
        <v>12284</v>
      </c>
      <c r="DY15" s="52">
        <v>8191</v>
      </c>
      <c r="DZ15" s="37">
        <f t="shared" si="37"/>
        <v>3153.87</v>
      </c>
      <c r="EA15" s="49">
        <v>27155</v>
      </c>
      <c r="EB15" s="49">
        <v>19.434000000000001</v>
      </c>
      <c r="EC15" s="37">
        <f t="shared" si="38"/>
        <v>14313.87</v>
      </c>
      <c r="ED15" s="53">
        <f t="shared" si="39"/>
        <v>20767.740000000183</v>
      </c>
      <c r="EE15" s="49">
        <v>42292</v>
      </c>
      <c r="EF15" s="49">
        <v>26.638000000000002</v>
      </c>
      <c r="EG15" s="37">
        <f t="shared" si="40"/>
        <v>33313.869999999995</v>
      </c>
      <c r="EH15" s="52">
        <v>11768</v>
      </c>
      <c r="EI15" s="52">
        <v>1.5542</v>
      </c>
      <c r="EJ15" s="37">
        <f t="shared" si="41"/>
        <v>13153.87</v>
      </c>
      <c r="EK15" s="37">
        <v>709.02</v>
      </c>
      <c r="EL15" s="40">
        <v>1020.2</v>
      </c>
      <c r="EM15" s="37">
        <f t="shared" si="62"/>
        <v>629.99999999999545</v>
      </c>
      <c r="EN15" s="54">
        <f t="shared" si="63"/>
        <v>47097.739999999991</v>
      </c>
      <c r="EO15" s="48">
        <v>11868</v>
      </c>
      <c r="EP15" s="48">
        <v>4133.1000000000004</v>
      </c>
      <c r="EQ15" s="37">
        <f t="shared" si="42"/>
        <v>8153.87</v>
      </c>
      <c r="ER15" s="48">
        <v>7251.2</v>
      </c>
      <c r="ES15" s="48">
        <v>2935.2</v>
      </c>
      <c r="ET15" s="49">
        <f>IF((ER15-ER14)&lt;=0,0,(ER15-ER14))*1000</f>
        <v>18099.999999999454</v>
      </c>
      <c r="EU15" s="48">
        <v>2567.3000000000002</v>
      </c>
      <c r="EV15" s="48">
        <v>918.51</v>
      </c>
      <c r="EW15" s="49">
        <f t="shared" si="44"/>
        <v>9653.8700000000008</v>
      </c>
      <c r="EX15" s="48">
        <v>11977</v>
      </c>
      <c r="EY15" s="48">
        <v>1.2442</v>
      </c>
      <c r="EZ15" s="37">
        <f t="shared" si="45"/>
        <v>11153.87</v>
      </c>
      <c r="FA15" s="48">
        <f t="shared" si="64"/>
        <v>-22787.609999999455</v>
      </c>
      <c r="FB15" s="48">
        <v>33545183</v>
      </c>
      <c r="FC15" s="49">
        <f>IF((FB15-FB14)&lt;=0,0,(FB15-FB14))</f>
        <v>24274</v>
      </c>
      <c r="FD15" s="48">
        <f t="shared" si="65"/>
        <v>48661.609999999593</v>
      </c>
      <c r="FE15" s="48">
        <v>15906</v>
      </c>
      <c r="FF15" s="48">
        <v>5718.5</v>
      </c>
      <c r="FG15" s="37">
        <f t="shared" si="66"/>
        <v>8420.5400000000009</v>
      </c>
      <c r="FH15" s="48">
        <v>6694.1</v>
      </c>
      <c r="FI15" s="48">
        <v>2.5748000000000002</v>
      </c>
      <c r="FJ15" s="49">
        <f t="shared" si="46"/>
        <v>20220.540000000179</v>
      </c>
      <c r="FK15" s="48"/>
      <c r="FL15" s="58">
        <v>266.67</v>
      </c>
      <c r="FM15" s="48">
        <f>FT15/3</f>
        <v>-153.87333333339362</v>
      </c>
      <c r="FN15" s="48">
        <v>15132</v>
      </c>
      <c r="FO15" s="48">
        <v>0.65039999999999998</v>
      </c>
      <c r="FP15" s="37">
        <f t="shared" si="67"/>
        <v>13420.54</v>
      </c>
      <c r="FQ15" s="48">
        <v>53582</v>
      </c>
      <c r="FR15" s="48">
        <v>12.728</v>
      </c>
      <c r="FS15" s="37">
        <f t="shared" si="47"/>
        <v>55000</v>
      </c>
      <c r="FT15" s="48">
        <f t="shared" si="68"/>
        <v>-461.62000000018088</v>
      </c>
      <c r="FU15" s="48">
        <f t="shared" si="69"/>
        <v>42061.620000000185</v>
      </c>
      <c r="FV15" s="44">
        <v>2019200</v>
      </c>
      <c r="FW15" s="44">
        <v>657580</v>
      </c>
      <c r="FX15" s="37">
        <f t="shared" si="48"/>
        <v>19600</v>
      </c>
      <c r="FY15" s="56">
        <v>2694</v>
      </c>
      <c r="FZ15" s="56">
        <v>1.5094000000000001</v>
      </c>
      <c r="GA15" s="37">
        <f t="shared" ref="GA15:GA38" si="91">IF((FY15-FY14)*1000&lt;=0,0,((FY15-FY14)*1000)-GS15)</f>
        <v>1669.9999999998181</v>
      </c>
      <c r="GB15" s="56">
        <v>725.44</v>
      </c>
      <c r="GC15" s="56">
        <v>802.43</v>
      </c>
      <c r="GD15" s="37">
        <f t="shared" si="49"/>
        <v>1370.0000000000045</v>
      </c>
      <c r="GE15" s="56">
        <v>9040.7000000000007</v>
      </c>
      <c r="GF15" s="56">
        <v>2.6333000000000002</v>
      </c>
      <c r="GG15" s="37">
        <f t="shared" si="50"/>
        <v>7899.9999999998636</v>
      </c>
      <c r="GH15" s="153">
        <v>1737.2</v>
      </c>
      <c r="GI15" s="162">
        <v>1463</v>
      </c>
      <c r="GJ15" s="38">
        <f t="shared" si="51"/>
        <v>1600.0000000001364</v>
      </c>
      <c r="GK15" s="162">
        <v>1398.5</v>
      </c>
      <c r="GL15" s="163">
        <v>1088.5999999999999</v>
      </c>
      <c r="GM15" s="38">
        <f t="shared" si="52"/>
        <v>0</v>
      </c>
      <c r="GN15" s="57">
        <v>158850</v>
      </c>
      <c r="GO15" s="57">
        <v>138560</v>
      </c>
      <c r="GP15" s="38">
        <f t="shared" si="90"/>
        <v>20</v>
      </c>
      <c r="GQ15" s="38">
        <v>180270</v>
      </c>
      <c r="GR15" s="38">
        <v>182880</v>
      </c>
      <c r="GS15" s="38">
        <f t="shared" si="70"/>
        <v>1030</v>
      </c>
      <c r="GT15" s="178"/>
      <c r="GU15" s="144">
        <f>DailyJan!B14-DailyJan!N14-DailyJan!V14-DailyJan!Y14-DailyJan!Z14-DailyJan!AA14-DailyJan!AB14-DailyJan!AC14-DailyJan!AD14-DailyJan!AE14-DailyJan!AK14-DailyJan!AO14-DailyJan!AS14-DailyJan!AY14-DailyJan!BD14+DailyJan!BS14-SUM(DailyJan!BM14:BQ14)-DailyJan!BR14-DailyJan!AF14-DailyJan!AG14</f>
        <v>3135.036400001637</v>
      </c>
      <c r="GV15" s="59">
        <v>2308.09</v>
      </c>
      <c r="GW15" s="60">
        <f t="shared" si="53"/>
        <v>153.87266666666667</v>
      </c>
      <c r="GX15" s="61">
        <v>153.87</v>
      </c>
      <c r="GY15" s="140"/>
      <c r="GZ15" s="62"/>
      <c r="HA15" s="62">
        <v>2308.0864000000229</v>
      </c>
      <c r="HB15" s="142"/>
      <c r="HC15" s="62">
        <v>8063.7835999999779</v>
      </c>
      <c r="HD15" s="74"/>
      <c r="HE15" s="24">
        <v>8063.7835999999779</v>
      </c>
      <c r="HG15" s="62"/>
      <c r="HJ15" s="3"/>
    </row>
    <row r="16" spans="1:218" x14ac:dyDescent="0.25">
      <c r="A16" s="35">
        <f t="shared" si="2"/>
        <v>10</v>
      </c>
      <c r="B16" s="38">
        <v>3208.37</v>
      </c>
      <c r="C16" s="38">
        <f t="shared" si="3"/>
        <v>6.569999999999709</v>
      </c>
      <c r="D16" s="38">
        <f t="shared" si="4"/>
        <v>210239.99999999069</v>
      </c>
      <c r="E16" s="38">
        <v>645.72</v>
      </c>
      <c r="F16" s="38">
        <f t="shared" si="89"/>
        <v>43520.000000000437</v>
      </c>
      <c r="G16" s="38">
        <f t="shared" si="6"/>
        <v>253759.99999999112</v>
      </c>
      <c r="H16" s="37"/>
      <c r="I16" s="39"/>
      <c r="J16" s="42"/>
      <c r="K16" s="37">
        <f t="shared" si="71"/>
        <v>0</v>
      </c>
      <c r="L16" s="40">
        <v>9004400</v>
      </c>
      <c r="M16" s="40"/>
      <c r="N16" s="37">
        <f t="shared" si="72"/>
        <v>253000</v>
      </c>
      <c r="O16" s="37">
        <v>9119</v>
      </c>
      <c r="P16" s="48"/>
      <c r="Q16" s="37">
        <f t="shared" si="7"/>
        <v>12899.999999999636</v>
      </c>
      <c r="R16" s="37">
        <f t="shared" si="73"/>
        <v>1</v>
      </c>
      <c r="S16" s="37">
        <v>10911687.060000001</v>
      </c>
      <c r="T16" s="37">
        <f t="shared" si="8"/>
        <v>0</v>
      </c>
      <c r="U16" s="37">
        <v>1518125.2</v>
      </c>
      <c r="V16" s="37">
        <f t="shared" si="9"/>
        <v>0</v>
      </c>
      <c r="W16" s="37">
        <v>3088.8</v>
      </c>
      <c r="X16" s="37">
        <f t="shared" si="87"/>
        <v>8159.9999999996362</v>
      </c>
      <c r="Y16" s="183"/>
      <c r="Z16" s="183">
        <f t="shared" si="10"/>
        <v>0</v>
      </c>
      <c r="AA16" s="37">
        <v>357350</v>
      </c>
      <c r="AB16" s="37">
        <f t="shared" si="11"/>
        <v>4740</v>
      </c>
      <c r="AC16" s="37">
        <v>3299.4</v>
      </c>
      <c r="AD16" s="37"/>
      <c r="AE16" s="37">
        <f t="shared" si="12"/>
        <v>5099.9999999999091</v>
      </c>
      <c r="AF16" s="37">
        <f t="shared" si="74"/>
        <v>1</v>
      </c>
      <c r="AG16" s="37">
        <v>7179.7</v>
      </c>
      <c r="AH16" s="37"/>
      <c r="AI16" s="37">
        <f t="shared" si="13"/>
        <v>11338.979999999818</v>
      </c>
      <c r="AJ16" s="37">
        <f t="shared" si="14"/>
        <v>1</v>
      </c>
      <c r="AK16" s="37">
        <f t="shared" si="15"/>
        <v>24598.979999999363</v>
      </c>
      <c r="AL16" s="42">
        <v>9334.1</v>
      </c>
      <c r="AM16" s="42"/>
      <c r="AN16" s="37">
        <f t="shared" si="54"/>
        <v>6828.9800000000314</v>
      </c>
      <c r="AO16" s="37">
        <f t="shared" si="75"/>
        <v>1</v>
      </c>
      <c r="AP16" s="37">
        <v>7024.4</v>
      </c>
      <c r="AQ16" s="37"/>
      <c r="AR16" s="37">
        <f t="shared" si="16"/>
        <v>11899.999999999636</v>
      </c>
      <c r="AS16" s="37">
        <f t="shared" si="76"/>
        <v>1</v>
      </c>
      <c r="AT16" s="183"/>
      <c r="AU16" s="183">
        <f t="shared" si="17"/>
        <v>0</v>
      </c>
      <c r="AV16" s="183"/>
      <c r="AW16" s="183">
        <f t="shared" si="18"/>
        <v>0</v>
      </c>
      <c r="AX16" s="37">
        <v>436783.56</v>
      </c>
      <c r="AY16" s="37"/>
      <c r="AZ16" s="37">
        <f t="shared" si="19"/>
        <v>422.76000000000931</v>
      </c>
      <c r="BA16" s="37">
        <v>79786.032000000007</v>
      </c>
      <c r="BB16" s="37"/>
      <c r="BC16" s="37">
        <f t="shared" si="20"/>
        <v>623.33600000001024</v>
      </c>
      <c r="BD16" s="37">
        <f t="shared" si="77"/>
        <v>19775.075999999688</v>
      </c>
      <c r="BE16" s="43">
        <v>1589.6</v>
      </c>
      <c r="BF16" s="43">
        <v>860.98</v>
      </c>
      <c r="BG16" s="37">
        <f t="shared" si="21"/>
        <v>1799.9999999999545</v>
      </c>
      <c r="BH16" s="44">
        <v>7661.8</v>
      </c>
      <c r="BI16" s="44">
        <v>4928.6000000000004</v>
      </c>
      <c r="BJ16" s="37">
        <f t="shared" si="22"/>
        <v>9100.0000000003638</v>
      </c>
      <c r="BK16" s="40">
        <v>1025300</v>
      </c>
      <c r="BL16" s="40">
        <f t="shared" si="78"/>
        <v>5400</v>
      </c>
      <c r="BM16" s="40">
        <v>781.31</v>
      </c>
      <c r="BN16" s="37">
        <f t="shared" si="23"/>
        <v>689.99999999994088</v>
      </c>
      <c r="BO16" s="186"/>
      <c r="BP16" s="183">
        <f t="shared" si="24"/>
        <v>0</v>
      </c>
      <c r="BQ16" s="40">
        <v>741.45</v>
      </c>
      <c r="BR16" s="37">
        <f t="shared" si="55"/>
        <v>720.00000000002728</v>
      </c>
      <c r="BS16" s="37">
        <v>70804.899999999994</v>
      </c>
      <c r="BT16" s="37">
        <f t="shared" si="25"/>
        <v>190.68999999998778</v>
      </c>
      <c r="BU16" s="42">
        <v>1785800</v>
      </c>
      <c r="BV16" s="42"/>
      <c r="BW16" s="37">
        <f t="shared" si="26"/>
        <v>5300</v>
      </c>
      <c r="BX16" s="37">
        <f t="shared" si="79"/>
        <v>1</v>
      </c>
      <c r="BY16" s="43">
        <v>252.7</v>
      </c>
      <c r="BZ16" s="37"/>
      <c r="CA16" s="37">
        <f t="shared" si="27"/>
        <v>909.99999999999659</v>
      </c>
      <c r="CB16" s="37">
        <f t="shared" si="56"/>
        <v>1</v>
      </c>
      <c r="CC16" s="37">
        <v>414370</v>
      </c>
      <c r="CD16" s="37">
        <f t="shared" si="28"/>
        <v>0</v>
      </c>
      <c r="CE16" s="37">
        <v>697300</v>
      </c>
      <c r="CF16" s="37">
        <f t="shared" si="57"/>
        <v>0</v>
      </c>
      <c r="CG16" s="37">
        <v>48260</v>
      </c>
      <c r="CH16" s="37">
        <f t="shared" si="58"/>
        <v>1201</v>
      </c>
      <c r="CI16" s="40">
        <v>10420</v>
      </c>
      <c r="CJ16" s="40"/>
      <c r="CK16" s="37">
        <f t="shared" si="59"/>
        <v>16228.980000000003</v>
      </c>
      <c r="CL16" s="37">
        <f t="shared" si="29"/>
        <v>1</v>
      </c>
      <c r="CM16" s="37">
        <v>2625.7</v>
      </c>
      <c r="CN16" s="37"/>
      <c r="CO16" s="37">
        <f t="shared" si="30"/>
        <v>8738.9799999999086</v>
      </c>
      <c r="CP16" s="37">
        <f t="shared" si="80"/>
        <v>1</v>
      </c>
      <c r="CQ16" s="39">
        <v>2559.1999999999998</v>
      </c>
      <c r="CR16" s="45"/>
      <c r="CS16" s="37">
        <f t="shared" si="31"/>
        <v>6338.9799999998177</v>
      </c>
      <c r="CT16" s="37">
        <f t="shared" si="81"/>
        <v>1</v>
      </c>
      <c r="CU16" s="37">
        <v>1818600</v>
      </c>
      <c r="CV16" s="37"/>
      <c r="CW16" s="38">
        <f t="shared" si="32"/>
        <v>18600</v>
      </c>
      <c r="CX16" s="37">
        <f t="shared" si="82"/>
        <v>1</v>
      </c>
      <c r="CY16" s="37">
        <v>939590</v>
      </c>
      <c r="CZ16" s="37"/>
      <c r="DA16" s="37">
        <f t="shared" si="33"/>
        <v>11780</v>
      </c>
      <c r="DB16" s="37">
        <f t="shared" si="83"/>
        <v>1</v>
      </c>
      <c r="DC16" s="37"/>
      <c r="DD16" s="40"/>
      <c r="DE16" s="37">
        <f t="shared" si="34"/>
        <v>0</v>
      </c>
      <c r="DF16" s="37">
        <f t="shared" si="88"/>
        <v>0</v>
      </c>
      <c r="DG16" s="37">
        <f t="shared" si="35"/>
        <v>-66986.93999999974</v>
      </c>
      <c r="DH16" s="37">
        <f t="shared" si="36"/>
        <v>279398.97999999934</v>
      </c>
      <c r="DI16" s="46"/>
      <c r="DJ16" s="46"/>
      <c r="DK16" s="47"/>
      <c r="DL16" s="47"/>
      <c r="DM16" s="37"/>
      <c r="DN16" s="37"/>
      <c r="DO16" s="37"/>
      <c r="DP16" s="37"/>
      <c r="DQ16" s="50">
        <v>2323300</v>
      </c>
      <c r="DR16" s="49">
        <f t="shared" si="60"/>
        <v>12700</v>
      </c>
      <c r="DS16" s="50">
        <v>1499100</v>
      </c>
      <c r="DT16" s="49">
        <f t="shared" si="61"/>
        <v>16200</v>
      </c>
      <c r="DU16" s="52">
        <v>7404.2</v>
      </c>
      <c r="DV16" s="52">
        <v>4124.8</v>
      </c>
      <c r="DW16" s="37">
        <f t="shared" si="84"/>
        <v>4500</v>
      </c>
      <c r="DX16" s="52">
        <v>12290</v>
      </c>
      <c r="DY16" s="52">
        <v>8192.4</v>
      </c>
      <c r="DZ16" s="37">
        <f t="shared" si="37"/>
        <v>6138.98</v>
      </c>
      <c r="EA16" s="49">
        <v>27177</v>
      </c>
      <c r="EB16" s="49">
        <v>19.446000000000002</v>
      </c>
      <c r="EC16" s="37">
        <f t="shared" si="38"/>
        <v>24298.98</v>
      </c>
      <c r="ED16" s="53">
        <f t="shared" si="39"/>
        <v>34937.96</v>
      </c>
      <c r="EE16" s="49">
        <v>42324</v>
      </c>
      <c r="EF16" s="49">
        <v>26.667999999999999</v>
      </c>
      <c r="EG16" s="37">
        <f t="shared" si="40"/>
        <v>34298.979999999996</v>
      </c>
      <c r="EH16" s="52">
        <v>11782</v>
      </c>
      <c r="EI16" s="52">
        <v>1.5580000000000001</v>
      </c>
      <c r="EJ16" s="37">
        <f t="shared" si="41"/>
        <v>14138.98</v>
      </c>
      <c r="EK16" s="37">
        <v>709.69</v>
      </c>
      <c r="EL16" s="40">
        <v>1021.1</v>
      </c>
      <c r="EM16" s="37">
        <f t="shared" si="62"/>
        <v>670.00000000007276</v>
      </c>
      <c r="EN16" s="54">
        <f t="shared" si="63"/>
        <v>49107.960000000065</v>
      </c>
      <c r="EO16" s="48">
        <v>11875</v>
      </c>
      <c r="EP16" s="48">
        <v>4135.2</v>
      </c>
      <c r="EQ16" s="37">
        <f t="shared" si="42"/>
        <v>7138.98</v>
      </c>
      <c r="ER16" s="48">
        <v>7256.2</v>
      </c>
      <c r="ES16" s="48">
        <v>2937.9</v>
      </c>
      <c r="ET16" s="49">
        <f t="shared" ref="ET16:ET38" si="92">IF((ER16-ER15)&lt;=0,0,(ER16-ER15))*1000</f>
        <v>5000</v>
      </c>
      <c r="EU16" s="48">
        <v>2570.4</v>
      </c>
      <c r="EV16" s="48">
        <v>919.74</v>
      </c>
      <c r="EW16" s="49">
        <f t="shared" si="44"/>
        <v>3238.9799999999091</v>
      </c>
      <c r="EX16" s="48">
        <v>11985</v>
      </c>
      <c r="EY16" s="48">
        <v>1.2463</v>
      </c>
      <c r="EZ16" s="37">
        <f t="shared" si="45"/>
        <v>8138.98</v>
      </c>
      <c r="FA16" s="48">
        <f t="shared" si="64"/>
        <v>-11791.939999999908</v>
      </c>
      <c r="FB16" s="48">
        <v>33556908</v>
      </c>
      <c r="FC16" s="49">
        <f t="shared" si="85"/>
        <v>11725</v>
      </c>
      <c r="FD16" s="48">
        <f t="shared" si="65"/>
        <v>24516.939999999908</v>
      </c>
      <c r="FE16" s="48">
        <v>15915</v>
      </c>
      <c r="FF16" s="48">
        <v>5720.8</v>
      </c>
      <c r="FG16" s="37">
        <f t="shared" si="66"/>
        <v>8972.31</v>
      </c>
      <c r="FH16" s="48">
        <v>6713.4</v>
      </c>
      <c r="FI16" s="48">
        <v>2.5823</v>
      </c>
      <c r="FJ16" s="49">
        <f t="shared" si="46"/>
        <v>19272.309999999274</v>
      </c>
      <c r="FK16" s="48"/>
      <c r="FL16" s="58">
        <v>-166.67</v>
      </c>
      <c r="FM16" s="48">
        <f t="shared" si="86"/>
        <v>-138.97666666642363</v>
      </c>
      <c r="FN16" s="48">
        <v>15145</v>
      </c>
      <c r="FO16" s="48">
        <v>0.6522</v>
      </c>
      <c r="FP16" s="37">
        <f t="shared" si="67"/>
        <v>12972.31</v>
      </c>
      <c r="FQ16" s="48">
        <v>53639</v>
      </c>
      <c r="FR16" s="48">
        <v>12.744</v>
      </c>
      <c r="FS16" s="37">
        <f t="shared" si="47"/>
        <v>57000</v>
      </c>
      <c r="FT16" s="48">
        <f>FS16-FG16-FJ16-FP16-DT16</f>
        <v>-416.92999999927088</v>
      </c>
      <c r="FU16" s="48">
        <f t="shared" si="69"/>
        <v>41416.929999999316</v>
      </c>
      <c r="FV16" s="44">
        <v>2038600</v>
      </c>
      <c r="FW16" s="44">
        <v>663830</v>
      </c>
      <c r="FX16" s="37">
        <f t="shared" si="48"/>
        <v>19400</v>
      </c>
      <c r="FY16" s="56">
        <v>2696.7</v>
      </c>
      <c r="FZ16" s="56">
        <v>1.51</v>
      </c>
      <c r="GA16" s="37">
        <f t="shared" si="91"/>
        <v>1649.9999999998181</v>
      </c>
      <c r="GB16" s="56">
        <v>726.21</v>
      </c>
      <c r="GC16" s="56">
        <v>803.48</v>
      </c>
      <c r="GD16" s="37">
        <f t="shared" si="49"/>
        <v>769.99999999998181</v>
      </c>
      <c r="GE16" s="56">
        <v>9048.6</v>
      </c>
      <c r="GF16" s="56">
        <v>2.6394000000000002</v>
      </c>
      <c r="GG16" s="37">
        <f t="shared" si="50"/>
        <v>6699.9999999995907</v>
      </c>
      <c r="GH16" s="153">
        <v>1738.2</v>
      </c>
      <c r="GI16" s="162">
        <v>1463.9</v>
      </c>
      <c r="GJ16" s="38">
        <f t="shared" si="51"/>
        <v>1000</v>
      </c>
      <c r="GK16" s="162">
        <v>1398.7</v>
      </c>
      <c r="GL16" s="163">
        <v>1088.7</v>
      </c>
      <c r="GM16" s="38">
        <f t="shared" si="52"/>
        <v>200.00000000004547</v>
      </c>
      <c r="GN16" s="57">
        <v>158850</v>
      </c>
      <c r="GO16" s="57">
        <v>138560</v>
      </c>
      <c r="GP16" s="38">
        <f t="shared" si="90"/>
        <v>0</v>
      </c>
      <c r="GQ16" s="38">
        <v>181320</v>
      </c>
      <c r="GR16" s="38">
        <v>183870</v>
      </c>
      <c r="GS16" s="38">
        <f t="shared" si="70"/>
        <v>1050</v>
      </c>
      <c r="GT16" s="178"/>
      <c r="GU16" s="144">
        <f>DailyJan!B15-DailyJan!N15-DailyJan!V15-DailyJan!Y15-DailyJan!Z15-DailyJan!AA15-DailyJan!AB15-DailyJan!AC15-DailyJan!AD15-DailyJan!AE15-DailyJan!AK15-DailyJan!AO15-DailyJan!AS15-DailyJan!AY15-DailyJan!BD15+DailyJan!BS15-SUM(DailyJan!BM15:BQ15)-DailyJan!BR15-DailyJan!AF15-DailyJan!AG15</f>
        <v>3134.9423999932696</v>
      </c>
      <c r="GV16" s="59">
        <v>2084.6423999932813</v>
      </c>
      <c r="GW16" s="60">
        <f t="shared" si="53"/>
        <v>138.9761599995521</v>
      </c>
      <c r="GX16" s="61">
        <v>138.97999999999999</v>
      </c>
      <c r="GY16" s="140"/>
      <c r="GZ16" s="62"/>
      <c r="HA16" s="62">
        <v>2084.6383999999271</v>
      </c>
      <c r="HB16" s="74"/>
      <c r="HC16" s="62">
        <v>4323.2716000000728</v>
      </c>
      <c r="HD16" s="74"/>
      <c r="HE16" s="24">
        <v>4323.2716000000728</v>
      </c>
      <c r="HG16" s="62"/>
      <c r="HJ16" s="3"/>
    </row>
    <row r="17" spans="1:218" x14ac:dyDescent="0.25">
      <c r="A17" s="35">
        <f t="shared" si="2"/>
        <v>11</v>
      </c>
      <c r="B17" s="38">
        <v>3215.98</v>
      </c>
      <c r="C17" s="38">
        <f t="shared" si="3"/>
        <v>7.6100000000001273</v>
      </c>
      <c r="D17" s="38">
        <f t="shared" si="4"/>
        <v>243520.00000000407</v>
      </c>
      <c r="E17" s="38">
        <v>647.24</v>
      </c>
      <c r="F17" s="38">
        <f t="shared" si="89"/>
        <v>48639.999999999418</v>
      </c>
      <c r="G17" s="38">
        <f t="shared" si="6"/>
        <v>292160.00000000349</v>
      </c>
      <c r="H17" s="37"/>
      <c r="I17" s="39"/>
      <c r="J17" s="42"/>
      <c r="K17" s="37">
        <f t="shared" si="71"/>
        <v>0</v>
      </c>
      <c r="L17" s="40">
        <v>9033400</v>
      </c>
      <c r="M17" s="40"/>
      <c r="N17" s="37">
        <f t="shared" si="72"/>
        <v>290000</v>
      </c>
      <c r="O17" s="37">
        <v>9132.6</v>
      </c>
      <c r="P17" s="37"/>
      <c r="Q17" s="37">
        <f t="shared" si="7"/>
        <v>13600.000000000364</v>
      </c>
      <c r="R17" s="37">
        <f t="shared" si="73"/>
        <v>1</v>
      </c>
      <c r="S17" s="37">
        <v>10911687.060000001</v>
      </c>
      <c r="T17" s="37">
        <f t="shared" si="8"/>
        <v>0</v>
      </c>
      <c r="U17" s="37">
        <v>1518125.2</v>
      </c>
      <c r="V17" s="37">
        <f>IF((U17-U16)&lt;=0,0,(U17-U16))</f>
        <v>0</v>
      </c>
      <c r="W17" s="37">
        <v>3095.6</v>
      </c>
      <c r="X17" s="37">
        <f t="shared" si="87"/>
        <v>8520.0000000003638</v>
      </c>
      <c r="Y17" s="183"/>
      <c r="Z17" s="183">
        <f t="shared" si="10"/>
        <v>0</v>
      </c>
      <c r="AA17" s="37">
        <v>362430</v>
      </c>
      <c r="AB17" s="37">
        <f t="shared" si="11"/>
        <v>5080</v>
      </c>
      <c r="AC17" s="37">
        <v>3306.5</v>
      </c>
      <c r="AD17" s="37"/>
      <c r="AE17" s="37">
        <f t="shared" si="12"/>
        <v>7099.9999999999091</v>
      </c>
      <c r="AF17" s="37">
        <f t="shared" si="74"/>
        <v>1</v>
      </c>
      <c r="AG17" s="37">
        <v>7194.3</v>
      </c>
      <c r="AH17" s="37"/>
      <c r="AI17" s="37">
        <f t="shared" si="13"/>
        <v>14760.010000000364</v>
      </c>
      <c r="AJ17" s="37">
        <f t="shared" si="14"/>
        <v>1</v>
      </c>
      <c r="AK17" s="37">
        <f t="shared" si="15"/>
        <v>30380.010000000635</v>
      </c>
      <c r="AL17" s="2">
        <v>9348.4</v>
      </c>
      <c r="AM17" s="42"/>
      <c r="AN17" s="37">
        <f t="shared" si="54"/>
        <v>7600.0099999993499</v>
      </c>
      <c r="AO17" s="37">
        <f t="shared" si="75"/>
        <v>1</v>
      </c>
      <c r="AP17" s="37">
        <v>7033.2</v>
      </c>
      <c r="AQ17" s="37"/>
      <c r="AR17" s="37">
        <f t="shared" si="16"/>
        <v>8800.0000000001819</v>
      </c>
      <c r="AS17" s="37">
        <f t="shared" si="76"/>
        <v>1</v>
      </c>
      <c r="AT17" s="183"/>
      <c r="AU17" s="183">
        <f t="shared" si="17"/>
        <v>0</v>
      </c>
      <c r="AV17" s="183"/>
      <c r="AW17" s="183">
        <f t="shared" si="18"/>
        <v>0</v>
      </c>
      <c r="AX17" s="37">
        <v>437135.92</v>
      </c>
      <c r="AY17" s="37"/>
      <c r="AZ17" s="37">
        <f t="shared" si="19"/>
        <v>352.35999999998603</v>
      </c>
      <c r="BA17" s="37">
        <v>80300.104000000007</v>
      </c>
      <c r="BB17" s="37"/>
      <c r="BC17" s="37">
        <f t="shared" si="20"/>
        <v>514.07200000000012</v>
      </c>
      <c r="BD17" s="37">
        <f t="shared" si="77"/>
        <v>17266.441999999519</v>
      </c>
      <c r="BE17" s="43">
        <v>1591.5</v>
      </c>
      <c r="BF17" s="43">
        <v>862.14</v>
      </c>
      <c r="BG17" s="37">
        <f t="shared" si="21"/>
        <v>1900.0000000000909</v>
      </c>
      <c r="BH17" s="44">
        <v>7671.4</v>
      </c>
      <c r="BI17" s="44">
        <v>4934.8</v>
      </c>
      <c r="BJ17" s="37">
        <f t="shared" si="22"/>
        <v>9599.9999999994543</v>
      </c>
      <c r="BK17" s="40">
        <v>1030700</v>
      </c>
      <c r="BL17" s="40">
        <f t="shared" si="78"/>
        <v>5400</v>
      </c>
      <c r="BM17" s="40">
        <v>782.04</v>
      </c>
      <c r="BN17" s="37">
        <f t="shared" si="23"/>
        <v>730.00000000001819</v>
      </c>
      <c r="BO17" s="186"/>
      <c r="BP17" s="183">
        <f t="shared" si="24"/>
        <v>0</v>
      </c>
      <c r="BQ17" s="40">
        <v>742.18</v>
      </c>
      <c r="BR17" s="37">
        <f t="shared" si="55"/>
        <v>729.9999999999045</v>
      </c>
      <c r="BS17" s="37">
        <v>70999.59</v>
      </c>
      <c r="BT17" s="37">
        <f t="shared" si="25"/>
        <v>194.69000000000233</v>
      </c>
      <c r="BU17" s="42">
        <v>1791400</v>
      </c>
      <c r="BV17" s="42"/>
      <c r="BW17" s="37">
        <f t="shared" si="26"/>
        <v>5600</v>
      </c>
      <c r="BX17" s="37">
        <f t="shared" si="79"/>
        <v>1</v>
      </c>
      <c r="BY17" s="43">
        <v>253.6</v>
      </c>
      <c r="BZ17" s="43"/>
      <c r="CA17" s="37">
        <f>IF((BY17-BY16)&lt;=0,0,(BY17-BY16)*1000)</f>
        <v>900.00000000000568</v>
      </c>
      <c r="CB17" s="37">
        <f t="shared" si="56"/>
        <v>1</v>
      </c>
      <c r="CC17" s="37">
        <v>414370</v>
      </c>
      <c r="CD17" s="37">
        <f t="shared" si="28"/>
        <v>0</v>
      </c>
      <c r="CE17" s="37">
        <v>697300</v>
      </c>
      <c r="CF17" s="37">
        <f t="shared" si="57"/>
        <v>0</v>
      </c>
      <c r="CG17" s="37">
        <v>49572</v>
      </c>
      <c r="CH17" s="37">
        <f t="shared" si="58"/>
        <v>1312</v>
      </c>
      <c r="CI17" s="40">
        <v>10438</v>
      </c>
      <c r="CJ17" s="40"/>
      <c r="CK17" s="37">
        <f t="shared" si="59"/>
        <v>17260.009999999991</v>
      </c>
      <c r="CL17" s="37">
        <f t="shared" si="29"/>
        <v>1</v>
      </c>
      <c r="CM17" s="37">
        <v>2634</v>
      </c>
      <c r="CN17" s="37"/>
      <c r="CO17" s="37">
        <f t="shared" si="30"/>
        <v>8460.0100000001821</v>
      </c>
      <c r="CP17" s="37">
        <f t="shared" si="80"/>
        <v>1</v>
      </c>
      <c r="CQ17" s="39">
        <v>2564.9</v>
      </c>
      <c r="CR17" s="45"/>
      <c r="CS17" s="37">
        <f t="shared" si="31"/>
        <v>5860.0100000002731</v>
      </c>
      <c r="CT17" s="37">
        <f t="shared" si="81"/>
        <v>1</v>
      </c>
      <c r="CU17" s="37">
        <v>1833500</v>
      </c>
      <c r="CV17" s="37"/>
      <c r="CW17" s="38">
        <f t="shared" si="32"/>
        <v>14900</v>
      </c>
      <c r="CX17" s="37">
        <f t="shared" si="82"/>
        <v>1</v>
      </c>
      <c r="CY17" s="37">
        <v>949040</v>
      </c>
      <c r="CZ17" s="37"/>
      <c r="DA17" s="37">
        <f t="shared" si="33"/>
        <v>9450</v>
      </c>
      <c r="DB17" s="37">
        <f t="shared" si="83"/>
        <v>1</v>
      </c>
      <c r="DC17" s="37"/>
      <c r="DD17" s="40"/>
      <c r="DE17" s="37">
        <f t="shared" si="34"/>
        <v>0</v>
      </c>
      <c r="DF17" s="37">
        <f t="shared" si="88"/>
        <v>0</v>
      </c>
      <c r="DG17" s="37">
        <f t="shared" si="35"/>
        <v>-61530.03000000045</v>
      </c>
      <c r="DH17" s="37">
        <f t="shared" si="36"/>
        <v>322280.01000000071</v>
      </c>
      <c r="DI17" s="46"/>
      <c r="DJ17" s="46"/>
      <c r="DK17" s="47"/>
      <c r="DL17" s="47"/>
      <c r="DM17" s="37"/>
      <c r="DN17" s="37"/>
      <c r="DO17" s="37"/>
      <c r="DP17" s="37"/>
      <c r="DQ17" s="50">
        <v>2335200</v>
      </c>
      <c r="DR17" s="49">
        <f t="shared" si="60"/>
        <v>11900</v>
      </c>
      <c r="DS17" s="50">
        <v>1514100</v>
      </c>
      <c r="DT17" s="49">
        <f t="shared" si="61"/>
        <v>15000</v>
      </c>
      <c r="DU17" s="36">
        <v>7409.3</v>
      </c>
      <c r="DV17" s="36">
        <v>4128.2</v>
      </c>
      <c r="DW17" s="37">
        <f t="shared" si="84"/>
        <v>5100.0000000003638</v>
      </c>
      <c r="DX17" s="52">
        <v>12296</v>
      </c>
      <c r="DY17" s="52">
        <v>8192.7000000000007</v>
      </c>
      <c r="DZ17" s="37">
        <f t="shared" si="37"/>
        <v>6160.01</v>
      </c>
      <c r="EA17" s="50">
        <v>27200</v>
      </c>
      <c r="EB17" s="49">
        <v>19.457999999999998</v>
      </c>
      <c r="EC17" s="37">
        <f t="shared" si="38"/>
        <v>25320.01</v>
      </c>
      <c r="ED17" s="53">
        <f t="shared" si="39"/>
        <v>36580.020000000361</v>
      </c>
      <c r="EE17" s="49">
        <v>42350</v>
      </c>
      <c r="EF17" s="49">
        <v>26.695</v>
      </c>
      <c r="EG17" s="37">
        <f t="shared" si="40"/>
        <v>28320.01</v>
      </c>
      <c r="EH17" s="52">
        <v>11794</v>
      </c>
      <c r="EI17" s="52">
        <v>1.5613999999999999</v>
      </c>
      <c r="EJ17" s="37">
        <f t="shared" si="41"/>
        <v>12160.01</v>
      </c>
      <c r="EK17" s="37">
        <v>710.4</v>
      </c>
      <c r="EL17" s="40">
        <v>1022.1</v>
      </c>
      <c r="EM17" s="37">
        <f t="shared" si="62"/>
        <v>709.99999999992269</v>
      </c>
      <c r="EN17" s="54">
        <f t="shared" si="63"/>
        <v>41190.019999999917</v>
      </c>
      <c r="EO17" s="48">
        <v>11884</v>
      </c>
      <c r="EP17" s="48">
        <v>4137.8999999999996</v>
      </c>
      <c r="EQ17" s="37">
        <f t="shared" si="42"/>
        <v>9160.01</v>
      </c>
      <c r="ER17" s="48">
        <v>7270.3</v>
      </c>
      <c r="ES17" s="48">
        <v>2944.2</v>
      </c>
      <c r="ET17" s="49">
        <f t="shared" si="92"/>
        <v>14100.000000000364</v>
      </c>
      <c r="EU17" s="48">
        <v>2576</v>
      </c>
      <c r="EV17" s="48">
        <v>921.81</v>
      </c>
      <c r="EW17" s="49">
        <f t="shared" si="44"/>
        <v>5760.0099999999093</v>
      </c>
      <c r="EX17" s="48">
        <v>11996</v>
      </c>
      <c r="EY17" s="48">
        <v>1.2479</v>
      </c>
      <c r="EZ17" s="37">
        <f t="shared" si="45"/>
        <v>11160.01</v>
      </c>
      <c r="FA17" s="48">
        <f t="shared" si="64"/>
        <v>-20327.030000000275</v>
      </c>
      <c r="FB17" s="48">
        <v>33576761</v>
      </c>
      <c r="FC17" s="49">
        <f t="shared" si="85"/>
        <v>19853</v>
      </c>
      <c r="FD17" s="48">
        <f t="shared" si="65"/>
        <v>41780.030000000188</v>
      </c>
      <c r="FE17" s="48">
        <v>15923</v>
      </c>
      <c r="FF17" s="48">
        <v>5723.4</v>
      </c>
      <c r="FG17" s="37">
        <f t="shared" si="66"/>
        <v>8860.01</v>
      </c>
      <c r="FH17" s="48">
        <v>6732.3</v>
      </c>
      <c r="FI17" s="48">
        <v>2.5895000000000001</v>
      </c>
      <c r="FJ17" s="49">
        <f t="shared" si="46"/>
        <v>19760.010000000544</v>
      </c>
      <c r="FK17" s="48"/>
      <c r="FL17" s="58">
        <v>700</v>
      </c>
      <c r="FM17" s="48">
        <f t="shared" si="86"/>
        <v>-160.01000000018212</v>
      </c>
      <c r="FN17" s="48">
        <v>15156</v>
      </c>
      <c r="FO17" s="48">
        <v>0.65369999999999995</v>
      </c>
      <c r="FP17" s="37">
        <f t="shared" si="67"/>
        <v>11860.01</v>
      </c>
      <c r="FQ17" s="48">
        <v>53694</v>
      </c>
      <c r="FR17" s="48">
        <v>12.759</v>
      </c>
      <c r="FS17" s="37">
        <f t="shared" si="47"/>
        <v>55000</v>
      </c>
      <c r="FT17" s="48">
        <f t="shared" ref="FT17:FT38" si="93">FS17-FG17-FJ17-FP17-DT17</f>
        <v>-480.03000000054635</v>
      </c>
      <c r="FU17" s="48">
        <f t="shared" si="69"/>
        <v>40880.030000000406</v>
      </c>
      <c r="FV17" s="44">
        <v>2072200</v>
      </c>
      <c r="FW17" s="44">
        <v>674300</v>
      </c>
      <c r="FX17" s="37">
        <f t="shared" si="48"/>
        <v>33600</v>
      </c>
      <c r="FY17" s="56">
        <v>2704.9</v>
      </c>
      <c r="FZ17" s="56">
        <v>1.5179</v>
      </c>
      <c r="GA17" s="37">
        <f t="shared" si="91"/>
        <v>7080.0000000002728</v>
      </c>
      <c r="GB17" s="56">
        <v>727.17</v>
      </c>
      <c r="GC17" s="56">
        <v>804.64</v>
      </c>
      <c r="GD17" s="37">
        <f t="shared" si="49"/>
        <v>959.99999999992269</v>
      </c>
      <c r="GE17" s="56">
        <v>9058.4</v>
      </c>
      <c r="GF17" s="56">
        <v>2.6465999999999998</v>
      </c>
      <c r="GG17" s="37">
        <f t="shared" si="50"/>
        <v>7799.9999999994998</v>
      </c>
      <c r="GH17" s="153">
        <v>1739.8</v>
      </c>
      <c r="GI17" s="162">
        <v>1465.4</v>
      </c>
      <c r="GJ17" s="38">
        <f t="shared" si="51"/>
        <v>1599.9999999999091</v>
      </c>
      <c r="GK17" s="162">
        <v>1399.1</v>
      </c>
      <c r="GL17" s="163">
        <v>1088.8</v>
      </c>
      <c r="GM17" s="38">
        <f t="shared" si="52"/>
        <v>399.99999999986358</v>
      </c>
      <c r="GN17" s="57">
        <v>158840</v>
      </c>
      <c r="GO17" s="57">
        <v>138560</v>
      </c>
      <c r="GP17" s="38">
        <f t="shared" si="90"/>
        <v>0</v>
      </c>
      <c r="GQ17" s="38">
        <v>182440</v>
      </c>
      <c r="GR17" s="38">
        <v>184880</v>
      </c>
      <c r="GS17" s="38">
        <f t="shared" si="70"/>
        <v>1120</v>
      </c>
      <c r="GT17" s="178"/>
      <c r="GU17" s="144">
        <f>DailyJan!B16-DailyJan!N16-DailyJan!V16-DailyJan!Y16-DailyJan!Z16-DailyJan!AA16-DailyJan!AB16-DailyJan!AC16-DailyJan!AD16-DailyJan!AE16-DailyJan!AK16-DailyJan!AO16-DailyJan!AS16-DailyJan!AY16-DailyJan!BD16+DailyJan!BS16-SUM(DailyJan!BM16:BQ16)-DailyJan!BR16-DailyJan!AF16-DailyJan!AG16</f>
        <v>-5.7599997197030461E-2</v>
      </c>
      <c r="GV17" s="59">
        <v>2400.0924000027971</v>
      </c>
      <c r="GW17" s="60">
        <f t="shared" si="53"/>
        <v>160.00616000018647</v>
      </c>
      <c r="GX17" s="61">
        <v>160.01</v>
      </c>
      <c r="GY17" s="140"/>
      <c r="GZ17" s="62"/>
      <c r="HA17" s="62">
        <v>2400.0944000000286</v>
      </c>
      <c r="HB17" s="74"/>
      <c r="HC17" s="62">
        <v>11001.475599999971</v>
      </c>
      <c r="HD17" s="74"/>
      <c r="HE17" s="24">
        <v>11001.475599999971</v>
      </c>
      <c r="HG17" s="62"/>
      <c r="HJ17" s="3"/>
    </row>
    <row r="18" spans="1:218" x14ac:dyDescent="0.25">
      <c r="A18" s="35">
        <f t="shared" si="2"/>
        <v>12</v>
      </c>
      <c r="B18" s="38">
        <v>3223.8</v>
      </c>
      <c r="C18" s="38">
        <f t="shared" si="3"/>
        <v>7.8200000000001637</v>
      </c>
      <c r="D18" s="38">
        <f t="shared" si="4"/>
        <v>250240.00000000524</v>
      </c>
      <c r="E18" s="38">
        <v>648.79</v>
      </c>
      <c r="F18" s="38">
        <f t="shared" si="89"/>
        <v>49599.999999998545</v>
      </c>
      <c r="G18" s="38">
        <f t="shared" si="6"/>
        <v>299840.00000000378</v>
      </c>
      <c r="H18" s="37"/>
      <c r="I18" s="39"/>
      <c r="J18" s="42"/>
      <c r="K18" s="37">
        <f t="shared" si="71"/>
        <v>0</v>
      </c>
      <c r="L18" s="40">
        <v>9063100</v>
      </c>
      <c r="M18" s="40"/>
      <c r="N18" s="37">
        <f t="shared" si="72"/>
        <v>297000</v>
      </c>
      <c r="O18" s="37">
        <v>9146.2000000000007</v>
      </c>
      <c r="P18" s="37"/>
      <c r="Q18" s="37">
        <f t="shared" si="7"/>
        <v>13600.000000000364</v>
      </c>
      <c r="R18" s="37">
        <f t="shared" si="73"/>
        <v>1</v>
      </c>
      <c r="S18" s="37">
        <v>10911687.060000001</v>
      </c>
      <c r="T18" s="37">
        <f t="shared" si="8"/>
        <v>0</v>
      </c>
      <c r="U18" s="37">
        <v>1518125.2</v>
      </c>
      <c r="V18" s="37">
        <f>IF((U18-U17)&lt;=0,0,(U18-U17))</f>
        <v>0</v>
      </c>
      <c r="W18" s="37">
        <v>3102.5</v>
      </c>
      <c r="X18" s="37">
        <f t="shared" si="87"/>
        <v>8630.0000000003638</v>
      </c>
      <c r="Y18" s="183"/>
      <c r="Z18" s="183">
        <f t="shared" si="10"/>
        <v>0</v>
      </c>
      <c r="AA18" s="37">
        <v>367400</v>
      </c>
      <c r="AB18" s="37">
        <f t="shared" si="11"/>
        <v>4970</v>
      </c>
      <c r="AC18" s="173">
        <v>3313.8</v>
      </c>
      <c r="AD18" s="37"/>
      <c r="AE18" s="37">
        <f t="shared" si="12"/>
        <v>7300.0000000001819</v>
      </c>
      <c r="AF18" s="37">
        <f t="shared" si="74"/>
        <v>1</v>
      </c>
      <c r="AG18" s="37">
        <v>7209.7</v>
      </c>
      <c r="AH18" s="37"/>
      <c r="AI18" s="37">
        <f t="shared" si="13"/>
        <v>15564.209999999635</v>
      </c>
      <c r="AJ18" s="37">
        <f t="shared" si="14"/>
        <v>1</v>
      </c>
      <c r="AK18" s="37">
        <f t="shared" si="15"/>
        <v>31494.210000000181</v>
      </c>
      <c r="AL18" s="48">
        <v>9362.4</v>
      </c>
      <c r="AM18" s="66"/>
      <c r="AN18" s="37">
        <f>IF((AL18-AL17)&lt;=0,0,(AL18-AL17))*1000+GX18-BL18-BN18-BP18-BR18</f>
        <v>7394.2099999998763</v>
      </c>
      <c r="AO18" s="37">
        <f t="shared" si="75"/>
        <v>1</v>
      </c>
      <c r="AP18" s="37">
        <v>7042.6</v>
      </c>
      <c r="AQ18" s="37"/>
      <c r="AR18" s="37">
        <f t="shared" si="16"/>
        <v>9400.0000000005457</v>
      </c>
      <c r="AS18" s="37">
        <f t="shared" si="76"/>
        <v>1</v>
      </c>
      <c r="AT18" s="183"/>
      <c r="AU18" s="183">
        <f t="shared" si="17"/>
        <v>0</v>
      </c>
      <c r="AV18" s="183"/>
      <c r="AW18" s="183">
        <f t="shared" si="18"/>
        <v>0</v>
      </c>
      <c r="AX18" s="37">
        <v>437460</v>
      </c>
      <c r="AY18" s="37"/>
      <c r="AZ18" s="37">
        <f t="shared" si="19"/>
        <v>324.0800000000163</v>
      </c>
      <c r="BA18" s="40">
        <v>80500</v>
      </c>
      <c r="BB18" s="37"/>
      <c r="BC18" s="37">
        <f t="shared" si="20"/>
        <v>199.89599999999336</v>
      </c>
      <c r="BD18" s="37">
        <f t="shared" si="77"/>
        <v>17318.186000000431</v>
      </c>
      <c r="BE18" s="43">
        <v>1593.5</v>
      </c>
      <c r="BF18" s="43">
        <v>863.35</v>
      </c>
      <c r="BG18" s="37">
        <f t="shared" si="21"/>
        <v>2000</v>
      </c>
      <c r="BH18" s="44">
        <v>7681</v>
      </c>
      <c r="BI18" s="44">
        <v>4941</v>
      </c>
      <c r="BJ18" s="37">
        <f t="shared" si="22"/>
        <v>9600.0000000003638</v>
      </c>
      <c r="BK18" s="40">
        <v>1036230</v>
      </c>
      <c r="BL18" s="40">
        <f t="shared" si="78"/>
        <v>5530</v>
      </c>
      <c r="BM18" s="40">
        <v>782.76</v>
      </c>
      <c r="BN18" s="37">
        <f t="shared" si="23"/>
        <v>720.00000000002728</v>
      </c>
      <c r="BO18" s="186"/>
      <c r="BP18" s="183">
        <f t="shared" si="24"/>
        <v>0</v>
      </c>
      <c r="BQ18" s="40">
        <v>742.7</v>
      </c>
      <c r="BR18" s="37">
        <f t="shared" si="55"/>
        <v>520.0000000000955</v>
      </c>
      <c r="BS18" s="37">
        <v>71180.67</v>
      </c>
      <c r="BT18" s="37">
        <f t="shared" si="25"/>
        <v>181.08000000000175</v>
      </c>
      <c r="BU18" s="42">
        <v>1797168</v>
      </c>
      <c r="BV18" s="42"/>
      <c r="BW18" s="37">
        <f t="shared" si="26"/>
        <v>5768</v>
      </c>
      <c r="BX18" s="37">
        <f t="shared" si="79"/>
        <v>1</v>
      </c>
      <c r="BY18" s="43">
        <v>254.54470000000001</v>
      </c>
      <c r="BZ18" s="43"/>
      <c r="CA18" s="37">
        <f>IF((BY18-BY17)&lt;=0,0,(BY18-BY17)*1000)</f>
        <v>944.70000000001164</v>
      </c>
      <c r="CB18" s="37">
        <f t="shared" si="56"/>
        <v>1</v>
      </c>
      <c r="CC18" s="37">
        <v>414374.8</v>
      </c>
      <c r="CD18" s="37">
        <f t="shared" si="28"/>
        <v>4.7999999999883585</v>
      </c>
      <c r="CE18" s="37">
        <v>697300</v>
      </c>
      <c r="CF18" s="37">
        <f t="shared" si="57"/>
        <v>0</v>
      </c>
      <c r="CG18" s="37">
        <v>50973.9</v>
      </c>
      <c r="CH18" s="37">
        <f t="shared" si="58"/>
        <v>1401.9000000000015</v>
      </c>
      <c r="CI18" s="40">
        <v>10454.969999999999</v>
      </c>
      <c r="CJ18" s="40"/>
      <c r="CK18" s="37">
        <f t="shared" si="59"/>
        <v>16189.509999999333</v>
      </c>
      <c r="CL18" s="37">
        <f t="shared" si="29"/>
        <v>1</v>
      </c>
      <c r="CM18" s="37">
        <v>2642.587</v>
      </c>
      <c r="CN18" s="37"/>
      <c r="CO18" s="37">
        <f t="shared" si="30"/>
        <v>8751.2099999999882</v>
      </c>
      <c r="CP18" s="37">
        <f t="shared" si="80"/>
        <v>1</v>
      </c>
      <c r="CQ18" s="39">
        <v>2571.194</v>
      </c>
      <c r="CR18" s="39"/>
      <c r="CS18" s="37">
        <f t="shared" si="31"/>
        <v>6458.2099999998691</v>
      </c>
      <c r="CT18" s="37">
        <f t="shared" si="81"/>
        <v>1</v>
      </c>
      <c r="CU18" s="37">
        <f>CU17+18040</f>
        <v>1851540</v>
      </c>
      <c r="CV18" s="37"/>
      <c r="CW18" s="38">
        <f t="shared" si="32"/>
        <v>18040</v>
      </c>
      <c r="CX18" s="37">
        <f t="shared" si="82"/>
        <v>1</v>
      </c>
      <c r="CY18" s="37">
        <f>CY17+11074</f>
        <v>960114</v>
      </c>
      <c r="CZ18" s="37"/>
      <c r="DA18" s="37">
        <f t="shared" si="33"/>
        <v>11074</v>
      </c>
      <c r="DB18" s="37">
        <f t="shared" si="83"/>
        <v>1</v>
      </c>
      <c r="DC18" s="37"/>
      <c r="DD18" s="40"/>
      <c r="DE18" s="37">
        <f>IF((DC18-DC17)&lt;=0,0,(DC18-DC17))</f>
        <v>0</v>
      </c>
      <c r="DF18" s="37">
        <f t="shared" si="88"/>
        <v>0</v>
      </c>
      <c r="DG18" s="37">
        <f t="shared" si="35"/>
        <v>-66280.929999999178</v>
      </c>
      <c r="DH18" s="37">
        <f t="shared" si="36"/>
        <v>330494.2100000002</v>
      </c>
      <c r="DI18" s="46"/>
      <c r="DJ18" s="46"/>
      <c r="DK18" s="46"/>
      <c r="DL18" s="47"/>
      <c r="DM18" s="37"/>
      <c r="DN18" s="37"/>
      <c r="DO18" s="37"/>
      <c r="DP18" s="37"/>
      <c r="DQ18" s="50">
        <v>2346600</v>
      </c>
      <c r="DR18" s="49">
        <f t="shared" si="60"/>
        <v>11400</v>
      </c>
      <c r="DS18" s="50">
        <v>1529300</v>
      </c>
      <c r="DT18" s="49">
        <f t="shared" si="61"/>
        <v>15200</v>
      </c>
      <c r="DU18" s="52">
        <v>7414.3</v>
      </c>
      <c r="DV18" s="52">
        <v>4131.2</v>
      </c>
      <c r="DW18" s="37">
        <f t="shared" si="84"/>
        <v>5000</v>
      </c>
      <c r="DX18" s="52">
        <v>12302</v>
      </c>
      <c r="DY18" s="52">
        <v>8192.7999999999993</v>
      </c>
      <c r="DZ18" s="37">
        <f t="shared" si="37"/>
        <v>6164.21</v>
      </c>
      <c r="EA18" s="49">
        <v>27222</v>
      </c>
      <c r="EB18" s="49">
        <v>19.47</v>
      </c>
      <c r="EC18" s="37">
        <f t="shared" si="38"/>
        <v>24324.21</v>
      </c>
      <c r="ED18" s="53">
        <f t="shared" si="39"/>
        <v>35488.42</v>
      </c>
      <c r="EE18" s="49">
        <v>42372</v>
      </c>
      <c r="EF18" s="49">
        <v>26.721</v>
      </c>
      <c r="EG18" s="37">
        <f t="shared" si="40"/>
        <v>24324.21</v>
      </c>
      <c r="EH18" s="52">
        <v>11807</v>
      </c>
      <c r="EI18" s="44">
        <v>1.5649</v>
      </c>
      <c r="EJ18" s="37">
        <f t="shared" si="41"/>
        <v>13164.21</v>
      </c>
      <c r="EK18" s="37">
        <v>711.14</v>
      </c>
      <c r="EL18" s="40">
        <v>1023.2</v>
      </c>
      <c r="EM18" s="37">
        <f t="shared" si="62"/>
        <v>740.00000000000909</v>
      </c>
      <c r="EN18" s="54">
        <f t="shared" si="63"/>
        <v>38228.420000000006</v>
      </c>
      <c r="EO18" s="48">
        <v>11892</v>
      </c>
      <c r="EP18" s="48">
        <v>4140.8999999999996</v>
      </c>
      <c r="EQ18" s="37">
        <f t="shared" si="42"/>
        <v>8164.21</v>
      </c>
      <c r="ER18" s="48">
        <v>7286.9</v>
      </c>
      <c r="ES18" s="48">
        <v>2951.5</v>
      </c>
      <c r="ET18" s="49">
        <f t="shared" si="92"/>
        <v>16599.999999999454</v>
      </c>
      <c r="EU18" s="48">
        <v>2581.9</v>
      </c>
      <c r="EV18" s="48">
        <v>924.01</v>
      </c>
      <c r="EW18" s="49">
        <f t="shared" si="44"/>
        <v>6064.210000000091</v>
      </c>
      <c r="EX18" s="55">
        <v>12008</v>
      </c>
      <c r="EY18" s="48">
        <v>1.2503</v>
      </c>
      <c r="EZ18" s="37">
        <f t="shared" si="45"/>
        <v>12164.21</v>
      </c>
      <c r="FA18" s="48">
        <f t="shared" si="64"/>
        <v>-20683.629999999543</v>
      </c>
      <c r="FB18" s="48">
        <v>33599070</v>
      </c>
      <c r="FC18" s="49">
        <f>IF((FB18-FB17)&lt;=0,0,(FB18-FB17))</f>
        <v>22309</v>
      </c>
      <c r="FD18" s="48">
        <f t="shared" si="65"/>
        <v>44192.629999999583</v>
      </c>
      <c r="FE18" s="48">
        <v>15933</v>
      </c>
      <c r="FF18" s="48">
        <v>5726.3</v>
      </c>
      <c r="FG18" s="37">
        <f t="shared" si="66"/>
        <v>9964.2099999999991</v>
      </c>
      <c r="FH18" s="48">
        <v>6751.7</v>
      </c>
      <c r="FI18" s="48">
        <v>2.5971000000000002</v>
      </c>
      <c r="FJ18" s="49">
        <f t="shared" si="46"/>
        <v>19364.209999999635</v>
      </c>
      <c r="FK18" s="48"/>
      <c r="FL18" s="58">
        <v>-200</v>
      </c>
      <c r="FM18" s="48">
        <f>FT18/3</f>
        <v>-164.20999999987785</v>
      </c>
      <c r="FN18" s="48">
        <v>15167</v>
      </c>
      <c r="FO18" s="48">
        <v>0.65539999999999998</v>
      </c>
      <c r="FP18" s="37">
        <f t="shared" si="67"/>
        <v>10964.21</v>
      </c>
      <c r="FQ18" s="48">
        <v>53749</v>
      </c>
      <c r="FR18" s="48">
        <v>12.775</v>
      </c>
      <c r="FS18" s="37">
        <f>IF((FQ18-FQ17)*1000&lt;=0,0,(FQ18-FQ17)*1000)</f>
        <v>55000</v>
      </c>
      <c r="FT18" s="48">
        <f t="shared" si="93"/>
        <v>-492.62999999963358</v>
      </c>
      <c r="FU18" s="48">
        <f t="shared" si="69"/>
        <v>40292.629999999634</v>
      </c>
      <c r="FV18" s="44">
        <v>2105200</v>
      </c>
      <c r="FW18" s="44">
        <v>684440</v>
      </c>
      <c r="FX18" s="37">
        <f t="shared" si="48"/>
        <v>33000</v>
      </c>
      <c r="FY18" s="56">
        <v>2713.8</v>
      </c>
      <c r="FZ18" s="56">
        <v>1.5262</v>
      </c>
      <c r="GA18" s="37">
        <f t="shared" si="91"/>
        <v>7640.0000000000909</v>
      </c>
      <c r="GB18" s="56">
        <v>728.04</v>
      </c>
      <c r="GC18" s="56">
        <v>805.72</v>
      </c>
      <c r="GD18" s="37">
        <f t="shared" si="49"/>
        <v>870.00000000000455</v>
      </c>
      <c r="GE18" s="56">
        <v>9068.1</v>
      </c>
      <c r="GF18" s="56">
        <v>2.6539000000000001</v>
      </c>
      <c r="GG18" s="37">
        <f t="shared" si="50"/>
        <v>8500.0000000006821</v>
      </c>
      <c r="GH18" s="153">
        <v>1741</v>
      </c>
      <c r="GI18" s="162">
        <v>1467</v>
      </c>
      <c r="GJ18" s="38">
        <f t="shared" si="51"/>
        <v>1200.0000000000455</v>
      </c>
      <c r="GK18" s="162">
        <v>1399.1</v>
      </c>
      <c r="GL18" s="163">
        <v>1088.8</v>
      </c>
      <c r="GM18" s="38">
        <f t="shared" si="52"/>
        <v>0</v>
      </c>
      <c r="GN18" s="57">
        <v>158840</v>
      </c>
      <c r="GO18" s="57">
        <v>138570</v>
      </c>
      <c r="GP18" s="38">
        <f t="shared" si="90"/>
        <v>0</v>
      </c>
      <c r="GQ18" s="38">
        <v>183700</v>
      </c>
      <c r="GR18" s="38">
        <v>185990</v>
      </c>
      <c r="GS18" s="38">
        <f t="shared" si="70"/>
        <v>1260</v>
      </c>
      <c r="GT18" s="178"/>
      <c r="GU18" s="144">
        <f>DailyJan!B17-DailyJan!N17-DailyJan!V17-DailyJan!Y17-DailyJan!Z17-DailyJan!AA17-DailyJan!AB17-DailyJan!AC17-DailyJan!AD17-DailyJan!AE17-DailyJan!AK17-DailyJan!AO17-DailyJan!AS17-DailyJan!AY17-DailyJan!BD17+DailyJan!BS17-SUM(DailyJan!BM17:BQ17)-DailyJan!BR17-DailyJan!AF17-DailyJan!AG17</f>
        <v>3.9600003537998418E-2</v>
      </c>
      <c r="GV18" s="59">
        <v>2463.1896000035103</v>
      </c>
      <c r="GW18" s="60">
        <f t="shared" si="53"/>
        <v>164.21264000023402</v>
      </c>
      <c r="GX18" s="61">
        <v>164.21</v>
      </c>
      <c r="GY18" s="140"/>
      <c r="GZ18" s="62"/>
      <c r="HA18" s="62">
        <v>2463.1856000000312</v>
      </c>
      <c r="HB18" s="74"/>
      <c r="HC18" s="62">
        <v>12621.134399999968</v>
      </c>
      <c r="HD18" s="74"/>
      <c r="HE18" s="24">
        <v>12621.134399999968</v>
      </c>
      <c r="HG18" s="62"/>
      <c r="HJ18" s="3"/>
    </row>
    <row r="19" spans="1:218" x14ac:dyDescent="0.25">
      <c r="A19" s="35">
        <f t="shared" si="2"/>
        <v>13</v>
      </c>
      <c r="B19" s="38">
        <v>3231.12</v>
      </c>
      <c r="C19" s="38">
        <f t="shared" si="3"/>
        <v>7.319999999999709</v>
      </c>
      <c r="D19" s="38">
        <f t="shared" si="4"/>
        <v>234239.99999999069</v>
      </c>
      <c r="E19" s="38">
        <v>650.26</v>
      </c>
      <c r="F19" s="38">
        <f t="shared" si="89"/>
        <v>47040.000000000873</v>
      </c>
      <c r="G19" s="38">
        <f t="shared" si="6"/>
        <v>281279.99999999156</v>
      </c>
      <c r="H19" s="37"/>
      <c r="I19" s="39"/>
      <c r="J19" s="42"/>
      <c r="K19" s="37">
        <f t="shared" si="71"/>
        <v>0</v>
      </c>
      <c r="L19" s="40">
        <v>9090900</v>
      </c>
      <c r="M19" s="40"/>
      <c r="N19" s="37">
        <f t="shared" si="72"/>
        <v>278000</v>
      </c>
      <c r="O19" s="37">
        <v>9159.5</v>
      </c>
      <c r="P19" s="37"/>
      <c r="Q19" s="37">
        <f t="shared" si="7"/>
        <v>13299.999999999272</v>
      </c>
      <c r="R19" s="37">
        <f t="shared" si="73"/>
        <v>1</v>
      </c>
      <c r="S19" s="37">
        <v>10911687.060000001</v>
      </c>
      <c r="T19" s="37">
        <f t="shared" si="8"/>
        <v>0</v>
      </c>
      <c r="U19" s="37">
        <v>1518125.2</v>
      </c>
      <c r="V19" s="37">
        <f t="shared" si="9"/>
        <v>0</v>
      </c>
      <c r="W19" s="37">
        <v>3109.3</v>
      </c>
      <c r="X19" s="37">
        <f t="shared" si="87"/>
        <v>8439.9999999992724</v>
      </c>
      <c r="Y19" s="183"/>
      <c r="Z19" s="183">
        <f t="shared" si="10"/>
        <v>0</v>
      </c>
      <c r="AA19" s="37">
        <v>372260</v>
      </c>
      <c r="AB19" s="37">
        <f t="shared" si="11"/>
        <v>4860</v>
      </c>
      <c r="AC19" s="37">
        <v>3321</v>
      </c>
      <c r="AD19" s="37"/>
      <c r="AE19" s="37">
        <f t="shared" si="12"/>
        <v>7199.9999999998181</v>
      </c>
      <c r="AF19" s="37">
        <f t="shared" si="74"/>
        <v>1</v>
      </c>
      <c r="AG19" s="37">
        <v>7225.4</v>
      </c>
      <c r="AH19" s="67"/>
      <c r="AI19" s="37">
        <f t="shared" si="13"/>
        <v>15854.049999999817</v>
      </c>
      <c r="AJ19" s="37">
        <f t="shared" si="14"/>
        <v>1</v>
      </c>
      <c r="AK19" s="37">
        <f t="shared" si="15"/>
        <v>31494.049999998908</v>
      </c>
      <c r="AL19" s="48">
        <v>9376.2999999999993</v>
      </c>
      <c r="AM19" s="66"/>
      <c r="AN19" s="37">
        <f t="shared" si="54"/>
        <v>7654.0499999996628</v>
      </c>
      <c r="AO19" s="37">
        <f t="shared" si="75"/>
        <v>1</v>
      </c>
      <c r="AP19" s="37">
        <v>7051.4</v>
      </c>
      <c r="AQ19" s="37"/>
      <c r="AR19" s="37">
        <f t="shared" si="16"/>
        <v>8799.9999999992724</v>
      </c>
      <c r="AS19" s="37">
        <f t="shared" si="76"/>
        <v>1</v>
      </c>
      <c r="AT19" s="183"/>
      <c r="AU19" s="183">
        <f t="shared" si="17"/>
        <v>0</v>
      </c>
      <c r="AV19" s="183"/>
      <c r="AW19" s="183">
        <f t="shared" si="18"/>
        <v>0</v>
      </c>
      <c r="AX19" s="37">
        <v>437630</v>
      </c>
      <c r="AY19" s="37"/>
      <c r="AZ19" s="37">
        <f t="shared" si="19"/>
        <v>170</v>
      </c>
      <c r="BA19" s="37">
        <v>80580</v>
      </c>
      <c r="BB19" s="37"/>
      <c r="BC19" s="37">
        <f t="shared" si="20"/>
        <v>80</v>
      </c>
      <c r="BD19" s="37">
        <f>AN19+AR19+AZ19+BC19</f>
        <v>16704.049999998933</v>
      </c>
      <c r="BE19" s="43">
        <v>1595.7</v>
      </c>
      <c r="BF19" s="43">
        <v>864.63</v>
      </c>
      <c r="BG19" s="37">
        <f t="shared" si="21"/>
        <v>2200.0000000000455</v>
      </c>
      <c r="BH19" s="44">
        <v>7690.8</v>
      </c>
      <c r="BI19" s="44">
        <v>4947.3</v>
      </c>
      <c r="BJ19" s="37">
        <f t="shared" si="22"/>
        <v>9800.0000000001819</v>
      </c>
      <c r="BK19" s="40">
        <v>1041600</v>
      </c>
      <c r="BL19" s="40">
        <f t="shared" si="78"/>
        <v>5370</v>
      </c>
      <c r="BM19" s="40">
        <v>783.49</v>
      </c>
      <c r="BN19" s="37">
        <f t="shared" si="23"/>
        <v>730.00000000001819</v>
      </c>
      <c r="BO19" s="186"/>
      <c r="BP19" s="183">
        <f t="shared" si="24"/>
        <v>0</v>
      </c>
      <c r="BQ19" s="40">
        <v>743</v>
      </c>
      <c r="BR19" s="37">
        <f t="shared" si="55"/>
        <v>299.99999999995453</v>
      </c>
      <c r="BS19" s="37">
        <v>71363.210000000006</v>
      </c>
      <c r="BT19" s="37">
        <f t="shared" si="25"/>
        <v>182.54000000000815</v>
      </c>
      <c r="BU19" s="42">
        <v>1802731</v>
      </c>
      <c r="BV19" s="42"/>
      <c r="BW19" s="37">
        <f t="shared" si="26"/>
        <v>5563</v>
      </c>
      <c r="BX19" s="37">
        <f t="shared" si="79"/>
        <v>1</v>
      </c>
      <c r="BY19" s="43">
        <v>255.30500000000001</v>
      </c>
      <c r="BZ19" s="43"/>
      <c r="CA19" s="37">
        <f>IF((BY19-BY18)&lt;=0,0,(BY19-BY18)*1000)</f>
        <v>760.30000000000086</v>
      </c>
      <c r="CB19" s="37">
        <f t="shared" si="56"/>
        <v>1</v>
      </c>
      <c r="CC19" s="37">
        <v>415371.8</v>
      </c>
      <c r="CD19" s="37">
        <f t="shared" si="28"/>
        <v>997</v>
      </c>
      <c r="CE19" s="41">
        <v>697299.9</v>
      </c>
      <c r="CF19" s="37">
        <f t="shared" si="57"/>
        <v>0</v>
      </c>
      <c r="CG19" s="37">
        <v>51654.3</v>
      </c>
      <c r="CH19" s="37">
        <f t="shared" si="58"/>
        <v>680.40000000000146</v>
      </c>
      <c r="CI19" s="40">
        <v>10472.120000000001</v>
      </c>
      <c r="CJ19" s="40"/>
      <c r="CK19" s="37">
        <f t="shared" si="59"/>
        <v>16543.750000001455</v>
      </c>
      <c r="CL19" s="37">
        <f t="shared" si="29"/>
        <v>1</v>
      </c>
      <c r="CM19" s="37">
        <v>2650.826</v>
      </c>
      <c r="CN19" s="37"/>
      <c r="CO19" s="37">
        <f t="shared" si="30"/>
        <v>8393.050000000032</v>
      </c>
      <c r="CP19" s="37">
        <f t="shared" si="80"/>
        <v>1</v>
      </c>
      <c r="CQ19" s="39">
        <v>2577.1109999999999</v>
      </c>
      <c r="CR19" s="39"/>
      <c r="CS19" s="37">
        <f t="shared" si="31"/>
        <v>6071.0499999999165</v>
      </c>
      <c r="CT19" s="37">
        <f t="shared" si="81"/>
        <v>1</v>
      </c>
      <c r="CU19" s="37">
        <v>1866345</v>
      </c>
      <c r="CV19" s="37"/>
      <c r="CW19" s="38">
        <f t="shared" si="32"/>
        <v>14805</v>
      </c>
      <c r="CX19" s="37">
        <f t="shared" si="82"/>
        <v>1</v>
      </c>
      <c r="CY19" s="37">
        <v>969202.4</v>
      </c>
      <c r="CZ19" s="37"/>
      <c r="DA19" s="37">
        <f t="shared" si="33"/>
        <v>9088.4000000000233</v>
      </c>
      <c r="DB19" s="37">
        <f t="shared" si="83"/>
        <v>1</v>
      </c>
      <c r="DC19" s="37"/>
      <c r="DD19" s="40"/>
      <c r="DE19" s="37">
        <f t="shared" si="34"/>
        <v>0</v>
      </c>
      <c r="DF19" s="37">
        <f t="shared" si="88"/>
        <v>0</v>
      </c>
      <c r="DG19" s="37">
        <f t="shared" si="35"/>
        <v>-60464.250000001426</v>
      </c>
      <c r="DH19" s="37">
        <f t="shared" si="36"/>
        <v>311694.04999999894</v>
      </c>
      <c r="DI19" s="46"/>
      <c r="DJ19" s="46"/>
      <c r="DK19" s="47"/>
      <c r="DL19" s="47"/>
      <c r="DM19" s="37"/>
      <c r="DN19" s="37"/>
      <c r="DO19" s="37"/>
      <c r="DP19" s="37"/>
      <c r="DQ19" s="50">
        <v>2355900</v>
      </c>
      <c r="DR19" s="49">
        <f t="shared" si="60"/>
        <v>9300</v>
      </c>
      <c r="DS19" s="50">
        <v>1546000</v>
      </c>
      <c r="DT19" s="49">
        <f t="shared" si="61"/>
        <v>16700</v>
      </c>
      <c r="DU19" s="52">
        <v>7418.9</v>
      </c>
      <c r="DV19" s="52">
        <v>4134</v>
      </c>
      <c r="DW19" s="37">
        <f t="shared" si="84"/>
        <v>4599.9999999994543</v>
      </c>
      <c r="DX19" s="52">
        <v>12309</v>
      </c>
      <c r="DY19" s="52">
        <v>8193</v>
      </c>
      <c r="DZ19" s="37">
        <f t="shared" si="37"/>
        <v>7154.05</v>
      </c>
      <c r="EA19" s="49">
        <v>27244</v>
      </c>
      <c r="EB19" s="49">
        <v>19.481999999999999</v>
      </c>
      <c r="EC19" s="37">
        <f t="shared" si="38"/>
        <v>24314.05</v>
      </c>
      <c r="ED19" s="53">
        <f t="shared" si="39"/>
        <v>36068.099999999453</v>
      </c>
      <c r="EE19" s="49">
        <v>42397</v>
      </c>
      <c r="EF19" s="49">
        <v>26.745000000000001</v>
      </c>
      <c r="EG19" s="37">
        <f t="shared" si="40"/>
        <v>27314.05</v>
      </c>
      <c r="EH19" s="44">
        <v>11819</v>
      </c>
      <c r="EI19" s="68">
        <v>1.5678000000000001</v>
      </c>
      <c r="EJ19" s="37">
        <f t="shared" si="41"/>
        <v>12154.05</v>
      </c>
      <c r="EK19" s="37">
        <v>711.75</v>
      </c>
      <c r="EL19" s="40">
        <v>1024</v>
      </c>
      <c r="EM19" s="37">
        <f t="shared" si="62"/>
        <v>610.00000000001364</v>
      </c>
      <c r="EN19" s="54">
        <f t="shared" si="63"/>
        <v>40078.100000000013</v>
      </c>
      <c r="EO19" s="48">
        <v>11901</v>
      </c>
      <c r="EP19" s="48">
        <v>4143.7</v>
      </c>
      <c r="EQ19" s="37">
        <f t="shared" si="42"/>
        <v>9154.0499999999993</v>
      </c>
      <c r="ER19" s="48">
        <v>7304.2</v>
      </c>
      <c r="ES19" s="48">
        <v>2959</v>
      </c>
      <c r="ET19" s="49">
        <f t="shared" si="92"/>
        <v>17300.000000000182</v>
      </c>
      <c r="EU19" s="48">
        <v>2588.1999999999998</v>
      </c>
      <c r="EV19" s="48">
        <v>926.32</v>
      </c>
      <c r="EW19" s="49">
        <f t="shared" si="44"/>
        <v>6454.0499999997273</v>
      </c>
      <c r="EX19" s="48">
        <v>12021</v>
      </c>
      <c r="EY19" s="48">
        <v>1.2524</v>
      </c>
      <c r="EZ19" s="37">
        <f t="shared" si="45"/>
        <v>13154.05</v>
      </c>
      <c r="FA19" s="48">
        <f t="shared" si="64"/>
        <v>-23406.149999999907</v>
      </c>
      <c r="FB19" s="48">
        <v>33621726</v>
      </c>
      <c r="FC19" s="49">
        <f t="shared" si="85"/>
        <v>22656</v>
      </c>
      <c r="FD19" s="48">
        <f t="shared" si="65"/>
        <v>48562.149999999907</v>
      </c>
      <c r="FE19" s="48">
        <v>15942</v>
      </c>
      <c r="FF19" s="48">
        <v>5729.1</v>
      </c>
      <c r="FG19" s="37">
        <f t="shared" si="66"/>
        <v>9020.7199999999993</v>
      </c>
      <c r="FH19" s="48">
        <v>6771.4</v>
      </c>
      <c r="FI19" s="48">
        <v>2.6048</v>
      </c>
      <c r="FJ19" s="49">
        <f t="shared" si="46"/>
        <v>19720.719999999816</v>
      </c>
      <c r="FK19" s="48"/>
      <c r="FL19" s="58">
        <v>-133.33000000000001</v>
      </c>
      <c r="FM19" s="48">
        <f t="shared" si="86"/>
        <v>-154.05333333327204</v>
      </c>
      <c r="FN19" s="48">
        <v>15179</v>
      </c>
      <c r="FO19" s="48">
        <v>0.65680000000000005</v>
      </c>
      <c r="FP19" s="37">
        <f t="shared" si="67"/>
        <v>12020.72</v>
      </c>
      <c r="FQ19" s="48">
        <v>53806</v>
      </c>
      <c r="FR19" s="48">
        <v>12.792</v>
      </c>
      <c r="FS19" s="37">
        <f t="shared" si="47"/>
        <v>57000</v>
      </c>
      <c r="FT19" s="48">
        <f t="shared" si="93"/>
        <v>-462.15999999981614</v>
      </c>
      <c r="FU19" s="48">
        <f t="shared" si="69"/>
        <v>40762.159999999814</v>
      </c>
      <c r="FV19" s="44">
        <v>2130400</v>
      </c>
      <c r="FW19" s="44">
        <v>692040</v>
      </c>
      <c r="FX19" s="37">
        <f t="shared" si="48"/>
        <v>25200</v>
      </c>
      <c r="FY19" s="56">
        <v>2721</v>
      </c>
      <c r="FZ19" s="63">
        <v>1.5329999999999999</v>
      </c>
      <c r="GA19" s="37">
        <f t="shared" si="91"/>
        <v>6019.9999999998181</v>
      </c>
      <c r="GB19" s="56">
        <v>728.84</v>
      </c>
      <c r="GC19" s="56">
        <v>806.71</v>
      </c>
      <c r="GD19" s="37">
        <f t="shared" si="49"/>
        <v>800.00000000006821</v>
      </c>
      <c r="GE19" s="56">
        <v>9076.5</v>
      </c>
      <c r="GF19" s="56">
        <v>2.6604000000000001</v>
      </c>
      <c r="GG19" s="37">
        <f t="shared" si="50"/>
        <v>5899.9999999996362</v>
      </c>
      <c r="GH19" s="153">
        <v>1743.5</v>
      </c>
      <c r="GI19" s="162">
        <v>1458.8</v>
      </c>
      <c r="GJ19" s="38">
        <f t="shared" si="51"/>
        <v>2500</v>
      </c>
      <c r="GK19" s="162">
        <v>1399.1</v>
      </c>
      <c r="GL19" s="163">
        <v>1088.8</v>
      </c>
      <c r="GM19" s="38">
        <f t="shared" si="52"/>
        <v>0</v>
      </c>
      <c r="GN19" s="57">
        <v>158850</v>
      </c>
      <c r="GO19" s="57">
        <v>138570</v>
      </c>
      <c r="GP19" s="38">
        <f t="shared" si="90"/>
        <v>10</v>
      </c>
      <c r="GQ19" s="38">
        <v>184880</v>
      </c>
      <c r="GR19" s="38">
        <v>187040</v>
      </c>
      <c r="GS19" s="38">
        <f t="shared" si="70"/>
        <v>1180</v>
      </c>
      <c r="GT19" s="178"/>
      <c r="GU19" s="144">
        <f>DailyJan!B18-DailyJan!N18-DailyJan!V18-DailyJan!Y18-DailyJan!Z18-DailyJan!AA18-DailyJan!AB18-DailyJan!AC18-DailyJan!AD18-DailyJan!AE18-DailyJan!AK18-DailyJan!AO18-DailyJan!AS18-DailyJan!AY18-DailyJan!BD18+DailyJan!BS18-SUM(DailyJan!BM18:BQ18)-DailyJan!BR18-DailyJan!AF18-DailyJan!AG18</f>
        <v>-3.4800006641489745E-2</v>
      </c>
      <c r="GV19" s="59">
        <v>2310.7151999933585</v>
      </c>
      <c r="GW19" s="60">
        <f t="shared" si="53"/>
        <v>154.04767999955723</v>
      </c>
      <c r="GX19" s="61">
        <v>154.05000000000001</v>
      </c>
      <c r="GY19" s="140"/>
      <c r="GZ19" s="62"/>
      <c r="HA19" s="62">
        <v>2310.7151999999305</v>
      </c>
      <c r="HB19" s="74"/>
      <c r="HC19" s="62">
        <v>4702.4748000000691</v>
      </c>
      <c r="HD19" s="74"/>
      <c r="HE19" s="24">
        <v>4702.4748000000691</v>
      </c>
      <c r="HF19" s="24"/>
      <c r="HG19" s="62"/>
      <c r="HJ19" s="3"/>
    </row>
    <row r="20" spans="1:218" x14ac:dyDescent="0.25">
      <c r="A20" s="35">
        <f t="shared" si="2"/>
        <v>14</v>
      </c>
      <c r="B20" s="38">
        <v>3237.99</v>
      </c>
      <c r="C20" s="38">
        <f t="shared" si="3"/>
        <v>6.8699999999998909</v>
      </c>
      <c r="D20" s="38">
        <f t="shared" si="4"/>
        <v>219839.99999999651</v>
      </c>
      <c r="E20" s="38">
        <v>651.84</v>
      </c>
      <c r="F20" s="38">
        <f t="shared" si="89"/>
        <v>50560.00000000131</v>
      </c>
      <c r="G20" s="38">
        <f t="shared" si="6"/>
        <v>270399.99999999779</v>
      </c>
      <c r="H20" s="37"/>
      <c r="I20" s="39"/>
      <c r="J20" s="42"/>
      <c r="K20" s="37">
        <f t="shared" si="71"/>
        <v>0</v>
      </c>
      <c r="L20" s="40">
        <v>9118300</v>
      </c>
      <c r="M20" s="40"/>
      <c r="N20" s="37">
        <f t="shared" si="72"/>
        <v>274000</v>
      </c>
      <c r="O20" s="37">
        <v>9174.2000000000007</v>
      </c>
      <c r="P20" s="37"/>
      <c r="Q20" s="37">
        <f t="shared" si="7"/>
        <v>14700.000000000728</v>
      </c>
      <c r="R20" s="37">
        <f t="shared" si="73"/>
        <v>1</v>
      </c>
      <c r="S20" s="37">
        <v>10918894.810000001</v>
      </c>
      <c r="T20" s="37">
        <f t="shared" si="8"/>
        <v>7207.75</v>
      </c>
      <c r="U20" s="37">
        <v>1518125.52</v>
      </c>
      <c r="V20" s="37">
        <f t="shared" si="9"/>
        <v>0.32000000006519258</v>
      </c>
      <c r="W20" s="37">
        <v>3115.2</v>
      </c>
      <c r="X20" s="37">
        <f t="shared" si="87"/>
        <v>7251.9300000006624</v>
      </c>
      <c r="Y20" s="183"/>
      <c r="Z20" s="183">
        <f t="shared" si="10"/>
        <v>0</v>
      </c>
      <c r="AA20" s="37">
        <v>372500</v>
      </c>
      <c r="AB20" s="37">
        <f t="shared" si="11"/>
        <v>240</v>
      </c>
      <c r="AC20" s="37">
        <v>3324.8</v>
      </c>
      <c r="AD20" s="37"/>
      <c r="AE20" s="37">
        <f t="shared" si="12"/>
        <v>3800.0000000001819</v>
      </c>
      <c r="AF20" s="37">
        <f t="shared" si="74"/>
        <v>1</v>
      </c>
      <c r="AG20" s="37">
        <v>7234.6</v>
      </c>
      <c r="AH20" s="67"/>
      <c r="AI20" s="37">
        <f t="shared" si="13"/>
        <v>9348.0900000007277</v>
      </c>
      <c r="AJ20" s="37">
        <f t="shared" si="14"/>
        <v>1</v>
      </c>
      <c r="AK20" s="37">
        <f t="shared" si="15"/>
        <v>27608.090000001637</v>
      </c>
      <c r="AL20" s="48">
        <v>9388</v>
      </c>
      <c r="AM20" s="66"/>
      <c r="AN20" s="37">
        <f t="shared" si="54"/>
        <v>5388.090000000655</v>
      </c>
      <c r="AO20" s="37">
        <f t="shared" si="75"/>
        <v>1</v>
      </c>
      <c r="AP20" s="37">
        <v>7057.8</v>
      </c>
      <c r="AQ20" s="37"/>
      <c r="AR20" s="37">
        <f t="shared" si="16"/>
        <v>6400.0000000005457</v>
      </c>
      <c r="AS20" s="37">
        <f t="shared" si="76"/>
        <v>1</v>
      </c>
      <c r="AT20" s="183"/>
      <c r="AU20" s="183">
        <f t="shared" si="17"/>
        <v>0</v>
      </c>
      <c r="AV20" s="183"/>
      <c r="AW20" s="183">
        <f t="shared" si="18"/>
        <v>0</v>
      </c>
      <c r="AX20" s="37">
        <v>437880</v>
      </c>
      <c r="AY20" s="37"/>
      <c r="AZ20" s="37">
        <f t="shared" si="19"/>
        <v>250</v>
      </c>
      <c r="BA20" s="37">
        <v>80830</v>
      </c>
      <c r="BB20" s="37"/>
      <c r="BC20" s="37">
        <f t="shared" si="20"/>
        <v>250</v>
      </c>
      <c r="BD20" s="37">
        <f t="shared" si="77"/>
        <v>12288.090000001201</v>
      </c>
      <c r="BE20" s="43">
        <v>1597.6</v>
      </c>
      <c r="BF20" s="43">
        <v>865.77</v>
      </c>
      <c r="BG20" s="37">
        <f t="shared" si="21"/>
        <v>1899.9999999998636</v>
      </c>
      <c r="BH20" s="44">
        <v>7700.7</v>
      </c>
      <c r="BI20" s="44">
        <v>4953.5</v>
      </c>
      <c r="BJ20" s="37">
        <f t="shared" si="22"/>
        <v>9899.9999999996362</v>
      </c>
      <c r="BK20" s="40">
        <v>1046640</v>
      </c>
      <c r="BL20" s="40">
        <f t="shared" si="78"/>
        <v>5040</v>
      </c>
      <c r="BM20" s="40">
        <v>784.21</v>
      </c>
      <c r="BN20" s="37">
        <f t="shared" si="23"/>
        <v>720.00000000002728</v>
      </c>
      <c r="BO20" s="186"/>
      <c r="BP20" s="183">
        <f t="shared" si="24"/>
        <v>0</v>
      </c>
      <c r="BQ20" s="40">
        <v>743.7</v>
      </c>
      <c r="BR20" s="37">
        <f t="shared" si="55"/>
        <v>700.00000000004547</v>
      </c>
      <c r="BS20" s="37">
        <v>71526.41</v>
      </c>
      <c r="BT20" s="37">
        <f t="shared" si="25"/>
        <v>163.19999999999709</v>
      </c>
      <c r="BU20" s="42">
        <v>1807654</v>
      </c>
      <c r="BV20" s="42"/>
      <c r="BW20" s="37">
        <f t="shared" si="26"/>
        <v>4923</v>
      </c>
      <c r="BX20" s="37">
        <f t="shared" si="79"/>
        <v>1</v>
      </c>
      <c r="BY20" s="43">
        <v>255.9212</v>
      </c>
      <c r="BZ20" s="43"/>
      <c r="CA20" s="37">
        <f>IF((BY20-BY19)&lt;=0,0,(BY20-BY19)*1000)</f>
        <v>616.19999999999209</v>
      </c>
      <c r="CB20" s="37">
        <f t="shared" si="56"/>
        <v>1</v>
      </c>
      <c r="CC20" s="37">
        <v>416900</v>
      </c>
      <c r="CD20" s="37">
        <f t="shared" si="28"/>
        <v>1528.2000000000116</v>
      </c>
      <c r="CE20" s="41">
        <v>697299.9</v>
      </c>
      <c r="CF20" s="37">
        <f t="shared" si="57"/>
        <v>0</v>
      </c>
      <c r="CG20" s="37">
        <v>51654.3</v>
      </c>
      <c r="CH20" s="37">
        <f t="shared" si="58"/>
        <v>0</v>
      </c>
      <c r="CI20" s="40">
        <v>10488.04</v>
      </c>
      <c r="CJ20" s="40"/>
      <c r="CK20" s="37">
        <f t="shared" si="59"/>
        <v>15451.890000000081</v>
      </c>
      <c r="CL20" s="37">
        <f t="shared" si="29"/>
        <v>1</v>
      </c>
      <c r="CM20" s="37">
        <v>2658.3409999999999</v>
      </c>
      <c r="CN20" s="37"/>
      <c r="CO20" s="37">
        <f t="shared" si="30"/>
        <v>7663.0899999998728</v>
      </c>
      <c r="CP20" s="37">
        <f t="shared" si="80"/>
        <v>1</v>
      </c>
      <c r="CQ20" s="39">
        <v>2583.136</v>
      </c>
      <c r="CR20" s="39"/>
      <c r="CS20" s="37">
        <f t="shared" si="31"/>
        <v>6173.0900000000911</v>
      </c>
      <c r="CT20" s="37">
        <f t="shared" si="81"/>
        <v>1</v>
      </c>
      <c r="CU20" s="37">
        <v>1879845</v>
      </c>
      <c r="CV20" s="37"/>
      <c r="CW20" s="38">
        <f t="shared" si="32"/>
        <v>13500</v>
      </c>
      <c r="CX20" s="37">
        <f t="shared" si="82"/>
        <v>1</v>
      </c>
      <c r="CY20" s="37">
        <v>977726.4</v>
      </c>
      <c r="CZ20" s="37"/>
      <c r="DA20" s="37">
        <f t="shared" si="33"/>
        <v>8524</v>
      </c>
      <c r="DB20" s="37">
        <f t="shared" si="83"/>
        <v>1</v>
      </c>
      <c r="DC20" s="37"/>
      <c r="DD20" s="40"/>
      <c r="DE20" s="37">
        <f t="shared" si="34"/>
        <v>0</v>
      </c>
      <c r="DF20" s="37">
        <f t="shared" si="88"/>
        <v>0</v>
      </c>
      <c r="DG20" s="37">
        <f t="shared" si="35"/>
        <v>-56235.070000000043</v>
      </c>
      <c r="DH20" s="37">
        <f t="shared" si="36"/>
        <v>303508.09000000148</v>
      </c>
      <c r="DI20" s="46"/>
      <c r="DJ20" s="46"/>
      <c r="DK20" s="47"/>
      <c r="DL20" s="47"/>
      <c r="DM20" s="37"/>
      <c r="DN20" s="37"/>
      <c r="DO20" s="37"/>
      <c r="DP20" s="37"/>
      <c r="DQ20" s="50">
        <v>2368500</v>
      </c>
      <c r="DR20" s="49">
        <f t="shared" si="60"/>
        <v>12600</v>
      </c>
      <c r="DS20" s="50">
        <v>1560900</v>
      </c>
      <c r="DT20" s="49">
        <f t="shared" si="61"/>
        <v>14900</v>
      </c>
      <c r="DU20" s="52">
        <v>7423.2</v>
      </c>
      <c r="DV20" s="52">
        <v>4136.6000000000004</v>
      </c>
      <c r="DW20" s="37">
        <f t="shared" si="84"/>
        <v>4300.0000000001819</v>
      </c>
      <c r="DX20" s="52">
        <v>12315</v>
      </c>
      <c r="DY20" s="52">
        <v>8193.2000000000007</v>
      </c>
      <c r="DZ20" s="37">
        <f t="shared" si="37"/>
        <v>6148.09</v>
      </c>
      <c r="EA20" s="49">
        <v>27267</v>
      </c>
      <c r="EB20" s="49">
        <v>19.494</v>
      </c>
      <c r="EC20" s="37">
        <f t="shared" si="38"/>
        <v>25308.09</v>
      </c>
      <c r="ED20" s="53">
        <f t="shared" si="39"/>
        <v>35756.180000000182</v>
      </c>
      <c r="EE20" s="49">
        <v>42426</v>
      </c>
      <c r="EF20" s="49">
        <v>26.771999999999998</v>
      </c>
      <c r="EG20" s="37">
        <f t="shared" si="40"/>
        <v>31308.09</v>
      </c>
      <c r="EH20" s="68">
        <v>11830</v>
      </c>
      <c r="EI20" s="52">
        <v>1.5706</v>
      </c>
      <c r="EJ20" s="37">
        <f t="shared" si="41"/>
        <v>11148.09</v>
      </c>
      <c r="EK20" s="37">
        <v>712.51</v>
      </c>
      <c r="EL20" s="40">
        <v>1025.0999999999999</v>
      </c>
      <c r="EM20" s="37">
        <f t="shared" si="62"/>
        <v>759.99999999999091</v>
      </c>
      <c r="EN20" s="54">
        <f t="shared" si="63"/>
        <v>43216.179999999993</v>
      </c>
      <c r="EO20" s="48">
        <v>11909</v>
      </c>
      <c r="EP20" s="48">
        <v>4146.8</v>
      </c>
      <c r="EQ20" s="37">
        <f t="shared" si="42"/>
        <v>8148.09</v>
      </c>
      <c r="ER20" s="48">
        <v>7322.2</v>
      </c>
      <c r="ES20" s="48">
        <v>2966.8</v>
      </c>
      <c r="ET20" s="49">
        <f t="shared" si="92"/>
        <v>18000</v>
      </c>
      <c r="EU20" s="48">
        <v>2594.8000000000002</v>
      </c>
      <c r="EV20" s="48">
        <v>928.75</v>
      </c>
      <c r="EW20" s="49">
        <f t="shared" si="44"/>
        <v>6748.0900000003639</v>
      </c>
      <c r="EX20" s="48">
        <v>12034</v>
      </c>
      <c r="EY20" s="48">
        <v>1.2548999999999999</v>
      </c>
      <c r="EZ20" s="37">
        <f t="shared" si="45"/>
        <v>13148.09</v>
      </c>
      <c r="FA20" s="48">
        <f t="shared" si="64"/>
        <v>-22519.270000000364</v>
      </c>
      <c r="FB20" s="48">
        <v>33645251</v>
      </c>
      <c r="FC20" s="49">
        <f t="shared" si="85"/>
        <v>23525</v>
      </c>
      <c r="FD20" s="48">
        <f t="shared" si="65"/>
        <v>47944.270000000455</v>
      </c>
      <c r="FE20" s="48">
        <v>15951</v>
      </c>
      <c r="FF20" s="48">
        <v>5731.7</v>
      </c>
      <c r="FG20" s="37">
        <f t="shared" si="66"/>
        <v>9414.76</v>
      </c>
      <c r="FH20" s="48">
        <v>6790.7</v>
      </c>
      <c r="FI20" s="48">
        <v>2.6122999999999998</v>
      </c>
      <c r="FJ20" s="49">
        <f t="shared" si="46"/>
        <v>19714.76000000018</v>
      </c>
      <c r="FK20" s="48"/>
      <c r="FL20" s="58">
        <v>266.67</v>
      </c>
      <c r="FM20" s="48">
        <f t="shared" si="86"/>
        <v>-148.09333333339418</v>
      </c>
      <c r="FN20" s="48">
        <v>15190</v>
      </c>
      <c r="FO20" s="48">
        <v>0.6583</v>
      </c>
      <c r="FP20" s="37">
        <f t="shared" si="67"/>
        <v>11414.76</v>
      </c>
      <c r="FQ20" s="48">
        <v>53861</v>
      </c>
      <c r="FR20" s="48">
        <v>12.808</v>
      </c>
      <c r="FS20" s="37">
        <f t="shared" si="47"/>
        <v>55000</v>
      </c>
      <c r="FT20" s="48">
        <f t="shared" si="93"/>
        <v>-444.28000000018255</v>
      </c>
      <c r="FU20" s="48">
        <f t="shared" si="69"/>
        <v>40544.280000000181</v>
      </c>
      <c r="FV20" s="44">
        <v>2162500</v>
      </c>
      <c r="FW20" s="44">
        <v>701890</v>
      </c>
      <c r="FX20" s="37">
        <f t="shared" si="48"/>
        <v>32100</v>
      </c>
      <c r="FY20" s="56">
        <v>2729.5</v>
      </c>
      <c r="FZ20" s="63">
        <v>1.5410999999999999</v>
      </c>
      <c r="GA20" s="37">
        <f t="shared" si="91"/>
        <v>7360</v>
      </c>
      <c r="GB20" s="56">
        <v>729.65</v>
      </c>
      <c r="GC20" s="56">
        <v>807.73</v>
      </c>
      <c r="GD20" s="37">
        <f t="shared" si="49"/>
        <v>809.99999999994543</v>
      </c>
      <c r="GE20" s="56">
        <v>9085.6</v>
      </c>
      <c r="GF20" s="56">
        <v>2.6673</v>
      </c>
      <c r="GG20" s="37">
        <f t="shared" si="50"/>
        <v>7200.0000000002728</v>
      </c>
      <c r="GH20" s="153">
        <v>1745.4</v>
      </c>
      <c r="GI20" s="162">
        <v>1470.5</v>
      </c>
      <c r="GJ20" s="38">
        <f t="shared" si="51"/>
        <v>1900.0000000000909</v>
      </c>
      <c r="GK20" s="162">
        <v>1399.1</v>
      </c>
      <c r="GL20" s="163">
        <v>1088.8</v>
      </c>
      <c r="GM20" s="38">
        <f t="shared" si="52"/>
        <v>0</v>
      </c>
      <c r="GN20" s="57">
        <v>158850</v>
      </c>
      <c r="GO20" s="57">
        <v>138570</v>
      </c>
      <c r="GP20" s="38">
        <f t="shared" si="90"/>
        <v>0</v>
      </c>
      <c r="GQ20" s="38">
        <v>186020</v>
      </c>
      <c r="GR20" s="38">
        <v>188060</v>
      </c>
      <c r="GS20" s="38">
        <f t="shared" si="70"/>
        <v>1140</v>
      </c>
      <c r="GT20" s="178"/>
      <c r="GU20" s="144">
        <f>DailyJan!B19-DailyJan!N19-DailyJan!V19-DailyJan!Y19-DailyJan!Z19-DailyJan!AA19-DailyJan!AB19-DailyJan!AC19-DailyJan!AD19-DailyJan!AE19-DailyJan!AK19-DailyJan!AO19-DailyJan!AS19-DailyJan!AY19-DailyJan!BD19+DailyJan!BS19-SUM(DailyJan!BM19:BQ19)-DailyJan!BR19-DailyJan!AF19-DailyJan!AG19</f>
        <v>-1.4000005806337867E-2</v>
      </c>
      <c r="GV20" s="59">
        <v>2221.3359999941995</v>
      </c>
      <c r="GW20" s="60">
        <f t="shared" si="53"/>
        <v>148.08906666627996</v>
      </c>
      <c r="GX20" s="61">
        <v>148.09</v>
      </c>
      <c r="GY20" s="140"/>
      <c r="GZ20" s="62"/>
      <c r="HA20" s="62">
        <v>2221.3359999999821</v>
      </c>
      <c r="HB20" s="74"/>
      <c r="HC20" s="62">
        <v>4786.4540000000179</v>
      </c>
      <c r="HD20" s="74"/>
      <c r="HE20" s="24">
        <v>4786.4540000000179</v>
      </c>
      <c r="HF20" s="24"/>
      <c r="HG20" s="62"/>
      <c r="HH20" s="3"/>
      <c r="HI20" s="3"/>
      <c r="HJ20" s="3"/>
    </row>
    <row r="21" spans="1:218" x14ac:dyDescent="0.25">
      <c r="A21" s="35">
        <f t="shared" si="2"/>
        <v>15</v>
      </c>
      <c r="B21" s="38">
        <v>3245.09</v>
      </c>
      <c r="C21" s="38">
        <f t="shared" si="3"/>
        <v>7.1000000000003638</v>
      </c>
      <c r="D21" s="38">
        <f t="shared" si="4"/>
        <v>227200.00000001164</v>
      </c>
      <c r="E21" s="38">
        <v>653.32000000000005</v>
      </c>
      <c r="F21" s="38">
        <f t="shared" si="89"/>
        <v>47360.000000000582</v>
      </c>
      <c r="G21" s="38">
        <f t="shared" si="6"/>
        <v>274560.00000001222</v>
      </c>
      <c r="H21" s="37"/>
      <c r="I21" s="39"/>
      <c r="J21" s="42"/>
      <c r="K21" s="37">
        <f t="shared" si="71"/>
        <v>0</v>
      </c>
      <c r="L21" s="40">
        <v>9145000</v>
      </c>
      <c r="M21" s="40"/>
      <c r="N21" s="37">
        <f t="shared" si="72"/>
        <v>267000</v>
      </c>
      <c r="O21" s="37">
        <v>9192</v>
      </c>
      <c r="P21" s="37"/>
      <c r="Q21" s="37">
        <f t="shared" si="7"/>
        <v>17799.999999999272</v>
      </c>
      <c r="R21" s="37">
        <f t="shared" si="73"/>
        <v>1</v>
      </c>
      <c r="S21" s="37">
        <v>10928286.189999999</v>
      </c>
      <c r="T21" s="37">
        <f t="shared" si="8"/>
        <v>9391.3799999989569</v>
      </c>
      <c r="U21" s="37">
        <v>1518125.52</v>
      </c>
      <c r="V21" s="37">
        <f t="shared" si="9"/>
        <v>0</v>
      </c>
      <c r="W21" s="37">
        <v>3121.9</v>
      </c>
      <c r="X21" s="37">
        <f t="shared" si="87"/>
        <v>8308.6200000003155</v>
      </c>
      <c r="Y21" s="183"/>
      <c r="Z21" s="183">
        <f t="shared" si="10"/>
        <v>0</v>
      </c>
      <c r="AA21" s="37">
        <v>372600</v>
      </c>
      <c r="AB21" s="37">
        <f t="shared" si="11"/>
        <v>100</v>
      </c>
      <c r="AC21" s="37">
        <v>3330.2</v>
      </c>
      <c r="AD21" s="37"/>
      <c r="AE21" s="37">
        <f t="shared" si="12"/>
        <v>5399.9999999996362</v>
      </c>
      <c r="AF21" s="37">
        <f t="shared" si="74"/>
        <v>1</v>
      </c>
      <c r="AG21" s="37">
        <v>7247.9</v>
      </c>
      <c r="AH21" s="67"/>
      <c r="AI21" s="37">
        <f t="shared" si="13"/>
        <v>13450.369999999273</v>
      </c>
      <c r="AJ21" s="37">
        <f t="shared" si="14"/>
        <v>1</v>
      </c>
      <c r="AK21" s="37">
        <f t="shared" si="15"/>
        <v>36550.369999998184</v>
      </c>
      <c r="AL21" s="42">
        <v>9399.9</v>
      </c>
      <c r="AM21" s="42"/>
      <c r="AN21" s="37">
        <f t="shared" si="54"/>
        <v>5360.3699999997734</v>
      </c>
      <c r="AO21" s="37">
        <f t="shared" si="75"/>
        <v>1</v>
      </c>
      <c r="AP21" s="37">
        <v>7066</v>
      </c>
      <c r="AQ21" s="37"/>
      <c r="AR21" s="37">
        <f t="shared" si="16"/>
        <v>8199.9999999998181</v>
      </c>
      <c r="AS21" s="37">
        <f t="shared" si="76"/>
        <v>1</v>
      </c>
      <c r="AT21" s="183"/>
      <c r="AU21" s="183">
        <f t="shared" si="17"/>
        <v>0</v>
      </c>
      <c r="AV21" s="183"/>
      <c r="AW21" s="183">
        <f t="shared" si="18"/>
        <v>0</v>
      </c>
      <c r="AX21" s="37">
        <v>438140</v>
      </c>
      <c r="AY21" s="37"/>
      <c r="AZ21" s="37">
        <f t="shared" si="19"/>
        <v>260</v>
      </c>
      <c r="BA21" s="37">
        <v>81320</v>
      </c>
      <c r="BB21" s="37"/>
      <c r="BC21" s="37">
        <f t="shared" si="20"/>
        <v>490</v>
      </c>
      <c r="BD21" s="37">
        <f t="shared" si="77"/>
        <v>14310.369999999592</v>
      </c>
      <c r="BE21" s="43">
        <v>1599.7</v>
      </c>
      <c r="BF21" s="43">
        <v>867.06</v>
      </c>
      <c r="BG21" s="37">
        <f t="shared" si="21"/>
        <v>2100.0000000001364</v>
      </c>
      <c r="BH21" s="44">
        <v>7710.4</v>
      </c>
      <c r="BI21" s="44">
        <v>4959.8</v>
      </c>
      <c r="BJ21" s="37">
        <f t="shared" si="22"/>
        <v>9699.9999999998181</v>
      </c>
      <c r="BK21" s="40">
        <v>1051930</v>
      </c>
      <c r="BL21" s="40">
        <f t="shared" si="78"/>
        <v>5290</v>
      </c>
      <c r="BM21" s="40">
        <v>784.91</v>
      </c>
      <c r="BN21" s="37">
        <f t="shared" si="23"/>
        <v>699.99999999993179</v>
      </c>
      <c r="BO21" s="186"/>
      <c r="BP21" s="183">
        <f t="shared" si="24"/>
        <v>0</v>
      </c>
      <c r="BQ21" s="40">
        <v>744.4</v>
      </c>
      <c r="BR21" s="37">
        <f>IF((BQ21-BQ20)&lt;=0,0,(BQ21-BQ20))*1000</f>
        <v>699.99999999993179</v>
      </c>
      <c r="BS21" s="37">
        <v>71715.22</v>
      </c>
      <c r="BT21" s="37">
        <f t="shared" si="25"/>
        <v>188.80999999999767</v>
      </c>
      <c r="BU21" s="42">
        <v>1813189</v>
      </c>
      <c r="BV21" s="42"/>
      <c r="BW21" s="37">
        <f t="shared" si="26"/>
        <v>5535</v>
      </c>
      <c r="BX21" s="37">
        <f t="shared" si="79"/>
        <v>1</v>
      </c>
      <c r="BY21" s="43">
        <v>256.59899999999999</v>
      </c>
      <c r="BZ21" s="43"/>
      <c r="CA21" s="37">
        <f t="shared" ref="CA21:CA38" si="94">IF((BY21-BY20)&lt;=0,0,(BY21-BY20)*1000)</f>
        <v>677.79999999999063</v>
      </c>
      <c r="CB21" s="37">
        <f t="shared" si="56"/>
        <v>1</v>
      </c>
      <c r="CC21" s="37">
        <v>418612.8</v>
      </c>
      <c r="CD21" s="37">
        <f t="shared" si="28"/>
        <v>1712.7999999999884</v>
      </c>
      <c r="CE21" s="41">
        <v>697299.9</v>
      </c>
      <c r="CF21" s="37">
        <f t="shared" si="57"/>
        <v>0</v>
      </c>
      <c r="CG21" s="37">
        <v>51654.3</v>
      </c>
      <c r="CH21" s="37">
        <f t="shared" si="58"/>
        <v>0</v>
      </c>
      <c r="CI21" s="40">
        <v>10504.88</v>
      </c>
      <c r="CJ21" s="40"/>
      <c r="CK21" s="37">
        <f t="shared" si="59"/>
        <v>16312.569999998335</v>
      </c>
      <c r="CL21" s="37">
        <f t="shared" si="29"/>
        <v>1</v>
      </c>
      <c r="CM21" s="37">
        <v>2666.5459999999998</v>
      </c>
      <c r="CN21" s="37"/>
      <c r="CO21" s="37">
        <f t="shared" si="30"/>
        <v>8355.369999999928</v>
      </c>
      <c r="CP21" s="37">
        <f t="shared" si="80"/>
        <v>1</v>
      </c>
      <c r="CQ21" s="39">
        <v>2589.6979999999999</v>
      </c>
      <c r="CR21" s="39"/>
      <c r="CS21" s="37">
        <f t="shared" si="31"/>
        <v>6712.369999999898</v>
      </c>
      <c r="CT21" s="37">
        <f t="shared" si="81"/>
        <v>1</v>
      </c>
      <c r="CU21" s="37">
        <v>1893808</v>
      </c>
      <c r="CV21" s="37"/>
      <c r="CW21" s="38">
        <f t="shared" si="32"/>
        <v>13963</v>
      </c>
      <c r="CX21" s="37">
        <f t="shared" si="82"/>
        <v>1</v>
      </c>
      <c r="CY21" s="37">
        <v>986715.4</v>
      </c>
      <c r="CZ21" s="37"/>
      <c r="DA21" s="37">
        <f t="shared" si="33"/>
        <v>8989</v>
      </c>
      <c r="DB21" s="37">
        <f t="shared" si="83"/>
        <v>1</v>
      </c>
      <c r="DC21" s="37"/>
      <c r="DD21" s="40"/>
      <c r="DE21" s="37">
        <f t="shared" si="34"/>
        <v>0</v>
      </c>
      <c r="DF21" s="37">
        <f t="shared" si="88"/>
        <v>0</v>
      </c>
      <c r="DG21" s="37">
        <f t="shared" si="35"/>
        <v>-59867.309999998157</v>
      </c>
      <c r="DH21" s="37">
        <f t="shared" si="36"/>
        <v>305650.36999999831</v>
      </c>
      <c r="DI21" s="46"/>
      <c r="DJ21" s="46"/>
      <c r="DK21" s="47"/>
      <c r="DL21" s="47"/>
      <c r="DM21" s="37"/>
      <c r="DN21" s="37"/>
      <c r="DO21" s="37"/>
      <c r="DP21" s="37"/>
      <c r="DQ21" s="50">
        <v>2381200</v>
      </c>
      <c r="DR21" s="49">
        <f t="shared" si="60"/>
        <v>12700</v>
      </c>
      <c r="DS21" s="50">
        <v>1576700</v>
      </c>
      <c r="DT21" s="49">
        <f t="shared" si="61"/>
        <v>15800</v>
      </c>
      <c r="DU21" s="52">
        <v>7427.9</v>
      </c>
      <c r="DV21" s="52">
        <v>4139.5</v>
      </c>
      <c r="DW21" s="37">
        <f t="shared" si="84"/>
        <v>4699.9999999998181</v>
      </c>
      <c r="DX21" s="52">
        <v>12321</v>
      </c>
      <c r="DY21" s="52">
        <v>8193.4</v>
      </c>
      <c r="DZ21" s="37">
        <f t="shared" si="37"/>
        <v>6150.37</v>
      </c>
      <c r="EA21" s="49">
        <v>27289</v>
      </c>
      <c r="EB21" s="49">
        <v>19.507000000000001</v>
      </c>
      <c r="EC21" s="37">
        <f t="shared" si="38"/>
        <v>24310.37</v>
      </c>
      <c r="ED21" s="53">
        <f t="shared" si="39"/>
        <v>35160.739999999816</v>
      </c>
      <c r="EE21" s="49">
        <v>42446</v>
      </c>
      <c r="EF21" s="49">
        <v>26.789000000000001</v>
      </c>
      <c r="EG21" s="37">
        <f t="shared" si="40"/>
        <v>22310.37</v>
      </c>
      <c r="EH21" s="52">
        <v>11840</v>
      </c>
      <c r="EI21" s="52">
        <v>1.5724</v>
      </c>
      <c r="EJ21" s="37">
        <f t="shared" si="41"/>
        <v>10150.370000000001</v>
      </c>
      <c r="EK21" s="37">
        <v>713.18</v>
      </c>
      <c r="EL21" s="40">
        <v>1025.9000000000001</v>
      </c>
      <c r="EM21" s="37">
        <f t="shared" si="62"/>
        <v>669.99999999995907</v>
      </c>
      <c r="EN21" s="54">
        <f t="shared" si="63"/>
        <v>33130.739999999954</v>
      </c>
      <c r="EO21" s="48">
        <v>11918</v>
      </c>
      <c r="EP21" s="48">
        <v>4149.8</v>
      </c>
      <c r="EQ21" s="37">
        <f t="shared" si="42"/>
        <v>9150.3700000000008</v>
      </c>
      <c r="ER21" s="48">
        <v>7341.5</v>
      </c>
      <c r="ES21" s="48">
        <v>2974.9</v>
      </c>
      <c r="ET21" s="49">
        <f t="shared" si="92"/>
        <v>19300.000000000182</v>
      </c>
      <c r="EU21" s="48">
        <v>2601.6999999999998</v>
      </c>
      <c r="EV21" s="48">
        <v>931.27</v>
      </c>
      <c r="EW21" s="49">
        <f t="shared" si="44"/>
        <v>7050.3699999996361</v>
      </c>
      <c r="EX21" s="48">
        <v>12047</v>
      </c>
      <c r="EY21" s="48">
        <v>1.2577</v>
      </c>
      <c r="EZ21" s="37">
        <f t="shared" si="45"/>
        <v>13150.37</v>
      </c>
      <c r="FA21" s="48">
        <f t="shared" si="64"/>
        <v>-23947.109999999819</v>
      </c>
      <c r="FB21" s="48">
        <v>33669955</v>
      </c>
      <c r="FC21" s="49">
        <f t="shared" si="85"/>
        <v>24704</v>
      </c>
      <c r="FD21" s="48">
        <f t="shared" si="65"/>
        <v>50451.109999999782</v>
      </c>
      <c r="FE21" s="48">
        <v>15959</v>
      </c>
      <c r="FF21" s="48">
        <v>5733.8</v>
      </c>
      <c r="FG21" s="37">
        <f t="shared" si="66"/>
        <v>8750.3700000000008</v>
      </c>
      <c r="FH21" s="48">
        <v>6807.1</v>
      </c>
      <c r="FI21" s="48">
        <v>2.6187</v>
      </c>
      <c r="FJ21" s="49">
        <f t="shared" si="46"/>
        <v>17150.370000000545</v>
      </c>
      <c r="FK21" s="48"/>
      <c r="FL21" s="58">
        <v>600</v>
      </c>
      <c r="FM21" s="48">
        <f t="shared" si="86"/>
        <v>-150.3700000001827</v>
      </c>
      <c r="FN21" s="48">
        <v>15200</v>
      </c>
      <c r="FO21" s="48">
        <v>0.65969999999999995</v>
      </c>
      <c r="FP21" s="37">
        <f t="shared" si="67"/>
        <v>10750.37</v>
      </c>
      <c r="FQ21" s="48">
        <v>53913</v>
      </c>
      <c r="FR21" s="48">
        <v>12.823</v>
      </c>
      <c r="FS21" s="37">
        <f t="shared" si="47"/>
        <v>52000</v>
      </c>
      <c r="FT21" s="48">
        <f t="shared" si="93"/>
        <v>-451.1100000005481</v>
      </c>
      <c r="FU21" s="48">
        <f>FG21+FJ21+FP21+GM21</f>
        <v>36651.110000000546</v>
      </c>
      <c r="FV21" s="44">
        <v>2183800</v>
      </c>
      <c r="FW21" s="44">
        <v>708550</v>
      </c>
      <c r="FX21" s="37">
        <f t="shared" si="48"/>
        <v>21300</v>
      </c>
      <c r="FY21" s="56">
        <v>2735.3</v>
      </c>
      <c r="FZ21" s="56">
        <v>1.5470999999999999</v>
      </c>
      <c r="GA21" s="37">
        <f t="shared" si="91"/>
        <v>4720.0000000001819</v>
      </c>
      <c r="GB21" s="56">
        <v>730.26</v>
      </c>
      <c r="GC21" s="56">
        <v>808.5</v>
      </c>
      <c r="GD21" s="37">
        <f t="shared" si="49"/>
        <v>610.00000000001364</v>
      </c>
      <c r="GE21" s="56">
        <v>9092.4</v>
      </c>
      <c r="GF21" s="56">
        <v>2.6728000000000001</v>
      </c>
      <c r="GG21" s="37">
        <f t="shared" si="50"/>
        <v>4999.9999999993179</v>
      </c>
      <c r="GH21" s="153">
        <v>1747.2</v>
      </c>
      <c r="GI21" s="162">
        <v>1472.2</v>
      </c>
      <c r="GJ21" s="38">
        <f t="shared" si="51"/>
        <v>1799.9999999999545</v>
      </c>
      <c r="GK21" s="162">
        <v>1399.1</v>
      </c>
      <c r="GL21" s="163">
        <v>1088.8</v>
      </c>
      <c r="GM21" s="38">
        <f t="shared" si="52"/>
        <v>0</v>
      </c>
      <c r="GN21" s="57">
        <v>158850</v>
      </c>
      <c r="GO21" s="57">
        <v>138980</v>
      </c>
      <c r="GP21" s="38">
        <f t="shared" si="90"/>
        <v>0</v>
      </c>
      <c r="GQ21" s="38">
        <v>187100</v>
      </c>
      <c r="GR21" s="38">
        <v>189060</v>
      </c>
      <c r="GS21" s="38">
        <f t="shared" si="70"/>
        <v>1080</v>
      </c>
      <c r="GT21" s="178"/>
      <c r="GU21" s="144">
        <f>DailyJan!B20-DailyJan!N20-DailyJan!V20-DailyJan!Y20-DailyJan!Z20-DailyJan!AA20-DailyJan!AB20-DailyJan!AC20-DailyJan!AD20-DailyJan!AE20-DailyJan!AK20-DailyJan!AO20-DailyJan!AS20-DailyJan!AY20-DailyJan!BD20+DailyJan!BS20-SUM(DailyJan!BM20:BQ20)-DailyJan!BR20-DailyJan!AF20-DailyJan!AG20</f>
        <v>-3.9599983056177734E-2</v>
      </c>
      <c r="GV21" s="59">
        <v>2255.510400016954</v>
      </c>
      <c r="GW21" s="60">
        <f t="shared" si="53"/>
        <v>150.36736000113027</v>
      </c>
      <c r="GX21" s="61">
        <v>150.37</v>
      </c>
      <c r="GY21" s="140"/>
      <c r="GZ21" s="62"/>
      <c r="HA21" s="62">
        <v>2255.5104000001006</v>
      </c>
      <c r="HB21" s="74"/>
      <c r="HC21" s="62">
        <v>10392.6895999999</v>
      </c>
      <c r="HD21" s="74"/>
      <c r="HE21" s="24">
        <v>10392.6895999999</v>
      </c>
      <c r="HG21" s="62"/>
      <c r="HH21" s="3"/>
      <c r="HJ21" s="3"/>
    </row>
    <row r="22" spans="1:218" x14ac:dyDescent="0.25">
      <c r="A22" s="35">
        <f t="shared" si="2"/>
        <v>16</v>
      </c>
      <c r="B22" s="38">
        <v>3251.79</v>
      </c>
      <c r="C22" s="38">
        <f t="shared" si="3"/>
        <v>6.6999999999998181</v>
      </c>
      <c r="D22" s="38">
        <f t="shared" si="4"/>
        <v>214399.99999999418</v>
      </c>
      <c r="E22" s="38">
        <v>654.75</v>
      </c>
      <c r="F22" s="38">
        <f t="shared" si="89"/>
        <v>45759.999999998399</v>
      </c>
      <c r="G22" s="38">
        <f t="shared" si="6"/>
        <v>260159.99999999258</v>
      </c>
      <c r="H22" s="37"/>
      <c r="I22" s="39"/>
      <c r="J22" s="42"/>
      <c r="K22" s="37">
        <f>IF(J22&lt;=0,0,(J22/SQRT(J22^2+(I22-I21)^2)))</f>
        <v>0</v>
      </c>
      <c r="L22" s="40">
        <v>9171100</v>
      </c>
      <c r="M22" s="40"/>
      <c r="N22" s="37">
        <f t="shared" si="72"/>
        <v>261000</v>
      </c>
      <c r="O22" s="37">
        <v>9207.5</v>
      </c>
      <c r="P22" s="37"/>
      <c r="Q22" s="37">
        <f>IF((O22-O21)&lt;=0,0,(O22-O21))*1000</f>
        <v>15500</v>
      </c>
      <c r="R22" s="37">
        <f>IF(Q22&lt;=0,0,(Q22/SQRT(Q22^2+(P22-P21)^2)))</f>
        <v>1</v>
      </c>
      <c r="S22" s="37">
        <v>10929007.560000001</v>
      </c>
      <c r="T22" s="37">
        <f t="shared" si="8"/>
        <v>721.37000000104308</v>
      </c>
      <c r="U22" s="37">
        <v>1518125.52</v>
      </c>
      <c r="V22" s="37">
        <f t="shared" si="9"/>
        <v>0</v>
      </c>
      <c r="W22" s="37">
        <v>3128.7</v>
      </c>
      <c r="X22" s="37">
        <f t="shared" si="87"/>
        <v>9788.6299999989569</v>
      </c>
      <c r="Y22" s="183"/>
      <c r="Z22" s="183">
        <f t="shared" si="10"/>
        <v>0</v>
      </c>
      <c r="AA22" s="37">
        <v>377590</v>
      </c>
      <c r="AB22" s="37">
        <f t="shared" si="11"/>
        <v>4990</v>
      </c>
      <c r="AC22" s="37">
        <v>3336.4</v>
      </c>
      <c r="AD22" s="37"/>
      <c r="AE22" s="37">
        <f>IF((AC22-AC21)&lt;=0,0,(AC22-AC21))*1000</f>
        <v>6200.0000000002728</v>
      </c>
      <c r="AF22" s="37">
        <f>IF(AE22&lt;=0,0,(AE22/SQRT(AE22^2+(AD22-AD21)^2)))</f>
        <v>1</v>
      </c>
      <c r="AG22" s="37">
        <v>7262.9</v>
      </c>
      <c r="AH22" s="37"/>
      <c r="AI22" s="37">
        <f t="shared" si="13"/>
        <v>15142.48</v>
      </c>
      <c r="AJ22" s="37">
        <f t="shared" si="14"/>
        <v>1</v>
      </c>
      <c r="AK22" s="37">
        <f t="shared" si="15"/>
        <v>31852.480000000272</v>
      </c>
      <c r="AL22" s="42">
        <v>9411.2000000000007</v>
      </c>
      <c r="AM22" s="42"/>
      <c r="AN22" s="37">
        <f t="shared" si="54"/>
        <v>4532.4800000010137</v>
      </c>
      <c r="AO22" s="37">
        <f t="shared" si="75"/>
        <v>1</v>
      </c>
      <c r="AP22" s="37">
        <v>7074</v>
      </c>
      <c r="AQ22" s="37"/>
      <c r="AR22" s="37">
        <f t="shared" si="16"/>
        <v>8000</v>
      </c>
      <c r="AS22" s="37">
        <f t="shared" si="76"/>
        <v>1</v>
      </c>
      <c r="AT22" s="183"/>
      <c r="AU22" s="183">
        <f t="shared" si="17"/>
        <v>0</v>
      </c>
      <c r="AV22" s="183"/>
      <c r="AW22" s="183">
        <f t="shared" si="18"/>
        <v>0</v>
      </c>
      <c r="AX22" s="37">
        <v>438254</v>
      </c>
      <c r="AY22" s="37"/>
      <c r="AZ22" s="37">
        <f t="shared" si="19"/>
        <v>114</v>
      </c>
      <c r="BA22" s="37">
        <v>81499.895999999993</v>
      </c>
      <c r="BB22" s="37"/>
      <c r="BC22" s="37">
        <f t="shared" si="20"/>
        <v>179.89599999999336</v>
      </c>
      <c r="BD22" s="37">
        <f t="shared" si="77"/>
        <v>12826.376000001008</v>
      </c>
      <c r="BE22" s="43">
        <v>1601.9</v>
      </c>
      <c r="BF22" s="43">
        <v>868.35</v>
      </c>
      <c r="BG22" s="37">
        <f t="shared" si="21"/>
        <v>2200.0000000000455</v>
      </c>
      <c r="BH22" s="44">
        <v>7720.3</v>
      </c>
      <c r="BI22" s="44">
        <v>4966</v>
      </c>
      <c r="BJ22" s="37">
        <f t="shared" si="22"/>
        <v>9900.0000000005457</v>
      </c>
      <c r="BK22" s="40">
        <v>1057300</v>
      </c>
      <c r="BL22" s="40">
        <f t="shared" si="78"/>
        <v>5370</v>
      </c>
      <c r="BM22" s="40">
        <v>785.62</v>
      </c>
      <c r="BN22" s="37">
        <f t="shared" si="23"/>
        <v>710.00000000003638</v>
      </c>
      <c r="BO22" s="186"/>
      <c r="BP22" s="183">
        <f t="shared" si="24"/>
        <v>0</v>
      </c>
      <c r="BQ22" s="40">
        <v>745.23</v>
      </c>
      <c r="BR22" s="37">
        <f t="shared" si="55"/>
        <v>830.00000000004093</v>
      </c>
      <c r="BS22" s="37">
        <v>71910.87</v>
      </c>
      <c r="BT22" s="37">
        <f t="shared" si="25"/>
        <v>195.64999999999418</v>
      </c>
      <c r="BU22" s="42">
        <v>1818300</v>
      </c>
      <c r="BV22" s="42"/>
      <c r="BW22" s="37">
        <f t="shared" si="26"/>
        <v>5111</v>
      </c>
      <c r="BX22" s="37">
        <f t="shared" si="79"/>
        <v>1</v>
      </c>
      <c r="BY22" s="43">
        <v>257.29000000000002</v>
      </c>
      <c r="BZ22" s="43"/>
      <c r="CA22" s="37">
        <f t="shared" si="94"/>
        <v>691.00000000003092</v>
      </c>
      <c r="CB22" s="37">
        <f t="shared" si="56"/>
        <v>1</v>
      </c>
      <c r="CC22" s="37">
        <v>419990</v>
      </c>
      <c r="CD22" s="37">
        <f t="shared" si="28"/>
        <v>1377.2000000000116</v>
      </c>
      <c r="CE22" s="41">
        <v>697300</v>
      </c>
      <c r="CF22" s="37">
        <f t="shared" si="57"/>
        <v>9.9999999976716936E-2</v>
      </c>
      <c r="CG22" s="37">
        <v>51654</v>
      </c>
      <c r="CH22" s="37">
        <f t="shared" si="58"/>
        <v>0</v>
      </c>
      <c r="CI22" s="40">
        <v>10522</v>
      </c>
      <c r="CJ22" s="40"/>
      <c r="CK22" s="37">
        <f t="shared" si="59"/>
        <v>16571.480000000767</v>
      </c>
      <c r="CL22" s="37">
        <f t="shared" si="29"/>
        <v>1</v>
      </c>
      <c r="CM22" s="37">
        <v>2675.1</v>
      </c>
      <c r="CN22" s="37"/>
      <c r="CO22" s="37">
        <f t="shared" si="30"/>
        <v>8696.4800000000869</v>
      </c>
      <c r="CP22" s="37">
        <f t="shared" si="80"/>
        <v>1</v>
      </c>
      <c r="CQ22" s="39">
        <v>2596.5</v>
      </c>
      <c r="CR22" s="39"/>
      <c r="CS22" s="37">
        <f t="shared" si="31"/>
        <v>6944.4800000001342</v>
      </c>
      <c r="CT22" s="37">
        <f>IF(CS22&lt;=0,0,(CS22/SQRT(CS22^2+(CR22-CR21)^2)))</f>
        <v>1</v>
      </c>
      <c r="CU22" s="37">
        <v>1909400</v>
      </c>
      <c r="CV22" s="37"/>
      <c r="CW22" s="38">
        <f t="shared" si="32"/>
        <v>15592</v>
      </c>
      <c r="CX22" s="37">
        <f t="shared" si="82"/>
        <v>1</v>
      </c>
      <c r="CY22" s="37">
        <v>997080</v>
      </c>
      <c r="CZ22" s="37"/>
      <c r="DA22" s="37">
        <f t="shared" si="33"/>
        <v>10364.599999999977</v>
      </c>
      <c r="DB22" s="37">
        <f t="shared" si="83"/>
        <v>1</v>
      </c>
      <c r="DC22" s="37"/>
      <c r="DD22" s="40"/>
      <c r="DE22" s="37">
        <f t="shared" si="34"/>
        <v>0</v>
      </c>
      <c r="DF22" s="37">
        <f t="shared" si="88"/>
        <v>0</v>
      </c>
      <c r="DG22" s="37">
        <f t="shared" si="35"/>
        <v>-63280.040000000969</v>
      </c>
      <c r="DH22" s="37">
        <f t="shared" si="36"/>
        <v>295052.48000000033</v>
      </c>
      <c r="DI22" s="46"/>
      <c r="DJ22" s="46"/>
      <c r="DK22" s="47"/>
      <c r="DL22" s="47"/>
      <c r="DM22" s="37"/>
      <c r="DN22" s="37"/>
      <c r="DO22" s="37"/>
      <c r="DP22" s="37"/>
      <c r="DQ22" s="50">
        <v>2393700</v>
      </c>
      <c r="DR22" s="49">
        <f t="shared" si="60"/>
        <v>12500</v>
      </c>
      <c r="DS22" s="50">
        <v>1590800</v>
      </c>
      <c r="DT22" s="49">
        <f>IF((DS22-DS21)&lt;=0,0,(DS22-DS21))</f>
        <v>14100</v>
      </c>
      <c r="DU22" s="52">
        <v>7432.5</v>
      </c>
      <c r="DV22" s="52">
        <v>4142.3999999999996</v>
      </c>
      <c r="DW22" s="37">
        <f t="shared" si="84"/>
        <v>4600.0000000003638</v>
      </c>
      <c r="DX22" s="52">
        <v>12328</v>
      </c>
      <c r="DY22" s="52">
        <v>8195.2000000000007</v>
      </c>
      <c r="DZ22" s="37">
        <f t="shared" si="37"/>
        <v>7142.48</v>
      </c>
      <c r="EA22" s="49">
        <v>27312</v>
      </c>
      <c r="EB22" s="69">
        <v>19.518999999999998</v>
      </c>
      <c r="EC22" s="37">
        <f t="shared" si="38"/>
        <v>25302.48</v>
      </c>
      <c r="ED22" s="53">
        <f t="shared" si="39"/>
        <v>37044.960000000363</v>
      </c>
      <c r="EE22" s="49">
        <v>42448</v>
      </c>
      <c r="EF22" s="49">
        <v>26.789000000000001</v>
      </c>
      <c r="EG22" s="37">
        <f t="shared" si="40"/>
        <v>4302.4799999999996</v>
      </c>
      <c r="EH22" s="52">
        <v>11844</v>
      </c>
      <c r="EI22" s="52">
        <v>1.5725</v>
      </c>
      <c r="EJ22" s="37">
        <f t="shared" si="41"/>
        <v>4142.4799999999996</v>
      </c>
      <c r="EK22" s="37">
        <v>713.57</v>
      </c>
      <c r="EL22" s="40">
        <v>1026.2</v>
      </c>
      <c r="EM22" s="37">
        <f t="shared" si="62"/>
        <v>390.00000000010004</v>
      </c>
      <c r="EN22" s="54">
        <f t="shared" si="63"/>
        <v>8834.9600000000992</v>
      </c>
      <c r="EO22" s="48">
        <v>11925</v>
      </c>
      <c r="EP22" s="48">
        <v>4151.2</v>
      </c>
      <c r="EQ22" s="37">
        <f t="shared" si="42"/>
        <v>7142.48</v>
      </c>
      <c r="ER22" s="48">
        <v>7354.5</v>
      </c>
      <c r="ES22" s="48">
        <v>2980.4</v>
      </c>
      <c r="ET22" s="49">
        <f t="shared" si="92"/>
        <v>13000</v>
      </c>
      <c r="EU22" s="48">
        <v>2606.3000000000002</v>
      </c>
      <c r="EV22" s="48">
        <v>933.04</v>
      </c>
      <c r="EW22" s="49">
        <f t="shared" si="44"/>
        <v>4742.4800000003634</v>
      </c>
      <c r="EX22" s="48">
        <v>12057</v>
      </c>
      <c r="EY22" s="48">
        <v>1.2599</v>
      </c>
      <c r="EZ22" s="37">
        <f t="shared" si="45"/>
        <v>10142.48</v>
      </c>
      <c r="FA22" s="48">
        <f t="shared" si="64"/>
        <v>-16954.440000000362</v>
      </c>
      <c r="FB22" s="48">
        <v>33688028</v>
      </c>
      <c r="FC22" s="49">
        <f t="shared" si="85"/>
        <v>18073</v>
      </c>
      <c r="FD22" s="48">
        <f t="shared" si="65"/>
        <v>36127.440000000279</v>
      </c>
      <c r="FE22" s="48">
        <v>15968</v>
      </c>
      <c r="FF22" s="48">
        <v>5736.6</v>
      </c>
      <c r="FG22" s="37">
        <f t="shared" si="66"/>
        <v>9342.48</v>
      </c>
      <c r="FH22" s="48">
        <v>6825.4</v>
      </c>
      <c r="FI22" s="48">
        <v>2.6257999999999999</v>
      </c>
      <c r="FJ22" s="49">
        <f t="shared" si="46"/>
        <v>18642.479999999272</v>
      </c>
      <c r="FK22" s="48"/>
      <c r="FL22" s="58">
        <v>200</v>
      </c>
      <c r="FM22" s="48">
        <f t="shared" si="86"/>
        <v>-142.47999999975582</v>
      </c>
      <c r="FN22" s="48">
        <v>15211</v>
      </c>
      <c r="FO22" s="48">
        <v>0.66110000000000002</v>
      </c>
      <c r="FP22" s="37">
        <f t="shared" si="67"/>
        <v>11342.48</v>
      </c>
      <c r="FQ22" s="48">
        <v>53966</v>
      </c>
      <c r="FR22" s="48">
        <v>12.837999999999999</v>
      </c>
      <c r="FS22" s="37">
        <f t="shared" si="47"/>
        <v>53000</v>
      </c>
      <c r="FT22" s="48">
        <f t="shared" si="93"/>
        <v>-427.43999999926746</v>
      </c>
      <c r="FU22" s="48">
        <f t="shared" si="69"/>
        <v>39327.439999999275</v>
      </c>
      <c r="FV22" s="44">
        <v>2200400</v>
      </c>
      <c r="FW22" s="44">
        <v>713730</v>
      </c>
      <c r="FX22" s="37">
        <f t="shared" si="48"/>
        <v>16600</v>
      </c>
      <c r="FY22" s="56">
        <v>2740.3</v>
      </c>
      <c r="FZ22" s="56">
        <v>1.5521</v>
      </c>
      <c r="GA22" s="37">
        <f t="shared" si="91"/>
        <v>3960</v>
      </c>
      <c r="GB22" s="56">
        <v>730.78</v>
      </c>
      <c r="GC22" s="56">
        <v>809.21</v>
      </c>
      <c r="GD22" s="37">
        <f t="shared" si="49"/>
        <v>519.99999999998181</v>
      </c>
      <c r="GE22" s="56">
        <v>9097.5</v>
      </c>
      <c r="GF22" s="56">
        <v>2.6766000000000001</v>
      </c>
      <c r="GG22" s="37">
        <f t="shared" si="50"/>
        <v>4000.0000000004547</v>
      </c>
      <c r="GH22" s="153">
        <v>1748.3</v>
      </c>
      <c r="GI22" s="162">
        <v>1473.2</v>
      </c>
      <c r="GJ22" s="38">
        <f t="shared" si="51"/>
        <v>1099.9999999999091</v>
      </c>
      <c r="GK22" s="162">
        <v>1399.1</v>
      </c>
      <c r="GL22" s="163">
        <v>1088.8</v>
      </c>
      <c r="GM22" s="38">
        <f t="shared" si="52"/>
        <v>0</v>
      </c>
      <c r="GN22" s="57">
        <v>158860</v>
      </c>
      <c r="GO22" s="57">
        <v>138580</v>
      </c>
      <c r="GP22" s="38">
        <f t="shared" si="90"/>
        <v>10</v>
      </c>
      <c r="GQ22" s="38">
        <v>188140</v>
      </c>
      <c r="GR22" s="38">
        <v>190050</v>
      </c>
      <c r="GS22" s="38">
        <f t="shared" si="70"/>
        <v>1040</v>
      </c>
      <c r="GT22" s="178"/>
      <c r="GU22" s="144">
        <f>DailyJan!B21-DailyJan!N21-DailyJan!V21-DailyJan!Y21-DailyJan!Z21-DailyJan!AA21-DailyJan!AB21-DailyJan!AC21-DailyJan!AD21-DailyJan!AE21-DailyJan!AK21-DailyJan!AO21-DailyJan!AS21-DailyJan!AY21-DailyJan!BD21+DailyJan!BS21-SUM(DailyJan!BM21:BQ21)-DailyJan!BR21-DailyJan!AF21-DailyJan!AG21</f>
        <v>1.839998911418661E-2</v>
      </c>
      <c r="GV22" s="59">
        <v>2137.2183999891113</v>
      </c>
      <c r="GW22" s="60">
        <f t="shared" si="53"/>
        <v>142.48122666594074</v>
      </c>
      <c r="GX22" s="61">
        <v>142.47999999999999</v>
      </c>
      <c r="GY22" s="140"/>
      <c r="GZ22" s="62"/>
      <c r="HA22" s="62">
        <v>2137.2143999999389</v>
      </c>
      <c r="HB22" s="74"/>
      <c r="HC22" s="62">
        <v>10698.985600000062</v>
      </c>
      <c r="HD22" s="74"/>
      <c r="HE22" s="24">
        <v>10698.985600000062</v>
      </c>
      <c r="HG22" s="62"/>
      <c r="HJ22" s="3"/>
    </row>
    <row r="23" spans="1:218" x14ac:dyDescent="0.25">
      <c r="A23" s="35">
        <f t="shared" si="2"/>
        <v>17</v>
      </c>
      <c r="B23" s="38">
        <v>3258.87</v>
      </c>
      <c r="C23" s="38">
        <f t="shared" si="3"/>
        <v>7.0799999999999272</v>
      </c>
      <c r="D23" s="38">
        <f t="shared" si="4"/>
        <v>226559.99999999767</v>
      </c>
      <c r="E23" s="38">
        <v>656.18</v>
      </c>
      <c r="F23" s="38">
        <f t="shared" si="89"/>
        <v>45759.999999998399</v>
      </c>
      <c r="G23" s="38">
        <f t="shared" si="6"/>
        <v>272319.99999999604</v>
      </c>
      <c r="H23" s="37"/>
      <c r="I23" s="39"/>
      <c r="J23" s="42"/>
      <c r="K23" s="37">
        <f t="shared" ref="K23:K24" si="95">IF(J23&lt;=0,0,(J23/SQRT(J23^2+(I23-I22)^2)))</f>
        <v>0</v>
      </c>
      <c r="L23" s="40">
        <v>9198300</v>
      </c>
      <c r="M23" s="40"/>
      <c r="N23" s="37">
        <f t="shared" si="72"/>
        <v>272000</v>
      </c>
      <c r="O23" s="37">
        <v>9220</v>
      </c>
      <c r="P23" s="37"/>
      <c r="Q23" s="37">
        <f t="shared" ref="Q23:Q24" si="96">IF((O23-O22)&lt;=0,0,(O23-O22))*1000</f>
        <v>12500</v>
      </c>
      <c r="R23" s="37">
        <f t="shared" ref="R23:R24" si="97">IF(Q23&lt;=0,0,(Q23/SQRT(Q23^2+(P23-P22)^2)))</f>
        <v>1</v>
      </c>
      <c r="S23" s="37">
        <v>10929007.560000001</v>
      </c>
      <c r="T23" s="37">
        <f t="shared" si="8"/>
        <v>0</v>
      </c>
      <c r="U23" s="37">
        <v>1518125.52</v>
      </c>
      <c r="V23" s="37">
        <f t="shared" si="9"/>
        <v>0</v>
      </c>
      <c r="W23" s="37">
        <v>3135.6</v>
      </c>
      <c r="X23" s="37">
        <f t="shared" si="87"/>
        <v>7090</v>
      </c>
      <c r="Y23" s="183"/>
      <c r="Z23" s="183">
        <f t="shared" si="10"/>
        <v>0</v>
      </c>
      <c r="AA23" s="37">
        <v>383000</v>
      </c>
      <c r="AB23" s="37">
        <f t="shared" si="11"/>
        <v>5410</v>
      </c>
      <c r="AC23" s="37">
        <v>3343.2</v>
      </c>
      <c r="AD23" s="37"/>
      <c r="AE23" s="37">
        <f t="shared" ref="AE23:AE24" si="98">IF((AC23-AC22)&lt;=0,0,(AC23-AC22))*1000</f>
        <v>6799.9999999997272</v>
      </c>
      <c r="AF23" s="37">
        <f t="shared" ref="AF23:AF24" si="99">IF(AE23&lt;=0,0,(AE23/SQRT(AE23^2+(AD23-AD22)^2)))</f>
        <v>1</v>
      </c>
      <c r="AG23" s="37">
        <v>7279.3</v>
      </c>
      <c r="AH23" s="70"/>
      <c r="AI23" s="37">
        <f t="shared" si="13"/>
        <v>16549.140000000545</v>
      </c>
      <c r="AJ23" s="37">
        <f t="shared" si="14"/>
        <v>1</v>
      </c>
      <c r="AK23" s="37">
        <f t="shared" si="15"/>
        <v>30439.140000000272</v>
      </c>
      <c r="AL23" s="42">
        <v>9423.2999999999993</v>
      </c>
      <c r="AM23" s="42"/>
      <c r="AN23" s="37">
        <f t="shared" si="54"/>
        <v>4979.1399999984806</v>
      </c>
      <c r="AO23" s="37">
        <f t="shared" si="75"/>
        <v>1</v>
      </c>
      <c r="AP23" s="37">
        <v>7081.9</v>
      </c>
      <c r="AQ23" s="37"/>
      <c r="AR23" s="37">
        <f t="shared" si="16"/>
        <v>7899.9999999996362</v>
      </c>
      <c r="AS23" s="37">
        <f t="shared" si="76"/>
        <v>1</v>
      </c>
      <c r="AT23" s="183"/>
      <c r="AU23" s="183">
        <f t="shared" si="17"/>
        <v>0</v>
      </c>
      <c r="AV23" s="183"/>
      <c r="AW23" s="183">
        <f t="shared" si="18"/>
        <v>0</v>
      </c>
      <c r="AX23" s="37">
        <v>438520</v>
      </c>
      <c r="AY23" s="37"/>
      <c r="AZ23" s="37">
        <f t="shared" si="19"/>
        <v>266</v>
      </c>
      <c r="BA23" s="37">
        <v>81840</v>
      </c>
      <c r="BB23" s="37"/>
      <c r="BC23" s="37">
        <f t="shared" si="20"/>
        <v>340.10400000000664</v>
      </c>
      <c r="BD23" s="37">
        <f t="shared" si="77"/>
        <v>13485.243999998123</v>
      </c>
      <c r="BE23" s="43">
        <v>1604.1</v>
      </c>
      <c r="BF23" s="43">
        <v>869.61</v>
      </c>
      <c r="BG23" s="37">
        <f t="shared" si="21"/>
        <v>2199.9999999998181</v>
      </c>
      <c r="BH23" s="44">
        <v>7730.4</v>
      </c>
      <c r="BI23" s="44">
        <v>4972.3999999999996</v>
      </c>
      <c r="BJ23" s="37">
        <f t="shared" si="22"/>
        <v>10099.999999999454</v>
      </c>
      <c r="BK23" s="40">
        <v>1062890</v>
      </c>
      <c r="BL23" s="40">
        <f t="shared" si="78"/>
        <v>5590</v>
      </c>
      <c r="BM23" s="40">
        <v>786.33</v>
      </c>
      <c r="BN23" s="37">
        <f t="shared" si="23"/>
        <v>710.00000000003638</v>
      </c>
      <c r="BO23" s="186"/>
      <c r="BP23" s="183">
        <f t="shared" si="24"/>
        <v>0</v>
      </c>
      <c r="BQ23" s="40">
        <v>746.2</v>
      </c>
      <c r="BR23" s="37">
        <f t="shared" si="55"/>
        <v>970.00000000002728</v>
      </c>
      <c r="BS23" s="37">
        <v>72103.990000000005</v>
      </c>
      <c r="BT23" s="37">
        <f t="shared" si="25"/>
        <v>193.1200000000099</v>
      </c>
      <c r="BU23" s="42">
        <v>1821902</v>
      </c>
      <c r="BV23" s="42"/>
      <c r="BW23" s="37">
        <f t="shared" si="26"/>
        <v>3602</v>
      </c>
      <c r="BX23" s="37">
        <f t="shared" si="79"/>
        <v>1</v>
      </c>
      <c r="BY23" s="43">
        <v>258.108</v>
      </c>
      <c r="BZ23" s="43"/>
      <c r="CA23" s="37">
        <f t="shared" si="94"/>
        <v>817.99999999998363</v>
      </c>
      <c r="CB23" s="37">
        <f t="shared" si="56"/>
        <v>1</v>
      </c>
      <c r="CC23" s="37">
        <v>419990</v>
      </c>
      <c r="CD23" s="37">
        <f t="shared" si="28"/>
        <v>0</v>
      </c>
      <c r="CE23" s="41">
        <v>697300</v>
      </c>
      <c r="CF23" s="37">
        <f t="shared" si="57"/>
        <v>0</v>
      </c>
      <c r="CG23" s="37">
        <v>51654.3</v>
      </c>
      <c r="CH23" s="37">
        <f t="shared" si="58"/>
        <v>0.30000000000291038</v>
      </c>
      <c r="CI23" s="40">
        <v>10538.25</v>
      </c>
      <c r="CJ23" s="40"/>
      <c r="CK23" s="37">
        <f t="shared" si="59"/>
        <v>15581.140000000016</v>
      </c>
      <c r="CL23" s="37">
        <f t="shared" si="29"/>
        <v>1</v>
      </c>
      <c r="CM23" s="37">
        <v>2683.3980000000001</v>
      </c>
      <c r="CN23" s="37"/>
      <c r="CO23" s="37">
        <f t="shared" si="30"/>
        <v>8447.1400000002286</v>
      </c>
      <c r="CP23" s="37">
        <f t="shared" si="80"/>
        <v>1</v>
      </c>
      <c r="CQ23" s="39">
        <v>2603.2550000000001</v>
      </c>
      <c r="CR23" s="39"/>
      <c r="CS23" s="37">
        <f t="shared" si="31"/>
        <v>6904.1400000001095</v>
      </c>
      <c r="CT23" s="37">
        <f>IF(CS23&lt;=0,0,(CS23/SQRT(CS23^2+(CR23-CR22)^2)))</f>
        <v>1</v>
      </c>
      <c r="CU23" s="37">
        <v>1925637</v>
      </c>
      <c r="CV23" s="37"/>
      <c r="CW23" s="38">
        <f t="shared" si="32"/>
        <v>16237</v>
      </c>
      <c r="CX23" s="37">
        <f t="shared" si="82"/>
        <v>1</v>
      </c>
      <c r="CY23" s="37">
        <v>1007897</v>
      </c>
      <c r="CZ23" s="37"/>
      <c r="DA23" s="37">
        <f t="shared" si="33"/>
        <v>10817</v>
      </c>
      <c r="DB23" s="37">
        <f t="shared" si="83"/>
        <v>1</v>
      </c>
      <c r="DC23" s="37"/>
      <c r="DD23" s="40"/>
      <c r="DE23" s="37">
        <f t="shared" si="34"/>
        <v>0</v>
      </c>
      <c r="DF23" s="37">
        <f t="shared" si="88"/>
        <v>0</v>
      </c>
      <c r="DG23" s="37">
        <f t="shared" si="35"/>
        <v>-61588.420000000347</v>
      </c>
      <c r="DH23" s="37">
        <f t="shared" si="36"/>
        <v>304639.14000000007</v>
      </c>
      <c r="DI23" s="46"/>
      <c r="DJ23" s="46"/>
      <c r="DK23" s="47"/>
      <c r="DL23" s="47"/>
      <c r="DM23" s="37"/>
      <c r="DN23" s="37"/>
      <c r="DO23" s="37"/>
      <c r="DP23" s="37"/>
      <c r="DQ23" s="50">
        <v>2406700</v>
      </c>
      <c r="DR23" s="49">
        <f t="shared" si="60"/>
        <v>13000</v>
      </c>
      <c r="DS23" s="50">
        <v>1606400</v>
      </c>
      <c r="DT23" s="49">
        <f>IF((DS23-DS22)&lt;=0,0,(DS23-DS22))</f>
        <v>15600</v>
      </c>
      <c r="DU23" s="51">
        <v>7437.7</v>
      </c>
      <c r="DV23" s="51">
        <v>4145.8999999999996</v>
      </c>
      <c r="DW23" s="37">
        <f t="shared" si="84"/>
        <v>5199.9999999998181</v>
      </c>
      <c r="DX23" s="51">
        <v>12335</v>
      </c>
      <c r="DY23" s="51">
        <v>8196.9</v>
      </c>
      <c r="DZ23" s="37">
        <f t="shared" si="37"/>
        <v>7149.14</v>
      </c>
      <c r="EA23" s="49">
        <v>27334</v>
      </c>
      <c r="EB23" s="49">
        <v>19.530999999999999</v>
      </c>
      <c r="EC23" s="37">
        <f t="shared" si="38"/>
        <v>24309.14</v>
      </c>
      <c r="ED23" s="53">
        <f t="shared" si="39"/>
        <v>36658.279999999817</v>
      </c>
      <c r="EE23" s="49">
        <v>42450</v>
      </c>
      <c r="EF23" s="49">
        <v>26.79</v>
      </c>
      <c r="EG23" s="37">
        <f t="shared" si="40"/>
        <v>4309.1399999999994</v>
      </c>
      <c r="EH23" s="51">
        <v>11849</v>
      </c>
      <c r="EI23" s="51">
        <v>1.5728</v>
      </c>
      <c r="EJ23" s="37">
        <f t="shared" si="41"/>
        <v>5149.1400000000003</v>
      </c>
      <c r="EK23" s="37">
        <v>713.92</v>
      </c>
      <c r="EL23" s="40">
        <v>1026.5</v>
      </c>
      <c r="EM23" s="37">
        <f t="shared" si="62"/>
        <v>349.99999999990905</v>
      </c>
      <c r="EN23" s="54">
        <f t="shared" si="63"/>
        <v>9808.2799999999079</v>
      </c>
      <c r="EO23" s="48">
        <v>11934</v>
      </c>
      <c r="EP23" s="48">
        <v>4155.2</v>
      </c>
      <c r="EQ23" s="37">
        <f t="shared" si="42"/>
        <v>9149.14</v>
      </c>
      <c r="ER23" s="48">
        <v>7374.2</v>
      </c>
      <c r="ES23" s="48">
        <v>2988.7</v>
      </c>
      <c r="ET23" s="49">
        <f t="shared" si="92"/>
        <v>19699.999999999818</v>
      </c>
      <c r="EU23" s="48">
        <v>2613.3000000000002</v>
      </c>
      <c r="EV23" s="48">
        <v>935.57</v>
      </c>
      <c r="EW23" s="49">
        <f t="shared" si="44"/>
        <v>7149.14</v>
      </c>
      <c r="EX23" s="48">
        <v>12071</v>
      </c>
      <c r="EY23" s="48">
        <v>1.2625</v>
      </c>
      <c r="EZ23" s="37">
        <f t="shared" si="45"/>
        <v>14149.14</v>
      </c>
      <c r="FA23" s="48">
        <f t="shared" si="64"/>
        <v>-25385.419999999816</v>
      </c>
      <c r="FB23" s="48">
        <v>33712790</v>
      </c>
      <c r="FC23" s="49">
        <f t="shared" si="85"/>
        <v>24762</v>
      </c>
      <c r="FD23" s="48">
        <f t="shared" si="65"/>
        <v>51947.419999999773</v>
      </c>
      <c r="FE23" s="48">
        <v>15978</v>
      </c>
      <c r="FF23" s="48">
        <v>5739.6</v>
      </c>
      <c r="FG23" s="37">
        <f t="shared" si="66"/>
        <v>10115.81</v>
      </c>
      <c r="FH23" s="48">
        <v>6844.9</v>
      </c>
      <c r="FI23" s="48">
        <v>2.6333000000000002</v>
      </c>
      <c r="FJ23" s="49">
        <f t="shared" si="46"/>
        <v>19615.809999999998</v>
      </c>
      <c r="FK23" s="48"/>
      <c r="FL23" s="58">
        <v>-33.33</v>
      </c>
      <c r="FM23" s="48">
        <f t="shared" si="86"/>
        <v>-149.14333333333161</v>
      </c>
      <c r="FN23" s="48">
        <v>15222</v>
      </c>
      <c r="FO23" s="48">
        <v>0.66269999999999996</v>
      </c>
      <c r="FP23" s="37">
        <f t="shared" si="67"/>
        <v>11115.81</v>
      </c>
      <c r="FQ23" s="48">
        <v>54022</v>
      </c>
      <c r="FR23" s="48">
        <v>12.853999999999999</v>
      </c>
      <c r="FS23" s="37">
        <f t="shared" si="47"/>
        <v>56000</v>
      </c>
      <c r="FT23" s="48">
        <f t="shared" si="93"/>
        <v>-447.42999999999483</v>
      </c>
      <c r="FU23" s="48">
        <f t="shared" si="69"/>
        <v>40847.429999999993</v>
      </c>
      <c r="FV23" s="44">
        <v>2218200</v>
      </c>
      <c r="FW23" s="44">
        <v>719330</v>
      </c>
      <c r="FX23" s="37">
        <f t="shared" si="48"/>
        <v>17800</v>
      </c>
      <c r="FY23" s="56">
        <v>2746.1</v>
      </c>
      <c r="FZ23" s="56">
        <v>1.5573999999999999</v>
      </c>
      <c r="GA23" s="37">
        <f t="shared" si="91"/>
        <v>4709.9999999997272</v>
      </c>
      <c r="GB23" s="56">
        <v>731.37</v>
      </c>
      <c r="GC23" s="56">
        <v>809.95</v>
      </c>
      <c r="GD23" s="37">
        <f t="shared" si="49"/>
        <v>590.00000000003183</v>
      </c>
      <c r="GE23" s="56">
        <v>9103.9</v>
      </c>
      <c r="GF23" s="56">
        <v>2.6816</v>
      </c>
      <c r="GG23" s="37">
        <f t="shared" si="50"/>
        <v>4599.9999999996817</v>
      </c>
      <c r="GH23" s="137">
        <v>1750.1</v>
      </c>
      <c r="GI23" s="162">
        <v>1474.9</v>
      </c>
      <c r="GJ23" s="38">
        <f t="shared" si="51"/>
        <v>1799.9999999999545</v>
      </c>
      <c r="GK23" s="162">
        <v>1399.1</v>
      </c>
      <c r="GL23" s="163">
        <v>1088.8</v>
      </c>
      <c r="GM23" s="38">
        <f t="shared" si="52"/>
        <v>0</v>
      </c>
      <c r="GN23" s="57">
        <v>158860</v>
      </c>
      <c r="GO23" s="57">
        <v>138580</v>
      </c>
      <c r="GP23" s="38">
        <f t="shared" si="90"/>
        <v>0</v>
      </c>
      <c r="GQ23" s="38">
        <v>189230</v>
      </c>
      <c r="GR23" s="38">
        <v>191070</v>
      </c>
      <c r="GS23" s="38">
        <f t="shared" si="70"/>
        <v>1090</v>
      </c>
      <c r="GT23" s="178"/>
      <c r="GU23" s="144">
        <f>DailyJan!B22-DailyJan!N22-DailyJan!V22-DailyJan!Y22-DailyJan!Z22-DailyJan!AA22-DailyJan!AB22-DailyJan!AC22-DailyJan!AD22-DailyJan!AE22-DailyJan!AK22-DailyJan!AO22-DailyJan!AS22-DailyJan!AY22-DailyJan!BD22+DailyJan!BS22-SUM(DailyJan!BM22:BQ22)-DailyJan!BR22-DailyJan!AF22-DailyJan!AG22</f>
        <v>4.7999990265452652E-3</v>
      </c>
      <c r="GV23" s="59">
        <v>2237.1047999990392</v>
      </c>
      <c r="GW23" s="60">
        <f t="shared" si="53"/>
        <v>149.14031999993594</v>
      </c>
      <c r="GX23" s="61">
        <v>149.13999999999999</v>
      </c>
      <c r="GY23" s="140"/>
      <c r="GZ23" s="62"/>
      <c r="HA23" s="62">
        <v>2237.1087999999677</v>
      </c>
      <c r="HB23" s="74"/>
      <c r="HC23" s="62">
        <v>3549.4812000000325</v>
      </c>
      <c r="HD23" s="74"/>
      <c r="HE23" s="24">
        <v>3549.4812000000325</v>
      </c>
      <c r="HG23" s="62"/>
      <c r="HJ23" s="3"/>
    </row>
    <row r="24" spans="1:218" x14ac:dyDescent="0.25">
      <c r="A24" s="35">
        <f t="shared" si="2"/>
        <v>18</v>
      </c>
      <c r="B24" s="38">
        <v>3265.93</v>
      </c>
      <c r="C24" s="38">
        <f t="shared" si="3"/>
        <v>7.0599999999999454</v>
      </c>
      <c r="D24" s="38">
        <f t="shared" si="4"/>
        <v>225919.99999999825</v>
      </c>
      <c r="E24" s="38">
        <v>657.58</v>
      </c>
      <c r="F24" s="38">
        <f t="shared" si="89"/>
        <v>44800.00000000291</v>
      </c>
      <c r="G24" s="38">
        <f t="shared" si="6"/>
        <v>270720.00000000116</v>
      </c>
      <c r="H24" s="37"/>
      <c r="I24" s="39"/>
      <c r="J24" s="42"/>
      <c r="K24" s="37">
        <f t="shared" si="95"/>
        <v>0</v>
      </c>
      <c r="L24" s="40">
        <v>9225100</v>
      </c>
      <c r="M24" s="40"/>
      <c r="N24" s="37">
        <f t="shared" si="72"/>
        <v>268000</v>
      </c>
      <c r="O24" s="37">
        <v>9233.7000000000007</v>
      </c>
      <c r="P24" s="37"/>
      <c r="Q24" s="37">
        <f t="shared" si="96"/>
        <v>13700.000000000728</v>
      </c>
      <c r="R24" s="37">
        <f t="shared" si="97"/>
        <v>1</v>
      </c>
      <c r="S24" s="37">
        <v>10929007.560000001</v>
      </c>
      <c r="T24" s="37">
        <f t="shared" si="8"/>
        <v>0</v>
      </c>
      <c r="U24" s="37">
        <v>1518125.52</v>
      </c>
      <c r="V24" s="37">
        <f t="shared" si="9"/>
        <v>0</v>
      </c>
      <c r="W24" s="37">
        <v>3142.5</v>
      </c>
      <c r="X24" s="37">
        <f t="shared" si="87"/>
        <v>8400.0000000007276</v>
      </c>
      <c r="Y24" s="183"/>
      <c r="Z24" s="183">
        <f t="shared" si="10"/>
        <v>0</v>
      </c>
      <c r="AA24" s="37">
        <v>388300</v>
      </c>
      <c r="AB24" s="37">
        <f t="shared" si="11"/>
        <v>5300</v>
      </c>
      <c r="AC24" s="37">
        <v>3350.1</v>
      </c>
      <c r="AD24" s="37"/>
      <c r="AE24" s="37">
        <f t="shared" si="98"/>
        <v>6900.0000000000909</v>
      </c>
      <c r="AF24" s="37">
        <f t="shared" si="99"/>
        <v>1</v>
      </c>
      <c r="AG24" s="37">
        <v>7295.1</v>
      </c>
      <c r="AH24" s="37"/>
      <c r="AI24" s="37">
        <f t="shared" si="13"/>
        <v>15948.260000000182</v>
      </c>
      <c r="AJ24" s="37">
        <f t="shared" si="14"/>
        <v>1</v>
      </c>
      <c r="AK24" s="37">
        <f t="shared" si="15"/>
        <v>31248.260000000999</v>
      </c>
      <c r="AL24" s="42">
        <v>9434.7999999999993</v>
      </c>
      <c r="AM24" s="42"/>
      <c r="AN24" s="37">
        <f t="shared" si="54"/>
        <v>4878.2600000001685</v>
      </c>
      <c r="AO24" s="37">
        <f t="shared" si="75"/>
        <v>1</v>
      </c>
      <c r="AP24" s="37">
        <v>7089.9</v>
      </c>
      <c r="AQ24" s="37"/>
      <c r="AR24" s="37">
        <f t="shared" si="16"/>
        <v>8000</v>
      </c>
      <c r="AS24" s="37">
        <f t="shared" si="76"/>
        <v>1</v>
      </c>
      <c r="AT24" s="183"/>
      <c r="AU24" s="183">
        <f t="shared" si="17"/>
        <v>0</v>
      </c>
      <c r="AV24" s="183"/>
      <c r="AW24" s="183">
        <f t="shared" si="18"/>
        <v>0</v>
      </c>
      <c r="AX24" s="37">
        <v>438610</v>
      </c>
      <c r="AY24" s="37"/>
      <c r="AZ24" s="37">
        <f t="shared" si="19"/>
        <v>90</v>
      </c>
      <c r="BA24" s="37">
        <v>81940</v>
      </c>
      <c r="BB24" s="37"/>
      <c r="BC24" s="37">
        <f t="shared" si="20"/>
        <v>100</v>
      </c>
      <c r="BD24" s="37">
        <f>AN24+AR24+AZ24+BC24</f>
        <v>13068.260000000169</v>
      </c>
      <c r="BE24" s="43">
        <v>1606.1</v>
      </c>
      <c r="BF24" s="43">
        <v>870.85</v>
      </c>
      <c r="BG24" s="37">
        <f t="shared" si="21"/>
        <v>2000</v>
      </c>
      <c r="BH24" s="44">
        <v>7739.9</v>
      </c>
      <c r="BI24" s="44">
        <v>4978.6000000000004</v>
      </c>
      <c r="BJ24" s="37">
        <f t="shared" si="22"/>
        <v>9500</v>
      </c>
      <c r="BK24" s="40">
        <v>1068350</v>
      </c>
      <c r="BL24" s="40">
        <f t="shared" si="78"/>
        <v>5460</v>
      </c>
      <c r="BM24" s="40">
        <v>787.04</v>
      </c>
      <c r="BN24" s="37">
        <f t="shared" si="23"/>
        <v>709.99999999992269</v>
      </c>
      <c r="BO24" s="186"/>
      <c r="BP24" s="183">
        <f t="shared" si="24"/>
        <v>0</v>
      </c>
      <c r="BQ24" s="40">
        <v>746.8</v>
      </c>
      <c r="BR24" s="37">
        <f t="shared" si="55"/>
        <v>599.99999999990905</v>
      </c>
      <c r="BS24" s="37">
        <v>72329.210000000006</v>
      </c>
      <c r="BT24" s="37">
        <f t="shared" si="25"/>
        <v>225.22000000000116</v>
      </c>
      <c r="BU24" s="42">
        <v>1829038</v>
      </c>
      <c r="BV24" s="42"/>
      <c r="BW24" s="37">
        <f t="shared" si="26"/>
        <v>7136</v>
      </c>
      <c r="BX24" s="37">
        <f t="shared" si="79"/>
        <v>1</v>
      </c>
      <c r="BY24" s="43">
        <v>258.83479999999997</v>
      </c>
      <c r="BZ24" s="37"/>
      <c r="CA24" s="37">
        <f t="shared" si="94"/>
        <v>726.7999999999688</v>
      </c>
      <c r="CB24" s="37">
        <f t="shared" si="56"/>
        <v>1</v>
      </c>
      <c r="CC24" s="37">
        <v>422692.1</v>
      </c>
      <c r="CD24" s="37">
        <f t="shared" si="28"/>
        <v>2702.0999999999767</v>
      </c>
      <c r="CE24" s="41">
        <v>697299.9</v>
      </c>
      <c r="CF24" s="37">
        <f t="shared" si="57"/>
        <v>0</v>
      </c>
      <c r="CG24" s="37">
        <v>51654.3</v>
      </c>
      <c r="CH24" s="37">
        <f t="shared" si="58"/>
        <v>0</v>
      </c>
      <c r="CI24" s="40">
        <v>10555.07</v>
      </c>
      <c r="CJ24" s="40"/>
      <c r="CK24" s="37">
        <f t="shared" si="59"/>
        <v>16241.459999999739</v>
      </c>
      <c r="CL24" s="37">
        <f t="shared" si="29"/>
        <v>1</v>
      </c>
      <c r="CM24" s="37">
        <v>2689.6419999999998</v>
      </c>
      <c r="CN24" s="37"/>
      <c r="CO24" s="37">
        <f t="shared" si="30"/>
        <v>6392.2599999996874</v>
      </c>
      <c r="CP24" s="37">
        <f t="shared" si="80"/>
        <v>1</v>
      </c>
      <c r="CQ24" s="39">
        <v>2609.37</v>
      </c>
      <c r="CR24" s="39"/>
      <c r="CS24" s="37">
        <f t="shared" si="31"/>
        <v>6263.2599999997819</v>
      </c>
      <c r="CT24" s="37">
        <f t="shared" ref="CT24" si="100">IF(CS24&lt;=0,0,(CS24/SQRT(CS24^2+(CR24-CR23)^2)))</f>
        <v>1</v>
      </c>
      <c r="CU24" s="37">
        <v>1940864</v>
      </c>
      <c r="CV24" s="37"/>
      <c r="CW24" s="38">
        <f t="shared" si="32"/>
        <v>15227</v>
      </c>
      <c r="CX24" s="37">
        <f t="shared" si="82"/>
        <v>1</v>
      </c>
      <c r="CY24" s="37">
        <v>1018163</v>
      </c>
      <c r="CZ24" s="37"/>
      <c r="DA24" s="37">
        <f t="shared" si="33"/>
        <v>10266</v>
      </c>
      <c r="DB24" s="37">
        <f t="shared" si="83"/>
        <v>1</v>
      </c>
      <c r="DC24" s="37"/>
      <c r="DD24" s="40"/>
      <c r="DE24" s="37">
        <f t="shared" si="34"/>
        <v>0</v>
      </c>
      <c r="DF24" s="37">
        <f t="shared" si="88"/>
        <v>0</v>
      </c>
      <c r="DG24" s="37">
        <f t="shared" si="35"/>
        <v>-61525.97999999921</v>
      </c>
      <c r="DH24" s="37">
        <f t="shared" si="36"/>
        <v>301248.260000001</v>
      </c>
      <c r="DI24" s="46"/>
      <c r="DJ24" s="46"/>
      <c r="DK24" s="47"/>
      <c r="DL24" s="47"/>
      <c r="DM24" s="37"/>
      <c r="DN24" s="37"/>
      <c r="DO24" s="37"/>
      <c r="DP24" s="37"/>
      <c r="DQ24" s="50">
        <v>2419500</v>
      </c>
      <c r="DR24" s="49">
        <f t="shared" si="60"/>
        <v>12800</v>
      </c>
      <c r="DS24" s="50">
        <v>1621200</v>
      </c>
      <c r="DT24" s="49">
        <f>IF((DS24-DS23)&lt;=0,0,(DS24-DS23))</f>
        <v>14800</v>
      </c>
      <c r="DU24" s="51">
        <v>7442.7</v>
      </c>
      <c r="DV24" s="51">
        <v>4149.2</v>
      </c>
      <c r="DW24" s="37">
        <f t="shared" si="84"/>
        <v>5000</v>
      </c>
      <c r="DX24" s="52">
        <v>12341</v>
      </c>
      <c r="DY24" s="52">
        <v>8197.6</v>
      </c>
      <c r="DZ24" s="37">
        <f t="shared" si="37"/>
        <v>6148.26</v>
      </c>
      <c r="EA24" s="49">
        <v>27356</v>
      </c>
      <c r="EB24" s="49">
        <v>19.542999999999999</v>
      </c>
      <c r="EC24" s="37">
        <f t="shared" si="38"/>
        <v>24308.26</v>
      </c>
      <c r="ED24" s="53">
        <f t="shared" si="39"/>
        <v>35456.519999999997</v>
      </c>
      <c r="EE24" s="49">
        <v>42452</v>
      </c>
      <c r="EF24" s="49">
        <v>26.79</v>
      </c>
      <c r="EG24" s="37">
        <f t="shared" si="40"/>
        <v>4308.26</v>
      </c>
      <c r="EH24" s="51">
        <v>11854</v>
      </c>
      <c r="EI24" s="51">
        <v>1.5731999999999999</v>
      </c>
      <c r="EJ24" s="37">
        <f t="shared" si="41"/>
        <v>5148.26</v>
      </c>
      <c r="EK24" s="37">
        <v>714.44</v>
      </c>
      <c r="EL24" s="40">
        <v>1027.0999999999999</v>
      </c>
      <c r="EM24" s="37">
        <f t="shared" si="62"/>
        <v>520.0000000000955</v>
      </c>
      <c r="EN24" s="54">
        <f t="shared" si="63"/>
        <v>9976.520000000095</v>
      </c>
      <c r="EO24" s="48">
        <v>11942</v>
      </c>
      <c r="EP24" s="48">
        <v>4157.8</v>
      </c>
      <c r="EQ24" s="37">
        <f t="shared" si="42"/>
        <v>8148.26</v>
      </c>
      <c r="ER24" s="48">
        <v>7393.1</v>
      </c>
      <c r="ES24" s="48">
        <v>2996.6</v>
      </c>
      <c r="ET24" s="49">
        <f t="shared" si="92"/>
        <v>18900.000000000546</v>
      </c>
      <c r="EU24" s="48">
        <v>2620.1</v>
      </c>
      <c r="EV24" s="48">
        <v>938.06</v>
      </c>
      <c r="EW24" s="49">
        <f t="shared" si="44"/>
        <v>6948.2599999997274</v>
      </c>
      <c r="EX24" s="48">
        <v>12083</v>
      </c>
      <c r="EY24" s="48">
        <v>1.2650999999999999</v>
      </c>
      <c r="EZ24" s="37">
        <f t="shared" si="45"/>
        <v>12148.26</v>
      </c>
      <c r="FA24" s="48">
        <f t="shared" si="64"/>
        <v>-22480.780000000275</v>
      </c>
      <c r="FB24" s="48">
        <v>33736454</v>
      </c>
      <c r="FC24" s="49">
        <f t="shared" si="85"/>
        <v>23664</v>
      </c>
      <c r="FD24" s="48">
        <f t="shared" si="65"/>
        <v>47844.780000000319</v>
      </c>
      <c r="FE24" s="48">
        <v>15987</v>
      </c>
      <c r="FF24" s="48">
        <v>5741.9</v>
      </c>
      <c r="FG24" s="37">
        <f t="shared" si="66"/>
        <v>9281.59</v>
      </c>
      <c r="FH24" s="48">
        <v>6862.7</v>
      </c>
      <c r="FI24" s="48">
        <v>2.6402000000000001</v>
      </c>
      <c r="FJ24" s="49">
        <f t="shared" si="46"/>
        <v>18081.590000000182</v>
      </c>
      <c r="FK24" s="48"/>
      <c r="FL24" s="58">
        <v>133.33000000000001</v>
      </c>
      <c r="FM24" s="48">
        <f t="shared" si="86"/>
        <v>-148.25666666672623</v>
      </c>
      <c r="FN24" s="48">
        <v>15232</v>
      </c>
      <c r="FO24" s="48">
        <v>0.66420000000000001</v>
      </c>
      <c r="FP24" s="37">
        <f t="shared" si="67"/>
        <v>10281.59</v>
      </c>
      <c r="FQ24" s="48">
        <v>54074</v>
      </c>
      <c r="FR24" s="48">
        <v>12.869</v>
      </c>
      <c r="FS24" s="37">
        <f t="shared" si="47"/>
        <v>52000</v>
      </c>
      <c r="FT24" s="48">
        <f t="shared" si="93"/>
        <v>-444.7700000001787</v>
      </c>
      <c r="FU24" s="48">
        <f t="shared" si="69"/>
        <v>37644.770000000179</v>
      </c>
      <c r="FV24" s="44">
        <v>2234300</v>
      </c>
      <c r="FW24" s="44">
        <v>724460</v>
      </c>
      <c r="FX24" s="37">
        <f t="shared" si="48"/>
        <v>16100</v>
      </c>
      <c r="FY24" s="56">
        <v>2751.2</v>
      </c>
      <c r="FZ24" s="56">
        <v>1.5624</v>
      </c>
      <c r="GA24" s="37">
        <f t="shared" si="91"/>
        <v>4049.9999999999091</v>
      </c>
      <c r="GB24" s="56">
        <v>731.95</v>
      </c>
      <c r="GC24" s="56">
        <v>810.69</v>
      </c>
      <c r="GD24" s="37">
        <f t="shared" si="49"/>
        <v>580.00000000004093</v>
      </c>
      <c r="GE24" s="56">
        <v>9109.6</v>
      </c>
      <c r="GF24" s="56">
        <v>2.6861000000000002</v>
      </c>
      <c r="GG24" s="37">
        <f t="shared" si="50"/>
        <v>4000.0000000006821</v>
      </c>
      <c r="GH24" s="158">
        <v>1751.8</v>
      </c>
      <c r="GI24" s="159">
        <v>1476.5</v>
      </c>
      <c r="GJ24" s="38">
        <f t="shared" si="51"/>
        <v>1700.0000000000455</v>
      </c>
      <c r="GK24" s="159">
        <v>1399.1</v>
      </c>
      <c r="GL24" s="160">
        <v>1088.8</v>
      </c>
      <c r="GM24" s="38">
        <f t="shared" si="52"/>
        <v>0</v>
      </c>
      <c r="GN24" s="57">
        <v>158860</v>
      </c>
      <c r="GO24" s="57">
        <v>138590</v>
      </c>
      <c r="GP24" s="38">
        <f t="shared" si="90"/>
        <v>0</v>
      </c>
      <c r="GQ24" s="38">
        <v>190280</v>
      </c>
      <c r="GR24" s="38">
        <v>192060</v>
      </c>
      <c r="GS24" s="38">
        <f t="shared" si="70"/>
        <v>1050</v>
      </c>
      <c r="GT24" s="178"/>
      <c r="GU24" s="144">
        <f>DailyJan!B23-DailyJan!N23-DailyJan!V23-DailyJan!Y23-DailyJan!Z23-DailyJan!AA23-DailyJan!AB23-DailyJan!AC23-DailyJan!AD23-DailyJan!AE23-DailyJan!AK23-DailyJan!AO23-DailyJan!AS23-DailyJan!AY23-DailyJan!BD23+DailyJan!BS23-SUM(DailyJan!BM23:BQ23)-DailyJan!BR23-DailyJan!AF23-DailyJan!AG23</f>
        <v>6.4799999840033706E-2</v>
      </c>
      <c r="GV24" s="59">
        <v>2223.9647999998342</v>
      </c>
      <c r="GW24" s="60">
        <f t="shared" si="53"/>
        <v>148.26431999998894</v>
      </c>
      <c r="GX24" s="61">
        <v>148.26</v>
      </c>
      <c r="GY24" s="140"/>
      <c r="GZ24" s="62"/>
      <c r="HA24" s="62">
        <v>2223.9648000000097</v>
      </c>
      <c r="HB24" s="74"/>
      <c r="HC24" s="62">
        <v>16291.945199999991</v>
      </c>
      <c r="HD24" s="74"/>
      <c r="HE24" s="24">
        <v>16291.945199999991</v>
      </c>
      <c r="HG24" s="62"/>
      <c r="HJ24" s="3"/>
    </row>
    <row r="25" spans="1:218" x14ac:dyDescent="0.25">
      <c r="A25" s="35">
        <f t="shared" si="2"/>
        <v>19</v>
      </c>
      <c r="B25" s="38">
        <v>3273.11</v>
      </c>
      <c r="C25" s="38">
        <f t="shared" si="3"/>
        <v>7.180000000000291</v>
      </c>
      <c r="D25" s="38">
        <f t="shared" si="4"/>
        <v>229760.00000000931</v>
      </c>
      <c r="E25" s="38">
        <v>659.02</v>
      </c>
      <c r="F25" s="38">
        <f t="shared" si="89"/>
        <v>46079.999999998108</v>
      </c>
      <c r="G25" s="38">
        <f t="shared" si="6"/>
        <v>275840.00000000745</v>
      </c>
      <c r="H25" s="37"/>
      <c r="I25" s="39"/>
      <c r="J25" s="42"/>
      <c r="K25" s="37">
        <f t="shared" si="71"/>
        <v>0</v>
      </c>
      <c r="L25" s="40">
        <v>9252500</v>
      </c>
      <c r="M25" s="40"/>
      <c r="N25" s="37">
        <f t="shared" si="72"/>
        <v>274000</v>
      </c>
      <c r="O25" s="37">
        <v>9247.2000000000007</v>
      </c>
      <c r="P25" s="70"/>
      <c r="Q25" s="37">
        <f t="shared" ref="Q25:Q38" si="101">IF((O25-O24)&lt;=0,0,(O25-O24))*1000</f>
        <v>13500</v>
      </c>
      <c r="R25" s="37">
        <f t="shared" si="73"/>
        <v>1</v>
      </c>
      <c r="S25" s="37">
        <v>10929007.560000001</v>
      </c>
      <c r="T25" s="37">
        <f t="shared" si="8"/>
        <v>0</v>
      </c>
      <c r="U25" s="37">
        <v>1518125.52</v>
      </c>
      <c r="V25" s="37">
        <f t="shared" si="9"/>
        <v>0</v>
      </c>
      <c r="W25" s="37">
        <v>3149.3</v>
      </c>
      <c r="X25" s="37">
        <f t="shared" si="87"/>
        <v>8400</v>
      </c>
      <c r="Y25" s="183"/>
      <c r="Z25" s="183">
        <f t="shared" si="10"/>
        <v>0</v>
      </c>
      <c r="AA25" s="37">
        <v>393400</v>
      </c>
      <c r="AB25" s="37">
        <f t="shared" si="11"/>
        <v>5100</v>
      </c>
      <c r="AC25" s="37">
        <v>3354.1</v>
      </c>
      <c r="AD25" s="37"/>
      <c r="AE25" s="37">
        <f t="shared" ref="AE25:AE38" si="102">IF((AC25-AC24)&lt;=0,0,(AC25-AC24))*1000</f>
        <v>4000</v>
      </c>
      <c r="AF25" s="37">
        <f t="shared" si="74"/>
        <v>1</v>
      </c>
      <c r="AG25" s="37">
        <v>7304.8</v>
      </c>
      <c r="AH25" s="37"/>
      <c r="AI25" s="37">
        <f t="shared" si="13"/>
        <v>9851.0699999998178</v>
      </c>
      <c r="AJ25" s="37">
        <f t="shared" si="14"/>
        <v>1</v>
      </c>
      <c r="AK25" s="37">
        <f t="shared" si="15"/>
        <v>22251.069999999818</v>
      </c>
      <c r="AL25" s="42">
        <v>9448.2999999999993</v>
      </c>
      <c r="AM25" s="42"/>
      <c r="AN25" s="37">
        <f t="shared" si="54"/>
        <v>6831.0699999999315</v>
      </c>
      <c r="AO25" s="37">
        <f t="shared" si="75"/>
        <v>1</v>
      </c>
      <c r="AP25" s="37">
        <v>7103.7</v>
      </c>
      <c r="AQ25" s="37"/>
      <c r="AR25" s="37">
        <f t="shared" si="16"/>
        <v>13800.000000000182</v>
      </c>
      <c r="AS25" s="37">
        <f t="shared" si="76"/>
        <v>1</v>
      </c>
      <c r="AT25" s="183"/>
      <c r="AU25" s="183">
        <f t="shared" si="17"/>
        <v>0</v>
      </c>
      <c r="AV25" s="183"/>
      <c r="AW25" s="183">
        <f t="shared" si="18"/>
        <v>0</v>
      </c>
      <c r="AX25" s="37">
        <v>439000</v>
      </c>
      <c r="AY25" s="37"/>
      <c r="AZ25" s="37">
        <f t="shared" si="19"/>
        <v>390</v>
      </c>
      <c r="BA25" s="37">
        <v>82480</v>
      </c>
      <c r="BB25" s="37"/>
      <c r="BC25" s="37">
        <f t="shared" si="20"/>
        <v>540</v>
      </c>
      <c r="BD25" s="37">
        <f t="shared" si="77"/>
        <v>21561.070000000112</v>
      </c>
      <c r="BE25" s="37">
        <v>1608.2</v>
      </c>
      <c r="BF25" s="37">
        <v>872.1</v>
      </c>
      <c r="BG25" s="37">
        <f t="shared" si="21"/>
        <v>2100.0000000001364</v>
      </c>
      <c r="BH25" s="44">
        <v>7749.2</v>
      </c>
      <c r="BI25" s="44">
        <v>4984.7</v>
      </c>
      <c r="BJ25" s="37">
        <f t="shared" si="22"/>
        <v>9300.0000000001819</v>
      </c>
      <c r="BK25" s="40">
        <v>1073870</v>
      </c>
      <c r="BL25" s="40">
        <f t="shared" si="78"/>
        <v>5520</v>
      </c>
      <c r="BM25" s="40">
        <v>787.74</v>
      </c>
      <c r="BN25" s="37">
        <f t="shared" si="23"/>
        <v>700.00000000004547</v>
      </c>
      <c r="BO25" s="186"/>
      <c r="BP25" s="183">
        <f t="shared" si="24"/>
        <v>0</v>
      </c>
      <c r="BQ25" s="40">
        <v>747.4</v>
      </c>
      <c r="BR25" s="37">
        <f t="shared" si="55"/>
        <v>600.00000000002274</v>
      </c>
      <c r="BS25" s="37">
        <v>72528.960000000006</v>
      </c>
      <c r="BT25" s="37">
        <f t="shared" si="25"/>
        <v>199.75</v>
      </c>
      <c r="BU25" s="42">
        <v>1836788</v>
      </c>
      <c r="BV25" s="42"/>
      <c r="BW25" s="37">
        <f t="shared" si="26"/>
        <v>7750</v>
      </c>
      <c r="BX25" s="37">
        <f t="shared" si="79"/>
        <v>1</v>
      </c>
      <c r="BY25" s="37">
        <v>259.53609999999998</v>
      </c>
      <c r="BZ25" s="37"/>
      <c r="CA25" s="37">
        <f t="shared" si="94"/>
        <v>701.30000000000337</v>
      </c>
      <c r="CB25" s="37">
        <f t="shared" si="56"/>
        <v>1</v>
      </c>
      <c r="CC25" s="37">
        <v>426084.7</v>
      </c>
      <c r="CD25" s="37">
        <f t="shared" si="28"/>
        <v>3392.6000000000349</v>
      </c>
      <c r="CE25" s="41">
        <v>697299.9</v>
      </c>
      <c r="CF25" s="37">
        <f t="shared" si="57"/>
        <v>0</v>
      </c>
      <c r="CG25" s="37">
        <v>51654.3</v>
      </c>
      <c r="CH25" s="37">
        <f t="shared" si="58"/>
        <v>0</v>
      </c>
      <c r="CI25" s="40">
        <v>10572.17</v>
      </c>
      <c r="CJ25" s="40"/>
      <c r="CK25" s="37">
        <f t="shared" si="59"/>
        <v>16549.770000000361</v>
      </c>
      <c r="CL25" s="37">
        <f t="shared" si="29"/>
        <v>1</v>
      </c>
      <c r="CM25" s="37">
        <v>2695.5279999999998</v>
      </c>
      <c r="CN25" s="37"/>
      <c r="CO25" s="37">
        <f t="shared" si="30"/>
        <v>6037.069999999967</v>
      </c>
      <c r="CP25" s="37">
        <f t="shared" si="80"/>
        <v>1</v>
      </c>
      <c r="CQ25" s="39">
        <v>2615.37</v>
      </c>
      <c r="CR25" s="39"/>
      <c r="CS25" s="37">
        <f t="shared" si="31"/>
        <v>6151.07</v>
      </c>
      <c r="CT25" s="37">
        <f t="shared" si="81"/>
        <v>1</v>
      </c>
      <c r="CU25" s="37">
        <v>1958405</v>
      </c>
      <c r="CV25" s="37"/>
      <c r="CW25" s="38">
        <f t="shared" si="32"/>
        <v>17541</v>
      </c>
      <c r="CX25" s="37">
        <f t="shared" si="82"/>
        <v>1</v>
      </c>
      <c r="CY25" s="37">
        <v>1029195</v>
      </c>
      <c r="CZ25" s="37"/>
      <c r="DA25" s="37">
        <f t="shared" si="33"/>
        <v>11032</v>
      </c>
      <c r="DB25" s="37">
        <f t="shared" si="83"/>
        <v>1</v>
      </c>
      <c r="DC25" s="37"/>
      <c r="DD25" s="40"/>
      <c r="DE25" s="37">
        <f t="shared" si="34"/>
        <v>0</v>
      </c>
      <c r="DF25" s="37">
        <f t="shared" si="88"/>
        <v>0</v>
      </c>
      <c r="DG25" s="37">
        <f t="shared" si="35"/>
        <v>-65060.910000000331</v>
      </c>
      <c r="DH25" s="37">
        <f t="shared" si="36"/>
        <v>298351.06999999995</v>
      </c>
      <c r="DI25" s="46"/>
      <c r="DJ25" s="46"/>
      <c r="DK25" s="47"/>
      <c r="DL25" s="47"/>
      <c r="DM25" s="37"/>
      <c r="DN25" s="37"/>
      <c r="DO25" s="37"/>
      <c r="DP25" s="37"/>
      <c r="DQ25" s="50">
        <v>2430900</v>
      </c>
      <c r="DR25" s="49">
        <f t="shared" si="60"/>
        <v>11400</v>
      </c>
      <c r="DS25" s="50">
        <v>1637100</v>
      </c>
      <c r="DT25" s="49">
        <f t="shared" si="61"/>
        <v>15900</v>
      </c>
      <c r="DU25" s="51">
        <v>7447.7</v>
      </c>
      <c r="DV25" s="51">
        <v>4152.5</v>
      </c>
      <c r="DW25" s="37">
        <f t="shared" si="84"/>
        <v>5000</v>
      </c>
      <c r="DX25" s="52">
        <v>12348</v>
      </c>
      <c r="DY25" s="52">
        <v>8199.1</v>
      </c>
      <c r="DZ25" s="37">
        <f t="shared" si="37"/>
        <v>7151.07</v>
      </c>
      <c r="EA25" s="49">
        <v>27379</v>
      </c>
      <c r="EB25" s="49">
        <v>19.556000000000001</v>
      </c>
      <c r="EC25" s="37">
        <f t="shared" si="38"/>
        <v>25311.07</v>
      </c>
      <c r="ED25" s="53">
        <f t="shared" si="39"/>
        <v>37462.14</v>
      </c>
      <c r="EE25" s="49">
        <v>42454</v>
      </c>
      <c r="EF25" s="49">
        <v>26.791</v>
      </c>
      <c r="EG25" s="37">
        <f t="shared" si="40"/>
        <v>4311.07</v>
      </c>
      <c r="EH25" s="51">
        <v>11859</v>
      </c>
      <c r="EI25" s="51">
        <v>1.5733999999999999</v>
      </c>
      <c r="EJ25" s="37">
        <f t="shared" si="41"/>
        <v>5151.07</v>
      </c>
      <c r="EK25" s="37">
        <v>715.01</v>
      </c>
      <c r="EL25" s="40">
        <v>1027.8</v>
      </c>
      <c r="EM25" s="37">
        <f t="shared" si="62"/>
        <v>569.99999999993634</v>
      </c>
      <c r="EN25" s="54">
        <f t="shared" si="63"/>
        <v>10032.139999999936</v>
      </c>
      <c r="EO25" s="48">
        <v>11951</v>
      </c>
      <c r="EP25" s="48">
        <v>4160.8</v>
      </c>
      <c r="EQ25" s="37">
        <f t="shared" si="42"/>
        <v>9151.07</v>
      </c>
      <c r="ER25" s="48">
        <v>7413.2</v>
      </c>
      <c r="ES25" s="48">
        <v>3005.1</v>
      </c>
      <c r="ET25" s="49">
        <f t="shared" si="92"/>
        <v>20099.999999999454</v>
      </c>
      <c r="EU25" s="48">
        <v>2627.6</v>
      </c>
      <c r="EV25" s="48">
        <v>940.78</v>
      </c>
      <c r="EW25" s="49">
        <f t="shared" si="44"/>
        <v>7651.07</v>
      </c>
      <c r="EX25" s="48">
        <v>12096</v>
      </c>
      <c r="EY25" s="48">
        <v>1.2650999999999999</v>
      </c>
      <c r="EZ25" s="37">
        <f t="shared" si="45"/>
        <v>13151.07</v>
      </c>
      <c r="FA25" s="48">
        <f t="shared" si="64"/>
        <v>-25249.209999999453</v>
      </c>
      <c r="FB25" s="48">
        <v>33761258</v>
      </c>
      <c r="FC25" s="49">
        <f t="shared" si="85"/>
        <v>24804</v>
      </c>
      <c r="FD25" s="48">
        <f t="shared" si="65"/>
        <v>51953.209999999541</v>
      </c>
      <c r="FE25" s="48">
        <v>15996</v>
      </c>
      <c r="FF25" s="48">
        <v>5744.9</v>
      </c>
      <c r="FG25" s="37">
        <f t="shared" si="66"/>
        <v>9551.07</v>
      </c>
      <c r="FH25" s="48">
        <v>6882.6</v>
      </c>
      <c r="FI25" s="48">
        <v>2.6480000000000001</v>
      </c>
      <c r="FJ25" s="49">
        <f t="shared" si="46"/>
        <v>20451.070000000545</v>
      </c>
      <c r="FK25" s="48"/>
      <c r="FL25" s="58">
        <v>400</v>
      </c>
      <c r="FM25" s="48">
        <f t="shared" si="86"/>
        <v>-151.07000000018161</v>
      </c>
      <c r="FN25" s="48">
        <v>15244</v>
      </c>
      <c r="FO25" s="48">
        <v>0.64800000000000002</v>
      </c>
      <c r="FP25" s="37">
        <f t="shared" si="67"/>
        <v>12551.07</v>
      </c>
      <c r="FQ25" s="48">
        <v>54132</v>
      </c>
      <c r="FR25" s="48">
        <v>12.885999999999999</v>
      </c>
      <c r="FS25" s="37">
        <f t="shared" si="47"/>
        <v>58000</v>
      </c>
      <c r="FT25" s="48">
        <f t="shared" si="93"/>
        <v>-453.21000000054482</v>
      </c>
      <c r="FU25" s="48">
        <f>FG25+FJ25+FP25+GM25</f>
        <v>42553.210000000545</v>
      </c>
      <c r="FV25" s="44">
        <v>2251200</v>
      </c>
      <c r="FW25" s="44">
        <v>729920</v>
      </c>
      <c r="FX25" s="37">
        <f t="shared" si="48"/>
        <v>16900</v>
      </c>
      <c r="FY25" s="56">
        <v>2756.6</v>
      </c>
      <c r="FZ25" s="56">
        <v>1.5674999999999999</v>
      </c>
      <c r="GA25" s="37">
        <f t="shared" si="91"/>
        <v>4320.0000000000909</v>
      </c>
      <c r="GB25" s="56">
        <v>732.52</v>
      </c>
      <c r="GC25" s="56">
        <v>811.43</v>
      </c>
      <c r="GD25" s="37">
        <f t="shared" si="49"/>
        <v>569.99999999993634</v>
      </c>
      <c r="GE25" s="56">
        <v>9115.7999999999993</v>
      </c>
      <c r="GF25" s="56">
        <v>2.6911</v>
      </c>
      <c r="GG25" s="37">
        <f t="shared" si="50"/>
        <v>4299.9999999988177</v>
      </c>
      <c r="GH25" s="158">
        <v>1753.7</v>
      </c>
      <c r="GI25" s="159">
        <v>1478.2</v>
      </c>
      <c r="GJ25" s="38">
        <f t="shared" si="51"/>
        <v>1900.0000000000909</v>
      </c>
      <c r="GK25" s="159">
        <v>1399.1</v>
      </c>
      <c r="GL25" s="160">
        <v>1088.8</v>
      </c>
      <c r="GM25" s="38">
        <f t="shared" si="52"/>
        <v>0</v>
      </c>
      <c r="GN25" s="57">
        <v>158860</v>
      </c>
      <c r="GO25" s="57">
        <v>138590</v>
      </c>
      <c r="GP25" s="38">
        <f t="shared" si="90"/>
        <v>0</v>
      </c>
      <c r="GQ25" s="38">
        <v>191360</v>
      </c>
      <c r="GR25" s="38">
        <v>193080</v>
      </c>
      <c r="GS25" s="38">
        <f t="shared" si="70"/>
        <v>1080</v>
      </c>
      <c r="GT25" s="178"/>
      <c r="GU25" s="144">
        <f>DailyJan!B24-DailyJan!N24-DailyJan!V24-DailyJan!Y24-DailyJan!Z24-DailyJan!AA24-DailyJan!AB24-DailyJan!AC24-DailyJan!AD24-DailyJan!AE24-DailyJan!AK24-DailyJan!AO24-DailyJan!AS24-DailyJan!AY24-DailyJan!BD24+DailyJan!BS24-SUM(DailyJan!BM24:BQ24)-DailyJan!BR24-DailyJan!AF24-DailyJan!AG24</f>
        <v>-2.4399992149483296E-2</v>
      </c>
      <c r="GV25" s="59">
        <v>2266.025600007868</v>
      </c>
      <c r="GW25" s="60">
        <f t="shared" si="53"/>
        <v>151.06837333385786</v>
      </c>
      <c r="GX25" s="61">
        <v>151.07</v>
      </c>
      <c r="GY25" s="140"/>
      <c r="GZ25" s="62"/>
      <c r="HA25" s="62">
        <v>2266.0256000000613</v>
      </c>
      <c r="HB25" s="74"/>
      <c r="HC25" s="62">
        <v>5402.3743999999388</v>
      </c>
      <c r="HD25" s="74"/>
      <c r="HE25" s="24">
        <v>5402.3743999999388</v>
      </c>
      <c r="HG25" s="62"/>
      <c r="HJ25" s="3"/>
    </row>
    <row r="26" spans="1:218" x14ac:dyDescent="0.25">
      <c r="A26" s="35">
        <f t="shared" si="2"/>
        <v>20</v>
      </c>
      <c r="B26" s="38">
        <v>3279.74</v>
      </c>
      <c r="C26" s="38">
        <f t="shared" si="3"/>
        <v>6.6299999999996544</v>
      </c>
      <c r="D26" s="38">
        <f t="shared" si="4"/>
        <v>212159.99999998894</v>
      </c>
      <c r="E26" s="38">
        <v>660.5</v>
      </c>
      <c r="F26" s="38">
        <f t="shared" si="89"/>
        <v>47360.000000000582</v>
      </c>
      <c r="G26" s="38">
        <f t="shared" si="6"/>
        <v>259519.99999998952</v>
      </c>
      <c r="H26" s="37"/>
      <c r="I26" s="39"/>
      <c r="J26" s="42"/>
      <c r="K26" s="37">
        <f t="shared" si="71"/>
        <v>0</v>
      </c>
      <c r="L26" s="40">
        <v>9277700</v>
      </c>
      <c r="M26" s="40"/>
      <c r="N26" s="37">
        <f t="shared" si="72"/>
        <v>252000</v>
      </c>
      <c r="O26" s="37">
        <v>9260.2999999999993</v>
      </c>
      <c r="P26" s="37"/>
      <c r="Q26" s="37">
        <f t="shared" si="101"/>
        <v>13099.999999998545</v>
      </c>
      <c r="R26" s="37">
        <f t="shared" si="73"/>
        <v>1</v>
      </c>
      <c r="S26" s="37">
        <v>10929007.560000001</v>
      </c>
      <c r="T26" s="37">
        <f t="shared" si="8"/>
        <v>0</v>
      </c>
      <c r="U26" s="37">
        <v>1518125.52</v>
      </c>
      <c r="V26" s="37">
        <f t="shared" si="9"/>
        <v>0</v>
      </c>
      <c r="W26" s="37">
        <v>3156</v>
      </c>
      <c r="X26" s="37">
        <f t="shared" si="87"/>
        <v>8199.9999999985448</v>
      </c>
      <c r="Y26" s="183"/>
      <c r="Z26" s="183">
        <f t="shared" si="10"/>
        <v>0</v>
      </c>
      <c r="AA26" s="37">
        <v>398300</v>
      </c>
      <c r="AB26" s="37">
        <f t="shared" si="11"/>
        <v>4900</v>
      </c>
      <c r="AC26" s="37">
        <v>3359</v>
      </c>
      <c r="AD26" s="37"/>
      <c r="AE26" s="37">
        <f t="shared" si="102"/>
        <v>4900.0000000000909</v>
      </c>
      <c r="AF26" s="37">
        <f>IF(AE26&lt;=0,0,(AE26/SQRT(AE26^2+(AD26-AD25)^2)))</f>
        <v>1</v>
      </c>
      <c r="AG26" s="37">
        <v>7316.4</v>
      </c>
      <c r="AH26" s="37"/>
      <c r="AI26" s="37">
        <f t="shared" si="13"/>
        <v>11742.129999999454</v>
      </c>
      <c r="AJ26" s="37">
        <f t="shared" si="14"/>
        <v>1</v>
      </c>
      <c r="AK26" s="37">
        <f t="shared" si="15"/>
        <v>24842.129999998091</v>
      </c>
      <c r="AL26" s="42">
        <v>9461.4</v>
      </c>
      <c r="AM26" s="42"/>
      <c r="AN26" s="37">
        <f t="shared" si="54"/>
        <v>6982.1300000003675</v>
      </c>
      <c r="AO26" s="37">
        <f t="shared" si="75"/>
        <v>1</v>
      </c>
      <c r="AP26" s="37">
        <v>7117.9</v>
      </c>
      <c r="AQ26" s="37"/>
      <c r="AR26" s="37">
        <f t="shared" si="16"/>
        <v>14199.999999999818</v>
      </c>
      <c r="AS26" s="37">
        <f t="shared" si="76"/>
        <v>1</v>
      </c>
      <c r="AT26" s="183"/>
      <c r="AU26" s="183">
        <f t="shared" si="17"/>
        <v>0</v>
      </c>
      <c r="AV26" s="183"/>
      <c r="AW26" s="183">
        <f t="shared" si="18"/>
        <v>0</v>
      </c>
      <c r="AX26" s="37">
        <v>439410</v>
      </c>
      <c r="AY26" s="37"/>
      <c r="AZ26" s="37">
        <f t="shared" si="19"/>
        <v>410</v>
      </c>
      <c r="BA26" s="37">
        <v>83070</v>
      </c>
      <c r="BB26" s="37"/>
      <c r="BC26" s="37">
        <f t="shared" si="20"/>
        <v>590</v>
      </c>
      <c r="BD26" s="37">
        <f t="shared" si="77"/>
        <v>22182.130000000187</v>
      </c>
      <c r="BE26" s="43">
        <v>1610.5</v>
      </c>
      <c r="BF26" s="43">
        <v>873.48</v>
      </c>
      <c r="BG26" s="37">
        <f t="shared" si="21"/>
        <v>2299.9999999999545</v>
      </c>
      <c r="BH26" s="44">
        <v>7758.7</v>
      </c>
      <c r="BI26" s="44">
        <v>4991</v>
      </c>
      <c r="BJ26" s="37">
        <f t="shared" si="22"/>
        <v>9500</v>
      </c>
      <c r="BK26" s="40">
        <v>1079250</v>
      </c>
      <c r="BL26" s="40">
        <f t="shared" si="78"/>
        <v>5380</v>
      </c>
      <c r="BM26" s="40">
        <v>788.42</v>
      </c>
      <c r="BN26" s="37">
        <f t="shared" si="23"/>
        <v>679.99999999994998</v>
      </c>
      <c r="BO26" s="186"/>
      <c r="BP26" s="183">
        <f t="shared" si="24"/>
        <v>0</v>
      </c>
      <c r="BQ26" s="40">
        <v>747.6</v>
      </c>
      <c r="BR26" s="37">
        <f t="shared" si="55"/>
        <v>200.00000000004547</v>
      </c>
      <c r="BS26" s="37">
        <v>72737.17</v>
      </c>
      <c r="BT26" s="37">
        <f t="shared" si="25"/>
        <v>208.20999999999185</v>
      </c>
      <c r="BU26" s="42">
        <v>1844553</v>
      </c>
      <c r="BV26" s="42"/>
      <c r="BW26" s="37">
        <f t="shared" si="26"/>
        <v>7765</v>
      </c>
      <c r="BX26" s="37">
        <f t="shared" si="79"/>
        <v>1</v>
      </c>
      <c r="BY26" s="43">
        <v>260.23899999999998</v>
      </c>
      <c r="BZ26" s="37"/>
      <c r="CA26" s="37">
        <f t="shared" si="94"/>
        <v>702.89999999999964</v>
      </c>
      <c r="CB26" s="37">
        <f t="shared" si="56"/>
        <v>1</v>
      </c>
      <c r="CC26" s="37">
        <v>429405.8</v>
      </c>
      <c r="CD26" s="37">
        <f t="shared" si="28"/>
        <v>3321.0999999999767</v>
      </c>
      <c r="CE26" s="41">
        <v>697299.9</v>
      </c>
      <c r="CF26" s="37">
        <f t="shared" si="57"/>
        <v>0</v>
      </c>
      <c r="CG26" s="37">
        <v>51654.3</v>
      </c>
      <c r="CH26" s="37">
        <f t="shared" si="58"/>
        <v>0</v>
      </c>
      <c r="CI26" s="40">
        <v>10588.54</v>
      </c>
      <c r="CJ26" s="40"/>
      <c r="CK26" s="37">
        <f t="shared" si="59"/>
        <v>15809.230000000802</v>
      </c>
      <c r="CL26" s="37">
        <f t="shared" si="29"/>
        <v>1</v>
      </c>
      <c r="CM26" s="37">
        <v>2701.366</v>
      </c>
      <c r="CN26" s="37"/>
      <c r="CO26" s="37">
        <f t="shared" si="30"/>
        <v>5980.1300000001929</v>
      </c>
      <c r="CP26" s="37">
        <f t="shared" si="80"/>
        <v>1</v>
      </c>
      <c r="CQ26" s="39">
        <v>2621.1619999999998</v>
      </c>
      <c r="CR26" s="39"/>
      <c r="CS26" s="37">
        <f t="shared" si="31"/>
        <v>5934.1299999999164</v>
      </c>
      <c r="CT26" s="37">
        <f t="shared" si="81"/>
        <v>1</v>
      </c>
      <c r="CU26" s="37">
        <v>1972855</v>
      </c>
      <c r="CV26" s="37"/>
      <c r="CW26" s="38">
        <f t="shared" si="32"/>
        <v>14450</v>
      </c>
      <c r="CX26" s="37">
        <f t="shared" si="82"/>
        <v>1</v>
      </c>
      <c r="CY26" s="37">
        <v>1039625</v>
      </c>
      <c r="CZ26" s="37"/>
      <c r="DA26" s="37">
        <f t="shared" si="33"/>
        <v>10430</v>
      </c>
      <c r="DB26" s="37">
        <f t="shared" si="83"/>
        <v>1</v>
      </c>
      <c r="DC26" s="37"/>
      <c r="DD26" s="40"/>
      <c r="DE26" s="37">
        <f t="shared" si="34"/>
        <v>0</v>
      </c>
      <c r="DF26" s="37">
        <f t="shared" si="88"/>
        <v>0</v>
      </c>
      <c r="DG26" s="37">
        <f t="shared" si="35"/>
        <v>-60368.490000000915</v>
      </c>
      <c r="DH26" s="37">
        <f t="shared" si="36"/>
        <v>279142.12999999803</v>
      </c>
      <c r="DI26" s="46"/>
      <c r="DJ26" s="46"/>
      <c r="DK26" s="47"/>
      <c r="DL26" s="47"/>
      <c r="DM26" s="37"/>
      <c r="DN26" s="37"/>
      <c r="DO26" s="37"/>
      <c r="DP26" s="37"/>
      <c r="DQ26" s="50">
        <v>2440000</v>
      </c>
      <c r="DR26" s="49">
        <f t="shared" si="60"/>
        <v>9100</v>
      </c>
      <c r="DS26" s="50">
        <v>1650200</v>
      </c>
      <c r="DT26" s="49">
        <f t="shared" si="61"/>
        <v>13100</v>
      </c>
      <c r="DU26" s="51">
        <v>7452.8</v>
      </c>
      <c r="DV26" s="51">
        <v>4155.7</v>
      </c>
      <c r="DW26" s="37">
        <f t="shared" si="84"/>
        <v>5100.0000000003638</v>
      </c>
      <c r="DX26" s="52">
        <v>12355</v>
      </c>
      <c r="DY26" s="52">
        <v>8201.1</v>
      </c>
      <c r="DZ26" s="37">
        <f t="shared" si="37"/>
        <v>7142.13</v>
      </c>
      <c r="EA26" s="49">
        <v>27402</v>
      </c>
      <c r="EB26" s="49">
        <v>19.568000000000001</v>
      </c>
      <c r="EC26" s="37">
        <f t="shared" si="38"/>
        <v>25302.13</v>
      </c>
      <c r="ED26" s="53">
        <f t="shared" si="39"/>
        <v>37544.260000000366</v>
      </c>
      <c r="EE26" s="49">
        <v>42455</v>
      </c>
      <c r="EF26" s="49">
        <v>26.791</v>
      </c>
      <c r="EG26" s="37">
        <f t="shared" si="40"/>
        <v>3302.13</v>
      </c>
      <c r="EH26" s="51">
        <v>11864</v>
      </c>
      <c r="EI26" s="51">
        <v>1.5738000000000001</v>
      </c>
      <c r="EJ26" s="37">
        <f t="shared" si="41"/>
        <v>5142.13</v>
      </c>
      <c r="EK26" s="37">
        <v>715.44</v>
      </c>
      <c r="EL26" s="40">
        <v>1028.2</v>
      </c>
      <c r="EM26" s="37">
        <f t="shared" si="62"/>
        <v>430.00000000006366</v>
      </c>
      <c r="EN26" s="54">
        <f t="shared" si="63"/>
        <v>8874.2600000000639</v>
      </c>
      <c r="EO26" s="48">
        <v>11959</v>
      </c>
      <c r="EP26" s="48">
        <v>4163.8</v>
      </c>
      <c r="EQ26" s="37">
        <f t="shared" si="42"/>
        <v>8142.13</v>
      </c>
      <c r="ER26" s="48">
        <v>7433</v>
      </c>
      <c r="ES26" s="48">
        <v>3013.5</v>
      </c>
      <c r="ET26" s="49">
        <f t="shared" si="92"/>
        <v>19800.000000000182</v>
      </c>
      <c r="EU26" s="48">
        <v>2634.8</v>
      </c>
      <c r="EV26" s="48">
        <v>943.46</v>
      </c>
      <c r="EW26" s="49">
        <f t="shared" si="44"/>
        <v>7342.130000000273</v>
      </c>
      <c r="EX26" s="48">
        <v>12106</v>
      </c>
      <c r="EY26" s="48">
        <v>1.2650999999999999</v>
      </c>
      <c r="EZ26" s="37">
        <f t="shared" si="45"/>
        <v>10142.129999999999</v>
      </c>
      <c r="FA26" s="48">
        <f t="shared" si="64"/>
        <v>-23097.390000000458</v>
      </c>
      <c r="FB26" s="60">
        <v>33783587</v>
      </c>
      <c r="FC26" s="49">
        <f t="shared" si="85"/>
        <v>22329</v>
      </c>
      <c r="FD26" s="48">
        <f t="shared" si="65"/>
        <v>47326.390000000312</v>
      </c>
      <c r="FE26" s="48">
        <v>16004</v>
      </c>
      <c r="FF26" s="48">
        <v>5747.2</v>
      </c>
      <c r="FG26" s="37">
        <f t="shared" si="66"/>
        <v>9075.4599999999991</v>
      </c>
      <c r="FH26" s="48">
        <v>6897.7</v>
      </c>
      <c r="FI26" s="48">
        <v>2.6539999999999999</v>
      </c>
      <c r="FJ26" s="49">
        <f t="shared" si="46"/>
        <v>16175.459999999453</v>
      </c>
      <c r="FK26" s="48"/>
      <c r="FL26" s="58">
        <v>933.33</v>
      </c>
      <c r="FM26" s="48">
        <f t="shared" si="86"/>
        <v>-142.12666666648389</v>
      </c>
      <c r="FN26" s="48">
        <v>15253</v>
      </c>
      <c r="FO26" s="48">
        <v>0.6673</v>
      </c>
      <c r="FP26" s="37">
        <f t="shared" si="67"/>
        <v>10075.459999999999</v>
      </c>
      <c r="FQ26" s="48">
        <v>54180</v>
      </c>
      <c r="FR26" s="48">
        <v>12.9</v>
      </c>
      <c r="FS26" s="37">
        <f t="shared" si="47"/>
        <v>48000</v>
      </c>
      <c r="FT26" s="48">
        <f t="shared" si="93"/>
        <v>-426.37999999945168</v>
      </c>
      <c r="FU26" s="48">
        <f t="shared" si="69"/>
        <v>35326.379999999452</v>
      </c>
      <c r="FV26" s="71">
        <v>2266900</v>
      </c>
      <c r="FW26" s="44">
        <v>734740</v>
      </c>
      <c r="FX26" s="37">
        <f t="shared" si="48"/>
        <v>15700</v>
      </c>
      <c r="FY26" s="56">
        <v>2761.7</v>
      </c>
      <c r="FZ26" s="56">
        <v>1.5723</v>
      </c>
      <c r="GA26" s="37">
        <f t="shared" si="91"/>
        <v>4109.9999999999091</v>
      </c>
      <c r="GB26" s="56">
        <v>733.08</v>
      </c>
      <c r="GC26" s="56">
        <v>812.15</v>
      </c>
      <c r="GD26" s="37">
        <f t="shared" si="49"/>
        <v>560.00000000005912</v>
      </c>
      <c r="GE26" s="56">
        <v>9121.4</v>
      </c>
      <c r="GF26" s="56">
        <v>2.6956000000000002</v>
      </c>
      <c r="GG26" s="37">
        <f t="shared" si="50"/>
        <v>3700.0000000005002</v>
      </c>
      <c r="GH26" s="158">
        <v>1755.6</v>
      </c>
      <c r="GI26" s="159">
        <v>1480.1</v>
      </c>
      <c r="GJ26" s="38">
        <f t="shared" si="51"/>
        <v>1899.9999999998636</v>
      </c>
      <c r="GK26" s="159">
        <v>1399.1</v>
      </c>
      <c r="GL26" s="160">
        <v>1088.9000000000001</v>
      </c>
      <c r="GM26" s="38">
        <f t="shared" si="52"/>
        <v>0</v>
      </c>
      <c r="GN26" s="57">
        <v>158870</v>
      </c>
      <c r="GO26" s="57">
        <v>138590</v>
      </c>
      <c r="GP26" s="38">
        <f t="shared" si="90"/>
        <v>10</v>
      </c>
      <c r="GQ26" s="38">
        <v>192350</v>
      </c>
      <c r="GR26" s="38">
        <v>194080</v>
      </c>
      <c r="GS26" s="38">
        <f t="shared" si="70"/>
        <v>990</v>
      </c>
      <c r="GT26" s="178"/>
      <c r="GU26" s="144">
        <f>DailyJan!B25-DailyJan!N25-DailyJan!V25-DailyJan!Y25-DailyJan!Z25-DailyJan!AA25-DailyJan!AB25-DailyJan!AC25-DailyJan!AD25-DailyJan!AE25-DailyJan!AK25-DailyJan!AO25-DailyJan!AS25-DailyJan!AY25-DailyJan!BD25+DailyJan!BS25-SUM(DailyJan!BM25:BQ25)-DailyJan!BR25-DailyJan!AF25-DailyJan!AG25</f>
        <v>6.7999897364643402E-3</v>
      </c>
      <c r="GV26" s="59">
        <v>2131.9567999897336</v>
      </c>
      <c r="GW26" s="60">
        <f t="shared" si="53"/>
        <v>142.1304533326489</v>
      </c>
      <c r="GX26" s="61">
        <v>142.13</v>
      </c>
      <c r="GY26" s="140"/>
      <c r="GZ26" s="62"/>
      <c r="HA26" s="62">
        <v>2131.956799999914</v>
      </c>
      <c r="HB26" s="74"/>
      <c r="HC26" s="62">
        <v>12126.953200000085</v>
      </c>
      <c r="HD26" s="74"/>
      <c r="HE26" s="24">
        <v>12126.953200000085</v>
      </c>
      <c r="HG26" s="62"/>
      <c r="HJ26" s="3"/>
    </row>
    <row r="27" spans="1:218" x14ac:dyDescent="0.25">
      <c r="A27" s="35">
        <f t="shared" si="2"/>
        <v>21</v>
      </c>
      <c r="B27" s="38">
        <v>3286.99</v>
      </c>
      <c r="C27" s="38">
        <f t="shared" si="3"/>
        <v>7.25</v>
      </c>
      <c r="D27" s="38">
        <f t="shared" si="4"/>
        <v>232000</v>
      </c>
      <c r="E27" s="38">
        <v>661.97</v>
      </c>
      <c r="F27" s="38">
        <f t="shared" si="89"/>
        <v>47040.000000000873</v>
      </c>
      <c r="G27" s="38">
        <f t="shared" si="6"/>
        <v>279040.00000000087</v>
      </c>
      <c r="H27" s="37"/>
      <c r="I27" s="39"/>
      <c r="J27" s="42"/>
      <c r="K27" s="37">
        <f t="shared" si="71"/>
        <v>0</v>
      </c>
      <c r="L27" s="40">
        <v>9306000</v>
      </c>
      <c r="M27" s="40"/>
      <c r="N27" s="37">
        <f t="shared" si="72"/>
        <v>283000</v>
      </c>
      <c r="O27" s="37">
        <v>9278.2999999999993</v>
      </c>
      <c r="P27" s="37"/>
      <c r="Q27" s="37">
        <f t="shared" si="101"/>
        <v>18000</v>
      </c>
      <c r="R27" s="37">
        <f t="shared" si="73"/>
        <v>1</v>
      </c>
      <c r="S27" s="37">
        <v>10937282</v>
      </c>
      <c r="T27" s="37">
        <f t="shared" si="8"/>
        <v>8274.4399999994785</v>
      </c>
      <c r="U27" s="37">
        <v>1518125.52</v>
      </c>
      <c r="V27" s="37">
        <f t="shared" si="9"/>
        <v>0</v>
      </c>
      <c r="W27" s="37">
        <v>3163.1</v>
      </c>
      <c r="X27" s="37">
        <f t="shared" si="87"/>
        <v>8625.5600000005215</v>
      </c>
      <c r="Y27" s="183"/>
      <c r="Z27" s="183">
        <f t="shared" si="10"/>
        <v>0</v>
      </c>
      <c r="AA27" s="37">
        <v>399400</v>
      </c>
      <c r="AB27" s="37">
        <f t="shared" si="11"/>
        <v>1100</v>
      </c>
      <c r="AC27" s="37">
        <v>3364.5</v>
      </c>
      <c r="AD27" s="37"/>
      <c r="AE27" s="37">
        <f t="shared" si="102"/>
        <v>5500</v>
      </c>
      <c r="AF27" s="37">
        <f t="shared" si="74"/>
        <v>1</v>
      </c>
      <c r="AG27" s="37">
        <v>7329.8</v>
      </c>
      <c r="AH27" s="37"/>
      <c r="AI27" s="37">
        <f t="shared" si="13"/>
        <v>13552.820000000545</v>
      </c>
      <c r="AJ27" s="37">
        <f t="shared" si="14"/>
        <v>1</v>
      </c>
      <c r="AK27" s="37">
        <f t="shared" si="15"/>
        <v>35952.820000000545</v>
      </c>
      <c r="AL27" s="42">
        <v>9476.4</v>
      </c>
      <c r="AM27" s="42"/>
      <c r="AN27" s="37">
        <f t="shared" si="54"/>
        <v>7572.820000000027</v>
      </c>
      <c r="AO27" s="37">
        <f t="shared" si="75"/>
        <v>1</v>
      </c>
      <c r="AP27" s="37">
        <v>7132.7</v>
      </c>
      <c r="AQ27" s="37"/>
      <c r="AR27" s="37">
        <f t="shared" si="16"/>
        <v>14800.000000000182</v>
      </c>
      <c r="AS27" s="37">
        <f t="shared" si="76"/>
        <v>1</v>
      </c>
      <c r="AT27" s="183"/>
      <c r="AU27" s="183">
        <f t="shared" si="17"/>
        <v>0</v>
      </c>
      <c r="AV27" s="183"/>
      <c r="AW27" s="183">
        <f t="shared" si="18"/>
        <v>0</v>
      </c>
      <c r="AX27" s="37">
        <v>439940</v>
      </c>
      <c r="AY27" s="37"/>
      <c r="AZ27" s="37">
        <f t="shared" si="19"/>
        <v>530</v>
      </c>
      <c r="BA27" s="37">
        <v>83800</v>
      </c>
      <c r="BB27" s="37"/>
      <c r="BC27" s="37">
        <f t="shared" si="20"/>
        <v>730</v>
      </c>
      <c r="BD27" s="37">
        <f t="shared" si="77"/>
        <v>23632.820000000211</v>
      </c>
      <c r="BE27" s="43">
        <v>1612.7</v>
      </c>
      <c r="BF27" s="43">
        <v>874.88</v>
      </c>
      <c r="BG27" s="37">
        <f t="shared" si="21"/>
        <v>2200.0000000000455</v>
      </c>
      <c r="BH27" s="44">
        <v>7768.3</v>
      </c>
      <c r="BI27" s="44">
        <v>4997.3</v>
      </c>
      <c r="BJ27" s="37">
        <f t="shared" si="22"/>
        <v>9600.0000000003638</v>
      </c>
      <c r="BK27" s="40">
        <v>1085300</v>
      </c>
      <c r="BL27" s="40">
        <f t="shared" si="78"/>
        <v>6050</v>
      </c>
      <c r="BM27" s="40">
        <v>789.15</v>
      </c>
      <c r="BN27" s="37">
        <f t="shared" si="23"/>
        <v>730.00000000001819</v>
      </c>
      <c r="BO27" s="186"/>
      <c r="BP27" s="183">
        <f t="shared" si="24"/>
        <v>0</v>
      </c>
      <c r="BQ27" s="40">
        <v>748.4</v>
      </c>
      <c r="BR27" s="37">
        <f t="shared" si="55"/>
        <v>799.99999999995453</v>
      </c>
      <c r="BS27" s="37">
        <v>72935.03</v>
      </c>
      <c r="BT27" s="37">
        <f t="shared" si="25"/>
        <v>197.86000000000058</v>
      </c>
      <c r="BU27" s="42">
        <v>1852868</v>
      </c>
      <c r="BV27" s="42"/>
      <c r="BW27" s="37">
        <f t="shared" si="26"/>
        <v>8315</v>
      </c>
      <c r="BX27" s="37">
        <f t="shared" si="79"/>
        <v>1</v>
      </c>
      <c r="BY27" s="43">
        <v>260.98259999999999</v>
      </c>
      <c r="BZ27" s="37"/>
      <c r="CA27" s="37">
        <f t="shared" si="94"/>
        <v>743.60000000001492</v>
      </c>
      <c r="CB27" s="37">
        <f t="shared" si="56"/>
        <v>1</v>
      </c>
      <c r="CC27" s="37">
        <v>433016</v>
      </c>
      <c r="CD27" s="37">
        <f t="shared" si="28"/>
        <v>3610.2000000000116</v>
      </c>
      <c r="CE27" s="41">
        <v>697299.9</v>
      </c>
      <c r="CF27" s="37">
        <f t="shared" si="57"/>
        <v>0</v>
      </c>
      <c r="CG27" s="37">
        <v>51654.3</v>
      </c>
      <c r="CH27" s="37">
        <f t="shared" si="58"/>
        <v>0</v>
      </c>
      <c r="CI27" s="40">
        <v>10606.19</v>
      </c>
      <c r="CJ27" s="40"/>
      <c r="CK27" s="37">
        <f t="shared" si="59"/>
        <v>17059.219999999623</v>
      </c>
      <c r="CL27" s="37">
        <f t="shared" si="29"/>
        <v>1</v>
      </c>
      <c r="CM27" s="37">
        <v>2707.6289999999999</v>
      </c>
      <c r="CN27" s="37"/>
      <c r="CO27" s="37">
        <f t="shared" si="30"/>
        <v>6415.8199999999197</v>
      </c>
      <c r="CP27" s="37">
        <f t="shared" si="80"/>
        <v>1</v>
      </c>
      <c r="CQ27" s="39">
        <v>2627.5450000000001</v>
      </c>
      <c r="CR27" s="39"/>
      <c r="CS27" s="37">
        <f t="shared" si="31"/>
        <v>6535.8200000002653</v>
      </c>
      <c r="CT27" s="37">
        <f t="shared" si="81"/>
        <v>1</v>
      </c>
      <c r="CU27" s="37">
        <v>1987674</v>
      </c>
      <c r="CV27" s="37"/>
      <c r="CW27" s="38">
        <f t="shared" si="32"/>
        <v>14819</v>
      </c>
      <c r="CX27" s="37">
        <f t="shared" si="82"/>
        <v>1</v>
      </c>
      <c r="CY27" s="37">
        <v>1049942</v>
      </c>
      <c r="CZ27" s="37"/>
      <c r="DA27" s="37">
        <f t="shared" ref="DA27:DA38" si="103">IF((CY27-CY26)&lt;=0,0,(CY27-CY26))/1</f>
        <v>10317</v>
      </c>
      <c r="DB27" s="37">
        <f t="shared" si="83"/>
        <v>1</v>
      </c>
      <c r="DC27" s="37"/>
      <c r="DD27" s="40"/>
      <c r="DE27" s="37">
        <f t="shared" si="34"/>
        <v>0</v>
      </c>
      <c r="DF27" s="37">
        <f t="shared" si="88"/>
        <v>0</v>
      </c>
      <c r="DG27" s="37">
        <f t="shared" si="35"/>
        <v>-63461.859999999811</v>
      </c>
      <c r="DH27" s="37">
        <f t="shared" si="36"/>
        <v>321152.82000000059</v>
      </c>
      <c r="DI27" s="46"/>
      <c r="DJ27" s="46"/>
      <c r="DK27" s="47"/>
      <c r="DL27" s="47"/>
      <c r="DM27" s="37"/>
      <c r="DN27" s="37"/>
      <c r="DO27" s="37"/>
      <c r="DP27" s="37"/>
      <c r="DQ27" s="50">
        <v>2452600</v>
      </c>
      <c r="DR27" s="49">
        <f t="shared" si="60"/>
        <v>12600</v>
      </c>
      <c r="DS27" s="50">
        <v>1665900</v>
      </c>
      <c r="DT27" s="49">
        <f t="shared" si="61"/>
        <v>15700</v>
      </c>
      <c r="DU27" s="51">
        <v>7457.6</v>
      </c>
      <c r="DV27" s="51">
        <v>4158.7</v>
      </c>
      <c r="DW27" s="37">
        <f t="shared" si="84"/>
        <v>4800.0000000001819</v>
      </c>
      <c r="DX27" s="52">
        <v>12362</v>
      </c>
      <c r="DY27" s="52">
        <v>8202.7999999999993</v>
      </c>
      <c r="DZ27" s="37">
        <f t="shared" si="37"/>
        <v>7152.82</v>
      </c>
      <c r="EA27" s="49">
        <v>27425</v>
      </c>
      <c r="EB27" s="49">
        <v>19.581</v>
      </c>
      <c r="EC27" s="37">
        <f t="shared" si="38"/>
        <v>25312.82</v>
      </c>
      <c r="ED27" s="53">
        <f t="shared" si="39"/>
        <v>37265.640000000181</v>
      </c>
      <c r="EE27" s="49">
        <v>42457</v>
      </c>
      <c r="EF27" s="49">
        <v>26.791</v>
      </c>
      <c r="EG27" s="37">
        <f t="shared" si="40"/>
        <v>4312.82</v>
      </c>
      <c r="EH27" s="51">
        <v>11870</v>
      </c>
      <c r="EI27" s="51">
        <v>1.5745</v>
      </c>
      <c r="EJ27" s="37">
        <f t="shared" si="41"/>
        <v>6152.82</v>
      </c>
      <c r="EK27" s="37">
        <v>715.81</v>
      </c>
      <c r="EL27" s="40">
        <v>1028.5</v>
      </c>
      <c r="EM27" s="37">
        <f t="shared" si="62"/>
        <v>369.99999999989086</v>
      </c>
      <c r="EN27" s="54">
        <f t="shared" si="63"/>
        <v>10835.63999999989</v>
      </c>
      <c r="EO27" s="48">
        <v>11967</v>
      </c>
      <c r="EP27" s="48">
        <v>4166.6000000000004</v>
      </c>
      <c r="EQ27" s="37">
        <f t="shared" si="42"/>
        <v>8152.82</v>
      </c>
      <c r="ER27" s="48">
        <v>7451.3</v>
      </c>
      <c r="ES27" s="48">
        <v>3021.1</v>
      </c>
      <c r="ET27" s="49">
        <f t="shared" si="92"/>
        <v>18300.000000000182</v>
      </c>
      <c r="EU27" s="48">
        <v>2641.5</v>
      </c>
      <c r="EV27" s="48">
        <v>943.46</v>
      </c>
      <c r="EW27" s="49">
        <f t="shared" si="44"/>
        <v>6852.8199999998178</v>
      </c>
      <c r="EX27" s="48">
        <v>12117</v>
      </c>
      <c r="EY27" s="48">
        <v>1.2709999999999999</v>
      </c>
      <c r="EZ27" s="37">
        <f t="shared" si="45"/>
        <v>11152.82</v>
      </c>
      <c r="FA27" s="48">
        <f t="shared" si="64"/>
        <v>-20787.46</v>
      </c>
      <c r="FB27" s="48">
        <v>33807258</v>
      </c>
      <c r="FC27" s="49">
        <f t="shared" si="85"/>
        <v>23671</v>
      </c>
      <c r="FD27" s="48">
        <f t="shared" si="65"/>
        <v>46258.460000000181</v>
      </c>
      <c r="FE27" s="48">
        <v>16013</v>
      </c>
      <c r="FF27" s="48">
        <v>5749.2</v>
      </c>
      <c r="FG27" s="37">
        <f t="shared" si="66"/>
        <v>8486.15</v>
      </c>
      <c r="FH27" s="48">
        <v>6913</v>
      </c>
      <c r="FI27" s="48">
        <v>2.6598999999999999</v>
      </c>
      <c r="FJ27" s="49">
        <f t="shared" si="46"/>
        <v>14786.150000000182</v>
      </c>
      <c r="FK27" s="48"/>
      <c r="FL27" s="58">
        <v>-666.67</v>
      </c>
      <c r="FM27" s="48">
        <f t="shared" si="86"/>
        <v>-152.81666666672814</v>
      </c>
      <c r="FN27" s="48">
        <v>15264</v>
      </c>
      <c r="FO27" s="48">
        <v>0.66900000000000004</v>
      </c>
      <c r="FP27" s="37">
        <f t="shared" si="67"/>
        <v>10486.15</v>
      </c>
      <c r="FQ27" s="48">
        <v>54229</v>
      </c>
      <c r="FR27" s="55">
        <v>12.914</v>
      </c>
      <c r="FS27" s="37">
        <f t="shared" si="47"/>
        <v>49000</v>
      </c>
      <c r="FT27" s="48">
        <f t="shared" si="93"/>
        <v>-458.45000000018445</v>
      </c>
      <c r="FU27" s="48">
        <f t="shared" si="69"/>
        <v>33758.450000000179</v>
      </c>
      <c r="FV27" s="44">
        <v>2282000</v>
      </c>
      <c r="FW27" s="44">
        <v>739510</v>
      </c>
      <c r="FX27" s="37">
        <f t="shared" si="48"/>
        <v>15100</v>
      </c>
      <c r="FY27" s="56">
        <v>2766.5</v>
      </c>
      <c r="FZ27" s="56">
        <v>1.5769</v>
      </c>
      <c r="GA27" s="37">
        <f t="shared" si="91"/>
        <v>3780.0000000001819</v>
      </c>
      <c r="GB27" s="56">
        <v>733.61</v>
      </c>
      <c r="GC27" s="56">
        <v>812.85</v>
      </c>
      <c r="GD27" s="37">
        <f t="shared" si="49"/>
        <v>529.99999999997272</v>
      </c>
      <c r="GE27" s="63">
        <v>9126.9</v>
      </c>
      <c r="GF27" s="56">
        <v>2.7</v>
      </c>
      <c r="GG27" s="37">
        <f t="shared" si="50"/>
        <v>3699.9999999998181</v>
      </c>
      <c r="GH27" s="158">
        <v>1757.4</v>
      </c>
      <c r="GI27" s="159">
        <v>1481.8</v>
      </c>
      <c r="GJ27" s="38">
        <f t="shared" si="51"/>
        <v>1800.0000000001819</v>
      </c>
      <c r="GK27" s="159">
        <v>1399.1</v>
      </c>
      <c r="GL27" s="160">
        <v>1088.9000000000001</v>
      </c>
      <c r="GM27" s="38">
        <f t="shared" si="52"/>
        <v>0</v>
      </c>
      <c r="GN27" s="57">
        <v>158870</v>
      </c>
      <c r="GO27" s="57">
        <v>138600</v>
      </c>
      <c r="GP27" s="38">
        <f t="shared" si="90"/>
        <v>0</v>
      </c>
      <c r="GQ27" s="38">
        <v>193370</v>
      </c>
      <c r="GR27" s="38">
        <v>195000</v>
      </c>
      <c r="GS27" s="38">
        <f t="shared" si="70"/>
        <v>1020</v>
      </c>
      <c r="GT27" s="24"/>
      <c r="GU27" s="144">
        <f>DailyJan!B26-DailyJan!N26-DailyJan!V26-DailyJan!Y26-DailyJan!Z26-DailyJan!AA26-DailyJan!AB26-DailyJan!AC26-DailyJan!AD26-DailyJan!AE26-DailyJan!AK26-DailyJan!AO26-DailyJan!AS26-DailyJan!AY26-DailyJan!BD26+DailyJan!BS26-SUM(DailyJan!BM26:BQ26)-DailyJan!BR26-DailyJan!AF26-DailyJan!AG26</f>
        <v>1.3599999427242437E-2</v>
      </c>
      <c r="GV27" s="59">
        <v>2292.313599999472</v>
      </c>
      <c r="GW27" s="60">
        <f t="shared" si="53"/>
        <v>152.82090666663146</v>
      </c>
      <c r="GX27" s="61">
        <v>152.82</v>
      </c>
      <c r="GY27" s="140"/>
      <c r="GZ27" s="62"/>
      <c r="HA27" s="62">
        <v>2292.3136000000072</v>
      </c>
      <c r="HB27" s="74"/>
      <c r="HC27" s="62">
        <v>14455.496399999995</v>
      </c>
      <c r="HD27" s="74"/>
      <c r="HE27" s="24">
        <v>14455.496399999995</v>
      </c>
      <c r="HF27" s="3"/>
      <c r="HG27" s="62"/>
      <c r="HJ27" s="3"/>
    </row>
    <row r="28" spans="1:218" x14ac:dyDescent="0.25">
      <c r="A28" s="35">
        <f t="shared" si="2"/>
        <v>22</v>
      </c>
      <c r="B28" s="38">
        <v>3294.2</v>
      </c>
      <c r="C28" s="38">
        <f t="shared" si="3"/>
        <v>7.2100000000000364</v>
      </c>
      <c r="D28" s="38">
        <f t="shared" si="4"/>
        <v>230720.00000000116</v>
      </c>
      <c r="E28" s="38">
        <v>663.36</v>
      </c>
      <c r="F28" s="38">
        <f t="shared" si="89"/>
        <v>44479.999999999563</v>
      </c>
      <c r="G28" s="38">
        <f t="shared" si="6"/>
        <v>275200.0000000007</v>
      </c>
      <c r="H28" s="37"/>
      <c r="I28" s="39"/>
      <c r="J28" s="42"/>
      <c r="K28" s="37">
        <f t="shared" si="71"/>
        <v>0</v>
      </c>
      <c r="L28" s="40">
        <v>9332700</v>
      </c>
      <c r="M28" s="40"/>
      <c r="N28" s="37">
        <f t="shared" si="72"/>
        <v>267000</v>
      </c>
      <c r="O28" s="37">
        <v>9290.6</v>
      </c>
      <c r="P28" s="37"/>
      <c r="Q28" s="37">
        <f t="shared" si="101"/>
        <v>12300.000000001091</v>
      </c>
      <c r="R28" s="37">
        <f t="shared" si="73"/>
        <v>1</v>
      </c>
      <c r="S28" s="37">
        <v>10938012.49</v>
      </c>
      <c r="T28" s="37">
        <f t="shared" si="8"/>
        <v>730.49000000022352</v>
      </c>
      <c r="U28" s="37">
        <v>1518125.52</v>
      </c>
      <c r="V28" s="37">
        <f>IF((U28-U27)&lt;=0,0,(U28-U27))</f>
        <v>0</v>
      </c>
      <c r="W28" s="37">
        <v>3169.4</v>
      </c>
      <c r="X28" s="37">
        <f t="shared" si="87"/>
        <v>7869.5100000008679</v>
      </c>
      <c r="Y28" s="183"/>
      <c r="Z28" s="183">
        <f t="shared" si="10"/>
        <v>0</v>
      </c>
      <c r="AA28" s="37">
        <v>403100</v>
      </c>
      <c r="AB28" s="37">
        <f t="shared" si="11"/>
        <v>3700</v>
      </c>
      <c r="AC28" s="37">
        <v>3368.6</v>
      </c>
      <c r="AD28" s="37"/>
      <c r="AE28" s="37">
        <f t="shared" si="102"/>
        <v>4099.9999999999091</v>
      </c>
      <c r="AF28" s="37">
        <f t="shared" si="74"/>
        <v>1</v>
      </c>
      <c r="AG28" s="37">
        <v>7338.7</v>
      </c>
      <c r="AH28" s="37"/>
      <c r="AI28" s="37">
        <f t="shared" si="13"/>
        <v>9050.7199999996355</v>
      </c>
      <c r="AJ28" s="37">
        <f t="shared" si="14"/>
        <v>1</v>
      </c>
      <c r="AK28" s="37">
        <f t="shared" si="15"/>
        <v>21750.720000000634</v>
      </c>
      <c r="AL28" s="42">
        <v>9488.9</v>
      </c>
      <c r="AM28" s="2"/>
      <c r="AN28" s="37">
        <f t="shared" si="54"/>
        <v>6730.7199999998902</v>
      </c>
      <c r="AO28" s="37">
        <f t="shared" si="75"/>
        <v>1</v>
      </c>
      <c r="AP28" s="37">
        <v>7145.2</v>
      </c>
      <c r="AQ28" s="37"/>
      <c r="AR28" s="37">
        <f t="shared" si="16"/>
        <v>12500</v>
      </c>
      <c r="AS28" s="37">
        <f t="shared" si="76"/>
        <v>1</v>
      </c>
      <c r="AT28" s="183"/>
      <c r="AU28" s="183">
        <f t="shared" si="17"/>
        <v>0</v>
      </c>
      <c r="AV28" s="183"/>
      <c r="AW28" s="183">
        <f t="shared" si="18"/>
        <v>0</v>
      </c>
      <c r="AX28" s="37">
        <v>440350</v>
      </c>
      <c r="AY28" s="37"/>
      <c r="AZ28" s="37">
        <f t="shared" si="19"/>
        <v>410</v>
      </c>
      <c r="BA28" s="37">
        <v>84370</v>
      </c>
      <c r="BB28" s="37"/>
      <c r="BC28" s="37">
        <f t="shared" si="20"/>
        <v>570</v>
      </c>
      <c r="BD28" s="37">
        <f t="shared" si="77"/>
        <v>20210.719999999892</v>
      </c>
      <c r="BE28" s="43">
        <v>1615.1</v>
      </c>
      <c r="BF28" s="43">
        <v>876.38</v>
      </c>
      <c r="BG28" s="37">
        <f t="shared" si="21"/>
        <v>2399.9999999998636</v>
      </c>
      <c r="BH28" s="44">
        <v>7777.7</v>
      </c>
      <c r="BI28" s="44">
        <v>5003.3999999999996</v>
      </c>
      <c r="BJ28" s="37">
        <f t="shared" si="22"/>
        <v>9399.9999999996362</v>
      </c>
      <c r="BK28" s="40">
        <v>1089840</v>
      </c>
      <c r="BL28" s="40">
        <f t="shared" si="78"/>
        <v>4540</v>
      </c>
      <c r="BM28" s="40">
        <v>789.83</v>
      </c>
      <c r="BN28" s="37">
        <f t="shared" si="23"/>
        <v>680.00000000006366</v>
      </c>
      <c r="BO28" s="186"/>
      <c r="BP28" s="183">
        <f t="shared" si="24"/>
        <v>0</v>
      </c>
      <c r="BQ28" s="40">
        <v>749.1</v>
      </c>
      <c r="BR28" s="37">
        <f t="shared" si="55"/>
        <v>700.00000000004547</v>
      </c>
      <c r="BS28" s="37">
        <v>73113.08</v>
      </c>
      <c r="BT28" s="37">
        <f t="shared" si="25"/>
        <v>178.05000000000291</v>
      </c>
      <c r="BU28" s="42">
        <v>1860894</v>
      </c>
      <c r="BV28" s="42"/>
      <c r="BW28" s="37">
        <f t="shared" si="26"/>
        <v>8026</v>
      </c>
      <c r="BX28" s="37">
        <f t="shared" si="79"/>
        <v>1</v>
      </c>
      <c r="BY28" s="43">
        <v>261.7235</v>
      </c>
      <c r="BZ28" s="37"/>
      <c r="CA28" s="37">
        <f t="shared" si="94"/>
        <v>740.90000000001055</v>
      </c>
      <c r="CB28" s="37">
        <f t="shared" si="56"/>
        <v>1</v>
      </c>
      <c r="CC28" s="37">
        <v>436282.5</v>
      </c>
      <c r="CD28" s="37">
        <f t="shared" si="28"/>
        <v>3266.5</v>
      </c>
      <c r="CE28" s="41">
        <v>697299.9</v>
      </c>
      <c r="CF28" s="37">
        <f t="shared" si="57"/>
        <v>0</v>
      </c>
      <c r="CG28" s="37">
        <v>51945.599999999999</v>
      </c>
      <c r="CH28" s="37">
        <f t="shared" si="58"/>
        <v>291.29999999999563</v>
      </c>
      <c r="CI28" s="40">
        <v>10622.64</v>
      </c>
      <c r="CJ28" s="40"/>
      <c r="CK28" s="37">
        <f t="shared" si="59"/>
        <v>15859.819999998899</v>
      </c>
      <c r="CL28" s="37">
        <f t="shared" si="29"/>
        <v>1</v>
      </c>
      <c r="CM28" s="37">
        <v>2713.357</v>
      </c>
      <c r="CN28" s="37"/>
      <c r="CO28" s="37">
        <f t="shared" si="30"/>
        <v>5878.7200000000657</v>
      </c>
      <c r="CP28" s="37">
        <f t="shared" si="80"/>
        <v>1</v>
      </c>
      <c r="CQ28" s="39">
        <v>2633.3229999999999</v>
      </c>
      <c r="CR28" s="39"/>
      <c r="CS28" s="37">
        <f t="shared" si="31"/>
        <v>5928.7199999997929</v>
      </c>
      <c r="CT28" s="37">
        <f t="shared" si="81"/>
        <v>1</v>
      </c>
      <c r="CU28" s="37">
        <v>2005446</v>
      </c>
      <c r="CV28" s="37"/>
      <c r="CW28" s="38">
        <f t="shared" si="32"/>
        <v>17772</v>
      </c>
      <c r="CX28" s="37">
        <f t="shared" si="82"/>
        <v>1</v>
      </c>
      <c r="CY28" s="37">
        <v>1060740</v>
      </c>
      <c r="CZ28" s="37"/>
      <c r="DA28" s="37">
        <f t="shared" si="103"/>
        <v>10798</v>
      </c>
      <c r="DB28" s="37">
        <f>IF(DA28&lt;=0,0,(DA28/SQRT(DA28^2+(CZ28-CZ27)^2)))</f>
        <v>1</v>
      </c>
      <c r="DC28" s="37"/>
      <c r="DD28" s="40"/>
      <c r="DE28" s="37">
        <f t="shared" si="34"/>
        <v>0</v>
      </c>
      <c r="DF28" s="37">
        <f t="shared" si="88"/>
        <v>0</v>
      </c>
      <c r="DG28" s="37">
        <f t="shared" si="35"/>
        <v>-64263.259999998758</v>
      </c>
      <c r="DH28" s="37">
        <f t="shared" si="36"/>
        <v>291150.7200000005</v>
      </c>
      <c r="DI28" s="46"/>
      <c r="DJ28" s="46"/>
      <c r="DK28" s="47"/>
      <c r="DL28" s="47"/>
      <c r="DM28" s="37"/>
      <c r="DN28" s="37"/>
      <c r="DO28" s="37"/>
      <c r="DP28" s="37"/>
      <c r="DQ28" s="50">
        <v>2464200</v>
      </c>
      <c r="DR28" s="49">
        <f t="shared" si="60"/>
        <v>11600</v>
      </c>
      <c r="DS28" s="50">
        <v>1682000</v>
      </c>
      <c r="DT28" s="49">
        <f t="shared" si="61"/>
        <v>16100</v>
      </c>
      <c r="DU28" s="51">
        <v>7462.1</v>
      </c>
      <c r="DV28" s="51">
        <v>4161.6000000000004</v>
      </c>
      <c r="DW28" s="37">
        <f t="shared" si="84"/>
        <v>4500</v>
      </c>
      <c r="DX28" s="52">
        <v>12368</v>
      </c>
      <c r="DY28" s="52">
        <v>8203.9</v>
      </c>
      <c r="DZ28" s="37">
        <f t="shared" si="37"/>
        <v>6150.72</v>
      </c>
      <c r="EA28" s="49">
        <v>27447</v>
      </c>
      <c r="EB28" s="49">
        <v>19.593</v>
      </c>
      <c r="EC28" s="37">
        <f t="shared" si="38"/>
        <v>24310.720000000001</v>
      </c>
      <c r="ED28" s="53">
        <f t="shared" si="39"/>
        <v>34961.440000000002</v>
      </c>
      <c r="EE28" s="49">
        <v>42473</v>
      </c>
      <c r="EF28" s="49">
        <v>26.806999999999999</v>
      </c>
      <c r="EG28" s="37">
        <f t="shared" si="40"/>
        <v>18310.72</v>
      </c>
      <c r="EH28" s="51">
        <v>11878</v>
      </c>
      <c r="EI28" s="51">
        <v>1.5761000000000001</v>
      </c>
      <c r="EJ28" s="37">
        <f t="shared" si="41"/>
        <v>8150.72</v>
      </c>
      <c r="EK28" s="37">
        <v>716.4</v>
      </c>
      <c r="EL28" s="40">
        <v>1029.2</v>
      </c>
      <c r="EM28" s="37">
        <f t="shared" si="62"/>
        <v>590.00000000003183</v>
      </c>
      <c r="EN28" s="54">
        <f t="shared" si="63"/>
        <v>27051.440000000035</v>
      </c>
      <c r="EO28" s="48">
        <v>11976</v>
      </c>
      <c r="EP28" s="48">
        <v>4169.3999999999996</v>
      </c>
      <c r="EQ28" s="37">
        <f t="shared" si="42"/>
        <v>9150.7199999999993</v>
      </c>
      <c r="ER28" s="48">
        <v>7467.9</v>
      </c>
      <c r="ES28" s="48">
        <v>3028.1</v>
      </c>
      <c r="ET28" s="49">
        <f t="shared" si="92"/>
        <v>16599.999999999454</v>
      </c>
      <c r="EU28" s="48">
        <v>2648</v>
      </c>
      <c r="EV28" s="48">
        <v>948.23</v>
      </c>
      <c r="EW28" s="49">
        <f t="shared" si="44"/>
        <v>6650.72</v>
      </c>
      <c r="EX28" s="48">
        <v>12128</v>
      </c>
      <c r="EY28" s="48">
        <v>1.2730999999999999</v>
      </c>
      <c r="EZ28" s="37">
        <f t="shared" si="45"/>
        <v>11150.72</v>
      </c>
      <c r="FA28" s="48">
        <f t="shared" si="64"/>
        <v>-21841.159999999451</v>
      </c>
      <c r="FB28" s="48">
        <v>33828969</v>
      </c>
      <c r="FC28" s="49">
        <f t="shared" si="85"/>
        <v>21711</v>
      </c>
      <c r="FD28" s="48">
        <f t="shared" si="65"/>
        <v>44952.15999999932</v>
      </c>
      <c r="FE28" s="48">
        <v>16023</v>
      </c>
      <c r="FF28" s="48">
        <v>5751.9</v>
      </c>
      <c r="FG28" s="37">
        <f t="shared" si="66"/>
        <v>9850.7199999999993</v>
      </c>
      <c r="FH28" s="48">
        <v>6931.2</v>
      </c>
      <c r="FI28" s="48">
        <v>2.6669999999999998</v>
      </c>
      <c r="FJ28" s="49">
        <f t="shared" si="46"/>
        <v>18050.719999999819</v>
      </c>
      <c r="FK28" s="48"/>
      <c r="FL28" s="58">
        <v>-300</v>
      </c>
      <c r="FM28" s="48">
        <f t="shared" si="86"/>
        <v>-284.05333333327326</v>
      </c>
      <c r="FN28" s="48">
        <v>15274</v>
      </c>
      <c r="FO28" s="48">
        <v>0.67049999999999998</v>
      </c>
      <c r="FP28" s="37">
        <f t="shared" si="67"/>
        <v>9850.7199999999993</v>
      </c>
      <c r="FQ28" s="48">
        <v>54282</v>
      </c>
      <c r="FR28" s="48">
        <v>12.929</v>
      </c>
      <c r="FS28" s="37">
        <f t="shared" si="47"/>
        <v>53000</v>
      </c>
      <c r="FT28" s="48">
        <f t="shared" si="93"/>
        <v>-852.15999999981977</v>
      </c>
      <c r="FU28" s="48">
        <f t="shared" si="69"/>
        <v>37752.159999999822</v>
      </c>
      <c r="FV28" s="44">
        <v>2306400</v>
      </c>
      <c r="FW28" s="44">
        <v>747220</v>
      </c>
      <c r="FX28" s="37">
        <f t="shared" si="48"/>
        <v>24400</v>
      </c>
      <c r="FY28" s="56">
        <v>2773.7</v>
      </c>
      <c r="FZ28" s="56">
        <v>1.5833999999999999</v>
      </c>
      <c r="GA28" s="37">
        <f t="shared" si="91"/>
        <v>6119.9999999998181</v>
      </c>
      <c r="GB28" s="56">
        <v>734.32</v>
      </c>
      <c r="GC28" s="56">
        <v>813.78</v>
      </c>
      <c r="GD28" s="37">
        <f t="shared" si="49"/>
        <v>710.00000000003638</v>
      </c>
      <c r="GE28" s="56">
        <v>9134.1</v>
      </c>
      <c r="GF28" s="56">
        <v>2.7056</v>
      </c>
      <c r="GG28" s="37">
        <f t="shared" si="50"/>
        <v>5800.000000000864</v>
      </c>
      <c r="GH28" s="158">
        <v>1758.8</v>
      </c>
      <c r="GI28" s="159">
        <v>1483.1</v>
      </c>
      <c r="GJ28" s="38">
        <f t="shared" si="51"/>
        <v>1399.9999999998636</v>
      </c>
      <c r="GK28" s="159">
        <v>1399.1</v>
      </c>
      <c r="GL28" s="160">
        <v>1088.9000000000001</v>
      </c>
      <c r="GM28" s="38">
        <f>IF((GK28-GK27)&lt;=0,0,(GK28-GK27))*1000</f>
        <v>0</v>
      </c>
      <c r="GN28" s="57">
        <v>158870</v>
      </c>
      <c r="GO28" s="57">
        <v>138600</v>
      </c>
      <c r="GP28" s="38">
        <f t="shared" si="90"/>
        <v>0</v>
      </c>
      <c r="GQ28" s="38">
        <v>194450</v>
      </c>
      <c r="GR28" s="38">
        <v>195990</v>
      </c>
      <c r="GS28" s="38">
        <f t="shared" si="70"/>
        <v>1080</v>
      </c>
      <c r="GT28" s="178"/>
      <c r="GU28" s="144">
        <f>DailyJan!B27-DailyJan!N27-DailyJan!V27-DailyJan!Y27-DailyJan!Z27-DailyJan!AA27-DailyJan!AB27-DailyJan!AC27-DailyJan!AD27-DailyJan!AE27-DailyJan!AK27-DailyJan!AO27-DailyJan!AS27-DailyJan!AY27-DailyJan!BD27+DailyJan!BS27-SUM(DailyJan!BM27:BQ27)-DailyJan!BR27-DailyJan!AF27-DailyJan!AG27</f>
        <v>-3.1999998062019586E-2</v>
      </c>
      <c r="GV28" s="59">
        <v>2260.76800000197</v>
      </c>
      <c r="GW28" s="60">
        <f t="shared" si="53"/>
        <v>150.71786666679799</v>
      </c>
      <c r="GX28" s="61">
        <v>150.72</v>
      </c>
      <c r="GY28" s="140"/>
      <c r="GZ28" s="62"/>
      <c r="HA28" s="62">
        <v>2260.7680000000059</v>
      </c>
      <c r="HB28" s="74"/>
      <c r="HC28" s="62">
        <v>11465.431999999995</v>
      </c>
      <c r="HD28" s="74"/>
      <c r="HE28" s="24">
        <v>11465.431999999995</v>
      </c>
      <c r="HG28" s="62"/>
      <c r="HJ28" s="3"/>
    </row>
    <row r="29" spans="1:218" x14ac:dyDescent="0.25">
      <c r="A29" s="35">
        <f t="shared" si="2"/>
        <v>23</v>
      </c>
      <c r="B29" s="38">
        <v>3301.19</v>
      </c>
      <c r="C29" s="38">
        <f t="shared" si="3"/>
        <v>6.9900000000002365</v>
      </c>
      <c r="D29" s="38">
        <f t="shared" si="4"/>
        <v>223680.00000000757</v>
      </c>
      <c r="E29" s="38">
        <v>664.97</v>
      </c>
      <c r="F29" s="38">
        <f t="shared" si="89"/>
        <v>51520.000000000437</v>
      </c>
      <c r="G29" s="38">
        <f t="shared" si="6"/>
        <v>275200.00000000803</v>
      </c>
      <c r="H29" s="37"/>
      <c r="I29" s="39"/>
      <c r="J29" s="42"/>
      <c r="K29" s="37">
        <f t="shared" si="71"/>
        <v>0</v>
      </c>
      <c r="L29" s="40">
        <v>9360400</v>
      </c>
      <c r="M29" s="40"/>
      <c r="N29" s="37">
        <f t="shared" si="72"/>
        <v>277000</v>
      </c>
      <c r="O29" s="37">
        <v>9303.4</v>
      </c>
      <c r="P29" s="37"/>
      <c r="Q29" s="37">
        <f t="shared" si="101"/>
        <v>12799.999999999272</v>
      </c>
      <c r="R29" s="37">
        <f t="shared" si="73"/>
        <v>1</v>
      </c>
      <c r="S29" s="37">
        <v>10938012.49</v>
      </c>
      <c r="T29" s="37">
        <f t="shared" si="8"/>
        <v>0</v>
      </c>
      <c r="U29" s="37">
        <v>1518125.52</v>
      </c>
      <c r="V29" s="37">
        <f t="shared" si="9"/>
        <v>0</v>
      </c>
      <c r="W29" s="37">
        <v>3176.2</v>
      </c>
      <c r="X29" s="37">
        <f t="shared" si="87"/>
        <v>8299.9999999992724</v>
      </c>
      <c r="Y29" s="183"/>
      <c r="Z29" s="183">
        <f t="shared" si="10"/>
        <v>0</v>
      </c>
      <c r="AA29" s="37">
        <v>407600</v>
      </c>
      <c r="AB29" s="37">
        <f t="shared" si="11"/>
        <v>4500</v>
      </c>
      <c r="AC29" s="37">
        <v>3373.1</v>
      </c>
      <c r="AD29" s="37"/>
      <c r="AE29" s="37">
        <f t="shared" si="102"/>
        <v>4500</v>
      </c>
      <c r="AF29" s="37">
        <f t="shared" si="74"/>
        <v>1</v>
      </c>
      <c r="AG29" s="37">
        <v>7349</v>
      </c>
      <c r="AH29" s="37"/>
      <c r="AI29" s="37">
        <f t="shared" si="13"/>
        <v>10450.720000000181</v>
      </c>
      <c r="AJ29" s="37">
        <f t="shared" si="14"/>
        <v>1</v>
      </c>
      <c r="AK29" s="37">
        <f t="shared" si="15"/>
        <v>23250.719999999455</v>
      </c>
      <c r="AL29" s="42">
        <v>9502.7000000000007</v>
      </c>
      <c r="AM29" s="42"/>
      <c r="AN29" s="37">
        <f t="shared" si="54"/>
        <v>7300.7200000011271</v>
      </c>
      <c r="AO29" s="37">
        <f t="shared" si="75"/>
        <v>1</v>
      </c>
      <c r="AP29" s="67">
        <v>7159</v>
      </c>
      <c r="AQ29" s="37"/>
      <c r="AR29" s="37">
        <f t="shared" si="16"/>
        <v>13800.000000000182</v>
      </c>
      <c r="AS29" s="37">
        <f t="shared" si="76"/>
        <v>1</v>
      </c>
      <c r="AT29" s="183"/>
      <c r="AU29" s="183">
        <f t="shared" si="17"/>
        <v>0</v>
      </c>
      <c r="AV29" s="183"/>
      <c r="AW29" s="183">
        <f t="shared" si="18"/>
        <v>0</v>
      </c>
      <c r="AX29" s="37">
        <v>440870</v>
      </c>
      <c r="AY29" s="37"/>
      <c r="AZ29" s="37">
        <f t="shared" si="19"/>
        <v>520</v>
      </c>
      <c r="BA29" s="37">
        <v>85060</v>
      </c>
      <c r="BB29" s="37"/>
      <c r="BC29" s="37">
        <f t="shared" si="20"/>
        <v>690</v>
      </c>
      <c r="BD29" s="37">
        <f t="shared" si="77"/>
        <v>22310.720000001311</v>
      </c>
      <c r="BE29" s="43">
        <v>1617.5</v>
      </c>
      <c r="BF29" s="43">
        <v>877.81</v>
      </c>
      <c r="BG29" s="37">
        <f t="shared" si="21"/>
        <v>2400.0000000000909</v>
      </c>
      <c r="BH29" s="44">
        <v>7787.7</v>
      </c>
      <c r="BI29" s="44">
        <v>5009.8</v>
      </c>
      <c r="BJ29" s="37">
        <f t="shared" si="22"/>
        <v>10000</v>
      </c>
      <c r="BK29" s="40">
        <v>1094950</v>
      </c>
      <c r="BL29" s="40">
        <f t="shared" si="78"/>
        <v>5110</v>
      </c>
      <c r="BM29" s="40">
        <v>790.57</v>
      </c>
      <c r="BN29" s="37">
        <f t="shared" si="23"/>
        <v>740.00000000000909</v>
      </c>
      <c r="BO29" s="186"/>
      <c r="BP29" s="183">
        <f t="shared" si="24"/>
        <v>0</v>
      </c>
      <c r="BQ29" s="40">
        <v>749.9</v>
      </c>
      <c r="BR29" s="37">
        <f t="shared" si="55"/>
        <v>799.99999999995453</v>
      </c>
      <c r="BS29" s="37">
        <v>73285.759999999995</v>
      </c>
      <c r="BT29" s="37">
        <f t="shared" si="25"/>
        <v>172.67999999999302</v>
      </c>
      <c r="BU29" s="42">
        <v>1869137</v>
      </c>
      <c r="BV29" s="42"/>
      <c r="BW29" s="37">
        <f t="shared" si="26"/>
        <v>8243</v>
      </c>
      <c r="BX29" s="37">
        <f t="shared" si="79"/>
        <v>1</v>
      </c>
      <c r="BY29" s="43">
        <v>262.50349999999997</v>
      </c>
      <c r="BZ29" s="43"/>
      <c r="CA29" s="37">
        <f t="shared" si="94"/>
        <v>779.99999999997272</v>
      </c>
      <c r="CB29" s="37">
        <f t="shared" si="56"/>
        <v>1</v>
      </c>
      <c r="CC29" s="37">
        <v>439863.8</v>
      </c>
      <c r="CD29" s="37">
        <f t="shared" si="28"/>
        <v>3581.2999999999884</v>
      </c>
      <c r="CE29" s="41">
        <v>697299.9</v>
      </c>
      <c r="CF29" s="37">
        <f t="shared" si="57"/>
        <v>0</v>
      </c>
      <c r="CG29" s="37">
        <v>51945.599999999999</v>
      </c>
      <c r="CH29" s="37">
        <f t="shared" si="58"/>
        <v>0</v>
      </c>
      <c r="CI29" s="40">
        <v>10640.02</v>
      </c>
      <c r="CJ29" s="40"/>
      <c r="CK29" s="37">
        <f t="shared" si="59"/>
        <v>16750.720000001049</v>
      </c>
      <c r="CL29" s="37">
        <f t="shared" si="29"/>
        <v>1</v>
      </c>
      <c r="CM29" s="37">
        <v>2719.5129999999999</v>
      </c>
      <c r="CN29" s="37"/>
      <c r="CO29" s="37">
        <f t="shared" si="30"/>
        <v>6306.7199999999493</v>
      </c>
      <c r="CP29" s="37">
        <f t="shared" si="80"/>
        <v>1</v>
      </c>
      <c r="CQ29" s="39">
        <v>2639.97</v>
      </c>
      <c r="CR29" s="39"/>
      <c r="CS29" s="37">
        <f>IF((CQ29-CQ28)&lt;=0,0,(CQ29-CQ28))*1000+GX29</f>
        <v>6797.7199999999348</v>
      </c>
      <c r="CT29" s="37">
        <f t="shared" si="81"/>
        <v>1</v>
      </c>
      <c r="CU29" s="37">
        <v>2024578</v>
      </c>
      <c r="CV29" s="37"/>
      <c r="CW29" s="38">
        <f t="shared" si="32"/>
        <v>19132</v>
      </c>
      <c r="CX29" s="37">
        <f t="shared" si="82"/>
        <v>1</v>
      </c>
      <c r="CY29" s="37">
        <v>1072220</v>
      </c>
      <c r="CZ29" s="37"/>
      <c r="DA29" s="37">
        <f t="shared" si="103"/>
        <v>11480</v>
      </c>
      <c r="DB29" s="37">
        <f t="shared" si="83"/>
        <v>1</v>
      </c>
      <c r="DC29" s="37"/>
      <c r="DD29" s="40"/>
      <c r="DE29" s="37">
        <f t="shared" si="34"/>
        <v>0</v>
      </c>
      <c r="DF29" s="37">
        <f t="shared" si="88"/>
        <v>0</v>
      </c>
      <c r="DG29" s="37">
        <f t="shared" si="35"/>
        <v>-68710.160000000935</v>
      </c>
      <c r="DH29" s="37">
        <f t="shared" si="36"/>
        <v>302650.71999999956</v>
      </c>
      <c r="DI29" s="46"/>
      <c r="DJ29" s="46"/>
      <c r="DK29" s="47"/>
      <c r="DL29" s="47"/>
      <c r="DM29" s="37"/>
      <c r="DN29" s="37"/>
      <c r="DO29" s="37"/>
      <c r="DP29" s="37"/>
      <c r="DQ29" s="50">
        <v>2476800</v>
      </c>
      <c r="DR29" s="49">
        <f t="shared" si="60"/>
        <v>12600</v>
      </c>
      <c r="DS29" s="50">
        <v>1695300</v>
      </c>
      <c r="DT29" s="49">
        <f t="shared" si="61"/>
        <v>13300</v>
      </c>
      <c r="DU29" s="72">
        <v>7466.8</v>
      </c>
      <c r="DV29" s="51">
        <v>4164.5</v>
      </c>
      <c r="DW29" s="37">
        <f t="shared" si="84"/>
        <v>4699.9999999998181</v>
      </c>
      <c r="DX29" s="52">
        <v>12375</v>
      </c>
      <c r="DY29" s="52">
        <v>8205.7000000000007</v>
      </c>
      <c r="DZ29" s="37">
        <f t="shared" si="37"/>
        <v>7150.72</v>
      </c>
      <c r="EA29" s="49">
        <v>27470</v>
      </c>
      <c r="EB29" s="49">
        <v>19.606000000000002</v>
      </c>
      <c r="EC29" s="37">
        <f t="shared" si="38"/>
        <v>25310.720000000001</v>
      </c>
      <c r="ED29" s="53">
        <f t="shared" si="39"/>
        <v>37161.43999999982</v>
      </c>
      <c r="EE29" s="49">
        <v>42493</v>
      </c>
      <c r="EF29" s="49">
        <v>26.829000000000001</v>
      </c>
      <c r="EG29" s="37">
        <f t="shared" si="40"/>
        <v>22310.720000000001</v>
      </c>
      <c r="EH29" s="72">
        <v>11890</v>
      </c>
      <c r="EI29" s="51">
        <v>1.5788</v>
      </c>
      <c r="EJ29" s="37">
        <f t="shared" si="41"/>
        <v>12150.72</v>
      </c>
      <c r="EK29" s="37">
        <v>717.08</v>
      </c>
      <c r="EL29" s="40">
        <v>1030.2</v>
      </c>
      <c r="EM29" s="37">
        <f t="shared" si="62"/>
        <v>680.00000000006366</v>
      </c>
      <c r="EN29" s="54">
        <f t="shared" si="63"/>
        <v>35141.440000000068</v>
      </c>
      <c r="EO29" s="48">
        <v>11985</v>
      </c>
      <c r="EP29" s="48">
        <v>4173</v>
      </c>
      <c r="EQ29" s="37">
        <f t="shared" si="42"/>
        <v>9150.7199999999993</v>
      </c>
      <c r="ER29" s="48">
        <v>7486.8</v>
      </c>
      <c r="ES29" s="48">
        <v>3036.5</v>
      </c>
      <c r="ET29" s="49">
        <f t="shared" si="92"/>
        <v>18900.000000000546</v>
      </c>
      <c r="EU29" s="48">
        <v>2655.4</v>
      </c>
      <c r="EV29" s="48">
        <v>950.87</v>
      </c>
      <c r="EW29" s="49">
        <f t="shared" si="44"/>
        <v>7550.7200000000912</v>
      </c>
      <c r="EX29" s="48">
        <v>12138</v>
      </c>
      <c r="EY29" s="55">
        <v>1.2753000000000001</v>
      </c>
      <c r="EZ29" s="37">
        <f t="shared" si="45"/>
        <v>10150.719999999999</v>
      </c>
      <c r="FA29" s="48">
        <f t="shared" si="64"/>
        <v>-23219.160000000637</v>
      </c>
      <c r="FB29" s="48">
        <v>33851502</v>
      </c>
      <c r="FC29" s="49">
        <f t="shared" si="85"/>
        <v>22533</v>
      </c>
      <c r="FD29" s="48">
        <f t="shared" si="65"/>
        <v>47452.16000000068</v>
      </c>
      <c r="FE29" s="48">
        <v>16030</v>
      </c>
      <c r="FF29" s="48">
        <v>5753.8</v>
      </c>
      <c r="FG29" s="37">
        <f t="shared" si="66"/>
        <v>8117.39</v>
      </c>
      <c r="FH29" s="48">
        <v>6945</v>
      </c>
      <c r="FI29" s="48">
        <v>2.6724000000000001</v>
      </c>
      <c r="FJ29" s="49">
        <f t="shared" si="46"/>
        <v>14917.390000000181</v>
      </c>
      <c r="FK29" s="48"/>
      <c r="FL29" s="58">
        <v>966.67</v>
      </c>
      <c r="FM29" s="48">
        <f t="shared" si="86"/>
        <v>-150.72333333339338</v>
      </c>
      <c r="FN29" s="48">
        <v>15282</v>
      </c>
      <c r="FO29" s="48">
        <v>0.67190000000000005</v>
      </c>
      <c r="FP29" s="37">
        <f t="shared" si="67"/>
        <v>9117.39</v>
      </c>
      <c r="FQ29" s="48">
        <v>54327</v>
      </c>
      <c r="FR29" s="48">
        <v>12.94</v>
      </c>
      <c r="FS29" s="37">
        <f t="shared" si="47"/>
        <v>45000</v>
      </c>
      <c r="FT29" s="48">
        <f t="shared" si="93"/>
        <v>-452.17000000018015</v>
      </c>
      <c r="FU29" s="48">
        <f t="shared" si="69"/>
        <v>32152.17000000018</v>
      </c>
      <c r="FV29" s="44">
        <v>2327800</v>
      </c>
      <c r="FW29" s="65">
        <v>753980</v>
      </c>
      <c r="FX29" s="37">
        <f t="shared" si="48"/>
        <v>21400</v>
      </c>
      <c r="FY29" s="56">
        <v>2780.3</v>
      </c>
      <c r="FZ29" s="56">
        <v>1.5894999999999999</v>
      </c>
      <c r="GA29" s="37">
        <f t="shared" si="91"/>
        <v>5530.0000000003638</v>
      </c>
      <c r="GB29" s="56">
        <v>735</v>
      </c>
      <c r="GC29" s="56">
        <v>814.65</v>
      </c>
      <c r="GD29" s="37">
        <f t="shared" si="49"/>
        <v>679.99999999994998</v>
      </c>
      <c r="GE29" s="56">
        <v>9140.1</v>
      </c>
      <c r="GF29" s="56">
        <v>2.7105000000000001</v>
      </c>
      <c r="GG29" s="37">
        <f t="shared" si="50"/>
        <v>4299.9999999999545</v>
      </c>
      <c r="GH29" s="158">
        <v>1760.5</v>
      </c>
      <c r="GI29" s="159">
        <v>1484.6</v>
      </c>
      <c r="GJ29" s="38">
        <f t="shared" si="51"/>
        <v>1700.0000000000455</v>
      </c>
      <c r="GK29" s="159">
        <v>1399.1</v>
      </c>
      <c r="GL29" s="160">
        <v>1088.9000000000001</v>
      </c>
      <c r="GM29" s="38">
        <f t="shared" si="52"/>
        <v>0</v>
      </c>
      <c r="GN29" s="57">
        <v>158880</v>
      </c>
      <c r="GO29" s="57">
        <v>138600</v>
      </c>
      <c r="GP29" s="38">
        <f t="shared" si="90"/>
        <v>10</v>
      </c>
      <c r="GQ29" s="38">
        <v>195520</v>
      </c>
      <c r="GR29" s="38">
        <v>196970</v>
      </c>
      <c r="GS29" s="38">
        <f t="shared" si="70"/>
        <v>1070</v>
      </c>
      <c r="GT29" s="178"/>
      <c r="GU29" s="144">
        <f>DailyJan!B28-DailyJan!N28-DailyJan!V28-DailyJan!Y28-DailyJan!Z28-DailyJan!AA28-DailyJan!AB28-DailyJan!AC28-DailyJan!AD28-DailyJan!AE28-DailyJan!AK28-DailyJan!AO28-DailyJan!AS28-DailyJan!AY28-DailyJan!BD28+DailyJan!BS28-SUM(DailyJan!BM28:BQ28)-DailyJan!BR28-DailyJan!AF28-DailyJan!AG28</f>
        <v>-3.199999466232839E-2</v>
      </c>
      <c r="GV29" s="59">
        <v>2260.7680000053406</v>
      </c>
      <c r="GW29" s="60">
        <f t="shared" si="53"/>
        <v>150.71786666702272</v>
      </c>
      <c r="GX29" s="61">
        <v>150.72</v>
      </c>
      <c r="GY29" s="140"/>
      <c r="GZ29" s="62"/>
      <c r="HA29" s="62">
        <v>2260.768000000066</v>
      </c>
      <c r="HB29" s="74"/>
      <c r="HC29" s="62">
        <v>13142.921999999935</v>
      </c>
      <c r="HD29" s="74"/>
      <c r="HE29" s="24">
        <v>13142.921999999935</v>
      </c>
      <c r="HG29" s="62"/>
      <c r="HJ29" s="3"/>
    </row>
    <row r="30" spans="1:218" x14ac:dyDescent="0.25">
      <c r="A30" s="35">
        <f t="shared" si="2"/>
        <v>24</v>
      </c>
      <c r="B30" s="38">
        <v>3308.36</v>
      </c>
      <c r="C30" s="38">
        <f t="shared" si="3"/>
        <v>7.1700000000000728</v>
      </c>
      <c r="D30" s="38">
        <f t="shared" si="4"/>
        <v>229440.00000000233</v>
      </c>
      <c r="E30" s="38">
        <v>666.41</v>
      </c>
      <c r="F30" s="38">
        <f t="shared" si="89"/>
        <v>46079.999999998108</v>
      </c>
      <c r="G30" s="38">
        <f t="shared" si="6"/>
        <v>275520.00000000047</v>
      </c>
      <c r="H30" s="37"/>
      <c r="I30" s="39"/>
      <c r="J30" s="42"/>
      <c r="K30" s="37">
        <f>IF(J30&lt;=0,0,(J30/SQRT(J30^2+(I30-I29)^2)))</f>
        <v>0</v>
      </c>
      <c r="L30" s="40">
        <v>9387800</v>
      </c>
      <c r="M30" s="40"/>
      <c r="N30" s="37">
        <f t="shared" si="72"/>
        <v>274000</v>
      </c>
      <c r="O30" s="37">
        <v>9316.2999999999993</v>
      </c>
      <c r="P30" s="37"/>
      <c r="Q30" s="37">
        <f t="shared" si="101"/>
        <v>12899.999999999636</v>
      </c>
      <c r="R30" s="37">
        <f>IF(Q30&lt;=0,0,(Q30/SQRT(Q30^2+(P30-P29)^2)))</f>
        <v>1</v>
      </c>
      <c r="S30" s="37">
        <v>10938012.98</v>
      </c>
      <c r="T30" s="37">
        <f t="shared" si="8"/>
        <v>0.49000000022351742</v>
      </c>
      <c r="U30" s="37">
        <v>1518125.52</v>
      </c>
      <c r="V30" s="37">
        <f t="shared" si="9"/>
        <v>0</v>
      </c>
      <c r="W30" s="37">
        <v>3182.8</v>
      </c>
      <c r="X30" s="37">
        <f t="shared" si="87"/>
        <v>8199.5099999994127</v>
      </c>
      <c r="Y30" s="183"/>
      <c r="Z30" s="183">
        <f t="shared" si="10"/>
        <v>0</v>
      </c>
      <c r="AA30" s="37">
        <v>412300</v>
      </c>
      <c r="AB30" s="37">
        <f t="shared" si="11"/>
        <v>4700</v>
      </c>
      <c r="AC30" s="37">
        <v>3377.5</v>
      </c>
      <c r="AD30" s="37"/>
      <c r="AE30" s="37">
        <f t="shared" si="102"/>
        <v>4400.0000000000909</v>
      </c>
      <c r="AF30" s="37">
        <f>IF(AE30&lt;=0,0,(AE30/SQRT(AE30^2+(AD30-AD29)^2)))</f>
        <v>1</v>
      </c>
      <c r="AG30" s="37">
        <v>7359.7</v>
      </c>
      <c r="AH30" s="37"/>
      <c r="AI30" s="37">
        <f t="shared" si="13"/>
        <v>10850.889999999818</v>
      </c>
      <c r="AJ30" s="37">
        <f t="shared" si="14"/>
        <v>1</v>
      </c>
      <c r="AK30" s="37">
        <f t="shared" si="15"/>
        <v>23450.889999999545</v>
      </c>
      <c r="AL30" s="42">
        <v>9516.4</v>
      </c>
      <c r="AM30" s="42"/>
      <c r="AN30" s="37">
        <f t="shared" si="54"/>
        <v>7490.8899999989944</v>
      </c>
      <c r="AO30" s="37">
        <f>IF(AN30&lt;=0,0,(AN30/SQRT(AN30^2+(AM30-AM29)^2)))</f>
        <v>1</v>
      </c>
      <c r="AP30" s="67">
        <v>7172.8</v>
      </c>
      <c r="AQ30" s="37"/>
      <c r="AR30" s="37">
        <f t="shared" si="16"/>
        <v>13800.000000000182</v>
      </c>
      <c r="AS30" s="37">
        <f>IF(AR30&lt;=0,0,(AR30/SQRT(AR30^2+(AQ30-AQ29)^2)))</f>
        <v>1</v>
      </c>
      <c r="AT30" s="183"/>
      <c r="AU30" s="183">
        <f t="shared" si="17"/>
        <v>0</v>
      </c>
      <c r="AV30" s="183"/>
      <c r="AW30" s="183">
        <f t="shared" si="18"/>
        <v>0</v>
      </c>
      <c r="AX30" s="37">
        <v>441360</v>
      </c>
      <c r="AY30" s="37"/>
      <c r="AZ30" s="37">
        <f t="shared" si="19"/>
        <v>490</v>
      </c>
      <c r="BA30" s="37">
        <v>85740</v>
      </c>
      <c r="BB30" s="37"/>
      <c r="BC30" s="37">
        <f t="shared" si="20"/>
        <v>680</v>
      </c>
      <c r="BD30" s="37">
        <f>AN30+AR30+AZ30+BC30</f>
        <v>22460.889999999177</v>
      </c>
      <c r="BE30" s="43">
        <v>1620</v>
      </c>
      <c r="BF30" s="43">
        <v>879.32</v>
      </c>
      <c r="BG30" s="37">
        <f t="shared" si="21"/>
        <v>2500</v>
      </c>
      <c r="BH30" s="44">
        <v>7797.3</v>
      </c>
      <c r="BI30" s="44">
        <v>5016.1000000000004</v>
      </c>
      <c r="BJ30" s="37">
        <f t="shared" si="22"/>
        <v>9600.0000000003638</v>
      </c>
      <c r="BK30" s="40">
        <v>1100090</v>
      </c>
      <c r="BL30" s="40">
        <f t="shared" si="78"/>
        <v>5140</v>
      </c>
      <c r="BM30" s="40">
        <v>791.29</v>
      </c>
      <c r="BN30" s="37">
        <f t="shared" si="23"/>
        <v>719.9999999999136</v>
      </c>
      <c r="BO30" s="186"/>
      <c r="BP30" s="183">
        <f t="shared" si="24"/>
        <v>0</v>
      </c>
      <c r="BQ30" s="40">
        <v>750.4</v>
      </c>
      <c r="BR30" s="37">
        <f t="shared" si="55"/>
        <v>500</v>
      </c>
      <c r="BS30" s="37">
        <v>73458.2</v>
      </c>
      <c r="BT30" s="37">
        <f t="shared" si="25"/>
        <v>172.44000000000233</v>
      </c>
      <c r="BU30" s="42">
        <v>1877240</v>
      </c>
      <c r="BV30" s="42"/>
      <c r="BW30" s="37">
        <f t="shared" si="26"/>
        <v>8103</v>
      </c>
      <c r="BX30" s="37">
        <f>IF(BW30&lt;=0,0,(BW30/SQRT(BW30^2+(BV30-BV29)^2)))</f>
        <v>1</v>
      </c>
      <c r="BY30" s="43">
        <v>263.25869999999998</v>
      </c>
      <c r="BZ30" s="37"/>
      <c r="CA30" s="37">
        <f t="shared" si="94"/>
        <v>755.20000000000209</v>
      </c>
      <c r="CB30" s="37">
        <f t="shared" si="56"/>
        <v>1</v>
      </c>
      <c r="CC30" s="37">
        <v>443336.4</v>
      </c>
      <c r="CD30" s="37">
        <f t="shared" si="28"/>
        <v>3472.6000000000349</v>
      </c>
      <c r="CE30" s="41">
        <v>697299.9</v>
      </c>
      <c r="CF30" s="37">
        <f t="shared" si="57"/>
        <v>0</v>
      </c>
      <c r="CG30" s="37">
        <v>51945.599999999999</v>
      </c>
      <c r="CH30" s="37">
        <f t="shared" si="58"/>
        <v>0</v>
      </c>
      <c r="CI30" s="40">
        <v>10656.67</v>
      </c>
      <c r="CJ30" s="40"/>
      <c r="CK30" s="37">
        <f t="shared" si="59"/>
        <v>16045.689999999633</v>
      </c>
      <c r="CL30" s="37">
        <f t="shared" si="29"/>
        <v>1</v>
      </c>
      <c r="CM30" s="37">
        <v>2725.5859999999998</v>
      </c>
      <c r="CN30" s="37"/>
      <c r="CO30" s="37">
        <f t="shared" si="30"/>
        <v>6223.8899999998657</v>
      </c>
      <c r="CP30" s="37">
        <f>IF(CO30&lt;=0,0,(CO30/SQRT(CO30^2+(CN30-CN29)^2)))</f>
        <v>1</v>
      </c>
      <c r="CQ30" s="39">
        <v>2646.7159999999999</v>
      </c>
      <c r="CR30" s="39"/>
      <c r="CS30" s="37">
        <f t="shared" si="31"/>
        <v>6896.8900000000949</v>
      </c>
      <c r="CT30" s="37">
        <f>IF(CS30&lt;=0,0,(CS30/SQRT(CS30^2+(CR30-CR29)^2)))</f>
        <v>1</v>
      </c>
      <c r="CU30" s="37">
        <v>2042923</v>
      </c>
      <c r="CV30" s="37"/>
      <c r="CW30" s="38">
        <f t="shared" si="32"/>
        <v>18345</v>
      </c>
      <c r="CX30" s="37">
        <f>IF(CW30&lt;=0,0,(CW30/SQRT(CW30^2+(CV30-CV29)^2)))</f>
        <v>1</v>
      </c>
      <c r="CY30" s="37">
        <v>1083376</v>
      </c>
      <c r="CZ30" s="37"/>
      <c r="DA30" s="37">
        <f t="shared" si="103"/>
        <v>11156</v>
      </c>
      <c r="DB30" s="37">
        <f t="shared" si="83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5"/>
        <v>-66770.469999999594</v>
      </c>
      <c r="DH30" s="37">
        <f t="shared" si="36"/>
        <v>299950.88999999955</v>
      </c>
      <c r="DI30" s="46"/>
      <c r="DJ30" s="46"/>
      <c r="DK30" s="47"/>
      <c r="DL30" s="47"/>
      <c r="DM30" s="37"/>
      <c r="DN30" s="37"/>
      <c r="DO30" s="37"/>
      <c r="DP30" s="37"/>
      <c r="DQ30" s="50">
        <v>2489200</v>
      </c>
      <c r="DR30" s="49">
        <f t="shared" si="60"/>
        <v>12400</v>
      </c>
      <c r="DS30" s="50">
        <v>1710800</v>
      </c>
      <c r="DT30" s="49">
        <f t="shared" si="61"/>
        <v>15500</v>
      </c>
      <c r="DU30" s="51">
        <v>7471.5</v>
      </c>
      <c r="DV30" s="51">
        <v>4167.5</v>
      </c>
      <c r="DW30" s="37">
        <f t="shared" si="84"/>
        <v>4699.9999999998181</v>
      </c>
      <c r="DX30" s="52">
        <v>12382</v>
      </c>
      <c r="DY30" s="52">
        <v>8207.2999999999993</v>
      </c>
      <c r="DZ30" s="37">
        <f t="shared" si="37"/>
        <v>7150.89</v>
      </c>
      <c r="EA30" s="49">
        <v>27493</v>
      </c>
      <c r="EB30" s="49">
        <v>19.619</v>
      </c>
      <c r="EC30" s="37">
        <f t="shared" si="38"/>
        <v>25310.89</v>
      </c>
      <c r="ED30" s="53">
        <f t="shared" si="39"/>
        <v>37161.779999999817</v>
      </c>
      <c r="EE30" s="49">
        <v>42514</v>
      </c>
      <c r="EF30" s="49">
        <v>26.853000000000002</v>
      </c>
      <c r="EG30" s="37">
        <f t="shared" si="40"/>
        <v>23310.89</v>
      </c>
      <c r="EH30" s="51">
        <v>11902</v>
      </c>
      <c r="EI30" s="51">
        <v>1.5817000000000001</v>
      </c>
      <c r="EJ30" s="37">
        <f t="shared" si="41"/>
        <v>12150.89</v>
      </c>
      <c r="EK30" s="37">
        <v>717.99</v>
      </c>
      <c r="EL30" s="40">
        <v>1031.5999999999999</v>
      </c>
      <c r="EM30" s="37">
        <f t="shared" si="62"/>
        <v>909.99999999996817</v>
      </c>
      <c r="EN30" s="54">
        <f t="shared" si="63"/>
        <v>36371.77999999997</v>
      </c>
      <c r="EO30" s="48">
        <v>11994</v>
      </c>
      <c r="EP30" s="48">
        <v>4176</v>
      </c>
      <c r="EQ30" s="37">
        <f t="shared" si="42"/>
        <v>9150.89</v>
      </c>
      <c r="ER30" s="48">
        <v>7505.9</v>
      </c>
      <c r="ES30" s="48">
        <v>3044.6</v>
      </c>
      <c r="ET30" s="49">
        <f t="shared" si="92"/>
        <v>19099.999999999454</v>
      </c>
      <c r="EU30" s="73">
        <v>2662.5</v>
      </c>
      <c r="EV30" s="48">
        <v>953.43</v>
      </c>
      <c r="EW30" s="49">
        <f t="shared" si="44"/>
        <v>7250.8899999999094</v>
      </c>
      <c r="EX30" s="48">
        <v>12150</v>
      </c>
      <c r="EY30" s="55">
        <v>1.2775000000000001</v>
      </c>
      <c r="EZ30" s="37">
        <f t="shared" si="45"/>
        <v>12150.89</v>
      </c>
      <c r="FA30" s="48">
        <f t="shared" si="64"/>
        <v>-22885.669999999362</v>
      </c>
      <c r="FB30" s="48">
        <v>33876269</v>
      </c>
      <c r="FC30" s="49">
        <f t="shared" si="85"/>
        <v>24767</v>
      </c>
      <c r="FD30" s="48">
        <f t="shared" si="65"/>
        <v>49252.669999999271</v>
      </c>
      <c r="FE30" s="48">
        <v>16035</v>
      </c>
      <c r="FF30" s="55">
        <v>5756</v>
      </c>
      <c r="FG30" s="37">
        <f t="shared" si="66"/>
        <v>5050.8900000000003</v>
      </c>
      <c r="FH30" s="48">
        <v>6954.8</v>
      </c>
      <c r="FI30" s="48">
        <v>2.6764000000000001</v>
      </c>
      <c r="FJ30" s="49">
        <f t="shared" si="46"/>
        <v>9850.8900000001813</v>
      </c>
      <c r="FK30" s="48"/>
      <c r="FL30" s="58">
        <v>-100</v>
      </c>
      <c r="FM30" s="48">
        <f t="shared" si="86"/>
        <v>-150.89000000006004</v>
      </c>
      <c r="FN30" s="48">
        <v>15289</v>
      </c>
      <c r="FO30" s="48">
        <v>0.67290000000000005</v>
      </c>
      <c r="FP30" s="37">
        <f t="shared" si="67"/>
        <v>7050.89</v>
      </c>
      <c r="FQ30" s="48">
        <v>54364</v>
      </c>
      <c r="FR30" s="48">
        <v>12.952</v>
      </c>
      <c r="FS30" s="37">
        <f t="shared" si="47"/>
        <v>37000</v>
      </c>
      <c r="FT30" s="48">
        <f t="shared" si="93"/>
        <v>-452.67000000018015</v>
      </c>
      <c r="FU30" s="48">
        <f t="shared" si="69"/>
        <v>21952.67000000018</v>
      </c>
      <c r="FV30" s="44">
        <v>2353200</v>
      </c>
      <c r="FW30" s="44">
        <v>761920</v>
      </c>
      <c r="FX30" s="37">
        <f t="shared" si="48"/>
        <v>25400</v>
      </c>
      <c r="FY30" s="56">
        <v>2787.8</v>
      </c>
      <c r="FZ30" s="56">
        <v>1.5962000000000001</v>
      </c>
      <c r="GA30" s="37">
        <f t="shared" si="91"/>
        <v>6580</v>
      </c>
      <c r="GB30" s="56">
        <v>735.7</v>
      </c>
      <c r="GC30" s="56">
        <v>815.54</v>
      </c>
      <c r="GD30" s="37">
        <f t="shared" si="49"/>
        <v>700.00000000004547</v>
      </c>
      <c r="GE30" s="56">
        <v>9148</v>
      </c>
      <c r="GF30" s="56">
        <v>2.7164999999999999</v>
      </c>
      <c r="GG30" s="37">
        <f t="shared" si="50"/>
        <v>6299.9999999997272</v>
      </c>
      <c r="GH30" s="158">
        <v>1762.1</v>
      </c>
      <c r="GI30" s="159">
        <v>1486.2</v>
      </c>
      <c r="GJ30" s="38">
        <f t="shared" si="51"/>
        <v>1599.9999999999091</v>
      </c>
      <c r="GK30" s="159">
        <v>1399.1</v>
      </c>
      <c r="GL30" s="160">
        <v>1088.9000000000001</v>
      </c>
      <c r="GM30" s="38">
        <f t="shared" si="52"/>
        <v>0</v>
      </c>
      <c r="GN30" s="57">
        <v>158880</v>
      </c>
      <c r="GO30" s="57">
        <v>138610</v>
      </c>
      <c r="GP30" s="38">
        <f t="shared" si="90"/>
        <v>0</v>
      </c>
      <c r="GQ30" s="38">
        <v>196440</v>
      </c>
      <c r="GR30" s="38">
        <v>197950</v>
      </c>
      <c r="GS30" s="38">
        <f t="shared" si="70"/>
        <v>920</v>
      </c>
      <c r="GT30" s="178"/>
      <c r="GU30" s="144">
        <f>DailyJan!B29-DailyJan!N29-DailyJan!V29-DailyJan!Y29-DailyJan!Z29-DailyJan!AA29-DailyJan!AB29-DailyJan!AC29-DailyJan!AD29-DailyJan!AE29-DailyJan!AK29-DailyJan!AO29-DailyJan!AS29-DailyJan!AY29-DailyJan!BD29+DailyJan!BS29-SUM(DailyJan!BM29:BQ29)-DailyJan!BR29-DailyJan!AF29-DailyJan!AG29</f>
        <v>4.6800002881354885E-2</v>
      </c>
      <c r="GV30" s="59">
        <v>2263.3968000029017</v>
      </c>
      <c r="GW30" s="60">
        <f t="shared" si="53"/>
        <v>150.89312000019345</v>
      </c>
      <c r="GX30" s="61">
        <v>150.88999999999999</v>
      </c>
      <c r="GY30" s="140"/>
      <c r="GZ30" s="62"/>
      <c r="HA30" s="62">
        <v>2263.3968000000036</v>
      </c>
      <c r="HB30" s="74"/>
      <c r="HC30" s="62">
        <v>13714.003199999996</v>
      </c>
      <c r="HD30" s="74"/>
      <c r="HE30" s="24">
        <v>13714.003199999996</v>
      </c>
      <c r="HG30" s="62"/>
      <c r="HJ30" s="3"/>
    </row>
    <row r="31" spans="1:218" x14ac:dyDescent="0.25">
      <c r="A31" s="35">
        <f t="shared" si="2"/>
        <v>25</v>
      </c>
      <c r="B31" s="38">
        <v>3316.1</v>
      </c>
      <c r="C31" s="38">
        <f t="shared" si="3"/>
        <v>7.7399999999997817</v>
      </c>
      <c r="D31" s="38">
        <f t="shared" si="4"/>
        <v>247679.99999999302</v>
      </c>
      <c r="E31" s="38">
        <v>668.04</v>
      </c>
      <c r="F31" s="38">
        <f t="shared" si="89"/>
        <v>52159.999999999854</v>
      </c>
      <c r="G31" s="38">
        <f t="shared" si="6"/>
        <v>299839.9999999929</v>
      </c>
      <c r="H31" s="37"/>
      <c r="I31" s="39"/>
      <c r="J31" s="42"/>
      <c r="K31" s="37">
        <f t="shared" si="71"/>
        <v>0</v>
      </c>
      <c r="L31" s="40">
        <v>9417300</v>
      </c>
      <c r="M31" s="40"/>
      <c r="N31" s="37">
        <f t="shared" si="72"/>
        <v>295000</v>
      </c>
      <c r="O31" s="37">
        <v>9329.4</v>
      </c>
      <c r="P31" s="37"/>
      <c r="Q31" s="37">
        <f t="shared" si="101"/>
        <v>13100.000000000364</v>
      </c>
      <c r="R31" s="37">
        <f t="shared" si="73"/>
        <v>1</v>
      </c>
      <c r="S31" s="37">
        <v>10938012.98</v>
      </c>
      <c r="T31" s="37">
        <f t="shared" si="8"/>
        <v>0</v>
      </c>
      <c r="U31" s="37">
        <v>1518125.52</v>
      </c>
      <c r="V31" s="37">
        <f t="shared" si="9"/>
        <v>0</v>
      </c>
      <c r="W31" s="37">
        <v>3189.5</v>
      </c>
      <c r="X31" s="37">
        <f t="shared" si="87"/>
        <v>8200.0000000003638</v>
      </c>
      <c r="Y31" s="183"/>
      <c r="Z31" s="183">
        <f t="shared" si="10"/>
        <v>0</v>
      </c>
      <c r="AA31" s="37">
        <v>417200</v>
      </c>
      <c r="AB31" s="37">
        <f t="shared" si="11"/>
        <v>4900</v>
      </c>
      <c r="AC31" s="37">
        <v>3382.2</v>
      </c>
      <c r="AD31" s="37"/>
      <c r="AE31" s="37">
        <f t="shared" si="102"/>
        <v>4699.9999999998181</v>
      </c>
      <c r="AF31" s="37">
        <f t="shared" si="74"/>
        <v>1</v>
      </c>
      <c r="AG31" s="37">
        <v>7370.7</v>
      </c>
      <c r="AH31" s="37"/>
      <c r="AI31" s="37">
        <f t="shared" si="13"/>
        <v>11164.21</v>
      </c>
      <c r="AJ31" s="37">
        <f t="shared" si="14"/>
        <v>1</v>
      </c>
      <c r="AK31" s="37">
        <f t="shared" si="15"/>
        <v>24064.210000000181</v>
      </c>
      <c r="AL31" s="42">
        <v>9529.4</v>
      </c>
      <c r="AM31" s="2"/>
      <c r="AN31" s="37">
        <f t="shared" si="54"/>
        <v>7074.2099999999127</v>
      </c>
      <c r="AO31" s="37">
        <f t="shared" si="75"/>
        <v>1</v>
      </c>
      <c r="AP31" s="37">
        <v>7187.2</v>
      </c>
      <c r="AQ31" s="37"/>
      <c r="AR31" s="37">
        <f t="shared" si="16"/>
        <v>14399.999999999636</v>
      </c>
      <c r="AS31" s="37">
        <f t="shared" si="76"/>
        <v>1</v>
      </c>
      <c r="AT31" s="183"/>
      <c r="AU31" s="183">
        <f t="shared" si="17"/>
        <v>0</v>
      </c>
      <c r="AV31" s="183"/>
      <c r="AW31" s="183">
        <f t="shared" si="18"/>
        <v>0</v>
      </c>
      <c r="AX31" s="37">
        <v>441890</v>
      </c>
      <c r="AY31" s="37"/>
      <c r="AZ31" s="37">
        <f t="shared" si="19"/>
        <v>530</v>
      </c>
      <c r="BA31" s="37">
        <v>86450</v>
      </c>
      <c r="BB31" s="37"/>
      <c r="BC31" s="37">
        <f t="shared" si="20"/>
        <v>710</v>
      </c>
      <c r="BD31" s="37">
        <f t="shared" si="77"/>
        <v>22714.209999999548</v>
      </c>
      <c r="BE31" s="43">
        <v>1622.1</v>
      </c>
      <c r="BF31" s="43">
        <v>880.63</v>
      </c>
      <c r="BG31" s="37">
        <f t="shared" si="21"/>
        <v>2099.9999999999091</v>
      </c>
      <c r="BH31" s="44">
        <v>7807</v>
      </c>
      <c r="BI31" s="44">
        <v>5022.3</v>
      </c>
      <c r="BJ31" s="37">
        <f t="shared" si="22"/>
        <v>9699.9999999998181</v>
      </c>
      <c r="BK31" s="40">
        <v>1104650</v>
      </c>
      <c r="BL31" s="40">
        <f t="shared" si="78"/>
        <v>4560</v>
      </c>
      <c r="BM31" s="40">
        <v>792.02</v>
      </c>
      <c r="BN31" s="37">
        <f t="shared" si="23"/>
        <v>730.00000000001819</v>
      </c>
      <c r="BO31" s="186"/>
      <c r="BP31" s="183">
        <f t="shared" si="24"/>
        <v>0</v>
      </c>
      <c r="BQ31" s="40">
        <v>751.2</v>
      </c>
      <c r="BR31" s="37">
        <f t="shared" si="55"/>
        <v>800.00000000006821</v>
      </c>
      <c r="BS31" s="37">
        <v>73641.210000000006</v>
      </c>
      <c r="BT31" s="37">
        <f t="shared" si="25"/>
        <v>183.01000000000931</v>
      </c>
      <c r="BU31" s="42">
        <v>1885111</v>
      </c>
      <c r="BV31" s="42"/>
      <c r="BW31" s="37">
        <f t="shared" si="26"/>
        <v>7871</v>
      </c>
      <c r="BX31" s="37">
        <f t="shared" si="79"/>
        <v>1</v>
      </c>
      <c r="BY31" s="43">
        <v>264.05959999999999</v>
      </c>
      <c r="BZ31" s="37"/>
      <c r="CA31" s="37">
        <f t="shared" si="94"/>
        <v>800.90000000001282</v>
      </c>
      <c r="CB31" s="37">
        <f t="shared" si="56"/>
        <v>1</v>
      </c>
      <c r="CC31" s="37">
        <v>446803.3</v>
      </c>
      <c r="CD31" s="37">
        <f t="shared" si="28"/>
        <v>3466.8999999999651</v>
      </c>
      <c r="CE31" s="41">
        <v>697299.9</v>
      </c>
      <c r="CF31" s="37">
        <f t="shared" si="57"/>
        <v>0</v>
      </c>
      <c r="CG31" s="37">
        <v>52139.4</v>
      </c>
      <c r="CH31" s="37">
        <f t="shared" si="58"/>
        <v>193.80000000000291</v>
      </c>
      <c r="CI31" s="40">
        <v>10673.64</v>
      </c>
      <c r="CJ31" s="40"/>
      <c r="CK31" s="37">
        <f t="shared" si="59"/>
        <v>16333.309999999332</v>
      </c>
      <c r="CL31" s="37">
        <f t="shared" si="29"/>
        <v>1</v>
      </c>
      <c r="CM31" s="37">
        <v>2731.6779999999999</v>
      </c>
      <c r="CN31" s="37"/>
      <c r="CO31" s="37">
        <f t="shared" si="30"/>
        <v>6256.2100000000983</v>
      </c>
      <c r="CP31" s="37">
        <f t="shared" si="80"/>
        <v>1</v>
      </c>
      <c r="CQ31" s="39">
        <v>2653.395</v>
      </c>
      <c r="CR31" s="39"/>
      <c r="CS31" s="37">
        <f t="shared" si="31"/>
        <v>6843.2100000000873</v>
      </c>
      <c r="CT31" s="37">
        <f t="shared" si="81"/>
        <v>1</v>
      </c>
      <c r="CU31" s="37">
        <v>2057244</v>
      </c>
      <c r="CV31" s="37"/>
      <c r="CW31" s="38">
        <f t="shared" si="32"/>
        <v>14321</v>
      </c>
      <c r="CX31" s="37">
        <f t="shared" si="82"/>
        <v>1</v>
      </c>
      <c r="CY31" s="37">
        <v>1092745</v>
      </c>
      <c r="CZ31" s="37"/>
      <c r="DA31" s="37">
        <f t="shared" si="103"/>
        <v>9369</v>
      </c>
      <c r="DB31" s="37">
        <f t="shared" si="83"/>
        <v>1</v>
      </c>
      <c r="DC31" s="37"/>
      <c r="DD31" s="40"/>
      <c r="DE31" s="37">
        <f t="shared" si="34"/>
        <v>0</v>
      </c>
      <c r="DF31" s="37">
        <f t="shared" si="88"/>
        <v>0</v>
      </c>
      <c r="DG31" s="37">
        <f t="shared" si="35"/>
        <v>-60993.729999999516</v>
      </c>
      <c r="DH31" s="37">
        <f t="shared" si="36"/>
        <v>321164.21000000008</v>
      </c>
      <c r="DI31" s="46"/>
      <c r="DJ31" s="46"/>
      <c r="DK31" s="47"/>
      <c r="DL31" s="47"/>
      <c r="DM31" s="37"/>
      <c r="DN31" s="37"/>
      <c r="DO31" s="37"/>
      <c r="DP31" s="37"/>
      <c r="DQ31" s="50">
        <v>2501200</v>
      </c>
      <c r="DR31" s="49">
        <f t="shared" si="60"/>
        <v>12000</v>
      </c>
      <c r="DS31" s="50">
        <v>1725200</v>
      </c>
      <c r="DT31" s="49">
        <f t="shared" si="61"/>
        <v>14400</v>
      </c>
      <c r="DU31" s="51">
        <v>7476.1</v>
      </c>
      <c r="DV31" s="51">
        <v>4170.3</v>
      </c>
      <c r="DW31" s="37">
        <f t="shared" si="84"/>
        <v>4600.0000000003638</v>
      </c>
      <c r="DX31" s="52">
        <v>12388</v>
      </c>
      <c r="DY31" s="52">
        <v>8209.1</v>
      </c>
      <c r="DZ31" s="37">
        <f t="shared" si="37"/>
        <v>6164.21</v>
      </c>
      <c r="EA31" s="49">
        <v>27515</v>
      </c>
      <c r="EB31" s="49">
        <v>19.631</v>
      </c>
      <c r="EC31" s="37">
        <f t="shared" si="38"/>
        <v>24324.21</v>
      </c>
      <c r="ED31" s="53">
        <f t="shared" si="39"/>
        <v>35088.420000000362</v>
      </c>
      <c r="EE31" s="49">
        <v>42535</v>
      </c>
      <c r="EF31" s="49">
        <v>26.876999999999999</v>
      </c>
      <c r="EG31" s="37">
        <f t="shared" si="40"/>
        <v>23324.21</v>
      </c>
      <c r="EH31" s="51">
        <v>11914</v>
      </c>
      <c r="EI31" s="51">
        <v>1.5843</v>
      </c>
      <c r="EJ31" s="37">
        <f t="shared" si="41"/>
        <v>12164.21</v>
      </c>
      <c r="EK31" s="37">
        <v>718.74</v>
      </c>
      <c r="EL31" s="40">
        <v>1032.8</v>
      </c>
      <c r="EM31" s="37">
        <f t="shared" si="62"/>
        <v>750</v>
      </c>
      <c r="EN31" s="54">
        <f t="shared" si="63"/>
        <v>36238.42</v>
      </c>
      <c r="EO31" s="48">
        <v>12003</v>
      </c>
      <c r="EP31" s="48">
        <v>4179.2</v>
      </c>
      <c r="EQ31" s="37">
        <f t="shared" si="42"/>
        <v>9164.2099999999991</v>
      </c>
      <c r="ER31" s="48">
        <v>7525.6</v>
      </c>
      <c r="ES31" s="48">
        <v>3052.8</v>
      </c>
      <c r="ET31" s="49">
        <f t="shared" si="92"/>
        <v>19700.000000000728</v>
      </c>
      <c r="EU31" s="48">
        <v>2669.9</v>
      </c>
      <c r="EV31" s="48">
        <v>956.07</v>
      </c>
      <c r="EW31" s="49">
        <f t="shared" si="44"/>
        <v>7564.210000000091</v>
      </c>
      <c r="EX31" s="48">
        <v>12161</v>
      </c>
      <c r="EY31" s="48">
        <v>1.2797000000000001</v>
      </c>
      <c r="EZ31" s="37">
        <f t="shared" si="45"/>
        <v>11164.21</v>
      </c>
      <c r="FA31" s="48">
        <f t="shared" si="64"/>
        <v>-23270.630000000816</v>
      </c>
      <c r="FB31" s="48">
        <v>33900591</v>
      </c>
      <c r="FC31" s="49">
        <f t="shared" si="85"/>
        <v>24322</v>
      </c>
      <c r="FD31" s="48">
        <f t="shared" si="65"/>
        <v>49192.630000000958</v>
      </c>
      <c r="FE31" s="48">
        <v>16043</v>
      </c>
      <c r="FF31" s="48">
        <v>5759.1</v>
      </c>
      <c r="FG31" s="37">
        <f t="shared" si="66"/>
        <v>8530.8799999999992</v>
      </c>
      <c r="FH31" s="48">
        <v>6972.3</v>
      </c>
      <c r="FI31" s="48">
        <v>2.6833</v>
      </c>
      <c r="FJ31" s="49">
        <f t="shared" si="46"/>
        <v>18030.879999999997</v>
      </c>
      <c r="FK31" s="48"/>
      <c r="FL31" s="58">
        <v>366.67</v>
      </c>
      <c r="FM31" s="48">
        <f>FT31/3</f>
        <v>-164.21333333333132</v>
      </c>
      <c r="FN31" s="48">
        <v>15298</v>
      </c>
      <c r="FO31" s="48">
        <v>0.67449999999999999</v>
      </c>
      <c r="FP31" s="37">
        <f t="shared" si="67"/>
        <v>9530.8799999999992</v>
      </c>
      <c r="FQ31" s="48">
        <v>54414</v>
      </c>
      <c r="FR31" s="48">
        <v>12.968</v>
      </c>
      <c r="FS31" s="37">
        <f t="shared" si="47"/>
        <v>50000</v>
      </c>
      <c r="FT31" s="48">
        <f t="shared" si="93"/>
        <v>-492.63999999999396</v>
      </c>
      <c r="FU31" s="48">
        <f>FG31+FJ31+FP31+GM31</f>
        <v>36092.639999999992</v>
      </c>
      <c r="FV31" s="44">
        <v>2387300</v>
      </c>
      <c r="FW31" s="44">
        <v>771800</v>
      </c>
      <c r="FX31" s="37">
        <f t="shared" si="48"/>
        <v>34100</v>
      </c>
      <c r="FY31" s="56">
        <v>2796.7</v>
      </c>
      <c r="FZ31" s="56">
        <v>1.6042000000000001</v>
      </c>
      <c r="GA31" s="37">
        <f t="shared" si="91"/>
        <v>7639.9999999996362</v>
      </c>
      <c r="GB31" s="56">
        <v>736.53</v>
      </c>
      <c r="GC31" s="56">
        <v>816.5</v>
      </c>
      <c r="GD31" s="37">
        <f t="shared" si="49"/>
        <v>829.99999999992724</v>
      </c>
      <c r="GE31" s="56">
        <v>9157</v>
      </c>
      <c r="GF31" s="56">
        <v>2.7233000000000001</v>
      </c>
      <c r="GG31" s="37">
        <f t="shared" si="50"/>
        <v>7399.9999999998636</v>
      </c>
      <c r="GH31" s="158">
        <v>1763.7</v>
      </c>
      <c r="GI31" s="159">
        <v>1487.7</v>
      </c>
      <c r="GJ31" s="38">
        <f t="shared" si="51"/>
        <v>1600.0000000001364</v>
      </c>
      <c r="GK31" s="159">
        <v>1399.1</v>
      </c>
      <c r="GL31" s="160">
        <v>1088.9000000000001</v>
      </c>
      <c r="GM31" s="38">
        <f t="shared" si="52"/>
        <v>0</v>
      </c>
      <c r="GN31" s="57">
        <v>158880</v>
      </c>
      <c r="GO31" s="57">
        <v>138610</v>
      </c>
      <c r="GP31" s="38">
        <f t="shared" si="90"/>
        <v>0</v>
      </c>
      <c r="GQ31" s="38">
        <v>197700</v>
      </c>
      <c r="GR31" s="38">
        <v>198940</v>
      </c>
      <c r="GS31" s="38">
        <f t="shared" si="70"/>
        <v>1260</v>
      </c>
      <c r="GT31" s="178"/>
      <c r="GU31" s="144">
        <f>DailyJan!B30-DailyJan!N30-DailyJan!V30-DailyJan!Y30-DailyJan!Z30-DailyJan!AA30-DailyJan!AB30-DailyJan!AC30-DailyJan!AD30-DailyJan!AE30-DailyJan!AK30-DailyJan!AO30-DailyJan!AS30-DailyJan!AY30-DailyJan!BD30+DailyJan!BS30-SUM(DailyJan!BM30:BQ30)-DailyJan!BR30-DailyJan!AF30-DailyJan!AG30</f>
        <v>3.5599992985225981E-2</v>
      </c>
      <c r="GV31" s="59">
        <v>2463.185599992943</v>
      </c>
      <c r="GW31" s="60">
        <f t="shared" si="53"/>
        <v>164.21237333286288</v>
      </c>
      <c r="GX31" s="61">
        <v>164.21</v>
      </c>
      <c r="GY31" s="140"/>
      <c r="GZ31" s="62"/>
      <c r="HA31" s="62">
        <v>2463.1855999999416</v>
      </c>
      <c r="HB31" s="74"/>
      <c r="HC31" s="62">
        <v>20275.104400000058</v>
      </c>
      <c r="HD31" s="74"/>
      <c r="HE31" s="74">
        <v>20275.104400000058</v>
      </c>
      <c r="HF31" s="3"/>
      <c r="HG31" s="62"/>
    </row>
    <row r="32" spans="1:218" x14ac:dyDescent="0.25">
      <c r="A32" s="35">
        <f t="shared" si="2"/>
        <v>26</v>
      </c>
      <c r="B32" s="38">
        <v>3322.91</v>
      </c>
      <c r="C32" s="38">
        <f t="shared" si="3"/>
        <v>6.8099999999999454</v>
      </c>
      <c r="D32" s="38">
        <f t="shared" si="4"/>
        <v>217919.99999999825</v>
      </c>
      <c r="E32" s="38">
        <v>669.64</v>
      </c>
      <c r="F32" s="38">
        <f t="shared" si="89"/>
        <v>51200.000000000728</v>
      </c>
      <c r="G32" s="38">
        <f t="shared" si="6"/>
        <v>269119.99999999895</v>
      </c>
      <c r="H32" s="37"/>
      <c r="I32" s="39"/>
      <c r="J32" s="42"/>
      <c r="K32" s="37">
        <f t="shared" si="71"/>
        <v>0</v>
      </c>
      <c r="L32" s="40">
        <v>9444400</v>
      </c>
      <c r="M32" s="40"/>
      <c r="N32" s="37">
        <f t="shared" si="72"/>
        <v>271000</v>
      </c>
      <c r="O32" s="37">
        <v>9343.1</v>
      </c>
      <c r="P32" s="37"/>
      <c r="Q32" s="37">
        <f t="shared" si="101"/>
        <v>13700.000000000728</v>
      </c>
      <c r="R32" s="37">
        <f t="shared" si="73"/>
        <v>1</v>
      </c>
      <c r="S32" s="37">
        <v>10938012.98</v>
      </c>
      <c r="T32" s="37">
        <f t="shared" si="8"/>
        <v>0</v>
      </c>
      <c r="U32" s="37">
        <v>1518125.52</v>
      </c>
      <c r="V32" s="37">
        <f>IF((U32-U31)&lt;=0,0,(U32-U31))</f>
        <v>0</v>
      </c>
      <c r="W32" s="37">
        <v>3196.4</v>
      </c>
      <c r="X32" s="37">
        <f t="shared" si="87"/>
        <v>8510.0000000007276</v>
      </c>
      <c r="Y32" s="183"/>
      <c r="Z32" s="183">
        <f t="shared" si="10"/>
        <v>0</v>
      </c>
      <c r="AA32" s="37">
        <v>422390</v>
      </c>
      <c r="AB32" s="37">
        <f t="shared" si="11"/>
        <v>5190</v>
      </c>
      <c r="AC32" s="37">
        <v>3388.1</v>
      </c>
      <c r="AD32" s="37"/>
      <c r="AE32" s="37">
        <f t="shared" si="102"/>
        <v>5900.0000000000909</v>
      </c>
      <c r="AF32" s="37">
        <f t="shared" si="74"/>
        <v>1</v>
      </c>
      <c r="AG32" s="37">
        <v>7384</v>
      </c>
      <c r="AH32" s="37"/>
      <c r="AI32" s="37">
        <f t="shared" si="13"/>
        <v>13447.390000000181</v>
      </c>
      <c r="AJ32" s="37">
        <f t="shared" si="14"/>
        <v>1</v>
      </c>
      <c r="AK32" s="37">
        <f t="shared" si="15"/>
        <v>27857.390000001</v>
      </c>
      <c r="AL32" s="42">
        <v>9542.2999999999993</v>
      </c>
      <c r="AM32" s="42"/>
      <c r="AN32" s="37">
        <f t="shared" si="54"/>
        <v>7557.3899999996947</v>
      </c>
      <c r="AO32" s="37">
        <f t="shared" si="75"/>
        <v>1</v>
      </c>
      <c r="AP32" s="37">
        <v>7199</v>
      </c>
      <c r="AQ32" s="37"/>
      <c r="AR32" s="37">
        <f t="shared" si="16"/>
        <v>11800.000000000182</v>
      </c>
      <c r="AS32" s="37">
        <f t="shared" si="76"/>
        <v>1</v>
      </c>
      <c r="AT32" s="183"/>
      <c r="AU32" s="183">
        <f t="shared" si="17"/>
        <v>0</v>
      </c>
      <c r="AV32" s="183"/>
      <c r="AW32" s="183">
        <f t="shared" si="18"/>
        <v>0</v>
      </c>
      <c r="AX32" s="37">
        <v>442341.48</v>
      </c>
      <c r="AY32" s="37"/>
      <c r="AZ32" s="37">
        <f t="shared" si="19"/>
        <v>451.47999999998137</v>
      </c>
      <c r="BA32" s="37">
        <v>87045.648000000001</v>
      </c>
      <c r="BB32" s="37"/>
      <c r="BC32" s="37">
        <f t="shared" si="20"/>
        <v>595.64800000000105</v>
      </c>
      <c r="BD32" s="37">
        <f t="shared" si="77"/>
        <v>20404.517999999858</v>
      </c>
      <c r="BE32" s="43">
        <v>1624.2</v>
      </c>
      <c r="BF32" s="43">
        <v>881.84</v>
      </c>
      <c r="BG32" s="37">
        <f t="shared" si="21"/>
        <v>2100.0000000001364</v>
      </c>
      <c r="BH32" s="44">
        <v>7816.5</v>
      </c>
      <c r="BI32" s="44">
        <v>5028.5</v>
      </c>
      <c r="BJ32" s="37">
        <f t="shared" si="22"/>
        <v>9500</v>
      </c>
      <c r="BK32" s="40">
        <v>1108700</v>
      </c>
      <c r="BL32" s="40">
        <f t="shared" si="78"/>
        <v>4050</v>
      </c>
      <c r="BM32" s="40">
        <v>792.75</v>
      </c>
      <c r="BN32" s="37">
        <f t="shared" si="23"/>
        <v>730.00000000001819</v>
      </c>
      <c r="BO32" s="186"/>
      <c r="BP32" s="183">
        <f t="shared" si="24"/>
        <v>0</v>
      </c>
      <c r="BQ32" s="40">
        <v>751.91</v>
      </c>
      <c r="BR32" s="37">
        <f t="shared" si="55"/>
        <v>709.99999999992269</v>
      </c>
      <c r="BS32" s="37">
        <v>73851.66</v>
      </c>
      <c r="BT32" s="37">
        <f t="shared" si="25"/>
        <v>210.44999999999709</v>
      </c>
      <c r="BU32" s="42">
        <v>1892100</v>
      </c>
      <c r="BV32" s="42"/>
      <c r="BW32" s="37">
        <f t="shared" si="26"/>
        <v>6989</v>
      </c>
      <c r="BX32" s="37">
        <f t="shared" si="79"/>
        <v>1</v>
      </c>
      <c r="BY32" s="43">
        <v>264.74</v>
      </c>
      <c r="BZ32" s="43"/>
      <c r="CA32" s="37">
        <f t="shared" si="94"/>
        <v>680.4000000000201</v>
      </c>
      <c r="CB32" s="37">
        <f t="shared" si="56"/>
        <v>1</v>
      </c>
      <c r="CC32" s="37">
        <v>449700</v>
      </c>
      <c r="CD32" s="37">
        <f t="shared" si="28"/>
        <v>2896.7000000000116</v>
      </c>
      <c r="CE32" s="41">
        <v>697300</v>
      </c>
      <c r="CF32" s="37">
        <f t="shared" si="57"/>
        <v>9.9999999976716936E-2</v>
      </c>
      <c r="CG32" s="37">
        <v>52373</v>
      </c>
      <c r="CH32" s="37">
        <f t="shared" si="58"/>
        <v>233.59999999999854</v>
      </c>
      <c r="CI32" s="40">
        <v>10689</v>
      </c>
      <c r="CJ32" s="40"/>
      <c r="CK32" s="37">
        <f t="shared" si="59"/>
        <v>14826.990000000562</v>
      </c>
      <c r="CL32" s="37">
        <f t="shared" si="29"/>
        <v>1</v>
      </c>
      <c r="CM32" s="37">
        <v>2737.1</v>
      </c>
      <c r="CN32" s="37"/>
      <c r="CO32" s="37">
        <f t="shared" si="30"/>
        <v>5569.3900000000258</v>
      </c>
      <c r="CP32" s="37">
        <f t="shared" si="80"/>
        <v>1</v>
      </c>
      <c r="CQ32" s="39">
        <v>2659.2</v>
      </c>
      <c r="CR32" s="39"/>
      <c r="CS32" s="37">
        <f t="shared" si="31"/>
        <v>5952.3899999998366</v>
      </c>
      <c r="CT32" s="37">
        <f t="shared" si="81"/>
        <v>1</v>
      </c>
      <c r="CU32" s="37">
        <v>2074200</v>
      </c>
      <c r="CV32" s="37"/>
      <c r="CW32" s="38">
        <f t="shared" si="32"/>
        <v>16956</v>
      </c>
      <c r="CX32" s="37">
        <f>IF(CW32&lt;=0,0,(CW32/SQRT(CW32^2+(CV32-CV31)^2)))</f>
        <v>1</v>
      </c>
      <c r="CY32" s="37">
        <v>1103000</v>
      </c>
      <c r="CZ32" s="37"/>
      <c r="DA32" s="37">
        <f t="shared" si="103"/>
        <v>10255</v>
      </c>
      <c r="DB32" s="37">
        <f t="shared" si="83"/>
        <v>1</v>
      </c>
      <c r="DC32" s="37"/>
      <c r="DD32" s="40"/>
      <c r="DE32" s="37">
        <f t="shared" si="34"/>
        <v>0</v>
      </c>
      <c r="DF32" s="37">
        <f t="shared" si="88"/>
        <v>0</v>
      </c>
      <c r="DG32" s="37">
        <f t="shared" si="35"/>
        <v>-60548.770000000426</v>
      </c>
      <c r="DH32" s="37">
        <f t="shared" si="36"/>
        <v>300957.39000000112</v>
      </c>
      <c r="DI32" s="46"/>
      <c r="DJ32" s="46"/>
      <c r="DK32" s="47"/>
      <c r="DL32" s="47"/>
      <c r="DM32" s="37"/>
      <c r="DN32" s="37"/>
      <c r="DO32" s="37"/>
      <c r="DP32" s="37"/>
      <c r="DQ32" s="50">
        <v>2512500</v>
      </c>
      <c r="DR32" s="49">
        <f t="shared" si="60"/>
        <v>11300</v>
      </c>
      <c r="DS32" s="50">
        <v>1739000</v>
      </c>
      <c r="DT32" s="49">
        <f t="shared" si="61"/>
        <v>13800</v>
      </c>
      <c r="DU32" s="51">
        <v>7480.7</v>
      </c>
      <c r="DV32" s="51">
        <v>4173.1000000000004</v>
      </c>
      <c r="DW32" s="37">
        <f t="shared" si="84"/>
        <v>4599.9999999994543</v>
      </c>
      <c r="DX32" s="52">
        <v>12399</v>
      </c>
      <c r="DY32" s="52">
        <v>8211</v>
      </c>
      <c r="DZ32" s="37">
        <f t="shared" si="37"/>
        <v>11147.39</v>
      </c>
      <c r="EA32" s="49">
        <v>27537</v>
      </c>
      <c r="EB32" s="49">
        <v>19.643000000000001</v>
      </c>
      <c r="EC32" s="37">
        <f t="shared" si="38"/>
        <v>24307.39</v>
      </c>
      <c r="ED32" s="53">
        <f t="shared" si="39"/>
        <v>40054.779999999453</v>
      </c>
      <c r="EE32" s="49">
        <v>42556</v>
      </c>
      <c r="EF32" s="49">
        <v>26.901</v>
      </c>
      <c r="EG32" s="37">
        <f t="shared" si="40"/>
        <v>23307.39</v>
      </c>
      <c r="EH32" s="51">
        <v>11925</v>
      </c>
      <c r="EI32" s="51">
        <v>1.5871</v>
      </c>
      <c r="EJ32" s="37">
        <f t="shared" si="41"/>
        <v>11147.39</v>
      </c>
      <c r="EK32" s="37">
        <v>719.43</v>
      </c>
      <c r="EL32" s="40">
        <v>1033.8</v>
      </c>
      <c r="EM32" s="37">
        <f t="shared" si="62"/>
        <v>689.99999999994088</v>
      </c>
      <c r="EN32" s="54">
        <f t="shared" si="63"/>
        <v>35144.779999999941</v>
      </c>
      <c r="EO32" s="48">
        <v>12011</v>
      </c>
      <c r="EP32" s="48">
        <v>4182.1000000000004</v>
      </c>
      <c r="EQ32" s="37">
        <f t="shared" si="42"/>
        <v>8147.39</v>
      </c>
      <c r="ER32" s="48">
        <v>7544.8</v>
      </c>
      <c r="ES32" s="48">
        <v>3061.1</v>
      </c>
      <c r="ET32" s="49">
        <f t="shared" si="92"/>
        <v>19199.999999999818</v>
      </c>
      <c r="EU32" s="48">
        <v>2677.1</v>
      </c>
      <c r="EV32" s="48">
        <v>958.68</v>
      </c>
      <c r="EW32" s="49">
        <f t="shared" si="44"/>
        <v>7347.3899999998184</v>
      </c>
      <c r="EX32" s="48">
        <v>12173</v>
      </c>
      <c r="EY32" s="48">
        <v>1.2822</v>
      </c>
      <c r="EZ32" s="37">
        <f t="shared" si="45"/>
        <v>12147.39</v>
      </c>
      <c r="FA32" s="48">
        <f t="shared" si="64"/>
        <v>-23180.169999999634</v>
      </c>
      <c r="FB32" s="48">
        <v>33924253</v>
      </c>
      <c r="FC32" s="49">
        <f t="shared" si="85"/>
        <v>23662</v>
      </c>
      <c r="FD32" s="48">
        <f t="shared" si="65"/>
        <v>48442.169999999547</v>
      </c>
      <c r="FE32" s="48">
        <v>16050</v>
      </c>
      <c r="FF32" s="48">
        <v>5761.9</v>
      </c>
      <c r="FG32" s="37">
        <f t="shared" si="66"/>
        <v>7180.72</v>
      </c>
      <c r="FH32" s="48">
        <v>6983.4</v>
      </c>
      <c r="FI32" s="48">
        <v>2.6879</v>
      </c>
      <c r="FJ32" s="49">
        <f t="shared" si="46"/>
        <v>11280.719999999454</v>
      </c>
      <c r="FK32" s="48"/>
      <c r="FL32" s="58">
        <v>33.33</v>
      </c>
      <c r="FM32" s="48">
        <f>FT32/3</f>
        <v>-147.38666666648533</v>
      </c>
      <c r="FN32" s="48">
        <v>15307</v>
      </c>
      <c r="FO32" s="48">
        <v>0.67589999999999995</v>
      </c>
      <c r="FP32" s="37">
        <f t="shared" si="67"/>
        <v>9180.7199999999993</v>
      </c>
      <c r="FQ32" s="48">
        <v>54455</v>
      </c>
      <c r="FR32" s="48">
        <v>12.981</v>
      </c>
      <c r="FS32" s="37">
        <f t="shared" si="47"/>
        <v>41000</v>
      </c>
      <c r="FT32" s="48">
        <f t="shared" si="93"/>
        <v>-442.15999999945598</v>
      </c>
      <c r="FU32" s="48">
        <f t="shared" si="69"/>
        <v>28442.159999999632</v>
      </c>
      <c r="FV32" s="44">
        <v>2406400</v>
      </c>
      <c r="FW32" s="44">
        <v>778310</v>
      </c>
      <c r="FX32" s="37">
        <f t="shared" si="48"/>
        <v>19100</v>
      </c>
      <c r="FY32" s="56">
        <v>2802.8</v>
      </c>
      <c r="FZ32" s="56">
        <v>1.6102000000000001</v>
      </c>
      <c r="GA32" s="37">
        <f t="shared" si="91"/>
        <v>5070.0000000003638</v>
      </c>
      <c r="GB32" s="56">
        <v>737.2</v>
      </c>
      <c r="GC32" s="56">
        <v>817.34</v>
      </c>
      <c r="GD32" s="37">
        <f t="shared" si="49"/>
        <v>670.00000000007276</v>
      </c>
      <c r="GE32" s="56">
        <v>9164.7999999999993</v>
      </c>
      <c r="GF32" s="56">
        <v>2.7290000000000001</v>
      </c>
      <c r="GG32" s="37">
        <f>IF((GE32-GE31)*1000&lt;=0,0,(GE32-GE31)*1000)-GJ32-GM32</f>
        <v>5399.9999999991815</v>
      </c>
      <c r="GH32" s="158">
        <v>1765.3</v>
      </c>
      <c r="GI32" s="159">
        <v>1489.3</v>
      </c>
      <c r="GJ32" s="38">
        <f t="shared" si="51"/>
        <v>1599.9999999999091</v>
      </c>
      <c r="GK32" s="159">
        <v>1399.9</v>
      </c>
      <c r="GL32" s="160">
        <v>1089.3</v>
      </c>
      <c r="GM32" s="38">
        <f t="shared" si="52"/>
        <v>800.0000000001819</v>
      </c>
      <c r="GN32" s="57">
        <v>158880</v>
      </c>
      <c r="GO32" s="57">
        <v>138610</v>
      </c>
      <c r="GP32" s="38">
        <f t="shared" si="90"/>
        <v>0</v>
      </c>
      <c r="GQ32" s="38">
        <v>198730</v>
      </c>
      <c r="GR32" s="38">
        <v>199880</v>
      </c>
      <c r="GS32" s="38">
        <f t="shared" si="70"/>
        <v>1030</v>
      </c>
      <c r="GT32" s="178"/>
      <c r="GU32" s="144">
        <f>DailyJan!B31-DailyJan!N31-DailyJan!V31-DailyJan!Y31-DailyJan!Z31-DailyJan!AA31-DailyJan!AB31-DailyJan!AC31-DailyJan!AD31-DailyJan!AE31-DailyJan!AK31-DailyJan!AO31-DailyJan!AS31-DailyJan!AY31-DailyJan!BD31+DailyJan!BS31-SUM(DailyJan!BM31:BQ31)-DailyJan!BR31-DailyJan!AF31-DailyJan!AG31</f>
        <v>-2.7200000537050073E-2</v>
      </c>
      <c r="GV32" s="59">
        <v>2210.8227999994378</v>
      </c>
      <c r="GW32" s="60">
        <f t="shared" si="53"/>
        <v>147.3881866666292</v>
      </c>
      <c r="GX32" s="61">
        <v>147.38999999999999</v>
      </c>
      <c r="GY32" s="140"/>
      <c r="GZ32" s="62"/>
      <c r="HA32" s="62">
        <v>2210.8207999999913</v>
      </c>
      <c r="HB32" s="74"/>
      <c r="HC32" s="62">
        <v>12423.659200000009</v>
      </c>
      <c r="HD32" s="74"/>
      <c r="HE32" s="74">
        <v>12423.6592</v>
      </c>
      <c r="HG32" s="74"/>
    </row>
    <row r="33" spans="1:215" x14ac:dyDescent="0.25">
      <c r="A33" s="35">
        <f t="shared" si="2"/>
        <v>27</v>
      </c>
      <c r="B33" s="38">
        <v>3330.52</v>
      </c>
      <c r="C33" s="38">
        <f t="shared" si="3"/>
        <v>7.6100000000001273</v>
      </c>
      <c r="D33" s="38">
        <f t="shared" si="4"/>
        <v>243520.00000000407</v>
      </c>
      <c r="E33" s="38">
        <v>671.11</v>
      </c>
      <c r="F33" s="38">
        <f t="shared" si="89"/>
        <v>47040.000000000873</v>
      </c>
      <c r="G33" s="38">
        <f t="shared" si="6"/>
        <v>290560.00000000495</v>
      </c>
      <c r="H33" s="37"/>
      <c r="I33" s="39"/>
      <c r="J33" s="42"/>
      <c r="K33" s="37">
        <f t="shared" si="71"/>
        <v>0</v>
      </c>
      <c r="L33" s="40">
        <v>9473300</v>
      </c>
      <c r="M33" s="40"/>
      <c r="N33" s="37">
        <f t="shared" si="72"/>
        <v>289000</v>
      </c>
      <c r="O33" s="37">
        <v>9356.9</v>
      </c>
      <c r="P33" s="37"/>
      <c r="Q33" s="37">
        <f t="shared" si="101"/>
        <v>13799.999999999272</v>
      </c>
      <c r="R33" s="37">
        <f t="shared" si="73"/>
        <v>1</v>
      </c>
      <c r="S33" s="37">
        <v>10938012.98</v>
      </c>
      <c r="T33" s="37">
        <f t="shared" si="8"/>
        <v>0</v>
      </c>
      <c r="U33" s="37">
        <v>1518125.52</v>
      </c>
      <c r="V33" s="37">
        <f t="shared" si="9"/>
        <v>0</v>
      </c>
      <c r="W33" s="37">
        <v>3203.2</v>
      </c>
      <c r="X33" s="37">
        <f t="shared" si="87"/>
        <v>8449.9999999992724</v>
      </c>
      <c r="Y33" s="183"/>
      <c r="Z33" s="183">
        <f t="shared" si="10"/>
        <v>0</v>
      </c>
      <c r="AA33" s="37">
        <v>427740</v>
      </c>
      <c r="AB33" s="37">
        <f t="shared" si="11"/>
        <v>5350</v>
      </c>
      <c r="AC33" s="37">
        <v>3395.6</v>
      </c>
      <c r="AD33" s="37"/>
      <c r="AE33" s="37">
        <f t="shared" si="102"/>
        <v>7500</v>
      </c>
      <c r="AF33" s="37">
        <f t="shared" si="74"/>
        <v>1</v>
      </c>
      <c r="AG33" s="37">
        <v>7401</v>
      </c>
      <c r="AH33" s="37"/>
      <c r="AI33" s="37">
        <f t="shared" si="13"/>
        <v>17159.13</v>
      </c>
      <c r="AJ33" s="37">
        <f t="shared" si="14"/>
        <v>1</v>
      </c>
      <c r="AK33" s="37">
        <f t="shared" si="15"/>
        <v>33109.129999999277</v>
      </c>
      <c r="AL33" s="42">
        <v>9554.6</v>
      </c>
      <c r="AM33" s="42"/>
      <c r="AN33" s="37">
        <f t="shared" si="54"/>
        <v>7279.1300000010497</v>
      </c>
      <c r="AO33" s="37">
        <f t="shared" si="75"/>
        <v>1</v>
      </c>
      <c r="AP33" s="37">
        <v>7208.1</v>
      </c>
      <c r="AQ33" s="37"/>
      <c r="AR33" s="37">
        <f t="shared" si="16"/>
        <v>9100.0000000003638</v>
      </c>
      <c r="AS33" s="37">
        <f t="shared" si="76"/>
        <v>1</v>
      </c>
      <c r="AT33" s="183"/>
      <c r="AU33" s="183">
        <f t="shared" si="17"/>
        <v>0</v>
      </c>
      <c r="AV33" s="183"/>
      <c r="AW33" s="183">
        <f t="shared" si="18"/>
        <v>0</v>
      </c>
      <c r="AX33" s="37">
        <v>442454.16</v>
      </c>
      <c r="AY33" s="37"/>
      <c r="AZ33" s="37">
        <f t="shared" si="19"/>
        <v>112.67999999999302</v>
      </c>
      <c r="BA33" s="37">
        <v>87136.072</v>
      </c>
      <c r="BB33" s="37"/>
      <c r="BC33" s="37">
        <f t="shared" si="20"/>
        <v>90.423999999999069</v>
      </c>
      <c r="BD33" s="37">
        <f t="shared" si="77"/>
        <v>16582.234000001405</v>
      </c>
      <c r="BE33" s="43">
        <v>1626.1</v>
      </c>
      <c r="BF33" s="43">
        <v>883</v>
      </c>
      <c r="BG33" s="37">
        <f t="shared" si="21"/>
        <v>1899.9999999998636</v>
      </c>
      <c r="BH33" s="44">
        <v>7826.3</v>
      </c>
      <c r="BI33" s="44">
        <v>5034.8999999999996</v>
      </c>
      <c r="BJ33" s="37">
        <f t="shared" si="22"/>
        <v>9800.0000000001819</v>
      </c>
      <c r="BK33" s="40">
        <v>1112800</v>
      </c>
      <c r="BL33" s="40">
        <f t="shared" si="78"/>
        <v>4100</v>
      </c>
      <c r="BM33" s="40">
        <v>793.46</v>
      </c>
      <c r="BN33" s="37">
        <f t="shared" si="23"/>
        <v>710.00000000003638</v>
      </c>
      <c r="BO33" s="186"/>
      <c r="BP33" s="183">
        <f t="shared" si="24"/>
        <v>0</v>
      </c>
      <c r="BQ33" s="40">
        <v>752.28</v>
      </c>
      <c r="BR33" s="37">
        <f t="shared" si="55"/>
        <v>370.00000000000455</v>
      </c>
      <c r="BS33" s="37">
        <v>74045.81</v>
      </c>
      <c r="BT33" s="37">
        <f t="shared" si="25"/>
        <v>194.14999999999418</v>
      </c>
      <c r="BU33" s="42">
        <v>1899900</v>
      </c>
      <c r="BV33" s="42"/>
      <c r="BW33" s="37">
        <f t="shared" si="26"/>
        <v>7800</v>
      </c>
      <c r="BX33" s="37">
        <f t="shared" si="79"/>
        <v>1</v>
      </c>
      <c r="BY33" s="43">
        <v>265.52</v>
      </c>
      <c r="BZ33" s="43"/>
      <c r="CA33" s="37">
        <f t="shared" si="94"/>
        <v>779.99999999997272</v>
      </c>
      <c r="CB33" s="37">
        <f t="shared" si="56"/>
        <v>1</v>
      </c>
      <c r="CC33" s="37">
        <v>453020</v>
      </c>
      <c r="CD33" s="37">
        <f t="shared" si="28"/>
        <v>3320</v>
      </c>
      <c r="CE33" s="41">
        <v>697330</v>
      </c>
      <c r="CF33" s="37">
        <f t="shared" si="57"/>
        <v>30</v>
      </c>
      <c r="CG33" s="37">
        <v>52373</v>
      </c>
      <c r="CH33" s="37">
        <f t="shared" si="58"/>
        <v>0</v>
      </c>
      <c r="CI33" s="40">
        <v>10706</v>
      </c>
      <c r="CJ33" s="40"/>
      <c r="CK33" s="37">
        <f t="shared" si="59"/>
        <v>16379.130000000028</v>
      </c>
      <c r="CL33" s="37">
        <f t="shared" si="29"/>
        <v>1</v>
      </c>
      <c r="CM33" s="37">
        <v>2743.3</v>
      </c>
      <c r="CN33" s="37"/>
      <c r="CO33" s="37">
        <f t="shared" si="30"/>
        <v>6359.130000000273</v>
      </c>
      <c r="CP33" s="37">
        <f t="shared" si="80"/>
        <v>1</v>
      </c>
      <c r="CQ33" s="39">
        <v>2665.8</v>
      </c>
      <c r="CR33" s="39"/>
      <c r="CS33" s="37">
        <f t="shared" si="31"/>
        <v>6759.1300000003639</v>
      </c>
      <c r="CT33" s="37">
        <f t="shared" si="81"/>
        <v>1</v>
      </c>
      <c r="CU33" s="37">
        <v>2094100</v>
      </c>
      <c r="CV33" s="37"/>
      <c r="CW33" s="38">
        <f t="shared" si="32"/>
        <v>19900</v>
      </c>
      <c r="CX33" s="37">
        <f t="shared" si="82"/>
        <v>1</v>
      </c>
      <c r="CY33" s="37">
        <v>1113600</v>
      </c>
      <c r="CZ33" s="37"/>
      <c r="DA33" s="37">
        <f t="shared" si="103"/>
        <v>10600</v>
      </c>
      <c r="DB33" s="37">
        <f t="shared" si="83"/>
        <v>1</v>
      </c>
      <c r="DC33" s="37"/>
      <c r="DD33" s="40"/>
      <c r="DE33" s="37">
        <f t="shared" si="34"/>
        <v>0</v>
      </c>
      <c r="DF33" s="37">
        <f t="shared" si="88"/>
        <v>0</v>
      </c>
      <c r="DG33" s="37">
        <f t="shared" si="35"/>
        <v>-67797.390000000654</v>
      </c>
      <c r="DH33" s="37">
        <f t="shared" si="36"/>
        <v>324009.12999999913</v>
      </c>
      <c r="DI33" s="46"/>
      <c r="DJ33" s="46"/>
      <c r="DK33" s="47"/>
      <c r="DL33" s="47"/>
      <c r="DM33" s="37"/>
      <c r="DN33" s="37"/>
      <c r="DO33" s="37"/>
      <c r="DP33" s="37"/>
      <c r="DQ33" s="50">
        <v>2521500</v>
      </c>
      <c r="DR33" s="49">
        <f t="shared" si="60"/>
        <v>9000</v>
      </c>
      <c r="DS33" s="50">
        <v>1754200</v>
      </c>
      <c r="DT33" s="49">
        <f t="shared" si="61"/>
        <v>15200</v>
      </c>
      <c r="DU33" s="51">
        <v>7485.3</v>
      </c>
      <c r="DV33" s="51">
        <v>4175.8999999999996</v>
      </c>
      <c r="DW33" s="37">
        <f t="shared" si="84"/>
        <v>4600.0000000003638</v>
      </c>
      <c r="DX33" s="52">
        <v>12402</v>
      </c>
      <c r="DY33" s="52">
        <v>8212.7999999999993</v>
      </c>
      <c r="DZ33" s="37">
        <f t="shared" si="37"/>
        <v>3159.13</v>
      </c>
      <c r="EA33" s="49">
        <v>27559</v>
      </c>
      <c r="EB33" s="49">
        <v>19.655000000000001</v>
      </c>
      <c r="EC33" s="37">
        <f t="shared" si="38"/>
        <v>24319.13</v>
      </c>
      <c r="ED33" s="53">
        <f t="shared" si="39"/>
        <v>32078.260000000366</v>
      </c>
      <c r="EE33" s="49">
        <v>42577</v>
      </c>
      <c r="EF33" s="49">
        <v>26.925999999999998</v>
      </c>
      <c r="EG33" s="37">
        <f t="shared" si="40"/>
        <v>23319.13</v>
      </c>
      <c r="EH33" s="51">
        <v>11937</v>
      </c>
      <c r="EI33" s="51">
        <v>1.5899000000000001</v>
      </c>
      <c r="EJ33" s="37">
        <f t="shared" si="41"/>
        <v>12159.13</v>
      </c>
      <c r="EK33" s="37">
        <v>720.12</v>
      </c>
      <c r="EL33" s="40">
        <v>1034.8</v>
      </c>
      <c r="EM33" s="37">
        <f t="shared" si="62"/>
        <v>690.00000000005457</v>
      </c>
      <c r="EN33" s="54">
        <f t="shared" si="63"/>
        <v>36168.260000000053</v>
      </c>
      <c r="EO33" s="48">
        <v>12020</v>
      </c>
      <c r="EP33" s="48">
        <v>4185.3</v>
      </c>
      <c r="EQ33" s="37">
        <f t="shared" si="42"/>
        <v>9159.1299999999992</v>
      </c>
      <c r="ER33" s="48">
        <v>7564.1</v>
      </c>
      <c r="ES33" s="48">
        <v>3069.2</v>
      </c>
      <c r="ET33" s="49">
        <f t="shared" si="92"/>
        <v>19300.000000000182</v>
      </c>
      <c r="EU33" s="48">
        <v>2684.2</v>
      </c>
      <c r="EV33" s="48">
        <v>961.27</v>
      </c>
      <c r="EW33" s="49">
        <f t="shared" si="44"/>
        <v>7259.1299999999092</v>
      </c>
      <c r="EX33" s="48">
        <v>12184</v>
      </c>
      <c r="EY33" s="48">
        <v>1.2848999999999999</v>
      </c>
      <c r="EZ33" s="37">
        <f t="shared" si="45"/>
        <v>11159.13</v>
      </c>
      <c r="FA33" s="48">
        <f t="shared" si="64"/>
        <v>-23020.390000000087</v>
      </c>
      <c r="FB33" s="48">
        <v>33948110</v>
      </c>
      <c r="FC33" s="49">
        <f t="shared" si="85"/>
        <v>23857</v>
      </c>
      <c r="FD33" s="48">
        <f t="shared" si="65"/>
        <v>48877.390000000087</v>
      </c>
      <c r="FE33" s="48">
        <v>16060</v>
      </c>
      <c r="FF33" s="48">
        <v>5766</v>
      </c>
      <c r="FG33" s="37">
        <f t="shared" si="66"/>
        <v>10425.799999999999</v>
      </c>
      <c r="FH33" s="48">
        <v>7003.4</v>
      </c>
      <c r="FI33" s="48">
        <v>2.6958000000000002</v>
      </c>
      <c r="FJ33" s="49">
        <f t="shared" si="46"/>
        <v>20425.8</v>
      </c>
      <c r="FK33" s="48"/>
      <c r="FL33" s="58">
        <v>266.67</v>
      </c>
      <c r="FM33" s="48">
        <f t="shared" si="86"/>
        <v>-159.13333333333381</v>
      </c>
      <c r="FN33" s="48">
        <v>15320</v>
      </c>
      <c r="FO33" s="48">
        <v>0.67789999999999995</v>
      </c>
      <c r="FP33" s="37">
        <f t="shared" si="67"/>
        <v>13425.8</v>
      </c>
      <c r="FQ33" s="48">
        <v>54514</v>
      </c>
      <c r="FR33" s="48">
        <v>13</v>
      </c>
      <c r="FS33" s="37">
        <f t="shared" si="47"/>
        <v>59000</v>
      </c>
      <c r="FT33" s="48">
        <f t="shared" si="93"/>
        <v>-477.40000000000146</v>
      </c>
      <c r="FU33" s="48">
        <f t="shared" si="69"/>
        <v>44877.399999999907</v>
      </c>
      <c r="FV33" s="44">
        <v>2428000</v>
      </c>
      <c r="FW33" s="44">
        <v>784810</v>
      </c>
      <c r="FX33" s="37">
        <f t="shared" si="48"/>
        <v>21600</v>
      </c>
      <c r="FY33" s="56">
        <v>2809.1</v>
      </c>
      <c r="FZ33" s="56">
        <v>1.6163000000000001</v>
      </c>
      <c r="GA33" s="37">
        <f t="shared" si="91"/>
        <v>5229.9999999997272</v>
      </c>
      <c r="GB33" s="56">
        <v>737.81</v>
      </c>
      <c r="GC33" s="56">
        <v>818.1</v>
      </c>
      <c r="GD33" s="37">
        <f t="shared" si="49"/>
        <v>609.99999999989996</v>
      </c>
      <c r="GE33" s="56">
        <v>9172.2000000000007</v>
      </c>
      <c r="GF33" s="56">
        <v>2.7345000000000002</v>
      </c>
      <c r="GG33" s="37">
        <f t="shared" si="50"/>
        <v>4800.0000000015461</v>
      </c>
      <c r="GH33" s="153">
        <v>1767.3</v>
      </c>
      <c r="GI33" s="162">
        <v>1491.2</v>
      </c>
      <c r="GJ33" s="38">
        <f t="shared" si="51"/>
        <v>2000</v>
      </c>
      <c r="GK33" s="162">
        <v>1400.5</v>
      </c>
      <c r="GL33" s="163">
        <v>1089.5999999999999</v>
      </c>
      <c r="GM33" s="38">
        <f t="shared" si="52"/>
        <v>599.99999999990905</v>
      </c>
      <c r="GN33" s="57">
        <v>158890</v>
      </c>
      <c r="GO33" s="57">
        <v>138620</v>
      </c>
      <c r="GP33" s="38">
        <f t="shared" si="90"/>
        <v>10</v>
      </c>
      <c r="GQ33" s="38">
        <v>199800</v>
      </c>
      <c r="GR33" s="38">
        <v>200880</v>
      </c>
      <c r="GS33" s="38">
        <f t="shared" si="70"/>
        <v>1070</v>
      </c>
      <c r="GT33" s="178"/>
      <c r="GU33" s="144">
        <f>DailyJan!B32-DailyJan!N32-DailyJan!V32-DailyJan!Y32-DailyJan!Z32-DailyJan!AA32-DailyJan!AB32-DailyJan!AC32-DailyJan!AD32-DailyJan!AE32-DailyJan!AK32-DailyJan!AO32-DailyJan!AS32-DailyJan!AY32-DailyJan!BD32+DailyJan!BS32-SUM(DailyJan!BM32:BQ32)-DailyJan!BR32-DailyJan!AF32-DailyJan!AG32</f>
        <v>-3.5999981082568411E-3</v>
      </c>
      <c r="GV33" s="59">
        <v>2386.9464000019107</v>
      </c>
      <c r="GW33" s="60">
        <f t="shared" si="53"/>
        <v>159.12976000012739</v>
      </c>
      <c r="GX33" s="61">
        <v>159.13</v>
      </c>
      <c r="GY33" s="140"/>
      <c r="GZ33" s="62"/>
      <c r="HA33" s="62">
        <v>2386.9504000000406</v>
      </c>
      <c r="HB33" s="74"/>
      <c r="HC33" s="62">
        <v>15599.939599999958</v>
      </c>
      <c r="HD33" s="74"/>
      <c r="HE33" s="24">
        <v>15599.939599999958</v>
      </c>
      <c r="HG33" s="74"/>
    </row>
    <row r="34" spans="1:215" x14ac:dyDescent="0.25">
      <c r="A34" s="35">
        <f t="shared" si="2"/>
        <v>28</v>
      </c>
      <c r="B34" s="38">
        <v>3337.24</v>
      </c>
      <c r="C34" s="38">
        <f t="shared" si="3"/>
        <v>6.7199999999997999</v>
      </c>
      <c r="D34" s="38">
        <f t="shared" si="4"/>
        <v>215039.9999999936</v>
      </c>
      <c r="E34" s="38">
        <v>672.45</v>
      </c>
      <c r="F34" s="38">
        <f t="shared" si="89"/>
        <v>42880.000000001019</v>
      </c>
      <c r="G34" s="38">
        <f t="shared" si="6"/>
        <v>257919.99999999462</v>
      </c>
      <c r="H34" s="37"/>
      <c r="I34" s="39"/>
      <c r="J34" s="42"/>
      <c r="K34" s="37">
        <f t="shared" si="71"/>
        <v>0</v>
      </c>
      <c r="L34" s="40">
        <v>9499000</v>
      </c>
      <c r="M34" s="40"/>
      <c r="N34" s="37">
        <f t="shared" si="72"/>
        <v>257000</v>
      </c>
      <c r="O34" s="37">
        <v>9370.5</v>
      </c>
      <c r="P34" s="37"/>
      <c r="Q34" s="37">
        <f t="shared" si="101"/>
        <v>13600.000000000364</v>
      </c>
      <c r="R34" s="37">
        <f t="shared" si="73"/>
        <v>1</v>
      </c>
      <c r="S34" s="37">
        <v>10938012.98</v>
      </c>
      <c r="T34" s="37">
        <f t="shared" si="8"/>
        <v>0</v>
      </c>
      <c r="U34" s="37">
        <v>1518125.52</v>
      </c>
      <c r="V34" s="37">
        <f t="shared" si="9"/>
        <v>0</v>
      </c>
      <c r="W34" s="37">
        <v>3209.9</v>
      </c>
      <c r="X34" s="37">
        <f t="shared" si="87"/>
        <v>8280.0000000003638</v>
      </c>
      <c r="Y34" s="183"/>
      <c r="Z34" s="183">
        <f t="shared" si="10"/>
        <v>0</v>
      </c>
      <c r="AA34" s="37">
        <v>433060</v>
      </c>
      <c r="AB34" s="37">
        <f t="shared" si="11"/>
        <v>5320</v>
      </c>
      <c r="AC34" s="37">
        <v>3403.1</v>
      </c>
      <c r="AD34" s="37"/>
      <c r="AE34" s="37">
        <f t="shared" si="102"/>
        <v>7500</v>
      </c>
      <c r="AF34" s="37">
        <f t="shared" si="74"/>
        <v>1</v>
      </c>
      <c r="AG34" s="37">
        <v>7419.2</v>
      </c>
      <c r="AH34" s="37"/>
      <c r="AI34" s="37">
        <f t="shared" si="13"/>
        <v>18341.249999999818</v>
      </c>
      <c r="AJ34" s="37">
        <f t="shared" si="14"/>
        <v>1</v>
      </c>
      <c r="AK34" s="37">
        <f t="shared" si="15"/>
        <v>34121.250000000182</v>
      </c>
      <c r="AL34" s="42">
        <v>9565.4</v>
      </c>
      <c r="AM34" s="42"/>
      <c r="AN34" s="37">
        <f t="shared" si="54"/>
        <v>5891.2499999993179</v>
      </c>
      <c r="AO34" s="37">
        <f t="shared" si="75"/>
        <v>1</v>
      </c>
      <c r="AP34" s="37">
        <v>7217.9</v>
      </c>
      <c r="AQ34" s="37"/>
      <c r="AR34" s="37">
        <f t="shared" si="16"/>
        <v>9799.9999999992724</v>
      </c>
      <c r="AS34" s="37">
        <f t="shared" si="76"/>
        <v>1</v>
      </c>
      <c r="AT34" s="183"/>
      <c r="AU34" s="183">
        <f t="shared" si="17"/>
        <v>0</v>
      </c>
      <c r="AV34" s="183"/>
      <c r="AW34" s="183">
        <f t="shared" si="18"/>
        <v>0</v>
      </c>
      <c r="AX34" s="37">
        <v>442812.4</v>
      </c>
      <c r="AY34" s="37"/>
      <c r="AZ34" s="37">
        <f t="shared" si="19"/>
        <v>358.24000000004889</v>
      </c>
      <c r="BA34" s="37">
        <v>87668.207999999999</v>
      </c>
      <c r="BB34" s="37"/>
      <c r="BC34" s="37">
        <f t="shared" si="20"/>
        <v>532.1359999999986</v>
      </c>
      <c r="BD34" s="37">
        <f t="shared" si="77"/>
        <v>16581.625999998636</v>
      </c>
      <c r="BE34" s="43">
        <v>1628.2</v>
      </c>
      <c r="BF34" s="43">
        <v>884.26</v>
      </c>
      <c r="BG34" s="37">
        <f t="shared" si="21"/>
        <v>2100.0000000001364</v>
      </c>
      <c r="BH34" s="44">
        <v>7835.9</v>
      </c>
      <c r="BI34" s="44">
        <v>5041.2</v>
      </c>
      <c r="BJ34" s="37">
        <f t="shared" si="22"/>
        <v>9599.9999999994543</v>
      </c>
      <c r="BK34" s="40">
        <v>1116800</v>
      </c>
      <c r="BL34" s="40">
        <f t="shared" si="78"/>
        <v>4000</v>
      </c>
      <c r="BM34" s="40">
        <v>794.16</v>
      </c>
      <c r="BN34" s="37">
        <f t="shared" si="23"/>
        <v>699.99999999993179</v>
      </c>
      <c r="BO34" s="186"/>
      <c r="BP34" s="183">
        <f t="shared" si="24"/>
        <v>0</v>
      </c>
      <c r="BQ34" s="40">
        <v>752.63</v>
      </c>
      <c r="BR34" s="37">
        <f t="shared" si="55"/>
        <v>350.00000000002274</v>
      </c>
      <c r="BS34" s="37">
        <v>74192.53</v>
      </c>
      <c r="BT34" s="37">
        <f t="shared" si="25"/>
        <v>146.72000000000116</v>
      </c>
      <c r="BU34" s="42">
        <v>1906000</v>
      </c>
      <c r="BV34" s="42"/>
      <c r="BW34" s="37">
        <f t="shared" si="26"/>
        <v>6100</v>
      </c>
      <c r="BX34" s="37">
        <f>IF(BW34&lt;=0,0,(BW34/SQRT(BW34^2+(BV34-BV33)^2)))</f>
        <v>1</v>
      </c>
      <c r="BY34" s="43">
        <v>266.24</v>
      </c>
      <c r="BZ34" s="37"/>
      <c r="CA34" s="37">
        <f t="shared" si="94"/>
        <v>720.00000000002728</v>
      </c>
      <c r="CB34" s="37">
        <f t="shared" si="56"/>
        <v>1</v>
      </c>
      <c r="CC34" s="37">
        <v>453800</v>
      </c>
      <c r="CD34" s="37">
        <f t="shared" si="28"/>
        <v>780</v>
      </c>
      <c r="CE34" s="41">
        <v>697330</v>
      </c>
      <c r="CF34" s="37">
        <f t="shared" si="57"/>
        <v>0</v>
      </c>
      <c r="CG34" s="37">
        <v>53341</v>
      </c>
      <c r="CH34" s="37">
        <f t="shared" si="58"/>
        <v>968</v>
      </c>
      <c r="CI34" s="40">
        <v>10723</v>
      </c>
      <c r="CJ34" s="40"/>
      <c r="CK34" s="37">
        <f t="shared" si="59"/>
        <v>16421.249999999971</v>
      </c>
      <c r="CL34" s="37">
        <f t="shared" si="29"/>
        <v>1</v>
      </c>
      <c r="CM34" s="37">
        <v>2748.9</v>
      </c>
      <c r="CN34" s="37"/>
      <c r="CO34" s="37">
        <f t="shared" si="30"/>
        <v>5741.2499999999091</v>
      </c>
      <c r="CP34" s="37">
        <f t="shared" si="80"/>
        <v>1</v>
      </c>
      <c r="CQ34" s="39">
        <v>2672.2</v>
      </c>
      <c r="CR34" s="39"/>
      <c r="CS34" s="37">
        <f t="shared" si="31"/>
        <v>6541.2499999996362</v>
      </c>
      <c r="CT34" s="37">
        <f>IF(CS34&lt;=0,0,(CS34/SQRT(CS34^2+(CR34-CR31)^2)))</f>
        <v>1</v>
      </c>
      <c r="CU34" s="37">
        <v>2113700</v>
      </c>
      <c r="CV34" s="37"/>
      <c r="CW34" s="38">
        <f t="shared" si="32"/>
        <v>19600</v>
      </c>
      <c r="CX34" s="37">
        <f t="shared" si="82"/>
        <v>1</v>
      </c>
      <c r="CY34" s="37">
        <v>1124500</v>
      </c>
      <c r="CZ34" s="37"/>
      <c r="DA34" s="37">
        <f t="shared" si="103"/>
        <v>10900</v>
      </c>
      <c r="DB34" s="37">
        <f t="shared" si="83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5"/>
        <v>-65303.74999999952</v>
      </c>
      <c r="DH34" s="37">
        <f t="shared" si="36"/>
        <v>293221.25000000035</v>
      </c>
      <c r="DI34" s="46"/>
      <c r="DJ34" s="46"/>
      <c r="DK34" s="47"/>
      <c r="DL34" s="47"/>
      <c r="DM34" s="37"/>
      <c r="DN34" s="37"/>
      <c r="DO34" s="37"/>
      <c r="DP34" s="37"/>
      <c r="DQ34" s="50">
        <v>2531700</v>
      </c>
      <c r="DR34" s="49">
        <f t="shared" si="60"/>
        <v>10200</v>
      </c>
      <c r="DS34" s="50">
        <v>1769900</v>
      </c>
      <c r="DT34" s="49">
        <f t="shared" si="61"/>
        <v>15700</v>
      </c>
      <c r="DU34" s="51">
        <v>7489.7</v>
      </c>
      <c r="DV34" s="51">
        <v>4178.6000000000004</v>
      </c>
      <c r="DW34" s="37">
        <f t="shared" si="84"/>
        <v>4399.9999999996362</v>
      </c>
      <c r="DX34" s="52">
        <v>12409</v>
      </c>
      <c r="DY34" s="52">
        <v>8214.7999999999993</v>
      </c>
      <c r="DZ34" s="37">
        <f t="shared" si="37"/>
        <v>7141.25</v>
      </c>
      <c r="EA34" s="49">
        <v>27580</v>
      </c>
      <c r="EB34" s="49">
        <v>19.667000000000002</v>
      </c>
      <c r="EC34" s="37">
        <f t="shared" si="38"/>
        <v>23301.25</v>
      </c>
      <c r="ED34" s="53">
        <f t="shared" si="39"/>
        <v>34842.499999999636</v>
      </c>
      <c r="EE34" s="49">
        <v>42595</v>
      </c>
      <c r="EF34" s="49">
        <v>26.943999999999999</v>
      </c>
      <c r="EG34" s="37">
        <f t="shared" si="40"/>
        <v>20301.25</v>
      </c>
      <c r="EH34" s="51">
        <v>11946</v>
      </c>
      <c r="EI34" s="51">
        <v>1.5914999999999999</v>
      </c>
      <c r="EJ34" s="37">
        <f t="shared" si="41"/>
        <v>9141.25</v>
      </c>
      <c r="EK34" s="37">
        <v>720.68</v>
      </c>
      <c r="EL34" s="40">
        <v>1035.5</v>
      </c>
      <c r="EM34" s="37">
        <f t="shared" si="62"/>
        <v>559.99999999994543</v>
      </c>
      <c r="EN34" s="54">
        <f t="shared" si="63"/>
        <v>30002.499999999945</v>
      </c>
      <c r="EO34" s="48">
        <v>12029</v>
      </c>
      <c r="EP34" s="48">
        <v>4188.6000000000004</v>
      </c>
      <c r="EQ34" s="37">
        <f t="shared" si="42"/>
        <v>9141.25</v>
      </c>
      <c r="ER34" s="48">
        <v>7583.7</v>
      </c>
      <c r="ES34" s="48">
        <v>3077.4</v>
      </c>
      <c r="ET34" s="49">
        <f t="shared" si="92"/>
        <v>19599.999999999454</v>
      </c>
      <c r="EU34" s="48">
        <v>2691.5</v>
      </c>
      <c r="EV34" s="48">
        <v>963.89</v>
      </c>
      <c r="EW34" s="49">
        <f t="shared" si="44"/>
        <v>7441.2500000001819</v>
      </c>
      <c r="EX34" s="48">
        <v>12196</v>
      </c>
      <c r="EY34" s="48">
        <v>1.2875000000000001</v>
      </c>
      <c r="EZ34" s="37">
        <f t="shared" si="45"/>
        <v>12141.25</v>
      </c>
      <c r="FA34" s="48">
        <f t="shared" si="64"/>
        <v>-24340.749999999636</v>
      </c>
      <c r="FB34" s="48">
        <v>33972093</v>
      </c>
      <c r="FC34" s="49">
        <f t="shared" si="85"/>
        <v>23983</v>
      </c>
      <c r="FD34" s="48">
        <f t="shared" si="65"/>
        <v>50523.74999999968</v>
      </c>
      <c r="FE34" s="48">
        <v>16070</v>
      </c>
      <c r="FF34" s="48">
        <v>5770</v>
      </c>
      <c r="FG34" s="37">
        <f t="shared" si="66"/>
        <v>10307.92</v>
      </c>
      <c r="FH34" s="48">
        <v>7023.2</v>
      </c>
      <c r="FI34" s="48">
        <v>2.7035999999999998</v>
      </c>
      <c r="FJ34" s="49">
        <f t="shared" si="46"/>
        <v>20107.92000000018</v>
      </c>
      <c r="FK34" s="48"/>
      <c r="FL34" s="58">
        <v>166.67</v>
      </c>
      <c r="FM34" s="48">
        <f t="shared" si="86"/>
        <v>-141.25333333339282</v>
      </c>
      <c r="FN34" s="48">
        <v>15333</v>
      </c>
      <c r="FO34" s="48">
        <v>0.68</v>
      </c>
      <c r="FP34" s="37">
        <f t="shared" si="67"/>
        <v>13307.92</v>
      </c>
      <c r="FQ34" s="48">
        <v>54573</v>
      </c>
      <c r="FR34" s="48">
        <v>13.018000000000001</v>
      </c>
      <c r="FS34" s="37">
        <f t="shared" si="47"/>
        <v>59000</v>
      </c>
      <c r="FT34" s="48">
        <f t="shared" si="93"/>
        <v>-423.76000000017848</v>
      </c>
      <c r="FU34" s="48">
        <f t="shared" si="69"/>
        <v>44623.760000000271</v>
      </c>
      <c r="FV34" s="44">
        <v>2429900</v>
      </c>
      <c r="FW34" s="44">
        <v>785550</v>
      </c>
      <c r="FX34" s="37">
        <f t="shared" si="48"/>
        <v>1900</v>
      </c>
      <c r="FY34" s="56">
        <v>2810.7</v>
      </c>
      <c r="FZ34" s="56">
        <v>1.6175999999999999</v>
      </c>
      <c r="GA34" s="37">
        <f t="shared" si="91"/>
        <v>589.99999999990905</v>
      </c>
      <c r="GB34" s="56">
        <v>738.08</v>
      </c>
      <c r="GC34" s="56">
        <v>818.51</v>
      </c>
      <c r="GD34" s="37">
        <f t="shared" si="49"/>
        <v>270.0000000000955</v>
      </c>
      <c r="GE34" s="56">
        <v>9175.6</v>
      </c>
      <c r="GF34" s="56">
        <v>2.7372999999999998</v>
      </c>
      <c r="GG34" s="37">
        <f t="shared" si="50"/>
        <v>299.99999999949978</v>
      </c>
      <c r="GH34" s="158">
        <v>1769.5</v>
      </c>
      <c r="GI34" s="159">
        <v>1493.3</v>
      </c>
      <c r="GJ34" s="38">
        <f t="shared" si="51"/>
        <v>2200.0000000000455</v>
      </c>
      <c r="GK34" s="56">
        <v>1401.4</v>
      </c>
      <c r="GL34" s="44">
        <v>1090</v>
      </c>
      <c r="GM34" s="38">
        <f t="shared" si="52"/>
        <v>900.00000000009095</v>
      </c>
      <c r="GN34" s="57">
        <v>158890</v>
      </c>
      <c r="GO34" s="57">
        <v>138620</v>
      </c>
      <c r="GP34" s="38">
        <f t="shared" si="90"/>
        <v>0</v>
      </c>
      <c r="GQ34" s="38">
        <v>200810</v>
      </c>
      <c r="GR34" s="38">
        <v>201870</v>
      </c>
      <c r="GS34" s="38">
        <f t="shared" si="70"/>
        <v>1010</v>
      </c>
      <c r="GT34" s="178"/>
      <c r="GU34" s="144">
        <f>DailyJan!B33-DailyJan!N33-DailyJan!V33-DailyJan!Y33-DailyJan!Z33-DailyJan!AA33-DailyJan!AB33-DailyJan!AC33-DailyJan!AD33-DailyJan!AE33-DailyJan!AK33-DailyJan!AO33-DailyJan!AS33-DailyJan!AY33-DailyJan!BD33+DailyJan!BS33-SUM(DailyJan!BM33:BQ33)-DailyJan!BR33-DailyJan!AF33-DailyJan!AG33</f>
        <v>6.2799999947856122E-2</v>
      </c>
      <c r="GV34" s="59">
        <v>2118.81</v>
      </c>
      <c r="GW34" s="60">
        <f t="shared" si="53"/>
        <v>141.25399999999999</v>
      </c>
      <c r="GX34" s="61">
        <v>141.25</v>
      </c>
      <c r="GY34" s="140"/>
      <c r="GZ34" s="62"/>
      <c r="HA34" s="62">
        <v>2118.8127999999556</v>
      </c>
      <c r="HB34" s="74"/>
      <c r="HC34" s="62">
        <v>7891.6139999977722</v>
      </c>
      <c r="HD34" s="74"/>
      <c r="HE34" s="24">
        <f>HC34-HA34</f>
        <v>5772.8011999978171</v>
      </c>
      <c r="HG34" s="62"/>
    </row>
    <row r="35" spans="1:215" x14ac:dyDescent="0.25">
      <c r="A35" s="35">
        <f t="shared" si="2"/>
        <v>29</v>
      </c>
      <c r="B35" s="38">
        <v>3343.9</v>
      </c>
      <c r="C35" s="38">
        <f t="shared" si="3"/>
        <v>6.6600000000003092</v>
      </c>
      <c r="D35" s="38">
        <f t="shared" si="4"/>
        <v>213120.0000000099</v>
      </c>
      <c r="E35" s="38">
        <v>673.78</v>
      </c>
      <c r="F35" s="38">
        <f t="shared" si="89"/>
        <v>42559.999999997672</v>
      </c>
      <c r="G35" s="38">
        <f t="shared" si="6"/>
        <v>255680.00000000757</v>
      </c>
      <c r="H35" s="37"/>
      <c r="I35" s="39"/>
      <c r="J35" s="42"/>
      <c r="K35" s="37">
        <f>IF(J35&lt;=0,0,(J35/SQRT(J35^2+(I35-I34)^2)))</f>
        <v>0</v>
      </c>
      <c r="L35" s="40">
        <v>9524400</v>
      </c>
      <c r="M35" s="40"/>
      <c r="N35" s="37">
        <f t="shared" si="72"/>
        <v>254000</v>
      </c>
      <c r="O35" s="37">
        <v>9384.2000000000007</v>
      </c>
      <c r="P35" s="37"/>
      <c r="Q35" s="37">
        <f t="shared" si="101"/>
        <v>13700.000000000728</v>
      </c>
      <c r="R35" s="37">
        <f>IF(Q35&lt;=0,0,(Q35/SQRT(Q35^2+(P35-P34)^2)))</f>
        <v>1</v>
      </c>
      <c r="S35" s="37">
        <v>10938012.98</v>
      </c>
      <c r="T35" s="37">
        <f t="shared" si="8"/>
        <v>0</v>
      </c>
      <c r="U35" s="37">
        <v>1518125.52</v>
      </c>
      <c r="V35" s="37">
        <f t="shared" si="9"/>
        <v>0</v>
      </c>
      <c r="W35" s="37">
        <v>3216.6</v>
      </c>
      <c r="X35" s="37">
        <f t="shared" si="87"/>
        <v>8350.0000000007276</v>
      </c>
      <c r="Y35" s="183"/>
      <c r="Z35" s="183">
        <f t="shared" si="10"/>
        <v>0</v>
      </c>
      <c r="AA35" s="37">
        <v>438410</v>
      </c>
      <c r="AB35" s="37">
        <f t="shared" si="11"/>
        <v>5350</v>
      </c>
      <c r="AC35" s="37">
        <v>3410.5</v>
      </c>
      <c r="AD35" s="37"/>
      <c r="AE35" s="37">
        <f t="shared" si="102"/>
        <v>7400.0000000000909</v>
      </c>
      <c r="AF35" s="37">
        <f>IF(AE35&lt;=0,0,(AE35/SQRT(AE35^2+(AD35-AD34)^2)))</f>
        <v>1</v>
      </c>
      <c r="AG35" s="37">
        <v>7436</v>
      </c>
      <c r="AH35" s="37"/>
      <c r="AI35" s="37">
        <f t="shared" si="13"/>
        <v>16940.030000000181</v>
      </c>
      <c r="AJ35" s="37">
        <f t="shared" si="14"/>
        <v>1</v>
      </c>
      <c r="AK35" s="37">
        <f t="shared" si="15"/>
        <v>32690.030000000999</v>
      </c>
      <c r="AL35" s="42">
        <v>9575.7000000000007</v>
      </c>
      <c r="AM35" s="42"/>
      <c r="AN35" s="37">
        <f t="shared" si="54"/>
        <v>5120.030000001042</v>
      </c>
      <c r="AO35" s="37">
        <f>IF(AN35&lt;=0,0,(AN35/SQRT(AN35^2+(AM35-AM34)^2)))</f>
        <v>1</v>
      </c>
      <c r="AP35" s="37">
        <v>7227.1</v>
      </c>
      <c r="AQ35" s="37"/>
      <c r="AR35" s="37">
        <f t="shared" si="16"/>
        <v>9200.0000000007276</v>
      </c>
      <c r="AS35" s="37">
        <f>IF(AR35&lt;=0,0,(AR35/SQRT(AR35^2+(AQ35-AQ34)^2)))</f>
        <v>1</v>
      </c>
      <c r="AT35" s="183"/>
      <c r="AU35" s="183">
        <f t="shared" si="17"/>
        <v>0</v>
      </c>
      <c r="AV35" s="183"/>
      <c r="AW35" s="183">
        <f t="shared" si="18"/>
        <v>0</v>
      </c>
      <c r="AX35" s="37">
        <v>443073.52</v>
      </c>
      <c r="AY35" s="37"/>
      <c r="AZ35" s="37">
        <f t="shared" si="19"/>
        <v>261.11999999999534</v>
      </c>
      <c r="BA35" s="37">
        <v>87904.8</v>
      </c>
      <c r="BB35" s="37"/>
      <c r="BC35" s="37">
        <f t="shared" si="20"/>
        <v>236.59200000000419</v>
      </c>
      <c r="BD35" s="37">
        <f>AN35+AR35+AZ35+BC35</f>
        <v>14817.74200000177</v>
      </c>
      <c r="BE35" s="43">
        <v>1630.2</v>
      </c>
      <c r="BF35" s="43">
        <v>885.48</v>
      </c>
      <c r="BG35" s="37">
        <f t="shared" si="21"/>
        <v>2000</v>
      </c>
      <c r="BH35" s="44">
        <v>7845.5</v>
      </c>
      <c r="BI35" s="44">
        <v>5047.5</v>
      </c>
      <c r="BJ35" s="37">
        <f t="shared" si="22"/>
        <v>9600.0000000003638</v>
      </c>
      <c r="BK35" s="40">
        <v>1120800</v>
      </c>
      <c r="BL35" s="40">
        <f t="shared" si="78"/>
        <v>4000</v>
      </c>
      <c r="BM35" s="40">
        <v>794.88</v>
      </c>
      <c r="BN35" s="37">
        <f t="shared" si="23"/>
        <v>720.00000000002728</v>
      </c>
      <c r="BO35" s="186"/>
      <c r="BP35" s="183">
        <f t="shared" si="24"/>
        <v>0</v>
      </c>
      <c r="BQ35" s="40">
        <v>753.23</v>
      </c>
      <c r="BR35" s="37">
        <f t="shared" si="55"/>
        <v>600.00000000002274</v>
      </c>
      <c r="BS35" s="37">
        <v>74365.570000000007</v>
      </c>
      <c r="BT35" s="37">
        <f t="shared" si="25"/>
        <v>173.04000000000815</v>
      </c>
      <c r="BU35" s="42">
        <v>1911800</v>
      </c>
      <c r="BV35" s="42"/>
      <c r="BW35" s="37">
        <f t="shared" si="26"/>
        <v>5800</v>
      </c>
      <c r="BX35" s="37">
        <f>IF(BW35&lt;=0,0,(BW35/SQRT(BW35^2+(BV35-BV34)^2)))</f>
        <v>1</v>
      </c>
      <c r="BY35" s="37">
        <v>266.99</v>
      </c>
      <c r="BZ35" s="37"/>
      <c r="CA35" s="37">
        <f t="shared" si="94"/>
        <v>750</v>
      </c>
      <c r="CB35" s="37">
        <f t="shared" si="56"/>
        <v>1</v>
      </c>
      <c r="CC35" s="37">
        <v>453800</v>
      </c>
      <c r="CD35" s="37">
        <f t="shared" si="28"/>
        <v>0</v>
      </c>
      <c r="CE35" s="41">
        <v>697330</v>
      </c>
      <c r="CF35" s="37">
        <f t="shared" si="57"/>
        <v>0</v>
      </c>
      <c r="CG35" s="37">
        <v>54662</v>
      </c>
      <c r="CH35" s="37">
        <f t="shared" si="58"/>
        <v>1321</v>
      </c>
      <c r="CI35" s="40">
        <v>10740</v>
      </c>
      <c r="CJ35" s="40"/>
      <c r="CK35" s="37">
        <f t="shared" si="59"/>
        <v>16390.03</v>
      </c>
      <c r="CL35" s="37">
        <f t="shared" si="29"/>
        <v>1</v>
      </c>
      <c r="CM35" s="37">
        <v>2754.6</v>
      </c>
      <c r="CN35" s="37"/>
      <c r="CO35" s="37">
        <f t="shared" si="30"/>
        <v>5840.0299999998178</v>
      </c>
      <c r="CP35" s="37">
        <f>IF(CO35&lt;=0,0,(CO35/SQRT(CO35^2+(CN35-CN34)^2)))</f>
        <v>1</v>
      </c>
      <c r="CQ35" s="39">
        <v>2678.8</v>
      </c>
      <c r="CR35" s="39"/>
      <c r="CS35" s="37">
        <f>IF((CQ35-CQ34)&lt;=0,0,(CQ35-CQ34))*1000+GX35</f>
        <v>6740.0300000003635</v>
      </c>
      <c r="CT35" s="37">
        <f>IF(CS35&lt;=0,0,(CS35/SQRT(CS35^2+(CR35-CR34)^2)))</f>
        <v>1</v>
      </c>
      <c r="CU35" s="37">
        <v>2133700</v>
      </c>
      <c r="CV35" s="37"/>
      <c r="CW35" s="38">
        <f t="shared" si="32"/>
        <v>20000</v>
      </c>
      <c r="CX35" s="37">
        <f t="shared" si="82"/>
        <v>1</v>
      </c>
      <c r="CY35" s="37">
        <v>1135100</v>
      </c>
      <c r="CZ35" s="37"/>
      <c r="DA35" s="37">
        <f t="shared" si="103"/>
        <v>10600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5"/>
        <v>-65370.090000000178</v>
      </c>
      <c r="DH35" s="37">
        <f t="shared" si="36"/>
        <v>288690.03000000102</v>
      </c>
      <c r="DI35" s="46"/>
      <c r="DJ35" s="46"/>
      <c r="DK35" s="46"/>
      <c r="DL35" s="47"/>
      <c r="DM35" s="37"/>
      <c r="DN35" s="37"/>
      <c r="DO35" s="37"/>
      <c r="DP35" s="37"/>
      <c r="DQ35" s="50">
        <v>2543200</v>
      </c>
      <c r="DR35" s="49">
        <f t="shared" si="60"/>
        <v>11500</v>
      </c>
      <c r="DS35" s="50">
        <v>1785400</v>
      </c>
      <c r="DT35" s="49">
        <f t="shared" si="61"/>
        <v>15500</v>
      </c>
      <c r="DU35" s="51">
        <v>7494.5</v>
      </c>
      <c r="DV35" s="51">
        <v>4181.6000000000004</v>
      </c>
      <c r="DW35" s="37">
        <f t="shared" si="84"/>
        <v>4800.0000000001819</v>
      </c>
      <c r="DX35" s="52">
        <v>12416</v>
      </c>
      <c r="DY35" s="52">
        <v>8216.7000000000007</v>
      </c>
      <c r="DZ35" s="37">
        <f t="shared" si="37"/>
        <v>7140.03</v>
      </c>
      <c r="EA35" s="49">
        <v>27603</v>
      </c>
      <c r="EB35" s="49">
        <v>19.68</v>
      </c>
      <c r="EC35" s="37">
        <f t="shared" si="38"/>
        <v>25300.03</v>
      </c>
      <c r="ED35" s="53">
        <f t="shared" si="39"/>
        <v>37240.06000000018</v>
      </c>
      <c r="EE35" s="49">
        <v>42629</v>
      </c>
      <c r="EF35" s="49">
        <v>26.975000000000001</v>
      </c>
      <c r="EG35" s="37">
        <f t="shared" si="40"/>
        <v>36300.03</v>
      </c>
      <c r="EH35" s="51">
        <v>11956</v>
      </c>
      <c r="EI35" s="51">
        <v>1.5927</v>
      </c>
      <c r="EJ35" s="37">
        <f t="shared" si="41"/>
        <v>10140.030000000001</v>
      </c>
      <c r="EK35" s="37">
        <v>721.39</v>
      </c>
      <c r="EL35" s="40">
        <v>1036.5</v>
      </c>
      <c r="EM35" s="37">
        <f t="shared" si="62"/>
        <v>710.00000000003638</v>
      </c>
      <c r="EN35" s="54">
        <f t="shared" si="63"/>
        <v>47150.060000000034</v>
      </c>
      <c r="EO35" s="55">
        <v>12038</v>
      </c>
      <c r="EP35" s="48">
        <v>4191.8999999999996</v>
      </c>
      <c r="EQ35" s="37">
        <f t="shared" si="42"/>
        <v>9140.0300000000007</v>
      </c>
      <c r="ER35" s="48">
        <v>7602.9</v>
      </c>
      <c r="ES35" s="48">
        <v>3085.4</v>
      </c>
      <c r="ET35" s="49">
        <f t="shared" si="92"/>
        <v>19199.999999999818</v>
      </c>
      <c r="EU35" s="48">
        <v>2698.7</v>
      </c>
      <c r="EV35" s="48">
        <v>966.51</v>
      </c>
      <c r="EW35" s="49">
        <f t="shared" si="44"/>
        <v>7340.0299999998178</v>
      </c>
      <c r="EX35" s="48">
        <v>12207</v>
      </c>
      <c r="EY35" s="48">
        <v>1.2902</v>
      </c>
      <c r="EZ35" s="37">
        <f t="shared" si="45"/>
        <v>11140.03</v>
      </c>
      <c r="FA35" s="48">
        <f t="shared" si="64"/>
        <v>-22431.08999999964</v>
      </c>
      <c r="FB35" s="48">
        <v>33996482</v>
      </c>
      <c r="FC35" s="49">
        <f t="shared" si="85"/>
        <v>24389</v>
      </c>
      <c r="FD35" s="48">
        <f t="shared" si="65"/>
        <v>48520.089999999676</v>
      </c>
      <c r="FE35" s="48">
        <v>16079</v>
      </c>
      <c r="FF35" s="48">
        <v>5773.3</v>
      </c>
      <c r="FG35" s="37">
        <f t="shared" si="66"/>
        <v>9406.7000000000007</v>
      </c>
      <c r="FH35" s="48">
        <v>7042.9</v>
      </c>
      <c r="FI35" s="48">
        <v>2.7113</v>
      </c>
      <c r="FJ35" s="49">
        <f t="shared" si="46"/>
        <v>20106.699999999815</v>
      </c>
      <c r="FK35" s="48"/>
      <c r="FL35" s="58">
        <v>266.67</v>
      </c>
      <c r="FM35" s="48">
        <f t="shared" si="86"/>
        <v>-140.033333333271</v>
      </c>
      <c r="FN35" s="48">
        <v>15345</v>
      </c>
      <c r="FO35" s="48">
        <v>0.68210000000000004</v>
      </c>
      <c r="FP35" s="37">
        <f t="shared" si="67"/>
        <v>12406.7</v>
      </c>
      <c r="FQ35" s="48">
        <v>54630</v>
      </c>
      <c r="FR35" s="48">
        <v>13.035</v>
      </c>
      <c r="FS35" s="37">
        <f>IF((FQ35-FQ34)*1000&lt;=0,0,(FQ35-FQ34)*1000)</f>
        <v>57000</v>
      </c>
      <c r="FT35" s="48">
        <f t="shared" si="93"/>
        <v>-420.09999999981301</v>
      </c>
      <c r="FU35" s="48">
        <f t="shared" si="69"/>
        <v>43320.099999999678</v>
      </c>
      <c r="FV35" s="44">
        <v>2430200</v>
      </c>
      <c r="FW35" s="44">
        <v>785700</v>
      </c>
      <c r="FX35" s="37">
        <f t="shared" si="48"/>
        <v>300</v>
      </c>
      <c r="FY35" s="56">
        <v>2811.8</v>
      </c>
      <c r="FZ35" s="56">
        <v>1.6180000000000001</v>
      </c>
      <c r="GA35" s="37">
        <f t="shared" si="91"/>
        <v>170.0000000003638</v>
      </c>
      <c r="GB35" s="56">
        <v>738.32</v>
      </c>
      <c r="GC35" s="56">
        <v>818.92</v>
      </c>
      <c r="GD35" s="37">
        <f t="shared" si="49"/>
        <v>240.00000000000909</v>
      </c>
      <c r="GE35" s="56">
        <v>9179.1</v>
      </c>
      <c r="GF35" s="56">
        <v>2.7397999999999998</v>
      </c>
      <c r="GG35" s="37">
        <f t="shared" si="50"/>
        <v>400.00000000009095</v>
      </c>
      <c r="GH35" s="48">
        <v>1771.2</v>
      </c>
      <c r="GI35" s="56">
        <v>1495</v>
      </c>
      <c r="GJ35" s="38">
        <f t="shared" si="51"/>
        <v>1700.0000000000455</v>
      </c>
      <c r="GK35" s="56">
        <v>1402.8</v>
      </c>
      <c r="GL35" s="44">
        <v>1090.7</v>
      </c>
      <c r="GM35" s="38">
        <f t="shared" si="52"/>
        <v>1399.9999999998636</v>
      </c>
      <c r="GN35" s="57">
        <v>158890</v>
      </c>
      <c r="GO35" s="57">
        <v>138630</v>
      </c>
      <c r="GP35" s="38">
        <f t="shared" si="90"/>
        <v>0</v>
      </c>
      <c r="GQ35" s="38">
        <v>201740</v>
      </c>
      <c r="GR35" s="38">
        <v>202820</v>
      </c>
      <c r="GS35" s="38">
        <f t="shared" si="70"/>
        <v>930</v>
      </c>
      <c r="GT35" s="178"/>
      <c r="GU35" s="144">
        <f>DailyJan!B34-DailyJan!N34-DailyJan!V34-DailyJan!Y34-DailyJan!Z34-DailyJan!AA34-DailyJan!AB34-DailyJan!AC34-DailyJan!AD34-DailyJan!AE34-DailyJan!AK34-DailyJan!AO34-DailyJan!AS34-DailyJan!AY34-DailyJan!BD34+DailyJan!BS34-SUM(DailyJan!BM34:BQ34)-DailyJan!BR34-DailyJan!AF34-DailyJan!AG34</f>
        <v>-3.8799999934781226E-2</v>
      </c>
      <c r="GV35" s="59">
        <v>2100.41</v>
      </c>
      <c r="GW35" s="60">
        <f t="shared" si="53"/>
        <v>140.02733333333333</v>
      </c>
      <c r="GX35" s="61">
        <v>140.03</v>
      </c>
      <c r="GY35" s="140"/>
      <c r="GZ35" s="62"/>
      <c r="HA35" s="62">
        <v>2100.4112000000623</v>
      </c>
      <c r="HB35" s="74"/>
      <c r="HC35" s="62">
        <v>12401.278000004184</v>
      </c>
      <c r="HD35" s="74"/>
      <c r="HE35" s="24">
        <f t="shared" ref="HE35:HE37" si="104">HC35-HA35</f>
        <v>10300.866800004122</v>
      </c>
      <c r="HG35" s="62"/>
    </row>
    <row r="36" spans="1:215" x14ac:dyDescent="0.25">
      <c r="A36" s="35">
        <f t="shared" si="2"/>
        <v>30</v>
      </c>
      <c r="B36" s="38">
        <v>3350.32</v>
      </c>
      <c r="C36" s="38">
        <f t="shared" si="3"/>
        <v>6.4200000000000728</v>
      </c>
      <c r="D36" s="38">
        <f t="shared" si="4"/>
        <v>205440.00000000233</v>
      </c>
      <c r="E36" s="38">
        <v>675.08</v>
      </c>
      <c r="F36" s="38">
        <f t="shared" si="89"/>
        <v>41600.000000002183</v>
      </c>
      <c r="G36" s="38">
        <f t="shared" si="6"/>
        <v>247040.00000000451</v>
      </c>
      <c r="H36" s="37"/>
      <c r="I36" s="39"/>
      <c r="J36" s="42"/>
      <c r="K36" s="37">
        <f>IF(J36&lt;=0,0,(J36/SQRT(J36^2+(I36-I35)^2)))</f>
        <v>0</v>
      </c>
      <c r="L36" s="40">
        <v>9548900</v>
      </c>
      <c r="M36" s="40"/>
      <c r="N36" s="37">
        <f t="shared" si="72"/>
        <v>245000</v>
      </c>
      <c r="O36" s="37">
        <v>9397.5</v>
      </c>
      <c r="P36" s="37"/>
      <c r="Q36" s="37">
        <f t="shared" si="101"/>
        <v>13299.999999999272</v>
      </c>
      <c r="R36" s="37">
        <f>IF(Q36&lt;=0,0,(Q36/SQRT(Q36^2+(P36-P35)^2)))</f>
        <v>1</v>
      </c>
      <c r="S36" s="37">
        <v>10938012.98</v>
      </c>
      <c r="T36" s="37">
        <f t="shared" si="8"/>
        <v>0</v>
      </c>
      <c r="U36" s="37">
        <v>1518125.52</v>
      </c>
      <c r="V36" s="37">
        <f>IF((U36-U35)&lt;=0,0,(U36-U35))</f>
        <v>0</v>
      </c>
      <c r="W36" s="37">
        <v>3223.1</v>
      </c>
      <c r="X36" s="37">
        <f t="shared" si="87"/>
        <v>8209.9999999992724</v>
      </c>
      <c r="Y36" s="183"/>
      <c r="Z36" s="183">
        <f t="shared" si="10"/>
        <v>0</v>
      </c>
      <c r="AA36" s="37">
        <v>443500</v>
      </c>
      <c r="AB36" s="37">
        <f t="shared" si="11"/>
        <v>5090</v>
      </c>
      <c r="AC36" s="37">
        <v>3417.7</v>
      </c>
      <c r="AD36" s="37"/>
      <c r="AE36" s="37">
        <f t="shared" si="102"/>
        <v>7199.9999999998181</v>
      </c>
      <c r="AF36" s="37">
        <f>IF(AE36&lt;=0,0,(AE36/SQRT(AE36^2+(AD36-AD35)^2)))</f>
        <v>1</v>
      </c>
      <c r="AG36" s="37">
        <v>7452.7</v>
      </c>
      <c r="AH36" s="37"/>
      <c r="AI36" s="37">
        <f t="shared" si="13"/>
        <v>16835.299999999817</v>
      </c>
      <c r="AJ36" s="37">
        <f t="shared" si="14"/>
        <v>1</v>
      </c>
      <c r="AK36" s="37">
        <f t="shared" si="15"/>
        <v>32245.299999998908</v>
      </c>
      <c r="AL36" s="42">
        <v>9585.2999999999993</v>
      </c>
      <c r="AM36" s="42"/>
      <c r="AN36" s="37">
        <f t="shared" si="54"/>
        <v>4955.2999999985259</v>
      </c>
      <c r="AO36" s="37">
        <f>IF(AN36&lt;=0,0,(AN36/SQRT(AN36^2+(AM36-AM35)^2)))</f>
        <v>1</v>
      </c>
      <c r="AP36" s="37">
        <v>7236.5</v>
      </c>
      <c r="AQ36" s="37"/>
      <c r="AR36" s="37">
        <f t="shared" si="16"/>
        <v>9399.9999999996362</v>
      </c>
      <c r="AS36" s="37">
        <f>IF(AR36&lt;=0,0,(AR36/SQRT(AR36^2+(AQ36-AQ35)^2)))</f>
        <v>1</v>
      </c>
      <c r="AT36" s="183"/>
      <c r="AU36" s="183">
        <f t="shared" si="17"/>
        <v>0</v>
      </c>
      <c r="AV36" s="183"/>
      <c r="AW36" s="183">
        <f t="shared" si="18"/>
        <v>0</v>
      </c>
      <c r="AX36" s="37">
        <v>443226.36</v>
      </c>
      <c r="AY36" s="37"/>
      <c r="AZ36" s="37">
        <f t="shared" si="19"/>
        <v>152.8399999999674</v>
      </c>
      <c r="BA36" s="37">
        <v>88032.191999999995</v>
      </c>
      <c r="BB36" s="37"/>
      <c r="BC36" s="37">
        <f t="shared" si="20"/>
        <v>127.39199999999255</v>
      </c>
      <c r="BD36" s="37">
        <f>AN36+AR36+AZ36+BC36</f>
        <v>14635.531999998122</v>
      </c>
      <c r="BE36" s="43">
        <v>1632.4</v>
      </c>
      <c r="BF36" s="43">
        <v>886.84</v>
      </c>
      <c r="BG36" s="37">
        <f t="shared" si="21"/>
        <v>2200.0000000000455</v>
      </c>
      <c r="BH36" s="44">
        <v>7855.3</v>
      </c>
      <c r="BI36" s="44">
        <v>5053.8999999999996</v>
      </c>
      <c r="BJ36" s="37">
        <f t="shared" si="22"/>
        <v>9800.0000000001819</v>
      </c>
      <c r="BK36" s="40">
        <v>1124600</v>
      </c>
      <c r="BL36" s="40">
        <f t="shared" si="78"/>
        <v>3800</v>
      </c>
      <c r="BM36" s="40">
        <v>795.58</v>
      </c>
      <c r="BN36" s="37">
        <f t="shared" si="23"/>
        <v>700.00000000004547</v>
      </c>
      <c r="BO36" s="186"/>
      <c r="BP36" s="183">
        <f t="shared" si="24"/>
        <v>0</v>
      </c>
      <c r="BQ36" s="40">
        <v>753.51</v>
      </c>
      <c r="BR36" s="37">
        <f t="shared" si="55"/>
        <v>279.99999999997272</v>
      </c>
      <c r="BS36" s="37">
        <v>74544.56</v>
      </c>
      <c r="BT36" s="37">
        <f t="shared" si="25"/>
        <v>178.98999999999069</v>
      </c>
      <c r="BU36" s="42">
        <v>1917500</v>
      </c>
      <c r="BV36" s="42"/>
      <c r="BW36" s="37">
        <f t="shared" si="26"/>
        <v>5700</v>
      </c>
      <c r="BX36" s="37">
        <f>IF(BW36&lt;=0,0,(BW36/SQRT(BW36^2+(BV36-BV35)^2)))</f>
        <v>1</v>
      </c>
      <c r="BY36" s="43">
        <v>267.77</v>
      </c>
      <c r="BZ36" s="43"/>
      <c r="CA36" s="37">
        <f t="shared" si="94"/>
        <v>779.99999999997272</v>
      </c>
      <c r="CB36" s="37">
        <f t="shared" si="56"/>
        <v>1</v>
      </c>
      <c r="CC36" s="37">
        <v>453800</v>
      </c>
      <c r="CD36" s="37">
        <f t="shared" si="28"/>
        <v>0</v>
      </c>
      <c r="CE36" s="41">
        <v>697330</v>
      </c>
      <c r="CF36" s="37">
        <f t="shared" si="57"/>
        <v>0</v>
      </c>
      <c r="CG36" s="37">
        <v>55988</v>
      </c>
      <c r="CH36" s="37">
        <f t="shared" si="58"/>
        <v>1326</v>
      </c>
      <c r="CI36" s="40">
        <v>10757</v>
      </c>
      <c r="CJ36" s="40"/>
      <c r="CK36" s="37">
        <f t="shared" si="59"/>
        <v>16355.300000000027</v>
      </c>
      <c r="CL36" s="37">
        <f t="shared" si="29"/>
        <v>1</v>
      </c>
      <c r="CM36" s="37">
        <v>2760.4</v>
      </c>
      <c r="CN36" s="37"/>
      <c r="CO36" s="37">
        <f t="shared" si="30"/>
        <v>5935.3000000001821</v>
      </c>
      <c r="CP36" s="37">
        <f>IF(CO36&lt;=0,0,(CO36/SQRT(CO36^2+(CN36-CN35)^2)))</f>
        <v>1</v>
      </c>
      <c r="CQ36" s="39">
        <v>2685.3</v>
      </c>
      <c r="CR36" s="39"/>
      <c r="CS36" s="37">
        <f>IF((CQ36-CQ35)&lt;=0,0,(CQ36-CQ35))*1000+GX36</f>
        <v>6635.3</v>
      </c>
      <c r="CT36" s="37">
        <f>IF(CS36&lt;=0,0,(CS36/SQRT(CS36^2+(CR36-CR35)^2)))</f>
        <v>1</v>
      </c>
      <c r="CU36" s="37">
        <v>2151900</v>
      </c>
      <c r="CV36" s="41"/>
      <c r="CW36" s="38">
        <f t="shared" si="32"/>
        <v>18200</v>
      </c>
      <c r="CX36" s="37">
        <f t="shared" si="82"/>
        <v>1</v>
      </c>
      <c r="CY36" s="37">
        <v>1145200</v>
      </c>
      <c r="CZ36" s="37"/>
      <c r="DA36" s="37">
        <f t="shared" si="103"/>
        <v>10100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5"/>
        <v>-62925.900000000212</v>
      </c>
      <c r="DH36" s="37">
        <f t="shared" si="36"/>
        <v>279445.29999999894</v>
      </c>
      <c r="DI36" s="46"/>
      <c r="DJ36" s="46"/>
      <c r="DK36" s="47"/>
      <c r="DL36" s="47"/>
      <c r="DM36" s="37"/>
      <c r="DN36" s="37"/>
      <c r="DO36" s="37"/>
      <c r="DP36" s="37"/>
      <c r="DQ36" s="50">
        <v>2551000</v>
      </c>
      <c r="DR36" s="49">
        <f t="shared" si="60"/>
        <v>7800</v>
      </c>
      <c r="DS36" s="50">
        <v>1799200</v>
      </c>
      <c r="DT36" s="49">
        <f t="shared" si="61"/>
        <v>13800</v>
      </c>
      <c r="DU36" s="51">
        <v>7499.2</v>
      </c>
      <c r="DV36" s="51">
        <v>4184.6000000000004</v>
      </c>
      <c r="DW36" s="37">
        <f t="shared" si="84"/>
        <v>4699.9999999998181</v>
      </c>
      <c r="DX36" s="52">
        <v>12423</v>
      </c>
      <c r="DY36" s="52">
        <v>8218.7999999999993</v>
      </c>
      <c r="DZ36" s="37">
        <f t="shared" si="37"/>
        <v>7135.3</v>
      </c>
      <c r="EA36" s="49">
        <v>27626</v>
      </c>
      <c r="EB36" s="49">
        <v>19.693000000000001</v>
      </c>
      <c r="EC36" s="37">
        <f t="shared" si="38"/>
        <v>25295.3</v>
      </c>
      <c r="ED36" s="53">
        <f t="shared" si="39"/>
        <v>37130.599999999817</v>
      </c>
      <c r="EE36" s="49">
        <v>42666</v>
      </c>
      <c r="EF36" s="49">
        <v>27.006</v>
      </c>
      <c r="EG36" s="37">
        <f t="shared" si="40"/>
        <v>39295.300000000003</v>
      </c>
      <c r="EH36" s="51">
        <v>11965</v>
      </c>
      <c r="EI36" s="51">
        <v>1.5938000000000001</v>
      </c>
      <c r="EJ36" s="37">
        <f t="shared" si="41"/>
        <v>9135.2999999999993</v>
      </c>
      <c r="EK36" s="37">
        <v>722.08</v>
      </c>
      <c r="EL36" s="40">
        <v>1037.5</v>
      </c>
      <c r="EM36" s="37">
        <f t="shared" si="62"/>
        <v>690.00000000005457</v>
      </c>
      <c r="EN36" s="54">
        <f t="shared" si="63"/>
        <v>49120.600000000064</v>
      </c>
      <c r="EO36" s="48">
        <v>12047</v>
      </c>
      <c r="EP36" s="48">
        <v>4195.3</v>
      </c>
      <c r="EQ36" s="37">
        <f t="shared" si="42"/>
        <v>9135.2999999999993</v>
      </c>
      <c r="ER36" s="48">
        <v>7622.3</v>
      </c>
      <c r="ES36" s="55">
        <v>3093.6</v>
      </c>
      <c r="ET36" s="49">
        <f t="shared" si="92"/>
        <v>19400.000000000546</v>
      </c>
      <c r="EU36" s="48">
        <v>2706.4</v>
      </c>
      <c r="EV36" s="48">
        <v>969.26</v>
      </c>
      <c r="EW36" s="49">
        <f t="shared" si="44"/>
        <v>7835.300000000273</v>
      </c>
      <c r="EX36" s="48">
        <v>12219</v>
      </c>
      <c r="EY36" s="48">
        <v>1.2928999999999999</v>
      </c>
      <c r="EZ36" s="37">
        <f t="shared" si="45"/>
        <v>12135.3</v>
      </c>
      <c r="FA36" s="48">
        <f t="shared" si="64"/>
        <v>-24185.900000000816</v>
      </c>
      <c r="FB36" s="48">
        <v>34020802</v>
      </c>
      <c r="FC36" s="49">
        <f>IF((FB36-FB35)&lt;=0,0,(FB36-FB35))</f>
        <v>24320</v>
      </c>
      <c r="FD36" s="48">
        <f t="shared" si="65"/>
        <v>50105.900000000736</v>
      </c>
      <c r="FE36" s="153">
        <v>16089</v>
      </c>
      <c r="FF36" s="48">
        <v>5776.6</v>
      </c>
      <c r="FG36" s="37">
        <f t="shared" si="66"/>
        <v>10501.97</v>
      </c>
      <c r="FH36" s="48">
        <v>7063</v>
      </c>
      <c r="FI36" s="48">
        <v>2.7191000000000001</v>
      </c>
      <c r="FJ36" s="49">
        <f t="shared" si="46"/>
        <v>20601.970000000361</v>
      </c>
      <c r="FK36" s="48"/>
      <c r="FL36" s="58">
        <v>366.67</v>
      </c>
      <c r="FM36" s="48">
        <f t="shared" si="86"/>
        <v>-135.30333333345393</v>
      </c>
      <c r="FN36" s="48">
        <v>15359</v>
      </c>
      <c r="FO36" s="48">
        <v>0.68420000000000003</v>
      </c>
      <c r="FP36" s="37">
        <f t="shared" si="67"/>
        <v>14501.97</v>
      </c>
      <c r="FQ36" s="48">
        <v>54689</v>
      </c>
      <c r="FR36" s="48">
        <v>13.052</v>
      </c>
      <c r="FS36" s="37">
        <f>IF((FQ36-FQ35)*1000&lt;=0,0,(FQ36-FQ35)*1000)</f>
        <v>59000</v>
      </c>
      <c r="FT36" s="48">
        <f t="shared" si="93"/>
        <v>-405.91000000036183</v>
      </c>
      <c r="FU36" s="48">
        <f t="shared" si="69"/>
        <v>47005.910000000455</v>
      </c>
      <c r="FV36" s="44">
        <v>2430300</v>
      </c>
      <c r="FW36" s="44">
        <v>785700</v>
      </c>
      <c r="FX36" s="37">
        <f t="shared" si="48"/>
        <v>100</v>
      </c>
      <c r="FY36" s="56">
        <v>2811.8</v>
      </c>
      <c r="FZ36" s="56">
        <v>1.6180000000000001</v>
      </c>
      <c r="GA36" s="37">
        <f t="shared" si="91"/>
        <v>0</v>
      </c>
      <c r="GB36" s="56">
        <v>738.58</v>
      </c>
      <c r="GC36" s="56">
        <v>819.34</v>
      </c>
      <c r="GD36" s="37">
        <f t="shared" si="49"/>
        <v>259.99999999999091</v>
      </c>
      <c r="GE36" s="56">
        <v>9182.5</v>
      </c>
      <c r="GF36" s="63">
        <v>2.7423000000000002</v>
      </c>
      <c r="GG36" s="37">
        <f t="shared" si="50"/>
        <v>399.9999999996362</v>
      </c>
      <c r="GH36" s="48">
        <v>1772.8</v>
      </c>
      <c r="GI36" s="56">
        <v>1496.5</v>
      </c>
      <c r="GJ36" s="38">
        <f t="shared" si="51"/>
        <v>1599.9999999999091</v>
      </c>
      <c r="GK36" s="56">
        <v>1404.2</v>
      </c>
      <c r="GL36" s="44">
        <v>1091.3</v>
      </c>
      <c r="GM36" s="38">
        <f t="shared" si="52"/>
        <v>1400.0000000000909</v>
      </c>
      <c r="GN36" s="57">
        <v>158900</v>
      </c>
      <c r="GO36" s="57">
        <v>138630</v>
      </c>
      <c r="GP36" s="38">
        <f t="shared" si="90"/>
        <v>10</v>
      </c>
      <c r="GQ36" s="38">
        <v>201930</v>
      </c>
      <c r="GR36" s="38">
        <v>203020</v>
      </c>
      <c r="GS36" s="38">
        <f t="shared" si="70"/>
        <v>190</v>
      </c>
      <c r="GT36" s="178"/>
      <c r="GU36" s="144">
        <f>DailyJan!B35-DailyJan!N35-DailyJan!V35-DailyJan!Y35-DailyJan!Z35-DailyJan!AA35-DailyJan!AB35-DailyJan!AC35-DailyJan!AD35-DailyJan!AE35-DailyJan!AK35-DailyJan!AO35-DailyJan!AS35-DailyJan!AY35-DailyJan!BD35+DailyJan!BS35-SUM(DailyJan!BM35:BQ35)-DailyJan!BR35-DailyJan!AF35-DailyJan!AG35</f>
        <v>-6.6399999963323353E-2</v>
      </c>
      <c r="GV36" s="59">
        <v>2029.43</v>
      </c>
      <c r="GW36" s="60">
        <f t="shared" si="53"/>
        <v>135.29533333333333</v>
      </c>
      <c r="GX36" s="61">
        <v>135.30000000000001</v>
      </c>
      <c r="GY36" s="140"/>
      <c r="GZ36" s="62"/>
      <c r="HA36" s="62">
        <v>2029.4336000000371</v>
      </c>
      <c r="HB36" s="62"/>
      <c r="HC36" s="62">
        <v>11123.758000006372</v>
      </c>
      <c r="HD36" s="74"/>
      <c r="HE36" s="24">
        <f t="shared" si="104"/>
        <v>9094.3244000063351</v>
      </c>
      <c r="HG36" s="62"/>
    </row>
    <row r="37" spans="1:215" x14ac:dyDescent="0.25">
      <c r="A37" s="35">
        <v>31</v>
      </c>
      <c r="B37" s="38">
        <v>3356.84</v>
      </c>
      <c r="C37" s="38">
        <f t="shared" si="3"/>
        <v>6.5199999999999818</v>
      </c>
      <c r="D37" s="38">
        <f t="shared" si="4"/>
        <v>208639.99999999942</v>
      </c>
      <c r="E37" s="38">
        <v>676.25</v>
      </c>
      <c r="F37" s="38">
        <f t="shared" si="89"/>
        <v>37439.99999999869</v>
      </c>
      <c r="G37" s="38">
        <f t="shared" si="6"/>
        <v>246079.99999999811</v>
      </c>
      <c r="H37" s="37"/>
      <c r="I37" s="39"/>
      <c r="J37" s="42"/>
      <c r="K37" s="37">
        <f>IF(J37&lt;=0,0,(J37/SQRT(J37^2+(I37-I36)^2)))</f>
        <v>0</v>
      </c>
      <c r="L37" s="40">
        <v>9573400</v>
      </c>
      <c r="M37" s="40"/>
      <c r="N37" s="37">
        <f t="shared" si="72"/>
        <v>245000</v>
      </c>
      <c r="O37" s="37">
        <v>9410.7999999999993</v>
      </c>
      <c r="P37" s="37"/>
      <c r="Q37" s="37">
        <f t="shared" si="101"/>
        <v>13299.999999999272</v>
      </c>
      <c r="R37" s="37">
        <f>IF(Q37&lt;=0,0,(Q37/SQRT(Q37^2+(P37-P36)^2)))</f>
        <v>1</v>
      </c>
      <c r="S37" s="37">
        <v>10938012.98</v>
      </c>
      <c r="T37" s="37">
        <f t="shared" si="8"/>
        <v>0</v>
      </c>
      <c r="U37" s="37">
        <v>1518125.52</v>
      </c>
      <c r="V37" s="37">
        <f>IF((U37-U36)&lt;=0,0,(U37-U36))</f>
        <v>0</v>
      </c>
      <c r="W37" s="37">
        <v>3229.7</v>
      </c>
      <c r="X37" s="37">
        <f t="shared" si="87"/>
        <v>8129.9999999992724</v>
      </c>
      <c r="Y37" s="183"/>
      <c r="Z37" s="183">
        <f t="shared" si="10"/>
        <v>0</v>
      </c>
      <c r="AA37" s="37">
        <v>448670</v>
      </c>
      <c r="AB37" s="37">
        <f t="shared" si="11"/>
        <v>5170</v>
      </c>
      <c r="AC37" s="37">
        <v>3424.9</v>
      </c>
      <c r="AD37" s="37"/>
      <c r="AE37" s="37">
        <f t="shared" si="102"/>
        <v>7200.0000000002728</v>
      </c>
      <c r="AF37" s="37">
        <f>IF(AE37&lt;=0,0,(AE37/SQRT(AE37^2+(AD37-AD36)^2)))</f>
        <v>1</v>
      </c>
      <c r="AG37" s="37">
        <v>7467.5</v>
      </c>
      <c r="AH37" s="37"/>
      <c r="AI37" s="37">
        <f t="shared" si="13"/>
        <v>14934.770000000182</v>
      </c>
      <c r="AJ37" s="37">
        <f t="shared" si="14"/>
        <v>1</v>
      </c>
      <c r="AK37" s="37">
        <f t="shared" si="15"/>
        <v>30264.769999999728</v>
      </c>
      <c r="AL37" s="42">
        <v>9594.7999999999993</v>
      </c>
      <c r="AM37" s="42"/>
      <c r="AN37" s="37">
        <f t="shared" si="54"/>
        <v>4254.7700000000959</v>
      </c>
      <c r="AO37" s="37">
        <f>IF(AN37&lt;=0,0,(AN37/SQRT(AN37^2+(AM37-AM36)^2)))</f>
        <v>1</v>
      </c>
      <c r="AP37" s="37">
        <v>7245.2</v>
      </c>
      <c r="AQ37" s="37"/>
      <c r="AR37" s="37">
        <f t="shared" si="16"/>
        <v>8699.9999999998181</v>
      </c>
      <c r="AS37" s="37">
        <f>IF(AR37&lt;=0,0,(AR37/SQRT(AR37^2+(AQ37-AQ36)^2)))</f>
        <v>1</v>
      </c>
      <c r="AT37" s="183"/>
      <c r="AU37" s="183">
        <f t="shared" si="17"/>
        <v>0</v>
      </c>
      <c r="AV37" s="183"/>
      <c r="AW37" s="183">
        <f t="shared" si="18"/>
        <v>0</v>
      </c>
      <c r="AX37" s="37">
        <v>443450</v>
      </c>
      <c r="AY37" s="37"/>
      <c r="AZ37" s="37">
        <f t="shared" si="19"/>
        <v>223.64000000001397</v>
      </c>
      <c r="BA37" s="37">
        <v>88062.48</v>
      </c>
      <c r="BB37" s="37"/>
      <c r="BC37" s="37">
        <f t="shared" si="20"/>
        <v>30.288000000000466</v>
      </c>
      <c r="BD37" s="37">
        <f>AN37+AR37+AZ37+BC37</f>
        <v>13208.697999999928</v>
      </c>
      <c r="BE37" s="43">
        <v>1634.8</v>
      </c>
      <c r="BF37" s="43">
        <v>888.25</v>
      </c>
      <c r="BG37" s="37">
        <f t="shared" si="21"/>
        <v>2399.9999999998636</v>
      </c>
      <c r="BH37" s="44">
        <v>7865</v>
      </c>
      <c r="BI37" s="44">
        <v>5060.2</v>
      </c>
      <c r="BJ37" s="37">
        <f t="shared" si="22"/>
        <v>9699.9999999998181</v>
      </c>
      <c r="BK37" s="40">
        <v>1128500</v>
      </c>
      <c r="BL37" s="40">
        <f t="shared" si="78"/>
        <v>3900</v>
      </c>
      <c r="BM37" s="40">
        <v>796.26</v>
      </c>
      <c r="BN37" s="37">
        <f t="shared" si="23"/>
        <v>679.99999999994998</v>
      </c>
      <c r="BO37" s="186"/>
      <c r="BP37" s="183">
        <f t="shared" si="24"/>
        <v>0</v>
      </c>
      <c r="BQ37" s="40">
        <v>754.31</v>
      </c>
      <c r="BR37" s="37">
        <f t="shared" si="55"/>
        <v>799.99999999995453</v>
      </c>
      <c r="BS37" s="37">
        <v>74695.67</v>
      </c>
      <c r="BT37" s="37">
        <f t="shared" si="25"/>
        <v>151.11000000000058</v>
      </c>
      <c r="BU37" s="42">
        <v>1923200</v>
      </c>
      <c r="BV37" s="42"/>
      <c r="BW37" s="37">
        <f t="shared" si="26"/>
        <v>5700</v>
      </c>
      <c r="BX37" s="37">
        <f>IF(BW37&lt;=0,0,(BW37/SQRT(BW37^2+(BV37-BV36)^2)))</f>
        <v>1</v>
      </c>
      <c r="BY37" s="43">
        <v>268.5</v>
      </c>
      <c r="BZ37" s="43"/>
      <c r="CA37" s="37">
        <f t="shared" si="94"/>
        <v>730.00000000001819</v>
      </c>
      <c r="CB37" s="37">
        <f t="shared" si="56"/>
        <v>1</v>
      </c>
      <c r="CC37" s="37">
        <v>454990</v>
      </c>
      <c r="CD37" s="37">
        <f t="shared" si="28"/>
        <v>1190</v>
      </c>
      <c r="CE37" s="41">
        <v>697330</v>
      </c>
      <c r="CF37" s="37">
        <f t="shared" si="57"/>
        <v>0</v>
      </c>
      <c r="CG37" s="37">
        <v>56415</v>
      </c>
      <c r="CH37" s="37">
        <f t="shared" si="58"/>
        <v>427</v>
      </c>
      <c r="CI37" s="40">
        <v>10774</v>
      </c>
      <c r="CJ37" s="40"/>
      <c r="CK37" s="37">
        <f t="shared" si="59"/>
        <v>16404.769999999982</v>
      </c>
      <c r="CL37" s="37">
        <f t="shared" si="29"/>
        <v>1</v>
      </c>
      <c r="CM37" s="37">
        <v>2767.7</v>
      </c>
      <c r="CN37" s="37"/>
      <c r="CO37" s="37">
        <f t="shared" si="30"/>
        <v>7434.7699999997276</v>
      </c>
      <c r="CP37" s="37">
        <f>IF(CO37&lt;=0,0,(CO37/SQRT(CO37^2+(CN37-CN36)^2)))</f>
        <v>1</v>
      </c>
      <c r="CQ37" s="39">
        <v>2692.2</v>
      </c>
      <c r="CR37" s="39"/>
      <c r="CS37" s="37">
        <f>IF((CQ37-CQ36)&lt;=0,0,(CQ37-CQ36))*1000+GX37</f>
        <v>7034.7699999996366</v>
      </c>
      <c r="CT37" s="37">
        <f>IF(CS37&lt;=0,0,(CS37/SQRT(CS37^2+(CR37-CR36)^2)))</f>
        <v>1</v>
      </c>
      <c r="CU37" s="37">
        <v>2167600</v>
      </c>
      <c r="CV37" s="41"/>
      <c r="CW37" s="38">
        <f t="shared" si="32"/>
        <v>15700</v>
      </c>
      <c r="CX37" s="37">
        <f t="shared" si="82"/>
        <v>1</v>
      </c>
      <c r="CY37" s="37">
        <v>1154300</v>
      </c>
      <c r="CZ37" s="37"/>
      <c r="DA37" s="37">
        <f t="shared" si="103"/>
        <v>9100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5"/>
        <v>-61374.30999999935</v>
      </c>
      <c r="DH37" s="37">
        <f t="shared" si="36"/>
        <v>277664.76999999961</v>
      </c>
      <c r="DI37" s="46"/>
      <c r="DJ37" s="46"/>
      <c r="DK37" s="47"/>
      <c r="DL37" s="47"/>
      <c r="DM37" s="37"/>
      <c r="DN37" s="37"/>
      <c r="DO37" s="37"/>
      <c r="DP37" s="37"/>
      <c r="DQ37" s="50">
        <v>2561900</v>
      </c>
      <c r="DR37" s="49">
        <f t="shared" si="60"/>
        <v>10900</v>
      </c>
      <c r="DS37" s="50">
        <v>1812600</v>
      </c>
      <c r="DT37" s="49">
        <f t="shared" si="61"/>
        <v>13400</v>
      </c>
      <c r="DU37" s="51">
        <v>7504</v>
      </c>
      <c r="DV37" s="51">
        <v>4187.6000000000004</v>
      </c>
      <c r="DW37" s="37">
        <f t="shared" si="84"/>
        <v>4800.0000000001819</v>
      </c>
      <c r="DX37" s="52">
        <v>12430</v>
      </c>
      <c r="DY37" s="52">
        <v>8221</v>
      </c>
      <c r="DZ37" s="37">
        <f t="shared" si="37"/>
        <v>7134.77</v>
      </c>
      <c r="EA37" s="49">
        <v>27649</v>
      </c>
      <c r="EB37" s="49">
        <v>19.706</v>
      </c>
      <c r="EC37" s="37">
        <f t="shared" si="38"/>
        <v>25294.77</v>
      </c>
      <c r="ED37" s="53">
        <f t="shared" si="39"/>
        <v>37229.540000000183</v>
      </c>
      <c r="EE37" s="49">
        <v>42698</v>
      </c>
      <c r="EF37" s="49">
        <v>27.033999999999999</v>
      </c>
      <c r="EG37" s="37">
        <f t="shared" si="40"/>
        <v>34294.770000000004</v>
      </c>
      <c r="EH37" s="51">
        <v>11975</v>
      </c>
      <c r="EI37" s="51">
        <v>1.5952999999999999</v>
      </c>
      <c r="EJ37" s="37">
        <f t="shared" si="41"/>
        <v>10134.77</v>
      </c>
      <c r="EK37" s="37">
        <v>722.75</v>
      </c>
      <c r="EL37" s="40">
        <v>1038.4000000000001</v>
      </c>
      <c r="EM37" s="37">
        <f t="shared" si="62"/>
        <v>669.99999999995907</v>
      </c>
      <c r="EN37" s="54">
        <f t="shared" si="63"/>
        <v>45099.539999999964</v>
      </c>
      <c r="EO37" s="48">
        <v>12056</v>
      </c>
      <c r="EP37" s="48">
        <v>4198.3999999999996</v>
      </c>
      <c r="EQ37" s="37">
        <f t="shared" si="42"/>
        <v>9134.77</v>
      </c>
      <c r="ER37" s="48">
        <v>7641.1</v>
      </c>
      <c r="ES37" s="55">
        <v>3101.7</v>
      </c>
      <c r="ET37" s="49">
        <f t="shared" si="92"/>
        <v>18800.000000000182</v>
      </c>
      <c r="EU37" s="48">
        <v>2714.5</v>
      </c>
      <c r="EV37" s="48">
        <v>972.07</v>
      </c>
      <c r="EW37" s="49">
        <f t="shared" si="44"/>
        <v>8234.7699999999095</v>
      </c>
      <c r="EX37" s="48">
        <v>12230</v>
      </c>
      <c r="EY37" s="48">
        <v>1.2950999999999999</v>
      </c>
      <c r="EZ37" s="37">
        <f t="shared" si="45"/>
        <v>11134.77</v>
      </c>
      <c r="FA37" s="48">
        <f t="shared" si="64"/>
        <v>-23275.310000000092</v>
      </c>
      <c r="FB37" s="48">
        <v>34044831</v>
      </c>
      <c r="FC37" s="49">
        <f>IF((FB37-FB36)&lt;=0,0,(FB37-FB36))</f>
        <v>24029</v>
      </c>
      <c r="FD37" s="48">
        <f t="shared" si="65"/>
        <v>49004.310000000143</v>
      </c>
      <c r="FE37" s="153">
        <v>16100</v>
      </c>
      <c r="FF37" s="154">
        <v>5779.8</v>
      </c>
      <c r="FG37" s="37">
        <f t="shared" si="66"/>
        <v>11001.44</v>
      </c>
      <c r="FH37" s="48">
        <v>7083</v>
      </c>
      <c r="FI37" s="48">
        <v>2.7269000000000001</v>
      </c>
      <c r="FJ37" s="49">
        <f t="shared" si="46"/>
        <v>20001.439999999999</v>
      </c>
      <c r="FK37" s="48"/>
      <c r="FL37" s="58">
        <v>-133.33000000000001</v>
      </c>
      <c r="FM37" s="48">
        <f t="shared" si="86"/>
        <v>-134.77333333333385</v>
      </c>
      <c r="FN37" s="48">
        <v>15371</v>
      </c>
      <c r="FO37" s="48">
        <v>0.68640000000000001</v>
      </c>
      <c r="FP37" s="37">
        <f t="shared" si="67"/>
        <v>12001.44</v>
      </c>
      <c r="FQ37" s="48">
        <v>54745</v>
      </c>
      <c r="FR37" s="48">
        <v>13.068</v>
      </c>
      <c r="FS37" s="37">
        <f>IF((FQ37-FQ36)*1000&lt;=0,0,(FQ37-FQ36)*1000)</f>
        <v>56000</v>
      </c>
      <c r="FT37" s="48">
        <f t="shared" si="93"/>
        <v>-404.32000000000153</v>
      </c>
      <c r="FU37" s="48">
        <f t="shared" si="69"/>
        <v>44404.319999999861</v>
      </c>
      <c r="FV37" s="44">
        <v>2430300</v>
      </c>
      <c r="FW37" s="44">
        <v>785710</v>
      </c>
      <c r="FX37" s="37">
        <f t="shared" si="48"/>
        <v>0</v>
      </c>
      <c r="FY37" s="56">
        <v>2812.3</v>
      </c>
      <c r="FZ37" s="56">
        <v>1.6180000000000001</v>
      </c>
      <c r="GA37" s="37">
        <f t="shared" si="91"/>
        <v>410</v>
      </c>
      <c r="GB37" s="56">
        <v>738.84</v>
      </c>
      <c r="GC37" s="56">
        <v>819.76</v>
      </c>
      <c r="GD37" s="37">
        <f t="shared" si="49"/>
        <v>259.99999999999091</v>
      </c>
      <c r="GE37" s="56">
        <v>9186</v>
      </c>
      <c r="GF37" s="63">
        <v>2.7448999999999999</v>
      </c>
      <c r="GG37" s="37">
        <f t="shared" si="50"/>
        <v>400.00000000009095</v>
      </c>
      <c r="GH37" s="48">
        <v>1774.5</v>
      </c>
      <c r="GI37" s="56">
        <v>1498.2</v>
      </c>
      <c r="GJ37" s="38">
        <f t="shared" si="51"/>
        <v>1700.0000000000455</v>
      </c>
      <c r="GK37" s="56">
        <v>1405.6</v>
      </c>
      <c r="GL37" s="44">
        <v>1092</v>
      </c>
      <c r="GM37" s="38">
        <f t="shared" si="52"/>
        <v>1399.9999999998636</v>
      </c>
      <c r="GN37" s="57">
        <v>158900</v>
      </c>
      <c r="GO37" s="57">
        <v>138640</v>
      </c>
      <c r="GP37" s="38">
        <f t="shared" si="90"/>
        <v>0</v>
      </c>
      <c r="GQ37" s="38">
        <v>202020</v>
      </c>
      <c r="GR37" s="38">
        <v>203110</v>
      </c>
      <c r="GS37" s="38">
        <f t="shared" si="70"/>
        <v>90</v>
      </c>
      <c r="GT37" s="178"/>
      <c r="GU37" s="144">
        <f>DailyJan!B36-DailyJan!N36-DailyJan!V36-DailyJan!Y36-DailyJan!Z36-DailyJan!AA36-DailyJan!AB36-DailyJan!AC36-DailyJan!AD36-DailyJan!AE36-DailyJan!AK36-DailyJan!AO36-DailyJan!AS36-DailyJan!AY36-DailyJan!BD36+DailyJan!BS36-SUM(DailyJan!BM36:BQ36)-DailyJan!BR36-DailyJan!AF36-DailyJan!AG36</f>
        <v>-2.8000000766041921E-3</v>
      </c>
      <c r="GV37" s="59">
        <v>2021.55</v>
      </c>
      <c r="GW37" s="60">
        <f t="shared" si="53"/>
        <v>134.77000000000001</v>
      </c>
      <c r="GX37" s="61">
        <v>134.77000000000001</v>
      </c>
      <c r="GY37" s="140"/>
      <c r="GZ37" s="62"/>
      <c r="HA37" s="62">
        <v>2021.5471999999845</v>
      </c>
      <c r="HB37" s="62"/>
      <c r="HC37" s="62">
        <v>13929.061999999318</v>
      </c>
      <c r="HD37" s="74"/>
      <c r="HE37" s="24">
        <f t="shared" si="104"/>
        <v>11907.514799999333</v>
      </c>
      <c r="HG37" s="62"/>
    </row>
    <row r="38" spans="1:215" ht="15.75" thickBot="1" x14ac:dyDescent="0.3">
      <c r="A38" s="35">
        <v>1</v>
      </c>
      <c r="B38" s="38">
        <v>3362.92</v>
      </c>
      <c r="C38" s="38">
        <f t="shared" si="3"/>
        <v>6.0799999999999272</v>
      </c>
      <c r="D38" s="38">
        <f t="shared" si="4"/>
        <v>194559.99999999767</v>
      </c>
      <c r="E38" s="38">
        <v>677.54</v>
      </c>
      <c r="F38" s="38">
        <f t="shared" si="89"/>
        <v>41279.999999998836</v>
      </c>
      <c r="G38" s="38">
        <f t="shared" si="6"/>
        <v>235839.99999999651</v>
      </c>
      <c r="H38" s="37"/>
      <c r="I38" s="39"/>
      <c r="J38" s="42"/>
      <c r="K38" s="37">
        <f>IF(J38&lt;=0,0,(J38/SQRT(J38^2+(I38-I37)^2)))</f>
        <v>0</v>
      </c>
      <c r="L38" s="40">
        <v>9596800</v>
      </c>
      <c r="M38" s="40"/>
      <c r="N38" s="37">
        <f t="shared" si="72"/>
        <v>234000</v>
      </c>
      <c r="O38" s="37">
        <v>9424.1</v>
      </c>
      <c r="P38" s="37"/>
      <c r="Q38" s="37">
        <f t="shared" si="101"/>
        <v>13300.000000001091</v>
      </c>
      <c r="R38" s="37">
        <f>IF(Q38&lt;=0,0,(Q38/SQRT(Q38^2+(P38-P37)^2)))</f>
        <v>1</v>
      </c>
      <c r="S38" s="37">
        <v>10938012.98</v>
      </c>
      <c r="T38" s="37">
        <f t="shared" si="8"/>
        <v>0</v>
      </c>
      <c r="U38" s="37">
        <v>1518125.52</v>
      </c>
      <c r="V38" s="37">
        <f>IF((U38-U37)&lt;=0,0,(U38-U37))</f>
        <v>0</v>
      </c>
      <c r="W38" s="37">
        <v>3236.2</v>
      </c>
      <c r="X38" s="37">
        <f t="shared" si="87"/>
        <v>8230.0000000010914</v>
      </c>
      <c r="Y38" s="183"/>
      <c r="Z38" s="183">
        <f t="shared" si="10"/>
        <v>0</v>
      </c>
      <c r="AA38" s="37">
        <v>453740</v>
      </c>
      <c r="AB38" s="37">
        <f t="shared" si="11"/>
        <v>5070</v>
      </c>
      <c r="AC38" s="37">
        <v>3432</v>
      </c>
      <c r="AD38" s="37"/>
      <c r="AE38" s="37">
        <f t="shared" si="102"/>
        <v>7099.9999999999091</v>
      </c>
      <c r="AF38" s="37">
        <f>IF(AE38&lt;=0,0,(AE38/SQRT(AE38^2+(AD38-AD37)^2)))</f>
        <v>1</v>
      </c>
      <c r="AG38" s="37">
        <v>7482</v>
      </c>
      <c r="AH38" s="37"/>
      <c r="AI38" s="37">
        <f t="shared" si="13"/>
        <v>14629.16</v>
      </c>
      <c r="AJ38" s="37">
        <f t="shared" si="14"/>
        <v>1</v>
      </c>
      <c r="AK38" s="37">
        <f t="shared" si="15"/>
        <v>29959.160000001</v>
      </c>
      <c r="AL38" s="42">
        <v>9603.5</v>
      </c>
      <c r="AM38" s="42"/>
      <c r="AN38" s="37">
        <f t="shared" si="54"/>
        <v>3689.1600000006729</v>
      </c>
      <c r="AO38" s="37">
        <f>IF(AN38&lt;=0,0,(AN38/SQRT(AN38^2+(AM38-AM37)^2)))</f>
        <v>1</v>
      </c>
      <c r="AP38" s="37">
        <v>7253.8</v>
      </c>
      <c r="AQ38" s="37"/>
      <c r="AR38" s="37">
        <f t="shared" si="16"/>
        <v>8600.0000000003638</v>
      </c>
      <c r="AS38" s="37">
        <f>IF(AR38&lt;=0,0,(AR38/SQRT(AR38^2+(AQ38-AQ37)^2)))</f>
        <v>1</v>
      </c>
      <c r="AT38" s="183"/>
      <c r="AU38" s="183">
        <f t="shared" si="17"/>
        <v>0</v>
      </c>
      <c r="AV38" s="183"/>
      <c r="AW38" s="183">
        <f t="shared" si="18"/>
        <v>0</v>
      </c>
      <c r="AX38" s="37">
        <v>443519.76</v>
      </c>
      <c r="AY38" s="37"/>
      <c r="AZ38" s="37">
        <f t="shared" si="19"/>
        <v>69.760000000009313</v>
      </c>
      <c r="BA38" s="37">
        <v>88081.631999999998</v>
      </c>
      <c r="BB38" s="37"/>
      <c r="BC38" s="37">
        <f t="shared" si="20"/>
        <v>19.152000000001863</v>
      </c>
      <c r="BD38" s="37">
        <f>AN38+AR38+AZ38+BC38</f>
        <v>12378.072000001048</v>
      </c>
      <c r="BE38" s="43">
        <v>1636.8</v>
      </c>
      <c r="BF38" s="43">
        <v>889.47</v>
      </c>
      <c r="BG38" s="37">
        <f t="shared" si="21"/>
        <v>2000</v>
      </c>
      <c r="BH38" s="44">
        <v>7874.4</v>
      </c>
      <c r="BI38" s="44">
        <v>5066.3999999999996</v>
      </c>
      <c r="BJ38" s="37">
        <f t="shared" si="22"/>
        <v>9399.9999999996362</v>
      </c>
      <c r="BK38" s="40">
        <v>1132200</v>
      </c>
      <c r="BL38" s="40">
        <f t="shared" si="78"/>
        <v>3700</v>
      </c>
      <c r="BM38" s="40">
        <v>796.93</v>
      </c>
      <c r="BN38" s="37">
        <f t="shared" si="23"/>
        <v>669.99999999995907</v>
      </c>
      <c r="BO38" s="186"/>
      <c r="BP38" s="183">
        <f t="shared" si="24"/>
        <v>0</v>
      </c>
      <c r="BQ38" s="40">
        <v>755.08</v>
      </c>
      <c r="BR38" s="37">
        <f t="shared" si="55"/>
        <v>770.0000000000955</v>
      </c>
      <c r="BS38" s="37">
        <v>74871.02</v>
      </c>
      <c r="BT38" s="37">
        <f t="shared" si="25"/>
        <v>175.35000000000582</v>
      </c>
      <c r="BU38" s="42">
        <v>1929200</v>
      </c>
      <c r="BV38" s="42"/>
      <c r="BW38" s="37">
        <f t="shared" si="26"/>
        <v>6000</v>
      </c>
      <c r="BX38" s="37">
        <f>IF(BW38&lt;=0,0,(BW38/SQRT(BW38^2+(BV38-BV37)^2)))</f>
        <v>1</v>
      </c>
      <c r="BY38" s="43">
        <v>269.27999999999997</v>
      </c>
      <c r="BZ38" s="43"/>
      <c r="CA38" s="37">
        <f t="shared" si="94"/>
        <v>779.99999999997272</v>
      </c>
      <c r="CB38" s="37">
        <f t="shared" si="56"/>
        <v>1</v>
      </c>
      <c r="CC38" s="37">
        <v>456750</v>
      </c>
      <c r="CD38" s="37">
        <f t="shared" si="28"/>
        <v>1760</v>
      </c>
      <c r="CE38" s="41">
        <v>697330</v>
      </c>
      <c r="CF38" s="37">
        <f t="shared" si="57"/>
        <v>0</v>
      </c>
      <c r="CG38" s="37">
        <v>56497</v>
      </c>
      <c r="CH38" s="37">
        <f t="shared" si="58"/>
        <v>82</v>
      </c>
      <c r="CI38" s="40">
        <v>10790</v>
      </c>
      <c r="CJ38" s="40"/>
      <c r="CK38" s="37">
        <f t="shared" si="59"/>
        <v>15349.160000000027</v>
      </c>
      <c r="CL38" s="37">
        <f t="shared" si="29"/>
        <v>1</v>
      </c>
      <c r="CM38" s="37">
        <v>2774.8</v>
      </c>
      <c r="CN38" s="37"/>
      <c r="CO38" s="37">
        <f t="shared" si="30"/>
        <v>7229.1600000003637</v>
      </c>
      <c r="CP38" s="37">
        <f>IF(CO38&lt;=0,0,(CO38/SQRT(CO38^2+(CN38-CN37)^2)))</f>
        <v>1</v>
      </c>
      <c r="CQ38" s="39">
        <v>2698.6</v>
      </c>
      <c r="CR38" s="39"/>
      <c r="CS38" s="37">
        <f>IF((CQ38-CQ37)&lt;=0,0,(CQ38-CQ37))*1000+GX38</f>
        <v>6529.1600000000908</v>
      </c>
      <c r="CT38" s="37">
        <f>IF(CS38&lt;=0,0,(CS38/SQRT(CS38^2+(CR38-CR37)^2)))</f>
        <v>1</v>
      </c>
      <c r="CU38" s="37">
        <v>2185600</v>
      </c>
      <c r="CV38" s="41"/>
      <c r="CW38" s="38">
        <f t="shared" si="32"/>
        <v>18000</v>
      </c>
      <c r="CX38" s="37">
        <f t="shared" si="82"/>
        <v>1</v>
      </c>
      <c r="CY38" s="37">
        <v>1164200</v>
      </c>
      <c r="CZ38" s="37"/>
      <c r="DA38" s="37">
        <f t="shared" si="103"/>
        <v>9900</v>
      </c>
      <c r="DB38" s="37">
        <f>IF(DA38&lt;=0,0,(DA38/SQRT(DA38^2+(CZ38-CZ37)^2)))</f>
        <v>1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5"/>
        <v>-63007.480000000483</v>
      </c>
      <c r="DH38" s="37">
        <f t="shared" si="36"/>
        <v>265959.16000000102</v>
      </c>
      <c r="DI38" s="46"/>
      <c r="DJ38" s="46"/>
      <c r="DK38" s="47"/>
      <c r="DL38" s="47"/>
      <c r="DM38" s="37"/>
      <c r="DN38" s="37"/>
      <c r="DO38" s="37"/>
      <c r="DP38" s="37"/>
      <c r="DQ38" s="50">
        <v>2571800</v>
      </c>
      <c r="DR38" s="49">
        <f t="shared" si="60"/>
        <v>9900</v>
      </c>
      <c r="DS38" s="50">
        <v>1822900</v>
      </c>
      <c r="DT38" s="49">
        <f t="shared" si="61"/>
        <v>10300</v>
      </c>
      <c r="DU38" s="51">
        <v>7508.8</v>
      </c>
      <c r="DV38" s="51">
        <v>4190.5</v>
      </c>
      <c r="DW38" s="37">
        <f t="shared" si="84"/>
        <v>4800.0000000001819</v>
      </c>
      <c r="DX38" s="52">
        <v>12436</v>
      </c>
      <c r="DY38" s="52">
        <v>8223.1</v>
      </c>
      <c r="DZ38" s="37">
        <f t="shared" si="37"/>
        <v>6129.16</v>
      </c>
      <c r="EA38" s="49">
        <v>27670</v>
      </c>
      <c r="EB38" s="49">
        <v>19.718</v>
      </c>
      <c r="EC38" s="37">
        <f t="shared" si="38"/>
        <v>23289.16</v>
      </c>
      <c r="ED38" s="53">
        <f t="shared" si="39"/>
        <v>34218.320000000182</v>
      </c>
      <c r="EE38" s="49">
        <v>42730</v>
      </c>
      <c r="EF38" s="49">
        <v>27.061</v>
      </c>
      <c r="EG38" s="37">
        <f t="shared" si="40"/>
        <v>34289.160000000003</v>
      </c>
      <c r="EH38" s="51">
        <v>11985</v>
      </c>
      <c r="EI38" s="51">
        <v>1.5964</v>
      </c>
      <c r="EJ38" s="37">
        <f t="shared" si="41"/>
        <v>10129.16</v>
      </c>
      <c r="EK38" s="37">
        <v>723.49</v>
      </c>
      <c r="EL38" s="40">
        <v>1039.5</v>
      </c>
      <c r="EM38" s="37">
        <f t="shared" si="62"/>
        <v>740.00000000000909</v>
      </c>
      <c r="EN38" s="54">
        <f t="shared" si="63"/>
        <v>45158.320000000014</v>
      </c>
      <c r="EO38" s="48">
        <v>12065</v>
      </c>
      <c r="EP38" s="48">
        <v>4201.6000000000004</v>
      </c>
      <c r="EQ38" s="37">
        <f t="shared" si="42"/>
        <v>9129.16</v>
      </c>
      <c r="ER38" s="48">
        <v>7660.1</v>
      </c>
      <c r="ES38" s="55">
        <v>3109.7</v>
      </c>
      <c r="ET38" s="49">
        <f t="shared" si="92"/>
        <v>19000</v>
      </c>
      <c r="EU38" s="48">
        <v>2722.9</v>
      </c>
      <c r="EV38" s="48">
        <v>974.98</v>
      </c>
      <c r="EW38" s="49">
        <f t="shared" si="44"/>
        <v>8529.1600000000908</v>
      </c>
      <c r="EX38" s="48">
        <v>12241</v>
      </c>
      <c r="EY38" s="48">
        <v>1.2971999999999999</v>
      </c>
      <c r="EZ38" s="37">
        <f t="shared" si="45"/>
        <v>11129.16</v>
      </c>
      <c r="FA38" s="48">
        <f t="shared" si="64"/>
        <v>-23832.480000000091</v>
      </c>
      <c r="FB38" s="48">
        <v>34068786</v>
      </c>
      <c r="FC38" s="49">
        <f>IF((FB38-FB37)&lt;=0,0,(FB38-FB37))</f>
        <v>23955</v>
      </c>
      <c r="FD38" s="48">
        <f t="shared" si="65"/>
        <v>49587.480000000054</v>
      </c>
      <c r="FE38" s="153">
        <v>16109</v>
      </c>
      <c r="FF38" s="154">
        <v>5782.9</v>
      </c>
      <c r="FG38" s="37">
        <f t="shared" si="66"/>
        <v>9729.16</v>
      </c>
      <c r="FH38" s="48">
        <v>7102.9</v>
      </c>
      <c r="FI38" s="48">
        <v>2.7345999999999999</v>
      </c>
      <c r="FJ38" s="49">
        <f t="shared" si="46"/>
        <v>20629.159999999636</v>
      </c>
      <c r="FK38" s="48"/>
      <c r="FL38" s="58">
        <v>600</v>
      </c>
      <c r="FM38" s="48">
        <f t="shared" si="86"/>
        <v>-129.1599999998798</v>
      </c>
      <c r="FN38" s="48">
        <v>15383</v>
      </c>
      <c r="FO38" s="48">
        <v>0.68830000000000002</v>
      </c>
      <c r="FP38" s="37">
        <f t="shared" si="67"/>
        <v>12729.16</v>
      </c>
      <c r="FQ38" s="48">
        <v>54798</v>
      </c>
      <c r="FR38" s="48">
        <v>13.084</v>
      </c>
      <c r="FS38" s="37">
        <f>IF((FQ38-FQ37)*1000&lt;=0,0,(FQ38-FQ37)*1000)</f>
        <v>53000</v>
      </c>
      <c r="FT38" s="48">
        <f t="shared" si="93"/>
        <v>-387.4799999996394</v>
      </c>
      <c r="FU38" s="48">
        <f t="shared" si="69"/>
        <v>44387.479999999814</v>
      </c>
      <c r="FV38" s="44">
        <v>2430700</v>
      </c>
      <c r="FW38" s="44">
        <v>786010</v>
      </c>
      <c r="FX38" s="37">
        <f t="shared" si="48"/>
        <v>400</v>
      </c>
      <c r="FY38" s="56">
        <v>2812.5</v>
      </c>
      <c r="FZ38" s="56">
        <v>1.6180000000000001</v>
      </c>
      <c r="GA38" s="37">
        <f t="shared" si="91"/>
        <v>119.9999999998181</v>
      </c>
      <c r="GB38" s="56">
        <v>739.11</v>
      </c>
      <c r="GC38" s="56">
        <v>820.18</v>
      </c>
      <c r="GD38" s="37">
        <f t="shared" si="49"/>
        <v>269.99999999998181</v>
      </c>
      <c r="GE38" s="56">
        <v>9189.5</v>
      </c>
      <c r="GF38" s="63">
        <v>2.7475999999999998</v>
      </c>
      <c r="GG38" s="37">
        <f t="shared" si="50"/>
        <v>399.99999999986358</v>
      </c>
      <c r="GH38" s="48">
        <v>1776.3</v>
      </c>
      <c r="GI38" s="56">
        <v>1500</v>
      </c>
      <c r="GJ38" s="38">
        <f t="shared" si="51"/>
        <v>1799.9999999999545</v>
      </c>
      <c r="GK38" s="56">
        <v>1406.9</v>
      </c>
      <c r="GL38" s="44">
        <v>1092.5</v>
      </c>
      <c r="GM38" s="38">
        <f t="shared" si="52"/>
        <v>1300.0000000001819</v>
      </c>
      <c r="GN38" s="57">
        <v>158900</v>
      </c>
      <c r="GO38" s="57">
        <v>138640</v>
      </c>
      <c r="GP38" s="38">
        <f t="shared" si="90"/>
        <v>0</v>
      </c>
      <c r="GQ38" s="38">
        <v>202100</v>
      </c>
      <c r="GR38" s="38">
        <v>203200</v>
      </c>
      <c r="GS38" s="38">
        <f t="shared" si="70"/>
        <v>80</v>
      </c>
      <c r="GT38" s="178"/>
      <c r="GU38" s="144">
        <f>DailyJan!B37-DailyJan!N37-DailyJan!V37-DailyJan!Y37-DailyJan!Z37-DailyJan!AA37-DailyJan!AB37-DailyJan!AC37-DailyJan!AD37-DailyJan!AE37-DailyJan!AK37-DailyJan!AO37-DailyJan!AS37-DailyJan!AY37-DailyJan!BD37+DailyJan!BS37-SUM(DailyJan!BM37:BQ37)-DailyJan!BR37-DailyJan!AF37-DailyJan!AG37</f>
        <v>2.559999997720297E-2</v>
      </c>
      <c r="GV38" s="59">
        <v>1937.43</v>
      </c>
      <c r="GW38" s="60">
        <f t="shared" si="53"/>
        <v>129.16200000000001</v>
      </c>
      <c r="GX38" s="61">
        <v>129.16</v>
      </c>
      <c r="GY38" s="140"/>
      <c r="GZ38" s="74"/>
      <c r="HA38" s="141">
        <f>HA39*G38</f>
        <v>1937.4255999999714</v>
      </c>
      <c r="HB38" s="62"/>
      <c r="HC38" s="74">
        <v>8549.0879999945828</v>
      </c>
      <c r="HD38" s="74"/>
      <c r="HE38" s="24">
        <f>HC38-HA38</f>
        <v>6611.6623999946114</v>
      </c>
      <c r="HG38" s="62"/>
    </row>
    <row r="39" spans="1:215" ht="15.75" thickBot="1" x14ac:dyDescent="0.3">
      <c r="A39" s="77" t="s">
        <v>37</v>
      </c>
      <c r="B39" s="78"/>
      <c r="C39" s="78">
        <f>SUM(C8:C38)</f>
        <v>213.47000000000025</v>
      </c>
      <c r="D39" s="78">
        <f>SUM(D8:D38)</f>
        <v>6831040.0000000056</v>
      </c>
      <c r="E39" s="78"/>
      <c r="F39" s="78">
        <f>SUM(F8:F38)</f>
        <v>1398399.9999999974</v>
      </c>
      <c r="G39" s="78">
        <f>SUM(G8:G38)</f>
        <v>8229440.0000000047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8175000</v>
      </c>
      <c r="O39" s="79"/>
      <c r="P39" s="79"/>
      <c r="Q39" s="78">
        <f>SUM(Q8:Q38)</f>
        <v>416000.00000000006</v>
      </c>
      <c r="R39" s="79">
        <f>AVERAGE(R8:R38)</f>
        <v>1</v>
      </c>
      <c r="S39" s="79"/>
      <c r="T39" s="78">
        <f>SUM(T8:T38)</f>
        <v>26325.919999999925</v>
      </c>
      <c r="U39" s="79"/>
      <c r="V39" s="79">
        <f>SUM(V8:V38)</f>
        <v>0.32000000006519258</v>
      </c>
      <c r="W39" s="79"/>
      <c r="X39" s="78">
        <f>SUM(X8:X38)</f>
        <v>251873.75999999995</v>
      </c>
      <c r="Y39" s="184"/>
      <c r="Z39" s="184"/>
      <c r="AA39" s="78"/>
      <c r="AB39" s="78"/>
      <c r="AC39" s="79"/>
      <c r="AD39" s="79"/>
      <c r="AE39" s="78">
        <f>SUM(AE8:AE38)</f>
        <v>183900.00000000009</v>
      </c>
      <c r="AF39" s="79">
        <f>AVERAGE(AF8:AF38)</f>
        <v>1</v>
      </c>
      <c r="AG39" s="79"/>
      <c r="AH39" s="79"/>
      <c r="AI39" s="78">
        <f>SUM(AI8:AI38)</f>
        <v>421707.00999999989</v>
      </c>
      <c r="AJ39" s="79">
        <f>AVERAGE(AJ8:AJ38)</f>
        <v>1</v>
      </c>
      <c r="AK39" s="78">
        <f>SUM(AK8:AK38)</f>
        <v>883807.00999999989</v>
      </c>
      <c r="AL39" s="79"/>
      <c r="AM39" s="79"/>
      <c r="AN39" s="78">
        <f>SUM(AN8:AN38)</f>
        <v>188027.00999999931</v>
      </c>
      <c r="AO39" s="79">
        <f>AVERAGE(AO8:AO38)</f>
        <v>1</v>
      </c>
      <c r="AP39" s="79"/>
      <c r="AQ39" s="79"/>
      <c r="AR39" s="78">
        <f>SUM(AR8:AR38)</f>
        <v>328199.99999999983</v>
      </c>
      <c r="AS39" s="79">
        <f>AVERAGE(AS8:AS38)</f>
        <v>1</v>
      </c>
      <c r="AT39" s="184"/>
      <c r="AU39" s="184"/>
      <c r="AV39" s="184"/>
      <c r="AW39" s="184"/>
      <c r="AX39" s="79"/>
      <c r="AY39" s="79"/>
      <c r="AZ39" s="78">
        <f>SUM(AZ8:AZ38)</f>
        <v>9965.1600000000326</v>
      </c>
      <c r="BA39" s="79"/>
      <c r="BB39" s="79"/>
      <c r="BC39" s="78">
        <f>SUM(BC8:BC38)</f>
        <v>12670.239999999991</v>
      </c>
      <c r="BD39" s="78">
        <f>SUM(BD8:BD38)</f>
        <v>538862.40999999922</v>
      </c>
      <c r="BE39" s="80"/>
      <c r="BF39" s="81"/>
      <c r="BG39" s="78">
        <f>SUM(BG8:BG38)</f>
        <v>64399.999999999869</v>
      </c>
      <c r="BH39" s="78"/>
      <c r="BI39" s="78"/>
      <c r="BJ39" s="78"/>
      <c r="BK39" s="80"/>
      <c r="BL39" s="78">
        <f>SUM(BL8:BL38)</f>
        <v>154770</v>
      </c>
      <c r="BM39" s="80"/>
      <c r="BN39" s="78">
        <f>SUM(BN8:BN38)</f>
        <v>21919.99999999996</v>
      </c>
      <c r="BO39" s="187"/>
      <c r="BP39" s="188">
        <f>SUM(BP8:BP38)</f>
        <v>0</v>
      </c>
      <c r="BQ39" s="79"/>
      <c r="BR39" s="78">
        <f>SUM(BR8:BR38)</f>
        <v>19090.000000000029</v>
      </c>
      <c r="BS39" s="78"/>
      <c r="BT39" s="78"/>
      <c r="BU39" s="79"/>
      <c r="BV39" s="79"/>
      <c r="BW39" s="78">
        <f>SUM(BW8:BW38)</f>
        <v>194400</v>
      </c>
      <c r="BX39" s="79">
        <f>AVERAGE(BX8:BX38)</f>
        <v>1</v>
      </c>
      <c r="BY39" s="79"/>
      <c r="BZ39" s="79"/>
      <c r="CA39" s="78">
        <f>SUM(CA8:CA38)</f>
        <v>23489.999999999978</v>
      </c>
      <c r="CB39" s="78"/>
      <c r="CC39" s="79"/>
      <c r="CD39" s="79"/>
      <c r="CE39" s="79"/>
      <c r="CF39" s="78">
        <f>SUM(CF8:CF38)</f>
        <v>30.199999999953434</v>
      </c>
      <c r="CG39" s="79"/>
      <c r="CH39" s="78">
        <f>SUM(CH8:CH38)</f>
        <v>9987.3000000000029</v>
      </c>
      <c r="CI39" s="79"/>
      <c r="CJ39" s="79"/>
      <c r="CK39" s="78">
        <f>SUM(CK8:CK38)</f>
        <v>500017.01000000007</v>
      </c>
      <c r="CL39" s="79">
        <f>AVERAGE(CL8:CL38)</f>
        <v>1</v>
      </c>
      <c r="CM39" s="79"/>
      <c r="CN39" s="79"/>
      <c r="CO39" s="78">
        <f>SUM(CO8:CO38)</f>
        <v>218707.01000000024</v>
      </c>
      <c r="CP39" s="79">
        <f>AVERAGE(CP8:CP38)</f>
        <v>1</v>
      </c>
      <c r="CQ39" s="82"/>
      <c r="CR39" s="83"/>
      <c r="CS39" s="78">
        <f>SUM(CS8:CS38)</f>
        <v>197707.00999999981</v>
      </c>
      <c r="CT39" s="79">
        <f>AVERAGE(CT8:CT38)</f>
        <v>1</v>
      </c>
      <c r="CU39" s="79"/>
      <c r="CV39" s="79"/>
      <c r="CW39" s="78">
        <f>SUM(CW8:CW38)</f>
        <v>507600</v>
      </c>
      <c r="CX39" s="79">
        <f>AVERAGE(CX8:CX38)</f>
        <v>1</v>
      </c>
      <c r="CY39" s="79"/>
      <c r="CZ39" s="79"/>
      <c r="DA39" s="78">
        <f>SUM(DA8:DA38)</f>
        <v>321960</v>
      </c>
      <c r="DB39" s="79">
        <f>AVERAGE(DB8:DB38)</f>
        <v>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-1940391.03</v>
      </c>
      <c r="DH39" s="78">
        <f>SUM(DH8:DH38)</f>
        <v>9123207.0099999998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338700</v>
      </c>
      <c r="DS39" s="84"/>
      <c r="DT39" s="85">
        <f>SUMIF(DT7:DT38,"&gt;0")</f>
        <v>448200</v>
      </c>
      <c r="DU39" s="86"/>
      <c r="DV39" s="86"/>
      <c r="DW39" s="87">
        <f>SUMIF(DW8:DW38,"&gt;0")</f>
        <v>141400.00000000055</v>
      </c>
      <c r="DX39" s="86"/>
      <c r="DY39" s="86"/>
      <c r="DZ39" s="87">
        <f>SUMIF(DZ8:DZ38,"&gt;0")</f>
        <v>209507.00999999998</v>
      </c>
      <c r="EA39" s="86"/>
      <c r="EB39" s="86"/>
      <c r="EC39" s="87">
        <f>SUMIF(EC8:EC38,"&gt;0")</f>
        <v>762467.01000000013</v>
      </c>
      <c r="ED39" s="88">
        <f>SUMIF(ED8:ED38,"&gt;0")</f>
        <v>1113374.0200000005</v>
      </c>
      <c r="EE39" s="86"/>
      <c r="EF39" s="86"/>
      <c r="EG39" s="87">
        <f>SUMIF(EG8:EG38,"&gt;0")</f>
        <v>771467.01000000013</v>
      </c>
      <c r="EH39" s="86"/>
      <c r="EI39" s="86"/>
      <c r="EJ39" s="87">
        <f>SUMIF(EJ8:EJ38,"&gt;0")</f>
        <v>312507.01</v>
      </c>
      <c r="EK39" s="87"/>
      <c r="EL39" s="87"/>
      <c r="EM39" s="87">
        <f>SUMIF(EM8:EM38,"&gt;0")</f>
        <v>19919.999999999964</v>
      </c>
      <c r="EN39" s="89">
        <f>SUMIF(EN8:EN38,"&gt;0")</f>
        <v>1103894.02</v>
      </c>
      <c r="EO39" s="48"/>
      <c r="EP39" s="48"/>
      <c r="EQ39" s="90">
        <f>SUMIF(EQ8:EQ38,"&gt;0")</f>
        <v>271507.01</v>
      </c>
      <c r="ER39" s="90"/>
      <c r="ES39" s="90"/>
      <c r="ET39" s="90">
        <f>SUMIF(ET8:ET38,"&gt;0")</f>
        <v>547500</v>
      </c>
      <c r="EU39" s="90"/>
      <c r="EV39" s="90"/>
      <c r="EW39" s="90">
        <f>SUMIF(EW8:EW38,"&gt;0")</f>
        <v>230907.01000000007</v>
      </c>
      <c r="EX39" s="48"/>
      <c r="EY39" s="48"/>
      <c r="EZ39" s="90">
        <f>SUMIF(EZ8:EZ38,"&gt;0")</f>
        <v>362507.01000000007</v>
      </c>
      <c r="FA39" s="90"/>
      <c r="FB39" s="90"/>
      <c r="FC39" s="90"/>
      <c r="FD39" s="90">
        <f>SUMIF(FD8:FD38,"&gt;0")</f>
        <v>1465121.0300000003</v>
      </c>
      <c r="FE39" s="48"/>
      <c r="FF39" s="48"/>
      <c r="FG39" s="90">
        <f>SUMIF(FG8:FG38,"&gt;0")</f>
        <v>278873.69</v>
      </c>
      <c r="FH39" s="90"/>
      <c r="FI39" s="90"/>
      <c r="FJ39" s="90">
        <f>SUMIF(FJ8:FJ38,"&gt;0")</f>
        <v>564973.68999999936</v>
      </c>
      <c r="FK39" s="90"/>
      <c r="FL39" s="90">
        <f>SUMIF(FL8:FL38,"&gt;0")</f>
        <v>8566.68</v>
      </c>
      <c r="FM39" s="90">
        <f>SUMIF(FM8:FM38,"&gt;0")</f>
        <v>851.62000000000194</v>
      </c>
      <c r="FN39" s="48"/>
      <c r="FO39" s="48"/>
      <c r="FP39" s="90">
        <f>SUMIF(FP8:FP38,"&gt;0")</f>
        <v>354873.68999999994</v>
      </c>
      <c r="FQ39" s="90"/>
      <c r="FR39" s="90"/>
      <c r="FS39" s="90">
        <f>SUMIF(FS8:FS38,"&gt;0")</f>
        <v>1633000</v>
      </c>
      <c r="FT39" s="90"/>
      <c r="FU39" s="90">
        <f>SUMIF(FU8:FU38,"&gt;0")</f>
        <v>1213321.0699999991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12320</v>
      </c>
      <c r="GQ39" s="90"/>
      <c r="GR39" s="90"/>
      <c r="GS39" s="90">
        <f>SUM(GS8:GS38)</f>
        <v>32300</v>
      </c>
      <c r="GT39" s="178"/>
      <c r="GU39" s="90">
        <f>SUM(GU8:GU38)</f>
        <v>25079.689600005018</v>
      </c>
      <c r="GV39" s="90">
        <f>SUM(GV8:GV38)</f>
        <v>67604.847599993649</v>
      </c>
      <c r="GW39" s="16"/>
      <c r="GX39" s="90"/>
      <c r="GY39" s="139"/>
      <c r="GZ39" s="143"/>
      <c r="HA39">
        <v>8.2150000000000001E-3</v>
      </c>
      <c r="HB39" s="3"/>
      <c r="HC39" s="3">
        <v>267285.55599999998</v>
      </c>
      <c r="HD39" s="143"/>
      <c r="HE39" s="24">
        <v>267285.55599999998</v>
      </c>
    </row>
    <row r="40" spans="1:215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3"/>
    </row>
    <row r="41" spans="1:215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>
        <f>SUM(N33:N35)</f>
        <v>800000</v>
      </c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419" t="s">
        <v>208</v>
      </c>
      <c r="BV41" s="419"/>
      <c r="BW41" s="419"/>
      <c r="BY41" s="406" t="s">
        <v>205</v>
      </c>
      <c r="BZ41" s="406"/>
      <c r="CA41" s="406"/>
      <c r="CC41" s="91"/>
      <c r="CE41" s="95"/>
      <c r="CF41" s="95"/>
      <c r="CG41" s="95"/>
      <c r="CH41" s="96"/>
      <c r="CI41" s="92"/>
      <c r="CJ41" s="92"/>
      <c r="CK41" s="92"/>
      <c r="CL41" s="92"/>
      <c r="CU41" s="91"/>
      <c r="CZ41" s="91"/>
      <c r="DB41" s="91"/>
      <c r="DS41" s="24"/>
      <c r="DT41" s="151"/>
      <c r="DU41" s="406" t="s">
        <v>205</v>
      </c>
      <c r="DV41" s="406"/>
      <c r="DW41" s="406"/>
      <c r="DX41" s="406" t="s">
        <v>203</v>
      </c>
      <c r="DY41" s="406"/>
      <c r="DZ41" s="406"/>
      <c r="EA41" s="406" t="s">
        <v>204</v>
      </c>
      <c r="EB41" s="406"/>
      <c r="EC41" s="406"/>
      <c r="EE41" t="s">
        <v>108</v>
      </c>
      <c r="EF41" s="3"/>
      <c r="EJ41" s="2"/>
      <c r="EK41" s="174"/>
      <c r="EL41" s="174"/>
      <c r="EN41" s="2"/>
      <c r="EO41" s="406" t="s">
        <v>155</v>
      </c>
      <c r="EP41" s="406"/>
      <c r="EQ41" s="406"/>
      <c r="ER41" s="406" t="s">
        <v>135</v>
      </c>
      <c r="ES41" s="406"/>
      <c r="ET41" s="406"/>
      <c r="EU41" s="406" t="s">
        <v>155</v>
      </c>
      <c r="EV41" s="406"/>
      <c r="EW41" s="406"/>
      <c r="EX41" s="406"/>
      <c r="EY41" s="406"/>
      <c r="EZ41" s="406"/>
      <c r="FE41" s="407" t="s">
        <v>155</v>
      </c>
      <c r="FF41" s="407"/>
      <c r="FG41" s="407"/>
      <c r="FH41" s="406" t="s">
        <v>135</v>
      </c>
      <c r="FI41" s="406"/>
      <c r="FJ41" s="406"/>
      <c r="FO41" s="407" t="s">
        <v>155</v>
      </c>
      <c r="FP41" s="407"/>
      <c r="FQ41" s="407"/>
      <c r="GJ41" s="151"/>
      <c r="GK41" s="151"/>
      <c r="GM41" s="91">
        <f>279+298</f>
        <v>577</v>
      </c>
      <c r="GN41" s="91"/>
      <c r="GS41" s="3"/>
      <c r="HD41" s="3"/>
    </row>
    <row r="42" spans="1:215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/>
      <c r="CE42" s="95"/>
      <c r="CF42" s="98"/>
      <c r="CG42" s="98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414" t="s">
        <v>224</v>
      </c>
      <c r="DR42" s="414"/>
      <c r="DS42" s="414"/>
      <c r="DT42" s="414"/>
      <c r="EE42" t="s">
        <v>109</v>
      </c>
      <c r="EJ42" s="3"/>
      <c r="EK42" s="174"/>
      <c r="EL42" s="174"/>
      <c r="EN42" s="2"/>
      <c r="EO42" s="151"/>
      <c r="EP42">
        <v>0.35070052539404384</v>
      </c>
      <c r="FF42" s="416" t="s">
        <v>243</v>
      </c>
      <c r="FG42" s="416"/>
      <c r="FH42" s="416" t="s">
        <v>246</v>
      </c>
      <c r="FI42" s="416"/>
      <c r="FJ42" s="415" t="s">
        <v>247</v>
      </c>
      <c r="FK42" s="415"/>
      <c r="FL42" s="415" t="s">
        <v>245</v>
      </c>
      <c r="FM42" s="415"/>
      <c r="FN42" s="416" t="s">
        <v>37</v>
      </c>
      <c r="FQ42" s="151"/>
      <c r="GJ42" s="151"/>
      <c r="GK42" s="151"/>
      <c r="GO42" s="91"/>
    </row>
    <row r="43" spans="1:215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/>
      <c r="CE43" s="95"/>
      <c r="CF43" s="98"/>
      <c r="CG43" s="96"/>
      <c r="CH43" s="96"/>
      <c r="CI43" s="92"/>
      <c r="CJ43" s="92"/>
      <c r="CK43" s="92"/>
      <c r="CL43" s="92"/>
      <c r="CQ43" s="161"/>
      <c r="CR43" s="161"/>
      <c r="CU43" s="180"/>
      <c r="CV43" s="91"/>
      <c r="DQ43" s="408" t="s">
        <v>225</v>
      </c>
      <c r="DR43" s="409"/>
      <c r="DS43" s="408" t="s">
        <v>226</v>
      </c>
      <c r="DT43" s="409"/>
      <c r="EE43" t="s">
        <v>110</v>
      </c>
      <c r="EJ43" s="2"/>
      <c r="EK43" s="174"/>
      <c r="EL43" s="174"/>
      <c r="EN43" s="3"/>
      <c r="EO43" s="151"/>
      <c r="EP43">
        <v>0.32005253940453693</v>
      </c>
      <c r="EZ43" s="416" t="s">
        <v>241</v>
      </c>
      <c r="FA43" s="416" t="s">
        <v>242</v>
      </c>
      <c r="FB43" s="416" t="s">
        <v>37</v>
      </c>
      <c r="FD43" s="3"/>
      <c r="FF43" s="416"/>
      <c r="FG43" s="416"/>
      <c r="FH43" s="416"/>
      <c r="FI43" s="416"/>
      <c r="FJ43" s="415"/>
      <c r="FK43" s="415"/>
      <c r="FL43" s="415"/>
      <c r="FM43" s="415"/>
      <c r="FN43" s="416"/>
      <c r="FS43" s="151"/>
      <c r="FU43" s="151"/>
    </row>
    <row r="44" spans="1:215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M44">
        <f>G38/24</f>
        <v>9826.6666666665205</v>
      </c>
      <c r="AM44" s="151"/>
      <c r="BH44" s="96"/>
      <c r="BI44" s="96"/>
      <c r="BJ44" s="96"/>
      <c r="BW44" s="91"/>
      <c r="BY44" s="91"/>
      <c r="CC44" s="91"/>
      <c r="CD44" s="91"/>
      <c r="CE44" s="96"/>
      <c r="CF44" s="98"/>
      <c r="CG44" s="96"/>
      <c r="CH44" s="96"/>
      <c r="CI44" s="92"/>
      <c r="CJ44" s="92"/>
      <c r="CK44" s="92"/>
      <c r="CL44" s="92"/>
      <c r="CQ44" s="161"/>
      <c r="CR44" s="161"/>
      <c r="CV44" s="91"/>
      <c r="DQ44" s="410"/>
      <c r="DR44" s="411"/>
      <c r="DS44" s="410"/>
      <c r="DT44" s="411"/>
      <c r="EE44" t="s">
        <v>111</v>
      </c>
      <c r="EJ44" s="2"/>
      <c r="EP44">
        <v>0.32924693520141918</v>
      </c>
      <c r="EV44" t="s">
        <v>235</v>
      </c>
      <c r="EZ44" s="416"/>
      <c r="FA44" s="416"/>
      <c r="FB44" s="416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416"/>
      <c r="GH44" t="s">
        <v>112</v>
      </c>
      <c r="GK44" t="s">
        <v>113</v>
      </c>
    </row>
    <row r="45" spans="1:215" x14ac:dyDescent="0.25">
      <c r="A45" s="35">
        <v>31</v>
      </c>
      <c r="B45" s="138">
        <v>24.4</v>
      </c>
      <c r="C45" s="65"/>
      <c r="D45" s="55"/>
      <c r="E45" s="16">
        <v>15180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/>
      <c r="CE45" s="96"/>
      <c r="CF45" s="98"/>
      <c r="CG45" s="96"/>
      <c r="CH45" s="96"/>
      <c r="CI45" s="92"/>
      <c r="CJ45" s="92"/>
      <c r="CK45" s="92"/>
      <c r="CL45" s="92"/>
      <c r="DQ45" s="412"/>
      <c r="DR45" s="413"/>
      <c r="DS45" s="412"/>
      <c r="DT45" s="413"/>
      <c r="EE45" t="s">
        <v>114</v>
      </c>
      <c r="EV45" t="s">
        <v>236</v>
      </c>
      <c r="EW45" s="406" t="s">
        <v>238</v>
      </c>
      <c r="EX45" s="406"/>
      <c r="EZ45" s="203">
        <f>EZ8</f>
        <v>12463.3</v>
      </c>
      <c r="FA45" s="205">
        <f>FP8</f>
        <v>13063.3</v>
      </c>
      <c r="FB45" s="201">
        <f>EZ45+FA45</f>
        <v>25526.6</v>
      </c>
      <c r="FC45" s="16">
        <f>85*0.6355*24</f>
        <v>1296.42</v>
      </c>
      <c r="FD45" s="167">
        <f>FB45-$FC$45</f>
        <v>24230.18</v>
      </c>
      <c r="FE45" s="16"/>
      <c r="FF45" s="199">
        <v>0.52205329847351034</v>
      </c>
      <c r="FG45" s="200">
        <v>0.47794670152648966</v>
      </c>
      <c r="FH45" s="16">
        <f>FF45*$FC$45</f>
        <v>676.80033720702829</v>
      </c>
      <c r="FI45" s="179">
        <f>FG45*$FC$45</f>
        <v>619.61966279297178</v>
      </c>
      <c r="FJ45" s="179">
        <f>FF45*FD45</f>
        <v>12649.445391606881</v>
      </c>
      <c r="FK45" s="179">
        <f>FG45*FD45</f>
        <v>11580.734608393119</v>
      </c>
      <c r="FL45" s="204">
        <f>FH45+FJ45</f>
        <v>13326.24572881391</v>
      </c>
      <c r="FM45" s="206">
        <f>FI45+FK45</f>
        <v>12200.35427118609</v>
      </c>
      <c r="FN45" s="202">
        <f>FL45+FM45</f>
        <v>25526.6</v>
      </c>
      <c r="GH45" s="100" t="s">
        <v>115</v>
      </c>
      <c r="GI45" s="100" t="s">
        <v>116</v>
      </c>
      <c r="GJ45" s="100"/>
      <c r="GK45" s="100" t="s">
        <v>115</v>
      </c>
      <c r="GL45" s="100" t="s">
        <v>116</v>
      </c>
      <c r="GM45" s="100"/>
      <c r="GN45" s="16"/>
      <c r="GO45" s="16"/>
      <c r="GP45" s="16"/>
      <c r="GQ45" s="16"/>
      <c r="GR45" s="16"/>
      <c r="GS45" s="16"/>
      <c r="GT45" s="402" t="s">
        <v>182</v>
      </c>
      <c r="GU45" s="402"/>
    </row>
    <row r="46" spans="1:215" x14ac:dyDescent="0.25">
      <c r="A46" s="35">
        <v>1</v>
      </c>
      <c r="B46" s="138"/>
      <c r="C46" s="65"/>
      <c r="D46" s="37">
        <f t="shared" ref="D46:D77" si="105">IF((B46-B45)&lt;=0,0,(B46-B45))*1000</f>
        <v>0</v>
      </c>
      <c r="E46" s="16">
        <v>15274</v>
      </c>
      <c r="F46" s="16"/>
      <c r="G46" s="37">
        <f t="shared" ref="G46:G77" si="106">IF((E46-E45)&lt;=0,0,(E46-E45))*1000</f>
        <v>94000</v>
      </c>
      <c r="H46" s="138"/>
      <c r="I46" s="65"/>
      <c r="J46" s="37">
        <f t="shared" ref="J46:J75" si="107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/>
      <c r="CE46" s="96"/>
      <c r="CF46" s="98"/>
      <c r="CG46" s="96"/>
      <c r="CH46" s="96"/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08">EZ9</f>
        <v>10242.700000000001</v>
      </c>
      <c r="FA46" s="205">
        <f t="shared" ref="FA46:FA75" si="109">FP9</f>
        <v>12176.03</v>
      </c>
      <c r="FB46" s="201">
        <f t="shared" ref="FB46:FB75" si="110">EZ46+FA46</f>
        <v>22418.730000000003</v>
      </c>
      <c r="FC46" s="16"/>
      <c r="FD46" s="167">
        <f t="shared" ref="FD46:FD75" si="111">FB46-$FC$45</f>
        <v>21122.310000000005</v>
      </c>
      <c r="FE46" s="16"/>
      <c r="FF46" s="199">
        <v>0.5117862918273417</v>
      </c>
      <c r="FG46" s="200">
        <v>0.48821370817265836</v>
      </c>
      <c r="FH46" s="16">
        <f t="shared" ref="FH46:FH73" si="112">FF46*$FC$45</f>
        <v>663.48998445080235</v>
      </c>
      <c r="FI46" s="179">
        <f t="shared" ref="FI46:FI73" si="113">FG46*$FC$45</f>
        <v>632.93001554919783</v>
      </c>
      <c r="FJ46" s="179">
        <f t="shared" ref="FJ46:FJ73" si="114">FF46*FD46</f>
        <v>10810.108709727579</v>
      </c>
      <c r="FK46" s="179">
        <f t="shared" ref="FK46:FK73" si="115">FG46*FD46</f>
        <v>10312.201290272425</v>
      </c>
      <c r="FL46" s="204">
        <f t="shared" ref="FL46:FL73" si="116">FH46+FJ46</f>
        <v>11473.598694178381</v>
      </c>
      <c r="FM46" s="206">
        <f t="shared" ref="FM46:FM73" si="117">FI46+FK46</f>
        <v>10945.131305821624</v>
      </c>
      <c r="FN46" s="202">
        <f t="shared" ref="FN46:FN73" si="118">FL46+FM46</f>
        <v>22418.730000000003</v>
      </c>
      <c r="FS46" s="151">
        <f>FS35-FG35-FJ35-FP35</f>
        <v>15079.900000000187</v>
      </c>
      <c r="GG46">
        <v>1</v>
      </c>
      <c r="GH46" s="63"/>
      <c r="GI46" s="63"/>
      <c r="GJ46" s="63"/>
      <c r="GK46" s="63"/>
      <c r="GL46" s="63"/>
      <c r="GM46" s="63"/>
      <c r="GN46" s="16"/>
      <c r="GO46" s="403" t="s">
        <v>133</v>
      </c>
      <c r="GP46" s="404"/>
      <c r="GQ46" s="33"/>
      <c r="GR46" s="33"/>
      <c r="GS46" s="33"/>
      <c r="GT46" s="152" t="s">
        <v>183</v>
      </c>
      <c r="GU46" s="152">
        <f>60*24</f>
        <v>1440</v>
      </c>
    </row>
    <row r="47" spans="1:215" x14ac:dyDescent="0.25">
      <c r="A47" s="35">
        <v>2</v>
      </c>
      <c r="B47" s="138"/>
      <c r="C47" s="65"/>
      <c r="D47" s="37">
        <f t="shared" si="105"/>
        <v>0</v>
      </c>
      <c r="E47" s="16">
        <v>15366</v>
      </c>
      <c r="F47" s="16"/>
      <c r="G47" s="37">
        <f t="shared" si="106"/>
        <v>92000</v>
      </c>
      <c r="H47" s="138"/>
      <c r="I47" s="65"/>
      <c r="J47" s="37">
        <f t="shared" si="107"/>
        <v>0</v>
      </c>
      <c r="BH47" s="96"/>
      <c r="BI47" s="96"/>
      <c r="BJ47" s="96"/>
      <c r="CC47" s="91"/>
      <c r="CD47" s="91"/>
      <c r="CE47" s="96"/>
      <c r="CF47" s="98"/>
      <c r="CG47" s="96"/>
      <c r="CH47" s="96"/>
      <c r="CI47" s="92"/>
      <c r="CJ47" s="92"/>
      <c r="CK47" s="92"/>
      <c r="CL47" s="92"/>
      <c r="CN47" s="91"/>
      <c r="DP47">
        <v>1</v>
      </c>
      <c r="DQ47" s="50">
        <v>4.0289999999999999</v>
      </c>
      <c r="DR47" s="49">
        <f>($DQ$56-$DQ$47)*10000/9</f>
        <v>2870.0000000000005</v>
      </c>
      <c r="DS47" s="50">
        <v>40.832000000000001</v>
      </c>
      <c r="DT47" s="49">
        <f>($DS$56-$DS$47)*1000/9</f>
        <v>264.99999999999977</v>
      </c>
      <c r="EV47" t="s">
        <v>239</v>
      </c>
      <c r="EZ47" s="203">
        <f t="shared" si="108"/>
        <v>10375.81</v>
      </c>
      <c r="FA47" s="205">
        <f t="shared" si="109"/>
        <v>7809.1399999999994</v>
      </c>
      <c r="FB47" s="201">
        <f t="shared" si="110"/>
        <v>18184.949999999997</v>
      </c>
      <c r="FC47" s="16"/>
      <c r="FD47" s="167">
        <f t="shared" si="111"/>
        <v>16888.53</v>
      </c>
      <c r="FE47" s="16"/>
      <c r="FF47" s="199">
        <v>0.75418300653594772</v>
      </c>
      <c r="FG47" s="200">
        <v>0.24581699346405228</v>
      </c>
      <c r="FH47" s="16">
        <f t="shared" si="112"/>
        <v>977.73793333333344</v>
      </c>
      <c r="FI47" s="179">
        <f t="shared" si="113"/>
        <v>318.68206666666669</v>
      </c>
      <c r="FJ47" s="179">
        <f t="shared" si="114"/>
        <v>12737.042331372548</v>
      </c>
      <c r="FK47" s="179">
        <f t="shared" si="115"/>
        <v>4151.4876686274501</v>
      </c>
      <c r="FL47" s="204">
        <f t="shared" si="116"/>
        <v>13714.780264705882</v>
      </c>
      <c r="FM47" s="206">
        <f t="shared" si="117"/>
        <v>4470.1697352941164</v>
      </c>
      <c r="FN47" s="202">
        <f t="shared" si="118"/>
        <v>18184.949999999997</v>
      </c>
      <c r="FO47" s="406"/>
      <c r="FP47" s="406"/>
      <c r="GG47">
        <f>GG46+1</f>
        <v>2</v>
      </c>
      <c r="GH47" s="63"/>
      <c r="GI47" s="63"/>
      <c r="GJ47" s="63">
        <f t="shared" ref="GJ47:GJ54" si="119">GH47-GH46</f>
        <v>0</v>
      </c>
      <c r="GK47" s="63"/>
      <c r="GL47" s="63"/>
      <c r="GM47" s="63">
        <f t="shared" ref="GM47:GM54" si="120">GK47-GK46</f>
        <v>0</v>
      </c>
      <c r="GN47" s="16">
        <v>1</v>
      </c>
      <c r="GO47" s="137"/>
      <c r="GP47" s="137"/>
      <c r="GQ47" s="137"/>
      <c r="GR47" s="137"/>
      <c r="GS47" s="137"/>
      <c r="GT47" s="402"/>
      <c r="GU47" s="402"/>
    </row>
    <row r="48" spans="1:215" x14ac:dyDescent="0.25">
      <c r="A48" s="35">
        <v>3</v>
      </c>
      <c r="B48" s="138"/>
      <c r="C48" s="65"/>
      <c r="D48" s="37">
        <f t="shared" si="105"/>
        <v>0</v>
      </c>
      <c r="E48" s="16">
        <v>15457</v>
      </c>
      <c r="F48" s="16"/>
      <c r="G48" s="37">
        <f t="shared" si="106"/>
        <v>91000</v>
      </c>
      <c r="H48" s="138"/>
      <c r="I48" s="65"/>
      <c r="J48" s="37">
        <f t="shared" si="107"/>
        <v>0</v>
      </c>
      <c r="AL48" s="101"/>
      <c r="AM48" s="101"/>
      <c r="AN48" s="101"/>
      <c r="AP48" s="405"/>
      <c r="AQ48" s="405"/>
      <c r="AR48" s="405"/>
      <c r="AS48" s="405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f>DP47+1</f>
        <v>2</v>
      </c>
      <c r="DQ48" s="50">
        <f t="shared" ref="DQ48:DQ54" si="121">DQ49-($DR$47/10000)</f>
        <v>4.3160000000000007</v>
      </c>
      <c r="DR48" s="49">
        <f t="shared" ref="DR48:DR56" si="122">($DQ$56-$DQ$47)*10000/9</f>
        <v>2870.0000000000005</v>
      </c>
      <c r="DS48" s="50">
        <f t="shared" ref="DS48:DS54" si="123">DS49-($DT$47/1000)</f>
        <v>41.096999999999994</v>
      </c>
      <c r="DT48" s="49">
        <f t="shared" ref="DT48:DT56" si="124">($DS$56-$DS$47)*1000/9</f>
        <v>264.99999999999977</v>
      </c>
      <c r="EE48" s="406" t="s">
        <v>206</v>
      </c>
      <c r="EF48" s="406"/>
      <c r="EG48" s="406"/>
      <c r="EH48" s="406" t="s">
        <v>155</v>
      </c>
      <c r="EI48" s="406"/>
      <c r="EJ48" s="406"/>
      <c r="EK48" s="406" t="s">
        <v>207</v>
      </c>
      <c r="EL48" s="406"/>
      <c r="EM48" s="406"/>
      <c r="EV48" s="406" t="s">
        <v>240</v>
      </c>
      <c r="EW48" s="406"/>
      <c r="EX48">
        <f>85*0.6355*24</f>
        <v>1296.42</v>
      </c>
      <c r="EZ48" s="203">
        <f t="shared" si="108"/>
        <v>12609.59</v>
      </c>
      <c r="FA48" s="205">
        <f t="shared" si="109"/>
        <v>11542.92</v>
      </c>
      <c r="FB48" s="201">
        <f t="shared" si="110"/>
        <v>24152.510000000002</v>
      </c>
      <c r="FC48" s="16"/>
      <c r="FD48" s="167">
        <f t="shared" si="111"/>
        <v>22856.090000000004</v>
      </c>
      <c r="FE48" s="16"/>
      <c r="FF48" s="199">
        <v>0.5538158663754652</v>
      </c>
      <c r="FG48" s="199">
        <v>0.44618413362453474</v>
      </c>
      <c r="FH48" s="16">
        <f t="shared" si="112"/>
        <v>717.97796548648068</v>
      </c>
      <c r="FI48" s="179">
        <f t="shared" si="113"/>
        <v>578.44203451351939</v>
      </c>
      <c r="FJ48" s="179">
        <f t="shared" si="114"/>
        <v>12658.065285305609</v>
      </c>
      <c r="FK48" s="179">
        <f t="shared" si="115"/>
        <v>10198.024714694395</v>
      </c>
      <c r="FL48" s="204">
        <f t="shared" si="116"/>
        <v>13376.04325079209</v>
      </c>
      <c r="FM48" s="206">
        <f t="shared" si="117"/>
        <v>10776.466749207913</v>
      </c>
      <c r="FN48" s="202">
        <f t="shared" si="118"/>
        <v>24152.510000000002</v>
      </c>
      <c r="FO48" s="406"/>
      <c r="FP48" s="406"/>
      <c r="FW48" s="406"/>
      <c r="FX48" s="406"/>
      <c r="FY48" s="406"/>
      <c r="FZ48" s="406"/>
      <c r="GG48">
        <f t="shared" ref="GG48:GG75" si="125">GG47+1</f>
        <v>3</v>
      </c>
      <c r="GH48" s="63"/>
      <c r="GI48" s="63"/>
      <c r="GJ48" s="63">
        <f t="shared" si="119"/>
        <v>0</v>
      </c>
      <c r="GK48" s="63"/>
      <c r="GL48" s="63"/>
      <c r="GM48" s="63">
        <f t="shared" si="120"/>
        <v>0</v>
      </c>
      <c r="GN48" s="16">
        <v>2</v>
      </c>
      <c r="GO48" s="137"/>
      <c r="GP48" s="137"/>
      <c r="GQ48" s="137"/>
      <c r="GR48" s="137"/>
      <c r="GS48" s="137"/>
      <c r="GT48" s="402"/>
      <c r="GU48" s="402"/>
    </row>
    <row r="49" spans="1:204" x14ac:dyDescent="0.25">
      <c r="A49" s="35">
        <v>4</v>
      </c>
      <c r="B49" s="138"/>
      <c r="C49" s="65"/>
      <c r="D49" s="37">
        <f t="shared" si="105"/>
        <v>0</v>
      </c>
      <c r="E49" s="16">
        <v>15550</v>
      </c>
      <c r="F49" s="16"/>
      <c r="G49" s="37">
        <f t="shared" si="106"/>
        <v>93000</v>
      </c>
      <c r="H49" s="138"/>
      <c r="I49" s="65"/>
      <c r="J49" s="37">
        <f t="shared" si="107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f t="shared" ref="DP49:DP77" si="126">DP48+1</f>
        <v>3</v>
      </c>
      <c r="DQ49" s="50">
        <f t="shared" si="121"/>
        <v>4.6030000000000006</v>
      </c>
      <c r="DR49" s="49">
        <f t="shared" si="122"/>
        <v>2870.0000000000005</v>
      </c>
      <c r="DS49" s="50">
        <f t="shared" si="123"/>
        <v>41.361999999999995</v>
      </c>
      <c r="DT49" s="49">
        <f t="shared" si="124"/>
        <v>264.99999999999977</v>
      </c>
      <c r="EZ49" s="203">
        <f t="shared" si="108"/>
        <v>13047.62</v>
      </c>
      <c r="FA49" s="205">
        <f t="shared" si="109"/>
        <v>12280.95</v>
      </c>
      <c r="FB49" s="201">
        <f t="shared" si="110"/>
        <v>25328.57</v>
      </c>
      <c r="FC49" s="16"/>
      <c r="FD49" s="167">
        <f t="shared" si="111"/>
        <v>24032.15</v>
      </c>
      <c r="FE49" s="16"/>
      <c r="FF49" s="199">
        <v>0.51238741171134194</v>
      </c>
      <c r="FG49" s="199">
        <v>0.48761258828865806</v>
      </c>
      <c r="FH49" s="16">
        <f t="shared" si="112"/>
        <v>664.26928829081794</v>
      </c>
      <c r="FI49" s="179">
        <f t="shared" si="113"/>
        <v>632.15071170918213</v>
      </c>
      <c r="FJ49" s="179">
        <f t="shared" si="114"/>
        <v>12313.771136358728</v>
      </c>
      <c r="FK49" s="179">
        <f t="shared" si="115"/>
        <v>11718.378863641274</v>
      </c>
      <c r="FL49" s="204">
        <f t="shared" si="116"/>
        <v>12978.040424649545</v>
      </c>
      <c r="FM49" s="206">
        <f t="shared" si="117"/>
        <v>12350.529575350456</v>
      </c>
      <c r="FN49" s="202">
        <f t="shared" si="118"/>
        <v>25328.57</v>
      </c>
      <c r="GG49">
        <f t="shared" si="125"/>
        <v>4</v>
      </c>
      <c r="GH49" s="63"/>
      <c r="GI49" s="63"/>
      <c r="GJ49" s="63">
        <f t="shared" si="119"/>
        <v>0</v>
      </c>
      <c r="GK49" s="63"/>
      <c r="GL49" s="63"/>
      <c r="GM49" s="63">
        <f t="shared" si="120"/>
        <v>0</v>
      </c>
      <c r="GN49" s="16">
        <v>3</v>
      </c>
      <c r="GO49" s="137"/>
      <c r="GP49" s="137"/>
      <c r="GQ49" s="137"/>
      <c r="GR49" s="137"/>
      <c r="GS49" s="137"/>
      <c r="GT49" s="152"/>
      <c r="GU49" s="152"/>
    </row>
    <row r="50" spans="1:204" x14ac:dyDescent="0.25">
      <c r="A50" s="35">
        <v>5</v>
      </c>
      <c r="B50" s="138"/>
      <c r="C50" s="65"/>
      <c r="D50" s="37">
        <f t="shared" si="105"/>
        <v>0</v>
      </c>
      <c r="E50" s="16">
        <v>15645</v>
      </c>
      <c r="F50" s="16"/>
      <c r="G50" s="37">
        <f t="shared" si="106"/>
        <v>95000</v>
      </c>
      <c r="H50" s="138"/>
      <c r="I50" s="65"/>
      <c r="J50" s="37">
        <f t="shared" si="107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f t="shared" si="126"/>
        <v>4</v>
      </c>
      <c r="DQ50" s="50">
        <f t="shared" si="121"/>
        <v>4.8900000000000006</v>
      </c>
      <c r="DR50" s="49">
        <f t="shared" si="122"/>
        <v>2870.0000000000005</v>
      </c>
      <c r="DS50" s="50">
        <f t="shared" si="123"/>
        <v>41.626999999999995</v>
      </c>
      <c r="DT50" s="49">
        <f t="shared" si="124"/>
        <v>264.99999999999977</v>
      </c>
      <c r="EZ50" s="203">
        <f t="shared" si="108"/>
        <v>12436.37</v>
      </c>
      <c r="FA50" s="205">
        <f t="shared" si="109"/>
        <v>12103.04</v>
      </c>
      <c r="FB50" s="201">
        <f t="shared" si="110"/>
        <v>24539.410000000003</v>
      </c>
      <c r="FC50" s="16"/>
      <c r="FD50" s="167">
        <f t="shared" si="111"/>
        <v>23242.990000000005</v>
      </c>
      <c r="FE50" s="16"/>
      <c r="FF50" s="199">
        <v>0.5</v>
      </c>
      <c r="FG50" s="199">
        <v>0.5</v>
      </c>
      <c r="FH50" s="16">
        <f t="shared" si="112"/>
        <v>648.21</v>
      </c>
      <c r="FI50" s="179">
        <f t="shared" si="113"/>
        <v>648.21</v>
      </c>
      <c r="FJ50" s="179">
        <f t="shared" si="114"/>
        <v>11621.495000000003</v>
      </c>
      <c r="FK50" s="179">
        <f t="shared" si="115"/>
        <v>11621.495000000003</v>
      </c>
      <c r="FL50" s="204">
        <f t="shared" si="116"/>
        <v>12269.705000000002</v>
      </c>
      <c r="FM50" s="206">
        <f t="shared" si="117"/>
        <v>12269.705000000002</v>
      </c>
      <c r="FN50" s="202">
        <f t="shared" si="118"/>
        <v>24539.410000000003</v>
      </c>
      <c r="FW50" s="151"/>
      <c r="FX50" s="151"/>
      <c r="FY50" s="150"/>
      <c r="FZ50" s="151"/>
      <c r="GG50">
        <f t="shared" si="125"/>
        <v>5</v>
      </c>
      <c r="GH50" s="63"/>
      <c r="GI50" s="63"/>
      <c r="GJ50" s="63">
        <f t="shared" si="119"/>
        <v>0</v>
      </c>
      <c r="GK50" s="63"/>
      <c r="GL50" s="63"/>
      <c r="GM50" s="63">
        <f t="shared" si="120"/>
        <v>0</v>
      </c>
      <c r="GN50" s="16">
        <v>4</v>
      </c>
      <c r="GO50" s="137"/>
      <c r="GP50" s="137"/>
      <c r="GQ50" s="176"/>
      <c r="GR50" s="176"/>
      <c r="GS50" s="176"/>
      <c r="GT50" s="399"/>
      <c r="GU50" s="400"/>
      <c r="GV50" s="166"/>
    </row>
    <row r="51" spans="1:204" x14ac:dyDescent="0.25">
      <c r="A51" s="35">
        <v>6</v>
      </c>
      <c r="B51" s="138"/>
      <c r="C51" s="65"/>
      <c r="D51" s="37">
        <f t="shared" si="105"/>
        <v>0</v>
      </c>
      <c r="E51" s="16">
        <v>15739</v>
      </c>
      <c r="F51" s="16"/>
      <c r="G51" s="37">
        <f t="shared" si="106"/>
        <v>94000</v>
      </c>
      <c r="H51" s="138"/>
      <c r="I51" s="65"/>
      <c r="J51" s="37">
        <f t="shared" si="107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f t="shared" si="126"/>
        <v>5</v>
      </c>
      <c r="DQ51" s="50">
        <f t="shared" si="121"/>
        <v>5.1770000000000005</v>
      </c>
      <c r="DR51" s="49">
        <f t="shared" si="122"/>
        <v>2870.0000000000005</v>
      </c>
      <c r="DS51" s="50">
        <f t="shared" si="123"/>
        <v>41.891999999999996</v>
      </c>
      <c r="DT51" s="49">
        <f t="shared" si="124"/>
        <v>264.99999999999977</v>
      </c>
      <c r="EZ51" s="203">
        <f t="shared" si="108"/>
        <v>12772.57</v>
      </c>
      <c r="FA51" s="205">
        <f t="shared" si="109"/>
        <v>13539.24</v>
      </c>
      <c r="FB51" s="201">
        <f t="shared" si="110"/>
        <v>26311.809999999998</v>
      </c>
      <c r="FC51" s="16"/>
      <c r="FD51" s="167">
        <f t="shared" si="111"/>
        <v>25015.39</v>
      </c>
      <c r="FE51" s="16"/>
      <c r="FF51" s="199">
        <v>0.52245944373828546</v>
      </c>
      <c r="FG51" s="199">
        <v>0.47754055626171443</v>
      </c>
      <c r="FH51" s="16">
        <f t="shared" si="112"/>
        <v>677.32687205118805</v>
      </c>
      <c r="FI51" s="179">
        <f t="shared" si="113"/>
        <v>619.09312794881191</v>
      </c>
      <c r="FJ51" s="179">
        <f t="shared" si="114"/>
        <v>13069.526744296269</v>
      </c>
      <c r="FK51" s="179">
        <f t="shared" si="115"/>
        <v>11945.863255703729</v>
      </c>
      <c r="FL51" s="204">
        <f t="shared" si="116"/>
        <v>13746.853616347456</v>
      </c>
      <c r="FM51" s="206">
        <f t="shared" si="117"/>
        <v>12564.956383652541</v>
      </c>
      <c r="FN51" s="202">
        <f t="shared" si="118"/>
        <v>26311.809999999998</v>
      </c>
      <c r="GG51">
        <f t="shared" si="125"/>
        <v>6</v>
      </c>
      <c r="GH51" s="63"/>
      <c r="GI51" s="63"/>
      <c r="GJ51" s="63">
        <f t="shared" si="119"/>
        <v>0</v>
      </c>
      <c r="GK51" s="63"/>
      <c r="GL51" s="63"/>
      <c r="GM51" s="63">
        <f t="shared" si="120"/>
        <v>0</v>
      </c>
      <c r="GN51" s="16">
        <v>5</v>
      </c>
      <c r="GO51" s="137"/>
      <c r="GP51" s="137"/>
      <c r="GQ51" s="176"/>
      <c r="GR51" s="176"/>
      <c r="GS51" s="176"/>
      <c r="GT51" s="399"/>
      <c r="GU51" s="400"/>
      <c r="GV51" s="166"/>
    </row>
    <row r="52" spans="1:204" x14ac:dyDescent="0.25">
      <c r="A52" s="35">
        <v>7</v>
      </c>
      <c r="B52" s="138"/>
      <c r="C52" s="65"/>
      <c r="D52" s="37">
        <f t="shared" si="105"/>
        <v>0</v>
      </c>
      <c r="E52" s="16">
        <v>15828</v>
      </c>
      <c r="F52" s="16"/>
      <c r="G52" s="37">
        <f t="shared" si="106"/>
        <v>89000</v>
      </c>
      <c r="H52" s="138"/>
      <c r="I52" s="65"/>
      <c r="J52" s="37">
        <f t="shared" si="107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f t="shared" si="126"/>
        <v>6</v>
      </c>
      <c r="DQ52" s="50">
        <f t="shared" si="121"/>
        <v>5.4640000000000004</v>
      </c>
      <c r="DR52" s="49">
        <f t="shared" si="122"/>
        <v>2870.0000000000005</v>
      </c>
      <c r="DS52" s="50">
        <f t="shared" si="123"/>
        <v>42.156999999999996</v>
      </c>
      <c r="DT52" s="49">
        <f t="shared" si="124"/>
        <v>264.99999999999977</v>
      </c>
      <c r="EZ52" s="203">
        <f t="shared" si="108"/>
        <v>11153.87</v>
      </c>
      <c r="FA52" s="205">
        <f t="shared" si="109"/>
        <v>13420.54</v>
      </c>
      <c r="FB52" s="201">
        <f t="shared" si="110"/>
        <v>24574.410000000003</v>
      </c>
      <c r="FC52" s="16"/>
      <c r="FD52" s="167">
        <f t="shared" si="111"/>
        <v>23277.990000000005</v>
      </c>
      <c r="FE52" s="16"/>
      <c r="FF52" s="199">
        <v>0.53439102971724117</v>
      </c>
      <c r="FG52" s="199">
        <v>0.46560897028275894</v>
      </c>
      <c r="FH52" s="16">
        <f t="shared" si="112"/>
        <v>692.79521874602585</v>
      </c>
      <c r="FI52" s="179">
        <f t="shared" si="113"/>
        <v>603.62478125397433</v>
      </c>
      <c r="FJ52" s="179">
        <f t="shared" si="114"/>
        <v>12439.549045847645</v>
      </c>
      <c r="FK52" s="179">
        <f t="shared" si="115"/>
        <v>10838.440954152362</v>
      </c>
      <c r="FL52" s="204">
        <f t="shared" si="116"/>
        <v>13132.34426459367</v>
      </c>
      <c r="FM52" s="206">
        <f t="shared" si="117"/>
        <v>11442.065735406337</v>
      </c>
      <c r="FN52" s="202">
        <f t="shared" si="118"/>
        <v>24574.410000000007</v>
      </c>
      <c r="GG52">
        <f t="shared" si="125"/>
        <v>7</v>
      </c>
      <c r="GH52" s="63"/>
      <c r="GI52" s="63"/>
      <c r="GJ52" s="63">
        <f t="shared" si="119"/>
        <v>0</v>
      </c>
      <c r="GK52" s="63"/>
      <c r="GL52" s="63"/>
      <c r="GM52" s="63">
        <f t="shared" si="120"/>
        <v>0</v>
      </c>
      <c r="GN52" s="16">
        <v>6</v>
      </c>
      <c r="GO52" s="137"/>
      <c r="GP52" s="137"/>
      <c r="GQ52" s="176"/>
      <c r="GR52" s="176"/>
      <c r="GS52" s="176"/>
      <c r="GT52" s="399"/>
      <c r="GU52" s="400"/>
    </row>
    <row r="53" spans="1:204" x14ac:dyDescent="0.25">
      <c r="A53" s="35">
        <v>8</v>
      </c>
      <c r="B53" s="138"/>
      <c r="C53" s="65"/>
      <c r="D53" s="37">
        <f t="shared" si="105"/>
        <v>0</v>
      </c>
      <c r="E53" s="16">
        <v>15906</v>
      </c>
      <c r="F53" s="16"/>
      <c r="G53" s="37">
        <f t="shared" si="106"/>
        <v>78000</v>
      </c>
      <c r="H53" s="138"/>
      <c r="I53" s="65"/>
      <c r="J53" s="37">
        <f t="shared" si="107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3"/>
      <c r="DP53">
        <f t="shared" si="126"/>
        <v>7</v>
      </c>
      <c r="DQ53" s="50">
        <f t="shared" si="121"/>
        <v>5.7510000000000003</v>
      </c>
      <c r="DR53" s="49">
        <f t="shared" si="122"/>
        <v>2870.0000000000005</v>
      </c>
      <c r="DS53" s="50">
        <f t="shared" si="123"/>
        <v>42.421999999999997</v>
      </c>
      <c r="DT53" s="49">
        <f t="shared" si="124"/>
        <v>264.99999999999977</v>
      </c>
      <c r="EZ53" s="203">
        <f t="shared" si="108"/>
        <v>8138.98</v>
      </c>
      <c r="FA53" s="205">
        <f t="shared" si="109"/>
        <v>12972.31</v>
      </c>
      <c r="FB53" s="201">
        <f t="shared" si="110"/>
        <v>21111.29</v>
      </c>
      <c r="FC53" s="16"/>
      <c r="FD53" s="167">
        <f t="shared" si="111"/>
        <v>19814.870000000003</v>
      </c>
      <c r="FE53" s="16"/>
      <c r="FF53" s="199">
        <v>0.30141790138450331</v>
      </c>
      <c r="FG53" s="199">
        <v>0.69858209861549669</v>
      </c>
      <c r="FH53" s="16">
        <f t="shared" si="112"/>
        <v>390.76419571289779</v>
      </c>
      <c r="FI53" s="179">
        <f t="shared" si="113"/>
        <v>905.65580428710223</v>
      </c>
      <c r="FJ53" s="179">
        <f t="shared" si="114"/>
        <v>5972.5565316067541</v>
      </c>
      <c r="FK53" s="179">
        <f t="shared" si="115"/>
        <v>13842.313468393249</v>
      </c>
      <c r="FL53" s="204">
        <f t="shared" si="116"/>
        <v>6363.3207273196522</v>
      </c>
      <c r="FM53" s="206">
        <f t="shared" si="117"/>
        <v>14747.969272680351</v>
      </c>
      <c r="FN53" s="202">
        <f t="shared" si="118"/>
        <v>21111.290000000005</v>
      </c>
      <c r="GG53">
        <f t="shared" si="125"/>
        <v>8</v>
      </c>
      <c r="GH53" s="63"/>
      <c r="GI53" s="63"/>
      <c r="GJ53" s="63">
        <f t="shared" si="119"/>
        <v>0</v>
      </c>
      <c r="GK53" s="63"/>
      <c r="GL53" s="63"/>
      <c r="GM53" s="63">
        <f t="shared" si="120"/>
        <v>0</v>
      </c>
      <c r="GN53" s="16">
        <v>7</v>
      </c>
      <c r="GO53" s="137"/>
      <c r="GP53" s="137"/>
      <c r="GQ53" s="176"/>
      <c r="GR53" s="176"/>
      <c r="GS53" s="176"/>
      <c r="GT53" s="399"/>
      <c r="GU53" s="400"/>
    </row>
    <row r="54" spans="1:204" x14ac:dyDescent="0.25">
      <c r="A54" s="35">
        <v>9</v>
      </c>
      <c r="B54" s="138"/>
      <c r="C54" s="65"/>
      <c r="D54" s="37">
        <f t="shared" si="105"/>
        <v>0</v>
      </c>
      <c r="E54" s="16">
        <v>15998</v>
      </c>
      <c r="F54" s="16"/>
      <c r="G54" s="37">
        <f t="shared" si="106"/>
        <v>92000</v>
      </c>
      <c r="H54" s="138"/>
      <c r="I54" s="65"/>
      <c r="J54" s="37">
        <f t="shared" si="107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f t="shared" si="126"/>
        <v>8</v>
      </c>
      <c r="DQ54" s="50">
        <f t="shared" si="121"/>
        <v>6.0380000000000003</v>
      </c>
      <c r="DR54" s="49">
        <f t="shared" si="122"/>
        <v>2870.0000000000005</v>
      </c>
      <c r="DS54" s="50">
        <f t="shared" si="123"/>
        <v>42.686999999999998</v>
      </c>
      <c r="DT54" s="49">
        <f t="shared" si="124"/>
        <v>264.99999999999977</v>
      </c>
      <c r="EZ54" s="203">
        <f t="shared" si="108"/>
        <v>11160.01</v>
      </c>
      <c r="FA54" s="205">
        <f t="shared" si="109"/>
        <v>11860.01</v>
      </c>
      <c r="FB54" s="201">
        <f t="shared" si="110"/>
        <v>23020.02</v>
      </c>
      <c r="FC54" s="16"/>
      <c r="FD54" s="167">
        <f t="shared" si="111"/>
        <v>21723.599999999999</v>
      </c>
      <c r="FE54" s="16"/>
      <c r="FF54" s="199">
        <v>0.50077057225128763</v>
      </c>
      <c r="FG54" s="199">
        <v>0.49922942774871232</v>
      </c>
      <c r="FH54" s="16">
        <f t="shared" si="112"/>
        <v>649.20898527801432</v>
      </c>
      <c r="FI54" s="179">
        <f t="shared" si="113"/>
        <v>647.21101472198563</v>
      </c>
      <c r="FJ54" s="179">
        <f t="shared" si="114"/>
        <v>10878.539603358071</v>
      </c>
      <c r="FK54" s="179">
        <f t="shared" si="115"/>
        <v>10845.060396641926</v>
      </c>
      <c r="FL54" s="204">
        <f t="shared" si="116"/>
        <v>11527.748588636085</v>
      </c>
      <c r="FM54" s="206">
        <f t="shared" si="117"/>
        <v>11492.271411363912</v>
      </c>
      <c r="FN54" s="202">
        <f t="shared" si="118"/>
        <v>23020.019999999997</v>
      </c>
      <c r="FW54" s="151"/>
      <c r="FX54" s="151"/>
      <c r="GG54">
        <f t="shared" si="125"/>
        <v>9</v>
      </c>
      <c r="GH54" s="63"/>
      <c r="GI54" s="63"/>
      <c r="GJ54" s="63">
        <f t="shared" si="119"/>
        <v>0</v>
      </c>
      <c r="GK54" s="63"/>
      <c r="GL54" s="63"/>
      <c r="GM54" s="63">
        <f t="shared" si="120"/>
        <v>0</v>
      </c>
      <c r="GN54" s="16">
        <v>8</v>
      </c>
      <c r="GO54" s="137"/>
      <c r="GP54" s="137"/>
      <c r="GQ54" s="176"/>
      <c r="GR54" s="176"/>
      <c r="GS54" s="176"/>
      <c r="GT54" s="399"/>
      <c r="GU54" s="400"/>
    </row>
    <row r="55" spans="1:204" x14ac:dyDescent="0.25">
      <c r="A55" s="35">
        <v>10</v>
      </c>
      <c r="B55" s="138"/>
      <c r="C55" s="65"/>
      <c r="D55" s="37">
        <f t="shared" si="105"/>
        <v>0</v>
      </c>
      <c r="E55" s="16">
        <v>16083</v>
      </c>
      <c r="F55" s="16"/>
      <c r="G55" s="37">
        <f t="shared" si="106"/>
        <v>85000</v>
      </c>
      <c r="H55" s="138"/>
      <c r="I55" s="65"/>
      <c r="J55" s="37">
        <f t="shared" si="107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f t="shared" si="126"/>
        <v>9</v>
      </c>
      <c r="DQ55" s="50">
        <f>DQ56-($DR$47/10000)</f>
        <v>6.3250000000000002</v>
      </c>
      <c r="DR55" s="49">
        <f t="shared" si="122"/>
        <v>2870.0000000000005</v>
      </c>
      <c r="DS55" s="50">
        <f>DS56-($DT$47/1000)</f>
        <v>42.951999999999998</v>
      </c>
      <c r="DT55" s="49">
        <f t="shared" si="124"/>
        <v>264.99999999999977</v>
      </c>
      <c r="EZ55" s="203">
        <f t="shared" si="108"/>
        <v>12164.21</v>
      </c>
      <c r="FA55" s="205">
        <f t="shared" si="109"/>
        <v>10964.21</v>
      </c>
      <c r="FB55" s="201">
        <f t="shared" si="110"/>
        <v>23128.42</v>
      </c>
      <c r="FC55" s="16"/>
      <c r="FD55" s="167">
        <f t="shared" si="111"/>
        <v>21832</v>
      </c>
      <c r="FE55" s="16"/>
      <c r="FF55" s="199">
        <v>0.47665171597036732</v>
      </c>
      <c r="FG55" s="199">
        <v>0.52334828402963263</v>
      </c>
      <c r="FH55" s="16">
        <f t="shared" si="112"/>
        <v>617.94081761830364</v>
      </c>
      <c r="FI55" s="179">
        <f t="shared" si="113"/>
        <v>678.47918238169632</v>
      </c>
      <c r="FJ55" s="179">
        <f t="shared" si="114"/>
        <v>10406.26026306506</v>
      </c>
      <c r="FK55" s="179">
        <f t="shared" si="115"/>
        <v>11425.73973693494</v>
      </c>
      <c r="FL55" s="204">
        <f t="shared" si="116"/>
        <v>11024.201080683364</v>
      </c>
      <c r="FM55" s="206">
        <f t="shared" si="117"/>
        <v>12104.218919316636</v>
      </c>
      <c r="FN55" s="202">
        <f t="shared" si="118"/>
        <v>23128.42</v>
      </c>
      <c r="FW55" s="151"/>
      <c r="FX55" s="151"/>
      <c r="GG55">
        <f t="shared" si="125"/>
        <v>10</v>
      </c>
      <c r="GH55" s="63"/>
      <c r="GI55" s="63"/>
      <c r="GJ55" s="63">
        <f>GH55-GH54</f>
        <v>0</v>
      </c>
      <c r="GK55" s="63"/>
      <c r="GL55" s="63"/>
      <c r="GM55" s="63">
        <f>GK55-GK54</f>
        <v>0</v>
      </c>
      <c r="GN55" s="16">
        <v>9</v>
      </c>
      <c r="GO55" s="137"/>
      <c r="GP55" s="137"/>
      <c r="GQ55" s="176"/>
      <c r="GR55" s="176"/>
      <c r="GS55" s="176"/>
      <c r="GT55" s="399"/>
      <c r="GU55" s="400"/>
    </row>
    <row r="56" spans="1:204" x14ac:dyDescent="0.25">
      <c r="A56" s="35">
        <v>11</v>
      </c>
      <c r="B56" s="138"/>
      <c r="C56" s="65"/>
      <c r="D56" s="37">
        <f t="shared" si="105"/>
        <v>0</v>
      </c>
      <c r="E56" s="16">
        <v>16166</v>
      </c>
      <c r="F56" s="16"/>
      <c r="G56" s="37">
        <f t="shared" si="106"/>
        <v>83000</v>
      </c>
      <c r="H56" s="138"/>
      <c r="I56" s="65"/>
      <c r="J56" s="37">
        <f t="shared" si="107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f t="shared" si="126"/>
        <v>10</v>
      </c>
      <c r="DQ56" s="50">
        <v>6.6120000000000001</v>
      </c>
      <c r="DR56" s="49">
        <f t="shared" si="122"/>
        <v>2870.0000000000005</v>
      </c>
      <c r="DS56" s="50">
        <v>43.216999999999999</v>
      </c>
      <c r="DT56" s="49">
        <f t="shared" si="124"/>
        <v>264.99999999999977</v>
      </c>
      <c r="EZ56" s="203">
        <f t="shared" si="108"/>
        <v>13154.05</v>
      </c>
      <c r="FA56" s="205">
        <f t="shared" si="109"/>
        <v>12020.72</v>
      </c>
      <c r="FB56" s="201">
        <f t="shared" si="110"/>
        <v>25174.769999999997</v>
      </c>
      <c r="FC56" s="16"/>
      <c r="FD56" s="167">
        <f t="shared" si="111"/>
        <v>23878.35</v>
      </c>
      <c r="FE56" s="16"/>
      <c r="FF56" s="199">
        <v>0.49303731996498762</v>
      </c>
      <c r="FG56" s="199">
        <v>0.50696268003501233</v>
      </c>
      <c r="FH56" s="16">
        <f t="shared" si="112"/>
        <v>639.18344234900928</v>
      </c>
      <c r="FI56" s="179">
        <f t="shared" si="113"/>
        <v>657.23655765099068</v>
      </c>
      <c r="FJ56" s="179">
        <f t="shared" si="114"/>
        <v>11772.917689185961</v>
      </c>
      <c r="FK56" s="179">
        <f t="shared" si="115"/>
        <v>12105.432310814036</v>
      </c>
      <c r="FL56" s="204">
        <f t="shared" si="116"/>
        <v>12412.10113153497</v>
      </c>
      <c r="FM56" s="206">
        <f t="shared" si="117"/>
        <v>12762.668868465027</v>
      </c>
      <c r="FN56" s="202">
        <f t="shared" si="118"/>
        <v>25174.769999999997</v>
      </c>
      <c r="GG56">
        <f t="shared" si="125"/>
        <v>11</v>
      </c>
      <c r="GH56" s="63"/>
      <c r="GI56" s="63"/>
      <c r="GJ56" s="63">
        <f t="shared" ref="GJ56:GJ75" si="127">GH56-GH55</f>
        <v>0</v>
      </c>
      <c r="GK56" s="63"/>
      <c r="GL56" s="63"/>
      <c r="GM56" s="63">
        <f t="shared" ref="GM56:GM75" si="128">GK56-GK55</f>
        <v>0</v>
      </c>
      <c r="GN56" s="16">
        <v>10</v>
      </c>
      <c r="GO56" s="137"/>
      <c r="GP56" s="137"/>
      <c r="GQ56" s="176"/>
      <c r="GR56" s="176"/>
      <c r="GS56" s="176"/>
      <c r="GT56" s="399"/>
      <c r="GU56" s="400"/>
    </row>
    <row r="57" spans="1:204" x14ac:dyDescent="0.25">
      <c r="A57" s="35">
        <v>12</v>
      </c>
      <c r="B57" s="138"/>
      <c r="C57" s="65"/>
      <c r="D57" s="37">
        <f t="shared" si="105"/>
        <v>0</v>
      </c>
      <c r="E57" s="16">
        <v>16248</v>
      </c>
      <c r="F57" s="16"/>
      <c r="G57" s="37">
        <f t="shared" si="106"/>
        <v>82000</v>
      </c>
      <c r="H57" s="138"/>
      <c r="I57" s="65"/>
      <c r="J57" s="37">
        <f t="shared" si="107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f t="shared" si="126"/>
        <v>11</v>
      </c>
      <c r="DQ57" s="50">
        <v>6.7313999999999998</v>
      </c>
      <c r="DR57" s="49">
        <f t="shared" ref="DR57:DR78" si="129">IF((DQ57-DQ56)&lt;=0,0,(DQ57-DQ56))*10000</f>
        <v>1193.9999999999973</v>
      </c>
      <c r="DS57" s="50">
        <v>43.530999999999999</v>
      </c>
      <c r="DT57" s="49">
        <f>IF((DS57-DS56)&lt;=0,0,(DS57-DS56))*1000</f>
        <v>314.00000000000006</v>
      </c>
      <c r="EZ57" s="203">
        <f t="shared" si="108"/>
        <v>13148.09</v>
      </c>
      <c r="FA57" s="205">
        <f t="shared" si="109"/>
        <v>11414.76</v>
      </c>
      <c r="FB57" s="201">
        <f t="shared" si="110"/>
        <v>24562.85</v>
      </c>
      <c r="FC57" s="16"/>
      <c r="FD57" s="167">
        <f t="shared" si="111"/>
        <v>23266.43</v>
      </c>
      <c r="FE57" s="16"/>
      <c r="FF57" s="199">
        <v>0.49858422595955215</v>
      </c>
      <c r="FG57" s="199">
        <v>0.50141577404044779</v>
      </c>
      <c r="FH57" s="16">
        <f t="shared" si="112"/>
        <v>646.37456221848265</v>
      </c>
      <c r="FI57" s="179">
        <f t="shared" si="113"/>
        <v>650.04543778151731</v>
      </c>
      <c r="FJ57" s="179">
        <f t="shared" si="114"/>
        <v>11600.274992392104</v>
      </c>
      <c r="FK57" s="179">
        <f t="shared" si="115"/>
        <v>11666.155007607897</v>
      </c>
      <c r="FL57" s="204">
        <f t="shared" si="116"/>
        <v>12246.649554610587</v>
      </c>
      <c r="FM57" s="206">
        <f t="shared" si="117"/>
        <v>12316.200445389413</v>
      </c>
      <c r="FN57" s="202">
        <f t="shared" si="118"/>
        <v>24562.85</v>
      </c>
      <c r="GG57">
        <f t="shared" si="125"/>
        <v>12</v>
      </c>
      <c r="GH57" s="63"/>
      <c r="GI57" s="63"/>
      <c r="GJ57" s="63">
        <f t="shared" si="127"/>
        <v>0</v>
      </c>
      <c r="GK57" s="63"/>
      <c r="GL57" s="63"/>
      <c r="GM57" s="63">
        <f t="shared" si="128"/>
        <v>0</v>
      </c>
      <c r="GN57" s="16">
        <v>11</v>
      </c>
      <c r="GO57" s="137"/>
      <c r="GP57" s="137"/>
      <c r="GQ57" s="176"/>
      <c r="GR57" s="176"/>
      <c r="GS57" s="176"/>
      <c r="GT57" s="399"/>
      <c r="GU57" s="400"/>
    </row>
    <row r="58" spans="1:204" x14ac:dyDescent="0.25">
      <c r="A58" s="35">
        <v>13</v>
      </c>
      <c r="B58" s="138"/>
      <c r="C58" s="65"/>
      <c r="D58" s="37">
        <f t="shared" si="105"/>
        <v>0</v>
      </c>
      <c r="E58" s="16">
        <v>16337</v>
      </c>
      <c r="F58" s="16"/>
      <c r="G58" s="37">
        <f t="shared" si="106"/>
        <v>89000</v>
      </c>
      <c r="H58" s="138"/>
      <c r="I58" s="65"/>
      <c r="J58" s="37">
        <f t="shared" si="107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f t="shared" si="126"/>
        <v>12</v>
      </c>
      <c r="DQ58" s="50">
        <v>7.2178000000000004</v>
      </c>
      <c r="DR58" s="49">
        <f t="shared" si="129"/>
        <v>4864.0000000000064</v>
      </c>
      <c r="DS58" s="50">
        <v>43.771999999999998</v>
      </c>
      <c r="DT58" s="49">
        <f t="shared" ref="DT58:DT78" si="130">IF((DS58-DS57)&lt;=0,0,(DS58-DS57))*1000</f>
        <v>240.99999999999966</v>
      </c>
      <c r="EJ58" s="2"/>
      <c r="EZ58" s="203">
        <f t="shared" si="108"/>
        <v>13150.37</v>
      </c>
      <c r="FA58" s="205">
        <f t="shared" si="109"/>
        <v>10750.37</v>
      </c>
      <c r="FB58" s="201">
        <f t="shared" si="110"/>
        <v>23900.74</v>
      </c>
      <c r="FC58" s="16"/>
      <c r="FD58" s="167">
        <f t="shared" si="111"/>
        <v>22604.32</v>
      </c>
      <c r="FE58" s="16"/>
      <c r="FF58" s="199">
        <v>0.52914684357511066</v>
      </c>
      <c r="FG58" s="199">
        <v>0.4708531564248894</v>
      </c>
      <c r="FH58" s="16">
        <f t="shared" si="112"/>
        <v>685.99655094764501</v>
      </c>
      <c r="FI58" s="179">
        <f t="shared" si="113"/>
        <v>610.42344905235518</v>
      </c>
      <c r="FJ58" s="179">
        <f t="shared" si="114"/>
        <v>11961.004579161745</v>
      </c>
      <c r="FK58" s="179">
        <f t="shared" si="115"/>
        <v>10643.315420838257</v>
      </c>
      <c r="FL58" s="204">
        <f t="shared" si="116"/>
        <v>12647.001130109389</v>
      </c>
      <c r="FM58" s="206">
        <f t="shared" si="117"/>
        <v>11253.738869890612</v>
      </c>
      <c r="FN58" s="202">
        <f t="shared" si="118"/>
        <v>23900.74</v>
      </c>
      <c r="GG58">
        <f t="shared" si="125"/>
        <v>13</v>
      </c>
      <c r="GH58" s="63"/>
      <c r="GI58" s="63"/>
      <c r="GJ58" s="63">
        <f t="shared" si="127"/>
        <v>0</v>
      </c>
      <c r="GK58" s="63"/>
      <c r="GL58" s="63"/>
      <c r="GM58" s="63">
        <f t="shared" si="128"/>
        <v>0</v>
      </c>
      <c r="GN58" s="16">
        <v>12</v>
      </c>
      <c r="GO58" s="137"/>
      <c r="GP58" s="137"/>
      <c r="GQ58" s="176"/>
      <c r="GR58" s="176"/>
      <c r="GS58" s="176"/>
      <c r="GT58" s="399"/>
      <c r="GU58" s="400"/>
    </row>
    <row r="59" spans="1:204" x14ac:dyDescent="0.25">
      <c r="A59" s="35">
        <v>14</v>
      </c>
      <c r="B59" s="138"/>
      <c r="C59" s="65"/>
      <c r="D59" s="37">
        <f t="shared" si="105"/>
        <v>0</v>
      </c>
      <c r="E59" s="16">
        <v>16415</v>
      </c>
      <c r="F59" s="16"/>
      <c r="G59" s="37">
        <f t="shared" si="106"/>
        <v>78000</v>
      </c>
      <c r="H59" s="138"/>
      <c r="I59" s="65"/>
      <c r="J59" s="37">
        <f t="shared" si="107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f t="shared" si="126"/>
        <v>13</v>
      </c>
      <c r="DQ59" s="50">
        <v>7.2350000000000003</v>
      </c>
      <c r="DR59" s="49">
        <f t="shared" si="129"/>
        <v>171.99999999999881</v>
      </c>
      <c r="DS59" s="50">
        <v>43.982999999999997</v>
      </c>
      <c r="DT59" s="49">
        <f t="shared" si="130"/>
        <v>210.99999999999852</v>
      </c>
      <c r="EJ59" s="2"/>
      <c r="EZ59" s="203">
        <f t="shared" si="108"/>
        <v>10142.48</v>
      </c>
      <c r="FA59" s="205">
        <f t="shared" si="109"/>
        <v>11342.48</v>
      </c>
      <c r="FB59" s="201">
        <f t="shared" si="110"/>
        <v>21484.959999999999</v>
      </c>
      <c r="FC59" s="16"/>
      <c r="FD59" s="167">
        <f t="shared" si="111"/>
        <v>20188.54</v>
      </c>
      <c r="FE59" s="16"/>
      <c r="FF59" s="199">
        <v>0.40778273659720587</v>
      </c>
      <c r="FG59" s="199">
        <v>0.59221726340279413</v>
      </c>
      <c r="FH59" s="16">
        <f t="shared" si="112"/>
        <v>528.65769537934966</v>
      </c>
      <c r="FI59" s="179">
        <f t="shared" si="113"/>
        <v>767.76230462065041</v>
      </c>
      <c r="FJ59" s="179">
        <f t="shared" si="114"/>
        <v>8232.5380891021559</v>
      </c>
      <c r="FK59" s="179">
        <f t="shared" si="115"/>
        <v>11956.001910897845</v>
      </c>
      <c r="FL59" s="204">
        <f t="shared" si="116"/>
        <v>8761.1957844815061</v>
      </c>
      <c r="FM59" s="206">
        <f t="shared" si="117"/>
        <v>12723.764215518495</v>
      </c>
      <c r="FN59" s="202">
        <f t="shared" si="118"/>
        <v>21484.959999999999</v>
      </c>
      <c r="GG59">
        <f t="shared" si="125"/>
        <v>14</v>
      </c>
      <c r="GH59" s="63"/>
      <c r="GI59" s="63"/>
      <c r="GJ59" s="63">
        <f t="shared" si="127"/>
        <v>0</v>
      </c>
      <c r="GK59" s="63"/>
      <c r="GL59" s="63"/>
      <c r="GM59" s="63">
        <f t="shared" si="128"/>
        <v>0</v>
      </c>
      <c r="GN59" s="16">
        <v>13</v>
      </c>
      <c r="GO59" s="137"/>
      <c r="GP59" s="137"/>
      <c r="GQ59" s="176"/>
      <c r="GR59" s="176"/>
      <c r="GS59" s="176"/>
      <c r="GT59" s="399"/>
      <c r="GU59" s="400"/>
    </row>
    <row r="60" spans="1:204" x14ac:dyDescent="0.25">
      <c r="A60" s="35">
        <v>15</v>
      </c>
      <c r="B60" s="138"/>
      <c r="C60" s="65"/>
      <c r="D60" s="37">
        <f t="shared" si="105"/>
        <v>0</v>
      </c>
      <c r="E60" s="16">
        <v>16468</v>
      </c>
      <c r="F60" s="16"/>
      <c r="G60" s="37">
        <f t="shared" si="106"/>
        <v>53000</v>
      </c>
      <c r="H60" s="138"/>
      <c r="I60" s="65"/>
      <c r="J60" s="37">
        <f t="shared" si="107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f t="shared" si="126"/>
        <v>14</v>
      </c>
      <c r="DQ60" s="50">
        <v>7.2603</v>
      </c>
      <c r="DR60" s="49">
        <f t="shared" si="129"/>
        <v>252.99999999999656</v>
      </c>
      <c r="DS60" s="50">
        <v>44.29</v>
      </c>
      <c r="DT60" s="49">
        <f t="shared" si="130"/>
        <v>307.00000000000216</v>
      </c>
      <c r="EJ60" s="2"/>
      <c r="EZ60" s="203">
        <f t="shared" si="108"/>
        <v>14149.14</v>
      </c>
      <c r="FA60" s="205">
        <f t="shared" si="109"/>
        <v>11115.81</v>
      </c>
      <c r="FB60" s="201">
        <f t="shared" si="110"/>
        <v>25264.949999999997</v>
      </c>
      <c r="FC60" s="16"/>
      <c r="FD60" s="167">
        <f t="shared" si="111"/>
        <v>23968.53</v>
      </c>
      <c r="FE60" s="16"/>
      <c r="FF60" s="199">
        <v>0.49219300305235969</v>
      </c>
      <c r="FG60" s="199">
        <v>0.5078069969476402</v>
      </c>
      <c r="FH60" s="16">
        <f t="shared" si="112"/>
        <v>638.0888530171402</v>
      </c>
      <c r="FI60" s="179">
        <f t="shared" si="113"/>
        <v>658.33114698285976</v>
      </c>
      <c r="FJ60" s="179">
        <f t="shared" si="114"/>
        <v>11797.142759450575</v>
      </c>
      <c r="FK60" s="179">
        <f t="shared" si="115"/>
        <v>12171.387240549422</v>
      </c>
      <c r="FL60" s="204">
        <f t="shared" si="116"/>
        <v>12435.231612467715</v>
      </c>
      <c r="FM60" s="206">
        <f t="shared" si="117"/>
        <v>12829.718387532283</v>
      </c>
      <c r="FN60" s="202">
        <f t="shared" si="118"/>
        <v>25264.949999999997</v>
      </c>
      <c r="GG60">
        <f t="shared" si="125"/>
        <v>15</v>
      </c>
      <c r="GH60" s="63"/>
      <c r="GI60" s="63"/>
      <c r="GJ60" s="63">
        <f t="shared" si="127"/>
        <v>0</v>
      </c>
      <c r="GK60" s="63"/>
      <c r="GL60" s="63"/>
      <c r="GM60" s="63">
        <f t="shared" si="128"/>
        <v>0</v>
      </c>
      <c r="GN60" s="16">
        <v>14</v>
      </c>
      <c r="GO60" s="137"/>
      <c r="GP60" s="137"/>
      <c r="GQ60" s="176"/>
      <c r="GR60" s="176"/>
      <c r="GS60" s="176"/>
      <c r="GT60" s="399"/>
      <c r="GU60" s="400"/>
    </row>
    <row r="61" spans="1:204" x14ac:dyDescent="0.25">
      <c r="A61" s="35">
        <v>16</v>
      </c>
      <c r="B61" s="138"/>
      <c r="C61" s="65"/>
      <c r="D61" s="37">
        <f t="shared" si="105"/>
        <v>0</v>
      </c>
      <c r="E61" s="16">
        <v>16523</v>
      </c>
      <c r="F61" s="16"/>
      <c r="G61" s="37">
        <f t="shared" si="106"/>
        <v>55000</v>
      </c>
      <c r="H61" s="138"/>
      <c r="I61" s="65"/>
      <c r="J61" s="37">
        <f t="shared" si="107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f t="shared" si="126"/>
        <v>15</v>
      </c>
      <c r="DQ61" s="50">
        <v>7.2854999999999999</v>
      </c>
      <c r="DR61" s="49">
        <f t="shared" si="129"/>
        <v>251.99999999999889</v>
      </c>
      <c r="DS61" s="50">
        <v>44.597000000000001</v>
      </c>
      <c r="DT61" s="49">
        <f t="shared" si="130"/>
        <v>307.00000000000216</v>
      </c>
      <c r="EJ61" s="2"/>
      <c r="EZ61" s="203">
        <f t="shared" si="108"/>
        <v>12148.26</v>
      </c>
      <c r="FA61" s="205">
        <f t="shared" si="109"/>
        <v>10281.59</v>
      </c>
      <c r="FB61" s="201">
        <f t="shared" si="110"/>
        <v>22429.85</v>
      </c>
      <c r="FC61" s="16"/>
      <c r="FD61" s="167">
        <f t="shared" si="111"/>
        <v>21133.43</v>
      </c>
      <c r="FE61" s="16"/>
      <c r="FF61" s="199">
        <v>0.50435178165276717</v>
      </c>
      <c r="FG61" s="199">
        <v>0.49564821834723272</v>
      </c>
      <c r="FH61" s="16">
        <f t="shared" si="112"/>
        <v>653.85173677028047</v>
      </c>
      <c r="FI61" s="179">
        <f t="shared" si="113"/>
        <v>642.56826322971949</v>
      </c>
      <c r="FJ61" s="179">
        <f t="shared" si="114"/>
        <v>10658.68307293404</v>
      </c>
      <c r="FK61" s="179">
        <f t="shared" si="115"/>
        <v>10474.746927065959</v>
      </c>
      <c r="FL61" s="204">
        <f t="shared" si="116"/>
        <v>11312.534809704321</v>
      </c>
      <c r="FM61" s="206">
        <f t="shared" si="117"/>
        <v>11117.315190295678</v>
      </c>
      <c r="FN61" s="202">
        <f t="shared" si="118"/>
        <v>22429.85</v>
      </c>
      <c r="GG61">
        <f t="shared" si="125"/>
        <v>16</v>
      </c>
      <c r="GH61" s="63"/>
      <c r="GI61" s="63"/>
      <c r="GJ61" s="63">
        <f t="shared" si="127"/>
        <v>0</v>
      </c>
      <c r="GK61" s="63"/>
      <c r="GL61" s="63"/>
      <c r="GM61" s="63">
        <f t="shared" si="128"/>
        <v>0</v>
      </c>
      <c r="GN61" s="16">
        <v>15</v>
      </c>
      <c r="GO61" s="137"/>
      <c r="GP61" s="137"/>
      <c r="GQ61" s="176"/>
      <c r="GR61" s="176"/>
      <c r="GS61" s="176"/>
      <c r="GT61" s="399"/>
      <c r="GU61" s="400"/>
    </row>
    <row r="62" spans="1:204" x14ac:dyDescent="0.25">
      <c r="A62" s="35">
        <v>17</v>
      </c>
      <c r="B62" s="138"/>
      <c r="C62" s="65"/>
      <c r="D62" s="37">
        <f t="shared" si="105"/>
        <v>0</v>
      </c>
      <c r="E62" s="16">
        <v>16578</v>
      </c>
      <c r="F62" s="16"/>
      <c r="G62" s="37">
        <f t="shared" si="106"/>
        <v>55000</v>
      </c>
      <c r="H62" s="138"/>
      <c r="I62" s="65"/>
      <c r="J62" s="37">
        <f t="shared" si="107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f t="shared" si="126"/>
        <v>16</v>
      </c>
      <c r="DQ62" s="50">
        <v>7.3103999999999996</v>
      </c>
      <c r="DR62" s="49">
        <f t="shared" si="129"/>
        <v>248.99999999999699</v>
      </c>
      <c r="DS62" s="50">
        <v>44.941000000000003</v>
      </c>
      <c r="DT62" s="49">
        <f t="shared" si="130"/>
        <v>344.00000000000119</v>
      </c>
      <c r="EJ62" s="2"/>
      <c r="EZ62" s="203">
        <f t="shared" si="108"/>
        <v>13151.07</v>
      </c>
      <c r="FA62" s="205">
        <f t="shared" si="109"/>
        <v>12551.07</v>
      </c>
      <c r="FB62" s="201">
        <f t="shared" si="110"/>
        <v>25702.14</v>
      </c>
      <c r="FC62" s="16"/>
      <c r="FD62" s="167">
        <f t="shared" si="111"/>
        <v>24405.72</v>
      </c>
      <c r="FE62" s="16"/>
      <c r="FF62" s="199">
        <v>0.4935068821065231</v>
      </c>
      <c r="FG62" s="199">
        <v>0.50649311789347695</v>
      </c>
      <c r="FH62" s="16">
        <f t="shared" si="112"/>
        <v>639.79219210053873</v>
      </c>
      <c r="FI62" s="179">
        <f t="shared" si="113"/>
        <v>656.62780789946146</v>
      </c>
      <c r="FJ62" s="179">
        <f t="shared" si="114"/>
        <v>12044.390782764815</v>
      </c>
      <c r="FK62" s="179">
        <f t="shared" si="115"/>
        <v>12361.329217235188</v>
      </c>
      <c r="FL62" s="204">
        <f t="shared" si="116"/>
        <v>12684.182974865353</v>
      </c>
      <c r="FM62" s="206">
        <f t="shared" si="117"/>
        <v>13017.95702513465</v>
      </c>
      <c r="FN62" s="202">
        <f t="shared" si="118"/>
        <v>25702.140000000003</v>
      </c>
      <c r="GG62">
        <f t="shared" si="125"/>
        <v>17</v>
      </c>
      <c r="GH62" s="63"/>
      <c r="GI62" s="63"/>
      <c r="GJ62" s="63">
        <f t="shared" si="127"/>
        <v>0</v>
      </c>
      <c r="GK62" s="63"/>
      <c r="GL62" s="63"/>
      <c r="GM62" s="63">
        <f t="shared" si="128"/>
        <v>0</v>
      </c>
      <c r="GN62" s="16">
        <v>16</v>
      </c>
      <c r="GO62" s="137"/>
      <c r="GP62" s="137"/>
      <c r="GQ62" s="176"/>
      <c r="GR62" s="176"/>
      <c r="GS62" s="176"/>
      <c r="GT62" s="399"/>
      <c r="GU62" s="400"/>
    </row>
    <row r="63" spans="1:204" x14ac:dyDescent="0.25">
      <c r="A63" s="35">
        <v>18</v>
      </c>
      <c r="B63" s="138"/>
      <c r="C63" s="65"/>
      <c r="D63" s="37">
        <f t="shared" si="105"/>
        <v>0</v>
      </c>
      <c r="E63" s="16">
        <v>16632</v>
      </c>
      <c r="F63" s="16"/>
      <c r="G63" s="37">
        <f t="shared" si="106"/>
        <v>54000</v>
      </c>
      <c r="H63" s="138"/>
      <c r="I63" s="65"/>
      <c r="J63" s="37">
        <f t="shared" si="107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f t="shared" si="126"/>
        <v>17</v>
      </c>
      <c r="DQ63" s="50">
        <v>7.3316999999999997</v>
      </c>
      <c r="DR63" s="49">
        <f t="shared" si="129"/>
        <v>213.00000000000097</v>
      </c>
      <c r="DS63" s="50">
        <v>45.216000000000001</v>
      </c>
      <c r="DT63" s="49">
        <f t="shared" si="130"/>
        <v>274.99999999999858</v>
      </c>
      <c r="EJ63" s="2"/>
      <c r="EZ63" s="203">
        <f t="shared" si="108"/>
        <v>10142.129999999999</v>
      </c>
      <c r="FA63" s="205">
        <f t="shared" si="109"/>
        <v>10075.459999999999</v>
      </c>
      <c r="FB63" s="201">
        <f t="shared" si="110"/>
        <v>20217.589999999997</v>
      </c>
      <c r="FC63" s="16"/>
      <c r="FD63" s="167">
        <f t="shared" si="111"/>
        <v>18921.169999999998</v>
      </c>
      <c r="FE63" s="16"/>
      <c r="FF63" s="199">
        <v>0.56586728544555454</v>
      </c>
      <c r="FG63" s="199">
        <v>0.43413271455444535</v>
      </c>
      <c r="FH63" s="16">
        <f t="shared" si="112"/>
        <v>733.60166619732581</v>
      </c>
      <c r="FI63" s="179">
        <f t="shared" si="113"/>
        <v>562.81833380267403</v>
      </c>
      <c r="FJ63" s="179">
        <f t="shared" si="114"/>
        <v>10706.871105353863</v>
      </c>
      <c r="FK63" s="179">
        <f t="shared" si="115"/>
        <v>8214.2988946461337</v>
      </c>
      <c r="FL63" s="204">
        <f t="shared" si="116"/>
        <v>11440.472771551189</v>
      </c>
      <c r="FM63" s="206">
        <f t="shared" si="117"/>
        <v>8777.1172284488075</v>
      </c>
      <c r="FN63" s="202">
        <f t="shared" si="118"/>
        <v>20217.589999999997</v>
      </c>
      <c r="GG63">
        <f t="shared" si="125"/>
        <v>18</v>
      </c>
      <c r="GH63" s="63"/>
      <c r="GI63" s="63"/>
      <c r="GJ63" s="63">
        <f t="shared" si="127"/>
        <v>0</v>
      </c>
      <c r="GK63" s="63"/>
      <c r="GL63" s="63"/>
      <c r="GM63" s="63">
        <f t="shared" si="128"/>
        <v>0</v>
      </c>
      <c r="GN63" s="16">
        <v>17</v>
      </c>
      <c r="GO63" s="137"/>
      <c r="GP63" s="137"/>
      <c r="GQ63" s="176"/>
      <c r="GR63" s="176"/>
      <c r="GS63" s="176"/>
      <c r="GT63" s="399"/>
      <c r="GU63" s="400"/>
    </row>
    <row r="64" spans="1:204" x14ac:dyDescent="0.25">
      <c r="A64" s="35">
        <v>19</v>
      </c>
      <c r="B64" s="138"/>
      <c r="C64" s="65"/>
      <c r="D64" s="37">
        <f t="shared" si="105"/>
        <v>0</v>
      </c>
      <c r="E64" s="16">
        <v>16687</v>
      </c>
      <c r="F64" s="16"/>
      <c r="G64" s="37">
        <f t="shared" si="106"/>
        <v>55000</v>
      </c>
      <c r="H64" s="138"/>
      <c r="I64" s="65"/>
      <c r="J64" s="37">
        <f t="shared" si="107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f t="shared" si="126"/>
        <v>18</v>
      </c>
      <c r="DQ64" s="50">
        <v>7.3533999999999997</v>
      </c>
      <c r="DR64" s="49">
        <f t="shared" si="129"/>
        <v>217.00000000000051</v>
      </c>
      <c r="DS64" s="50">
        <v>45.485999999999997</v>
      </c>
      <c r="DT64" s="49">
        <f t="shared" si="130"/>
        <v>269.99999999999602</v>
      </c>
      <c r="EZ64" s="203">
        <f t="shared" si="108"/>
        <v>11152.82</v>
      </c>
      <c r="FA64" s="205">
        <f t="shared" si="109"/>
        <v>10486.15</v>
      </c>
      <c r="FB64" s="201">
        <f t="shared" si="110"/>
        <v>21638.97</v>
      </c>
      <c r="FC64" s="16"/>
      <c r="FD64" s="167">
        <f t="shared" si="111"/>
        <v>20342.550000000003</v>
      </c>
      <c r="FE64" s="16"/>
      <c r="FF64" s="199">
        <v>0.50433099053131525</v>
      </c>
      <c r="FG64" s="199">
        <v>0.49566900946868481</v>
      </c>
      <c r="FH64" s="16">
        <f t="shared" si="112"/>
        <v>653.82478274460777</v>
      </c>
      <c r="FI64" s="179">
        <f t="shared" si="113"/>
        <v>642.59521725539241</v>
      </c>
      <c r="FJ64" s="179">
        <f t="shared" si="114"/>
        <v>10259.378391432809</v>
      </c>
      <c r="FK64" s="179">
        <f t="shared" si="115"/>
        <v>10083.171608567196</v>
      </c>
      <c r="FL64" s="204">
        <f t="shared" si="116"/>
        <v>10913.203174177417</v>
      </c>
      <c r="FM64" s="206">
        <f t="shared" si="117"/>
        <v>10725.766825822588</v>
      </c>
      <c r="FN64" s="202">
        <f t="shared" si="118"/>
        <v>21638.970000000005</v>
      </c>
      <c r="GG64">
        <f t="shared" si="125"/>
        <v>19</v>
      </c>
      <c r="GH64" s="63"/>
      <c r="GI64" s="63"/>
      <c r="GJ64" s="63">
        <f t="shared" si="127"/>
        <v>0</v>
      </c>
      <c r="GK64" s="63"/>
      <c r="GL64" s="63"/>
      <c r="GM64" s="63">
        <f t="shared" si="128"/>
        <v>0</v>
      </c>
      <c r="GN64" s="16">
        <v>18</v>
      </c>
      <c r="GO64" s="137"/>
      <c r="GP64" s="137"/>
      <c r="GQ64" s="137"/>
      <c r="GR64" s="137"/>
      <c r="GS64" s="137"/>
      <c r="GT64" s="401"/>
      <c r="GU64" s="401"/>
    </row>
    <row r="65" spans="1:203" x14ac:dyDescent="0.25">
      <c r="A65" s="35">
        <v>20</v>
      </c>
      <c r="B65" s="138"/>
      <c r="C65" s="65"/>
      <c r="D65" s="37">
        <f t="shared" si="105"/>
        <v>0</v>
      </c>
      <c r="E65" s="145">
        <v>16742</v>
      </c>
      <c r="F65" s="16"/>
      <c r="G65" s="37">
        <f t="shared" si="106"/>
        <v>55000</v>
      </c>
      <c r="H65" s="138"/>
      <c r="I65" s="65"/>
      <c r="J65" s="37">
        <f t="shared" si="107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f t="shared" si="126"/>
        <v>19</v>
      </c>
      <c r="DQ65" s="50">
        <v>7.3696999999999999</v>
      </c>
      <c r="DR65" s="49">
        <f t="shared" si="129"/>
        <v>163.00000000000205</v>
      </c>
      <c r="DS65" s="50">
        <v>45.735999999999997</v>
      </c>
      <c r="DT65" s="49">
        <f t="shared" si="130"/>
        <v>250</v>
      </c>
      <c r="EZ65" s="203">
        <f t="shared" si="108"/>
        <v>11150.72</v>
      </c>
      <c r="FA65" s="205">
        <f t="shared" si="109"/>
        <v>9850.7199999999993</v>
      </c>
      <c r="FB65" s="201">
        <f t="shared" si="110"/>
        <v>21001.439999999999</v>
      </c>
      <c r="FC65" s="16"/>
      <c r="FD65" s="167">
        <f t="shared" si="111"/>
        <v>19705.019999999997</v>
      </c>
      <c r="FE65" s="16"/>
      <c r="FF65" s="199">
        <v>0.44610433869291705</v>
      </c>
      <c r="FG65" s="199">
        <v>0.5538956613070829</v>
      </c>
      <c r="FH65" s="16">
        <f t="shared" si="112"/>
        <v>578.33858676827151</v>
      </c>
      <c r="FI65" s="179">
        <f t="shared" si="113"/>
        <v>718.08141323172845</v>
      </c>
      <c r="FJ65" s="179">
        <f t="shared" si="114"/>
        <v>8790.4949160307024</v>
      </c>
      <c r="FK65" s="179">
        <f t="shared" si="115"/>
        <v>10914.525083969293</v>
      </c>
      <c r="FL65" s="204">
        <f t="shared" si="116"/>
        <v>9368.8335027989742</v>
      </c>
      <c r="FM65" s="206">
        <f t="shared" si="117"/>
        <v>11632.606497201021</v>
      </c>
      <c r="FN65" s="202">
        <f t="shared" si="118"/>
        <v>21001.439999999995</v>
      </c>
      <c r="GG65">
        <f t="shared" si="125"/>
        <v>20</v>
      </c>
      <c r="GH65" s="63"/>
      <c r="GI65" s="63"/>
      <c r="GJ65" s="63">
        <f t="shared" si="127"/>
        <v>0</v>
      </c>
      <c r="GK65" s="63"/>
      <c r="GL65" s="63"/>
      <c r="GM65" s="63">
        <f t="shared" si="128"/>
        <v>0</v>
      </c>
      <c r="GN65" s="16">
        <v>19</v>
      </c>
      <c r="GO65" s="137"/>
      <c r="GP65" s="137"/>
      <c r="GQ65" s="137"/>
      <c r="GR65" s="137"/>
      <c r="GS65" s="137"/>
      <c r="GT65" s="401"/>
      <c r="GU65" s="401"/>
    </row>
    <row r="66" spans="1:203" x14ac:dyDescent="0.25">
      <c r="A66" s="35">
        <v>21</v>
      </c>
      <c r="B66" s="138"/>
      <c r="C66" s="65"/>
      <c r="D66" s="37">
        <f t="shared" si="105"/>
        <v>0</v>
      </c>
      <c r="E66" s="16">
        <v>16812</v>
      </c>
      <c r="F66" s="16"/>
      <c r="G66" s="37">
        <f t="shared" si="106"/>
        <v>70000</v>
      </c>
      <c r="H66" s="138"/>
      <c r="I66" s="65"/>
      <c r="J66" s="37">
        <f t="shared" si="107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f t="shared" si="126"/>
        <v>20</v>
      </c>
      <c r="DQ66" s="50">
        <v>7.3818000000000001</v>
      </c>
      <c r="DR66" s="49">
        <f t="shared" si="129"/>
        <v>121.00000000000222</v>
      </c>
      <c r="DS66" s="50">
        <v>45.93</v>
      </c>
      <c r="DT66" s="49">
        <f t="shared" si="130"/>
        <v>194.00000000000261</v>
      </c>
      <c r="EZ66" s="203">
        <f t="shared" si="108"/>
        <v>10150.719999999999</v>
      </c>
      <c r="FA66" s="205">
        <f t="shared" si="109"/>
        <v>9117.39</v>
      </c>
      <c r="FB66" s="201">
        <f t="shared" si="110"/>
        <v>19268.11</v>
      </c>
      <c r="FC66" s="16"/>
      <c r="FD66" s="167">
        <f t="shared" si="111"/>
        <v>17971.690000000002</v>
      </c>
      <c r="FE66" s="16"/>
      <c r="FF66" s="199">
        <v>0.57465183225706062</v>
      </c>
      <c r="FG66" s="199">
        <v>0.42534816774293943</v>
      </c>
      <c r="FH66" s="16">
        <f t="shared" si="112"/>
        <v>744.99012837469854</v>
      </c>
      <c r="FI66" s="179">
        <f t="shared" si="113"/>
        <v>551.42987162530153</v>
      </c>
      <c r="FJ66" s="179">
        <f t="shared" si="114"/>
        <v>10327.464587255896</v>
      </c>
      <c r="FK66" s="179">
        <f t="shared" si="115"/>
        <v>7644.2254127441083</v>
      </c>
      <c r="FL66" s="204">
        <f t="shared" si="116"/>
        <v>11072.454715630594</v>
      </c>
      <c r="FM66" s="206">
        <f t="shared" si="117"/>
        <v>8195.6552843694099</v>
      </c>
      <c r="FN66" s="202">
        <f t="shared" si="118"/>
        <v>19268.110000000004</v>
      </c>
      <c r="GG66">
        <f t="shared" si="125"/>
        <v>21</v>
      </c>
      <c r="GH66" s="63"/>
      <c r="GI66" s="63"/>
      <c r="GJ66" s="63">
        <f t="shared" si="127"/>
        <v>0</v>
      </c>
      <c r="GK66" s="63"/>
      <c r="GL66" s="63"/>
      <c r="GM66" s="63">
        <f t="shared" si="128"/>
        <v>0</v>
      </c>
      <c r="GN66" s="16">
        <v>20</v>
      </c>
      <c r="GO66" s="137"/>
      <c r="GP66" s="137"/>
      <c r="GQ66" s="176"/>
      <c r="GR66" s="176"/>
      <c r="GS66" s="176"/>
      <c r="GT66" s="399"/>
      <c r="GU66" s="400"/>
    </row>
    <row r="67" spans="1:203" x14ac:dyDescent="0.25">
      <c r="A67" s="35">
        <v>22</v>
      </c>
      <c r="B67" s="138"/>
      <c r="C67" s="65"/>
      <c r="D67" s="37">
        <f t="shared" si="105"/>
        <v>0</v>
      </c>
      <c r="E67" s="16">
        <v>16894</v>
      </c>
      <c r="F67" s="16"/>
      <c r="G67" s="37">
        <f t="shared" si="106"/>
        <v>82000</v>
      </c>
      <c r="H67" s="138"/>
      <c r="I67" s="65"/>
      <c r="J67" s="37">
        <f t="shared" si="107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f t="shared" si="126"/>
        <v>21</v>
      </c>
      <c r="DQ67" s="50">
        <v>7.4008000000000003</v>
      </c>
      <c r="DR67" s="49">
        <f t="shared" si="129"/>
        <v>190.00000000000128</v>
      </c>
      <c r="DS67" s="50">
        <v>46.238999999999997</v>
      </c>
      <c r="DT67" s="49">
        <f t="shared" si="130"/>
        <v>308.9999999999975</v>
      </c>
      <c r="EZ67" s="203">
        <f t="shared" si="108"/>
        <v>12150.89</v>
      </c>
      <c r="FA67" s="205">
        <f t="shared" si="109"/>
        <v>7050.89</v>
      </c>
      <c r="FB67" s="201">
        <f t="shared" si="110"/>
        <v>19201.78</v>
      </c>
      <c r="FC67" s="16"/>
      <c r="FD67" s="167">
        <f t="shared" si="111"/>
        <v>17905.36</v>
      </c>
      <c r="FE67" s="16"/>
      <c r="FF67" s="199">
        <v>0.66652394303946072</v>
      </c>
      <c r="FG67" s="199">
        <v>0.33347605696053917</v>
      </c>
      <c r="FH67" s="16">
        <f t="shared" si="112"/>
        <v>864.09497023521772</v>
      </c>
      <c r="FI67" s="179">
        <f t="shared" si="113"/>
        <v>432.32502976478219</v>
      </c>
      <c r="FJ67" s="179">
        <f t="shared" si="114"/>
        <v>11934.35114874104</v>
      </c>
      <c r="FK67" s="179">
        <f t="shared" si="115"/>
        <v>5971.00885125896</v>
      </c>
      <c r="FL67" s="204">
        <f t="shared" si="116"/>
        <v>12798.446118976257</v>
      </c>
      <c r="FM67" s="206">
        <f t="shared" si="117"/>
        <v>6403.3338810237419</v>
      </c>
      <c r="FN67" s="202">
        <f t="shared" si="118"/>
        <v>19201.78</v>
      </c>
      <c r="GG67">
        <f t="shared" si="125"/>
        <v>22</v>
      </c>
      <c r="GH67" s="63"/>
      <c r="GI67" s="63"/>
      <c r="GJ67" s="63">
        <f t="shared" si="127"/>
        <v>0</v>
      </c>
      <c r="GK67" s="63"/>
      <c r="GL67" s="63"/>
      <c r="GM67" s="63">
        <f t="shared" si="128"/>
        <v>0</v>
      </c>
      <c r="GN67" s="16">
        <v>21</v>
      </c>
      <c r="GO67" s="137"/>
      <c r="GP67" s="16"/>
      <c r="GQ67" s="10"/>
      <c r="GR67" s="10"/>
      <c r="GS67" s="10"/>
      <c r="GT67" s="399"/>
      <c r="GU67" s="400"/>
    </row>
    <row r="68" spans="1:203" x14ac:dyDescent="0.25">
      <c r="A68" s="35">
        <v>23</v>
      </c>
      <c r="B68" s="138"/>
      <c r="C68" s="65"/>
      <c r="D68" s="37">
        <f t="shared" si="105"/>
        <v>0</v>
      </c>
      <c r="E68" s="16">
        <v>16976</v>
      </c>
      <c r="F68" s="16"/>
      <c r="G68" s="37">
        <f t="shared" si="106"/>
        <v>82000</v>
      </c>
      <c r="H68" s="138"/>
      <c r="I68" s="65"/>
      <c r="J68" s="37">
        <f t="shared" si="107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f t="shared" si="126"/>
        <v>22</v>
      </c>
      <c r="DQ68" s="50">
        <v>7.4188999999999998</v>
      </c>
      <c r="DR68" s="49">
        <f t="shared" si="129"/>
        <v>180.99999999999562</v>
      </c>
      <c r="DS68" s="50">
        <v>46.527999999999999</v>
      </c>
      <c r="DT68" s="49">
        <f t="shared" si="130"/>
        <v>289.00000000000148</v>
      </c>
      <c r="EZ68" s="203">
        <f t="shared" si="108"/>
        <v>11164.21</v>
      </c>
      <c r="FA68" s="205">
        <f t="shared" si="109"/>
        <v>9530.8799999999992</v>
      </c>
      <c r="FB68" s="201">
        <f t="shared" si="110"/>
        <v>20695.089999999997</v>
      </c>
      <c r="FC68" s="16"/>
      <c r="FD68" s="167">
        <f t="shared" si="111"/>
        <v>19398.669999999998</v>
      </c>
      <c r="FE68" s="16"/>
      <c r="FF68" s="199">
        <v>0.54687840369450624</v>
      </c>
      <c r="FG68" s="199">
        <v>0.45312159630549381</v>
      </c>
      <c r="FH68" s="16">
        <f t="shared" si="112"/>
        <v>708.98410011763178</v>
      </c>
      <c r="FI68" s="179">
        <f t="shared" si="113"/>
        <v>587.43589988236829</v>
      </c>
      <c r="FJ68" s="179">
        <f t="shared" si="114"/>
        <v>10608.713683396507</v>
      </c>
      <c r="FK68" s="179">
        <f t="shared" si="115"/>
        <v>8789.9563166034932</v>
      </c>
      <c r="FL68" s="204">
        <f t="shared" si="116"/>
        <v>11317.697783514139</v>
      </c>
      <c r="FM68" s="206">
        <f t="shared" si="117"/>
        <v>9377.3922164858614</v>
      </c>
      <c r="FN68" s="202">
        <f t="shared" si="118"/>
        <v>20695.09</v>
      </c>
      <c r="GG68">
        <f t="shared" si="125"/>
        <v>23</v>
      </c>
      <c r="GH68" s="63"/>
      <c r="GI68" s="63"/>
      <c r="GJ68" s="63">
        <f t="shared" si="127"/>
        <v>0</v>
      </c>
      <c r="GK68" s="63"/>
      <c r="GL68" s="63"/>
      <c r="GM68" s="63">
        <f t="shared" si="128"/>
        <v>0</v>
      </c>
      <c r="GN68" s="16">
        <v>22</v>
      </c>
      <c r="GO68" s="137"/>
      <c r="GP68" s="137"/>
      <c r="GQ68" s="176"/>
      <c r="GR68" s="176"/>
      <c r="GS68" s="176"/>
      <c r="GT68" s="399"/>
      <c r="GU68" s="400"/>
    </row>
    <row r="69" spans="1:203" x14ac:dyDescent="0.25">
      <c r="A69" s="35">
        <v>24</v>
      </c>
      <c r="B69" s="138"/>
      <c r="C69" s="65"/>
      <c r="D69" s="37">
        <f t="shared" si="105"/>
        <v>0</v>
      </c>
      <c r="E69" s="16">
        <v>17057</v>
      </c>
      <c r="F69" s="16"/>
      <c r="G69" s="37">
        <f t="shared" si="106"/>
        <v>81000</v>
      </c>
      <c r="H69" s="138"/>
      <c r="I69" s="65"/>
      <c r="J69" s="37">
        <f t="shared" si="107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f t="shared" si="126"/>
        <v>23</v>
      </c>
      <c r="DQ69" s="50">
        <v>7.4335000000000004</v>
      </c>
      <c r="DR69" s="49">
        <f t="shared" si="129"/>
        <v>146.00000000000614</v>
      </c>
      <c r="DS69" s="50">
        <v>46.771000000000001</v>
      </c>
      <c r="DT69" s="49">
        <f t="shared" si="130"/>
        <v>243.0000000000021</v>
      </c>
      <c r="EZ69" s="203">
        <f t="shared" si="108"/>
        <v>12147.39</v>
      </c>
      <c r="FA69" s="205">
        <f t="shared" si="109"/>
        <v>9180.7199999999993</v>
      </c>
      <c r="FB69" s="201">
        <f t="shared" si="110"/>
        <v>21328.11</v>
      </c>
      <c r="FC69" s="16"/>
      <c r="FD69" s="167">
        <f t="shared" si="111"/>
        <v>20031.690000000002</v>
      </c>
      <c r="FE69" s="16"/>
      <c r="FF69" s="199">
        <v>0.70381253106452646</v>
      </c>
      <c r="FG69" s="199">
        <v>0.29618746893547349</v>
      </c>
      <c r="FH69" s="16">
        <f t="shared" si="112"/>
        <v>912.43664152267343</v>
      </c>
      <c r="FI69" s="179">
        <f t="shared" si="113"/>
        <v>383.98335847732653</v>
      </c>
      <c r="FJ69" s="179">
        <f t="shared" si="114"/>
        <v>14098.554440399967</v>
      </c>
      <c r="FK69" s="179">
        <f t="shared" si="115"/>
        <v>5933.1355596000358</v>
      </c>
      <c r="FL69" s="204">
        <f t="shared" si="116"/>
        <v>15010.991081922641</v>
      </c>
      <c r="FM69" s="206">
        <f t="shared" si="117"/>
        <v>6317.1189180773627</v>
      </c>
      <c r="FN69" s="202">
        <f t="shared" si="118"/>
        <v>21328.110000000004</v>
      </c>
      <c r="GG69">
        <f t="shared" si="125"/>
        <v>24</v>
      </c>
      <c r="GH69" s="63"/>
      <c r="GI69" s="63"/>
      <c r="GJ69" s="63">
        <f t="shared" si="127"/>
        <v>0</v>
      </c>
      <c r="GK69" s="63"/>
      <c r="GL69" s="63"/>
      <c r="GM69" s="63">
        <f t="shared" si="128"/>
        <v>0</v>
      </c>
      <c r="GN69" s="16">
        <v>23</v>
      </c>
      <c r="GO69" s="137"/>
      <c r="GP69" s="137"/>
      <c r="GQ69" s="176"/>
      <c r="GR69" s="176"/>
      <c r="GS69" s="176"/>
      <c r="GT69" s="399"/>
      <c r="GU69" s="400"/>
    </row>
    <row r="70" spans="1:203" x14ac:dyDescent="0.25">
      <c r="A70" s="35">
        <v>25</v>
      </c>
      <c r="B70" s="138"/>
      <c r="C70" s="65"/>
      <c r="D70" s="37">
        <f t="shared" si="105"/>
        <v>0</v>
      </c>
      <c r="E70" s="16">
        <v>17136</v>
      </c>
      <c r="F70" s="16"/>
      <c r="G70" s="37">
        <f t="shared" si="106"/>
        <v>79000</v>
      </c>
      <c r="H70" s="138"/>
      <c r="I70" s="65"/>
      <c r="J70" s="37">
        <f t="shared" si="107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f t="shared" si="126"/>
        <v>24</v>
      </c>
      <c r="DQ70" s="50">
        <v>7.4428999999999998</v>
      </c>
      <c r="DR70" s="49">
        <f t="shared" si="129"/>
        <v>93.999999999994088</v>
      </c>
      <c r="DS70" s="50">
        <v>47.04</v>
      </c>
      <c r="DT70" s="49">
        <f t="shared" si="130"/>
        <v>268.99999999999835</v>
      </c>
      <c r="EZ70" s="203">
        <f t="shared" si="108"/>
        <v>11159.13</v>
      </c>
      <c r="FA70" s="205">
        <f t="shared" si="109"/>
        <v>13425.8</v>
      </c>
      <c r="FB70" s="201">
        <f t="shared" si="110"/>
        <v>24584.93</v>
      </c>
      <c r="FC70" s="16"/>
      <c r="FD70" s="167">
        <f t="shared" si="111"/>
        <v>23288.510000000002</v>
      </c>
      <c r="FE70" s="16"/>
      <c r="FF70" s="199">
        <v>0.52682931952569512</v>
      </c>
      <c r="FG70" s="199">
        <v>0.47317068047430499</v>
      </c>
      <c r="FH70" s="16">
        <f t="shared" si="112"/>
        <v>682.99206641950173</v>
      </c>
      <c r="FI70" s="179">
        <f t="shared" si="113"/>
        <v>613.42793358049846</v>
      </c>
      <c r="FJ70" s="179">
        <f t="shared" si="114"/>
        <v>12269.069876067348</v>
      </c>
      <c r="FK70" s="179">
        <f t="shared" si="115"/>
        <v>11019.440123932658</v>
      </c>
      <c r="FL70" s="204">
        <f t="shared" si="116"/>
        <v>12952.061942486849</v>
      </c>
      <c r="FM70" s="206">
        <f t="shared" si="117"/>
        <v>11632.868057513157</v>
      </c>
      <c r="FN70" s="202">
        <f t="shared" si="118"/>
        <v>24584.930000000008</v>
      </c>
      <c r="GG70">
        <f t="shared" si="125"/>
        <v>25</v>
      </c>
      <c r="GH70" s="63"/>
      <c r="GI70" s="63"/>
      <c r="GJ70" s="63">
        <f t="shared" si="127"/>
        <v>0</v>
      </c>
      <c r="GK70" s="63"/>
      <c r="GL70" s="63"/>
      <c r="GM70" s="63">
        <f t="shared" si="128"/>
        <v>0</v>
      </c>
      <c r="GN70" s="16">
        <v>23</v>
      </c>
      <c r="GO70" s="137"/>
      <c r="GP70" s="137"/>
      <c r="GQ70" s="176"/>
      <c r="GR70" s="176"/>
      <c r="GS70" s="176"/>
      <c r="GT70" s="399"/>
      <c r="GU70" s="400"/>
    </row>
    <row r="71" spans="1:203" x14ac:dyDescent="0.25">
      <c r="A71" s="35">
        <v>26</v>
      </c>
      <c r="B71" s="138"/>
      <c r="C71" s="65"/>
      <c r="D71" s="37">
        <f t="shared" si="105"/>
        <v>0</v>
      </c>
      <c r="E71" s="16">
        <v>17216</v>
      </c>
      <c r="F71" s="16"/>
      <c r="G71" s="37">
        <f t="shared" si="106"/>
        <v>80000</v>
      </c>
      <c r="H71" s="138"/>
      <c r="I71" s="65"/>
      <c r="J71" s="37">
        <f t="shared" si="107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f t="shared" si="126"/>
        <v>25</v>
      </c>
      <c r="DQ71" s="50">
        <v>7.4537000000000004</v>
      </c>
      <c r="DR71" s="49">
        <f t="shared" si="129"/>
        <v>108.00000000000587</v>
      </c>
      <c r="DS71" s="50">
        <v>47.313000000000002</v>
      </c>
      <c r="DT71" s="49">
        <f t="shared" si="130"/>
        <v>273.00000000000324</v>
      </c>
      <c r="EZ71" s="203">
        <f t="shared" si="108"/>
        <v>12141.25</v>
      </c>
      <c r="FA71" s="205">
        <f t="shared" si="109"/>
        <v>13307.92</v>
      </c>
      <c r="FB71" s="201">
        <f t="shared" si="110"/>
        <v>25449.17</v>
      </c>
      <c r="FC71" s="16"/>
      <c r="FD71" s="167">
        <f t="shared" si="111"/>
        <v>24152.75</v>
      </c>
      <c r="FE71" s="16"/>
      <c r="FF71" s="199">
        <v>0.52673293055284864</v>
      </c>
      <c r="FG71" s="199">
        <v>0.4732670694471513</v>
      </c>
      <c r="FH71" s="16">
        <f t="shared" si="112"/>
        <v>682.86710582732405</v>
      </c>
      <c r="FI71" s="179">
        <f t="shared" si="113"/>
        <v>613.55289417267591</v>
      </c>
      <c r="FJ71" s="179">
        <f t="shared" si="114"/>
        <v>12722.048788410315</v>
      </c>
      <c r="FK71" s="179">
        <f t="shared" si="115"/>
        <v>11430.701211589683</v>
      </c>
      <c r="FL71" s="204">
        <f t="shared" si="116"/>
        <v>13404.91589423764</v>
      </c>
      <c r="FM71" s="206">
        <f t="shared" si="117"/>
        <v>12044.254105762358</v>
      </c>
      <c r="FN71" s="202">
        <f t="shared" si="118"/>
        <v>25449.17</v>
      </c>
      <c r="GG71">
        <f t="shared" si="125"/>
        <v>26</v>
      </c>
      <c r="GH71" s="63"/>
      <c r="GI71" s="63"/>
      <c r="GJ71" s="63">
        <f t="shared" si="127"/>
        <v>0</v>
      </c>
      <c r="GK71" s="63"/>
      <c r="GL71" s="63"/>
      <c r="GM71" s="63">
        <f t="shared" si="128"/>
        <v>0</v>
      </c>
      <c r="GN71" s="34">
        <v>24</v>
      </c>
      <c r="GO71" s="137"/>
      <c r="GP71" s="137"/>
      <c r="GQ71" s="176"/>
      <c r="GR71" s="176"/>
      <c r="GS71" s="176"/>
      <c r="GT71" s="399"/>
      <c r="GU71" s="400"/>
    </row>
    <row r="72" spans="1:203" x14ac:dyDescent="0.25">
      <c r="A72" s="35">
        <v>27</v>
      </c>
      <c r="B72" s="138"/>
      <c r="C72" s="65"/>
      <c r="D72" s="37">
        <f t="shared" si="105"/>
        <v>0</v>
      </c>
      <c r="E72" s="16">
        <v>17289</v>
      </c>
      <c r="F72" s="16"/>
      <c r="G72" s="37">
        <f t="shared" si="106"/>
        <v>73000</v>
      </c>
      <c r="H72" s="138"/>
      <c r="I72" s="65"/>
      <c r="J72" s="37">
        <f t="shared" si="107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f t="shared" si="126"/>
        <v>26</v>
      </c>
      <c r="DQ72" s="50">
        <v>7.4579000000000004</v>
      </c>
      <c r="DR72" s="49">
        <f t="shared" si="129"/>
        <v>41.999999999999815</v>
      </c>
      <c r="DS72" s="50">
        <v>47.488</v>
      </c>
      <c r="DT72" s="49">
        <f t="shared" si="130"/>
        <v>174.99999999999716</v>
      </c>
      <c r="EZ72" s="203">
        <f t="shared" si="108"/>
        <v>11140.03</v>
      </c>
      <c r="FA72" s="205">
        <f t="shared" si="109"/>
        <v>12406.7</v>
      </c>
      <c r="FB72" s="201">
        <f t="shared" si="110"/>
        <v>23546.730000000003</v>
      </c>
      <c r="FC72" s="16"/>
      <c r="FD72" s="167">
        <f t="shared" si="111"/>
        <v>22250.310000000005</v>
      </c>
      <c r="FE72" s="16"/>
      <c r="FF72" s="199">
        <v>0.52845016607689466</v>
      </c>
      <c r="FG72" s="199">
        <v>0.47154983392310529</v>
      </c>
      <c r="FH72" s="16">
        <f t="shared" si="112"/>
        <v>685.09336430540782</v>
      </c>
      <c r="FI72" s="179">
        <f t="shared" si="113"/>
        <v>611.32663569459214</v>
      </c>
      <c r="FJ72" s="179">
        <f t="shared" si="114"/>
        <v>11758.180014762393</v>
      </c>
      <c r="FK72" s="179">
        <f t="shared" si="115"/>
        <v>10492.129985237611</v>
      </c>
      <c r="FL72" s="204">
        <f t="shared" si="116"/>
        <v>12443.273379067801</v>
      </c>
      <c r="FM72" s="206">
        <f t="shared" si="117"/>
        <v>11103.456620932202</v>
      </c>
      <c r="FN72" s="202">
        <f t="shared" si="118"/>
        <v>23546.730000000003</v>
      </c>
      <c r="GG72">
        <f t="shared" si="125"/>
        <v>27</v>
      </c>
      <c r="GH72" s="63"/>
      <c r="GI72" s="63"/>
      <c r="GJ72" s="63">
        <f t="shared" si="127"/>
        <v>0</v>
      </c>
      <c r="GK72" s="63"/>
      <c r="GL72" s="63"/>
      <c r="GM72" s="63">
        <f t="shared" si="128"/>
        <v>0</v>
      </c>
      <c r="GN72" s="16">
        <v>25</v>
      </c>
      <c r="GO72" s="137"/>
      <c r="GP72" s="137"/>
      <c r="GQ72" s="176"/>
      <c r="GR72" s="176"/>
      <c r="GS72" s="176"/>
      <c r="GT72" s="399"/>
      <c r="GU72" s="400"/>
    </row>
    <row r="73" spans="1:203" x14ac:dyDescent="0.25">
      <c r="A73" s="35">
        <v>28</v>
      </c>
      <c r="B73" s="138"/>
      <c r="C73" s="65"/>
      <c r="D73" s="37">
        <f t="shared" si="105"/>
        <v>0</v>
      </c>
      <c r="E73" s="16">
        <v>17381</v>
      </c>
      <c r="F73" s="16"/>
      <c r="G73" s="37">
        <f t="shared" si="106"/>
        <v>92000</v>
      </c>
      <c r="H73" s="138"/>
      <c r="I73" s="65"/>
      <c r="J73" s="37">
        <f t="shared" si="107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f t="shared" si="126"/>
        <v>27</v>
      </c>
      <c r="DQ73" s="50">
        <v>7.4617000000000004</v>
      </c>
      <c r="DR73" s="49">
        <f t="shared" si="129"/>
        <v>38.000000000000256</v>
      </c>
      <c r="DS73" s="50">
        <v>47.613</v>
      </c>
      <c r="DT73" s="49">
        <f t="shared" si="130"/>
        <v>125</v>
      </c>
      <c r="EZ73" s="203">
        <f t="shared" si="108"/>
        <v>12135.3</v>
      </c>
      <c r="FA73" s="205">
        <f t="shared" si="109"/>
        <v>14501.97</v>
      </c>
      <c r="FB73" s="201">
        <f t="shared" si="110"/>
        <v>26637.269999999997</v>
      </c>
      <c r="FC73" s="16"/>
      <c r="FD73" s="167">
        <f t="shared" si="111"/>
        <v>25340.85</v>
      </c>
      <c r="FE73" s="16"/>
      <c r="FF73" s="199">
        <v>0.50745825222825536</v>
      </c>
      <c r="FG73" s="199">
        <v>0.4925417477717447</v>
      </c>
      <c r="FH73" s="16">
        <f t="shared" si="112"/>
        <v>657.87902735375485</v>
      </c>
      <c r="FI73" s="179">
        <f t="shared" si="113"/>
        <v>638.54097264624534</v>
      </c>
      <c r="FJ73" s="179">
        <f t="shared" si="114"/>
        <v>12859.423450978384</v>
      </c>
      <c r="FK73" s="179">
        <f t="shared" si="115"/>
        <v>12481.426549021617</v>
      </c>
      <c r="FL73" s="204">
        <f t="shared" si="116"/>
        <v>13517.302478332138</v>
      </c>
      <c r="FM73" s="206">
        <f t="shared" si="117"/>
        <v>13119.967521667862</v>
      </c>
      <c r="FN73" s="202">
        <f t="shared" si="118"/>
        <v>26637.27</v>
      </c>
      <c r="GG73">
        <f t="shared" si="125"/>
        <v>28</v>
      </c>
      <c r="GH73" s="63"/>
      <c r="GI73" s="63"/>
      <c r="GJ73" s="63">
        <f t="shared" si="127"/>
        <v>0</v>
      </c>
      <c r="GK73" s="63"/>
      <c r="GL73" s="63"/>
      <c r="GM73" s="63">
        <f t="shared" si="128"/>
        <v>0</v>
      </c>
      <c r="GN73" s="16">
        <v>26</v>
      </c>
      <c r="GO73" s="137"/>
      <c r="GP73" s="137"/>
      <c r="GQ73" s="176"/>
      <c r="GR73" s="176"/>
      <c r="GS73" s="176"/>
      <c r="GT73" s="399"/>
      <c r="GU73" s="400"/>
    </row>
    <row r="74" spans="1:203" x14ac:dyDescent="0.25">
      <c r="A74" s="35">
        <v>29</v>
      </c>
      <c r="B74" s="138"/>
      <c r="C74" s="65"/>
      <c r="D74" s="37">
        <f t="shared" si="105"/>
        <v>0</v>
      </c>
      <c r="E74" s="16">
        <v>17477</v>
      </c>
      <c r="F74" s="16"/>
      <c r="G74" s="37">
        <f t="shared" si="106"/>
        <v>96000</v>
      </c>
      <c r="H74" s="138"/>
      <c r="I74" s="65"/>
      <c r="J74" s="37">
        <f t="shared" si="107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f t="shared" si="126"/>
        <v>28</v>
      </c>
      <c r="DQ74" s="50">
        <v>7.4732000000000003</v>
      </c>
      <c r="DR74" s="49">
        <f t="shared" si="129"/>
        <v>114.99999999999844</v>
      </c>
      <c r="DS74" s="50">
        <v>47.793999999999997</v>
      </c>
      <c r="DT74" s="49">
        <f t="shared" si="130"/>
        <v>180.99999999999739</v>
      </c>
      <c r="EZ74" s="203">
        <f t="shared" si="108"/>
        <v>11134.77</v>
      </c>
      <c r="FA74" s="205">
        <f t="shared" si="109"/>
        <v>12001.44</v>
      </c>
      <c r="FB74" s="201">
        <f t="shared" si="110"/>
        <v>23136.21</v>
      </c>
      <c r="FC74" s="16"/>
      <c r="FD74" s="167">
        <f t="shared" si="111"/>
        <v>21839.79</v>
      </c>
      <c r="FE74" s="16"/>
      <c r="FF74" s="16"/>
      <c r="FG74" s="16"/>
      <c r="FH74" s="16"/>
      <c r="FI74" s="179"/>
      <c r="FJ74" s="16"/>
      <c r="FK74" s="16"/>
      <c r="FL74" s="16"/>
      <c r="FM74" s="16"/>
      <c r="FN74" s="16"/>
      <c r="GG74">
        <f t="shared" si="125"/>
        <v>29</v>
      </c>
      <c r="GH74" s="63"/>
      <c r="GI74" s="63"/>
      <c r="GJ74" s="63">
        <f t="shared" si="127"/>
        <v>0</v>
      </c>
      <c r="GK74" s="63"/>
      <c r="GL74" s="63"/>
      <c r="GM74" s="63">
        <f t="shared" si="128"/>
        <v>0</v>
      </c>
      <c r="GN74" s="16">
        <v>27</v>
      </c>
      <c r="GO74" s="137"/>
      <c r="GP74" s="137"/>
      <c r="GQ74" s="176"/>
      <c r="GR74" s="176"/>
      <c r="GS74" s="176"/>
      <c r="GT74" s="399"/>
      <c r="GU74" s="400"/>
    </row>
    <row r="75" spans="1:203" x14ac:dyDescent="0.25">
      <c r="A75" s="35">
        <v>30</v>
      </c>
      <c r="B75" s="138"/>
      <c r="C75" s="65"/>
      <c r="D75" s="37">
        <f t="shared" si="105"/>
        <v>0</v>
      </c>
      <c r="E75" s="16">
        <v>17568</v>
      </c>
      <c r="F75" s="16"/>
      <c r="G75" s="37">
        <f t="shared" si="106"/>
        <v>91000</v>
      </c>
      <c r="H75" s="138"/>
      <c r="I75" s="65"/>
      <c r="J75" s="37">
        <f t="shared" si="107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f t="shared" si="126"/>
        <v>29</v>
      </c>
      <c r="DQ75" s="50">
        <v>7.4856999999999996</v>
      </c>
      <c r="DR75" s="49">
        <f t="shared" si="129"/>
        <v>124.99999999999289</v>
      </c>
      <c r="DS75" s="50">
        <v>48.011000000000003</v>
      </c>
      <c r="DT75" s="49">
        <f t="shared" si="130"/>
        <v>217.00000000000585</v>
      </c>
      <c r="EZ75" s="167">
        <f t="shared" si="108"/>
        <v>11129.16</v>
      </c>
      <c r="FA75" s="167">
        <f t="shared" si="109"/>
        <v>12729.16</v>
      </c>
      <c r="FB75" s="167">
        <f t="shared" si="110"/>
        <v>23858.32</v>
      </c>
      <c r="FC75" s="16"/>
      <c r="FD75" s="167">
        <f t="shared" si="111"/>
        <v>22561.9</v>
      </c>
      <c r="FE75" s="16"/>
      <c r="FF75" s="16"/>
      <c r="FG75" s="16"/>
      <c r="FH75" s="16"/>
      <c r="FI75" s="179"/>
      <c r="FJ75" s="16"/>
      <c r="FK75" s="16"/>
      <c r="FL75" s="16"/>
      <c r="FM75" s="16"/>
      <c r="FN75" s="16"/>
      <c r="GG75">
        <f t="shared" si="125"/>
        <v>30</v>
      </c>
      <c r="GH75" s="63"/>
      <c r="GI75" s="63"/>
      <c r="GJ75" s="63">
        <f t="shared" si="127"/>
        <v>0</v>
      </c>
      <c r="GK75" s="63"/>
      <c r="GL75" s="63"/>
      <c r="GM75" s="63">
        <f t="shared" si="128"/>
        <v>0</v>
      </c>
      <c r="GN75" s="16">
        <v>28</v>
      </c>
      <c r="GO75" s="137"/>
      <c r="GP75" s="137"/>
      <c r="GQ75" s="176"/>
      <c r="GR75" s="176"/>
      <c r="GS75" s="176"/>
      <c r="GT75" s="399"/>
      <c r="GU75" s="400"/>
    </row>
    <row r="76" spans="1:203" x14ac:dyDescent="0.25">
      <c r="A76" s="35">
        <v>31</v>
      </c>
      <c r="B76" s="138"/>
      <c r="C76" s="65"/>
      <c r="D76" s="37">
        <f t="shared" si="105"/>
        <v>0</v>
      </c>
      <c r="E76" s="16">
        <v>17657</v>
      </c>
      <c r="F76" s="16"/>
      <c r="G76" s="37">
        <f t="shared" si="106"/>
        <v>89000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f t="shared" si="126"/>
        <v>30</v>
      </c>
      <c r="DQ76" s="50">
        <v>7.4946000000000002</v>
      </c>
      <c r="DR76" s="49">
        <f t="shared" si="129"/>
        <v>89.000000000005741</v>
      </c>
      <c r="DS76" s="50">
        <v>48.164000000000001</v>
      </c>
      <c r="DT76" s="49">
        <f t="shared" si="130"/>
        <v>152.99999999999869</v>
      </c>
      <c r="EZ76" s="91"/>
      <c r="GH76" s="63"/>
      <c r="GI76" s="63"/>
      <c r="GJ76" s="63"/>
      <c r="GK76" s="63"/>
      <c r="GL76" s="63"/>
      <c r="GM76" s="63"/>
      <c r="GN76" s="16">
        <v>29</v>
      </c>
      <c r="GO76" s="137"/>
      <c r="GP76" s="137"/>
      <c r="GQ76" s="176"/>
      <c r="GR76" s="176"/>
      <c r="GS76" s="176"/>
      <c r="GT76" s="155"/>
      <c r="GU76" s="156"/>
    </row>
    <row r="77" spans="1:203" ht="15.75" thickBot="1" x14ac:dyDescent="0.3">
      <c r="A77" s="157">
        <v>31</v>
      </c>
      <c r="B77" s="138"/>
      <c r="C77" s="65"/>
      <c r="D77" s="37">
        <f t="shared" si="105"/>
        <v>0</v>
      </c>
      <c r="E77" s="16"/>
      <c r="F77" s="16"/>
      <c r="G77" s="37">
        <f t="shared" si="106"/>
        <v>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f t="shared" si="126"/>
        <v>31</v>
      </c>
      <c r="DQ77" s="50">
        <v>7.5086000000000004</v>
      </c>
      <c r="DR77" s="49">
        <f t="shared" si="129"/>
        <v>140.00000000000233</v>
      </c>
      <c r="DS77" s="50">
        <v>48.38</v>
      </c>
      <c r="DT77" s="49">
        <f t="shared" si="130"/>
        <v>216.00000000000108</v>
      </c>
      <c r="EZ77" s="91"/>
      <c r="GH77" s="63"/>
      <c r="GI77" s="63"/>
      <c r="GJ77" s="63"/>
      <c r="GK77" s="63"/>
      <c r="GL77" s="63"/>
      <c r="GM77" s="63"/>
      <c r="GN77" s="16">
        <v>30</v>
      </c>
      <c r="GO77" s="137"/>
      <c r="GP77" s="137"/>
      <c r="GQ77" s="176"/>
      <c r="GR77" s="176"/>
      <c r="GS77" s="176"/>
      <c r="GT77" s="155"/>
      <c r="GU77" s="156"/>
    </row>
    <row r="78" spans="1:203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2477000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v>7.5164999999999997</v>
      </c>
      <c r="DR78" s="49">
        <f t="shared" si="129"/>
        <v>78.99999999999352</v>
      </c>
      <c r="DS78" s="50">
        <v>48.606000000000002</v>
      </c>
      <c r="DT78" s="49">
        <f t="shared" si="130"/>
        <v>225.99999999999909</v>
      </c>
      <c r="EZ78" s="91"/>
      <c r="GG78">
        <v>1</v>
      </c>
      <c r="GH78" s="63"/>
      <c r="GI78" s="63"/>
      <c r="GJ78" s="63" t="e">
        <f>GH78-#REF!</f>
        <v>#REF!</v>
      </c>
      <c r="GK78" s="63"/>
      <c r="GL78" s="63"/>
      <c r="GM78" s="63" t="e">
        <f>GK78-#REF!</f>
        <v>#REF!</v>
      </c>
      <c r="GN78" s="16">
        <v>31</v>
      </c>
      <c r="GO78" s="137"/>
      <c r="GP78" s="137"/>
      <c r="GQ78" s="137"/>
      <c r="GR78" s="137"/>
      <c r="GS78" s="137"/>
      <c r="GT78" s="401"/>
      <c r="GU78" s="401"/>
    </row>
    <row r="79" spans="1:203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37745</v>
      </c>
      <c r="DS79" s="84"/>
      <c r="DT79" s="85">
        <f>SUMIF(DT47:DT78,"&gt;0")</f>
        <v>8039.0000000000009</v>
      </c>
      <c r="EZ79" s="91"/>
      <c r="GN79" s="16">
        <v>1</v>
      </c>
      <c r="GO79" s="137"/>
      <c r="GP79" s="137"/>
      <c r="GQ79" s="137"/>
      <c r="GR79" s="137"/>
      <c r="GS79" s="137"/>
      <c r="GT79" s="401"/>
      <c r="GU79" s="401"/>
    </row>
    <row r="80" spans="1:203" x14ac:dyDescent="0.25">
      <c r="B80" t="s">
        <v>197</v>
      </c>
      <c r="F80" s="1" t="s">
        <v>198</v>
      </c>
      <c r="J80" s="189" t="s">
        <v>212</v>
      </c>
      <c r="K80" s="190"/>
      <c r="L80" s="191"/>
      <c r="M80" s="75"/>
      <c r="O80" s="62"/>
      <c r="P80" s="24"/>
      <c r="Q80" s="24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B47</f>
        <v>0</v>
      </c>
      <c r="F81" t="s">
        <v>173</v>
      </c>
      <c r="H81" s="146">
        <f>E75</f>
        <v>17568</v>
      </c>
      <c r="J81" s="192" t="s">
        <v>213</v>
      </c>
      <c r="K81" s="193"/>
      <c r="L81" s="194">
        <f>[1]Master!$AI$48</f>
        <v>509939</v>
      </c>
      <c r="M81" s="24"/>
      <c r="P81" s="74"/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v>0</v>
      </c>
      <c r="F82" t="s">
        <v>174</v>
      </c>
      <c r="H82" s="148">
        <f>[2]Des!$E$75</f>
        <v>15082</v>
      </c>
      <c r="J82" s="192" t="s">
        <v>214</v>
      </c>
      <c r="K82" s="195"/>
      <c r="L82" s="196">
        <f>[1]Master!$AI$49</f>
        <v>488328</v>
      </c>
      <c r="M82" s="24"/>
      <c r="O82" s="62"/>
      <c r="P82" s="24"/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</f>
        <v>0</v>
      </c>
      <c r="E83" t="s">
        <v>176</v>
      </c>
      <c r="F83" t="s">
        <v>175</v>
      </c>
      <c r="H83" s="104">
        <f>(H81-H82)*1000</f>
        <v>2486000</v>
      </c>
      <c r="I83" t="s">
        <v>176</v>
      </c>
      <c r="J83" s="192" t="s">
        <v>175</v>
      </c>
      <c r="K83" s="192"/>
      <c r="L83" s="197">
        <f>L81-L82</f>
        <v>21611</v>
      </c>
      <c r="M83" s="24" t="s">
        <v>215</v>
      </c>
      <c r="O83" s="62"/>
      <c r="P83" s="24"/>
      <c r="Q83" s="24"/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customSheetViews>
    <customSheetView guid="{48545DB9-4D9D-4699-ACEC-DA6E2D3586A8}" scale="82" fitToPage="1" hiddenColumns="1">
      <pane xSplit="1" ySplit="6" topLeftCell="GI10" activePane="bottomRight" state="frozen"/>
      <selection pane="bottomRight" activeCell="GV11" sqref="GV11"/>
      <pageMargins left="0.70866141732283472" right="0.70866141732283472" top="0.74803149606299213" bottom="0.74803149606299213" header="0.31496062992125984" footer="0.31496062992125984"/>
      <pageSetup scale="10" orientation="landscape" r:id="rId1"/>
    </customSheetView>
    <customSheetView guid="{32ABFE17-599B-4D0B-A1DB-D95B181877FC}" scale="82" fitToPage="1" hiddenColumns="1">
      <pane xSplit="1" ySplit="6" topLeftCell="GI7" activePane="bottomRight" state="frozen"/>
      <selection pane="bottomRight" activeCell="GV11" sqref="GV11"/>
      <pageMargins left="0.70866141732283472" right="0.70866141732283472" top="0.74803149606299213" bottom="0.74803149606299213" header="0.31496062992125984" footer="0.31496062992125984"/>
      <pageSetup scale="10" orientation="landscape" r:id="rId2"/>
    </customSheetView>
  </customSheetViews>
  <mergeCells count="156">
    <mergeCell ref="EZ43:EZ44"/>
    <mergeCell ref="FA43:FA44"/>
    <mergeCell ref="FB43:FB44"/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FV4:FX4"/>
    <mergeCell ref="FY4:GG4"/>
    <mergeCell ref="B5:D5"/>
    <mergeCell ref="E5:F5"/>
    <mergeCell ref="H5:K5"/>
    <mergeCell ref="L5:N5"/>
    <mergeCell ref="O5:Q5"/>
    <mergeCell ref="GQ3:GS3"/>
    <mergeCell ref="O4:AI4"/>
    <mergeCell ref="AK4:AK5"/>
    <mergeCell ref="AL4:BC4"/>
    <mergeCell ref="EE3:EM3"/>
    <mergeCell ref="EO3:FD3"/>
    <mergeCell ref="FE3:FU3"/>
    <mergeCell ref="FV3:GG3"/>
    <mergeCell ref="GH3:GM3"/>
    <mergeCell ref="GN3:GP3"/>
    <mergeCell ref="BU3:DG4"/>
    <mergeCell ref="EE5:EG5"/>
    <mergeCell ref="EH5:EJ5"/>
    <mergeCell ref="EK5:EM5"/>
    <mergeCell ref="FH5:FJ5"/>
    <mergeCell ref="FN5:FP5"/>
    <mergeCell ref="FQ5:FS5"/>
    <mergeCell ref="EO5:EQ5"/>
    <mergeCell ref="ER5:ET5"/>
    <mergeCell ref="EU5:EW5"/>
    <mergeCell ref="EX5:EZ5"/>
    <mergeCell ref="FB5:FC5"/>
    <mergeCell ref="FE5:FG5"/>
    <mergeCell ref="S5:T5"/>
    <mergeCell ref="U5:V5"/>
    <mergeCell ref="W5:X5"/>
    <mergeCell ref="Y5:Z5"/>
    <mergeCell ref="AA5:AB5"/>
    <mergeCell ref="AC5:AF5"/>
    <mergeCell ref="EE4:EG4"/>
    <mergeCell ref="EH4:EJ4"/>
    <mergeCell ref="EK4:EM4"/>
    <mergeCell ref="DH3:DH4"/>
    <mergeCell ref="DI3:DP5"/>
    <mergeCell ref="DQ3:DR5"/>
    <mergeCell ref="DS3:DT5"/>
    <mergeCell ref="DU3:EC3"/>
    <mergeCell ref="DU4:DW4"/>
    <mergeCell ref="DX4:DZ4"/>
    <mergeCell ref="EA4:EC4"/>
    <mergeCell ref="CG5:CH5"/>
    <mergeCell ref="BA5:BC5"/>
    <mergeCell ref="BS5:BT5"/>
    <mergeCell ref="BU5:BX5"/>
    <mergeCell ref="BY5:CB5"/>
    <mergeCell ref="CC5:CD5"/>
    <mergeCell ref="CE5:CF5"/>
    <mergeCell ref="AG5:AJ5"/>
    <mergeCell ref="AL5:AO5"/>
    <mergeCell ref="AP5:AS5"/>
    <mergeCell ref="AT5:AU5"/>
    <mergeCell ref="AV5:AW5"/>
    <mergeCell ref="AX5:AZ5"/>
    <mergeCell ref="DU5:DW5"/>
    <mergeCell ref="DX5:DZ5"/>
    <mergeCell ref="EA5:EC5"/>
    <mergeCell ref="CI5:CL5"/>
    <mergeCell ref="CM5:CP5"/>
    <mergeCell ref="CQ5:CT5"/>
    <mergeCell ref="CU5:CX5"/>
    <mergeCell ref="CY5:DB5"/>
    <mergeCell ref="DC5:DF5"/>
    <mergeCell ref="BM4:BN5"/>
    <mergeCell ref="BO4:BP5"/>
    <mergeCell ref="BS4:BT4"/>
    <mergeCell ref="BD4:BD5"/>
    <mergeCell ref="BE4:BG5"/>
    <mergeCell ref="BK4:BL5"/>
    <mergeCell ref="GE6:GG6"/>
    <mergeCell ref="GH6:GJ6"/>
    <mergeCell ref="GK6:GM6"/>
    <mergeCell ref="GU6:GX6"/>
    <mergeCell ref="GY6:HB6"/>
    <mergeCell ref="BU41:BW41"/>
    <mergeCell ref="BY41:CA41"/>
    <mergeCell ref="DU41:DW41"/>
    <mergeCell ref="DX41:DZ41"/>
    <mergeCell ref="EA41:EC41"/>
    <mergeCell ref="FV6:FX6"/>
    <mergeCell ref="FY6:GA6"/>
    <mergeCell ref="GB6:GD6"/>
    <mergeCell ref="AP48:AS48"/>
    <mergeCell ref="EE48:EG48"/>
    <mergeCell ref="EH48:EJ48"/>
    <mergeCell ref="EK48:EM48"/>
    <mergeCell ref="FW48:FX48"/>
    <mergeCell ref="FY48:FZ48"/>
    <mergeCell ref="GT48:GU48"/>
    <mergeCell ref="EO41:EQ41"/>
    <mergeCell ref="ER41:ET41"/>
    <mergeCell ref="EU41:EZ41"/>
    <mergeCell ref="FE41:FG41"/>
    <mergeCell ref="FH41:FJ41"/>
    <mergeCell ref="FO41:FQ41"/>
    <mergeCell ref="DQ43:DR45"/>
    <mergeCell ref="DS43:DT45"/>
    <mergeCell ref="DQ42:DT42"/>
    <mergeCell ref="FO47:FP48"/>
    <mergeCell ref="EW45:EX45"/>
    <mergeCell ref="EV48:EW48"/>
    <mergeCell ref="FJ42:FK43"/>
    <mergeCell ref="FH42:FI43"/>
    <mergeCell ref="FF42:FG43"/>
    <mergeCell ref="FL42:FM43"/>
    <mergeCell ref="FN42:FN44"/>
    <mergeCell ref="GT50:GU50"/>
    <mergeCell ref="GT51:GU51"/>
    <mergeCell ref="GT52:GU52"/>
    <mergeCell ref="GT53:GU53"/>
    <mergeCell ref="GT54:GU54"/>
    <mergeCell ref="GT55:GU55"/>
    <mergeCell ref="GT45:GU45"/>
    <mergeCell ref="GO46:GP46"/>
    <mergeCell ref="GT47:GU47"/>
    <mergeCell ref="GT62:GU62"/>
    <mergeCell ref="GT63:GU63"/>
    <mergeCell ref="GT64:GU64"/>
    <mergeCell ref="GT65:GU65"/>
    <mergeCell ref="GT66:GU66"/>
    <mergeCell ref="GT67:GU67"/>
    <mergeCell ref="GT56:GU56"/>
    <mergeCell ref="GT57:GU57"/>
    <mergeCell ref="GT58:GU58"/>
    <mergeCell ref="GT59:GU59"/>
    <mergeCell ref="GT60:GU60"/>
    <mergeCell ref="GT61:GU61"/>
    <mergeCell ref="GT74:GU74"/>
    <mergeCell ref="GT75:GU75"/>
    <mergeCell ref="GT78:GU78"/>
    <mergeCell ref="GT79:GU79"/>
    <mergeCell ref="GT68:GU68"/>
    <mergeCell ref="GT69:GU69"/>
    <mergeCell ref="GT70:GU70"/>
    <mergeCell ref="GT71:GU71"/>
    <mergeCell ref="GT72:GU72"/>
    <mergeCell ref="GT73:GU73"/>
  </mergeCells>
  <pageMargins left="0.70866141732283472" right="0.70866141732283472" top="0.74803149606299213" bottom="0.74803149606299213" header="0.31496062992125984" footer="0.31496062992125984"/>
  <pageSetup scale="10" orientation="landscape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BZ124"/>
  <sheetViews>
    <sheetView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Q12" sqref="Q12"/>
    </sheetView>
  </sheetViews>
  <sheetFormatPr defaultRowHeight="15" x14ac:dyDescent="0.25"/>
  <cols>
    <col min="1" max="1" width="5.7109375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customWidth="1"/>
    <col min="16" max="16" width="10.7109375" customWidth="1"/>
    <col min="17" max="17" width="10.85546875" customWidth="1"/>
    <col min="18" max="18" width="10.5703125" customWidth="1"/>
    <col min="19" max="19" width="11.28515625" customWidth="1"/>
    <col min="20" max="20" width="10.85546875" customWidth="1"/>
    <col min="21" max="21" width="11.28515625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3" width="10.42578125" customWidth="1"/>
    <col min="34" max="34" width="10.85546875" hidden="1" customWidth="1"/>
    <col min="35" max="36" width="11.28515625" hidden="1" customWidth="1"/>
    <col min="37" max="37" width="11.7109375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1.7109375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1.7109375" customWidth="1"/>
    <col min="46" max="46" width="11.28515625" hidden="1" customWidth="1"/>
    <col min="47" max="47" width="11.42578125" hidden="1" customWidth="1"/>
    <col min="48" max="48" width="12" hidden="1" customWidth="1"/>
    <col min="49" max="50" width="11.28515625" hidden="1" customWidth="1"/>
    <col min="51" max="51" width="11.7109375" customWidth="1"/>
    <col min="52" max="52" width="11.28515625" hidden="1" customWidth="1"/>
    <col min="53" max="53" width="11.42578125" hidden="1" customWidth="1"/>
    <col min="54" max="55" width="11.28515625" hidden="1" customWidth="1"/>
    <col min="56" max="56" width="11.7109375" customWidth="1"/>
    <col min="57" max="57" width="10.7109375" customWidth="1"/>
    <col min="58" max="60" width="2.7109375" customWidth="1"/>
    <col min="61" max="61" width="10.7109375" customWidth="1"/>
    <col min="62" max="62" width="11.7109375" bestFit="1" customWidth="1"/>
    <col min="63" max="63" width="2.7109375" customWidth="1"/>
    <col min="64" max="64" width="10.5703125" bestFit="1" customWidth="1"/>
    <col min="65" max="66" width="2.7109375" customWidth="1"/>
    <col min="67" max="67" width="9.5703125" bestFit="1" customWidth="1"/>
    <col min="68" max="68" width="2.7109375" customWidth="1"/>
    <col min="69" max="69" width="9.5703125" bestFit="1" customWidth="1"/>
    <col min="70" max="70" width="7.7109375" customWidth="1"/>
    <col min="71" max="71" width="11.42578125" customWidth="1"/>
    <col min="72" max="72" width="58.42578125" bestFit="1" customWidth="1"/>
    <col min="73" max="73" width="16.140625" customWidth="1"/>
    <col min="74" max="74" width="11" customWidth="1"/>
    <col min="76" max="76" width="30.28515625" hidden="1" customWidth="1"/>
    <col min="77" max="77" width="14.28515625" hidden="1" customWidth="1"/>
    <col min="78" max="78" width="30.28515625" bestFit="1" customWidth="1"/>
  </cols>
  <sheetData>
    <row r="2" spans="1:78" ht="26.25" x14ac:dyDescent="0.4">
      <c r="N2" s="109" t="s">
        <v>216</v>
      </c>
    </row>
    <row r="4" spans="1:78" ht="15" customHeight="1" x14ac:dyDescent="0.25">
      <c r="A4" s="448" t="s">
        <v>1</v>
      </c>
      <c r="B4" s="455" t="s">
        <v>118</v>
      </c>
      <c r="C4" s="455" t="s">
        <v>119</v>
      </c>
      <c r="D4" s="465" t="s">
        <v>4</v>
      </c>
      <c r="E4" s="466"/>
      <c r="F4" s="466"/>
      <c r="G4" s="466"/>
      <c r="H4" s="466"/>
      <c r="I4" s="466"/>
      <c r="J4" s="466"/>
      <c r="K4" s="466"/>
      <c r="L4" s="466"/>
      <c r="M4" s="467"/>
      <c r="N4" s="468" t="s">
        <v>120</v>
      </c>
      <c r="O4" s="110"/>
      <c r="P4" s="110"/>
      <c r="Q4" s="110"/>
      <c r="R4" s="110"/>
      <c r="S4" s="110" t="s">
        <v>121</v>
      </c>
      <c r="T4" s="110"/>
      <c r="U4" s="110"/>
      <c r="V4" s="476" t="s">
        <v>121</v>
      </c>
      <c r="W4" s="460" t="s">
        <v>122</v>
      </c>
      <c r="X4" s="460"/>
      <c r="Y4" s="459" t="s">
        <v>123</v>
      </c>
      <c r="Z4" s="461" t="s">
        <v>124</v>
      </c>
      <c r="AA4" s="462" t="s">
        <v>125</v>
      </c>
      <c r="AB4" s="463" t="s">
        <v>126</v>
      </c>
      <c r="AC4" s="456" t="s">
        <v>127</v>
      </c>
      <c r="AD4" s="457" t="s">
        <v>200</v>
      </c>
      <c r="AE4" s="457" t="s">
        <v>223</v>
      </c>
      <c r="AF4" s="457" t="s">
        <v>248</v>
      </c>
      <c r="AG4" s="457" t="s">
        <v>249</v>
      </c>
      <c r="AH4" s="458" t="s">
        <v>128</v>
      </c>
      <c r="AI4" s="458"/>
      <c r="AJ4" s="458"/>
      <c r="AK4" s="454" t="s">
        <v>129</v>
      </c>
      <c r="AL4" s="454" t="s">
        <v>130</v>
      </c>
      <c r="AM4" s="454"/>
      <c r="AN4" s="454"/>
      <c r="AO4" s="454" t="s">
        <v>14</v>
      </c>
      <c r="AP4" s="459" t="s">
        <v>131</v>
      </c>
      <c r="AQ4" s="459"/>
      <c r="AR4" s="459"/>
      <c r="AS4" s="459" t="s">
        <v>17</v>
      </c>
      <c r="AT4" s="453" t="s">
        <v>132</v>
      </c>
      <c r="AU4" s="453"/>
      <c r="AV4" s="453"/>
      <c r="AW4" s="453"/>
      <c r="AX4" s="111"/>
      <c r="AY4" s="453" t="s">
        <v>15</v>
      </c>
      <c r="AZ4" s="453" t="s">
        <v>133</v>
      </c>
      <c r="BA4" s="453"/>
      <c r="BB4" s="453"/>
      <c r="BC4" s="111"/>
      <c r="BD4" s="453" t="s">
        <v>16</v>
      </c>
      <c r="BE4" s="477" t="s">
        <v>201</v>
      </c>
      <c r="BF4" s="478"/>
      <c r="BG4" s="478"/>
      <c r="BH4" s="479"/>
      <c r="BI4" s="483" t="s">
        <v>134</v>
      </c>
      <c r="BJ4" s="483"/>
      <c r="BK4" s="483"/>
      <c r="BL4" s="483"/>
      <c r="BM4" s="484" t="s">
        <v>19</v>
      </c>
      <c r="BN4" s="485"/>
      <c r="BO4" s="485"/>
      <c r="BP4" s="485"/>
      <c r="BQ4" s="486"/>
      <c r="BR4" s="455" t="s">
        <v>170</v>
      </c>
      <c r="BS4" s="455" t="s">
        <v>190</v>
      </c>
    </row>
    <row r="5" spans="1:78" x14ac:dyDescent="0.25">
      <c r="A5" s="448"/>
      <c r="B5" s="455"/>
      <c r="C5" s="455"/>
      <c r="D5" s="471" t="s">
        <v>135</v>
      </c>
      <c r="E5" s="472"/>
      <c r="F5" s="472"/>
      <c r="G5" s="472"/>
      <c r="H5" s="472"/>
      <c r="I5" s="473"/>
      <c r="J5" s="474" t="s">
        <v>136</v>
      </c>
      <c r="K5" s="475"/>
      <c r="L5" s="474" t="s">
        <v>55</v>
      </c>
      <c r="M5" s="475"/>
      <c r="N5" s="469"/>
      <c r="O5" s="110"/>
      <c r="P5" s="110"/>
      <c r="Q5" s="110"/>
      <c r="R5" s="110"/>
      <c r="S5" s="110"/>
      <c r="T5" s="110"/>
      <c r="U5" s="110"/>
      <c r="V5" s="476"/>
      <c r="W5" s="460"/>
      <c r="X5" s="460"/>
      <c r="Y5" s="459"/>
      <c r="Z5" s="461"/>
      <c r="AA5" s="462"/>
      <c r="AB5" s="463"/>
      <c r="AC5" s="456"/>
      <c r="AD5" s="457"/>
      <c r="AE5" s="457"/>
      <c r="AF5" s="457"/>
      <c r="AG5" s="457"/>
      <c r="AH5" s="112"/>
      <c r="AI5" s="112"/>
      <c r="AJ5" s="112"/>
      <c r="AK5" s="454"/>
      <c r="AL5" s="113"/>
      <c r="AM5" s="113"/>
      <c r="AN5" s="113"/>
      <c r="AO5" s="454"/>
      <c r="AP5" s="114"/>
      <c r="AQ5" s="114"/>
      <c r="AR5" s="114"/>
      <c r="AS5" s="459"/>
      <c r="AT5" s="111"/>
      <c r="AU5" s="111"/>
      <c r="AV5" s="111"/>
      <c r="AW5" s="111"/>
      <c r="AX5" s="111"/>
      <c r="AY5" s="453"/>
      <c r="AZ5" s="111"/>
      <c r="BA5" s="111"/>
      <c r="BB5" s="111"/>
      <c r="BC5" s="111"/>
      <c r="BD5" s="453"/>
      <c r="BE5" s="480"/>
      <c r="BF5" s="481"/>
      <c r="BG5" s="481"/>
      <c r="BH5" s="482"/>
      <c r="BI5" s="483"/>
      <c r="BJ5" s="483"/>
      <c r="BK5" s="483"/>
      <c r="BL5" s="483"/>
      <c r="BM5" s="487"/>
      <c r="BN5" s="488"/>
      <c r="BO5" s="488"/>
      <c r="BP5" s="488"/>
      <c r="BQ5" s="489"/>
      <c r="BR5" s="455"/>
      <c r="BS5" s="455"/>
    </row>
    <row r="6" spans="1:78" ht="60" x14ac:dyDescent="0.25">
      <c r="A6" s="448"/>
      <c r="B6" s="455"/>
      <c r="C6" s="455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70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76"/>
      <c r="W6" s="120" t="s">
        <v>62</v>
      </c>
      <c r="X6" s="121" t="s">
        <v>63</v>
      </c>
      <c r="Y6" s="459"/>
      <c r="Z6" s="461"/>
      <c r="AA6" s="462"/>
      <c r="AB6" s="463"/>
      <c r="AC6" s="456"/>
      <c r="AD6" s="457"/>
      <c r="AE6" s="457"/>
      <c r="AF6" s="457"/>
      <c r="AG6" s="457"/>
      <c r="AH6" s="112" t="s">
        <v>66</v>
      </c>
      <c r="AI6" s="112" t="s">
        <v>67</v>
      </c>
      <c r="AJ6" s="112" t="s">
        <v>147</v>
      </c>
      <c r="AK6" s="454"/>
      <c r="AL6" s="122" t="s">
        <v>148</v>
      </c>
      <c r="AM6" s="122" t="s">
        <v>149</v>
      </c>
      <c r="AN6" s="122" t="s">
        <v>150</v>
      </c>
      <c r="AO6" s="454"/>
      <c r="AP6" s="114" t="s">
        <v>99</v>
      </c>
      <c r="AQ6" s="114" t="s">
        <v>100</v>
      </c>
      <c r="AR6" s="114" t="s">
        <v>151</v>
      </c>
      <c r="AS6" s="459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453"/>
      <c r="AZ6" s="111" t="s">
        <v>152</v>
      </c>
      <c r="BA6" s="111" t="s">
        <v>153</v>
      </c>
      <c r="BB6" s="111" t="s">
        <v>155</v>
      </c>
      <c r="BC6" s="111" t="s">
        <v>151</v>
      </c>
      <c r="BD6" s="453"/>
      <c r="BE6" s="123" t="s">
        <v>157</v>
      </c>
      <c r="BF6" s="123" t="s">
        <v>130</v>
      </c>
      <c r="BG6" s="123" t="s">
        <v>132</v>
      </c>
      <c r="BH6" s="123" t="s">
        <v>133</v>
      </c>
      <c r="BI6" s="123" t="s">
        <v>157</v>
      </c>
      <c r="BJ6" s="123" t="s">
        <v>130</v>
      </c>
      <c r="BK6" s="123" t="s">
        <v>132</v>
      </c>
      <c r="BL6" s="123" t="s">
        <v>133</v>
      </c>
      <c r="BM6" s="175" t="s">
        <v>157</v>
      </c>
      <c r="BN6" s="175" t="s">
        <v>128</v>
      </c>
      <c r="BO6" s="175" t="s">
        <v>130</v>
      </c>
      <c r="BP6" s="175" t="s">
        <v>132</v>
      </c>
      <c r="BQ6" s="175" t="s">
        <v>133</v>
      </c>
      <c r="BR6" s="455"/>
      <c r="BS6" s="455"/>
    </row>
    <row r="7" spans="1:78" x14ac:dyDescent="0.25">
      <c r="A7" s="124">
        <v>1</v>
      </c>
      <c r="B7" s="42">
        <f>Jan!G8</f>
        <v>239680.0000000112</v>
      </c>
      <c r="C7" s="42">
        <f>Jan!N8</f>
        <v>238000</v>
      </c>
      <c r="D7" s="42">
        <f>Jan!T8</f>
        <v>0</v>
      </c>
      <c r="E7" s="42">
        <f>Jan!V8</f>
        <v>0</v>
      </c>
      <c r="F7" s="42">
        <f>Jan!AB8</f>
        <v>5060</v>
      </c>
      <c r="G7" s="42">
        <f>Jan!X8</f>
        <v>8940</v>
      </c>
      <c r="H7" s="42">
        <f>Jan!AE8</f>
        <v>7700.0000000002728</v>
      </c>
      <c r="I7" s="42">
        <f>Jan!AI8</f>
        <v>16863.299999999635</v>
      </c>
      <c r="J7" s="42">
        <f>Jan!AN8</f>
        <v>5913.2999999988579</v>
      </c>
      <c r="K7" s="42">
        <f>Jan!AR8</f>
        <v>10299.999999999272</v>
      </c>
      <c r="L7" s="42">
        <f>Jan!AZ8</f>
        <v>415.24000000004889</v>
      </c>
      <c r="M7" s="42">
        <f>Jan!BC8</f>
        <v>545.95999999999185</v>
      </c>
      <c r="N7" s="125">
        <f t="shared" ref="N7" si="0">SUM(D7:M7)</f>
        <v>55737.799999998082</v>
      </c>
      <c r="O7" s="125">
        <f>Jan!CA8</f>
        <v>689.99999999999773</v>
      </c>
      <c r="P7" s="125">
        <f>Jan!CD8</f>
        <v>3930</v>
      </c>
      <c r="Q7" s="125">
        <f>Jan!CF8</f>
        <v>0</v>
      </c>
      <c r="R7" s="125">
        <f>Jan!CH8</f>
        <v>93</v>
      </c>
      <c r="S7" s="125">
        <f>Jan!CK8</f>
        <v>17773.300000000003</v>
      </c>
      <c r="T7" s="125">
        <f>Jan!CO8</f>
        <v>7163.300000000273</v>
      </c>
      <c r="U7" s="125">
        <f>Jan!CS8</f>
        <v>6563.2999999999092</v>
      </c>
      <c r="V7" s="126">
        <f>SUM(O7:U7)</f>
        <v>36212.900000000183</v>
      </c>
      <c r="W7" s="126">
        <f>Jan!CW8</f>
        <v>11600</v>
      </c>
      <c r="X7" s="126">
        <f>Jan!DA8</f>
        <v>9471</v>
      </c>
      <c r="Y7" s="126">
        <f t="shared" ref="Y7:Y36" si="1">W7+X7</f>
        <v>21071</v>
      </c>
      <c r="Z7" s="42">
        <f>Jan!BR8</f>
        <v>340.00000000003183</v>
      </c>
      <c r="AA7" s="126">
        <f>Jan!BG8</f>
        <v>2099.9999999999091</v>
      </c>
      <c r="AB7" s="126">
        <f>Jan!BJ8</f>
        <v>9300.0000000001819</v>
      </c>
      <c r="AC7" s="126">
        <f>Jan!BL8+Jan!BN8</f>
        <v>6410.0000000000182</v>
      </c>
      <c r="AD7" s="126">
        <f>Jan!DR8</f>
        <v>0</v>
      </c>
      <c r="AE7" s="127">
        <f>Jan!DT8</f>
        <v>0</v>
      </c>
      <c r="AF7" s="127">
        <f>Jan!DR48+Jan!DT48</f>
        <v>3135</v>
      </c>
      <c r="AG7" s="127">
        <f>Jan!HE8</f>
        <v>2660.3529714285614</v>
      </c>
      <c r="AH7" s="127">
        <f>Jan!DW8</f>
        <v>4100.0000000003638</v>
      </c>
      <c r="AI7" s="127">
        <f>Jan!DZ8</f>
        <v>7463.3</v>
      </c>
      <c r="AJ7" s="127">
        <f>Jan!EC8</f>
        <v>26623.3</v>
      </c>
      <c r="AK7" s="127">
        <f>SUM(AH7:AJ7)</f>
        <v>38186.600000000362</v>
      </c>
      <c r="AL7" s="127">
        <f>Jan!EG8</f>
        <v>36623.300000000003</v>
      </c>
      <c r="AM7" s="127">
        <f>Jan!EJ8</f>
        <v>10463.299999999999</v>
      </c>
      <c r="AN7" s="127">
        <f>Jan!EM8</f>
        <v>729.9999999999045</v>
      </c>
      <c r="AO7" s="127">
        <f>SUM(AL7:AN7)</f>
        <v>47816.599999999911</v>
      </c>
      <c r="AP7" s="127">
        <f>Jan!FX8</f>
        <v>800</v>
      </c>
      <c r="AQ7" s="127">
        <f>Jan!GA8</f>
        <v>599.99999999990905</v>
      </c>
      <c r="AR7" s="127">
        <f>Jan!GG8</f>
        <v>2500.0000000006821</v>
      </c>
      <c r="AS7" s="127">
        <f>SUM(AP7:AR7)</f>
        <v>3900.0000000005912</v>
      </c>
      <c r="AT7" s="127">
        <f>Jan!EQ8</f>
        <v>9463.2999999999993</v>
      </c>
      <c r="AU7" s="127">
        <f>Jan!ET8</f>
        <v>21599.999999999454</v>
      </c>
      <c r="AV7" s="127">
        <f>Jan!EW8</f>
        <v>8063.2999999999092</v>
      </c>
      <c r="AW7" s="127">
        <f>Jan!FL45</f>
        <v>13326.24572881391</v>
      </c>
      <c r="AX7" s="127">
        <f>Jan!GJ8</f>
        <v>1700.0000000000455</v>
      </c>
      <c r="AY7" s="127">
        <f>SUM(AT7:AX7)</f>
        <v>54152.845728813321</v>
      </c>
      <c r="AZ7" s="127">
        <f>Jan!FG8</f>
        <v>12063.3</v>
      </c>
      <c r="BA7" s="127">
        <f>Jan!FJ8</f>
        <v>22263.299999999817</v>
      </c>
      <c r="BB7" s="127">
        <f>Jan!FM45</f>
        <v>12200.35427118609</v>
      </c>
      <c r="BC7" s="127">
        <f>Jan!GM8</f>
        <v>1500</v>
      </c>
      <c r="BD7" s="127">
        <f>SUM(AZ7:BC7)</f>
        <v>48026.95427118591</v>
      </c>
      <c r="BE7" s="127">
        <f>Y7</f>
        <v>21071</v>
      </c>
      <c r="BF7" s="127"/>
      <c r="BG7" s="127"/>
      <c r="BH7" s="127"/>
      <c r="BI7" s="128">
        <f>AS7</f>
        <v>3900.0000000005912</v>
      </c>
      <c r="BJ7" s="128"/>
      <c r="BK7" s="128"/>
      <c r="BL7" s="128"/>
      <c r="BM7" s="128"/>
      <c r="BN7" s="128"/>
      <c r="BO7" s="128">
        <f>(Jan!GP8+Jan!GS8)*50/100</f>
        <v>2315</v>
      </c>
      <c r="BP7" s="128"/>
      <c r="BQ7" s="128">
        <f>(Jan!GP8+Jan!GS8)*50/100</f>
        <v>2315</v>
      </c>
      <c r="BR7" s="42">
        <f>Jan!D46</f>
        <v>0</v>
      </c>
      <c r="BS7" s="42">
        <f>Jan!G46</f>
        <v>94000</v>
      </c>
      <c r="BX7" s="3"/>
      <c r="BZ7" s="3"/>
    </row>
    <row r="8" spans="1:78" x14ac:dyDescent="0.25">
      <c r="A8" s="26">
        <f>A7+1</f>
        <v>2</v>
      </c>
      <c r="B8" s="42">
        <f>Jan!G9</f>
        <v>241599.99999999491</v>
      </c>
      <c r="C8" s="42">
        <f>Jan!N9</f>
        <v>240000</v>
      </c>
      <c r="D8" s="42">
        <f>Jan!T9</f>
        <v>0</v>
      </c>
      <c r="E8" s="42">
        <f>Jan!V9</f>
        <v>0</v>
      </c>
      <c r="F8" s="42">
        <f>Jan!AB9</f>
        <v>4880</v>
      </c>
      <c r="G8" s="42">
        <f>Jan!X9</f>
        <v>7819.9999999989086</v>
      </c>
      <c r="H8" s="42">
        <f>Jan!AE9</f>
        <v>6500</v>
      </c>
      <c r="I8" s="42">
        <f>Jan!AI9</f>
        <v>15042.700000000183</v>
      </c>
      <c r="J8" s="42">
        <f>Jan!AN9</f>
        <v>4772.7000000007874</v>
      </c>
      <c r="K8" s="42">
        <f>Jan!AR9</f>
        <v>8700.0000000007276</v>
      </c>
      <c r="L8" s="42">
        <f>Jan!AZ9</f>
        <v>116.03999999997905</v>
      </c>
      <c r="M8" s="42">
        <f>Jan!BC9</f>
        <v>109.08000000000175</v>
      </c>
      <c r="N8" s="125">
        <f t="shared" ref="N8:N15" si="2">SUM(D8:M8)</f>
        <v>47940.520000000593</v>
      </c>
      <c r="O8" s="125">
        <f>Jan!CA9</f>
        <v>730.00000000001819</v>
      </c>
      <c r="P8" s="125">
        <f>Jan!CD9</f>
        <v>3810</v>
      </c>
      <c r="Q8" s="125">
        <f>Jan!CF9</f>
        <v>0</v>
      </c>
      <c r="R8" s="125">
        <f>Jan!CH9</f>
        <v>0</v>
      </c>
      <c r="S8" s="125">
        <f>Jan!CK9</f>
        <v>16512.699999999983</v>
      </c>
      <c r="T8" s="125">
        <f>Jan!CO9</f>
        <v>6542.699999999727</v>
      </c>
      <c r="U8" s="125">
        <f>Jan!CS9</f>
        <v>6342.6999999999089</v>
      </c>
      <c r="V8" s="126">
        <f t="shared" ref="V8:V15" si="3">SUM(O8:U8)</f>
        <v>33938.099999999635</v>
      </c>
      <c r="W8" s="126">
        <f>Jan!CW9</f>
        <v>12000</v>
      </c>
      <c r="X8" s="126">
        <f>Jan!DA9</f>
        <v>10169</v>
      </c>
      <c r="Y8" s="126">
        <f t="shared" si="1"/>
        <v>22169</v>
      </c>
      <c r="Z8" s="42">
        <f>Jan!BR9</f>
        <v>759.99999999999091</v>
      </c>
      <c r="AA8" s="126">
        <f>Jan!BG9</f>
        <v>1900.0000000000909</v>
      </c>
      <c r="AB8" s="126">
        <f>Jan!BJ9</f>
        <v>9400.0000000005457</v>
      </c>
      <c r="AC8" s="126">
        <f>Jan!BL9+Jan!BN9</f>
        <v>5909.99999999995</v>
      </c>
      <c r="AD8" s="126">
        <f>Jan!DR9</f>
        <v>10400</v>
      </c>
      <c r="AE8" s="127">
        <f>Jan!DT9-Jan!DR49-Jan!DT49</f>
        <v>12565</v>
      </c>
      <c r="AF8" s="127">
        <f>Jan!DR49+Jan!DT49</f>
        <v>3135</v>
      </c>
      <c r="AG8" s="127">
        <f>Jan!HE9</f>
        <v>2660.3529714285614</v>
      </c>
      <c r="AH8" s="127">
        <f>Jan!DW9</f>
        <v>3899.9999999996362</v>
      </c>
      <c r="AI8" s="127">
        <f>Jan!DZ9</f>
        <v>7242.7</v>
      </c>
      <c r="AJ8" s="127">
        <f>Jan!EC9</f>
        <v>25402.7</v>
      </c>
      <c r="AK8" s="127">
        <f t="shared" ref="AK8:AK37" si="4">SUM(AH8:AJ8)</f>
        <v>36545.399999999638</v>
      </c>
      <c r="AL8" s="127">
        <f>Jan!EG9</f>
        <v>36402.699999999997</v>
      </c>
      <c r="AM8" s="127">
        <f>Jan!EJ9</f>
        <v>10242.700000000001</v>
      </c>
      <c r="AN8" s="127">
        <f>Jan!EM9</f>
        <v>740.00000000000909</v>
      </c>
      <c r="AO8" s="127">
        <f t="shared" ref="AO8:AO28" si="5">SUM(AL8:AN8)</f>
        <v>47385.4</v>
      </c>
      <c r="AP8" s="127">
        <f>Jan!FX9</f>
        <v>800</v>
      </c>
      <c r="AQ8" s="127">
        <f>Jan!GA9</f>
        <v>500</v>
      </c>
      <c r="AR8" s="127">
        <f>Jan!GG9</f>
        <v>1999.9999999984084</v>
      </c>
      <c r="AS8" s="127">
        <f t="shared" ref="AS8:AS37" si="6">SUM(AP8:AR8)</f>
        <v>3299.9999999984084</v>
      </c>
      <c r="AT8" s="127">
        <f>Jan!EQ9</f>
        <v>9242.7000000000007</v>
      </c>
      <c r="AU8" s="127">
        <f>Jan!ET9</f>
        <v>15000</v>
      </c>
      <c r="AV8" s="127">
        <f>Jan!EW9</f>
        <v>7942.7000000002727</v>
      </c>
      <c r="AW8" s="127">
        <f>Jan!FL46</f>
        <v>11473.598694178381</v>
      </c>
      <c r="AX8" s="127">
        <f>Jan!GJ9</f>
        <v>1700.0000000000455</v>
      </c>
      <c r="AY8" s="127">
        <f t="shared" ref="AY8:AY37" si="7">SUM(AT8:AX8)</f>
        <v>45358.998694178699</v>
      </c>
      <c r="AZ8" s="127">
        <f>Jan!FG9</f>
        <v>10176.030000000001</v>
      </c>
      <c r="BA8" s="127">
        <f>Jan!FJ9</f>
        <v>20676.030000000002</v>
      </c>
      <c r="BB8" s="127">
        <f>Jan!FM46</f>
        <v>10945.131305821624</v>
      </c>
      <c r="BC8" s="127">
        <f>Jan!GM9</f>
        <v>1400.0000000000909</v>
      </c>
      <c r="BD8" s="127">
        <f t="shared" ref="BD8:BD37" si="8">SUM(AZ8:BC8)</f>
        <v>43197.191305821718</v>
      </c>
      <c r="BE8" s="127">
        <f>Y8</f>
        <v>22169</v>
      </c>
      <c r="BF8" s="127"/>
      <c r="BG8" s="127"/>
      <c r="BH8" s="127"/>
      <c r="BI8" s="128">
        <f t="shared" ref="BI8:BI9" si="9">AS8</f>
        <v>3299.9999999984084</v>
      </c>
      <c r="BJ8" s="128"/>
      <c r="BK8" s="128"/>
      <c r="BL8" s="128"/>
      <c r="BM8" s="128"/>
      <c r="BN8" s="128"/>
      <c r="BO8" s="128">
        <f>(Jan!GP9+Jan!GS9)*50/100</f>
        <v>1950</v>
      </c>
      <c r="BP8" s="128"/>
      <c r="BQ8" s="128">
        <f>(Jan!GP9+Jan!GS9)*50/100</f>
        <v>1950</v>
      </c>
      <c r="BR8" s="42">
        <f>Jan!D47</f>
        <v>0</v>
      </c>
      <c r="BS8" s="42">
        <f>Jan!G47</f>
        <v>92000</v>
      </c>
      <c r="BX8" s="3"/>
      <c r="BZ8" s="3"/>
    </row>
    <row r="9" spans="1:78" x14ac:dyDescent="0.25">
      <c r="A9" s="26">
        <f t="shared" ref="A9:A37" si="10">A8+1</f>
        <v>3</v>
      </c>
      <c r="B9" s="42">
        <f>Jan!G10</f>
        <v>213759.99999999476</v>
      </c>
      <c r="C9" s="42">
        <f>Jan!N10</f>
        <v>212000</v>
      </c>
      <c r="D9" s="42">
        <f>Jan!T10</f>
        <v>0</v>
      </c>
      <c r="E9" s="42">
        <f>Jan!V10</f>
        <v>0</v>
      </c>
      <c r="F9" s="42">
        <f>Jan!AB10</f>
        <v>5210</v>
      </c>
      <c r="G9" s="42">
        <f>Jan!X10</f>
        <v>7990.0000000007276</v>
      </c>
      <c r="H9" s="42">
        <f>Jan!AE10</f>
        <v>7199.9999999998181</v>
      </c>
      <c r="I9" s="42">
        <f>Jan!AI10</f>
        <v>15475.810000000363</v>
      </c>
      <c r="J9" s="42">
        <f>Jan!AN10</f>
        <v>4025.8099999992673</v>
      </c>
      <c r="K9" s="42">
        <f>Jan!AR10</f>
        <v>10000</v>
      </c>
      <c r="L9" s="42">
        <f>Jan!AZ10</f>
        <v>263.32000000000698</v>
      </c>
      <c r="M9" s="42">
        <f>Jan!BC10</f>
        <v>204.18399999999383</v>
      </c>
      <c r="N9" s="125">
        <f t="shared" si="2"/>
        <v>50369.124000000178</v>
      </c>
      <c r="O9" s="125">
        <f>Jan!CA10</f>
        <v>629.99999999999545</v>
      </c>
      <c r="P9" s="125">
        <f>Jan!CD10</f>
        <v>420</v>
      </c>
      <c r="Q9" s="125">
        <f>Jan!CF10</f>
        <v>0</v>
      </c>
      <c r="R9" s="125">
        <f>Jan!CH10</f>
        <v>0</v>
      </c>
      <c r="S9" s="125">
        <f>Jan!CK10</f>
        <v>14745.810000000005</v>
      </c>
      <c r="T9" s="125">
        <f>Jan!CO10</f>
        <v>4575.8100000002723</v>
      </c>
      <c r="U9" s="125">
        <f>Jan!CS10</f>
        <v>4775.8100000000904</v>
      </c>
      <c r="V9" s="126">
        <f t="shared" si="3"/>
        <v>25147.430000000364</v>
      </c>
      <c r="W9" s="126">
        <f>Jan!CW10</f>
        <v>14100</v>
      </c>
      <c r="X9" s="126">
        <f>Jan!DA10</f>
        <v>10880</v>
      </c>
      <c r="Y9" s="126">
        <f t="shared" si="1"/>
        <v>24980</v>
      </c>
      <c r="Z9" s="42">
        <f>Jan!BR10</f>
        <v>689.99999999994088</v>
      </c>
      <c r="AA9" s="126">
        <f>Jan!BG10</f>
        <v>1899.9999999998636</v>
      </c>
      <c r="AB9" s="126">
        <f>Jan!BJ10</f>
        <v>9199.9999999998181</v>
      </c>
      <c r="AC9" s="126">
        <f>Jan!BL10+Jan!BN10</f>
        <v>5960.0000000000637</v>
      </c>
      <c r="AD9" s="126">
        <f>Jan!DR10</f>
        <v>10400</v>
      </c>
      <c r="AE9" s="127">
        <f>Jan!DT10-Jan!DR50-Jan!DT50</f>
        <v>12165</v>
      </c>
      <c r="AF9" s="127">
        <f>Jan!DR50+Jan!DT50</f>
        <v>3135</v>
      </c>
      <c r="AG9" s="127">
        <f>Jan!HE10</f>
        <v>2660.3529714285614</v>
      </c>
      <c r="AH9" s="127">
        <f>Jan!DW10</f>
        <v>4300.0000000001819</v>
      </c>
      <c r="AI9" s="127">
        <f>Jan!DZ10</f>
        <v>7375.8099999999995</v>
      </c>
      <c r="AJ9" s="127">
        <f>Jan!EC10</f>
        <v>26535.81</v>
      </c>
      <c r="AK9" s="127">
        <f t="shared" si="4"/>
        <v>38211.620000000185</v>
      </c>
      <c r="AL9" s="127">
        <f>Jan!EG10</f>
        <v>36535.81</v>
      </c>
      <c r="AM9" s="127">
        <f>Jan!EJ10</f>
        <v>9375.81</v>
      </c>
      <c r="AN9" s="127">
        <f>Jan!EM10</f>
        <v>750</v>
      </c>
      <c r="AO9" s="127">
        <f t="shared" si="5"/>
        <v>46661.619999999995</v>
      </c>
      <c r="AP9" s="127">
        <f>Jan!FX10</f>
        <v>700</v>
      </c>
      <c r="AQ9" s="127">
        <f>Jan!GA10</f>
        <v>599.99999999990905</v>
      </c>
      <c r="AR9" s="127">
        <f>Jan!GG10</f>
        <v>1600.0000000015007</v>
      </c>
      <c r="AS9" s="127">
        <f t="shared" si="6"/>
        <v>2900.0000000014097</v>
      </c>
      <c r="AT9" s="127">
        <f>Jan!EQ10</f>
        <v>8375.81</v>
      </c>
      <c r="AU9" s="127">
        <f>Jan!ET10</f>
        <v>11500</v>
      </c>
      <c r="AV9" s="127">
        <f>Jan!EW10</f>
        <v>8675.8099999997266</v>
      </c>
      <c r="AW9" s="127">
        <f>Jan!FL47</f>
        <v>13714.780264705882</v>
      </c>
      <c r="AX9" s="127">
        <f>Jan!GJ10</f>
        <v>2099.9999999999091</v>
      </c>
      <c r="AY9" s="127">
        <f t="shared" si="7"/>
        <v>44366.400264705517</v>
      </c>
      <c r="AZ9" s="127">
        <f>Jan!FG10</f>
        <v>5809.1399999999994</v>
      </c>
      <c r="BA9" s="127">
        <f>Jan!FJ10</f>
        <v>8209.1399999996356</v>
      </c>
      <c r="BB9" s="127">
        <f>Jan!FM47</f>
        <v>4470.1697352941164</v>
      </c>
      <c r="BC9" s="127">
        <f>Jan!GM10</f>
        <v>700.00000000004547</v>
      </c>
      <c r="BD9" s="127">
        <f t="shared" si="8"/>
        <v>19188.449735293798</v>
      </c>
      <c r="BE9" s="127">
        <f t="shared" ref="BE9:BE37" si="11">Y9</f>
        <v>24980</v>
      </c>
      <c r="BF9" s="127"/>
      <c r="BG9" s="127"/>
      <c r="BH9" s="127"/>
      <c r="BI9" s="128">
        <f t="shared" si="9"/>
        <v>2900.0000000014097</v>
      </c>
      <c r="BJ9" s="128"/>
      <c r="BK9" s="128"/>
      <c r="BL9" s="128"/>
      <c r="BM9" s="128"/>
      <c r="BN9" s="128"/>
      <c r="BO9" s="128">
        <f>(Jan!GP10+Jan!GS10)</f>
        <v>3690</v>
      </c>
      <c r="BP9" s="128"/>
      <c r="BQ9" s="128"/>
      <c r="BR9" s="42">
        <f>Jan!D48</f>
        <v>0</v>
      </c>
      <c r="BS9" s="42">
        <f>Jan!G48</f>
        <v>91000</v>
      </c>
      <c r="BX9" s="3"/>
      <c r="BZ9" s="3"/>
    </row>
    <row r="10" spans="1:78" x14ac:dyDescent="0.25">
      <c r="A10" s="26">
        <f t="shared" si="10"/>
        <v>4</v>
      </c>
      <c r="B10" s="42">
        <f>Jan!G11</f>
        <v>226880.00000000466</v>
      </c>
      <c r="C10" s="42">
        <f>Jan!N11</f>
        <v>226000</v>
      </c>
      <c r="D10" s="42">
        <f>Jan!T11</f>
        <v>0</v>
      </c>
      <c r="E10" s="42">
        <f>Jan!V11</f>
        <v>0</v>
      </c>
      <c r="F10" s="42">
        <f>Jan!AB11</f>
        <v>2110</v>
      </c>
      <c r="G10" s="42">
        <f>Jan!X11</f>
        <v>3789.9999999996362</v>
      </c>
      <c r="H10" s="42">
        <f>Jan!AE11</f>
        <v>2500</v>
      </c>
      <c r="I10" s="42">
        <f>Jan!AI11</f>
        <v>5909.5899999992725</v>
      </c>
      <c r="J10" s="42">
        <f>Jan!AN11</f>
        <v>3329.5900000007277</v>
      </c>
      <c r="K10" s="42">
        <f>Jan!AR11</f>
        <v>4599.9999999994543</v>
      </c>
      <c r="L10" s="42">
        <f>Jan!AZ11</f>
        <v>183.27999999996973</v>
      </c>
      <c r="M10" s="42">
        <f>Jan!BC11</f>
        <v>227.54400000000896</v>
      </c>
      <c r="N10" s="125">
        <f t="shared" si="2"/>
        <v>22650.003999999069</v>
      </c>
      <c r="O10" s="125">
        <f>Jan!CA11</f>
        <v>689.99999999999773</v>
      </c>
      <c r="P10" s="125">
        <f>Jan!CD11</f>
        <v>0</v>
      </c>
      <c r="Q10" s="125">
        <f>Jan!CF11</f>
        <v>0</v>
      </c>
      <c r="R10" s="125">
        <f>Jan!CH11</f>
        <v>0</v>
      </c>
      <c r="S10" s="125">
        <f>Jan!CK11</f>
        <v>15919.590000000002</v>
      </c>
      <c r="T10" s="125">
        <f>Jan!CO11</f>
        <v>6709.5899999999092</v>
      </c>
      <c r="U10" s="125">
        <f>Jan!CS11</f>
        <v>6409.590000000182</v>
      </c>
      <c r="V10" s="126">
        <f t="shared" si="3"/>
        <v>29728.770000000091</v>
      </c>
      <c r="W10" s="126">
        <f>Jan!CW11</f>
        <v>16400</v>
      </c>
      <c r="X10" s="126">
        <f>Jan!DA11</f>
        <v>11890</v>
      </c>
      <c r="Y10" s="126">
        <f t="shared" si="1"/>
        <v>28290</v>
      </c>
      <c r="Z10" s="42">
        <f>Jan!BR11</f>
        <v>529.99999999997272</v>
      </c>
      <c r="AA10" s="126">
        <f>Jan!BG11</f>
        <v>1900.0000000000909</v>
      </c>
      <c r="AB10" s="126">
        <f>Jan!BJ11</f>
        <v>9399.9999999996362</v>
      </c>
      <c r="AC10" s="126">
        <f>Jan!BL11+Jan!BN11</f>
        <v>5950.0000000000273</v>
      </c>
      <c r="AD10" s="126">
        <f>Jan!DR11</f>
        <v>10200</v>
      </c>
      <c r="AE10" s="127">
        <f>Jan!DT11-Jan!DR51-Jan!DT51</f>
        <v>12865</v>
      </c>
      <c r="AF10" s="127">
        <f>Jan!DR51+Jan!DT51</f>
        <v>3135</v>
      </c>
      <c r="AG10" s="127">
        <f>Jan!HE11</f>
        <v>2660.3529714285614</v>
      </c>
      <c r="AH10" s="127">
        <f>Jan!DW11</f>
        <v>4300.0000000001819</v>
      </c>
      <c r="AI10" s="127">
        <f>Jan!DZ11</f>
        <v>7609.59</v>
      </c>
      <c r="AJ10" s="127">
        <f>Jan!EC11</f>
        <v>24769.59</v>
      </c>
      <c r="AK10" s="127">
        <f t="shared" si="4"/>
        <v>36679.180000000182</v>
      </c>
      <c r="AL10" s="127">
        <f>Jan!EG11</f>
        <v>33769.589999999997</v>
      </c>
      <c r="AM10" s="127">
        <f>Jan!EJ11</f>
        <v>11609.59</v>
      </c>
      <c r="AN10" s="127">
        <f>Jan!EM11</f>
        <v>670.00000000007276</v>
      </c>
      <c r="AO10" s="127">
        <f t="shared" si="5"/>
        <v>46049.180000000066</v>
      </c>
      <c r="AP10" s="127">
        <f>Jan!FX11</f>
        <v>7600</v>
      </c>
      <c r="AQ10" s="127">
        <f>Jan!GA11</f>
        <v>1099.9999999999091</v>
      </c>
      <c r="AR10" s="127">
        <f>Jan!GG11</f>
        <v>5299.9999999992724</v>
      </c>
      <c r="AS10" s="127">
        <f t="shared" si="6"/>
        <v>13999.999999999181</v>
      </c>
      <c r="AT10" s="127">
        <f>Jan!EQ11</f>
        <v>9609.59</v>
      </c>
      <c r="AU10" s="127">
        <f>Jan!ET11</f>
        <v>17900.000000000546</v>
      </c>
      <c r="AV10" s="127">
        <f>Jan!EW11</f>
        <v>9309.590000000273</v>
      </c>
      <c r="AW10" s="127">
        <f>Jan!FL48</f>
        <v>13376.04325079209</v>
      </c>
      <c r="AX10" s="127">
        <f>Jan!GJ11</f>
        <v>1800.0000000001819</v>
      </c>
      <c r="AY10" s="127">
        <f t="shared" si="7"/>
        <v>51995.223250793097</v>
      </c>
      <c r="AZ10" s="127">
        <f>Jan!FG11</f>
        <v>7542.92</v>
      </c>
      <c r="BA10" s="127">
        <f>Jan!FJ11</f>
        <v>16742.920000000726</v>
      </c>
      <c r="BB10" s="127">
        <f>Jan!FM48</f>
        <v>10776.466749207913</v>
      </c>
      <c r="BC10" s="127">
        <f>Jan!GM11</f>
        <v>1199.9999999998181</v>
      </c>
      <c r="BD10" s="127">
        <f t="shared" si="8"/>
        <v>36262.306749208459</v>
      </c>
      <c r="BE10" s="127">
        <f t="shared" si="11"/>
        <v>28290</v>
      </c>
      <c r="BF10" s="127"/>
      <c r="BG10" s="127"/>
      <c r="BH10" s="127"/>
      <c r="BI10" s="128"/>
      <c r="BJ10" s="128">
        <f>AS10</f>
        <v>13999.999999999181</v>
      </c>
      <c r="BK10" s="128"/>
      <c r="BL10" s="128"/>
      <c r="BM10" s="128"/>
      <c r="BN10" s="128"/>
      <c r="BO10" s="128"/>
      <c r="BP10" s="128"/>
      <c r="BQ10" s="128">
        <f>(Jan!GP11+Jan!GS11)</f>
        <v>4450</v>
      </c>
      <c r="BR10" s="42">
        <f>Jan!D49</f>
        <v>0</v>
      </c>
      <c r="BS10" s="42">
        <f>Jan!G49</f>
        <v>93000</v>
      </c>
      <c r="BX10" s="3"/>
      <c r="BZ10" s="3"/>
    </row>
    <row r="11" spans="1:78" x14ac:dyDescent="0.25">
      <c r="A11" s="26">
        <f t="shared" si="10"/>
        <v>5</v>
      </c>
      <c r="B11" s="42">
        <f>Jan!G12</f>
        <v>259840.00000000015</v>
      </c>
      <c r="C11" s="42">
        <f>Jan!N12</f>
        <v>258000</v>
      </c>
      <c r="D11" s="42">
        <f>Jan!T12</f>
        <v>0</v>
      </c>
      <c r="E11" s="42">
        <f>Jan!V12</f>
        <v>0</v>
      </c>
      <c r="F11" s="42">
        <f>Jan!AB12</f>
        <v>5000</v>
      </c>
      <c r="G11" s="42">
        <f>Jan!X12</f>
        <v>8000</v>
      </c>
      <c r="H11" s="42">
        <f>Jan!AE12</f>
        <v>7300.0000000001819</v>
      </c>
      <c r="I11" s="42">
        <f>Jan!AI12</f>
        <v>14547.62</v>
      </c>
      <c r="J11" s="42">
        <f>Jan!AN12</f>
        <v>5147.6199999992277</v>
      </c>
      <c r="K11" s="42">
        <f>Jan!AR12</f>
        <v>10100.000000000364</v>
      </c>
      <c r="L11" s="42">
        <f>Jan!AZ12</f>
        <v>406.28000000002794</v>
      </c>
      <c r="M11" s="42">
        <f>Jan!BC12</f>
        <v>554.14400000000023</v>
      </c>
      <c r="N11" s="125">
        <f t="shared" si="2"/>
        <v>51055.663999999801</v>
      </c>
      <c r="O11" s="125">
        <f>Jan!CA12</f>
        <v>680.00000000000682</v>
      </c>
      <c r="P11" s="125">
        <f>Jan!CD12</f>
        <v>1680</v>
      </c>
      <c r="Q11" s="125">
        <f>Jan!CF12</f>
        <v>0</v>
      </c>
      <c r="R11" s="125">
        <f>Jan!CH12</f>
        <v>0</v>
      </c>
      <c r="S11" s="125">
        <f>Jan!CK12</f>
        <v>16367.619999999992</v>
      </c>
      <c r="T11" s="125">
        <f>Jan!CO12</f>
        <v>7947.6200000000908</v>
      </c>
      <c r="U11" s="125">
        <f>Jan!CS12</f>
        <v>6147.6199999999089</v>
      </c>
      <c r="V11" s="126">
        <f t="shared" si="3"/>
        <v>32822.86</v>
      </c>
      <c r="W11" s="126">
        <f>Jan!CW12</f>
        <v>13100</v>
      </c>
      <c r="X11" s="126">
        <f>Jan!DA12</f>
        <v>9830</v>
      </c>
      <c r="Y11" s="126">
        <f t="shared" si="1"/>
        <v>22930</v>
      </c>
      <c r="Z11" s="42">
        <f>Jan!BR12</f>
        <v>260.00000000010459</v>
      </c>
      <c r="AA11" s="126">
        <f>Jan!BG12</f>
        <v>1599.9999999999091</v>
      </c>
      <c r="AB11" s="126">
        <f>Jan!BJ12</f>
        <v>9400.0000000005457</v>
      </c>
      <c r="AC11" s="126">
        <f>Jan!BL12+Jan!BN12</f>
        <v>5939.9999999999409</v>
      </c>
      <c r="AD11" s="126">
        <f>Jan!DR12</f>
        <v>9900</v>
      </c>
      <c r="AE11" s="127">
        <f>Jan!DT12-Jan!DR52-Jan!DT52</f>
        <v>13665</v>
      </c>
      <c r="AF11" s="127">
        <f>Jan!DR52+Jan!DT52</f>
        <v>3135</v>
      </c>
      <c r="AG11" s="127">
        <f>Jan!HE12</f>
        <v>2660.3529714285614</v>
      </c>
      <c r="AH11" s="127">
        <f>Jan!DW12</f>
        <v>4000</v>
      </c>
      <c r="AI11" s="127">
        <f>Jan!DZ12</f>
        <v>7047.62</v>
      </c>
      <c r="AJ11" s="127">
        <f>Jan!EC12</f>
        <v>26207.62</v>
      </c>
      <c r="AK11" s="127">
        <f t="shared" si="4"/>
        <v>37255.24</v>
      </c>
      <c r="AL11" s="127">
        <f>Jan!EG12</f>
        <v>37207.620000000003</v>
      </c>
      <c r="AM11" s="127">
        <f>Jan!EJ12</f>
        <v>13047.62</v>
      </c>
      <c r="AN11" s="127">
        <f>Jan!EM12</f>
        <v>659.99999999996817</v>
      </c>
      <c r="AO11" s="127">
        <f t="shared" si="5"/>
        <v>50915.239999999976</v>
      </c>
      <c r="AP11" s="127">
        <f>Jan!FX12</f>
        <v>8900</v>
      </c>
      <c r="AQ11" s="127">
        <f>Jan!GA12</f>
        <v>930.0000000001819</v>
      </c>
      <c r="AR11" s="127">
        <f>Jan!GG12</f>
        <v>4600.0000000001364</v>
      </c>
      <c r="AS11" s="127">
        <f t="shared" si="6"/>
        <v>14430.000000000318</v>
      </c>
      <c r="AT11" s="127">
        <f>Jan!EQ12</f>
        <v>9047.6200000000008</v>
      </c>
      <c r="AU11" s="127">
        <f>Jan!ET12</f>
        <v>19599.999999999454</v>
      </c>
      <c r="AV11" s="127">
        <f>Jan!EW12</f>
        <v>9147.6199999999099</v>
      </c>
      <c r="AW11" s="127">
        <f>Jan!FL49</f>
        <v>12978.040424649545</v>
      </c>
      <c r="AX11" s="127">
        <f>Jan!GJ12</f>
        <v>1699.9999999998181</v>
      </c>
      <c r="AY11" s="127">
        <f t="shared" si="7"/>
        <v>52473.280424648729</v>
      </c>
      <c r="AZ11" s="127">
        <f>Jan!FG12</f>
        <v>7280.95</v>
      </c>
      <c r="BA11" s="127">
        <f>Jan!FJ12</f>
        <v>19780.95</v>
      </c>
      <c r="BB11" s="127">
        <f>Jan!FM49</f>
        <v>12350.529575350456</v>
      </c>
      <c r="BC11" s="127">
        <f>Jan!GM12</f>
        <v>1200.0000000000455</v>
      </c>
      <c r="BD11" s="127">
        <f t="shared" si="8"/>
        <v>40612.429575350499</v>
      </c>
      <c r="BE11" s="127">
        <f t="shared" si="11"/>
        <v>22930</v>
      </c>
      <c r="BF11" s="127"/>
      <c r="BG11" s="127"/>
      <c r="BH11" s="127"/>
      <c r="BI11" s="128"/>
      <c r="BJ11" s="128">
        <f>AS11</f>
        <v>14430.000000000318</v>
      </c>
      <c r="BK11" s="128"/>
      <c r="BL11" s="128"/>
      <c r="BM11" s="128"/>
      <c r="BN11" s="128"/>
      <c r="BO11" s="128"/>
      <c r="BP11" s="128"/>
      <c r="BQ11" s="128">
        <f>(Jan!GP12+Jan!GS12)</f>
        <v>2650</v>
      </c>
      <c r="BR11" s="42">
        <f>Jan!D50</f>
        <v>0</v>
      </c>
      <c r="BS11" s="42">
        <f>Jan!G50</f>
        <v>95000</v>
      </c>
      <c r="BZ11" s="3"/>
    </row>
    <row r="12" spans="1:78" x14ac:dyDescent="0.25">
      <c r="A12" s="26">
        <f t="shared" si="10"/>
        <v>6</v>
      </c>
      <c r="B12" s="42">
        <f>Jan!G13</f>
        <v>269759.99999999115</v>
      </c>
      <c r="C12" s="42">
        <f>Jan!N13</f>
        <v>268000</v>
      </c>
      <c r="D12" s="42">
        <f>Jan!T13</f>
        <v>0</v>
      </c>
      <c r="E12" s="42">
        <f>Jan!V13</f>
        <v>0</v>
      </c>
      <c r="F12" s="42">
        <f>Jan!AB13</f>
        <v>4680</v>
      </c>
      <c r="G12" s="42">
        <f>Jan!X13</f>
        <v>8020.0000000007276</v>
      </c>
      <c r="H12" s="42">
        <f>Jan!AE13</f>
        <v>5399.9999999996362</v>
      </c>
      <c r="I12" s="42">
        <f>Jan!AI13</f>
        <v>13436.37</v>
      </c>
      <c r="J12" s="42">
        <f>Jan!AN13</f>
        <v>6956.3700000007102</v>
      </c>
      <c r="K12" s="42">
        <f>Jan!AR13</f>
        <v>13399.999999999636</v>
      </c>
      <c r="L12" s="42">
        <f>Jan!AZ13</f>
        <v>396.03999999997905</v>
      </c>
      <c r="M12" s="42">
        <f>Jan!BC13</f>
        <v>703.11999999999534</v>
      </c>
      <c r="N12" s="125">
        <f t="shared" si="2"/>
        <v>52991.900000000685</v>
      </c>
      <c r="O12" s="125">
        <f>Jan!CA13</f>
        <v>719.99999999999886</v>
      </c>
      <c r="P12" s="125">
        <f>Jan!CD13</f>
        <v>390</v>
      </c>
      <c r="Q12" s="125">
        <f>Jan!CF13</f>
        <v>0</v>
      </c>
      <c r="R12" s="125">
        <f>Jan!CH13</f>
        <v>0</v>
      </c>
      <c r="S12" s="125">
        <f>Jan!CK13</f>
        <v>14716.370000000003</v>
      </c>
      <c r="T12" s="125">
        <f>Jan!CO13</f>
        <v>7836.3699999996361</v>
      </c>
      <c r="U12" s="125">
        <f>Jan!CS13</f>
        <v>5936.37</v>
      </c>
      <c r="V12" s="126">
        <f t="shared" si="3"/>
        <v>29599.109999999637</v>
      </c>
      <c r="W12" s="126">
        <f>Jan!CW13</f>
        <v>17500</v>
      </c>
      <c r="X12" s="126">
        <f>Jan!DA13</f>
        <v>11090</v>
      </c>
      <c r="Y12" s="126">
        <f t="shared" si="1"/>
        <v>28590</v>
      </c>
      <c r="Z12" s="42">
        <f>Jan!BR13</f>
        <v>759.99999999999091</v>
      </c>
      <c r="AA12" s="126">
        <f>Jan!BG13</f>
        <v>1900.0000000000909</v>
      </c>
      <c r="AB12" s="126">
        <f>Jan!BJ13</f>
        <v>9299.9999999992724</v>
      </c>
      <c r="AC12" s="126">
        <f>Jan!BL13+Jan!BN13</f>
        <v>5920.0000000000273</v>
      </c>
      <c r="AD12" s="126">
        <f>Jan!DR13</f>
        <v>11600</v>
      </c>
      <c r="AE12" s="127">
        <f>Jan!DT13-Jan!DR53-Jan!DT53</f>
        <v>13265</v>
      </c>
      <c r="AF12" s="127">
        <f>Jan!DR53+Jan!DT53</f>
        <v>3135</v>
      </c>
      <c r="AG12" s="127">
        <f>Jan!HE13</f>
        <v>2660.3529714285614</v>
      </c>
      <c r="AH12" s="127">
        <f>Jan!DW13</f>
        <v>4199.9999999998181</v>
      </c>
      <c r="AI12" s="127">
        <f>Jan!DZ13</f>
        <v>7436.37</v>
      </c>
      <c r="AJ12" s="127">
        <f>Jan!EC13</f>
        <v>25596.37</v>
      </c>
      <c r="AK12" s="127">
        <f t="shared" si="4"/>
        <v>37232.739999999816</v>
      </c>
      <c r="AL12" s="127">
        <f>Jan!EG13</f>
        <v>34596.369999999995</v>
      </c>
      <c r="AM12" s="127">
        <f>Jan!EJ13</f>
        <v>12436.37</v>
      </c>
      <c r="AN12" s="127">
        <f>Jan!EM13</f>
        <v>659.99999999996817</v>
      </c>
      <c r="AO12" s="127">
        <f t="shared" si="5"/>
        <v>47692.739999999969</v>
      </c>
      <c r="AP12" s="127">
        <f>Jan!FX13</f>
        <v>17200</v>
      </c>
      <c r="AQ12" s="127">
        <f>Jan!GA13</f>
        <v>1569.9999999997272</v>
      </c>
      <c r="AR12" s="127">
        <f>Jan!GG13+(Jan!GP13+Jan!GS13)</f>
        <v>8189.9999999998636</v>
      </c>
      <c r="AS12" s="127">
        <f t="shared" si="6"/>
        <v>26959.999999999593</v>
      </c>
      <c r="AT12" s="127">
        <f>Jan!EQ13</f>
        <v>8436.3700000000008</v>
      </c>
      <c r="AU12" s="127">
        <f>Jan!ET13</f>
        <v>16800.000000000182</v>
      </c>
      <c r="AV12" s="127">
        <f>Jan!EW13</f>
        <v>9836.3700000000917</v>
      </c>
      <c r="AW12" s="127">
        <f>Jan!FL50</f>
        <v>12269.705000000002</v>
      </c>
      <c r="AX12" s="127">
        <f>Jan!GJ13</f>
        <v>1400.0000000000909</v>
      </c>
      <c r="AY12" s="127">
        <f t="shared" si="7"/>
        <v>48742.445000000371</v>
      </c>
      <c r="AZ12" s="127">
        <f>Jan!FG13</f>
        <v>8103.04</v>
      </c>
      <c r="BA12" s="127">
        <f>Jan!FJ13</f>
        <v>19703.039999999452</v>
      </c>
      <c r="BB12" s="127">
        <f>Jan!FM50</f>
        <v>12269.705000000002</v>
      </c>
      <c r="BC12" s="127">
        <f>Jan!GM13</f>
        <v>200.00000000004547</v>
      </c>
      <c r="BD12" s="127">
        <f t="shared" si="8"/>
        <v>40275.784999999494</v>
      </c>
      <c r="BE12" s="127">
        <f t="shared" si="11"/>
        <v>28590</v>
      </c>
      <c r="BF12" s="127"/>
      <c r="BG12" s="127"/>
      <c r="BH12" s="127"/>
      <c r="BI12" s="128"/>
      <c r="BJ12" s="128">
        <f>AS12*60/100</f>
        <v>16175.999999999756</v>
      </c>
      <c r="BK12" s="128"/>
      <c r="BL12" s="128">
        <f>AS12*40/100</f>
        <v>10783.999999999836</v>
      </c>
      <c r="BM12" s="128"/>
      <c r="BN12" s="128"/>
      <c r="BO12" s="128"/>
      <c r="BP12" s="128"/>
      <c r="BQ12" s="128"/>
      <c r="BR12" s="42">
        <f>Jan!D51</f>
        <v>0</v>
      </c>
      <c r="BS12" s="42">
        <f>Jan!G51</f>
        <v>94000</v>
      </c>
      <c r="BZ12" s="3"/>
    </row>
    <row r="13" spans="1:78" x14ac:dyDescent="0.25">
      <c r="A13" s="26">
        <f t="shared" si="10"/>
        <v>7</v>
      </c>
      <c r="B13" s="42">
        <f>Jan!G14</f>
        <v>279360.00000001153</v>
      </c>
      <c r="C13" s="42">
        <f>Jan!N14</f>
        <v>277000</v>
      </c>
      <c r="D13" s="42">
        <f>Jan!T14</f>
        <v>0</v>
      </c>
      <c r="E13" s="42">
        <f>Jan!V14</f>
        <v>0</v>
      </c>
      <c r="F13" s="42">
        <f>Jan!AB14</f>
        <v>4830</v>
      </c>
      <c r="G13" s="42">
        <f>Jan!X14</f>
        <v>8369.9999999989086</v>
      </c>
      <c r="H13" s="42">
        <f>Jan!AE14</f>
        <v>4900.0000000000909</v>
      </c>
      <c r="I13" s="42">
        <f>Jan!AI14</f>
        <v>11872.570000000364</v>
      </c>
      <c r="J13" s="42">
        <f>Jan!AN14</f>
        <v>6912.5699999990084</v>
      </c>
      <c r="K13" s="42">
        <f>Jan!AR14</f>
        <v>14600.000000000364</v>
      </c>
      <c r="L13" s="42">
        <f>Jan!AZ14</f>
        <v>497.28000000002794</v>
      </c>
      <c r="M13" s="42">
        <f>Jan!BC14</f>
        <v>690.87200000000303</v>
      </c>
      <c r="N13" s="125">
        <f t="shared" si="2"/>
        <v>52673.291999998764</v>
      </c>
      <c r="O13" s="125">
        <f>Jan!CA14</f>
        <v>909.99999999999659</v>
      </c>
      <c r="P13" s="125">
        <f>Jan!CD14</f>
        <v>0</v>
      </c>
      <c r="Q13" s="125">
        <f>Jan!CF14</f>
        <v>0</v>
      </c>
      <c r="R13" s="125">
        <f>Jan!CH14</f>
        <v>28</v>
      </c>
      <c r="S13" s="125">
        <f>Jan!CK14</f>
        <v>14862.570000000003</v>
      </c>
      <c r="T13" s="125">
        <f>Jan!CO14</f>
        <v>7872.5700000003635</v>
      </c>
      <c r="U13" s="125">
        <f>Jan!CS14</f>
        <v>5972.5699999998178</v>
      </c>
      <c r="V13" s="126">
        <f t="shared" si="3"/>
        <v>29645.710000000181</v>
      </c>
      <c r="W13" s="126">
        <f>Jan!CW14</f>
        <v>19700</v>
      </c>
      <c r="X13" s="126">
        <f>Jan!DA14</f>
        <v>12230</v>
      </c>
      <c r="Y13" s="126">
        <f t="shared" si="1"/>
        <v>31930</v>
      </c>
      <c r="Z13" s="42">
        <f>Jan!BR14</f>
        <v>679.99999999994998</v>
      </c>
      <c r="AA13" s="126">
        <f>Jan!BG14</f>
        <v>1899.9999999998636</v>
      </c>
      <c r="AB13" s="126">
        <f>Jan!BJ14</f>
        <v>9200.0000000007276</v>
      </c>
      <c r="AC13" s="126">
        <f>Jan!BL14+Jan!BN14</f>
        <v>5879.99999999995</v>
      </c>
      <c r="AD13" s="126">
        <f>Jan!DR14</f>
        <v>12500</v>
      </c>
      <c r="AE13" s="127">
        <f>Jan!DT14-Jan!DR54-Jan!DT54</f>
        <v>11465</v>
      </c>
      <c r="AF13" s="127">
        <f>Jan!DR54+Jan!DT54</f>
        <v>3135</v>
      </c>
      <c r="AG13" s="127">
        <f>Jan!HE14</f>
        <v>2660.3529714285614</v>
      </c>
      <c r="AH13" s="127">
        <f>Jan!DW14</f>
        <v>4199.9999999998181</v>
      </c>
      <c r="AI13" s="127">
        <f>Jan!DZ14</f>
        <v>6772.57</v>
      </c>
      <c r="AJ13" s="127">
        <f>Jan!EC14</f>
        <v>24932.57</v>
      </c>
      <c r="AK13" s="127">
        <f t="shared" si="4"/>
        <v>35905.139999999818</v>
      </c>
      <c r="AL13" s="127">
        <f>Jan!EG14</f>
        <v>31932.57</v>
      </c>
      <c r="AM13" s="127">
        <f>Jan!EJ14</f>
        <v>11772.57</v>
      </c>
      <c r="AN13" s="127">
        <f>Jan!EM14</f>
        <v>610.00000000001364</v>
      </c>
      <c r="AO13" s="127">
        <f t="shared" si="5"/>
        <v>44315.140000000014</v>
      </c>
      <c r="AP13" s="127">
        <f>Jan!FX14</f>
        <v>18400</v>
      </c>
      <c r="AQ13" s="127">
        <f>Jan!GA14</f>
        <v>1530.0000000003638</v>
      </c>
      <c r="AR13" s="127">
        <f>Jan!GG14+(Jan!GP14+Jan!GS14)</f>
        <v>10170.000000000819</v>
      </c>
      <c r="AS13" s="127">
        <f t="shared" si="6"/>
        <v>30100.000000001182</v>
      </c>
      <c r="AT13" s="127">
        <f>Jan!EQ14</f>
        <v>8772.57</v>
      </c>
      <c r="AU13" s="127">
        <f>Jan!ET14</f>
        <v>18100.000000000364</v>
      </c>
      <c r="AV13" s="127">
        <f>Jan!EW14</f>
        <v>9272.57</v>
      </c>
      <c r="AW13" s="127">
        <f>Jan!FL51</f>
        <v>13746.853616347456</v>
      </c>
      <c r="AX13" s="127">
        <f>Jan!GJ14</f>
        <v>1599.9999999999091</v>
      </c>
      <c r="AY13" s="127">
        <f t="shared" si="7"/>
        <v>51491.993616347725</v>
      </c>
      <c r="AZ13" s="127">
        <f>Jan!FG14</f>
        <v>8539.24</v>
      </c>
      <c r="BA13" s="127">
        <f>Jan!FJ14</f>
        <v>20639.240000000362</v>
      </c>
      <c r="BB13" s="127">
        <f>Jan!FM51</f>
        <v>12564.956383652541</v>
      </c>
      <c r="BC13" s="127">
        <f>Jan!GM14</f>
        <v>0</v>
      </c>
      <c r="BD13" s="127">
        <f t="shared" si="8"/>
        <v>41743.436383652901</v>
      </c>
      <c r="BE13" s="127">
        <f t="shared" si="11"/>
        <v>31930</v>
      </c>
      <c r="BF13" s="127"/>
      <c r="BG13" s="127"/>
      <c r="BH13" s="127"/>
      <c r="BI13" s="128"/>
      <c r="BJ13" s="128">
        <f>AS13*50/100</f>
        <v>15050.000000000591</v>
      </c>
      <c r="BK13" s="128"/>
      <c r="BL13" s="128">
        <f>AS13*50/100</f>
        <v>15050.000000000591</v>
      </c>
      <c r="BM13" s="128"/>
      <c r="BN13" s="128"/>
      <c r="BO13" s="128"/>
      <c r="BP13" s="128"/>
      <c r="BQ13" s="128"/>
      <c r="BR13" s="42">
        <f>Jan!D52</f>
        <v>0</v>
      </c>
      <c r="BS13" s="42">
        <f>Jan!G52</f>
        <v>89000</v>
      </c>
      <c r="BZ13" s="3"/>
    </row>
    <row r="14" spans="1:78" x14ac:dyDescent="0.25">
      <c r="A14" s="26">
        <f t="shared" si="10"/>
        <v>8</v>
      </c>
      <c r="B14" s="42">
        <f>Jan!G15</f>
        <v>280960.00000000279</v>
      </c>
      <c r="C14" s="42">
        <f>Jan!N15</f>
        <v>279000</v>
      </c>
      <c r="D14" s="42">
        <f>Jan!T15</f>
        <v>0</v>
      </c>
      <c r="E14" s="42">
        <f>Jan!V15</f>
        <v>0</v>
      </c>
      <c r="F14" s="42">
        <f>Jan!AB15</f>
        <v>4900</v>
      </c>
      <c r="G14" s="42">
        <f>Jan!X15</f>
        <v>8400.0000000010914</v>
      </c>
      <c r="H14" s="42">
        <f>Jan!AE15</f>
        <v>4700.0000000002728</v>
      </c>
      <c r="I14" s="42">
        <f>Jan!AI15</f>
        <v>11653.87</v>
      </c>
      <c r="J14" s="42">
        <f>Jan!AN15</f>
        <v>7623.8700000010285</v>
      </c>
      <c r="K14" s="42">
        <f>Jan!AR15</f>
        <v>15199.999999999818</v>
      </c>
      <c r="L14" s="42">
        <f>Jan!AZ15</f>
        <v>528.71999999997206</v>
      </c>
      <c r="M14" s="42">
        <f>Jan!BC15</f>
        <v>716.39999999999418</v>
      </c>
      <c r="N14" s="125">
        <f t="shared" si="2"/>
        <v>53722.860000002176</v>
      </c>
      <c r="O14" s="125">
        <f>Jan!CA15</f>
        <v>949.99999999998863</v>
      </c>
      <c r="P14" s="125">
        <f>Jan!CD15</f>
        <v>0</v>
      </c>
      <c r="Q14" s="125">
        <f>Jan!CF15</f>
        <v>0</v>
      </c>
      <c r="R14" s="125">
        <f>Jan!CH15</f>
        <v>428</v>
      </c>
      <c r="S14" s="125">
        <f>Jan!CK15</f>
        <v>16203.87000000001</v>
      </c>
      <c r="T14" s="125">
        <f>Jan!CO15</f>
        <v>8953.869999999728</v>
      </c>
      <c r="U14" s="125">
        <f>Jan!CS15</f>
        <v>6553.8700000000908</v>
      </c>
      <c r="V14" s="126">
        <f t="shared" si="3"/>
        <v>33089.609999999819</v>
      </c>
      <c r="W14" s="126">
        <f>Jan!CW15</f>
        <v>17600</v>
      </c>
      <c r="X14" s="126">
        <f>Jan!DA15</f>
        <v>10010</v>
      </c>
      <c r="Y14" s="126">
        <f t="shared" si="1"/>
        <v>27610</v>
      </c>
      <c r="Z14" s="42">
        <f>Jan!BR15</f>
        <v>720.00000000002728</v>
      </c>
      <c r="AA14" s="126">
        <f>Jan!BG15</f>
        <v>2200.0000000000455</v>
      </c>
      <c r="AB14" s="126">
        <f>Jan!BJ15</f>
        <v>9599.9999999994543</v>
      </c>
      <c r="AC14" s="126">
        <f>Jan!BL15+Jan!BN15</f>
        <v>6110.0000000000364</v>
      </c>
      <c r="AD14" s="126">
        <f>Jan!DR15</f>
        <v>12500</v>
      </c>
      <c r="AE14" s="127">
        <f>Jan!DT15-Jan!DR55-Jan!DT55</f>
        <v>10265</v>
      </c>
      <c r="AF14" s="127">
        <f>Jan!DR55+Jan!DT55</f>
        <v>3135</v>
      </c>
      <c r="AG14" s="127">
        <f>Jan!HE15</f>
        <v>8063.7835999999779</v>
      </c>
      <c r="AH14" s="127">
        <f>Jan!DW15</f>
        <v>3300.0000000001819</v>
      </c>
      <c r="AI14" s="127">
        <f>Jan!DZ15</f>
        <v>3153.87</v>
      </c>
      <c r="AJ14" s="127">
        <f>Jan!EC15</f>
        <v>14313.87</v>
      </c>
      <c r="AK14" s="127">
        <f t="shared" si="4"/>
        <v>20767.740000000183</v>
      </c>
      <c r="AL14" s="127">
        <f>Jan!EG15</f>
        <v>33313.869999999995</v>
      </c>
      <c r="AM14" s="127">
        <f>Jan!EJ15</f>
        <v>13153.87</v>
      </c>
      <c r="AN14" s="127">
        <f>Jan!EM15</f>
        <v>629.99999999999545</v>
      </c>
      <c r="AO14" s="127">
        <f t="shared" si="5"/>
        <v>47097.739999999991</v>
      </c>
      <c r="AP14" s="127">
        <f>Jan!FX15</f>
        <v>19600</v>
      </c>
      <c r="AQ14" s="127">
        <f>Jan!GA15</f>
        <v>1669.9999999998181</v>
      </c>
      <c r="AR14" s="127">
        <f>Jan!GG15+(Jan!GP15+Jan!GS15)</f>
        <v>8949.9999999998636</v>
      </c>
      <c r="AS14" s="127">
        <f t="shared" si="6"/>
        <v>30219.99999999968</v>
      </c>
      <c r="AT14" s="127">
        <f>Jan!EQ15</f>
        <v>8153.87</v>
      </c>
      <c r="AU14" s="127">
        <f>Jan!ET15</f>
        <v>18099.999999999454</v>
      </c>
      <c r="AV14" s="127">
        <f>Jan!EW15</f>
        <v>9653.8700000000008</v>
      </c>
      <c r="AW14" s="127">
        <f>Jan!FL52</f>
        <v>13132.34426459367</v>
      </c>
      <c r="AX14" s="127">
        <f>Jan!GJ15</f>
        <v>1600.0000000001364</v>
      </c>
      <c r="AY14" s="127">
        <f t="shared" si="7"/>
        <v>50640.084264593264</v>
      </c>
      <c r="AZ14" s="127">
        <f>Jan!FG15</f>
        <v>8420.5400000000009</v>
      </c>
      <c r="BA14" s="127">
        <f>Jan!FJ15</f>
        <v>20220.540000000179</v>
      </c>
      <c r="BB14" s="127">
        <f>Jan!FM52</f>
        <v>11442.065735406337</v>
      </c>
      <c r="BC14" s="127">
        <f>Jan!GM15</f>
        <v>0</v>
      </c>
      <c r="BD14" s="127">
        <f t="shared" si="8"/>
        <v>40083.145735406521</v>
      </c>
      <c r="BE14" s="127">
        <f t="shared" si="11"/>
        <v>27610</v>
      </c>
      <c r="BF14" s="127"/>
      <c r="BG14" s="127"/>
      <c r="BH14" s="127"/>
      <c r="BI14" s="128"/>
      <c r="BJ14" s="128">
        <f>AS14*50/100</f>
        <v>15109.99999999984</v>
      </c>
      <c r="BK14" s="128"/>
      <c r="BL14" s="128">
        <f>AS14*50/100</f>
        <v>15109.99999999984</v>
      </c>
      <c r="BM14" s="128"/>
      <c r="BN14" s="128"/>
      <c r="BO14" s="128"/>
      <c r="BP14" s="128"/>
      <c r="BQ14" s="128"/>
      <c r="BR14" s="42">
        <f>Jan!D53</f>
        <v>0</v>
      </c>
      <c r="BS14" s="42">
        <f>Jan!G53</f>
        <v>78000</v>
      </c>
      <c r="BZ14" s="3"/>
    </row>
    <row r="15" spans="1:78" x14ac:dyDescent="0.25">
      <c r="A15" s="26">
        <f t="shared" si="10"/>
        <v>9</v>
      </c>
      <c r="B15" s="42">
        <f>Jan!G16</f>
        <v>253759.99999999112</v>
      </c>
      <c r="C15" s="42">
        <f>Jan!N16</f>
        <v>253000</v>
      </c>
      <c r="D15" s="42">
        <f>Jan!T16</f>
        <v>0</v>
      </c>
      <c r="E15" s="42">
        <f>Jan!V16</f>
        <v>0</v>
      </c>
      <c r="F15" s="42">
        <f>Jan!AB16</f>
        <v>4740</v>
      </c>
      <c r="G15" s="42">
        <f>Jan!X16</f>
        <v>8159.9999999996362</v>
      </c>
      <c r="H15" s="42">
        <f>Jan!AE16</f>
        <v>5099.9999999999091</v>
      </c>
      <c r="I15" s="42">
        <f>Jan!AI16</f>
        <v>11338.979999999818</v>
      </c>
      <c r="J15" s="42">
        <f>Jan!AN16</f>
        <v>6828.9800000000314</v>
      </c>
      <c r="K15" s="42">
        <f>Jan!AR16</f>
        <v>11899.999999999636</v>
      </c>
      <c r="L15" s="42">
        <f>Jan!AZ16</f>
        <v>422.76000000000931</v>
      </c>
      <c r="M15" s="42">
        <f>Jan!BC16</f>
        <v>623.33600000001024</v>
      </c>
      <c r="N15" s="125">
        <f t="shared" si="2"/>
        <v>49114.055999999051</v>
      </c>
      <c r="O15" s="125">
        <f>Jan!CA16</f>
        <v>909.99999999999659</v>
      </c>
      <c r="P15" s="125">
        <f>Jan!CD16</f>
        <v>0</v>
      </c>
      <c r="Q15" s="125">
        <f>Jan!CF16</f>
        <v>0</v>
      </c>
      <c r="R15" s="125">
        <f>Jan!CH16</f>
        <v>1201</v>
      </c>
      <c r="S15" s="125">
        <f>Jan!CK16</f>
        <v>16228.980000000003</v>
      </c>
      <c r="T15" s="125">
        <f>Jan!CO16</f>
        <v>8738.9799999999086</v>
      </c>
      <c r="U15" s="125">
        <f>Jan!CS16</f>
        <v>6338.9799999998177</v>
      </c>
      <c r="V15" s="126">
        <f t="shared" si="3"/>
        <v>33417.939999999726</v>
      </c>
      <c r="W15" s="126">
        <f>Jan!CW16</f>
        <v>18600</v>
      </c>
      <c r="X15" s="126">
        <f>Jan!DA16</f>
        <v>11780</v>
      </c>
      <c r="Y15" s="126">
        <f t="shared" si="1"/>
        <v>30380</v>
      </c>
      <c r="Z15" s="42">
        <f>Jan!BR16</f>
        <v>720.00000000002728</v>
      </c>
      <c r="AA15" s="126">
        <f>Jan!BG16</f>
        <v>1799.9999999999545</v>
      </c>
      <c r="AB15" s="126">
        <f>Jan!BJ16</f>
        <v>9100.0000000003638</v>
      </c>
      <c r="AC15" s="126">
        <f>Jan!BL16+Jan!BN16</f>
        <v>6089.9999999999409</v>
      </c>
      <c r="AD15" s="126">
        <f>Jan!DR16</f>
        <v>12700</v>
      </c>
      <c r="AE15" s="127">
        <f>Jan!DT16-Jan!DR56-Jan!DT56</f>
        <v>13065</v>
      </c>
      <c r="AF15" s="127">
        <f>Jan!DR56+Jan!DT56</f>
        <v>3135</v>
      </c>
      <c r="AG15" s="127">
        <f>Jan!HE16</f>
        <v>4323.2716000000728</v>
      </c>
      <c r="AH15" s="127">
        <f>Jan!DW16</f>
        <v>4500</v>
      </c>
      <c r="AI15" s="127">
        <f>Jan!DZ16</f>
        <v>6138.98</v>
      </c>
      <c r="AJ15" s="127">
        <f>Jan!EC16</f>
        <v>24298.98</v>
      </c>
      <c r="AK15" s="127">
        <f t="shared" si="4"/>
        <v>34937.96</v>
      </c>
      <c r="AL15" s="127">
        <f>Jan!EG16</f>
        <v>34298.979999999996</v>
      </c>
      <c r="AM15" s="127">
        <f>Jan!EJ16</f>
        <v>14138.98</v>
      </c>
      <c r="AN15" s="127">
        <f>Jan!EM16</f>
        <v>670.00000000007276</v>
      </c>
      <c r="AO15" s="127">
        <f t="shared" si="5"/>
        <v>49107.960000000065</v>
      </c>
      <c r="AP15" s="127">
        <f>Jan!FX16</f>
        <v>19400</v>
      </c>
      <c r="AQ15" s="127">
        <f>Jan!GA16</f>
        <v>1649.9999999998181</v>
      </c>
      <c r="AR15" s="127">
        <f>Jan!GG16+(Jan!GP16+Jan!GS16)</f>
        <v>7749.9999999995907</v>
      </c>
      <c r="AS15" s="127">
        <f t="shared" si="6"/>
        <v>28799.999999999411</v>
      </c>
      <c r="AT15" s="127">
        <f>Jan!EQ16</f>
        <v>7138.98</v>
      </c>
      <c r="AU15" s="127">
        <f>Jan!ET16</f>
        <v>5000</v>
      </c>
      <c r="AV15" s="127">
        <f>Jan!EW16</f>
        <v>3238.9799999999091</v>
      </c>
      <c r="AW15" s="127">
        <f>Jan!FL53</f>
        <v>6363.3207273196522</v>
      </c>
      <c r="AX15" s="127">
        <f>Jan!GJ16</f>
        <v>1000</v>
      </c>
      <c r="AY15" s="127">
        <f t="shared" si="7"/>
        <v>22741.280727319561</v>
      </c>
      <c r="AZ15" s="127">
        <f>Jan!FG16</f>
        <v>8972.31</v>
      </c>
      <c r="BA15" s="127">
        <f>Jan!FJ16</f>
        <v>19272.309999999274</v>
      </c>
      <c r="BB15" s="127">
        <f>Jan!FM53</f>
        <v>14747.969272680351</v>
      </c>
      <c r="BC15" s="127">
        <f>Jan!GM16</f>
        <v>200.00000000004547</v>
      </c>
      <c r="BD15" s="127">
        <f t="shared" si="8"/>
        <v>43192.589272679674</v>
      </c>
      <c r="BE15" s="127">
        <f t="shared" si="11"/>
        <v>30380</v>
      </c>
      <c r="BF15" s="127"/>
      <c r="BG15" s="127"/>
      <c r="BH15" s="127"/>
      <c r="BI15" s="128"/>
      <c r="BJ15" s="128">
        <f>AS15*55/100</f>
        <v>15839.999999999676</v>
      </c>
      <c r="BK15" s="128"/>
      <c r="BL15" s="128">
        <f>AS15*45/100</f>
        <v>12959.999999999734</v>
      </c>
      <c r="BM15" s="128"/>
      <c r="BN15" s="128"/>
      <c r="BO15" s="128"/>
      <c r="BP15" s="128"/>
      <c r="BQ15" s="128"/>
      <c r="BR15" s="42">
        <f>Jan!D54</f>
        <v>0</v>
      </c>
      <c r="BS15" s="42">
        <f>Jan!G54</f>
        <v>92000</v>
      </c>
      <c r="BU15" s="151"/>
      <c r="BX15" t="s">
        <v>194</v>
      </c>
      <c r="BY15" s="151">
        <f>(SUM(Y7:Y15))+(SUM(Y28:Y37))</f>
        <v>521663.99999999994</v>
      </c>
    </row>
    <row r="16" spans="1:78" x14ac:dyDescent="0.25">
      <c r="A16" s="26">
        <f t="shared" si="10"/>
        <v>10</v>
      </c>
      <c r="B16" s="42">
        <f>Jan!G17</f>
        <v>292160.00000000349</v>
      </c>
      <c r="C16" s="42">
        <f>Jan!N17</f>
        <v>290000</v>
      </c>
      <c r="D16" s="42">
        <f>Jan!T17</f>
        <v>0</v>
      </c>
      <c r="E16" s="42">
        <f>Jan!V17</f>
        <v>0</v>
      </c>
      <c r="F16" s="42">
        <f>Jan!AB17</f>
        <v>5080</v>
      </c>
      <c r="G16" s="42">
        <f>Jan!X17</f>
        <v>8520.0000000003638</v>
      </c>
      <c r="H16" s="42">
        <f>Jan!AE17</f>
        <v>7099.9999999999091</v>
      </c>
      <c r="I16" s="42">
        <f>Jan!AI17</f>
        <v>14760.010000000364</v>
      </c>
      <c r="J16" s="42">
        <f>Jan!AN17</f>
        <v>7600.0099999993499</v>
      </c>
      <c r="K16" s="42">
        <f>Jan!AR17</f>
        <v>8800.0000000001819</v>
      </c>
      <c r="L16" s="42">
        <f>Jan!AZ17</f>
        <v>352.35999999998603</v>
      </c>
      <c r="M16" s="42">
        <f>Jan!BC17</f>
        <v>514.07200000000012</v>
      </c>
      <c r="N16" s="125">
        <f t="shared" ref="N16:N37" si="12">SUM(D16:M16)</f>
        <v>52726.45200000015</v>
      </c>
      <c r="O16" s="125">
        <f>Jan!CA17</f>
        <v>900.00000000000568</v>
      </c>
      <c r="P16" s="125">
        <f>Jan!CD17</f>
        <v>0</v>
      </c>
      <c r="Q16" s="125">
        <f>Jan!CF17</f>
        <v>0</v>
      </c>
      <c r="R16" s="125">
        <f>Jan!CH17</f>
        <v>1312</v>
      </c>
      <c r="S16" s="125">
        <f>Jan!CK17</f>
        <v>17260.009999999991</v>
      </c>
      <c r="T16" s="125">
        <f>Jan!CO17</f>
        <v>8460.0100000001821</v>
      </c>
      <c r="U16" s="125">
        <f>Jan!CS17</f>
        <v>5860.0100000002731</v>
      </c>
      <c r="V16" s="126">
        <f t="shared" ref="V16:V37" si="13">SUM(O16:U16)</f>
        <v>33792.03000000045</v>
      </c>
      <c r="W16" s="126">
        <f>Jan!CW17</f>
        <v>14900</v>
      </c>
      <c r="X16" s="126">
        <f>Jan!DA17</f>
        <v>9450</v>
      </c>
      <c r="Y16" s="126">
        <f t="shared" si="1"/>
        <v>24350</v>
      </c>
      <c r="Z16" s="42">
        <f>Jan!BR17</f>
        <v>729.9999999999045</v>
      </c>
      <c r="AA16" s="126">
        <f>Jan!BG17</f>
        <v>1900.0000000000909</v>
      </c>
      <c r="AB16" s="126">
        <f>Jan!BJ17</f>
        <v>9599.9999999994543</v>
      </c>
      <c r="AC16" s="126">
        <f>Jan!BL17+Jan!BN17+Jan!BP17</f>
        <v>6130.0000000000182</v>
      </c>
      <c r="AD16" s="126">
        <f>Jan!DR17</f>
        <v>11900</v>
      </c>
      <c r="AE16" s="127">
        <f>Jan!DT17-Jan!DR57-Jan!DT57</f>
        <v>13492.000000000004</v>
      </c>
      <c r="AF16" s="127">
        <f>Jan!DR57+Jan!DT57</f>
        <v>1507.9999999999973</v>
      </c>
      <c r="AG16" s="127">
        <f>Jan!HE17</f>
        <v>11001.475599999971</v>
      </c>
      <c r="AH16" s="127">
        <f>Jan!DW17</f>
        <v>5100.0000000003638</v>
      </c>
      <c r="AI16" s="127">
        <f>Jan!DZ17</f>
        <v>6160.01</v>
      </c>
      <c r="AJ16" s="127">
        <f>Jan!EC17</f>
        <v>25320.01</v>
      </c>
      <c r="AK16" s="127">
        <f t="shared" si="4"/>
        <v>36580.020000000361</v>
      </c>
      <c r="AL16" s="127">
        <f>Jan!EG17</f>
        <v>28320.01</v>
      </c>
      <c r="AM16" s="127">
        <f>Jan!EJ17</f>
        <v>12160.01</v>
      </c>
      <c r="AN16" s="127">
        <f>Jan!EM17</f>
        <v>709.99999999992269</v>
      </c>
      <c r="AO16" s="127">
        <f t="shared" si="5"/>
        <v>41190.019999999917</v>
      </c>
      <c r="AP16" s="127">
        <f>Jan!FX17</f>
        <v>33600</v>
      </c>
      <c r="AQ16" s="127">
        <f>Jan!GA17</f>
        <v>7080.0000000002728</v>
      </c>
      <c r="AR16" s="127">
        <f>Jan!GG17+(Jan!GP17+Jan!GS17)</f>
        <v>8919.9999999994998</v>
      </c>
      <c r="AS16" s="127">
        <f t="shared" si="6"/>
        <v>49599.999999999774</v>
      </c>
      <c r="AT16" s="127">
        <f>Jan!EQ17</f>
        <v>9160.01</v>
      </c>
      <c r="AU16" s="127">
        <f>Jan!ET17</f>
        <v>14100.000000000364</v>
      </c>
      <c r="AV16" s="127">
        <f>Jan!EW17</f>
        <v>5760.0099999999093</v>
      </c>
      <c r="AW16" s="127">
        <f>Jan!FL54</f>
        <v>11527.748588636085</v>
      </c>
      <c r="AX16" s="127">
        <f>Jan!GJ17</f>
        <v>1599.9999999999091</v>
      </c>
      <c r="AY16" s="127">
        <f t="shared" si="7"/>
        <v>42147.768588636274</v>
      </c>
      <c r="AZ16" s="127">
        <f>Jan!FG17</f>
        <v>8860.01</v>
      </c>
      <c r="BA16" s="127">
        <f>Jan!FJ17</f>
        <v>19760.010000000544</v>
      </c>
      <c r="BB16" s="127">
        <f>Jan!FM54</f>
        <v>11492.271411363912</v>
      </c>
      <c r="BC16" s="127">
        <f>Jan!GM17</f>
        <v>399.99999999986358</v>
      </c>
      <c r="BD16" s="127">
        <f t="shared" si="8"/>
        <v>40512.291411364313</v>
      </c>
      <c r="BE16" s="127">
        <f t="shared" si="11"/>
        <v>24350</v>
      </c>
      <c r="BF16" s="127"/>
      <c r="BG16" s="127"/>
      <c r="BH16" s="127"/>
      <c r="BI16" s="128"/>
      <c r="BJ16" s="128">
        <f>AS16*60/100</f>
        <v>29759.999999999865</v>
      </c>
      <c r="BK16" s="128"/>
      <c r="BL16" s="128">
        <f>AS16*40/100</f>
        <v>19839.999999999909</v>
      </c>
      <c r="BM16" s="128"/>
      <c r="BN16" s="128"/>
      <c r="BO16" s="128"/>
      <c r="BP16" s="128"/>
      <c r="BQ16" s="128"/>
      <c r="BR16" s="42">
        <f>Jan!D55</f>
        <v>0</v>
      </c>
      <c r="BS16" s="42">
        <f>Jan!G55</f>
        <v>85000</v>
      </c>
      <c r="BX16" t="s">
        <v>195</v>
      </c>
      <c r="BY16" s="151">
        <f>BI38</f>
        <v>10100.000000000409</v>
      </c>
    </row>
    <row r="17" spans="1:77" x14ac:dyDescent="0.25">
      <c r="A17" s="26">
        <f t="shared" si="10"/>
        <v>11</v>
      </c>
      <c r="B17" s="42">
        <f>Jan!G18</f>
        <v>299840.00000000378</v>
      </c>
      <c r="C17" s="42">
        <f>Jan!N18</f>
        <v>297000</v>
      </c>
      <c r="D17" s="42">
        <f>Jan!T18</f>
        <v>0</v>
      </c>
      <c r="E17" s="42">
        <f>Jan!V18</f>
        <v>0</v>
      </c>
      <c r="F17" s="42">
        <f>Jan!AB18</f>
        <v>4970</v>
      </c>
      <c r="G17" s="42">
        <f>Jan!X18</f>
        <v>8630.0000000003638</v>
      </c>
      <c r="H17" s="42">
        <f>Jan!AE18</f>
        <v>7300.0000000001819</v>
      </c>
      <c r="I17" s="42">
        <f>Jan!AI18</f>
        <v>15564.209999999635</v>
      </c>
      <c r="J17" s="42">
        <f>Jan!AN18</f>
        <v>7394.2099999998763</v>
      </c>
      <c r="K17" s="42">
        <f>Jan!AR18</f>
        <v>9400.0000000005457</v>
      </c>
      <c r="L17" s="42">
        <f>Jan!AZ18</f>
        <v>324.0800000000163</v>
      </c>
      <c r="M17" s="42">
        <f>Jan!BC18</f>
        <v>199.89599999999336</v>
      </c>
      <c r="N17" s="125">
        <f t="shared" ref="N17:N28" si="14">SUM(D17:M17)</f>
        <v>53782.396000000612</v>
      </c>
      <c r="O17" s="125">
        <f>Jan!CA18</f>
        <v>944.70000000001164</v>
      </c>
      <c r="P17" s="125">
        <f>Jan!CD18</f>
        <v>4.7999999999883585</v>
      </c>
      <c r="Q17" s="125">
        <f>Jan!CF18</f>
        <v>0</v>
      </c>
      <c r="R17" s="125">
        <f>Jan!CH18</f>
        <v>1401.9000000000015</v>
      </c>
      <c r="S17" s="125">
        <f>Jan!CK18</f>
        <v>16189.509999999333</v>
      </c>
      <c r="T17" s="125">
        <f>Jan!CO18</f>
        <v>8751.2099999999882</v>
      </c>
      <c r="U17" s="125">
        <f>Jan!CS18</f>
        <v>6458.2099999998691</v>
      </c>
      <c r="V17" s="126">
        <f t="shared" ref="V17:V28" si="15">SUM(O17:U17)</f>
        <v>33750.329999999194</v>
      </c>
      <c r="W17" s="126">
        <f>Jan!CW18</f>
        <v>18040</v>
      </c>
      <c r="X17" s="126">
        <f>Jan!DA18</f>
        <v>11074</v>
      </c>
      <c r="Y17" s="126">
        <f t="shared" si="1"/>
        <v>29114</v>
      </c>
      <c r="Z17" s="42">
        <f>Jan!BR18</f>
        <v>520.0000000000955</v>
      </c>
      <c r="AA17" s="126">
        <f>Jan!BG18</f>
        <v>2000</v>
      </c>
      <c r="AB17" s="126">
        <f>Jan!BJ18</f>
        <v>9600.0000000003638</v>
      </c>
      <c r="AC17" s="126">
        <f>Jan!BL18+Jan!BN18+Jan!BP18</f>
        <v>6250.0000000000273</v>
      </c>
      <c r="AD17" s="126">
        <f>Jan!DR18</f>
        <v>11400</v>
      </c>
      <c r="AE17" s="127">
        <f>Jan!DT18-Jan!DR58-Jan!DT58</f>
        <v>10094.999999999993</v>
      </c>
      <c r="AF17" s="127">
        <f>Jan!DR58+Jan!DT58</f>
        <v>5105.0000000000064</v>
      </c>
      <c r="AG17" s="127">
        <f>Jan!HE18</f>
        <v>12621.134399999968</v>
      </c>
      <c r="AH17" s="127">
        <f>Jan!DW18</f>
        <v>5000</v>
      </c>
      <c r="AI17" s="127">
        <f>Jan!DZ18</f>
        <v>6164.21</v>
      </c>
      <c r="AJ17" s="127">
        <f>Jan!EC18</f>
        <v>24324.21</v>
      </c>
      <c r="AK17" s="127">
        <f t="shared" si="4"/>
        <v>35488.42</v>
      </c>
      <c r="AL17" s="127">
        <f>Jan!EG18</f>
        <v>24324.21</v>
      </c>
      <c r="AM17" s="127">
        <f>Jan!EJ18</f>
        <v>13164.21</v>
      </c>
      <c r="AN17" s="127">
        <f>Jan!EM18</f>
        <v>740.00000000000909</v>
      </c>
      <c r="AO17" s="127">
        <f t="shared" si="5"/>
        <v>38228.420000000006</v>
      </c>
      <c r="AP17" s="127">
        <f>Jan!FX18</f>
        <v>33000</v>
      </c>
      <c r="AQ17" s="127">
        <f>Jan!GA18</f>
        <v>7640.0000000000909</v>
      </c>
      <c r="AR17" s="127">
        <f>Jan!GG18+(Jan!GP18+Jan!GS18)</f>
        <v>9760.0000000006821</v>
      </c>
      <c r="AS17" s="127">
        <f t="shared" si="6"/>
        <v>50400.000000000771</v>
      </c>
      <c r="AT17" s="127">
        <f>Jan!EQ18</f>
        <v>8164.21</v>
      </c>
      <c r="AU17" s="127">
        <f>Jan!ET18</f>
        <v>16599.999999999454</v>
      </c>
      <c r="AV17" s="127">
        <f>Jan!EW18</f>
        <v>6064.210000000091</v>
      </c>
      <c r="AW17" s="127">
        <f>Jan!FL55</f>
        <v>11024.201080683364</v>
      </c>
      <c r="AX17" s="127">
        <f>Jan!GJ18</f>
        <v>1200.0000000000455</v>
      </c>
      <c r="AY17" s="127">
        <f t="shared" si="7"/>
        <v>43052.621080682948</v>
      </c>
      <c r="AZ17" s="127">
        <f>Jan!FG18</f>
        <v>9964.2099999999991</v>
      </c>
      <c r="BA17" s="127">
        <f>Jan!FJ18</f>
        <v>19364.209999999635</v>
      </c>
      <c r="BB17" s="127">
        <f>Jan!FM55</f>
        <v>12104.218919316636</v>
      </c>
      <c r="BC17" s="127">
        <f>Jan!GM18</f>
        <v>0</v>
      </c>
      <c r="BD17" s="127">
        <f t="shared" si="8"/>
        <v>41432.638919316269</v>
      </c>
      <c r="BE17" s="127">
        <f t="shared" si="11"/>
        <v>29114</v>
      </c>
      <c r="BF17" s="127"/>
      <c r="BG17" s="127"/>
      <c r="BH17" s="127"/>
      <c r="BI17" s="128"/>
      <c r="BJ17" s="128">
        <f>AS17*55/100</f>
        <v>27720.000000000422</v>
      </c>
      <c r="BK17" s="128"/>
      <c r="BL17" s="128">
        <f>AS17*45/100</f>
        <v>22680.000000000349</v>
      </c>
      <c r="BM17" s="128"/>
      <c r="BN17" s="128"/>
      <c r="BO17" s="128"/>
      <c r="BP17" s="128"/>
      <c r="BQ17" s="128"/>
      <c r="BR17" s="42">
        <f>Jan!D56</f>
        <v>0</v>
      </c>
      <c r="BS17" s="42">
        <f>Jan!G56</f>
        <v>83000</v>
      </c>
      <c r="BY17" s="168">
        <f>BY15+BY16</f>
        <v>531764.00000000035</v>
      </c>
    </row>
    <row r="18" spans="1:77" x14ac:dyDescent="0.25">
      <c r="A18" s="26">
        <f t="shared" si="10"/>
        <v>12</v>
      </c>
      <c r="B18" s="42">
        <f>Jan!G19</f>
        <v>281279.99999999156</v>
      </c>
      <c r="C18" s="42">
        <f>Jan!N19</f>
        <v>278000</v>
      </c>
      <c r="D18" s="42">
        <f>Jan!T19</f>
        <v>0</v>
      </c>
      <c r="E18" s="42">
        <f>Jan!V19</f>
        <v>0</v>
      </c>
      <c r="F18" s="42">
        <f>Jan!AB19</f>
        <v>4860</v>
      </c>
      <c r="G18" s="42">
        <f>Jan!X19</f>
        <v>8439.9999999992724</v>
      </c>
      <c r="H18" s="42">
        <f>Jan!AE19</f>
        <v>7199.9999999998181</v>
      </c>
      <c r="I18" s="42">
        <f>Jan!AI19</f>
        <v>15854.049999999817</v>
      </c>
      <c r="J18" s="42">
        <f>Jan!AN19</f>
        <v>7654.0499999996628</v>
      </c>
      <c r="K18" s="42">
        <f>Jan!AR19</f>
        <v>8799.9999999992724</v>
      </c>
      <c r="L18" s="42">
        <f>Jan!AZ19</f>
        <v>170</v>
      </c>
      <c r="M18" s="42">
        <f>Jan!BC19</f>
        <v>80</v>
      </c>
      <c r="N18" s="125">
        <f t="shared" si="14"/>
        <v>53058.099999997845</v>
      </c>
      <c r="O18" s="125">
        <f>Jan!CA19</f>
        <v>760.30000000000086</v>
      </c>
      <c r="P18" s="125">
        <f>Jan!CD19</f>
        <v>997</v>
      </c>
      <c r="Q18" s="125">
        <f>Jan!CF19</f>
        <v>0</v>
      </c>
      <c r="R18" s="125">
        <f>Jan!CH19</f>
        <v>680.40000000000146</v>
      </c>
      <c r="S18" s="125">
        <f>Jan!CK19</f>
        <v>16543.750000001455</v>
      </c>
      <c r="T18" s="125">
        <f>Jan!CO19</f>
        <v>8393.050000000032</v>
      </c>
      <c r="U18" s="125">
        <f>Jan!CS19</f>
        <v>6071.0499999999165</v>
      </c>
      <c r="V18" s="126">
        <f t="shared" si="15"/>
        <v>33445.550000001407</v>
      </c>
      <c r="W18" s="126">
        <f>Jan!CW19</f>
        <v>14805</v>
      </c>
      <c r="X18" s="126">
        <f>Jan!DA19</f>
        <v>9088.4000000000233</v>
      </c>
      <c r="Y18" s="126">
        <f t="shared" si="1"/>
        <v>23893.400000000023</v>
      </c>
      <c r="Z18" s="42">
        <f>Jan!BR19</f>
        <v>299.99999999995453</v>
      </c>
      <c r="AA18" s="126">
        <f>Jan!BG19</f>
        <v>2200.0000000000455</v>
      </c>
      <c r="AB18" s="126">
        <f>Jan!BJ19</f>
        <v>9800.0000000001819</v>
      </c>
      <c r="AC18" s="126">
        <f>Jan!BL19+Jan!BN19+Jan!BP19</f>
        <v>6100.0000000000182</v>
      </c>
      <c r="AD18" s="126">
        <f>Jan!DR19</f>
        <v>9300</v>
      </c>
      <c r="AE18" s="127">
        <f>Jan!DT19-Jan!DR59-Jan!DT59</f>
        <v>16317.000000000002</v>
      </c>
      <c r="AF18" s="127">
        <f>Jan!DR59+Jan!DT59</f>
        <v>382.99999999999733</v>
      </c>
      <c r="AG18" s="127">
        <f>Jan!HE19</f>
        <v>4702.4748000000691</v>
      </c>
      <c r="AH18" s="127">
        <f>Jan!DW19</f>
        <v>4599.9999999994543</v>
      </c>
      <c r="AI18" s="127">
        <f>Jan!DZ19</f>
        <v>7154.05</v>
      </c>
      <c r="AJ18" s="127">
        <f>Jan!EC19</f>
        <v>24314.05</v>
      </c>
      <c r="AK18" s="127">
        <f t="shared" si="4"/>
        <v>36068.099999999453</v>
      </c>
      <c r="AL18" s="127">
        <f>Jan!EG19</f>
        <v>27314.05</v>
      </c>
      <c r="AM18" s="127">
        <f>Jan!EJ19</f>
        <v>12154.05</v>
      </c>
      <c r="AN18" s="127">
        <f>Jan!EM19</f>
        <v>610.00000000001364</v>
      </c>
      <c r="AO18" s="127">
        <f t="shared" si="5"/>
        <v>40078.100000000013</v>
      </c>
      <c r="AP18" s="127">
        <f>Jan!FX19</f>
        <v>25200</v>
      </c>
      <c r="AQ18" s="127">
        <f>Jan!GA19</f>
        <v>6019.9999999998181</v>
      </c>
      <c r="AR18" s="127">
        <f>Jan!GG19+(Jan!GP19+Jan!GS19)</f>
        <v>7089.9999999996362</v>
      </c>
      <c r="AS18" s="127">
        <f t="shared" si="6"/>
        <v>38309.999999999454</v>
      </c>
      <c r="AT18" s="127">
        <f>Jan!EQ19</f>
        <v>9154.0499999999993</v>
      </c>
      <c r="AU18" s="127">
        <f>Jan!ET19</f>
        <v>17300.000000000182</v>
      </c>
      <c r="AV18" s="127">
        <f>Jan!EW19</f>
        <v>6454.0499999997273</v>
      </c>
      <c r="AW18" s="127">
        <f>Jan!FL56</f>
        <v>12412.10113153497</v>
      </c>
      <c r="AX18" s="127">
        <f>Jan!GJ19</f>
        <v>2500</v>
      </c>
      <c r="AY18" s="127">
        <f t="shared" si="7"/>
        <v>47820.201131534879</v>
      </c>
      <c r="AZ18" s="127">
        <f>Jan!FG19</f>
        <v>9020.7199999999993</v>
      </c>
      <c r="BA18" s="127">
        <f>Jan!FJ19</f>
        <v>19720.719999999816</v>
      </c>
      <c r="BB18" s="127">
        <f>Jan!FM56</f>
        <v>12762.668868465027</v>
      </c>
      <c r="BC18" s="127">
        <f>Jan!GM19</f>
        <v>0</v>
      </c>
      <c r="BD18" s="127">
        <f t="shared" si="8"/>
        <v>41504.108868464842</v>
      </c>
      <c r="BE18" s="127">
        <f t="shared" si="11"/>
        <v>23893.400000000023</v>
      </c>
      <c r="BF18" s="127"/>
      <c r="BG18" s="127"/>
      <c r="BH18" s="127"/>
      <c r="BI18" s="128"/>
      <c r="BJ18" s="128">
        <f>AS18*55/100</f>
        <v>21070.499999999702</v>
      </c>
      <c r="BK18" s="128"/>
      <c r="BL18" s="128">
        <f>AS18*45/100</f>
        <v>17239.499999999756</v>
      </c>
      <c r="BM18" s="128"/>
      <c r="BN18" s="128"/>
      <c r="BO18" s="128"/>
      <c r="BP18" s="128"/>
      <c r="BQ18" s="128"/>
      <c r="BR18" s="42">
        <f>Jan!D57</f>
        <v>0</v>
      </c>
      <c r="BS18" s="42">
        <f>Jan!G57</f>
        <v>82000</v>
      </c>
    </row>
    <row r="19" spans="1:77" x14ac:dyDescent="0.25">
      <c r="A19" s="26">
        <f t="shared" si="10"/>
        <v>13</v>
      </c>
      <c r="B19" s="42">
        <f>Jan!G20</f>
        <v>270399.99999999779</v>
      </c>
      <c r="C19" s="42">
        <f>Jan!N20</f>
        <v>274000</v>
      </c>
      <c r="D19" s="42">
        <f>Jan!T20</f>
        <v>7207.75</v>
      </c>
      <c r="E19" s="42">
        <f>Jan!V20</f>
        <v>0.32000000006519258</v>
      </c>
      <c r="F19" s="42">
        <f>Jan!AB20</f>
        <v>240</v>
      </c>
      <c r="G19" s="42">
        <f>Jan!X20</f>
        <v>7251.9300000006624</v>
      </c>
      <c r="H19" s="42">
        <f>Jan!AE20</f>
        <v>3800.0000000001819</v>
      </c>
      <c r="I19" s="42">
        <f>Jan!AI20</f>
        <v>9348.0900000007277</v>
      </c>
      <c r="J19" s="42">
        <f>Jan!AN20</f>
        <v>5388.090000000655</v>
      </c>
      <c r="K19" s="42">
        <f>Jan!AR20</f>
        <v>6400.0000000005457</v>
      </c>
      <c r="L19" s="42">
        <f>Jan!AZ20</f>
        <v>250</v>
      </c>
      <c r="M19" s="42">
        <f>Jan!BC20</f>
        <v>250</v>
      </c>
      <c r="N19" s="125">
        <f t="shared" si="14"/>
        <v>40136.180000002838</v>
      </c>
      <c r="O19" s="125">
        <f>Jan!CA20</f>
        <v>616.19999999999209</v>
      </c>
      <c r="P19" s="125">
        <f>Jan!CD20</f>
        <v>1528.2000000000116</v>
      </c>
      <c r="Q19" s="125">
        <f>Jan!CF20</f>
        <v>0</v>
      </c>
      <c r="R19" s="125">
        <f>Jan!CH20</f>
        <v>0</v>
      </c>
      <c r="S19" s="125">
        <f>Jan!CK20</f>
        <v>15451.890000000081</v>
      </c>
      <c r="T19" s="125">
        <f>Jan!CO20</f>
        <v>7663.0899999998728</v>
      </c>
      <c r="U19" s="125">
        <f>Jan!CS20</f>
        <v>6173.0900000000911</v>
      </c>
      <c r="V19" s="126">
        <f t="shared" si="15"/>
        <v>31432.470000000048</v>
      </c>
      <c r="W19" s="126">
        <f>Jan!CW20</f>
        <v>13500</v>
      </c>
      <c r="X19" s="126">
        <f>Jan!DA20</f>
        <v>8524</v>
      </c>
      <c r="Y19" s="126">
        <f t="shared" si="1"/>
        <v>22024</v>
      </c>
      <c r="Z19" s="42">
        <f>Jan!BR20</f>
        <v>700.00000000004547</v>
      </c>
      <c r="AA19" s="126">
        <f>Jan!BG20</f>
        <v>1899.9999999998636</v>
      </c>
      <c r="AB19" s="126">
        <f>Jan!BJ20</f>
        <v>9899.9999999996362</v>
      </c>
      <c r="AC19" s="126">
        <f>Jan!BL20+Jan!BN20+Jan!BP20</f>
        <v>5760.0000000000273</v>
      </c>
      <c r="AD19" s="126">
        <f>Jan!DR20</f>
        <v>12600</v>
      </c>
      <c r="AE19" s="127">
        <f>Jan!DT20-Jan!DR60-Jan!DT60</f>
        <v>14340.000000000002</v>
      </c>
      <c r="AF19" s="127">
        <f>Jan!DR60+Jan!DT60</f>
        <v>559.99999999999875</v>
      </c>
      <c r="AG19" s="127">
        <f>Jan!HE20</f>
        <v>4786.4540000000179</v>
      </c>
      <c r="AH19" s="127">
        <f>Jan!DW20</f>
        <v>4300.0000000001819</v>
      </c>
      <c r="AI19" s="127">
        <f>Jan!DZ20</f>
        <v>6148.09</v>
      </c>
      <c r="AJ19" s="127">
        <f>Jan!EC20</f>
        <v>25308.09</v>
      </c>
      <c r="AK19" s="127">
        <f t="shared" si="4"/>
        <v>35756.180000000182</v>
      </c>
      <c r="AL19" s="127">
        <f>Jan!EG20</f>
        <v>31308.09</v>
      </c>
      <c r="AM19" s="127">
        <f>Jan!EJ20</f>
        <v>11148.09</v>
      </c>
      <c r="AN19" s="127">
        <f>Jan!EM20</f>
        <v>759.99999999999091</v>
      </c>
      <c r="AO19" s="127">
        <f t="shared" si="5"/>
        <v>43216.179999999993</v>
      </c>
      <c r="AP19" s="127">
        <f>Jan!FX20</f>
        <v>32100</v>
      </c>
      <c r="AQ19" s="127">
        <f>Jan!GA20</f>
        <v>7360</v>
      </c>
      <c r="AR19" s="127">
        <f>Jan!GG20+(Jan!GP20+Jan!GS20)</f>
        <v>8340.0000000002728</v>
      </c>
      <c r="AS19" s="127">
        <f t="shared" si="6"/>
        <v>47800.000000000276</v>
      </c>
      <c r="AT19" s="127">
        <f>Jan!EQ20</f>
        <v>8148.09</v>
      </c>
      <c r="AU19" s="127">
        <f>Jan!ET20</f>
        <v>18000</v>
      </c>
      <c r="AV19" s="127">
        <f>Jan!EW20</f>
        <v>6748.0900000003639</v>
      </c>
      <c r="AW19" s="127">
        <f>Jan!FL57</f>
        <v>12246.649554610587</v>
      </c>
      <c r="AX19" s="127">
        <f>Jan!GJ20</f>
        <v>1900.0000000000909</v>
      </c>
      <c r="AY19" s="127">
        <f t="shared" si="7"/>
        <v>47042.829554611046</v>
      </c>
      <c r="AZ19" s="127">
        <f>Jan!FG20</f>
        <v>9414.76</v>
      </c>
      <c r="BA19" s="127">
        <f>Jan!FJ20</f>
        <v>19714.76000000018</v>
      </c>
      <c r="BB19" s="127">
        <f>Jan!FM57</f>
        <v>12316.200445389413</v>
      </c>
      <c r="BC19" s="127">
        <f>Jan!GM20</f>
        <v>0</v>
      </c>
      <c r="BD19" s="127">
        <f t="shared" si="8"/>
        <v>41445.72044538959</v>
      </c>
      <c r="BE19" s="127">
        <f t="shared" si="11"/>
        <v>22024</v>
      </c>
      <c r="BF19" s="127"/>
      <c r="BG19" s="127"/>
      <c r="BH19" s="127"/>
      <c r="BI19" s="128"/>
      <c r="BJ19" s="128">
        <f>AS19*50/100</f>
        <v>23900.000000000138</v>
      </c>
      <c r="BK19" s="128"/>
      <c r="BL19" s="128">
        <f>AS19*50/100</f>
        <v>23900.000000000138</v>
      </c>
      <c r="BM19" s="128"/>
      <c r="BN19" s="128"/>
      <c r="BO19" s="128"/>
      <c r="BP19" s="128"/>
      <c r="BQ19" s="128"/>
      <c r="BR19" s="42">
        <f>Jan!D58</f>
        <v>0</v>
      </c>
      <c r="BS19" s="42">
        <f>Jan!G58</f>
        <v>89000</v>
      </c>
      <c r="BU19" s="151"/>
      <c r="BX19" t="s">
        <v>196</v>
      </c>
      <c r="BY19" s="91">
        <f>BJ38</f>
        <v>355622.49999999994</v>
      </c>
    </row>
    <row r="20" spans="1:77" x14ac:dyDescent="0.25">
      <c r="A20" s="26">
        <f t="shared" si="10"/>
        <v>14</v>
      </c>
      <c r="B20" s="42">
        <f>Jan!G21</f>
        <v>274560.00000001222</v>
      </c>
      <c r="C20" s="42">
        <f>Jan!N21</f>
        <v>267000</v>
      </c>
      <c r="D20" s="42">
        <f>Jan!T21</f>
        <v>9391.3799999989569</v>
      </c>
      <c r="E20" s="42">
        <f>Jan!V21</f>
        <v>0</v>
      </c>
      <c r="F20" s="42">
        <f>Jan!AB21</f>
        <v>100</v>
      </c>
      <c r="G20" s="42">
        <f>Jan!X21</f>
        <v>8308.6200000003155</v>
      </c>
      <c r="H20" s="42">
        <f>Jan!AE21</f>
        <v>5399.9999999996362</v>
      </c>
      <c r="I20" s="42">
        <f>Jan!AI21</f>
        <v>13450.369999999273</v>
      </c>
      <c r="J20" s="42">
        <f>Jan!AN21</f>
        <v>5360.3699999997734</v>
      </c>
      <c r="K20" s="42">
        <f>Jan!AR21</f>
        <v>8199.9999999998181</v>
      </c>
      <c r="L20" s="42">
        <f>Jan!AZ21</f>
        <v>260</v>
      </c>
      <c r="M20" s="42">
        <f>Jan!BC21</f>
        <v>490</v>
      </c>
      <c r="N20" s="125">
        <f t="shared" si="14"/>
        <v>50960.739999997772</v>
      </c>
      <c r="O20" s="125">
        <f>Jan!CA21</f>
        <v>677.79999999999063</v>
      </c>
      <c r="P20" s="125">
        <f>Jan!CD21</f>
        <v>1712.7999999999884</v>
      </c>
      <c r="Q20" s="125">
        <f>Jan!CF21</f>
        <v>0</v>
      </c>
      <c r="R20" s="125">
        <f>Jan!CH21</f>
        <v>0</v>
      </c>
      <c r="S20" s="125">
        <f>Jan!CK21</f>
        <v>16312.569999998335</v>
      </c>
      <c r="T20" s="125">
        <f>Jan!CO21</f>
        <v>8355.369999999928</v>
      </c>
      <c r="U20" s="125">
        <f>Jan!CS21</f>
        <v>6712.369999999898</v>
      </c>
      <c r="V20" s="126">
        <f t="shared" si="15"/>
        <v>33770.909999998141</v>
      </c>
      <c r="W20" s="126">
        <f>Jan!CW21</f>
        <v>13963</v>
      </c>
      <c r="X20" s="126">
        <f>Jan!DA21</f>
        <v>8989</v>
      </c>
      <c r="Y20" s="126">
        <f t="shared" si="1"/>
        <v>22952</v>
      </c>
      <c r="Z20" s="42">
        <f>Jan!BR21</f>
        <v>699.99999999993179</v>
      </c>
      <c r="AA20" s="126">
        <f>Jan!BG21</f>
        <v>2100.0000000001364</v>
      </c>
      <c r="AB20" s="126">
        <f>Jan!BJ21</f>
        <v>9699.9999999998181</v>
      </c>
      <c r="AC20" s="126">
        <f>Jan!BL21+Jan!BN21+Jan!BP21</f>
        <v>5989.9999999999318</v>
      </c>
      <c r="AD20" s="126">
        <f>Jan!DR21</f>
        <v>12700</v>
      </c>
      <c r="AE20" s="127">
        <f>Jan!DT21-Jan!DR61-Jan!DT61</f>
        <v>15241</v>
      </c>
      <c r="AF20" s="127">
        <f>Jan!DR61+Jan!DT61</f>
        <v>559.00000000000102</v>
      </c>
      <c r="AG20" s="127">
        <f>Jan!HE21</f>
        <v>10392.6895999999</v>
      </c>
      <c r="AH20" s="127">
        <f>Jan!DW21</f>
        <v>4699.9999999998181</v>
      </c>
      <c r="AI20" s="127">
        <f>Jan!DZ21</f>
        <v>6150.37</v>
      </c>
      <c r="AJ20" s="127">
        <f>Jan!EC21</f>
        <v>24310.37</v>
      </c>
      <c r="AK20" s="127">
        <f t="shared" si="4"/>
        <v>35160.739999999816</v>
      </c>
      <c r="AL20" s="127">
        <f>Jan!EG21</f>
        <v>22310.37</v>
      </c>
      <c r="AM20" s="127">
        <f>Jan!EJ21</f>
        <v>10150.370000000001</v>
      </c>
      <c r="AN20" s="127">
        <f>Jan!EM21</f>
        <v>669.99999999995907</v>
      </c>
      <c r="AO20" s="127">
        <f t="shared" si="5"/>
        <v>33130.739999999954</v>
      </c>
      <c r="AP20" s="127">
        <f>Jan!FX21</f>
        <v>21300</v>
      </c>
      <c r="AQ20" s="127">
        <f>Jan!GA21</f>
        <v>4720.0000000001819</v>
      </c>
      <c r="AR20" s="127">
        <f>Jan!GG21+(Jan!GP21+Jan!GS21)</f>
        <v>6079.9999999993179</v>
      </c>
      <c r="AS20" s="127">
        <f t="shared" si="6"/>
        <v>32099.999999999498</v>
      </c>
      <c r="AT20" s="127">
        <f>Jan!EQ21</f>
        <v>9150.3700000000008</v>
      </c>
      <c r="AU20" s="127">
        <f>Jan!ET21</f>
        <v>19300.000000000182</v>
      </c>
      <c r="AV20" s="127">
        <f>Jan!EW21</f>
        <v>7050.3699999996361</v>
      </c>
      <c r="AW20" s="127">
        <f>Jan!FL58</f>
        <v>12647.001130109389</v>
      </c>
      <c r="AX20" s="127">
        <f>Jan!GJ21</f>
        <v>1799.9999999999545</v>
      </c>
      <c r="AY20" s="127">
        <f t="shared" si="7"/>
        <v>49947.741130109171</v>
      </c>
      <c r="AZ20" s="127">
        <f>Jan!FG21</f>
        <v>8750.3700000000008</v>
      </c>
      <c r="BA20" s="127">
        <f>Jan!FJ21</f>
        <v>17150.370000000545</v>
      </c>
      <c r="BB20" s="127">
        <f>Jan!FM58</f>
        <v>11253.738869890612</v>
      </c>
      <c r="BC20" s="127">
        <f>Jan!GM21</f>
        <v>0</v>
      </c>
      <c r="BD20" s="127">
        <f t="shared" si="8"/>
        <v>37154.478869891158</v>
      </c>
      <c r="BE20" s="127">
        <f t="shared" si="11"/>
        <v>22952</v>
      </c>
      <c r="BF20" s="127"/>
      <c r="BG20" s="127"/>
      <c r="BH20" s="127"/>
      <c r="BI20" s="128"/>
      <c r="BJ20" s="128">
        <f>AS20*40/100</f>
        <v>12839.9999999998</v>
      </c>
      <c r="BK20" s="128"/>
      <c r="BL20" s="128">
        <f>AS20*60/100</f>
        <v>19259.999999999698</v>
      </c>
      <c r="BM20" s="128"/>
      <c r="BN20" s="128"/>
      <c r="BO20" s="128"/>
      <c r="BP20" s="128"/>
      <c r="BQ20" s="128"/>
      <c r="BR20" s="42">
        <f>Jan!D59</f>
        <v>0</v>
      </c>
      <c r="BS20" s="42">
        <f>Jan!G59</f>
        <v>78000</v>
      </c>
      <c r="BY20" s="168">
        <f>BY17+BY19</f>
        <v>887386.50000000023</v>
      </c>
    </row>
    <row r="21" spans="1:77" x14ac:dyDescent="0.25">
      <c r="A21" s="26">
        <f t="shared" si="10"/>
        <v>15</v>
      </c>
      <c r="B21" s="42">
        <f>Jan!G22</f>
        <v>260159.99999999258</v>
      </c>
      <c r="C21" s="42">
        <f>Jan!N22</f>
        <v>261000</v>
      </c>
      <c r="D21" s="42">
        <f>Jan!T22</f>
        <v>721.37000000104308</v>
      </c>
      <c r="E21" s="42">
        <f>Jan!V22</f>
        <v>0</v>
      </c>
      <c r="F21" s="42">
        <f>Jan!AB22</f>
        <v>4990</v>
      </c>
      <c r="G21" s="42">
        <f>Jan!X22</f>
        <v>9788.6299999989569</v>
      </c>
      <c r="H21" s="42">
        <f>Jan!AE22</f>
        <v>6200.0000000002728</v>
      </c>
      <c r="I21" s="42">
        <f>Jan!AI22</f>
        <v>15142.48</v>
      </c>
      <c r="J21" s="42">
        <f>Jan!AN22</f>
        <v>4532.4800000010137</v>
      </c>
      <c r="K21" s="42">
        <f>Jan!AR22</f>
        <v>8000</v>
      </c>
      <c r="L21" s="42">
        <f>Jan!AZ22</f>
        <v>114</v>
      </c>
      <c r="M21" s="42">
        <f>Jan!BC22</f>
        <v>179.89599999999336</v>
      </c>
      <c r="N21" s="125">
        <f t="shared" si="14"/>
        <v>49668.85600000128</v>
      </c>
      <c r="O21" s="125">
        <f>Jan!CA22</f>
        <v>691.00000000003092</v>
      </c>
      <c r="P21" s="125">
        <f>Jan!CD22</f>
        <v>1377.2000000000116</v>
      </c>
      <c r="Q21" s="125">
        <f>Jan!CF22</f>
        <v>9.9999999976716936E-2</v>
      </c>
      <c r="R21" s="125">
        <f>Jan!CH22</f>
        <v>0</v>
      </c>
      <c r="S21" s="125">
        <f>Jan!CK22</f>
        <v>16571.480000000767</v>
      </c>
      <c r="T21" s="125">
        <f>Jan!CO22</f>
        <v>8696.4800000000869</v>
      </c>
      <c r="U21" s="125">
        <f>Jan!CS22</f>
        <v>6944.4800000001342</v>
      </c>
      <c r="V21" s="126">
        <f t="shared" si="15"/>
        <v>34280.740000001009</v>
      </c>
      <c r="W21" s="126">
        <f>Jan!CW22</f>
        <v>15592</v>
      </c>
      <c r="X21" s="126">
        <f>Jan!DA22</f>
        <v>10364.599999999977</v>
      </c>
      <c r="Y21" s="126">
        <f t="shared" si="1"/>
        <v>25956.599999999977</v>
      </c>
      <c r="Z21" s="42">
        <f>Jan!BR22</f>
        <v>830.00000000004093</v>
      </c>
      <c r="AA21" s="126">
        <f>Jan!BG22</f>
        <v>2200.0000000000455</v>
      </c>
      <c r="AB21" s="126">
        <f>Jan!BJ22</f>
        <v>9900.0000000005457</v>
      </c>
      <c r="AC21" s="126">
        <f>Jan!BL22+Jan!BN22+Jan!BP22</f>
        <v>6080.0000000000364</v>
      </c>
      <c r="AD21" s="126">
        <f>Jan!DR22</f>
        <v>12500</v>
      </c>
      <c r="AE21" s="127">
        <f>Jan!DT22-Jan!DR62-Jan!DT62</f>
        <v>13507.000000000002</v>
      </c>
      <c r="AF21" s="127">
        <f>Jan!DR62+Jan!DT62</f>
        <v>592.99999999999818</v>
      </c>
      <c r="AG21" s="127">
        <f>Jan!HE22</f>
        <v>10698.985600000062</v>
      </c>
      <c r="AH21" s="127">
        <f>Jan!DW22</f>
        <v>4600.0000000003638</v>
      </c>
      <c r="AI21" s="127">
        <f>Jan!DZ22</f>
        <v>7142.48</v>
      </c>
      <c r="AJ21" s="127">
        <f>Jan!EC22</f>
        <v>25302.48</v>
      </c>
      <c r="AK21" s="127">
        <f t="shared" si="4"/>
        <v>37044.960000000363</v>
      </c>
      <c r="AL21" s="127">
        <f>Jan!EG22</f>
        <v>4302.4799999999996</v>
      </c>
      <c r="AM21" s="127">
        <f>Jan!EJ22</f>
        <v>4142.4799999999996</v>
      </c>
      <c r="AN21" s="127">
        <f>Jan!EM22</f>
        <v>390.00000000010004</v>
      </c>
      <c r="AO21" s="127">
        <f t="shared" si="5"/>
        <v>8834.9600000000992</v>
      </c>
      <c r="AP21" s="127">
        <f>Jan!FX22</f>
        <v>16600</v>
      </c>
      <c r="AQ21" s="127">
        <f>Jan!GA22</f>
        <v>3960</v>
      </c>
      <c r="AR21" s="127">
        <f>Jan!GG22+(Jan!GP22+Jan!GS22)</f>
        <v>5050.0000000004547</v>
      </c>
      <c r="AS21" s="127">
        <f t="shared" si="6"/>
        <v>25610.000000000455</v>
      </c>
      <c r="AT21" s="127">
        <f>Jan!EQ22</f>
        <v>7142.48</v>
      </c>
      <c r="AU21" s="127">
        <f>Jan!ET22</f>
        <v>13000</v>
      </c>
      <c r="AV21" s="127">
        <f>Jan!EW22</f>
        <v>4742.4800000003634</v>
      </c>
      <c r="AW21" s="127">
        <f>Jan!FL59</f>
        <v>8761.1957844815061</v>
      </c>
      <c r="AX21" s="127">
        <f>Jan!GJ22</f>
        <v>1099.9999999999091</v>
      </c>
      <c r="AY21" s="127">
        <f t="shared" si="7"/>
        <v>34746.155784481773</v>
      </c>
      <c r="AZ21" s="127">
        <f>Jan!FG22</f>
        <v>9342.48</v>
      </c>
      <c r="BA21" s="127">
        <f>Jan!FJ22</f>
        <v>18642.479999999272</v>
      </c>
      <c r="BB21" s="127">
        <f>Jan!FM59</f>
        <v>12723.764215518495</v>
      </c>
      <c r="BC21" s="127">
        <f>Jan!GM22</f>
        <v>0</v>
      </c>
      <c r="BD21" s="127">
        <f t="shared" si="8"/>
        <v>40708.724215517766</v>
      </c>
      <c r="BE21" s="127">
        <f t="shared" si="11"/>
        <v>25956.599999999977</v>
      </c>
      <c r="BF21" s="127"/>
      <c r="BG21" s="127"/>
      <c r="BH21" s="127"/>
      <c r="BI21" s="128"/>
      <c r="BJ21" s="128"/>
      <c r="BK21" s="128"/>
      <c r="BL21" s="128">
        <f t="shared" ref="BL21:BL26" si="16">AS21</f>
        <v>25610.000000000455</v>
      </c>
      <c r="BM21" s="128"/>
      <c r="BN21" s="128"/>
      <c r="BO21" s="128"/>
      <c r="BP21" s="128"/>
      <c r="BQ21" s="128"/>
      <c r="BR21" s="42">
        <f>Jan!D60</f>
        <v>0</v>
      </c>
      <c r="BS21" s="42">
        <f>Jan!G60</f>
        <v>53000</v>
      </c>
      <c r="BY21" s="168"/>
    </row>
    <row r="22" spans="1:77" x14ac:dyDescent="0.25">
      <c r="A22" s="26">
        <f t="shared" si="10"/>
        <v>16</v>
      </c>
      <c r="B22" s="42">
        <f>Jan!G23</f>
        <v>272319.99999999604</v>
      </c>
      <c r="C22" s="42">
        <f>Jan!N23</f>
        <v>272000</v>
      </c>
      <c r="D22" s="42">
        <f>Jan!T23</f>
        <v>0</v>
      </c>
      <c r="E22" s="42">
        <f>Jan!V23</f>
        <v>0</v>
      </c>
      <c r="F22" s="42">
        <f>Jan!AB23</f>
        <v>5410</v>
      </c>
      <c r="G22" s="42">
        <f>Jan!X23</f>
        <v>7090</v>
      </c>
      <c r="H22" s="42">
        <f>Jan!AE23</f>
        <v>6799.9999999997272</v>
      </c>
      <c r="I22" s="42">
        <f>Jan!AI23</f>
        <v>16549.140000000545</v>
      </c>
      <c r="J22" s="42">
        <f>Jan!AN23</f>
        <v>4979.1399999984806</v>
      </c>
      <c r="K22" s="42">
        <f>Jan!AR23</f>
        <v>7899.9999999996362</v>
      </c>
      <c r="L22" s="42">
        <f>Jan!AZ23</f>
        <v>266</v>
      </c>
      <c r="M22" s="42">
        <f>Jan!BC23</f>
        <v>340.10400000000664</v>
      </c>
      <c r="N22" s="125">
        <f t="shared" si="14"/>
        <v>49334.383999998397</v>
      </c>
      <c r="O22" s="125">
        <f>Jan!CA23</f>
        <v>817.99999999998363</v>
      </c>
      <c r="P22" s="125">
        <f>Jan!CD23</f>
        <v>0</v>
      </c>
      <c r="Q22" s="125">
        <f>Jan!CF23</f>
        <v>0</v>
      </c>
      <c r="R22" s="125">
        <f>Jan!CH23</f>
        <v>0.30000000000291038</v>
      </c>
      <c r="S22" s="125">
        <f>Jan!CK23</f>
        <v>15581.140000000016</v>
      </c>
      <c r="T22" s="125">
        <f>Jan!CO23</f>
        <v>8447.1400000002286</v>
      </c>
      <c r="U22" s="125">
        <f>Jan!CS23</f>
        <v>6904.1400000001095</v>
      </c>
      <c r="V22" s="126">
        <f t="shared" si="15"/>
        <v>31750.720000000339</v>
      </c>
      <c r="W22" s="126">
        <f>Jan!CW23</f>
        <v>16237</v>
      </c>
      <c r="X22" s="126">
        <f>Jan!DA23</f>
        <v>10817</v>
      </c>
      <c r="Y22" s="126">
        <f t="shared" si="1"/>
        <v>27054</v>
      </c>
      <c r="Z22" s="42">
        <f>Jan!BR23</f>
        <v>970.00000000002728</v>
      </c>
      <c r="AA22" s="126">
        <f>Jan!BG23</f>
        <v>2199.9999999998181</v>
      </c>
      <c r="AB22" s="126">
        <f>Jan!BJ23</f>
        <v>10099.999999999454</v>
      </c>
      <c r="AC22" s="126">
        <f>Jan!BL23+Jan!BN23+Jan!BP23</f>
        <v>6300.0000000000364</v>
      </c>
      <c r="AD22" s="126">
        <f>Jan!DR23</f>
        <v>13000</v>
      </c>
      <c r="AE22" s="127">
        <f>Jan!DT23-Jan!DR63-Jan!DT63</f>
        <v>15112</v>
      </c>
      <c r="AF22" s="127">
        <f>Jan!DR63+Jan!DT63</f>
        <v>487.99999999999955</v>
      </c>
      <c r="AG22" s="127">
        <f>Jan!HE23</f>
        <v>3549.4812000000325</v>
      </c>
      <c r="AH22" s="127">
        <f>Jan!DW23</f>
        <v>5199.9999999998181</v>
      </c>
      <c r="AI22" s="127">
        <f>Jan!DZ23</f>
        <v>7149.14</v>
      </c>
      <c r="AJ22" s="127">
        <f>Jan!EC23</f>
        <v>24309.14</v>
      </c>
      <c r="AK22" s="127">
        <f t="shared" si="4"/>
        <v>36658.279999999817</v>
      </c>
      <c r="AL22" s="127">
        <f>Jan!EG23</f>
        <v>4309.1399999999994</v>
      </c>
      <c r="AM22" s="127">
        <f>Jan!EJ23</f>
        <v>5149.1400000000003</v>
      </c>
      <c r="AN22" s="127">
        <f>Jan!EM23</f>
        <v>349.99999999990905</v>
      </c>
      <c r="AO22" s="127">
        <f t="shared" si="5"/>
        <v>9808.2799999999079</v>
      </c>
      <c r="AP22" s="127">
        <f>Jan!FX23</f>
        <v>17800</v>
      </c>
      <c r="AQ22" s="127">
        <f>Jan!GA23</f>
        <v>4709.9999999997272</v>
      </c>
      <c r="AR22" s="127">
        <f>Jan!GG23+(Jan!GP23+Jan!GS23)</f>
        <v>5689.9999999996817</v>
      </c>
      <c r="AS22" s="127">
        <f t="shared" si="6"/>
        <v>28199.999999999411</v>
      </c>
      <c r="AT22" s="127">
        <f>Jan!EQ23</f>
        <v>9149.14</v>
      </c>
      <c r="AU22" s="127">
        <f>Jan!ET23</f>
        <v>19699.999999999818</v>
      </c>
      <c r="AV22" s="127">
        <f>Jan!EW23</f>
        <v>7149.14</v>
      </c>
      <c r="AW22" s="127">
        <f>Jan!FL60</f>
        <v>12435.231612467715</v>
      </c>
      <c r="AX22" s="127">
        <f>Jan!GJ23</f>
        <v>1799.9999999999545</v>
      </c>
      <c r="AY22" s="127">
        <f t="shared" si="7"/>
        <v>50233.51161246749</v>
      </c>
      <c r="AZ22" s="127">
        <f>Jan!FG23</f>
        <v>10115.81</v>
      </c>
      <c r="BA22" s="127">
        <f>Jan!FJ23</f>
        <v>19615.809999999998</v>
      </c>
      <c r="BB22" s="127">
        <f>Jan!FM60</f>
        <v>12829.718387532283</v>
      </c>
      <c r="BC22" s="127">
        <f>Jan!GM23</f>
        <v>0</v>
      </c>
      <c r="BD22" s="127">
        <f t="shared" si="8"/>
        <v>42561.338387532276</v>
      </c>
      <c r="BE22" s="127">
        <f t="shared" si="11"/>
        <v>27054</v>
      </c>
      <c r="BF22" s="127"/>
      <c r="BG22" s="127"/>
      <c r="BH22" s="127"/>
      <c r="BI22" s="128"/>
      <c r="BJ22" s="128"/>
      <c r="BK22" s="128"/>
      <c r="BL22" s="128">
        <f t="shared" si="16"/>
        <v>28199.999999999411</v>
      </c>
      <c r="BM22" s="128"/>
      <c r="BN22" s="128"/>
      <c r="BO22" s="128"/>
      <c r="BP22" s="128"/>
      <c r="BQ22" s="128"/>
      <c r="BR22" s="42">
        <f>Jan!D61</f>
        <v>0</v>
      </c>
      <c r="BS22" s="42">
        <f>Jan!G61</f>
        <v>55000</v>
      </c>
      <c r="BU22" s="151"/>
      <c r="BX22" t="s">
        <v>193</v>
      </c>
      <c r="BY22" s="171">
        <f>+Y38+AS38</f>
        <v>1587019.9999999998</v>
      </c>
    </row>
    <row r="23" spans="1:77" x14ac:dyDescent="0.25">
      <c r="A23" s="26">
        <f t="shared" si="10"/>
        <v>17</v>
      </c>
      <c r="B23" s="42">
        <f>Jan!G24</f>
        <v>270720.00000000116</v>
      </c>
      <c r="C23" s="42">
        <f>Jan!N24</f>
        <v>268000</v>
      </c>
      <c r="D23" s="42">
        <f>Jan!T24</f>
        <v>0</v>
      </c>
      <c r="E23" s="42">
        <f>Jan!V24</f>
        <v>0</v>
      </c>
      <c r="F23" s="42">
        <f>Jan!AB24</f>
        <v>5300</v>
      </c>
      <c r="G23" s="42">
        <f>Jan!X24</f>
        <v>8400.0000000007276</v>
      </c>
      <c r="H23" s="42">
        <f>Jan!AE24</f>
        <v>6900.0000000000909</v>
      </c>
      <c r="I23" s="42">
        <f>Jan!AI24</f>
        <v>15948.260000000182</v>
      </c>
      <c r="J23" s="42">
        <f>Jan!AN24</f>
        <v>4878.2600000001685</v>
      </c>
      <c r="K23" s="42">
        <f>Jan!AR24</f>
        <v>8000</v>
      </c>
      <c r="L23" s="42">
        <f>Jan!AZ24</f>
        <v>90</v>
      </c>
      <c r="M23" s="42">
        <f>Jan!BC24</f>
        <v>100</v>
      </c>
      <c r="N23" s="125">
        <f t="shared" si="14"/>
        <v>49616.520000001168</v>
      </c>
      <c r="O23" s="125">
        <f>Jan!CA24</f>
        <v>726.7999999999688</v>
      </c>
      <c r="P23" s="125">
        <f>Jan!CD24</f>
        <v>2702.0999999999767</v>
      </c>
      <c r="Q23" s="125">
        <f>Jan!CF24</f>
        <v>0</v>
      </c>
      <c r="R23" s="125">
        <f>Jan!CH24</f>
        <v>0</v>
      </c>
      <c r="S23" s="125">
        <f>Jan!CK24</f>
        <v>16241.459999999739</v>
      </c>
      <c r="T23" s="125">
        <f>Jan!CO24</f>
        <v>6392.2599999996874</v>
      </c>
      <c r="U23" s="125">
        <f>Jan!CS24</f>
        <v>6263.2599999997819</v>
      </c>
      <c r="V23" s="126">
        <f t="shared" si="15"/>
        <v>32325.879999999153</v>
      </c>
      <c r="W23" s="126">
        <f>Jan!CW24</f>
        <v>15227</v>
      </c>
      <c r="X23" s="126">
        <f>Jan!DA24</f>
        <v>10266</v>
      </c>
      <c r="Y23" s="126">
        <f t="shared" si="1"/>
        <v>25493</v>
      </c>
      <c r="Z23" s="42">
        <f>Jan!BR24</f>
        <v>599.99999999990905</v>
      </c>
      <c r="AA23" s="126">
        <f>Jan!BG24</f>
        <v>2000</v>
      </c>
      <c r="AB23" s="126">
        <f>Jan!BJ24</f>
        <v>9500</v>
      </c>
      <c r="AC23" s="126">
        <f>Jan!BL24+Jan!BN24+Jan!BP24</f>
        <v>6169.9999999999227</v>
      </c>
      <c r="AD23" s="126">
        <f>Jan!DR24</f>
        <v>12800</v>
      </c>
      <c r="AE23" s="127">
        <f>Jan!DT24-Jan!DR64-Jan!DT64</f>
        <v>14313.000000000004</v>
      </c>
      <c r="AF23" s="127">
        <f>Jan!DR64+Jan!DT64</f>
        <v>486.99999999999653</v>
      </c>
      <c r="AG23" s="127">
        <f>Jan!HE24</f>
        <v>16291.945199999991</v>
      </c>
      <c r="AH23" s="127">
        <f>Jan!DW24</f>
        <v>5000</v>
      </c>
      <c r="AI23" s="127">
        <f>Jan!DZ24</f>
        <v>6148.26</v>
      </c>
      <c r="AJ23" s="127">
        <f>Jan!EC24</f>
        <v>24308.26</v>
      </c>
      <c r="AK23" s="127">
        <f t="shared" si="4"/>
        <v>35456.519999999997</v>
      </c>
      <c r="AL23" s="127">
        <f>Jan!EG24</f>
        <v>4308.26</v>
      </c>
      <c r="AM23" s="127">
        <f>Jan!EJ24</f>
        <v>5148.26</v>
      </c>
      <c r="AN23" s="127">
        <f>Jan!EM24</f>
        <v>520.0000000000955</v>
      </c>
      <c r="AO23" s="127">
        <f t="shared" si="5"/>
        <v>9976.520000000095</v>
      </c>
      <c r="AP23" s="127">
        <f>Jan!FX24</f>
        <v>16100</v>
      </c>
      <c r="AQ23" s="127">
        <f>Jan!GA24</f>
        <v>4049.9999999999091</v>
      </c>
      <c r="AR23" s="127">
        <f>Jan!GG24+(Jan!GP24+Jan!GS24)</f>
        <v>5050.0000000006821</v>
      </c>
      <c r="AS23" s="127">
        <f t="shared" si="6"/>
        <v>25200.000000000589</v>
      </c>
      <c r="AT23" s="127">
        <f>Jan!EQ24</f>
        <v>8148.26</v>
      </c>
      <c r="AU23" s="127">
        <f>Jan!ET24</f>
        <v>18900.000000000546</v>
      </c>
      <c r="AV23" s="127">
        <f>Jan!EW24</f>
        <v>6948.2599999997274</v>
      </c>
      <c r="AW23" s="127">
        <f>Jan!FL61</f>
        <v>11312.534809704321</v>
      </c>
      <c r="AX23" s="127">
        <f>Jan!GJ24</f>
        <v>1700.0000000000455</v>
      </c>
      <c r="AY23" s="127">
        <f t="shared" si="7"/>
        <v>47009.054809704641</v>
      </c>
      <c r="AZ23" s="127">
        <f>Jan!FG24</f>
        <v>9281.59</v>
      </c>
      <c r="BA23" s="127">
        <f>Jan!FJ24</f>
        <v>18081.590000000182</v>
      </c>
      <c r="BB23" s="127">
        <f>Jan!FM61</f>
        <v>11117.315190295678</v>
      </c>
      <c r="BC23" s="127">
        <f>Jan!GM24</f>
        <v>0</v>
      </c>
      <c r="BD23" s="127">
        <f t="shared" si="8"/>
        <v>38480.495190295856</v>
      </c>
      <c r="BE23" s="127">
        <f t="shared" si="11"/>
        <v>25493</v>
      </c>
      <c r="BF23" s="127"/>
      <c r="BG23" s="127"/>
      <c r="BH23" s="127"/>
      <c r="BI23" s="128"/>
      <c r="BJ23" s="128"/>
      <c r="BK23" s="128"/>
      <c r="BL23" s="128">
        <f t="shared" si="16"/>
        <v>25200.000000000589</v>
      </c>
      <c r="BM23" s="128"/>
      <c r="BN23" s="128"/>
      <c r="BO23" s="128"/>
      <c r="BP23" s="128"/>
      <c r="BQ23" s="128"/>
      <c r="BR23" s="42">
        <f>Jan!D62</f>
        <v>0</v>
      </c>
      <c r="BS23" s="42">
        <f>Jan!G62</f>
        <v>55000</v>
      </c>
      <c r="BV23" s="151"/>
      <c r="BY23" s="91">
        <f>+BY22-BY20</f>
        <v>699633.49999999953</v>
      </c>
    </row>
    <row r="24" spans="1:77" x14ac:dyDescent="0.25">
      <c r="A24" s="26">
        <f t="shared" si="10"/>
        <v>18</v>
      </c>
      <c r="B24" s="42">
        <f>Jan!G25</f>
        <v>275840.00000000745</v>
      </c>
      <c r="C24" s="42">
        <f>Jan!N25</f>
        <v>274000</v>
      </c>
      <c r="D24" s="42">
        <f>Jan!T25</f>
        <v>0</v>
      </c>
      <c r="E24" s="42">
        <f>Jan!V25</f>
        <v>0</v>
      </c>
      <c r="F24" s="42">
        <f>Jan!AB25</f>
        <v>5100</v>
      </c>
      <c r="G24" s="42">
        <f>Jan!X25</f>
        <v>8400</v>
      </c>
      <c r="H24" s="42">
        <f>Jan!AE25</f>
        <v>4000</v>
      </c>
      <c r="I24" s="42">
        <f>Jan!AI25</f>
        <v>9851.0699999998178</v>
      </c>
      <c r="J24" s="42">
        <f>Jan!AN25</f>
        <v>6831.0699999999315</v>
      </c>
      <c r="K24" s="42">
        <f>Jan!AR25</f>
        <v>13800.000000000182</v>
      </c>
      <c r="L24" s="42">
        <f>Jan!AZ25</f>
        <v>390</v>
      </c>
      <c r="M24" s="42">
        <f>Jan!BC25</f>
        <v>540</v>
      </c>
      <c r="N24" s="125">
        <f t="shared" si="14"/>
        <v>48912.139999999934</v>
      </c>
      <c r="O24" s="125">
        <f>Jan!CA25</f>
        <v>701.30000000000337</v>
      </c>
      <c r="P24" s="125">
        <f>Jan!CD25</f>
        <v>3392.6000000000349</v>
      </c>
      <c r="Q24" s="125">
        <f>Jan!CF25</f>
        <v>0</v>
      </c>
      <c r="R24" s="125">
        <f>Jan!CH25</f>
        <v>0</v>
      </c>
      <c r="S24" s="125">
        <f>Jan!CK25</f>
        <v>16549.770000000361</v>
      </c>
      <c r="T24" s="125">
        <f>Jan!CO25</f>
        <v>6037.069999999967</v>
      </c>
      <c r="U24" s="125">
        <f>Jan!CS25</f>
        <v>6151.07</v>
      </c>
      <c r="V24" s="126">
        <f t="shared" si="15"/>
        <v>32831.810000000361</v>
      </c>
      <c r="W24" s="126">
        <f>Jan!CW25</f>
        <v>17541</v>
      </c>
      <c r="X24" s="126">
        <f>Jan!DA25</f>
        <v>11032</v>
      </c>
      <c r="Y24" s="126">
        <f t="shared" si="1"/>
        <v>28573</v>
      </c>
      <c r="Z24" s="42">
        <f>Jan!BR25</f>
        <v>600.00000000002274</v>
      </c>
      <c r="AA24" s="126">
        <f>Jan!BG25</f>
        <v>2100.0000000001364</v>
      </c>
      <c r="AB24" s="126">
        <f>Jan!BJ25</f>
        <v>9300.0000000001819</v>
      </c>
      <c r="AC24" s="126">
        <f>Jan!BL25+Jan!BN25+Jan!BP25</f>
        <v>6220.0000000000455</v>
      </c>
      <c r="AD24" s="126">
        <f>Jan!DR25</f>
        <v>11400</v>
      </c>
      <c r="AE24" s="127">
        <f>Jan!DT25-Jan!DR65-Jan!DT65</f>
        <v>15486.999999999998</v>
      </c>
      <c r="AF24" s="127">
        <f>Jan!DR65+Jan!DT65</f>
        <v>413.00000000000205</v>
      </c>
      <c r="AG24" s="127">
        <f>Jan!HE25</f>
        <v>5402.3743999999388</v>
      </c>
      <c r="AH24" s="127">
        <f>Jan!DW25</f>
        <v>5000</v>
      </c>
      <c r="AI24" s="127">
        <f>Jan!DZ25</f>
        <v>7151.07</v>
      </c>
      <c r="AJ24" s="127">
        <f>Jan!EC25</f>
        <v>25311.07</v>
      </c>
      <c r="AK24" s="127">
        <f t="shared" si="4"/>
        <v>37462.14</v>
      </c>
      <c r="AL24" s="127">
        <f>Jan!EG25</f>
        <v>4311.07</v>
      </c>
      <c r="AM24" s="127">
        <f>Jan!EJ25</f>
        <v>5151.07</v>
      </c>
      <c r="AN24" s="127">
        <f>Jan!EM25</f>
        <v>569.99999999993634</v>
      </c>
      <c r="AO24" s="127">
        <f t="shared" si="5"/>
        <v>10032.139999999936</v>
      </c>
      <c r="AP24" s="127">
        <f>Jan!FX25</f>
        <v>16900</v>
      </c>
      <c r="AQ24" s="127">
        <f>Jan!GA25</f>
        <v>4320.0000000000909</v>
      </c>
      <c r="AR24" s="127">
        <f>Jan!GG25+(Jan!GP25+Jan!GS25)</f>
        <v>5379.9999999988177</v>
      </c>
      <c r="AS24" s="127">
        <f t="shared" si="6"/>
        <v>26599.999999998909</v>
      </c>
      <c r="AT24" s="127">
        <f>Jan!EQ25</f>
        <v>9151.07</v>
      </c>
      <c r="AU24" s="127">
        <f>Jan!ET25</f>
        <v>20099.999999999454</v>
      </c>
      <c r="AV24" s="127">
        <f>Jan!EW25</f>
        <v>7651.07</v>
      </c>
      <c r="AW24" s="127">
        <f>Jan!FL62</f>
        <v>12684.182974865353</v>
      </c>
      <c r="AX24" s="127">
        <f>Jan!GJ25</f>
        <v>1900.0000000000909</v>
      </c>
      <c r="AY24" s="127">
        <f t="shared" si="7"/>
        <v>51486.322974864903</v>
      </c>
      <c r="AZ24" s="127">
        <f>Jan!FG25</f>
        <v>9551.07</v>
      </c>
      <c r="BA24" s="127">
        <f>Jan!FJ25</f>
        <v>20451.070000000545</v>
      </c>
      <c r="BB24" s="127">
        <f>Jan!FM62</f>
        <v>13017.95702513465</v>
      </c>
      <c r="BC24" s="127">
        <f>Jan!GM25</f>
        <v>0</v>
      </c>
      <c r="BD24" s="127">
        <f t="shared" si="8"/>
        <v>43020.097025135197</v>
      </c>
      <c r="BE24" s="127">
        <f t="shared" si="11"/>
        <v>28573</v>
      </c>
      <c r="BF24" s="127"/>
      <c r="BG24" s="127"/>
      <c r="BH24" s="127"/>
      <c r="BI24" s="128"/>
      <c r="BJ24" s="128"/>
      <c r="BK24" s="128"/>
      <c r="BL24" s="128">
        <f t="shared" si="16"/>
        <v>26599.999999998909</v>
      </c>
      <c r="BM24" s="128"/>
      <c r="BN24" s="128"/>
      <c r="BO24" s="128"/>
      <c r="BP24" s="128"/>
      <c r="BQ24" s="128"/>
      <c r="BR24" s="42">
        <f>Jan!D63</f>
        <v>0</v>
      </c>
      <c r="BS24" s="42">
        <f>Jan!G63</f>
        <v>54000</v>
      </c>
      <c r="BV24" s="151"/>
    </row>
    <row r="25" spans="1:77" x14ac:dyDescent="0.25">
      <c r="A25" s="26">
        <f t="shared" si="10"/>
        <v>19</v>
      </c>
      <c r="B25" s="42">
        <f>Jan!G26</f>
        <v>259519.99999998952</v>
      </c>
      <c r="C25" s="42">
        <f>Jan!N26</f>
        <v>252000</v>
      </c>
      <c r="D25" s="42">
        <f>Jan!T26</f>
        <v>0</v>
      </c>
      <c r="E25" s="42">
        <f>Jan!V26</f>
        <v>0</v>
      </c>
      <c r="F25" s="42">
        <f>Jan!AB26</f>
        <v>4900</v>
      </c>
      <c r="G25" s="42">
        <f>Jan!X26</f>
        <v>8199.9999999985448</v>
      </c>
      <c r="H25" s="42">
        <f>Jan!AE26</f>
        <v>4900.0000000000909</v>
      </c>
      <c r="I25" s="42">
        <f>Jan!AI26</f>
        <v>11742.129999999454</v>
      </c>
      <c r="J25" s="42">
        <f>Jan!AN26</f>
        <v>6982.1300000003675</v>
      </c>
      <c r="K25" s="42">
        <f>Jan!AR26</f>
        <v>14199.999999999818</v>
      </c>
      <c r="L25" s="42">
        <f>Jan!AZ26</f>
        <v>410</v>
      </c>
      <c r="M25" s="42">
        <f>Jan!BC26</f>
        <v>590</v>
      </c>
      <c r="N25" s="125">
        <f t="shared" si="14"/>
        <v>51924.259999998278</v>
      </c>
      <c r="O25" s="125">
        <f>Jan!CA26</f>
        <v>702.89999999999964</v>
      </c>
      <c r="P25" s="125">
        <f>Jan!CD26</f>
        <v>3321.0999999999767</v>
      </c>
      <c r="Q25" s="125">
        <f>Jan!CF26</f>
        <v>0</v>
      </c>
      <c r="R25" s="125">
        <f>Jan!CH26</f>
        <v>0</v>
      </c>
      <c r="S25" s="125">
        <f>Jan!CK26</f>
        <v>15809.230000000802</v>
      </c>
      <c r="T25" s="125">
        <f>Jan!CO26</f>
        <v>5980.1300000001929</v>
      </c>
      <c r="U25" s="125">
        <f>Jan!CS26</f>
        <v>5934.1299999999164</v>
      </c>
      <c r="V25" s="126">
        <f t="shared" si="15"/>
        <v>31747.490000000889</v>
      </c>
      <c r="W25" s="126">
        <f>Jan!CW26</f>
        <v>14450</v>
      </c>
      <c r="X25" s="126">
        <f>Jan!DA26</f>
        <v>10430</v>
      </c>
      <c r="Y25" s="126">
        <f t="shared" si="1"/>
        <v>24880</v>
      </c>
      <c r="Z25" s="42">
        <f>Jan!BR26</f>
        <v>200.00000000004547</v>
      </c>
      <c r="AA25" s="126">
        <f>Jan!BG26</f>
        <v>2299.9999999999545</v>
      </c>
      <c r="AB25" s="126">
        <f>Jan!BJ26</f>
        <v>9500</v>
      </c>
      <c r="AC25" s="126">
        <f>Jan!BL26+Jan!BN26+Jan!BP26</f>
        <v>6059.99999999995</v>
      </c>
      <c r="AD25" s="126">
        <f>Jan!DR26</f>
        <v>9100</v>
      </c>
      <c r="AE25" s="127">
        <f>Jan!DT26-Jan!DR66-Jan!DT66</f>
        <v>12784.999999999996</v>
      </c>
      <c r="AF25" s="127">
        <f>Jan!DR66+Jan!DT66</f>
        <v>315.00000000000483</v>
      </c>
      <c r="AG25" s="127">
        <f>Jan!HE26</f>
        <v>12126.953200000085</v>
      </c>
      <c r="AH25" s="127">
        <f>Jan!DW26</f>
        <v>5100.0000000003638</v>
      </c>
      <c r="AI25" s="127">
        <f>Jan!DZ26</f>
        <v>7142.13</v>
      </c>
      <c r="AJ25" s="127">
        <f>Jan!EC26</f>
        <v>25302.13</v>
      </c>
      <c r="AK25" s="127">
        <f t="shared" si="4"/>
        <v>37544.260000000366</v>
      </c>
      <c r="AL25" s="127">
        <f>Jan!EG26</f>
        <v>3302.13</v>
      </c>
      <c r="AM25" s="127">
        <f>Jan!EJ26</f>
        <v>5142.13</v>
      </c>
      <c r="AN25" s="127">
        <f>Jan!EM26</f>
        <v>430.00000000006366</v>
      </c>
      <c r="AO25" s="127">
        <f t="shared" si="5"/>
        <v>8874.2600000000639</v>
      </c>
      <c r="AP25" s="127">
        <f>Jan!FX26</f>
        <v>15700</v>
      </c>
      <c r="AQ25" s="127">
        <f>Jan!GA26</f>
        <v>4109.9999999999091</v>
      </c>
      <c r="AR25" s="127">
        <f>Jan!GG26+(Jan!GP26+Jan!GS26)</f>
        <v>4700.0000000005002</v>
      </c>
      <c r="AS25" s="127">
        <f t="shared" si="6"/>
        <v>24510.000000000407</v>
      </c>
      <c r="AT25" s="127">
        <f>Jan!EQ26</f>
        <v>8142.13</v>
      </c>
      <c r="AU25" s="127">
        <f>Jan!ET26</f>
        <v>19800.000000000182</v>
      </c>
      <c r="AV25" s="127">
        <f>Jan!EW26</f>
        <v>7342.130000000273</v>
      </c>
      <c r="AW25" s="127">
        <f>Jan!FL63</f>
        <v>11440.472771551189</v>
      </c>
      <c r="AX25" s="127">
        <f>Jan!GJ26</f>
        <v>1899.9999999998636</v>
      </c>
      <c r="AY25" s="127">
        <f t="shared" si="7"/>
        <v>48624.732771551506</v>
      </c>
      <c r="AZ25" s="127">
        <f>Jan!FG26</f>
        <v>9075.4599999999991</v>
      </c>
      <c r="BA25" s="127">
        <f>Jan!FJ26</f>
        <v>16175.459999999453</v>
      </c>
      <c r="BB25" s="127">
        <f>Jan!FM63</f>
        <v>8777.1172284488075</v>
      </c>
      <c r="BC25" s="127">
        <f>Jan!GM26</f>
        <v>0</v>
      </c>
      <c r="BD25" s="127">
        <f t="shared" si="8"/>
        <v>34028.037228448258</v>
      </c>
      <c r="BE25" s="127">
        <f t="shared" si="11"/>
        <v>24880</v>
      </c>
      <c r="BF25" s="127"/>
      <c r="BG25" s="127"/>
      <c r="BH25" s="127"/>
      <c r="BI25" s="128"/>
      <c r="BJ25" s="128"/>
      <c r="BK25" s="128"/>
      <c r="BL25" s="128">
        <f t="shared" si="16"/>
        <v>24510.000000000407</v>
      </c>
      <c r="BM25" s="128"/>
      <c r="BN25" s="128"/>
      <c r="BO25" s="128"/>
      <c r="BP25" s="128"/>
      <c r="BQ25" s="128"/>
      <c r="BR25" s="42">
        <f>Jan!D64</f>
        <v>0</v>
      </c>
      <c r="BS25" s="42">
        <f>Jan!G64</f>
        <v>55000</v>
      </c>
    </row>
    <row r="26" spans="1:77" x14ac:dyDescent="0.25">
      <c r="A26" s="26">
        <f t="shared" si="10"/>
        <v>20</v>
      </c>
      <c r="B26" s="42">
        <f>Jan!G27</f>
        <v>279040.00000000087</v>
      </c>
      <c r="C26" s="42">
        <f>Jan!N27</f>
        <v>283000</v>
      </c>
      <c r="D26" s="42">
        <f>Jan!T27</f>
        <v>8274.4399999994785</v>
      </c>
      <c r="E26" s="42">
        <f>Jan!V27</f>
        <v>0</v>
      </c>
      <c r="F26" s="42">
        <f>Jan!AB27</f>
        <v>1100</v>
      </c>
      <c r="G26" s="42">
        <f>Jan!X27</f>
        <v>8625.5600000005215</v>
      </c>
      <c r="H26" s="42">
        <f>Jan!AE27</f>
        <v>5500</v>
      </c>
      <c r="I26" s="42">
        <f>Jan!AI27</f>
        <v>13552.820000000545</v>
      </c>
      <c r="J26" s="42">
        <f>Jan!AN27</f>
        <v>7572.820000000027</v>
      </c>
      <c r="K26" s="42">
        <f>Jan!AR27</f>
        <v>14800.000000000182</v>
      </c>
      <c r="L26" s="42">
        <f>Jan!AZ27</f>
        <v>530</v>
      </c>
      <c r="M26" s="42">
        <f>Jan!BC27</f>
        <v>730</v>
      </c>
      <c r="N26" s="125">
        <f t="shared" si="14"/>
        <v>60685.640000000756</v>
      </c>
      <c r="O26" s="125">
        <f>Jan!CA27</f>
        <v>743.60000000001492</v>
      </c>
      <c r="P26" s="125">
        <f>Jan!CD27</f>
        <v>3610.2000000000116</v>
      </c>
      <c r="Q26" s="125">
        <f>Jan!CF27</f>
        <v>0</v>
      </c>
      <c r="R26" s="125">
        <f>Jan!CH27</f>
        <v>0</v>
      </c>
      <c r="S26" s="125">
        <f>Jan!CK27</f>
        <v>17059.219999999623</v>
      </c>
      <c r="T26" s="125">
        <f>Jan!CO27</f>
        <v>6415.8199999999197</v>
      </c>
      <c r="U26" s="125">
        <f>Jan!CS27</f>
        <v>6535.8200000002653</v>
      </c>
      <c r="V26" s="126">
        <f t="shared" si="15"/>
        <v>34364.659999999829</v>
      </c>
      <c r="W26" s="126">
        <f>Jan!CW27</f>
        <v>14819</v>
      </c>
      <c r="X26" s="126">
        <f>Jan!DA27</f>
        <v>10317</v>
      </c>
      <c r="Y26" s="126">
        <f t="shared" si="1"/>
        <v>25136</v>
      </c>
      <c r="Z26" s="42">
        <f>Jan!BR27</f>
        <v>799.99999999995453</v>
      </c>
      <c r="AA26" s="126">
        <f>Jan!BG27</f>
        <v>2200.0000000000455</v>
      </c>
      <c r="AB26" s="126">
        <f>Jan!BJ27</f>
        <v>9600.0000000003638</v>
      </c>
      <c r="AC26" s="126">
        <f>Jan!BL27+Jan!BN27+Jan!BP27</f>
        <v>6780.0000000000182</v>
      </c>
      <c r="AD26" s="126">
        <f>Jan!DR27</f>
        <v>12600</v>
      </c>
      <c r="AE26" s="127">
        <f>Jan!DT27-Jan!DR67-Jan!DT67</f>
        <v>15201</v>
      </c>
      <c r="AF26" s="127">
        <f>Jan!DR67+Jan!DT67</f>
        <v>498.99999999999875</v>
      </c>
      <c r="AG26" s="127">
        <f>Jan!HE27</f>
        <v>14455.496399999995</v>
      </c>
      <c r="AH26" s="127">
        <f>Jan!DW27</f>
        <v>4800.0000000001819</v>
      </c>
      <c r="AI26" s="127">
        <f>Jan!DZ27</f>
        <v>7152.82</v>
      </c>
      <c r="AJ26" s="127">
        <f>Jan!EC27</f>
        <v>25312.82</v>
      </c>
      <c r="AK26" s="127">
        <f t="shared" si="4"/>
        <v>37265.640000000181</v>
      </c>
      <c r="AL26" s="127">
        <f>Jan!EG27</f>
        <v>4312.82</v>
      </c>
      <c r="AM26" s="127">
        <f>Jan!EJ27</f>
        <v>6152.82</v>
      </c>
      <c r="AN26" s="127">
        <f>Jan!EM27</f>
        <v>369.99999999989086</v>
      </c>
      <c r="AO26" s="127">
        <f t="shared" si="5"/>
        <v>10835.63999999989</v>
      </c>
      <c r="AP26" s="127">
        <f>Jan!FX27</f>
        <v>15100</v>
      </c>
      <c r="AQ26" s="127">
        <f>Jan!GA27</f>
        <v>3780.0000000001819</v>
      </c>
      <c r="AR26" s="127">
        <f>Jan!GG27+(Jan!GP27+Jan!GS27)</f>
        <v>4719.9999999998181</v>
      </c>
      <c r="AS26" s="127">
        <f t="shared" si="6"/>
        <v>23600</v>
      </c>
      <c r="AT26" s="127">
        <f>Jan!EQ27</f>
        <v>8152.82</v>
      </c>
      <c r="AU26" s="127">
        <f>Jan!ET27</f>
        <v>18300.000000000182</v>
      </c>
      <c r="AV26" s="127">
        <f>Jan!EW27</f>
        <v>6852.8199999998178</v>
      </c>
      <c r="AW26" s="127">
        <f>Jan!FL64</f>
        <v>10913.203174177417</v>
      </c>
      <c r="AX26" s="127">
        <f>Jan!GJ27</f>
        <v>1800.0000000001819</v>
      </c>
      <c r="AY26" s="127">
        <f t="shared" si="7"/>
        <v>46018.8431741776</v>
      </c>
      <c r="AZ26" s="127">
        <f>Jan!FG27</f>
        <v>8486.15</v>
      </c>
      <c r="BA26" s="127">
        <f>Jan!FJ27</f>
        <v>14786.150000000182</v>
      </c>
      <c r="BB26" s="127">
        <f>Jan!FM64</f>
        <v>10725.766825822588</v>
      </c>
      <c r="BC26" s="127">
        <f>Jan!GM27</f>
        <v>0</v>
      </c>
      <c r="BD26" s="127">
        <f t="shared" si="8"/>
        <v>33998.066825822767</v>
      </c>
      <c r="BE26" s="127">
        <f t="shared" si="11"/>
        <v>25136</v>
      </c>
      <c r="BF26" s="127"/>
      <c r="BG26" s="127"/>
      <c r="BH26" s="127"/>
      <c r="BI26" s="128"/>
      <c r="BJ26" s="128"/>
      <c r="BK26" s="128"/>
      <c r="BL26" s="128">
        <f t="shared" si="16"/>
        <v>23600</v>
      </c>
      <c r="BM26" s="128"/>
      <c r="BN26" s="128"/>
      <c r="BO26" s="128"/>
      <c r="BP26" s="128"/>
      <c r="BQ26" s="128"/>
      <c r="BR26" s="42">
        <f>Jan!D65</f>
        <v>0</v>
      </c>
      <c r="BS26" s="42">
        <f>Jan!G65</f>
        <v>55000</v>
      </c>
    </row>
    <row r="27" spans="1:77" x14ac:dyDescent="0.25">
      <c r="A27" s="26">
        <f t="shared" si="10"/>
        <v>21</v>
      </c>
      <c r="B27" s="42">
        <f>Jan!G28</f>
        <v>275200.0000000007</v>
      </c>
      <c r="C27" s="42">
        <f>Jan!N28</f>
        <v>267000</v>
      </c>
      <c r="D27" s="42">
        <f>Jan!T28</f>
        <v>730.49000000022352</v>
      </c>
      <c r="E27" s="42">
        <f>Jan!V28</f>
        <v>0</v>
      </c>
      <c r="F27" s="42">
        <f>Jan!AB28</f>
        <v>3700</v>
      </c>
      <c r="G27" s="42">
        <f>Jan!X28</f>
        <v>7869.5100000008679</v>
      </c>
      <c r="H27" s="42">
        <f>Jan!AE28</f>
        <v>4099.9999999999091</v>
      </c>
      <c r="I27" s="42">
        <f>Jan!AI28</f>
        <v>9050.7199999996355</v>
      </c>
      <c r="J27" s="42">
        <f>Jan!AN28</f>
        <v>6730.7199999998902</v>
      </c>
      <c r="K27" s="42">
        <f>Jan!AR28</f>
        <v>12500</v>
      </c>
      <c r="L27" s="42">
        <f>Jan!AZ28</f>
        <v>410</v>
      </c>
      <c r="M27" s="42">
        <f>Jan!BC28</f>
        <v>570</v>
      </c>
      <c r="N27" s="125">
        <f t="shared" si="14"/>
        <v>45661.440000000526</v>
      </c>
      <c r="O27" s="125">
        <f>Jan!CA28</f>
        <v>740.90000000001055</v>
      </c>
      <c r="P27" s="125">
        <f>Jan!CD28</f>
        <v>3266.5</v>
      </c>
      <c r="Q27" s="125">
        <f>Jan!CF28</f>
        <v>0</v>
      </c>
      <c r="R27" s="125">
        <f>Jan!CH28</f>
        <v>291.29999999999563</v>
      </c>
      <c r="S27" s="125">
        <f>Jan!CK28</f>
        <v>15859.819999998899</v>
      </c>
      <c r="T27" s="125">
        <f>Jan!CO28</f>
        <v>5878.7200000000657</v>
      </c>
      <c r="U27" s="125">
        <f>Jan!CS28</f>
        <v>5928.7199999997929</v>
      </c>
      <c r="V27" s="126">
        <f t="shared" si="15"/>
        <v>31965.959999998766</v>
      </c>
      <c r="W27" s="126">
        <f>Jan!CW28</f>
        <v>17772</v>
      </c>
      <c r="X27" s="126">
        <f>Jan!DA28</f>
        <v>10798</v>
      </c>
      <c r="Y27" s="126">
        <f t="shared" si="1"/>
        <v>28570</v>
      </c>
      <c r="Z27" s="42">
        <f>Jan!BR28</f>
        <v>700.00000000004547</v>
      </c>
      <c r="AA27" s="126">
        <f>Jan!BG28</f>
        <v>2399.9999999998636</v>
      </c>
      <c r="AB27" s="126">
        <f>Jan!BJ28</f>
        <v>9399.9999999996362</v>
      </c>
      <c r="AC27" s="126">
        <f>Jan!BL28+Jan!BN28+Jan!BP28</f>
        <v>5220.0000000000637</v>
      </c>
      <c r="AD27" s="126">
        <f>Jan!DR28</f>
        <v>11600</v>
      </c>
      <c r="AE27" s="127">
        <f>Jan!DT28-Jan!DR68-Jan!DT68</f>
        <v>15630.000000000002</v>
      </c>
      <c r="AF27" s="127">
        <f>Jan!DR68+Jan!DT68</f>
        <v>469.9999999999971</v>
      </c>
      <c r="AG27" s="127">
        <f>Jan!HE28</f>
        <v>11465.431999999995</v>
      </c>
      <c r="AH27" s="127">
        <f>Jan!DW28</f>
        <v>4500</v>
      </c>
      <c r="AI27" s="127">
        <f>Jan!DZ28</f>
        <v>6150.72</v>
      </c>
      <c r="AJ27" s="127">
        <f>Jan!EC28</f>
        <v>24310.720000000001</v>
      </c>
      <c r="AK27" s="127">
        <f t="shared" si="4"/>
        <v>34961.440000000002</v>
      </c>
      <c r="AL27" s="127">
        <f>Jan!EG28</f>
        <v>18310.72</v>
      </c>
      <c r="AM27" s="127">
        <f>Jan!EJ28</f>
        <v>8150.72</v>
      </c>
      <c r="AN27" s="127">
        <f>Jan!EM28</f>
        <v>590.00000000003183</v>
      </c>
      <c r="AO27" s="127">
        <f t="shared" si="5"/>
        <v>27051.440000000035</v>
      </c>
      <c r="AP27" s="127">
        <f>Jan!FX28</f>
        <v>24400</v>
      </c>
      <c r="AQ27" s="127">
        <f>Jan!GA28</f>
        <v>6119.9999999998181</v>
      </c>
      <c r="AR27" s="127">
        <f>Jan!GG28+(Jan!GP28+Jan!GS28)</f>
        <v>6880.000000000864</v>
      </c>
      <c r="AS27" s="127">
        <f t="shared" si="6"/>
        <v>37400.000000000684</v>
      </c>
      <c r="AT27" s="127">
        <f>Jan!EQ28</f>
        <v>9150.7199999999993</v>
      </c>
      <c r="AU27" s="127">
        <f>Jan!ET28</f>
        <v>16599.999999999454</v>
      </c>
      <c r="AV27" s="127">
        <f>Jan!EW28</f>
        <v>6650.72</v>
      </c>
      <c r="AW27" s="127">
        <f>Jan!FL65</f>
        <v>9368.8335027989742</v>
      </c>
      <c r="AX27" s="127">
        <f>Jan!GJ28</f>
        <v>1399.9999999998636</v>
      </c>
      <c r="AY27" s="127">
        <f t="shared" si="7"/>
        <v>43170.273502798293</v>
      </c>
      <c r="AZ27" s="127">
        <f>Jan!FG28</f>
        <v>9850.7199999999993</v>
      </c>
      <c r="BA27" s="127">
        <f>Jan!FJ28</f>
        <v>18050.719999999819</v>
      </c>
      <c r="BB27" s="127">
        <f>Jan!FM65</f>
        <v>11632.606497201021</v>
      </c>
      <c r="BC27" s="127">
        <f>Jan!GM28</f>
        <v>0</v>
      </c>
      <c r="BD27" s="127">
        <f t="shared" si="8"/>
        <v>39534.046497200841</v>
      </c>
      <c r="BE27" s="127">
        <f t="shared" si="11"/>
        <v>28570</v>
      </c>
      <c r="BF27" s="127"/>
      <c r="BG27" s="127"/>
      <c r="BH27" s="127"/>
      <c r="BI27" s="128"/>
      <c r="BJ27" s="128">
        <f>AS27*25/100</f>
        <v>9350.000000000171</v>
      </c>
      <c r="BK27" s="128"/>
      <c r="BL27" s="128">
        <f>AS27*75/100</f>
        <v>28050.000000000513</v>
      </c>
      <c r="BM27" s="128"/>
      <c r="BN27" s="128"/>
      <c r="BO27" s="128"/>
      <c r="BP27" s="128"/>
      <c r="BQ27" s="128"/>
      <c r="BR27" s="42">
        <f>Jan!D66</f>
        <v>0</v>
      </c>
      <c r="BS27" s="42">
        <f>Jan!G66</f>
        <v>70000</v>
      </c>
    </row>
    <row r="28" spans="1:77" x14ac:dyDescent="0.25">
      <c r="A28" s="26">
        <f t="shared" si="10"/>
        <v>22</v>
      </c>
      <c r="B28" s="42">
        <f>Jan!G29</f>
        <v>275200.00000000803</v>
      </c>
      <c r="C28" s="42">
        <f>Jan!N29</f>
        <v>277000</v>
      </c>
      <c r="D28" s="42">
        <f>Jan!T29</f>
        <v>0</v>
      </c>
      <c r="E28" s="42">
        <f>Jan!V29</f>
        <v>0</v>
      </c>
      <c r="F28" s="42">
        <f>Jan!AB29</f>
        <v>4500</v>
      </c>
      <c r="G28" s="42">
        <f>Jan!X29</f>
        <v>8299.9999999992724</v>
      </c>
      <c r="H28" s="42">
        <f>Jan!AE29</f>
        <v>4500</v>
      </c>
      <c r="I28" s="42">
        <f>Jan!AI29</f>
        <v>10450.720000000181</v>
      </c>
      <c r="J28" s="42">
        <f>Jan!AN29</f>
        <v>7300.7200000011271</v>
      </c>
      <c r="K28" s="42">
        <f>Jan!AR29</f>
        <v>13800.000000000182</v>
      </c>
      <c r="L28" s="42">
        <f>Jan!AZ29</f>
        <v>520</v>
      </c>
      <c r="M28" s="42">
        <f>Jan!BC29</f>
        <v>690</v>
      </c>
      <c r="N28" s="125">
        <f t="shared" si="14"/>
        <v>50061.440000000766</v>
      </c>
      <c r="O28" s="125">
        <f>Jan!CA29</f>
        <v>779.99999999997272</v>
      </c>
      <c r="P28" s="125">
        <f>Jan!CD29</f>
        <v>3581.2999999999884</v>
      </c>
      <c r="Q28" s="125">
        <f>Jan!CF29</f>
        <v>0</v>
      </c>
      <c r="R28" s="125">
        <f>Jan!CH29</f>
        <v>0</v>
      </c>
      <c r="S28" s="125">
        <f>Jan!CK29</f>
        <v>16750.720000001049</v>
      </c>
      <c r="T28" s="125">
        <f>Jan!CO29</f>
        <v>6306.7199999999493</v>
      </c>
      <c r="U28" s="125">
        <f>Jan!CS29</f>
        <v>6797.7199999999348</v>
      </c>
      <c r="V28" s="126">
        <f t="shared" si="15"/>
        <v>34216.460000000894</v>
      </c>
      <c r="W28" s="126">
        <f>Jan!CW29</f>
        <v>19132</v>
      </c>
      <c r="X28" s="126">
        <f>Jan!DA29</f>
        <v>11480</v>
      </c>
      <c r="Y28" s="126">
        <f t="shared" si="1"/>
        <v>30612</v>
      </c>
      <c r="Z28" s="42">
        <f>Jan!BR29</f>
        <v>799.99999999995453</v>
      </c>
      <c r="AA28" s="126">
        <f>Jan!BG29</f>
        <v>2400.0000000000909</v>
      </c>
      <c r="AB28" s="126">
        <f>Jan!BJ29</f>
        <v>10000</v>
      </c>
      <c r="AC28" s="126">
        <f>Jan!BL29+Jan!BN29+Jan!BP29</f>
        <v>5850.0000000000091</v>
      </c>
      <c r="AD28" s="126">
        <f>Jan!DR29</f>
        <v>12600</v>
      </c>
      <c r="AE28" s="127">
        <f>Jan!DT29-Jan!DR69-Jan!DT69</f>
        <v>12910.999999999993</v>
      </c>
      <c r="AF28" s="127">
        <f>Jan!DR69+Jan!DT69</f>
        <v>389.00000000000824</v>
      </c>
      <c r="AG28" s="127">
        <f>Jan!HE29</f>
        <v>13142.921999999935</v>
      </c>
      <c r="AH28" s="127">
        <f>Jan!DW29</f>
        <v>4699.9999999998181</v>
      </c>
      <c r="AI28" s="127">
        <f>Jan!DZ29</f>
        <v>7150.72</v>
      </c>
      <c r="AJ28" s="127">
        <f>Jan!EC29</f>
        <v>25310.720000000001</v>
      </c>
      <c r="AK28" s="127">
        <f t="shared" si="4"/>
        <v>37161.43999999982</v>
      </c>
      <c r="AL28" s="127">
        <f>Jan!EG29</f>
        <v>22310.720000000001</v>
      </c>
      <c r="AM28" s="127">
        <f>Jan!EJ29</f>
        <v>12150.72</v>
      </c>
      <c r="AN28" s="127">
        <f>Jan!EM29</f>
        <v>680.00000000006366</v>
      </c>
      <c r="AO28" s="127">
        <f t="shared" si="5"/>
        <v>35141.440000000068</v>
      </c>
      <c r="AP28" s="127">
        <f>Jan!FX29</f>
        <v>21400</v>
      </c>
      <c r="AQ28" s="127">
        <f>Jan!GA29</f>
        <v>5530.0000000003638</v>
      </c>
      <c r="AR28" s="127">
        <f>Jan!GG29+(Jan!GP29+Jan!GS29)</f>
        <v>5379.9999999999545</v>
      </c>
      <c r="AS28" s="127">
        <f t="shared" si="6"/>
        <v>32310.00000000032</v>
      </c>
      <c r="AT28" s="127">
        <f>Jan!EQ29</f>
        <v>9150.7199999999993</v>
      </c>
      <c r="AU28" s="127">
        <f>Jan!ET29</f>
        <v>18900.000000000546</v>
      </c>
      <c r="AV28" s="127">
        <f>Jan!EW29</f>
        <v>7550.7200000000912</v>
      </c>
      <c r="AW28" s="127">
        <f>Jan!FL66</f>
        <v>11072.454715630594</v>
      </c>
      <c r="AX28" s="127">
        <f>Jan!GJ29</f>
        <v>1700.0000000000455</v>
      </c>
      <c r="AY28" s="127">
        <f t="shared" si="7"/>
        <v>48373.894715631272</v>
      </c>
      <c r="AZ28" s="127">
        <f>Jan!FG29</f>
        <v>8117.39</v>
      </c>
      <c r="BA28" s="127">
        <f>Jan!FJ29</f>
        <v>14917.390000000181</v>
      </c>
      <c r="BB28" s="127">
        <f>Jan!FM66</f>
        <v>8195.6552843694099</v>
      </c>
      <c r="BC28" s="127">
        <f>Jan!GM29</f>
        <v>0</v>
      </c>
      <c r="BD28" s="127">
        <f t="shared" si="8"/>
        <v>31230.435284369589</v>
      </c>
      <c r="BE28" s="127">
        <f t="shared" si="11"/>
        <v>30612</v>
      </c>
      <c r="BF28" s="127"/>
      <c r="BG28" s="127"/>
      <c r="BH28" s="127"/>
      <c r="BI28" s="128"/>
      <c r="BJ28" s="128">
        <f>AS28*60/100</f>
        <v>19386.000000000189</v>
      </c>
      <c r="BK28" s="128"/>
      <c r="BL28" s="128">
        <f>AS28*40/100</f>
        <v>12924.000000000127</v>
      </c>
      <c r="BM28" s="128"/>
      <c r="BN28" s="128"/>
      <c r="BO28" s="128"/>
      <c r="BP28" s="128"/>
      <c r="BQ28" s="128"/>
      <c r="BR28" s="42">
        <f>Jan!D67</f>
        <v>0</v>
      </c>
      <c r="BS28" s="42">
        <f>Jan!G67</f>
        <v>82000</v>
      </c>
    </row>
    <row r="29" spans="1:77" x14ac:dyDescent="0.25">
      <c r="A29" s="26">
        <f t="shared" si="10"/>
        <v>23</v>
      </c>
      <c r="B29" s="42">
        <f>Jan!G30</f>
        <v>275520.00000000047</v>
      </c>
      <c r="C29" s="42">
        <f>Jan!N30</f>
        <v>274000</v>
      </c>
      <c r="D29" s="42">
        <f>Jan!T30</f>
        <v>0.49000000022351742</v>
      </c>
      <c r="E29" s="42">
        <f>Jan!V30</f>
        <v>0</v>
      </c>
      <c r="F29" s="42">
        <f>Jan!AB30</f>
        <v>4700</v>
      </c>
      <c r="G29" s="42">
        <f>Jan!X30</f>
        <v>8199.5099999994127</v>
      </c>
      <c r="H29" s="42">
        <f>Jan!AE30</f>
        <v>4400.0000000000909</v>
      </c>
      <c r="I29" s="42">
        <f>Jan!AI30</f>
        <v>10850.889999999818</v>
      </c>
      <c r="J29" s="42">
        <f>Jan!AN30</f>
        <v>7490.8899999989944</v>
      </c>
      <c r="K29" s="42">
        <f>Jan!AR30</f>
        <v>13800.000000000182</v>
      </c>
      <c r="L29" s="42">
        <f>Jan!AZ30</f>
        <v>490</v>
      </c>
      <c r="M29" s="42">
        <f>Jan!BC30</f>
        <v>680</v>
      </c>
      <c r="N29" s="125">
        <f t="shared" si="12"/>
        <v>50611.779999998718</v>
      </c>
      <c r="O29" s="125">
        <f>Jan!CA30</f>
        <v>755.20000000000209</v>
      </c>
      <c r="P29" s="125">
        <f>Jan!CD30</f>
        <v>3472.6000000000349</v>
      </c>
      <c r="Q29" s="125">
        <f>Jan!CF30</f>
        <v>0</v>
      </c>
      <c r="R29" s="125">
        <f>Jan!CH30</f>
        <v>0</v>
      </c>
      <c r="S29" s="125">
        <f>Jan!CK30</f>
        <v>16045.689999999633</v>
      </c>
      <c r="T29" s="125">
        <f>Jan!CO30</f>
        <v>6223.8899999998657</v>
      </c>
      <c r="U29" s="125">
        <f>Jan!CS30</f>
        <v>6896.8900000000949</v>
      </c>
      <c r="V29" s="126">
        <f t="shared" si="13"/>
        <v>33394.269999999633</v>
      </c>
      <c r="W29" s="126">
        <f>Jan!CW30</f>
        <v>18345</v>
      </c>
      <c r="X29" s="126">
        <f>Jan!DA30</f>
        <v>11156</v>
      </c>
      <c r="Y29" s="126">
        <f t="shared" si="1"/>
        <v>29501</v>
      </c>
      <c r="Z29" s="42">
        <f>Jan!BR30</f>
        <v>500</v>
      </c>
      <c r="AA29" s="126">
        <f>Jan!BG30</f>
        <v>2500</v>
      </c>
      <c r="AB29" s="126">
        <f>Jan!BJ30</f>
        <v>9600.0000000003638</v>
      </c>
      <c r="AC29" s="126">
        <f>Jan!BL30+Jan!BN30+Jan!BP30</f>
        <v>5859.9999999999136</v>
      </c>
      <c r="AD29" s="126">
        <f>Jan!DR30</f>
        <v>12400</v>
      </c>
      <c r="AE29" s="127">
        <f>Jan!DT30-Jan!DR70-Jan!DT70</f>
        <v>15137.000000000007</v>
      </c>
      <c r="AF29" s="127">
        <f>Jan!DR70+Jan!DT70</f>
        <v>362.99999999999244</v>
      </c>
      <c r="AG29" s="127">
        <f>Jan!HE30</f>
        <v>13714.003199999996</v>
      </c>
      <c r="AH29" s="127">
        <f>Jan!DW30</f>
        <v>4699.9999999998181</v>
      </c>
      <c r="AI29" s="127">
        <f>Jan!DZ30</f>
        <v>7150.89</v>
      </c>
      <c r="AJ29" s="127">
        <f>Jan!EC30</f>
        <v>25310.89</v>
      </c>
      <c r="AK29" s="127">
        <f t="shared" si="4"/>
        <v>37161.779999999817</v>
      </c>
      <c r="AL29" s="127">
        <f>Jan!EG30</f>
        <v>23310.89</v>
      </c>
      <c r="AM29" s="127">
        <f>Jan!EJ30</f>
        <v>12150.89</v>
      </c>
      <c r="AN29" s="127">
        <f>Jan!EM30</f>
        <v>909.99999999996817</v>
      </c>
      <c r="AO29" s="127">
        <f t="shared" ref="AO29:AO37" si="17">SUM(AL29:AN29)</f>
        <v>36371.77999999997</v>
      </c>
      <c r="AP29" s="127">
        <f>Jan!FX30</f>
        <v>25400</v>
      </c>
      <c r="AQ29" s="127">
        <f>Jan!GA30</f>
        <v>6580</v>
      </c>
      <c r="AR29" s="127">
        <f>Jan!GG30+(Jan!GP30+Jan!GS30)</f>
        <v>7219.9999999997272</v>
      </c>
      <c r="AS29" s="127">
        <f t="shared" si="6"/>
        <v>39199.999999999724</v>
      </c>
      <c r="AT29" s="127">
        <f>Jan!EQ30</f>
        <v>9150.89</v>
      </c>
      <c r="AU29" s="127">
        <f>Jan!ET30</f>
        <v>19099.999999999454</v>
      </c>
      <c r="AV29" s="127">
        <f>Jan!EW30</f>
        <v>7250.8899999999094</v>
      </c>
      <c r="AW29" s="127">
        <f>Jan!FL67</f>
        <v>12798.446118976257</v>
      </c>
      <c r="AX29" s="127">
        <f>Jan!GJ30</f>
        <v>1599.9999999999091</v>
      </c>
      <c r="AY29" s="127">
        <f t="shared" si="7"/>
        <v>49900.226118975537</v>
      </c>
      <c r="AZ29" s="127">
        <f>Jan!FG30</f>
        <v>5050.8900000000003</v>
      </c>
      <c r="BA29" s="127">
        <f>Jan!FJ30</f>
        <v>9850.8900000001813</v>
      </c>
      <c r="BB29" s="127">
        <f>Jan!FM67</f>
        <v>6403.3338810237419</v>
      </c>
      <c r="BC29" s="127">
        <f>Jan!GM30</f>
        <v>0</v>
      </c>
      <c r="BD29" s="127">
        <f t="shared" si="8"/>
        <v>21305.113881023921</v>
      </c>
      <c r="BE29" s="127">
        <f t="shared" si="11"/>
        <v>29501</v>
      </c>
      <c r="BF29" s="127"/>
      <c r="BG29" s="127"/>
      <c r="BH29" s="127"/>
      <c r="BI29" s="128"/>
      <c r="BJ29" s="128">
        <f>AS29*70/100</f>
        <v>27439.999999999804</v>
      </c>
      <c r="BK29" s="128"/>
      <c r="BL29" s="128">
        <f>AS29*30/100</f>
        <v>11759.999999999916</v>
      </c>
      <c r="BM29" s="128"/>
      <c r="BN29" s="128"/>
      <c r="BO29" s="128"/>
      <c r="BP29" s="128"/>
      <c r="BQ29" s="128"/>
      <c r="BR29" s="42">
        <f>Jan!D68</f>
        <v>0</v>
      </c>
      <c r="BS29" s="42">
        <f>Jan!G68</f>
        <v>82000</v>
      </c>
    </row>
    <row r="30" spans="1:77" x14ac:dyDescent="0.25">
      <c r="A30" s="26">
        <f t="shared" si="10"/>
        <v>24</v>
      </c>
      <c r="B30" s="42">
        <f>Jan!G31</f>
        <v>299839.9999999929</v>
      </c>
      <c r="C30" s="42">
        <f>Jan!N31</f>
        <v>295000</v>
      </c>
      <c r="D30" s="42">
        <f>Jan!T31</f>
        <v>0</v>
      </c>
      <c r="E30" s="42">
        <f>Jan!V31</f>
        <v>0</v>
      </c>
      <c r="F30" s="42">
        <f>Jan!AB31</f>
        <v>4900</v>
      </c>
      <c r="G30" s="42">
        <f>Jan!X31</f>
        <v>8200.0000000003638</v>
      </c>
      <c r="H30" s="42">
        <f>Jan!AE31</f>
        <v>4699.9999999998181</v>
      </c>
      <c r="I30" s="42">
        <f>Jan!AI31</f>
        <v>11164.21</v>
      </c>
      <c r="J30" s="42">
        <f>Jan!AN31</f>
        <v>7074.2099999999127</v>
      </c>
      <c r="K30" s="42">
        <f>Jan!AR31</f>
        <v>14399.999999999636</v>
      </c>
      <c r="L30" s="42">
        <f>Jan!AZ31</f>
        <v>530</v>
      </c>
      <c r="M30" s="42">
        <f>Jan!BC31</f>
        <v>710</v>
      </c>
      <c r="N30" s="125">
        <f t="shared" si="12"/>
        <v>51678.419999999729</v>
      </c>
      <c r="O30" s="125">
        <f>Jan!CA31</f>
        <v>800.90000000001282</v>
      </c>
      <c r="P30" s="125">
        <f>Jan!CD31</f>
        <v>3466.8999999999651</v>
      </c>
      <c r="Q30" s="125">
        <f>Jan!CF31</f>
        <v>0</v>
      </c>
      <c r="R30" s="125">
        <f>Jan!CH31</f>
        <v>193.80000000000291</v>
      </c>
      <c r="S30" s="125">
        <f>Jan!CK31</f>
        <v>16333.309999999332</v>
      </c>
      <c r="T30" s="125">
        <f>Jan!CO31</f>
        <v>6256.2100000000983</v>
      </c>
      <c r="U30" s="125">
        <f>Jan!CS31</f>
        <v>6843.2100000000873</v>
      </c>
      <c r="V30" s="126">
        <f t="shared" si="13"/>
        <v>33894.3299999995</v>
      </c>
      <c r="W30" s="126">
        <f>Jan!CW31</f>
        <v>14321</v>
      </c>
      <c r="X30" s="126">
        <f>Jan!DA31</f>
        <v>9369</v>
      </c>
      <c r="Y30" s="126">
        <f t="shared" si="1"/>
        <v>23690</v>
      </c>
      <c r="Z30" s="42">
        <f>Jan!BR31</f>
        <v>800.00000000006821</v>
      </c>
      <c r="AA30" s="126">
        <f>Jan!BG31</f>
        <v>2099.9999999999091</v>
      </c>
      <c r="AB30" s="126">
        <f>Jan!BJ31</f>
        <v>9699.9999999998181</v>
      </c>
      <c r="AC30" s="126">
        <f>Jan!BL31+Jan!BN31+Jan!BP31</f>
        <v>5290.0000000000182</v>
      </c>
      <c r="AD30" s="126">
        <f>Jan!DR31</f>
        <v>12000</v>
      </c>
      <c r="AE30" s="127">
        <f>Jan!DT31-Jan!DR71-Jan!DT71</f>
        <v>14018.999999999991</v>
      </c>
      <c r="AF30" s="127">
        <f>Jan!DR71+Jan!DT71</f>
        <v>381.00000000000909</v>
      </c>
      <c r="AG30" s="127">
        <f>Jan!HE31</f>
        <v>20275.104400000058</v>
      </c>
      <c r="AH30" s="127">
        <f>Jan!DW31</f>
        <v>4600.0000000003638</v>
      </c>
      <c r="AI30" s="127">
        <f>Jan!DZ31</f>
        <v>6164.21</v>
      </c>
      <c r="AJ30" s="127">
        <f>Jan!EC31</f>
        <v>24324.21</v>
      </c>
      <c r="AK30" s="127">
        <f t="shared" si="4"/>
        <v>35088.420000000362</v>
      </c>
      <c r="AL30" s="127">
        <f>Jan!EG31</f>
        <v>23324.21</v>
      </c>
      <c r="AM30" s="127">
        <f>Jan!EJ31</f>
        <v>12164.21</v>
      </c>
      <c r="AN30" s="127">
        <f>Jan!EM31</f>
        <v>750</v>
      </c>
      <c r="AO30" s="127">
        <f t="shared" si="17"/>
        <v>36238.42</v>
      </c>
      <c r="AP30" s="127">
        <f>Jan!FX31</f>
        <v>34100</v>
      </c>
      <c r="AQ30" s="127">
        <f>Jan!GA31</f>
        <v>7639.9999999996362</v>
      </c>
      <c r="AR30" s="127">
        <f>Jan!GG31+(Jan!GP31+Jan!GS31)</f>
        <v>8659.9999999998636</v>
      </c>
      <c r="AS30" s="127">
        <f t="shared" si="6"/>
        <v>50399.999999999498</v>
      </c>
      <c r="AT30" s="127">
        <f>Jan!EQ31</f>
        <v>9164.2099999999991</v>
      </c>
      <c r="AU30" s="127">
        <f>Jan!ET31</f>
        <v>19700.000000000728</v>
      </c>
      <c r="AV30" s="127">
        <f>Jan!EW31</f>
        <v>7564.210000000091</v>
      </c>
      <c r="AW30" s="127">
        <f>Jan!FL68</f>
        <v>11317.697783514139</v>
      </c>
      <c r="AX30" s="127">
        <f>Jan!GJ31</f>
        <v>1600.0000000001364</v>
      </c>
      <c r="AY30" s="127">
        <f t="shared" si="7"/>
        <v>49346.117783515096</v>
      </c>
      <c r="AZ30" s="127">
        <f>Jan!FG31</f>
        <v>8530.8799999999992</v>
      </c>
      <c r="BA30" s="127">
        <f>Jan!FJ31</f>
        <v>18030.879999999997</v>
      </c>
      <c r="BB30" s="127">
        <f>Jan!FM68</f>
        <v>9377.3922164858614</v>
      </c>
      <c r="BC30" s="127">
        <f>Jan!GM31</f>
        <v>0</v>
      </c>
      <c r="BD30" s="127">
        <f t="shared" si="8"/>
        <v>35939.152216485854</v>
      </c>
      <c r="BE30" s="127">
        <f t="shared" si="11"/>
        <v>23690</v>
      </c>
      <c r="BF30" s="127"/>
      <c r="BG30" s="127"/>
      <c r="BH30" s="127"/>
      <c r="BI30" s="128"/>
      <c r="BJ30" s="128">
        <f>AS30*60/100</f>
        <v>30239.999999999698</v>
      </c>
      <c r="BK30" s="128"/>
      <c r="BL30" s="128">
        <f>AS30*40/100</f>
        <v>20159.9999999998</v>
      </c>
      <c r="BM30" s="128"/>
      <c r="BN30" s="128"/>
      <c r="BO30" s="128"/>
      <c r="BP30" s="128"/>
      <c r="BQ30" s="128"/>
      <c r="BR30" s="42">
        <f>Jan!D69</f>
        <v>0</v>
      </c>
      <c r="BS30" s="42">
        <f>Jan!G69</f>
        <v>81000</v>
      </c>
    </row>
    <row r="31" spans="1:77" x14ac:dyDescent="0.25">
      <c r="A31" s="26">
        <f t="shared" si="10"/>
        <v>25</v>
      </c>
      <c r="B31" s="42">
        <f>Jan!G32</f>
        <v>269119.99999999895</v>
      </c>
      <c r="C31" s="42">
        <f>Jan!N32</f>
        <v>271000</v>
      </c>
      <c r="D31" s="42">
        <f>Jan!T32</f>
        <v>0</v>
      </c>
      <c r="E31" s="42">
        <f>Jan!V32</f>
        <v>0</v>
      </c>
      <c r="F31" s="42">
        <f>Jan!AB32</f>
        <v>5190</v>
      </c>
      <c r="G31" s="42">
        <f>Jan!X32</f>
        <v>8510.0000000007276</v>
      </c>
      <c r="H31" s="42">
        <f>Jan!AE32</f>
        <v>5900.0000000000909</v>
      </c>
      <c r="I31" s="42">
        <f>Jan!AI32</f>
        <v>13447.390000000181</v>
      </c>
      <c r="J31" s="42">
        <f>Jan!AN32</f>
        <v>7557.3899999996947</v>
      </c>
      <c r="K31" s="42">
        <f>Jan!AR32</f>
        <v>11800.000000000182</v>
      </c>
      <c r="L31" s="42">
        <f>Jan!AZ32</f>
        <v>451.47999999998137</v>
      </c>
      <c r="M31" s="42">
        <f>Jan!BC32</f>
        <v>595.64800000000105</v>
      </c>
      <c r="N31" s="125">
        <f t="shared" si="12"/>
        <v>53451.908000000862</v>
      </c>
      <c r="O31" s="125">
        <f>Jan!CA32</f>
        <v>680.4000000000201</v>
      </c>
      <c r="P31" s="125">
        <f>Jan!CD32</f>
        <v>2896.7000000000116</v>
      </c>
      <c r="Q31" s="125">
        <f>Jan!CF32</f>
        <v>9.9999999976716936E-2</v>
      </c>
      <c r="R31" s="125">
        <f>Jan!CH32</f>
        <v>233.59999999999854</v>
      </c>
      <c r="S31" s="125">
        <f>Jan!CK32</f>
        <v>14826.990000000562</v>
      </c>
      <c r="T31" s="125">
        <f>Jan!CO32</f>
        <v>5569.3900000000258</v>
      </c>
      <c r="U31" s="125">
        <f>Jan!CS32</f>
        <v>5952.3899999998366</v>
      </c>
      <c r="V31" s="126">
        <f t="shared" si="13"/>
        <v>30159.570000000429</v>
      </c>
      <c r="W31" s="126">
        <f>Jan!CW32</f>
        <v>16956</v>
      </c>
      <c r="X31" s="126">
        <f>Jan!DA32</f>
        <v>10255</v>
      </c>
      <c r="Y31" s="126">
        <f t="shared" si="1"/>
        <v>27211</v>
      </c>
      <c r="Z31" s="42">
        <f>Jan!BR32</f>
        <v>709.99999999992269</v>
      </c>
      <c r="AA31" s="126">
        <f>Jan!BG32</f>
        <v>2100.0000000001364</v>
      </c>
      <c r="AB31" s="126">
        <f>Jan!BJ32</f>
        <v>9500</v>
      </c>
      <c r="AC31" s="126">
        <f>Jan!BL32+Jan!BN32+Jan!BP32</f>
        <v>4780.0000000000182</v>
      </c>
      <c r="AD31" s="126">
        <f>Jan!DR32</f>
        <v>11300</v>
      </c>
      <c r="AE31" s="127">
        <f>Jan!DT32-Jan!DR72-Jan!DT72</f>
        <v>13583.000000000004</v>
      </c>
      <c r="AF31" s="127">
        <f>Jan!DR72+Jan!DT72</f>
        <v>216.99999999999699</v>
      </c>
      <c r="AG31" s="127">
        <f>Jan!HE32</f>
        <v>12423.6592</v>
      </c>
      <c r="AH31" s="127">
        <f>Jan!DW32</f>
        <v>4599.9999999994543</v>
      </c>
      <c r="AI31" s="127">
        <f>Jan!DZ32</f>
        <v>11147.39</v>
      </c>
      <c r="AJ31" s="127">
        <f>Jan!EC32</f>
        <v>24307.39</v>
      </c>
      <c r="AK31" s="127">
        <f t="shared" si="4"/>
        <v>40054.779999999453</v>
      </c>
      <c r="AL31" s="127">
        <f>Jan!EG32</f>
        <v>23307.39</v>
      </c>
      <c r="AM31" s="127">
        <f>Jan!EJ32</f>
        <v>11147.39</v>
      </c>
      <c r="AN31" s="127">
        <f>Jan!EM32</f>
        <v>689.99999999994088</v>
      </c>
      <c r="AO31" s="127">
        <f t="shared" si="17"/>
        <v>35144.779999999941</v>
      </c>
      <c r="AP31" s="127">
        <f>Jan!FX32</f>
        <v>19100</v>
      </c>
      <c r="AQ31" s="127">
        <f>Jan!GA32</f>
        <v>5070.0000000003638</v>
      </c>
      <c r="AR31" s="127">
        <f>Jan!GG32+(Jan!GP32+Jan!GS32)</f>
        <v>6429.9999999991815</v>
      </c>
      <c r="AS31" s="127">
        <f t="shared" si="6"/>
        <v>30599.999999999545</v>
      </c>
      <c r="AT31" s="127">
        <f>Jan!EQ32</f>
        <v>8147.39</v>
      </c>
      <c r="AU31" s="127">
        <f>Jan!ET32</f>
        <v>19199.999999999818</v>
      </c>
      <c r="AV31" s="127">
        <f>Jan!EW32</f>
        <v>7347.3899999998184</v>
      </c>
      <c r="AW31" s="127">
        <f>Jan!FL69</f>
        <v>15010.991081922641</v>
      </c>
      <c r="AX31" s="127">
        <f>Jan!GJ32</f>
        <v>1599.9999999999091</v>
      </c>
      <c r="AY31" s="127">
        <f t="shared" si="7"/>
        <v>51305.771081922183</v>
      </c>
      <c r="AZ31" s="127">
        <f>Jan!FG32</f>
        <v>7180.72</v>
      </c>
      <c r="BA31" s="127">
        <f>Jan!FJ32</f>
        <v>11280.719999999454</v>
      </c>
      <c r="BB31" s="127">
        <f>Jan!FM69</f>
        <v>6317.1189180773627</v>
      </c>
      <c r="BC31" s="127">
        <f>Jan!GM32</f>
        <v>800.0000000001819</v>
      </c>
      <c r="BD31" s="127">
        <f t="shared" si="8"/>
        <v>25578.558918076997</v>
      </c>
      <c r="BE31" s="127">
        <f t="shared" si="11"/>
        <v>27211</v>
      </c>
      <c r="BF31" s="127"/>
      <c r="BG31" s="127"/>
      <c r="BH31" s="127"/>
      <c r="BI31" s="128"/>
      <c r="BJ31" s="128">
        <f>AS31</f>
        <v>30599.999999999545</v>
      </c>
      <c r="BK31" s="128"/>
      <c r="BL31" s="128"/>
      <c r="BM31" s="128"/>
      <c r="BN31" s="128"/>
      <c r="BO31" s="128"/>
      <c r="BP31" s="128"/>
      <c r="BQ31" s="128"/>
      <c r="BR31" s="42">
        <f>Jan!D70</f>
        <v>0</v>
      </c>
      <c r="BS31" s="42">
        <f>Jan!G70</f>
        <v>79000</v>
      </c>
    </row>
    <row r="32" spans="1:77" x14ac:dyDescent="0.25">
      <c r="A32" s="26">
        <f t="shared" si="10"/>
        <v>26</v>
      </c>
      <c r="B32" s="42">
        <f>Jan!G33</f>
        <v>290560.00000000495</v>
      </c>
      <c r="C32" s="42">
        <f>Jan!N33</f>
        <v>289000</v>
      </c>
      <c r="D32" s="42">
        <f>Jan!T33</f>
        <v>0</v>
      </c>
      <c r="E32" s="42">
        <f>Jan!V33</f>
        <v>0</v>
      </c>
      <c r="F32" s="42">
        <f>Jan!AB33</f>
        <v>5350</v>
      </c>
      <c r="G32" s="42">
        <f>Jan!X33</f>
        <v>8449.9999999992724</v>
      </c>
      <c r="H32" s="42">
        <f>Jan!AE33</f>
        <v>7500</v>
      </c>
      <c r="I32" s="42">
        <f>Jan!AI33</f>
        <v>17159.13</v>
      </c>
      <c r="J32" s="42">
        <f>Jan!AN33</f>
        <v>7279.1300000010497</v>
      </c>
      <c r="K32" s="42">
        <f>Jan!AR33</f>
        <v>9100.0000000003638</v>
      </c>
      <c r="L32" s="42">
        <f>Jan!AZ33</f>
        <v>112.67999999999302</v>
      </c>
      <c r="M32" s="42">
        <f>Jan!BC33</f>
        <v>90.423999999999069</v>
      </c>
      <c r="N32" s="125">
        <f t="shared" si="12"/>
        <v>55041.364000000685</v>
      </c>
      <c r="O32" s="125">
        <f>Jan!CA33</f>
        <v>779.99999999997272</v>
      </c>
      <c r="P32" s="125">
        <f>Jan!CD33</f>
        <v>3320</v>
      </c>
      <c r="Q32" s="125">
        <f>Jan!CF33</f>
        <v>30</v>
      </c>
      <c r="R32" s="125">
        <f>Jan!CH33</f>
        <v>0</v>
      </c>
      <c r="S32" s="125">
        <f>Jan!CK33</f>
        <v>16379.130000000028</v>
      </c>
      <c r="T32" s="125">
        <f>Jan!CO33</f>
        <v>6359.130000000273</v>
      </c>
      <c r="U32" s="125">
        <f>Jan!CS33</f>
        <v>6759.1300000003639</v>
      </c>
      <c r="V32" s="126">
        <f t="shared" si="13"/>
        <v>33627.39000000064</v>
      </c>
      <c r="W32" s="126">
        <f>Jan!CW33</f>
        <v>19900</v>
      </c>
      <c r="X32" s="126">
        <f>Jan!DA33</f>
        <v>10600</v>
      </c>
      <c r="Y32" s="126">
        <f t="shared" si="1"/>
        <v>30500</v>
      </c>
      <c r="Z32" s="42">
        <f>Jan!BR33</f>
        <v>370.00000000000455</v>
      </c>
      <c r="AA32" s="126">
        <f>Jan!BG33</f>
        <v>1899.9999999998636</v>
      </c>
      <c r="AB32" s="126">
        <f>Jan!BJ33</f>
        <v>9800.0000000001819</v>
      </c>
      <c r="AC32" s="126">
        <f>Jan!BL33+Jan!BN33+Jan!BP33</f>
        <v>4810.0000000000364</v>
      </c>
      <c r="AD32" s="126">
        <f>Jan!DR33</f>
        <v>9000</v>
      </c>
      <c r="AE32" s="127">
        <f>Jan!DT33-Jan!DR73-Jan!DT73</f>
        <v>15037</v>
      </c>
      <c r="AF32" s="127">
        <f>Jan!DR73+Jan!DT73</f>
        <v>163.00000000000026</v>
      </c>
      <c r="AG32" s="127">
        <f>Jan!HE33</f>
        <v>15599.939599999958</v>
      </c>
      <c r="AH32" s="127">
        <f>Jan!DW33</f>
        <v>4600.0000000003638</v>
      </c>
      <c r="AI32" s="127">
        <f>Jan!DZ33</f>
        <v>3159.13</v>
      </c>
      <c r="AJ32" s="127">
        <f>Jan!EC33</f>
        <v>24319.13</v>
      </c>
      <c r="AK32" s="127">
        <f t="shared" si="4"/>
        <v>32078.260000000366</v>
      </c>
      <c r="AL32" s="127">
        <f>Jan!EG33</f>
        <v>23319.13</v>
      </c>
      <c r="AM32" s="127">
        <f>Jan!EJ33</f>
        <v>12159.13</v>
      </c>
      <c r="AN32" s="127">
        <f>Jan!EM33</f>
        <v>690.00000000005457</v>
      </c>
      <c r="AO32" s="127">
        <f t="shared" si="17"/>
        <v>36168.260000000053</v>
      </c>
      <c r="AP32" s="127">
        <f>Jan!FX33</f>
        <v>21600</v>
      </c>
      <c r="AQ32" s="127">
        <f>Jan!GA33</f>
        <v>5229.9999999997272</v>
      </c>
      <c r="AR32" s="127">
        <f>Jan!GG33+(Jan!GP33+Jan!GS33)</f>
        <v>5880.0000000015461</v>
      </c>
      <c r="AS32" s="127">
        <f t="shared" si="6"/>
        <v>32710.000000001273</v>
      </c>
      <c r="AT32" s="127">
        <f>Jan!EQ33</f>
        <v>9159.1299999999992</v>
      </c>
      <c r="AU32" s="127">
        <f>Jan!ET33</f>
        <v>19300.000000000182</v>
      </c>
      <c r="AV32" s="127">
        <f>Jan!EW33</f>
        <v>7259.1299999999092</v>
      </c>
      <c r="AW32" s="127">
        <f>Jan!FL70</f>
        <v>12952.061942486849</v>
      </c>
      <c r="AX32" s="127">
        <f>Jan!GJ33</f>
        <v>2000</v>
      </c>
      <c r="AY32" s="127">
        <f t="shared" si="7"/>
        <v>50670.321942486938</v>
      </c>
      <c r="AZ32" s="127">
        <f>Jan!FG33</f>
        <v>10425.799999999999</v>
      </c>
      <c r="BA32" s="127">
        <f>Jan!FJ33</f>
        <v>20425.8</v>
      </c>
      <c r="BB32" s="127">
        <f>Jan!FM70</f>
        <v>11632.868057513157</v>
      </c>
      <c r="BC32" s="127">
        <f>Jan!GM33</f>
        <v>599.99999999990905</v>
      </c>
      <c r="BD32" s="127">
        <f t="shared" si="8"/>
        <v>43084.468057513062</v>
      </c>
      <c r="BE32" s="127">
        <f t="shared" si="11"/>
        <v>30500</v>
      </c>
      <c r="BF32" s="127"/>
      <c r="BG32" s="127"/>
      <c r="BH32" s="127"/>
      <c r="BI32" s="128"/>
      <c r="BJ32" s="128">
        <f>AS32</f>
        <v>32710.000000001273</v>
      </c>
      <c r="BK32" s="128"/>
      <c r="BL32" s="128"/>
      <c r="BM32" s="128"/>
      <c r="BN32" s="128"/>
      <c r="BO32" s="128"/>
      <c r="BP32" s="128"/>
      <c r="BQ32" s="128"/>
      <c r="BR32" s="42">
        <f>Jan!D71</f>
        <v>0</v>
      </c>
      <c r="BS32" s="42">
        <f>Jan!G71</f>
        <v>80000</v>
      </c>
    </row>
    <row r="33" spans="1:72" x14ac:dyDescent="0.25">
      <c r="A33" s="26">
        <f t="shared" si="10"/>
        <v>27</v>
      </c>
      <c r="B33" s="42">
        <f>Jan!G34</f>
        <v>257919.99999999462</v>
      </c>
      <c r="C33" s="42">
        <f>Jan!N34</f>
        <v>257000</v>
      </c>
      <c r="D33" s="42">
        <f>Jan!T34</f>
        <v>0</v>
      </c>
      <c r="E33" s="42">
        <f>Jan!V34</f>
        <v>0</v>
      </c>
      <c r="F33" s="42">
        <f>Jan!AB34</f>
        <v>5320</v>
      </c>
      <c r="G33" s="42">
        <f>Jan!X34</f>
        <v>8280.0000000003638</v>
      </c>
      <c r="H33" s="42">
        <f>Jan!AE34</f>
        <v>7500</v>
      </c>
      <c r="I33" s="42">
        <f>Jan!AI34</f>
        <v>18341.249999999818</v>
      </c>
      <c r="J33" s="42">
        <f>Jan!AN34</f>
        <v>5891.2499999993179</v>
      </c>
      <c r="K33" s="42">
        <f>Jan!AR34</f>
        <v>9799.9999999992724</v>
      </c>
      <c r="L33" s="42">
        <f>Jan!AZ34</f>
        <v>358.24000000004889</v>
      </c>
      <c r="M33" s="42">
        <f>Jan!BC34</f>
        <v>532.1359999999986</v>
      </c>
      <c r="N33" s="125">
        <f t="shared" si="12"/>
        <v>56022.875999998818</v>
      </c>
      <c r="O33" s="125">
        <f>Jan!CA34</f>
        <v>720.00000000002728</v>
      </c>
      <c r="P33" s="125">
        <f>Jan!CD34</f>
        <v>780</v>
      </c>
      <c r="Q33" s="125">
        <f>Jan!CF34</f>
        <v>0</v>
      </c>
      <c r="R33" s="125">
        <f>Jan!CH34</f>
        <v>968</v>
      </c>
      <c r="S33" s="125">
        <f>Jan!CK34</f>
        <v>16421.249999999971</v>
      </c>
      <c r="T33" s="125">
        <f>Jan!CO34</f>
        <v>5741.2499999999091</v>
      </c>
      <c r="U33" s="125">
        <f>Jan!CS34</f>
        <v>6541.2499999996362</v>
      </c>
      <c r="V33" s="126">
        <f t="shared" si="13"/>
        <v>31171.749999999545</v>
      </c>
      <c r="W33" s="126">
        <f>Jan!CW34</f>
        <v>19600</v>
      </c>
      <c r="X33" s="126">
        <f>Jan!DA34</f>
        <v>10900</v>
      </c>
      <c r="Y33" s="126">
        <f t="shared" si="1"/>
        <v>30500</v>
      </c>
      <c r="Z33" s="42">
        <f>Jan!BR34</f>
        <v>350.00000000002274</v>
      </c>
      <c r="AA33" s="126">
        <f>Jan!BG34</f>
        <v>2100.0000000001364</v>
      </c>
      <c r="AB33" s="126">
        <f>Jan!BJ34</f>
        <v>9599.9999999994543</v>
      </c>
      <c r="AC33" s="126">
        <f>Jan!BL34+Jan!BN34+Jan!BP34</f>
        <v>4699.9999999999318</v>
      </c>
      <c r="AD33" s="126">
        <f>Jan!DR34</f>
        <v>10200</v>
      </c>
      <c r="AE33" s="127">
        <f>Jan!DT34-Jan!DR74-Jan!DT74</f>
        <v>15404.000000000004</v>
      </c>
      <c r="AF33" s="127">
        <f>Jan!DR74+Jan!DT74</f>
        <v>295.99999999999579</v>
      </c>
      <c r="AG33" s="127">
        <f>Jan!HE34</f>
        <v>5772.8011999978171</v>
      </c>
      <c r="AH33" s="127">
        <f>Jan!DW34</f>
        <v>4399.9999999996362</v>
      </c>
      <c r="AI33" s="127">
        <f>Jan!DZ34</f>
        <v>7141.25</v>
      </c>
      <c r="AJ33" s="127">
        <f>Jan!EC34</f>
        <v>23301.25</v>
      </c>
      <c r="AK33" s="127">
        <f t="shared" si="4"/>
        <v>34842.499999999636</v>
      </c>
      <c r="AL33" s="127">
        <f>Jan!EG34</f>
        <v>20301.25</v>
      </c>
      <c r="AM33" s="127">
        <f>Jan!EJ34</f>
        <v>9141.25</v>
      </c>
      <c r="AN33" s="127">
        <f>Jan!EM34</f>
        <v>559.99999999994543</v>
      </c>
      <c r="AO33" s="127">
        <f t="shared" si="17"/>
        <v>30002.499999999945</v>
      </c>
      <c r="AP33" s="127">
        <f>Jan!FX34</f>
        <v>1900</v>
      </c>
      <c r="AQ33" s="127">
        <f>Jan!GA34</f>
        <v>589.99999999990905</v>
      </c>
      <c r="AR33" s="127">
        <f>Jan!GG34+(Jan!GP34+Jan!GS34)</f>
        <v>1309.9999999994998</v>
      </c>
      <c r="AS33" s="127">
        <f t="shared" si="6"/>
        <v>3799.9999999994088</v>
      </c>
      <c r="AT33" s="127">
        <f>Jan!EQ34</f>
        <v>9141.25</v>
      </c>
      <c r="AU33" s="127">
        <f>Jan!ET34</f>
        <v>19599.999999999454</v>
      </c>
      <c r="AV33" s="127">
        <f>Jan!EW34</f>
        <v>7441.2500000001819</v>
      </c>
      <c r="AW33" s="127">
        <f>Jan!FL71</f>
        <v>13404.91589423764</v>
      </c>
      <c r="AX33" s="127">
        <f>Jan!GJ34+((Jan!GP34+Jan!GS34)*50/100)</f>
        <v>2705.0000000000455</v>
      </c>
      <c r="AY33" s="127">
        <f t="shared" si="7"/>
        <v>52292.415894237318</v>
      </c>
      <c r="AZ33" s="127">
        <f>Jan!FG34</f>
        <v>10307.92</v>
      </c>
      <c r="BA33" s="127">
        <f>Jan!FJ34</f>
        <v>20107.92000000018</v>
      </c>
      <c r="BB33" s="127">
        <f>Jan!FM71</f>
        <v>12044.254105762358</v>
      </c>
      <c r="BC33" s="127">
        <f>Jan!GM34+((Jan!GP34+Jan!GS34)*50/100)</f>
        <v>1405.0000000000909</v>
      </c>
      <c r="BD33" s="127">
        <f t="shared" si="8"/>
        <v>43865.094105762633</v>
      </c>
      <c r="BE33" s="127">
        <f t="shared" si="11"/>
        <v>30500</v>
      </c>
      <c r="BF33" s="127"/>
      <c r="BG33" s="127"/>
      <c r="BH33" s="127"/>
      <c r="BI33" s="128"/>
      <c r="BJ33" s="128"/>
      <c r="BK33" s="128"/>
      <c r="BL33" s="128"/>
      <c r="BM33" s="128"/>
      <c r="BN33" s="128"/>
      <c r="BO33" s="128"/>
      <c r="BP33" s="128"/>
      <c r="BQ33" s="128"/>
      <c r="BR33" s="42">
        <f>Jan!D72</f>
        <v>0</v>
      </c>
      <c r="BS33" s="42">
        <f>Jan!G72</f>
        <v>73000</v>
      </c>
    </row>
    <row r="34" spans="1:72" x14ac:dyDescent="0.25">
      <c r="A34" s="26">
        <f t="shared" si="10"/>
        <v>28</v>
      </c>
      <c r="B34" s="42">
        <f>Jan!G35</f>
        <v>255680.00000000757</v>
      </c>
      <c r="C34" s="42">
        <f>Jan!N35</f>
        <v>254000</v>
      </c>
      <c r="D34" s="42">
        <f>Jan!T35</f>
        <v>0</v>
      </c>
      <c r="E34" s="42">
        <f>Jan!V35</f>
        <v>0</v>
      </c>
      <c r="F34" s="42">
        <f>Jan!AB35</f>
        <v>5350</v>
      </c>
      <c r="G34" s="42">
        <f>Jan!X35</f>
        <v>8350.0000000007276</v>
      </c>
      <c r="H34" s="42">
        <f>Jan!AE35</f>
        <v>7400.0000000000909</v>
      </c>
      <c r="I34" s="42">
        <f>Jan!AI35</f>
        <v>16940.030000000181</v>
      </c>
      <c r="J34" s="42">
        <f>Jan!AN35</f>
        <v>5120.030000001042</v>
      </c>
      <c r="K34" s="42">
        <f>Jan!AR35</f>
        <v>9200.0000000007276</v>
      </c>
      <c r="L34" s="42">
        <f>Jan!AZ35</f>
        <v>261.11999999999534</v>
      </c>
      <c r="M34" s="42">
        <f>Jan!BC35</f>
        <v>236.59200000000419</v>
      </c>
      <c r="N34" s="125">
        <f t="shared" si="12"/>
        <v>52857.772000002769</v>
      </c>
      <c r="O34" s="125">
        <f>Jan!CA35</f>
        <v>750</v>
      </c>
      <c r="P34" s="125">
        <f>Jan!CD35</f>
        <v>0</v>
      </c>
      <c r="Q34" s="125">
        <f>Jan!CF35</f>
        <v>0</v>
      </c>
      <c r="R34" s="125">
        <f>Jan!CH35</f>
        <v>1321</v>
      </c>
      <c r="S34" s="125">
        <f>Jan!CK35</f>
        <v>16390.03</v>
      </c>
      <c r="T34" s="125">
        <f>Jan!CO35</f>
        <v>5840.0299999998178</v>
      </c>
      <c r="U34" s="125">
        <f>Jan!CS35</f>
        <v>6740.0300000003635</v>
      </c>
      <c r="V34" s="126">
        <f t="shared" si="13"/>
        <v>31041.090000000178</v>
      </c>
      <c r="W34" s="126">
        <f>Jan!CW35</f>
        <v>20000</v>
      </c>
      <c r="X34" s="126">
        <f>Jan!DA35</f>
        <v>10600</v>
      </c>
      <c r="Y34" s="126">
        <f t="shared" si="1"/>
        <v>30600</v>
      </c>
      <c r="Z34" s="42">
        <f>Jan!BR35</f>
        <v>600.00000000002274</v>
      </c>
      <c r="AA34" s="126">
        <f>Jan!BG35</f>
        <v>2000</v>
      </c>
      <c r="AB34" s="126">
        <f>Jan!BJ35</f>
        <v>9600.0000000003638</v>
      </c>
      <c r="AC34" s="126">
        <f>Jan!BL35+Jan!BN35+Jan!BP35</f>
        <v>4720.0000000000273</v>
      </c>
      <c r="AD34" s="126">
        <f>Jan!DR35</f>
        <v>11500</v>
      </c>
      <c r="AE34" s="127">
        <f>Jan!DT35-Jan!DR75-Jan!DT75</f>
        <v>15158.000000000002</v>
      </c>
      <c r="AF34" s="127">
        <f>Jan!DR75+Jan!DT75</f>
        <v>341.99999999999875</v>
      </c>
      <c r="AG34" s="127">
        <f>Jan!HE35</f>
        <v>10300.866800004122</v>
      </c>
      <c r="AH34" s="127">
        <f>Jan!DW35</f>
        <v>4800.0000000001819</v>
      </c>
      <c r="AI34" s="127">
        <f>Jan!DZ35</f>
        <v>7140.03</v>
      </c>
      <c r="AJ34" s="127">
        <f>Jan!EC35</f>
        <v>25300.03</v>
      </c>
      <c r="AK34" s="127">
        <f t="shared" si="4"/>
        <v>37240.06000000018</v>
      </c>
      <c r="AL34" s="127">
        <f>Jan!EG35</f>
        <v>36300.03</v>
      </c>
      <c r="AM34" s="127">
        <f>Jan!EJ35</f>
        <v>10140.030000000001</v>
      </c>
      <c r="AN34" s="127">
        <f>Jan!EM35</f>
        <v>710.00000000003638</v>
      </c>
      <c r="AO34" s="127">
        <f t="shared" si="17"/>
        <v>47150.060000000034</v>
      </c>
      <c r="AP34" s="127">
        <f>Jan!FX35</f>
        <v>300</v>
      </c>
      <c r="AQ34" s="127">
        <f>Jan!GA35</f>
        <v>170.0000000003638</v>
      </c>
      <c r="AR34" s="127">
        <f>Jan!GG35+(Jan!GP35+Jan!GS35)</f>
        <v>1330.0000000000909</v>
      </c>
      <c r="AS34" s="127">
        <f t="shared" ref="AS34:AS35" si="18">SUM(AP34:AR34)</f>
        <v>1800.0000000004547</v>
      </c>
      <c r="AT34" s="127">
        <f>Jan!EQ35</f>
        <v>9140.0300000000007</v>
      </c>
      <c r="AU34" s="127">
        <f>Jan!ET35</f>
        <v>19199.999999999818</v>
      </c>
      <c r="AV34" s="127">
        <f>Jan!EW35</f>
        <v>7340.0299999998178</v>
      </c>
      <c r="AW34" s="127">
        <f>Jan!FL72</f>
        <v>12443.273379067801</v>
      </c>
      <c r="AX34" s="127">
        <f>Jan!GJ35+((Jan!GP35+Jan!GS35)*50/100)</f>
        <v>2165.0000000000455</v>
      </c>
      <c r="AY34" s="127">
        <f t="shared" si="7"/>
        <v>50288.333379067481</v>
      </c>
      <c r="AZ34" s="127">
        <f>Jan!FG35</f>
        <v>9406.7000000000007</v>
      </c>
      <c r="BA34" s="127">
        <f>Jan!FJ35</f>
        <v>20106.699999999815</v>
      </c>
      <c r="BB34" s="127">
        <f>Jan!FM72</f>
        <v>11103.456620932202</v>
      </c>
      <c r="BC34" s="127">
        <f>Jan!GM35+((Jan!GP35+Jan!GS35)*50/100)</f>
        <v>1864.9999999998636</v>
      </c>
      <c r="BD34" s="127">
        <f t="shared" si="8"/>
        <v>42481.856620931881</v>
      </c>
      <c r="BE34" s="127">
        <f t="shared" si="11"/>
        <v>30600</v>
      </c>
      <c r="BF34" s="127"/>
      <c r="BG34" s="127"/>
      <c r="BH34" s="127"/>
      <c r="BI34" s="128"/>
      <c r="BJ34" s="128"/>
      <c r="BK34" s="128"/>
      <c r="BL34" s="128"/>
      <c r="BM34" s="128"/>
      <c r="BN34" s="128"/>
      <c r="BO34" s="128"/>
      <c r="BP34" s="128"/>
      <c r="BQ34" s="128"/>
      <c r="BR34" s="42">
        <f>Jan!D73</f>
        <v>0</v>
      </c>
      <c r="BS34" s="42">
        <f>Jan!G73</f>
        <v>92000</v>
      </c>
    </row>
    <row r="35" spans="1:72" x14ac:dyDescent="0.25">
      <c r="A35" s="26">
        <f t="shared" si="10"/>
        <v>29</v>
      </c>
      <c r="B35" s="42">
        <f>Jan!G36</f>
        <v>247040.00000000451</v>
      </c>
      <c r="C35" s="42">
        <f>Jan!N36</f>
        <v>245000</v>
      </c>
      <c r="D35" s="42">
        <f>Jan!T36</f>
        <v>0</v>
      </c>
      <c r="E35" s="42">
        <f>Jan!V36</f>
        <v>0</v>
      </c>
      <c r="F35" s="42">
        <f>Jan!AB36</f>
        <v>5090</v>
      </c>
      <c r="G35" s="42">
        <f>Jan!X36</f>
        <v>8209.9999999992724</v>
      </c>
      <c r="H35" s="42">
        <f>Jan!AE36</f>
        <v>7199.9999999998181</v>
      </c>
      <c r="I35" s="42">
        <f>Jan!AI36</f>
        <v>16835.299999999817</v>
      </c>
      <c r="J35" s="42">
        <f>Jan!AN36</f>
        <v>4955.2999999985259</v>
      </c>
      <c r="K35" s="42">
        <f>Jan!AR36</f>
        <v>9399.9999999996362</v>
      </c>
      <c r="L35" s="42">
        <f>Jan!AZ36</f>
        <v>152.8399999999674</v>
      </c>
      <c r="M35" s="42">
        <f>Jan!BC36</f>
        <v>127.39199999999255</v>
      </c>
      <c r="N35" s="125">
        <f t="shared" si="12"/>
        <v>51970.831999997034</v>
      </c>
      <c r="O35" s="125">
        <f>Jan!CA36</f>
        <v>779.99999999997272</v>
      </c>
      <c r="P35" s="125">
        <f>Jan!CD36</f>
        <v>0</v>
      </c>
      <c r="Q35" s="125">
        <f>Jan!CF36</f>
        <v>0</v>
      </c>
      <c r="R35" s="125">
        <f>Jan!CH36</f>
        <v>1326</v>
      </c>
      <c r="S35" s="125">
        <f>Jan!CK36</f>
        <v>16355.300000000027</v>
      </c>
      <c r="T35" s="125">
        <f>Jan!CO36</f>
        <v>5935.3000000001821</v>
      </c>
      <c r="U35" s="125">
        <f>Jan!CS36</f>
        <v>6635.3</v>
      </c>
      <c r="V35" s="126">
        <f t="shared" si="13"/>
        <v>31031.90000000018</v>
      </c>
      <c r="W35" s="126">
        <f>Jan!CW36</f>
        <v>18200</v>
      </c>
      <c r="X35" s="126">
        <f>Jan!DA36</f>
        <v>10100</v>
      </c>
      <c r="Y35" s="126">
        <f t="shared" si="1"/>
        <v>28300</v>
      </c>
      <c r="Z35" s="42">
        <f>Jan!BR36</f>
        <v>279.99999999997272</v>
      </c>
      <c r="AA35" s="126">
        <f>Jan!BG36</f>
        <v>2200.0000000000455</v>
      </c>
      <c r="AB35" s="126">
        <f>Jan!BJ36</f>
        <v>9800.0000000001819</v>
      </c>
      <c r="AC35" s="126">
        <f>Jan!BL36+Jan!BN36+Jan!BP36</f>
        <v>4500.0000000000455</v>
      </c>
      <c r="AD35" s="126">
        <f>Jan!DR36</f>
        <v>7800</v>
      </c>
      <c r="AE35" s="127">
        <f>Jan!DT36-Jan!DR76-Jan!DT76</f>
        <v>13557.999999999996</v>
      </c>
      <c r="AF35" s="127">
        <f>Jan!DR76+Jan!DT76</f>
        <v>242.00000000000443</v>
      </c>
      <c r="AG35" s="127">
        <f>Jan!HE36</f>
        <v>9094.3244000063351</v>
      </c>
      <c r="AH35" s="127">
        <f>Jan!DW36</f>
        <v>4699.9999999998181</v>
      </c>
      <c r="AI35" s="127">
        <f>Jan!DZ36</f>
        <v>7135.3</v>
      </c>
      <c r="AJ35" s="127">
        <f>Jan!EC36</f>
        <v>25295.3</v>
      </c>
      <c r="AK35" s="127">
        <f t="shared" si="4"/>
        <v>37130.599999999817</v>
      </c>
      <c r="AL35" s="127">
        <f>Jan!EG36</f>
        <v>39295.300000000003</v>
      </c>
      <c r="AM35" s="127">
        <f>Jan!EJ36</f>
        <v>9135.2999999999993</v>
      </c>
      <c r="AN35" s="127">
        <f>Jan!EM36</f>
        <v>690.00000000005457</v>
      </c>
      <c r="AO35" s="127">
        <f t="shared" si="17"/>
        <v>49120.600000000064</v>
      </c>
      <c r="AP35" s="127">
        <f>Jan!FX36</f>
        <v>100</v>
      </c>
      <c r="AQ35" s="127">
        <f>Jan!GA36</f>
        <v>0</v>
      </c>
      <c r="AR35" s="127">
        <f>Jan!GG36+(Jan!GP36+Jan!GS36)</f>
        <v>599.9999999996362</v>
      </c>
      <c r="AS35" s="127">
        <f t="shared" si="18"/>
        <v>699.9999999996362</v>
      </c>
      <c r="AT35" s="127">
        <f>Jan!EQ36</f>
        <v>9135.2999999999993</v>
      </c>
      <c r="AU35" s="127">
        <f>Jan!ET36</f>
        <v>19400.000000000546</v>
      </c>
      <c r="AV35" s="127">
        <f>Jan!EW36</f>
        <v>7835.300000000273</v>
      </c>
      <c r="AW35" s="127">
        <f>Jan!FL73</f>
        <v>13517.302478332138</v>
      </c>
      <c r="AX35" s="127">
        <f>Jan!GJ36+((Jan!GP36+Jan!GS36)*50/100)</f>
        <v>1699.9999999999091</v>
      </c>
      <c r="AY35" s="127">
        <f t="shared" si="7"/>
        <v>51587.902478332864</v>
      </c>
      <c r="AZ35" s="127">
        <f>Jan!FG36</f>
        <v>10501.97</v>
      </c>
      <c r="BA35" s="127">
        <f>Jan!FJ36</f>
        <v>20601.970000000361</v>
      </c>
      <c r="BB35" s="127">
        <f>Jan!FM73</f>
        <v>13119.967521667862</v>
      </c>
      <c r="BC35" s="127">
        <f>Jan!GM36+((Jan!GP36+Jan!GS36)*50/100)</f>
        <v>1500.0000000000909</v>
      </c>
      <c r="BD35" s="127">
        <f t="shared" si="8"/>
        <v>45723.907521668312</v>
      </c>
      <c r="BE35" s="127">
        <f t="shared" si="11"/>
        <v>28300</v>
      </c>
      <c r="BF35" s="127"/>
      <c r="BG35" s="127"/>
      <c r="BH35" s="127"/>
      <c r="BI35" s="128"/>
      <c r="BJ35" s="128"/>
      <c r="BK35" s="128"/>
      <c r="BL35" s="128"/>
      <c r="BM35" s="128"/>
      <c r="BN35" s="128"/>
      <c r="BO35" s="128"/>
      <c r="BP35" s="128"/>
      <c r="BQ35" s="128"/>
      <c r="BR35" s="42">
        <f>Jan!D74</f>
        <v>0</v>
      </c>
      <c r="BS35" s="42">
        <f>Jan!G74</f>
        <v>96000</v>
      </c>
    </row>
    <row r="36" spans="1:72" x14ac:dyDescent="0.25">
      <c r="A36" s="26">
        <f t="shared" si="10"/>
        <v>30</v>
      </c>
      <c r="B36" s="42">
        <f>Jan!G37</f>
        <v>246079.99999999811</v>
      </c>
      <c r="C36" s="42">
        <f>Jan!N37</f>
        <v>245000</v>
      </c>
      <c r="D36" s="42">
        <f>Jan!T37</f>
        <v>0</v>
      </c>
      <c r="E36" s="42">
        <f>Jan!V37</f>
        <v>0</v>
      </c>
      <c r="F36" s="42">
        <f>Jan!AB37</f>
        <v>5170</v>
      </c>
      <c r="G36" s="42">
        <f>Jan!X37</f>
        <v>8129.9999999992724</v>
      </c>
      <c r="H36" s="42">
        <f>Jan!AE37</f>
        <v>7200.0000000002728</v>
      </c>
      <c r="I36" s="42">
        <f>Jan!AI37</f>
        <v>14934.770000000182</v>
      </c>
      <c r="J36" s="42">
        <f>Jan!AN37</f>
        <v>4254.7700000000959</v>
      </c>
      <c r="K36" s="42">
        <f>Jan!AR37</f>
        <v>8699.9999999998181</v>
      </c>
      <c r="L36" s="42">
        <f>Jan!AZ37</f>
        <v>223.64000000001397</v>
      </c>
      <c r="M36" s="42">
        <f>Jan!BC37</f>
        <v>30.288000000000466</v>
      </c>
      <c r="N36" s="125">
        <f t="shared" si="12"/>
        <v>48643.467999999659</v>
      </c>
      <c r="O36" s="125">
        <f>Jan!CA37</f>
        <v>730.00000000001819</v>
      </c>
      <c r="P36" s="125">
        <f>Jan!CD37</f>
        <v>1190</v>
      </c>
      <c r="Q36" s="125">
        <f>Jan!CF37</f>
        <v>0</v>
      </c>
      <c r="R36" s="125">
        <f>Jan!CH37</f>
        <v>427</v>
      </c>
      <c r="S36" s="125">
        <f>Jan!CK37</f>
        <v>16404.769999999982</v>
      </c>
      <c r="T36" s="125">
        <f>Jan!CO37</f>
        <v>7434.7699999997276</v>
      </c>
      <c r="U36" s="125">
        <f>Jan!CS37</f>
        <v>7034.7699999996366</v>
      </c>
      <c r="V36" s="126">
        <f t="shared" si="13"/>
        <v>33221.309999999365</v>
      </c>
      <c r="W36" s="126">
        <f>Jan!CW37</f>
        <v>15700</v>
      </c>
      <c r="X36" s="126">
        <f>Jan!DA37</f>
        <v>9100</v>
      </c>
      <c r="Y36" s="126">
        <f t="shared" si="1"/>
        <v>24800</v>
      </c>
      <c r="Z36" s="42">
        <f>Jan!BR37</f>
        <v>799.99999999995453</v>
      </c>
      <c r="AA36" s="126">
        <f>Jan!BG37</f>
        <v>2399.9999999998636</v>
      </c>
      <c r="AB36" s="126">
        <f>Jan!BJ37</f>
        <v>9699.9999999998181</v>
      </c>
      <c r="AC36" s="126">
        <f>Jan!BL37+Jan!BN37+Jan!BP37</f>
        <v>4579.99999999995</v>
      </c>
      <c r="AD36" s="126">
        <f>Jan!DR37</f>
        <v>10900</v>
      </c>
      <c r="AE36" s="127">
        <f>Jan!DT37-Jan!DR77-Jan!DT77</f>
        <v>13043.999999999996</v>
      </c>
      <c r="AF36" s="127">
        <f>Jan!DR77+Jan!DT77</f>
        <v>356.00000000000341</v>
      </c>
      <c r="AG36" s="127">
        <f>Jan!HE37</f>
        <v>11907.514799999333</v>
      </c>
      <c r="AH36" s="127">
        <f>Jan!DW37</f>
        <v>4800.0000000001819</v>
      </c>
      <c r="AI36" s="127">
        <f>Jan!DZ37</f>
        <v>7134.77</v>
      </c>
      <c r="AJ36" s="127">
        <f>Jan!EC37</f>
        <v>25294.77</v>
      </c>
      <c r="AK36" s="127">
        <f t="shared" si="4"/>
        <v>37229.540000000183</v>
      </c>
      <c r="AL36" s="127">
        <f>Jan!EG37</f>
        <v>34294.770000000004</v>
      </c>
      <c r="AM36" s="127">
        <f>Jan!EJ37</f>
        <v>10134.77</v>
      </c>
      <c r="AN36" s="127">
        <f>Jan!EM37</f>
        <v>669.99999999995907</v>
      </c>
      <c r="AO36" s="127">
        <f t="shared" si="17"/>
        <v>45099.539999999964</v>
      </c>
      <c r="AP36" s="127">
        <f>Jan!FX37</f>
        <v>0</v>
      </c>
      <c r="AQ36" s="127">
        <f>Jan!GA37</f>
        <v>410</v>
      </c>
      <c r="AR36" s="127">
        <f>Jan!GG37+(Jan!GP37+Jan!GS37)</f>
        <v>490.00000000009095</v>
      </c>
      <c r="AS36" s="127">
        <f t="shared" si="6"/>
        <v>900.00000000009095</v>
      </c>
      <c r="AT36" s="127">
        <f>Jan!EQ37</f>
        <v>9134.77</v>
      </c>
      <c r="AU36" s="127">
        <f>Jan!ET37</f>
        <v>18800.000000000182</v>
      </c>
      <c r="AV36" s="127">
        <f>Jan!EW37</f>
        <v>8234.7699999999095</v>
      </c>
      <c r="AW36" s="127">
        <f>Jan!EZ37</f>
        <v>11134.77</v>
      </c>
      <c r="AX36" s="127">
        <f>Jan!GJ37+((Jan!GP37+Jan!GS37)*50/100)</f>
        <v>1745.0000000000455</v>
      </c>
      <c r="AY36" s="127">
        <f t="shared" si="7"/>
        <v>49049.310000000143</v>
      </c>
      <c r="AZ36" s="127">
        <f>Jan!FG37</f>
        <v>11001.44</v>
      </c>
      <c r="BA36" s="127">
        <f>Jan!FJ37</f>
        <v>20001.439999999999</v>
      </c>
      <c r="BB36" s="127">
        <f>Jan!FP37</f>
        <v>12001.44</v>
      </c>
      <c r="BC36" s="127">
        <f>Jan!GM37+((Jan!GP37+Jan!GS37)*50/100)</f>
        <v>1444.9999999998636</v>
      </c>
      <c r="BD36" s="127">
        <f t="shared" si="8"/>
        <v>44449.319999999861</v>
      </c>
      <c r="BE36" s="127">
        <f t="shared" si="11"/>
        <v>24800</v>
      </c>
      <c r="BF36" s="127"/>
      <c r="BG36" s="127"/>
      <c r="BH36" s="127"/>
      <c r="BI36" s="128"/>
      <c r="BJ36" s="128"/>
      <c r="BK36" s="128"/>
      <c r="BL36" s="128"/>
      <c r="BM36" s="128"/>
      <c r="BN36" s="128"/>
      <c r="BO36" s="128"/>
      <c r="BP36" s="128"/>
      <c r="BQ36" s="128"/>
      <c r="BR36" s="42">
        <f>Jan!D75</f>
        <v>0</v>
      </c>
      <c r="BS36" s="42">
        <f>Jan!G75</f>
        <v>91000</v>
      </c>
    </row>
    <row r="37" spans="1:72" x14ac:dyDescent="0.25">
      <c r="A37" s="26">
        <f t="shared" si="10"/>
        <v>31</v>
      </c>
      <c r="B37" s="42">
        <f>Jan!G38</f>
        <v>235839.99999999651</v>
      </c>
      <c r="C37" s="42">
        <f>Jan!N38</f>
        <v>234000</v>
      </c>
      <c r="D37" s="42">
        <f>Jan!T38</f>
        <v>0</v>
      </c>
      <c r="E37" s="42">
        <f>Jan!V38</f>
        <v>0</v>
      </c>
      <c r="F37" s="42">
        <f>Jan!AB38</f>
        <v>5070</v>
      </c>
      <c r="G37" s="42">
        <f>Jan!X38</f>
        <v>8230.0000000010914</v>
      </c>
      <c r="H37" s="42">
        <f>Jan!AE38</f>
        <v>7099.9999999999091</v>
      </c>
      <c r="I37" s="42">
        <f>Jan!AI38</f>
        <v>14629.16</v>
      </c>
      <c r="J37" s="42">
        <f>Jan!AN38</f>
        <v>3689.1600000006729</v>
      </c>
      <c r="K37" s="42">
        <f>Jan!AR38</f>
        <v>8600.0000000003638</v>
      </c>
      <c r="L37" s="42">
        <f>Jan!AZ38</f>
        <v>69.760000000009313</v>
      </c>
      <c r="M37" s="42">
        <f>Jan!BC38</f>
        <v>19.152000000001863</v>
      </c>
      <c r="N37" s="125">
        <f t="shared" si="12"/>
        <v>47407.232000002048</v>
      </c>
      <c r="O37" s="125">
        <f>Jan!CA38</f>
        <v>779.99999999997272</v>
      </c>
      <c r="P37" s="125">
        <f>Jan!CD38</f>
        <v>1760</v>
      </c>
      <c r="Q37" s="125">
        <f>Jan!CF38</f>
        <v>0</v>
      </c>
      <c r="R37" s="125">
        <f>Jan!CH38</f>
        <v>82</v>
      </c>
      <c r="S37" s="125">
        <f>Jan!CK38</f>
        <v>15349.160000000027</v>
      </c>
      <c r="T37" s="125">
        <f>Jan!CO38</f>
        <v>7229.1600000003637</v>
      </c>
      <c r="U37" s="125">
        <f>Jan!CS38</f>
        <v>6529.1600000000908</v>
      </c>
      <c r="V37" s="126">
        <f t="shared" si="13"/>
        <v>31729.480000000454</v>
      </c>
      <c r="W37" s="126">
        <f>Jan!CW38</f>
        <v>18000</v>
      </c>
      <c r="X37" s="126">
        <f>Jan!DA38</f>
        <v>9900</v>
      </c>
      <c r="Y37" s="126">
        <f>W37+X37+(10*(AP37+AQ37+AR37)/100)</f>
        <v>27999.999999999967</v>
      </c>
      <c r="Z37" s="42">
        <f>Jan!BR38</f>
        <v>770.0000000000955</v>
      </c>
      <c r="AA37" s="126">
        <f>Jan!BG38</f>
        <v>2000</v>
      </c>
      <c r="AB37" s="126">
        <f>Jan!BJ38</f>
        <v>9399.9999999996362</v>
      </c>
      <c r="AC37" s="126">
        <f>Jan!BL38+Jan!BN38+Jan!BP38</f>
        <v>4369.9999999999591</v>
      </c>
      <c r="AD37" s="126">
        <f>Jan!DR38</f>
        <v>9900</v>
      </c>
      <c r="AE37" s="127">
        <f>Jan!DT38-Jan!DR78-Jan!DT78</f>
        <v>9995.0000000000073</v>
      </c>
      <c r="AF37" s="127">
        <f>Jan!DR78+Jan!DT78</f>
        <v>304.99999999999261</v>
      </c>
      <c r="AG37" s="127">
        <f>Jan!HE38</f>
        <v>6611.6623999946114</v>
      </c>
      <c r="AH37" s="127">
        <f>Jan!DW38</f>
        <v>4800.0000000001819</v>
      </c>
      <c r="AI37" s="127">
        <f>Jan!DZ38</f>
        <v>6129.16</v>
      </c>
      <c r="AJ37" s="127">
        <f>Jan!EC38</f>
        <v>23289.16</v>
      </c>
      <c r="AK37" s="127">
        <f t="shared" si="4"/>
        <v>34218.320000000182</v>
      </c>
      <c r="AL37" s="127">
        <f>Jan!EG38</f>
        <v>34289.160000000003</v>
      </c>
      <c r="AM37" s="127">
        <f>Jan!EJ38</f>
        <v>10129.16</v>
      </c>
      <c r="AN37" s="127">
        <f>Jan!EM38</f>
        <v>740.00000000000909</v>
      </c>
      <c r="AO37" s="127">
        <f t="shared" si="17"/>
        <v>45158.320000000014</v>
      </c>
      <c r="AP37" s="127">
        <f>Jan!FX38</f>
        <v>400</v>
      </c>
      <c r="AQ37" s="127">
        <f>Jan!GA38</f>
        <v>119.9999999998181</v>
      </c>
      <c r="AR37" s="127">
        <f>Jan!GG38+(Jan!GP38+Jan!GS38)</f>
        <v>479.99999999986358</v>
      </c>
      <c r="AS37" s="127">
        <f t="shared" si="6"/>
        <v>999.99999999968168</v>
      </c>
      <c r="AT37" s="127">
        <f>Jan!EQ38</f>
        <v>9129.16</v>
      </c>
      <c r="AU37" s="127">
        <f>Jan!ET38</f>
        <v>19000</v>
      </c>
      <c r="AV37" s="127">
        <f>Jan!EW38</f>
        <v>8529.1600000000908</v>
      </c>
      <c r="AW37" s="127">
        <f>Jan!EZ38</f>
        <v>11129.16</v>
      </c>
      <c r="AX37" s="127">
        <f>Jan!GJ38</f>
        <v>1799.9999999999545</v>
      </c>
      <c r="AY37" s="127">
        <f t="shared" si="7"/>
        <v>49587.480000000054</v>
      </c>
      <c r="AZ37" s="127">
        <f>Jan!FG38</f>
        <v>9729.16</v>
      </c>
      <c r="BA37" s="127">
        <f>Jan!FJ38</f>
        <v>20629.159999999636</v>
      </c>
      <c r="BB37" s="127">
        <f>Jan!FP38</f>
        <v>12729.16</v>
      </c>
      <c r="BC37" s="127">
        <f>Jan!GM38</f>
        <v>1300.0000000001819</v>
      </c>
      <c r="BD37" s="127">
        <f t="shared" si="8"/>
        <v>44387.479999999814</v>
      </c>
      <c r="BE37" s="127">
        <f t="shared" si="11"/>
        <v>27999.999999999967</v>
      </c>
      <c r="BF37" s="127"/>
      <c r="BG37" s="127"/>
      <c r="BH37" s="127"/>
      <c r="BI37" s="128"/>
      <c r="BJ37" s="128"/>
      <c r="BK37" s="128"/>
      <c r="BL37" s="128"/>
      <c r="BM37" s="128"/>
      <c r="BN37" s="128"/>
      <c r="BO37" s="128"/>
      <c r="BP37" s="128"/>
      <c r="BQ37" s="128"/>
      <c r="BR37" s="42">
        <f>Jan!D76</f>
        <v>0</v>
      </c>
      <c r="BS37" s="42">
        <f>Jan!G76</f>
        <v>89000</v>
      </c>
    </row>
    <row r="38" spans="1:72" x14ac:dyDescent="0.25">
      <c r="A38" s="129" t="s">
        <v>37</v>
      </c>
      <c r="B38" s="130">
        <f t="shared" ref="B38:AJ38" si="19">SUM(B7:B37)</f>
        <v>8229440.0000000047</v>
      </c>
      <c r="C38" s="130">
        <f t="shared" si="19"/>
        <v>8175000</v>
      </c>
      <c r="D38" s="130">
        <f t="shared" si="19"/>
        <v>26325.919999999925</v>
      </c>
      <c r="E38" s="130">
        <f t="shared" si="19"/>
        <v>0.32000000006519258</v>
      </c>
      <c r="F38" s="130">
        <f t="shared" si="19"/>
        <v>137800</v>
      </c>
      <c r="G38" s="130">
        <f t="shared" si="19"/>
        <v>251873.75999999995</v>
      </c>
      <c r="H38" s="130">
        <f t="shared" si="19"/>
        <v>183900.00000000009</v>
      </c>
      <c r="I38" s="130">
        <f t="shared" si="19"/>
        <v>421707.00999999989</v>
      </c>
      <c r="J38" s="130">
        <f t="shared" si="19"/>
        <v>188027.00999999931</v>
      </c>
      <c r="K38" s="130">
        <f t="shared" si="19"/>
        <v>328199.99999999983</v>
      </c>
      <c r="L38" s="130">
        <f t="shared" si="19"/>
        <v>9965.1600000000326</v>
      </c>
      <c r="M38" s="130">
        <f t="shared" si="19"/>
        <v>12670.239999999991</v>
      </c>
      <c r="N38" s="130">
        <f t="shared" si="19"/>
        <v>1560469.419999999</v>
      </c>
      <c r="O38" s="130">
        <f t="shared" si="19"/>
        <v>23489.999999999978</v>
      </c>
      <c r="P38" s="130">
        <f t="shared" si="19"/>
        <v>52610</v>
      </c>
      <c r="Q38" s="130">
        <f t="shared" si="19"/>
        <v>30.199999999953434</v>
      </c>
      <c r="R38" s="130">
        <f t="shared" si="19"/>
        <v>9987.3000000000029</v>
      </c>
      <c r="S38" s="130">
        <f t="shared" si="19"/>
        <v>500017.01000000007</v>
      </c>
      <c r="T38" s="130">
        <f t="shared" si="19"/>
        <v>218707.01000000024</v>
      </c>
      <c r="U38" s="130">
        <f t="shared" si="19"/>
        <v>197707.00999999981</v>
      </c>
      <c r="V38" s="130">
        <f t="shared" si="19"/>
        <v>1002548.53</v>
      </c>
      <c r="W38" s="130">
        <f t="shared" si="19"/>
        <v>507600</v>
      </c>
      <c r="X38" s="130">
        <f t="shared" si="19"/>
        <v>321960</v>
      </c>
      <c r="Y38" s="130">
        <f t="shared" si="19"/>
        <v>829660</v>
      </c>
      <c r="Z38" s="130">
        <f t="shared" si="19"/>
        <v>19090.000000000029</v>
      </c>
      <c r="AA38" s="130">
        <f t="shared" si="19"/>
        <v>64399.999999999869</v>
      </c>
      <c r="AB38" s="130">
        <f t="shared" si="19"/>
        <v>296500</v>
      </c>
      <c r="AC38" s="130">
        <f t="shared" si="19"/>
        <v>176689.99999999997</v>
      </c>
      <c r="AD38" s="130">
        <f t="shared" si="19"/>
        <v>338700</v>
      </c>
      <c r="AE38" s="130">
        <f t="shared" si="19"/>
        <v>408686</v>
      </c>
      <c r="AF38" s="130">
        <f t="shared" si="19"/>
        <v>42649.000000000007</v>
      </c>
      <c r="AG38" s="130">
        <f t="shared" si="19"/>
        <v>267347.22040000214</v>
      </c>
      <c r="AH38" s="130">
        <f t="shared" si="19"/>
        <v>141400.00000000055</v>
      </c>
      <c r="AI38" s="130">
        <f t="shared" si="19"/>
        <v>209507.00999999998</v>
      </c>
      <c r="AJ38" s="130">
        <f t="shared" si="19"/>
        <v>762467.01000000013</v>
      </c>
      <c r="AK38" s="130">
        <f t="shared" ref="AK38:BS38" si="20">SUM(AK7:AK37)</f>
        <v>1113374.0200000005</v>
      </c>
      <c r="AL38" s="130">
        <f t="shared" si="20"/>
        <v>771467.01000000013</v>
      </c>
      <c r="AM38" s="130">
        <f t="shared" si="20"/>
        <v>312507.01</v>
      </c>
      <c r="AN38" s="130">
        <f t="shared" si="20"/>
        <v>19919.999999999964</v>
      </c>
      <c r="AO38" s="130">
        <f t="shared" si="20"/>
        <v>1103894.02</v>
      </c>
      <c r="AP38" s="130">
        <f t="shared" si="20"/>
        <v>485500</v>
      </c>
      <c r="AQ38" s="130">
        <f t="shared" si="20"/>
        <v>105359.99999999983</v>
      </c>
      <c r="AR38" s="130">
        <f t="shared" si="20"/>
        <v>166499.99999999983</v>
      </c>
      <c r="AS38" s="130">
        <f t="shared" si="20"/>
        <v>757359.99999999977</v>
      </c>
      <c r="AT38" s="130">
        <f t="shared" si="20"/>
        <v>271507.01</v>
      </c>
      <c r="AU38" s="130">
        <f t="shared" si="20"/>
        <v>547500</v>
      </c>
      <c r="AV38" s="130">
        <f t="shared" si="20"/>
        <v>230907.01000000007</v>
      </c>
      <c r="AW38" s="130">
        <f t="shared" si="20"/>
        <v>371935.36148118949</v>
      </c>
      <c r="AX38" s="130">
        <f t="shared" si="20"/>
        <v>53815.000000000044</v>
      </c>
      <c r="AY38" s="130">
        <f t="shared" si="20"/>
        <v>1475664.3814811893</v>
      </c>
      <c r="AZ38" s="130">
        <f t="shared" si="20"/>
        <v>278873.69</v>
      </c>
      <c r="BA38" s="130">
        <f t="shared" si="20"/>
        <v>564973.68999999936</v>
      </c>
      <c r="BB38" s="130">
        <f t="shared" si="20"/>
        <v>345445.33851881046</v>
      </c>
      <c r="BC38" s="130">
        <f t="shared" si="20"/>
        <v>15715.000000000136</v>
      </c>
      <c r="BD38" s="130">
        <f t="shared" si="20"/>
        <v>1205007.7185188101</v>
      </c>
      <c r="BE38" s="130">
        <f t="shared" si="20"/>
        <v>829660</v>
      </c>
      <c r="BF38" s="130">
        <f t="shared" si="20"/>
        <v>0</v>
      </c>
      <c r="BG38" s="130">
        <f t="shared" si="20"/>
        <v>0</v>
      </c>
      <c r="BH38" s="130">
        <f t="shared" si="20"/>
        <v>0</v>
      </c>
      <c r="BI38" s="130">
        <f t="shared" si="20"/>
        <v>10100.000000000409</v>
      </c>
      <c r="BJ38" s="130">
        <f t="shared" si="20"/>
        <v>355622.49999999994</v>
      </c>
      <c r="BK38" s="130">
        <f t="shared" si="20"/>
        <v>0</v>
      </c>
      <c r="BL38" s="130">
        <f t="shared" si="20"/>
        <v>383437.50000000006</v>
      </c>
      <c r="BM38" s="130">
        <f t="shared" si="20"/>
        <v>0</v>
      </c>
      <c r="BN38" s="130">
        <f t="shared" si="20"/>
        <v>0</v>
      </c>
      <c r="BO38" s="130">
        <f t="shared" si="20"/>
        <v>7955</v>
      </c>
      <c r="BP38" s="130">
        <f t="shared" si="20"/>
        <v>0</v>
      </c>
      <c r="BQ38" s="130">
        <f t="shared" si="20"/>
        <v>11365</v>
      </c>
      <c r="BR38" s="130">
        <f t="shared" si="20"/>
        <v>0</v>
      </c>
      <c r="BS38" s="130">
        <f t="shared" si="20"/>
        <v>2477000</v>
      </c>
      <c r="BT38" s="164"/>
    </row>
    <row r="39" spans="1:72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I39" s="91"/>
      <c r="BJ39" s="91"/>
      <c r="BK39" s="91"/>
      <c r="BL39" s="91"/>
      <c r="BM39" s="91"/>
      <c r="BN39" s="91"/>
      <c r="BO39" s="91"/>
      <c r="BP39" s="91"/>
      <c r="BQ39" s="91"/>
      <c r="BR39" s="165"/>
      <c r="BS39" s="165"/>
    </row>
    <row r="40" spans="1:72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E40" s="6" t="s">
        <v>252</v>
      </c>
      <c r="BF40" s="402" t="s">
        <v>253</v>
      </c>
      <c r="BG40" s="402"/>
      <c r="BH40" s="402"/>
      <c r="BI40" s="402"/>
      <c r="BJ40" s="402"/>
      <c r="BK40" s="402"/>
      <c r="BL40" s="402"/>
      <c r="BM40" s="402"/>
      <c r="BN40" s="402"/>
      <c r="BO40" s="402"/>
    </row>
    <row r="41" spans="1:72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AY41" s="91"/>
      <c r="BE41" s="6">
        <v>1</v>
      </c>
      <c r="BF41" s="464" t="s">
        <v>217</v>
      </c>
      <c r="BG41" s="464"/>
      <c r="BH41" s="464"/>
      <c r="BI41" s="464"/>
      <c r="BJ41" s="464"/>
      <c r="BK41" s="464"/>
      <c r="BL41" s="464"/>
      <c r="BM41" s="464"/>
      <c r="BN41" s="464"/>
      <c r="BO41" s="464"/>
      <c r="BP41" s="91"/>
    </row>
    <row r="42" spans="1:72" x14ac:dyDescent="0.25">
      <c r="B42" t="s">
        <v>106</v>
      </c>
      <c r="C42" s="24">
        <f>B38</f>
        <v>8229440.0000000047</v>
      </c>
      <c r="D42" s="91"/>
      <c r="N42" s="132"/>
      <c r="O42" s="132"/>
      <c r="P42" s="132"/>
      <c r="Q42" s="132"/>
      <c r="R42" s="132"/>
      <c r="S42" s="132"/>
      <c r="T42" s="132"/>
      <c r="U42" s="132"/>
      <c r="Y42" s="131">
        <v>45689</v>
      </c>
      <c r="AK42" s="3"/>
      <c r="AL42" s="3"/>
      <c r="AM42" s="3"/>
      <c r="AN42" s="3"/>
      <c r="AO42" s="3"/>
      <c r="AP42" s="3"/>
      <c r="AQ42" s="3"/>
      <c r="AR42" s="3"/>
      <c r="AS42" s="3"/>
      <c r="BE42" s="6">
        <v>2</v>
      </c>
      <c r="BF42" s="464" t="s">
        <v>217</v>
      </c>
      <c r="BG42" s="464"/>
      <c r="BH42" s="464"/>
      <c r="BI42" s="464"/>
      <c r="BJ42" s="464"/>
      <c r="BK42" s="464"/>
      <c r="BL42" s="464"/>
      <c r="BM42" s="464"/>
      <c r="BN42" s="464"/>
      <c r="BO42" s="464"/>
    </row>
    <row r="43" spans="1:72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Y43" s="133" t="s">
        <v>158</v>
      </c>
      <c r="AB43" t="s">
        <v>159</v>
      </c>
      <c r="AK43" s="169"/>
      <c r="AL43" s="134"/>
      <c r="AM43" s="134"/>
      <c r="AN43" s="170"/>
      <c r="AO43" s="169"/>
      <c r="AP43" s="134"/>
      <c r="AQ43" s="134"/>
      <c r="AR43" s="134"/>
      <c r="BE43" s="6">
        <v>3</v>
      </c>
      <c r="BF43" s="464" t="s">
        <v>218</v>
      </c>
      <c r="BG43" s="464"/>
      <c r="BH43" s="464"/>
      <c r="BI43" s="464"/>
      <c r="BJ43" s="464"/>
      <c r="BK43" s="464"/>
      <c r="BL43" s="464"/>
      <c r="BM43" s="464"/>
      <c r="BN43" s="464"/>
      <c r="BO43" s="464"/>
    </row>
    <row r="44" spans="1:72" x14ac:dyDescent="0.25">
      <c r="B44" t="s">
        <v>120</v>
      </c>
      <c r="C44" s="24">
        <f>N38</f>
        <v>1560469.419999999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E44" s="6">
        <v>4</v>
      </c>
      <c r="BF44" s="464" t="s">
        <v>219</v>
      </c>
      <c r="BG44" s="464"/>
      <c r="BH44" s="464"/>
      <c r="BI44" s="464"/>
      <c r="BJ44" s="464"/>
      <c r="BK44" s="464"/>
      <c r="BL44" s="464"/>
      <c r="BM44" s="464"/>
      <c r="BN44" s="464"/>
      <c r="BO44" s="464"/>
    </row>
    <row r="45" spans="1:72" x14ac:dyDescent="0.25">
      <c r="B45" t="s">
        <v>157</v>
      </c>
      <c r="C45" s="24">
        <f>V38</f>
        <v>1002548.53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E45" s="6">
        <v>5</v>
      </c>
      <c r="BF45" s="464" t="s">
        <v>219</v>
      </c>
      <c r="BG45" s="464"/>
      <c r="BH45" s="464"/>
      <c r="BI45" s="464"/>
      <c r="BJ45" s="464"/>
      <c r="BK45" s="464"/>
      <c r="BL45" s="464"/>
      <c r="BM45" s="464"/>
      <c r="BN45" s="464"/>
      <c r="BO45" s="464"/>
    </row>
    <row r="46" spans="1:72" x14ac:dyDescent="0.25">
      <c r="B46" t="s">
        <v>160</v>
      </c>
      <c r="C46" s="24">
        <f>Y38</f>
        <v>829660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E46" s="6">
        <v>6</v>
      </c>
      <c r="BF46" s="464" t="s">
        <v>220</v>
      </c>
      <c r="BG46" s="464"/>
      <c r="BH46" s="464"/>
      <c r="BI46" s="464"/>
      <c r="BJ46" s="464"/>
      <c r="BK46" s="464"/>
      <c r="BL46" s="464"/>
      <c r="BM46" s="464"/>
      <c r="BN46" s="464"/>
      <c r="BO46" s="464"/>
    </row>
    <row r="47" spans="1:72" x14ac:dyDescent="0.25">
      <c r="B47" t="s">
        <v>128</v>
      </c>
      <c r="C47" s="24">
        <f>AK38</f>
        <v>1113374.0200000005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E47" s="6">
        <v>7</v>
      </c>
      <c r="BF47" s="464" t="s">
        <v>221</v>
      </c>
      <c r="BG47" s="464"/>
      <c r="BH47" s="464"/>
      <c r="BI47" s="464"/>
      <c r="BJ47" s="464"/>
      <c r="BK47" s="464"/>
      <c r="BL47" s="464"/>
      <c r="BM47" s="464"/>
      <c r="BN47" s="464"/>
      <c r="BO47" s="464"/>
    </row>
    <row r="48" spans="1:72" x14ac:dyDescent="0.25">
      <c r="B48" t="s">
        <v>130</v>
      </c>
      <c r="C48" s="24">
        <f>AO38</f>
        <v>1103894.02</v>
      </c>
      <c r="D48" s="91"/>
      <c r="N48" s="132"/>
      <c r="O48" s="132"/>
      <c r="P48" s="132"/>
      <c r="Q48" s="132"/>
      <c r="R48" s="132"/>
      <c r="S48" s="132"/>
      <c r="T48" s="132"/>
      <c r="U48" s="132"/>
      <c r="Y48" s="133" t="s">
        <v>178</v>
      </c>
      <c r="AA48" t="s">
        <v>161</v>
      </c>
      <c r="AC48" t="s">
        <v>162</v>
      </c>
      <c r="BE48" s="6">
        <v>8</v>
      </c>
      <c r="BF48" s="464" t="s">
        <v>221</v>
      </c>
      <c r="BG48" s="464"/>
      <c r="BH48" s="464"/>
      <c r="BI48" s="464"/>
      <c r="BJ48" s="464"/>
      <c r="BK48" s="464"/>
      <c r="BL48" s="464"/>
      <c r="BM48" s="464"/>
      <c r="BN48" s="464"/>
      <c r="BO48" s="464"/>
    </row>
    <row r="49" spans="2:67" x14ac:dyDescent="0.25">
      <c r="B49" t="s">
        <v>132</v>
      </c>
      <c r="C49" s="24">
        <f>AY38</f>
        <v>1475664.3814811893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E49" s="6">
        <v>9</v>
      </c>
      <c r="BF49" s="464" t="s">
        <v>222</v>
      </c>
      <c r="BG49" s="464"/>
      <c r="BH49" s="464"/>
      <c r="BI49" s="464"/>
      <c r="BJ49" s="464"/>
      <c r="BK49" s="464"/>
      <c r="BL49" s="464"/>
      <c r="BM49" s="464"/>
      <c r="BN49" s="464"/>
      <c r="BO49" s="464"/>
    </row>
    <row r="50" spans="2:67" x14ac:dyDescent="0.25">
      <c r="B50" t="s">
        <v>133</v>
      </c>
      <c r="C50" s="69">
        <f>BD38</f>
        <v>1205007.7185188101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E50" s="6">
        <v>10</v>
      </c>
      <c r="BF50" s="464" t="s">
        <v>220</v>
      </c>
      <c r="BG50" s="464"/>
      <c r="BH50" s="464"/>
      <c r="BI50" s="464"/>
      <c r="BJ50" s="464"/>
      <c r="BK50" s="464"/>
      <c r="BL50" s="464"/>
      <c r="BM50" s="464"/>
      <c r="BN50" s="464"/>
      <c r="BO50" s="464"/>
    </row>
    <row r="51" spans="2:67" x14ac:dyDescent="0.25">
      <c r="B51" t="s">
        <v>131</v>
      </c>
      <c r="C51" s="24">
        <f>AS38</f>
        <v>757359.99999999977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E51" s="6">
        <v>11</v>
      </c>
      <c r="BF51" s="464" t="s">
        <v>222</v>
      </c>
      <c r="BG51" s="464"/>
      <c r="BH51" s="464"/>
      <c r="BI51" s="464"/>
      <c r="BJ51" s="464"/>
      <c r="BK51" s="464"/>
      <c r="BL51" s="464"/>
      <c r="BM51" s="464"/>
      <c r="BN51" s="464"/>
      <c r="BO51" s="464"/>
    </row>
    <row r="52" spans="2:67" x14ac:dyDescent="0.25">
      <c r="B52" t="s">
        <v>19</v>
      </c>
      <c r="C52" s="24">
        <f>SUM(BM38:BQ38)</f>
        <v>19320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E52" s="6">
        <v>12</v>
      </c>
      <c r="BF52" s="464" t="s">
        <v>222</v>
      </c>
      <c r="BG52" s="464"/>
      <c r="BH52" s="464"/>
      <c r="BI52" s="464"/>
      <c r="BJ52" s="464"/>
      <c r="BK52" s="464"/>
      <c r="BL52" s="464"/>
      <c r="BM52" s="464"/>
      <c r="BN52" s="464"/>
      <c r="BO52" s="464"/>
    </row>
    <row r="53" spans="2:67" x14ac:dyDescent="0.25">
      <c r="B53" t="s">
        <v>163</v>
      </c>
      <c r="C53" s="24">
        <f>AA38</f>
        <v>64399.999999999869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E53" s="6">
        <v>13</v>
      </c>
      <c r="BF53" s="464" t="s">
        <v>221</v>
      </c>
      <c r="BG53" s="464"/>
      <c r="BH53" s="464"/>
      <c r="BI53" s="464"/>
      <c r="BJ53" s="464"/>
      <c r="BK53" s="464"/>
      <c r="BL53" s="464"/>
      <c r="BM53" s="464"/>
      <c r="BN53" s="464"/>
      <c r="BO53" s="464"/>
    </row>
    <row r="54" spans="2:67" x14ac:dyDescent="0.25">
      <c r="B54" t="s">
        <v>6</v>
      </c>
      <c r="C54" s="24">
        <f>AB38</f>
        <v>296500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E54" s="6">
        <v>14</v>
      </c>
      <c r="BF54" s="464" t="s">
        <v>228</v>
      </c>
      <c r="BG54" s="464"/>
      <c r="BH54" s="464"/>
      <c r="BI54" s="464"/>
      <c r="BJ54" s="464"/>
      <c r="BK54" s="464"/>
      <c r="BL54" s="464"/>
      <c r="BM54" s="464"/>
      <c r="BN54" s="464"/>
      <c r="BO54" s="464"/>
    </row>
    <row r="55" spans="2:67" x14ac:dyDescent="0.25">
      <c r="B55" t="s">
        <v>164</v>
      </c>
      <c r="C55" s="24">
        <f>Z38</f>
        <v>19090.000000000029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E55" s="6">
        <v>15</v>
      </c>
      <c r="BF55" s="464" t="s">
        <v>229</v>
      </c>
      <c r="BG55" s="464"/>
      <c r="BH55" s="464"/>
      <c r="BI55" s="464"/>
      <c r="BJ55" s="464"/>
      <c r="BK55" s="464"/>
      <c r="BL55" s="464"/>
      <c r="BM55" s="464"/>
      <c r="BN55" s="464"/>
      <c r="BO55" s="464"/>
    </row>
    <row r="56" spans="2:67" x14ac:dyDescent="0.25">
      <c r="B56" t="s">
        <v>165</v>
      </c>
      <c r="C56" s="24">
        <f>AC38</f>
        <v>176689.99999999997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E56" s="6">
        <v>16</v>
      </c>
      <c r="BF56" s="464" t="s">
        <v>229</v>
      </c>
      <c r="BG56" s="464"/>
      <c r="BH56" s="464"/>
      <c r="BI56" s="464"/>
      <c r="BJ56" s="464"/>
      <c r="BK56" s="464"/>
      <c r="BL56" s="464"/>
      <c r="BM56" s="464"/>
      <c r="BN56" s="464"/>
      <c r="BO56" s="464"/>
    </row>
    <row r="57" spans="2:67" x14ac:dyDescent="0.25">
      <c r="B57" t="s">
        <v>181</v>
      </c>
      <c r="C57" s="24">
        <f>AD38</f>
        <v>338700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E57" s="6">
        <v>17</v>
      </c>
      <c r="BF57" s="464" t="s">
        <v>229</v>
      </c>
      <c r="BG57" s="464"/>
      <c r="BH57" s="464"/>
      <c r="BI57" s="464"/>
      <c r="BJ57" s="464"/>
      <c r="BK57" s="464"/>
      <c r="BL57" s="464"/>
      <c r="BM57" s="464"/>
      <c r="BN57" s="464"/>
      <c r="BO57" s="464"/>
    </row>
    <row r="58" spans="2:67" x14ac:dyDescent="0.25">
      <c r="B58" t="s">
        <v>166</v>
      </c>
      <c r="C58" s="24">
        <f>AE38</f>
        <v>408686</v>
      </c>
      <c r="D58" s="91"/>
      <c r="N58" s="91"/>
      <c r="O58" s="91"/>
      <c r="P58" s="91"/>
      <c r="Q58" s="91"/>
      <c r="R58" s="91"/>
      <c r="S58" s="91"/>
      <c r="T58" s="91"/>
      <c r="U58" s="91"/>
      <c r="BE58" s="6">
        <v>18</v>
      </c>
      <c r="BF58" s="464" t="s">
        <v>229</v>
      </c>
      <c r="BG58" s="464"/>
      <c r="BH58" s="464"/>
      <c r="BI58" s="464"/>
      <c r="BJ58" s="464"/>
      <c r="BK58" s="464"/>
      <c r="BL58" s="464"/>
      <c r="BM58" s="464"/>
      <c r="BN58" s="464"/>
      <c r="BO58" s="464"/>
    </row>
    <row r="59" spans="2:67" x14ac:dyDescent="0.25">
      <c r="B59" t="s">
        <v>250</v>
      </c>
      <c r="C59" s="24">
        <f>AF38</f>
        <v>42649.000000000007</v>
      </c>
      <c r="D59" s="91"/>
      <c r="N59" s="91"/>
      <c r="O59" s="91"/>
      <c r="P59" s="91"/>
      <c r="Q59" s="91"/>
      <c r="R59" s="91"/>
      <c r="S59" s="91"/>
      <c r="T59" s="91"/>
      <c r="U59" s="91"/>
      <c r="BE59" s="6">
        <v>19</v>
      </c>
      <c r="BF59" s="464" t="s">
        <v>229</v>
      </c>
      <c r="BG59" s="464"/>
      <c r="BH59" s="464"/>
      <c r="BI59" s="464"/>
      <c r="BJ59" s="464"/>
      <c r="BK59" s="464"/>
      <c r="BL59" s="464"/>
      <c r="BM59" s="464"/>
      <c r="BN59" s="464"/>
      <c r="BO59" s="464"/>
    </row>
    <row r="60" spans="2:67" x14ac:dyDescent="0.25">
      <c r="B60" t="s">
        <v>251</v>
      </c>
      <c r="C60" s="24">
        <f>AG38</f>
        <v>267347.22040000214</v>
      </c>
      <c r="D60" s="91"/>
      <c r="N60" s="91"/>
      <c r="O60" s="91"/>
      <c r="P60" s="91"/>
      <c r="Q60" s="91"/>
      <c r="R60" s="91"/>
      <c r="S60" s="91"/>
      <c r="T60" s="91"/>
      <c r="U60" s="91"/>
      <c r="BE60" s="6">
        <v>20</v>
      </c>
      <c r="BF60" s="464" t="s">
        <v>229</v>
      </c>
      <c r="BG60" s="464"/>
      <c r="BH60" s="464"/>
      <c r="BI60" s="464"/>
      <c r="BJ60" s="464"/>
      <c r="BK60" s="464"/>
      <c r="BL60" s="464"/>
      <c r="BM60" s="464"/>
      <c r="BN60" s="464"/>
      <c r="BO60" s="464"/>
    </row>
    <row r="61" spans="2:67" x14ac:dyDescent="0.25">
      <c r="B61" t="s">
        <v>191</v>
      </c>
      <c r="C61" s="24">
        <f>BR38</f>
        <v>0</v>
      </c>
      <c r="D61" s="91"/>
      <c r="N61" s="3"/>
      <c r="O61" s="3"/>
      <c r="P61" s="3"/>
      <c r="Q61" s="3"/>
      <c r="R61" s="3"/>
      <c r="S61" s="3"/>
      <c r="T61" s="3"/>
      <c r="U61" s="3"/>
      <c r="BE61" s="6">
        <v>21</v>
      </c>
      <c r="BF61" s="464" t="s">
        <v>230</v>
      </c>
      <c r="BG61" s="464"/>
      <c r="BH61" s="464"/>
      <c r="BI61" s="464"/>
      <c r="BJ61" s="464"/>
      <c r="BK61" s="464"/>
      <c r="BL61" s="464"/>
      <c r="BM61" s="464"/>
      <c r="BN61" s="464"/>
      <c r="BO61" s="464"/>
    </row>
    <row r="62" spans="2:67" x14ac:dyDescent="0.25">
      <c r="B62" t="s">
        <v>192</v>
      </c>
      <c r="C62" s="24">
        <f>BS38</f>
        <v>2477000</v>
      </c>
      <c r="D62" s="91"/>
      <c r="N62" s="3"/>
      <c r="O62" s="3"/>
      <c r="P62" s="3"/>
      <c r="Q62" s="3"/>
      <c r="R62" s="3"/>
      <c r="S62" s="3"/>
      <c r="T62" s="3"/>
      <c r="U62" s="3"/>
      <c r="BE62" s="6">
        <v>22</v>
      </c>
      <c r="BF62" s="464" t="s">
        <v>231</v>
      </c>
      <c r="BG62" s="464"/>
      <c r="BH62" s="464"/>
      <c r="BI62" s="464"/>
      <c r="BJ62" s="464"/>
      <c r="BK62" s="464"/>
      <c r="BL62" s="464"/>
      <c r="BM62" s="464"/>
      <c r="BN62" s="464"/>
      <c r="BO62" s="464"/>
    </row>
    <row r="63" spans="2:67" x14ac:dyDescent="0.25">
      <c r="B63" t="s">
        <v>167</v>
      </c>
      <c r="C63" s="24">
        <f>C42-C44-C45-C46-C47-C48-C49-C50-C51-C52-C53-C54-C55-C56-C57-C58-C61+C62-C59-C60</f>
        <v>25079.689600003592</v>
      </c>
      <c r="D63" s="3"/>
      <c r="N63" s="3"/>
      <c r="O63" s="3"/>
      <c r="P63" s="3"/>
      <c r="Q63" s="3"/>
      <c r="R63" s="3"/>
      <c r="S63" s="3"/>
      <c r="T63" s="3"/>
      <c r="U63" s="3"/>
      <c r="BE63" s="6">
        <v>23</v>
      </c>
      <c r="BF63" s="464" t="s">
        <v>232</v>
      </c>
      <c r="BG63" s="464"/>
      <c r="BH63" s="464"/>
      <c r="BI63" s="464"/>
      <c r="BJ63" s="464"/>
      <c r="BK63" s="464"/>
      <c r="BL63" s="464"/>
      <c r="BM63" s="464"/>
      <c r="BN63" s="464"/>
      <c r="BO63" s="464"/>
    </row>
    <row r="64" spans="2:67" x14ac:dyDescent="0.25">
      <c r="BE64" s="6">
        <v>24</v>
      </c>
      <c r="BF64" s="464" t="s">
        <v>231</v>
      </c>
      <c r="BG64" s="464"/>
      <c r="BH64" s="464"/>
      <c r="BI64" s="464"/>
      <c r="BJ64" s="464"/>
      <c r="BK64" s="464"/>
      <c r="BL64" s="464"/>
      <c r="BM64" s="464"/>
      <c r="BN64" s="464"/>
      <c r="BO64" s="464"/>
    </row>
    <row r="65" spans="2:67" x14ac:dyDescent="0.25">
      <c r="B65" s="149"/>
      <c r="C65" s="151"/>
      <c r="J65" s="62"/>
      <c r="K65" s="62"/>
      <c r="L65" s="62"/>
      <c r="M65" s="62"/>
      <c r="O65" s="106"/>
      <c r="P65" s="106"/>
      <c r="Q65" s="106"/>
      <c r="R65" s="106"/>
      <c r="S65" s="106"/>
      <c r="T65" s="106"/>
      <c r="U65" s="106"/>
      <c r="BE65" s="6">
        <v>25</v>
      </c>
      <c r="BF65" s="464" t="s">
        <v>234</v>
      </c>
      <c r="BG65" s="464"/>
      <c r="BH65" s="464"/>
      <c r="BI65" s="464"/>
      <c r="BJ65" s="464"/>
      <c r="BK65" s="464"/>
      <c r="BL65" s="464"/>
      <c r="BM65" s="464"/>
      <c r="BN65" s="464"/>
      <c r="BO65" s="464"/>
    </row>
    <row r="66" spans="2:67" x14ac:dyDescent="0.25">
      <c r="B66" s="149"/>
      <c r="C66" s="151"/>
      <c r="J66" s="62"/>
      <c r="K66" s="62"/>
      <c r="L66" s="62"/>
      <c r="M66" s="62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BE66" s="6">
        <v>26</v>
      </c>
      <c r="BF66" s="464" t="s">
        <v>233</v>
      </c>
      <c r="BG66" s="464"/>
      <c r="BH66" s="464"/>
      <c r="BI66" s="464"/>
      <c r="BJ66" s="464"/>
      <c r="BK66" s="464"/>
      <c r="BL66" s="464"/>
      <c r="BM66" s="464"/>
      <c r="BN66" s="464"/>
      <c r="BO66" s="464"/>
    </row>
    <row r="67" spans="2:67" x14ac:dyDescent="0.25">
      <c r="B67" s="149"/>
      <c r="C67" s="151"/>
      <c r="J67" s="62"/>
      <c r="K67" s="62"/>
      <c r="L67" s="62"/>
      <c r="M67" s="62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BE67" s="6">
        <v>27</v>
      </c>
      <c r="BF67" s="464" t="s">
        <v>300</v>
      </c>
      <c r="BG67" s="464"/>
      <c r="BH67" s="464"/>
      <c r="BI67" s="464"/>
      <c r="BJ67" s="464"/>
      <c r="BK67" s="464"/>
      <c r="BL67" s="464"/>
      <c r="BM67" s="464"/>
      <c r="BN67" s="464"/>
      <c r="BO67" s="464"/>
    </row>
    <row r="68" spans="2:67" x14ac:dyDescent="0.25">
      <c r="B68" s="149"/>
      <c r="C68" s="151"/>
      <c r="J68" s="62"/>
      <c r="K68" s="62"/>
      <c r="L68" s="62"/>
      <c r="M68" s="62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BE68" s="6">
        <v>28</v>
      </c>
      <c r="BF68" s="464" t="s">
        <v>300</v>
      </c>
      <c r="BG68" s="464"/>
      <c r="BH68" s="464"/>
      <c r="BI68" s="464"/>
      <c r="BJ68" s="464"/>
      <c r="BK68" s="464"/>
      <c r="BL68" s="464"/>
      <c r="BM68" s="464"/>
      <c r="BN68" s="464"/>
      <c r="BO68" s="464"/>
    </row>
    <row r="69" spans="2:67" x14ac:dyDescent="0.25">
      <c r="B69" s="149"/>
      <c r="C69" s="151"/>
      <c r="J69" s="62"/>
      <c r="K69" s="62"/>
      <c r="L69" s="62"/>
      <c r="M69" s="62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BE69" s="6">
        <v>29</v>
      </c>
      <c r="BF69" s="464" t="s">
        <v>300</v>
      </c>
      <c r="BG69" s="464"/>
      <c r="BH69" s="464"/>
      <c r="BI69" s="464"/>
      <c r="BJ69" s="464"/>
      <c r="BK69" s="464"/>
      <c r="BL69" s="464"/>
      <c r="BM69" s="464"/>
      <c r="BN69" s="464"/>
      <c r="BO69" s="464"/>
    </row>
    <row r="70" spans="2:67" x14ac:dyDescent="0.25">
      <c r="B70" s="149"/>
      <c r="C70" s="151"/>
      <c r="J70" s="62"/>
      <c r="K70" s="62"/>
      <c r="L70" s="62"/>
      <c r="M70" s="62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BE70" s="6">
        <v>30</v>
      </c>
      <c r="BF70" s="464" t="s">
        <v>300</v>
      </c>
      <c r="BG70" s="464"/>
      <c r="BH70" s="464"/>
      <c r="BI70" s="464"/>
      <c r="BJ70" s="464"/>
      <c r="BK70" s="464"/>
      <c r="BL70" s="464"/>
      <c r="BM70" s="464"/>
      <c r="BN70" s="464"/>
      <c r="BO70" s="464"/>
    </row>
    <row r="71" spans="2:67" x14ac:dyDescent="0.25">
      <c r="B71" s="149"/>
      <c r="C71" s="151"/>
      <c r="J71" s="74"/>
      <c r="K71" s="74"/>
      <c r="L71" s="74"/>
      <c r="M71" s="74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BE71" s="6">
        <v>31</v>
      </c>
      <c r="BF71" s="464" t="s">
        <v>300</v>
      </c>
      <c r="BG71" s="464"/>
      <c r="BH71" s="464"/>
      <c r="BI71" s="464"/>
      <c r="BJ71" s="464"/>
      <c r="BK71" s="464"/>
      <c r="BL71" s="464"/>
      <c r="BM71" s="464"/>
      <c r="BN71" s="464"/>
      <c r="BO71" s="464"/>
    </row>
    <row r="72" spans="2:67" x14ac:dyDescent="0.25">
      <c r="B72" s="149"/>
      <c r="C72" s="151"/>
      <c r="J72" s="74"/>
      <c r="K72" s="74"/>
      <c r="L72" s="74"/>
      <c r="M72" s="74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</row>
    <row r="73" spans="2:67" x14ac:dyDescent="0.25">
      <c r="B73" s="149"/>
      <c r="C73" s="151"/>
      <c r="J73" s="62"/>
      <c r="K73" s="62"/>
      <c r="L73" s="62"/>
      <c r="M73" s="62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</row>
    <row r="74" spans="2:67" x14ac:dyDescent="0.25">
      <c r="B74" s="149"/>
      <c r="C74" s="151"/>
      <c r="J74" s="62"/>
      <c r="K74" s="62"/>
      <c r="L74" s="62"/>
      <c r="M74" s="62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</row>
    <row r="75" spans="2:67" x14ac:dyDescent="0.25">
      <c r="B75" s="149"/>
      <c r="C75" s="151"/>
      <c r="J75" s="62"/>
      <c r="K75" s="62"/>
      <c r="L75" s="62"/>
      <c r="M75" s="62"/>
      <c r="N75" s="62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</row>
    <row r="76" spans="2:67" x14ac:dyDescent="0.25">
      <c r="B76" s="149"/>
      <c r="C76" s="151"/>
      <c r="J76" s="62"/>
      <c r="K76" s="62"/>
      <c r="L76" s="62"/>
      <c r="M76" s="62"/>
      <c r="N76" s="62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</row>
    <row r="77" spans="2:67" x14ac:dyDescent="0.25">
      <c r="B77" s="149"/>
      <c r="C77" s="151"/>
      <c r="J77" s="62"/>
      <c r="K77" s="62"/>
      <c r="L77" s="62"/>
      <c r="M77" s="62"/>
      <c r="N77" s="62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</row>
    <row r="78" spans="2:67" x14ac:dyDescent="0.25">
      <c r="B78" s="149"/>
      <c r="C78" s="151"/>
      <c r="J78" s="62"/>
      <c r="K78" s="62"/>
      <c r="L78" s="62"/>
      <c r="M78" s="62"/>
      <c r="N78" s="62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</row>
    <row r="79" spans="2:67" x14ac:dyDescent="0.25">
      <c r="B79" s="149"/>
      <c r="C79" s="151"/>
      <c r="J79" s="62"/>
      <c r="K79" s="62"/>
      <c r="L79" s="62"/>
      <c r="M79" s="62"/>
      <c r="N79" s="62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</row>
    <row r="80" spans="2:67" x14ac:dyDescent="0.25">
      <c r="B80" s="149"/>
      <c r="C80" s="151"/>
      <c r="H80" s="97"/>
      <c r="J80" s="62"/>
      <c r="K80" s="62"/>
      <c r="L80" s="62"/>
      <c r="M80" s="62"/>
      <c r="N80" s="62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</row>
    <row r="81" spans="2:25" x14ac:dyDescent="0.25">
      <c r="B81" s="149"/>
      <c r="C81" s="151"/>
      <c r="J81" s="62"/>
      <c r="K81" s="62"/>
      <c r="L81" s="62"/>
      <c r="M81" s="62"/>
      <c r="N81" s="62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</row>
    <row r="82" spans="2:25" x14ac:dyDescent="0.25">
      <c r="B82" s="149"/>
      <c r="C82" s="151"/>
      <c r="J82" s="62"/>
      <c r="K82" s="62"/>
      <c r="L82" s="62"/>
      <c r="M82" s="62"/>
      <c r="N82" s="62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</row>
    <row r="83" spans="2:25" x14ac:dyDescent="0.25">
      <c r="B83" s="149"/>
      <c r="C83" s="151"/>
      <c r="J83" s="62"/>
      <c r="K83" s="62"/>
      <c r="L83" s="62"/>
      <c r="M83" s="62"/>
      <c r="N83" s="62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</row>
    <row r="84" spans="2:25" x14ac:dyDescent="0.25">
      <c r="B84" s="149"/>
      <c r="C84" s="151"/>
      <c r="J84" s="62"/>
      <c r="K84" s="62"/>
      <c r="L84" s="62"/>
      <c r="M84" s="62"/>
      <c r="N84" s="62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</row>
    <row r="85" spans="2:25" x14ac:dyDescent="0.25">
      <c r="B85" s="149"/>
      <c r="C85" s="151"/>
      <c r="J85" s="62"/>
      <c r="K85" s="62"/>
      <c r="L85" s="62"/>
      <c r="M85" s="62"/>
      <c r="N85" s="62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</row>
    <row r="86" spans="2:25" x14ac:dyDescent="0.25">
      <c r="B86" s="149"/>
      <c r="C86" s="151"/>
      <c r="J86" s="62"/>
      <c r="K86" s="62"/>
      <c r="L86" s="62"/>
      <c r="M86" s="62"/>
      <c r="N86" s="62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</row>
    <row r="87" spans="2:25" x14ac:dyDescent="0.25">
      <c r="B87" s="149"/>
      <c r="C87" s="151"/>
      <c r="I87" s="97"/>
      <c r="J87" s="62"/>
      <c r="K87" s="62"/>
      <c r="L87" s="62"/>
      <c r="M87" s="62"/>
      <c r="N87" s="62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</row>
    <row r="88" spans="2:25" x14ac:dyDescent="0.25">
      <c r="B88" s="149"/>
      <c r="C88" s="151"/>
      <c r="H88" s="97"/>
      <c r="J88" s="62"/>
      <c r="K88" s="62"/>
      <c r="L88" s="62"/>
      <c r="M88" s="62"/>
      <c r="N88" s="62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</row>
    <row r="89" spans="2:25" x14ac:dyDescent="0.25">
      <c r="B89" s="149"/>
      <c r="J89" s="62"/>
      <c r="K89" s="62"/>
      <c r="L89" s="62"/>
      <c r="M89" s="62"/>
      <c r="N89" s="62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</row>
    <row r="90" spans="2:25" x14ac:dyDescent="0.25">
      <c r="B90" s="149"/>
      <c r="J90" s="62"/>
      <c r="K90" s="62"/>
      <c r="L90" s="62"/>
      <c r="M90" s="62"/>
      <c r="N90" s="62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</row>
    <row r="91" spans="2:25" x14ac:dyDescent="0.25">
      <c r="B91" s="149"/>
      <c r="J91" s="62"/>
      <c r="K91" s="62"/>
      <c r="L91" s="62"/>
      <c r="M91" s="62"/>
      <c r="N91" s="62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</row>
    <row r="92" spans="2:25" x14ac:dyDescent="0.25">
      <c r="B92" s="149"/>
      <c r="J92" s="62"/>
      <c r="K92" s="62"/>
      <c r="L92" s="62"/>
      <c r="M92" s="62"/>
      <c r="N92" s="62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</row>
    <row r="93" spans="2:25" x14ac:dyDescent="0.25">
      <c r="B93" s="149"/>
      <c r="J93" s="62"/>
      <c r="K93" s="62"/>
      <c r="L93" s="62"/>
      <c r="M93" s="62"/>
      <c r="N93" s="62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</row>
    <row r="94" spans="2:25" x14ac:dyDescent="0.25">
      <c r="B94" s="149"/>
      <c r="E94" s="97"/>
      <c r="F94" s="97"/>
      <c r="G94" s="97"/>
      <c r="J94" s="62"/>
      <c r="K94" s="62"/>
      <c r="L94" s="62"/>
      <c r="M94" s="62"/>
      <c r="N94" s="62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</row>
    <row r="95" spans="2:25" x14ac:dyDescent="0.25">
      <c r="B95" s="149"/>
      <c r="C95" s="151"/>
    </row>
    <row r="96" spans="2:25" x14ac:dyDescent="0.25">
      <c r="B96" s="149"/>
      <c r="C96" s="151"/>
    </row>
    <row r="97" spans="2:3" x14ac:dyDescent="0.25">
      <c r="B97" s="149"/>
      <c r="C97" s="151"/>
    </row>
    <row r="98" spans="2:3" x14ac:dyDescent="0.25">
      <c r="B98" s="149"/>
      <c r="C98" s="151"/>
    </row>
    <row r="99" spans="2:3" x14ac:dyDescent="0.25">
      <c r="B99" s="149"/>
      <c r="C99" s="151"/>
    </row>
    <row r="100" spans="2:3" x14ac:dyDescent="0.25">
      <c r="B100" s="149"/>
      <c r="C100" s="151"/>
    </row>
    <row r="101" spans="2:3" x14ac:dyDescent="0.25">
      <c r="B101" s="149"/>
      <c r="C101" s="151"/>
    </row>
    <row r="102" spans="2:3" x14ac:dyDescent="0.25">
      <c r="B102" s="149"/>
      <c r="C102" s="151"/>
    </row>
    <row r="103" spans="2:3" x14ac:dyDescent="0.25">
      <c r="B103" s="149"/>
      <c r="C103" s="151"/>
    </row>
    <row r="104" spans="2:3" x14ac:dyDescent="0.25">
      <c r="B104" s="149"/>
      <c r="C104" s="151"/>
    </row>
    <row r="105" spans="2:3" x14ac:dyDescent="0.25">
      <c r="B105" s="149"/>
      <c r="C105" s="151"/>
    </row>
    <row r="106" spans="2:3" x14ac:dyDescent="0.25">
      <c r="B106" s="149"/>
      <c r="C106" s="151"/>
    </row>
    <row r="107" spans="2:3" x14ac:dyDescent="0.25">
      <c r="B107" s="149"/>
      <c r="C107" s="151"/>
    </row>
    <row r="108" spans="2:3" x14ac:dyDescent="0.25">
      <c r="B108" s="149"/>
      <c r="C108" s="151"/>
    </row>
    <row r="109" spans="2:3" x14ac:dyDescent="0.25">
      <c r="B109" s="149"/>
      <c r="C109" s="151"/>
    </row>
    <row r="110" spans="2:3" x14ac:dyDescent="0.25">
      <c r="B110" s="149"/>
      <c r="C110" s="151"/>
    </row>
    <row r="111" spans="2:3" x14ac:dyDescent="0.25">
      <c r="B111" s="149"/>
      <c r="C111" s="151"/>
    </row>
    <row r="112" spans="2:3" x14ac:dyDescent="0.25">
      <c r="B112" s="149"/>
      <c r="C112" s="151"/>
    </row>
    <row r="113" spans="2:3" x14ac:dyDescent="0.25">
      <c r="B113" s="149"/>
      <c r="C113" s="151"/>
    </row>
    <row r="114" spans="2:3" x14ac:dyDescent="0.25">
      <c r="B114" s="149"/>
      <c r="C114" s="151"/>
    </row>
    <row r="115" spans="2:3" x14ac:dyDescent="0.25">
      <c r="B115" s="149"/>
      <c r="C115" s="151"/>
    </row>
    <row r="116" spans="2:3" x14ac:dyDescent="0.25">
      <c r="B116" s="149"/>
      <c r="C116" s="151"/>
    </row>
    <row r="117" spans="2:3" x14ac:dyDescent="0.25">
      <c r="B117" s="149"/>
      <c r="C117" s="151"/>
    </row>
    <row r="118" spans="2:3" x14ac:dyDescent="0.25">
      <c r="B118" s="149"/>
      <c r="C118" s="151"/>
    </row>
    <row r="119" spans="2:3" x14ac:dyDescent="0.25">
      <c r="B119" s="149"/>
    </row>
    <row r="120" spans="2:3" x14ac:dyDescent="0.25">
      <c r="B120" s="149"/>
    </row>
    <row r="121" spans="2:3" x14ac:dyDescent="0.25">
      <c r="B121" s="149"/>
    </row>
    <row r="122" spans="2:3" x14ac:dyDescent="0.25">
      <c r="B122" s="149"/>
    </row>
    <row r="123" spans="2:3" x14ac:dyDescent="0.25">
      <c r="B123" s="149"/>
    </row>
    <row r="124" spans="2:3" x14ac:dyDescent="0.25">
      <c r="B124" s="149"/>
    </row>
  </sheetData>
  <customSheetViews>
    <customSheetView guid="{48545DB9-4D9D-4699-ACEC-DA6E2D3586A8}" scale="85" hiddenColumns="1">
      <pane xSplit="1" ySplit="6" topLeftCell="B7" activePane="bottomRight" state="frozen"/>
      <selection pane="bottomRight" activeCell="Q12" sqref="Q12"/>
      <pageMargins left="0.23622047244094491" right="0" top="0.55118110236220474" bottom="0" header="0.31496062992125984" footer="0.31496062992125984"/>
      <pageSetup paperSize="9" scale="45" orientation="landscape" r:id="rId1"/>
    </customSheetView>
    <customSheetView guid="{32ABFE17-599B-4D0B-A1DB-D95B181877FC}" scale="85" hiddenColumns="1">
      <pane xSplit="1" ySplit="6" topLeftCell="B7" activePane="bottomRight" state="frozen"/>
      <selection pane="bottomRight" activeCell="Q12" sqref="Q12"/>
      <pageMargins left="0.23622047244094491" right="0" top="0.55118110236220474" bottom="0" header="0.31496062992125984" footer="0.31496062992125984"/>
      <pageSetup paperSize="9" scale="45" orientation="landscape" r:id="rId2"/>
    </customSheetView>
  </customSheetViews>
  <mergeCells count="66">
    <mergeCell ref="BF69:BO69"/>
    <mergeCell ref="BF70:BO70"/>
    <mergeCell ref="BF71:BO71"/>
    <mergeCell ref="BF64:BO64"/>
    <mergeCell ref="BF65:BO65"/>
    <mergeCell ref="BF66:BO66"/>
    <mergeCell ref="BF67:BO67"/>
    <mergeCell ref="BF68:BO68"/>
    <mergeCell ref="BF59:BO59"/>
    <mergeCell ref="BF60:BO60"/>
    <mergeCell ref="BF61:BO61"/>
    <mergeCell ref="BF62:BO62"/>
    <mergeCell ref="BF63:BO63"/>
    <mergeCell ref="BF54:BO54"/>
    <mergeCell ref="BF55:BO55"/>
    <mergeCell ref="BF56:BO56"/>
    <mergeCell ref="BF57:BO57"/>
    <mergeCell ref="BF58:BO58"/>
    <mergeCell ref="BF49:BO49"/>
    <mergeCell ref="BF50:BO50"/>
    <mergeCell ref="BF51:BO51"/>
    <mergeCell ref="BF52:BO52"/>
    <mergeCell ref="BF53:BO53"/>
    <mergeCell ref="BF44:BO44"/>
    <mergeCell ref="BF45:BO45"/>
    <mergeCell ref="BF46:BO46"/>
    <mergeCell ref="BF47:BO47"/>
    <mergeCell ref="BF48:BO48"/>
    <mergeCell ref="BF40:BO40"/>
    <mergeCell ref="BF41:BO41"/>
    <mergeCell ref="BF42:BO42"/>
    <mergeCell ref="BF43:BO43"/>
    <mergeCell ref="A4:A6"/>
    <mergeCell ref="B4:B6"/>
    <mergeCell ref="C4:C6"/>
    <mergeCell ref="D4:M4"/>
    <mergeCell ref="N4:N6"/>
    <mergeCell ref="D5:I5"/>
    <mergeCell ref="J5:K5"/>
    <mergeCell ref="L5:M5"/>
    <mergeCell ref="V4:V6"/>
    <mergeCell ref="BE4:BH5"/>
    <mergeCell ref="BI4:BL5"/>
    <mergeCell ref="BM4:BQ5"/>
    <mergeCell ref="AS4:AS6"/>
    <mergeCell ref="W4:X5"/>
    <mergeCell ref="Y4:Y6"/>
    <mergeCell ref="Z4:Z6"/>
    <mergeCell ref="AA4:AA6"/>
    <mergeCell ref="AB4:AB6"/>
    <mergeCell ref="BD4:BD6"/>
    <mergeCell ref="AL4:AN4"/>
    <mergeCell ref="BR4:BR6"/>
    <mergeCell ref="BS4:BS6"/>
    <mergeCell ref="AC4:AC6"/>
    <mergeCell ref="AD4:AD6"/>
    <mergeCell ref="AE4:AE6"/>
    <mergeCell ref="AH4:AJ4"/>
    <mergeCell ref="AK4:AK6"/>
    <mergeCell ref="AG4:AG6"/>
    <mergeCell ref="AT4:AW4"/>
    <mergeCell ref="AY4:AY6"/>
    <mergeCell ref="AZ4:BB4"/>
    <mergeCell ref="AF4:AF6"/>
    <mergeCell ref="AO4:AO6"/>
    <mergeCell ref="AP4:AR4"/>
  </mergeCells>
  <pageMargins left="0.23622047244094491" right="0" top="0.55118110236220474" bottom="0" header="0.31496062992125984" footer="0.31496062992125984"/>
  <pageSetup paperSize="9" scale="45" orientation="landscape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A1:XAL88"/>
  <sheetViews>
    <sheetView zoomScale="82" zoomScaleNormal="82" workbookViewId="0">
      <pane xSplit="1" ySplit="6" topLeftCell="GI16" activePane="bottomRight" state="frozen"/>
      <selection pane="topRight" activeCell="B1" sqref="B1"/>
      <selection pane="bottomLeft" activeCell="A7" sqref="A7"/>
      <selection pane="bottomRight" activeCell="GX5" sqref="GX5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4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0.140625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1406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8.5703125" bestFit="1" customWidth="1"/>
    <col min="183" max="183" width="8.7109375" bestFit="1" customWidth="1"/>
    <col min="184" max="185" width="10.7109375" bestFit="1" customWidth="1"/>
    <col min="186" max="186" width="8.42578125" customWidth="1"/>
    <col min="187" max="187" width="13.85546875" customWidth="1"/>
    <col min="188" max="188" width="8.5703125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3" width="7.42578125" bestFit="1" customWidth="1"/>
    <col min="224" max="224" width="11" bestFit="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1" width="5.5703125" bestFit="1" customWidth="1"/>
    <col min="232" max="232" width="7.28515625" bestFit="1" customWidth="1"/>
    <col min="233" max="233" width="11" bestFit="1" customWidth="1"/>
    <col min="234" max="234" width="24.140625" bestFit="1" customWidth="1"/>
    <col min="235" max="235" width="9.5703125" bestFit="1" customWidth="1"/>
    <col min="236" max="236" width="8.5703125" bestFit="1" customWidth="1"/>
    <col min="237" max="237" width="11" bestFit="1" customWidth="1"/>
    <col min="238" max="239" width="7.42578125" bestFit="1" customWidth="1"/>
    <col min="240" max="240" width="11" bestFit="1" customWidth="1"/>
    <col min="241" max="242" width="8.5703125" bestFit="1" customWidth="1"/>
    <col min="243" max="243" width="11" bestFit="1" customWidth="1"/>
    <col min="244" max="245" width="8.5703125" bestFit="1" customWidth="1"/>
    <col min="246" max="246" width="11" bestFit="1" customWidth="1"/>
    <col min="247" max="248" width="9.5703125" bestFit="1" customWidth="1"/>
    <col min="249" max="249" width="11" bestFit="1" customWidth="1"/>
    <col min="250" max="250" width="9.5703125" bestFit="1" customWidth="1"/>
    <col min="251" max="251" width="8.5703125" bestFit="1" customWidth="1"/>
    <col min="252" max="252" width="11" bestFit="1" customWidth="1"/>
    <col min="253" max="253" width="8.5703125" bestFit="1" customWidth="1"/>
    <col min="254" max="254" width="7.42578125" bestFit="1" customWidth="1"/>
    <col min="255" max="255" width="11" bestFit="1" customWidth="1"/>
    <col min="256" max="256" width="9.5703125" bestFit="1" customWidth="1"/>
    <col min="257" max="257" width="8.5703125" bestFit="1" customWidth="1"/>
    <col min="258" max="258" width="11" bestFit="1" customWidth="1"/>
    <col min="259" max="259" width="9.5703125" bestFit="1" customWidth="1"/>
    <col min="260" max="260" width="7.42578125" bestFit="1" customWidth="1"/>
    <col min="261" max="261" width="11" bestFit="1" customWidth="1"/>
    <col min="262" max="263" width="8.5703125" bestFit="1" customWidth="1"/>
    <col min="264" max="264" width="11" bestFit="1" customWidth="1"/>
    <col min="265" max="266" width="9.5703125" bestFit="1" customWidth="1"/>
    <col min="267" max="267" width="11" bestFit="1" customWidth="1"/>
    <col min="268" max="268" width="9.5703125" bestFit="1" customWidth="1"/>
    <col min="269" max="269" width="8.5703125" bestFit="1" customWidth="1"/>
    <col min="270" max="270" width="11" bestFit="1" customWidth="1"/>
    <col min="271" max="272" width="8.5703125" bestFit="1" customWidth="1"/>
    <col min="273" max="273" width="11" bestFit="1" customWidth="1"/>
    <col min="274" max="274" width="9.5703125" bestFit="1" customWidth="1"/>
    <col min="275" max="275" width="10.5703125" bestFit="1" customWidth="1"/>
    <col min="276" max="276" width="11" bestFit="1" customWidth="1"/>
    <col min="277" max="277" width="7.42578125" bestFit="1" customWidth="1"/>
    <col min="278" max="278" width="7.28515625" bestFit="1" customWidth="1"/>
    <col min="279" max="279" width="11" bestFit="1" customWidth="1"/>
    <col min="280" max="280" width="8.5703125" bestFit="1" customWidth="1"/>
    <col min="281" max="281" width="7.42578125" bestFit="1" customWidth="1"/>
    <col min="282" max="282" width="11" bestFit="1" customWidth="1"/>
    <col min="283" max="283" width="12.140625" bestFit="1" customWidth="1"/>
    <col min="284" max="284" width="14.42578125" bestFit="1" customWidth="1"/>
    <col min="285" max="285" width="13.28515625" bestFit="1" customWidth="1"/>
    <col min="286" max="286" width="11.5703125" bestFit="1" customWidth="1"/>
    <col min="287" max="287" width="7.7109375" bestFit="1" customWidth="1"/>
    <col min="288" max="289" width="14.42578125" bestFit="1" customWidth="1"/>
    <col min="290" max="290" width="11.5703125" bestFit="1" customWidth="1"/>
    <col min="291" max="291" width="7.7109375" bestFit="1" customWidth="1"/>
    <col min="292" max="292" width="13.5703125" customWidth="1"/>
    <col min="293" max="293" width="15.28515625" customWidth="1"/>
    <col min="294" max="294" width="14.5703125" customWidth="1"/>
    <col min="295" max="295" width="13.28515625" bestFit="1" customWidth="1"/>
    <col min="296" max="296" width="7.7109375" bestFit="1" customWidth="1"/>
    <col min="297" max="297" width="12.7109375" bestFit="1" customWidth="1"/>
    <col min="298" max="298" width="11.7109375" bestFit="1" customWidth="1"/>
    <col min="299" max="299" width="11.5703125" bestFit="1" customWidth="1"/>
    <col min="300" max="300" width="5.28515625" bestFit="1" customWidth="1"/>
    <col min="301" max="301" width="13.28515625" bestFit="1" customWidth="1"/>
    <col min="302" max="302" width="13.5703125" bestFit="1" customWidth="1"/>
    <col min="303" max="303" width="10.5703125" bestFit="1" customWidth="1"/>
    <col min="304" max="304" width="13.28515625" bestFit="1" customWidth="1"/>
    <col min="305" max="305" width="11.5703125" bestFit="1" customWidth="1"/>
    <col min="306" max="306" width="10.5703125" bestFit="1" customWidth="1"/>
    <col min="307" max="307" width="16.140625" bestFit="1" customWidth="1"/>
    <col min="308" max="309" width="11.28515625" bestFit="1" customWidth="1"/>
    <col min="310" max="310" width="13.28515625" bestFit="1" customWidth="1"/>
    <col min="311" max="311" width="7.7109375" bestFit="1" customWidth="1"/>
    <col min="312" max="315" width="9.140625" hidden="1" customWidth="1"/>
    <col min="316" max="316" width="10.42578125" bestFit="1" customWidth="1"/>
    <col min="317" max="317" width="10.5703125" bestFit="1" customWidth="1"/>
    <col min="318" max="318" width="10.42578125" bestFit="1" customWidth="1"/>
    <col min="319" max="319" width="10.5703125" bestFit="1" customWidth="1"/>
    <col min="320" max="320" width="9.5703125" bestFit="1" customWidth="1"/>
    <col min="321" max="321" width="11.5703125" bestFit="1" customWidth="1"/>
    <col min="322" max="322" width="10.42578125" bestFit="1" customWidth="1"/>
    <col min="323" max="323" width="10.85546875" customWidth="1"/>
    <col min="324" max="325" width="9.85546875" bestFit="1" customWidth="1"/>
    <col min="326" max="326" width="13.5703125" bestFit="1" customWidth="1"/>
    <col min="327" max="327" width="7.7109375" bestFit="1" customWidth="1"/>
    <col min="328" max="328" width="13.28515625" bestFit="1" customWidth="1"/>
    <col min="329" max="329" width="11.5703125" bestFit="1" customWidth="1"/>
    <col min="330" max="330" width="10.42578125" bestFit="1" customWidth="1"/>
    <col min="331" max="331" width="7.7109375" bestFit="1" customWidth="1"/>
    <col min="332" max="332" width="11.5703125" bestFit="1" customWidth="1"/>
    <col min="333" max="333" width="10.85546875" bestFit="1" customWidth="1"/>
    <col min="334" max="334" width="13.28515625" bestFit="1" customWidth="1"/>
    <col min="335" max="335" width="10.85546875" bestFit="1" customWidth="1"/>
    <col min="336" max="337" width="7.5703125" bestFit="1" customWidth="1"/>
    <col min="338" max="339" width="10.42578125" bestFit="1" customWidth="1"/>
    <col min="340" max="340" width="11.5703125" bestFit="1" customWidth="1"/>
    <col min="341" max="341" width="5.28515625" bestFit="1" customWidth="1"/>
    <col min="342" max="342" width="10.28515625" bestFit="1" customWidth="1"/>
    <col min="343" max="343" width="10.42578125" bestFit="1" customWidth="1"/>
    <col min="344" max="344" width="11.5703125" bestFit="1" customWidth="1"/>
    <col min="345" max="345" width="5.28515625" bestFit="1" customWidth="1"/>
    <col min="346" max="348" width="11.5703125" bestFit="1" customWidth="1"/>
    <col min="349" max="349" width="5.28515625" bestFit="1" customWidth="1"/>
    <col min="350" max="351" width="10.42578125" bestFit="1" customWidth="1"/>
    <col min="352" max="352" width="11.5703125" bestFit="1" customWidth="1"/>
    <col min="353" max="353" width="5.28515625" bestFit="1" customWidth="1"/>
    <col min="354" max="354" width="14.28515625" bestFit="1" customWidth="1"/>
    <col min="355" max="355" width="13" bestFit="1" customWidth="1"/>
    <col min="356" max="356" width="11.5703125" bestFit="1" customWidth="1"/>
    <col min="357" max="357" width="8.85546875" bestFit="1" customWidth="1"/>
    <col min="358" max="358" width="14.42578125" bestFit="1" customWidth="1"/>
    <col min="359" max="359" width="10.42578125" bestFit="1" customWidth="1"/>
    <col min="360" max="360" width="12.28515625" bestFit="1" customWidth="1"/>
    <col min="361" max="361" width="13.85546875" bestFit="1" customWidth="1"/>
    <col min="362" max="362" width="11.28515625" customWidth="1"/>
    <col min="363" max="363" width="11.5703125" customWidth="1"/>
    <col min="364" max="364" width="13.42578125" bestFit="1" customWidth="1"/>
    <col min="365" max="365" width="10.42578125" customWidth="1"/>
    <col min="366" max="366" width="13.85546875" bestFit="1" customWidth="1"/>
    <col min="367" max="367" width="15.42578125" bestFit="1" customWidth="1"/>
    <col min="368" max="368" width="12.28515625" bestFit="1" customWidth="1"/>
    <col min="369" max="369" width="12.7109375" customWidth="1"/>
    <col min="370" max="370" width="10.7109375" bestFit="1" customWidth="1"/>
    <col min="371" max="371" width="9.85546875" customWidth="1"/>
    <col min="372" max="373" width="10.140625" bestFit="1" customWidth="1"/>
    <col min="374" max="374" width="7.5703125" bestFit="1" customWidth="1"/>
    <col min="375" max="375" width="9.42578125" bestFit="1" customWidth="1"/>
    <col min="376" max="376" width="14.5703125" bestFit="1" customWidth="1"/>
    <col min="377" max="377" width="14.85546875" customWidth="1"/>
    <col min="378" max="378" width="15.140625" bestFit="1" customWidth="1"/>
    <col min="379" max="379" width="12.140625" bestFit="1" customWidth="1"/>
    <col min="380" max="380" width="14.85546875" bestFit="1" customWidth="1"/>
    <col min="381" max="381" width="12.28515625" bestFit="1" customWidth="1"/>
    <col min="382" max="390" width="9.140625" hidden="1" customWidth="1"/>
    <col min="391" max="391" width="5.28515625" bestFit="1" customWidth="1"/>
    <col min="392" max="397" width="11.5703125" bestFit="1" customWidth="1"/>
    <col min="398" max="398" width="11.28515625" bestFit="1" customWidth="1"/>
    <col min="399" max="399" width="10.140625" bestFit="1" customWidth="1"/>
    <col min="400" max="400" width="11.5703125" bestFit="1" customWidth="1"/>
    <col min="401" max="401" width="16.140625" customWidth="1"/>
    <col min="402" max="402" width="13.42578125" customWidth="1"/>
    <col min="403" max="403" width="10.140625" bestFit="1" customWidth="1"/>
    <col min="404" max="404" width="12.85546875" bestFit="1" customWidth="1"/>
    <col min="405" max="405" width="12.28515625" bestFit="1" customWidth="1"/>
    <col min="406" max="406" width="11.28515625" bestFit="1" customWidth="1"/>
    <col min="407" max="407" width="11.5703125" bestFit="1" customWidth="1"/>
    <col min="408" max="408" width="10.85546875" bestFit="1" customWidth="1"/>
    <col min="409" max="409" width="11.28515625" bestFit="1" customWidth="1"/>
    <col min="410" max="410" width="10.140625" bestFit="1" customWidth="1"/>
    <col min="411" max="411" width="13.28515625" bestFit="1" customWidth="1"/>
    <col min="412" max="413" width="12.7109375" bestFit="1" customWidth="1"/>
    <col min="414" max="414" width="11" bestFit="1" customWidth="1"/>
    <col min="415" max="415" width="11.28515625" bestFit="1" customWidth="1"/>
    <col min="416" max="416" width="11.5703125" bestFit="1" customWidth="1"/>
    <col min="417" max="417" width="12.28515625" bestFit="1" customWidth="1"/>
    <col min="418" max="418" width="15.140625" bestFit="1" customWidth="1"/>
    <col min="419" max="419" width="14.42578125" bestFit="1" customWidth="1"/>
    <col min="420" max="420" width="12.28515625" bestFit="1" customWidth="1"/>
    <col min="421" max="421" width="15.140625" bestFit="1" customWidth="1"/>
    <col min="422" max="422" width="14.42578125" bestFit="1" customWidth="1"/>
    <col min="423" max="423" width="12.28515625" bestFit="1" customWidth="1"/>
    <col min="424" max="424" width="14.42578125" bestFit="1" customWidth="1"/>
    <col min="425" max="425" width="11.28515625" bestFit="1" customWidth="1"/>
    <col min="426" max="426" width="12.28515625" bestFit="1" customWidth="1"/>
    <col min="427" max="427" width="13" bestFit="1" customWidth="1"/>
    <col min="428" max="428" width="15.140625" bestFit="1" customWidth="1"/>
    <col min="429" max="429" width="12.28515625" bestFit="1" customWidth="1"/>
    <col min="430" max="430" width="13.85546875" bestFit="1" customWidth="1"/>
    <col min="431" max="431" width="11.28515625" bestFit="1" customWidth="1"/>
    <col min="432" max="432" width="12.28515625" bestFit="1" customWidth="1"/>
    <col min="433" max="433" width="13.85546875" bestFit="1" customWidth="1"/>
    <col min="434" max="435" width="15.140625" bestFit="1" customWidth="1"/>
    <col min="436" max="436" width="12.28515625" bestFit="1" customWidth="1"/>
    <col min="437" max="437" width="5.7109375" bestFit="1" customWidth="1"/>
    <col min="438" max="438" width="8.5703125" bestFit="1" customWidth="1"/>
    <col min="439" max="439" width="5.5703125" bestFit="1" customWidth="1"/>
    <col min="440" max="440" width="14.42578125" bestFit="1" customWidth="1"/>
    <col min="441" max="441" width="11.28515625" bestFit="1" customWidth="1"/>
    <col min="442" max="443" width="12.28515625" bestFit="1" customWidth="1"/>
    <col min="444" max="444" width="11.28515625" bestFit="1" customWidth="1"/>
    <col min="445" max="445" width="13.85546875" bestFit="1" customWidth="1"/>
    <col min="446" max="446" width="12" bestFit="1" customWidth="1"/>
    <col min="447" max="447" width="13.85546875" bestFit="1" customWidth="1"/>
    <col min="448" max="449" width="14.42578125" customWidth="1"/>
    <col min="450" max="450" width="10.140625" bestFit="1" customWidth="1"/>
    <col min="451" max="451" width="12.28515625" bestFit="1" customWidth="1"/>
    <col min="452" max="452" width="7.42578125" bestFit="1" customWidth="1"/>
    <col min="453" max="453" width="8.5703125" bestFit="1" customWidth="1"/>
    <col min="454" max="454" width="11.5703125" bestFit="1" customWidth="1"/>
    <col min="455" max="455" width="13.28515625" bestFit="1" customWidth="1"/>
    <col min="456" max="456" width="13.28515625" customWidth="1"/>
    <col min="457" max="457" width="13.140625" customWidth="1"/>
    <col min="458" max="458" width="12.7109375" bestFit="1" customWidth="1"/>
    <col min="459" max="459" width="13.28515625" bestFit="1" customWidth="1"/>
    <col min="460" max="462" width="13.28515625" customWidth="1"/>
    <col min="463" max="463" width="12.140625" bestFit="1" customWidth="1"/>
    <col min="464" max="464" width="12.7109375" bestFit="1" customWidth="1"/>
    <col min="465" max="465" width="11" customWidth="1"/>
    <col min="466" max="466" width="16.7109375" customWidth="1"/>
    <col min="467" max="467" width="17" customWidth="1"/>
    <col min="468" max="468" width="10.42578125" bestFit="1" customWidth="1"/>
    <col min="512" max="512" width="3.85546875" customWidth="1"/>
    <col min="513" max="513" width="15.28515625" bestFit="1" customWidth="1"/>
    <col min="514" max="514" width="12.28515625" customWidth="1"/>
    <col min="515" max="515" width="16.28515625" bestFit="1" customWidth="1"/>
    <col min="516" max="516" width="6.42578125" bestFit="1" customWidth="1"/>
    <col min="517" max="517" width="9.28515625" bestFit="1" customWidth="1"/>
    <col min="518" max="518" width="7.5703125" bestFit="1" customWidth="1"/>
    <col min="519" max="519" width="13.28515625" bestFit="1" customWidth="1"/>
    <col min="520" max="520" width="9.28515625" bestFit="1" customWidth="1"/>
    <col min="521" max="521" width="11.5703125" bestFit="1" customWidth="1"/>
    <col min="522" max="522" width="13.28515625" bestFit="1" customWidth="1"/>
    <col min="523" max="523" width="7.140625" bestFit="1" customWidth="1"/>
    <col min="524" max="524" width="12" bestFit="1" customWidth="1"/>
    <col min="525" max="525" width="13.28515625" bestFit="1" customWidth="1"/>
    <col min="526" max="526" width="7" bestFit="1" customWidth="1"/>
    <col min="527" max="527" width="12.7109375" bestFit="1" customWidth="1"/>
    <col min="528" max="528" width="11.5703125" bestFit="1" customWidth="1"/>
    <col min="529" max="529" width="10.5703125" bestFit="1" customWidth="1"/>
    <col min="530" max="531" width="15.7109375" bestFit="1" customWidth="1"/>
    <col min="532" max="532" width="11.5703125" bestFit="1" customWidth="1"/>
    <col min="533" max="533" width="7.7109375" bestFit="1" customWidth="1"/>
    <col min="534" max="534" width="15.140625" bestFit="1" customWidth="1"/>
    <col min="535" max="535" width="11.5703125" bestFit="1" customWidth="1"/>
    <col min="536" max="536" width="13.28515625" bestFit="1" customWidth="1"/>
    <col min="537" max="537" width="10.42578125" bestFit="1" customWidth="1"/>
    <col min="538" max="538" width="13.28515625" bestFit="1" customWidth="1"/>
    <col min="539" max="539" width="12.140625" bestFit="1" customWidth="1"/>
    <col min="540" max="540" width="14.42578125" bestFit="1" customWidth="1"/>
    <col min="541" max="541" width="13.28515625" bestFit="1" customWidth="1"/>
    <col min="542" max="542" width="11.5703125" bestFit="1" customWidth="1"/>
    <col min="543" max="543" width="7.7109375" bestFit="1" customWidth="1"/>
    <col min="544" max="545" width="14.42578125" bestFit="1" customWidth="1"/>
    <col min="546" max="546" width="11.5703125" bestFit="1" customWidth="1"/>
    <col min="547" max="547" width="7.7109375" bestFit="1" customWidth="1"/>
    <col min="548" max="548" width="13.5703125" customWidth="1"/>
    <col min="549" max="549" width="15.28515625" customWidth="1"/>
    <col min="550" max="550" width="14.5703125" customWidth="1"/>
    <col min="551" max="551" width="13.28515625" bestFit="1" customWidth="1"/>
    <col min="552" max="552" width="7.7109375" bestFit="1" customWidth="1"/>
    <col min="553" max="553" width="12.7109375" bestFit="1" customWidth="1"/>
    <col min="554" max="554" width="11.7109375" bestFit="1" customWidth="1"/>
    <col min="555" max="555" width="11.5703125" bestFit="1" customWidth="1"/>
    <col min="556" max="556" width="5.28515625" bestFit="1" customWidth="1"/>
    <col min="557" max="557" width="13.28515625" bestFit="1" customWidth="1"/>
    <col min="558" max="558" width="13.5703125" bestFit="1" customWidth="1"/>
    <col min="559" max="559" width="10.5703125" bestFit="1" customWidth="1"/>
    <col min="560" max="560" width="13.28515625" bestFit="1" customWidth="1"/>
    <col min="561" max="561" width="11.5703125" bestFit="1" customWidth="1"/>
    <col min="562" max="562" width="10.5703125" bestFit="1" customWidth="1"/>
    <col min="563" max="563" width="16.140625" bestFit="1" customWidth="1"/>
    <col min="564" max="565" width="11.28515625" bestFit="1" customWidth="1"/>
    <col min="566" max="566" width="13.28515625" bestFit="1" customWidth="1"/>
    <col min="567" max="567" width="7.7109375" bestFit="1" customWidth="1"/>
    <col min="568" max="571" width="9.140625" hidden="1" customWidth="1"/>
    <col min="572" max="572" width="10.42578125" bestFit="1" customWidth="1"/>
    <col min="573" max="573" width="10.5703125" bestFit="1" customWidth="1"/>
    <col min="574" max="574" width="10.42578125" bestFit="1" customWidth="1"/>
    <col min="575" max="575" width="10.5703125" bestFit="1" customWidth="1"/>
    <col min="576" max="576" width="9.5703125" bestFit="1" customWidth="1"/>
    <col min="577" max="577" width="11.5703125" bestFit="1" customWidth="1"/>
    <col min="578" max="578" width="10.42578125" bestFit="1" customWidth="1"/>
    <col min="579" max="579" width="10.85546875" customWidth="1"/>
    <col min="580" max="581" width="9.85546875" bestFit="1" customWidth="1"/>
    <col min="582" max="582" width="13.5703125" bestFit="1" customWidth="1"/>
    <col min="583" max="583" width="7.7109375" bestFit="1" customWidth="1"/>
    <col min="584" max="584" width="13.28515625" bestFit="1" customWidth="1"/>
    <col min="585" max="585" width="11.5703125" bestFit="1" customWidth="1"/>
    <col min="586" max="586" width="10.42578125" bestFit="1" customWidth="1"/>
    <col min="587" max="587" width="7.7109375" bestFit="1" customWidth="1"/>
    <col min="588" max="588" width="11.5703125" bestFit="1" customWidth="1"/>
    <col min="589" max="589" width="10.85546875" bestFit="1" customWidth="1"/>
    <col min="590" max="590" width="13.28515625" bestFit="1" customWidth="1"/>
    <col min="591" max="591" width="10.85546875" bestFit="1" customWidth="1"/>
    <col min="592" max="593" width="7.5703125" bestFit="1" customWidth="1"/>
    <col min="594" max="595" width="10.42578125" bestFit="1" customWidth="1"/>
    <col min="596" max="596" width="11.5703125" bestFit="1" customWidth="1"/>
    <col min="597" max="597" width="5.28515625" bestFit="1" customWidth="1"/>
    <col min="598" max="598" width="10.28515625" bestFit="1" customWidth="1"/>
    <col min="599" max="599" width="10.42578125" bestFit="1" customWidth="1"/>
    <col min="600" max="600" width="11.5703125" bestFit="1" customWidth="1"/>
    <col min="601" max="601" width="5.28515625" bestFit="1" customWidth="1"/>
    <col min="602" max="604" width="11.5703125" bestFit="1" customWidth="1"/>
    <col min="605" max="605" width="5.28515625" bestFit="1" customWidth="1"/>
    <col min="606" max="607" width="10.42578125" bestFit="1" customWidth="1"/>
    <col min="608" max="608" width="11.5703125" bestFit="1" customWidth="1"/>
    <col min="609" max="609" width="5.28515625" bestFit="1" customWidth="1"/>
    <col min="610" max="610" width="14.28515625" bestFit="1" customWidth="1"/>
    <col min="611" max="611" width="13" bestFit="1" customWidth="1"/>
    <col min="612" max="612" width="11.5703125" bestFit="1" customWidth="1"/>
    <col min="613" max="613" width="8.85546875" bestFit="1" customWidth="1"/>
    <col min="614" max="614" width="14.42578125" bestFit="1" customWidth="1"/>
    <col min="615" max="615" width="10.42578125" bestFit="1" customWidth="1"/>
    <col min="616" max="616" width="12.28515625" bestFit="1" customWidth="1"/>
    <col min="617" max="617" width="13.85546875" bestFit="1" customWidth="1"/>
    <col min="618" max="618" width="11.28515625" customWidth="1"/>
    <col min="619" max="619" width="11.5703125" customWidth="1"/>
    <col min="620" max="620" width="13.42578125" bestFit="1" customWidth="1"/>
    <col min="621" max="621" width="10.42578125" customWidth="1"/>
    <col min="622" max="622" width="13.85546875" bestFit="1" customWidth="1"/>
    <col min="623" max="623" width="15.42578125" bestFit="1" customWidth="1"/>
    <col min="624" max="624" width="12.28515625" bestFit="1" customWidth="1"/>
    <col min="625" max="625" width="12.7109375" customWidth="1"/>
    <col min="626" max="626" width="10.7109375" bestFit="1" customWidth="1"/>
    <col min="627" max="627" width="9.85546875" customWidth="1"/>
    <col min="628" max="629" width="10.140625" bestFit="1" customWidth="1"/>
    <col min="630" max="630" width="7.5703125" bestFit="1" customWidth="1"/>
    <col min="631" max="631" width="9.42578125" bestFit="1" customWidth="1"/>
    <col min="632" max="632" width="14.5703125" bestFit="1" customWidth="1"/>
    <col min="633" max="633" width="14.85546875" customWidth="1"/>
    <col min="634" max="634" width="15.140625" bestFit="1" customWidth="1"/>
    <col min="635" max="635" width="12.140625" bestFit="1" customWidth="1"/>
    <col min="636" max="636" width="14.85546875" bestFit="1" customWidth="1"/>
    <col min="637" max="637" width="12.28515625" bestFit="1" customWidth="1"/>
    <col min="638" max="646" width="9.140625" hidden="1" customWidth="1"/>
    <col min="647" max="647" width="5.28515625" bestFit="1" customWidth="1"/>
    <col min="648" max="653" width="11.5703125" bestFit="1" customWidth="1"/>
    <col min="654" max="654" width="11.28515625" bestFit="1" customWidth="1"/>
    <col min="655" max="655" width="10.140625" bestFit="1" customWidth="1"/>
    <col min="656" max="656" width="11.5703125" bestFit="1" customWidth="1"/>
    <col min="657" max="657" width="16.140625" customWidth="1"/>
    <col min="658" max="658" width="13.42578125" customWidth="1"/>
    <col min="659" max="659" width="10.140625" bestFit="1" customWidth="1"/>
    <col min="660" max="660" width="12.85546875" bestFit="1" customWidth="1"/>
    <col min="661" max="661" width="12.28515625" bestFit="1" customWidth="1"/>
    <col min="662" max="662" width="11.28515625" bestFit="1" customWidth="1"/>
    <col min="663" max="663" width="11.5703125" bestFit="1" customWidth="1"/>
    <col min="664" max="664" width="10.85546875" bestFit="1" customWidth="1"/>
    <col min="665" max="665" width="11.28515625" bestFit="1" customWidth="1"/>
    <col min="666" max="666" width="10.140625" bestFit="1" customWidth="1"/>
    <col min="667" max="667" width="13.28515625" bestFit="1" customWidth="1"/>
    <col min="668" max="669" width="12.7109375" bestFit="1" customWidth="1"/>
    <col min="670" max="670" width="11" bestFit="1" customWidth="1"/>
    <col min="671" max="671" width="11.28515625" bestFit="1" customWidth="1"/>
    <col min="672" max="672" width="11.5703125" bestFit="1" customWidth="1"/>
    <col min="673" max="673" width="12.28515625" bestFit="1" customWidth="1"/>
    <col min="674" max="674" width="15.140625" bestFit="1" customWidth="1"/>
    <col min="675" max="675" width="14.42578125" bestFit="1" customWidth="1"/>
    <col min="676" max="676" width="12.28515625" bestFit="1" customWidth="1"/>
    <col min="677" max="677" width="15.140625" bestFit="1" customWidth="1"/>
    <col min="678" max="678" width="14.42578125" bestFit="1" customWidth="1"/>
    <col min="679" max="679" width="12.28515625" bestFit="1" customWidth="1"/>
    <col min="680" max="680" width="14.42578125" bestFit="1" customWidth="1"/>
    <col min="681" max="681" width="11.28515625" bestFit="1" customWidth="1"/>
    <col min="682" max="682" width="12.28515625" bestFit="1" customWidth="1"/>
    <col min="683" max="683" width="13" bestFit="1" customWidth="1"/>
    <col min="684" max="684" width="15.140625" bestFit="1" customWidth="1"/>
    <col min="685" max="685" width="12.28515625" bestFit="1" customWidth="1"/>
    <col min="686" max="686" width="13.85546875" bestFit="1" customWidth="1"/>
    <col min="687" max="687" width="11.28515625" bestFit="1" customWidth="1"/>
    <col min="688" max="688" width="12.28515625" bestFit="1" customWidth="1"/>
    <col min="689" max="689" width="13.85546875" bestFit="1" customWidth="1"/>
    <col min="690" max="691" width="15.140625" bestFit="1" customWidth="1"/>
    <col min="692" max="692" width="12.28515625" bestFit="1" customWidth="1"/>
    <col min="693" max="693" width="5.7109375" bestFit="1" customWidth="1"/>
    <col min="694" max="694" width="8.5703125" bestFit="1" customWidth="1"/>
    <col min="695" max="695" width="5.5703125" bestFit="1" customWidth="1"/>
    <col min="696" max="696" width="14.42578125" bestFit="1" customWidth="1"/>
    <col min="697" max="697" width="11.28515625" bestFit="1" customWidth="1"/>
    <col min="698" max="699" width="12.28515625" bestFit="1" customWidth="1"/>
    <col min="700" max="700" width="11.28515625" bestFit="1" customWidth="1"/>
    <col min="701" max="701" width="13.85546875" bestFit="1" customWidth="1"/>
    <col min="702" max="702" width="12" bestFit="1" customWidth="1"/>
    <col min="703" max="703" width="13.85546875" bestFit="1" customWidth="1"/>
    <col min="704" max="705" width="14.42578125" customWidth="1"/>
    <col min="706" max="706" width="10.140625" bestFit="1" customWidth="1"/>
    <col min="707" max="707" width="12.28515625" bestFit="1" customWidth="1"/>
    <col min="708" max="708" width="7.42578125" bestFit="1" customWidth="1"/>
    <col min="709" max="709" width="8.5703125" bestFit="1" customWidth="1"/>
    <col min="710" max="710" width="11.5703125" bestFit="1" customWidth="1"/>
    <col min="711" max="711" width="13.28515625" bestFit="1" customWidth="1"/>
    <col min="712" max="712" width="13.28515625" customWidth="1"/>
    <col min="713" max="713" width="13.140625" customWidth="1"/>
    <col min="714" max="714" width="12.7109375" bestFit="1" customWidth="1"/>
    <col min="715" max="715" width="13.28515625" bestFit="1" customWidth="1"/>
    <col min="716" max="718" width="13.28515625" customWidth="1"/>
    <col min="719" max="719" width="12.140625" bestFit="1" customWidth="1"/>
    <col min="720" max="720" width="12.7109375" bestFit="1" customWidth="1"/>
    <col min="721" max="721" width="11" customWidth="1"/>
    <col min="722" max="722" width="16.7109375" customWidth="1"/>
    <col min="723" max="723" width="17" customWidth="1"/>
    <col min="724" max="724" width="10.42578125" bestFit="1" customWidth="1"/>
    <col min="768" max="768" width="3.85546875" customWidth="1"/>
    <col min="769" max="769" width="15.28515625" bestFit="1" customWidth="1"/>
    <col min="770" max="770" width="12.28515625" customWidth="1"/>
    <col min="771" max="771" width="16.28515625" bestFit="1" customWidth="1"/>
    <col min="772" max="772" width="6.42578125" bestFit="1" customWidth="1"/>
    <col min="773" max="773" width="9.28515625" bestFit="1" customWidth="1"/>
    <col min="774" max="774" width="7.5703125" bestFit="1" customWidth="1"/>
    <col min="775" max="775" width="13.28515625" bestFit="1" customWidth="1"/>
    <col min="776" max="776" width="9.28515625" bestFit="1" customWidth="1"/>
    <col min="777" max="777" width="11.5703125" bestFit="1" customWidth="1"/>
    <col min="778" max="778" width="13.28515625" bestFit="1" customWidth="1"/>
    <col min="779" max="779" width="7.140625" bestFit="1" customWidth="1"/>
    <col min="780" max="780" width="12" bestFit="1" customWidth="1"/>
    <col min="781" max="781" width="13.28515625" bestFit="1" customWidth="1"/>
    <col min="782" max="782" width="7" bestFit="1" customWidth="1"/>
    <col min="783" max="783" width="12.7109375" bestFit="1" customWidth="1"/>
    <col min="784" max="784" width="11.5703125" bestFit="1" customWidth="1"/>
    <col min="785" max="785" width="10.5703125" bestFit="1" customWidth="1"/>
    <col min="786" max="787" width="15.7109375" bestFit="1" customWidth="1"/>
    <col min="788" max="788" width="11.5703125" bestFit="1" customWidth="1"/>
    <col min="789" max="789" width="7.7109375" bestFit="1" customWidth="1"/>
    <col min="790" max="790" width="15.140625" bestFit="1" customWidth="1"/>
    <col min="791" max="791" width="11.5703125" bestFit="1" customWidth="1"/>
    <col min="792" max="792" width="13.28515625" bestFit="1" customWidth="1"/>
    <col min="793" max="793" width="10.42578125" bestFit="1" customWidth="1"/>
    <col min="794" max="794" width="13.28515625" bestFit="1" customWidth="1"/>
    <col min="795" max="795" width="12.140625" bestFit="1" customWidth="1"/>
    <col min="796" max="796" width="14.42578125" bestFit="1" customWidth="1"/>
    <col min="797" max="797" width="13.28515625" bestFit="1" customWidth="1"/>
    <col min="798" max="798" width="11.5703125" bestFit="1" customWidth="1"/>
    <col min="799" max="799" width="7.7109375" bestFit="1" customWidth="1"/>
    <col min="800" max="801" width="14.42578125" bestFit="1" customWidth="1"/>
    <col min="802" max="802" width="11.5703125" bestFit="1" customWidth="1"/>
    <col min="803" max="803" width="7.7109375" bestFit="1" customWidth="1"/>
    <col min="804" max="804" width="13.5703125" customWidth="1"/>
    <col min="805" max="805" width="15.28515625" customWidth="1"/>
    <col min="806" max="806" width="14.5703125" customWidth="1"/>
    <col min="807" max="807" width="13.28515625" bestFit="1" customWidth="1"/>
    <col min="808" max="808" width="7.7109375" bestFit="1" customWidth="1"/>
    <col min="809" max="809" width="12.7109375" bestFit="1" customWidth="1"/>
    <col min="810" max="810" width="11.7109375" bestFit="1" customWidth="1"/>
    <col min="811" max="811" width="11.5703125" bestFit="1" customWidth="1"/>
    <col min="812" max="812" width="5.28515625" bestFit="1" customWidth="1"/>
    <col min="813" max="813" width="13.28515625" bestFit="1" customWidth="1"/>
    <col min="814" max="814" width="13.5703125" bestFit="1" customWidth="1"/>
    <col min="815" max="815" width="10.5703125" bestFit="1" customWidth="1"/>
    <col min="816" max="816" width="13.28515625" bestFit="1" customWidth="1"/>
    <col min="817" max="817" width="11.5703125" bestFit="1" customWidth="1"/>
    <col min="818" max="818" width="10.5703125" bestFit="1" customWidth="1"/>
    <col min="819" max="819" width="16.140625" bestFit="1" customWidth="1"/>
    <col min="820" max="821" width="11.28515625" bestFit="1" customWidth="1"/>
    <col min="822" max="822" width="13.28515625" bestFit="1" customWidth="1"/>
    <col min="823" max="823" width="7.7109375" bestFit="1" customWidth="1"/>
    <col min="824" max="827" width="9.140625" hidden="1" customWidth="1"/>
    <col min="828" max="828" width="10.42578125" bestFit="1" customWidth="1"/>
    <col min="829" max="829" width="10.5703125" bestFit="1" customWidth="1"/>
    <col min="830" max="830" width="10.42578125" bestFit="1" customWidth="1"/>
    <col min="831" max="831" width="10.5703125" bestFit="1" customWidth="1"/>
    <col min="832" max="832" width="9.5703125" bestFit="1" customWidth="1"/>
    <col min="833" max="833" width="11.5703125" bestFit="1" customWidth="1"/>
    <col min="834" max="834" width="10.42578125" bestFit="1" customWidth="1"/>
    <col min="835" max="835" width="10.85546875" customWidth="1"/>
    <col min="836" max="837" width="9.85546875" bestFit="1" customWidth="1"/>
    <col min="838" max="838" width="13.5703125" bestFit="1" customWidth="1"/>
    <col min="839" max="839" width="7.7109375" bestFit="1" customWidth="1"/>
    <col min="840" max="840" width="13.28515625" bestFit="1" customWidth="1"/>
    <col min="841" max="841" width="11.5703125" bestFit="1" customWidth="1"/>
    <col min="842" max="842" width="10.42578125" bestFit="1" customWidth="1"/>
    <col min="843" max="843" width="7.7109375" bestFit="1" customWidth="1"/>
    <col min="844" max="844" width="11.5703125" bestFit="1" customWidth="1"/>
    <col min="845" max="845" width="10.85546875" bestFit="1" customWidth="1"/>
    <col min="846" max="846" width="13.28515625" bestFit="1" customWidth="1"/>
    <col min="847" max="847" width="10.85546875" bestFit="1" customWidth="1"/>
    <col min="848" max="849" width="7.5703125" bestFit="1" customWidth="1"/>
    <col min="850" max="851" width="10.42578125" bestFit="1" customWidth="1"/>
    <col min="852" max="852" width="11.5703125" bestFit="1" customWidth="1"/>
    <col min="853" max="853" width="5.28515625" bestFit="1" customWidth="1"/>
    <col min="854" max="854" width="10.28515625" bestFit="1" customWidth="1"/>
    <col min="855" max="855" width="10.42578125" bestFit="1" customWidth="1"/>
    <col min="856" max="856" width="11.5703125" bestFit="1" customWidth="1"/>
    <col min="857" max="857" width="5.28515625" bestFit="1" customWidth="1"/>
    <col min="858" max="860" width="11.5703125" bestFit="1" customWidth="1"/>
    <col min="861" max="861" width="5.28515625" bestFit="1" customWidth="1"/>
    <col min="862" max="863" width="10.42578125" bestFit="1" customWidth="1"/>
    <col min="864" max="864" width="11.5703125" bestFit="1" customWidth="1"/>
    <col min="865" max="865" width="5.28515625" bestFit="1" customWidth="1"/>
    <col min="866" max="866" width="14.28515625" bestFit="1" customWidth="1"/>
    <col min="867" max="867" width="13" bestFit="1" customWidth="1"/>
    <col min="868" max="868" width="11.5703125" bestFit="1" customWidth="1"/>
    <col min="869" max="869" width="8.85546875" bestFit="1" customWidth="1"/>
    <col min="870" max="870" width="14.42578125" bestFit="1" customWidth="1"/>
    <col min="871" max="871" width="10.42578125" bestFit="1" customWidth="1"/>
    <col min="872" max="872" width="12.28515625" bestFit="1" customWidth="1"/>
    <col min="873" max="873" width="13.85546875" bestFit="1" customWidth="1"/>
    <col min="874" max="874" width="11.28515625" customWidth="1"/>
    <col min="875" max="875" width="11.5703125" customWidth="1"/>
    <col min="876" max="876" width="13.42578125" bestFit="1" customWidth="1"/>
    <col min="877" max="877" width="10.42578125" customWidth="1"/>
    <col min="878" max="878" width="13.85546875" bestFit="1" customWidth="1"/>
    <col min="879" max="879" width="15.42578125" bestFit="1" customWidth="1"/>
    <col min="880" max="880" width="12.28515625" bestFit="1" customWidth="1"/>
    <col min="881" max="881" width="12.7109375" customWidth="1"/>
    <col min="882" max="882" width="10.7109375" bestFit="1" customWidth="1"/>
    <col min="883" max="883" width="9.85546875" customWidth="1"/>
    <col min="884" max="885" width="10.140625" bestFit="1" customWidth="1"/>
    <col min="886" max="886" width="7.5703125" bestFit="1" customWidth="1"/>
    <col min="887" max="887" width="9.42578125" bestFit="1" customWidth="1"/>
    <col min="888" max="888" width="14.5703125" bestFit="1" customWidth="1"/>
    <col min="889" max="889" width="14.85546875" customWidth="1"/>
    <col min="890" max="890" width="15.140625" bestFit="1" customWidth="1"/>
    <col min="891" max="891" width="12.140625" bestFit="1" customWidth="1"/>
    <col min="892" max="892" width="14.85546875" bestFit="1" customWidth="1"/>
    <col min="893" max="893" width="12.28515625" bestFit="1" customWidth="1"/>
    <col min="894" max="902" width="9.140625" hidden="1" customWidth="1"/>
    <col min="903" max="903" width="5.28515625" bestFit="1" customWidth="1"/>
    <col min="904" max="909" width="11.5703125" bestFit="1" customWidth="1"/>
    <col min="910" max="910" width="11.28515625" bestFit="1" customWidth="1"/>
    <col min="911" max="911" width="10.140625" bestFit="1" customWidth="1"/>
    <col min="912" max="912" width="11.5703125" bestFit="1" customWidth="1"/>
    <col min="913" max="913" width="16.140625" customWidth="1"/>
    <col min="914" max="914" width="13.42578125" customWidth="1"/>
    <col min="915" max="915" width="10.140625" bestFit="1" customWidth="1"/>
    <col min="916" max="916" width="12.85546875" bestFit="1" customWidth="1"/>
    <col min="917" max="917" width="12.28515625" bestFit="1" customWidth="1"/>
    <col min="918" max="918" width="11.28515625" bestFit="1" customWidth="1"/>
    <col min="919" max="919" width="11.5703125" bestFit="1" customWidth="1"/>
    <col min="920" max="920" width="10.85546875" bestFit="1" customWidth="1"/>
    <col min="921" max="921" width="11.28515625" bestFit="1" customWidth="1"/>
    <col min="922" max="922" width="10.140625" bestFit="1" customWidth="1"/>
    <col min="923" max="923" width="13.28515625" bestFit="1" customWidth="1"/>
    <col min="924" max="925" width="12.7109375" bestFit="1" customWidth="1"/>
    <col min="926" max="926" width="11" bestFit="1" customWidth="1"/>
    <col min="927" max="927" width="11.28515625" bestFit="1" customWidth="1"/>
    <col min="928" max="928" width="11.5703125" bestFit="1" customWidth="1"/>
    <col min="929" max="929" width="12.28515625" bestFit="1" customWidth="1"/>
    <col min="930" max="930" width="15.140625" bestFit="1" customWidth="1"/>
    <col min="931" max="931" width="14.42578125" bestFit="1" customWidth="1"/>
    <col min="932" max="932" width="12.28515625" bestFit="1" customWidth="1"/>
    <col min="933" max="933" width="15.140625" bestFit="1" customWidth="1"/>
    <col min="934" max="934" width="14.42578125" bestFit="1" customWidth="1"/>
    <col min="935" max="935" width="12.28515625" bestFit="1" customWidth="1"/>
    <col min="936" max="936" width="14.42578125" bestFit="1" customWidth="1"/>
    <col min="937" max="937" width="11.28515625" bestFit="1" customWidth="1"/>
    <col min="938" max="938" width="12.28515625" bestFit="1" customWidth="1"/>
    <col min="939" max="939" width="13" bestFit="1" customWidth="1"/>
    <col min="940" max="940" width="15.140625" bestFit="1" customWidth="1"/>
    <col min="941" max="941" width="12.28515625" bestFit="1" customWidth="1"/>
    <col min="942" max="942" width="13.85546875" bestFit="1" customWidth="1"/>
    <col min="943" max="943" width="11.28515625" bestFit="1" customWidth="1"/>
    <col min="944" max="944" width="12.28515625" bestFit="1" customWidth="1"/>
    <col min="945" max="945" width="13.85546875" bestFit="1" customWidth="1"/>
    <col min="946" max="947" width="15.140625" bestFit="1" customWidth="1"/>
    <col min="948" max="948" width="12.28515625" bestFit="1" customWidth="1"/>
    <col min="949" max="949" width="5.7109375" bestFit="1" customWidth="1"/>
    <col min="950" max="950" width="8.5703125" bestFit="1" customWidth="1"/>
    <col min="951" max="951" width="5.5703125" bestFit="1" customWidth="1"/>
    <col min="952" max="952" width="14.42578125" bestFit="1" customWidth="1"/>
    <col min="953" max="953" width="11.28515625" bestFit="1" customWidth="1"/>
    <col min="954" max="955" width="12.28515625" bestFit="1" customWidth="1"/>
    <col min="956" max="956" width="11.28515625" bestFit="1" customWidth="1"/>
    <col min="957" max="957" width="13.85546875" bestFit="1" customWidth="1"/>
    <col min="958" max="958" width="12" bestFit="1" customWidth="1"/>
    <col min="959" max="959" width="13.85546875" bestFit="1" customWidth="1"/>
    <col min="960" max="961" width="14.42578125" customWidth="1"/>
    <col min="962" max="962" width="10.140625" bestFit="1" customWidth="1"/>
    <col min="963" max="963" width="12.28515625" bestFit="1" customWidth="1"/>
    <col min="964" max="964" width="7.42578125" bestFit="1" customWidth="1"/>
    <col min="965" max="965" width="8.5703125" bestFit="1" customWidth="1"/>
    <col min="966" max="966" width="11.5703125" bestFit="1" customWidth="1"/>
    <col min="967" max="967" width="13.28515625" bestFit="1" customWidth="1"/>
    <col min="968" max="968" width="13.28515625" customWidth="1"/>
    <col min="969" max="969" width="13.140625" customWidth="1"/>
    <col min="970" max="970" width="12.7109375" bestFit="1" customWidth="1"/>
    <col min="971" max="971" width="13.28515625" bestFit="1" customWidth="1"/>
    <col min="972" max="974" width="13.28515625" customWidth="1"/>
    <col min="975" max="975" width="12.140625" bestFit="1" customWidth="1"/>
    <col min="976" max="976" width="12.7109375" bestFit="1" customWidth="1"/>
    <col min="977" max="977" width="11" customWidth="1"/>
    <col min="978" max="978" width="16.7109375" customWidth="1"/>
    <col min="979" max="979" width="17" customWidth="1"/>
    <col min="980" max="980" width="10.42578125" bestFit="1" customWidth="1"/>
    <col min="1024" max="1024" width="3.85546875" customWidth="1"/>
    <col min="1025" max="1025" width="15.28515625" bestFit="1" customWidth="1"/>
    <col min="1026" max="1026" width="12.28515625" customWidth="1"/>
    <col min="1027" max="1027" width="16.28515625" bestFit="1" customWidth="1"/>
    <col min="1028" max="1028" width="6.42578125" bestFit="1" customWidth="1"/>
    <col min="1029" max="1029" width="9.28515625" bestFit="1" customWidth="1"/>
    <col min="1030" max="1030" width="7.5703125" bestFit="1" customWidth="1"/>
    <col min="1031" max="1031" width="13.28515625" bestFit="1" customWidth="1"/>
    <col min="1032" max="1032" width="9.28515625" bestFit="1" customWidth="1"/>
    <col min="1033" max="1033" width="11.5703125" bestFit="1" customWidth="1"/>
    <col min="1034" max="1034" width="13.28515625" bestFit="1" customWidth="1"/>
    <col min="1035" max="1035" width="7.140625" bestFit="1" customWidth="1"/>
    <col min="1036" max="1036" width="12" bestFit="1" customWidth="1"/>
    <col min="1037" max="1037" width="13.28515625" bestFit="1" customWidth="1"/>
    <col min="1038" max="1038" width="7" bestFit="1" customWidth="1"/>
    <col min="1039" max="1039" width="12.7109375" bestFit="1" customWidth="1"/>
    <col min="1040" max="1040" width="11.5703125" bestFit="1" customWidth="1"/>
    <col min="1041" max="1041" width="10.5703125" bestFit="1" customWidth="1"/>
    <col min="1042" max="1043" width="15.7109375" bestFit="1" customWidth="1"/>
    <col min="1044" max="1044" width="11.5703125" bestFit="1" customWidth="1"/>
    <col min="1045" max="1045" width="7.7109375" bestFit="1" customWidth="1"/>
    <col min="1046" max="1046" width="15.140625" bestFit="1" customWidth="1"/>
    <col min="1047" max="1047" width="11.5703125" bestFit="1" customWidth="1"/>
    <col min="1048" max="1048" width="13.28515625" bestFit="1" customWidth="1"/>
    <col min="1049" max="1049" width="10.42578125" bestFit="1" customWidth="1"/>
    <col min="1050" max="1050" width="13.28515625" bestFit="1" customWidth="1"/>
    <col min="1051" max="1051" width="12.140625" bestFit="1" customWidth="1"/>
    <col min="1052" max="1052" width="14.42578125" bestFit="1" customWidth="1"/>
    <col min="1053" max="1053" width="13.28515625" bestFit="1" customWidth="1"/>
    <col min="1054" max="1054" width="11.5703125" bestFit="1" customWidth="1"/>
    <col min="1055" max="1055" width="7.7109375" bestFit="1" customWidth="1"/>
    <col min="1056" max="1057" width="14.42578125" bestFit="1" customWidth="1"/>
    <col min="1058" max="1058" width="11.5703125" bestFit="1" customWidth="1"/>
    <col min="1059" max="1059" width="7.7109375" bestFit="1" customWidth="1"/>
    <col min="1060" max="1060" width="13.5703125" customWidth="1"/>
    <col min="1061" max="1061" width="15.28515625" customWidth="1"/>
    <col min="1062" max="1062" width="14.5703125" customWidth="1"/>
    <col min="1063" max="1063" width="13.28515625" bestFit="1" customWidth="1"/>
    <col min="1064" max="1064" width="7.7109375" bestFit="1" customWidth="1"/>
    <col min="1065" max="1065" width="12.7109375" bestFit="1" customWidth="1"/>
    <col min="1066" max="1066" width="11.7109375" bestFit="1" customWidth="1"/>
    <col min="1067" max="1067" width="11.5703125" bestFit="1" customWidth="1"/>
    <col min="1068" max="1068" width="5.28515625" bestFit="1" customWidth="1"/>
    <col min="1069" max="1069" width="13.28515625" bestFit="1" customWidth="1"/>
    <col min="1070" max="1070" width="13.5703125" bestFit="1" customWidth="1"/>
    <col min="1071" max="1071" width="10.5703125" bestFit="1" customWidth="1"/>
    <col min="1072" max="1072" width="13.28515625" bestFit="1" customWidth="1"/>
    <col min="1073" max="1073" width="11.5703125" bestFit="1" customWidth="1"/>
    <col min="1074" max="1074" width="10.5703125" bestFit="1" customWidth="1"/>
    <col min="1075" max="1075" width="16.140625" bestFit="1" customWidth="1"/>
    <col min="1076" max="1077" width="11.28515625" bestFit="1" customWidth="1"/>
    <col min="1078" max="1078" width="13.28515625" bestFit="1" customWidth="1"/>
    <col min="1079" max="1079" width="7.7109375" bestFit="1" customWidth="1"/>
    <col min="1080" max="1083" width="9.140625" hidden="1" customWidth="1"/>
    <col min="1084" max="1084" width="10.42578125" bestFit="1" customWidth="1"/>
    <col min="1085" max="1085" width="10.5703125" bestFit="1" customWidth="1"/>
    <col min="1086" max="1086" width="10.42578125" bestFit="1" customWidth="1"/>
    <col min="1087" max="1087" width="10.5703125" bestFit="1" customWidth="1"/>
    <col min="1088" max="1088" width="9.5703125" bestFit="1" customWidth="1"/>
    <col min="1089" max="1089" width="11.5703125" bestFit="1" customWidth="1"/>
    <col min="1090" max="1090" width="10.42578125" bestFit="1" customWidth="1"/>
    <col min="1091" max="1091" width="10.85546875" customWidth="1"/>
    <col min="1092" max="1093" width="9.85546875" bestFit="1" customWidth="1"/>
    <col min="1094" max="1094" width="13.5703125" bestFit="1" customWidth="1"/>
    <col min="1095" max="1095" width="7.7109375" bestFit="1" customWidth="1"/>
    <col min="1096" max="1096" width="13.28515625" bestFit="1" customWidth="1"/>
    <col min="1097" max="1097" width="11.5703125" bestFit="1" customWidth="1"/>
    <col min="1098" max="1098" width="10.42578125" bestFit="1" customWidth="1"/>
    <col min="1099" max="1099" width="7.7109375" bestFit="1" customWidth="1"/>
    <col min="1100" max="1100" width="11.5703125" bestFit="1" customWidth="1"/>
    <col min="1101" max="1101" width="10.85546875" bestFit="1" customWidth="1"/>
    <col min="1102" max="1102" width="13.28515625" bestFit="1" customWidth="1"/>
    <col min="1103" max="1103" width="10.85546875" bestFit="1" customWidth="1"/>
    <col min="1104" max="1105" width="7.5703125" bestFit="1" customWidth="1"/>
    <col min="1106" max="1107" width="10.42578125" bestFit="1" customWidth="1"/>
    <col min="1108" max="1108" width="11.5703125" bestFit="1" customWidth="1"/>
    <col min="1109" max="1109" width="5.28515625" bestFit="1" customWidth="1"/>
    <col min="1110" max="1110" width="10.28515625" bestFit="1" customWidth="1"/>
    <col min="1111" max="1111" width="10.42578125" bestFit="1" customWidth="1"/>
    <col min="1112" max="1112" width="11.5703125" bestFit="1" customWidth="1"/>
    <col min="1113" max="1113" width="5.28515625" bestFit="1" customWidth="1"/>
    <col min="1114" max="1116" width="11.5703125" bestFit="1" customWidth="1"/>
    <col min="1117" max="1117" width="5.28515625" bestFit="1" customWidth="1"/>
    <col min="1118" max="1119" width="10.42578125" bestFit="1" customWidth="1"/>
    <col min="1120" max="1120" width="11.5703125" bestFit="1" customWidth="1"/>
    <col min="1121" max="1121" width="5.28515625" bestFit="1" customWidth="1"/>
    <col min="1122" max="1122" width="14.28515625" bestFit="1" customWidth="1"/>
    <col min="1123" max="1123" width="13" bestFit="1" customWidth="1"/>
    <col min="1124" max="1124" width="11.5703125" bestFit="1" customWidth="1"/>
    <col min="1125" max="1125" width="8.85546875" bestFit="1" customWidth="1"/>
    <col min="1126" max="1126" width="14.42578125" bestFit="1" customWidth="1"/>
    <col min="1127" max="1127" width="10.42578125" bestFit="1" customWidth="1"/>
    <col min="1128" max="1128" width="12.28515625" bestFit="1" customWidth="1"/>
    <col min="1129" max="1129" width="13.85546875" bestFit="1" customWidth="1"/>
    <col min="1130" max="1130" width="11.28515625" customWidth="1"/>
    <col min="1131" max="1131" width="11.5703125" customWidth="1"/>
    <col min="1132" max="1132" width="13.42578125" bestFit="1" customWidth="1"/>
    <col min="1133" max="1133" width="10.42578125" customWidth="1"/>
    <col min="1134" max="1134" width="13.85546875" bestFit="1" customWidth="1"/>
    <col min="1135" max="1135" width="15.42578125" bestFit="1" customWidth="1"/>
    <col min="1136" max="1136" width="12.28515625" bestFit="1" customWidth="1"/>
    <col min="1137" max="1137" width="12.7109375" customWidth="1"/>
    <col min="1138" max="1138" width="10.7109375" bestFit="1" customWidth="1"/>
    <col min="1139" max="1139" width="9.85546875" customWidth="1"/>
    <col min="1140" max="1141" width="10.140625" bestFit="1" customWidth="1"/>
    <col min="1142" max="1142" width="7.5703125" bestFit="1" customWidth="1"/>
    <col min="1143" max="1143" width="9.42578125" bestFit="1" customWidth="1"/>
    <col min="1144" max="1144" width="14.5703125" bestFit="1" customWidth="1"/>
    <col min="1145" max="1145" width="14.85546875" customWidth="1"/>
    <col min="1146" max="1146" width="15.140625" bestFit="1" customWidth="1"/>
    <col min="1147" max="1147" width="12.140625" bestFit="1" customWidth="1"/>
    <col min="1148" max="1148" width="14.85546875" bestFit="1" customWidth="1"/>
    <col min="1149" max="1149" width="12.28515625" bestFit="1" customWidth="1"/>
    <col min="1150" max="1158" width="9.140625" hidden="1" customWidth="1"/>
    <col min="1159" max="1159" width="5.28515625" bestFit="1" customWidth="1"/>
    <col min="1160" max="1165" width="11.5703125" bestFit="1" customWidth="1"/>
    <col min="1166" max="1166" width="11.28515625" bestFit="1" customWidth="1"/>
    <col min="1167" max="1167" width="10.140625" bestFit="1" customWidth="1"/>
    <col min="1168" max="1168" width="11.5703125" bestFit="1" customWidth="1"/>
    <col min="1169" max="1169" width="16.140625" customWidth="1"/>
    <col min="1170" max="1170" width="13.42578125" customWidth="1"/>
    <col min="1171" max="1171" width="10.140625" bestFit="1" customWidth="1"/>
    <col min="1172" max="1172" width="12.85546875" bestFit="1" customWidth="1"/>
    <col min="1173" max="1173" width="12.28515625" bestFit="1" customWidth="1"/>
    <col min="1174" max="1174" width="11.28515625" bestFit="1" customWidth="1"/>
    <col min="1175" max="1175" width="11.5703125" bestFit="1" customWidth="1"/>
    <col min="1176" max="1176" width="10.85546875" bestFit="1" customWidth="1"/>
    <col min="1177" max="1177" width="11.28515625" bestFit="1" customWidth="1"/>
    <col min="1178" max="1178" width="10.140625" bestFit="1" customWidth="1"/>
    <col min="1179" max="1179" width="13.28515625" bestFit="1" customWidth="1"/>
    <col min="1180" max="1181" width="12.7109375" bestFit="1" customWidth="1"/>
    <col min="1182" max="1182" width="11" bestFit="1" customWidth="1"/>
    <col min="1183" max="1183" width="11.28515625" bestFit="1" customWidth="1"/>
    <col min="1184" max="1184" width="11.5703125" bestFit="1" customWidth="1"/>
    <col min="1185" max="1185" width="12.28515625" bestFit="1" customWidth="1"/>
    <col min="1186" max="1186" width="15.140625" bestFit="1" customWidth="1"/>
    <col min="1187" max="1187" width="14.42578125" bestFit="1" customWidth="1"/>
    <col min="1188" max="1188" width="12.28515625" bestFit="1" customWidth="1"/>
    <col min="1189" max="1189" width="15.140625" bestFit="1" customWidth="1"/>
    <col min="1190" max="1190" width="14.42578125" bestFit="1" customWidth="1"/>
    <col min="1191" max="1191" width="12.28515625" bestFit="1" customWidth="1"/>
    <col min="1192" max="1192" width="14.42578125" bestFit="1" customWidth="1"/>
    <col min="1193" max="1193" width="11.28515625" bestFit="1" customWidth="1"/>
    <col min="1194" max="1194" width="12.28515625" bestFit="1" customWidth="1"/>
    <col min="1195" max="1195" width="13" bestFit="1" customWidth="1"/>
    <col min="1196" max="1196" width="15.140625" bestFit="1" customWidth="1"/>
    <col min="1197" max="1197" width="12.28515625" bestFit="1" customWidth="1"/>
    <col min="1198" max="1198" width="13.85546875" bestFit="1" customWidth="1"/>
    <col min="1199" max="1199" width="11.28515625" bestFit="1" customWidth="1"/>
    <col min="1200" max="1200" width="12.28515625" bestFit="1" customWidth="1"/>
    <col min="1201" max="1201" width="13.85546875" bestFit="1" customWidth="1"/>
    <col min="1202" max="1203" width="15.140625" bestFit="1" customWidth="1"/>
    <col min="1204" max="1204" width="12.28515625" bestFit="1" customWidth="1"/>
    <col min="1205" max="1205" width="5.7109375" bestFit="1" customWidth="1"/>
    <col min="1206" max="1206" width="8.5703125" bestFit="1" customWidth="1"/>
    <col min="1207" max="1207" width="5.5703125" bestFit="1" customWidth="1"/>
    <col min="1208" max="1208" width="14.42578125" bestFit="1" customWidth="1"/>
    <col min="1209" max="1209" width="11.28515625" bestFit="1" customWidth="1"/>
    <col min="1210" max="1211" width="12.28515625" bestFit="1" customWidth="1"/>
    <col min="1212" max="1212" width="11.28515625" bestFit="1" customWidth="1"/>
    <col min="1213" max="1213" width="13.85546875" bestFit="1" customWidth="1"/>
    <col min="1214" max="1214" width="12" bestFit="1" customWidth="1"/>
    <col min="1215" max="1215" width="13.85546875" bestFit="1" customWidth="1"/>
    <col min="1216" max="1217" width="14.42578125" customWidth="1"/>
    <col min="1218" max="1218" width="10.140625" bestFit="1" customWidth="1"/>
    <col min="1219" max="1219" width="12.28515625" bestFit="1" customWidth="1"/>
    <col min="1220" max="1220" width="7.42578125" bestFit="1" customWidth="1"/>
    <col min="1221" max="1221" width="8.5703125" bestFit="1" customWidth="1"/>
    <col min="1222" max="1222" width="11.5703125" bestFit="1" customWidth="1"/>
    <col min="1223" max="1223" width="13.28515625" bestFit="1" customWidth="1"/>
    <col min="1224" max="1224" width="13.28515625" customWidth="1"/>
    <col min="1225" max="1225" width="13.140625" customWidth="1"/>
    <col min="1226" max="1226" width="12.7109375" bestFit="1" customWidth="1"/>
    <col min="1227" max="1227" width="13.28515625" bestFit="1" customWidth="1"/>
    <col min="1228" max="1230" width="13.28515625" customWidth="1"/>
    <col min="1231" max="1231" width="12.140625" bestFit="1" customWidth="1"/>
    <col min="1232" max="1232" width="12.7109375" bestFit="1" customWidth="1"/>
    <col min="1233" max="1233" width="11" customWidth="1"/>
    <col min="1234" max="1234" width="16.7109375" customWidth="1"/>
    <col min="1235" max="1235" width="17" customWidth="1"/>
    <col min="1236" max="1236" width="10.42578125" bestFit="1" customWidth="1"/>
    <col min="1280" max="1280" width="3.85546875" customWidth="1"/>
    <col min="1281" max="1281" width="15.28515625" bestFit="1" customWidth="1"/>
    <col min="1282" max="1282" width="12.28515625" customWidth="1"/>
    <col min="1283" max="1283" width="16.28515625" bestFit="1" customWidth="1"/>
    <col min="1284" max="1284" width="6.42578125" bestFit="1" customWidth="1"/>
    <col min="1285" max="1285" width="9.28515625" bestFit="1" customWidth="1"/>
    <col min="1286" max="1286" width="7.5703125" bestFit="1" customWidth="1"/>
    <col min="1287" max="1287" width="13.28515625" bestFit="1" customWidth="1"/>
    <col min="1288" max="1288" width="9.28515625" bestFit="1" customWidth="1"/>
    <col min="1289" max="1289" width="11.5703125" bestFit="1" customWidth="1"/>
    <col min="1290" max="1290" width="13.28515625" bestFit="1" customWidth="1"/>
    <col min="1291" max="1291" width="7.140625" bestFit="1" customWidth="1"/>
    <col min="1292" max="1292" width="12" bestFit="1" customWidth="1"/>
    <col min="1293" max="1293" width="13.28515625" bestFit="1" customWidth="1"/>
    <col min="1294" max="1294" width="7" bestFit="1" customWidth="1"/>
    <col min="1295" max="1295" width="12.7109375" bestFit="1" customWidth="1"/>
    <col min="1296" max="1296" width="11.5703125" bestFit="1" customWidth="1"/>
    <col min="1297" max="1297" width="10.5703125" bestFit="1" customWidth="1"/>
    <col min="1298" max="1299" width="15.7109375" bestFit="1" customWidth="1"/>
    <col min="1300" max="1300" width="11.5703125" bestFit="1" customWidth="1"/>
    <col min="1301" max="1301" width="7.7109375" bestFit="1" customWidth="1"/>
    <col min="1302" max="1302" width="15.140625" bestFit="1" customWidth="1"/>
    <col min="1303" max="1303" width="11.5703125" bestFit="1" customWidth="1"/>
    <col min="1304" max="1304" width="13.28515625" bestFit="1" customWidth="1"/>
    <col min="1305" max="1305" width="10.42578125" bestFit="1" customWidth="1"/>
    <col min="1306" max="1306" width="13.28515625" bestFit="1" customWidth="1"/>
    <col min="1307" max="1307" width="12.140625" bestFit="1" customWidth="1"/>
    <col min="1308" max="1308" width="14.42578125" bestFit="1" customWidth="1"/>
    <col min="1309" max="1309" width="13.28515625" bestFit="1" customWidth="1"/>
    <col min="1310" max="1310" width="11.5703125" bestFit="1" customWidth="1"/>
    <col min="1311" max="1311" width="7.7109375" bestFit="1" customWidth="1"/>
    <col min="1312" max="1313" width="14.42578125" bestFit="1" customWidth="1"/>
    <col min="1314" max="1314" width="11.5703125" bestFit="1" customWidth="1"/>
    <col min="1315" max="1315" width="7.7109375" bestFit="1" customWidth="1"/>
    <col min="1316" max="1316" width="13.5703125" customWidth="1"/>
    <col min="1317" max="1317" width="15.28515625" customWidth="1"/>
    <col min="1318" max="1318" width="14.5703125" customWidth="1"/>
    <col min="1319" max="1319" width="13.28515625" bestFit="1" customWidth="1"/>
    <col min="1320" max="1320" width="7.7109375" bestFit="1" customWidth="1"/>
    <col min="1321" max="1321" width="12.7109375" bestFit="1" customWidth="1"/>
    <col min="1322" max="1322" width="11.7109375" bestFit="1" customWidth="1"/>
    <col min="1323" max="1323" width="11.5703125" bestFit="1" customWidth="1"/>
    <col min="1324" max="1324" width="5.28515625" bestFit="1" customWidth="1"/>
    <col min="1325" max="1325" width="13.28515625" bestFit="1" customWidth="1"/>
    <col min="1326" max="1326" width="13.5703125" bestFit="1" customWidth="1"/>
    <col min="1327" max="1327" width="10.5703125" bestFit="1" customWidth="1"/>
    <col min="1328" max="1328" width="13.28515625" bestFit="1" customWidth="1"/>
    <col min="1329" max="1329" width="11.5703125" bestFit="1" customWidth="1"/>
    <col min="1330" max="1330" width="10.5703125" bestFit="1" customWidth="1"/>
    <col min="1331" max="1331" width="16.140625" bestFit="1" customWidth="1"/>
    <col min="1332" max="1333" width="11.28515625" bestFit="1" customWidth="1"/>
    <col min="1334" max="1334" width="13.28515625" bestFit="1" customWidth="1"/>
    <col min="1335" max="1335" width="7.7109375" bestFit="1" customWidth="1"/>
    <col min="1336" max="1339" width="9.140625" hidden="1" customWidth="1"/>
    <col min="1340" max="1340" width="10.42578125" bestFit="1" customWidth="1"/>
    <col min="1341" max="1341" width="10.5703125" bestFit="1" customWidth="1"/>
    <col min="1342" max="1342" width="10.42578125" bestFit="1" customWidth="1"/>
    <col min="1343" max="1343" width="10.5703125" bestFit="1" customWidth="1"/>
    <col min="1344" max="1344" width="9.5703125" bestFit="1" customWidth="1"/>
    <col min="1345" max="1345" width="11.5703125" bestFit="1" customWidth="1"/>
    <col min="1346" max="1346" width="10.42578125" bestFit="1" customWidth="1"/>
    <col min="1347" max="1347" width="10.85546875" customWidth="1"/>
    <col min="1348" max="1349" width="9.85546875" bestFit="1" customWidth="1"/>
    <col min="1350" max="1350" width="13.5703125" bestFit="1" customWidth="1"/>
    <col min="1351" max="1351" width="7.7109375" bestFit="1" customWidth="1"/>
    <col min="1352" max="1352" width="13.28515625" bestFit="1" customWidth="1"/>
    <col min="1353" max="1353" width="11.5703125" bestFit="1" customWidth="1"/>
    <col min="1354" max="1354" width="10.42578125" bestFit="1" customWidth="1"/>
    <col min="1355" max="1355" width="7.7109375" bestFit="1" customWidth="1"/>
    <col min="1356" max="1356" width="11.5703125" bestFit="1" customWidth="1"/>
    <col min="1357" max="1357" width="10.85546875" bestFit="1" customWidth="1"/>
    <col min="1358" max="1358" width="13.28515625" bestFit="1" customWidth="1"/>
    <col min="1359" max="1359" width="10.85546875" bestFit="1" customWidth="1"/>
    <col min="1360" max="1361" width="7.5703125" bestFit="1" customWidth="1"/>
    <col min="1362" max="1363" width="10.42578125" bestFit="1" customWidth="1"/>
    <col min="1364" max="1364" width="11.5703125" bestFit="1" customWidth="1"/>
    <col min="1365" max="1365" width="5.28515625" bestFit="1" customWidth="1"/>
    <col min="1366" max="1366" width="10.28515625" bestFit="1" customWidth="1"/>
    <col min="1367" max="1367" width="10.42578125" bestFit="1" customWidth="1"/>
    <col min="1368" max="1368" width="11.5703125" bestFit="1" customWidth="1"/>
    <col min="1369" max="1369" width="5.28515625" bestFit="1" customWidth="1"/>
    <col min="1370" max="1372" width="11.5703125" bestFit="1" customWidth="1"/>
    <col min="1373" max="1373" width="5.28515625" bestFit="1" customWidth="1"/>
    <col min="1374" max="1375" width="10.42578125" bestFit="1" customWidth="1"/>
    <col min="1376" max="1376" width="11.5703125" bestFit="1" customWidth="1"/>
    <col min="1377" max="1377" width="5.28515625" bestFit="1" customWidth="1"/>
    <col min="1378" max="1378" width="14.28515625" bestFit="1" customWidth="1"/>
    <col min="1379" max="1379" width="13" bestFit="1" customWidth="1"/>
    <col min="1380" max="1380" width="11.5703125" bestFit="1" customWidth="1"/>
    <col min="1381" max="1381" width="8.85546875" bestFit="1" customWidth="1"/>
    <col min="1382" max="1382" width="14.42578125" bestFit="1" customWidth="1"/>
    <col min="1383" max="1383" width="10.42578125" bestFit="1" customWidth="1"/>
    <col min="1384" max="1384" width="12.28515625" bestFit="1" customWidth="1"/>
    <col min="1385" max="1385" width="13.85546875" bestFit="1" customWidth="1"/>
    <col min="1386" max="1386" width="11.28515625" customWidth="1"/>
    <col min="1387" max="1387" width="11.5703125" customWidth="1"/>
    <col min="1388" max="1388" width="13.42578125" bestFit="1" customWidth="1"/>
    <col min="1389" max="1389" width="10.42578125" customWidth="1"/>
    <col min="1390" max="1390" width="13.85546875" bestFit="1" customWidth="1"/>
    <col min="1391" max="1391" width="15.42578125" bestFit="1" customWidth="1"/>
    <col min="1392" max="1392" width="12.28515625" bestFit="1" customWidth="1"/>
    <col min="1393" max="1393" width="12.7109375" customWidth="1"/>
    <col min="1394" max="1394" width="10.7109375" bestFit="1" customWidth="1"/>
    <col min="1395" max="1395" width="9.85546875" customWidth="1"/>
    <col min="1396" max="1397" width="10.140625" bestFit="1" customWidth="1"/>
    <col min="1398" max="1398" width="7.5703125" bestFit="1" customWidth="1"/>
    <col min="1399" max="1399" width="9.42578125" bestFit="1" customWidth="1"/>
    <col min="1400" max="1400" width="14.5703125" bestFit="1" customWidth="1"/>
    <col min="1401" max="1401" width="14.85546875" customWidth="1"/>
    <col min="1402" max="1402" width="15.140625" bestFit="1" customWidth="1"/>
    <col min="1403" max="1403" width="12.140625" bestFit="1" customWidth="1"/>
    <col min="1404" max="1404" width="14.85546875" bestFit="1" customWidth="1"/>
    <col min="1405" max="1405" width="12.28515625" bestFit="1" customWidth="1"/>
    <col min="1406" max="1414" width="9.140625" hidden="1" customWidth="1"/>
    <col min="1415" max="1415" width="5.28515625" bestFit="1" customWidth="1"/>
    <col min="1416" max="1421" width="11.5703125" bestFit="1" customWidth="1"/>
    <col min="1422" max="1422" width="11.28515625" bestFit="1" customWidth="1"/>
    <col min="1423" max="1423" width="10.140625" bestFit="1" customWidth="1"/>
    <col min="1424" max="1424" width="11.5703125" bestFit="1" customWidth="1"/>
    <col min="1425" max="1425" width="16.140625" customWidth="1"/>
    <col min="1426" max="1426" width="13.42578125" customWidth="1"/>
    <col min="1427" max="1427" width="10.140625" bestFit="1" customWidth="1"/>
    <col min="1428" max="1428" width="12.85546875" bestFit="1" customWidth="1"/>
    <col min="1429" max="1429" width="12.28515625" bestFit="1" customWidth="1"/>
    <col min="1430" max="1430" width="11.28515625" bestFit="1" customWidth="1"/>
    <col min="1431" max="1431" width="11.5703125" bestFit="1" customWidth="1"/>
    <col min="1432" max="1432" width="10.85546875" bestFit="1" customWidth="1"/>
    <col min="1433" max="1433" width="11.28515625" bestFit="1" customWidth="1"/>
    <col min="1434" max="1434" width="10.140625" bestFit="1" customWidth="1"/>
    <col min="1435" max="1435" width="13.28515625" bestFit="1" customWidth="1"/>
    <col min="1436" max="1437" width="12.7109375" bestFit="1" customWidth="1"/>
    <col min="1438" max="1438" width="11" bestFit="1" customWidth="1"/>
    <col min="1439" max="1439" width="11.28515625" bestFit="1" customWidth="1"/>
    <col min="1440" max="1440" width="11.5703125" bestFit="1" customWidth="1"/>
    <col min="1441" max="1441" width="12.28515625" bestFit="1" customWidth="1"/>
    <col min="1442" max="1442" width="15.140625" bestFit="1" customWidth="1"/>
    <col min="1443" max="1443" width="14.42578125" bestFit="1" customWidth="1"/>
    <col min="1444" max="1444" width="12.28515625" bestFit="1" customWidth="1"/>
    <col min="1445" max="1445" width="15.140625" bestFit="1" customWidth="1"/>
    <col min="1446" max="1446" width="14.42578125" bestFit="1" customWidth="1"/>
    <col min="1447" max="1447" width="12.28515625" bestFit="1" customWidth="1"/>
    <col min="1448" max="1448" width="14.42578125" bestFit="1" customWidth="1"/>
    <col min="1449" max="1449" width="11.28515625" bestFit="1" customWidth="1"/>
    <col min="1450" max="1450" width="12.28515625" bestFit="1" customWidth="1"/>
    <col min="1451" max="1451" width="13" bestFit="1" customWidth="1"/>
    <col min="1452" max="1452" width="15.140625" bestFit="1" customWidth="1"/>
    <col min="1453" max="1453" width="12.28515625" bestFit="1" customWidth="1"/>
    <col min="1454" max="1454" width="13.85546875" bestFit="1" customWidth="1"/>
    <col min="1455" max="1455" width="11.28515625" bestFit="1" customWidth="1"/>
    <col min="1456" max="1456" width="12.28515625" bestFit="1" customWidth="1"/>
    <col min="1457" max="1457" width="13.85546875" bestFit="1" customWidth="1"/>
    <col min="1458" max="1459" width="15.140625" bestFit="1" customWidth="1"/>
    <col min="1460" max="1460" width="12.28515625" bestFit="1" customWidth="1"/>
    <col min="1461" max="1461" width="5.7109375" bestFit="1" customWidth="1"/>
    <col min="1462" max="1462" width="8.5703125" bestFit="1" customWidth="1"/>
    <col min="1463" max="1463" width="5.5703125" bestFit="1" customWidth="1"/>
    <col min="1464" max="1464" width="14.42578125" bestFit="1" customWidth="1"/>
    <col min="1465" max="1465" width="11.28515625" bestFit="1" customWidth="1"/>
    <col min="1466" max="1467" width="12.28515625" bestFit="1" customWidth="1"/>
    <col min="1468" max="1468" width="11.28515625" bestFit="1" customWidth="1"/>
    <col min="1469" max="1469" width="13.85546875" bestFit="1" customWidth="1"/>
    <col min="1470" max="1470" width="12" bestFit="1" customWidth="1"/>
    <col min="1471" max="1471" width="13.85546875" bestFit="1" customWidth="1"/>
    <col min="1472" max="1473" width="14.42578125" customWidth="1"/>
    <col min="1474" max="1474" width="10.140625" bestFit="1" customWidth="1"/>
    <col min="1475" max="1475" width="12.28515625" bestFit="1" customWidth="1"/>
    <col min="1476" max="1476" width="7.42578125" bestFit="1" customWidth="1"/>
    <col min="1477" max="1477" width="8.5703125" bestFit="1" customWidth="1"/>
    <col min="1478" max="1478" width="11.5703125" bestFit="1" customWidth="1"/>
    <col min="1479" max="1479" width="13.28515625" bestFit="1" customWidth="1"/>
    <col min="1480" max="1480" width="13.28515625" customWidth="1"/>
    <col min="1481" max="1481" width="13.140625" customWidth="1"/>
    <col min="1482" max="1482" width="12.7109375" bestFit="1" customWidth="1"/>
    <col min="1483" max="1483" width="13.28515625" bestFit="1" customWidth="1"/>
    <col min="1484" max="1486" width="13.28515625" customWidth="1"/>
    <col min="1487" max="1487" width="12.140625" bestFit="1" customWidth="1"/>
    <col min="1488" max="1488" width="12.7109375" bestFit="1" customWidth="1"/>
    <col min="1489" max="1489" width="11" customWidth="1"/>
    <col min="1490" max="1490" width="16.7109375" customWidth="1"/>
    <col min="1491" max="1491" width="17" customWidth="1"/>
    <col min="1492" max="1492" width="10.42578125" bestFit="1" customWidth="1"/>
    <col min="1536" max="1536" width="3.85546875" customWidth="1"/>
    <col min="1537" max="1537" width="15.28515625" bestFit="1" customWidth="1"/>
    <col min="1538" max="1538" width="12.28515625" customWidth="1"/>
    <col min="1539" max="1539" width="16.28515625" bestFit="1" customWidth="1"/>
    <col min="1540" max="1540" width="6.42578125" bestFit="1" customWidth="1"/>
    <col min="1541" max="1541" width="9.28515625" bestFit="1" customWidth="1"/>
    <col min="1542" max="1542" width="7.5703125" bestFit="1" customWidth="1"/>
    <col min="1543" max="1543" width="13.28515625" bestFit="1" customWidth="1"/>
    <col min="1544" max="1544" width="9.28515625" bestFit="1" customWidth="1"/>
    <col min="1545" max="1545" width="11.5703125" bestFit="1" customWidth="1"/>
    <col min="1546" max="1546" width="13.28515625" bestFit="1" customWidth="1"/>
    <col min="1547" max="1547" width="7.140625" bestFit="1" customWidth="1"/>
    <col min="1548" max="1548" width="12" bestFit="1" customWidth="1"/>
    <col min="1549" max="1549" width="13.28515625" bestFit="1" customWidth="1"/>
    <col min="1550" max="1550" width="7" bestFit="1" customWidth="1"/>
    <col min="1551" max="1551" width="12.7109375" bestFit="1" customWidth="1"/>
    <col min="1552" max="1552" width="11.5703125" bestFit="1" customWidth="1"/>
    <col min="1553" max="1553" width="10.5703125" bestFit="1" customWidth="1"/>
    <col min="1554" max="1555" width="15.7109375" bestFit="1" customWidth="1"/>
    <col min="1556" max="1556" width="11.5703125" bestFit="1" customWidth="1"/>
    <col min="1557" max="1557" width="7.7109375" bestFit="1" customWidth="1"/>
    <col min="1558" max="1558" width="15.140625" bestFit="1" customWidth="1"/>
    <col min="1559" max="1559" width="11.5703125" bestFit="1" customWidth="1"/>
    <col min="1560" max="1560" width="13.28515625" bestFit="1" customWidth="1"/>
    <col min="1561" max="1561" width="10.42578125" bestFit="1" customWidth="1"/>
    <col min="1562" max="1562" width="13.28515625" bestFit="1" customWidth="1"/>
    <col min="1563" max="1563" width="12.140625" bestFit="1" customWidth="1"/>
    <col min="1564" max="1564" width="14.42578125" bestFit="1" customWidth="1"/>
    <col min="1565" max="1565" width="13.28515625" bestFit="1" customWidth="1"/>
    <col min="1566" max="1566" width="11.5703125" bestFit="1" customWidth="1"/>
    <col min="1567" max="1567" width="7.7109375" bestFit="1" customWidth="1"/>
    <col min="1568" max="1569" width="14.42578125" bestFit="1" customWidth="1"/>
    <col min="1570" max="1570" width="11.5703125" bestFit="1" customWidth="1"/>
    <col min="1571" max="1571" width="7.7109375" bestFit="1" customWidth="1"/>
    <col min="1572" max="1572" width="13.5703125" customWidth="1"/>
    <col min="1573" max="1573" width="15.28515625" customWidth="1"/>
    <col min="1574" max="1574" width="14.5703125" customWidth="1"/>
    <col min="1575" max="1575" width="13.28515625" bestFit="1" customWidth="1"/>
    <col min="1576" max="1576" width="7.7109375" bestFit="1" customWidth="1"/>
    <col min="1577" max="1577" width="12.7109375" bestFit="1" customWidth="1"/>
    <col min="1578" max="1578" width="11.7109375" bestFit="1" customWidth="1"/>
    <col min="1579" max="1579" width="11.5703125" bestFit="1" customWidth="1"/>
    <col min="1580" max="1580" width="5.28515625" bestFit="1" customWidth="1"/>
    <col min="1581" max="1581" width="13.28515625" bestFit="1" customWidth="1"/>
    <col min="1582" max="1582" width="13.5703125" bestFit="1" customWidth="1"/>
    <col min="1583" max="1583" width="10.5703125" bestFit="1" customWidth="1"/>
    <col min="1584" max="1584" width="13.28515625" bestFit="1" customWidth="1"/>
    <col min="1585" max="1585" width="11.5703125" bestFit="1" customWidth="1"/>
    <col min="1586" max="1586" width="10.5703125" bestFit="1" customWidth="1"/>
    <col min="1587" max="1587" width="16.140625" bestFit="1" customWidth="1"/>
    <col min="1588" max="1589" width="11.28515625" bestFit="1" customWidth="1"/>
    <col min="1590" max="1590" width="13.28515625" bestFit="1" customWidth="1"/>
    <col min="1591" max="1591" width="7.7109375" bestFit="1" customWidth="1"/>
    <col min="1592" max="1595" width="9.140625" hidden="1" customWidth="1"/>
    <col min="1596" max="1596" width="10.42578125" bestFit="1" customWidth="1"/>
    <col min="1597" max="1597" width="10.5703125" bestFit="1" customWidth="1"/>
    <col min="1598" max="1598" width="10.42578125" bestFit="1" customWidth="1"/>
    <col min="1599" max="1599" width="10.5703125" bestFit="1" customWidth="1"/>
    <col min="1600" max="1600" width="9.5703125" bestFit="1" customWidth="1"/>
    <col min="1601" max="1601" width="11.5703125" bestFit="1" customWidth="1"/>
    <col min="1602" max="1602" width="10.42578125" bestFit="1" customWidth="1"/>
    <col min="1603" max="1603" width="10.85546875" customWidth="1"/>
    <col min="1604" max="1605" width="9.85546875" bestFit="1" customWidth="1"/>
    <col min="1606" max="1606" width="13.5703125" bestFit="1" customWidth="1"/>
    <col min="1607" max="1607" width="7.7109375" bestFit="1" customWidth="1"/>
    <col min="1608" max="1608" width="13.28515625" bestFit="1" customWidth="1"/>
    <col min="1609" max="1609" width="11.5703125" bestFit="1" customWidth="1"/>
    <col min="1610" max="1610" width="10.42578125" bestFit="1" customWidth="1"/>
    <col min="1611" max="1611" width="7.7109375" bestFit="1" customWidth="1"/>
    <col min="1612" max="1612" width="11.5703125" bestFit="1" customWidth="1"/>
    <col min="1613" max="1613" width="10.85546875" bestFit="1" customWidth="1"/>
    <col min="1614" max="1614" width="13.28515625" bestFit="1" customWidth="1"/>
    <col min="1615" max="1615" width="10.85546875" bestFit="1" customWidth="1"/>
    <col min="1616" max="1617" width="7.5703125" bestFit="1" customWidth="1"/>
    <col min="1618" max="1619" width="10.42578125" bestFit="1" customWidth="1"/>
    <col min="1620" max="1620" width="11.5703125" bestFit="1" customWidth="1"/>
    <col min="1621" max="1621" width="5.28515625" bestFit="1" customWidth="1"/>
    <col min="1622" max="1622" width="10.28515625" bestFit="1" customWidth="1"/>
    <col min="1623" max="1623" width="10.42578125" bestFit="1" customWidth="1"/>
    <col min="1624" max="1624" width="11.5703125" bestFit="1" customWidth="1"/>
    <col min="1625" max="1625" width="5.28515625" bestFit="1" customWidth="1"/>
    <col min="1626" max="1628" width="11.5703125" bestFit="1" customWidth="1"/>
    <col min="1629" max="1629" width="5.28515625" bestFit="1" customWidth="1"/>
    <col min="1630" max="1631" width="10.42578125" bestFit="1" customWidth="1"/>
    <col min="1632" max="1632" width="11.5703125" bestFit="1" customWidth="1"/>
    <col min="1633" max="1633" width="5.28515625" bestFit="1" customWidth="1"/>
    <col min="1634" max="1634" width="14.28515625" bestFit="1" customWidth="1"/>
    <col min="1635" max="1635" width="13" bestFit="1" customWidth="1"/>
    <col min="1636" max="1636" width="11.5703125" bestFit="1" customWidth="1"/>
    <col min="1637" max="1637" width="8.85546875" bestFit="1" customWidth="1"/>
    <col min="1638" max="1638" width="14.42578125" bestFit="1" customWidth="1"/>
    <col min="1639" max="1639" width="10.42578125" bestFit="1" customWidth="1"/>
    <col min="1640" max="1640" width="12.28515625" bestFit="1" customWidth="1"/>
    <col min="1641" max="1641" width="13.85546875" bestFit="1" customWidth="1"/>
    <col min="1642" max="1642" width="11.28515625" customWidth="1"/>
    <col min="1643" max="1643" width="11.5703125" customWidth="1"/>
    <col min="1644" max="1644" width="13.42578125" bestFit="1" customWidth="1"/>
    <col min="1645" max="1645" width="10.42578125" customWidth="1"/>
    <col min="1646" max="1646" width="13.85546875" bestFit="1" customWidth="1"/>
    <col min="1647" max="1647" width="15.42578125" bestFit="1" customWidth="1"/>
    <col min="1648" max="1648" width="12.28515625" bestFit="1" customWidth="1"/>
    <col min="1649" max="1649" width="12.7109375" customWidth="1"/>
    <col min="1650" max="1650" width="10.7109375" bestFit="1" customWidth="1"/>
    <col min="1651" max="1651" width="9.85546875" customWidth="1"/>
    <col min="1652" max="1653" width="10.140625" bestFit="1" customWidth="1"/>
    <col min="1654" max="1654" width="7.5703125" bestFit="1" customWidth="1"/>
    <col min="1655" max="1655" width="9.42578125" bestFit="1" customWidth="1"/>
    <col min="1656" max="1656" width="14.5703125" bestFit="1" customWidth="1"/>
    <col min="1657" max="1657" width="14.85546875" customWidth="1"/>
    <col min="1658" max="1658" width="15.140625" bestFit="1" customWidth="1"/>
    <col min="1659" max="1659" width="12.140625" bestFit="1" customWidth="1"/>
    <col min="1660" max="1660" width="14.85546875" bestFit="1" customWidth="1"/>
    <col min="1661" max="1661" width="12.28515625" bestFit="1" customWidth="1"/>
    <col min="1662" max="1670" width="9.140625" hidden="1" customWidth="1"/>
    <col min="1671" max="1671" width="5.28515625" bestFit="1" customWidth="1"/>
    <col min="1672" max="1677" width="11.5703125" bestFit="1" customWidth="1"/>
    <col min="1678" max="1678" width="11.28515625" bestFit="1" customWidth="1"/>
    <col min="1679" max="1679" width="10.140625" bestFit="1" customWidth="1"/>
    <col min="1680" max="1680" width="11.5703125" bestFit="1" customWidth="1"/>
    <col min="1681" max="1681" width="16.140625" customWidth="1"/>
    <col min="1682" max="1682" width="13.42578125" customWidth="1"/>
    <col min="1683" max="1683" width="10.140625" bestFit="1" customWidth="1"/>
    <col min="1684" max="1684" width="12.85546875" bestFit="1" customWidth="1"/>
    <col min="1685" max="1685" width="12.28515625" bestFit="1" customWidth="1"/>
    <col min="1686" max="1686" width="11.28515625" bestFit="1" customWidth="1"/>
    <col min="1687" max="1687" width="11.5703125" bestFit="1" customWidth="1"/>
    <col min="1688" max="1688" width="10.85546875" bestFit="1" customWidth="1"/>
    <col min="1689" max="1689" width="11.28515625" bestFit="1" customWidth="1"/>
    <col min="1690" max="1690" width="10.140625" bestFit="1" customWidth="1"/>
    <col min="1691" max="1691" width="13.28515625" bestFit="1" customWidth="1"/>
    <col min="1692" max="1693" width="12.7109375" bestFit="1" customWidth="1"/>
    <col min="1694" max="1694" width="11" bestFit="1" customWidth="1"/>
    <col min="1695" max="1695" width="11.28515625" bestFit="1" customWidth="1"/>
    <col min="1696" max="1696" width="11.5703125" bestFit="1" customWidth="1"/>
    <col min="1697" max="1697" width="12.28515625" bestFit="1" customWidth="1"/>
    <col min="1698" max="1698" width="15.140625" bestFit="1" customWidth="1"/>
    <col min="1699" max="1699" width="14.42578125" bestFit="1" customWidth="1"/>
    <col min="1700" max="1700" width="12.28515625" bestFit="1" customWidth="1"/>
    <col min="1701" max="1701" width="15.140625" bestFit="1" customWidth="1"/>
    <col min="1702" max="1702" width="14.42578125" bestFit="1" customWidth="1"/>
    <col min="1703" max="1703" width="12.28515625" bestFit="1" customWidth="1"/>
    <col min="1704" max="1704" width="14.42578125" bestFit="1" customWidth="1"/>
    <col min="1705" max="1705" width="11.28515625" bestFit="1" customWidth="1"/>
    <col min="1706" max="1706" width="12.28515625" bestFit="1" customWidth="1"/>
    <col min="1707" max="1707" width="13" bestFit="1" customWidth="1"/>
    <col min="1708" max="1708" width="15.140625" bestFit="1" customWidth="1"/>
    <col min="1709" max="1709" width="12.28515625" bestFit="1" customWidth="1"/>
    <col min="1710" max="1710" width="13.85546875" bestFit="1" customWidth="1"/>
    <col min="1711" max="1711" width="11.28515625" bestFit="1" customWidth="1"/>
    <col min="1712" max="1712" width="12.28515625" bestFit="1" customWidth="1"/>
    <col min="1713" max="1713" width="13.85546875" bestFit="1" customWidth="1"/>
    <col min="1714" max="1715" width="15.140625" bestFit="1" customWidth="1"/>
    <col min="1716" max="1716" width="12.28515625" bestFit="1" customWidth="1"/>
    <col min="1717" max="1717" width="5.7109375" bestFit="1" customWidth="1"/>
    <col min="1718" max="1718" width="8.5703125" bestFit="1" customWidth="1"/>
    <col min="1719" max="1719" width="5.5703125" bestFit="1" customWidth="1"/>
    <col min="1720" max="1720" width="14.42578125" bestFit="1" customWidth="1"/>
    <col min="1721" max="1721" width="11.28515625" bestFit="1" customWidth="1"/>
    <col min="1722" max="1723" width="12.28515625" bestFit="1" customWidth="1"/>
    <col min="1724" max="1724" width="11.28515625" bestFit="1" customWidth="1"/>
    <col min="1725" max="1725" width="13.85546875" bestFit="1" customWidth="1"/>
    <col min="1726" max="1726" width="12" bestFit="1" customWidth="1"/>
    <col min="1727" max="1727" width="13.85546875" bestFit="1" customWidth="1"/>
    <col min="1728" max="1729" width="14.42578125" customWidth="1"/>
    <col min="1730" max="1730" width="10.140625" bestFit="1" customWidth="1"/>
    <col min="1731" max="1731" width="12.28515625" bestFit="1" customWidth="1"/>
    <col min="1732" max="1732" width="7.42578125" bestFit="1" customWidth="1"/>
    <col min="1733" max="1733" width="8.5703125" bestFit="1" customWidth="1"/>
    <col min="1734" max="1734" width="11.5703125" bestFit="1" customWidth="1"/>
    <col min="1735" max="1735" width="13.28515625" bestFit="1" customWidth="1"/>
    <col min="1736" max="1736" width="13.28515625" customWidth="1"/>
    <col min="1737" max="1737" width="13.140625" customWidth="1"/>
    <col min="1738" max="1738" width="12.7109375" bestFit="1" customWidth="1"/>
    <col min="1739" max="1739" width="13.28515625" bestFit="1" customWidth="1"/>
    <col min="1740" max="1742" width="13.28515625" customWidth="1"/>
    <col min="1743" max="1743" width="12.140625" bestFit="1" customWidth="1"/>
    <col min="1744" max="1744" width="12.7109375" bestFit="1" customWidth="1"/>
    <col min="1745" max="1745" width="11" customWidth="1"/>
    <col min="1746" max="1746" width="16.7109375" customWidth="1"/>
    <col min="1747" max="1747" width="17" customWidth="1"/>
    <col min="1748" max="1748" width="10.42578125" bestFit="1" customWidth="1"/>
    <col min="1792" max="1792" width="3.85546875" customWidth="1"/>
    <col min="1793" max="1793" width="15.28515625" bestFit="1" customWidth="1"/>
    <col min="1794" max="1794" width="12.28515625" customWidth="1"/>
    <col min="1795" max="1795" width="16.28515625" bestFit="1" customWidth="1"/>
    <col min="1796" max="1796" width="6.42578125" bestFit="1" customWidth="1"/>
    <col min="1797" max="1797" width="9.28515625" bestFit="1" customWidth="1"/>
    <col min="1798" max="1798" width="7.5703125" bestFit="1" customWidth="1"/>
    <col min="1799" max="1799" width="13.28515625" bestFit="1" customWidth="1"/>
    <col min="1800" max="1800" width="9.28515625" bestFit="1" customWidth="1"/>
    <col min="1801" max="1801" width="11.5703125" bestFit="1" customWidth="1"/>
    <col min="1802" max="1802" width="13.28515625" bestFit="1" customWidth="1"/>
    <col min="1803" max="1803" width="7.140625" bestFit="1" customWidth="1"/>
    <col min="1804" max="1804" width="12" bestFit="1" customWidth="1"/>
    <col min="1805" max="1805" width="13.28515625" bestFit="1" customWidth="1"/>
    <col min="1806" max="1806" width="7" bestFit="1" customWidth="1"/>
    <col min="1807" max="1807" width="12.7109375" bestFit="1" customWidth="1"/>
    <col min="1808" max="1808" width="11.5703125" bestFit="1" customWidth="1"/>
    <col min="1809" max="1809" width="10.5703125" bestFit="1" customWidth="1"/>
    <col min="1810" max="1811" width="15.7109375" bestFit="1" customWidth="1"/>
    <col min="1812" max="1812" width="11.5703125" bestFit="1" customWidth="1"/>
    <col min="1813" max="1813" width="7.7109375" bestFit="1" customWidth="1"/>
    <col min="1814" max="1814" width="15.140625" bestFit="1" customWidth="1"/>
    <col min="1815" max="1815" width="11.5703125" bestFit="1" customWidth="1"/>
    <col min="1816" max="1816" width="13.28515625" bestFit="1" customWidth="1"/>
    <col min="1817" max="1817" width="10.42578125" bestFit="1" customWidth="1"/>
    <col min="1818" max="1818" width="13.28515625" bestFit="1" customWidth="1"/>
    <col min="1819" max="1819" width="12.140625" bestFit="1" customWidth="1"/>
    <col min="1820" max="1820" width="14.42578125" bestFit="1" customWidth="1"/>
    <col min="1821" max="1821" width="13.28515625" bestFit="1" customWidth="1"/>
    <col min="1822" max="1822" width="11.5703125" bestFit="1" customWidth="1"/>
    <col min="1823" max="1823" width="7.7109375" bestFit="1" customWidth="1"/>
    <col min="1824" max="1825" width="14.42578125" bestFit="1" customWidth="1"/>
    <col min="1826" max="1826" width="11.5703125" bestFit="1" customWidth="1"/>
    <col min="1827" max="1827" width="7.7109375" bestFit="1" customWidth="1"/>
    <col min="1828" max="1828" width="13.5703125" customWidth="1"/>
    <col min="1829" max="1829" width="15.28515625" customWidth="1"/>
    <col min="1830" max="1830" width="14.5703125" customWidth="1"/>
    <col min="1831" max="1831" width="13.28515625" bestFit="1" customWidth="1"/>
    <col min="1832" max="1832" width="7.7109375" bestFit="1" customWidth="1"/>
    <col min="1833" max="1833" width="12.7109375" bestFit="1" customWidth="1"/>
    <col min="1834" max="1834" width="11.7109375" bestFit="1" customWidth="1"/>
    <col min="1835" max="1835" width="11.5703125" bestFit="1" customWidth="1"/>
    <col min="1836" max="1836" width="5.28515625" bestFit="1" customWidth="1"/>
    <col min="1837" max="1837" width="13.28515625" bestFit="1" customWidth="1"/>
    <col min="1838" max="1838" width="13.5703125" bestFit="1" customWidth="1"/>
    <col min="1839" max="1839" width="10.5703125" bestFit="1" customWidth="1"/>
    <col min="1840" max="1840" width="13.28515625" bestFit="1" customWidth="1"/>
    <col min="1841" max="1841" width="11.5703125" bestFit="1" customWidth="1"/>
    <col min="1842" max="1842" width="10.5703125" bestFit="1" customWidth="1"/>
    <col min="1843" max="1843" width="16.140625" bestFit="1" customWidth="1"/>
    <col min="1844" max="1845" width="11.28515625" bestFit="1" customWidth="1"/>
    <col min="1846" max="1846" width="13.28515625" bestFit="1" customWidth="1"/>
    <col min="1847" max="1847" width="7.7109375" bestFit="1" customWidth="1"/>
    <col min="1848" max="1851" width="9.140625" hidden="1" customWidth="1"/>
    <col min="1852" max="1852" width="10.42578125" bestFit="1" customWidth="1"/>
    <col min="1853" max="1853" width="10.5703125" bestFit="1" customWidth="1"/>
    <col min="1854" max="1854" width="10.42578125" bestFit="1" customWidth="1"/>
    <col min="1855" max="1855" width="10.5703125" bestFit="1" customWidth="1"/>
    <col min="1856" max="1856" width="9.5703125" bestFit="1" customWidth="1"/>
    <col min="1857" max="1857" width="11.5703125" bestFit="1" customWidth="1"/>
    <col min="1858" max="1858" width="10.42578125" bestFit="1" customWidth="1"/>
    <col min="1859" max="1859" width="10.85546875" customWidth="1"/>
    <col min="1860" max="1861" width="9.85546875" bestFit="1" customWidth="1"/>
    <col min="1862" max="1862" width="13.5703125" bestFit="1" customWidth="1"/>
    <col min="1863" max="1863" width="7.7109375" bestFit="1" customWidth="1"/>
    <col min="1864" max="1864" width="13.28515625" bestFit="1" customWidth="1"/>
    <col min="1865" max="1865" width="11.5703125" bestFit="1" customWidth="1"/>
    <col min="1866" max="1866" width="10.42578125" bestFit="1" customWidth="1"/>
    <col min="1867" max="1867" width="7.7109375" bestFit="1" customWidth="1"/>
    <col min="1868" max="1868" width="11.5703125" bestFit="1" customWidth="1"/>
    <col min="1869" max="1869" width="10.85546875" bestFit="1" customWidth="1"/>
    <col min="1870" max="1870" width="13.28515625" bestFit="1" customWidth="1"/>
    <col min="1871" max="1871" width="10.85546875" bestFit="1" customWidth="1"/>
    <col min="1872" max="1873" width="7.5703125" bestFit="1" customWidth="1"/>
    <col min="1874" max="1875" width="10.42578125" bestFit="1" customWidth="1"/>
    <col min="1876" max="1876" width="11.5703125" bestFit="1" customWidth="1"/>
    <col min="1877" max="1877" width="5.28515625" bestFit="1" customWidth="1"/>
    <col min="1878" max="1878" width="10.28515625" bestFit="1" customWidth="1"/>
    <col min="1879" max="1879" width="10.42578125" bestFit="1" customWidth="1"/>
    <col min="1880" max="1880" width="11.5703125" bestFit="1" customWidth="1"/>
    <col min="1881" max="1881" width="5.28515625" bestFit="1" customWidth="1"/>
    <col min="1882" max="1884" width="11.5703125" bestFit="1" customWidth="1"/>
    <col min="1885" max="1885" width="5.28515625" bestFit="1" customWidth="1"/>
    <col min="1886" max="1887" width="10.42578125" bestFit="1" customWidth="1"/>
    <col min="1888" max="1888" width="11.5703125" bestFit="1" customWidth="1"/>
    <col min="1889" max="1889" width="5.28515625" bestFit="1" customWidth="1"/>
    <col min="1890" max="1890" width="14.28515625" bestFit="1" customWidth="1"/>
    <col min="1891" max="1891" width="13" bestFit="1" customWidth="1"/>
    <col min="1892" max="1892" width="11.5703125" bestFit="1" customWidth="1"/>
    <col min="1893" max="1893" width="8.85546875" bestFit="1" customWidth="1"/>
    <col min="1894" max="1894" width="14.42578125" bestFit="1" customWidth="1"/>
    <col min="1895" max="1895" width="10.42578125" bestFit="1" customWidth="1"/>
    <col min="1896" max="1896" width="12.28515625" bestFit="1" customWidth="1"/>
    <col min="1897" max="1897" width="13.85546875" bestFit="1" customWidth="1"/>
    <col min="1898" max="1898" width="11.28515625" customWidth="1"/>
    <col min="1899" max="1899" width="11.5703125" customWidth="1"/>
    <col min="1900" max="1900" width="13.42578125" bestFit="1" customWidth="1"/>
    <col min="1901" max="1901" width="10.42578125" customWidth="1"/>
    <col min="1902" max="1902" width="13.85546875" bestFit="1" customWidth="1"/>
    <col min="1903" max="1903" width="15.42578125" bestFit="1" customWidth="1"/>
    <col min="1904" max="1904" width="12.28515625" bestFit="1" customWidth="1"/>
    <col min="1905" max="1905" width="12.7109375" customWidth="1"/>
    <col min="1906" max="1906" width="10.7109375" bestFit="1" customWidth="1"/>
    <col min="1907" max="1907" width="9.85546875" customWidth="1"/>
    <col min="1908" max="1909" width="10.140625" bestFit="1" customWidth="1"/>
    <col min="1910" max="1910" width="7.5703125" bestFit="1" customWidth="1"/>
    <col min="1911" max="1911" width="9.42578125" bestFit="1" customWidth="1"/>
    <col min="1912" max="1912" width="14.5703125" bestFit="1" customWidth="1"/>
    <col min="1913" max="1913" width="14.85546875" customWidth="1"/>
    <col min="1914" max="1914" width="15.140625" bestFit="1" customWidth="1"/>
    <col min="1915" max="1915" width="12.140625" bestFit="1" customWidth="1"/>
    <col min="1916" max="1916" width="14.85546875" bestFit="1" customWidth="1"/>
    <col min="1917" max="1917" width="12.28515625" bestFit="1" customWidth="1"/>
    <col min="1918" max="1926" width="9.140625" hidden="1" customWidth="1"/>
    <col min="1927" max="1927" width="5.28515625" bestFit="1" customWidth="1"/>
    <col min="1928" max="1933" width="11.5703125" bestFit="1" customWidth="1"/>
    <col min="1934" max="1934" width="11.28515625" bestFit="1" customWidth="1"/>
    <col min="1935" max="1935" width="10.140625" bestFit="1" customWidth="1"/>
    <col min="1936" max="1936" width="11.5703125" bestFit="1" customWidth="1"/>
    <col min="1937" max="1937" width="16.140625" customWidth="1"/>
    <col min="1938" max="1938" width="13.42578125" customWidth="1"/>
    <col min="1939" max="1939" width="10.140625" bestFit="1" customWidth="1"/>
    <col min="1940" max="1940" width="12.85546875" bestFit="1" customWidth="1"/>
    <col min="1941" max="1941" width="12.28515625" bestFit="1" customWidth="1"/>
    <col min="1942" max="1942" width="11.28515625" bestFit="1" customWidth="1"/>
    <col min="1943" max="1943" width="11.5703125" bestFit="1" customWidth="1"/>
    <col min="1944" max="1944" width="10.85546875" bestFit="1" customWidth="1"/>
    <col min="1945" max="1945" width="11.28515625" bestFit="1" customWidth="1"/>
    <col min="1946" max="1946" width="10.140625" bestFit="1" customWidth="1"/>
    <col min="1947" max="1947" width="13.28515625" bestFit="1" customWidth="1"/>
    <col min="1948" max="1949" width="12.7109375" bestFit="1" customWidth="1"/>
    <col min="1950" max="1950" width="11" bestFit="1" customWidth="1"/>
    <col min="1951" max="1951" width="11.28515625" bestFit="1" customWidth="1"/>
    <col min="1952" max="1952" width="11.5703125" bestFit="1" customWidth="1"/>
    <col min="1953" max="1953" width="12.28515625" bestFit="1" customWidth="1"/>
    <col min="1954" max="1954" width="15.140625" bestFit="1" customWidth="1"/>
    <col min="1955" max="1955" width="14.42578125" bestFit="1" customWidth="1"/>
    <col min="1956" max="1956" width="12.28515625" bestFit="1" customWidth="1"/>
    <col min="1957" max="1957" width="15.140625" bestFit="1" customWidth="1"/>
    <col min="1958" max="1958" width="14.42578125" bestFit="1" customWidth="1"/>
    <col min="1959" max="1959" width="12.28515625" bestFit="1" customWidth="1"/>
    <col min="1960" max="1960" width="14.42578125" bestFit="1" customWidth="1"/>
    <col min="1961" max="1961" width="11.28515625" bestFit="1" customWidth="1"/>
    <col min="1962" max="1962" width="12.28515625" bestFit="1" customWidth="1"/>
    <col min="1963" max="1963" width="13" bestFit="1" customWidth="1"/>
    <col min="1964" max="1964" width="15.140625" bestFit="1" customWidth="1"/>
    <col min="1965" max="1965" width="12.28515625" bestFit="1" customWidth="1"/>
    <col min="1966" max="1966" width="13.85546875" bestFit="1" customWidth="1"/>
    <col min="1967" max="1967" width="11.28515625" bestFit="1" customWidth="1"/>
    <col min="1968" max="1968" width="12.28515625" bestFit="1" customWidth="1"/>
    <col min="1969" max="1969" width="13.85546875" bestFit="1" customWidth="1"/>
    <col min="1970" max="1971" width="15.140625" bestFit="1" customWidth="1"/>
    <col min="1972" max="1972" width="12.28515625" bestFit="1" customWidth="1"/>
    <col min="1973" max="1973" width="5.7109375" bestFit="1" customWidth="1"/>
    <col min="1974" max="1974" width="8.5703125" bestFit="1" customWidth="1"/>
    <col min="1975" max="1975" width="5.5703125" bestFit="1" customWidth="1"/>
    <col min="1976" max="1976" width="14.42578125" bestFit="1" customWidth="1"/>
    <col min="1977" max="1977" width="11.28515625" bestFit="1" customWidth="1"/>
    <col min="1978" max="1979" width="12.28515625" bestFit="1" customWidth="1"/>
    <col min="1980" max="1980" width="11.28515625" bestFit="1" customWidth="1"/>
    <col min="1981" max="1981" width="13.85546875" bestFit="1" customWidth="1"/>
    <col min="1982" max="1982" width="12" bestFit="1" customWidth="1"/>
    <col min="1983" max="1983" width="13.85546875" bestFit="1" customWidth="1"/>
    <col min="1984" max="1985" width="14.42578125" customWidth="1"/>
    <col min="1986" max="1986" width="10.140625" bestFit="1" customWidth="1"/>
    <col min="1987" max="1987" width="12.28515625" bestFit="1" customWidth="1"/>
    <col min="1988" max="1988" width="7.42578125" bestFit="1" customWidth="1"/>
    <col min="1989" max="1989" width="8.5703125" bestFit="1" customWidth="1"/>
    <col min="1990" max="1990" width="11.5703125" bestFit="1" customWidth="1"/>
    <col min="1991" max="1991" width="13.28515625" bestFit="1" customWidth="1"/>
    <col min="1992" max="1992" width="13.28515625" customWidth="1"/>
    <col min="1993" max="1993" width="13.140625" customWidth="1"/>
    <col min="1994" max="1994" width="12.7109375" bestFit="1" customWidth="1"/>
    <col min="1995" max="1995" width="13.28515625" bestFit="1" customWidth="1"/>
    <col min="1996" max="1998" width="13.28515625" customWidth="1"/>
    <col min="1999" max="1999" width="12.140625" bestFit="1" customWidth="1"/>
    <col min="2000" max="2000" width="12.7109375" bestFit="1" customWidth="1"/>
    <col min="2001" max="2001" width="11" customWidth="1"/>
    <col min="2002" max="2002" width="16.7109375" customWidth="1"/>
    <col min="2003" max="2003" width="17" customWidth="1"/>
    <col min="2004" max="2004" width="10.42578125" bestFit="1" customWidth="1"/>
    <col min="2048" max="2048" width="3.85546875" customWidth="1"/>
    <col min="2049" max="2049" width="15.28515625" bestFit="1" customWidth="1"/>
    <col min="2050" max="2050" width="12.28515625" customWidth="1"/>
    <col min="2051" max="2051" width="16.28515625" bestFit="1" customWidth="1"/>
    <col min="2052" max="2052" width="6.42578125" bestFit="1" customWidth="1"/>
    <col min="2053" max="2053" width="9.28515625" bestFit="1" customWidth="1"/>
    <col min="2054" max="2054" width="7.5703125" bestFit="1" customWidth="1"/>
    <col min="2055" max="2055" width="13.28515625" bestFit="1" customWidth="1"/>
    <col min="2056" max="2056" width="9.28515625" bestFit="1" customWidth="1"/>
    <col min="2057" max="2057" width="11.5703125" bestFit="1" customWidth="1"/>
    <col min="2058" max="2058" width="13.28515625" bestFit="1" customWidth="1"/>
    <col min="2059" max="2059" width="7.140625" bestFit="1" customWidth="1"/>
    <col min="2060" max="2060" width="12" bestFit="1" customWidth="1"/>
    <col min="2061" max="2061" width="13.28515625" bestFit="1" customWidth="1"/>
    <col min="2062" max="2062" width="7" bestFit="1" customWidth="1"/>
    <col min="2063" max="2063" width="12.7109375" bestFit="1" customWidth="1"/>
    <col min="2064" max="2064" width="11.5703125" bestFit="1" customWidth="1"/>
    <col min="2065" max="2065" width="10.5703125" bestFit="1" customWidth="1"/>
    <col min="2066" max="2067" width="15.7109375" bestFit="1" customWidth="1"/>
    <col min="2068" max="2068" width="11.5703125" bestFit="1" customWidth="1"/>
    <col min="2069" max="2069" width="7.7109375" bestFit="1" customWidth="1"/>
    <col min="2070" max="2070" width="15.140625" bestFit="1" customWidth="1"/>
    <col min="2071" max="2071" width="11.5703125" bestFit="1" customWidth="1"/>
    <col min="2072" max="2072" width="13.28515625" bestFit="1" customWidth="1"/>
    <col min="2073" max="2073" width="10.42578125" bestFit="1" customWidth="1"/>
    <col min="2074" max="2074" width="13.28515625" bestFit="1" customWidth="1"/>
    <col min="2075" max="2075" width="12.140625" bestFit="1" customWidth="1"/>
    <col min="2076" max="2076" width="14.42578125" bestFit="1" customWidth="1"/>
    <col min="2077" max="2077" width="13.28515625" bestFit="1" customWidth="1"/>
    <col min="2078" max="2078" width="11.5703125" bestFit="1" customWidth="1"/>
    <col min="2079" max="2079" width="7.7109375" bestFit="1" customWidth="1"/>
    <col min="2080" max="2081" width="14.42578125" bestFit="1" customWidth="1"/>
    <col min="2082" max="2082" width="11.5703125" bestFit="1" customWidth="1"/>
    <col min="2083" max="2083" width="7.7109375" bestFit="1" customWidth="1"/>
    <col min="2084" max="2084" width="13.5703125" customWidth="1"/>
    <col min="2085" max="2085" width="15.28515625" customWidth="1"/>
    <col min="2086" max="2086" width="14.5703125" customWidth="1"/>
    <col min="2087" max="2087" width="13.28515625" bestFit="1" customWidth="1"/>
    <col min="2088" max="2088" width="7.7109375" bestFit="1" customWidth="1"/>
    <col min="2089" max="2089" width="12.7109375" bestFit="1" customWidth="1"/>
    <col min="2090" max="2090" width="11.7109375" bestFit="1" customWidth="1"/>
    <col min="2091" max="2091" width="11.5703125" bestFit="1" customWidth="1"/>
    <col min="2092" max="2092" width="5.28515625" bestFit="1" customWidth="1"/>
    <col min="2093" max="2093" width="13.28515625" bestFit="1" customWidth="1"/>
    <col min="2094" max="2094" width="13.5703125" bestFit="1" customWidth="1"/>
    <col min="2095" max="2095" width="10.5703125" bestFit="1" customWidth="1"/>
    <col min="2096" max="2096" width="13.28515625" bestFit="1" customWidth="1"/>
    <col min="2097" max="2097" width="11.5703125" bestFit="1" customWidth="1"/>
    <col min="2098" max="2098" width="10.5703125" bestFit="1" customWidth="1"/>
    <col min="2099" max="2099" width="16.140625" bestFit="1" customWidth="1"/>
    <col min="2100" max="2101" width="11.28515625" bestFit="1" customWidth="1"/>
    <col min="2102" max="2102" width="13.28515625" bestFit="1" customWidth="1"/>
    <col min="2103" max="2103" width="7.7109375" bestFit="1" customWidth="1"/>
    <col min="2104" max="2107" width="9.140625" hidden="1" customWidth="1"/>
    <col min="2108" max="2108" width="10.42578125" bestFit="1" customWidth="1"/>
    <col min="2109" max="2109" width="10.5703125" bestFit="1" customWidth="1"/>
    <col min="2110" max="2110" width="10.42578125" bestFit="1" customWidth="1"/>
    <col min="2111" max="2111" width="10.5703125" bestFit="1" customWidth="1"/>
    <col min="2112" max="2112" width="9.5703125" bestFit="1" customWidth="1"/>
    <col min="2113" max="2113" width="11.5703125" bestFit="1" customWidth="1"/>
    <col min="2114" max="2114" width="10.42578125" bestFit="1" customWidth="1"/>
    <col min="2115" max="2115" width="10.85546875" customWidth="1"/>
    <col min="2116" max="2117" width="9.85546875" bestFit="1" customWidth="1"/>
    <col min="2118" max="2118" width="13.5703125" bestFit="1" customWidth="1"/>
    <col min="2119" max="2119" width="7.7109375" bestFit="1" customWidth="1"/>
    <col min="2120" max="2120" width="13.28515625" bestFit="1" customWidth="1"/>
    <col min="2121" max="2121" width="11.5703125" bestFit="1" customWidth="1"/>
    <col min="2122" max="2122" width="10.42578125" bestFit="1" customWidth="1"/>
    <col min="2123" max="2123" width="7.7109375" bestFit="1" customWidth="1"/>
    <col min="2124" max="2124" width="11.5703125" bestFit="1" customWidth="1"/>
    <col min="2125" max="2125" width="10.85546875" bestFit="1" customWidth="1"/>
    <col min="2126" max="2126" width="13.28515625" bestFit="1" customWidth="1"/>
    <col min="2127" max="2127" width="10.85546875" bestFit="1" customWidth="1"/>
    <col min="2128" max="2129" width="7.5703125" bestFit="1" customWidth="1"/>
    <col min="2130" max="2131" width="10.42578125" bestFit="1" customWidth="1"/>
    <col min="2132" max="2132" width="11.5703125" bestFit="1" customWidth="1"/>
    <col min="2133" max="2133" width="5.28515625" bestFit="1" customWidth="1"/>
    <col min="2134" max="2134" width="10.28515625" bestFit="1" customWidth="1"/>
    <col min="2135" max="2135" width="10.42578125" bestFit="1" customWidth="1"/>
    <col min="2136" max="2136" width="11.5703125" bestFit="1" customWidth="1"/>
    <col min="2137" max="2137" width="5.28515625" bestFit="1" customWidth="1"/>
    <col min="2138" max="2140" width="11.5703125" bestFit="1" customWidth="1"/>
    <col min="2141" max="2141" width="5.28515625" bestFit="1" customWidth="1"/>
    <col min="2142" max="2143" width="10.42578125" bestFit="1" customWidth="1"/>
    <col min="2144" max="2144" width="11.5703125" bestFit="1" customWidth="1"/>
    <col min="2145" max="2145" width="5.28515625" bestFit="1" customWidth="1"/>
    <col min="2146" max="2146" width="14.28515625" bestFit="1" customWidth="1"/>
    <col min="2147" max="2147" width="13" bestFit="1" customWidth="1"/>
    <col min="2148" max="2148" width="11.5703125" bestFit="1" customWidth="1"/>
    <col min="2149" max="2149" width="8.85546875" bestFit="1" customWidth="1"/>
    <col min="2150" max="2150" width="14.42578125" bestFit="1" customWidth="1"/>
    <col min="2151" max="2151" width="10.42578125" bestFit="1" customWidth="1"/>
    <col min="2152" max="2152" width="12.28515625" bestFit="1" customWidth="1"/>
    <col min="2153" max="2153" width="13.85546875" bestFit="1" customWidth="1"/>
    <col min="2154" max="2154" width="11.28515625" customWidth="1"/>
    <col min="2155" max="2155" width="11.5703125" customWidth="1"/>
    <col min="2156" max="2156" width="13.42578125" bestFit="1" customWidth="1"/>
    <col min="2157" max="2157" width="10.42578125" customWidth="1"/>
    <col min="2158" max="2158" width="13.85546875" bestFit="1" customWidth="1"/>
    <col min="2159" max="2159" width="15.42578125" bestFit="1" customWidth="1"/>
    <col min="2160" max="2160" width="12.28515625" bestFit="1" customWidth="1"/>
    <col min="2161" max="2161" width="12.7109375" customWidth="1"/>
    <col min="2162" max="2162" width="10.7109375" bestFit="1" customWidth="1"/>
    <col min="2163" max="2163" width="9.85546875" customWidth="1"/>
    <col min="2164" max="2165" width="10.140625" bestFit="1" customWidth="1"/>
    <col min="2166" max="2166" width="7.5703125" bestFit="1" customWidth="1"/>
    <col min="2167" max="2167" width="9.42578125" bestFit="1" customWidth="1"/>
    <col min="2168" max="2168" width="14.5703125" bestFit="1" customWidth="1"/>
    <col min="2169" max="2169" width="14.85546875" customWidth="1"/>
    <col min="2170" max="2170" width="15.140625" bestFit="1" customWidth="1"/>
    <col min="2171" max="2171" width="12.140625" bestFit="1" customWidth="1"/>
    <col min="2172" max="2172" width="14.85546875" bestFit="1" customWidth="1"/>
    <col min="2173" max="2173" width="12.28515625" bestFit="1" customWidth="1"/>
    <col min="2174" max="2182" width="9.140625" hidden="1" customWidth="1"/>
    <col min="2183" max="2183" width="5.28515625" bestFit="1" customWidth="1"/>
    <col min="2184" max="2189" width="11.5703125" bestFit="1" customWidth="1"/>
    <col min="2190" max="2190" width="11.28515625" bestFit="1" customWidth="1"/>
    <col min="2191" max="2191" width="10.140625" bestFit="1" customWidth="1"/>
    <col min="2192" max="2192" width="11.5703125" bestFit="1" customWidth="1"/>
    <col min="2193" max="2193" width="16.140625" customWidth="1"/>
    <col min="2194" max="2194" width="13.42578125" customWidth="1"/>
    <col min="2195" max="2195" width="10.140625" bestFit="1" customWidth="1"/>
    <col min="2196" max="2196" width="12.85546875" bestFit="1" customWidth="1"/>
    <col min="2197" max="2197" width="12.28515625" bestFit="1" customWidth="1"/>
    <col min="2198" max="2198" width="11.28515625" bestFit="1" customWidth="1"/>
    <col min="2199" max="2199" width="11.5703125" bestFit="1" customWidth="1"/>
    <col min="2200" max="2200" width="10.85546875" bestFit="1" customWidth="1"/>
    <col min="2201" max="2201" width="11.28515625" bestFit="1" customWidth="1"/>
    <col min="2202" max="2202" width="10.140625" bestFit="1" customWidth="1"/>
    <col min="2203" max="2203" width="13.28515625" bestFit="1" customWidth="1"/>
    <col min="2204" max="2205" width="12.7109375" bestFit="1" customWidth="1"/>
    <col min="2206" max="2206" width="11" bestFit="1" customWidth="1"/>
    <col min="2207" max="2207" width="11.28515625" bestFit="1" customWidth="1"/>
    <col min="2208" max="2208" width="11.5703125" bestFit="1" customWidth="1"/>
    <col min="2209" max="2209" width="12.28515625" bestFit="1" customWidth="1"/>
    <col min="2210" max="2210" width="15.140625" bestFit="1" customWidth="1"/>
    <col min="2211" max="2211" width="14.42578125" bestFit="1" customWidth="1"/>
    <col min="2212" max="2212" width="12.28515625" bestFit="1" customWidth="1"/>
    <col min="2213" max="2213" width="15.140625" bestFit="1" customWidth="1"/>
    <col min="2214" max="2214" width="14.42578125" bestFit="1" customWidth="1"/>
    <col min="2215" max="2215" width="12.28515625" bestFit="1" customWidth="1"/>
    <col min="2216" max="2216" width="14.42578125" bestFit="1" customWidth="1"/>
    <col min="2217" max="2217" width="11.28515625" bestFit="1" customWidth="1"/>
    <col min="2218" max="2218" width="12.28515625" bestFit="1" customWidth="1"/>
    <col min="2219" max="2219" width="13" bestFit="1" customWidth="1"/>
    <col min="2220" max="2220" width="15.140625" bestFit="1" customWidth="1"/>
    <col min="2221" max="2221" width="12.28515625" bestFit="1" customWidth="1"/>
    <col min="2222" max="2222" width="13.85546875" bestFit="1" customWidth="1"/>
    <col min="2223" max="2223" width="11.28515625" bestFit="1" customWidth="1"/>
    <col min="2224" max="2224" width="12.28515625" bestFit="1" customWidth="1"/>
    <col min="2225" max="2225" width="13.85546875" bestFit="1" customWidth="1"/>
    <col min="2226" max="2227" width="15.140625" bestFit="1" customWidth="1"/>
    <col min="2228" max="2228" width="12.28515625" bestFit="1" customWidth="1"/>
    <col min="2229" max="2229" width="5.7109375" bestFit="1" customWidth="1"/>
    <col min="2230" max="2230" width="8.5703125" bestFit="1" customWidth="1"/>
    <col min="2231" max="2231" width="5.5703125" bestFit="1" customWidth="1"/>
    <col min="2232" max="2232" width="14.42578125" bestFit="1" customWidth="1"/>
    <col min="2233" max="2233" width="11.28515625" bestFit="1" customWidth="1"/>
    <col min="2234" max="2235" width="12.28515625" bestFit="1" customWidth="1"/>
    <col min="2236" max="2236" width="11.28515625" bestFit="1" customWidth="1"/>
    <col min="2237" max="2237" width="13.85546875" bestFit="1" customWidth="1"/>
    <col min="2238" max="2238" width="12" bestFit="1" customWidth="1"/>
    <col min="2239" max="2239" width="13.85546875" bestFit="1" customWidth="1"/>
    <col min="2240" max="2241" width="14.42578125" customWidth="1"/>
    <col min="2242" max="2242" width="10.140625" bestFit="1" customWidth="1"/>
    <col min="2243" max="2243" width="12.28515625" bestFit="1" customWidth="1"/>
    <col min="2244" max="2244" width="7.42578125" bestFit="1" customWidth="1"/>
    <col min="2245" max="2245" width="8.5703125" bestFit="1" customWidth="1"/>
    <col min="2246" max="2246" width="11.5703125" bestFit="1" customWidth="1"/>
    <col min="2247" max="2247" width="13.28515625" bestFit="1" customWidth="1"/>
    <col min="2248" max="2248" width="13.28515625" customWidth="1"/>
    <col min="2249" max="2249" width="13.140625" customWidth="1"/>
    <col min="2250" max="2250" width="12.7109375" bestFit="1" customWidth="1"/>
    <col min="2251" max="2251" width="13.28515625" bestFit="1" customWidth="1"/>
    <col min="2252" max="2254" width="13.28515625" customWidth="1"/>
    <col min="2255" max="2255" width="12.140625" bestFit="1" customWidth="1"/>
    <col min="2256" max="2256" width="12.7109375" bestFit="1" customWidth="1"/>
    <col min="2257" max="2257" width="11" customWidth="1"/>
    <col min="2258" max="2258" width="16.7109375" customWidth="1"/>
    <col min="2259" max="2259" width="17" customWidth="1"/>
    <col min="2260" max="2260" width="10.42578125" bestFit="1" customWidth="1"/>
    <col min="2304" max="2304" width="3.85546875" customWidth="1"/>
    <col min="2305" max="2305" width="15.28515625" bestFit="1" customWidth="1"/>
    <col min="2306" max="2306" width="12.28515625" customWidth="1"/>
    <col min="2307" max="2307" width="16.28515625" bestFit="1" customWidth="1"/>
    <col min="2308" max="2308" width="6.42578125" bestFit="1" customWidth="1"/>
    <col min="2309" max="2309" width="9.28515625" bestFit="1" customWidth="1"/>
    <col min="2310" max="2310" width="7.5703125" bestFit="1" customWidth="1"/>
    <col min="2311" max="2311" width="13.28515625" bestFit="1" customWidth="1"/>
    <col min="2312" max="2312" width="9.28515625" bestFit="1" customWidth="1"/>
    <col min="2313" max="2313" width="11.5703125" bestFit="1" customWidth="1"/>
    <col min="2314" max="2314" width="13.28515625" bestFit="1" customWidth="1"/>
    <col min="2315" max="2315" width="7.140625" bestFit="1" customWidth="1"/>
    <col min="2316" max="2316" width="12" bestFit="1" customWidth="1"/>
    <col min="2317" max="2317" width="13.28515625" bestFit="1" customWidth="1"/>
    <col min="2318" max="2318" width="7" bestFit="1" customWidth="1"/>
    <col min="2319" max="2319" width="12.7109375" bestFit="1" customWidth="1"/>
    <col min="2320" max="2320" width="11.5703125" bestFit="1" customWidth="1"/>
    <col min="2321" max="2321" width="10.5703125" bestFit="1" customWidth="1"/>
    <col min="2322" max="2323" width="15.7109375" bestFit="1" customWidth="1"/>
    <col min="2324" max="2324" width="11.5703125" bestFit="1" customWidth="1"/>
    <col min="2325" max="2325" width="7.7109375" bestFit="1" customWidth="1"/>
    <col min="2326" max="2326" width="15.140625" bestFit="1" customWidth="1"/>
    <col min="2327" max="2327" width="11.5703125" bestFit="1" customWidth="1"/>
    <col min="2328" max="2328" width="13.28515625" bestFit="1" customWidth="1"/>
    <col min="2329" max="2329" width="10.42578125" bestFit="1" customWidth="1"/>
    <col min="2330" max="2330" width="13.28515625" bestFit="1" customWidth="1"/>
    <col min="2331" max="2331" width="12.140625" bestFit="1" customWidth="1"/>
    <col min="2332" max="2332" width="14.42578125" bestFit="1" customWidth="1"/>
    <col min="2333" max="2333" width="13.28515625" bestFit="1" customWidth="1"/>
    <col min="2334" max="2334" width="11.5703125" bestFit="1" customWidth="1"/>
    <col min="2335" max="2335" width="7.7109375" bestFit="1" customWidth="1"/>
    <col min="2336" max="2337" width="14.42578125" bestFit="1" customWidth="1"/>
    <col min="2338" max="2338" width="11.5703125" bestFit="1" customWidth="1"/>
    <col min="2339" max="2339" width="7.7109375" bestFit="1" customWidth="1"/>
    <col min="2340" max="2340" width="13.5703125" customWidth="1"/>
    <col min="2341" max="2341" width="15.28515625" customWidth="1"/>
    <col min="2342" max="2342" width="14.5703125" customWidth="1"/>
    <col min="2343" max="2343" width="13.28515625" bestFit="1" customWidth="1"/>
    <col min="2344" max="2344" width="7.7109375" bestFit="1" customWidth="1"/>
    <col min="2345" max="2345" width="12.7109375" bestFit="1" customWidth="1"/>
    <col min="2346" max="2346" width="11.7109375" bestFit="1" customWidth="1"/>
    <col min="2347" max="2347" width="11.5703125" bestFit="1" customWidth="1"/>
    <col min="2348" max="2348" width="5.28515625" bestFit="1" customWidth="1"/>
    <col min="2349" max="2349" width="13.28515625" bestFit="1" customWidth="1"/>
    <col min="2350" max="2350" width="13.5703125" bestFit="1" customWidth="1"/>
    <col min="2351" max="2351" width="10.5703125" bestFit="1" customWidth="1"/>
    <col min="2352" max="2352" width="13.28515625" bestFit="1" customWidth="1"/>
    <col min="2353" max="2353" width="11.5703125" bestFit="1" customWidth="1"/>
    <col min="2354" max="2354" width="10.5703125" bestFit="1" customWidth="1"/>
    <col min="2355" max="2355" width="16.140625" bestFit="1" customWidth="1"/>
    <col min="2356" max="2357" width="11.28515625" bestFit="1" customWidth="1"/>
    <col min="2358" max="2358" width="13.28515625" bestFit="1" customWidth="1"/>
    <col min="2359" max="2359" width="7.7109375" bestFit="1" customWidth="1"/>
    <col min="2360" max="2363" width="9.140625" hidden="1" customWidth="1"/>
    <col min="2364" max="2364" width="10.42578125" bestFit="1" customWidth="1"/>
    <col min="2365" max="2365" width="10.5703125" bestFit="1" customWidth="1"/>
    <col min="2366" max="2366" width="10.42578125" bestFit="1" customWidth="1"/>
    <col min="2367" max="2367" width="10.5703125" bestFit="1" customWidth="1"/>
    <col min="2368" max="2368" width="9.5703125" bestFit="1" customWidth="1"/>
    <col min="2369" max="2369" width="11.5703125" bestFit="1" customWidth="1"/>
    <col min="2370" max="2370" width="10.42578125" bestFit="1" customWidth="1"/>
    <col min="2371" max="2371" width="10.85546875" customWidth="1"/>
    <col min="2372" max="2373" width="9.85546875" bestFit="1" customWidth="1"/>
    <col min="2374" max="2374" width="13.5703125" bestFit="1" customWidth="1"/>
    <col min="2375" max="2375" width="7.7109375" bestFit="1" customWidth="1"/>
    <col min="2376" max="2376" width="13.28515625" bestFit="1" customWidth="1"/>
    <col min="2377" max="2377" width="11.5703125" bestFit="1" customWidth="1"/>
    <col min="2378" max="2378" width="10.42578125" bestFit="1" customWidth="1"/>
    <col min="2379" max="2379" width="7.7109375" bestFit="1" customWidth="1"/>
    <col min="2380" max="2380" width="11.5703125" bestFit="1" customWidth="1"/>
    <col min="2381" max="2381" width="10.85546875" bestFit="1" customWidth="1"/>
    <col min="2382" max="2382" width="13.28515625" bestFit="1" customWidth="1"/>
    <col min="2383" max="2383" width="10.85546875" bestFit="1" customWidth="1"/>
    <col min="2384" max="2385" width="7.5703125" bestFit="1" customWidth="1"/>
    <col min="2386" max="2387" width="10.42578125" bestFit="1" customWidth="1"/>
    <col min="2388" max="2388" width="11.5703125" bestFit="1" customWidth="1"/>
    <col min="2389" max="2389" width="5.28515625" bestFit="1" customWidth="1"/>
    <col min="2390" max="2390" width="10.28515625" bestFit="1" customWidth="1"/>
    <col min="2391" max="2391" width="10.42578125" bestFit="1" customWidth="1"/>
    <col min="2392" max="2392" width="11.5703125" bestFit="1" customWidth="1"/>
    <col min="2393" max="2393" width="5.28515625" bestFit="1" customWidth="1"/>
    <col min="2394" max="2396" width="11.5703125" bestFit="1" customWidth="1"/>
    <col min="2397" max="2397" width="5.28515625" bestFit="1" customWidth="1"/>
    <col min="2398" max="2399" width="10.42578125" bestFit="1" customWidth="1"/>
    <col min="2400" max="2400" width="11.5703125" bestFit="1" customWidth="1"/>
    <col min="2401" max="2401" width="5.28515625" bestFit="1" customWidth="1"/>
    <col min="2402" max="2402" width="14.28515625" bestFit="1" customWidth="1"/>
    <col min="2403" max="2403" width="13" bestFit="1" customWidth="1"/>
    <col min="2404" max="2404" width="11.5703125" bestFit="1" customWidth="1"/>
    <col min="2405" max="2405" width="8.85546875" bestFit="1" customWidth="1"/>
    <col min="2406" max="2406" width="14.42578125" bestFit="1" customWidth="1"/>
    <col min="2407" max="2407" width="10.42578125" bestFit="1" customWidth="1"/>
    <col min="2408" max="2408" width="12.28515625" bestFit="1" customWidth="1"/>
    <col min="2409" max="2409" width="13.85546875" bestFit="1" customWidth="1"/>
    <col min="2410" max="2410" width="11.28515625" customWidth="1"/>
    <col min="2411" max="2411" width="11.5703125" customWidth="1"/>
    <col min="2412" max="2412" width="13.42578125" bestFit="1" customWidth="1"/>
    <col min="2413" max="2413" width="10.42578125" customWidth="1"/>
    <col min="2414" max="2414" width="13.85546875" bestFit="1" customWidth="1"/>
    <col min="2415" max="2415" width="15.42578125" bestFit="1" customWidth="1"/>
    <col min="2416" max="2416" width="12.28515625" bestFit="1" customWidth="1"/>
    <col min="2417" max="2417" width="12.7109375" customWidth="1"/>
    <col min="2418" max="2418" width="10.7109375" bestFit="1" customWidth="1"/>
    <col min="2419" max="2419" width="9.85546875" customWidth="1"/>
    <col min="2420" max="2421" width="10.140625" bestFit="1" customWidth="1"/>
    <col min="2422" max="2422" width="7.5703125" bestFit="1" customWidth="1"/>
    <col min="2423" max="2423" width="9.42578125" bestFit="1" customWidth="1"/>
    <col min="2424" max="2424" width="14.5703125" bestFit="1" customWidth="1"/>
    <col min="2425" max="2425" width="14.85546875" customWidth="1"/>
    <col min="2426" max="2426" width="15.140625" bestFit="1" customWidth="1"/>
    <col min="2427" max="2427" width="12.140625" bestFit="1" customWidth="1"/>
    <col min="2428" max="2428" width="14.85546875" bestFit="1" customWidth="1"/>
    <col min="2429" max="2429" width="12.28515625" bestFit="1" customWidth="1"/>
    <col min="2430" max="2438" width="9.140625" hidden="1" customWidth="1"/>
    <col min="2439" max="2439" width="5.28515625" bestFit="1" customWidth="1"/>
    <col min="2440" max="2445" width="11.5703125" bestFit="1" customWidth="1"/>
    <col min="2446" max="2446" width="11.28515625" bestFit="1" customWidth="1"/>
    <col min="2447" max="2447" width="10.140625" bestFit="1" customWidth="1"/>
    <col min="2448" max="2448" width="11.5703125" bestFit="1" customWidth="1"/>
    <col min="2449" max="2449" width="16.140625" customWidth="1"/>
    <col min="2450" max="2450" width="13.42578125" customWidth="1"/>
    <col min="2451" max="2451" width="10.140625" bestFit="1" customWidth="1"/>
    <col min="2452" max="2452" width="12.85546875" bestFit="1" customWidth="1"/>
    <col min="2453" max="2453" width="12.28515625" bestFit="1" customWidth="1"/>
    <col min="2454" max="2454" width="11.28515625" bestFit="1" customWidth="1"/>
    <col min="2455" max="2455" width="11.5703125" bestFit="1" customWidth="1"/>
    <col min="2456" max="2456" width="10.85546875" bestFit="1" customWidth="1"/>
    <col min="2457" max="2457" width="11.28515625" bestFit="1" customWidth="1"/>
    <col min="2458" max="2458" width="10.140625" bestFit="1" customWidth="1"/>
    <col min="2459" max="2459" width="13.28515625" bestFit="1" customWidth="1"/>
    <col min="2460" max="2461" width="12.7109375" bestFit="1" customWidth="1"/>
    <col min="2462" max="2462" width="11" bestFit="1" customWidth="1"/>
    <col min="2463" max="2463" width="11.28515625" bestFit="1" customWidth="1"/>
    <col min="2464" max="2464" width="11.5703125" bestFit="1" customWidth="1"/>
    <col min="2465" max="2465" width="12.28515625" bestFit="1" customWidth="1"/>
    <col min="2466" max="2466" width="15.140625" bestFit="1" customWidth="1"/>
    <col min="2467" max="2467" width="14.42578125" bestFit="1" customWidth="1"/>
    <col min="2468" max="2468" width="12.28515625" bestFit="1" customWidth="1"/>
    <col min="2469" max="2469" width="15.140625" bestFit="1" customWidth="1"/>
    <col min="2470" max="2470" width="14.42578125" bestFit="1" customWidth="1"/>
    <col min="2471" max="2471" width="12.28515625" bestFit="1" customWidth="1"/>
    <col min="2472" max="2472" width="14.42578125" bestFit="1" customWidth="1"/>
    <col min="2473" max="2473" width="11.28515625" bestFit="1" customWidth="1"/>
    <col min="2474" max="2474" width="12.28515625" bestFit="1" customWidth="1"/>
    <col min="2475" max="2475" width="13" bestFit="1" customWidth="1"/>
    <col min="2476" max="2476" width="15.140625" bestFit="1" customWidth="1"/>
    <col min="2477" max="2477" width="12.28515625" bestFit="1" customWidth="1"/>
    <col min="2478" max="2478" width="13.85546875" bestFit="1" customWidth="1"/>
    <col min="2479" max="2479" width="11.28515625" bestFit="1" customWidth="1"/>
    <col min="2480" max="2480" width="12.28515625" bestFit="1" customWidth="1"/>
    <col min="2481" max="2481" width="13.85546875" bestFit="1" customWidth="1"/>
    <col min="2482" max="2483" width="15.140625" bestFit="1" customWidth="1"/>
    <col min="2484" max="2484" width="12.28515625" bestFit="1" customWidth="1"/>
    <col min="2485" max="2485" width="5.7109375" bestFit="1" customWidth="1"/>
    <col min="2486" max="2486" width="8.5703125" bestFit="1" customWidth="1"/>
    <col min="2487" max="2487" width="5.5703125" bestFit="1" customWidth="1"/>
    <col min="2488" max="2488" width="14.42578125" bestFit="1" customWidth="1"/>
    <col min="2489" max="2489" width="11.28515625" bestFit="1" customWidth="1"/>
    <col min="2490" max="2491" width="12.28515625" bestFit="1" customWidth="1"/>
    <col min="2492" max="2492" width="11.28515625" bestFit="1" customWidth="1"/>
    <col min="2493" max="2493" width="13.85546875" bestFit="1" customWidth="1"/>
    <col min="2494" max="2494" width="12" bestFit="1" customWidth="1"/>
    <col min="2495" max="2495" width="13.85546875" bestFit="1" customWidth="1"/>
    <col min="2496" max="2497" width="14.42578125" customWidth="1"/>
    <col min="2498" max="2498" width="10.140625" bestFit="1" customWidth="1"/>
    <col min="2499" max="2499" width="12.28515625" bestFit="1" customWidth="1"/>
    <col min="2500" max="2500" width="7.42578125" bestFit="1" customWidth="1"/>
    <col min="2501" max="2501" width="8.5703125" bestFit="1" customWidth="1"/>
    <col min="2502" max="2502" width="11.5703125" bestFit="1" customWidth="1"/>
    <col min="2503" max="2503" width="13.28515625" bestFit="1" customWidth="1"/>
    <col min="2504" max="2504" width="13.28515625" customWidth="1"/>
    <col min="2505" max="2505" width="13.140625" customWidth="1"/>
    <col min="2506" max="2506" width="12.7109375" bestFit="1" customWidth="1"/>
    <col min="2507" max="2507" width="13.28515625" bestFit="1" customWidth="1"/>
    <col min="2508" max="2510" width="13.28515625" customWidth="1"/>
    <col min="2511" max="2511" width="12.140625" bestFit="1" customWidth="1"/>
    <col min="2512" max="2512" width="12.7109375" bestFit="1" customWidth="1"/>
    <col min="2513" max="2513" width="11" customWidth="1"/>
    <col min="2514" max="2514" width="16.7109375" customWidth="1"/>
    <col min="2515" max="2515" width="17" customWidth="1"/>
    <col min="2516" max="2516" width="10.42578125" bestFit="1" customWidth="1"/>
    <col min="2560" max="2560" width="3.85546875" customWidth="1"/>
    <col min="2561" max="2561" width="15.28515625" bestFit="1" customWidth="1"/>
    <col min="2562" max="2562" width="12.28515625" customWidth="1"/>
    <col min="2563" max="2563" width="16.28515625" bestFit="1" customWidth="1"/>
    <col min="2564" max="2564" width="6.42578125" bestFit="1" customWidth="1"/>
    <col min="2565" max="2565" width="9.28515625" bestFit="1" customWidth="1"/>
    <col min="2566" max="2566" width="7.5703125" bestFit="1" customWidth="1"/>
    <col min="2567" max="2567" width="13.28515625" bestFit="1" customWidth="1"/>
    <col min="2568" max="2568" width="9.28515625" bestFit="1" customWidth="1"/>
    <col min="2569" max="2569" width="11.5703125" bestFit="1" customWidth="1"/>
    <col min="2570" max="2570" width="13.28515625" bestFit="1" customWidth="1"/>
    <col min="2571" max="2571" width="7.140625" bestFit="1" customWidth="1"/>
    <col min="2572" max="2572" width="12" bestFit="1" customWidth="1"/>
    <col min="2573" max="2573" width="13.28515625" bestFit="1" customWidth="1"/>
    <col min="2574" max="2574" width="7" bestFit="1" customWidth="1"/>
    <col min="2575" max="2575" width="12.7109375" bestFit="1" customWidth="1"/>
    <col min="2576" max="2576" width="11.5703125" bestFit="1" customWidth="1"/>
    <col min="2577" max="2577" width="10.5703125" bestFit="1" customWidth="1"/>
    <col min="2578" max="2579" width="15.7109375" bestFit="1" customWidth="1"/>
    <col min="2580" max="2580" width="11.5703125" bestFit="1" customWidth="1"/>
    <col min="2581" max="2581" width="7.7109375" bestFit="1" customWidth="1"/>
    <col min="2582" max="2582" width="15.140625" bestFit="1" customWidth="1"/>
    <col min="2583" max="2583" width="11.5703125" bestFit="1" customWidth="1"/>
    <col min="2584" max="2584" width="13.28515625" bestFit="1" customWidth="1"/>
    <col min="2585" max="2585" width="10.42578125" bestFit="1" customWidth="1"/>
    <col min="2586" max="2586" width="13.28515625" bestFit="1" customWidth="1"/>
    <col min="2587" max="2587" width="12.140625" bestFit="1" customWidth="1"/>
    <col min="2588" max="2588" width="14.42578125" bestFit="1" customWidth="1"/>
    <col min="2589" max="2589" width="13.28515625" bestFit="1" customWidth="1"/>
    <col min="2590" max="2590" width="11.5703125" bestFit="1" customWidth="1"/>
    <col min="2591" max="2591" width="7.7109375" bestFit="1" customWidth="1"/>
    <col min="2592" max="2593" width="14.42578125" bestFit="1" customWidth="1"/>
    <col min="2594" max="2594" width="11.5703125" bestFit="1" customWidth="1"/>
    <col min="2595" max="2595" width="7.7109375" bestFit="1" customWidth="1"/>
    <col min="2596" max="2596" width="13.5703125" customWidth="1"/>
    <col min="2597" max="2597" width="15.28515625" customWidth="1"/>
    <col min="2598" max="2598" width="14.5703125" customWidth="1"/>
    <col min="2599" max="2599" width="13.28515625" bestFit="1" customWidth="1"/>
    <col min="2600" max="2600" width="7.7109375" bestFit="1" customWidth="1"/>
    <col min="2601" max="2601" width="12.7109375" bestFit="1" customWidth="1"/>
    <col min="2602" max="2602" width="11.7109375" bestFit="1" customWidth="1"/>
    <col min="2603" max="2603" width="11.5703125" bestFit="1" customWidth="1"/>
    <col min="2604" max="2604" width="5.28515625" bestFit="1" customWidth="1"/>
    <col min="2605" max="2605" width="13.28515625" bestFit="1" customWidth="1"/>
    <col min="2606" max="2606" width="13.5703125" bestFit="1" customWidth="1"/>
    <col min="2607" max="2607" width="10.5703125" bestFit="1" customWidth="1"/>
    <col min="2608" max="2608" width="13.28515625" bestFit="1" customWidth="1"/>
    <col min="2609" max="2609" width="11.5703125" bestFit="1" customWidth="1"/>
    <col min="2610" max="2610" width="10.5703125" bestFit="1" customWidth="1"/>
    <col min="2611" max="2611" width="16.140625" bestFit="1" customWidth="1"/>
    <col min="2612" max="2613" width="11.28515625" bestFit="1" customWidth="1"/>
    <col min="2614" max="2614" width="13.28515625" bestFit="1" customWidth="1"/>
    <col min="2615" max="2615" width="7.7109375" bestFit="1" customWidth="1"/>
    <col min="2616" max="2619" width="9.140625" hidden="1" customWidth="1"/>
    <col min="2620" max="2620" width="10.42578125" bestFit="1" customWidth="1"/>
    <col min="2621" max="2621" width="10.5703125" bestFit="1" customWidth="1"/>
    <col min="2622" max="2622" width="10.42578125" bestFit="1" customWidth="1"/>
    <col min="2623" max="2623" width="10.5703125" bestFit="1" customWidth="1"/>
    <col min="2624" max="2624" width="9.5703125" bestFit="1" customWidth="1"/>
    <col min="2625" max="2625" width="11.5703125" bestFit="1" customWidth="1"/>
    <col min="2626" max="2626" width="10.42578125" bestFit="1" customWidth="1"/>
    <col min="2627" max="2627" width="10.85546875" customWidth="1"/>
    <col min="2628" max="2629" width="9.85546875" bestFit="1" customWidth="1"/>
    <col min="2630" max="2630" width="13.5703125" bestFit="1" customWidth="1"/>
    <col min="2631" max="2631" width="7.7109375" bestFit="1" customWidth="1"/>
    <col min="2632" max="2632" width="13.28515625" bestFit="1" customWidth="1"/>
    <col min="2633" max="2633" width="11.5703125" bestFit="1" customWidth="1"/>
    <col min="2634" max="2634" width="10.42578125" bestFit="1" customWidth="1"/>
    <col min="2635" max="2635" width="7.7109375" bestFit="1" customWidth="1"/>
    <col min="2636" max="2636" width="11.5703125" bestFit="1" customWidth="1"/>
    <col min="2637" max="2637" width="10.85546875" bestFit="1" customWidth="1"/>
    <col min="2638" max="2638" width="13.28515625" bestFit="1" customWidth="1"/>
    <col min="2639" max="2639" width="10.85546875" bestFit="1" customWidth="1"/>
    <col min="2640" max="2641" width="7.5703125" bestFit="1" customWidth="1"/>
    <col min="2642" max="2643" width="10.42578125" bestFit="1" customWidth="1"/>
    <col min="2644" max="2644" width="11.5703125" bestFit="1" customWidth="1"/>
    <col min="2645" max="2645" width="5.28515625" bestFit="1" customWidth="1"/>
    <col min="2646" max="2646" width="10.28515625" bestFit="1" customWidth="1"/>
    <col min="2647" max="2647" width="10.42578125" bestFit="1" customWidth="1"/>
    <col min="2648" max="2648" width="11.5703125" bestFit="1" customWidth="1"/>
    <col min="2649" max="2649" width="5.28515625" bestFit="1" customWidth="1"/>
    <col min="2650" max="2652" width="11.5703125" bestFit="1" customWidth="1"/>
    <col min="2653" max="2653" width="5.28515625" bestFit="1" customWidth="1"/>
    <col min="2654" max="2655" width="10.42578125" bestFit="1" customWidth="1"/>
    <col min="2656" max="2656" width="11.5703125" bestFit="1" customWidth="1"/>
    <col min="2657" max="2657" width="5.28515625" bestFit="1" customWidth="1"/>
    <col min="2658" max="2658" width="14.28515625" bestFit="1" customWidth="1"/>
    <col min="2659" max="2659" width="13" bestFit="1" customWidth="1"/>
    <col min="2660" max="2660" width="11.5703125" bestFit="1" customWidth="1"/>
    <col min="2661" max="2661" width="8.85546875" bestFit="1" customWidth="1"/>
    <col min="2662" max="2662" width="14.42578125" bestFit="1" customWidth="1"/>
    <col min="2663" max="2663" width="10.42578125" bestFit="1" customWidth="1"/>
    <col min="2664" max="2664" width="12.28515625" bestFit="1" customWidth="1"/>
    <col min="2665" max="2665" width="13.85546875" bestFit="1" customWidth="1"/>
    <col min="2666" max="2666" width="11.28515625" customWidth="1"/>
    <col min="2667" max="2667" width="11.5703125" customWidth="1"/>
    <col min="2668" max="2668" width="13.42578125" bestFit="1" customWidth="1"/>
    <col min="2669" max="2669" width="10.42578125" customWidth="1"/>
    <col min="2670" max="2670" width="13.85546875" bestFit="1" customWidth="1"/>
    <col min="2671" max="2671" width="15.42578125" bestFit="1" customWidth="1"/>
    <col min="2672" max="2672" width="12.28515625" bestFit="1" customWidth="1"/>
    <col min="2673" max="2673" width="12.7109375" customWidth="1"/>
    <col min="2674" max="2674" width="10.7109375" bestFit="1" customWidth="1"/>
    <col min="2675" max="2675" width="9.85546875" customWidth="1"/>
    <col min="2676" max="2677" width="10.140625" bestFit="1" customWidth="1"/>
    <col min="2678" max="2678" width="7.5703125" bestFit="1" customWidth="1"/>
    <col min="2679" max="2679" width="9.42578125" bestFit="1" customWidth="1"/>
    <col min="2680" max="2680" width="14.5703125" bestFit="1" customWidth="1"/>
    <col min="2681" max="2681" width="14.85546875" customWidth="1"/>
    <col min="2682" max="2682" width="15.140625" bestFit="1" customWidth="1"/>
    <col min="2683" max="2683" width="12.140625" bestFit="1" customWidth="1"/>
    <col min="2684" max="2684" width="14.85546875" bestFit="1" customWidth="1"/>
    <col min="2685" max="2685" width="12.28515625" bestFit="1" customWidth="1"/>
    <col min="2686" max="2694" width="9.140625" hidden="1" customWidth="1"/>
    <col min="2695" max="2695" width="5.28515625" bestFit="1" customWidth="1"/>
    <col min="2696" max="2701" width="11.5703125" bestFit="1" customWidth="1"/>
    <col min="2702" max="2702" width="11.28515625" bestFit="1" customWidth="1"/>
    <col min="2703" max="2703" width="10.140625" bestFit="1" customWidth="1"/>
    <col min="2704" max="2704" width="11.5703125" bestFit="1" customWidth="1"/>
    <col min="2705" max="2705" width="16.140625" customWidth="1"/>
    <col min="2706" max="2706" width="13.42578125" customWidth="1"/>
    <col min="2707" max="2707" width="10.140625" bestFit="1" customWidth="1"/>
    <col min="2708" max="2708" width="12.85546875" bestFit="1" customWidth="1"/>
    <col min="2709" max="2709" width="12.28515625" bestFit="1" customWidth="1"/>
    <col min="2710" max="2710" width="11.28515625" bestFit="1" customWidth="1"/>
    <col min="2711" max="2711" width="11.5703125" bestFit="1" customWidth="1"/>
    <col min="2712" max="2712" width="10.85546875" bestFit="1" customWidth="1"/>
    <col min="2713" max="2713" width="11.28515625" bestFit="1" customWidth="1"/>
    <col min="2714" max="2714" width="10.140625" bestFit="1" customWidth="1"/>
    <col min="2715" max="2715" width="13.28515625" bestFit="1" customWidth="1"/>
    <col min="2716" max="2717" width="12.7109375" bestFit="1" customWidth="1"/>
    <col min="2718" max="2718" width="11" bestFit="1" customWidth="1"/>
    <col min="2719" max="2719" width="11.28515625" bestFit="1" customWidth="1"/>
    <col min="2720" max="2720" width="11.5703125" bestFit="1" customWidth="1"/>
    <col min="2721" max="2721" width="12.28515625" bestFit="1" customWidth="1"/>
    <col min="2722" max="2722" width="15.140625" bestFit="1" customWidth="1"/>
    <col min="2723" max="2723" width="14.42578125" bestFit="1" customWidth="1"/>
    <col min="2724" max="2724" width="12.28515625" bestFit="1" customWidth="1"/>
    <col min="2725" max="2725" width="15.140625" bestFit="1" customWidth="1"/>
    <col min="2726" max="2726" width="14.42578125" bestFit="1" customWidth="1"/>
    <col min="2727" max="2727" width="12.28515625" bestFit="1" customWidth="1"/>
    <col min="2728" max="2728" width="14.42578125" bestFit="1" customWidth="1"/>
    <col min="2729" max="2729" width="11.28515625" bestFit="1" customWidth="1"/>
    <col min="2730" max="2730" width="12.28515625" bestFit="1" customWidth="1"/>
    <col min="2731" max="2731" width="13" bestFit="1" customWidth="1"/>
    <col min="2732" max="2732" width="15.140625" bestFit="1" customWidth="1"/>
    <col min="2733" max="2733" width="12.28515625" bestFit="1" customWidth="1"/>
    <col min="2734" max="2734" width="13.85546875" bestFit="1" customWidth="1"/>
    <col min="2735" max="2735" width="11.28515625" bestFit="1" customWidth="1"/>
    <col min="2736" max="2736" width="12.28515625" bestFit="1" customWidth="1"/>
    <col min="2737" max="2737" width="13.85546875" bestFit="1" customWidth="1"/>
    <col min="2738" max="2739" width="15.140625" bestFit="1" customWidth="1"/>
    <col min="2740" max="2740" width="12.28515625" bestFit="1" customWidth="1"/>
    <col min="2741" max="2741" width="5.7109375" bestFit="1" customWidth="1"/>
    <col min="2742" max="2742" width="8.5703125" bestFit="1" customWidth="1"/>
    <col min="2743" max="2743" width="5.5703125" bestFit="1" customWidth="1"/>
    <col min="2744" max="2744" width="14.42578125" bestFit="1" customWidth="1"/>
    <col min="2745" max="2745" width="11.28515625" bestFit="1" customWidth="1"/>
    <col min="2746" max="2747" width="12.28515625" bestFit="1" customWidth="1"/>
    <col min="2748" max="2748" width="11.28515625" bestFit="1" customWidth="1"/>
    <col min="2749" max="2749" width="13.85546875" bestFit="1" customWidth="1"/>
    <col min="2750" max="2750" width="12" bestFit="1" customWidth="1"/>
    <col min="2751" max="2751" width="13.85546875" bestFit="1" customWidth="1"/>
    <col min="2752" max="2753" width="14.42578125" customWidth="1"/>
    <col min="2754" max="2754" width="10.140625" bestFit="1" customWidth="1"/>
    <col min="2755" max="2755" width="12.28515625" bestFit="1" customWidth="1"/>
    <col min="2756" max="2756" width="7.42578125" bestFit="1" customWidth="1"/>
    <col min="2757" max="2757" width="8.5703125" bestFit="1" customWidth="1"/>
    <col min="2758" max="2758" width="11.5703125" bestFit="1" customWidth="1"/>
    <col min="2759" max="2759" width="13.28515625" bestFit="1" customWidth="1"/>
    <col min="2760" max="2760" width="13.28515625" customWidth="1"/>
    <col min="2761" max="2761" width="13.140625" customWidth="1"/>
    <col min="2762" max="2762" width="12.7109375" bestFit="1" customWidth="1"/>
    <col min="2763" max="2763" width="13.28515625" bestFit="1" customWidth="1"/>
    <col min="2764" max="2766" width="13.28515625" customWidth="1"/>
    <col min="2767" max="2767" width="12.140625" bestFit="1" customWidth="1"/>
    <col min="2768" max="2768" width="12.7109375" bestFit="1" customWidth="1"/>
    <col min="2769" max="2769" width="11" customWidth="1"/>
    <col min="2770" max="2770" width="16.7109375" customWidth="1"/>
    <col min="2771" max="2771" width="17" customWidth="1"/>
    <col min="2772" max="2772" width="10.42578125" bestFit="1" customWidth="1"/>
    <col min="2816" max="2816" width="3.85546875" customWidth="1"/>
    <col min="2817" max="2817" width="15.28515625" bestFit="1" customWidth="1"/>
    <col min="2818" max="2818" width="12.28515625" customWidth="1"/>
    <col min="2819" max="2819" width="16.28515625" bestFit="1" customWidth="1"/>
    <col min="2820" max="2820" width="6.42578125" bestFit="1" customWidth="1"/>
    <col min="2821" max="2821" width="9.28515625" bestFit="1" customWidth="1"/>
    <col min="2822" max="2822" width="7.5703125" bestFit="1" customWidth="1"/>
    <col min="2823" max="2823" width="13.28515625" bestFit="1" customWidth="1"/>
    <col min="2824" max="2824" width="9.28515625" bestFit="1" customWidth="1"/>
    <col min="2825" max="2825" width="11.5703125" bestFit="1" customWidth="1"/>
    <col min="2826" max="2826" width="13.28515625" bestFit="1" customWidth="1"/>
    <col min="2827" max="2827" width="7.140625" bestFit="1" customWidth="1"/>
    <col min="2828" max="2828" width="12" bestFit="1" customWidth="1"/>
    <col min="2829" max="2829" width="13.28515625" bestFit="1" customWidth="1"/>
    <col min="2830" max="2830" width="7" bestFit="1" customWidth="1"/>
    <col min="2831" max="2831" width="12.7109375" bestFit="1" customWidth="1"/>
    <col min="2832" max="2832" width="11.5703125" bestFit="1" customWidth="1"/>
    <col min="2833" max="2833" width="10.5703125" bestFit="1" customWidth="1"/>
    <col min="2834" max="2835" width="15.7109375" bestFit="1" customWidth="1"/>
    <col min="2836" max="2836" width="11.5703125" bestFit="1" customWidth="1"/>
    <col min="2837" max="2837" width="7.7109375" bestFit="1" customWidth="1"/>
    <col min="2838" max="2838" width="15.140625" bestFit="1" customWidth="1"/>
    <col min="2839" max="2839" width="11.5703125" bestFit="1" customWidth="1"/>
    <col min="2840" max="2840" width="13.28515625" bestFit="1" customWidth="1"/>
    <col min="2841" max="2841" width="10.42578125" bestFit="1" customWidth="1"/>
    <col min="2842" max="2842" width="13.28515625" bestFit="1" customWidth="1"/>
    <col min="2843" max="2843" width="12.140625" bestFit="1" customWidth="1"/>
    <col min="2844" max="2844" width="14.42578125" bestFit="1" customWidth="1"/>
    <col min="2845" max="2845" width="13.28515625" bestFit="1" customWidth="1"/>
    <col min="2846" max="2846" width="11.5703125" bestFit="1" customWidth="1"/>
    <col min="2847" max="2847" width="7.7109375" bestFit="1" customWidth="1"/>
    <col min="2848" max="2849" width="14.42578125" bestFit="1" customWidth="1"/>
    <col min="2850" max="2850" width="11.5703125" bestFit="1" customWidth="1"/>
    <col min="2851" max="2851" width="7.7109375" bestFit="1" customWidth="1"/>
    <col min="2852" max="2852" width="13.5703125" customWidth="1"/>
    <col min="2853" max="2853" width="15.28515625" customWidth="1"/>
    <col min="2854" max="2854" width="14.5703125" customWidth="1"/>
    <col min="2855" max="2855" width="13.28515625" bestFit="1" customWidth="1"/>
    <col min="2856" max="2856" width="7.7109375" bestFit="1" customWidth="1"/>
    <col min="2857" max="2857" width="12.7109375" bestFit="1" customWidth="1"/>
    <col min="2858" max="2858" width="11.7109375" bestFit="1" customWidth="1"/>
    <col min="2859" max="2859" width="11.5703125" bestFit="1" customWidth="1"/>
    <col min="2860" max="2860" width="5.28515625" bestFit="1" customWidth="1"/>
    <col min="2861" max="2861" width="13.28515625" bestFit="1" customWidth="1"/>
    <col min="2862" max="2862" width="13.5703125" bestFit="1" customWidth="1"/>
    <col min="2863" max="2863" width="10.5703125" bestFit="1" customWidth="1"/>
    <col min="2864" max="2864" width="13.28515625" bestFit="1" customWidth="1"/>
    <col min="2865" max="2865" width="11.5703125" bestFit="1" customWidth="1"/>
    <col min="2866" max="2866" width="10.5703125" bestFit="1" customWidth="1"/>
    <col min="2867" max="2867" width="16.140625" bestFit="1" customWidth="1"/>
    <col min="2868" max="2869" width="11.28515625" bestFit="1" customWidth="1"/>
    <col min="2870" max="2870" width="13.28515625" bestFit="1" customWidth="1"/>
    <col min="2871" max="2871" width="7.7109375" bestFit="1" customWidth="1"/>
    <col min="2872" max="2875" width="9.140625" hidden="1" customWidth="1"/>
    <col min="2876" max="2876" width="10.42578125" bestFit="1" customWidth="1"/>
    <col min="2877" max="2877" width="10.5703125" bestFit="1" customWidth="1"/>
    <col min="2878" max="2878" width="10.42578125" bestFit="1" customWidth="1"/>
    <col min="2879" max="2879" width="10.5703125" bestFit="1" customWidth="1"/>
    <col min="2880" max="2880" width="9.5703125" bestFit="1" customWidth="1"/>
    <col min="2881" max="2881" width="11.5703125" bestFit="1" customWidth="1"/>
    <col min="2882" max="2882" width="10.42578125" bestFit="1" customWidth="1"/>
    <col min="2883" max="2883" width="10.85546875" customWidth="1"/>
    <col min="2884" max="2885" width="9.85546875" bestFit="1" customWidth="1"/>
    <col min="2886" max="2886" width="13.5703125" bestFit="1" customWidth="1"/>
    <col min="2887" max="2887" width="7.7109375" bestFit="1" customWidth="1"/>
    <col min="2888" max="2888" width="13.28515625" bestFit="1" customWidth="1"/>
    <col min="2889" max="2889" width="11.5703125" bestFit="1" customWidth="1"/>
    <col min="2890" max="2890" width="10.42578125" bestFit="1" customWidth="1"/>
    <col min="2891" max="2891" width="7.7109375" bestFit="1" customWidth="1"/>
    <col min="2892" max="2892" width="11.5703125" bestFit="1" customWidth="1"/>
    <col min="2893" max="2893" width="10.85546875" bestFit="1" customWidth="1"/>
    <col min="2894" max="2894" width="13.28515625" bestFit="1" customWidth="1"/>
    <col min="2895" max="2895" width="10.85546875" bestFit="1" customWidth="1"/>
    <col min="2896" max="2897" width="7.5703125" bestFit="1" customWidth="1"/>
    <col min="2898" max="2899" width="10.42578125" bestFit="1" customWidth="1"/>
    <col min="2900" max="2900" width="11.5703125" bestFit="1" customWidth="1"/>
    <col min="2901" max="2901" width="5.28515625" bestFit="1" customWidth="1"/>
    <col min="2902" max="2902" width="10.28515625" bestFit="1" customWidth="1"/>
    <col min="2903" max="2903" width="10.42578125" bestFit="1" customWidth="1"/>
    <col min="2904" max="2904" width="11.5703125" bestFit="1" customWidth="1"/>
    <col min="2905" max="2905" width="5.28515625" bestFit="1" customWidth="1"/>
    <col min="2906" max="2908" width="11.5703125" bestFit="1" customWidth="1"/>
    <col min="2909" max="2909" width="5.28515625" bestFit="1" customWidth="1"/>
    <col min="2910" max="2911" width="10.42578125" bestFit="1" customWidth="1"/>
    <col min="2912" max="2912" width="11.5703125" bestFit="1" customWidth="1"/>
    <col min="2913" max="2913" width="5.28515625" bestFit="1" customWidth="1"/>
    <col min="2914" max="2914" width="14.28515625" bestFit="1" customWidth="1"/>
    <col min="2915" max="2915" width="13" bestFit="1" customWidth="1"/>
    <col min="2916" max="2916" width="11.5703125" bestFit="1" customWidth="1"/>
    <col min="2917" max="2917" width="8.85546875" bestFit="1" customWidth="1"/>
    <col min="2918" max="2918" width="14.42578125" bestFit="1" customWidth="1"/>
    <col min="2919" max="2919" width="10.42578125" bestFit="1" customWidth="1"/>
    <col min="2920" max="2920" width="12.28515625" bestFit="1" customWidth="1"/>
    <col min="2921" max="2921" width="13.85546875" bestFit="1" customWidth="1"/>
    <col min="2922" max="2922" width="11.28515625" customWidth="1"/>
    <col min="2923" max="2923" width="11.5703125" customWidth="1"/>
    <col min="2924" max="2924" width="13.42578125" bestFit="1" customWidth="1"/>
    <col min="2925" max="2925" width="10.42578125" customWidth="1"/>
    <col min="2926" max="2926" width="13.85546875" bestFit="1" customWidth="1"/>
    <col min="2927" max="2927" width="15.42578125" bestFit="1" customWidth="1"/>
    <col min="2928" max="2928" width="12.28515625" bestFit="1" customWidth="1"/>
    <col min="2929" max="2929" width="12.7109375" customWidth="1"/>
    <col min="2930" max="2930" width="10.7109375" bestFit="1" customWidth="1"/>
    <col min="2931" max="2931" width="9.85546875" customWidth="1"/>
    <col min="2932" max="2933" width="10.140625" bestFit="1" customWidth="1"/>
    <col min="2934" max="2934" width="7.5703125" bestFit="1" customWidth="1"/>
    <col min="2935" max="2935" width="9.42578125" bestFit="1" customWidth="1"/>
    <col min="2936" max="2936" width="14.5703125" bestFit="1" customWidth="1"/>
    <col min="2937" max="2937" width="14.85546875" customWidth="1"/>
    <col min="2938" max="2938" width="15.140625" bestFit="1" customWidth="1"/>
    <col min="2939" max="2939" width="12.140625" bestFit="1" customWidth="1"/>
    <col min="2940" max="2940" width="14.85546875" bestFit="1" customWidth="1"/>
    <col min="2941" max="2941" width="12.28515625" bestFit="1" customWidth="1"/>
    <col min="2942" max="2950" width="9.140625" hidden="1" customWidth="1"/>
    <col min="2951" max="2951" width="5.28515625" bestFit="1" customWidth="1"/>
    <col min="2952" max="2957" width="11.5703125" bestFit="1" customWidth="1"/>
    <col min="2958" max="2958" width="11.28515625" bestFit="1" customWidth="1"/>
    <col min="2959" max="2959" width="10.140625" bestFit="1" customWidth="1"/>
    <col min="2960" max="2960" width="11.5703125" bestFit="1" customWidth="1"/>
    <col min="2961" max="2961" width="16.140625" customWidth="1"/>
    <col min="2962" max="2962" width="13.42578125" customWidth="1"/>
    <col min="2963" max="2963" width="10.140625" bestFit="1" customWidth="1"/>
    <col min="2964" max="2964" width="12.85546875" bestFit="1" customWidth="1"/>
    <col min="2965" max="2965" width="12.28515625" bestFit="1" customWidth="1"/>
    <col min="2966" max="2966" width="11.28515625" bestFit="1" customWidth="1"/>
    <col min="2967" max="2967" width="11.5703125" bestFit="1" customWidth="1"/>
    <col min="2968" max="2968" width="10.85546875" bestFit="1" customWidth="1"/>
    <col min="2969" max="2969" width="11.28515625" bestFit="1" customWidth="1"/>
    <col min="2970" max="2970" width="10.140625" bestFit="1" customWidth="1"/>
    <col min="2971" max="2971" width="13.28515625" bestFit="1" customWidth="1"/>
    <col min="2972" max="2973" width="12.7109375" bestFit="1" customWidth="1"/>
    <col min="2974" max="2974" width="11" bestFit="1" customWidth="1"/>
    <col min="2975" max="2975" width="11.28515625" bestFit="1" customWidth="1"/>
    <col min="2976" max="2976" width="11.5703125" bestFit="1" customWidth="1"/>
    <col min="2977" max="2977" width="12.28515625" bestFit="1" customWidth="1"/>
    <col min="2978" max="2978" width="15.140625" bestFit="1" customWidth="1"/>
    <col min="2979" max="2979" width="14.42578125" bestFit="1" customWidth="1"/>
    <col min="2980" max="2980" width="12.28515625" bestFit="1" customWidth="1"/>
    <col min="2981" max="2981" width="15.140625" bestFit="1" customWidth="1"/>
    <col min="2982" max="2982" width="14.42578125" bestFit="1" customWidth="1"/>
    <col min="2983" max="2983" width="12.28515625" bestFit="1" customWidth="1"/>
    <col min="2984" max="2984" width="14.42578125" bestFit="1" customWidth="1"/>
    <col min="2985" max="2985" width="11.28515625" bestFit="1" customWidth="1"/>
    <col min="2986" max="2986" width="12.28515625" bestFit="1" customWidth="1"/>
    <col min="2987" max="2987" width="13" bestFit="1" customWidth="1"/>
    <col min="2988" max="2988" width="15.140625" bestFit="1" customWidth="1"/>
    <col min="2989" max="2989" width="12.28515625" bestFit="1" customWidth="1"/>
    <col min="2990" max="2990" width="13.85546875" bestFit="1" customWidth="1"/>
    <col min="2991" max="2991" width="11.28515625" bestFit="1" customWidth="1"/>
    <col min="2992" max="2992" width="12.28515625" bestFit="1" customWidth="1"/>
    <col min="2993" max="2993" width="13.85546875" bestFit="1" customWidth="1"/>
    <col min="2994" max="2995" width="15.140625" bestFit="1" customWidth="1"/>
    <col min="2996" max="2996" width="12.28515625" bestFit="1" customWidth="1"/>
    <col min="2997" max="2997" width="5.7109375" bestFit="1" customWidth="1"/>
    <col min="2998" max="2998" width="8.5703125" bestFit="1" customWidth="1"/>
    <col min="2999" max="2999" width="5.5703125" bestFit="1" customWidth="1"/>
    <col min="3000" max="3000" width="14.42578125" bestFit="1" customWidth="1"/>
    <col min="3001" max="3001" width="11.28515625" bestFit="1" customWidth="1"/>
    <col min="3002" max="3003" width="12.28515625" bestFit="1" customWidth="1"/>
    <col min="3004" max="3004" width="11.28515625" bestFit="1" customWidth="1"/>
    <col min="3005" max="3005" width="13.85546875" bestFit="1" customWidth="1"/>
    <col min="3006" max="3006" width="12" bestFit="1" customWidth="1"/>
    <col min="3007" max="3007" width="13.85546875" bestFit="1" customWidth="1"/>
    <col min="3008" max="3009" width="14.42578125" customWidth="1"/>
    <col min="3010" max="3010" width="10.140625" bestFit="1" customWidth="1"/>
    <col min="3011" max="3011" width="12.28515625" bestFit="1" customWidth="1"/>
    <col min="3012" max="3012" width="7.42578125" bestFit="1" customWidth="1"/>
    <col min="3013" max="3013" width="8.5703125" bestFit="1" customWidth="1"/>
    <col min="3014" max="3014" width="11.5703125" bestFit="1" customWidth="1"/>
    <col min="3015" max="3015" width="13.28515625" bestFit="1" customWidth="1"/>
    <col min="3016" max="3016" width="13.28515625" customWidth="1"/>
    <col min="3017" max="3017" width="13.140625" customWidth="1"/>
    <col min="3018" max="3018" width="12.7109375" bestFit="1" customWidth="1"/>
    <col min="3019" max="3019" width="13.28515625" bestFit="1" customWidth="1"/>
    <col min="3020" max="3022" width="13.28515625" customWidth="1"/>
    <col min="3023" max="3023" width="12.140625" bestFit="1" customWidth="1"/>
    <col min="3024" max="3024" width="12.7109375" bestFit="1" customWidth="1"/>
    <col min="3025" max="3025" width="11" customWidth="1"/>
    <col min="3026" max="3026" width="16.7109375" customWidth="1"/>
    <col min="3027" max="3027" width="17" customWidth="1"/>
    <col min="3028" max="3028" width="10.42578125" bestFit="1" customWidth="1"/>
    <col min="3072" max="3072" width="3.85546875" customWidth="1"/>
    <col min="3073" max="3073" width="15.28515625" bestFit="1" customWidth="1"/>
    <col min="3074" max="3074" width="12.28515625" customWidth="1"/>
    <col min="3075" max="3075" width="16.28515625" bestFit="1" customWidth="1"/>
    <col min="3076" max="3076" width="6.42578125" bestFit="1" customWidth="1"/>
    <col min="3077" max="3077" width="9.28515625" bestFit="1" customWidth="1"/>
    <col min="3078" max="3078" width="7.5703125" bestFit="1" customWidth="1"/>
    <col min="3079" max="3079" width="13.28515625" bestFit="1" customWidth="1"/>
    <col min="3080" max="3080" width="9.28515625" bestFit="1" customWidth="1"/>
    <col min="3081" max="3081" width="11.5703125" bestFit="1" customWidth="1"/>
    <col min="3082" max="3082" width="13.28515625" bestFit="1" customWidth="1"/>
    <col min="3083" max="3083" width="7.140625" bestFit="1" customWidth="1"/>
    <col min="3084" max="3084" width="12" bestFit="1" customWidth="1"/>
    <col min="3085" max="3085" width="13.28515625" bestFit="1" customWidth="1"/>
    <col min="3086" max="3086" width="7" bestFit="1" customWidth="1"/>
    <col min="3087" max="3087" width="12.7109375" bestFit="1" customWidth="1"/>
    <col min="3088" max="3088" width="11.5703125" bestFit="1" customWidth="1"/>
    <col min="3089" max="3089" width="10.5703125" bestFit="1" customWidth="1"/>
    <col min="3090" max="3091" width="15.7109375" bestFit="1" customWidth="1"/>
    <col min="3092" max="3092" width="11.5703125" bestFit="1" customWidth="1"/>
    <col min="3093" max="3093" width="7.7109375" bestFit="1" customWidth="1"/>
    <col min="3094" max="3094" width="15.140625" bestFit="1" customWidth="1"/>
    <col min="3095" max="3095" width="11.5703125" bestFit="1" customWidth="1"/>
    <col min="3096" max="3096" width="13.28515625" bestFit="1" customWidth="1"/>
    <col min="3097" max="3097" width="10.42578125" bestFit="1" customWidth="1"/>
    <col min="3098" max="3098" width="13.28515625" bestFit="1" customWidth="1"/>
    <col min="3099" max="3099" width="12.140625" bestFit="1" customWidth="1"/>
    <col min="3100" max="3100" width="14.42578125" bestFit="1" customWidth="1"/>
    <col min="3101" max="3101" width="13.28515625" bestFit="1" customWidth="1"/>
    <col min="3102" max="3102" width="11.5703125" bestFit="1" customWidth="1"/>
    <col min="3103" max="3103" width="7.7109375" bestFit="1" customWidth="1"/>
    <col min="3104" max="3105" width="14.42578125" bestFit="1" customWidth="1"/>
    <col min="3106" max="3106" width="11.5703125" bestFit="1" customWidth="1"/>
    <col min="3107" max="3107" width="7.7109375" bestFit="1" customWidth="1"/>
    <col min="3108" max="3108" width="13.5703125" customWidth="1"/>
    <col min="3109" max="3109" width="15.28515625" customWidth="1"/>
    <col min="3110" max="3110" width="14.5703125" customWidth="1"/>
    <col min="3111" max="3111" width="13.28515625" bestFit="1" customWidth="1"/>
    <col min="3112" max="3112" width="7.7109375" bestFit="1" customWidth="1"/>
    <col min="3113" max="3113" width="12.7109375" bestFit="1" customWidth="1"/>
    <col min="3114" max="3114" width="11.7109375" bestFit="1" customWidth="1"/>
    <col min="3115" max="3115" width="11.5703125" bestFit="1" customWidth="1"/>
    <col min="3116" max="3116" width="5.28515625" bestFit="1" customWidth="1"/>
    <col min="3117" max="3117" width="13.28515625" bestFit="1" customWidth="1"/>
    <col min="3118" max="3118" width="13.5703125" bestFit="1" customWidth="1"/>
    <col min="3119" max="3119" width="10.5703125" bestFit="1" customWidth="1"/>
    <col min="3120" max="3120" width="13.28515625" bestFit="1" customWidth="1"/>
    <col min="3121" max="3121" width="11.5703125" bestFit="1" customWidth="1"/>
    <col min="3122" max="3122" width="10.5703125" bestFit="1" customWidth="1"/>
    <col min="3123" max="3123" width="16.140625" bestFit="1" customWidth="1"/>
    <col min="3124" max="3125" width="11.28515625" bestFit="1" customWidth="1"/>
    <col min="3126" max="3126" width="13.28515625" bestFit="1" customWidth="1"/>
    <col min="3127" max="3127" width="7.7109375" bestFit="1" customWidth="1"/>
    <col min="3128" max="3131" width="9.140625" hidden="1" customWidth="1"/>
    <col min="3132" max="3132" width="10.42578125" bestFit="1" customWidth="1"/>
    <col min="3133" max="3133" width="10.5703125" bestFit="1" customWidth="1"/>
    <col min="3134" max="3134" width="10.42578125" bestFit="1" customWidth="1"/>
    <col min="3135" max="3135" width="10.5703125" bestFit="1" customWidth="1"/>
    <col min="3136" max="3136" width="9.5703125" bestFit="1" customWidth="1"/>
    <col min="3137" max="3137" width="11.5703125" bestFit="1" customWidth="1"/>
    <col min="3138" max="3138" width="10.42578125" bestFit="1" customWidth="1"/>
    <col min="3139" max="3139" width="10.85546875" customWidth="1"/>
    <col min="3140" max="3141" width="9.85546875" bestFit="1" customWidth="1"/>
    <col min="3142" max="3142" width="13.5703125" bestFit="1" customWidth="1"/>
    <col min="3143" max="3143" width="7.7109375" bestFit="1" customWidth="1"/>
    <col min="3144" max="3144" width="13.28515625" bestFit="1" customWidth="1"/>
    <col min="3145" max="3145" width="11.5703125" bestFit="1" customWidth="1"/>
    <col min="3146" max="3146" width="10.42578125" bestFit="1" customWidth="1"/>
    <col min="3147" max="3147" width="7.7109375" bestFit="1" customWidth="1"/>
    <col min="3148" max="3148" width="11.5703125" bestFit="1" customWidth="1"/>
    <col min="3149" max="3149" width="10.85546875" bestFit="1" customWidth="1"/>
    <col min="3150" max="3150" width="13.28515625" bestFit="1" customWidth="1"/>
    <col min="3151" max="3151" width="10.85546875" bestFit="1" customWidth="1"/>
    <col min="3152" max="3153" width="7.5703125" bestFit="1" customWidth="1"/>
    <col min="3154" max="3155" width="10.42578125" bestFit="1" customWidth="1"/>
    <col min="3156" max="3156" width="11.5703125" bestFit="1" customWidth="1"/>
    <col min="3157" max="3157" width="5.28515625" bestFit="1" customWidth="1"/>
    <col min="3158" max="3158" width="10.28515625" bestFit="1" customWidth="1"/>
    <col min="3159" max="3159" width="10.42578125" bestFit="1" customWidth="1"/>
    <col min="3160" max="3160" width="11.5703125" bestFit="1" customWidth="1"/>
    <col min="3161" max="3161" width="5.28515625" bestFit="1" customWidth="1"/>
    <col min="3162" max="3164" width="11.5703125" bestFit="1" customWidth="1"/>
    <col min="3165" max="3165" width="5.28515625" bestFit="1" customWidth="1"/>
    <col min="3166" max="3167" width="10.42578125" bestFit="1" customWidth="1"/>
    <col min="3168" max="3168" width="11.5703125" bestFit="1" customWidth="1"/>
    <col min="3169" max="3169" width="5.28515625" bestFit="1" customWidth="1"/>
    <col min="3170" max="3170" width="14.28515625" bestFit="1" customWidth="1"/>
    <col min="3171" max="3171" width="13" bestFit="1" customWidth="1"/>
    <col min="3172" max="3172" width="11.5703125" bestFit="1" customWidth="1"/>
    <col min="3173" max="3173" width="8.85546875" bestFit="1" customWidth="1"/>
    <col min="3174" max="3174" width="14.42578125" bestFit="1" customWidth="1"/>
    <col min="3175" max="3175" width="10.42578125" bestFit="1" customWidth="1"/>
    <col min="3176" max="3176" width="12.28515625" bestFit="1" customWidth="1"/>
    <col min="3177" max="3177" width="13.85546875" bestFit="1" customWidth="1"/>
    <col min="3178" max="3178" width="11.28515625" customWidth="1"/>
    <col min="3179" max="3179" width="11.5703125" customWidth="1"/>
    <col min="3180" max="3180" width="13.42578125" bestFit="1" customWidth="1"/>
    <col min="3181" max="3181" width="10.42578125" customWidth="1"/>
    <col min="3182" max="3182" width="13.85546875" bestFit="1" customWidth="1"/>
    <col min="3183" max="3183" width="15.42578125" bestFit="1" customWidth="1"/>
    <col min="3184" max="3184" width="12.28515625" bestFit="1" customWidth="1"/>
    <col min="3185" max="3185" width="12.7109375" customWidth="1"/>
    <col min="3186" max="3186" width="10.7109375" bestFit="1" customWidth="1"/>
    <col min="3187" max="3187" width="9.85546875" customWidth="1"/>
    <col min="3188" max="3189" width="10.140625" bestFit="1" customWidth="1"/>
    <col min="3190" max="3190" width="7.5703125" bestFit="1" customWidth="1"/>
    <col min="3191" max="3191" width="9.42578125" bestFit="1" customWidth="1"/>
    <col min="3192" max="3192" width="14.5703125" bestFit="1" customWidth="1"/>
    <col min="3193" max="3193" width="14.85546875" customWidth="1"/>
    <col min="3194" max="3194" width="15.140625" bestFit="1" customWidth="1"/>
    <col min="3195" max="3195" width="12.140625" bestFit="1" customWidth="1"/>
    <col min="3196" max="3196" width="14.85546875" bestFit="1" customWidth="1"/>
    <col min="3197" max="3197" width="12.28515625" bestFit="1" customWidth="1"/>
    <col min="3198" max="3206" width="9.140625" hidden="1" customWidth="1"/>
    <col min="3207" max="3207" width="5.28515625" bestFit="1" customWidth="1"/>
    <col min="3208" max="3213" width="11.5703125" bestFit="1" customWidth="1"/>
    <col min="3214" max="3214" width="11.28515625" bestFit="1" customWidth="1"/>
    <col min="3215" max="3215" width="10.140625" bestFit="1" customWidth="1"/>
    <col min="3216" max="3216" width="11.5703125" bestFit="1" customWidth="1"/>
    <col min="3217" max="3217" width="16.140625" customWidth="1"/>
    <col min="3218" max="3218" width="13.42578125" customWidth="1"/>
    <col min="3219" max="3219" width="10.140625" bestFit="1" customWidth="1"/>
    <col min="3220" max="3220" width="12.85546875" bestFit="1" customWidth="1"/>
    <col min="3221" max="3221" width="12.28515625" bestFit="1" customWidth="1"/>
    <col min="3222" max="3222" width="11.28515625" bestFit="1" customWidth="1"/>
    <col min="3223" max="3223" width="11.5703125" bestFit="1" customWidth="1"/>
    <col min="3224" max="3224" width="10.85546875" bestFit="1" customWidth="1"/>
    <col min="3225" max="3225" width="11.28515625" bestFit="1" customWidth="1"/>
    <col min="3226" max="3226" width="10.140625" bestFit="1" customWidth="1"/>
    <col min="3227" max="3227" width="13.28515625" bestFit="1" customWidth="1"/>
    <col min="3228" max="3229" width="12.7109375" bestFit="1" customWidth="1"/>
    <col min="3230" max="3230" width="11" bestFit="1" customWidth="1"/>
    <col min="3231" max="3231" width="11.28515625" bestFit="1" customWidth="1"/>
    <col min="3232" max="3232" width="11.5703125" bestFit="1" customWidth="1"/>
    <col min="3233" max="3233" width="12.28515625" bestFit="1" customWidth="1"/>
    <col min="3234" max="3234" width="15.140625" bestFit="1" customWidth="1"/>
    <col min="3235" max="3235" width="14.42578125" bestFit="1" customWidth="1"/>
    <col min="3236" max="3236" width="12.28515625" bestFit="1" customWidth="1"/>
    <col min="3237" max="3237" width="15.140625" bestFit="1" customWidth="1"/>
    <col min="3238" max="3238" width="14.42578125" bestFit="1" customWidth="1"/>
    <col min="3239" max="3239" width="12.28515625" bestFit="1" customWidth="1"/>
    <col min="3240" max="3240" width="14.42578125" bestFit="1" customWidth="1"/>
    <col min="3241" max="3241" width="11.28515625" bestFit="1" customWidth="1"/>
    <col min="3242" max="3242" width="12.28515625" bestFit="1" customWidth="1"/>
    <col min="3243" max="3243" width="13" bestFit="1" customWidth="1"/>
    <col min="3244" max="3244" width="15.140625" bestFit="1" customWidth="1"/>
    <col min="3245" max="3245" width="12.28515625" bestFit="1" customWidth="1"/>
    <col min="3246" max="3246" width="13.85546875" bestFit="1" customWidth="1"/>
    <col min="3247" max="3247" width="11.28515625" bestFit="1" customWidth="1"/>
    <col min="3248" max="3248" width="12.28515625" bestFit="1" customWidth="1"/>
    <col min="3249" max="3249" width="13.85546875" bestFit="1" customWidth="1"/>
    <col min="3250" max="3251" width="15.140625" bestFit="1" customWidth="1"/>
    <col min="3252" max="3252" width="12.28515625" bestFit="1" customWidth="1"/>
    <col min="3253" max="3253" width="5.7109375" bestFit="1" customWidth="1"/>
    <col min="3254" max="3254" width="8.5703125" bestFit="1" customWidth="1"/>
    <col min="3255" max="3255" width="5.5703125" bestFit="1" customWidth="1"/>
    <col min="3256" max="3256" width="14.42578125" bestFit="1" customWidth="1"/>
    <col min="3257" max="3257" width="11.28515625" bestFit="1" customWidth="1"/>
    <col min="3258" max="3259" width="12.28515625" bestFit="1" customWidth="1"/>
    <col min="3260" max="3260" width="11.28515625" bestFit="1" customWidth="1"/>
    <col min="3261" max="3261" width="13.85546875" bestFit="1" customWidth="1"/>
    <col min="3262" max="3262" width="12" bestFit="1" customWidth="1"/>
    <col min="3263" max="3263" width="13.85546875" bestFit="1" customWidth="1"/>
    <col min="3264" max="3265" width="14.42578125" customWidth="1"/>
    <col min="3266" max="3266" width="10.140625" bestFit="1" customWidth="1"/>
    <col min="3267" max="3267" width="12.28515625" bestFit="1" customWidth="1"/>
    <col min="3268" max="3268" width="7.42578125" bestFit="1" customWidth="1"/>
    <col min="3269" max="3269" width="8.5703125" bestFit="1" customWidth="1"/>
    <col min="3270" max="3270" width="11.5703125" bestFit="1" customWidth="1"/>
    <col min="3271" max="3271" width="13.28515625" bestFit="1" customWidth="1"/>
    <col min="3272" max="3272" width="13.28515625" customWidth="1"/>
    <col min="3273" max="3273" width="13.140625" customWidth="1"/>
    <col min="3274" max="3274" width="12.7109375" bestFit="1" customWidth="1"/>
    <col min="3275" max="3275" width="13.28515625" bestFit="1" customWidth="1"/>
    <col min="3276" max="3278" width="13.28515625" customWidth="1"/>
    <col min="3279" max="3279" width="12.140625" bestFit="1" customWidth="1"/>
    <col min="3280" max="3280" width="12.7109375" bestFit="1" customWidth="1"/>
    <col min="3281" max="3281" width="11" customWidth="1"/>
    <col min="3282" max="3282" width="16.7109375" customWidth="1"/>
    <col min="3283" max="3283" width="17" customWidth="1"/>
    <col min="3284" max="3284" width="10.42578125" bestFit="1" customWidth="1"/>
    <col min="3328" max="3328" width="3.85546875" customWidth="1"/>
    <col min="3329" max="3329" width="15.28515625" bestFit="1" customWidth="1"/>
    <col min="3330" max="3330" width="12.28515625" customWidth="1"/>
    <col min="3331" max="3331" width="16.28515625" bestFit="1" customWidth="1"/>
    <col min="3332" max="3332" width="6.42578125" bestFit="1" customWidth="1"/>
    <col min="3333" max="3333" width="9.28515625" bestFit="1" customWidth="1"/>
    <col min="3334" max="3334" width="7.5703125" bestFit="1" customWidth="1"/>
    <col min="3335" max="3335" width="13.28515625" bestFit="1" customWidth="1"/>
    <col min="3336" max="3336" width="9.28515625" bestFit="1" customWidth="1"/>
    <col min="3337" max="3337" width="11.5703125" bestFit="1" customWidth="1"/>
    <col min="3338" max="3338" width="13.28515625" bestFit="1" customWidth="1"/>
    <col min="3339" max="3339" width="7.140625" bestFit="1" customWidth="1"/>
    <col min="3340" max="3340" width="12" bestFit="1" customWidth="1"/>
    <col min="3341" max="3341" width="13.28515625" bestFit="1" customWidth="1"/>
    <col min="3342" max="3342" width="7" bestFit="1" customWidth="1"/>
    <col min="3343" max="3343" width="12.7109375" bestFit="1" customWidth="1"/>
    <col min="3344" max="3344" width="11.5703125" bestFit="1" customWidth="1"/>
    <col min="3345" max="3345" width="10.5703125" bestFit="1" customWidth="1"/>
    <col min="3346" max="3347" width="15.7109375" bestFit="1" customWidth="1"/>
    <col min="3348" max="3348" width="11.5703125" bestFit="1" customWidth="1"/>
    <col min="3349" max="3349" width="7.7109375" bestFit="1" customWidth="1"/>
    <col min="3350" max="3350" width="15.140625" bestFit="1" customWidth="1"/>
    <col min="3351" max="3351" width="11.5703125" bestFit="1" customWidth="1"/>
    <col min="3352" max="3352" width="13.28515625" bestFit="1" customWidth="1"/>
    <col min="3353" max="3353" width="10.42578125" bestFit="1" customWidth="1"/>
    <col min="3354" max="3354" width="13.28515625" bestFit="1" customWidth="1"/>
    <col min="3355" max="3355" width="12.140625" bestFit="1" customWidth="1"/>
    <col min="3356" max="3356" width="14.42578125" bestFit="1" customWidth="1"/>
    <col min="3357" max="3357" width="13.28515625" bestFit="1" customWidth="1"/>
    <col min="3358" max="3358" width="11.5703125" bestFit="1" customWidth="1"/>
    <col min="3359" max="3359" width="7.7109375" bestFit="1" customWidth="1"/>
    <col min="3360" max="3361" width="14.42578125" bestFit="1" customWidth="1"/>
    <col min="3362" max="3362" width="11.5703125" bestFit="1" customWidth="1"/>
    <col min="3363" max="3363" width="7.7109375" bestFit="1" customWidth="1"/>
    <col min="3364" max="3364" width="13.5703125" customWidth="1"/>
    <col min="3365" max="3365" width="15.28515625" customWidth="1"/>
    <col min="3366" max="3366" width="14.5703125" customWidth="1"/>
    <col min="3367" max="3367" width="13.28515625" bestFit="1" customWidth="1"/>
    <col min="3368" max="3368" width="7.7109375" bestFit="1" customWidth="1"/>
    <col min="3369" max="3369" width="12.7109375" bestFit="1" customWidth="1"/>
    <col min="3370" max="3370" width="11.7109375" bestFit="1" customWidth="1"/>
    <col min="3371" max="3371" width="11.5703125" bestFit="1" customWidth="1"/>
    <col min="3372" max="3372" width="5.28515625" bestFit="1" customWidth="1"/>
    <col min="3373" max="3373" width="13.28515625" bestFit="1" customWidth="1"/>
    <col min="3374" max="3374" width="13.5703125" bestFit="1" customWidth="1"/>
    <col min="3375" max="3375" width="10.5703125" bestFit="1" customWidth="1"/>
    <col min="3376" max="3376" width="13.28515625" bestFit="1" customWidth="1"/>
    <col min="3377" max="3377" width="11.5703125" bestFit="1" customWidth="1"/>
    <col min="3378" max="3378" width="10.5703125" bestFit="1" customWidth="1"/>
    <col min="3379" max="3379" width="16.140625" bestFit="1" customWidth="1"/>
    <col min="3380" max="3381" width="11.28515625" bestFit="1" customWidth="1"/>
    <col min="3382" max="3382" width="13.28515625" bestFit="1" customWidth="1"/>
    <col min="3383" max="3383" width="7.7109375" bestFit="1" customWidth="1"/>
    <col min="3384" max="3387" width="9.140625" hidden="1" customWidth="1"/>
    <col min="3388" max="3388" width="10.42578125" bestFit="1" customWidth="1"/>
    <col min="3389" max="3389" width="10.5703125" bestFit="1" customWidth="1"/>
    <col min="3390" max="3390" width="10.42578125" bestFit="1" customWidth="1"/>
    <col min="3391" max="3391" width="10.5703125" bestFit="1" customWidth="1"/>
    <col min="3392" max="3392" width="9.5703125" bestFit="1" customWidth="1"/>
    <col min="3393" max="3393" width="11.5703125" bestFit="1" customWidth="1"/>
    <col min="3394" max="3394" width="10.42578125" bestFit="1" customWidth="1"/>
    <col min="3395" max="3395" width="10.85546875" customWidth="1"/>
    <col min="3396" max="3397" width="9.85546875" bestFit="1" customWidth="1"/>
    <col min="3398" max="3398" width="13.5703125" bestFit="1" customWidth="1"/>
    <col min="3399" max="3399" width="7.7109375" bestFit="1" customWidth="1"/>
    <col min="3400" max="3400" width="13.28515625" bestFit="1" customWidth="1"/>
    <col min="3401" max="3401" width="11.5703125" bestFit="1" customWidth="1"/>
    <col min="3402" max="3402" width="10.42578125" bestFit="1" customWidth="1"/>
    <col min="3403" max="3403" width="7.7109375" bestFit="1" customWidth="1"/>
    <col min="3404" max="3404" width="11.5703125" bestFit="1" customWidth="1"/>
    <col min="3405" max="3405" width="10.85546875" bestFit="1" customWidth="1"/>
    <col min="3406" max="3406" width="13.28515625" bestFit="1" customWidth="1"/>
    <col min="3407" max="3407" width="10.85546875" bestFit="1" customWidth="1"/>
    <col min="3408" max="3409" width="7.5703125" bestFit="1" customWidth="1"/>
    <col min="3410" max="3411" width="10.42578125" bestFit="1" customWidth="1"/>
    <col min="3412" max="3412" width="11.5703125" bestFit="1" customWidth="1"/>
    <col min="3413" max="3413" width="5.28515625" bestFit="1" customWidth="1"/>
    <col min="3414" max="3414" width="10.28515625" bestFit="1" customWidth="1"/>
    <col min="3415" max="3415" width="10.42578125" bestFit="1" customWidth="1"/>
    <col min="3416" max="3416" width="11.5703125" bestFit="1" customWidth="1"/>
    <col min="3417" max="3417" width="5.28515625" bestFit="1" customWidth="1"/>
    <col min="3418" max="3420" width="11.5703125" bestFit="1" customWidth="1"/>
    <col min="3421" max="3421" width="5.28515625" bestFit="1" customWidth="1"/>
    <col min="3422" max="3423" width="10.42578125" bestFit="1" customWidth="1"/>
    <col min="3424" max="3424" width="11.5703125" bestFit="1" customWidth="1"/>
    <col min="3425" max="3425" width="5.28515625" bestFit="1" customWidth="1"/>
    <col min="3426" max="3426" width="14.28515625" bestFit="1" customWidth="1"/>
    <col min="3427" max="3427" width="13" bestFit="1" customWidth="1"/>
    <col min="3428" max="3428" width="11.5703125" bestFit="1" customWidth="1"/>
    <col min="3429" max="3429" width="8.85546875" bestFit="1" customWidth="1"/>
    <col min="3430" max="3430" width="14.42578125" bestFit="1" customWidth="1"/>
    <col min="3431" max="3431" width="10.42578125" bestFit="1" customWidth="1"/>
    <col min="3432" max="3432" width="12.28515625" bestFit="1" customWidth="1"/>
    <col min="3433" max="3433" width="13.85546875" bestFit="1" customWidth="1"/>
    <col min="3434" max="3434" width="11.28515625" customWidth="1"/>
    <col min="3435" max="3435" width="11.5703125" customWidth="1"/>
    <col min="3436" max="3436" width="13.42578125" bestFit="1" customWidth="1"/>
    <col min="3437" max="3437" width="10.42578125" customWidth="1"/>
    <col min="3438" max="3438" width="13.85546875" bestFit="1" customWidth="1"/>
    <col min="3439" max="3439" width="15.42578125" bestFit="1" customWidth="1"/>
    <col min="3440" max="3440" width="12.28515625" bestFit="1" customWidth="1"/>
    <col min="3441" max="3441" width="12.7109375" customWidth="1"/>
    <col min="3442" max="3442" width="10.7109375" bestFit="1" customWidth="1"/>
    <col min="3443" max="3443" width="9.85546875" customWidth="1"/>
    <col min="3444" max="3445" width="10.140625" bestFit="1" customWidth="1"/>
    <col min="3446" max="3446" width="7.5703125" bestFit="1" customWidth="1"/>
    <col min="3447" max="3447" width="9.42578125" bestFit="1" customWidth="1"/>
    <col min="3448" max="3448" width="14.5703125" bestFit="1" customWidth="1"/>
    <col min="3449" max="3449" width="14.85546875" customWidth="1"/>
    <col min="3450" max="3450" width="15.140625" bestFit="1" customWidth="1"/>
    <col min="3451" max="3451" width="12.140625" bestFit="1" customWidth="1"/>
    <col min="3452" max="3452" width="14.85546875" bestFit="1" customWidth="1"/>
    <col min="3453" max="3453" width="12.28515625" bestFit="1" customWidth="1"/>
    <col min="3454" max="3462" width="9.140625" hidden="1" customWidth="1"/>
    <col min="3463" max="3463" width="5.28515625" bestFit="1" customWidth="1"/>
    <col min="3464" max="3469" width="11.5703125" bestFit="1" customWidth="1"/>
    <col min="3470" max="3470" width="11.28515625" bestFit="1" customWidth="1"/>
    <col min="3471" max="3471" width="10.140625" bestFit="1" customWidth="1"/>
    <col min="3472" max="3472" width="11.5703125" bestFit="1" customWidth="1"/>
    <col min="3473" max="3473" width="16.140625" customWidth="1"/>
    <col min="3474" max="3474" width="13.42578125" customWidth="1"/>
    <col min="3475" max="3475" width="10.140625" bestFit="1" customWidth="1"/>
    <col min="3476" max="3476" width="12.85546875" bestFit="1" customWidth="1"/>
    <col min="3477" max="3477" width="12.28515625" bestFit="1" customWidth="1"/>
    <col min="3478" max="3478" width="11.28515625" bestFit="1" customWidth="1"/>
    <col min="3479" max="3479" width="11.5703125" bestFit="1" customWidth="1"/>
    <col min="3480" max="3480" width="10.85546875" bestFit="1" customWidth="1"/>
    <col min="3481" max="3481" width="11.28515625" bestFit="1" customWidth="1"/>
    <col min="3482" max="3482" width="10.140625" bestFit="1" customWidth="1"/>
    <col min="3483" max="3483" width="13.28515625" bestFit="1" customWidth="1"/>
    <col min="3484" max="3485" width="12.7109375" bestFit="1" customWidth="1"/>
    <col min="3486" max="3486" width="11" bestFit="1" customWidth="1"/>
    <col min="3487" max="3487" width="11.28515625" bestFit="1" customWidth="1"/>
    <col min="3488" max="3488" width="11.5703125" bestFit="1" customWidth="1"/>
    <col min="3489" max="3489" width="12.28515625" bestFit="1" customWidth="1"/>
    <col min="3490" max="3490" width="15.140625" bestFit="1" customWidth="1"/>
    <col min="3491" max="3491" width="14.42578125" bestFit="1" customWidth="1"/>
    <col min="3492" max="3492" width="12.28515625" bestFit="1" customWidth="1"/>
    <col min="3493" max="3493" width="15.140625" bestFit="1" customWidth="1"/>
    <col min="3494" max="3494" width="14.42578125" bestFit="1" customWidth="1"/>
    <col min="3495" max="3495" width="12.28515625" bestFit="1" customWidth="1"/>
    <col min="3496" max="3496" width="14.42578125" bestFit="1" customWidth="1"/>
    <col min="3497" max="3497" width="11.28515625" bestFit="1" customWidth="1"/>
    <col min="3498" max="3498" width="12.28515625" bestFit="1" customWidth="1"/>
    <col min="3499" max="3499" width="13" bestFit="1" customWidth="1"/>
    <col min="3500" max="3500" width="15.140625" bestFit="1" customWidth="1"/>
    <col min="3501" max="3501" width="12.28515625" bestFit="1" customWidth="1"/>
    <col min="3502" max="3502" width="13.85546875" bestFit="1" customWidth="1"/>
    <col min="3503" max="3503" width="11.28515625" bestFit="1" customWidth="1"/>
    <col min="3504" max="3504" width="12.28515625" bestFit="1" customWidth="1"/>
    <col min="3505" max="3505" width="13.85546875" bestFit="1" customWidth="1"/>
    <col min="3506" max="3507" width="15.140625" bestFit="1" customWidth="1"/>
    <col min="3508" max="3508" width="12.28515625" bestFit="1" customWidth="1"/>
    <col min="3509" max="3509" width="5.7109375" bestFit="1" customWidth="1"/>
    <col min="3510" max="3510" width="8.5703125" bestFit="1" customWidth="1"/>
    <col min="3511" max="3511" width="5.5703125" bestFit="1" customWidth="1"/>
    <col min="3512" max="3512" width="14.42578125" bestFit="1" customWidth="1"/>
    <col min="3513" max="3513" width="11.28515625" bestFit="1" customWidth="1"/>
    <col min="3514" max="3515" width="12.28515625" bestFit="1" customWidth="1"/>
    <col min="3516" max="3516" width="11.28515625" bestFit="1" customWidth="1"/>
    <col min="3517" max="3517" width="13.85546875" bestFit="1" customWidth="1"/>
    <col min="3518" max="3518" width="12" bestFit="1" customWidth="1"/>
    <col min="3519" max="3519" width="13.85546875" bestFit="1" customWidth="1"/>
    <col min="3520" max="3521" width="14.42578125" customWidth="1"/>
    <col min="3522" max="3522" width="10.140625" bestFit="1" customWidth="1"/>
    <col min="3523" max="3523" width="12.28515625" bestFit="1" customWidth="1"/>
    <col min="3524" max="3524" width="7.42578125" bestFit="1" customWidth="1"/>
    <col min="3525" max="3525" width="8.5703125" bestFit="1" customWidth="1"/>
    <col min="3526" max="3526" width="11.5703125" bestFit="1" customWidth="1"/>
    <col min="3527" max="3527" width="13.28515625" bestFit="1" customWidth="1"/>
    <col min="3528" max="3528" width="13.28515625" customWidth="1"/>
    <col min="3529" max="3529" width="13.140625" customWidth="1"/>
    <col min="3530" max="3530" width="12.7109375" bestFit="1" customWidth="1"/>
    <col min="3531" max="3531" width="13.28515625" bestFit="1" customWidth="1"/>
    <col min="3532" max="3534" width="13.28515625" customWidth="1"/>
    <col min="3535" max="3535" width="12.140625" bestFit="1" customWidth="1"/>
    <col min="3536" max="3536" width="12.7109375" bestFit="1" customWidth="1"/>
    <col min="3537" max="3537" width="11" customWidth="1"/>
    <col min="3538" max="3538" width="16.7109375" customWidth="1"/>
    <col min="3539" max="3539" width="17" customWidth="1"/>
    <col min="3540" max="3540" width="10.42578125" bestFit="1" customWidth="1"/>
    <col min="3584" max="3584" width="3.85546875" customWidth="1"/>
    <col min="3585" max="3585" width="15.28515625" bestFit="1" customWidth="1"/>
    <col min="3586" max="3586" width="12.28515625" customWidth="1"/>
    <col min="3587" max="3587" width="16.28515625" bestFit="1" customWidth="1"/>
    <col min="3588" max="3588" width="6.42578125" bestFit="1" customWidth="1"/>
    <col min="3589" max="3589" width="9.28515625" bestFit="1" customWidth="1"/>
    <col min="3590" max="3590" width="7.5703125" bestFit="1" customWidth="1"/>
    <col min="3591" max="3591" width="13.28515625" bestFit="1" customWidth="1"/>
    <col min="3592" max="3592" width="9.28515625" bestFit="1" customWidth="1"/>
    <col min="3593" max="3593" width="11.5703125" bestFit="1" customWidth="1"/>
    <col min="3594" max="3594" width="13.28515625" bestFit="1" customWidth="1"/>
    <col min="3595" max="3595" width="7.140625" bestFit="1" customWidth="1"/>
    <col min="3596" max="3596" width="12" bestFit="1" customWidth="1"/>
    <col min="3597" max="3597" width="13.28515625" bestFit="1" customWidth="1"/>
    <col min="3598" max="3598" width="7" bestFit="1" customWidth="1"/>
    <col min="3599" max="3599" width="12.7109375" bestFit="1" customWidth="1"/>
    <col min="3600" max="3600" width="11.5703125" bestFit="1" customWidth="1"/>
    <col min="3601" max="3601" width="10.5703125" bestFit="1" customWidth="1"/>
    <col min="3602" max="3603" width="15.7109375" bestFit="1" customWidth="1"/>
    <col min="3604" max="3604" width="11.5703125" bestFit="1" customWidth="1"/>
    <col min="3605" max="3605" width="7.7109375" bestFit="1" customWidth="1"/>
    <col min="3606" max="3606" width="15.140625" bestFit="1" customWidth="1"/>
    <col min="3607" max="3607" width="11.5703125" bestFit="1" customWidth="1"/>
    <col min="3608" max="3608" width="13.28515625" bestFit="1" customWidth="1"/>
    <col min="3609" max="3609" width="10.42578125" bestFit="1" customWidth="1"/>
    <col min="3610" max="3610" width="13.28515625" bestFit="1" customWidth="1"/>
    <col min="3611" max="3611" width="12.140625" bestFit="1" customWidth="1"/>
    <col min="3612" max="3612" width="14.42578125" bestFit="1" customWidth="1"/>
    <col min="3613" max="3613" width="13.28515625" bestFit="1" customWidth="1"/>
    <col min="3614" max="3614" width="11.5703125" bestFit="1" customWidth="1"/>
    <col min="3615" max="3615" width="7.7109375" bestFit="1" customWidth="1"/>
    <col min="3616" max="3617" width="14.42578125" bestFit="1" customWidth="1"/>
    <col min="3618" max="3618" width="11.5703125" bestFit="1" customWidth="1"/>
    <col min="3619" max="3619" width="7.7109375" bestFit="1" customWidth="1"/>
    <col min="3620" max="3620" width="13.5703125" customWidth="1"/>
    <col min="3621" max="3621" width="15.28515625" customWidth="1"/>
    <col min="3622" max="3622" width="14.5703125" customWidth="1"/>
    <col min="3623" max="3623" width="13.28515625" bestFit="1" customWidth="1"/>
    <col min="3624" max="3624" width="7.7109375" bestFit="1" customWidth="1"/>
    <col min="3625" max="3625" width="12.7109375" bestFit="1" customWidth="1"/>
    <col min="3626" max="3626" width="11.7109375" bestFit="1" customWidth="1"/>
    <col min="3627" max="3627" width="11.5703125" bestFit="1" customWidth="1"/>
    <col min="3628" max="3628" width="5.28515625" bestFit="1" customWidth="1"/>
    <col min="3629" max="3629" width="13.28515625" bestFit="1" customWidth="1"/>
    <col min="3630" max="3630" width="13.5703125" bestFit="1" customWidth="1"/>
    <col min="3631" max="3631" width="10.5703125" bestFit="1" customWidth="1"/>
    <col min="3632" max="3632" width="13.28515625" bestFit="1" customWidth="1"/>
    <col min="3633" max="3633" width="11.5703125" bestFit="1" customWidth="1"/>
    <col min="3634" max="3634" width="10.5703125" bestFit="1" customWidth="1"/>
    <col min="3635" max="3635" width="16.140625" bestFit="1" customWidth="1"/>
    <col min="3636" max="3637" width="11.28515625" bestFit="1" customWidth="1"/>
    <col min="3638" max="3638" width="13.28515625" bestFit="1" customWidth="1"/>
    <col min="3639" max="3639" width="7.7109375" bestFit="1" customWidth="1"/>
    <col min="3640" max="3643" width="9.140625" hidden="1" customWidth="1"/>
    <col min="3644" max="3644" width="10.42578125" bestFit="1" customWidth="1"/>
    <col min="3645" max="3645" width="10.5703125" bestFit="1" customWidth="1"/>
    <col min="3646" max="3646" width="10.42578125" bestFit="1" customWidth="1"/>
    <col min="3647" max="3647" width="10.5703125" bestFit="1" customWidth="1"/>
    <col min="3648" max="3648" width="9.5703125" bestFit="1" customWidth="1"/>
    <col min="3649" max="3649" width="11.5703125" bestFit="1" customWidth="1"/>
    <col min="3650" max="3650" width="10.42578125" bestFit="1" customWidth="1"/>
    <col min="3651" max="3651" width="10.85546875" customWidth="1"/>
    <col min="3652" max="3653" width="9.85546875" bestFit="1" customWidth="1"/>
    <col min="3654" max="3654" width="13.5703125" bestFit="1" customWidth="1"/>
    <col min="3655" max="3655" width="7.7109375" bestFit="1" customWidth="1"/>
    <col min="3656" max="3656" width="13.28515625" bestFit="1" customWidth="1"/>
    <col min="3657" max="3657" width="11.5703125" bestFit="1" customWidth="1"/>
    <col min="3658" max="3658" width="10.42578125" bestFit="1" customWidth="1"/>
    <col min="3659" max="3659" width="7.7109375" bestFit="1" customWidth="1"/>
    <col min="3660" max="3660" width="11.5703125" bestFit="1" customWidth="1"/>
    <col min="3661" max="3661" width="10.85546875" bestFit="1" customWidth="1"/>
    <col min="3662" max="3662" width="13.28515625" bestFit="1" customWidth="1"/>
    <col min="3663" max="3663" width="10.85546875" bestFit="1" customWidth="1"/>
    <col min="3664" max="3665" width="7.5703125" bestFit="1" customWidth="1"/>
    <col min="3666" max="3667" width="10.42578125" bestFit="1" customWidth="1"/>
    <col min="3668" max="3668" width="11.5703125" bestFit="1" customWidth="1"/>
    <col min="3669" max="3669" width="5.28515625" bestFit="1" customWidth="1"/>
    <col min="3670" max="3670" width="10.28515625" bestFit="1" customWidth="1"/>
    <col min="3671" max="3671" width="10.42578125" bestFit="1" customWidth="1"/>
    <col min="3672" max="3672" width="11.5703125" bestFit="1" customWidth="1"/>
    <col min="3673" max="3673" width="5.28515625" bestFit="1" customWidth="1"/>
    <col min="3674" max="3676" width="11.5703125" bestFit="1" customWidth="1"/>
    <col min="3677" max="3677" width="5.28515625" bestFit="1" customWidth="1"/>
    <col min="3678" max="3679" width="10.42578125" bestFit="1" customWidth="1"/>
    <col min="3680" max="3680" width="11.5703125" bestFit="1" customWidth="1"/>
    <col min="3681" max="3681" width="5.28515625" bestFit="1" customWidth="1"/>
    <col min="3682" max="3682" width="14.28515625" bestFit="1" customWidth="1"/>
    <col min="3683" max="3683" width="13" bestFit="1" customWidth="1"/>
    <col min="3684" max="3684" width="11.5703125" bestFit="1" customWidth="1"/>
    <col min="3685" max="3685" width="8.85546875" bestFit="1" customWidth="1"/>
    <col min="3686" max="3686" width="14.42578125" bestFit="1" customWidth="1"/>
    <col min="3687" max="3687" width="10.42578125" bestFit="1" customWidth="1"/>
    <col min="3688" max="3688" width="12.28515625" bestFit="1" customWidth="1"/>
    <col min="3689" max="3689" width="13.85546875" bestFit="1" customWidth="1"/>
    <col min="3690" max="3690" width="11.28515625" customWidth="1"/>
    <col min="3691" max="3691" width="11.5703125" customWidth="1"/>
    <col min="3692" max="3692" width="13.42578125" bestFit="1" customWidth="1"/>
    <col min="3693" max="3693" width="10.42578125" customWidth="1"/>
    <col min="3694" max="3694" width="13.85546875" bestFit="1" customWidth="1"/>
    <col min="3695" max="3695" width="15.42578125" bestFit="1" customWidth="1"/>
    <col min="3696" max="3696" width="12.28515625" bestFit="1" customWidth="1"/>
    <col min="3697" max="3697" width="12.7109375" customWidth="1"/>
    <col min="3698" max="3698" width="10.7109375" bestFit="1" customWidth="1"/>
    <col min="3699" max="3699" width="9.85546875" customWidth="1"/>
    <col min="3700" max="3701" width="10.140625" bestFit="1" customWidth="1"/>
    <col min="3702" max="3702" width="7.5703125" bestFit="1" customWidth="1"/>
    <col min="3703" max="3703" width="9.42578125" bestFit="1" customWidth="1"/>
    <col min="3704" max="3704" width="14.5703125" bestFit="1" customWidth="1"/>
    <col min="3705" max="3705" width="14.85546875" customWidth="1"/>
    <col min="3706" max="3706" width="15.140625" bestFit="1" customWidth="1"/>
    <col min="3707" max="3707" width="12.140625" bestFit="1" customWidth="1"/>
    <col min="3708" max="3708" width="14.85546875" bestFit="1" customWidth="1"/>
    <col min="3709" max="3709" width="12.28515625" bestFit="1" customWidth="1"/>
    <col min="3710" max="3718" width="9.140625" hidden="1" customWidth="1"/>
    <col min="3719" max="3719" width="5.28515625" bestFit="1" customWidth="1"/>
    <col min="3720" max="3725" width="11.5703125" bestFit="1" customWidth="1"/>
    <col min="3726" max="3726" width="11.28515625" bestFit="1" customWidth="1"/>
    <col min="3727" max="3727" width="10.140625" bestFit="1" customWidth="1"/>
    <col min="3728" max="3728" width="11.5703125" bestFit="1" customWidth="1"/>
    <col min="3729" max="3729" width="16.140625" customWidth="1"/>
    <col min="3730" max="3730" width="13.42578125" customWidth="1"/>
    <col min="3731" max="3731" width="10.140625" bestFit="1" customWidth="1"/>
    <col min="3732" max="3732" width="12.85546875" bestFit="1" customWidth="1"/>
    <col min="3733" max="3733" width="12.28515625" bestFit="1" customWidth="1"/>
    <col min="3734" max="3734" width="11.28515625" bestFit="1" customWidth="1"/>
    <col min="3735" max="3735" width="11.5703125" bestFit="1" customWidth="1"/>
    <col min="3736" max="3736" width="10.85546875" bestFit="1" customWidth="1"/>
    <col min="3737" max="3737" width="11.28515625" bestFit="1" customWidth="1"/>
    <col min="3738" max="3738" width="10.140625" bestFit="1" customWidth="1"/>
    <col min="3739" max="3739" width="13.28515625" bestFit="1" customWidth="1"/>
    <col min="3740" max="3741" width="12.7109375" bestFit="1" customWidth="1"/>
    <col min="3742" max="3742" width="11" bestFit="1" customWidth="1"/>
    <col min="3743" max="3743" width="11.28515625" bestFit="1" customWidth="1"/>
    <col min="3744" max="3744" width="11.5703125" bestFit="1" customWidth="1"/>
    <col min="3745" max="3745" width="12.28515625" bestFit="1" customWidth="1"/>
    <col min="3746" max="3746" width="15.140625" bestFit="1" customWidth="1"/>
    <col min="3747" max="3747" width="14.42578125" bestFit="1" customWidth="1"/>
    <col min="3748" max="3748" width="12.28515625" bestFit="1" customWidth="1"/>
    <col min="3749" max="3749" width="15.140625" bestFit="1" customWidth="1"/>
    <col min="3750" max="3750" width="14.42578125" bestFit="1" customWidth="1"/>
    <col min="3751" max="3751" width="12.28515625" bestFit="1" customWidth="1"/>
    <col min="3752" max="3752" width="14.42578125" bestFit="1" customWidth="1"/>
    <col min="3753" max="3753" width="11.28515625" bestFit="1" customWidth="1"/>
    <col min="3754" max="3754" width="12.28515625" bestFit="1" customWidth="1"/>
    <col min="3755" max="3755" width="13" bestFit="1" customWidth="1"/>
    <col min="3756" max="3756" width="15.140625" bestFit="1" customWidth="1"/>
    <col min="3757" max="3757" width="12.28515625" bestFit="1" customWidth="1"/>
    <col min="3758" max="3758" width="13.85546875" bestFit="1" customWidth="1"/>
    <col min="3759" max="3759" width="11.28515625" bestFit="1" customWidth="1"/>
    <col min="3760" max="3760" width="12.28515625" bestFit="1" customWidth="1"/>
    <col min="3761" max="3761" width="13.85546875" bestFit="1" customWidth="1"/>
    <col min="3762" max="3763" width="15.140625" bestFit="1" customWidth="1"/>
    <col min="3764" max="3764" width="12.28515625" bestFit="1" customWidth="1"/>
    <col min="3765" max="3765" width="5.7109375" bestFit="1" customWidth="1"/>
    <col min="3766" max="3766" width="8.5703125" bestFit="1" customWidth="1"/>
    <col min="3767" max="3767" width="5.5703125" bestFit="1" customWidth="1"/>
    <col min="3768" max="3768" width="14.42578125" bestFit="1" customWidth="1"/>
    <col min="3769" max="3769" width="11.28515625" bestFit="1" customWidth="1"/>
    <col min="3770" max="3771" width="12.28515625" bestFit="1" customWidth="1"/>
    <col min="3772" max="3772" width="11.28515625" bestFit="1" customWidth="1"/>
    <col min="3773" max="3773" width="13.85546875" bestFit="1" customWidth="1"/>
    <col min="3774" max="3774" width="12" bestFit="1" customWidth="1"/>
    <col min="3775" max="3775" width="13.85546875" bestFit="1" customWidth="1"/>
    <col min="3776" max="3777" width="14.42578125" customWidth="1"/>
    <col min="3778" max="3778" width="10.140625" bestFit="1" customWidth="1"/>
    <col min="3779" max="3779" width="12.28515625" bestFit="1" customWidth="1"/>
    <col min="3780" max="3780" width="7.42578125" bestFit="1" customWidth="1"/>
    <col min="3781" max="3781" width="8.5703125" bestFit="1" customWidth="1"/>
    <col min="3782" max="3782" width="11.5703125" bestFit="1" customWidth="1"/>
    <col min="3783" max="3783" width="13.28515625" bestFit="1" customWidth="1"/>
    <col min="3784" max="3784" width="13.28515625" customWidth="1"/>
    <col min="3785" max="3785" width="13.140625" customWidth="1"/>
    <col min="3786" max="3786" width="12.7109375" bestFit="1" customWidth="1"/>
    <col min="3787" max="3787" width="13.28515625" bestFit="1" customWidth="1"/>
    <col min="3788" max="3790" width="13.28515625" customWidth="1"/>
    <col min="3791" max="3791" width="12.140625" bestFit="1" customWidth="1"/>
    <col min="3792" max="3792" width="12.7109375" bestFit="1" customWidth="1"/>
    <col min="3793" max="3793" width="11" customWidth="1"/>
    <col min="3794" max="3794" width="16.7109375" customWidth="1"/>
    <col min="3795" max="3795" width="17" customWidth="1"/>
    <col min="3796" max="3796" width="10.42578125" bestFit="1" customWidth="1"/>
    <col min="3840" max="3840" width="3.85546875" customWidth="1"/>
    <col min="3841" max="3841" width="15.28515625" bestFit="1" customWidth="1"/>
    <col min="3842" max="3842" width="12.28515625" customWidth="1"/>
    <col min="3843" max="3843" width="16.28515625" bestFit="1" customWidth="1"/>
    <col min="3844" max="3844" width="6.42578125" bestFit="1" customWidth="1"/>
    <col min="3845" max="3845" width="9.28515625" bestFit="1" customWidth="1"/>
    <col min="3846" max="3846" width="7.5703125" bestFit="1" customWidth="1"/>
    <col min="3847" max="3847" width="13.28515625" bestFit="1" customWidth="1"/>
    <col min="3848" max="3848" width="9.28515625" bestFit="1" customWidth="1"/>
    <col min="3849" max="3849" width="11.5703125" bestFit="1" customWidth="1"/>
    <col min="3850" max="3850" width="13.28515625" bestFit="1" customWidth="1"/>
    <col min="3851" max="3851" width="7.140625" bestFit="1" customWidth="1"/>
    <col min="3852" max="3852" width="12" bestFit="1" customWidth="1"/>
    <col min="3853" max="3853" width="13.28515625" bestFit="1" customWidth="1"/>
    <col min="3854" max="3854" width="7" bestFit="1" customWidth="1"/>
    <col min="3855" max="3855" width="12.7109375" bestFit="1" customWidth="1"/>
    <col min="3856" max="3856" width="11.5703125" bestFit="1" customWidth="1"/>
    <col min="3857" max="3857" width="10.5703125" bestFit="1" customWidth="1"/>
    <col min="3858" max="3859" width="15.7109375" bestFit="1" customWidth="1"/>
    <col min="3860" max="3860" width="11.5703125" bestFit="1" customWidth="1"/>
    <col min="3861" max="3861" width="7.7109375" bestFit="1" customWidth="1"/>
    <col min="3862" max="3862" width="15.140625" bestFit="1" customWidth="1"/>
    <col min="3863" max="3863" width="11.5703125" bestFit="1" customWidth="1"/>
    <col min="3864" max="3864" width="13.28515625" bestFit="1" customWidth="1"/>
    <col min="3865" max="3865" width="10.42578125" bestFit="1" customWidth="1"/>
    <col min="3866" max="3866" width="13.28515625" bestFit="1" customWidth="1"/>
    <col min="3867" max="3867" width="12.140625" bestFit="1" customWidth="1"/>
    <col min="3868" max="3868" width="14.42578125" bestFit="1" customWidth="1"/>
    <col min="3869" max="3869" width="13.28515625" bestFit="1" customWidth="1"/>
    <col min="3870" max="3870" width="11.5703125" bestFit="1" customWidth="1"/>
    <col min="3871" max="3871" width="7.7109375" bestFit="1" customWidth="1"/>
    <col min="3872" max="3873" width="14.42578125" bestFit="1" customWidth="1"/>
    <col min="3874" max="3874" width="11.5703125" bestFit="1" customWidth="1"/>
    <col min="3875" max="3875" width="7.7109375" bestFit="1" customWidth="1"/>
    <col min="3876" max="3876" width="13.5703125" customWidth="1"/>
    <col min="3877" max="3877" width="15.28515625" customWidth="1"/>
    <col min="3878" max="3878" width="14.5703125" customWidth="1"/>
    <col min="3879" max="3879" width="13.28515625" bestFit="1" customWidth="1"/>
    <col min="3880" max="3880" width="7.7109375" bestFit="1" customWidth="1"/>
    <col min="3881" max="3881" width="12.7109375" bestFit="1" customWidth="1"/>
    <col min="3882" max="3882" width="11.7109375" bestFit="1" customWidth="1"/>
    <col min="3883" max="3883" width="11.5703125" bestFit="1" customWidth="1"/>
    <col min="3884" max="3884" width="5.28515625" bestFit="1" customWidth="1"/>
    <col min="3885" max="3885" width="13.28515625" bestFit="1" customWidth="1"/>
    <col min="3886" max="3886" width="13.5703125" bestFit="1" customWidth="1"/>
    <col min="3887" max="3887" width="10.5703125" bestFit="1" customWidth="1"/>
    <col min="3888" max="3888" width="13.28515625" bestFit="1" customWidth="1"/>
    <col min="3889" max="3889" width="11.5703125" bestFit="1" customWidth="1"/>
    <col min="3890" max="3890" width="10.5703125" bestFit="1" customWidth="1"/>
    <col min="3891" max="3891" width="16.140625" bestFit="1" customWidth="1"/>
    <col min="3892" max="3893" width="11.28515625" bestFit="1" customWidth="1"/>
    <col min="3894" max="3894" width="13.28515625" bestFit="1" customWidth="1"/>
    <col min="3895" max="3895" width="7.7109375" bestFit="1" customWidth="1"/>
    <col min="3896" max="3899" width="9.140625" hidden="1" customWidth="1"/>
    <col min="3900" max="3900" width="10.42578125" bestFit="1" customWidth="1"/>
    <col min="3901" max="3901" width="10.5703125" bestFit="1" customWidth="1"/>
    <col min="3902" max="3902" width="10.42578125" bestFit="1" customWidth="1"/>
    <col min="3903" max="3903" width="10.5703125" bestFit="1" customWidth="1"/>
    <col min="3904" max="3904" width="9.5703125" bestFit="1" customWidth="1"/>
    <col min="3905" max="3905" width="11.5703125" bestFit="1" customWidth="1"/>
    <col min="3906" max="3906" width="10.42578125" bestFit="1" customWidth="1"/>
    <col min="3907" max="3907" width="10.85546875" customWidth="1"/>
    <col min="3908" max="3909" width="9.85546875" bestFit="1" customWidth="1"/>
    <col min="3910" max="3910" width="13.5703125" bestFit="1" customWidth="1"/>
    <col min="3911" max="3911" width="7.7109375" bestFit="1" customWidth="1"/>
    <col min="3912" max="3912" width="13.28515625" bestFit="1" customWidth="1"/>
    <col min="3913" max="3913" width="11.5703125" bestFit="1" customWidth="1"/>
    <col min="3914" max="3914" width="10.42578125" bestFit="1" customWidth="1"/>
    <col min="3915" max="3915" width="7.7109375" bestFit="1" customWidth="1"/>
    <col min="3916" max="3916" width="11.5703125" bestFit="1" customWidth="1"/>
    <col min="3917" max="3917" width="10.85546875" bestFit="1" customWidth="1"/>
    <col min="3918" max="3918" width="13.28515625" bestFit="1" customWidth="1"/>
    <col min="3919" max="3919" width="10.85546875" bestFit="1" customWidth="1"/>
    <col min="3920" max="3921" width="7.5703125" bestFit="1" customWidth="1"/>
    <col min="3922" max="3923" width="10.42578125" bestFit="1" customWidth="1"/>
    <col min="3924" max="3924" width="11.5703125" bestFit="1" customWidth="1"/>
    <col min="3925" max="3925" width="5.28515625" bestFit="1" customWidth="1"/>
    <col min="3926" max="3926" width="10.28515625" bestFit="1" customWidth="1"/>
    <col min="3927" max="3927" width="10.42578125" bestFit="1" customWidth="1"/>
    <col min="3928" max="3928" width="11.5703125" bestFit="1" customWidth="1"/>
    <col min="3929" max="3929" width="5.28515625" bestFit="1" customWidth="1"/>
    <col min="3930" max="3932" width="11.5703125" bestFit="1" customWidth="1"/>
    <col min="3933" max="3933" width="5.28515625" bestFit="1" customWidth="1"/>
    <col min="3934" max="3935" width="10.42578125" bestFit="1" customWidth="1"/>
    <col min="3936" max="3936" width="11.5703125" bestFit="1" customWidth="1"/>
    <col min="3937" max="3937" width="5.28515625" bestFit="1" customWidth="1"/>
    <col min="3938" max="3938" width="14.28515625" bestFit="1" customWidth="1"/>
    <col min="3939" max="3939" width="13" bestFit="1" customWidth="1"/>
    <col min="3940" max="3940" width="11.5703125" bestFit="1" customWidth="1"/>
    <col min="3941" max="3941" width="8.85546875" bestFit="1" customWidth="1"/>
    <col min="3942" max="3942" width="14.42578125" bestFit="1" customWidth="1"/>
    <col min="3943" max="3943" width="10.42578125" bestFit="1" customWidth="1"/>
    <col min="3944" max="3944" width="12.28515625" bestFit="1" customWidth="1"/>
    <col min="3945" max="3945" width="13.85546875" bestFit="1" customWidth="1"/>
    <col min="3946" max="3946" width="11.28515625" customWidth="1"/>
    <col min="3947" max="3947" width="11.5703125" customWidth="1"/>
    <col min="3948" max="3948" width="13.42578125" bestFit="1" customWidth="1"/>
    <col min="3949" max="3949" width="10.42578125" customWidth="1"/>
    <col min="3950" max="3950" width="13.85546875" bestFit="1" customWidth="1"/>
    <col min="3951" max="3951" width="15.42578125" bestFit="1" customWidth="1"/>
    <col min="3952" max="3952" width="12.28515625" bestFit="1" customWidth="1"/>
    <col min="3953" max="3953" width="12.7109375" customWidth="1"/>
    <col min="3954" max="3954" width="10.7109375" bestFit="1" customWidth="1"/>
    <col min="3955" max="3955" width="9.85546875" customWidth="1"/>
    <col min="3956" max="3957" width="10.140625" bestFit="1" customWidth="1"/>
    <col min="3958" max="3958" width="7.5703125" bestFit="1" customWidth="1"/>
    <col min="3959" max="3959" width="9.42578125" bestFit="1" customWidth="1"/>
    <col min="3960" max="3960" width="14.5703125" bestFit="1" customWidth="1"/>
    <col min="3961" max="3961" width="14.85546875" customWidth="1"/>
    <col min="3962" max="3962" width="15.140625" bestFit="1" customWidth="1"/>
    <col min="3963" max="3963" width="12.140625" bestFit="1" customWidth="1"/>
    <col min="3964" max="3964" width="14.85546875" bestFit="1" customWidth="1"/>
    <col min="3965" max="3965" width="12.28515625" bestFit="1" customWidth="1"/>
    <col min="3966" max="3974" width="9.140625" hidden="1" customWidth="1"/>
    <col min="3975" max="3975" width="5.28515625" bestFit="1" customWidth="1"/>
    <col min="3976" max="3981" width="11.5703125" bestFit="1" customWidth="1"/>
    <col min="3982" max="3982" width="11.28515625" bestFit="1" customWidth="1"/>
    <col min="3983" max="3983" width="10.140625" bestFit="1" customWidth="1"/>
    <col min="3984" max="3984" width="11.5703125" bestFit="1" customWidth="1"/>
    <col min="3985" max="3985" width="16.140625" customWidth="1"/>
    <col min="3986" max="3986" width="13.42578125" customWidth="1"/>
    <col min="3987" max="3987" width="10.140625" bestFit="1" customWidth="1"/>
    <col min="3988" max="3988" width="12.85546875" bestFit="1" customWidth="1"/>
    <col min="3989" max="3989" width="12.28515625" bestFit="1" customWidth="1"/>
    <col min="3990" max="3990" width="11.28515625" bestFit="1" customWidth="1"/>
    <col min="3991" max="3991" width="11.5703125" bestFit="1" customWidth="1"/>
    <col min="3992" max="3992" width="10.85546875" bestFit="1" customWidth="1"/>
    <col min="3993" max="3993" width="11.28515625" bestFit="1" customWidth="1"/>
    <col min="3994" max="3994" width="10.140625" bestFit="1" customWidth="1"/>
    <col min="3995" max="3995" width="13.28515625" bestFit="1" customWidth="1"/>
    <col min="3996" max="3997" width="12.7109375" bestFit="1" customWidth="1"/>
    <col min="3998" max="3998" width="11" bestFit="1" customWidth="1"/>
    <col min="3999" max="3999" width="11.28515625" bestFit="1" customWidth="1"/>
    <col min="4000" max="4000" width="11.5703125" bestFit="1" customWidth="1"/>
    <col min="4001" max="4001" width="12.28515625" bestFit="1" customWidth="1"/>
    <col min="4002" max="4002" width="15.140625" bestFit="1" customWidth="1"/>
    <col min="4003" max="4003" width="14.42578125" bestFit="1" customWidth="1"/>
    <col min="4004" max="4004" width="12.28515625" bestFit="1" customWidth="1"/>
    <col min="4005" max="4005" width="15.140625" bestFit="1" customWidth="1"/>
    <col min="4006" max="4006" width="14.42578125" bestFit="1" customWidth="1"/>
    <col min="4007" max="4007" width="12.28515625" bestFit="1" customWidth="1"/>
    <col min="4008" max="4008" width="14.42578125" bestFit="1" customWidth="1"/>
    <col min="4009" max="4009" width="11.28515625" bestFit="1" customWidth="1"/>
    <col min="4010" max="4010" width="12.28515625" bestFit="1" customWidth="1"/>
    <col min="4011" max="4011" width="13" bestFit="1" customWidth="1"/>
    <col min="4012" max="4012" width="15.140625" bestFit="1" customWidth="1"/>
    <col min="4013" max="4013" width="12.28515625" bestFit="1" customWidth="1"/>
    <col min="4014" max="4014" width="13.85546875" bestFit="1" customWidth="1"/>
    <col min="4015" max="4015" width="11.28515625" bestFit="1" customWidth="1"/>
    <col min="4016" max="4016" width="12.28515625" bestFit="1" customWidth="1"/>
    <col min="4017" max="4017" width="13.85546875" bestFit="1" customWidth="1"/>
    <col min="4018" max="4019" width="15.140625" bestFit="1" customWidth="1"/>
    <col min="4020" max="4020" width="12.28515625" bestFit="1" customWidth="1"/>
    <col min="4021" max="4021" width="5.7109375" bestFit="1" customWidth="1"/>
    <col min="4022" max="4022" width="8.5703125" bestFit="1" customWidth="1"/>
    <col min="4023" max="4023" width="5.5703125" bestFit="1" customWidth="1"/>
    <col min="4024" max="4024" width="14.42578125" bestFit="1" customWidth="1"/>
    <col min="4025" max="4025" width="11.28515625" bestFit="1" customWidth="1"/>
    <col min="4026" max="4027" width="12.28515625" bestFit="1" customWidth="1"/>
    <col min="4028" max="4028" width="11.28515625" bestFit="1" customWidth="1"/>
    <col min="4029" max="4029" width="13.85546875" bestFit="1" customWidth="1"/>
    <col min="4030" max="4030" width="12" bestFit="1" customWidth="1"/>
    <col min="4031" max="4031" width="13.85546875" bestFit="1" customWidth="1"/>
    <col min="4032" max="4033" width="14.42578125" customWidth="1"/>
    <col min="4034" max="4034" width="10.140625" bestFit="1" customWidth="1"/>
    <col min="4035" max="4035" width="12.28515625" bestFit="1" customWidth="1"/>
    <col min="4036" max="4036" width="7.42578125" bestFit="1" customWidth="1"/>
    <col min="4037" max="4037" width="8.5703125" bestFit="1" customWidth="1"/>
    <col min="4038" max="4038" width="11.5703125" bestFit="1" customWidth="1"/>
    <col min="4039" max="4039" width="13.28515625" bestFit="1" customWidth="1"/>
    <col min="4040" max="4040" width="13.28515625" customWidth="1"/>
    <col min="4041" max="4041" width="13.140625" customWidth="1"/>
    <col min="4042" max="4042" width="12.7109375" bestFit="1" customWidth="1"/>
    <col min="4043" max="4043" width="13.28515625" bestFit="1" customWidth="1"/>
    <col min="4044" max="4046" width="13.28515625" customWidth="1"/>
    <col min="4047" max="4047" width="12.140625" bestFit="1" customWidth="1"/>
    <col min="4048" max="4048" width="12.7109375" bestFit="1" customWidth="1"/>
    <col min="4049" max="4049" width="11" customWidth="1"/>
    <col min="4050" max="4050" width="16.7109375" customWidth="1"/>
    <col min="4051" max="4051" width="17" customWidth="1"/>
    <col min="4052" max="4052" width="10.42578125" bestFit="1" customWidth="1"/>
    <col min="4096" max="4096" width="3.85546875" customWidth="1"/>
    <col min="4097" max="4097" width="15.28515625" bestFit="1" customWidth="1"/>
    <col min="4098" max="4098" width="12.28515625" customWidth="1"/>
    <col min="4099" max="4099" width="16.28515625" bestFit="1" customWidth="1"/>
    <col min="4100" max="4100" width="6.42578125" bestFit="1" customWidth="1"/>
    <col min="4101" max="4101" width="9.28515625" bestFit="1" customWidth="1"/>
    <col min="4102" max="4102" width="7.5703125" bestFit="1" customWidth="1"/>
    <col min="4103" max="4103" width="13.28515625" bestFit="1" customWidth="1"/>
    <col min="4104" max="4104" width="9.28515625" bestFit="1" customWidth="1"/>
    <col min="4105" max="4105" width="11.5703125" bestFit="1" customWidth="1"/>
    <col min="4106" max="4106" width="13.28515625" bestFit="1" customWidth="1"/>
    <col min="4107" max="4107" width="7.140625" bestFit="1" customWidth="1"/>
    <col min="4108" max="4108" width="12" bestFit="1" customWidth="1"/>
    <col min="4109" max="4109" width="13.28515625" bestFit="1" customWidth="1"/>
    <col min="4110" max="4110" width="7" bestFit="1" customWidth="1"/>
    <col min="4111" max="4111" width="12.7109375" bestFit="1" customWidth="1"/>
    <col min="4112" max="4112" width="11.5703125" bestFit="1" customWidth="1"/>
    <col min="4113" max="4113" width="10.5703125" bestFit="1" customWidth="1"/>
    <col min="4114" max="4115" width="15.7109375" bestFit="1" customWidth="1"/>
    <col min="4116" max="4116" width="11.5703125" bestFit="1" customWidth="1"/>
    <col min="4117" max="4117" width="7.7109375" bestFit="1" customWidth="1"/>
    <col min="4118" max="4118" width="15.140625" bestFit="1" customWidth="1"/>
    <col min="4119" max="4119" width="11.5703125" bestFit="1" customWidth="1"/>
    <col min="4120" max="4120" width="13.28515625" bestFit="1" customWidth="1"/>
    <col min="4121" max="4121" width="10.42578125" bestFit="1" customWidth="1"/>
    <col min="4122" max="4122" width="13.28515625" bestFit="1" customWidth="1"/>
    <col min="4123" max="4123" width="12.140625" bestFit="1" customWidth="1"/>
    <col min="4124" max="4124" width="14.42578125" bestFit="1" customWidth="1"/>
    <col min="4125" max="4125" width="13.28515625" bestFit="1" customWidth="1"/>
    <col min="4126" max="4126" width="11.5703125" bestFit="1" customWidth="1"/>
    <col min="4127" max="4127" width="7.7109375" bestFit="1" customWidth="1"/>
    <col min="4128" max="4129" width="14.42578125" bestFit="1" customWidth="1"/>
    <col min="4130" max="4130" width="11.5703125" bestFit="1" customWidth="1"/>
    <col min="4131" max="4131" width="7.7109375" bestFit="1" customWidth="1"/>
    <col min="4132" max="4132" width="13.5703125" customWidth="1"/>
    <col min="4133" max="4133" width="15.28515625" customWidth="1"/>
    <col min="4134" max="4134" width="14.5703125" customWidth="1"/>
    <col min="4135" max="4135" width="13.28515625" bestFit="1" customWidth="1"/>
    <col min="4136" max="4136" width="7.7109375" bestFit="1" customWidth="1"/>
    <col min="4137" max="4137" width="12.7109375" bestFit="1" customWidth="1"/>
    <col min="4138" max="4138" width="11.7109375" bestFit="1" customWidth="1"/>
    <col min="4139" max="4139" width="11.5703125" bestFit="1" customWidth="1"/>
    <col min="4140" max="4140" width="5.28515625" bestFit="1" customWidth="1"/>
    <col min="4141" max="4141" width="13.28515625" bestFit="1" customWidth="1"/>
    <col min="4142" max="4142" width="13.5703125" bestFit="1" customWidth="1"/>
    <col min="4143" max="4143" width="10.5703125" bestFit="1" customWidth="1"/>
    <col min="4144" max="4144" width="13.28515625" bestFit="1" customWidth="1"/>
    <col min="4145" max="4145" width="11.5703125" bestFit="1" customWidth="1"/>
    <col min="4146" max="4146" width="10.5703125" bestFit="1" customWidth="1"/>
    <col min="4147" max="4147" width="16.140625" bestFit="1" customWidth="1"/>
    <col min="4148" max="4149" width="11.28515625" bestFit="1" customWidth="1"/>
    <col min="4150" max="4150" width="13.28515625" bestFit="1" customWidth="1"/>
    <col min="4151" max="4151" width="7.7109375" bestFit="1" customWidth="1"/>
    <col min="4152" max="4155" width="9.140625" hidden="1" customWidth="1"/>
    <col min="4156" max="4156" width="10.42578125" bestFit="1" customWidth="1"/>
    <col min="4157" max="4157" width="10.5703125" bestFit="1" customWidth="1"/>
    <col min="4158" max="4158" width="10.42578125" bestFit="1" customWidth="1"/>
    <col min="4159" max="4159" width="10.5703125" bestFit="1" customWidth="1"/>
    <col min="4160" max="4160" width="9.5703125" bestFit="1" customWidth="1"/>
    <col min="4161" max="4161" width="11.5703125" bestFit="1" customWidth="1"/>
    <col min="4162" max="4162" width="10.42578125" bestFit="1" customWidth="1"/>
    <col min="4163" max="4163" width="10.85546875" customWidth="1"/>
    <col min="4164" max="4165" width="9.85546875" bestFit="1" customWidth="1"/>
    <col min="4166" max="4166" width="13.5703125" bestFit="1" customWidth="1"/>
    <col min="4167" max="4167" width="7.7109375" bestFit="1" customWidth="1"/>
    <col min="4168" max="4168" width="13.28515625" bestFit="1" customWidth="1"/>
    <col min="4169" max="4169" width="11.5703125" bestFit="1" customWidth="1"/>
    <col min="4170" max="4170" width="10.42578125" bestFit="1" customWidth="1"/>
    <col min="4171" max="4171" width="7.7109375" bestFit="1" customWidth="1"/>
    <col min="4172" max="4172" width="11.5703125" bestFit="1" customWidth="1"/>
    <col min="4173" max="4173" width="10.85546875" bestFit="1" customWidth="1"/>
    <col min="4174" max="4174" width="13.28515625" bestFit="1" customWidth="1"/>
    <col min="4175" max="4175" width="10.85546875" bestFit="1" customWidth="1"/>
    <col min="4176" max="4177" width="7.5703125" bestFit="1" customWidth="1"/>
    <col min="4178" max="4179" width="10.42578125" bestFit="1" customWidth="1"/>
    <col min="4180" max="4180" width="11.5703125" bestFit="1" customWidth="1"/>
    <col min="4181" max="4181" width="5.28515625" bestFit="1" customWidth="1"/>
    <col min="4182" max="4182" width="10.28515625" bestFit="1" customWidth="1"/>
    <col min="4183" max="4183" width="10.42578125" bestFit="1" customWidth="1"/>
    <col min="4184" max="4184" width="11.5703125" bestFit="1" customWidth="1"/>
    <col min="4185" max="4185" width="5.28515625" bestFit="1" customWidth="1"/>
    <col min="4186" max="4188" width="11.5703125" bestFit="1" customWidth="1"/>
    <col min="4189" max="4189" width="5.28515625" bestFit="1" customWidth="1"/>
    <col min="4190" max="4191" width="10.42578125" bestFit="1" customWidth="1"/>
    <col min="4192" max="4192" width="11.5703125" bestFit="1" customWidth="1"/>
    <col min="4193" max="4193" width="5.28515625" bestFit="1" customWidth="1"/>
    <col min="4194" max="4194" width="14.28515625" bestFit="1" customWidth="1"/>
    <col min="4195" max="4195" width="13" bestFit="1" customWidth="1"/>
    <col min="4196" max="4196" width="11.5703125" bestFit="1" customWidth="1"/>
    <col min="4197" max="4197" width="8.85546875" bestFit="1" customWidth="1"/>
    <col min="4198" max="4198" width="14.42578125" bestFit="1" customWidth="1"/>
    <col min="4199" max="4199" width="10.42578125" bestFit="1" customWidth="1"/>
    <col min="4200" max="4200" width="12.28515625" bestFit="1" customWidth="1"/>
    <col min="4201" max="4201" width="13.85546875" bestFit="1" customWidth="1"/>
    <col min="4202" max="4202" width="11.28515625" customWidth="1"/>
    <col min="4203" max="4203" width="11.5703125" customWidth="1"/>
    <col min="4204" max="4204" width="13.42578125" bestFit="1" customWidth="1"/>
    <col min="4205" max="4205" width="10.42578125" customWidth="1"/>
    <col min="4206" max="4206" width="13.85546875" bestFit="1" customWidth="1"/>
    <col min="4207" max="4207" width="15.42578125" bestFit="1" customWidth="1"/>
    <col min="4208" max="4208" width="12.28515625" bestFit="1" customWidth="1"/>
    <col min="4209" max="4209" width="12.7109375" customWidth="1"/>
    <col min="4210" max="4210" width="10.7109375" bestFit="1" customWidth="1"/>
    <col min="4211" max="4211" width="9.85546875" customWidth="1"/>
    <col min="4212" max="4213" width="10.140625" bestFit="1" customWidth="1"/>
    <col min="4214" max="4214" width="7.5703125" bestFit="1" customWidth="1"/>
    <col min="4215" max="4215" width="9.42578125" bestFit="1" customWidth="1"/>
    <col min="4216" max="4216" width="14.5703125" bestFit="1" customWidth="1"/>
    <col min="4217" max="4217" width="14.85546875" customWidth="1"/>
    <col min="4218" max="4218" width="15.140625" bestFit="1" customWidth="1"/>
    <col min="4219" max="4219" width="12.140625" bestFit="1" customWidth="1"/>
    <col min="4220" max="4220" width="14.85546875" bestFit="1" customWidth="1"/>
    <col min="4221" max="4221" width="12.28515625" bestFit="1" customWidth="1"/>
    <col min="4222" max="4230" width="9.140625" hidden="1" customWidth="1"/>
    <col min="4231" max="4231" width="5.28515625" bestFit="1" customWidth="1"/>
    <col min="4232" max="4237" width="11.5703125" bestFit="1" customWidth="1"/>
    <col min="4238" max="4238" width="11.28515625" bestFit="1" customWidth="1"/>
    <col min="4239" max="4239" width="10.140625" bestFit="1" customWidth="1"/>
    <col min="4240" max="4240" width="11.5703125" bestFit="1" customWidth="1"/>
    <col min="4241" max="4241" width="16.140625" customWidth="1"/>
    <col min="4242" max="4242" width="13.42578125" customWidth="1"/>
    <col min="4243" max="4243" width="10.140625" bestFit="1" customWidth="1"/>
    <col min="4244" max="4244" width="12.85546875" bestFit="1" customWidth="1"/>
    <col min="4245" max="4245" width="12.28515625" bestFit="1" customWidth="1"/>
    <col min="4246" max="4246" width="11.28515625" bestFit="1" customWidth="1"/>
    <col min="4247" max="4247" width="11.5703125" bestFit="1" customWidth="1"/>
    <col min="4248" max="4248" width="10.85546875" bestFit="1" customWidth="1"/>
    <col min="4249" max="4249" width="11.28515625" bestFit="1" customWidth="1"/>
    <col min="4250" max="4250" width="10.140625" bestFit="1" customWidth="1"/>
    <col min="4251" max="4251" width="13.28515625" bestFit="1" customWidth="1"/>
    <col min="4252" max="4253" width="12.7109375" bestFit="1" customWidth="1"/>
    <col min="4254" max="4254" width="11" bestFit="1" customWidth="1"/>
    <col min="4255" max="4255" width="11.28515625" bestFit="1" customWidth="1"/>
    <col min="4256" max="4256" width="11.5703125" bestFit="1" customWidth="1"/>
    <col min="4257" max="4257" width="12.28515625" bestFit="1" customWidth="1"/>
    <col min="4258" max="4258" width="15.140625" bestFit="1" customWidth="1"/>
    <col min="4259" max="4259" width="14.42578125" bestFit="1" customWidth="1"/>
    <col min="4260" max="4260" width="12.28515625" bestFit="1" customWidth="1"/>
    <col min="4261" max="4261" width="15.140625" bestFit="1" customWidth="1"/>
    <col min="4262" max="4262" width="14.42578125" bestFit="1" customWidth="1"/>
    <col min="4263" max="4263" width="12.28515625" bestFit="1" customWidth="1"/>
    <col min="4264" max="4264" width="14.42578125" bestFit="1" customWidth="1"/>
    <col min="4265" max="4265" width="11.28515625" bestFit="1" customWidth="1"/>
    <col min="4266" max="4266" width="12.28515625" bestFit="1" customWidth="1"/>
    <col min="4267" max="4267" width="13" bestFit="1" customWidth="1"/>
    <col min="4268" max="4268" width="15.140625" bestFit="1" customWidth="1"/>
    <col min="4269" max="4269" width="12.28515625" bestFit="1" customWidth="1"/>
    <col min="4270" max="4270" width="13.85546875" bestFit="1" customWidth="1"/>
    <col min="4271" max="4271" width="11.28515625" bestFit="1" customWidth="1"/>
    <col min="4272" max="4272" width="12.28515625" bestFit="1" customWidth="1"/>
    <col min="4273" max="4273" width="13.85546875" bestFit="1" customWidth="1"/>
    <col min="4274" max="4275" width="15.140625" bestFit="1" customWidth="1"/>
    <col min="4276" max="4276" width="12.28515625" bestFit="1" customWidth="1"/>
    <col min="4277" max="4277" width="5.7109375" bestFit="1" customWidth="1"/>
    <col min="4278" max="4278" width="8.5703125" bestFit="1" customWidth="1"/>
    <col min="4279" max="4279" width="5.5703125" bestFit="1" customWidth="1"/>
    <col min="4280" max="4280" width="14.42578125" bestFit="1" customWidth="1"/>
    <col min="4281" max="4281" width="11.28515625" bestFit="1" customWidth="1"/>
    <col min="4282" max="4283" width="12.28515625" bestFit="1" customWidth="1"/>
    <col min="4284" max="4284" width="11.28515625" bestFit="1" customWidth="1"/>
    <col min="4285" max="4285" width="13.85546875" bestFit="1" customWidth="1"/>
    <col min="4286" max="4286" width="12" bestFit="1" customWidth="1"/>
    <col min="4287" max="4287" width="13.85546875" bestFit="1" customWidth="1"/>
    <col min="4288" max="4289" width="14.42578125" customWidth="1"/>
    <col min="4290" max="4290" width="10.140625" bestFit="1" customWidth="1"/>
    <col min="4291" max="4291" width="12.28515625" bestFit="1" customWidth="1"/>
    <col min="4292" max="4292" width="7.42578125" bestFit="1" customWidth="1"/>
    <col min="4293" max="4293" width="8.5703125" bestFit="1" customWidth="1"/>
    <col min="4294" max="4294" width="11.5703125" bestFit="1" customWidth="1"/>
    <col min="4295" max="4295" width="13.28515625" bestFit="1" customWidth="1"/>
    <col min="4296" max="4296" width="13.28515625" customWidth="1"/>
    <col min="4297" max="4297" width="13.140625" customWidth="1"/>
    <col min="4298" max="4298" width="12.7109375" bestFit="1" customWidth="1"/>
    <col min="4299" max="4299" width="13.28515625" bestFit="1" customWidth="1"/>
    <col min="4300" max="4302" width="13.28515625" customWidth="1"/>
    <col min="4303" max="4303" width="12.140625" bestFit="1" customWidth="1"/>
    <col min="4304" max="4304" width="12.7109375" bestFit="1" customWidth="1"/>
    <col min="4305" max="4305" width="11" customWidth="1"/>
    <col min="4306" max="4306" width="16.7109375" customWidth="1"/>
    <col min="4307" max="4307" width="17" customWidth="1"/>
    <col min="4308" max="4308" width="10.42578125" bestFit="1" customWidth="1"/>
    <col min="4352" max="4352" width="3.85546875" customWidth="1"/>
    <col min="4353" max="4353" width="15.28515625" bestFit="1" customWidth="1"/>
    <col min="4354" max="4354" width="12.28515625" customWidth="1"/>
    <col min="4355" max="4355" width="16.28515625" bestFit="1" customWidth="1"/>
    <col min="4356" max="4356" width="6.42578125" bestFit="1" customWidth="1"/>
    <col min="4357" max="4357" width="9.28515625" bestFit="1" customWidth="1"/>
    <col min="4358" max="4358" width="7.5703125" bestFit="1" customWidth="1"/>
    <col min="4359" max="4359" width="13.28515625" bestFit="1" customWidth="1"/>
    <col min="4360" max="4360" width="9.28515625" bestFit="1" customWidth="1"/>
    <col min="4361" max="4361" width="11.5703125" bestFit="1" customWidth="1"/>
    <col min="4362" max="4362" width="13.28515625" bestFit="1" customWidth="1"/>
    <col min="4363" max="4363" width="7.140625" bestFit="1" customWidth="1"/>
    <col min="4364" max="4364" width="12" bestFit="1" customWidth="1"/>
    <col min="4365" max="4365" width="13.28515625" bestFit="1" customWidth="1"/>
    <col min="4366" max="4366" width="7" bestFit="1" customWidth="1"/>
    <col min="4367" max="4367" width="12.7109375" bestFit="1" customWidth="1"/>
    <col min="4368" max="4368" width="11.5703125" bestFit="1" customWidth="1"/>
    <col min="4369" max="4369" width="10.5703125" bestFit="1" customWidth="1"/>
    <col min="4370" max="4371" width="15.7109375" bestFit="1" customWidth="1"/>
    <col min="4372" max="4372" width="11.5703125" bestFit="1" customWidth="1"/>
    <col min="4373" max="4373" width="7.7109375" bestFit="1" customWidth="1"/>
    <col min="4374" max="4374" width="15.140625" bestFit="1" customWidth="1"/>
    <col min="4375" max="4375" width="11.5703125" bestFit="1" customWidth="1"/>
    <col min="4376" max="4376" width="13.28515625" bestFit="1" customWidth="1"/>
    <col min="4377" max="4377" width="10.42578125" bestFit="1" customWidth="1"/>
    <col min="4378" max="4378" width="13.28515625" bestFit="1" customWidth="1"/>
    <col min="4379" max="4379" width="12.140625" bestFit="1" customWidth="1"/>
    <col min="4380" max="4380" width="14.42578125" bestFit="1" customWidth="1"/>
    <col min="4381" max="4381" width="13.28515625" bestFit="1" customWidth="1"/>
    <col min="4382" max="4382" width="11.5703125" bestFit="1" customWidth="1"/>
    <col min="4383" max="4383" width="7.7109375" bestFit="1" customWidth="1"/>
    <col min="4384" max="4385" width="14.42578125" bestFit="1" customWidth="1"/>
    <col min="4386" max="4386" width="11.5703125" bestFit="1" customWidth="1"/>
    <col min="4387" max="4387" width="7.7109375" bestFit="1" customWidth="1"/>
    <col min="4388" max="4388" width="13.5703125" customWidth="1"/>
    <col min="4389" max="4389" width="15.28515625" customWidth="1"/>
    <col min="4390" max="4390" width="14.5703125" customWidth="1"/>
    <col min="4391" max="4391" width="13.28515625" bestFit="1" customWidth="1"/>
    <col min="4392" max="4392" width="7.7109375" bestFit="1" customWidth="1"/>
    <col min="4393" max="4393" width="12.7109375" bestFit="1" customWidth="1"/>
    <col min="4394" max="4394" width="11.7109375" bestFit="1" customWidth="1"/>
    <col min="4395" max="4395" width="11.5703125" bestFit="1" customWidth="1"/>
    <col min="4396" max="4396" width="5.28515625" bestFit="1" customWidth="1"/>
    <col min="4397" max="4397" width="13.28515625" bestFit="1" customWidth="1"/>
    <col min="4398" max="4398" width="13.5703125" bestFit="1" customWidth="1"/>
    <col min="4399" max="4399" width="10.5703125" bestFit="1" customWidth="1"/>
    <col min="4400" max="4400" width="13.28515625" bestFit="1" customWidth="1"/>
    <col min="4401" max="4401" width="11.5703125" bestFit="1" customWidth="1"/>
    <col min="4402" max="4402" width="10.5703125" bestFit="1" customWidth="1"/>
    <col min="4403" max="4403" width="16.140625" bestFit="1" customWidth="1"/>
    <col min="4404" max="4405" width="11.28515625" bestFit="1" customWidth="1"/>
    <col min="4406" max="4406" width="13.28515625" bestFit="1" customWidth="1"/>
    <col min="4407" max="4407" width="7.7109375" bestFit="1" customWidth="1"/>
    <col min="4408" max="4411" width="9.140625" hidden="1" customWidth="1"/>
    <col min="4412" max="4412" width="10.42578125" bestFit="1" customWidth="1"/>
    <col min="4413" max="4413" width="10.5703125" bestFit="1" customWidth="1"/>
    <col min="4414" max="4414" width="10.42578125" bestFit="1" customWidth="1"/>
    <col min="4415" max="4415" width="10.5703125" bestFit="1" customWidth="1"/>
    <col min="4416" max="4416" width="9.5703125" bestFit="1" customWidth="1"/>
    <col min="4417" max="4417" width="11.5703125" bestFit="1" customWidth="1"/>
    <col min="4418" max="4418" width="10.42578125" bestFit="1" customWidth="1"/>
    <col min="4419" max="4419" width="10.85546875" customWidth="1"/>
    <col min="4420" max="4421" width="9.85546875" bestFit="1" customWidth="1"/>
    <col min="4422" max="4422" width="13.5703125" bestFit="1" customWidth="1"/>
    <col min="4423" max="4423" width="7.7109375" bestFit="1" customWidth="1"/>
    <col min="4424" max="4424" width="13.28515625" bestFit="1" customWidth="1"/>
    <col min="4425" max="4425" width="11.5703125" bestFit="1" customWidth="1"/>
    <col min="4426" max="4426" width="10.42578125" bestFit="1" customWidth="1"/>
    <col min="4427" max="4427" width="7.7109375" bestFit="1" customWidth="1"/>
    <col min="4428" max="4428" width="11.5703125" bestFit="1" customWidth="1"/>
    <col min="4429" max="4429" width="10.85546875" bestFit="1" customWidth="1"/>
    <col min="4430" max="4430" width="13.28515625" bestFit="1" customWidth="1"/>
    <col min="4431" max="4431" width="10.85546875" bestFit="1" customWidth="1"/>
    <col min="4432" max="4433" width="7.5703125" bestFit="1" customWidth="1"/>
    <col min="4434" max="4435" width="10.42578125" bestFit="1" customWidth="1"/>
    <col min="4436" max="4436" width="11.5703125" bestFit="1" customWidth="1"/>
    <col min="4437" max="4437" width="5.28515625" bestFit="1" customWidth="1"/>
    <col min="4438" max="4438" width="10.28515625" bestFit="1" customWidth="1"/>
    <col min="4439" max="4439" width="10.42578125" bestFit="1" customWidth="1"/>
    <col min="4440" max="4440" width="11.5703125" bestFit="1" customWidth="1"/>
    <col min="4441" max="4441" width="5.28515625" bestFit="1" customWidth="1"/>
    <col min="4442" max="4444" width="11.5703125" bestFit="1" customWidth="1"/>
    <col min="4445" max="4445" width="5.28515625" bestFit="1" customWidth="1"/>
    <col min="4446" max="4447" width="10.42578125" bestFit="1" customWidth="1"/>
    <col min="4448" max="4448" width="11.5703125" bestFit="1" customWidth="1"/>
    <col min="4449" max="4449" width="5.28515625" bestFit="1" customWidth="1"/>
    <col min="4450" max="4450" width="14.28515625" bestFit="1" customWidth="1"/>
    <col min="4451" max="4451" width="13" bestFit="1" customWidth="1"/>
    <col min="4452" max="4452" width="11.5703125" bestFit="1" customWidth="1"/>
    <col min="4453" max="4453" width="8.85546875" bestFit="1" customWidth="1"/>
    <col min="4454" max="4454" width="14.42578125" bestFit="1" customWidth="1"/>
    <col min="4455" max="4455" width="10.42578125" bestFit="1" customWidth="1"/>
    <col min="4456" max="4456" width="12.28515625" bestFit="1" customWidth="1"/>
    <col min="4457" max="4457" width="13.85546875" bestFit="1" customWidth="1"/>
    <col min="4458" max="4458" width="11.28515625" customWidth="1"/>
    <col min="4459" max="4459" width="11.5703125" customWidth="1"/>
    <col min="4460" max="4460" width="13.42578125" bestFit="1" customWidth="1"/>
    <col min="4461" max="4461" width="10.42578125" customWidth="1"/>
    <col min="4462" max="4462" width="13.85546875" bestFit="1" customWidth="1"/>
    <col min="4463" max="4463" width="15.42578125" bestFit="1" customWidth="1"/>
    <col min="4464" max="4464" width="12.28515625" bestFit="1" customWidth="1"/>
    <col min="4465" max="4465" width="12.7109375" customWidth="1"/>
    <col min="4466" max="4466" width="10.7109375" bestFit="1" customWidth="1"/>
    <col min="4467" max="4467" width="9.85546875" customWidth="1"/>
    <col min="4468" max="4469" width="10.140625" bestFit="1" customWidth="1"/>
    <col min="4470" max="4470" width="7.5703125" bestFit="1" customWidth="1"/>
    <col min="4471" max="4471" width="9.42578125" bestFit="1" customWidth="1"/>
    <col min="4472" max="4472" width="14.5703125" bestFit="1" customWidth="1"/>
    <col min="4473" max="4473" width="14.85546875" customWidth="1"/>
    <col min="4474" max="4474" width="15.140625" bestFit="1" customWidth="1"/>
    <col min="4475" max="4475" width="12.140625" bestFit="1" customWidth="1"/>
    <col min="4476" max="4476" width="14.85546875" bestFit="1" customWidth="1"/>
    <col min="4477" max="4477" width="12.28515625" bestFit="1" customWidth="1"/>
    <col min="4478" max="4486" width="9.140625" hidden="1" customWidth="1"/>
    <col min="4487" max="4487" width="5.28515625" bestFit="1" customWidth="1"/>
    <col min="4488" max="4493" width="11.5703125" bestFit="1" customWidth="1"/>
    <col min="4494" max="4494" width="11.28515625" bestFit="1" customWidth="1"/>
    <col min="4495" max="4495" width="10.140625" bestFit="1" customWidth="1"/>
    <col min="4496" max="4496" width="11.5703125" bestFit="1" customWidth="1"/>
    <col min="4497" max="4497" width="16.140625" customWidth="1"/>
    <col min="4498" max="4498" width="13.42578125" customWidth="1"/>
    <col min="4499" max="4499" width="10.140625" bestFit="1" customWidth="1"/>
    <col min="4500" max="4500" width="12.85546875" bestFit="1" customWidth="1"/>
    <col min="4501" max="4501" width="12.28515625" bestFit="1" customWidth="1"/>
    <col min="4502" max="4502" width="11.28515625" bestFit="1" customWidth="1"/>
    <col min="4503" max="4503" width="11.5703125" bestFit="1" customWidth="1"/>
    <col min="4504" max="4504" width="10.85546875" bestFit="1" customWidth="1"/>
    <col min="4505" max="4505" width="11.28515625" bestFit="1" customWidth="1"/>
    <col min="4506" max="4506" width="10.140625" bestFit="1" customWidth="1"/>
    <col min="4507" max="4507" width="13.28515625" bestFit="1" customWidth="1"/>
    <col min="4508" max="4509" width="12.7109375" bestFit="1" customWidth="1"/>
    <col min="4510" max="4510" width="11" bestFit="1" customWidth="1"/>
    <col min="4511" max="4511" width="11.28515625" bestFit="1" customWidth="1"/>
    <col min="4512" max="4512" width="11.5703125" bestFit="1" customWidth="1"/>
    <col min="4513" max="4513" width="12.28515625" bestFit="1" customWidth="1"/>
    <col min="4514" max="4514" width="15.140625" bestFit="1" customWidth="1"/>
    <col min="4515" max="4515" width="14.42578125" bestFit="1" customWidth="1"/>
    <col min="4516" max="4516" width="12.28515625" bestFit="1" customWidth="1"/>
    <col min="4517" max="4517" width="15.140625" bestFit="1" customWidth="1"/>
    <col min="4518" max="4518" width="14.42578125" bestFit="1" customWidth="1"/>
    <col min="4519" max="4519" width="12.28515625" bestFit="1" customWidth="1"/>
    <col min="4520" max="4520" width="14.42578125" bestFit="1" customWidth="1"/>
    <col min="4521" max="4521" width="11.28515625" bestFit="1" customWidth="1"/>
    <col min="4522" max="4522" width="12.28515625" bestFit="1" customWidth="1"/>
    <col min="4523" max="4523" width="13" bestFit="1" customWidth="1"/>
    <col min="4524" max="4524" width="15.140625" bestFit="1" customWidth="1"/>
    <col min="4525" max="4525" width="12.28515625" bestFit="1" customWidth="1"/>
    <col min="4526" max="4526" width="13.85546875" bestFit="1" customWidth="1"/>
    <col min="4527" max="4527" width="11.28515625" bestFit="1" customWidth="1"/>
    <col min="4528" max="4528" width="12.28515625" bestFit="1" customWidth="1"/>
    <col min="4529" max="4529" width="13.85546875" bestFit="1" customWidth="1"/>
    <col min="4530" max="4531" width="15.140625" bestFit="1" customWidth="1"/>
    <col min="4532" max="4532" width="12.28515625" bestFit="1" customWidth="1"/>
    <col min="4533" max="4533" width="5.7109375" bestFit="1" customWidth="1"/>
    <col min="4534" max="4534" width="8.5703125" bestFit="1" customWidth="1"/>
    <col min="4535" max="4535" width="5.5703125" bestFit="1" customWidth="1"/>
    <col min="4536" max="4536" width="14.42578125" bestFit="1" customWidth="1"/>
    <col min="4537" max="4537" width="11.28515625" bestFit="1" customWidth="1"/>
    <col min="4538" max="4539" width="12.28515625" bestFit="1" customWidth="1"/>
    <col min="4540" max="4540" width="11.28515625" bestFit="1" customWidth="1"/>
    <col min="4541" max="4541" width="13.85546875" bestFit="1" customWidth="1"/>
    <col min="4542" max="4542" width="12" bestFit="1" customWidth="1"/>
    <col min="4543" max="4543" width="13.85546875" bestFit="1" customWidth="1"/>
    <col min="4544" max="4545" width="14.42578125" customWidth="1"/>
    <col min="4546" max="4546" width="10.140625" bestFit="1" customWidth="1"/>
    <col min="4547" max="4547" width="12.28515625" bestFit="1" customWidth="1"/>
    <col min="4548" max="4548" width="7.42578125" bestFit="1" customWidth="1"/>
    <col min="4549" max="4549" width="8.5703125" bestFit="1" customWidth="1"/>
    <col min="4550" max="4550" width="11.5703125" bestFit="1" customWidth="1"/>
    <col min="4551" max="4551" width="13.28515625" bestFit="1" customWidth="1"/>
    <col min="4552" max="4552" width="13.28515625" customWidth="1"/>
    <col min="4553" max="4553" width="13.140625" customWidth="1"/>
    <col min="4554" max="4554" width="12.7109375" bestFit="1" customWidth="1"/>
    <col min="4555" max="4555" width="13.28515625" bestFit="1" customWidth="1"/>
    <col min="4556" max="4558" width="13.28515625" customWidth="1"/>
    <col min="4559" max="4559" width="12.140625" bestFit="1" customWidth="1"/>
    <col min="4560" max="4560" width="12.7109375" bestFit="1" customWidth="1"/>
    <col min="4561" max="4561" width="11" customWidth="1"/>
    <col min="4562" max="4562" width="16.7109375" customWidth="1"/>
    <col min="4563" max="4563" width="17" customWidth="1"/>
    <col min="4564" max="4564" width="10.42578125" bestFit="1" customWidth="1"/>
    <col min="4608" max="4608" width="3.85546875" customWidth="1"/>
    <col min="4609" max="4609" width="15.28515625" bestFit="1" customWidth="1"/>
    <col min="4610" max="4610" width="12.28515625" customWidth="1"/>
    <col min="4611" max="4611" width="16.28515625" bestFit="1" customWidth="1"/>
    <col min="4612" max="4612" width="6.42578125" bestFit="1" customWidth="1"/>
    <col min="4613" max="4613" width="9.28515625" bestFit="1" customWidth="1"/>
    <col min="4614" max="4614" width="7.5703125" bestFit="1" customWidth="1"/>
    <col min="4615" max="4615" width="13.28515625" bestFit="1" customWidth="1"/>
    <col min="4616" max="4616" width="9.28515625" bestFit="1" customWidth="1"/>
    <col min="4617" max="4617" width="11.5703125" bestFit="1" customWidth="1"/>
    <col min="4618" max="4618" width="13.28515625" bestFit="1" customWidth="1"/>
    <col min="4619" max="4619" width="7.140625" bestFit="1" customWidth="1"/>
    <col min="4620" max="4620" width="12" bestFit="1" customWidth="1"/>
    <col min="4621" max="4621" width="13.28515625" bestFit="1" customWidth="1"/>
    <col min="4622" max="4622" width="7" bestFit="1" customWidth="1"/>
    <col min="4623" max="4623" width="12.7109375" bestFit="1" customWidth="1"/>
    <col min="4624" max="4624" width="11.5703125" bestFit="1" customWidth="1"/>
    <col min="4625" max="4625" width="10.5703125" bestFit="1" customWidth="1"/>
    <col min="4626" max="4627" width="15.7109375" bestFit="1" customWidth="1"/>
    <col min="4628" max="4628" width="11.5703125" bestFit="1" customWidth="1"/>
    <col min="4629" max="4629" width="7.7109375" bestFit="1" customWidth="1"/>
    <col min="4630" max="4630" width="15.140625" bestFit="1" customWidth="1"/>
    <col min="4631" max="4631" width="11.5703125" bestFit="1" customWidth="1"/>
    <col min="4632" max="4632" width="13.28515625" bestFit="1" customWidth="1"/>
    <col min="4633" max="4633" width="10.42578125" bestFit="1" customWidth="1"/>
    <col min="4634" max="4634" width="13.28515625" bestFit="1" customWidth="1"/>
    <col min="4635" max="4635" width="12.140625" bestFit="1" customWidth="1"/>
    <col min="4636" max="4636" width="14.42578125" bestFit="1" customWidth="1"/>
    <col min="4637" max="4637" width="13.28515625" bestFit="1" customWidth="1"/>
    <col min="4638" max="4638" width="11.5703125" bestFit="1" customWidth="1"/>
    <col min="4639" max="4639" width="7.7109375" bestFit="1" customWidth="1"/>
    <col min="4640" max="4641" width="14.42578125" bestFit="1" customWidth="1"/>
    <col min="4642" max="4642" width="11.5703125" bestFit="1" customWidth="1"/>
    <col min="4643" max="4643" width="7.7109375" bestFit="1" customWidth="1"/>
    <col min="4644" max="4644" width="13.5703125" customWidth="1"/>
    <col min="4645" max="4645" width="15.28515625" customWidth="1"/>
    <col min="4646" max="4646" width="14.5703125" customWidth="1"/>
    <col min="4647" max="4647" width="13.28515625" bestFit="1" customWidth="1"/>
    <col min="4648" max="4648" width="7.7109375" bestFit="1" customWidth="1"/>
    <col min="4649" max="4649" width="12.7109375" bestFit="1" customWidth="1"/>
    <col min="4650" max="4650" width="11.7109375" bestFit="1" customWidth="1"/>
    <col min="4651" max="4651" width="11.5703125" bestFit="1" customWidth="1"/>
    <col min="4652" max="4652" width="5.28515625" bestFit="1" customWidth="1"/>
    <col min="4653" max="4653" width="13.28515625" bestFit="1" customWidth="1"/>
    <col min="4654" max="4654" width="13.5703125" bestFit="1" customWidth="1"/>
    <col min="4655" max="4655" width="10.5703125" bestFit="1" customWidth="1"/>
    <col min="4656" max="4656" width="13.28515625" bestFit="1" customWidth="1"/>
    <col min="4657" max="4657" width="11.5703125" bestFit="1" customWidth="1"/>
    <col min="4658" max="4658" width="10.5703125" bestFit="1" customWidth="1"/>
    <col min="4659" max="4659" width="16.140625" bestFit="1" customWidth="1"/>
    <col min="4660" max="4661" width="11.28515625" bestFit="1" customWidth="1"/>
    <col min="4662" max="4662" width="13.28515625" bestFit="1" customWidth="1"/>
    <col min="4663" max="4663" width="7.7109375" bestFit="1" customWidth="1"/>
    <col min="4664" max="4667" width="9.140625" hidden="1" customWidth="1"/>
    <col min="4668" max="4668" width="10.42578125" bestFit="1" customWidth="1"/>
    <col min="4669" max="4669" width="10.5703125" bestFit="1" customWidth="1"/>
    <col min="4670" max="4670" width="10.42578125" bestFit="1" customWidth="1"/>
    <col min="4671" max="4671" width="10.5703125" bestFit="1" customWidth="1"/>
    <col min="4672" max="4672" width="9.5703125" bestFit="1" customWidth="1"/>
    <col min="4673" max="4673" width="11.5703125" bestFit="1" customWidth="1"/>
    <col min="4674" max="4674" width="10.42578125" bestFit="1" customWidth="1"/>
    <col min="4675" max="4675" width="10.85546875" customWidth="1"/>
    <col min="4676" max="4677" width="9.85546875" bestFit="1" customWidth="1"/>
    <col min="4678" max="4678" width="13.5703125" bestFit="1" customWidth="1"/>
    <col min="4679" max="4679" width="7.7109375" bestFit="1" customWidth="1"/>
    <col min="4680" max="4680" width="13.28515625" bestFit="1" customWidth="1"/>
    <col min="4681" max="4681" width="11.5703125" bestFit="1" customWidth="1"/>
    <col min="4682" max="4682" width="10.42578125" bestFit="1" customWidth="1"/>
    <col min="4683" max="4683" width="7.7109375" bestFit="1" customWidth="1"/>
    <col min="4684" max="4684" width="11.5703125" bestFit="1" customWidth="1"/>
    <col min="4685" max="4685" width="10.85546875" bestFit="1" customWidth="1"/>
    <col min="4686" max="4686" width="13.28515625" bestFit="1" customWidth="1"/>
    <col min="4687" max="4687" width="10.85546875" bestFit="1" customWidth="1"/>
    <col min="4688" max="4689" width="7.5703125" bestFit="1" customWidth="1"/>
    <col min="4690" max="4691" width="10.42578125" bestFit="1" customWidth="1"/>
    <col min="4692" max="4692" width="11.5703125" bestFit="1" customWidth="1"/>
    <col min="4693" max="4693" width="5.28515625" bestFit="1" customWidth="1"/>
    <col min="4694" max="4694" width="10.28515625" bestFit="1" customWidth="1"/>
    <col min="4695" max="4695" width="10.42578125" bestFit="1" customWidth="1"/>
    <col min="4696" max="4696" width="11.5703125" bestFit="1" customWidth="1"/>
    <col min="4697" max="4697" width="5.28515625" bestFit="1" customWidth="1"/>
    <col min="4698" max="4700" width="11.5703125" bestFit="1" customWidth="1"/>
    <col min="4701" max="4701" width="5.28515625" bestFit="1" customWidth="1"/>
    <col min="4702" max="4703" width="10.42578125" bestFit="1" customWidth="1"/>
    <col min="4704" max="4704" width="11.5703125" bestFit="1" customWidth="1"/>
    <col min="4705" max="4705" width="5.28515625" bestFit="1" customWidth="1"/>
    <col min="4706" max="4706" width="14.28515625" bestFit="1" customWidth="1"/>
    <col min="4707" max="4707" width="13" bestFit="1" customWidth="1"/>
    <col min="4708" max="4708" width="11.5703125" bestFit="1" customWidth="1"/>
    <col min="4709" max="4709" width="8.85546875" bestFit="1" customWidth="1"/>
    <col min="4710" max="4710" width="14.42578125" bestFit="1" customWidth="1"/>
    <col min="4711" max="4711" width="10.42578125" bestFit="1" customWidth="1"/>
    <col min="4712" max="4712" width="12.28515625" bestFit="1" customWidth="1"/>
    <col min="4713" max="4713" width="13.85546875" bestFit="1" customWidth="1"/>
    <col min="4714" max="4714" width="11.28515625" customWidth="1"/>
    <col min="4715" max="4715" width="11.5703125" customWidth="1"/>
    <col min="4716" max="4716" width="13.42578125" bestFit="1" customWidth="1"/>
    <col min="4717" max="4717" width="10.42578125" customWidth="1"/>
    <col min="4718" max="4718" width="13.85546875" bestFit="1" customWidth="1"/>
    <col min="4719" max="4719" width="15.42578125" bestFit="1" customWidth="1"/>
    <col min="4720" max="4720" width="12.28515625" bestFit="1" customWidth="1"/>
    <col min="4721" max="4721" width="12.7109375" customWidth="1"/>
    <col min="4722" max="4722" width="10.7109375" bestFit="1" customWidth="1"/>
    <col min="4723" max="4723" width="9.85546875" customWidth="1"/>
    <col min="4724" max="4725" width="10.140625" bestFit="1" customWidth="1"/>
    <col min="4726" max="4726" width="7.5703125" bestFit="1" customWidth="1"/>
    <col min="4727" max="4727" width="9.42578125" bestFit="1" customWidth="1"/>
    <col min="4728" max="4728" width="14.5703125" bestFit="1" customWidth="1"/>
    <col min="4729" max="4729" width="14.85546875" customWidth="1"/>
    <col min="4730" max="4730" width="15.140625" bestFit="1" customWidth="1"/>
    <col min="4731" max="4731" width="12.140625" bestFit="1" customWidth="1"/>
    <col min="4732" max="4732" width="14.85546875" bestFit="1" customWidth="1"/>
    <col min="4733" max="4733" width="12.28515625" bestFit="1" customWidth="1"/>
    <col min="4734" max="4742" width="9.140625" hidden="1" customWidth="1"/>
    <col min="4743" max="4743" width="5.28515625" bestFit="1" customWidth="1"/>
    <col min="4744" max="4749" width="11.5703125" bestFit="1" customWidth="1"/>
    <col min="4750" max="4750" width="11.28515625" bestFit="1" customWidth="1"/>
    <col min="4751" max="4751" width="10.140625" bestFit="1" customWidth="1"/>
    <col min="4752" max="4752" width="11.5703125" bestFit="1" customWidth="1"/>
    <col min="4753" max="4753" width="16.140625" customWidth="1"/>
    <col min="4754" max="4754" width="13.42578125" customWidth="1"/>
    <col min="4755" max="4755" width="10.140625" bestFit="1" customWidth="1"/>
    <col min="4756" max="4756" width="12.85546875" bestFit="1" customWidth="1"/>
    <col min="4757" max="4757" width="12.28515625" bestFit="1" customWidth="1"/>
    <col min="4758" max="4758" width="11.28515625" bestFit="1" customWidth="1"/>
    <col min="4759" max="4759" width="11.5703125" bestFit="1" customWidth="1"/>
    <col min="4760" max="4760" width="10.85546875" bestFit="1" customWidth="1"/>
    <col min="4761" max="4761" width="11.28515625" bestFit="1" customWidth="1"/>
    <col min="4762" max="4762" width="10.140625" bestFit="1" customWidth="1"/>
    <col min="4763" max="4763" width="13.28515625" bestFit="1" customWidth="1"/>
    <col min="4764" max="4765" width="12.7109375" bestFit="1" customWidth="1"/>
    <col min="4766" max="4766" width="11" bestFit="1" customWidth="1"/>
    <col min="4767" max="4767" width="11.28515625" bestFit="1" customWidth="1"/>
    <col min="4768" max="4768" width="11.5703125" bestFit="1" customWidth="1"/>
    <col min="4769" max="4769" width="12.28515625" bestFit="1" customWidth="1"/>
    <col min="4770" max="4770" width="15.140625" bestFit="1" customWidth="1"/>
    <col min="4771" max="4771" width="14.42578125" bestFit="1" customWidth="1"/>
    <col min="4772" max="4772" width="12.28515625" bestFit="1" customWidth="1"/>
    <col min="4773" max="4773" width="15.140625" bestFit="1" customWidth="1"/>
    <col min="4774" max="4774" width="14.42578125" bestFit="1" customWidth="1"/>
    <col min="4775" max="4775" width="12.28515625" bestFit="1" customWidth="1"/>
    <col min="4776" max="4776" width="14.42578125" bestFit="1" customWidth="1"/>
    <col min="4777" max="4777" width="11.28515625" bestFit="1" customWidth="1"/>
    <col min="4778" max="4778" width="12.28515625" bestFit="1" customWidth="1"/>
    <col min="4779" max="4779" width="13" bestFit="1" customWidth="1"/>
    <col min="4780" max="4780" width="15.140625" bestFit="1" customWidth="1"/>
    <col min="4781" max="4781" width="12.28515625" bestFit="1" customWidth="1"/>
    <col min="4782" max="4782" width="13.85546875" bestFit="1" customWidth="1"/>
    <col min="4783" max="4783" width="11.28515625" bestFit="1" customWidth="1"/>
    <col min="4784" max="4784" width="12.28515625" bestFit="1" customWidth="1"/>
    <col min="4785" max="4785" width="13.85546875" bestFit="1" customWidth="1"/>
    <col min="4786" max="4787" width="15.140625" bestFit="1" customWidth="1"/>
    <col min="4788" max="4788" width="12.28515625" bestFit="1" customWidth="1"/>
    <col min="4789" max="4789" width="5.7109375" bestFit="1" customWidth="1"/>
    <col min="4790" max="4790" width="8.5703125" bestFit="1" customWidth="1"/>
    <col min="4791" max="4791" width="5.5703125" bestFit="1" customWidth="1"/>
    <col min="4792" max="4792" width="14.42578125" bestFit="1" customWidth="1"/>
    <col min="4793" max="4793" width="11.28515625" bestFit="1" customWidth="1"/>
    <col min="4794" max="4795" width="12.28515625" bestFit="1" customWidth="1"/>
    <col min="4796" max="4796" width="11.28515625" bestFit="1" customWidth="1"/>
    <col min="4797" max="4797" width="13.85546875" bestFit="1" customWidth="1"/>
    <col min="4798" max="4798" width="12" bestFit="1" customWidth="1"/>
    <col min="4799" max="4799" width="13.85546875" bestFit="1" customWidth="1"/>
    <col min="4800" max="4801" width="14.42578125" customWidth="1"/>
    <col min="4802" max="4802" width="10.140625" bestFit="1" customWidth="1"/>
    <col min="4803" max="4803" width="12.28515625" bestFit="1" customWidth="1"/>
    <col min="4804" max="4804" width="7.42578125" bestFit="1" customWidth="1"/>
    <col min="4805" max="4805" width="8.5703125" bestFit="1" customWidth="1"/>
    <col min="4806" max="4806" width="11.5703125" bestFit="1" customWidth="1"/>
    <col min="4807" max="4807" width="13.28515625" bestFit="1" customWidth="1"/>
    <col min="4808" max="4808" width="13.28515625" customWidth="1"/>
    <col min="4809" max="4809" width="13.140625" customWidth="1"/>
    <col min="4810" max="4810" width="12.7109375" bestFit="1" customWidth="1"/>
    <col min="4811" max="4811" width="13.28515625" bestFit="1" customWidth="1"/>
    <col min="4812" max="4814" width="13.28515625" customWidth="1"/>
    <col min="4815" max="4815" width="12.140625" bestFit="1" customWidth="1"/>
    <col min="4816" max="4816" width="12.7109375" bestFit="1" customWidth="1"/>
    <col min="4817" max="4817" width="11" customWidth="1"/>
    <col min="4818" max="4818" width="16.7109375" customWidth="1"/>
    <col min="4819" max="4819" width="17" customWidth="1"/>
    <col min="4820" max="4820" width="10.42578125" bestFit="1" customWidth="1"/>
    <col min="4864" max="4864" width="3.85546875" customWidth="1"/>
    <col min="4865" max="4865" width="15.28515625" bestFit="1" customWidth="1"/>
    <col min="4866" max="4866" width="12.28515625" customWidth="1"/>
    <col min="4867" max="4867" width="16.28515625" bestFit="1" customWidth="1"/>
    <col min="4868" max="4868" width="6.42578125" bestFit="1" customWidth="1"/>
    <col min="4869" max="4869" width="9.28515625" bestFit="1" customWidth="1"/>
    <col min="4870" max="4870" width="7.5703125" bestFit="1" customWidth="1"/>
    <col min="4871" max="4871" width="13.28515625" bestFit="1" customWidth="1"/>
    <col min="4872" max="4872" width="9.28515625" bestFit="1" customWidth="1"/>
    <col min="4873" max="4873" width="11.5703125" bestFit="1" customWidth="1"/>
    <col min="4874" max="4874" width="13.28515625" bestFit="1" customWidth="1"/>
    <col min="4875" max="4875" width="7.140625" bestFit="1" customWidth="1"/>
    <col min="4876" max="4876" width="12" bestFit="1" customWidth="1"/>
    <col min="4877" max="4877" width="13.28515625" bestFit="1" customWidth="1"/>
    <col min="4878" max="4878" width="7" bestFit="1" customWidth="1"/>
    <col min="4879" max="4879" width="12.7109375" bestFit="1" customWidth="1"/>
    <col min="4880" max="4880" width="11.5703125" bestFit="1" customWidth="1"/>
    <col min="4881" max="4881" width="10.5703125" bestFit="1" customWidth="1"/>
    <col min="4882" max="4883" width="15.7109375" bestFit="1" customWidth="1"/>
    <col min="4884" max="4884" width="11.5703125" bestFit="1" customWidth="1"/>
    <col min="4885" max="4885" width="7.7109375" bestFit="1" customWidth="1"/>
    <col min="4886" max="4886" width="15.140625" bestFit="1" customWidth="1"/>
    <col min="4887" max="4887" width="11.5703125" bestFit="1" customWidth="1"/>
    <col min="4888" max="4888" width="13.28515625" bestFit="1" customWidth="1"/>
    <col min="4889" max="4889" width="10.42578125" bestFit="1" customWidth="1"/>
    <col min="4890" max="4890" width="13.28515625" bestFit="1" customWidth="1"/>
    <col min="4891" max="4891" width="12.140625" bestFit="1" customWidth="1"/>
    <col min="4892" max="4892" width="14.42578125" bestFit="1" customWidth="1"/>
    <col min="4893" max="4893" width="13.28515625" bestFit="1" customWidth="1"/>
    <col min="4894" max="4894" width="11.5703125" bestFit="1" customWidth="1"/>
    <col min="4895" max="4895" width="7.7109375" bestFit="1" customWidth="1"/>
    <col min="4896" max="4897" width="14.42578125" bestFit="1" customWidth="1"/>
    <col min="4898" max="4898" width="11.5703125" bestFit="1" customWidth="1"/>
    <col min="4899" max="4899" width="7.7109375" bestFit="1" customWidth="1"/>
    <col min="4900" max="4900" width="13.5703125" customWidth="1"/>
    <col min="4901" max="4901" width="15.28515625" customWidth="1"/>
    <col min="4902" max="4902" width="14.5703125" customWidth="1"/>
    <col min="4903" max="4903" width="13.28515625" bestFit="1" customWidth="1"/>
    <col min="4904" max="4904" width="7.7109375" bestFit="1" customWidth="1"/>
    <col min="4905" max="4905" width="12.7109375" bestFit="1" customWidth="1"/>
    <col min="4906" max="4906" width="11.7109375" bestFit="1" customWidth="1"/>
    <col min="4907" max="4907" width="11.5703125" bestFit="1" customWidth="1"/>
    <col min="4908" max="4908" width="5.28515625" bestFit="1" customWidth="1"/>
    <col min="4909" max="4909" width="13.28515625" bestFit="1" customWidth="1"/>
    <col min="4910" max="4910" width="13.5703125" bestFit="1" customWidth="1"/>
    <col min="4911" max="4911" width="10.5703125" bestFit="1" customWidth="1"/>
    <col min="4912" max="4912" width="13.28515625" bestFit="1" customWidth="1"/>
    <col min="4913" max="4913" width="11.5703125" bestFit="1" customWidth="1"/>
    <col min="4914" max="4914" width="10.5703125" bestFit="1" customWidth="1"/>
    <col min="4915" max="4915" width="16.140625" bestFit="1" customWidth="1"/>
    <col min="4916" max="4917" width="11.28515625" bestFit="1" customWidth="1"/>
    <col min="4918" max="4918" width="13.28515625" bestFit="1" customWidth="1"/>
    <col min="4919" max="4919" width="7.7109375" bestFit="1" customWidth="1"/>
    <col min="4920" max="4923" width="9.140625" hidden="1" customWidth="1"/>
    <col min="4924" max="4924" width="10.42578125" bestFit="1" customWidth="1"/>
    <col min="4925" max="4925" width="10.5703125" bestFit="1" customWidth="1"/>
    <col min="4926" max="4926" width="10.42578125" bestFit="1" customWidth="1"/>
    <col min="4927" max="4927" width="10.5703125" bestFit="1" customWidth="1"/>
    <col min="4928" max="4928" width="9.5703125" bestFit="1" customWidth="1"/>
    <col min="4929" max="4929" width="11.5703125" bestFit="1" customWidth="1"/>
    <col min="4930" max="4930" width="10.42578125" bestFit="1" customWidth="1"/>
    <col min="4931" max="4931" width="10.85546875" customWidth="1"/>
    <col min="4932" max="4933" width="9.85546875" bestFit="1" customWidth="1"/>
    <col min="4934" max="4934" width="13.5703125" bestFit="1" customWidth="1"/>
    <col min="4935" max="4935" width="7.7109375" bestFit="1" customWidth="1"/>
    <col min="4936" max="4936" width="13.28515625" bestFit="1" customWidth="1"/>
    <col min="4937" max="4937" width="11.5703125" bestFit="1" customWidth="1"/>
    <col min="4938" max="4938" width="10.42578125" bestFit="1" customWidth="1"/>
    <col min="4939" max="4939" width="7.7109375" bestFit="1" customWidth="1"/>
    <col min="4940" max="4940" width="11.5703125" bestFit="1" customWidth="1"/>
    <col min="4941" max="4941" width="10.85546875" bestFit="1" customWidth="1"/>
    <col min="4942" max="4942" width="13.28515625" bestFit="1" customWidth="1"/>
    <col min="4943" max="4943" width="10.85546875" bestFit="1" customWidth="1"/>
    <col min="4944" max="4945" width="7.5703125" bestFit="1" customWidth="1"/>
    <col min="4946" max="4947" width="10.42578125" bestFit="1" customWidth="1"/>
    <col min="4948" max="4948" width="11.5703125" bestFit="1" customWidth="1"/>
    <col min="4949" max="4949" width="5.28515625" bestFit="1" customWidth="1"/>
    <col min="4950" max="4950" width="10.28515625" bestFit="1" customWidth="1"/>
    <col min="4951" max="4951" width="10.42578125" bestFit="1" customWidth="1"/>
    <col min="4952" max="4952" width="11.5703125" bestFit="1" customWidth="1"/>
    <col min="4953" max="4953" width="5.28515625" bestFit="1" customWidth="1"/>
    <col min="4954" max="4956" width="11.5703125" bestFit="1" customWidth="1"/>
    <col min="4957" max="4957" width="5.28515625" bestFit="1" customWidth="1"/>
    <col min="4958" max="4959" width="10.42578125" bestFit="1" customWidth="1"/>
    <col min="4960" max="4960" width="11.5703125" bestFit="1" customWidth="1"/>
    <col min="4961" max="4961" width="5.28515625" bestFit="1" customWidth="1"/>
    <col min="4962" max="4962" width="14.28515625" bestFit="1" customWidth="1"/>
    <col min="4963" max="4963" width="13" bestFit="1" customWidth="1"/>
    <col min="4964" max="4964" width="11.5703125" bestFit="1" customWidth="1"/>
    <col min="4965" max="4965" width="8.85546875" bestFit="1" customWidth="1"/>
    <col min="4966" max="4966" width="14.42578125" bestFit="1" customWidth="1"/>
    <col min="4967" max="4967" width="10.42578125" bestFit="1" customWidth="1"/>
    <col min="4968" max="4968" width="12.28515625" bestFit="1" customWidth="1"/>
    <col min="4969" max="4969" width="13.85546875" bestFit="1" customWidth="1"/>
    <col min="4970" max="4970" width="11.28515625" customWidth="1"/>
    <col min="4971" max="4971" width="11.5703125" customWidth="1"/>
    <col min="4972" max="4972" width="13.42578125" bestFit="1" customWidth="1"/>
    <col min="4973" max="4973" width="10.42578125" customWidth="1"/>
    <col min="4974" max="4974" width="13.85546875" bestFit="1" customWidth="1"/>
    <col min="4975" max="4975" width="15.42578125" bestFit="1" customWidth="1"/>
    <col min="4976" max="4976" width="12.28515625" bestFit="1" customWidth="1"/>
    <col min="4977" max="4977" width="12.7109375" customWidth="1"/>
    <col min="4978" max="4978" width="10.7109375" bestFit="1" customWidth="1"/>
    <col min="4979" max="4979" width="9.85546875" customWidth="1"/>
    <col min="4980" max="4981" width="10.140625" bestFit="1" customWidth="1"/>
    <col min="4982" max="4982" width="7.5703125" bestFit="1" customWidth="1"/>
    <col min="4983" max="4983" width="9.42578125" bestFit="1" customWidth="1"/>
    <col min="4984" max="4984" width="14.5703125" bestFit="1" customWidth="1"/>
    <col min="4985" max="4985" width="14.85546875" customWidth="1"/>
    <col min="4986" max="4986" width="15.140625" bestFit="1" customWidth="1"/>
    <col min="4987" max="4987" width="12.140625" bestFit="1" customWidth="1"/>
    <col min="4988" max="4988" width="14.85546875" bestFit="1" customWidth="1"/>
    <col min="4989" max="4989" width="12.28515625" bestFit="1" customWidth="1"/>
    <col min="4990" max="4998" width="9.140625" hidden="1" customWidth="1"/>
    <col min="4999" max="4999" width="5.28515625" bestFit="1" customWidth="1"/>
    <col min="5000" max="5005" width="11.5703125" bestFit="1" customWidth="1"/>
    <col min="5006" max="5006" width="11.28515625" bestFit="1" customWidth="1"/>
    <col min="5007" max="5007" width="10.140625" bestFit="1" customWidth="1"/>
    <col min="5008" max="5008" width="11.5703125" bestFit="1" customWidth="1"/>
    <col min="5009" max="5009" width="16.140625" customWidth="1"/>
    <col min="5010" max="5010" width="13.42578125" customWidth="1"/>
    <col min="5011" max="5011" width="10.140625" bestFit="1" customWidth="1"/>
    <col min="5012" max="5012" width="12.85546875" bestFit="1" customWidth="1"/>
    <col min="5013" max="5013" width="12.28515625" bestFit="1" customWidth="1"/>
    <col min="5014" max="5014" width="11.28515625" bestFit="1" customWidth="1"/>
    <col min="5015" max="5015" width="11.5703125" bestFit="1" customWidth="1"/>
    <col min="5016" max="5016" width="10.85546875" bestFit="1" customWidth="1"/>
    <col min="5017" max="5017" width="11.28515625" bestFit="1" customWidth="1"/>
    <col min="5018" max="5018" width="10.140625" bestFit="1" customWidth="1"/>
    <col min="5019" max="5019" width="13.28515625" bestFit="1" customWidth="1"/>
    <col min="5020" max="5021" width="12.7109375" bestFit="1" customWidth="1"/>
    <col min="5022" max="5022" width="11" bestFit="1" customWidth="1"/>
    <col min="5023" max="5023" width="11.28515625" bestFit="1" customWidth="1"/>
    <col min="5024" max="5024" width="11.5703125" bestFit="1" customWidth="1"/>
    <col min="5025" max="5025" width="12.28515625" bestFit="1" customWidth="1"/>
    <col min="5026" max="5026" width="15.140625" bestFit="1" customWidth="1"/>
    <col min="5027" max="5027" width="14.42578125" bestFit="1" customWidth="1"/>
    <col min="5028" max="5028" width="12.28515625" bestFit="1" customWidth="1"/>
    <col min="5029" max="5029" width="15.140625" bestFit="1" customWidth="1"/>
    <col min="5030" max="5030" width="14.42578125" bestFit="1" customWidth="1"/>
    <col min="5031" max="5031" width="12.28515625" bestFit="1" customWidth="1"/>
    <col min="5032" max="5032" width="14.42578125" bestFit="1" customWidth="1"/>
    <col min="5033" max="5033" width="11.28515625" bestFit="1" customWidth="1"/>
    <col min="5034" max="5034" width="12.28515625" bestFit="1" customWidth="1"/>
    <col min="5035" max="5035" width="13" bestFit="1" customWidth="1"/>
    <col min="5036" max="5036" width="15.140625" bestFit="1" customWidth="1"/>
    <col min="5037" max="5037" width="12.28515625" bestFit="1" customWidth="1"/>
    <col min="5038" max="5038" width="13.85546875" bestFit="1" customWidth="1"/>
    <col min="5039" max="5039" width="11.28515625" bestFit="1" customWidth="1"/>
    <col min="5040" max="5040" width="12.28515625" bestFit="1" customWidth="1"/>
    <col min="5041" max="5041" width="13.85546875" bestFit="1" customWidth="1"/>
    <col min="5042" max="5043" width="15.140625" bestFit="1" customWidth="1"/>
    <col min="5044" max="5044" width="12.28515625" bestFit="1" customWidth="1"/>
    <col min="5045" max="5045" width="5.7109375" bestFit="1" customWidth="1"/>
    <col min="5046" max="5046" width="8.5703125" bestFit="1" customWidth="1"/>
    <col min="5047" max="5047" width="5.5703125" bestFit="1" customWidth="1"/>
    <col min="5048" max="5048" width="14.42578125" bestFit="1" customWidth="1"/>
    <col min="5049" max="5049" width="11.28515625" bestFit="1" customWidth="1"/>
    <col min="5050" max="5051" width="12.28515625" bestFit="1" customWidth="1"/>
    <col min="5052" max="5052" width="11.28515625" bestFit="1" customWidth="1"/>
    <col min="5053" max="5053" width="13.85546875" bestFit="1" customWidth="1"/>
    <col min="5054" max="5054" width="12" bestFit="1" customWidth="1"/>
    <col min="5055" max="5055" width="13.85546875" bestFit="1" customWidth="1"/>
    <col min="5056" max="5057" width="14.42578125" customWidth="1"/>
    <col min="5058" max="5058" width="10.140625" bestFit="1" customWidth="1"/>
    <col min="5059" max="5059" width="12.28515625" bestFit="1" customWidth="1"/>
    <col min="5060" max="5060" width="7.42578125" bestFit="1" customWidth="1"/>
    <col min="5061" max="5061" width="8.5703125" bestFit="1" customWidth="1"/>
    <col min="5062" max="5062" width="11.5703125" bestFit="1" customWidth="1"/>
    <col min="5063" max="5063" width="13.28515625" bestFit="1" customWidth="1"/>
    <col min="5064" max="5064" width="13.28515625" customWidth="1"/>
    <col min="5065" max="5065" width="13.140625" customWidth="1"/>
    <col min="5066" max="5066" width="12.7109375" bestFit="1" customWidth="1"/>
    <col min="5067" max="5067" width="13.28515625" bestFit="1" customWidth="1"/>
    <col min="5068" max="5070" width="13.28515625" customWidth="1"/>
    <col min="5071" max="5071" width="12.140625" bestFit="1" customWidth="1"/>
    <col min="5072" max="5072" width="12.7109375" bestFit="1" customWidth="1"/>
    <col min="5073" max="5073" width="11" customWidth="1"/>
    <col min="5074" max="5074" width="16.7109375" customWidth="1"/>
    <col min="5075" max="5075" width="17" customWidth="1"/>
    <col min="5076" max="5076" width="10.42578125" bestFit="1" customWidth="1"/>
    <col min="5120" max="5120" width="3.85546875" customWidth="1"/>
    <col min="5121" max="5121" width="15.28515625" bestFit="1" customWidth="1"/>
    <col min="5122" max="5122" width="12.28515625" customWidth="1"/>
    <col min="5123" max="5123" width="16.28515625" bestFit="1" customWidth="1"/>
    <col min="5124" max="5124" width="6.42578125" bestFit="1" customWidth="1"/>
    <col min="5125" max="5125" width="9.28515625" bestFit="1" customWidth="1"/>
    <col min="5126" max="5126" width="7.5703125" bestFit="1" customWidth="1"/>
    <col min="5127" max="5127" width="13.28515625" bestFit="1" customWidth="1"/>
    <col min="5128" max="5128" width="9.28515625" bestFit="1" customWidth="1"/>
    <col min="5129" max="5129" width="11.5703125" bestFit="1" customWidth="1"/>
    <col min="5130" max="5130" width="13.28515625" bestFit="1" customWidth="1"/>
    <col min="5131" max="5131" width="7.140625" bestFit="1" customWidth="1"/>
    <col min="5132" max="5132" width="12" bestFit="1" customWidth="1"/>
    <col min="5133" max="5133" width="13.28515625" bestFit="1" customWidth="1"/>
    <col min="5134" max="5134" width="7" bestFit="1" customWidth="1"/>
    <col min="5135" max="5135" width="12.7109375" bestFit="1" customWidth="1"/>
    <col min="5136" max="5136" width="11.5703125" bestFit="1" customWidth="1"/>
    <col min="5137" max="5137" width="10.5703125" bestFit="1" customWidth="1"/>
    <col min="5138" max="5139" width="15.7109375" bestFit="1" customWidth="1"/>
    <col min="5140" max="5140" width="11.5703125" bestFit="1" customWidth="1"/>
    <col min="5141" max="5141" width="7.7109375" bestFit="1" customWidth="1"/>
    <col min="5142" max="5142" width="15.140625" bestFit="1" customWidth="1"/>
    <col min="5143" max="5143" width="11.5703125" bestFit="1" customWidth="1"/>
    <col min="5144" max="5144" width="13.28515625" bestFit="1" customWidth="1"/>
    <col min="5145" max="5145" width="10.42578125" bestFit="1" customWidth="1"/>
    <col min="5146" max="5146" width="13.28515625" bestFit="1" customWidth="1"/>
    <col min="5147" max="5147" width="12.140625" bestFit="1" customWidth="1"/>
    <col min="5148" max="5148" width="14.42578125" bestFit="1" customWidth="1"/>
    <col min="5149" max="5149" width="13.28515625" bestFit="1" customWidth="1"/>
    <col min="5150" max="5150" width="11.5703125" bestFit="1" customWidth="1"/>
    <col min="5151" max="5151" width="7.7109375" bestFit="1" customWidth="1"/>
    <col min="5152" max="5153" width="14.42578125" bestFit="1" customWidth="1"/>
    <col min="5154" max="5154" width="11.5703125" bestFit="1" customWidth="1"/>
    <col min="5155" max="5155" width="7.7109375" bestFit="1" customWidth="1"/>
    <col min="5156" max="5156" width="13.5703125" customWidth="1"/>
    <col min="5157" max="5157" width="15.28515625" customWidth="1"/>
    <col min="5158" max="5158" width="14.5703125" customWidth="1"/>
    <col min="5159" max="5159" width="13.28515625" bestFit="1" customWidth="1"/>
    <col min="5160" max="5160" width="7.7109375" bestFit="1" customWidth="1"/>
    <col min="5161" max="5161" width="12.7109375" bestFit="1" customWidth="1"/>
    <col min="5162" max="5162" width="11.7109375" bestFit="1" customWidth="1"/>
    <col min="5163" max="5163" width="11.5703125" bestFit="1" customWidth="1"/>
    <col min="5164" max="5164" width="5.28515625" bestFit="1" customWidth="1"/>
    <col min="5165" max="5165" width="13.28515625" bestFit="1" customWidth="1"/>
    <col min="5166" max="5166" width="13.5703125" bestFit="1" customWidth="1"/>
    <col min="5167" max="5167" width="10.5703125" bestFit="1" customWidth="1"/>
    <col min="5168" max="5168" width="13.28515625" bestFit="1" customWidth="1"/>
    <col min="5169" max="5169" width="11.5703125" bestFit="1" customWidth="1"/>
    <col min="5170" max="5170" width="10.5703125" bestFit="1" customWidth="1"/>
    <col min="5171" max="5171" width="16.140625" bestFit="1" customWidth="1"/>
    <col min="5172" max="5173" width="11.28515625" bestFit="1" customWidth="1"/>
    <col min="5174" max="5174" width="13.28515625" bestFit="1" customWidth="1"/>
    <col min="5175" max="5175" width="7.7109375" bestFit="1" customWidth="1"/>
    <col min="5176" max="5179" width="9.140625" hidden="1" customWidth="1"/>
    <col min="5180" max="5180" width="10.42578125" bestFit="1" customWidth="1"/>
    <col min="5181" max="5181" width="10.5703125" bestFit="1" customWidth="1"/>
    <col min="5182" max="5182" width="10.42578125" bestFit="1" customWidth="1"/>
    <col min="5183" max="5183" width="10.5703125" bestFit="1" customWidth="1"/>
    <col min="5184" max="5184" width="9.5703125" bestFit="1" customWidth="1"/>
    <col min="5185" max="5185" width="11.5703125" bestFit="1" customWidth="1"/>
    <col min="5186" max="5186" width="10.42578125" bestFit="1" customWidth="1"/>
    <col min="5187" max="5187" width="10.85546875" customWidth="1"/>
    <col min="5188" max="5189" width="9.85546875" bestFit="1" customWidth="1"/>
    <col min="5190" max="5190" width="13.5703125" bestFit="1" customWidth="1"/>
    <col min="5191" max="5191" width="7.7109375" bestFit="1" customWidth="1"/>
    <col min="5192" max="5192" width="13.28515625" bestFit="1" customWidth="1"/>
    <col min="5193" max="5193" width="11.5703125" bestFit="1" customWidth="1"/>
    <col min="5194" max="5194" width="10.42578125" bestFit="1" customWidth="1"/>
    <col min="5195" max="5195" width="7.7109375" bestFit="1" customWidth="1"/>
    <col min="5196" max="5196" width="11.5703125" bestFit="1" customWidth="1"/>
    <col min="5197" max="5197" width="10.85546875" bestFit="1" customWidth="1"/>
    <col min="5198" max="5198" width="13.28515625" bestFit="1" customWidth="1"/>
    <col min="5199" max="5199" width="10.85546875" bestFit="1" customWidth="1"/>
    <col min="5200" max="5201" width="7.5703125" bestFit="1" customWidth="1"/>
    <col min="5202" max="5203" width="10.42578125" bestFit="1" customWidth="1"/>
    <col min="5204" max="5204" width="11.5703125" bestFit="1" customWidth="1"/>
    <col min="5205" max="5205" width="5.28515625" bestFit="1" customWidth="1"/>
    <col min="5206" max="5206" width="10.28515625" bestFit="1" customWidth="1"/>
    <col min="5207" max="5207" width="10.42578125" bestFit="1" customWidth="1"/>
    <col min="5208" max="5208" width="11.5703125" bestFit="1" customWidth="1"/>
    <col min="5209" max="5209" width="5.28515625" bestFit="1" customWidth="1"/>
    <col min="5210" max="5212" width="11.5703125" bestFit="1" customWidth="1"/>
    <col min="5213" max="5213" width="5.28515625" bestFit="1" customWidth="1"/>
    <col min="5214" max="5215" width="10.42578125" bestFit="1" customWidth="1"/>
    <col min="5216" max="5216" width="11.5703125" bestFit="1" customWidth="1"/>
    <col min="5217" max="5217" width="5.28515625" bestFit="1" customWidth="1"/>
    <col min="5218" max="5218" width="14.28515625" bestFit="1" customWidth="1"/>
    <col min="5219" max="5219" width="13" bestFit="1" customWidth="1"/>
    <col min="5220" max="5220" width="11.5703125" bestFit="1" customWidth="1"/>
    <col min="5221" max="5221" width="8.85546875" bestFit="1" customWidth="1"/>
    <col min="5222" max="5222" width="14.42578125" bestFit="1" customWidth="1"/>
    <col min="5223" max="5223" width="10.42578125" bestFit="1" customWidth="1"/>
    <col min="5224" max="5224" width="12.28515625" bestFit="1" customWidth="1"/>
    <col min="5225" max="5225" width="13.85546875" bestFit="1" customWidth="1"/>
    <col min="5226" max="5226" width="11.28515625" customWidth="1"/>
    <col min="5227" max="5227" width="11.5703125" customWidth="1"/>
    <col min="5228" max="5228" width="13.42578125" bestFit="1" customWidth="1"/>
    <col min="5229" max="5229" width="10.42578125" customWidth="1"/>
    <col min="5230" max="5230" width="13.85546875" bestFit="1" customWidth="1"/>
    <col min="5231" max="5231" width="15.42578125" bestFit="1" customWidth="1"/>
    <col min="5232" max="5232" width="12.28515625" bestFit="1" customWidth="1"/>
    <col min="5233" max="5233" width="12.7109375" customWidth="1"/>
    <col min="5234" max="5234" width="10.7109375" bestFit="1" customWidth="1"/>
    <col min="5235" max="5235" width="9.85546875" customWidth="1"/>
    <col min="5236" max="5237" width="10.140625" bestFit="1" customWidth="1"/>
    <col min="5238" max="5238" width="7.5703125" bestFit="1" customWidth="1"/>
    <col min="5239" max="5239" width="9.42578125" bestFit="1" customWidth="1"/>
    <col min="5240" max="5240" width="14.5703125" bestFit="1" customWidth="1"/>
    <col min="5241" max="5241" width="14.85546875" customWidth="1"/>
    <col min="5242" max="5242" width="15.140625" bestFit="1" customWidth="1"/>
    <col min="5243" max="5243" width="12.140625" bestFit="1" customWidth="1"/>
    <col min="5244" max="5244" width="14.85546875" bestFit="1" customWidth="1"/>
    <col min="5245" max="5245" width="12.28515625" bestFit="1" customWidth="1"/>
    <col min="5246" max="5254" width="9.140625" hidden="1" customWidth="1"/>
    <col min="5255" max="5255" width="5.28515625" bestFit="1" customWidth="1"/>
    <col min="5256" max="5261" width="11.5703125" bestFit="1" customWidth="1"/>
    <col min="5262" max="5262" width="11.28515625" bestFit="1" customWidth="1"/>
    <col min="5263" max="5263" width="10.140625" bestFit="1" customWidth="1"/>
    <col min="5264" max="5264" width="11.5703125" bestFit="1" customWidth="1"/>
    <col min="5265" max="5265" width="16.140625" customWidth="1"/>
    <col min="5266" max="5266" width="13.42578125" customWidth="1"/>
    <col min="5267" max="5267" width="10.140625" bestFit="1" customWidth="1"/>
    <col min="5268" max="5268" width="12.85546875" bestFit="1" customWidth="1"/>
    <col min="5269" max="5269" width="12.28515625" bestFit="1" customWidth="1"/>
    <col min="5270" max="5270" width="11.28515625" bestFit="1" customWidth="1"/>
    <col min="5271" max="5271" width="11.5703125" bestFit="1" customWidth="1"/>
    <col min="5272" max="5272" width="10.85546875" bestFit="1" customWidth="1"/>
    <col min="5273" max="5273" width="11.28515625" bestFit="1" customWidth="1"/>
    <col min="5274" max="5274" width="10.140625" bestFit="1" customWidth="1"/>
    <col min="5275" max="5275" width="13.28515625" bestFit="1" customWidth="1"/>
    <col min="5276" max="5277" width="12.7109375" bestFit="1" customWidth="1"/>
    <col min="5278" max="5278" width="11" bestFit="1" customWidth="1"/>
    <col min="5279" max="5279" width="11.28515625" bestFit="1" customWidth="1"/>
    <col min="5280" max="5280" width="11.5703125" bestFit="1" customWidth="1"/>
    <col min="5281" max="5281" width="12.28515625" bestFit="1" customWidth="1"/>
    <col min="5282" max="5282" width="15.140625" bestFit="1" customWidth="1"/>
    <col min="5283" max="5283" width="14.42578125" bestFit="1" customWidth="1"/>
    <col min="5284" max="5284" width="12.28515625" bestFit="1" customWidth="1"/>
    <col min="5285" max="5285" width="15.140625" bestFit="1" customWidth="1"/>
    <col min="5286" max="5286" width="14.42578125" bestFit="1" customWidth="1"/>
    <col min="5287" max="5287" width="12.28515625" bestFit="1" customWidth="1"/>
    <col min="5288" max="5288" width="14.42578125" bestFit="1" customWidth="1"/>
    <col min="5289" max="5289" width="11.28515625" bestFit="1" customWidth="1"/>
    <col min="5290" max="5290" width="12.28515625" bestFit="1" customWidth="1"/>
    <col min="5291" max="5291" width="13" bestFit="1" customWidth="1"/>
    <col min="5292" max="5292" width="15.140625" bestFit="1" customWidth="1"/>
    <col min="5293" max="5293" width="12.28515625" bestFit="1" customWidth="1"/>
    <col min="5294" max="5294" width="13.85546875" bestFit="1" customWidth="1"/>
    <col min="5295" max="5295" width="11.28515625" bestFit="1" customWidth="1"/>
    <col min="5296" max="5296" width="12.28515625" bestFit="1" customWidth="1"/>
    <col min="5297" max="5297" width="13.85546875" bestFit="1" customWidth="1"/>
    <col min="5298" max="5299" width="15.140625" bestFit="1" customWidth="1"/>
    <col min="5300" max="5300" width="12.28515625" bestFit="1" customWidth="1"/>
    <col min="5301" max="5301" width="5.7109375" bestFit="1" customWidth="1"/>
    <col min="5302" max="5302" width="8.5703125" bestFit="1" customWidth="1"/>
    <col min="5303" max="5303" width="5.5703125" bestFit="1" customWidth="1"/>
    <col min="5304" max="5304" width="14.42578125" bestFit="1" customWidth="1"/>
    <col min="5305" max="5305" width="11.28515625" bestFit="1" customWidth="1"/>
    <col min="5306" max="5307" width="12.28515625" bestFit="1" customWidth="1"/>
    <col min="5308" max="5308" width="11.28515625" bestFit="1" customWidth="1"/>
    <col min="5309" max="5309" width="13.85546875" bestFit="1" customWidth="1"/>
    <col min="5310" max="5310" width="12" bestFit="1" customWidth="1"/>
    <col min="5311" max="5311" width="13.85546875" bestFit="1" customWidth="1"/>
    <col min="5312" max="5313" width="14.42578125" customWidth="1"/>
    <col min="5314" max="5314" width="10.140625" bestFit="1" customWidth="1"/>
    <col min="5315" max="5315" width="12.28515625" bestFit="1" customWidth="1"/>
    <col min="5316" max="5316" width="7.42578125" bestFit="1" customWidth="1"/>
    <col min="5317" max="5317" width="8.5703125" bestFit="1" customWidth="1"/>
    <col min="5318" max="5318" width="11.5703125" bestFit="1" customWidth="1"/>
    <col min="5319" max="5319" width="13.28515625" bestFit="1" customWidth="1"/>
    <col min="5320" max="5320" width="13.28515625" customWidth="1"/>
    <col min="5321" max="5321" width="13.140625" customWidth="1"/>
    <col min="5322" max="5322" width="12.7109375" bestFit="1" customWidth="1"/>
    <col min="5323" max="5323" width="13.28515625" bestFit="1" customWidth="1"/>
    <col min="5324" max="5326" width="13.28515625" customWidth="1"/>
    <col min="5327" max="5327" width="12.140625" bestFit="1" customWidth="1"/>
    <col min="5328" max="5328" width="12.7109375" bestFit="1" customWidth="1"/>
    <col min="5329" max="5329" width="11" customWidth="1"/>
    <col min="5330" max="5330" width="16.7109375" customWidth="1"/>
    <col min="5331" max="5331" width="17" customWidth="1"/>
    <col min="5332" max="5332" width="10.42578125" bestFit="1" customWidth="1"/>
    <col min="5376" max="5376" width="3.85546875" customWidth="1"/>
    <col min="5377" max="5377" width="15.28515625" bestFit="1" customWidth="1"/>
    <col min="5378" max="5378" width="12.28515625" customWidth="1"/>
    <col min="5379" max="5379" width="16.28515625" bestFit="1" customWidth="1"/>
    <col min="5380" max="5380" width="6.42578125" bestFit="1" customWidth="1"/>
    <col min="5381" max="5381" width="9.28515625" bestFit="1" customWidth="1"/>
    <col min="5382" max="5382" width="7.5703125" bestFit="1" customWidth="1"/>
    <col min="5383" max="5383" width="13.28515625" bestFit="1" customWidth="1"/>
    <col min="5384" max="5384" width="9.28515625" bestFit="1" customWidth="1"/>
    <col min="5385" max="5385" width="11.5703125" bestFit="1" customWidth="1"/>
    <col min="5386" max="5386" width="13.28515625" bestFit="1" customWidth="1"/>
    <col min="5387" max="5387" width="7.140625" bestFit="1" customWidth="1"/>
    <col min="5388" max="5388" width="12" bestFit="1" customWidth="1"/>
    <col min="5389" max="5389" width="13.28515625" bestFit="1" customWidth="1"/>
    <col min="5390" max="5390" width="7" bestFit="1" customWidth="1"/>
    <col min="5391" max="5391" width="12.7109375" bestFit="1" customWidth="1"/>
    <col min="5392" max="5392" width="11.5703125" bestFit="1" customWidth="1"/>
    <col min="5393" max="5393" width="10.5703125" bestFit="1" customWidth="1"/>
    <col min="5394" max="5395" width="15.7109375" bestFit="1" customWidth="1"/>
    <col min="5396" max="5396" width="11.5703125" bestFit="1" customWidth="1"/>
    <col min="5397" max="5397" width="7.7109375" bestFit="1" customWidth="1"/>
    <col min="5398" max="5398" width="15.140625" bestFit="1" customWidth="1"/>
    <col min="5399" max="5399" width="11.5703125" bestFit="1" customWidth="1"/>
    <col min="5400" max="5400" width="13.28515625" bestFit="1" customWidth="1"/>
    <col min="5401" max="5401" width="10.42578125" bestFit="1" customWidth="1"/>
    <col min="5402" max="5402" width="13.28515625" bestFit="1" customWidth="1"/>
    <col min="5403" max="5403" width="12.140625" bestFit="1" customWidth="1"/>
    <col min="5404" max="5404" width="14.42578125" bestFit="1" customWidth="1"/>
    <col min="5405" max="5405" width="13.28515625" bestFit="1" customWidth="1"/>
    <col min="5406" max="5406" width="11.5703125" bestFit="1" customWidth="1"/>
    <col min="5407" max="5407" width="7.7109375" bestFit="1" customWidth="1"/>
    <col min="5408" max="5409" width="14.42578125" bestFit="1" customWidth="1"/>
    <col min="5410" max="5410" width="11.5703125" bestFit="1" customWidth="1"/>
    <col min="5411" max="5411" width="7.7109375" bestFit="1" customWidth="1"/>
    <col min="5412" max="5412" width="13.5703125" customWidth="1"/>
    <col min="5413" max="5413" width="15.28515625" customWidth="1"/>
    <col min="5414" max="5414" width="14.5703125" customWidth="1"/>
    <col min="5415" max="5415" width="13.28515625" bestFit="1" customWidth="1"/>
    <col min="5416" max="5416" width="7.7109375" bestFit="1" customWidth="1"/>
    <col min="5417" max="5417" width="12.7109375" bestFit="1" customWidth="1"/>
    <col min="5418" max="5418" width="11.7109375" bestFit="1" customWidth="1"/>
    <col min="5419" max="5419" width="11.5703125" bestFit="1" customWidth="1"/>
    <col min="5420" max="5420" width="5.28515625" bestFit="1" customWidth="1"/>
    <col min="5421" max="5421" width="13.28515625" bestFit="1" customWidth="1"/>
    <col min="5422" max="5422" width="13.5703125" bestFit="1" customWidth="1"/>
    <col min="5423" max="5423" width="10.5703125" bestFit="1" customWidth="1"/>
    <col min="5424" max="5424" width="13.28515625" bestFit="1" customWidth="1"/>
    <col min="5425" max="5425" width="11.5703125" bestFit="1" customWidth="1"/>
    <col min="5426" max="5426" width="10.5703125" bestFit="1" customWidth="1"/>
    <col min="5427" max="5427" width="16.140625" bestFit="1" customWidth="1"/>
    <col min="5428" max="5429" width="11.28515625" bestFit="1" customWidth="1"/>
    <col min="5430" max="5430" width="13.28515625" bestFit="1" customWidth="1"/>
    <col min="5431" max="5431" width="7.7109375" bestFit="1" customWidth="1"/>
    <col min="5432" max="5435" width="9.140625" hidden="1" customWidth="1"/>
    <col min="5436" max="5436" width="10.42578125" bestFit="1" customWidth="1"/>
    <col min="5437" max="5437" width="10.5703125" bestFit="1" customWidth="1"/>
    <col min="5438" max="5438" width="10.42578125" bestFit="1" customWidth="1"/>
    <col min="5439" max="5439" width="10.5703125" bestFit="1" customWidth="1"/>
    <col min="5440" max="5440" width="9.5703125" bestFit="1" customWidth="1"/>
    <col min="5441" max="5441" width="11.5703125" bestFit="1" customWidth="1"/>
    <col min="5442" max="5442" width="10.42578125" bestFit="1" customWidth="1"/>
    <col min="5443" max="5443" width="10.85546875" customWidth="1"/>
    <col min="5444" max="5445" width="9.85546875" bestFit="1" customWidth="1"/>
    <col min="5446" max="5446" width="13.5703125" bestFit="1" customWidth="1"/>
    <col min="5447" max="5447" width="7.7109375" bestFit="1" customWidth="1"/>
    <col min="5448" max="5448" width="13.28515625" bestFit="1" customWidth="1"/>
    <col min="5449" max="5449" width="11.5703125" bestFit="1" customWidth="1"/>
    <col min="5450" max="5450" width="10.42578125" bestFit="1" customWidth="1"/>
    <col min="5451" max="5451" width="7.7109375" bestFit="1" customWidth="1"/>
    <col min="5452" max="5452" width="11.5703125" bestFit="1" customWidth="1"/>
    <col min="5453" max="5453" width="10.85546875" bestFit="1" customWidth="1"/>
    <col min="5454" max="5454" width="13.28515625" bestFit="1" customWidth="1"/>
    <col min="5455" max="5455" width="10.85546875" bestFit="1" customWidth="1"/>
    <col min="5456" max="5457" width="7.5703125" bestFit="1" customWidth="1"/>
    <col min="5458" max="5459" width="10.42578125" bestFit="1" customWidth="1"/>
    <col min="5460" max="5460" width="11.5703125" bestFit="1" customWidth="1"/>
    <col min="5461" max="5461" width="5.28515625" bestFit="1" customWidth="1"/>
    <col min="5462" max="5462" width="10.28515625" bestFit="1" customWidth="1"/>
    <col min="5463" max="5463" width="10.42578125" bestFit="1" customWidth="1"/>
    <col min="5464" max="5464" width="11.5703125" bestFit="1" customWidth="1"/>
    <col min="5465" max="5465" width="5.28515625" bestFit="1" customWidth="1"/>
    <col min="5466" max="5468" width="11.5703125" bestFit="1" customWidth="1"/>
    <col min="5469" max="5469" width="5.28515625" bestFit="1" customWidth="1"/>
    <col min="5470" max="5471" width="10.42578125" bestFit="1" customWidth="1"/>
    <col min="5472" max="5472" width="11.5703125" bestFit="1" customWidth="1"/>
    <col min="5473" max="5473" width="5.28515625" bestFit="1" customWidth="1"/>
    <col min="5474" max="5474" width="14.28515625" bestFit="1" customWidth="1"/>
    <col min="5475" max="5475" width="13" bestFit="1" customWidth="1"/>
    <col min="5476" max="5476" width="11.5703125" bestFit="1" customWidth="1"/>
    <col min="5477" max="5477" width="8.85546875" bestFit="1" customWidth="1"/>
    <col min="5478" max="5478" width="14.42578125" bestFit="1" customWidth="1"/>
    <col min="5479" max="5479" width="10.42578125" bestFit="1" customWidth="1"/>
    <col min="5480" max="5480" width="12.28515625" bestFit="1" customWidth="1"/>
    <col min="5481" max="5481" width="13.85546875" bestFit="1" customWidth="1"/>
    <col min="5482" max="5482" width="11.28515625" customWidth="1"/>
    <col min="5483" max="5483" width="11.5703125" customWidth="1"/>
    <col min="5484" max="5484" width="13.42578125" bestFit="1" customWidth="1"/>
    <col min="5485" max="5485" width="10.42578125" customWidth="1"/>
    <col min="5486" max="5486" width="13.85546875" bestFit="1" customWidth="1"/>
    <col min="5487" max="5487" width="15.42578125" bestFit="1" customWidth="1"/>
    <col min="5488" max="5488" width="12.28515625" bestFit="1" customWidth="1"/>
    <col min="5489" max="5489" width="12.7109375" customWidth="1"/>
    <col min="5490" max="5490" width="10.7109375" bestFit="1" customWidth="1"/>
    <col min="5491" max="5491" width="9.85546875" customWidth="1"/>
    <col min="5492" max="5493" width="10.140625" bestFit="1" customWidth="1"/>
    <col min="5494" max="5494" width="7.5703125" bestFit="1" customWidth="1"/>
    <col min="5495" max="5495" width="9.42578125" bestFit="1" customWidth="1"/>
    <col min="5496" max="5496" width="14.5703125" bestFit="1" customWidth="1"/>
    <col min="5497" max="5497" width="14.85546875" customWidth="1"/>
    <col min="5498" max="5498" width="15.140625" bestFit="1" customWidth="1"/>
    <col min="5499" max="5499" width="12.140625" bestFit="1" customWidth="1"/>
    <col min="5500" max="5500" width="14.85546875" bestFit="1" customWidth="1"/>
    <col min="5501" max="5501" width="12.28515625" bestFit="1" customWidth="1"/>
    <col min="5502" max="5510" width="9.140625" hidden="1" customWidth="1"/>
    <col min="5511" max="5511" width="5.28515625" bestFit="1" customWidth="1"/>
    <col min="5512" max="5517" width="11.5703125" bestFit="1" customWidth="1"/>
    <col min="5518" max="5518" width="11.28515625" bestFit="1" customWidth="1"/>
    <col min="5519" max="5519" width="10.140625" bestFit="1" customWidth="1"/>
    <col min="5520" max="5520" width="11.5703125" bestFit="1" customWidth="1"/>
    <col min="5521" max="5521" width="16.140625" customWidth="1"/>
    <col min="5522" max="5522" width="13.42578125" customWidth="1"/>
    <col min="5523" max="5523" width="10.140625" bestFit="1" customWidth="1"/>
    <col min="5524" max="5524" width="12.85546875" bestFit="1" customWidth="1"/>
    <col min="5525" max="5525" width="12.28515625" bestFit="1" customWidth="1"/>
    <col min="5526" max="5526" width="11.28515625" bestFit="1" customWidth="1"/>
    <col min="5527" max="5527" width="11.5703125" bestFit="1" customWidth="1"/>
    <col min="5528" max="5528" width="10.85546875" bestFit="1" customWidth="1"/>
    <col min="5529" max="5529" width="11.28515625" bestFit="1" customWidth="1"/>
    <col min="5530" max="5530" width="10.140625" bestFit="1" customWidth="1"/>
    <col min="5531" max="5531" width="13.28515625" bestFit="1" customWidth="1"/>
    <col min="5532" max="5533" width="12.7109375" bestFit="1" customWidth="1"/>
    <col min="5534" max="5534" width="11" bestFit="1" customWidth="1"/>
    <col min="5535" max="5535" width="11.28515625" bestFit="1" customWidth="1"/>
    <col min="5536" max="5536" width="11.5703125" bestFit="1" customWidth="1"/>
    <col min="5537" max="5537" width="12.28515625" bestFit="1" customWidth="1"/>
    <col min="5538" max="5538" width="15.140625" bestFit="1" customWidth="1"/>
    <col min="5539" max="5539" width="14.42578125" bestFit="1" customWidth="1"/>
    <col min="5540" max="5540" width="12.28515625" bestFit="1" customWidth="1"/>
    <col min="5541" max="5541" width="15.140625" bestFit="1" customWidth="1"/>
    <col min="5542" max="5542" width="14.42578125" bestFit="1" customWidth="1"/>
    <col min="5543" max="5543" width="12.28515625" bestFit="1" customWidth="1"/>
    <col min="5544" max="5544" width="14.42578125" bestFit="1" customWidth="1"/>
    <col min="5545" max="5545" width="11.28515625" bestFit="1" customWidth="1"/>
    <col min="5546" max="5546" width="12.28515625" bestFit="1" customWidth="1"/>
    <col min="5547" max="5547" width="13" bestFit="1" customWidth="1"/>
    <col min="5548" max="5548" width="15.140625" bestFit="1" customWidth="1"/>
    <col min="5549" max="5549" width="12.28515625" bestFit="1" customWidth="1"/>
    <col min="5550" max="5550" width="13.85546875" bestFit="1" customWidth="1"/>
    <col min="5551" max="5551" width="11.28515625" bestFit="1" customWidth="1"/>
    <col min="5552" max="5552" width="12.28515625" bestFit="1" customWidth="1"/>
    <col min="5553" max="5553" width="13.85546875" bestFit="1" customWidth="1"/>
    <col min="5554" max="5555" width="15.140625" bestFit="1" customWidth="1"/>
    <col min="5556" max="5556" width="12.28515625" bestFit="1" customWidth="1"/>
    <col min="5557" max="5557" width="5.7109375" bestFit="1" customWidth="1"/>
    <col min="5558" max="5558" width="8.5703125" bestFit="1" customWidth="1"/>
    <col min="5559" max="5559" width="5.5703125" bestFit="1" customWidth="1"/>
    <col min="5560" max="5560" width="14.42578125" bestFit="1" customWidth="1"/>
    <col min="5561" max="5561" width="11.28515625" bestFit="1" customWidth="1"/>
    <col min="5562" max="5563" width="12.28515625" bestFit="1" customWidth="1"/>
    <col min="5564" max="5564" width="11.28515625" bestFit="1" customWidth="1"/>
    <col min="5565" max="5565" width="13.85546875" bestFit="1" customWidth="1"/>
    <col min="5566" max="5566" width="12" bestFit="1" customWidth="1"/>
    <col min="5567" max="5567" width="13.85546875" bestFit="1" customWidth="1"/>
    <col min="5568" max="5569" width="14.42578125" customWidth="1"/>
    <col min="5570" max="5570" width="10.140625" bestFit="1" customWidth="1"/>
    <col min="5571" max="5571" width="12.28515625" bestFit="1" customWidth="1"/>
    <col min="5572" max="5572" width="7.42578125" bestFit="1" customWidth="1"/>
    <col min="5573" max="5573" width="8.5703125" bestFit="1" customWidth="1"/>
    <col min="5574" max="5574" width="11.5703125" bestFit="1" customWidth="1"/>
    <col min="5575" max="5575" width="13.28515625" bestFit="1" customWidth="1"/>
    <col min="5576" max="5576" width="13.28515625" customWidth="1"/>
    <col min="5577" max="5577" width="13.140625" customWidth="1"/>
    <col min="5578" max="5578" width="12.7109375" bestFit="1" customWidth="1"/>
    <col min="5579" max="5579" width="13.28515625" bestFit="1" customWidth="1"/>
    <col min="5580" max="5582" width="13.28515625" customWidth="1"/>
    <col min="5583" max="5583" width="12.140625" bestFit="1" customWidth="1"/>
    <col min="5584" max="5584" width="12.7109375" bestFit="1" customWidth="1"/>
    <col min="5585" max="5585" width="11" customWidth="1"/>
    <col min="5586" max="5586" width="16.7109375" customWidth="1"/>
    <col min="5587" max="5587" width="17" customWidth="1"/>
    <col min="5588" max="5588" width="10.42578125" bestFit="1" customWidth="1"/>
    <col min="5632" max="5632" width="3.85546875" customWidth="1"/>
    <col min="5633" max="5633" width="15.28515625" bestFit="1" customWidth="1"/>
    <col min="5634" max="5634" width="12.28515625" customWidth="1"/>
    <col min="5635" max="5635" width="16.28515625" bestFit="1" customWidth="1"/>
    <col min="5636" max="5636" width="6.42578125" bestFit="1" customWidth="1"/>
    <col min="5637" max="5637" width="9.28515625" bestFit="1" customWidth="1"/>
    <col min="5638" max="5638" width="7.5703125" bestFit="1" customWidth="1"/>
    <col min="5639" max="5639" width="13.28515625" bestFit="1" customWidth="1"/>
    <col min="5640" max="5640" width="9.28515625" bestFit="1" customWidth="1"/>
    <col min="5641" max="5641" width="11.5703125" bestFit="1" customWidth="1"/>
    <col min="5642" max="5642" width="13.28515625" bestFit="1" customWidth="1"/>
    <col min="5643" max="5643" width="7.140625" bestFit="1" customWidth="1"/>
    <col min="5644" max="5644" width="12" bestFit="1" customWidth="1"/>
    <col min="5645" max="5645" width="13.28515625" bestFit="1" customWidth="1"/>
    <col min="5646" max="5646" width="7" bestFit="1" customWidth="1"/>
    <col min="5647" max="5647" width="12.7109375" bestFit="1" customWidth="1"/>
    <col min="5648" max="5648" width="11.5703125" bestFit="1" customWidth="1"/>
    <col min="5649" max="5649" width="10.5703125" bestFit="1" customWidth="1"/>
    <col min="5650" max="5651" width="15.7109375" bestFit="1" customWidth="1"/>
    <col min="5652" max="5652" width="11.5703125" bestFit="1" customWidth="1"/>
    <col min="5653" max="5653" width="7.7109375" bestFit="1" customWidth="1"/>
    <col min="5654" max="5654" width="15.140625" bestFit="1" customWidth="1"/>
    <col min="5655" max="5655" width="11.5703125" bestFit="1" customWidth="1"/>
    <col min="5656" max="5656" width="13.28515625" bestFit="1" customWidth="1"/>
    <col min="5657" max="5657" width="10.42578125" bestFit="1" customWidth="1"/>
    <col min="5658" max="5658" width="13.28515625" bestFit="1" customWidth="1"/>
    <col min="5659" max="5659" width="12.140625" bestFit="1" customWidth="1"/>
    <col min="5660" max="5660" width="14.42578125" bestFit="1" customWidth="1"/>
    <col min="5661" max="5661" width="13.28515625" bestFit="1" customWidth="1"/>
    <col min="5662" max="5662" width="11.5703125" bestFit="1" customWidth="1"/>
    <col min="5663" max="5663" width="7.7109375" bestFit="1" customWidth="1"/>
    <col min="5664" max="5665" width="14.42578125" bestFit="1" customWidth="1"/>
    <col min="5666" max="5666" width="11.5703125" bestFit="1" customWidth="1"/>
    <col min="5667" max="5667" width="7.7109375" bestFit="1" customWidth="1"/>
    <col min="5668" max="5668" width="13.5703125" customWidth="1"/>
    <col min="5669" max="5669" width="15.28515625" customWidth="1"/>
    <col min="5670" max="5670" width="14.5703125" customWidth="1"/>
    <col min="5671" max="5671" width="13.28515625" bestFit="1" customWidth="1"/>
    <col min="5672" max="5672" width="7.7109375" bestFit="1" customWidth="1"/>
    <col min="5673" max="5673" width="12.7109375" bestFit="1" customWidth="1"/>
    <col min="5674" max="5674" width="11.7109375" bestFit="1" customWidth="1"/>
    <col min="5675" max="5675" width="11.5703125" bestFit="1" customWidth="1"/>
    <col min="5676" max="5676" width="5.28515625" bestFit="1" customWidth="1"/>
    <col min="5677" max="5677" width="13.28515625" bestFit="1" customWidth="1"/>
    <col min="5678" max="5678" width="13.5703125" bestFit="1" customWidth="1"/>
    <col min="5679" max="5679" width="10.5703125" bestFit="1" customWidth="1"/>
    <col min="5680" max="5680" width="13.28515625" bestFit="1" customWidth="1"/>
    <col min="5681" max="5681" width="11.5703125" bestFit="1" customWidth="1"/>
    <col min="5682" max="5682" width="10.5703125" bestFit="1" customWidth="1"/>
    <col min="5683" max="5683" width="16.140625" bestFit="1" customWidth="1"/>
    <col min="5684" max="5685" width="11.28515625" bestFit="1" customWidth="1"/>
    <col min="5686" max="5686" width="13.28515625" bestFit="1" customWidth="1"/>
    <col min="5687" max="5687" width="7.7109375" bestFit="1" customWidth="1"/>
    <col min="5688" max="5691" width="9.140625" hidden="1" customWidth="1"/>
    <col min="5692" max="5692" width="10.42578125" bestFit="1" customWidth="1"/>
    <col min="5693" max="5693" width="10.5703125" bestFit="1" customWidth="1"/>
    <col min="5694" max="5694" width="10.42578125" bestFit="1" customWidth="1"/>
    <col min="5695" max="5695" width="10.5703125" bestFit="1" customWidth="1"/>
    <col min="5696" max="5696" width="9.5703125" bestFit="1" customWidth="1"/>
    <col min="5697" max="5697" width="11.5703125" bestFit="1" customWidth="1"/>
    <col min="5698" max="5698" width="10.42578125" bestFit="1" customWidth="1"/>
    <col min="5699" max="5699" width="10.85546875" customWidth="1"/>
    <col min="5700" max="5701" width="9.85546875" bestFit="1" customWidth="1"/>
    <col min="5702" max="5702" width="13.5703125" bestFit="1" customWidth="1"/>
    <col min="5703" max="5703" width="7.7109375" bestFit="1" customWidth="1"/>
    <col min="5704" max="5704" width="13.28515625" bestFit="1" customWidth="1"/>
    <col min="5705" max="5705" width="11.5703125" bestFit="1" customWidth="1"/>
    <col min="5706" max="5706" width="10.42578125" bestFit="1" customWidth="1"/>
    <col min="5707" max="5707" width="7.7109375" bestFit="1" customWidth="1"/>
    <col min="5708" max="5708" width="11.5703125" bestFit="1" customWidth="1"/>
    <col min="5709" max="5709" width="10.85546875" bestFit="1" customWidth="1"/>
    <col min="5710" max="5710" width="13.28515625" bestFit="1" customWidth="1"/>
    <col min="5711" max="5711" width="10.85546875" bestFit="1" customWidth="1"/>
    <col min="5712" max="5713" width="7.5703125" bestFit="1" customWidth="1"/>
    <col min="5714" max="5715" width="10.42578125" bestFit="1" customWidth="1"/>
    <col min="5716" max="5716" width="11.5703125" bestFit="1" customWidth="1"/>
    <col min="5717" max="5717" width="5.28515625" bestFit="1" customWidth="1"/>
    <col min="5718" max="5718" width="10.28515625" bestFit="1" customWidth="1"/>
    <col min="5719" max="5719" width="10.42578125" bestFit="1" customWidth="1"/>
    <col min="5720" max="5720" width="11.5703125" bestFit="1" customWidth="1"/>
    <col min="5721" max="5721" width="5.28515625" bestFit="1" customWidth="1"/>
    <col min="5722" max="5724" width="11.5703125" bestFit="1" customWidth="1"/>
    <col min="5725" max="5725" width="5.28515625" bestFit="1" customWidth="1"/>
    <col min="5726" max="5727" width="10.42578125" bestFit="1" customWidth="1"/>
    <col min="5728" max="5728" width="11.5703125" bestFit="1" customWidth="1"/>
    <col min="5729" max="5729" width="5.28515625" bestFit="1" customWidth="1"/>
    <col min="5730" max="5730" width="14.28515625" bestFit="1" customWidth="1"/>
    <col min="5731" max="5731" width="13" bestFit="1" customWidth="1"/>
    <col min="5732" max="5732" width="11.5703125" bestFit="1" customWidth="1"/>
    <col min="5733" max="5733" width="8.85546875" bestFit="1" customWidth="1"/>
    <col min="5734" max="5734" width="14.42578125" bestFit="1" customWidth="1"/>
    <col min="5735" max="5735" width="10.42578125" bestFit="1" customWidth="1"/>
    <col min="5736" max="5736" width="12.28515625" bestFit="1" customWidth="1"/>
    <col min="5737" max="5737" width="13.85546875" bestFit="1" customWidth="1"/>
    <col min="5738" max="5738" width="11.28515625" customWidth="1"/>
    <col min="5739" max="5739" width="11.5703125" customWidth="1"/>
    <col min="5740" max="5740" width="13.42578125" bestFit="1" customWidth="1"/>
    <col min="5741" max="5741" width="10.42578125" customWidth="1"/>
    <col min="5742" max="5742" width="13.85546875" bestFit="1" customWidth="1"/>
    <col min="5743" max="5743" width="15.42578125" bestFit="1" customWidth="1"/>
    <col min="5744" max="5744" width="12.28515625" bestFit="1" customWidth="1"/>
    <col min="5745" max="5745" width="12.7109375" customWidth="1"/>
    <col min="5746" max="5746" width="10.7109375" bestFit="1" customWidth="1"/>
    <col min="5747" max="5747" width="9.85546875" customWidth="1"/>
    <col min="5748" max="5749" width="10.140625" bestFit="1" customWidth="1"/>
    <col min="5750" max="5750" width="7.5703125" bestFit="1" customWidth="1"/>
    <col min="5751" max="5751" width="9.42578125" bestFit="1" customWidth="1"/>
    <col min="5752" max="5752" width="14.5703125" bestFit="1" customWidth="1"/>
    <col min="5753" max="5753" width="14.85546875" customWidth="1"/>
    <col min="5754" max="5754" width="15.140625" bestFit="1" customWidth="1"/>
    <col min="5755" max="5755" width="12.140625" bestFit="1" customWidth="1"/>
    <col min="5756" max="5756" width="14.85546875" bestFit="1" customWidth="1"/>
    <col min="5757" max="5757" width="12.28515625" bestFit="1" customWidth="1"/>
    <col min="5758" max="5766" width="9.140625" hidden="1" customWidth="1"/>
    <col min="5767" max="5767" width="5.28515625" bestFit="1" customWidth="1"/>
    <col min="5768" max="5773" width="11.5703125" bestFit="1" customWidth="1"/>
    <col min="5774" max="5774" width="11.28515625" bestFit="1" customWidth="1"/>
    <col min="5775" max="5775" width="10.140625" bestFit="1" customWidth="1"/>
    <col min="5776" max="5776" width="11.5703125" bestFit="1" customWidth="1"/>
    <col min="5777" max="5777" width="16.140625" customWidth="1"/>
    <col min="5778" max="5778" width="13.42578125" customWidth="1"/>
    <col min="5779" max="5779" width="10.140625" bestFit="1" customWidth="1"/>
    <col min="5780" max="5780" width="12.85546875" bestFit="1" customWidth="1"/>
    <col min="5781" max="5781" width="12.28515625" bestFit="1" customWidth="1"/>
    <col min="5782" max="5782" width="11.28515625" bestFit="1" customWidth="1"/>
    <col min="5783" max="5783" width="11.5703125" bestFit="1" customWidth="1"/>
    <col min="5784" max="5784" width="10.85546875" bestFit="1" customWidth="1"/>
    <col min="5785" max="5785" width="11.28515625" bestFit="1" customWidth="1"/>
    <col min="5786" max="5786" width="10.140625" bestFit="1" customWidth="1"/>
    <col min="5787" max="5787" width="13.28515625" bestFit="1" customWidth="1"/>
    <col min="5788" max="5789" width="12.7109375" bestFit="1" customWidth="1"/>
    <col min="5790" max="5790" width="11" bestFit="1" customWidth="1"/>
    <col min="5791" max="5791" width="11.28515625" bestFit="1" customWidth="1"/>
    <col min="5792" max="5792" width="11.5703125" bestFit="1" customWidth="1"/>
    <col min="5793" max="5793" width="12.28515625" bestFit="1" customWidth="1"/>
    <col min="5794" max="5794" width="15.140625" bestFit="1" customWidth="1"/>
    <col min="5795" max="5795" width="14.42578125" bestFit="1" customWidth="1"/>
    <col min="5796" max="5796" width="12.28515625" bestFit="1" customWidth="1"/>
    <col min="5797" max="5797" width="15.140625" bestFit="1" customWidth="1"/>
    <col min="5798" max="5798" width="14.42578125" bestFit="1" customWidth="1"/>
    <col min="5799" max="5799" width="12.28515625" bestFit="1" customWidth="1"/>
    <col min="5800" max="5800" width="14.42578125" bestFit="1" customWidth="1"/>
    <col min="5801" max="5801" width="11.28515625" bestFit="1" customWidth="1"/>
    <col min="5802" max="5802" width="12.28515625" bestFit="1" customWidth="1"/>
    <col min="5803" max="5803" width="13" bestFit="1" customWidth="1"/>
    <col min="5804" max="5804" width="15.140625" bestFit="1" customWidth="1"/>
    <col min="5805" max="5805" width="12.28515625" bestFit="1" customWidth="1"/>
    <col min="5806" max="5806" width="13.85546875" bestFit="1" customWidth="1"/>
    <col min="5807" max="5807" width="11.28515625" bestFit="1" customWidth="1"/>
    <col min="5808" max="5808" width="12.28515625" bestFit="1" customWidth="1"/>
    <col min="5809" max="5809" width="13.85546875" bestFit="1" customWidth="1"/>
    <col min="5810" max="5811" width="15.140625" bestFit="1" customWidth="1"/>
    <col min="5812" max="5812" width="12.28515625" bestFit="1" customWidth="1"/>
    <col min="5813" max="5813" width="5.7109375" bestFit="1" customWidth="1"/>
    <col min="5814" max="5814" width="8.5703125" bestFit="1" customWidth="1"/>
    <col min="5815" max="5815" width="5.5703125" bestFit="1" customWidth="1"/>
    <col min="5816" max="5816" width="14.42578125" bestFit="1" customWidth="1"/>
    <col min="5817" max="5817" width="11.28515625" bestFit="1" customWidth="1"/>
    <col min="5818" max="5819" width="12.28515625" bestFit="1" customWidth="1"/>
    <col min="5820" max="5820" width="11.28515625" bestFit="1" customWidth="1"/>
    <col min="5821" max="5821" width="13.85546875" bestFit="1" customWidth="1"/>
    <col min="5822" max="5822" width="12" bestFit="1" customWidth="1"/>
    <col min="5823" max="5823" width="13.85546875" bestFit="1" customWidth="1"/>
    <col min="5824" max="5825" width="14.42578125" customWidth="1"/>
    <col min="5826" max="5826" width="10.140625" bestFit="1" customWidth="1"/>
    <col min="5827" max="5827" width="12.28515625" bestFit="1" customWidth="1"/>
    <col min="5828" max="5828" width="7.42578125" bestFit="1" customWidth="1"/>
    <col min="5829" max="5829" width="8.5703125" bestFit="1" customWidth="1"/>
    <col min="5830" max="5830" width="11.5703125" bestFit="1" customWidth="1"/>
    <col min="5831" max="5831" width="13.28515625" bestFit="1" customWidth="1"/>
    <col min="5832" max="5832" width="13.28515625" customWidth="1"/>
    <col min="5833" max="5833" width="13.140625" customWidth="1"/>
    <col min="5834" max="5834" width="12.7109375" bestFit="1" customWidth="1"/>
    <col min="5835" max="5835" width="13.28515625" bestFit="1" customWidth="1"/>
    <col min="5836" max="5838" width="13.28515625" customWidth="1"/>
    <col min="5839" max="5839" width="12.140625" bestFit="1" customWidth="1"/>
    <col min="5840" max="5840" width="12.7109375" bestFit="1" customWidth="1"/>
    <col min="5841" max="5841" width="11" customWidth="1"/>
    <col min="5842" max="5842" width="16.7109375" customWidth="1"/>
    <col min="5843" max="5843" width="17" customWidth="1"/>
    <col min="5844" max="5844" width="10.42578125" bestFit="1" customWidth="1"/>
    <col min="5888" max="5888" width="3.85546875" customWidth="1"/>
    <col min="5889" max="5889" width="15.28515625" bestFit="1" customWidth="1"/>
    <col min="5890" max="5890" width="12.28515625" customWidth="1"/>
    <col min="5891" max="5891" width="16.28515625" bestFit="1" customWidth="1"/>
    <col min="5892" max="5892" width="6.42578125" bestFit="1" customWidth="1"/>
    <col min="5893" max="5893" width="9.28515625" bestFit="1" customWidth="1"/>
    <col min="5894" max="5894" width="7.5703125" bestFit="1" customWidth="1"/>
    <col min="5895" max="5895" width="13.28515625" bestFit="1" customWidth="1"/>
    <col min="5896" max="5896" width="9.28515625" bestFit="1" customWidth="1"/>
    <col min="5897" max="5897" width="11.5703125" bestFit="1" customWidth="1"/>
    <col min="5898" max="5898" width="13.28515625" bestFit="1" customWidth="1"/>
    <col min="5899" max="5899" width="7.140625" bestFit="1" customWidth="1"/>
    <col min="5900" max="5900" width="12" bestFit="1" customWidth="1"/>
    <col min="5901" max="5901" width="13.28515625" bestFit="1" customWidth="1"/>
    <col min="5902" max="5902" width="7" bestFit="1" customWidth="1"/>
    <col min="5903" max="5903" width="12.7109375" bestFit="1" customWidth="1"/>
    <col min="5904" max="5904" width="11.5703125" bestFit="1" customWidth="1"/>
    <col min="5905" max="5905" width="10.5703125" bestFit="1" customWidth="1"/>
    <col min="5906" max="5907" width="15.7109375" bestFit="1" customWidth="1"/>
    <col min="5908" max="5908" width="11.5703125" bestFit="1" customWidth="1"/>
    <col min="5909" max="5909" width="7.7109375" bestFit="1" customWidth="1"/>
    <col min="5910" max="5910" width="15.140625" bestFit="1" customWidth="1"/>
    <col min="5911" max="5911" width="11.5703125" bestFit="1" customWidth="1"/>
    <col min="5912" max="5912" width="13.28515625" bestFit="1" customWidth="1"/>
    <col min="5913" max="5913" width="10.42578125" bestFit="1" customWidth="1"/>
    <col min="5914" max="5914" width="13.28515625" bestFit="1" customWidth="1"/>
    <col min="5915" max="5915" width="12.140625" bestFit="1" customWidth="1"/>
    <col min="5916" max="5916" width="14.42578125" bestFit="1" customWidth="1"/>
    <col min="5917" max="5917" width="13.28515625" bestFit="1" customWidth="1"/>
    <col min="5918" max="5918" width="11.5703125" bestFit="1" customWidth="1"/>
    <col min="5919" max="5919" width="7.7109375" bestFit="1" customWidth="1"/>
    <col min="5920" max="5921" width="14.42578125" bestFit="1" customWidth="1"/>
    <col min="5922" max="5922" width="11.5703125" bestFit="1" customWidth="1"/>
    <col min="5923" max="5923" width="7.7109375" bestFit="1" customWidth="1"/>
    <col min="5924" max="5924" width="13.5703125" customWidth="1"/>
    <col min="5925" max="5925" width="15.28515625" customWidth="1"/>
    <col min="5926" max="5926" width="14.5703125" customWidth="1"/>
    <col min="5927" max="5927" width="13.28515625" bestFit="1" customWidth="1"/>
    <col min="5928" max="5928" width="7.7109375" bestFit="1" customWidth="1"/>
    <col min="5929" max="5929" width="12.7109375" bestFit="1" customWidth="1"/>
    <col min="5930" max="5930" width="11.7109375" bestFit="1" customWidth="1"/>
    <col min="5931" max="5931" width="11.5703125" bestFit="1" customWidth="1"/>
    <col min="5932" max="5932" width="5.28515625" bestFit="1" customWidth="1"/>
    <col min="5933" max="5933" width="13.28515625" bestFit="1" customWidth="1"/>
    <col min="5934" max="5934" width="13.5703125" bestFit="1" customWidth="1"/>
    <col min="5935" max="5935" width="10.5703125" bestFit="1" customWidth="1"/>
    <col min="5936" max="5936" width="13.28515625" bestFit="1" customWidth="1"/>
    <col min="5937" max="5937" width="11.5703125" bestFit="1" customWidth="1"/>
    <col min="5938" max="5938" width="10.5703125" bestFit="1" customWidth="1"/>
    <col min="5939" max="5939" width="16.140625" bestFit="1" customWidth="1"/>
    <col min="5940" max="5941" width="11.28515625" bestFit="1" customWidth="1"/>
    <col min="5942" max="5942" width="13.28515625" bestFit="1" customWidth="1"/>
    <col min="5943" max="5943" width="7.7109375" bestFit="1" customWidth="1"/>
    <col min="5944" max="5947" width="9.140625" hidden="1" customWidth="1"/>
    <col min="5948" max="5948" width="10.42578125" bestFit="1" customWidth="1"/>
    <col min="5949" max="5949" width="10.5703125" bestFit="1" customWidth="1"/>
    <col min="5950" max="5950" width="10.42578125" bestFit="1" customWidth="1"/>
    <col min="5951" max="5951" width="10.5703125" bestFit="1" customWidth="1"/>
    <col min="5952" max="5952" width="9.5703125" bestFit="1" customWidth="1"/>
    <col min="5953" max="5953" width="11.5703125" bestFit="1" customWidth="1"/>
    <col min="5954" max="5954" width="10.42578125" bestFit="1" customWidth="1"/>
    <col min="5955" max="5955" width="10.85546875" customWidth="1"/>
    <col min="5956" max="5957" width="9.85546875" bestFit="1" customWidth="1"/>
    <col min="5958" max="5958" width="13.5703125" bestFit="1" customWidth="1"/>
    <col min="5959" max="5959" width="7.7109375" bestFit="1" customWidth="1"/>
    <col min="5960" max="5960" width="13.28515625" bestFit="1" customWidth="1"/>
    <col min="5961" max="5961" width="11.5703125" bestFit="1" customWidth="1"/>
    <col min="5962" max="5962" width="10.42578125" bestFit="1" customWidth="1"/>
    <col min="5963" max="5963" width="7.7109375" bestFit="1" customWidth="1"/>
    <col min="5964" max="5964" width="11.5703125" bestFit="1" customWidth="1"/>
    <col min="5965" max="5965" width="10.85546875" bestFit="1" customWidth="1"/>
    <col min="5966" max="5966" width="13.28515625" bestFit="1" customWidth="1"/>
    <col min="5967" max="5967" width="10.85546875" bestFit="1" customWidth="1"/>
    <col min="5968" max="5969" width="7.5703125" bestFit="1" customWidth="1"/>
    <col min="5970" max="5971" width="10.42578125" bestFit="1" customWidth="1"/>
    <col min="5972" max="5972" width="11.5703125" bestFit="1" customWidth="1"/>
    <col min="5973" max="5973" width="5.28515625" bestFit="1" customWidth="1"/>
    <col min="5974" max="5974" width="10.28515625" bestFit="1" customWidth="1"/>
    <col min="5975" max="5975" width="10.42578125" bestFit="1" customWidth="1"/>
    <col min="5976" max="5976" width="11.5703125" bestFit="1" customWidth="1"/>
    <col min="5977" max="5977" width="5.28515625" bestFit="1" customWidth="1"/>
    <col min="5978" max="5980" width="11.5703125" bestFit="1" customWidth="1"/>
    <col min="5981" max="5981" width="5.28515625" bestFit="1" customWidth="1"/>
    <col min="5982" max="5983" width="10.42578125" bestFit="1" customWidth="1"/>
    <col min="5984" max="5984" width="11.5703125" bestFit="1" customWidth="1"/>
    <col min="5985" max="5985" width="5.28515625" bestFit="1" customWidth="1"/>
    <col min="5986" max="5986" width="14.28515625" bestFit="1" customWidth="1"/>
    <col min="5987" max="5987" width="13" bestFit="1" customWidth="1"/>
    <col min="5988" max="5988" width="11.5703125" bestFit="1" customWidth="1"/>
    <col min="5989" max="5989" width="8.85546875" bestFit="1" customWidth="1"/>
    <col min="5990" max="5990" width="14.42578125" bestFit="1" customWidth="1"/>
    <col min="5991" max="5991" width="10.42578125" bestFit="1" customWidth="1"/>
    <col min="5992" max="5992" width="12.28515625" bestFit="1" customWidth="1"/>
    <col min="5993" max="5993" width="13.85546875" bestFit="1" customWidth="1"/>
    <col min="5994" max="5994" width="11.28515625" customWidth="1"/>
    <col min="5995" max="5995" width="11.5703125" customWidth="1"/>
    <col min="5996" max="5996" width="13.42578125" bestFit="1" customWidth="1"/>
    <col min="5997" max="5997" width="10.42578125" customWidth="1"/>
    <col min="5998" max="5998" width="13.85546875" bestFit="1" customWidth="1"/>
    <col min="5999" max="5999" width="15.42578125" bestFit="1" customWidth="1"/>
    <col min="6000" max="6000" width="12.28515625" bestFit="1" customWidth="1"/>
    <col min="6001" max="6001" width="12.7109375" customWidth="1"/>
    <col min="6002" max="6002" width="10.7109375" bestFit="1" customWidth="1"/>
    <col min="6003" max="6003" width="9.85546875" customWidth="1"/>
    <col min="6004" max="6005" width="10.140625" bestFit="1" customWidth="1"/>
    <col min="6006" max="6006" width="7.5703125" bestFit="1" customWidth="1"/>
    <col min="6007" max="6007" width="9.42578125" bestFit="1" customWidth="1"/>
    <col min="6008" max="6008" width="14.5703125" bestFit="1" customWidth="1"/>
    <col min="6009" max="6009" width="14.85546875" customWidth="1"/>
    <col min="6010" max="6010" width="15.140625" bestFit="1" customWidth="1"/>
    <col min="6011" max="6011" width="12.140625" bestFit="1" customWidth="1"/>
    <col min="6012" max="6012" width="14.85546875" bestFit="1" customWidth="1"/>
    <col min="6013" max="6013" width="12.28515625" bestFit="1" customWidth="1"/>
    <col min="6014" max="6022" width="9.140625" hidden="1" customWidth="1"/>
    <col min="6023" max="6023" width="5.28515625" bestFit="1" customWidth="1"/>
    <col min="6024" max="6029" width="11.5703125" bestFit="1" customWidth="1"/>
    <col min="6030" max="6030" width="11.28515625" bestFit="1" customWidth="1"/>
    <col min="6031" max="6031" width="10.140625" bestFit="1" customWidth="1"/>
    <col min="6032" max="6032" width="11.5703125" bestFit="1" customWidth="1"/>
    <col min="6033" max="6033" width="16.140625" customWidth="1"/>
    <col min="6034" max="6034" width="13.42578125" customWidth="1"/>
    <col min="6035" max="6035" width="10.140625" bestFit="1" customWidth="1"/>
    <col min="6036" max="6036" width="12.85546875" bestFit="1" customWidth="1"/>
    <col min="6037" max="6037" width="12.28515625" bestFit="1" customWidth="1"/>
    <col min="6038" max="6038" width="11.28515625" bestFit="1" customWidth="1"/>
    <col min="6039" max="6039" width="11.5703125" bestFit="1" customWidth="1"/>
    <col min="6040" max="6040" width="10.85546875" bestFit="1" customWidth="1"/>
    <col min="6041" max="6041" width="11.28515625" bestFit="1" customWidth="1"/>
    <col min="6042" max="6042" width="10.140625" bestFit="1" customWidth="1"/>
    <col min="6043" max="6043" width="13.28515625" bestFit="1" customWidth="1"/>
    <col min="6044" max="6045" width="12.7109375" bestFit="1" customWidth="1"/>
    <col min="6046" max="6046" width="11" bestFit="1" customWidth="1"/>
    <col min="6047" max="6047" width="11.28515625" bestFit="1" customWidth="1"/>
    <col min="6048" max="6048" width="11.5703125" bestFit="1" customWidth="1"/>
    <col min="6049" max="6049" width="12.28515625" bestFit="1" customWidth="1"/>
    <col min="6050" max="6050" width="15.140625" bestFit="1" customWidth="1"/>
    <col min="6051" max="6051" width="14.42578125" bestFit="1" customWidth="1"/>
    <col min="6052" max="6052" width="12.28515625" bestFit="1" customWidth="1"/>
    <col min="6053" max="6053" width="15.140625" bestFit="1" customWidth="1"/>
    <col min="6054" max="6054" width="14.42578125" bestFit="1" customWidth="1"/>
    <col min="6055" max="6055" width="12.28515625" bestFit="1" customWidth="1"/>
    <col min="6056" max="6056" width="14.42578125" bestFit="1" customWidth="1"/>
    <col min="6057" max="6057" width="11.28515625" bestFit="1" customWidth="1"/>
    <col min="6058" max="6058" width="12.28515625" bestFit="1" customWidth="1"/>
    <col min="6059" max="6059" width="13" bestFit="1" customWidth="1"/>
    <col min="6060" max="6060" width="15.140625" bestFit="1" customWidth="1"/>
    <col min="6061" max="6061" width="12.28515625" bestFit="1" customWidth="1"/>
    <col min="6062" max="6062" width="13.85546875" bestFit="1" customWidth="1"/>
    <col min="6063" max="6063" width="11.28515625" bestFit="1" customWidth="1"/>
    <col min="6064" max="6064" width="12.28515625" bestFit="1" customWidth="1"/>
    <col min="6065" max="6065" width="13.85546875" bestFit="1" customWidth="1"/>
    <col min="6066" max="6067" width="15.140625" bestFit="1" customWidth="1"/>
    <col min="6068" max="6068" width="12.28515625" bestFit="1" customWidth="1"/>
    <col min="6069" max="6069" width="5.7109375" bestFit="1" customWidth="1"/>
    <col min="6070" max="6070" width="8.5703125" bestFit="1" customWidth="1"/>
    <col min="6071" max="6071" width="5.5703125" bestFit="1" customWidth="1"/>
    <col min="6072" max="6072" width="14.42578125" bestFit="1" customWidth="1"/>
    <col min="6073" max="6073" width="11.28515625" bestFit="1" customWidth="1"/>
    <col min="6074" max="6075" width="12.28515625" bestFit="1" customWidth="1"/>
    <col min="6076" max="6076" width="11.28515625" bestFit="1" customWidth="1"/>
    <col min="6077" max="6077" width="13.85546875" bestFit="1" customWidth="1"/>
    <col min="6078" max="6078" width="12" bestFit="1" customWidth="1"/>
    <col min="6079" max="6079" width="13.85546875" bestFit="1" customWidth="1"/>
    <col min="6080" max="6081" width="14.42578125" customWidth="1"/>
    <col min="6082" max="6082" width="10.140625" bestFit="1" customWidth="1"/>
    <col min="6083" max="6083" width="12.28515625" bestFit="1" customWidth="1"/>
    <col min="6084" max="6084" width="7.42578125" bestFit="1" customWidth="1"/>
    <col min="6085" max="6085" width="8.5703125" bestFit="1" customWidth="1"/>
    <col min="6086" max="6086" width="11.5703125" bestFit="1" customWidth="1"/>
    <col min="6087" max="6087" width="13.28515625" bestFit="1" customWidth="1"/>
    <col min="6088" max="6088" width="13.28515625" customWidth="1"/>
    <col min="6089" max="6089" width="13.140625" customWidth="1"/>
    <col min="6090" max="6090" width="12.7109375" bestFit="1" customWidth="1"/>
    <col min="6091" max="6091" width="13.28515625" bestFit="1" customWidth="1"/>
    <col min="6092" max="6094" width="13.28515625" customWidth="1"/>
    <col min="6095" max="6095" width="12.140625" bestFit="1" customWidth="1"/>
    <col min="6096" max="6096" width="12.7109375" bestFit="1" customWidth="1"/>
    <col min="6097" max="6097" width="11" customWidth="1"/>
    <col min="6098" max="6098" width="16.7109375" customWidth="1"/>
    <col min="6099" max="6099" width="17" customWidth="1"/>
    <col min="6100" max="6100" width="10.42578125" bestFit="1" customWidth="1"/>
    <col min="6144" max="6144" width="3.85546875" customWidth="1"/>
    <col min="6145" max="6145" width="15.28515625" bestFit="1" customWidth="1"/>
    <col min="6146" max="6146" width="12.28515625" customWidth="1"/>
    <col min="6147" max="6147" width="16.28515625" bestFit="1" customWidth="1"/>
    <col min="6148" max="6148" width="6.42578125" bestFit="1" customWidth="1"/>
    <col min="6149" max="6149" width="9.28515625" bestFit="1" customWidth="1"/>
    <col min="6150" max="6150" width="7.5703125" bestFit="1" customWidth="1"/>
    <col min="6151" max="6151" width="13.28515625" bestFit="1" customWidth="1"/>
    <col min="6152" max="6152" width="9.28515625" bestFit="1" customWidth="1"/>
    <col min="6153" max="6153" width="11.5703125" bestFit="1" customWidth="1"/>
    <col min="6154" max="6154" width="13.28515625" bestFit="1" customWidth="1"/>
    <col min="6155" max="6155" width="7.140625" bestFit="1" customWidth="1"/>
    <col min="6156" max="6156" width="12" bestFit="1" customWidth="1"/>
    <col min="6157" max="6157" width="13.28515625" bestFit="1" customWidth="1"/>
    <col min="6158" max="6158" width="7" bestFit="1" customWidth="1"/>
    <col min="6159" max="6159" width="12.7109375" bestFit="1" customWidth="1"/>
    <col min="6160" max="6160" width="11.5703125" bestFit="1" customWidth="1"/>
    <col min="6161" max="6161" width="10.5703125" bestFit="1" customWidth="1"/>
    <col min="6162" max="6163" width="15.7109375" bestFit="1" customWidth="1"/>
    <col min="6164" max="6164" width="11.5703125" bestFit="1" customWidth="1"/>
    <col min="6165" max="6165" width="7.7109375" bestFit="1" customWidth="1"/>
    <col min="6166" max="6166" width="15.140625" bestFit="1" customWidth="1"/>
    <col min="6167" max="6167" width="11.5703125" bestFit="1" customWidth="1"/>
    <col min="6168" max="6168" width="13.28515625" bestFit="1" customWidth="1"/>
    <col min="6169" max="6169" width="10.42578125" bestFit="1" customWidth="1"/>
    <col min="6170" max="6170" width="13.28515625" bestFit="1" customWidth="1"/>
    <col min="6171" max="6171" width="12.140625" bestFit="1" customWidth="1"/>
    <col min="6172" max="6172" width="14.42578125" bestFit="1" customWidth="1"/>
    <col min="6173" max="6173" width="13.28515625" bestFit="1" customWidth="1"/>
    <col min="6174" max="6174" width="11.5703125" bestFit="1" customWidth="1"/>
    <col min="6175" max="6175" width="7.7109375" bestFit="1" customWidth="1"/>
    <col min="6176" max="6177" width="14.42578125" bestFit="1" customWidth="1"/>
    <col min="6178" max="6178" width="11.5703125" bestFit="1" customWidth="1"/>
    <col min="6179" max="6179" width="7.7109375" bestFit="1" customWidth="1"/>
    <col min="6180" max="6180" width="13.5703125" customWidth="1"/>
    <col min="6181" max="6181" width="15.28515625" customWidth="1"/>
    <col min="6182" max="6182" width="14.5703125" customWidth="1"/>
    <col min="6183" max="6183" width="13.28515625" bestFit="1" customWidth="1"/>
    <col min="6184" max="6184" width="7.7109375" bestFit="1" customWidth="1"/>
    <col min="6185" max="6185" width="12.7109375" bestFit="1" customWidth="1"/>
    <col min="6186" max="6186" width="11.7109375" bestFit="1" customWidth="1"/>
    <col min="6187" max="6187" width="11.5703125" bestFit="1" customWidth="1"/>
    <col min="6188" max="6188" width="5.28515625" bestFit="1" customWidth="1"/>
    <col min="6189" max="6189" width="13.28515625" bestFit="1" customWidth="1"/>
    <col min="6190" max="6190" width="13.5703125" bestFit="1" customWidth="1"/>
    <col min="6191" max="6191" width="10.5703125" bestFit="1" customWidth="1"/>
    <col min="6192" max="6192" width="13.28515625" bestFit="1" customWidth="1"/>
    <col min="6193" max="6193" width="11.5703125" bestFit="1" customWidth="1"/>
    <col min="6194" max="6194" width="10.5703125" bestFit="1" customWidth="1"/>
    <col min="6195" max="6195" width="16.140625" bestFit="1" customWidth="1"/>
    <col min="6196" max="6197" width="11.28515625" bestFit="1" customWidth="1"/>
    <col min="6198" max="6198" width="13.28515625" bestFit="1" customWidth="1"/>
    <col min="6199" max="6199" width="7.7109375" bestFit="1" customWidth="1"/>
    <col min="6200" max="6203" width="9.140625" hidden="1" customWidth="1"/>
    <col min="6204" max="6204" width="10.42578125" bestFit="1" customWidth="1"/>
    <col min="6205" max="6205" width="10.5703125" bestFit="1" customWidth="1"/>
    <col min="6206" max="6206" width="10.42578125" bestFit="1" customWidth="1"/>
    <col min="6207" max="6207" width="10.5703125" bestFit="1" customWidth="1"/>
    <col min="6208" max="6208" width="9.5703125" bestFit="1" customWidth="1"/>
    <col min="6209" max="6209" width="11.5703125" bestFit="1" customWidth="1"/>
    <col min="6210" max="6210" width="10.42578125" bestFit="1" customWidth="1"/>
    <col min="6211" max="6211" width="10.85546875" customWidth="1"/>
    <col min="6212" max="6213" width="9.85546875" bestFit="1" customWidth="1"/>
    <col min="6214" max="6214" width="13.5703125" bestFit="1" customWidth="1"/>
    <col min="6215" max="6215" width="7.7109375" bestFit="1" customWidth="1"/>
    <col min="6216" max="6216" width="13.28515625" bestFit="1" customWidth="1"/>
    <col min="6217" max="6217" width="11.5703125" bestFit="1" customWidth="1"/>
    <col min="6218" max="6218" width="10.42578125" bestFit="1" customWidth="1"/>
    <col min="6219" max="6219" width="7.7109375" bestFit="1" customWidth="1"/>
    <col min="6220" max="6220" width="11.5703125" bestFit="1" customWidth="1"/>
    <col min="6221" max="6221" width="10.85546875" bestFit="1" customWidth="1"/>
    <col min="6222" max="6222" width="13.28515625" bestFit="1" customWidth="1"/>
    <col min="6223" max="6223" width="10.85546875" bestFit="1" customWidth="1"/>
    <col min="6224" max="6225" width="7.5703125" bestFit="1" customWidth="1"/>
    <col min="6226" max="6227" width="10.42578125" bestFit="1" customWidth="1"/>
    <col min="6228" max="6228" width="11.5703125" bestFit="1" customWidth="1"/>
    <col min="6229" max="6229" width="5.28515625" bestFit="1" customWidth="1"/>
    <col min="6230" max="6230" width="10.28515625" bestFit="1" customWidth="1"/>
    <col min="6231" max="6231" width="10.42578125" bestFit="1" customWidth="1"/>
    <col min="6232" max="6232" width="11.5703125" bestFit="1" customWidth="1"/>
    <col min="6233" max="6233" width="5.28515625" bestFit="1" customWidth="1"/>
    <col min="6234" max="6236" width="11.5703125" bestFit="1" customWidth="1"/>
    <col min="6237" max="6237" width="5.28515625" bestFit="1" customWidth="1"/>
    <col min="6238" max="6239" width="10.42578125" bestFit="1" customWidth="1"/>
    <col min="6240" max="6240" width="11.5703125" bestFit="1" customWidth="1"/>
    <col min="6241" max="6241" width="5.28515625" bestFit="1" customWidth="1"/>
    <col min="6242" max="6242" width="14.28515625" bestFit="1" customWidth="1"/>
    <col min="6243" max="6243" width="13" bestFit="1" customWidth="1"/>
    <col min="6244" max="6244" width="11.5703125" bestFit="1" customWidth="1"/>
    <col min="6245" max="6245" width="8.85546875" bestFit="1" customWidth="1"/>
    <col min="6246" max="6246" width="14.42578125" bestFit="1" customWidth="1"/>
    <col min="6247" max="6247" width="10.42578125" bestFit="1" customWidth="1"/>
    <col min="6248" max="6248" width="12.28515625" bestFit="1" customWidth="1"/>
    <col min="6249" max="6249" width="13.85546875" bestFit="1" customWidth="1"/>
    <col min="6250" max="6250" width="11.28515625" customWidth="1"/>
    <col min="6251" max="6251" width="11.5703125" customWidth="1"/>
    <col min="6252" max="6252" width="13.42578125" bestFit="1" customWidth="1"/>
    <col min="6253" max="6253" width="10.42578125" customWidth="1"/>
    <col min="6254" max="6254" width="13.85546875" bestFit="1" customWidth="1"/>
    <col min="6255" max="6255" width="15.42578125" bestFit="1" customWidth="1"/>
    <col min="6256" max="6256" width="12.28515625" bestFit="1" customWidth="1"/>
    <col min="6257" max="6257" width="12.7109375" customWidth="1"/>
    <col min="6258" max="6258" width="10.7109375" bestFit="1" customWidth="1"/>
    <col min="6259" max="6259" width="9.85546875" customWidth="1"/>
    <col min="6260" max="6261" width="10.140625" bestFit="1" customWidth="1"/>
    <col min="6262" max="6262" width="7.5703125" bestFit="1" customWidth="1"/>
    <col min="6263" max="6263" width="9.42578125" bestFit="1" customWidth="1"/>
    <col min="6264" max="6264" width="14.5703125" bestFit="1" customWidth="1"/>
    <col min="6265" max="6265" width="14.85546875" customWidth="1"/>
    <col min="6266" max="6266" width="15.140625" bestFit="1" customWidth="1"/>
    <col min="6267" max="6267" width="12.140625" bestFit="1" customWidth="1"/>
    <col min="6268" max="6268" width="14.85546875" bestFit="1" customWidth="1"/>
    <col min="6269" max="6269" width="12.28515625" bestFit="1" customWidth="1"/>
    <col min="6270" max="6278" width="9.140625" hidden="1" customWidth="1"/>
    <col min="6279" max="6279" width="5.28515625" bestFit="1" customWidth="1"/>
    <col min="6280" max="6285" width="11.5703125" bestFit="1" customWidth="1"/>
    <col min="6286" max="6286" width="11.28515625" bestFit="1" customWidth="1"/>
    <col min="6287" max="6287" width="10.140625" bestFit="1" customWidth="1"/>
    <col min="6288" max="6288" width="11.5703125" bestFit="1" customWidth="1"/>
    <col min="6289" max="6289" width="16.140625" customWidth="1"/>
    <col min="6290" max="6290" width="13.42578125" customWidth="1"/>
    <col min="6291" max="6291" width="10.140625" bestFit="1" customWidth="1"/>
    <col min="6292" max="6292" width="12.85546875" bestFit="1" customWidth="1"/>
    <col min="6293" max="6293" width="12.28515625" bestFit="1" customWidth="1"/>
    <col min="6294" max="6294" width="11.28515625" bestFit="1" customWidth="1"/>
    <col min="6295" max="6295" width="11.5703125" bestFit="1" customWidth="1"/>
    <col min="6296" max="6296" width="10.85546875" bestFit="1" customWidth="1"/>
    <col min="6297" max="6297" width="11.28515625" bestFit="1" customWidth="1"/>
    <col min="6298" max="6298" width="10.140625" bestFit="1" customWidth="1"/>
    <col min="6299" max="6299" width="13.28515625" bestFit="1" customWidth="1"/>
    <col min="6300" max="6301" width="12.7109375" bestFit="1" customWidth="1"/>
    <col min="6302" max="6302" width="11" bestFit="1" customWidth="1"/>
    <col min="6303" max="6303" width="11.28515625" bestFit="1" customWidth="1"/>
    <col min="6304" max="6304" width="11.5703125" bestFit="1" customWidth="1"/>
    <col min="6305" max="6305" width="12.28515625" bestFit="1" customWidth="1"/>
    <col min="6306" max="6306" width="15.140625" bestFit="1" customWidth="1"/>
    <col min="6307" max="6307" width="14.42578125" bestFit="1" customWidth="1"/>
    <col min="6308" max="6308" width="12.28515625" bestFit="1" customWidth="1"/>
    <col min="6309" max="6309" width="15.140625" bestFit="1" customWidth="1"/>
    <col min="6310" max="6310" width="14.42578125" bestFit="1" customWidth="1"/>
    <col min="6311" max="6311" width="12.28515625" bestFit="1" customWidth="1"/>
    <col min="6312" max="6312" width="14.42578125" bestFit="1" customWidth="1"/>
    <col min="6313" max="6313" width="11.28515625" bestFit="1" customWidth="1"/>
    <col min="6314" max="6314" width="12.28515625" bestFit="1" customWidth="1"/>
    <col min="6315" max="6315" width="13" bestFit="1" customWidth="1"/>
    <col min="6316" max="6316" width="15.140625" bestFit="1" customWidth="1"/>
    <col min="6317" max="6317" width="12.28515625" bestFit="1" customWidth="1"/>
    <col min="6318" max="6318" width="13.85546875" bestFit="1" customWidth="1"/>
    <col min="6319" max="6319" width="11.28515625" bestFit="1" customWidth="1"/>
    <col min="6320" max="6320" width="12.28515625" bestFit="1" customWidth="1"/>
    <col min="6321" max="6321" width="13.85546875" bestFit="1" customWidth="1"/>
    <col min="6322" max="6323" width="15.140625" bestFit="1" customWidth="1"/>
    <col min="6324" max="6324" width="12.28515625" bestFit="1" customWidth="1"/>
    <col min="6325" max="6325" width="5.7109375" bestFit="1" customWidth="1"/>
    <col min="6326" max="6326" width="8.5703125" bestFit="1" customWidth="1"/>
    <col min="6327" max="6327" width="5.5703125" bestFit="1" customWidth="1"/>
    <col min="6328" max="6328" width="14.42578125" bestFit="1" customWidth="1"/>
    <col min="6329" max="6329" width="11.28515625" bestFit="1" customWidth="1"/>
    <col min="6330" max="6331" width="12.28515625" bestFit="1" customWidth="1"/>
    <col min="6332" max="6332" width="11.28515625" bestFit="1" customWidth="1"/>
    <col min="6333" max="6333" width="13.85546875" bestFit="1" customWidth="1"/>
    <col min="6334" max="6334" width="12" bestFit="1" customWidth="1"/>
    <col min="6335" max="6335" width="13.85546875" bestFit="1" customWidth="1"/>
    <col min="6336" max="6337" width="14.42578125" customWidth="1"/>
    <col min="6338" max="6338" width="10.140625" bestFit="1" customWidth="1"/>
    <col min="6339" max="6339" width="12.28515625" bestFit="1" customWidth="1"/>
    <col min="6340" max="6340" width="7.42578125" bestFit="1" customWidth="1"/>
    <col min="6341" max="6341" width="8.5703125" bestFit="1" customWidth="1"/>
    <col min="6342" max="6342" width="11.5703125" bestFit="1" customWidth="1"/>
    <col min="6343" max="6343" width="13.28515625" bestFit="1" customWidth="1"/>
    <col min="6344" max="6344" width="13.28515625" customWidth="1"/>
    <col min="6345" max="6345" width="13.140625" customWidth="1"/>
    <col min="6346" max="6346" width="12.7109375" bestFit="1" customWidth="1"/>
    <col min="6347" max="6347" width="13.28515625" bestFit="1" customWidth="1"/>
    <col min="6348" max="6350" width="13.28515625" customWidth="1"/>
    <col min="6351" max="6351" width="12.140625" bestFit="1" customWidth="1"/>
    <col min="6352" max="6352" width="12.7109375" bestFit="1" customWidth="1"/>
    <col min="6353" max="6353" width="11" customWidth="1"/>
    <col min="6354" max="6354" width="16.7109375" customWidth="1"/>
    <col min="6355" max="6355" width="17" customWidth="1"/>
    <col min="6356" max="6356" width="10.42578125" bestFit="1" customWidth="1"/>
    <col min="6400" max="6400" width="3.85546875" customWidth="1"/>
    <col min="6401" max="6401" width="15.28515625" bestFit="1" customWidth="1"/>
    <col min="6402" max="6402" width="12.28515625" customWidth="1"/>
    <col min="6403" max="6403" width="16.28515625" bestFit="1" customWidth="1"/>
    <col min="6404" max="6404" width="6.42578125" bestFit="1" customWidth="1"/>
    <col min="6405" max="6405" width="9.28515625" bestFit="1" customWidth="1"/>
    <col min="6406" max="6406" width="7.5703125" bestFit="1" customWidth="1"/>
    <col min="6407" max="6407" width="13.28515625" bestFit="1" customWidth="1"/>
    <col min="6408" max="6408" width="9.28515625" bestFit="1" customWidth="1"/>
    <col min="6409" max="6409" width="11.5703125" bestFit="1" customWidth="1"/>
    <col min="6410" max="6410" width="13.28515625" bestFit="1" customWidth="1"/>
    <col min="6411" max="6411" width="7.140625" bestFit="1" customWidth="1"/>
    <col min="6412" max="6412" width="12" bestFit="1" customWidth="1"/>
    <col min="6413" max="6413" width="13.28515625" bestFit="1" customWidth="1"/>
    <col min="6414" max="6414" width="7" bestFit="1" customWidth="1"/>
    <col min="6415" max="6415" width="12.7109375" bestFit="1" customWidth="1"/>
    <col min="6416" max="6416" width="11.5703125" bestFit="1" customWidth="1"/>
    <col min="6417" max="6417" width="10.5703125" bestFit="1" customWidth="1"/>
    <col min="6418" max="6419" width="15.7109375" bestFit="1" customWidth="1"/>
    <col min="6420" max="6420" width="11.5703125" bestFit="1" customWidth="1"/>
    <col min="6421" max="6421" width="7.7109375" bestFit="1" customWidth="1"/>
    <col min="6422" max="6422" width="15.140625" bestFit="1" customWidth="1"/>
    <col min="6423" max="6423" width="11.5703125" bestFit="1" customWidth="1"/>
    <col min="6424" max="6424" width="13.28515625" bestFit="1" customWidth="1"/>
    <col min="6425" max="6425" width="10.42578125" bestFit="1" customWidth="1"/>
    <col min="6426" max="6426" width="13.28515625" bestFit="1" customWidth="1"/>
    <col min="6427" max="6427" width="12.140625" bestFit="1" customWidth="1"/>
    <col min="6428" max="6428" width="14.42578125" bestFit="1" customWidth="1"/>
    <col min="6429" max="6429" width="13.28515625" bestFit="1" customWidth="1"/>
    <col min="6430" max="6430" width="11.5703125" bestFit="1" customWidth="1"/>
    <col min="6431" max="6431" width="7.7109375" bestFit="1" customWidth="1"/>
    <col min="6432" max="6433" width="14.42578125" bestFit="1" customWidth="1"/>
    <col min="6434" max="6434" width="11.5703125" bestFit="1" customWidth="1"/>
    <col min="6435" max="6435" width="7.7109375" bestFit="1" customWidth="1"/>
    <col min="6436" max="6436" width="13.5703125" customWidth="1"/>
    <col min="6437" max="6437" width="15.28515625" customWidth="1"/>
    <col min="6438" max="6438" width="14.5703125" customWidth="1"/>
    <col min="6439" max="6439" width="13.28515625" bestFit="1" customWidth="1"/>
    <col min="6440" max="6440" width="7.7109375" bestFit="1" customWidth="1"/>
    <col min="6441" max="6441" width="12.7109375" bestFit="1" customWidth="1"/>
    <col min="6442" max="6442" width="11.7109375" bestFit="1" customWidth="1"/>
    <col min="6443" max="6443" width="11.5703125" bestFit="1" customWidth="1"/>
    <col min="6444" max="6444" width="5.28515625" bestFit="1" customWidth="1"/>
    <col min="6445" max="6445" width="13.28515625" bestFit="1" customWidth="1"/>
    <col min="6446" max="6446" width="13.5703125" bestFit="1" customWidth="1"/>
    <col min="6447" max="6447" width="10.5703125" bestFit="1" customWidth="1"/>
    <col min="6448" max="6448" width="13.28515625" bestFit="1" customWidth="1"/>
    <col min="6449" max="6449" width="11.5703125" bestFit="1" customWidth="1"/>
    <col min="6450" max="6450" width="10.5703125" bestFit="1" customWidth="1"/>
    <col min="6451" max="6451" width="16.140625" bestFit="1" customWidth="1"/>
    <col min="6452" max="6453" width="11.28515625" bestFit="1" customWidth="1"/>
    <col min="6454" max="6454" width="13.28515625" bestFit="1" customWidth="1"/>
    <col min="6455" max="6455" width="7.7109375" bestFit="1" customWidth="1"/>
    <col min="6456" max="6459" width="9.140625" hidden="1" customWidth="1"/>
    <col min="6460" max="6460" width="10.42578125" bestFit="1" customWidth="1"/>
    <col min="6461" max="6461" width="10.5703125" bestFit="1" customWidth="1"/>
    <col min="6462" max="6462" width="10.42578125" bestFit="1" customWidth="1"/>
    <col min="6463" max="6463" width="10.5703125" bestFit="1" customWidth="1"/>
    <col min="6464" max="6464" width="9.5703125" bestFit="1" customWidth="1"/>
    <col min="6465" max="6465" width="11.5703125" bestFit="1" customWidth="1"/>
    <col min="6466" max="6466" width="10.42578125" bestFit="1" customWidth="1"/>
    <col min="6467" max="6467" width="10.85546875" customWidth="1"/>
    <col min="6468" max="6469" width="9.85546875" bestFit="1" customWidth="1"/>
    <col min="6470" max="6470" width="13.5703125" bestFit="1" customWidth="1"/>
    <col min="6471" max="6471" width="7.7109375" bestFit="1" customWidth="1"/>
    <col min="6472" max="6472" width="13.28515625" bestFit="1" customWidth="1"/>
    <col min="6473" max="6473" width="11.5703125" bestFit="1" customWidth="1"/>
    <col min="6474" max="6474" width="10.42578125" bestFit="1" customWidth="1"/>
    <col min="6475" max="6475" width="7.7109375" bestFit="1" customWidth="1"/>
    <col min="6476" max="6476" width="11.5703125" bestFit="1" customWidth="1"/>
    <col min="6477" max="6477" width="10.85546875" bestFit="1" customWidth="1"/>
    <col min="6478" max="6478" width="13.28515625" bestFit="1" customWidth="1"/>
    <col min="6479" max="6479" width="10.85546875" bestFit="1" customWidth="1"/>
    <col min="6480" max="6481" width="7.5703125" bestFit="1" customWidth="1"/>
    <col min="6482" max="6483" width="10.42578125" bestFit="1" customWidth="1"/>
    <col min="6484" max="6484" width="11.5703125" bestFit="1" customWidth="1"/>
    <col min="6485" max="6485" width="5.28515625" bestFit="1" customWidth="1"/>
    <col min="6486" max="6486" width="10.28515625" bestFit="1" customWidth="1"/>
    <col min="6487" max="6487" width="10.42578125" bestFit="1" customWidth="1"/>
    <col min="6488" max="6488" width="11.5703125" bestFit="1" customWidth="1"/>
    <col min="6489" max="6489" width="5.28515625" bestFit="1" customWidth="1"/>
    <col min="6490" max="6492" width="11.5703125" bestFit="1" customWidth="1"/>
    <col min="6493" max="6493" width="5.28515625" bestFit="1" customWidth="1"/>
    <col min="6494" max="6495" width="10.42578125" bestFit="1" customWidth="1"/>
    <col min="6496" max="6496" width="11.5703125" bestFit="1" customWidth="1"/>
    <col min="6497" max="6497" width="5.28515625" bestFit="1" customWidth="1"/>
    <col min="6498" max="6498" width="14.28515625" bestFit="1" customWidth="1"/>
    <col min="6499" max="6499" width="13" bestFit="1" customWidth="1"/>
    <col min="6500" max="6500" width="11.5703125" bestFit="1" customWidth="1"/>
    <col min="6501" max="6501" width="8.85546875" bestFit="1" customWidth="1"/>
    <col min="6502" max="6502" width="14.42578125" bestFit="1" customWidth="1"/>
    <col min="6503" max="6503" width="10.42578125" bestFit="1" customWidth="1"/>
    <col min="6504" max="6504" width="12.28515625" bestFit="1" customWidth="1"/>
    <col min="6505" max="6505" width="13.85546875" bestFit="1" customWidth="1"/>
    <col min="6506" max="6506" width="11.28515625" customWidth="1"/>
    <col min="6507" max="6507" width="11.5703125" customWidth="1"/>
    <col min="6508" max="6508" width="13.42578125" bestFit="1" customWidth="1"/>
    <col min="6509" max="6509" width="10.42578125" customWidth="1"/>
    <col min="6510" max="6510" width="13.85546875" bestFit="1" customWidth="1"/>
    <col min="6511" max="6511" width="15.42578125" bestFit="1" customWidth="1"/>
    <col min="6512" max="6512" width="12.28515625" bestFit="1" customWidth="1"/>
    <col min="6513" max="6513" width="12.7109375" customWidth="1"/>
    <col min="6514" max="6514" width="10.7109375" bestFit="1" customWidth="1"/>
    <col min="6515" max="6515" width="9.85546875" customWidth="1"/>
    <col min="6516" max="6517" width="10.140625" bestFit="1" customWidth="1"/>
    <col min="6518" max="6518" width="7.5703125" bestFit="1" customWidth="1"/>
    <col min="6519" max="6519" width="9.42578125" bestFit="1" customWidth="1"/>
    <col min="6520" max="6520" width="14.5703125" bestFit="1" customWidth="1"/>
    <col min="6521" max="6521" width="14.85546875" customWidth="1"/>
    <col min="6522" max="6522" width="15.140625" bestFit="1" customWidth="1"/>
    <col min="6523" max="6523" width="12.140625" bestFit="1" customWidth="1"/>
    <col min="6524" max="6524" width="14.85546875" bestFit="1" customWidth="1"/>
    <col min="6525" max="6525" width="12.28515625" bestFit="1" customWidth="1"/>
    <col min="6526" max="6534" width="9.140625" hidden="1" customWidth="1"/>
    <col min="6535" max="6535" width="5.28515625" bestFit="1" customWidth="1"/>
    <col min="6536" max="6541" width="11.5703125" bestFit="1" customWidth="1"/>
    <col min="6542" max="6542" width="11.28515625" bestFit="1" customWidth="1"/>
    <col min="6543" max="6543" width="10.140625" bestFit="1" customWidth="1"/>
    <col min="6544" max="6544" width="11.5703125" bestFit="1" customWidth="1"/>
    <col min="6545" max="6545" width="16.140625" customWidth="1"/>
    <col min="6546" max="6546" width="13.42578125" customWidth="1"/>
    <col min="6547" max="6547" width="10.140625" bestFit="1" customWidth="1"/>
    <col min="6548" max="6548" width="12.85546875" bestFit="1" customWidth="1"/>
    <col min="6549" max="6549" width="12.28515625" bestFit="1" customWidth="1"/>
    <col min="6550" max="6550" width="11.28515625" bestFit="1" customWidth="1"/>
    <col min="6551" max="6551" width="11.5703125" bestFit="1" customWidth="1"/>
    <col min="6552" max="6552" width="10.85546875" bestFit="1" customWidth="1"/>
    <col min="6553" max="6553" width="11.28515625" bestFit="1" customWidth="1"/>
    <col min="6554" max="6554" width="10.140625" bestFit="1" customWidth="1"/>
    <col min="6555" max="6555" width="13.28515625" bestFit="1" customWidth="1"/>
    <col min="6556" max="6557" width="12.7109375" bestFit="1" customWidth="1"/>
    <col min="6558" max="6558" width="11" bestFit="1" customWidth="1"/>
    <col min="6559" max="6559" width="11.28515625" bestFit="1" customWidth="1"/>
    <col min="6560" max="6560" width="11.5703125" bestFit="1" customWidth="1"/>
    <col min="6561" max="6561" width="12.28515625" bestFit="1" customWidth="1"/>
    <col min="6562" max="6562" width="15.140625" bestFit="1" customWidth="1"/>
    <col min="6563" max="6563" width="14.42578125" bestFit="1" customWidth="1"/>
    <col min="6564" max="6564" width="12.28515625" bestFit="1" customWidth="1"/>
    <col min="6565" max="6565" width="15.140625" bestFit="1" customWidth="1"/>
    <col min="6566" max="6566" width="14.42578125" bestFit="1" customWidth="1"/>
    <col min="6567" max="6567" width="12.28515625" bestFit="1" customWidth="1"/>
    <col min="6568" max="6568" width="14.42578125" bestFit="1" customWidth="1"/>
    <col min="6569" max="6569" width="11.28515625" bestFit="1" customWidth="1"/>
    <col min="6570" max="6570" width="12.28515625" bestFit="1" customWidth="1"/>
    <col min="6571" max="6571" width="13" bestFit="1" customWidth="1"/>
    <col min="6572" max="6572" width="15.140625" bestFit="1" customWidth="1"/>
    <col min="6573" max="6573" width="12.28515625" bestFit="1" customWidth="1"/>
    <col min="6574" max="6574" width="13.85546875" bestFit="1" customWidth="1"/>
    <col min="6575" max="6575" width="11.28515625" bestFit="1" customWidth="1"/>
    <col min="6576" max="6576" width="12.28515625" bestFit="1" customWidth="1"/>
    <col min="6577" max="6577" width="13.85546875" bestFit="1" customWidth="1"/>
    <col min="6578" max="6579" width="15.140625" bestFit="1" customWidth="1"/>
    <col min="6580" max="6580" width="12.28515625" bestFit="1" customWidth="1"/>
    <col min="6581" max="6581" width="5.7109375" bestFit="1" customWidth="1"/>
    <col min="6582" max="6582" width="8.5703125" bestFit="1" customWidth="1"/>
    <col min="6583" max="6583" width="5.5703125" bestFit="1" customWidth="1"/>
    <col min="6584" max="6584" width="14.42578125" bestFit="1" customWidth="1"/>
    <col min="6585" max="6585" width="11.28515625" bestFit="1" customWidth="1"/>
    <col min="6586" max="6587" width="12.28515625" bestFit="1" customWidth="1"/>
    <col min="6588" max="6588" width="11.28515625" bestFit="1" customWidth="1"/>
    <col min="6589" max="6589" width="13.85546875" bestFit="1" customWidth="1"/>
    <col min="6590" max="6590" width="12" bestFit="1" customWidth="1"/>
    <col min="6591" max="6591" width="13.85546875" bestFit="1" customWidth="1"/>
    <col min="6592" max="6593" width="14.42578125" customWidth="1"/>
    <col min="6594" max="6594" width="10.140625" bestFit="1" customWidth="1"/>
    <col min="6595" max="6595" width="12.28515625" bestFit="1" customWidth="1"/>
    <col min="6596" max="6596" width="7.42578125" bestFit="1" customWidth="1"/>
    <col min="6597" max="6597" width="8.5703125" bestFit="1" customWidth="1"/>
    <col min="6598" max="6598" width="11.5703125" bestFit="1" customWidth="1"/>
    <col min="6599" max="6599" width="13.28515625" bestFit="1" customWidth="1"/>
    <col min="6600" max="6600" width="13.28515625" customWidth="1"/>
    <col min="6601" max="6601" width="13.140625" customWidth="1"/>
    <col min="6602" max="6602" width="12.7109375" bestFit="1" customWidth="1"/>
    <col min="6603" max="6603" width="13.28515625" bestFit="1" customWidth="1"/>
    <col min="6604" max="6606" width="13.28515625" customWidth="1"/>
    <col min="6607" max="6607" width="12.140625" bestFit="1" customWidth="1"/>
    <col min="6608" max="6608" width="12.7109375" bestFit="1" customWidth="1"/>
    <col min="6609" max="6609" width="11" customWidth="1"/>
    <col min="6610" max="6610" width="16.7109375" customWidth="1"/>
    <col min="6611" max="6611" width="17" customWidth="1"/>
    <col min="6612" max="6612" width="10.42578125" bestFit="1" customWidth="1"/>
    <col min="6656" max="6656" width="3.85546875" customWidth="1"/>
    <col min="6657" max="6657" width="15.28515625" bestFit="1" customWidth="1"/>
    <col min="6658" max="6658" width="12.28515625" customWidth="1"/>
    <col min="6659" max="6659" width="16.28515625" bestFit="1" customWidth="1"/>
    <col min="6660" max="6660" width="6.42578125" bestFit="1" customWidth="1"/>
    <col min="6661" max="6661" width="9.28515625" bestFit="1" customWidth="1"/>
    <col min="6662" max="6662" width="7.5703125" bestFit="1" customWidth="1"/>
    <col min="6663" max="6663" width="13.28515625" bestFit="1" customWidth="1"/>
    <col min="6664" max="6664" width="9.28515625" bestFit="1" customWidth="1"/>
    <col min="6665" max="6665" width="11.5703125" bestFit="1" customWidth="1"/>
    <col min="6666" max="6666" width="13.28515625" bestFit="1" customWidth="1"/>
    <col min="6667" max="6667" width="7.140625" bestFit="1" customWidth="1"/>
    <col min="6668" max="6668" width="12" bestFit="1" customWidth="1"/>
    <col min="6669" max="6669" width="13.28515625" bestFit="1" customWidth="1"/>
    <col min="6670" max="6670" width="7" bestFit="1" customWidth="1"/>
    <col min="6671" max="6671" width="12.7109375" bestFit="1" customWidth="1"/>
    <col min="6672" max="6672" width="11.5703125" bestFit="1" customWidth="1"/>
    <col min="6673" max="6673" width="10.5703125" bestFit="1" customWidth="1"/>
    <col min="6674" max="6675" width="15.7109375" bestFit="1" customWidth="1"/>
    <col min="6676" max="6676" width="11.5703125" bestFit="1" customWidth="1"/>
    <col min="6677" max="6677" width="7.7109375" bestFit="1" customWidth="1"/>
    <col min="6678" max="6678" width="15.140625" bestFit="1" customWidth="1"/>
    <col min="6679" max="6679" width="11.5703125" bestFit="1" customWidth="1"/>
    <col min="6680" max="6680" width="13.28515625" bestFit="1" customWidth="1"/>
    <col min="6681" max="6681" width="10.42578125" bestFit="1" customWidth="1"/>
    <col min="6682" max="6682" width="13.28515625" bestFit="1" customWidth="1"/>
    <col min="6683" max="6683" width="12.140625" bestFit="1" customWidth="1"/>
    <col min="6684" max="6684" width="14.42578125" bestFit="1" customWidth="1"/>
    <col min="6685" max="6685" width="13.28515625" bestFit="1" customWidth="1"/>
    <col min="6686" max="6686" width="11.5703125" bestFit="1" customWidth="1"/>
    <col min="6687" max="6687" width="7.7109375" bestFit="1" customWidth="1"/>
    <col min="6688" max="6689" width="14.42578125" bestFit="1" customWidth="1"/>
    <col min="6690" max="6690" width="11.5703125" bestFit="1" customWidth="1"/>
    <col min="6691" max="6691" width="7.7109375" bestFit="1" customWidth="1"/>
    <col min="6692" max="6692" width="13.5703125" customWidth="1"/>
    <col min="6693" max="6693" width="15.28515625" customWidth="1"/>
    <col min="6694" max="6694" width="14.5703125" customWidth="1"/>
    <col min="6695" max="6695" width="13.28515625" bestFit="1" customWidth="1"/>
    <col min="6696" max="6696" width="7.7109375" bestFit="1" customWidth="1"/>
    <col min="6697" max="6697" width="12.7109375" bestFit="1" customWidth="1"/>
    <col min="6698" max="6698" width="11.7109375" bestFit="1" customWidth="1"/>
    <col min="6699" max="6699" width="11.5703125" bestFit="1" customWidth="1"/>
    <col min="6700" max="6700" width="5.28515625" bestFit="1" customWidth="1"/>
    <col min="6701" max="6701" width="13.28515625" bestFit="1" customWidth="1"/>
    <col min="6702" max="6702" width="13.5703125" bestFit="1" customWidth="1"/>
    <col min="6703" max="6703" width="10.5703125" bestFit="1" customWidth="1"/>
    <col min="6704" max="6704" width="13.28515625" bestFit="1" customWidth="1"/>
    <col min="6705" max="6705" width="11.5703125" bestFit="1" customWidth="1"/>
    <col min="6706" max="6706" width="10.5703125" bestFit="1" customWidth="1"/>
    <col min="6707" max="6707" width="16.140625" bestFit="1" customWidth="1"/>
    <col min="6708" max="6709" width="11.28515625" bestFit="1" customWidth="1"/>
    <col min="6710" max="6710" width="13.28515625" bestFit="1" customWidth="1"/>
    <col min="6711" max="6711" width="7.7109375" bestFit="1" customWidth="1"/>
    <col min="6712" max="6715" width="9.140625" hidden="1" customWidth="1"/>
    <col min="6716" max="6716" width="10.42578125" bestFit="1" customWidth="1"/>
    <col min="6717" max="6717" width="10.5703125" bestFit="1" customWidth="1"/>
    <col min="6718" max="6718" width="10.42578125" bestFit="1" customWidth="1"/>
    <col min="6719" max="6719" width="10.5703125" bestFit="1" customWidth="1"/>
    <col min="6720" max="6720" width="9.5703125" bestFit="1" customWidth="1"/>
    <col min="6721" max="6721" width="11.5703125" bestFit="1" customWidth="1"/>
    <col min="6722" max="6722" width="10.42578125" bestFit="1" customWidth="1"/>
    <col min="6723" max="6723" width="10.85546875" customWidth="1"/>
    <col min="6724" max="6725" width="9.85546875" bestFit="1" customWidth="1"/>
    <col min="6726" max="6726" width="13.5703125" bestFit="1" customWidth="1"/>
    <col min="6727" max="6727" width="7.7109375" bestFit="1" customWidth="1"/>
    <col min="6728" max="6728" width="13.28515625" bestFit="1" customWidth="1"/>
    <col min="6729" max="6729" width="11.5703125" bestFit="1" customWidth="1"/>
    <col min="6730" max="6730" width="10.42578125" bestFit="1" customWidth="1"/>
    <col min="6731" max="6731" width="7.7109375" bestFit="1" customWidth="1"/>
    <col min="6732" max="6732" width="11.5703125" bestFit="1" customWidth="1"/>
    <col min="6733" max="6733" width="10.85546875" bestFit="1" customWidth="1"/>
    <col min="6734" max="6734" width="13.28515625" bestFit="1" customWidth="1"/>
    <col min="6735" max="6735" width="10.85546875" bestFit="1" customWidth="1"/>
    <col min="6736" max="6737" width="7.5703125" bestFit="1" customWidth="1"/>
    <col min="6738" max="6739" width="10.42578125" bestFit="1" customWidth="1"/>
    <col min="6740" max="6740" width="11.5703125" bestFit="1" customWidth="1"/>
    <col min="6741" max="6741" width="5.28515625" bestFit="1" customWidth="1"/>
    <col min="6742" max="6742" width="10.28515625" bestFit="1" customWidth="1"/>
    <col min="6743" max="6743" width="10.42578125" bestFit="1" customWidth="1"/>
    <col min="6744" max="6744" width="11.5703125" bestFit="1" customWidth="1"/>
    <col min="6745" max="6745" width="5.28515625" bestFit="1" customWidth="1"/>
    <col min="6746" max="6748" width="11.5703125" bestFit="1" customWidth="1"/>
    <col min="6749" max="6749" width="5.28515625" bestFit="1" customWidth="1"/>
    <col min="6750" max="6751" width="10.42578125" bestFit="1" customWidth="1"/>
    <col min="6752" max="6752" width="11.5703125" bestFit="1" customWidth="1"/>
    <col min="6753" max="6753" width="5.28515625" bestFit="1" customWidth="1"/>
    <col min="6754" max="6754" width="14.28515625" bestFit="1" customWidth="1"/>
    <col min="6755" max="6755" width="13" bestFit="1" customWidth="1"/>
    <col min="6756" max="6756" width="11.5703125" bestFit="1" customWidth="1"/>
    <col min="6757" max="6757" width="8.85546875" bestFit="1" customWidth="1"/>
    <col min="6758" max="6758" width="14.42578125" bestFit="1" customWidth="1"/>
    <col min="6759" max="6759" width="10.42578125" bestFit="1" customWidth="1"/>
    <col min="6760" max="6760" width="12.28515625" bestFit="1" customWidth="1"/>
    <col min="6761" max="6761" width="13.85546875" bestFit="1" customWidth="1"/>
    <col min="6762" max="6762" width="11.28515625" customWidth="1"/>
    <col min="6763" max="6763" width="11.5703125" customWidth="1"/>
    <col min="6764" max="6764" width="13.42578125" bestFit="1" customWidth="1"/>
    <col min="6765" max="6765" width="10.42578125" customWidth="1"/>
    <col min="6766" max="6766" width="13.85546875" bestFit="1" customWidth="1"/>
    <col min="6767" max="6767" width="15.42578125" bestFit="1" customWidth="1"/>
    <col min="6768" max="6768" width="12.28515625" bestFit="1" customWidth="1"/>
    <col min="6769" max="6769" width="12.7109375" customWidth="1"/>
    <col min="6770" max="6770" width="10.7109375" bestFit="1" customWidth="1"/>
    <col min="6771" max="6771" width="9.85546875" customWidth="1"/>
    <col min="6772" max="6773" width="10.140625" bestFit="1" customWidth="1"/>
    <col min="6774" max="6774" width="7.5703125" bestFit="1" customWidth="1"/>
    <col min="6775" max="6775" width="9.42578125" bestFit="1" customWidth="1"/>
    <col min="6776" max="6776" width="14.5703125" bestFit="1" customWidth="1"/>
    <col min="6777" max="6777" width="14.85546875" customWidth="1"/>
    <col min="6778" max="6778" width="15.140625" bestFit="1" customWidth="1"/>
    <col min="6779" max="6779" width="12.140625" bestFit="1" customWidth="1"/>
    <col min="6780" max="6780" width="14.85546875" bestFit="1" customWidth="1"/>
    <col min="6781" max="6781" width="12.28515625" bestFit="1" customWidth="1"/>
    <col min="6782" max="6790" width="9.140625" hidden="1" customWidth="1"/>
    <col min="6791" max="6791" width="5.28515625" bestFit="1" customWidth="1"/>
    <col min="6792" max="6797" width="11.5703125" bestFit="1" customWidth="1"/>
    <col min="6798" max="6798" width="11.28515625" bestFit="1" customWidth="1"/>
    <col min="6799" max="6799" width="10.140625" bestFit="1" customWidth="1"/>
    <col min="6800" max="6800" width="11.5703125" bestFit="1" customWidth="1"/>
    <col min="6801" max="6801" width="16.140625" customWidth="1"/>
    <col min="6802" max="6802" width="13.42578125" customWidth="1"/>
    <col min="6803" max="6803" width="10.140625" bestFit="1" customWidth="1"/>
    <col min="6804" max="6804" width="12.85546875" bestFit="1" customWidth="1"/>
    <col min="6805" max="6805" width="12.28515625" bestFit="1" customWidth="1"/>
    <col min="6806" max="6806" width="11.28515625" bestFit="1" customWidth="1"/>
    <col min="6807" max="6807" width="11.5703125" bestFit="1" customWidth="1"/>
    <col min="6808" max="6808" width="10.85546875" bestFit="1" customWidth="1"/>
    <col min="6809" max="6809" width="11.28515625" bestFit="1" customWidth="1"/>
    <col min="6810" max="6810" width="10.140625" bestFit="1" customWidth="1"/>
    <col min="6811" max="6811" width="13.28515625" bestFit="1" customWidth="1"/>
    <col min="6812" max="6813" width="12.7109375" bestFit="1" customWidth="1"/>
    <col min="6814" max="6814" width="11" bestFit="1" customWidth="1"/>
    <col min="6815" max="6815" width="11.28515625" bestFit="1" customWidth="1"/>
    <col min="6816" max="6816" width="11.5703125" bestFit="1" customWidth="1"/>
    <col min="6817" max="6817" width="12.28515625" bestFit="1" customWidth="1"/>
    <col min="6818" max="6818" width="15.140625" bestFit="1" customWidth="1"/>
    <col min="6819" max="6819" width="14.42578125" bestFit="1" customWidth="1"/>
    <col min="6820" max="6820" width="12.28515625" bestFit="1" customWidth="1"/>
    <col min="6821" max="6821" width="15.140625" bestFit="1" customWidth="1"/>
    <col min="6822" max="6822" width="14.42578125" bestFit="1" customWidth="1"/>
    <col min="6823" max="6823" width="12.28515625" bestFit="1" customWidth="1"/>
    <col min="6824" max="6824" width="14.42578125" bestFit="1" customWidth="1"/>
    <col min="6825" max="6825" width="11.28515625" bestFit="1" customWidth="1"/>
    <col min="6826" max="6826" width="12.28515625" bestFit="1" customWidth="1"/>
    <col min="6827" max="6827" width="13" bestFit="1" customWidth="1"/>
    <col min="6828" max="6828" width="15.140625" bestFit="1" customWidth="1"/>
    <col min="6829" max="6829" width="12.28515625" bestFit="1" customWidth="1"/>
    <col min="6830" max="6830" width="13.85546875" bestFit="1" customWidth="1"/>
    <col min="6831" max="6831" width="11.28515625" bestFit="1" customWidth="1"/>
    <col min="6832" max="6832" width="12.28515625" bestFit="1" customWidth="1"/>
    <col min="6833" max="6833" width="13.85546875" bestFit="1" customWidth="1"/>
    <col min="6834" max="6835" width="15.140625" bestFit="1" customWidth="1"/>
    <col min="6836" max="6836" width="12.28515625" bestFit="1" customWidth="1"/>
    <col min="6837" max="6837" width="5.7109375" bestFit="1" customWidth="1"/>
    <col min="6838" max="6838" width="8.5703125" bestFit="1" customWidth="1"/>
    <col min="6839" max="6839" width="5.5703125" bestFit="1" customWidth="1"/>
    <col min="6840" max="6840" width="14.42578125" bestFit="1" customWidth="1"/>
    <col min="6841" max="6841" width="11.28515625" bestFit="1" customWidth="1"/>
    <col min="6842" max="6843" width="12.28515625" bestFit="1" customWidth="1"/>
    <col min="6844" max="6844" width="11.28515625" bestFit="1" customWidth="1"/>
    <col min="6845" max="6845" width="13.85546875" bestFit="1" customWidth="1"/>
    <col min="6846" max="6846" width="12" bestFit="1" customWidth="1"/>
    <col min="6847" max="6847" width="13.85546875" bestFit="1" customWidth="1"/>
    <col min="6848" max="6849" width="14.42578125" customWidth="1"/>
    <col min="6850" max="6850" width="10.140625" bestFit="1" customWidth="1"/>
    <col min="6851" max="6851" width="12.28515625" bestFit="1" customWidth="1"/>
    <col min="6852" max="6852" width="7.42578125" bestFit="1" customWidth="1"/>
    <col min="6853" max="6853" width="8.5703125" bestFit="1" customWidth="1"/>
    <col min="6854" max="6854" width="11.5703125" bestFit="1" customWidth="1"/>
    <col min="6855" max="6855" width="13.28515625" bestFit="1" customWidth="1"/>
    <col min="6856" max="6856" width="13.28515625" customWidth="1"/>
    <col min="6857" max="6857" width="13.140625" customWidth="1"/>
    <col min="6858" max="6858" width="12.7109375" bestFit="1" customWidth="1"/>
    <col min="6859" max="6859" width="13.28515625" bestFit="1" customWidth="1"/>
    <col min="6860" max="6862" width="13.28515625" customWidth="1"/>
    <col min="6863" max="6863" width="12.140625" bestFit="1" customWidth="1"/>
    <col min="6864" max="6864" width="12.7109375" bestFit="1" customWidth="1"/>
    <col min="6865" max="6865" width="11" customWidth="1"/>
    <col min="6866" max="6866" width="16.7109375" customWidth="1"/>
    <col min="6867" max="6867" width="17" customWidth="1"/>
    <col min="6868" max="6868" width="10.42578125" bestFit="1" customWidth="1"/>
    <col min="6912" max="6912" width="3.85546875" customWidth="1"/>
    <col min="6913" max="6913" width="15.28515625" bestFit="1" customWidth="1"/>
    <col min="6914" max="6914" width="12.28515625" customWidth="1"/>
    <col min="6915" max="6915" width="16.28515625" bestFit="1" customWidth="1"/>
    <col min="6916" max="6916" width="6.42578125" bestFit="1" customWidth="1"/>
    <col min="6917" max="6917" width="9.28515625" bestFit="1" customWidth="1"/>
    <col min="6918" max="6918" width="7.5703125" bestFit="1" customWidth="1"/>
    <col min="6919" max="6919" width="13.28515625" bestFit="1" customWidth="1"/>
    <col min="6920" max="6920" width="9.28515625" bestFit="1" customWidth="1"/>
    <col min="6921" max="6921" width="11.5703125" bestFit="1" customWidth="1"/>
    <col min="6922" max="6922" width="13.28515625" bestFit="1" customWidth="1"/>
    <col min="6923" max="6923" width="7.140625" bestFit="1" customWidth="1"/>
    <col min="6924" max="6924" width="12" bestFit="1" customWidth="1"/>
    <col min="6925" max="6925" width="13.28515625" bestFit="1" customWidth="1"/>
    <col min="6926" max="6926" width="7" bestFit="1" customWidth="1"/>
    <col min="6927" max="6927" width="12.7109375" bestFit="1" customWidth="1"/>
    <col min="6928" max="6928" width="11.5703125" bestFit="1" customWidth="1"/>
    <col min="6929" max="6929" width="10.5703125" bestFit="1" customWidth="1"/>
    <col min="6930" max="6931" width="15.7109375" bestFit="1" customWidth="1"/>
    <col min="6932" max="6932" width="11.5703125" bestFit="1" customWidth="1"/>
    <col min="6933" max="6933" width="7.7109375" bestFit="1" customWidth="1"/>
    <col min="6934" max="6934" width="15.140625" bestFit="1" customWidth="1"/>
    <col min="6935" max="6935" width="11.5703125" bestFit="1" customWidth="1"/>
    <col min="6936" max="6936" width="13.28515625" bestFit="1" customWidth="1"/>
    <col min="6937" max="6937" width="10.42578125" bestFit="1" customWidth="1"/>
    <col min="6938" max="6938" width="13.28515625" bestFit="1" customWidth="1"/>
    <col min="6939" max="6939" width="12.140625" bestFit="1" customWidth="1"/>
    <col min="6940" max="6940" width="14.42578125" bestFit="1" customWidth="1"/>
    <col min="6941" max="6941" width="13.28515625" bestFit="1" customWidth="1"/>
    <col min="6942" max="6942" width="11.5703125" bestFit="1" customWidth="1"/>
    <col min="6943" max="6943" width="7.7109375" bestFit="1" customWidth="1"/>
    <col min="6944" max="6945" width="14.42578125" bestFit="1" customWidth="1"/>
    <col min="6946" max="6946" width="11.5703125" bestFit="1" customWidth="1"/>
    <col min="6947" max="6947" width="7.7109375" bestFit="1" customWidth="1"/>
    <col min="6948" max="6948" width="13.5703125" customWidth="1"/>
    <col min="6949" max="6949" width="15.28515625" customWidth="1"/>
    <col min="6950" max="6950" width="14.5703125" customWidth="1"/>
    <col min="6951" max="6951" width="13.28515625" bestFit="1" customWidth="1"/>
    <col min="6952" max="6952" width="7.7109375" bestFit="1" customWidth="1"/>
    <col min="6953" max="6953" width="12.7109375" bestFit="1" customWidth="1"/>
    <col min="6954" max="6954" width="11.7109375" bestFit="1" customWidth="1"/>
    <col min="6955" max="6955" width="11.5703125" bestFit="1" customWidth="1"/>
    <col min="6956" max="6956" width="5.28515625" bestFit="1" customWidth="1"/>
    <col min="6957" max="6957" width="13.28515625" bestFit="1" customWidth="1"/>
    <col min="6958" max="6958" width="13.5703125" bestFit="1" customWidth="1"/>
    <col min="6959" max="6959" width="10.5703125" bestFit="1" customWidth="1"/>
    <col min="6960" max="6960" width="13.28515625" bestFit="1" customWidth="1"/>
    <col min="6961" max="6961" width="11.5703125" bestFit="1" customWidth="1"/>
    <col min="6962" max="6962" width="10.5703125" bestFit="1" customWidth="1"/>
    <col min="6963" max="6963" width="16.140625" bestFit="1" customWidth="1"/>
    <col min="6964" max="6965" width="11.28515625" bestFit="1" customWidth="1"/>
    <col min="6966" max="6966" width="13.28515625" bestFit="1" customWidth="1"/>
    <col min="6967" max="6967" width="7.7109375" bestFit="1" customWidth="1"/>
    <col min="6968" max="6971" width="9.140625" hidden="1" customWidth="1"/>
    <col min="6972" max="6972" width="10.42578125" bestFit="1" customWidth="1"/>
    <col min="6973" max="6973" width="10.5703125" bestFit="1" customWidth="1"/>
    <col min="6974" max="6974" width="10.42578125" bestFit="1" customWidth="1"/>
    <col min="6975" max="6975" width="10.5703125" bestFit="1" customWidth="1"/>
    <col min="6976" max="6976" width="9.5703125" bestFit="1" customWidth="1"/>
    <col min="6977" max="6977" width="11.5703125" bestFit="1" customWidth="1"/>
    <col min="6978" max="6978" width="10.42578125" bestFit="1" customWidth="1"/>
    <col min="6979" max="6979" width="10.85546875" customWidth="1"/>
    <col min="6980" max="6981" width="9.85546875" bestFit="1" customWidth="1"/>
    <col min="6982" max="6982" width="13.5703125" bestFit="1" customWidth="1"/>
    <col min="6983" max="6983" width="7.7109375" bestFit="1" customWidth="1"/>
    <col min="6984" max="6984" width="13.28515625" bestFit="1" customWidth="1"/>
    <col min="6985" max="6985" width="11.5703125" bestFit="1" customWidth="1"/>
    <col min="6986" max="6986" width="10.42578125" bestFit="1" customWidth="1"/>
    <col min="6987" max="6987" width="7.7109375" bestFit="1" customWidth="1"/>
    <col min="6988" max="6988" width="11.5703125" bestFit="1" customWidth="1"/>
    <col min="6989" max="6989" width="10.85546875" bestFit="1" customWidth="1"/>
    <col min="6990" max="6990" width="13.28515625" bestFit="1" customWidth="1"/>
    <col min="6991" max="6991" width="10.85546875" bestFit="1" customWidth="1"/>
    <col min="6992" max="6993" width="7.5703125" bestFit="1" customWidth="1"/>
    <col min="6994" max="6995" width="10.42578125" bestFit="1" customWidth="1"/>
    <col min="6996" max="6996" width="11.5703125" bestFit="1" customWidth="1"/>
    <col min="6997" max="6997" width="5.28515625" bestFit="1" customWidth="1"/>
    <col min="6998" max="6998" width="10.28515625" bestFit="1" customWidth="1"/>
    <col min="6999" max="6999" width="10.42578125" bestFit="1" customWidth="1"/>
    <col min="7000" max="7000" width="11.5703125" bestFit="1" customWidth="1"/>
    <col min="7001" max="7001" width="5.28515625" bestFit="1" customWidth="1"/>
    <col min="7002" max="7004" width="11.5703125" bestFit="1" customWidth="1"/>
    <col min="7005" max="7005" width="5.28515625" bestFit="1" customWidth="1"/>
    <col min="7006" max="7007" width="10.42578125" bestFit="1" customWidth="1"/>
    <col min="7008" max="7008" width="11.5703125" bestFit="1" customWidth="1"/>
    <col min="7009" max="7009" width="5.28515625" bestFit="1" customWidth="1"/>
    <col min="7010" max="7010" width="14.28515625" bestFit="1" customWidth="1"/>
    <col min="7011" max="7011" width="13" bestFit="1" customWidth="1"/>
    <col min="7012" max="7012" width="11.5703125" bestFit="1" customWidth="1"/>
    <col min="7013" max="7013" width="8.85546875" bestFit="1" customWidth="1"/>
    <col min="7014" max="7014" width="14.42578125" bestFit="1" customWidth="1"/>
    <col min="7015" max="7015" width="10.42578125" bestFit="1" customWidth="1"/>
    <col min="7016" max="7016" width="12.28515625" bestFit="1" customWidth="1"/>
    <col min="7017" max="7017" width="13.85546875" bestFit="1" customWidth="1"/>
    <col min="7018" max="7018" width="11.28515625" customWidth="1"/>
    <col min="7019" max="7019" width="11.5703125" customWidth="1"/>
    <col min="7020" max="7020" width="13.42578125" bestFit="1" customWidth="1"/>
    <col min="7021" max="7021" width="10.42578125" customWidth="1"/>
    <col min="7022" max="7022" width="13.85546875" bestFit="1" customWidth="1"/>
    <col min="7023" max="7023" width="15.42578125" bestFit="1" customWidth="1"/>
    <col min="7024" max="7024" width="12.28515625" bestFit="1" customWidth="1"/>
    <col min="7025" max="7025" width="12.7109375" customWidth="1"/>
    <col min="7026" max="7026" width="10.7109375" bestFit="1" customWidth="1"/>
    <col min="7027" max="7027" width="9.85546875" customWidth="1"/>
    <col min="7028" max="7029" width="10.140625" bestFit="1" customWidth="1"/>
    <col min="7030" max="7030" width="7.5703125" bestFit="1" customWidth="1"/>
    <col min="7031" max="7031" width="9.42578125" bestFit="1" customWidth="1"/>
    <col min="7032" max="7032" width="14.5703125" bestFit="1" customWidth="1"/>
    <col min="7033" max="7033" width="14.85546875" customWidth="1"/>
    <col min="7034" max="7034" width="15.140625" bestFit="1" customWidth="1"/>
    <col min="7035" max="7035" width="12.140625" bestFit="1" customWidth="1"/>
    <col min="7036" max="7036" width="14.85546875" bestFit="1" customWidth="1"/>
    <col min="7037" max="7037" width="12.28515625" bestFit="1" customWidth="1"/>
    <col min="7038" max="7046" width="9.140625" hidden="1" customWidth="1"/>
    <col min="7047" max="7047" width="5.28515625" bestFit="1" customWidth="1"/>
    <col min="7048" max="7053" width="11.5703125" bestFit="1" customWidth="1"/>
    <col min="7054" max="7054" width="11.28515625" bestFit="1" customWidth="1"/>
    <col min="7055" max="7055" width="10.140625" bestFit="1" customWidth="1"/>
    <col min="7056" max="7056" width="11.5703125" bestFit="1" customWidth="1"/>
    <col min="7057" max="7057" width="16.140625" customWidth="1"/>
    <col min="7058" max="7058" width="13.42578125" customWidth="1"/>
    <col min="7059" max="7059" width="10.140625" bestFit="1" customWidth="1"/>
    <col min="7060" max="7060" width="12.85546875" bestFit="1" customWidth="1"/>
    <col min="7061" max="7061" width="12.28515625" bestFit="1" customWidth="1"/>
    <col min="7062" max="7062" width="11.28515625" bestFit="1" customWidth="1"/>
    <col min="7063" max="7063" width="11.5703125" bestFit="1" customWidth="1"/>
    <col min="7064" max="7064" width="10.85546875" bestFit="1" customWidth="1"/>
    <col min="7065" max="7065" width="11.28515625" bestFit="1" customWidth="1"/>
    <col min="7066" max="7066" width="10.140625" bestFit="1" customWidth="1"/>
    <col min="7067" max="7067" width="13.28515625" bestFit="1" customWidth="1"/>
    <col min="7068" max="7069" width="12.7109375" bestFit="1" customWidth="1"/>
    <col min="7070" max="7070" width="11" bestFit="1" customWidth="1"/>
    <col min="7071" max="7071" width="11.28515625" bestFit="1" customWidth="1"/>
    <col min="7072" max="7072" width="11.5703125" bestFit="1" customWidth="1"/>
    <col min="7073" max="7073" width="12.28515625" bestFit="1" customWidth="1"/>
    <col min="7074" max="7074" width="15.140625" bestFit="1" customWidth="1"/>
    <col min="7075" max="7075" width="14.42578125" bestFit="1" customWidth="1"/>
    <col min="7076" max="7076" width="12.28515625" bestFit="1" customWidth="1"/>
    <col min="7077" max="7077" width="15.140625" bestFit="1" customWidth="1"/>
    <col min="7078" max="7078" width="14.42578125" bestFit="1" customWidth="1"/>
    <col min="7079" max="7079" width="12.28515625" bestFit="1" customWidth="1"/>
    <col min="7080" max="7080" width="14.42578125" bestFit="1" customWidth="1"/>
    <col min="7081" max="7081" width="11.28515625" bestFit="1" customWidth="1"/>
    <col min="7082" max="7082" width="12.28515625" bestFit="1" customWidth="1"/>
    <col min="7083" max="7083" width="13" bestFit="1" customWidth="1"/>
    <col min="7084" max="7084" width="15.140625" bestFit="1" customWidth="1"/>
    <col min="7085" max="7085" width="12.28515625" bestFit="1" customWidth="1"/>
    <col min="7086" max="7086" width="13.85546875" bestFit="1" customWidth="1"/>
    <col min="7087" max="7087" width="11.28515625" bestFit="1" customWidth="1"/>
    <col min="7088" max="7088" width="12.28515625" bestFit="1" customWidth="1"/>
    <col min="7089" max="7089" width="13.85546875" bestFit="1" customWidth="1"/>
    <col min="7090" max="7091" width="15.140625" bestFit="1" customWidth="1"/>
    <col min="7092" max="7092" width="12.28515625" bestFit="1" customWidth="1"/>
    <col min="7093" max="7093" width="5.7109375" bestFit="1" customWidth="1"/>
    <col min="7094" max="7094" width="8.5703125" bestFit="1" customWidth="1"/>
    <col min="7095" max="7095" width="5.5703125" bestFit="1" customWidth="1"/>
    <col min="7096" max="7096" width="14.42578125" bestFit="1" customWidth="1"/>
    <col min="7097" max="7097" width="11.28515625" bestFit="1" customWidth="1"/>
    <col min="7098" max="7099" width="12.28515625" bestFit="1" customWidth="1"/>
    <col min="7100" max="7100" width="11.28515625" bestFit="1" customWidth="1"/>
    <col min="7101" max="7101" width="13.85546875" bestFit="1" customWidth="1"/>
    <col min="7102" max="7102" width="12" bestFit="1" customWidth="1"/>
    <col min="7103" max="7103" width="13.85546875" bestFit="1" customWidth="1"/>
    <col min="7104" max="7105" width="14.42578125" customWidth="1"/>
    <col min="7106" max="7106" width="10.140625" bestFit="1" customWidth="1"/>
    <col min="7107" max="7107" width="12.28515625" bestFit="1" customWidth="1"/>
    <col min="7108" max="7108" width="7.42578125" bestFit="1" customWidth="1"/>
    <col min="7109" max="7109" width="8.5703125" bestFit="1" customWidth="1"/>
    <col min="7110" max="7110" width="11.5703125" bestFit="1" customWidth="1"/>
    <col min="7111" max="7111" width="13.28515625" bestFit="1" customWidth="1"/>
    <col min="7112" max="7112" width="13.28515625" customWidth="1"/>
    <col min="7113" max="7113" width="13.140625" customWidth="1"/>
    <col min="7114" max="7114" width="12.7109375" bestFit="1" customWidth="1"/>
    <col min="7115" max="7115" width="13.28515625" bestFit="1" customWidth="1"/>
    <col min="7116" max="7118" width="13.28515625" customWidth="1"/>
    <col min="7119" max="7119" width="12.140625" bestFit="1" customWidth="1"/>
    <col min="7120" max="7120" width="12.7109375" bestFit="1" customWidth="1"/>
    <col min="7121" max="7121" width="11" customWidth="1"/>
    <col min="7122" max="7122" width="16.7109375" customWidth="1"/>
    <col min="7123" max="7123" width="17" customWidth="1"/>
    <col min="7124" max="7124" width="10.42578125" bestFit="1" customWidth="1"/>
    <col min="7168" max="7168" width="3.85546875" customWidth="1"/>
    <col min="7169" max="7169" width="15.28515625" bestFit="1" customWidth="1"/>
    <col min="7170" max="7170" width="12.28515625" customWidth="1"/>
    <col min="7171" max="7171" width="16.28515625" bestFit="1" customWidth="1"/>
    <col min="7172" max="7172" width="6.42578125" bestFit="1" customWidth="1"/>
    <col min="7173" max="7173" width="9.28515625" bestFit="1" customWidth="1"/>
    <col min="7174" max="7174" width="7.5703125" bestFit="1" customWidth="1"/>
    <col min="7175" max="7175" width="13.28515625" bestFit="1" customWidth="1"/>
    <col min="7176" max="7176" width="9.28515625" bestFit="1" customWidth="1"/>
    <col min="7177" max="7177" width="11.5703125" bestFit="1" customWidth="1"/>
    <col min="7178" max="7178" width="13.28515625" bestFit="1" customWidth="1"/>
    <col min="7179" max="7179" width="7.140625" bestFit="1" customWidth="1"/>
    <col min="7180" max="7180" width="12" bestFit="1" customWidth="1"/>
    <col min="7181" max="7181" width="13.28515625" bestFit="1" customWidth="1"/>
    <col min="7182" max="7182" width="7" bestFit="1" customWidth="1"/>
    <col min="7183" max="7183" width="12.7109375" bestFit="1" customWidth="1"/>
    <col min="7184" max="7184" width="11.5703125" bestFit="1" customWidth="1"/>
    <col min="7185" max="7185" width="10.5703125" bestFit="1" customWidth="1"/>
    <col min="7186" max="7187" width="15.7109375" bestFit="1" customWidth="1"/>
    <col min="7188" max="7188" width="11.5703125" bestFit="1" customWidth="1"/>
    <col min="7189" max="7189" width="7.7109375" bestFit="1" customWidth="1"/>
    <col min="7190" max="7190" width="15.140625" bestFit="1" customWidth="1"/>
    <col min="7191" max="7191" width="11.5703125" bestFit="1" customWidth="1"/>
    <col min="7192" max="7192" width="13.28515625" bestFit="1" customWidth="1"/>
    <col min="7193" max="7193" width="10.42578125" bestFit="1" customWidth="1"/>
    <col min="7194" max="7194" width="13.28515625" bestFit="1" customWidth="1"/>
    <col min="7195" max="7195" width="12.140625" bestFit="1" customWidth="1"/>
    <col min="7196" max="7196" width="14.42578125" bestFit="1" customWidth="1"/>
    <col min="7197" max="7197" width="13.28515625" bestFit="1" customWidth="1"/>
    <col min="7198" max="7198" width="11.5703125" bestFit="1" customWidth="1"/>
    <col min="7199" max="7199" width="7.7109375" bestFit="1" customWidth="1"/>
    <col min="7200" max="7201" width="14.42578125" bestFit="1" customWidth="1"/>
    <col min="7202" max="7202" width="11.5703125" bestFit="1" customWidth="1"/>
    <col min="7203" max="7203" width="7.7109375" bestFit="1" customWidth="1"/>
    <col min="7204" max="7204" width="13.5703125" customWidth="1"/>
    <col min="7205" max="7205" width="15.28515625" customWidth="1"/>
    <col min="7206" max="7206" width="14.5703125" customWidth="1"/>
    <col min="7207" max="7207" width="13.28515625" bestFit="1" customWidth="1"/>
    <col min="7208" max="7208" width="7.7109375" bestFit="1" customWidth="1"/>
    <col min="7209" max="7209" width="12.7109375" bestFit="1" customWidth="1"/>
    <col min="7210" max="7210" width="11.7109375" bestFit="1" customWidth="1"/>
    <col min="7211" max="7211" width="11.5703125" bestFit="1" customWidth="1"/>
    <col min="7212" max="7212" width="5.28515625" bestFit="1" customWidth="1"/>
    <col min="7213" max="7213" width="13.28515625" bestFit="1" customWidth="1"/>
    <col min="7214" max="7214" width="13.5703125" bestFit="1" customWidth="1"/>
    <col min="7215" max="7215" width="10.5703125" bestFit="1" customWidth="1"/>
    <col min="7216" max="7216" width="13.28515625" bestFit="1" customWidth="1"/>
    <col min="7217" max="7217" width="11.5703125" bestFit="1" customWidth="1"/>
    <col min="7218" max="7218" width="10.5703125" bestFit="1" customWidth="1"/>
    <col min="7219" max="7219" width="16.140625" bestFit="1" customWidth="1"/>
    <col min="7220" max="7221" width="11.28515625" bestFit="1" customWidth="1"/>
    <col min="7222" max="7222" width="13.28515625" bestFit="1" customWidth="1"/>
    <col min="7223" max="7223" width="7.7109375" bestFit="1" customWidth="1"/>
    <col min="7224" max="7227" width="9.140625" hidden="1" customWidth="1"/>
    <col min="7228" max="7228" width="10.42578125" bestFit="1" customWidth="1"/>
    <col min="7229" max="7229" width="10.5703125" bestFit="1" customWidth="1"/>
    <col min="7230" max="7230" width="10.42578125" bestFit="1" customWidth="1"/>
    <col min="7231" max="7231" width="10.5703125" bestFit="1" customWidth="1"/>
    <col min="7232" max="7232" width="9.5703125" bestFit="1" customWidth="1"/>
    <col min="7233" max="7233" width="11.5703125" bestFit="1" customWidth="1"/>
    <col min="7234" max="7234" width="10.42578125" bestFit="1" customWidth="1"/>
    <col min="7235" max="7235" width="10.85546875" customWidth="1"/>
    <col min="7236" max="7237" width="9.85546875" bestFit="1" customWidth="1"/>
    <col min="7238" max="7238" width="13.5703125" bestFit="1" customWidth="1"/>
    <col min="7239" max="7239" width="7.7109375" bestFit="1" customWidth="1"/>
    <col min="7240" max="7240" width="13.28515625" bestFit="1" customWidth="1"/>
    <col min="7241" max="7241" width="11.5703125" bestFit="1" customWidth="1"/>
    <col min="7242" max="7242" width="10.42578125" bestFit="1" customWidth="1"/>
    <col min="7243" max="7243" width="7.7109375" bestFit="1" customWidth="1"/>
    <col min="7244" max="7244" width="11.5703125" bestFit="1" customWidth="1"/>
    <col min="7245" max="7245" width="10.85546875" bestFit="1" customWidth="1"/>
    <col min="7246" max="7246" width="13.28515625" bestFit="1" customWidth="1"/>
    <col min="7247" max="7247" width="10.85546875" bestFit="1" customWidth="1"/>
    <col min="7248" max="7249" width="7.5703125" bestFit="1" customWidth="1"/>
    <col min="7250" max="7251" width="10.42578125" bestFit="1" customWidth="1"/>
    <col min="7252" max="7252" width="11.5703125" bestFit="1" customWidth="1"/>
    <col min="7253" max="7253" width="5.28515625" bestFit="1" customWidth="1"/>
    <col min="7254" max="7254" width="10.28515625" bestFit="1" customWidth="1"/>
    <col min="7255" max="7255" width="10.42578125" bestFit="1" customWidth="1"/>
    <col min="7256" max="7256" width="11.5703125" bestFit="1" customWidth="1"/>
    <col min="7257" max="7257" width="5.28515625" bestFit="1" customWidth="1"/>
    <col min="7258" max="7260" width="11.5703125" bestFit="1" customWidth="1"/>
    <col min="7261" max="7261" width="5.28515625" bestFit="1" customWidth="1"/>
    <col min="7262" max="7263" width="10.42578125" bestFit="1" customWidth="1"/>
    <col min="7264" max="7264" width="11.5703125" bestFit="1" customWidth="1"/>
    <col min="7265" max="7265" width="5.28515625" bestFit="1" customWidth="1"/>
    <col min="7266" max="7266" width="14.28515625" bestFit="1" customWidth="1"/>
    <col min="7267" max="7267" width="13" bestFit="1" customWidth="1"/>
    <col min="7268" max="7268" width="11.5703125" bestFit="1" customWidth="1"/>
    <col min="7269" max="7269" width="8.85546875" bestFit="1" customWidth="1"/>
    <col min="7270" max="7270" width="14.42578125" bestFit="1" customWidth="1"/>
    <col min="7271" max="7271" width="10.42578125" bestFit="1" customWidth="1"/>
    <col min="7272" max="7272" width="12.28515625" bestFit="1" customWidth="1"/>
    <col min="7273" max="7273" width="13.85546875" bestFit="1" customWidth="1"/>
    <col min="7274" max="7274" width="11.28515625" customWidth="1"/>
    <col min="7275" max="7275" width="11.5703125" customWidth="1"/>
    <col min="7276" max="7276" width="13.42578125" bestFit="1" customWidth="1"/>
    <col min="7277" max="7277" width="10.42578125" customWidth="1"/>
    <col min="7278" max="7278" width="13.85546875" bestFit="1" customWidth="1"/>
    <col min="7279" max="7279" width="15.42578125" bestFit="1" customWidth="1"/>
    <col min="7280" max="7280" width="12.28515625" bestFit="1" customWidth="1"/>
    <col min="7281" max="7281" width="12.7109375" customWidth="1"/>
    <col min="7282" max="7282" width="10.7109375" bestFit="1" customWidth="1"/>
    <col min="7283" max="7283" width="9.85546875" customWidth="1"/>
    <col min="7284" max="7285" width="10.140625" bestFit="1" customWidth="1"/>
    <col min="7286" max="7286" width="7.5703125" bestFit="1" customWidth="1"/>
    <col min="7287" max="7287" width="9.42578125" bestFit="1" customWidth="1"/>
    <col min="7288" max="7288" width="14.5703125" bestFit="1" customWidth="1"/>
    <col min="7289" max="7289" width="14.85546875" customWidth="1"/>
    <col min="7290" max="7290" width="15.140625" bestFit="1" customWidth="1"/>
    <col min="7291" max="7291" width="12.140625" bestFit="1" customWidth="1"/>
    <col min="7292" max="7292" width="14.85546875" bestFit="1" customWidth="1"/>
    <col min="7293" max="7293" width="12.28515625" bestFit="1" customWidth="1"/>
    <col min="7294" max="7302" width="9.140625" hidden="1" customWidth="1"/>
    <col min="7303" max="7303" width="5.28515625" bestFit="1" customWidth="1"/>
    <col min="7304" max="7309" width="11.5703125" bestFit="1" customWidth="1"/>
    <col min="7310" max="7310" width="11.28515625" bestFit="1" customWidth="1"/>
    <col min="7311" max="7311" width="10.140625" bestFit="1" customWidth="1"/>
    <col min="7312" max="7312" width="11.5703125" bestFit="1" customWidth="1"/>
    <col min="7313" max="7313" width="16.140625" customWidth="1"/>
    <col min="7314" max="7314" width="13.42578125" customWidth="1"/>
    <col min="7315" max="7315" width="10.140625" bestFit="1" customWidth="1"/>
    <col min="7316" max="7316" width="12.85546875" bestFit="1" customWidth="1"/>
    <col min="7317" max="7317" width="12.28515625" bestFit="1" customWidth="1"/>
    <col min="7318" max="7318" width="11.28515625" bestFit="1" customWidth="1"/>
    <col min="7319" max="7319" width="11.5703125" bestFit="1" customWidth="1"/>
    <col min="7320" max="7320" width="10.85546875" bestFit="1" customWidth="1"/>
    <col min="7321" max="7321" width="11.28515625" bestFit="1" customWidth="1"/>
    <col min="7322" max="7322" width="10.140625" bestFit="1" customWidth="1"/>
    <col min="7323" max="7323" width="13.28515625" bestFit="1" customWidth="1"/>
    <col min="7324" max="7325" width="12.7109375" bestFit="1" customWidth="1"/>
    <col min="7326" max="7326" width="11" bestFit="1" customWidth="1"/>
    <col min="7327" max="7327" width="11.28515625" bestFit="1" customWidth="1"/>
    <col min="7328" max="7328" width="11.5703125" bestFit="1" customWidth="1"/>
    <col min="7329" max="7329" width="12.28515625" bestFit="1" customWidth="1"/>
    <col min="7330" max="7330" width="15.140625" bestFit="1" customWidth="1"/>
    <col min="7331" max="7331" width="14.42578125" bestFit="1" customWidth="1"/>
    <col min="7332" max="7332" width="12.28515625" bestFit="1" customWidth="1"/>
    <col min="7333" max="7333" width="15.140625" bestFit="1" customWidth="1"/>
    <col min="7334" max="7334" width="14.42578125" bestFit="1" customWidth="1"/>
    <col min="7335" max="7335" width="12.28515625" bestFit="1" customWidth="1"/>
    <col min="7336" max="7336" width="14.42578125" bestFit="1" customWidth="1"/>
    <col min="7337" max="7337" width="11.28515625" bestFit="1" customWidth="1"/>
    <col min="7338" max="7338" width="12.28515625" bestFit="1" customWidth="1"/>
    <col min="7339" max="7339" width="13" bestFit="1" customWidth="1"/>
    <col min="7340" max="7340" width="15.140625" bestFit="1" customWidth="1"/>
    <col min="7341" max="7341" width="12.28515625" bestFit="1" customWidth="1"/>
    <col min="7342" max="7342" width="13.85546875" bestFit="1" customWidth="1"/>
    <col min="7343" max="7343" width="11.28515625" bestFit="1" customWidth="1"/>
    <col min="7344" max="7344" width="12.28515625" bestFit="1" customWidth="1"/>
    <col min="7345" max="7345" width="13.85546875" bestFit="1" customWidth="1"/>
    <col min="7346" max="7347" width="15.140625" bestFit="1" customWidth="1"/>
    <col min="7348" max="7348" width="12.28515625" bestFit="1" customWidth="1"/>
    <col min="7349" max="7349" width="5.7109375" bestFit="1" customWidth="1"/>
    <col min="7350" max="7350" width="8.5703125" bestFit="1" customWidth="1"/>
    <col min="7351" max="7351" width="5.5703125" bestFit="1" customWidth="1"/>
    <col min="7352" max="7352" width="14.42578125" bestFit="1" customWidth="1"/>
    <col min="7353" max="7353" width="11.28515625" bestFit="1" customWidth="1"/>
    <col min="7354" max="7355" width="12.28515625" bestFit="1" customWidth="1"/>
    <col min="7356" max="7356" width="11.28515625" bestFit="1" customWidth="1"/>
    <col min="7357" max="7357" width="13.85546875" bestFit="1" customWidth="1"/>
    <col min="7358" max="7358" width="12" bestFit="1" customWidth="1"/>
    <col min="7359" max="7359" width="13.85546875" bestFit="1" customWidth="1"/>
    <col min="7360" max="7361" width="14.42578125" customWidth="1"/>
    <col min="7362" max="7362" width="10.140625" bestFit="1" customWidth="1"/>
    <col min="7363" max="7363" width="12.28515625" bestFit="1" customWidth="1"/>
    <col min="7364" max="7364" width="7.42578125" bestFit="1" customWidth="1"/>
    <col min="7365" max="7365" width="8.5703125" bestFit="1" customWidth="1"/>
    <col min="7366" max="7366" width="11.5703125" bestFit="1" customWidth="1"/>
    <col min="7367" max="7367" width="13.28515625" bestFit="1" customWidth="1"/>
    <col min="7368" max="7368" width="13.28515625" customWidth="1"/>
    <col min="7369" max="7369" width="13.140625" customWidth="1"/>
    <col min="7370" max="7370" width="12.7109375" bestFit="1" customWidth="1"/>
    <col min="7371" max="7371" width="13.28515625" bestFit="1" customWidth="1"/>
    <col min="7372" max="7374" width="13.28515625" customWidth="1"/>
    <col min="7375" max="7375" width="12.140625" bestFit="1" customWidth="1"/>
    <col min="7376" max="7376" width="12.7109375" bestFit="1" customWidth="1"/>
    <col min="7377" max="7377" width="11" customWidth="1"/>
    <col min="7378" max="7378" width="16.7109375" customWidth="1"/>
    <col min="7379" max="7379" width="17" customWidth="1"/>
    <col min="7380" max="7380" width="10.42578125" bestFit="1" customWidth="1"/>
    <col min="7424" max="7424" width="3.85546875" customWidth="1"/>
    <col min="7425" max="7425" width="15.28515625" bestFit="1" customWidth="1"/>
    <col min="7426" max="7426" width="12.28515625" customWidth="1"/>
    <col min="7427" max="7427" width="16.28515625" bestFit="1" customWidth="1"/>
    <col min="7428" max="7428" width="6.42578125" bestFit="1" customWidth="1"/>
    <col min="7429" max="7429" width="9.28515625" bestFit="1" customWidth="1"/>
    <col min="7430" max="7430" width="7.5703125" bestFit="1" customWidth="1"/>
    <col min="7431" max="7431" width="13.28515625" bestFit="1" customWidth="1"/>
    <col min="7432" max="7432" width="9.28515625" bestFit="1" customWidth="1"/>
    <col min="7433" max="7433" width="11.5703125" bestFit="1" customWidth="1"/>
    <col min="7434" max="7434" width="13.28515625" bestFit="1" customWidth="1"/>
    <col min="7435" max="7435" width="7.140625" bestFit="1" customWidth="1"/>
    <col min="7436" max="7436" width="12" bestFit="1" customWidth="1"/>
    <col min="7437" max="7437" width="13.28515625" bestFit="1" customWidth="1"/>
    <col min="7438" max="7438" width="7" bestFit="1" customWidth="1"/>
    <col min="7439" max="7439" width="12.7109375" bestFit="1" customWidth="1"/>
    <col min="7440" max="7440" width="11.5703125" bestFit="1" customWidth="1"/>
    <col min="7441" max="7441" width="10.5703125" bestFit="1" customWidth="1"/>
    <col min="7442" max="7443" width="15.7109375" bestFit="1" customWidth="1"/>
    <col min="7444" max="7444" width="11.5703125" bestFit="1" customWidth="1"/>
    <col min="7445" max="7445" width="7.7109375" bestFit="1" customWidth="1"/>
    <col min="7446" max="7446" width="15.140625" bestFit="1" customWidth="1"/>
    <col min="7447" max="7447" width="11.5703125" bestFit="1" customWidth="1"/>
    <col min="7448" max="7448" width="13.28515625" bestFit="1" customWidth="1"/>
    <col min="7449" max="7449" width="10.42578125" bestFit="1" customWidth="1"/>
    <col min="7450" max="7450" width="13.28515625" bestFit="1" customWidth="1"/>
    <col min="7451" max="7451" width="12.140625" bestFit="1" customWidth="1"/>
    <col min="7452" max="7452" width="14.42578125" bestFit="1" customWidth="1"/>
    <col min="7453" max="7453" width="13.28515625" bestFit="1" customWidth="1"/>
    <col min="7454" max="7454" width="11.5703125" bestFit="1" customWidth="1"/>
    <col min="7455" max="7455" width="7.7109375" bestFit="1" customWidth="1"/>
    <col min="7456" max="7457" width="14.42578125" bestFit="1" customWidth="1"/>
    <col min="7458" max="7458" width="11.5703125" bestFit="1" customWidth="1"/>
    <col min="7459" max="7459" width="7.7109375" bestFit="1" customWidth="1"/>
    <col min="7460" max="7460" width="13.5703125" customWidth="1"/>
    <col min="7461" max="7461" width="15.28515625" customWidth="1"/>
    <col min="7462" max="7462" width="14.5703125" customWidth="1"/>
    <col min="7463" max="7463" width="13.28515625" bestFit="1" customWidth="1"/>
    <col min="7464" max="7464" width="7.7109375" bestFit="1" customWidth="1"/>
    <col min="7465" max="7465" width="12.7109375" bestFit="1" customWidth="1"/>
    <col min="7466" max="7466" width="11.7109375" bestFit="1" customWidth="1"/>
    <col min="7467" max="7467" width="11.5703125" bestFit="1" customWidth="1"/>
    <col min="7468" max="7468" width="5.28515625" bestFit="1" customWidth="1"/>
    <col min="7469" max="7469" width="13.28515625" bestFit="1" customWidth="1"/>
    <col min="7470" max="7470" width="13.5703125" bestFit="1" customWidth="1"/>
    <col min="7471" max="7471" width="10.5703125" bestFit="1" customWidth="1"/>
    <col min="7472" max="7472" width="13.28515625" bestFit="1" customWidth="1"/>
    <col min="7473" max="7473" width="11.5703125" bestFit="1" customWidth="1"/>
    <col min="7474" max="7474" width="10.5703125" bestFit="1" customWidth="1"/>
    <col min="7475" max="7475" width="16.140625" bestFit="1" customWidth="1"/>
    <col min="7476" max="7477" width="11.28515625" bestFit="1" customWidth="1"/>
    <col min="7478" max="7478" width="13.28515625" bestFit="1" customWidth="1"/>
    <col min="7479" max="7479" width="7.7109375" bestFit="1" customWidth="1"/>
    <col min="7480" max="7483" width="9.140625" hidden="1" customWidth="1"/>
    <col min="7484" max="7484" width="10.42578125" bestFit="1" customWidth="1"/>
    <col min="7485" max="7485" width="10.5703125" bestFit="1" customWidth="1"/>
    <col min="7486" max="7486" width="10.42578125" bestFit="1" customWidth="1"/>
    <col min="7487" max="7487" width="10.5703125" bestFit="1" customWidth="1"/>
    <col min="7488" max="7488" width="9.5703125" bestFit="1" customWidth="1"/>
    <col min="7489" max="7489" width="11.5703125" bestFit="1" customWidth="1"/>
    <col min="7490" max="7490" width="10.42578125" bestFit="1" customWidth="1"/>
    <col min="7491" max="7491" width="10.85546875" customWidth="1"/>
    <col min="7492" max="7493" width="9.85546875" bestFit="1" customWidth="1"/>
    <col min="7494" max="7494" width="13.5703125" bestFit="1" customWidth="1"/>
    <col min="7495" max="7495" width="7.7109375" bestFit="1" customWidth="1"/>
    <col min="7496" max="7496" width="13.28515625" bestFit="1" customWidth="1"/>
    <col min="7497" max="7497" width="11.5703125" bestFit="1" customWidth="1"/>
    <col min="7498" max="7498" width="10.42578125" bestFit="1" customWidth="1"/>
    <col min="7499" max="7499" width="7.7109375" bestFit="1" customWidth="1"/>
    <col min="7500" max="7500" width="11.5703125" bestFit="1" customWidth="1"/>
    <col min="7501" max="7501" width="10.85546875" bestFit="1" customWidth="1"/>
    <col min="7502" max="7502" width="13.28515625" bestFit="1" customWidth="1"/>
    <col min="7503" max="7503" width="10.85546875" bestFit="1" customWidth="1"/>
    <col min="7504" max="7505" width="7.5703125" bestFit="1" customWidth="1"/>
    <col min="7506" max="7507" width="10.42578125" bestFit="1" customWidth="1"/>
    <col min="7508" max="7508" width="11.5703125" bestFit="1" customWidth="1"/>
    <col min="7509" max="7509" width="5.28515625" bestFit="1" customWidth="1"/>
    <col min="7510" max="7510" width="10.28515625" bestFit="1" customWidth="1"/>
    <col min="7511" max="7511" width="10.42578125" bestFit="1" customWidth="1"/>
    <col min="7512" max="7512" width="11.5703125" bestFit="1" customWidth="1"/>
    <col min="7513" max="7513" width="5.28515625" bestFit="1" customWidth="1"/>
    <col min="7514" max="7516" width="11.5703125" bestFit="1" customWidth="1"/>
    <col min="7517" max="7517" width="5.28515625" bestFit="1" customWidth="1"/>
    <col min="7518" max="7519" width="10.42578125" bestFit="1" customWidth="1"/>
    <col min="7520" max="7520" width="11.5703125" bestFit="1" customWidth="1"/>
    <col min="7521" max="7521" width="5.28515625" bestFit="1" customWidth="1"/>
    <col min="7522" max="7522" width="14.28515625" bestFit="1" customWidth="1"/>
    <col min="7523" max="7523" width="13" bestFit="1" customWidth="1"/>
    <col min="7524" max="7524" width="11.5703125" bestFit="1" customWidth="1"/>
    <col min="7525" max="7525" width="8.85546875" bestFit="1" customWidth="1"/>
    <col min="7526" max="7526" width="14.42578125" bestFit="1" customWidth="1"/>
    <col min="7527" max="7527" width="10.42578125" bestFit="1" customWidth="1"/>
    <col min="7528" max="7528" width="12.28515625" bestFit="1" customWidth="1"/>
    <col min="7529" max="7529" width="13.85546875" bestFit="1" customWidth="1"/>
    <col min="7530" max="7530" width="11.28515625" customWidth="1"/>
    <col min="7531" max="7531" width="11.5703125" customWidth="1"/>
    <col min="7532" max="7532" width="13.42578125" bestFit="1" customWidth="1"/>
    <col min="7533" max="7533" width="10.42578125" customWidth="1"/>
    <col min="7534" max="7534" width="13.85546875" bestFit="1" customWidth="1"/>
    <col min="7535" max="7535" width="15.42578125" bestFit="1" customWidth="1"/>
    <col min="7536" max="7536" width="12.28515625" bestFit="1" customWidth="1"/>
    <col min="7537" max="7537" width="12.7109375" customWidth="1"/>
    <col min="7538" max="7538" width="10.7109375" bestFit="1" customWidth="1"/>
    <col min="7539" max="7539" width="9.85546875" customWidth="1"/>
    <col min="7540" max="7541" width="10.140625" bestFit="1" customWidth="1"/>
    <col min="7542" max="7542" width="7.5703125" bestFit="1" customWidth="1"/>
    <col min="7543" max="7543" width="9.42578125" bestFit="1" customWidth="1"/>
    <col min="7544" max="7544" width="14.5703125" bestFit="1" customWidth="1"/>
    <col min="7545" max="7545" width="14.85546875" customWidth="1"/>
    <col min="7546" max="7546" width="15.140625" bestFit="1" customWidth="1"/>
    <col min="7547" max="7547" width="12.140625" bestFit="1" customWidth="1"/>
    <col min="7548" max="7548" width="14.85546875" bestFit="1" customWidth="1"/>
    <col min="7549" max="7549" width="12.28515625" bestFit="1" customWidth="1"/>
    <col min="7550" max="7558" width="9.140625" hidden="1" customWidth="1"/>
    <col min="7559" max="7559" width="5.28515625" bestFit="1" customWidth="1"/>
    <col min="7560" max="7565" width="11.5703125" bestFit="1" customWidth="1"/>
    <col min="7566" max="7566" width="11.28515625" bestFit="1" customWidth="1"/>
    <col min="7567" max="7567" width="10.140625" bestFit="1" customWidth="1"/>
    <col min="7568" max="7568" width="11.5703125" bestFit="1" customWidth="1"/>
    <col min="7569" max="7569" width="16.140625" customWidth="1"/>
    <col min="7570" max="7570" width="13.42578125" customWidth="1"/>
    <col min="7571" max="7571" width="10.140625" bestFit="1" customWidth="1"/>
    <col min="7572" max="7572" width="12.85546875" bestFit="1" customWidth="1"/>
    <col min="7573" max="7573" width="12.28515625" bestFit="1" customWidth="1"/>
    <col min="7574" max="7574" width="11.28515625" bestFit="1" customWidth="1"/>
    <col min="7575" max="7575" width="11.5703125" bestFit="1" customWidth="1"/>
    <col min="7576" max="7576" width="10.85546875" bestFit="1" customWidth="1"/>
    <col min="7577" max="7577" width="11.28515625" bestFit="1" customWidth="1"/>
    <col min="7578" max="7578" width="10.140625" bestFit="1" customWidth="1"/>
    <col min="7579" max="7579" width="13.28515625" bestFit="1" customWidth="1"/>
    <col min="7580" max="7581" width="12.7109375" bestFit="1" customWidth="1"/>
    <col min="7582" max="7582" width="11" bestFit="1" customWidth="1"/>
    <col min="7583" max="7583" width="11.28515625" bestFit="1" customWidth="1"/>
    <col min="7584" max="7584" width="11.5703125" bestFit="1" customWidth="1"/>
    <col min="7585" max="7585" width="12.28515625" bestFit="1" customWidth="1"/>
    <col min="7586" max="7586" width="15.140625" bestFit="1" customWidth="1"/>
    <col min="7587" max="7587" width="14.42578125" bestFit="1" customWidth="1"/>
    <col min="7588" max="7588" width="12.28515625" bestFit="1" customWidth="1"/>
    <col min="7589" max="7589" width="15.140625" bestFit="1" customWidth="1"/>
    <col min="7590" max="7590" width="14.42578125" bestFit="1" customWidth="1"/>
    <col min="7591" max="7591" width="12.28515625" bestFit="1" customWidth="1"/>
    <col min="7592" max="7592" width="14.42578125" bestFit="1" customWidth="1"/>
    <col min="7593" max="7593" width="11.28515625" bestFit="1" customWidth="1"/>
    <col min="7594" max="7594" width="12.28515625" bestFit="1" customWidth="1"/>
    <col min="7595" max="7595" width="13" bestFit="1" customWidth="1"/>
    <col min="7596" max="7596" width="15.140625" bestFit="1" customWidth="1"/>
    <col min="7597" max="7597" width="12.28515625" bestFit="1" customWidth="1"/>
    <col min="7598" max="7598" width="13.85546875" bestFit="1" customWidth="1"/>
    <col min="7599" max="7599" width="11.28515625" bestFit="1" customWidth="1"/>
    <col min="7600" max="7600" width="12.28515625" bestFit="1" customWidth="1"/>
    <col min="7601" max="7601" width="13.85546875" bestFit="1" customWidth="1"/>
    <col min="7602" max="7603" width="15.140625" bestFit="1" customWidth="1"/>
    <col min="7604" max="7604" width="12.28515625" bestFit="1" customWidth="1"/>
    <col min="7605" max="7605" width="5.7109375" bestFit="1" customWidth="1"/>
    <col min="7606" max="7606" width="8.5703125" bestFit="1" customWidth="1"/>
    <col min="7607" max="7607" width="5.5703125" bestFit="1" customWidth="1"/>
    <col min="7608" max="7608" width="14.42578125" bestFit="1" customWidth="1"/>
    <col min="7609" max="7609" width="11.28515625" bestFit="1" customWidth="1"/>
    <col min="7610" max="7611" width="12.28515625" bestFit="1" customWidth="1"/>
    <col min="7612" max="7612" width="11.28515625" bestFit="1" customWidth="1"/>
    <col min="7613" max="7613" width="13.85546875" bestFit="1" customWidth="1"/>
    <col min="7614" max="7614" width="12" bestFit="1" customWidth="1"/>
    <col min="7615" max="7615" width="13.85546875" bestFit="1" customWidth="1"/>
    <col min="7616" max="7617" width="14.42578125" customWidth="1"/>
    <col min="7618" max="7618" width="10.140625" bestFit="1" customWidth="1"/>
    <col min="7619" max="7619" width="12.28515625" bestFit="1" customWidth="1"/>
    <col min="7620" max="7620" width="7.42578125" bestFit="1" customWidth="1"/>
    <col min="7621" max="7621" width="8.5703125" bestFit="1" customWidth="1"/>
    <col min="7622" max="7622" width="11.5703125" bestFit="1" customWidth="1"/>
    <col min="7623" max="7623" width="13.28515625" bestFit="1" customWidth="1"/>
    <col min="7624" max="7624" width="13.28515625" customWidth="1"/>
    <col min="7625" max="7625" width="13.140625" customWidth="1"/>
    <col min="7626" max="7626" width="12.7109375" bestFit="1" customWidth="1"/>
    <col min="7627" max="7627" width="13.28515625" bestFit="1" customWidth="1"/>
    <col min="7628" max="7630" width="13.28515625" customWidth="1"/>
    <col min="7631" max="7631" width="12.140625" bestFit="1" customWidth="1"/>
    <col min="7632" max="7632" width="12.7109375" bestFit="1" customWidth="1"/>
    <col min="7633" max="7633" width="11" customWidth="1"/>
    <col min="7634" max="7634" width="16.7109375" customWidth="1"/>
    <col min="7635" max="7635" width="17" customWidth="1"/>
    <col min="7636" max="7636" width="10.42578125" bestFit="1" customWidth="1"/>
    <col min="7680" max="7680" width="3.85546875" customWidth="1"/>
    <col min="7681" max="7681" width="15.28515625" bestFit="1" customWidth="1"/>
    <col min="7682" max="7682" width="12.28515625" customWidth="1"/>
    <col min="7683" max="7683" width="16.28515625" bestFit="1" customWidth="1"/>
    <col min="7684" max="7684" width="6.42578125" bestFit="1" customWidth="1"/>
    <col min="7685" max="7685" width="9.28515625" bestFit="1" customWidth="1"/>
    <col min="7686" max="7686" width="7.5703125" bestFit="1" customWidth="1"/>
    <col min="7687" max="7687" width="13.28515625" bestFit="1" customWidth="1"/>
    <col min="7688" max="7688" width="9.28515625" bestFit="1" customWidth="1"/>
    <col min="7689" max="7689" width="11.5703125" bestFit="1" customWidth="1"/>
    <col min="7690" max="7690" width="13.28515625" bestFit="1" customWidth="1"/>
    <col min="7691" max="7691" width="7.140625" bestFit="1" customWidth="1"/>
    <col min="7692" max="7692" width="12" bestFit="1" customWidth="1"/>
    <col min="7693" max="7693" width="13.28515625" bestFit="1" customWidth="1"/>
    <col min="7694" max="7694" width="7" bestFit="1" customWidth="1"/>
    <col min="7695" max="7695" width="12.7109375" bestFit="1" customWidth="1"/>
    <col min="7696" max="7696" width="11.5703125" bestFit="1" customWidth="1"/>
    <col min="7697" max="7697" width="10.5703125" bestFit="1" customWidth="1"/>
    <col min="7698" max="7699" width="15.7109375" bestFit="1" customWidth="1"/>
    <col min="7700" max="7700" width="11.5703125" bestFit="1" customWidth="1"/>
    <col min="7701" max="7701" width="7.7109375" bestFit="1" customWidth="1"/>
    <col min="7702" max="7702" width="15.140625" bestFit="1" customWidth="1"/>
    <col min="7703" max="7703" width="11.5703125" bestFit="1" customWidth="1"/>
    <col min="7704" max="7704" width="13.28515625" bestFit="1" customWidth="1"/>
    <col min="7705" max="7705" width="10.42578125" bestFit="1" customWidth="1"/>
    <col min="7706" max="7706" width="13.28515625" bestFit="1" customWidth="1"/>
    <col min="7707" max="7707" width="12.140625" bestFit="1" customWidth="1"/>
    <col min="7708" max="7708" width="14.42578125" bestFit="1" customWidth="1"/>
    <col min="7709" max="7709" width="13.28515625" bestFit="1" customWidth="1"/>
    <col min="7710" max="7710" width="11.5703125" bestFit="1" customWidth="1"/>
    <col min="7711" max="7711" width="7.7109375" bestFit="1" customWidth="1"/>
    <col min="7712" max="7713" width="14.42578125" bestFit="1" customWidth="1"/>
    <col min="7714" max="7714" width="11.5703125" bestFit="1" customWidth="1"/>
    <col min="7715" max="7715" width="7.7109375" bestFit="1" customWidth="1"/>
    <col min="7716" max="7716" width="13.5703125" customWidth="1"/>
    <col min="7717" max="7717" width="15.28515625" customWidth="1"/>
    <col min="7718" max="7718" width="14.5703125" customWidth="1"/>
    <col min="7719" max="7719" width="13.28515625" bestFit="1" customWidth="1"/>
    <col min="7720" max="7720" width="7.7109375" bestFit="1" customWidth="1"/>
    <col min="7721" max="7721" width="12.7109375" bestFit="1" customWidth="1"/>
    <col min="7722" max="7722" width="11.7109375" bestFit="1" customWidth="1"/>
    <col min="7723" max="7723" width="11.5703125" bestFit="1" customWidth="1"/>
    <col min="7724" max="7724" width="5.28515625" bestFit="1" customWidth="1"/>
    <col min="7725" max="7725" width="13.28515625" bestFit="1" customWidth="1"/>
    <col min="7726" max="7726" width="13.5703125" bestFit="1" customWidth="1"/>
    <col min="7727" max="7727" width="10.5703125" bestFit="1" customWidth="1"/>
    <col min="7728" max="7728" width="13.28515625" bestFit="1" customWidth="1"/>
    <col min="7729" max="7729" width="11.5703125" bestFit="1" customWidth="1"/>
    <col min="7730" max="7730" width="10.5703125" bestFit="1" customWidth="1"/>
    <col min="7731" max="7731" width="16.140625" bestFit="1" customWidth="1"/>
    <col min="7732" max="7733" width="11.28515625" bestFit="1" customWidth="1"/>
    <col min="7734" max="7734" width="13.28515625" bestFit="1" customWidth="1"/>
    <col min="7735" max="7735" width="7.7109375" bestFit="1" customWidth="1"/>
    <col min="7736" max="7739" width="9.140625" hidden="1" customWidth="1"/>
    <col min="7740" max="7740" width="10.42578125" bestFit="1" customWidth="1"/>
    <col min="7741" max="7741" width="10.5703125" bestFit="1" customWidth="1"/>
    <col min="7742" max="7742" width="10.42578125" bestFit="1" customWidth="1"/>
    <col min="7743" max="7743" width="10.5703125" bestFit="1" customWidth="1"/>
    <col min="7744" max="7744" width="9.5703125" bestFit="1" customWidth="1"/>
    <col min="7745" max="7745" width="11.5703125" bestFit="1" customWidth="1"/>
    <col min="7746" max="7746" width="10.42578125" bestFit="1" customWidth="1"/>
    <col min="7747" max="7747" width="10.85546875" customWidth="1"/>
    <col min="7748" max="7749" width="9.85546875" bestFit="1" customWidth="1"/>
    <col min="7750" max="7750" width="13.5703125" bestFit="1" customWidth="1"/>
    <col min="7751" max="7751" width="7.7109375" bestFit="1" customWidth="1"/>
    <col min="7752" max="7752" width="13.28515625" bestFit="1" customWidth="1"/>
    <col min="7753" max="7753" width="11.5703125" bestFit="1" customWidth="1"/>
    <col min="7754" max="7754" width="10.42578125" bestFit="1" customWidth="1"/>
    <col min="7755" max="7755" width="7.7109375" bestFit="1" customWidth="1"/>
    <col min="7756" max="7756" width="11.5703125" bestFit="1" customWidth="1"/>
    <col min="7757" max="7757" width="10.85546875" bestFit="1" customWidth="1"/>
    <col min="7758" max="7758" width="13.28515625" bestFit="1" customWidth="1"/>
    <col min="7759" max="7759" width="10.85546875" bestFit="1" customWidth="1"/>
    <col min="7760" max="7761" width="7.5703125" bestFit="1" customWidth="1"/>
    <col min="7762" max="7763" width="10.42578125" bestFit="1" customWidth="1"/>
    <col min="7764" max="7764" width="11.5703125" bestFit="1" customWidth="1"/>
    <col min="7765" max="7765" width="5.28515625" bestFit="1" customWidth="1"/>
    <col min="7766" max="7766" width="10.28515625" bestFit="1" customWidth="1"/>
    <col min="7767" max="7767" width="10.42578125" bestFit="1" customWidth="1"/>
    <col min="7768" max="7768" width="11.5703125" bestFit="1" customWidth="1"/>
    <col min="7769" max="7769" width="5.28515625" bestFit="1" customWidth="1"/>
    <col min="7770" max="7772" width="11.5703125" bestFit="1" customWidth="1"/>
    <col min="7773" max="7773" width="5.28515625" bestFit="1" customWidth="1"/>
    <col min="7774" max="7775" width="10.42578125" bestFit="1" customWidth="1"/>
    <col min="7776" max="7776" width="11.5703125" bestFit="1" customWidth="1"/>
    <col min="7777" max="7777" width="5.28515625" bestFit="1" customWidth="1"/>
    <col min="7778" max="7778" width="14.28515625" bestFit="1" customWidth="1"/>
    <col min="7779" max="7779" width="13" bestFit="1" customWidth="1"/>
    <col min="7780" max="7780" width="11.5703125" bestFit="1" customWidth="1"/>
    <col min="7781" max="7781" width="8.85546875" bestFit="1" customWidth="1"/>
    <col min="7782" max="7782" width="14.42578125" bestFit="1" customWidth="1"/>
    <col min="7783" max="7783" width="10.42578125" bestFit="1" customWidth="1"/>
    <col min="7784" max="7784" width="12.28515625" bestFit="1" customWidth="1"/>
    <col min="7785" max="7785" width="13.85546875" bestFit="1" customWidth="1"/>
    <col min="7786" max="7786" width="11.28515625" customWidth="1"/>
    <col min="7787" max="7787" width="11.5703125" customWidth="1"/>
    <col min="7788" max="7788" width="13.42578125" bestFit="1" customWidth="1"/>
    <col min="7789" max="7789" width="10.42578125" customWidth="1"/>
    <col min="7790" max="7790" width="13.85546875" bestFit="1" customWidth="1"/>
    <col min="7791" max="7791" width="15.42578125" bestFit="1" customWidth="1"/>
    <col min="7792" max="7792" width="12.28515625" bestFit="1" customWidth="1"/>
    <col min="7793" max="7793" width="12.7109375" customWidth="1"/>
    <col min="7794" max="7794" width="10.7109375" bestFit="1" customWidth="1"/>
    <col min="7795" max="7795" width="9.85546875" customWidth="1"/>
    <col min="7796" max="7797" width="10.140625" bestFit="1" customWidth="1"/>
    <col min="7798" max="7798" width="7.5703125" bestFit="1" customWidth="1"/>
    <col min="7799" max="7799" width="9.42578125" bestFit="1" customWidth="1"/>
    <col min="7800" max="7800" width="14.5703125" bestFit="1" customWidth="1"/>
    <col min="7801" max="7801" width="14.85546875" customWidth="1"/>
    <col min="7802" max="7802" width="15.140625" bestFit="1" customWidth="1"/>
    <col min="7803" max="7803" width="12.140625" bestFit="1" customWidth="1"/>
    <col min="7804" max="7804" width="14.85546875" bestFit="1" customWidth="1"/>
    <col min="7805" max="7805" width="12.28515625" bestFit="1" customWidth="1"/>
    <col min="7806" max="7814" width="9.140625" hidden="1" customWidth="1"/>
    <col min="7815" max="7815" width="5.28515625" bestFit="1" customWidth="1"/>
    <col min="7816" max="7821" width="11.5703125" bestFit="1" customWidth="1"/>
    <col min="7822" max="7822" width="11.28515625" bestFit="1" customWidth="1"/>
    <col min="7823" max="7823" width="10.140625" bestFit="1" customWidth="1"/>
    <col min="7824" max="7824" width="11.5703125" bestFit="1" customWidth="1"/>
    <col min="7825" max="7825" width="16.140625" customWidth="1"/>
    <col min="7826" max="7826" width="13.42578125" customWidth="1"/>
    <col min="7827" max="7827" width="10.140625" bestFit="1" customWidth="1"/>
    <col min="7828" max="7828" width="12.85546875" bestFit="1" customWidth="1"/>
    <col min="7829" max="7829" width="12.28515625" bestFit="1" customWidth="1"/>
    <col min="7830" max="7830" width="11.28515625" bestFit="1" customWidth="1"/>
    <col min="7831" max="7831" width="11.5703125" bestFit="1" customWidth="1"/>
    <col min="7832" max="7832" width="10.85546875" bestFit="1" customWidth="1"/>
    <col min="7833" max="7833" width="11.28515625" bestFit="1" customWidth="1"/>
    <col min="7834" max="7834" width="10.140625" bestFit="1" customWidth="1"/>
    <col min="7835" max="7835" width="13.28515625" bestFit="1" customWidth="1"/>
    <col min="7836" max="7837" width="12.7109375" bestFit="1" customWidth="1"/>
    <col min="7838" max="7838" width="11" bestFit="1" customWidth="1"/>
    <col min="7839" max="7839" width="11.28515625" bestFit="1" customWidth="1"/>
    <col min="7840" max="7840" width="11.5703125" bestFit="1" customWidth="1"/>
    <col min="7841" max="7841" width="12.28515625" bestFit="1" customWidth="1"/>
    <col min="7842" max="7842" width="15.140625" bestFit="1" customWidth="1"/>
    <col min="7843" max="7843" width="14.42578125" bestFit="1" customWidth="1"/>
    <col min="7844" max="7844" width="12.28515625" bestFit="1" customWidth="1"/>
    <col min="7845" max="7845" width="15.140625" bestFit="1" customWidth="1"/>
    <col min="7846" max="7846" width="14.42578125" bestFit="1" customWidth="1"/>
    <col min="7847" max="7847" width="12.28515625" bestFit="1" customWidth="1"/>
    <col min="7848" max="7848" width="14.42578125" bestFit="1" customWidth="1"/>
    <col min="7849" max="7849" width="11.28515625" bestFit="1" customWidth="1"/>
    <col min="7850" max="7850" width="12.28515625" bestFit="1" customWidth="1"/>
    <col min="7851" max="7851" width="13" bestFit="1" customWidth="1"/>
    <col min="7852" max="7852" width="15.140625" bestFit="1" customWidth="1"/>
    <col min="7853" max="7853" width="12.28515625" bestFit="1" customWidth="1"/>
    <col min="7854" max="7854" width="13.85546875" bestFit="1" customWidth="1"/>
    <col min="7855" max="7855" width="11.28515625" bestFit="1" customWidth="1"/>
    <col min="7856" max="7856" width="12.28515625" bestFit="1" customWidth="1"/>
    <col min="7857" max="7857" width="13.85546875" bestFit="1" customWidth="1"/>
    <col min="7858" max="7859" width="15.140625" bestFit="1" customWidth="1"/>
    <col min="7860" max="7860" width="12.28515625" bestFit="1" customWidth="1"/>
    <col min="7861" max="7861" width="5.7109375" bestFit="1" customWidth="1"/>
    <col min="7862" max="7862" width="8.5703125" bestFit="1" customWidth="1"/>
    <col min="7863" max="7863" width="5.5703125" bestFit="1" customWidth="1"/>
    <col min="7864" max="7864" width="14.42578125" bestFit="1" customWidth="1"/>
    <col min="7865" max="7865" width="11.28515625" bestFit="1" customWidth="1"/>
    <col min="7866" max="7867" width="12.28515625" bestFit="1" customWidth="1"/>
    <col min="7868" max="7868" width="11.28515625" bestFit="1" customWidth="1"/>
    <col min="7869" max="7869" width="13.85546875" bestFit="1" customWidth="1"/>
    <col min="7870" max="7870" width="12" bestFit="1" customWidth="1"/>
    <col min="7871" max="7871" width="13.85546875" bestFit="1" customWidth="1"/>
    <col min="7872" max="7873" width="14.42578125" customWidth="1"/>
    <col min="7874" max="7874" width="10.140625" bestFit="1" customWidth="1"/>
    <col min="7875" max="7875" width="12.28515625" bestFit="1" customWidth="1"/>
    <col min="7876" max="7876" width="7.42578125" bestFit="1" customWidth="1"/>
    <col min="7877" max="7877" width="8.5703125" bestFit="1" customWidth="1"/>
    <col min="7878" max="7878" width="11.5703125" bestFit="1" customWidth="1"/>
    <col min="7879" max="7879" width="13.28515625" bestFit="1" customWidth="1"/>
    <col min="7880" max="7880" width="13.28515625" customWidth="1"/>
    <col min="7881" max="7881" width="13.140625" customWidth="1"/>
    <col min="7882" max="7882" width="12.7109375" bestFit="1" customWidth="1"/>
    <col min="7883" max="7883" width="13.28515625" bestFit="1" customWidth="1"/>
    <col min="7884" max="7886" width="13.28515625" customWidth="1"/>
    <col min="7887" max="7887" width="12.140625" bestFit="1" customWidth="1"/>
    <col min="7888" max="7888" width="12.7109375" bestFit="1" customWidth="1"/>
    <col min="7889" max="7889" width="11" customWidth="1"/>
    <col min="7890" max="7890" width="16.7109375" customWidth="1"/>
    <col min="7891" max="7891" width="17" customWidth="1"/>
    <col min="7892" max="7892" width="10.42578125" bestFit="1" customWidth="1"/>
    <col min="7936" max="7936" width="3.85546875" customWidth="1"/>
    <col min="7937" max="7937" width="15.28515625" bestFit="1" customWidth="1"/>
    <col min="7938" max="7938" width="12.28515625" customWidth="1"/>
    <col min="7939" max="7939" width="16.28515625" bestFit="1" customWidth="1"/>
    <col min="7940" max="7940" width="6.42578125" bestFit="1" customWidth="1"/>
    <col min="7941" max="7941" width="9.28515625" bestFit="1" customWidth="1"/>
    <col min="7942" max="7942" width="7.5703125" bestFit="1" customWidth="1"/>
    <col min="7943" max="7943" width="13.28515625" bestFit="1" customWidth="1"/>
    <col min="7944" max="7944" width="9.28515625" bestFit="1" customWidth="1"/>
    <col min="7945" max="7945" width="11.5703125" bestFit="1" customWidth="1"/>
    <col min="7946" max="7946" width="13.28515625" bestFit="1" customWidth="1"/>
    <col min="7947" max="7947" width="7.140625" bestFit="1" customWidth="1"/>
    <col min="7948" max="7948" width="12" bestFit="1" customWidth="1"/>
    <col min="7949" max="7949" width="13.28515625" bestFit="1" customWidth="1"/>
    <col min="7950" max="7950" width="7" bestFit="1" customWidth="1"/>
    <col min="7951" max="7951" width="12.7109375" bestFit="1" customWidth="1"/>
    <col min="7952" max="7952" width="11.5703125" bestFit="1" customWidth="1"/>
    <col min="7953" max="7953" width="10.5703125" bestFit="1" customWidth="1"/>
    <col min="7954" max="7955" width="15.7109375" bestFit="1" customWidth="1"/>
    <col min="7956" max="7956" width="11.5703125" bestFit="1" customWidth="1"/>
    <col min="7957" max="7957" width="7.7109375" bestFit="1" customWidth="1"/>
    <col min="7958" max="7958" width="15.140625" bestFit="1" customWidth="1"/>
    <col min="7959" max="7959" width="11.5703125" bestFit="1" customWidth="1"/>
    <col min="7960" max="7960" width="13.28515625" bestFit="1" customWidth="1"/>
    <col min="7961" max="7961" width="10.42578125" bestFit="1" customWidth="1"/>
    <col min="7962" max="7962" width="13.28515625" bestFit="1" customWidth="1"/>
    <col min="7963" max="7963" width="12.140625" bestFit="1" customWidth="1"/>
    <col min="7964" max="7964" width="14.42578125" bestFit="1" customWidth="1"/>
    <col min="7965" max="7965" width="13.28515625" bestFit="1" customWidth="1"/>
    <col min="7966" max="7966" width="11.5703125" bestFit="1" customWidth="1"/>
    <col min="7967" max="7967" width="7.7109375" bestFit="1" customWidth="1"/>
    <col min="7968" max="7969" width="14.42578125" bestFit="1" customWidth="1"/>
    <col min="7970" max="7970" width="11.5703125" bestFit="1" customWidth="1"/>
    <col min="7971" max="7971" width="7.7109375" bestFit="1" customWidth="1"/>
    <col min="7972" max="7972" width="13.5703125" customWidth="1"/>
    <col min="7973" max="7973" width="15.28515625" customWidth="1"/>
    <col min="7974" max="7974" width="14.5703125" customWidth="1"/>
    <col min="7975" max="7975" width="13.28515625" bestFit="1" customWidth="1"/>
    <col min="7976" max="7976" width="7.7109375" bestFit="1" customWidth="1"/>
    <col min="7977" max="7977" width="12.7109375" bestFit="1" customWidth="1"/>
    <col min="7978" max="7978" width="11.7109375" bestFit="1" customWidth="1"/>
    <col min="7979" max="7979" width="11.5703125" bestFit="1" customWidth="1"/>
    <col min="7980" max="7980" width="5.28515625" bestFit="1" customWidth="1"/>
    <col min="7981" max="7981" width="13.28515625" bestFit="1" customWidth="1"/>
    <col min="7982" max="7982" width="13.5703125" bestFit="1" customWidth="1"/>
    <col min="7983" max="7983" width="10.5703125" bestFit="1" customWidth="1"/>
    <col min="7984" max="7984" width="13.28515625" bestFit="1" customWidth="1"/>
    <col min="7985" max="7985" width="11.5703125" bestFit="1" customWidth="1"/>
    <col min="7986" max="7986" width="10.5703125" bestFit="1" customWidth="1"/>
    <col min="7987" max="7987" width="16.140625" bestFit="1" customWidth="1"/>
    <col min="7988" max="7989" width="11.28515625" bestFit="1" customWidth="1"/>
    <col min="7990" max="7990" width="13.28515625" bestFit="1" customWidth="1"/>
    <col min="7991" max="7991" width="7.7109375" bestFit="1" customWidth="1"/>
    <col min="7992" max="7995" width="9.140625" hidden="1" customWidth="1"/>
    <col min="7996" max="7996" width="10.42578125" bestFit="1" customWidth="1"/>
    <col min="7997" max="7997" width="10.5703125" bestFit="1" customWidth="1"/>
    <col min="7998" max="7998" width="10.42578125" bestFit="1" customWidth="1"/>
    <col min="7999" max="7999" width="10.5703125" bestFit="1" customWidth="1"/>
    <col min="8000" max="8000" width="9.5703125" bestFit="1" customWidth="1"/>
    <col min="8001" max="8001" width="11.5703125" bestFit="1" customWidth="1"/>
    <col min="8002" max="8002" width="10.42578125" bestFit="1" customWidth="1"/>
    <col min="8003" max="8003" width="10.85546875" customWidth="1"/>
    <col min="8004" max="8005" width="9.85546875" bestFit="1" customWidth="1"/>
    <col min="8006" max="8006" width="13.5703125" bestFit="1" customWidth="1"/>
    <col min="8007" max="8007" width="7.7109375" bestFit="1" customWidth="1"/>
    <col min="8008" max="8008" width="13.28515625" bestFit="1" customWidth="1"/>
    <col min="8009" max="8009" width="11.5703125" bestFit="1" customWidth="1"/>
    <col min="8010" max="8010" width="10.42578125" bestFit="1" customWidth="1"/>
    <col min="8011" max="8011" width="7.7109375" bestFit="1" customWidth="1"/>
    <col min="8012" max="8012" width="11.5703125" bestFit="1" customWidth="1"/>
    <col min="8013" max="8013" width="10.85546875" bestFit="1" customWidth="1"/>
    <col min="8014" max="8014" width="13.28515625" bestFit="1" customWidth="1"/>
    <col min="8015" max="8015" width="10.85546875" bestFit="1" customWidth="1"/>
    <col min="8016" max="8017" width="7.5703125" bestFit="1" customWidth="1"/>
    <col min="8018" max="8019" width="10.42578125" bestFit="1" customWidth="1"/>
    <col min="8020" max="8020" width="11.5703125" bestFit="1" customWidth="1"/>
    <col min="8021" max="8021" width="5.28515625" bestFit="1" customWidth="1"/>
    <col min="8022" max="8022" width="10.28515625" bestFit="1" customWidth="1"/>
    <col min="8023" max="8023" width="10.42578125" bestFit="1" customWidth="1"/>
    <col min="8024" max="8024" width="11.5703125" bestFit="1" customWidth="1"/>
    <col min="8025" max="8025" width="5.28515625" bestFit="1" customWidth="1"/>
    <col min="8026" max="8028" width="11.5703125" bestFit="1" customWidth="1"/>
    <col min="8029" max="8029" width="5.28515625" bestFit="1" customWidth="1"/>
    <col min="8030" max="8031" width="10.42578125" bestFit="1" customWidth="1"/>
    <col min="8032" max="8032" width="11.5703125" bestFit="1" customWidth="1"/>
    <col min="8033" max="8033" width="5.28515625" bestFit="1" customWidth="1"/>
    <col min="8034" max="8034" width="14.28515625" bestFit="1" customWidth="1"/>
    <col min="8035" max="8035" width="13" bestFit="1" customWidth="1"/>
    <col min="8036" max="8036" width="11.5703125" bestFit="1" customWidth="1"/>
    <col min="8037" max="8037" width="8.85546875" bestFit="1" customWidth="1"/>
    <col min="8038" max="8038" width="14.42578125" bestFit="1" customWidth="1"/>
    <col min="8039" max="8039" width="10.42578125" bestFit="1" customWidth="1"/>
    <col min="8040" max="8040" width="12.28515625" bestFit="1" customWidth="1"/>
    <col min="8041" max="8041" width="13.85546875" bestFit="1" customWidth="1"/>
    <col min="8042" max="8042" width="11.28515625" customWidth="1"/>
    <col min="8043" max="8043" width="11.5703125" customWidth="1"/>
    <col min="8044" max="8044" width="13.42578125" bestFit="1" customWidth="1"/>
    <col min="8045" max="8045" width="10.42578125" customWidth="1"/>
    <col min="8046" max="8046" width="13.85546875" bestFit="1" customWidth="1"/>
    <col min="8047" max="8047" width="15.42578125" bestFit="1" customWidth="1"/>
    <col min="8048" max="8048" width="12.28515625" bestFit="1" customWidth="1"/>
    <col min="8049" max="8049" width="12.7109375" customWidth="1"/>
    <col min="8050" max="8050" width="10.7109375" bestFit="1" customWidth="1"/>
    <col min="8051" max="8051" width="9.85546875" customWidth="1"/>
    <col min="8052" max="8053" width="10.140625" bestFit="1" customWidth="1"/>
    <col min="8054" max="8054" width="7.5703125" bestFit="1" customWidth="1"/>
    <col min="8055" max="8055" width="9.42578125" bestFit="1" customWidth="1"/>
    <col min="8056" max="8056" width="14.5703125" bestFit="1" customWidth="1"/>
    <col min="8057" max="8057" width="14.85546875" customWidth="1"/>
    <col min="8058" max="8058" width="15.140625" bestFit="1" customWidth="1"/>
    <col min="8059" max="8059" width="12.140625" bestFit="1" customWidth="1"/>
    <col min="8060" max="8060" width="14.85546875" bestFit="1" customWidth="1"/>
    <col min="8061" max="8061" width="12.28515625" bestFit="1" customWidth="1"/>
    <col min="8062" max="8070" width="9.140625" hidden="1" customWidth="1"/>
    <col min="8071" max="8071" width="5.28515625" bestFit="1" customWidth="1"/>
    <col min="8072" max="8077" width="11.5703125" bestFit="1" customWidth="1"/>
    <col min="8078" max="8078" width="11.28515625" bestFit="1" customWidth="1"/>
    <col min="8079" max="8079" width="10.140625" bestFit="1" customWidth="1"/>
    <col min="8080" max="8080" width="11.5703125" bestFit="1" customWidth="1"/>
    <col min="8081" max="8081" width="16.140625" customWidth="1"/>
    <col min="8082" max="8082" width="13.42578125" customWidth="1"/>
    <col min="8083" max="8083" width="10.140625" bestFit="1" customWidth="1"/>
    <col min="8084" max="8084" width="12.85546875" bestFit="1" customWidth="1"/>
    <col min="8085" max="8085" width="12.28515625" bestFit="1" customWidth="1"/>
    <col min="8086" max="8086" width="11.28515625" bestFit="1" customWidth="1"/>
    <col min="8087" max="8087" width="11.5703125" bestFit="1" customWidth="1"/>
    <col min="8088" max="8088" width="10.85546875" bestFit="1" customWidth="1"/>
    <col min="8089" max="8089" width="11.28515625" bestFit="1" customWidth="1"/>
    <col min="8090" max="8090" width="10.140625" bestFit="1" customWidth="1"/>
    <col min="8091" max="8091" width="13.28515625" bestFit="1" customWidth="1"/>
    <col min="8092" max="8093" width="12.7109375" bestFit="1" customWidth="1"/>
    <col min="8094" max="8094" width="11" bestFit="1" customWidth="1"/>
    <col min="8095" max="8095" width="11.28515625" bestFit="1" customWidth="1"/>
    <col min="8096" max="8096" width="11.5703125" bestFit="1" customWidth="1"/>
    <col min="8097" max="8097" width="12.28515625" bestFit="1" customWidth="1"/>
    <col min="8098" max="8098" width="15.140625" bestFit="1" customWidth="1"/>
    <col min="8099" max="8099" width="14.42578125" bestFit="1" customWidth="1"/>
    <col min="8100" max="8100" width="12.28515625" bestFit="1" customWidth="1"/>
    <col min="8101" max="8101" width="15.140625" bestFit="1" customWidth="1"/>
    <col min="8102" max="8102" width="14.42578125" bestFit="1" customWidth="1"/>
    <col min="8103" max="8103" width="12.28515625" bestFit="1" customWidth="1"/>
    <col min="8104" max="8104" width="14.42578125" bestFit="1" customWidth="1"/>
    <col min="8105" max="8105" width="11.28515625" bestFit="1" customWidth="1"/>
    <col min="8106" max="8106" width="12.28515625" bestFit="1" customWidth="1"/>
    <col min="8107" max="8107" width="13" bestFit="1" customWidth="1"/>
    <col min="8108" max="8108" width="15.140625" bestFit="1" customWidth="1"/>
    <col min="8109" max="8109" width="12.28515625" bestFit="1" customWidth="1"/>
    <col min="8110" max="8110" width="13.85546875" bestFit="1" customWidth="1"/>
    <col min="8111" max="8111" width="11.28515625" bestFit="1" customWidth="1"/>
    <col min="8112" max="8112" width="12.28515625" bestFit="1" customWidth="1"/>
    <col min="8113" max="8113" width="13.85546875" bestFit="1" customWidth="1"/>
    <col min="8114" max="8115" width="15.140625" bestFit="1" customWidth="1"/>
    <col min="8116" max="8116" width="12.28515625" bestFit="1" customWidth="1"/>
    <col min="8117" max="8117" width="5.7109375" bestFit="1" customWidth="1"/>
    <col min="8118" max="8118" width="8.5703125" bestFit="1" customWidth="1"/>
    <col min="8119" max="8119" width="5.5703125" bestFit="1" customWidth="1"/>
    <col min="8120" max="8120" width="14.42578125" bestFit="1" customWidth="1"/>
    <col min="8121" max="8121" width="11.28515625" bestFit="1" customWidth="1"/>
    <col min="8122" max="8123" width="12.28515625" bestFit="1" customWidth="1"/>
    <col min="8124" max="8124" width="11.28515625" bestFit="1" customWidth="1"/>
    <col min="8125" max="8125" width="13.85546875" bestFit="1" customWidth="1"/>
    <col min="8126" max="8126" width="12" bestFit="1" customWidth="1"/>
    <col min="8127" max="8127" width="13.85546875" bestFit="1" customWidth="1"/>
    <col min="8128" max="8129" width="14.42578125" customWidth="1"/>
    <col min="8130" max="8130" width="10.140625" bestFit="1" customWidth="1"/>
    <col min="8131" max="8131" width="12.28515625" bestFit="1" customWidth="1"/>
    <col min="8132" max="8132" width="7.42578125" bestFit="1" customWidth="1"/>
    <col min="8133" max="8133" width="8.5703125" bestFit="1" customWidth="1"/>
    <col min="8134" max="8134" width="11.5703125" bestFit="1" customWidth="1"/>
    <col min="8135" max="8135" width="13.28515625" bestFit="1" customWidth="1"/>
    <col min="8136" max="8136" width="13.28515625" customWidth="1"/>
    <col min="8137" max="8137" width="13.140625" customWidth="1"/>
    <col min="8138" max="8138" width="12.7109375" bestFit="1" customWidth="1"/>
    <col min="8139" max="8139" width="13.28515625" bestFit="1" customWidth="1"/>
    <col min="8140" max="8142" width="13.28515625" customWidth="1"/>
    <col min="8143" max="8143" width="12.140625" bestFit="1" customWidth="1"/>
    <col min="8144" max="8144" width="12.7109375" bestFit="1" customWidth="1"/>
    <col min="8145" max="8145" width="11" customWidth="1"/>
    <col min="8146" max="8146" width="16.7109375" customWidth="1"/>
    <col min="8147" max="8147" width="17" customWidth="1"/>
    <col min="8148" max="8148" width="10.42578125" bestFit="1" customWidth="1"/>
    <col min="8192" max="8192" width="3.85546875" customWidth="1"/>
    <col min="8193" max="8193" width="15.28515625" bestFit="1" customWidth="1"/>
    <col min="8194" max="8194" width="12.28515625" customWidth="1"/>
    <col min="8195" max="8195" width="16.28515625" bestFit="1" customWidth="1"/>
    <col min="8196" max="8196" width="6.42578125" bestFit="1" customWidth="1"/>
    <col min="8197" max="8197" width="9.28515625" bestFit="1" customWidth="1"/>
    <col min="8198" max="8198" width="7.5703125" bestFit="1" customWidth="1"/>
    <col min="8199" max="8199" width="13.28515625" bestFit="1" customWidth="1"/>
    <col min="8200" max="8200" width="9.28515625" bestFit="1" customWidth="1"/>
    <col min="8201" max="8201" width="11.5703125" bestFit="1" customWidth="1"/>
    <col min="8202" max="8202" width="13.28515625" bestFit="1" customWidth="1"/>
    <col min="8203" max="8203" width="7.140625" bestFit="1" customWidth="1"/>
    <col min="8204" max="8204" width="12" bestFit="1" customWidth="1"/>
    <col min="8205" max="8205" width="13.28515625" bestFit="1" customWidth="1"/>
    <col min="8206" max="8206" width="7" bestFit="1" customWidth="1"/>
    <col min="8207" max="8207" width="12.7109375" bestFit="1" customWidth="1"/>
    <col min="8208" max="8208" width="11.5703125" bestFit="1" customWidth="1"/>
    <col min="8209" max="8209" width="10.5703125" bestFit="1" customWidth="1"/>
    <col min="8210" max="8211" width="15.7109375" bestFit="1" customWidth="1"/>
    <col min="8212" max="8212" width="11.5703125" bestFit="1" customWidth="1"/>
    <col min="8213" max="8213" width="7.7109375" bestFit="1" customWidth="1"/>
    <col min="8214" max="8214" width="15.140625" bestFit="1" customWidth="1"/>
    <col min="8215" max="8215" width="11.5703125" bestFit="1" customWidth="1"/>
    <col min="8216" max="8216" width="13.28515625" bestFit="1" customWidth="1"/>
    <col min="8217" max="8217" width="10.42578125" bestFit="1" customWidth="1"/>
    <col min="8218" max="8218" width="13.28515625" bestFit="1" customWidth="1"/>
    <col min="8219" max="8219" width="12.140625" bestFit="1" customWidth="1"/>
    <col min="8220" max="8220" width="14.42578125" bestFit="1" customWidth="1"/>
    <col min="8221" max="8221" width="13.28515625" bestFit="1" customWidth="1"/>
    <col min="8222" max="8222" width="11.5703125" bestFit="1" customWidth="1"/>
    <col min="8223" max="8223" width="7.7109375" bestFit="1" customWidth="1"/>
    <col min="8224" max="8225" width="14.42578125" bestFit="1" customWidth="1"/>
    <col min="8226" max="8226" width="11.5703125" bestFit="1" customWidth="1"/>
    <col min="8227" max="8227" width="7.7109375" bestFit="1" customWidth="1"/>
    <col min="8228" max="8228" width="13.5703125" customWidth="1"/>
    <col min="8229" max="8229" width="15.28515625" customWidth="1"/>
    <col min="8230" max="8230" width="14.5703125" customWidth="1"/>
    <col min="8231" max="8231" width="13.28515625" bestFit="1" customWidth="1"/>
    <col min="8232" max="8232" width="7.7109375" bestFit="1" customWidth="1"/>
    <col min="8233" max="8233" width="12.7109375" bestFit="1" customWidth="1"/>
    <col min="8234" max="8234" width="11.7109375" bestFit="1" customWidth="1"/>
    <col min="8235" max="8235" width="11.5703125" bestFit="1" customWidth="1"/>
    <col min="8236" max="8236" width="5.28515625" bestFit="1" customWidth="1"/>
    <col min="8237" max="8237" width="13.28515625" bestFit="1" customWidth="1"/>
    <col min="8238" max="8238" width="13.5703125" bestFit="1" customWidth="1"/>
    <col min="8239" max="8239" width="10.5703125" bestFit="1" customWidth="1"/>
    <col min="8240" max="8240" width="13.28515625" bestFit="1" customWidth="1"/>
    <col min="8241" max="8241" width="11.5703125" bestFit="1" customWidth="1"/>
    <col min="8242" max="8242" width="10.5703125" bestFit="1" customWidth="1"/>
    <col min="8243" max="8243" width="16.140625" bestFit="1" customWidth="1"/>
    <col min="8244" max="8245" width="11.28515625" bestFit="1" customWidth="1"/>
    <col min="8246" max="8246" width="13.28515625" bestFit="1" customWidth="1"/>
    <col min="8247" max="8247" width="7.7109375" bestFit="1" customWidth="1"/>
    <col min="8248" max="8251" width="9.140625" hidden="1" customWidth="1"/>
    <col min="8252" max="8252" width="10.42578125" bestFit="1" customWidth="1"/>
    <col min="8253" max="8253" width="10.5703125" bestFit="1" customWidth="1"/>
    <col min="8254" max="8254" width="10.42578125" bestFit="1" customWidth="1"/>
    <col min="8255" max="8255" width="10.5703125" bestFit="1" customWidth="1"/>
    <col min="8256" max="8256" width="9.5703125" bestFit="1" customWidth="1"/>
    <col min="8257" max="8257" width="11.5703125" bestFit="1" customWidth="1"/>
    <col min="8258" max="8258" width="10.42578125" bestFit="1" customWidth="1"/>
    <col min="8259" max="8259" width="10.85546875" customWidth="1"/>
    <col min="8260" max="8261" width="9.85546875" bestFit="1" customWidth="1"/>
    <col min="8262" max="8262" width="13.5703125" bestFit="1" customWidth="1"/>
    <col min="8263" max="8263" width="7.7109375" bestFit="1" customWidth="1"/>
    <col min="8264" max="8264" width="13.28515625" bestFit="1" customWidth="1"/>
    <col min="8265" max="8265" width="11.5703125" bestFit="1" customWidth="1"/>
    <col min="8266" max="8266" width="10.42578125" bestFit="1" customWidth="1"/>
    <col min="8267" max="8267" width="7.7109375" bestFit="1" customWidth="1"/>
    <col min="8268" max="8268" width="11.5703125" bestFit="1" customWidth="1"/>
    <col min="8269" max="8269" width="10.85546875" bestFit="1" customWidth="1"/>
    <col min="8270" max="8270" width="13.28515625" bestFit="1" customWidth="1"/>
    <col min="8271" max="8271" width="10.85546875" bestFit="1" customWidth="1"/>
    <col min="8272" max="8273" width="7.5703125" bestFit="1" customWidth="1"/>
    <col min="8274" max="8275" width="10.42578125" bestFit="1" customWidth="1"/>
    <col min="8276" max="8276" width="11.5703125" bestFit="1" customWidth="1"/>
    <col min="8277" max="8277" width="5.28515625" bestFit="1" customWidth="1"/>
    <col min="8278" max="8278" width="10.28515625" bestFit="1" customWidth="1"/>
    <col min="8279" max="8279" width="10.42578125" bestFit="1" customWidth="1"/>
    <col min="8280" max="8280" width="11.5703125" bestFit="1" customWidth="1"/>
    <col min="8281" max="8281" width="5.28515625" bestFit="1" customWidth="1"/>
    <col min="8282" max="8284" width="11.5703125" bestFit="1" customWidth="1"/>
    <col min="8285" max="8285" width="5.28515625" bestFit="1" customWidth="1"/>
    <col min="8286" max="8287" width="10.42578125" bestFit="1" customWidth="1"/>
    <col min="8288" max="8288" width="11.5703125" bestFit="1" customWidth="1"/>
    <col min="8289" max="8289" width="5.28515625" bestFit="1" customWidth="1"/>
    <col min="8290" max="8290" width="14.28515625" bestFit="1" customWidth="1"/>
    <col min="8291" max="8291" width="13" bestFit="1" customWidth="1"/>
    <col min="8292" max="8292" width="11.5703125" bestFit="1" customWidth="1"/>
    <col min="8293" max="8293" width="8.85546875" bestFit="1" customWidth="1"/>
    <col min="8294" max="8294" width="14.42578125" bestFit="1" customWidth="1"/>
    <col min="8295" max="8295" width="10.42578125" bestFit="1" customWidth="1"/>
    <col min="8296" max="8296" width="12.28515625" bestFit="1" customWidth="1"/>
    <col min="8297" max="8297" width="13.85546875" bestFit="1" customWidth="1"/>
    <col min="8298" max="8298" width="11.28515625" customWidth="1"/>
    <col min="8299" max="8299" width="11.5703125" customWidth="1"/>
    <col min="8300" max="8300" width="13.42578125" bestFit="1" customWidth="1"/>
    <col min="8301" max="8301" width="10.42578125" customWidth="1"/>
    <col min="8302" max="8302" width="13.85546875" bestFit="1" customWidth="1"/>
    <col min="8303" max="8303" width="15.42578125" bestFit="1" customWidth="1"/>
    <col min="8304" max="8304" width="12.28515625" bestFit="1" customWidth="1"/>
    <col min="8305" max="8305" width="12.7109375" customWidth="1"/>
    <col min="8306" max="8306" width="10.7109375" bestFit="1" customWidth="1"/>
    <col min="8307" max="8307" width="9.85546875" customWidth="1"/>
    <col min="8308" max="8309" width="10.140625" bestFit="1" customWidth="1"/>
    <col min="8310" max="8310" width="7.5703125" bestFit="1" customWidth="1"/>
    <col min="8311" max="8311" width="9.42578125" bestFit="1" customWidth="1"/>
    <col min="8312" max="8312" width="14.5703125" bestFit="1" customWidth="1"/>
    <col min="8313" max="8313" width="14.85546875" customWidth="1"/>
    <col min="8314" max="8314" width="15.140625" bestFit="1" customWidth="1"/>
    <col min="8315" max="8315" width="12.140625" bestFit="1" customWidth="1"/>
    <col min="8316" max="8316" width="14.85546875" bestFit="1" customWidth="1"/>
    <col min="8317" max="8317" width="12.28515625" bestFit="1" customWidth="1"/>
    <col min="8318" max="8326" width="9.140625" hidden="1" customWidth="1"/>
    <col min="8327" max="8327" width="5.28515625" bestFit="1" customWidth="1"/>
    <col min="8328" max="8333" width="11.5703125" bestFit="1" customWidth="1"/>
    <col min="8334" max="8334" width="11.28515625" bestFit="1" customWidth="1"/>
    <col min="8335" max="8335" width="10.140625" bestFit="1" customWidth="1"/>
    <col min="8336" max="8336" width="11.5703125" bestFit="1" customWidth="1"/>
    <col min="8337" max="8337" width="16.140625" customWidth="1"/>
    <col min="8338" max="8338" width="13.42578125" customWidth="1"/>
    <col min="8339" max="8339" width="10.140625" bestFit="1" customWidth="1"/>
    <col min="8340" max="8340" width="12.85546875" bestFit="1" customWidth="1"/>
    <col min="8341" max="8341" width="12.28515625" bestFit="1" customWidth="1"/>
    <col min="8342" max="8342" width="11.28515625" bestFit="1" customWidth="1"/>
    <col min="8343" max="8343" width="11.5703125" bestFit="1" customWidth="1"/>
    <col min="8344" max="8344" width="10.85546875" bestFit="1" customWidth="1"/>
    <col min="8345" max="8345" width="11.28515625" bestFit="1" customWidth="1"/>
    <col min="8346" max="8346" width="10.140625" bestFit="1" customWidth="1"/>
    <col min="8347" max="8347" width="13.28515625" bestFit="1" customWidth="1"/>
    <col min="8348" max="8349" width="12.7109375" bestFit="1" customWidth="1"/>
    <col min="8350" max="8350" width="11" bestFit="1" customWidth="1"/>
    <col min="8351" max="8351" width="11.28515625" bestFit="1" customWidth="1"/>
    <col min="8352" max="8352" width="11.5703125" bestFit="1" customWidth="1"/>
    <col min="8353" max="8353" width="12.28515625" bestFit="1" customWidth="1"/>
    <col min="8354" max="8354" width="15.140625" bestFit="1" customWidth="1"/>
    <col min="8355" max="8355" width="14.42578125" bestFit="1" customWidth="1"/>
    <col min="8356" max="8356" width="12.28515625" bestFit="1" customWidth="1"/>
    <col min="8357" max="8357" width="15.140625" bestFit="1" customWidth="1"/>
    <col min="8358" max="8358" width="14.42578125" bestFit="1" customWidth="1"/>
    <col min="8359" max="8359" width="12.28515625" bestFit="1" customWidth="1"/>
    <col min="8360" max="8360" width="14.42578125" bestFit="1" customWidth="1"/>
    <col min="8361" max="8361" width="11.28515625" bestFit="1" customWidth="1"/>
    <col min="8362" max="8362" width="12.28515625" bestFit="1" customWidth="1"/>
    <col min="8363" max="8363" width="13" bestFit="1" customWidth="1"/>
    <col min="8364" max="8364" width="15.140625" bestFit="1" customWidth="1"/>
    <col min="8365" max="8365" width="12.28515625" bestFit="1" customWidth="1"/>
    <col min="8366" max="8366" width="13.85546875" bestFit="1" customWidth="1"/>
    <col min="8367" max="8367" width="11.28515625" bestFit="1" customWidth="1"/>
    <col min="8368" max="8368" width="12.28515625" bestFit="1" customWidth="1"/>
    <col min="8369" max="8369" width="13.85546875" bestFit="1" customWidth="1"/>
    <col min="8370" max="8371" width="15.140625" bestFit="1" customWidth="1"/>
    <col min="8372" max="8372" width="12.28515625" bestFit="1" customWidth="1"/>
    <col min="8373" max="8373" width="5.7109375" bestFit="1" customWidth="1"/>
    <col min="8374" max="8374" width="8.5703125" bestFit="1" customWidth="1"/>
    <col min="8375" max="8375" width="5.5703125" bestFit="1" customWidth="1"/>
    <col min="8376" max="8376" width="14.42578125" bestFit="1" customWidth="1"/>
    <col min="8377" max="8377" width="11.28515625" bestFit="1" customWidth="1"/>
    <col min="8378" max="8379" width="12.28515625" bestFit="1" customWidth="1"/>
    <col min="8380" max="8380" width="11.28515625" bestFit="1" customWidth="1"/>
    <col min="8381" max="8381" width="13.85546875" bestFit="1" customWidth="1"/>
    <col min="8382" max="8382" width="12" bestFit="1" customWidth="1"/>
    <col min="8383" max="8383" width="13.85546875" bestFit="1" customWidth="1"/>
    <col min="8384" max="8385" width="14.42578125" customWidth="1"/>
    <col min="8386" max="8386" width="10.140625" bestFit="1" customWidth="1"/>
    <col min="8387" max="8387" width="12.28515625" bestFit="1" customWidth="1"/>
    <col min="8388" max="8388" width="7.42578125" bestFit="1" customWidth="1"/>
    <col min="8389" max="8389" width="8.5703125" bestFit="1" customWidth="1"/>
    <col min="8390" max="8390" width="11.5703125" bestFit="1" customWidth="1"/>
    <col min="8391" max="8391" width="13.28515625" bestFit="1" customWidth="1"/>
    <col min="8392" max="8392" width="13.28515625" customWidth="1"/>
    <col min="8393" max="8393" width="13.140625" customWidth="1"/>
    <col min="8394" max="8394" width="12.7109375" bestFit="1" customWidth="1"/>
    <col min="8395" max="8395" width="13.28515625" bestFit="1" customWidth="1"/>
    <col min="8396" max="8398" width="13.28515625" customWidth="1"/>
    <col min="8399" max="8399" width="12.140625" bestFit="1" customWidth="1"/>
    <col min="8400" max="8400" width="12.7109375" bestFit="1" customWidth="1"/>
    <col min="8401" max="8401" width="11" customWidth="1"/>
    <col min="8402" max="8402" width="16.7109375" customWidth="1"/>
    <col min="8403" max="8403" width="17" customWidth="1"/>
    <col min="8404" max="8404" width="10.42578125" bestFit="1" customWidth="1"/>
    <col min="8448" max="8448" width="3.85546875" customWidth="1"/>
    <col min="8449" max="8449" width="15.28515625" bestFit="1" customWidth="1"/>
    <col min="8450" max="8450" width="12.28515625" customWidth="1"/>
    <col min="8451" max="8451" width="16.28515625" bestFit="1" customWidth="1"/>
    <col min="8452" max="8452" width="6.42578125" bestFit="1" customWidth="1"/>
    <col min="8453" max="8453" width="9.28515625" bestFit="1" customWidth="1"/>
    <col min="8454" max="8454" width="7.5703125" bestFit="1" customWidth="1"/>
    <col min="8455" max="8455" width="13.28515625" bestFit="1" customWidth="1"/>
    <col min="8456" max="8456" width="9.28515625" bestFit="1" customWidth="1"/>
    <col min="8457" max="8457" width="11.5703125" bestFit="1" customWidth="1"/>
    <col min="8458" max="8458" width="13.28515625" bestFit="1" customWidth="1"/>
    <col min="8459" max="8459" width="7.140625" bestFit="1" customWidth="1"/>
    <col min="8460" max="8460" width="12" bestFit="1" customWidth="1"/>
    <col min="8461" max="8461" width="13.28515625" bestFit="1" customWidth="1"/>
    <col min="8462" max="8462" width="7" bestFit="1" customWidth="1"/>
    <col min="8463" max="8463" width="12.7109375" bestFit="1" customWidth="1"/>
    <col min="8464" max="8464" width="11.5703125" bestFit="1" customWidth="1"/>
    <col min="8465" max="8465" width="10.5703125" bestFit="1" customWidth="1"/>
    <col min="8466" max="8467" width="15.7109375" bestFit="1" customWidth="1"/>
    <col min="8468" max="8468" width="11.5703125" bestFit="1" customWidth="1"/>
    <col min="8469" max="8469" width="7.7109375" bestFit="1" customWidth="1"/>
    <col min="8470" max="8470" width="15.140625" bestFit="1" customWidth="1"/>
    <col min="8471" max="8471" width="11.5703125" bestFit="1" customWidth="1"/>
    <col min="8472" max="8472" width="13.28515625" bestFit="1" customWidth="1"/>
    <col min="8473" max="8473" width="10.42578125" bestFit="1" customWidth="1"/>
    <col min="8474" max="8474" width="13.28515625" bestFit="1" customWidth="1"/>
    <col min="8475" max="8475" width="12.140625" bestFit="1" customWidth="1"/>
    <col min="8476" max="8476" width="14.42578125" bestFit="1" customWidth="1"/>
    <col min="8477" max="8477" width="13.28515625" bestFit="1" customWidth="1"/>
    <col min="8478" max="8478" width="11.5703125" bestFit="1" customWidth="1"/>
    <col min="8479" max="8479" width="7.7109375" bestFit="1" customWidth="1"/>
    <col min="8480" max="8481" width="14.42578125" bestFit="1" customWidth="1"/>
    <col min="8482" max="8482" width="11.5703125" bestFit="1" customWidth="1"/>
    <col min="8483" max="8483" width="7.7109375" bestFit="1" customWidth="1"/>
    <col min="8484" max="8484" width="13.5703125" customWidth="1"/>
    <col min="8485" max="8485" width="15.28515625" customWidth="1"/>
    <col min="8486" max="8486" width="14.5703125" customWidth="1"/>
    <col min="8487" max="8487" width="13.28515625" bestFit="1" customWidth="1"/>
    <col min="8488" max="8488" width="7.7109375" bestFit="1" customWidth="1"/>
    <col min="8489" max="8489" width="12.7109375" bestFit="1" customWidth="1"/>
    <col min="8490" max="8490" width="11.7109375" bestFit="1" customWidth="1"/>
    <col min="8491" max="8491" width="11.5703125" bestFit="1" customWidth="1"/>
    <col min="8492" max="8492" width="5.28515625" bestFit="1" customWidth="1"/>
    <col min="8493" max="8493" width="13.28515625" bestFit="1" customWidth="1"/>
    <col min="8494" max="8494" width="13.5703125" bestFit="1" customWidth="1"/>
    <col min="8495" max="8495" width="10.5703125" bestFit="1" customWidth="1"/>
    <col min="8496" max="8496" width="13.28515625" bestFit="1" customWidth="1"/>
    <col min="8497" max="8497" width="11.5703125" bestFit="1" customWidth="1"/>
    <col min="8498" max="8498" width="10.5703125" bestFit="1" customWidth="1"/>
    <col min="8499" max="8499" width="16.140625" bestFit="1" customWidth="1"/>
    <col min="8500" max="8501" width="11.28515625" bestFit="1" customWidth="1"/>
    <col min="8502" max="8502" width="13.28515625" bestFit="1" customWidth="1"/>
    <col min="8503" max="8503" width="7.7109375" bestFit="1" customWidth="1"/>
    <col min="8504" max="8507" width="9.140625" hidden="1" customWidth="1"/>
    <col min="8508" max="8508" width="10.42578125" bestFit="1" customWidth="1"/>
    <col min="8509" max="8509" width="10.5703125" bestFit="1" customWidth="1"/>
    <col min="8510" max="8510" width="10.42578125" bestFit="1" customWidth="1"/>
    <col min="8511" max="8511" width="10.5703125" bestFit="1" customWidth="1"/>
    <col min="8512" max="8512" width="9.5703125" bestFit="1" customWidth="1"/>
    <col min="8513" max="8513" width="11.5703125" bestFit="1" customWidth="1"/>
    <col min="8514" max="8514" width="10.42578125" bestFit="1" customWidth="1"/>
    <col min="8515" max="8515" width="10.85546875" customWidth="1"/>
    <col min="8516" max="8517" width="9.85546875" bestFit="1" customWidth="1"/>
    <col min="8518" max="8518" width="13.5703125" bestFit="1" customWidth="1"/>
    <col min="8519" max="8519" width="7.7109375" bestFit="1" customWidth="1"/>
    <col min="8520" max="8520" width="13.28515625" bestFit="1" customWidth="1"/>
    <col min="8521" max="8521" width="11.5703125" bestFit="1" customWidth="1"/>
    <col min="8522" max="8522" width="10.42578125" bestFit="1" customWidth="1"/>
    <col min="8523" max="8523" width="7.7109375" bestFit="1" customWidth="1"/>
    <col min="8524" max="8524" width="11.5703125" bestFit="1" customWidth="1"/>
    <col min="8525" max="8525" width="10.85546875" bestFit="1" customWidth="1"/>
    <col min="8526" max="8526" width="13.28515625" bestFit="1" customWidth="1"/>
    <col min="8527" max="8527" width="10.85546875" bestFit="1" customWidth="1"/>
    <col min="8528" max="8529" width="7.5703125" bestFit="1" customWidth="1"/>
    <col min="8530" max="8531" width="10.42578125" bestFit="1" customWidth="1"/>
    <col min="8532" max="8532" width="11.5703125" bestFit="1" customWidth="1"/>
    <col min="8533" max="8533" width="5.28515625" bestFit="1" customWidth="1"/>
    <col min="8534" max="8534" width="10.28515625" bestFit="1" customWidth="1"/>
    <col min="8535" max="8535" width="10.42578125" bestFit="1" customWidth="1"/>
    <col min="8536" max="8536" width="11.5703125" bestFit="1" customWidth="1"/>
    <col min="8537" max="8537" width="5.28515625" bestFit="1" customWidth="1"/>
    <col min="8538" max="8540" width="11.5703125" bestFit="1" customWidth="1"/>
    <col min="8541" max="8541" width="5.28515625" bestFit="1" customWidth="1"/>
    <col min="8542" max="8543" width="10.42578125" bestFit="1" customWidth="1"/>
    <col min="8544" max="8544" width="11.5703125" bestFit="1" customWidth="1"/>
    <col min="8545" max="8545" width="5.28515625" bestFit="1" customWidth="1"/>
    <col min="8546" max="8546" width="14.28515625" bestFit="1" customWidth="1"/>
    <col min="8547" max="8547" width="13" bestFit="1" customWidth="1"/>
    <col min="8548" max="8548" width="11.5703125" bestFit="1" customWidth="1"/>
    <col min="8549" max="8549" width="8.85546875" bestFit="1" customWidth="1"/>
    <col min="8550" max="8550" width="14.42578125" bestFit="1" customWidth="1"/>
    <col min="8551" max="8551" width="10.42578125" bestFit="1" customWidth="1"/>
    <col min="8552" max="8552" width="12.28515625" bestFit="1" customWidth="1"/>
    <col min="8553" max="8553" width="13.85546875" bestFit="1" customWidth="1"/>
    <col min="8554" max="8554" width="11.28515625" customWidth="1"/>
    <col min="8555" max="8555" width="11.5703125" customWidth="1"/>
    <col min="8556" max="8556" width="13.42578125" bestFit="1" customWidth="1"/>
    <col min="8557" max="8557" width="10.42578125" customWidth="1"/>
    <col min="8558" max="8558" width="13.85546875" bestFit="1" customWidth="1"/>
    <col min="8559" max="8559" width="15.42578125" bestFit="1" customWidth="1"/>
    <col min="8560" max="8560" width="12.28515625" bestFit="1" customWidth="1"/>
    <col min="8561" max="8561" width="12.7109375" customWidth="1"/>
    <col min="8562" max="8562" width="10.7109375" bestFit="1" customWidth="1"/>
    <col min="8563" max="8563" width="9.85546875" customWidth="1"/>
    <col min="8564" max="8565" width="10.140625" bestFit="1" customWidth="1"/>
    <col min="8566" max="8566" width="7.5703125" bestFit="1" customWidth="1"/>
    <col min="8567" max="8567" width="9.42578125" bestFit="1" customWidth="1"/>
    <col min="8568" max="8568" width="14.5703125" bestFit="1" customWidth="1"/>
    <col min="8569" max="8569" width="14.85546875" customWidth="1"/>
    <col min="8570" max="8570" width="15.140625" bestFit="1" customWidth="1"/>
    <col min="8571" max="8571" width="12.140625" bestFit="1" customWidth="1"/>
    <col min="8572" max="8572" width="14.85546875" bestFit="1" customWidth="1"/>
    <col min="8573" max="8573" width="12.28515625" bestFit="1" customWidth="1"/>
    <col min="8574" max="8582" width="9.140625" hidden="1" customWidth="1"/>
    <col min="8583" max="8583" width="5.28515625" bestFit="1" customWidth="1"/>
    <col min="8584" max="8589" width="11.5703125" bestFit="1" customWidth="1"/>
    <col min="8590" max="8590" width="11.28515625" bestFit="1" customWidth="1"/>
    <col min="8591" max="8591" width="10.140625" bestFit="1" customWidth="1"/>
    <col min="8592" max="8592" width="11.5703125" bestFit="1" customWidth="1"/>
    <col min="8593" max="8593" width="16.140625" customWidth="1"/>
    <col min="8594" max="8594" width="13.42578125" customWidth="1"/>
    <col min="8595" max="8595" width="10.140625" bestFit="1" customWidth="1"/>
    <col min="8596" max="8596" width="12.85546875" bestFit="1" customWidth="1"/>
    <col min="8597" max="8597" width="12.28515625" bestFit="1" customWidth="1"/>
    <col min="8598" max="8598" width="11.28515625" bestFit="1" customWidth="1"/>
    <col min="8599" max="8599" width="11.5703125" bestFit="1" customWidth="1"/>
    <col min="8600" max="8600" width="10.85546875" bestFit="1" customWidth="1"/>
    <col min="8601" max="8601" width="11.28515625" bestFit="1" customWidth="1"/>
    <col min="8602" max="8602" width="10.140625" bestFit="1" customWidth="1"/>
    <col min="8603" max="8603" width="13.28515625" bestFit="1" customWidth="1"/>
    <col min="8604" max="8605" width="12.7109375" bestFit="1" customWidth="1"/>
    <col min="8606" max="8606" width="11" bestFit="1" customWidth="1"/>
    <col min="8607" max="8607" width="11.28515625" bestFit="1" customWidth="1"/>
    <col min="8608" max="8608" width="11.5703125" bestFit="1" customWidth="1"/>
    <col min="8609" max="8609" width="12.28515625" bestFit="1" customWidth="1"/>
    <col min="8610" max="8610" width="15.140625" bestFit="1" customWidth="1"/>
    <col min="8611" max="8611" width="14.42578125" bestFit="1" customWidth="1"/>
    <col min="8612" max="8612" width="12.28515625" bestFit="1" customWidth="1"/>
    <col min="8613" max="8613" width="15.140625" bestFit="1" customWidth="1"/>
    <col min="8614" max="8614" width="14.42578125" bestFit="1" customWidth="1"/>
    <col min="8615" max="8615" width="12.28515625" bestFit="1" customWidth="1"/>
    <col min="8616" max="8616" width="14.42578125" bestFit="1" customWidth="1"/>
    <col min="8617" max="8617" width="11.28515625" bestFit="1" customWidth="1"/>
    <col min="8618" max="8618" width="12.28515625" bestFit="1" customWidth="1"/>
    <col min="8619" max="8619" width="13" bestFit="1" customWidth="1"/>
    <col min="8620" max="8620" width="15.140625" bestFit="1" customWidth="1"/>
    <col min="8621" max="8621" width="12.28515625" bestFit="1" customWidth="1"/>
    <col min="8622" max="8622" width="13.85546875" bestFit="1" customWidth="1"/>
    <col min="8623" max="8623" width="11.28515625" bestFit="1" customWidth="1"/>
    <col min="8624" max="8624" width="12.28515625" bestFit="1" customWidth="1"/>
    <col min="8625" max="8625" width="13.85546875" bestFit="1" customWidth="1"/>
    <col min="8626" max="8627" width="15.140625" bestFit="1" customWidth="1"/>
    <col min="8628" max="8628" width="12.28515625" bestFit="1" customWidth="1"/>
    <col min="8629" max="8629" width="5.7109375" bestFit="1" customWidth="1"/>
    <col min="8630" max="8630" width="8.5703125" bestFit="1" customWidth="1"/>
    <col min="8631" max="8631" width="5.5703125" bestFit="1" customWidth="1"/>
    <col min="8632" max="8632" width="14.42578125" bestFit="1" customWidth="1"/>
    <col min="8633" max="8633" width="11.28515625" bestFit="1" customWidth="1"/>
    <col min="8634" max="8635" width="12.28515625" bestFit="1" customWidth="1"/>
    <col min="8636" max="8636" width="11.28515625" bestFit="1" customWidth="1"/>
    <col min="8637" max="8637" width="13.85546875" bestFit="1" customWidth="1"/>
    <col min="8638" max="8638" width="12" bestFit="1" customWidth="1"/>
    <col min="8639" max="8639" width="13.85546875" bestFit="1" customWidth="1"/>
    <col min="8640" max="8641" width="14.42578125" customWidth="1"/>
    <col min="8642" max="8642" width="10.140625" bestFit="1" customWidth="1"/>
    <col min="8643" max="8643" width="12.28515625" bestFit="1" customWidth="1"/>
    <col min="8644" max="8644" width="7.42578125" bestFit="1" customWidth="1"/>
    <col min="8645" max="8645" width="8.5703125" bestFit="1" customWidth="1"/>
    <col min="8646" max="8646" width="11.5703125" bestFit="1" customWidth="1"/>
    <col min="8647" max="8647" width="13.28515625" bestFit="1" customWidth="1"/>
    <col min="8648" max="8648" width="13.28515625" customWidth="1"/>
    <col min="8649" max="8649" width="13.140625" customWidth="1"/>
    <col min="8650" max="8650" width="12.7109375" bestFit="1" customWidth="1"/>
    <col min="8651" max="8651" width="13.28515625" bestFit="1" customWidth="1"/>
    <col min="8652" max="8654" width="13.28515625" customWidth="1"/>
    <col min="8655" max="8655" width="12.140625" bestFit="1" customWidth="1"/>
    <col min="8656" max="8656" width="12.7109375" bestFit="1" customWidth="1"/>
    <col min="8657" max="8657" width="11" customWidth="1"/>
    <col min="8658" max="8658" width="16.7109375" customWidth="1"/>
    <col min="8659" max="8659" width="17" customWidth="1"/>
    <col min="8660" max="8660" width="10.42578125" bestFit="1" customWidth="1"/>
    <col min="8704" max="8704" width="3.85546875" customWidth="1"/>
    <col min="8705" max="8705" width="15.28515625" bestFit="1" customWidth="1"/>
    <col min="8706" max="8706" width="12.28515625" customWidth="1"/>
    <col min="8707" max="8707" width="16.28515625" bestFit="1" customWidth="1"/>
    <col min="8708" max="8708" width="6.42578125" bestFit="1" customWidth="1"/>
    <col min="8709" max="8709" width="9.28515625" bestFit="1" customWidth="1"/>
    <col min="8710" max="8710" width="7.5703125" bestFit="1" customWidth="1"/>
    <col min="8711" max="8711" width="13.28515625" bestFit="1" customWidth="1"/>
    <col min="8712" max="8712" width="9.28515625" bestFit="1" customWidth="1"/>
    <col min="8713" max="8713" width="11.5703125" bestFit="1" customWidth="1"/>
    <col min="8714" max="8714" width="13.28515625" bestFit="1" customWidth="1"/>
    <col min="8715" max="8715" width="7.140625" bestFit="1" customWidth="1"/>
    <col min="8716" max="8716" width="12" bestFit="1" customWidth="1"/>
    <col min="8717" max="8717" width="13.28515625" bestFit="1" customWidth="1"/>
    <col min="8718" max="8718" width="7" bestFit="1" customWidth="1"/>
    <col min="8719" max="8719" width="12.7109375" bestFit="1" customWidth="1"/>
    <col min="8720" max="8720" width="11.5703125" bestFit="1" customWidth="1"/>
    <col min="8721" max="8721" width="10.5703125" bestFit="1" customWidth="1"/>
    <col min="8722" max="8723" width="15.7109375" bestFit="1" customWidth="1"/>
    <col min="8724" max="8724" width="11.5703125" bestFit="1" customWidth="1"/>
    <col min="8725" max="8725" width="7.7109375" bestFit="1" customWidth="1"/>
    <col min="8726" max="8726" width="15.140625" bestFit="1" customWidth="1"/>
    <col min="8727" max="8727" width="11.5703125" bestFit="1" customWidth="1"/>
    <col min="8728" max="8728" width="13.28515625" bestFit="1" customWidth="1"/>
    <col min="8729" max="8729" width="10.42578125" bestFit="1" customWidth="1"/>
    <col min="8730" max="8730" width="13.28515625" bestFit="1" customWidth="1"/>
    <col min="8731" max="8731" width="12.140625" bestFit="1" customWidth="1"/>
    <col min="8732" max="8732" width="14.42578125" bestFit="1" customWidth="1"/>
    <col min="8733" max="8733" width="13.28515625" bestFit="1" customWidth="1"/>
    <col min="8734" max="8734" width="11.5703125" bestFit="1" customWidth="1"/>
    <col min="8735" max="8735" width="7.7109375" bestFit="1" customWidth="1"/>
    <col min="8736" max="8737" width="14.42578125" bestFit="1" customWidth="1"/>
    <col min="8738" max="8738" width="11.5703125" bestFit="1" customWidth="1"/>
    <col min="8739" max="8739" width="7.7109375" bestFit="1" customWidth="1"/>
    <col min="8740" max="8740" width="13.5703125" customWidth="1"/>
    <col min="8741" max="8741" width="15.28515625" customWidth="1"/>
    <col min="8742" max="8742" width="14.5703125" customWidth="1"/>
    <col min="8743" max="8743" width="13.28515625" bestFit="1" customWidth="1"/>
    <col min="8744" max="8744" width="7.7109375" bestFit="1" customWidth="1"/>
    <col min="8745" max="8745" width="12.7109375" bestFit="1" customWidth="1"/>
    <col min="8746" max="8746" width="11.7109375" bestFit="1" customWidth="1"/>
    <col min="8747" max="8747" width="11.5703125" bestFit="1" customWidth="1"/>
    <col min="8748" max="8748" width="5.28515625" bestFit="1" customWidth="1"/>
    <col min="8749" max="8749" width="13.28515625" bestFit="1" customWidth="1"/>
    <col min="8750" max="8750" width="13.5703125" bestFit="1" customWidth="1"/>
    <col min="8751" max="8751" width="10.5703125" bestFit="1" customWidth="1"/>
    <col min="8752" max="8752" width="13.28515625" bestFit="1" customWidth="1"/>
    <col min="8753" max="8753" width="11.5703125" bestFit="1" customWidth="1"/>
    <col min="8754" max="8754" width="10.5703125" bestFit="1" customWidth="1"/>
    <col min="8755" max="8755" width="16.140625" bestFit="1" customWidth="1"/>
    <col min="8756" max="8757" width="11.28515625" bestFit="1" customWidth="1"/>
    <col min="8758" max="8758" width="13.28515625" bestFit="1" customWidth="1"/>
    <col min="8759" max="8759" width="7.7109375" bestFit="1" customWidth="1"/>
    <col min="8760" max="8763" width="9.140625" hidden="1" customWidth="1"/>
    <col min="8764" max="8764" width="10.42578125" bestFit="1" customWidth="1"/>
    <col min="8765" max="8765" width="10.5703125" bestFit="1" customWidth="1"/>
    <col min="8766" max="8766" width="10.42578125" bestFit="1" customWidth="1"/>
    <col min="8767" max="8767" width="10.5703125" bestFit="1" customWidth="1"/>
    <col min="8768" max="8768" width="9.5703125" bestFit="1" customWidth="1"/>
    <col min="8769" max="8769" width="11.5703125" bestFit="1" customWidth="1"/>
    <col min="8770" max="8770" width="10.42578125" bestFit="1" customWidth="1"/>
    <col min="8771" max="8771" width="10.85546875" customWidth="1"/>
    <col min="8772" max="8773" width="9.85546875" bestFit="1" customWidth="1"/>
    <col min="8774" max="8774" width="13.5703125" bestFit="1" customWidth="1"/>
    <col min="8775" max="8775" width="7.7109375" bestFit="1" customWidth="1"/>
    <col min="8776" max="8776" width="13.28515625" bestFit="1" customWidth="1"/>
    <col min="8777" max="8777" width="11.5703125" bestFit="1" customWidth="1"/>
    <col min="8778" max="8778" width="10.42578125" bestFit="1" customWidth="1"/>
    <col min="8779" max="8779" width="7.7109375" bestFit="1" customWidth="1"/>
    <col min="8780" max="8780" width="11.5703125" bestFit="1" customWidth="1"/>
    <col min="8781" max="8781" width="10.85546875" bestFit="1" customWidth="1"/>
    <col min="8782" max="8782" width="13.28515625" bestFit="1" customWidth="1"/>
    <col min="8783" max="8783" width="10.85546875" bestFit="1" customWidth="1"/>
    <col min="8784" max="8785" width="7.5703125" bestFit="1" customWidth="1"/>
    <col min="8786" max="8787" width="10.42578125" bestFit="1" customWidth="1"/>
    <col min="8788" max="8788" width="11.5703125" bestFit="1" customWidth="1"/>
    <col min="8789" max="8789" width="5.28515625" bestFit="1" customWidth="1"/>
    <col min="8790" max="8790" width="10.28515625" bestFit="1" customWidth="1"/>
    <col min="8791" max="8791" width="10.42578125" bestFit="1" customWidth="1"/>
    <col min="8792" max="8792" width="11.5703125" bestFit="1" customWidth="1"/>
    <col min="8793" max="8793" width="5.28515625" bestFit="1" customWidth="1"/>
    <col min="8794" max="8796" width="11.5703125" bestFit="1" customWidth="1"/>
    <col min="8797" max="8797" width="5.28515625" bestFit="1" customWidth="1"/>
    <col min="8798" max="8799" width="10.42578125" bestFit="1" customWidth="1"/>
    <col min="8800" max="8800" width="11.5703125" bestFit="1" customWidth="1"/>
    <col min="8801" max="8801" width="5.28515625" bestFit="1" customWidth="1"/>
    <col min="8802" max="8802" width="14.28515625" bestFit="1" customWidth="1"/>
    <col min="8803" max="8803" width="13" bestFit="1" customWidth="1"/>
    <col min="8804" max="8804" width="11.5703125" bestFit="1" customWidth="1"/>
    <col min="8805" max="8805" width="8.85546875" bestFit="1" customWidth="1"/>
    <col min="8806" max="8806" width="14.42578125" bestFit="1" customWidth="1"/>
    <col min="8807" max="8807" width="10.42578125" bestFit="1" customWidth="1"/>
    <col min="8808" max="8808" width="12.28515625" bestFit="1" customWidth="1"/>
    <col min="8809" max="8809" width="13.85546875" bestFit="1" customWidth="1"/>
    <col min="8810" max="8810" width="11.28515625" customWidth="1"/>
    <col min="8811" max="8811" width="11.5703125" customWidth="1"/>
    <col min="8812" max="8812" width="13.42578125" bestFit="1" customWidth="1"/>
    <col min="8813" max="8813" width="10.42578125" customWidth="1"/>
    <col min="8814" max="8814" width="13.85546875" bestFit="1" customWidth="1"/>
    <col min="8815" max="8815" width="15.42578125" bestFit="1" customWidth="1"/>
    <col min="8816" max="8816" width="12.28515625" bestFit="1" customWidth="1"/>
    <col min="8817" max="8817" width="12.7109375" customWidth="1"/>
    <col min="8818" max="8818" width="10.7109375" bestFit="1" customWidth="1"/>
    <col min="8819" max="8819" width="9.85546875" customWidth="1"/>
    <col min="8820" max="8821" width="10.140625" bestFit="1" customWidth="1"/>
    <col min="8822" max="8822" width="7.5703125" bestFit="1" customWidth="1"/>
    <col min="8823" max="8823" width="9.42578125" bestFit="1" customWidth="1"/>
    <col min="8824" max="8824" width="14.5703125" bestFit="1" customWidth="1"/>
    <col min="8825" max="8825" width="14.85546875" customWidth="1"/>
    <col min="8826" max="8826" width="15.140625" bestFit="1" customWidth="1"/>
    <col min="8827" max="8827" width="12.140625" bestFit="1" customWidth="1"/>
    <col min="8828" max="8828" width="14.85546875" bestFit="1" customWidth="1"/>
    <col min="8829" max="8829" width="12.28515625" bestFit="1" customWidth="1"/>
    <col min="8830" max="8838" width="9.140625" hidden="1" customWidth="1"/>
    <col min="8839" max="8839" width="5.28515625" bestFit="1" customWidth="1"/>
    <col min="8840" max="8845" width="11.5703125" bestFit="1" customWidth="1"/>
    <col min="8846" max="8846" width="11.28515625" bestFit="1" customWidth="1"/>
    <col min="8847" max="8847" width="10.140625" bestFit="1" customWidth="1"/>
    <col min="8848" max="8848" width="11.5703125" bestFit="1" customWidth="1"/>
    <col min="8849" max="8849" width="16.140625" customWidth="1"/>
    <col min="8850" max="8850" width="13.42578125" customWidth="1"/>
    <col min="8851" max="8851" width="10.140625" bestFit="1" customWidth="1"/>
    <col min="8852" max="8852" width="12.85546875" bestFit="1" customWidth="1"/>
    <col min="8853" max="8853" width="12.28515625" bestFit="1" customWidth="1"/>
    <col min="8854" max="8854" width="11.28515625" bestFit="1" customWidth="1"/>
    <col min="8855" max="8855" width="11.5703125" bestFit="1" customWidth="1"/>
    <col min="8856" max="8856" width="10.85546875" bestFit="1" customWidth="1"/>
    <col min="8857" max="8857" width="11.28515625" bestFit="1" customWidth="1"/>
    <col min="8858" max="8858" width="10.140625" bestFit="1" customWidth="1"/>
    <col min="8859" max="8859" width="13.28515625" bestFit="1" customWidth="1"/>
    <col min="8860" max="8861" width="12.7109375" bestFit="1" customWidth="1"/>
    <col min="8862" max="8862" width="11" bestFit="1" customWidth="1"/>
    <col min="8863" max="8863" width="11.28515625" bestFit="1" customWidth="1"/>
    <col min="8864" max="8864" width="11.5703125" bestFit="1" customWidth="1"/>
    <col min="8865" max="8865" width="12.28515625" bestFit="1" customWidth="1"/>
    <col min="8866" max="8866" width="15.140625" bestFit="1" customWidth="1"/>
    <col min="8867" max="8867" width="14.42578125" bestFit="1" customWidth="1"/>
    <col min="8868" max="8868" width="12.28515625" bestFit="1" customWidth="1"/>
    <col min="8869" max="8869" width="15.140625" bestFit="1" customWidth="1"/>
    <col min="8870" max="8870" width="14.42578125" bestFit="1" customWidth="1"/>
    <col min="8871" max="8871" width="12.28515625" bestFit="1" customWidth="1"/>
    <col min="8872" max="8872" width="14.42578125" bestFit="1" customWidth="1"/>
    <col min="8873" max="8873" width="11.28515625" bestFit="1" customWidth="1"/>
    <col min="8874" max="8874" width="12.28515625" bestFit="1" customWidth="1"/>
    <col min="8875" max="8875" width="13" bestFit="1" customWidth="1"/>
    <col min="8876" max="8876" width="15.140625" bestFit="1" customWidth="1"/>
    <col min="8877" max="8877" width="12.28515625" bestFit="1" customWidth="1"/>
    <col min="8878" max="8878" width="13.85546875" bestFit="1" customWidth="1"/>
    <col min="8879" max="8879" width="11.28515625" bestFit="1" customWidth="1"/>
    <col min="8880" max="8880" width="12.28515625" bestFit="1" customWidth="1"/>
    <col min="8881" max="8881" width="13.85546875" bestFit="1" customWidth="1"/>
    <col min="8882" max="8883" width="15.140625" bestFit="1" customWidth="1"/>
    <col min="8884" max="8884" width="12.28515625" bestFit="1" customWidth="1"/>
    <col min="8885" max="8885" width="5.7109375" bestFit="1" customWidth="1"/>
    <col min="8886" max="8886" width="8.5703125" bestFit="1" customWidth="1"/>
    <col min="8887" max="8887" width="5.5703125" bestFit="1" customWidth="1"/>
    <col min="8888" max="8888" width="14.42578125" bestFit="1" customWidth="1"/>
    <col min="8889" max="8889" width="11.28515625" bestFit="1" customWidth="1"/>
    <col min="8890" max="8891" width="12.28515625" bestFit="1" customWidth="1"/>
    <col min="8892" max="8892" width="11.28515625" bestFit="1" customWidth="1"/>
    <col min="8893" max="8893" width="13.85546875" bestFit="1" customWidth="1"/>
    <col min="8894" max="8894" width="12" bestFit="1" customWidth="1"/>
    <col min="8895" max="8895" width="13.85546875" bestFit="1" customWidth="1"/>
    <col min="8896" max="8897" width="14.42578125" customWidth="1"/>
    <col min="8898" max="8898" width="10.140625" bestFit="1" customWidth="1"/>
    <col min="8899" max="8899" width="12.28515625" bestFit="1" customWidth="1"/>
    <col min="8900" max="8900" width="7.42578125" bestFit="1" customWidth="1"/>
    <col min="8901" max="8901" width="8.5703125" bestFit="1" customWidth="1"/>
    <col min="8902" max="8902" width="11.5703125" bestFit="1" customWidth="1"/>
    <col min="8903" max="8903" width="13.28515625" bestFit="1" customWidth="1"/>
    <col min="8904" max="8904" width="13.28515625" customWidth="1"/>
    <col min="8905" max="8905" width="13.140625" customWidth="1"/>
    <col min="8906" max="8906" width="12.7109375" bestFit="1" customWidth="1"/>
    <col min="8907" max="8907" width="13.28515625" bestFit="1" customWidth="1"/>
    <col min="8908" max="8910" width="13.28515625" customWidth="1"/>
    <col min="8911" max="8911" width="12.140625" bestFit="1" customWidth="1"/>
    <col min="8912" max="8912" width="12.7109375" bestFit="1" customWidth="1"/>
    <col min="8913" max="8913" width="11" customWidth="1"/>
    <col min="8914" max="8914" width="16.7109375" customWidth="1"/>
    <col min="8915" max="8915" width="17" customWidth="1"/>
    <col min="8916" max="8916" width="10.42578125" bestFit="1" customWidth="1"/>
    <col min="8960" max="8960" width="3.85546875" customWidth="1"/>
    <col min="8961" max="8961" width="15.28515625" bestFit="1" customWidth="1"/>
    <col min="8962" max="8962" width="12.28515625" customWidth="1"/>
    <col min="8963" max="8963" width="16.28515625" bestFit="1" customWidth="1"/>
    <col min="8964" max="8964" width="6.42578125" bestFit="1" customWidth="1"/>
    <col min="8965" max="8965" width="9.28515625" bestFit="1" customWidth="1"/>
    <col min="8966" max="8966" width="7.5703125" bestFit="1" customWidth="1"/>
    <col min="8967" max="8967" width="13.28515625" bestFit="1" customWidth="1"/>
    <col min="8968" max="8968" width="9.28515625" bestFit="1" customWidth="1"/>
    <col min="8969" max="8969" width="11.5703125" bestFit="1" customWidth="1"/>
    <col min="8970" max="8970" width="13.28515625" bestFit="1" customWidth="1"/>
    <col min="8971" max="8971" width="7.140625" bestFit="1" customWidth="1"/>
    <col min="8972" max="8972" width="12" bestFit="1" customWidth="1"/>
    <col min="8973" max="8973" width="13.28515625" bestFit="1" customWidth="1"/>
    <col min="8974" max="8974" width="7" bestFit="1" customWidth="1"/>
    <col min="8975" max="8975" width="12.7109375" bestFit="1" customWidth="1"/>
    <col min="8976" max="8976" width="11.5703125" bestFit="1" customWidth="1"/>
    <col min="8977" max="8977" width="10.5703125" bestFit="1" customWidth="1"/>
    <col min="8978" max="8979" width="15.7109375" bestFit="1" customWidth="1"/>
    <col min="8980" max="8980" width="11.5703125" bestFit="1" customWidth="1"/>
    <col min="8981" max="8981" width="7.7109375" bestFit="1" customWidth="1"/>
    <col min="8982" max="8982" width="15.140625" bestFit="1" customWidth="1"/>
    <col min="8983" max="8983" width="11.5703125" bestFit="1" customWidth="1"/>
    <col min="8984" max="8984" width="13.28515625" bestFit="1" customWidth="1"/>
    <col min="8985" max="8985" width="10.42578125" bestFit="1" customWidth="1"/>
    <col min="8986" max="8986" width="13.28515625" bestFit="1" customWidth="1"/>
    <col min="8987" max="8987" width="12.140625" bestFit="1" customWidth="1"/>
    <col min="8988" max="8988" width="14.42578125" bestFit="1" customWidth="1"/>
    <col min="8989" max="8989" width="13.28515625" bestFit="1" customWidth="1"/>
    <col min="8990" max="8990" width="11.5703125" bestFit="1" customWidth="1"/>
    <col min="8991" max="8991" width="7.7109375" bestFit="1" customWidth="1"/>
    <col min="8992" max="8993" width="14.42578125" bestFit="1" customWidth="1"/>
    <col min="8994" max="8994" width="11.5703125" bestFit="1" customWidth="1"/>
    <col min="8995" max="8995" width="7.7109375" bestFit="1" customWidth="1"/>
    <col min="8996" max="8996" width="13.5703125" customWidth="1"/>
    <col min="8997" max="8997" width="15.28515625" customWidth="1"/>
    <col min="8998" max="8998" width="14.5703125" customWidth="1"/>
    <col min="8999" max="8999" width="13.28515625" bestFit="1" customWidth="1"/>
    <col min="9000" max="9000" width="7.7109375" bestFit="1" customWidth="1"/>
    <col min="9001" max="9001" width="12.7109375" bestFit="1" customWidth="1"/>
    <col min="9002" max="9002" width="11.7109375" bestFit="1" customWidth="1"/>
    <col min="9003" max="9003" width="11.5703125" bestFit="1" customWidth="1"/>
    <col min="9004" max="9004" width="5.28515625" bestFit="1" customWidth="1"/>
    <col min="9005" max="9005" width="13.28515625" bestFit="1" customWidth="1"/>
    <col min="9006" max="9006" width="13.5703125" bestFit="1" customWidth="1"/>
    <col min="9007" max="9007" width="10.5703125" bestFit="1" customWidth="1"/>
    <col min="9008" max="9008" width="13.28515625" bestFit="1" customWidth="1"/>
    <col min="9009" max="9009" width="11.5703125" bestFit="1" customWidth="1"/>
    <col min="9010" max="9010" width="10.5703125" bestFit="1" customWidth="1"/>
    <col min="9011" max="9011" width="16.140625" bestFit="1" customWidth="1"/>
    <col min="9012" max="9013" width="11.28515625" bestFit="1" customWidth="1"/>
    <col min="9014" max="9014" width="13.28515625" bestFit="1" customWidth="1"/>
    <col min="9015" max="9015" width="7.7109375" bestFit="1" customWidth="1"/>
    <col min="9016" max="9019" width="9.140625" hidden="1" customWidth="1"/>
    <col min="9020" max="9020" width="10.42578125" bestFit="1" customWidth="1"/>
    <col min="9021" max="9021" width="10.5703125" bestFit="1" customWidth="1"/>
    <col min="9022" max="9022" width="10.42578125" bestFit="1" customWidth="1"/>
    <col min="9023" max="9023" width="10.5703125" bestFit="1" customWidth="1"/>
    <col min="9024" max="9024" width="9.5703125" bestFit="1" customWidth="1"/>
    <col min="9025" max="9025" width="11.5703125" bestFit="1" customWidth="1"/>
    <col min="9026" max="9026" width="10.42578125" bestFit="1" customWidth="1"/>
    <col min="9027" max="9027" width="10.85546875" customWidth="1"/>
    <col min="9028" max="9029" width="9.85546875" bestFit="1" customWidth="1"/>
    <col min="9030" max="9030" width="13.5703125" bestFit="1" customWidth="1"/>
    <col min="9031" max="9031" width="7.7109375" bestFit="1" customWidth="1"/>
    <col min="9032" max="9032" width="13.28515625" bestFit="1" customWidth="1"/>
    <col min="9033" max="9033" width="11.5703125" bestFit="1" customWidth="1"/>
    <col min="9034" max="9034" width="10.42578125" bestFit="1" customWidth="1"/>
    <col min="9035" max="9035" width="7.7109375" bestFit="1" customWidth="1"/>
    <col min="9036" max="9036" width="11.5703125" bestFit="1" customWidth="1"/>
    <col min="9037" max="9037" width="10.85546875" bestFit="1" customWidth="1"/>
    <col min="9038" max="9038" width="13.28515625" bestFit="1" customWidth="1"/>
    <col min="9039" max="9039" width="10.85546875" bestFit="1" customWidth="1"/>
    <col min="9040" max="9041" width="7.5703125" bestFit="1" customWidth="1"/>
    <col min="9042" max="9043" width="10.42578125" bestFit="1" customWidth="1"/>
    <col min="9044" max="9044" width="11.5703125" bestFit="1" customWidth="1"/>
    <col min="9045" max="9045" width="5.28515625" bestFit="1" customWidth="1"/>
    <col min="9046" max="9046" width="10.28515625" bestFit="1" customWidth="1"/>
    <col min="9047" max="9047" width="10.42578125" bestFit="1" customWidth="1"/>
    <col min="9048" max="9048" width="11.5703125" bestFit="1" customWidth="1"/>
    <col min="9049" max="9049" width="5.28515625" bestFit="1" customWidth="1"/>
    <col min="9050" max="9052" width="11.5703125" bestFit="1" customWidth="1"/>
    <col min="9053" max="9053" width="5.28515625" bestFit="1" customWidth="1"/>
    <col min="9054" max="9055" width="10.42578125" bestFit="1" customWidth="1"/>
    <col min="9056" max="9056" width="11.5703125" bestFit="1" customWidth="1"/>
    <col min="9057" max="9057" width="5.28515625" bestFit="1" customWidth="1"/>
    <col min="9058" max="9058" width="14.28515625" bestFit="1" customWidth="1"/>
    <col min="9059" max="9059" width="13" bestFit="1" customWidth="1"/>
    <col min="9060" max="9060" width="11.5703125" bestFit="1" customWidth="1"/>
    <col min="9061" max="9061" width="8.85546875" bestFit="1" customWidth="1"/>
    <col min="9062" max="9062" width="14.42578125" bestFit="1" customWidth="1"/>
    <col min="9063" max="9063" width="10.42578125" bestFit="1" customWidth="1"/>
    <col min="9064" max="9064" width="12.28515625" bestFit="1" customWidth="1"/>
    <col min="9065" max="9065" width="13.85546875" bestFit="1" customWidth="1"/>
    <col min="9066" max="9066" width="11.28515625" customWidth="1"/>
    <col min="9067" max="9067" width="11.5703125" customWidth="1"/>
    <col min="9068" max="9068" width="13.42578125" bestFit="1" customWidth="1"/>
    <col min="9069" max="9069" width="10.42578125" customWidth="1"/>
    <col min="9070" max="9070" width="13.85546875" bestFit="1" customWidth="1"/>
    <col min="9071" max="9071" width="15.42578125" bestFit="1" customWidth="1"/>
    <col min="9072" max="9072" width="12.28515625" bestFit="1" customWidth="1"/>
    <col min="9073" max="9073" width="12.7109375" customWidth="1"/>
    <col min="9074" max="9074" width="10.7109375" bestFit="1" customWidth="1"/>
    <col min="9075" max="9075" width="9.85546875" customWidth="1"/>
    <col min="9076" max="9077" width="10.140625" bestFit="1" customWidth="1"/>
    <col min="9078" max="9078" width="7.5703125" bestFit="1" customWidth="1"/>
    <col min="9079" max="9079" width="9.42578125" bestFit="1" customWidth="1"/>
    <col min="9080" max="9080" width="14.5703125" bestFit="1" customWidth="1"/>
    <col min="9081" max="9081" width="14.85546875" customWidth="1"/>
    <col min="9082" max="9082" width="15.140625" bestFit="1" customWidth="1"/>
    <col min="9083" max="9083" width="12.140625" bestFit="1" customWidth="1"/>
    <col min="9084" max="9084" width="14.85546875" bestFit="1" customWidth="1"/>
    <col min="9085" max="9085" width="12.28515625" bestFit="1" customWidth="1"/>
    <col min="9086" max="9094" width="9.140625" hidden="1" customWidth="1"/>
    <col min="9095" max="9095" width="5.28515625" bestFit="1" customWidth="1"/>
    <col min="9096" max="9101" width="11.5703125" bestFit="1" customWidth="1"/>
    <col min="9102" max="9102" width="11.28515625" bestFit="1" customWidth="1"/>
    <col min="9103" max="9103" width="10.140625" bestFit="1" customWidth="1"/>
    <col min="9104" max="9104" width="11.5703125" bestFit="1" customWidth="1"/>
    <col min="9105" max="9105" width="16.140625" customWidth="1"/>
    <col min="9106" max="9106" width="13.42578125" customWidth="1"/>
    <col min="9107" max="9107" width="10.140625" bestFit="1" customWidth="1"/>
    <col min="9108" max="9108" width="12.85546875" bestFit="1" customWidth="1"/>
    <col min="9109" max="9109" width="12.28515625" bestFit="1" customWidth="1"/>
    <col min="9110" max="9110" width="11.28515625" bestFit="1" customWidth="1"/>
    <col min="9111" max="9111" width="11.5703125" bestFit="1" customWidth="1"/>
    <col min="9112" max="9112" width="10.85546875" bestFit="1" customWidth="1"/>
    <col min="9113" max="9113" width="11.28515625" bestFit="1" customWidth="1"/>
    <col min="9114" max="9114" width="10.140625" bestFit="1" customWidth="1"/>
    <col min="9115" max="9115" width="13.28515625" bestFit="1" customWidth="1"/>
    <col min="9116" max="9117" width="12.7109375" bestFit="1" customWidth="1"/>
    <col min="9118" max="9118" width="11" bestFit="1" customWidth="1"/>
    <col min="9119" max="9119" width="11.28515625" bestFit="1" customWidth="1"/>
    <col min="9120" max="9120" width="11.5703125" bestFit="1" customWidth="1"/>
    <col min="9121" max="9121" width="12.28515625" bestFit="1" customWidth="1"/>
    <col min="9122" max="9122" width="15.140625" bestFit="1" customWidth="1"/>
    <col min="9123" max="9123" width="14.42578125" bestFit="1" customWidth="1"/>
    <col min="9124" max="9124" width="12.28515625" bestFit="1" customWidth="1"/>
    <col min="9125" max="9125" width="15.140625" bestFit="1" customWidth="1"/>
    <col min="9126" max="9126" width="14.42578125" bestFit="1" customWidth="1"/>
    <col min="9127" max="9127" width="12.28515625" bestFit="1" customWidth="1"/>
    <col min="9128" max="9128" width="14.42578125" bestFit="1" customWidth="1"/>
    <col min="9129" max="9129" width="11.28515625" bestFit="1" customWidth="1"/>
    <col min="9130" max="9130" width="12.28515625" bestFit="1" customWidth="1"/>
    <col min="9131" max="9131" width="13" bestFit="1" customWidth="1"/>
    <col min="9132" max="9132" width="15.140625" bestFit="1" customWidth="1"/>
    <col min="9133" max="9133" width="12.28515625" bestFit="1" customWidth="1"/>
    <col min="9134" max="9134" width="13.85546875" bestFit="1" customWidth="1"/>
    <col min="9135" max="9135" width="11.28515625" bestFit="1" customWidth="1"/>
    <col min="9136" max="9136" width="12.28515625" bestFit="1" customWidth="1"/>
    <col min="9137" max="9137" width="13.85546875" bestFit="1" customWidth="1"/>
    <col min="9138" max="9139" width="15.140625" bestFit="1" customWidth="1"/>
    <col min="9140" max="9140" width="12.28515625" bestFit="1" customWidth="1"/>
    <col min="9141" max="9141" width="5.7109375" bestFit="1" customWidth="1"/>
    <col min="9142" max="9142" width="8.5703125" bestFit="1" customWidth="1"/>
    <col min="9143" max="9143" width="5.5703125" bestFit="1" customWidth="1"/>
    <col min="9144" max="9144" width="14.42578125" bestFit="1" customWidth="1"/>
    <col min="9145" max="9145" width="11.28515625" bestFit="1" customWidth="1"/>
    <col min="9146" max="9147" width="12.28515625" bestFit="1" customWidth="1"/>
    <col min="9148" max="9148" width="11.28515625" bestFit="1" customWidth="1"/>
    <col min="9149" max="9149" width="13.85546875" bestFit="1" customWidth="1"/>
    <col min="9150" max="9150" width="12" bestFit="1" customWidth="1"/>
    <col min="9151" max="9151" width="13.85546875" bestFit="1" customWidth="1"/>
    <col min="9152" max="9153" width="14.42578125" customWidth="1"/>
    <col min="9154" max="9154" width="10.140625" bestFit="1" customWidth="1"/>
    <col min="9155" max="9155" width="12.28515625" bestFit="1" customWidth="1"/>
    <col min="9156" max="9156" width="7.42578125" bestFit="1" customWidth="1"/>
    <col min="9157" max="9157" width="8.5703125" bestFit="1" customWidth="1"/>
    <col min="9158" max="9158" width="11.5703125" bestFit="1" customWidth="1"/>
    <col min="9159" max="9159" width="13.28515625" bestFit="1" customWidth="1"/>
    <col min="9160" max="9160" width="13.28515625" customWidth="1"/>
    <col min="9161" max="9161" width="13.140625" customWidth="1"/>
    <col min="9162" max="9162" width="12.7109375" bestFit="1" customWidth="1"/>
    <col min="9163" max="9163" width="13.28515625" bestFit="1" customWidth="1"/>
    <col min="9164" max="9166" width="13.28515625" customWidth="1"/>
    <col min="9167" max="9167" width="12.140625" bestFit="1" customWidth="1"/>
    <col min="9168" max="9168" width="12.7109375" bestFit="1" customWidth="1"/>
    <col min="9169" max="9169" width="11" customWidth="1"/>
    <col min="9170" max="9170" width="16.7109375" customWidth="1"/>
    <col min="9171" max="9171" width="17" customWidth="1"/>
    <col min="9172" max="9172" width="10.42578125" bestFit="1" customWidth="1"/>
    <col min="9216" max="9216" width="3.85546875" customWidth="1"/>
    <col min="9217" max="9217" width="15.28515625" bestFit="1" customWidth="1"/>
    <col min="9218" max="9218" width="12.28515625" customWidth="1"/>
    <col min="9219" max="9219" width="16.28515625" bestFit="1" customWidth="1"/>
    <col min="9220" max="9220" width="6.42578125" bestFit="1" customWidth="1"/>
    <col min="9221" max="9221" width="9.28515625" bestFit="1" customWidth="1"/>
    <col min="9222" max="9222" width="7.5703125" bestFit="1" customWidth="1"/>
    <col min="9223" max="9223" width="13.28515625" bestFit="1" customWidth="1"/>
    <col min="9224" max="9224" width="9.28515625" bestFit="1" customWidth="1"/>
    <col min="9225" max="9225" width="11.5703125" bestFit="1" customWidth="1"/>
    <col min="9226" max="9226" width="13.28515625" bestFit="1" customWidth="1"/>
    <col min="9227" max="9227" width="7.140625" bestFit="1" customWidth="1"/>
    <col min="9228" max="9228" width="12" bestFit="1" customWidth="1"/>
    <col min="9229" max="9229" width="13.28515625" bestFit="1" customWidth="1"/>
    <col min="9230" max="9230" width="7" bestFit="1" customWidth="1"/>
    <col min="9231" max="9231" width="12.7109375" bestFit="1" customWidth="1"/>
    <col min="9232" max="9232" width="11.5703125" bestFit="1" customWidth="1"/>
    <col min="9233" max="9233" width="10.5703125" bestFit="1" customWidth="1"/>
    <col min="9234" max="9235" width="15.7109375" bestFit="1" customWidth="1"/>
    <col min="9236" max="9236" width="11.5703125" bestFit="1" customWidth="1"/>
    <col min="9237" max="9237" width="7.7109375" bestFit="1" customWidth="1"/>
    <col min="9238" max="9238" width="15.140625" bestFit="1" customWidth="1"/>
    <col min="9239" max="9239" width="11.5703125" bestFit="1" customWidth="1"/>
    <col min="9240" max="9240" width="13.28515625" bestFit="1" customWidth="1"/>
    <col min="9241" max="9241" width="10.42578125" bestFit="1" customWidth="1"/>
    <col min="9242" max="9242" width="13.28515625" bestFit="1" customWidth="1"/>
    <col min="9243" max="9243" width="12.140625" bestFit="1" customWidth="1"/>
    <col min="9244" max="9244" width="14.42578125" bestFit="1" customWidth="1"/>
    <col min="9245" max="9245" width="13.28515625" bestFit="1" customWidth="1"/>
    <col min="9246" max="9246" width="11.5703125" bestFit="1" customWidth="1"/>
    <col min="9247" max="9247" width="7.7109375" bestFit="1" customWidth="1"/>
    <col min="9248" max="9249" width="14.42578125" bestFit="1" customWidth="1"/>
    <col min="9250" max="9250" width="11.5703125" bestFit="1" customWidth="1"/>
    <col min="9251" max="9251" width="7.7109375" bestFit="1" customWidth="1"/>
    <col min="9252" max="9252" width="13.5703125" customWidth="1"/>
    <col min="9253" max="9253" width="15.28515625" customWidth="1"/>
    <col min="9254" max="9254" width="14.5703125" customWidth="1"/>
    <col min="9255" max="9255" width="13.28515625" bestFit="1" customWidth="1"/>
    <col min="9256" max="9256" width="7.7109375" bestFit="1" customWidth="1"/>
    <col min="9257" max="9257" width="12.7109375" bestFit="1" customWidth="1"/>
    <col min="9258" max="9258" width="11.7109375" bestFit="1" customWidth="1"/>
    <col min="9259" max="9259" width="11.5703125" bestFit="1" customWidth="1"/>
    <col min="9260" max="9260" width="5.28515625" bestFit="1" customWidth="1"/>
    <col min="9261" max="9261" width="13.28515625" bestFit="1" customWidth="1"/>
    <col min="9262" max="9262" width="13.5703125" bestFit="1" customWidth="1"/>
    <col min="9263" max="9263" width="10.5703125" bestFit="1" customWidth="1"/>
    <col min="9264" max="9264" width="13.28515625" bestFit="1" customWidth="1"/>
    <col min="9265" max="9265" width="11.5703125" bestFit="1" customWidth="1"/>
    <col min="9266" max="9266" width="10.5703125" bestFit="1" customWidth="1"/>
    <col min="9267" max="9267" width="16.140625" bestFit="1" customWidth="1"/>
    <col min="9268" max="9269" width="11.28515625" bestFit="1" customWidth="1"/>
    <col min="9270" max="9270" width="13.28515625" bestFit="1" customWidth="1"/>
    <col min="9271" max="9271" width="7.7109375" bestFit="1" customWidth="1"/>
    <col min="9272" max="9275" width="9.140625" hidden="1" customWidth="1"/>
    <col min="9276" max="9276" width="10.42578125" bestFit="1" customWidth="1"/>
    <col min="9277" max="9277" width="10.5703125" bestFit="1" customWidth="1"/>
    <col min="9278" max="9278" width="10.42578125" bestFit="1" customWidth="1"/>
    <col min="9279" max="9279" width="10.5703125" bestFit="1" customWidth="1"/>
    <col min="9280" max="9280" width="9.5703125" bestFit="1" customWidth="1"/>
    <col min="9281" max="9281" width="11.5703125" bestFit="1" customWidth="1"/>
    <col min="9282" max="9282" width="10.42578125" bestFit="1" customWidth="1"/>
    <col min="9283" max="9283" width="10.85546875" customWidth="1"/>
    <col min="9284" max="9285" width="9.85546875" bestFit="1" customWidth="1"/>
    <col min="9286" max="9286" width="13.5703125" bestFit="1" customWidth="1"/>
    <col min="9287" max="9287" width="7.7109375" bestFit="1" customWidth="1"/>
    <col min="9288" max="9288" width="13.28515625" bestFit="1" customWidth="1"/>
    <col min="9289" max="9289" width="11.5703125" bestFit="1" customWidth="1"/>
    <col min="9290" max="9290" width="10.42578125" bestFit="1" customWidth="1"/>
    <col min="9291" max="9291" width="7.7109375" bestFit="1" customWidth="1"/>
    <col min="9292" max="9292" width="11.5703125" bestFit="1" customWidth="1"/>
    <col min="9293" max="9293" width="10.85546875" bestFit="1" customWidth="1"/>
    <col min="9294" max="9294" width="13.28515625" bestFit="1" customWidth="1"/>
    <col min="9295" max="9295" width="10.85546875" bestFit="1" customWidth="1"/>
    <col min="9296" max="9297" width="7.5703125" bestFit="1" customWidth="1"/>
    <col min="9298" max="9299" width="10.42578125" bestFit="1" customWidth="1"/>
    <col min="9300" max="9300" width="11.5703125" bestFit="1" customWidth="1"/>
    <col min="9301" max="9301" width="5.28515625" bestFit="1" customWidth="1"/>
    <col min="9302" max="9302" width="10.28515625" bestFit="1" customWidth="1"/>
    <col min="9303" max="9303" width="10.42578125" bestFit="1" customWidth="1"/>
    <col min="9304" max="9304" width="11.5703125" bestFit="1" customWidth="1"/>
    <col min="9305" max="9305" width="5.28515625" bestFit="1" customWidth="1"/>
    <col min="9306" max="9308" width="11.5703125" bestFit="1" customWidth="1"/>
    <col min="9309" max="9309" width="5.28515625" bestFit="1" customWidth="1"/>
    <col min="9310" max="9311" width="10.42578125" bestFit="1" customWidth="1"/>
    <col min="9312" max="9312" width="11.5703125" bestFit="1" customWidth="1"/>
    <col min="9313" max="9313" width="5.28515625" bestFit="1" customWidth="1"/>
    <col min="9314" max="9314" width="14.28515625" bestFit="1" customWidth="1"/>
    <col min="9315" max="9315" width="13" bestFit="1" customWidth="1"/>
    <col min="9316" max="9316" width="11.5703125" bestFit="1" customWidth="1"/>
    <col min="9317" max="9317" width="8.85546875" bestFit="1" customWidth="1"/>
    <col min="9318" max="9318" width="14.42578125" bestFit="1" customWidth="1"/>
    <col min="9319" max="9319" width="10.42578125" bestFit="1" customWidth="1"/>
    <col min="9320" max="9320" width="12.28515625" bestFit="1" customWidth="1"/>
    <col min="9321" max="9321" width="13.85546875" bestFit="1" customWidth="1"/>
    <col min="9322" max="9322" width="11.28515625" customWidth="1"/>
    <col min="9323" max="9323" width="11.5703125" customWidth="1"/>
    <col min="9324" max="9324" width="13.42578125" bestFit="1" customWidth="1"/>
    <col min="9325" max="9325" width="10.42578125" customWidth="1"/>
    <col min="9326" max="9326" width="13.85546875" bestFit="1" customWidth="1"/>
    <col min="9327" max="9327" width="15.42578125" bestFit="1" customWidth="1"/>
    <col min="9328" max="9328" width="12.28515625" bestFit="1" customWidth="1"/>
    <col min="9329" max="9329" width="12.7109375" customWidth="1"/>
    <col min="9330" max="9330" width="10.7109375" bestFit="1" customWidth="1"/>
    <col min="9331" max="9331" width="9.85546875" customWidth="1"/>
    <col min="9332" max="9333" width="10.140625" bestFit="1" customWidth="1"/>
    <col min="9334" max="9334" width="7.5703125" bestFit="1" customWidth="1"/>
    <col min="9335" max="9335" width="9.42578125" bestFit="1" customWidth="1"/>
    <col min="9336" max="9336" width="14.5703125" bestFit="1" customWidth="1"/>
    <col min="9337" max="9337" width="14.85546875" customWidth="1"/>
    <col min="9338" max="9338" width="15.140625" bestFit="1" customWidth="1"/>
    <col min="9339" max="9339" width="12.140625" bestFit="1" customWidth="1"/>
    <col min="9340" max="9340" width="14.85546875" bestFit="1" customWidth="1"/>
    <col min="9341" max="9341" width="12.28515625" bestFit="1" customWidth="1"/>
    <col min="9342" max="9350" width="9.140625" hidden="1" customWidth="1"/>
    <col min="9351" max="9351" width="5.28515625" bestFit="1" customWidth="1"/>
    <col min="9352" max="9357" width="11.5703125" bestFit="1" customWidth="1"/>
    <col min="9358" max="9358" width="11.28515625" bestFit="1" customWidth="1"/>
    <col min="9359" max="9359" width="10.140625" bestFit="1" customWidth="1"/>
    <col min="9360" max="9360" width="11.5703125" bestFit="1" customWidth="1"/>
    <col min="9361" max="9361" width="16.140625" customWidth="1"/>
    <col min="9362" max="9362" width="13.42578125" customWidth="1"/>
    <col min="9363" max="9363" width="10.140625" bestFit="1" customWidth="1"/>
    <col min="9364" max="9364" width="12.85546875" bestFit="1" customWidth="1"/>
    <col min="9365" max="9365" width="12.28515625" bestFit="1" customWidth="1"/>
    <col min="9366" max="9366" width="11.28515625" bestFit="1" customWidth="1"/>
    <col min="9367" max="9367" width="11.5703125" bestFit="1" customWidth="1"/>
    <col min="9368" max="9368" width="10.85546875" bestFit="1" customWidth="1"/>
    <col min="9369" max="9369" width="11.28515625" bestFit="1" customWidth="1"/>
    <col min="9370" max="9370" width="10.140625" bestFit="1" customWidth="1"/>
    <col min="9371" max="9371" width="13.28515625" bestFit="1" customWidth="1"/>
    <col min="9372" max="9373" width="12.7109375" bestFit="1" customWidth="1"/>
    <col min="9374" max="9374" width="11" bestFit="1" customWidth="1"/>
    <col min="9375" max="9375" width="11.28515625" bestFit="1" customWidth="1"/>
    <col min="9376" max="9376" width="11.5703125" bestFit="1" customWidth="1"/>
    <col min="9377" max="9377" width="12.28515625" bestFit="1" customWidth="1"/>
    <col min="9378" max="9378" width="15.140625" bestFit="1" customWidth="1"/>
    <col min="9379" max="9379" width="14.42578125" bestFit="1" customWidth="1"/>
    <col min="9380" max="9380" width="12.28515625" bestFit="1" customWidth="1"/>
    <col min="9381" max="9381" width="15.140625" bestFit="1" customWidth="1"/>
    <col min="9382" max="9382" width="14.42578125" bestFit="1" customWidth="1"/>
    <col min="9383" max="9383" width="12.28515625" bestFit="1" customWidth="1"/>
    <col min="9384" max="9384" width="14.42578125" bestFit="1" customWidth="1"/>
    <col min="9385" max="9385" width="11.28515625" bestFit="1" customWidth="1"/>
    <col min="9386" max="9386" width="12.28515625" bestFit="1" customWidth="1"/>
    <col min="9387" max="9387" width="13" bestFit="1" customWidth="1"/>
    <col min="9388" max="9388" width="15.140625" bestFit="1" customWidth="1"/>
    <col min="9389" max="9389" width="12.28515625" bestFit="1" customWidth="1"/>
    <col min="9390" max="9390" width="13.85546875" bestFit="1" customWidth="1"/>
    <col min="9391" max="9391" width="11.28515625" bestFit="1" customWidth="1"/>
    <col min="9392" max="9392" width="12.28515625" bestFit="1" customWidth="1"/>
    <col min="9393" max="9393" width="13.85546875" bestFit="1" customWidth="1"/>
    <col min="9394" max="9395" width="15.140625" bestFit="1" customWidth="1"/>
    <col min="9396" max="9396" width="12.28515625" bestFit="1" customWidth="1"/>
    <col min="9397" max="9397" width="5.7109375" bestFit="1" customWidth="1"/>
    <col min="9398" max="9398" width="8.5703125" bestFit="1" customWidth="1"/>
    <col min="9399" max="9399" width="5.5703125" bestFit="1" customWidth="1"/>
    <col min="9400" max="9400" width="14.42578125" bestFit="1" customWidth="1"/>
    <col min="9401" max="9401" width="11.28515625" bestFit="1" customWidth="1"/>
    <col min="9402" max="9403" width="12.28515625" bestFit="1" customWidth="1"/>
    <col min="9404" max="9404" width="11.28515625" bestFit="1" customWidth="1"/>
    <col min="9405" max="9405" width="13.85546875" bestFit="1" customWidth="1"/>
    <col min="9406" max="9406" width="12" bestFit="1" customWidth="1"/>
    <col min="9407" max="9407" width="13.85546875" bestFit="1" customWidth="1"/>
    <col min="9408" max="9409" width="14.42578125" customWidth="1"/>
    <col min="9410" max="9410" width="10.140625" bestFit="1" customWidth="1"/>
    <col min="9411" max="9411" width="12.28515625" bestFit="1" customWidth="1"/>
    <col min="9412" max="9412" width="7.42578125" bestFit="1" customWidth="1"/>
    <col min="9413" max="9413" width="8.5703125" bestFit="1" customWidth="1"/>
    <col min="9414" max="9414" width="11.5703125" bestFit="1" customWidth="1"/>
    <col min="9415" max="9415" width="13.28515625" bestFit="1" customWidth="1"/>
    <col min="9416" max="9416" width="13.28515625" customWidth="1"/>
    <col min="9417" max="9417" width="13.140625" customWidth="1"/>
    <col min="9418" max="9418" width="12.7109375" bestFit="1" customWidth="1"/>
    <col min="9419" max="9419" width="13.28515625" bestFit="1" customWidth="1"/>
    <col min="9420" max="9422" width="13.28515625" customWidth="1"/>
    <col min="9423" max="9423" width="12.140625" bestFit="1" customWidth="1"/>
    <col min="9424" max="9424" width="12.7109375" bestFit="1" customWidth="1"/>
    <col min="9425" max="9425" width="11" customWidth="1"/>
    <col min="9426" max="9426" width="16.7109375" customWidth="1"/>
    <col min="9427" max="9427" width="17" customWidth="1"/>
    <col min="9428" max="9428" width="10.42578125" bestFit="1" customWidth="1"/>
    <col min="9472" max="9472" width="3.85546875" customWidth="1"/>
    <col min="9473" max="9473" width="15.28515625" bestFit="1" customWidth="1"/>
    <col min="9474" max="9474" width="12.28515625" customWidth="1"/>
    <col min="9475" max="9475" width="16.28515625" bestFit="1" customWidth="1"/>
    <col min="9476" max="9476" width="6.42578125" bestFit="1" customWidth="1"/>
    <col min="9477" max="9477" width="9.28515625" bestFit="1" customWidth="1"/>
    <col min="9478" max="9478" width="7.5703125" bestFit="1" customWidth="1"/>
    <col min="9479" max="9479" width="13.28515625" bestFit="1" customWidth="1"/>
    <col min="9480" max="9480" width="9.28515625" bestFit="1" customWidth="1"/>
    <col min="9481" max="9481" width="11.5703125" bestFit="1" customWidth="1"/>
    <col min="9482" max="9482" width="13.28515625" bestFit="1" customWidth="1"/>
    <col min="9483" max="9483" width="7.140625" bestFit="1" customWidth="1"/>
    <col min="9484" max="9484" width="12" bestFit="1" customWidth="1"/>
    <col min="9485" max="9485" width="13.28515625" bestFit="1" customWidth="1"/>
    <col min="9486" max="9486" width="7" bestFit="1" customWidth="1"/>
    <col min="9487" max="9487" width="12.7109375" bestFit="1" customWidth="1"/>
    <col min="9488" max="9488" width="11.5703125" bestFit="1" customWidth="1"/>
    <col min="9489" max="9489" width="10.5703125" bestFit="1" customWidth="1"/>
    <col min="9490" max="9491" width="15.7109375" bestFit="1" customWidth="1"/>
    <col min="9492" max="9492" width="11.5703125" bestFit="1" customWidth="1"/>
    <col min="9493" max="9493" width="7.7109375" bestFit="1" customWidth="1"/>
    <col min="9494" max="9494" width="15.140625" bestFit="1" customWidth="1"/>
    <col min="9495" max="9495" width="11.5703125" bestFit="1" customWidth="1"/>
    <col min="9496" max="9496" width="13.28515625" bestFit="1" customWidth="1"/>
    <col min="9497" max="9497" width="10.42578125" bestFit="1" customWidth="1"/>
    <col min="9498" max="9498" width="13.28515625" bestFit="1" customWidth="1"/>
    <col min="9499" max="9499" width="12.140625" bestFit="1" customWidth="1"/>
    <col min="9500" max="9500" width="14.42578125" bestFit="1" customWidth="1"/>
    <col min="9501" max="9501" width="13.28515625" bestFit="1" customWidth="1"/>
    <col min="9502" max="9502" width="11.5703125" bestFit="1" customWidth="1"/>
    <col min="9503" max="9503" width="7.7109375" bestFit="1" customWidth="1"/>
    <col min="9504" max="9505" width="14.42578125" bestFit="1" customWidth="1"/>
    <col min="9506" max="9506" width="11.5703125" bestFit="1" customWidth="1"/>
    <col min="9507" max="9507" width="7.7109375" bestFit="1" customWidth="1"/>
    <col min="9508" max="9508" width="13.5703125" customWidth="1"/>
    <col min="9509" max="9509" width="15.28515625" customWidth="1"/>
    <col min="9510" max="9510" width="14.5703125" customWidth="1"/>
    <col min="9511" max="9511" width="13.28515625" bestFit="1" customWidth="1"/>
    <col min="9512" max="9512" width="7.7109375" bestFit="1" customWidth="1"/>
    <col min="9513" max="9513" width="12.7109375" bestFit="1" customWidth="1"/>
    <col min="9514" max="9514" width="11.7109375" bestFit="1" customWidth="1"/>
    <col min="9515" max="9515" width="11.5703125" bestFit="1" customWidth="1"/>
    <col min="9516" max="9516" width="5.28515625" bestFit="1" customWidth="1"/>
    <col min="9517" max="9517" width="13.28515625" bestFit="1" customWidth="1"/>
    <col min="9518" max="9518" width="13.5703125" bestFit="1" customWidth="1"/>
    <col min="9519" max="9519" width="10.5703125" bestFit="1" customWidth="1"/>
    <col min="9520" max="9520" width="13.28515625" bestFit="1" customWidth="1"/>
    <col min="9521" max="9521" width="11.5703125" bestFit="1" customWidth="1"/>
    <col min="9522" max="9522" width="10.5703125" bestFit="1" customWidth="1"/>
    <col min="9523" max="9523" width="16.140625" bestFit="1" customWidth="1"/>
    <col min="9524" max="9525" width="11.28515625" bestFit="1" customWidth="1"/>
    <col min="9526" max="9526" width="13.28515625" bestFit="1" customWidth="1"/>
    <col min="9527" max="9527" width="7.7109375" bestFit="1" customWidth="1"/>
    <col min="9528" max="9531" width="9.140625" hidden="1" customWidth="1"/>
    <col min="9532" max="9532" width="10.42578125" bestFit="1" customWidth="1"/>
    <col min="9533" max="9533" width="10.5703125" bestFit="1" customWidth="1"/>
    <col min="9534" max="9534" width="10.42578125" bestFit="1" customWidth="1"/>
    <col min="9535" max="9535" width="10.5703125" bestFit="1" customWidth="1"/>
    <col min="9536" max="9536" width="9.5703125" bestFit="1" customWidth="1"/>
    <col min="9537" max="9537" width="11.5703125" bestFit="1" customWidth="1"/>
    <col min="9538" max="9538" width="10.42578125" bestFit="1" customWidth="1"/>
    <col min="9539" max="9539" width="10.85546875" customWidth="1"/>
    <col min="9540" max="9541" width="9.85546875" bestFit="1" customWidth="1"/>
    <col min="9542" max="9542" width="13.5703125" bestFit="1" customWidth="1"/>
    <col min="9543" max="9543" width="7.7109375" bestFit="1" customWidth="1"/>
    <col min="9544" max="9544" width="13.28515625" bestFit="1" customWidth="1"/>
    <col min="9545" max="9545" width="11.5703125" bestFit="1" customWidth="1"/>
    <col min="9546" max="9546" width="10.42578125" bestFit="1" customWidth="1"/>
    <col min="9547" max="9547" width="7.7109375" bestFit="1" customWidth="1"/>
    <col min="9548" max="9548" width="11.5703125" bestFit="1" customWidth="1"/>
    <col min="9549" max="9549" width="10.85546875" bestFit="1" customWidth="1"/>
    <col min="9550" max="9550" width="13.28515625" bestFit="1" customWidth="1"/>
    <col min="9551" max="9551" width="10.85546875" bestFit="1" customWidth="1"/>
    <col min="9552" max="9553" width="7.5703125" bestFit="1" customWidth="1"/>
    <col min="9554" max="9555" width="10.42578125" bestFit="1" customWidth="1"/>
    <col min="9556" max="9556" width="11.5703125" bestFit="1" customWidth="1"/>
    <col min="9557" max="9557" width="5.28515625" bestFit="1" customWidth="1"/>
    <col min="9558" max="9558" width="10.28515625" bestFit="1" customWidth="1"/>
    <col min="9559" max="9559" width="10.42578125" bestFit="1" customWidth="1"/>
    <col min="9560" max="9560" width="11.5703125" bestFit="1" customWidth="1"/>
    <col min="9561" max="9561" width="5.28515625" bestFit="1" customWidth="1"/>
    <col min="9562" max="9564" width="11.5703125" bestFit="1" customWidth="1"/>
    <col min="9565" max="9565" width="5.28515625" bestFit="1" customWidth="1"/>
    <col min="9566" max="9567" width="10.42578125" bestFit="1" customWidth="1"/>
    <col min="9568" max="9568" width="11.5703125" bestFit="1" customWidth="1"/>
    <col min="9569" max="9569" width="5.28515625" bestFit="1" customWidth="1"/>
    <col min="9570" max="9570" width="14.28515625" bestFit="1" customWidth="1"/>
    <col min="9571" max="9571" width="13" bestFit="1" customWidth="1"/>
    <col min="9572" max="9572" width="11.5703125" bestFit="1" customWidth="1"/>
    <col min="9573" max="9573" width="8.85546875" bestFit="1" customWidth="1"/>
    <col min="9574" max="9574" width="14.42578125" bestFit="1" customWidth="1"/>
    <col min="9575" max="9575" width="10.42578125" bestFit="1" customWidth="1"/>
    <col min="9576" max="9576" width="12.28515625" bestFit="1" customWidth="1"/>
    <col min="9577" max="9577" width="13.85546875" bestFit="1" customWidth="1"/>
    <col min="9578" max="9578" width="11.28515625" customWidth="1"/>
    <col min="9579" max="9579" width="11.5703125" customWidth="1"/>
    <col min="9580" max="9580" width="13.42578125" bestFit="1" customWidth="1"/>
    <col min="9581" max="9581" width="10.42578125" customWidth="1"/>
    <col min="9582" max="9582" width="13.85546875" bestFit="1" customWidth="1"/>
    <col min="9583" max="9583" width="15.42578125" bestFit="1" customWidth="1"/>
    <col min="9584" max="9584" width="12.28515625" bestFit="1" customWidth="1"/>
    <col min="9585" max="9585" width="12.7109375" customWidth="1"/>
    <col min="9586" max="9586" width="10.7109375" bestFit="1" customWidth="1"/>
    <col min="9587" max="9587" width="9.85546875" customWidth="1"/>
    <col min="9588" max="9589" width="10.140625" bestFit="1" customWidth="1"/>
    <col min="9590" max="9590" width="7.5703125" bestFit="1" customWidth="1"/>
    <col min="9591" max="9591" width="9.42578125" bestFit="1" customWidth="1"/>
    <col min="9592" max="9592" width="14.5703125" bestFit="1" customWidth="1"/>
    <col min="9593" max="9593" width="14.85546875" customWidth="1"/>
    <col min="9594" max="9594" width="15.140625" bestFit="1" customWidth="1"/>
    <col min="9595" max="9595" width="12.140625" bestFit="1" customWidth="1"/>
    <col min="9596" max="9596" width="14.85546875" bestFit="1" customWidth="1"/>
    <col min="9597" max="9597" width="12.28515625" bestFit="1" customWidth="1"/>
    <col min="9598" max="9606" width="9.140625" hidden="1" customWidth="1"/>
    <col min="9607" max="9607" width="5.28515625" bestFit="1" customWidth="1"/>
    <col min="9608" max="9613" width="11.5703125" bestFit="1" customWidth="1"/>
    <col min="9614" max="9614" width="11.28515625" bestFit="1" customWidth="1"/>
    <col min="9615" max="9615" width="10.140625" bestFit="1" customWidth="1"/>
    <col min="9616" max="9616" width="11.5703125" bestFit="1" customWidth="1"/>
    <col min="9617" max="9617" width="16.140625" customWidth="1"/>
    <col min="9618" max="9618" width="13.42578125" customWidth="1"/>
    <col min="9619" max="9619" width="10.140625" bestFit="1" customWidth="1"/>
    <col min="9620" max="9620" width="12.85546875" bestFit="1" customWidth="1"/>
    <col min="9621" max="9621" width="12.28515625" bestFit="1" customWidth="1"/>
    <col min="9622" max="9622" width="11.28515625" bestFit="1" customWidth="1"/>
    <col min="9623" max="9623" width="11.5703125" bestFit="1" customWidth="1"/>
    <col min="9624" max="9624" width="10.85546875" bestFit="1" customWidth="1"/>
    <col min="9625" max="9625" width="11.28515625" bestFit="1" customWidth="1"/>
    <col min="9626" max="9626" width="10.140625" bestFit="1" customWidth="1"/>
    <col min="9627" max="9627" width="13.28515625" bestFit="1" customWidth="1"/>
    <col min="9628" max="9629" width="12.7109375" bestFit="1" customWidth="1"/>
    <col min="9630" max="9630" width="11" bestFit="1" customWidth="1"/>
    <col min="9631" max="9631" width="11.28515625" bestFit="1" customWidth="1"/>
    <col min="9632" max="9632" width="11.5703125" bestFit="1" customWidth="1"/>
    <col min="9633" max="9633" width="12.28515625" bestFit="1" customWidth="1"/>
    <col min="9634" max="9634" width="15.140625" bestFit="1" customWidth="1"/>
    <col min="9635" max="9635" width="14.42578125" bestFit="1" customWidth="1"/>
    <col min="9636" max="9636" width="12.28515625" bestFit="1" customWidth="1"/>
    <col min="9637" max="9637" width="15.140625" bestFit="1" customWidth="1"/>
    <col min="9638" max="9638" width="14.42578125" bestFit="1" customWidth="1"/>
    <col min="9639" max="9639" width="12.28515625" bestFit="1" customWidth="1"/>
    <col min="9640" max="9640" width="14.42578125" bestFit="1" customWidth="1"/>
    <col min="9641" max="9641" width="11.28515625" bestFit="1" customWidth="1"/>
    <col min="9642" max="9642" width="12.28515625" bestFit="1" customWidth="1"/>
    <col min="9643" max="9643" width="13" bestFit="1" customWidth="1"/>
    <col min="9644" max="9644" width="15.140625" bestFit="1" customWidth="1"/>
    <col min="9645" max="9645" width="12.28515625" bestFit="1" customWidth="1"/>
    <col min="9646" max="9646" width="13.85546875" bestFit="1" customWidth="1"/>
    <col min="9647" max="9647" width="11.28515625" bestFit="1" customWidth="1"/>
    <col min="9648" max="9648" width="12.28515625" bestFit="1" customWidth="1"/>
    <col min="9649" max="9649" width="13.85546875" bestFit="1" customWidth="1"/>
    <col min="9650" max="9651" width="15.140625" bestFit="1" customWidth="1"/>
    <col min="9652" max="9652" width="12.28515625" bestFit="1" customWidth="1"/>
    <col min="9653" max="9653" width="5.7109375" bestFit="1" customWidth="1"/>
    <col min="9654" max="9654" width="8.5703125" bestFit="1" customWidth="1"/>
    <col min="9655" max="9655" width="5.5703125" bestFit="1" customWidth="1"/>
    <col min="9656" max="9656" width="14.42578125" bestFit="1" customWidth="1"/>
    <col min="9657" max="9657" width="11.28515625" bestFit="1" customWidth="1"/>
    <col min="9658" max="9659" width="12.28515625" bestFit="1" customWidth="1"/>
    <col min="9660" max="9660" width="11.28515625" bestFit="1" customWidth="1"/>
    <col min="9661" max="9661" width="13.85546875" bestFit="1" customWidth="1"/>
    <col min="9662" max="9662" width="12" bestFit="1" customWidth="1"/>
    <col min="9663" max="9663" width="13.85546875" bestFit="1" customWidth="1"/>
    <col min="9664" max="9665" width="14.42578125" customWidth="1"/>
    <col min="9666" max="9666" width="10.140625" bestFit="1" customWidth="1"/>
    <col min="9667" max="9667" width="12.28515625" bestFit="1" customWidth="1"/>
    <col min="9668" max="9668" width="7.42578125" bestFit="1" customWidth="1"/>
    <col min="9669" max="9669" width="8.5703125" bestFit="1" customWidth="1"/>
    <col min="9670" max="9670" width="11.5703125" bestFit="1" customWidth="1"/>
    <col min="9671" max="9671" width="13.28515625" bestFit="1" customWidth="1"/>
    <col min="9672" max="9672" width="13.28515625" customWidth="1"/>
    <col min="9673" max="9673" width="13.140625" customWidth="1"/>
    <col min="9674" max="9674" width="12.7109375" bestFit="1" customWidth="1"/>
    <col min="9675" max="9675" width="13.28515625" bestFit="1" customWidth="1"/>
    <col min="9676" max="9678" width="13.28515625" customWidth="1"/>
    <col min="9679" max="9679" width="12.140625" bestFit="1" customWidth="1"/>
    <col min="9680" max="9680" width="12.7109375" bestFit="1" customWidth="1"/>
    <col min="9681" max="9681" width="11" customWidth="1"/>
    <col min="9682" max="9682" width="16.7109375" customWidth="1"/>
    <col min="9683" max="9683" width="17" customWidth="1"/>
    <col min="9684" max="9684" width="10.42578125" bestFit="1" customWidth="1"/>
    <col min="9728" max="9728" width="3.85546875" customWidth="1"/>
    <col min="9729" max="9729" width="15.28515625" bestFit="1" customWidth="1"/>
    <col min="9730" max="9730" width="12.28515625" customWidth="1"/>
    <col min="9731" max="9731" width="16.28515625" bestFit="1" customWidth="1"/>
    <col min="9732" max="9732" width="6.42578125" bestFit="1" customWidth="1"/>
    <col min="9733" max="9733" width="9.28515625" bestFit="1" customWidth="1"/>
    <col min="9734" max="9734" width="7.5703125" bestFit="1" customWidth="1"/>
    <col min="9735" max="9735" width="13.28515625" bestFit="1" customWidth="1"/>
    <col min="9736" max="9736" width="9.28515625" bestFit="1" customWidth="1"/>
    <col min="9737" max="9737" width="11.5703125" bestFit="1" customWidth="1"/>
    <col min="9738" max="9738" width="13.28515625" bestFit="1" customWidth="1"/>
    <col min="9739" max="9739" width="7.140625" bestFit="1" customWidth="1"/>
    <col min="9740" max="9740" width="12" bestFit="1" customWidth="1"/>
    <col min="9741" max="9741" width="13.28515625" bestFit="1" customWidth="1"/>
    <col min="9742" max="9742" width="7" bestFit="1" customWidth="1"/>
    <col min="9743" max="9743" width="12.7109375" bestFit="1" customWidth="1"/>
    <col min="9744" max="9744" width="11.5703125" bestFit="1" customWidth="1"/>
    <col min="9745" max="9745" width="10.5703125" bestFit="1" customWidth="1"/>
    <col min="9746" max="9747" width="15.7109375" bestFit="1" customWidth="1"/>
    <col min="9748" max="9748" width="11.5703125" bestFit="1" customWidth="1"/>
    <col min="9749" max="9749" width="7.7109375" bestFit="1" customWidth="1"/>
    <col min="9750" max="9750" width="15.140625" bestFit="1" customWidth="1"/>
    <col min="9751" max="9751" width="11.5703125" bestFit="1" customWidth="1"/>
    <col min="9752" max="9752" width="13.28515625" bestFit="1" customWidth="1"/>
    <col min="9753" max="9753" width="10.42578125" bestFit="1" customWidth="1"/>
    <col min="9754" max="9754" width="13.28515625" bestFit="1" customWidth="1"/>
    <col min="9755" max="9755" width="12.140625" bestFit="1" customWidth="1"/>
    <col min="9756" max="9756" width="14.42578125" bestFit="1" customWidth="1"/>
    <col min="9757" max="9757" width="13.28515625" bestFit="1" customWidth="1"/>
    <col min="9758" max="9758" width="11.5703125" bestFit="1" customWidth="1"/>
    <col min="9759" max="9759" width="7.7109375" bestFit="1" customWidth="1"/>
    <col min="9760" max="9761" width="14.42578125" bestFit="1" customWidth="1"/>
    <col min="9762" max="9762" width="11.5703125" bestFit="1" customWidth="1"/>
    <col min="9763" max="9763" width="7.7109375" bestFit="1" customWidth="1"/>
    <col min="9764" max="9764" width="13.5703125" customWidth="1"/>
    <col min="9765" max="9765" width="15.28515625" customWidth="1"/>
    <col min="9766" max="9766" width="14.5703125" customWidth="1"/>
    <col min="9767" max="9767" width="13.28515625" bestFit="1" customWidth="1"/>
    <col min="9768" max="9768" width="7.7109375" bestFit="1" customWidth="1"/>
    <col min="9769" max="9769" width="12.7109375" bestFit="1" customWidth="1"/>
    <col min="9770" max="9770" width="11.7109375" bestFit="1" customWidth="1"/>
    <col min="9771" max="9771" width="11.5703125" bestFit="1" customWidth="1"/>
    <col min="9772" max="9772" width="5.28515625" bestFit="1" customWidth="1"/>
    <col min="9773" max="9773" width="13.28515625" bestFit="1" customWidth="1"/>
    <col min="9774" max="9774" width="13.5703125" bestFit="1" customWidth="1"/>
    <col min="9775" max="9775" width="10.5703125" bestFit="1" customWidth="1"/>
    <col min="9776" max="9776" width="13.28515625" bestFit="1" customWidth="1"/>
    <col min="9777" max="9777" width="11.5703125" bestFit="1" customWidth="1"/>
    <col min="9778" max="9778" width="10.5703125" bestFit="1" customWidth="1"/>
    <col min="9779" max="9779" width="16.140625" bestFit="1" customWidth="1"/>
    <col min="9780" max="9781" width="11.28515625" bestFit="1" customWidth="1"/>
    <col min="9782" max="9782" width="13.28515625" bestFit="1" customWidth="1"/>
    <col min="9783" max="9783" width="7.7109375" bestFit="1" customWidth="1"/>
    <col min="9784" max="9787" width="9.140625" hidden="1" customWidth="1"/>
    <col min="9788" max="9788" width="10.42578125" bestFit="1" customWidth="1"/>
    <col min="9789" max="9789" width="10.5703125" bestFit="1" customWidth="1"/>
    <col min="9790" max="9790" width="10.42578125" bestFit="1" customWidth="1"/>
    <col min="9791" max="9791" width="10.5703125" bestFit="1" customWidth="1"/>
    <col min="9792" max="9792" width="9.5703125" bestFit="1" customWidth="1"/>
    <col min="9793" max="9793" width="11.5703125" bestFit="1" customWidth="1"/>
    <col min="9794" max="9794" width="10.42578125" bestFit="1" customWidth="1"/>
    <col min="9795" max="9795" width="10.85546875" customWidth="1"/>
    <col min="9796" max="9797" width="9.85546875" bestFit="1" customWidth="1"/>
    <col min="9798" max="9798" width="13.5703125" bestFit="1" customWidth="1"/>
    <col min="9799" max="9799" width="7.7109375" bestFit="1" customWidth="1"/>
    <col min="9800" max="9800" width="13.28515625" bestFit="1" customWidth="1"/>
    <col min="9801" max="9801" width="11.5703125" bestFit="1" customWidth="1"/>
    <col min="9802" max="9802" width="10.42578125" bestFit="1" customWidth="1"/>
    <col min="9803" max="9803" width="7.7109375" bestFit="1" customWidth="1"/>
    <col min="9804" max="9804" width="11.5703125" bestFit="1" customWidth="1"/>
    <col min="9805" max="9805" width="10.85546875" bestFit="1" customWidth="1"/>
    <col min="9806" max="9806" width="13.28515625" bestFit="1" customWidth="1"/>
    <col min="9807" max="9807" width="10.85546875" bestFit="1" customWidth="1"/>
    <col min="9808" max="9809" width="7.5703125" bestFit="1" customWidth="1"/>
    <col min="9810" max="9811" width="10.42578125" bestFit="1" customWidth="1"/>
    <col min="9812" max="9812" width="11.5703125" bestFit="1" customWidth="1"/>
    <col min="9813" max="9813" width="5.28515625" bestFit="1" customWidth="1"/>
    <col min="9814" max="9814" width="10.28515625" bestFit="1" customWidth="1"/>
    <col min="9815" max="9815" width="10.42578125" bestFit="1" customWidth="1"/>
    <col min="9816" max="9816" width="11.5703125" bestFit="1" customWidth="1"/>
    <col min="9817" max="9817" width="5.28515625" bestFit="1" customWidth="1"/>
    <col min="9818" max="9820" width="11.5703125" bestFit="1" customWidth="1"/>
    <col min="9821" max="9821" width="5.28515625" bestFit="1" customWidth="1"/>
    <col min="9822" max="9823" width="10.42578125" bestFit="1" customWidth="1"/>
    <col min="9824" max="9824" width="11.5703125" bestFit="1" customWidth="1"/>
    <col min="9825" max="9825" width="5.28515625" bestFit="1" customWidth="1"/>
    <col min="9826" max="9826" width="14.28515625" bestFit="1" customWidth="1"/>
    <col min="9827" max="9827" width="13" bestFit="1" customWidth="1"/>
    <col min="9828" max="9828" width="11.5703125" bestFit="1" customWidth="1"/>
    <col min="9829" max="9829" width="8.85546875" bestFit="1" customWidth="1"/>
    <col min="9830" max="9830" width="14.42578125" bestFit="1" customWidth="1"/>
    <col min="9831" max="9831" width="10.42578125" bestFit="1" customWidth="1"/>
    <col min="9832" max="9832" width="12.28515625" bestFit="1" customWidth="1"/>
    <col min="9833" max="9833" width="13.85546875" bestFit="1" customWidth="1"/>
    <col min="9834" max="9834" width="11.28515625" customWidth="1"/>
    <col min="9835" max="9835" width="11.5703125" customWidth="1"/>
    <col min="9836" max="9836" width="13.42578125" bestFit="1" customWidth="1"/>
    <col min="9837" max="9837" width="10.42578125" customWidth="1"/>
    <col min="9838" max="9838" width="13.85546875" bestFit="1" customWidth="1"/>
    <col min="9839" max="9839" width="15.42578125" bestFit="1" customWidth="1"/>
    <col min="9840" max="9840" width="12.28515625" bestFit="1" customWidth="1"/>
    <col min="9841" max="9841" width="12.7109375" customWidth="1"/>
    <col min="9842" max="9842" width="10.7109375" bestFit="1" customWidth="1"/>
    <col min="9843" max="9843" width="9.85546875" customWidth="1"/>
    <col min="9844" max="9845" width="10.140625" bestFit="1" customWidth="1"/>
    <col min="9846" max="9846" width="7.5703125" bestFit="1" customWidth="1"/>
    <col min="9847" max="9847" width="9.42578125" bestFit="1" customWidth="1"/>
    <col min="9848" max="9848" width="14.5703125" bestFit="1" customWidth="1"/>
    <col min="9849" max="9849" width="14.85546875" customWidth="1"/>
    <col min="9850" max="9850" width="15.140625" bestFit="1" customWidth="1"/>
    <col min="9851" max="9851" width="12.140625" bestFit="1" customWidth="1"/>
    <col min="9852" max="9852" width="14.85546875" bestFit="1" customWidth="1"/>
    <col min="9853" max="9853" width="12.28515625" bestFit="1" customWidth="1"/>
    <col min="9854" max="9862" width="9.140625" hidden="1" customWidth="1"/>
    <col min="9863" max="9863" width="5.28515625" bestFit="1" customWidth="1"/>
    <col min="9864" max="9869" width="11.5703125" bestFit="1" customWidth="1"/>
    <col min="9870" max="9870" width="11.28515625" bestFit="1" customWidth="1"/>
    <col min="9871" max="9871" width="10.140625" bestFit="1" customWidth="1"/>
    <col min="9872" max="9872" width="11.5703125" bestFit="1" customWidth="1"/>
    <col min="9873" max="9873" width="16.140625" customWidth="1"/>
    <col min="9874" max="9874" width="13.42578125" customWidth="1"/>
    <col min="9875" max="9875" width="10.140625" bestFit="1" customWidth="1"/>
    <col min="9876" max="9876" width="12.85546875" bestFit="1" customWidth="1"/>
    <col min="9877" max="9877" width="12.28515625" bestFit="1" customWidth="1"/>
    <col min="9878" max="9878" width="11.28515625" bestFit="1" customWidth="1"/>
    <col min="9879" max="9879" width="11.5703125" bestFit="1" customWidth="1"/>
    <col min="9880" max="9880" width="10.85546875" bestFit="1" customWidth="1"/>
    <col min="9881" max="9881" width="11.28515625" bestFit="1" customWidth="1"/>
    <col min="9882" max="9882" width="10.140625" bestFit="1" customWidth="1"/>
    <col min="9883" max="9883" width="13.28515625" bestFit="1" customWidth="1"/>
    <col min="9884" max="9885" width="12.7109375" bestFit="1" customWidth="1"/>
    <col min="9886" max="9886" width="11" bestFit="1" customWidth="1"/>
    <col min="9887" max="9887" width="11.28515625" bestFit="1" customWidth="1"/>
    <col min="9888" max="9888" width="11.5703125" bestFit="1" customWidth="1"/>
    <col min="9889" max="9889" width="12.28515625" bestFit="1" customWidth="1"/>
    <col min="9890" max="9890" width="15.140625" bestFit="1" customWidth="1"/>
    <col min="9891" max="9891" width="14.42578125" bestFit="1" customWidth="1"/>
    <col min="9892" max="9892" width="12.28515625" bestFit="1" customWidth="1"/>
    <col min="9893" max="9893" width="15.140625" bestFit="1" customWidth="1"/>
    <col min="9894" max="9894" width="14.42578125" bestFit="1" customWidth="1"/>
    <col min="9895" max="9895" width="12.28515625" bestFit="1" customWidth="1"/>
    <col min="9896" max="9896" width="14.42578125" bestFit="1" customWidth="1"/>
    <col min="9897" max="9897" width="11.28515625" bestFit="1" customWidth="1"/>
    <col min="9898" max="9898" width="12.28515625" bestFit="1" customWidth="1"/>
    <col min="9899" max="9899" width="13" bestFit="1" customWidth="1"/>
    <col min="9900" max="9900" width="15.140625" bestFit="1" customWidth="1"/>
    <col min="9901" max="9901" width="12.28515625" bestFit="1" customWidth="1"/>
    <col min="9902" max="9902" width="13.85546875" bestFit="1" customWidth="1"/>
    <col min="9903" max="9903" width="11.28515625" bestFit="1" customWidth="1"/>
    <col min="9904" max="9904" width="12.28515625" bestFit="1" customWidth="1"/>
    <col min="9905" max="9905" width="13.85546875" bestFit="1" customWidth="1"/>
    <col min="9906" max="9907" width="15.140625" bestFit="1" customWidth="1"/>
    <col min="9908" max="9908" width="12.28515625" bestFit="1" customWidth="1"/>
    <col min="9909" max="9909" width="5.7109375" bestFit="1" customWidth="1"/>
    <col min="9910" max="9910" width="8.5703125" bestFit="1" customWidth="1"/>
    <col min="9911" max="9911" width="5.5703125" bestFit="1" customWidth="1"/>
    <col min="9912" max="9912" width="14.42578125" bestFit="1" customWidth="1"/>
    <col min="9913" max="9913" width="11.28515625" bestFit="1" customWidth="1"/>
    <col min="9914" max="9915" width="12.28515625" bestFit="1" customWidth="1"/>
    <col min="9916" max="9916" width="11.28515625" bestFit="1" customWidth="1"/>
    <col min="9917" max="9917" width="13.85546875" bestFit="1" customWidth="1"/>
    <col min="9918" max="9918" width="12" bestFit="1" customWidth="1"/>
    <col min="9919" max="9919" width="13.85546875" bestFit="1" customWidth="1"/>
    <col min="9920" max="9921" width="14.42578125" customWidth="1"/>
    <col min="9922" max="9922" width="10.140625" bestFit="1" customWidth="1"/>
    <col min="9923" max="9923" width="12.28515625" bestFit="1" customWidth="1"/>
    <col min="9924" max="9924" width="7.42578125" bestFit="1" customWidth="1"/>
    <col min="9925" max="9925" width="8.5703125" bestFit="1" customWidth="1"/>
    <col min="9926" max="9926" width="11.5703125" bestFit="1" customWidth="1"/>
    <col min="9927" max="9927" width="13.28515625" bestFit="1" customWidth="1"/>
    <col min="9928" max="9928" width="13.28515625" customWidth="1"/>
    <col min="9929" max="9929" width="13.140625" customWidth="1"/>
    <col min="9930" max="9930" width="12.7109375" bestFit="1" customWidth="1"/>
    <col min="9931" max="9931" width="13.28515625" bestFit="1" customWidth="1"/>
    <col min="9932" max="9934" width="13.28515625" customWidth="1"/>
    <col min="9935" max="9935" width="12.140625" bestFit="1" customWidth="1"/>
    <col min="9936" max="9936" width="12.7109375" bestFit="1" customWidth="1"/>
    <col min="9937" max="9937" width="11" customWidth="1"/>
    <col min="9938" max="9938" width="16.7109375" customWidth="1"/>
    <col min="9939" max="9939" width="17" customWidth="1"/>
    <col min="9940" max="9940" width="10.42578125" bestFit="1" customWidth="1"/>
    <col min="9984" max="9984" width="3.85546875" customWidth="1"/>
    <col min="9985" max="9985" width="15.28515625" bestFit="1" customWidth="1"/>
    <col min="9986" max="9986" width="12.28515625" customWidth="1"/>
    <col min="9987" max="9987" width="16.28515625" bestFit="1" customWidth="1"/>
    <col min="9988" max="9988" width="6.42578125" bestFit="1" customWidth="1"/>
    <col min="9989" max="9989" width="9.28515625" bestFit="1" customWidth="1"/>
    <col min="9990" max="9990" width="7.5703125" bestFit="1" customWidth="1"/>
    <col min="9991" max="9991" width="13.28515625" bestFit="1" customWidth="1"/>
    <col min="9992" max="9992" width="9.28515625" bestFit="1" customWidth="1"/>
    <col min="9993" max="9993" width="11.5703125" bestFit="1" customWidth="1"/>
    <col min="9994" max="9994" width="13.28515625" bestFit="1" customWidth="1"/>
    <col min="9995" max="9995" width="7.140625" bestFit="1" customWidth="1"/>
    <col min="9996" max="9996" width="12" bestFit="1" customWidth="1"/>
    <col min="9997" max="9997" width="13.28515625" bestFit="1" customWidth="1"/>
    <col min="9998" max="9998" width="7" bestFit="1" customWidth="1"/>
    <col min="9999" max="9999" width="12.7109375" bestFit="1" customWidth="1"/>
    <col min="10000" max="10000" width="11.5703125" bestFit="1" customWidth="1"/>
    <col min="10001" max="10001" width="10.5703125" bestFit="1" customWidth="1"/>
    <col min="10002" max="10003" width="15.7109375" bestFit="1" customWidth="1"/>
    <col min="10004" max="10004" width="11.5703125" bestFit="1" customWidth="1"/>
    <col min="10005" max="10005" width="7.7109375" bestFit="1" customWidth="1"/>
    <col min="10006" max="10006" width="15.140625" bestFit="1" customWidth="1"/>
    <col min="10007" max="10007" width="11.5703125" bestFit="1" customWidth="1"/>
    <col min="10008" max="10008" width="13.28515625" bestFit="1" customWidth="1"/>
    <col min="10009" max="10009" width="10.42578125" bestFit="1" customWidth="1"/>
    <col min="10010" max="10010" width="13.28515625" bestFit="1" customWidth="1"/>
    <col min="10011" max="10011" width="12.140625" bestFit="1" customWidth="1"/>
    <col min="10012" max="10012" width="14.42578125" bestFit="1" customWidth="1"/>
    <col min="10013" max="10013" width="13.28515625" bestFit="1" customWidth="1"/>
    <col min="10014" max="10014" width="11.5703125" bestFit="1" customWidth="1"/>
    <col min="10015" max="10015" width="7.7109375" bestFit="1" customWidth="1"/>
    <col min="10016" max="10017" width="14.42578125" bestFit="1" customWidth="1"/>
    <col min="10018" max="10018" width="11.5703125" bestFit="1" customWidth="1"/>
    <col min="10019" max="10019" width="7.7109375" bestFit="1" customWidth="1"/>
    <col min="10020" max="10020" width="13.5703125" customWidth="1"/>
    <col min="10021" max="10021" width="15.28515625" customWidth="1"/>
    <col min="10022" max="10022" width="14.5703125" customWidth="1"/>
    <col min="10023" max="10023" width="13.28515625" bestFit="1" customWidth="1"/>
    <col min="10024" max="10024" width="7.7109375" bestFit="1" customWidth="1"/>
    <col min="10025" max="10025" width="12.7109375" bestFit="1" customWidth="1"/>
    <col min="10026" max="10026" width="11.7109375" bestFit="1" customWidth="1"/>
    <col min="10027" max="10027" width="11.5703125" bestFit="1" customWidth="1"/>
    <col min="10028" max="10028" width="5.28515625" bestFit="1" customWidth="1"/>
    <col min="10029" max="10029" width="13.28515625" bestFit="1" customWidth="1"/>
    <col min="10030" max="10030" width="13.5703125" bestFit="1" customWidth="1"/>
    <col min="10031" max="10031" width="10.5703125" bestFit="1" customWidth="1"/>
    <col min="10032" max="10032" width="13.28515625" bestFit="1" customWidth="1"/>
    <col min="10033" max="10033" width="11.5703125" bestFit="1" customWidth="1"/>
    <col min="10034" max="10034" width="10.5703125" bestFit="1" customWidth="1"/>
    <col min="10035" max="10035" width="16.140625" bestFit="1" customWidth="1"/>
    <col min="10036" max="10037" width="11.28515625" bestFit="1" customWidth="1"/>
    <col min="10038" max="10038" width="13.28515625" bestFit="1" customWidth="1"/>
    <col min="10039" max="10039" width="7.7109375" bestFit="1" customWidth="1"/>
    <col min="10040" max="10043" width="9.140625" hidden="1" customWidth="1"/>
    <col min="10044" max="10044" width="10.42578125" bestFit="1" customWidth="1"/>
    <col min="10045" max="10045" width="10.5703125" bestFit="1" customWidth="1"/>
    <col min="10046" max="10046" width="10.42578125" bestFit="1" customWidth="1"/>
    <col min="10047" max="10047" width="10.5703125" bestFit="1" customWidth="1"/>
    <col min="10048" max="10048" width="9.5703125" bestFit="1" customWidth="1"/>
    <col min="10049" max="10049" width="11.5703125" bestFit="1" customWidth="1"/>
    <col min="10050" max="10050" width="10.42578125" bestFit="1" customWidth="1"/>
    <col min="10051" max="10051" width="10.85546875" customWidth="1"/>
    <col min="10052" max="10053" width="9.85546875" bestFit="1" customWidth="1"/>
    <col min="10054" max="10054" width="13.5703125" bestFit="1" customWidth="1"/>
    <col min="10055" max="10055" width="7.7109375" bestFit="1" customWidth="1"/>
    <col min="10056" max="10056" width="13.28515625" bestFit="1" customWidth="1"/>
    <col min="10057" max="10057" width="11.5703125" bestFit="1" customWidth="1"/>
    <col min="10058" max="10058" width="10.42578125" bestFit="1" customWidth="1"/>
    <col min="10059" max="10059" width="7.7109375" bestFit="1" customWidth="1"/>
    <col min="10060" max="10060" width="11.5703125" bestFit="1" customWidth="1"/>
    <col min="10061" max="10061" width="10.85546875" bestFit="1" customWidth="1"/>
    <col min="10062" max="10062" width="13.28515625" bestFit="1" customWidth="1"/>
    <col min="10063" max="10063" width="10.85546875" bestFit="1" customWidth="1"/>
    <col min="10064" max="10065" width="7.5703125" bestFit="1" customWidth="1"/>
    <col min="10066" max="10067" width="10.42578125" bestFit="1" customWidth="1"/>
    <col min="10068" max="10068" width="11.5703125" bestFit="1" customWidth="1"/>
    <col min="10069" max="10069" width="5.28515625" bestFit="1" customWidth="1"/>
    <col min="10070" max="10070" width="10.28515625" bestFit="1" customWidth="1"/>
    <col min="10071" max="10071" width="10.42578125" bestFit="1" customWidth="1"/>
    <col min="10072" max="10072" width="11.5703125" bestFit="1" customWidth="1"/>
    <col min="10073" max="10073" width="5.28515625" bestFit="1" customWidth="1"/>
    <col min="10074" max="10076" width="11.5703125" bestFit="1" customWidth="1"/>
    <col min="10077" max="10077" width="5.28515625" bestFit="1" customWidth="1"/>
    <col min="10078" max="10079" width="10.42578125" bestFit="1" customWidth="1"/>
    <col min="10080" max="10080" width="11.5703125" bestFit="1" customWidth="1"/>
    <col min="10081" max="10081" width="5.28515625" bestFit="1" customWidth="1"/>
    <col min="10082" max="10082" width="14.28515625" bestFit="1" customWidth="1"/>
    <col min="10083" max="10083" width="13" bestFit="1" customWidth="1"/>
    <col min="10084" max="10084" width="11.5703125" bestFit="1" customWidth="1"/>
    <col min="10085" max="10085" width="8.85546875" bestFit="1" customWidth="1"/>
    <col min="10086" max="10086" width="14.42578125" bestFit="1" customWidth="1"/>
    <col min="10087" max="10087" width="10.42578125" bestFit="1" customWidth="1"/>
    <col min="10088" max="10088" width="12.28515625" bestFit="1" customWidth="1"/>
    <col min="10089" max="10089" width="13.85546875" bestFit="1" customWidth="1"/>
    <col min="10090" max="10090" width="11.28515625" customWidth="1"/>
    <col min="10091" max="10091" width="11.5703125" customWidth="1"/>
    <col min="10092" max="10092" width="13.42578125" bestFit="1" customWidth="1"/>
    <col min="10093" max="10093" width="10.42578125" customWidth="1"/>
    <col min="10094" max="10094" width="13.85546875" bestFit="1" customWidth="1"/>
    <col min="10095" max="10095" width="15.42578125" bestFit="1" customWidth="1"/>
    <col min="10096" max="10096" width="12.28515625" bestFit="1" customWidth="1"/>
    <col min="10097" max="10097" width="12.7109375" customWidth="1"/>
    <col min="10098" max="10098" width="10.7109375" bestFit="1" customWidth="1"/>
    <col min="10099" max="10099" width="9.85546875" customWidth="1"/>
    <col min="10100" max="10101" width="10.140625" bestFit="1" customWidth="1"/>
    <col min="10102" max="10102" width="7.5703125" bestFit="1" customWidth="1"/>
    <col min="10103" max="10103" width="9.42578125" bestFit="1" customWidth="1"/>
    <col min="10104" max="10104" width="14.5703125" bestFit="1" customWidth="1"/>
    <col min="10105" max="10105" width="14.85546875" customWidth="1"/>
    <col min="10106" max="10106" width="15.140625" bestFit="1" customWidth="1"/>
    <col min="10107" max="10107" width="12.140625" bestFit="1" customWidth="1"/>
    <col min="10108" max="10108" width="14.85546875" bestFit="1" customWidth="1"/>
    <col min="10109" max="10109" width="12.28515625" bestFit="1" customWidth="1"/>
    <col min="10110" max="10118" width="9.140625" hidden="1" customWidth="1"/>
    <col min="10119" max="10119" width="5.28515625" bestFit="1" customWidth="1"/>
    <col min="10120" max="10125" width="11.5703125" bestFit="1" customWidth="1"/>
    <col min="10126" max="10126" width="11.28515625" bestFit="1" customWidth="1"/>
    <col min="10127" max="10127" width="10.140625" bestFit="1" customWidth="1"/>
    <col min="10128" max="10128" width="11.5703125" bestFit="1" customWidth="1"/>
    <col min="10129" max="10129" width="16.140625" customWidth="1"/>
    <col min="10130" max="10130" width="13.42578125" customWidth="1"/>
    <col min="10131" max="10131" width="10.140625" bestFit="1" customWidth="1"/>
    <col min="10132" max="10132" width="12.85546875" bestFit="1" customWidth="1"/>
    <col min="10133" max="10133" width="12.28515625" bestFit="1" customWidth="1"/>
    <col min="10134" max="10134" width="11.28515625" bestFit="1" customWidth="1"/>
    <col min="10135" max="10135" width="11.5703125" bestFit="1" customWidth="1"/>
    <col min="10136" max="10136" width="10.85546875" bestFit="1" customWidth="1"/>
    <col min="10137" max="10137" width="11.28515625" bestFit="1" customWidth="1"/>
    <col min="10138" max="10138" width="10.140625" bestFit="1" customWidth="1"/>
    <col min="10139" max="10139" width="13.28515625" bestFit="1" customWidth="1"/>
    <col min="10140" max="10141" width="12.7109375" bestFit="1" customWidth="1"/>
    <col min="10142" max="10142" width="11" bestFit="1" customWidth="1"/>
    <col min="10143" max="10143" width="11.28515625" bestFit="1" customWidth="1"/>
    <col min="10144" max="10144" width="11.5703125" bestFit="1" customWidth="1"/>
    <col min="10145" max="10145" width="12.28515625" bestFit="1" customWidth="1"/>
    <col min="10146" max="10146" width="15.140625" bestFit="1" customWidth="1"/>
    <col min="10147" max="10147" width="14.42578125" bestFit="1" customWidth="1"/>
    <col min="10148" max="10148" width="12.28515625" bestFit="1" customWidth="1"/>
    <col min="10149" max="10149" width="15.140625" bestFit="1" customWidth="1"/>
    <col min="10150" max="10150" width="14.42578125" bestFit="1" customWidth="1"/>
    <col min="10151" max="10151" width="12.28515625" bestFit="1" customWidth="1"/>
    <col min="10152" max="10152" width="14.42578125" bestFit="1" customWidth="1"/>
    <col min="10153" max="10153" width="11.28515625" bestFit="1" customWidth="1"/>
    <col min="10154" max="10154" width="12.28515625" bestFit="1" customWidth="1"/>
    <col min="10155" max="10155" width="13" bestFit="1" customWidth="1"/>
    <col min="10156" max="10156" width="15.140625" bestFit="1" customWidth="1"/>
    <col min="10157" max="10157" width="12.28515625" bestFit="1" customWidth="1"/>
    <col min="10158" max="10158" width="13.85546875" bestFit="1" customWidth="1"/>
    <col min="10159" max="10159" width="11.28515625" bestFit="1" customWidth="1"/>
    <col min="10160" max="10160" width="12.28515625" bestFit="1" customWidth="1"/>
    <col min="10161" max="10161" width="13.85546875" bestFit="1" customWidth="1"/>
    <col min="10162" max="10163" width="15.140625" bestFit="1" customWidth="1"/>
    <col min="10164" max="10164" width="12.28515625" bestFit="1" customWidth="1"/>
    <col min="10165" max="10165" width="5.7109375" bestFit="1" customWidth="1"/>
    <col min="10166" max="10166" width="8.5703125" bestFit="1" customWidth="1"/>
    <col min="10167" max="10167" width="5.5703125" bestFit="1" customWidth="1"/>
    <col min="10168" max="10168" width="14.42578125" bestFit="1" customWidth="1"/>
    <col min="10169" max="10169" width="11.28515625" bestFit="1" customWidth="1"/>
    <col min="10170" max="10171" width="12.28515625" bestFit="1" customWidth="1"/>
    <col min="10172" max="10172" width="11.28515625" bestFit="1" customWidth="1"/>
    <col min="10173" max="10173" width="13.85546875" bestFit="1" customWidth="1"/>
    <col min="10174" max="10174" width="12" bestFit="1" customWidth="1"/>
    <col min="10175" max="10175" width="13.85546875" bestFit="1" customWidth="1"/>
    <col min="10176" max="10177" width="14.42578125" customWidth="1"/>
    <col min="10178" max="10178" width="10.140625" bestFit="1" customWidth="1"/>
    <col min="10179" max="10179" width="12.28515625" bestFit="1" customWidth="1"/>
    <col min="10180" max="10180" width="7.42578125" bestFit="1" customWidth="1"/>
    <col min="10181" max="10181" width="8.5703125" bestFit="1" customWidth="1"/>
    <col min="10182" max="10182" width="11.5703125" bestFit="1" customWidth="1"/>
    <col min="10183" max="10183" width="13.28515625" bestFit="1" customWidth="1"/>
    <col min="10184" max="10184" width="13.28515625" customWidth="1"/>
    <col min="10185" max="10185" width="13.140625" customWidth="1"/>
    <col min="10186" max="10186" width="12.7109375" bestFit="1" customWidth="1"/>
    <col min="10187" max="10187" width="13.28515625" bestFit="1" customWidth="1"/>
    <col min="10188" max="10190" width="13.28515625" customWidth="1"/>
    <col min="10191" max="10191" width="12.140625" bestFit="1" customWidth="1"/>
    <col min="10192" max="10192" width="12.7109375" bestFit="1" customWidth="1"/>
    <col min="10193" max="10193" width="11" customWidth="1"/>
    <col min="10194" max="10194" width="16.7109375" customWidth="1"/>
    <col min="10195" max="10195" width="17" customWidth="1"/>
    <col min="10196" max="10196" width="10.42578125" bestFit="1" customWidth="1"/>
    <col min="10240" max="10240" width="3.85546875" customWidth="1"/>
    <col min="10241" max="10241" width="15.28515625" bestFit="1" customWidth="1"/>
    <col min="10242" max="10242" width="12.28515625" customWidth="1"/>
    <col min="10243" max="10243" width="16.28515625" bestFit="1" customWidth="1"/>
    <col min="10244" max="10244" width="6.42578125" bestFit="1" customWidth="1"/>
    <col min="10245" max="10245" width="9.28515625" bestFit="1" customWidth="1"/>
    <col min="10246" max="10246" width="7.5703125" bestFit="1" customWidth="1"/>
    <col min="10247" max="10247" width="13.28515625" bestFit="1" customWidth="1"/>
    <col min="10248" max="10248" width="9.28515625" bestFit="1" customWidth="1"/>
    <col min="10249" max="10249" width="11.5703125" bestFit="1" customWidth="1"/>
    <col min="10250" max="10250" width="13.28515625" bestFit="1" customWidth="1"/>
    <col min="10251" max="10251" width="7.140625" bestFit="1" customWidth="1"/>
    <col min="10252" max="10252" width="12" bestFit="1" customWidth="1"/>
    <col min="10253" max="10253" width="13.28515625" bestFit="1" customWidth="1"/>
    <col min="10254" max="10254" width="7" bestFit="1" customWidth="1"/>
    <col min="10255" max="10255" width="12.7109375" bestFit="1" customWidth="1"/>
    <col min="10256" max="10256" width="11.5703125" bestFit="1" customWidth="1"/>
    <col min="10257" max="10257" width="10.5703125" bestFit="1" customWidth="1"/>
    <col min="10258" max="10259" width="15.7109375" bestFit="1" customWidth="1"/>
    <col min="10260" max="10260" width="11.5703125" bestFit="1" customWidth="1"/>
    <col min="10261" max="10261" width="7.7109375" bestFit="1" customWidth="1"/>
    <col min="10262" max="10262" width="15.140625" bestFit="1" customWidth="1"/>
    <col min="10263" max="10263" width="11.5703125" bestFit="1" customWidth="1"/>
    <col min="10264" max="10264" width="13.28515625" bestFit="1" customWidth="1"/>
    <col min="10265" max="10265" width="10.42578125" bestFit="1" customWidth="1"/>
    <col min="10266" max="10266" width="13.28515625" bestFit="1" customWidth="1"/>
    <col min="10267" max="10267" width="12.140625" bestFit="1" customWidth="1"/>
    <col min="10268" max="10268" width="14.42578125" bestFit="1" customWidth="1"/>
    <col min="10269" max="10269" width="13.28515625" bestFit="1" customWidth="1"/>
    <col min="10270" max="10270" width="11.5703125" bestFit="1" customWidth="1"/>
    <col min="10271" max="10271" width="7.7109375" bestFit="1" customWidth="1"/>
    <col min="10272" max="10273" width="14.42578125" bestFit="1" customWidth="1"/>
    <col min="10274" max="10274" width="11.5703125" bestFit="1" customWidth="1"/>
    <col min="10275" max="10275" width="7.7109375" bestFit="1" customWidth="1"/>
    <col min="10276" max="10276" width="13.5703125" customWidth="1"/>
    <col min="10277" max="10277" width="15.28515625" customWidth="1"/>
    <col min="10278" max="10278" width="14.5703125" customWidth="1"/>
    <col min="10279" max="10279" width="13.28515625" bestFit="1" customWidth="1"/>
    <col min="10280" max="10280" width="7.7109375" bestFit="1" customWidth="1"/>
    <col min="10281" max="10281" width="12.7109375" bestFit="1" customWidth="1"/>
    <col min="10282" max="10282" width="11.7109375" bestFit="1" customWidth="1"/>
    <col min="10283" max="10283" width="11.5703125" bestFit="1" customWidth="1"/>
    <col min="10284" max="10284" width="5.28515625" bestFit="1" customWidth="1"/>
    <col min="10285" max="10285" width="13.28515625" bestFit="1" customWidth="1"/>
    <col min="10286" max="10286" width="13.5703125" bestFit="1" customWidth="1"/>
    <col min="10287" max="10287" width="10.5703125" bestFit="1" customWidth="1"/>
    <col min="10288" max="10288" width="13.28515625" bestFit="1" customWidth="1"/>
    <col min="10289" max="10289" width="11.5703125" bestFit="1" customWidth="1"/>
    <col min="10290" max="10290" width="10.5703125" bestFit="1" customWidth="1"/>
    <col min="10291" max="10291" width="16.140625" bestFit="1" customWidth="1"/>
    <col min="10292" max="10293" width="11.28515625" bestFit="1" customWidth="1"/>
    <col min="10294" max="10294" width="13.28515625" bestFit="1" customWidth="1"/>
    <col min="10295" max="10295" width="7.7109375" bestFit="1" customWidth="1"/>
    <col min="10296" max="10299" width="9.140625" hidden="1" customWidth="1"/>
    <col min="10300" max="10300" width="10.42578125" bestFit="1" customWidth="1"/>
    <col min="10301" max="10301" width="10.5703125" bestFit="1" customWidth="1"/>
    <col min="10302" max="10302" width="10.42578125" bestFit="1" customWidth="1"/>
    <col min="10303" max="10303" width="10.5703125" bestFit="1" customWidth="1"/>
    <col min="10304" max="10304" width="9.5703125" bestFit="1" customWidth="1"/>
    <col min="10305" max="10305" width="11.5703125" bestFit="1" customWidth="1"/>
    <col min="10306" max="10306" width="10.42578125" bestFit="1" customWidth="1"/>
    <col min="10307" max="10307" width="10.85546875" customWidth="1"/>
    <col min="10308" max="10309" width="9.85546875" bestFit="1" customWidth="1"/>
    <col min="10310" max="10310" width="13.5703125" bestFit="1" customWidth="1"/>
    <col min="10311" max="10311" width="7.7109375" bestFit="1" customWidth="1"/>
    <col min="10312" max="10312" width="13.28515625" bestFit="1" customWidth="1"/>
    <col min="10313" max="10313" width="11.5703125" bestFit="1" customWidth="1"/>
    <col min="10314" max="10314" width="10.42578125" bestFit="1" customWidth="1"/>
    <col min="10315" max="10315" width="7.7109375" bestFit="1" customWidth="1"/>
    <col min="10316" max="10316" width="11.5703125" bestFit="1" customWidth="1"/>
    <col min="10317" max="10317" width="10.85546875" bestFit="1" customWidth="1"/>
    <col min="10318" max="10318" width="13.28515625" bestFit="1" customWidth="1"/>
    <col min="10319" max="10319" width="10.85546875" bestFit="1" customWidth="1"/>
    <col min="10320" max="10321" width="7.5703125" bestFit="1" customWidth="1"/>
    <col min="10322" max="10323" width="10.42578125" bestFit="1" customWidth="1"/>
    <col min="10324" max="10324" width="11.5703125" bestFit="1" customWidth="1"/>
    <col min="10325" max="10325" width="5.28515625" bestFit="1" customWidth="1"/>
    <col min="10326" max="10326" width="10.28515625" bestFit="1" customWidth="1"/>
    <col min="10327" max="10327" width="10.42578125" bestFit="1" customWidth="1"/>
    <col min="10328" max="10328" width="11.5703125" bestFit="1" customWidth="1"/>
    <col min="10329" max="10329" width="5.28515625" bestFit="1" customWidth="1"/>
    <col min="10330" max="10332" width="11.5703125" bestFit="1" customWidth="1"/>
    <col min="10333" max="10333" width="5.28515625" bestFit="1" customWidth="1"/>
    <col min="10334" max="10335" width="10.42578125" bestFit="1" customWidth="1"/>
    <col min="10336" max="10336" width="11.5703125" bestFit="1" customWidth="1"/>
    <col min="10337" max="10337" width="5.28515625" bestFit="1" customWidth="1"/>
    <col min="10338" max="10338" width="14.28515625" bestFit="1" customWidth="1"/>
    <col min="10339" max="10339" width="13" bestFit="1" customWidth="1"/>
    <col min="10340" max="10340" width="11.5703125" bestFit="1" customWidth="1"/>
    <col min="10341" max="10341" width="8.85546875" bestFit="1" customWidth="1"/>
    <col min="10342" max="10342" width="14.42578125" bestFit="1" customWidth="1"/>
    <col min="10343" max="10343" width="10.42578125" bestFit="1" customWidth="1"/>
    <col min="10344" max="10344" width="12.28515625" bestFit="1" customWidth="1"/>
    <col min="10345" max="10345" width="13.85546875" bestFit="1" customWidth="1"/>
    <col min="10346" max="10346" width="11.28515625" customWidth="1"/>
    <col min="10347" max="10347" width="11.5703125" customWidth="1"/>
    <col min="10348" max="10348" width="13.42578125" bestFit="1" customWidth="1"/>
    <col min="10349" max="10349" width="10.42578125" customWidth="1"/>
    <col min="10350" max="10350" width="13.85546875" bestFit="1" customWidth="1"/>
    <col min="10351" max="10351" width="15.42578125" bestFit="1" customWidth="1"/>
    <col min="10352" max="10352" width="12.28515625" bestFit="1" customWidth="1"/>
    <col min="10353" max="10353" width="12.7109375" customWidth="1"/>
    <col min="10354" max="10354" width="10.7109375" bestFit="1" customWidth="1"/>
    <col min="10355" max="10355" width="9.85546875" customWidth="1"/>
    <col min="10356" max="10357" width="10.140625" bestFit="1" customWidth="1"/>
    <col min="10358" max="10358" width="7.5703125" bestFit="1" customWidth="1"/>
    <col min="10359" max="10359" width="9.42578125" bestFit="1" customWidth="1"/>
    <col min="10360" max="10360" width="14.5703125" bestFit="1" customWidth="1"/>
    <col min="10361" max="10361" width="14.85546875" customWidth="1"/>
    <col min="10362" max="10362" width="15.140625" bestFit="1" customWidth="1"/>
    <col min="10363" max="10363" width="12.140625" bestFit="1" customWidth="1"/>
    <col min="10364" max="10364" width="14.85546875" bestFit="1" customWidth="1"/>
    <col min="10365" max="10365" width="12.28515625" bestFit="1" customWidth="1"/>
    <col min="10366" max="10374" width="9.140625" hidden="1" customWidth="1"/>
    <col min="10375" max="10375" width="5.28515625" bestFit="1" customWidth="1"/>
    <col min="10376" max="10381" width="11.5703125" bestFit="1" customWidth="1"/>
    <col min="10382" max="10382" width="11.28515625" bestFit="1" customWidth="1"/>
    <col min="10383" max="10383" width="10.140625" bestFit="1" customWidth="1"/>
    <col min="10384" max="10384" width="11.5703125" bestFit="1" customWidth="1"/>
    <col min="10385" max="10385" width="16.140625" customWidth="1"/>
    <col min="10386" max="10386" width="13.42578125" customWidth="1"/>
    <col min="10387" max="10387" width="10.140625" bestFit="1" customWidth="1"/>
    <col min="10388" max="10388" width="12.85546875" bestFit="1" customWidth="1"/>
    <col min="10389" max="10389" width="12.28515625" bestFit="1" customWidth="1"/>
    <col min="10390" max="10390" width="11.28515625" bestFit="1" customWidth="1"/>
    <col min="10391" max="10391" width="11.5703125" bestFit="1" customWidth="1"/>
    <col min="10392" max="10392" width="10.85546875" bestFit="1" customWidth="1"/>
    <col min="10393" max="10393" width="11.28515625" bestFit="1" customWidth="1"/>
    <col min="10394" max="10394" width="10.140625" bestFit="1" customWidth="1"/>
    <col min="10395" max="10395" width="13.28515625" bestFit="1" customWidth="1"/>
    <col min="10396" max="10397" width="12.7109375" bestFit="1" customWidth="1"/>
    <col min="10398" max="10398" width="11" bestFit="1" customWidth="1"/>
    <col min="10399" max="10399" width="11.28515625" bestFit="1" customWidth="1"/>
    <col min="10400" max="10400" width="11.5703125" bestFit="1" customWidth="1"/>
    <col min="10401" max="10401" width="12.28515625" bestFit="1" customWidth="1"/>
    <col min="10402" max="10402" width="15.140625" bestFit="1" customWidth="1"/>
    <col min="10403" max="10403" width="14.42578125" bestFit="1" customWidth="1"/>
    <col min="10404" max="10404" width="12.28515625" bestFit="1" customWidth="1"/>
    <col min="10405" max="10405" width="15.140625" bestFit="1" customWidth="1"/>
    <col min="10406" max="10406" width="14.42578125" bestFit="1" customWidth="1"/>
    <col min="10407" max="10407" width="12.28515625" bestFit="1" customWidth="1"/>
    <col min="10408" max="10408" width="14.42578125" bestFit="1" customWidth="1"/>
    <col min="10409" max="10409" width="11.28515625" bestFit="1" customWidth="1"/>
    <col min="10410" max="10410" width="12.28515625" bestFit="1" customWidth="1"/>
    <col min="10411" max="10411" width="13" bestFit="1" customWidth="1"/>
    <col min="10412" max="10412" width="15.140625" bestFit="1" customWidth="1"/>
    <col min="10413" max="10413" width="12.28515625" bestFit="1" customWidth="1"/>
    <col min="10414" max="10414" width="13.85546875" bestFit="1" customWidth="1"/>
    <col min="10415" max="10415" width="11.28515625" bestFit="1" customWidth="1"/>
    <col min="10416" max="10416" width="12.28515625" bestFit="1" customWidth="1"/>
    <col min="10417" max="10417" width="13.85546875" bestFit="1" customWidth="1"/>
    <col min="10418" max="10419" width="15.140625" bestFit="1" customWidth="1"/>
    <col min="10420" max="10420" width="12.28515625" bestFit="1" customWidth="1"/>
    <col min="10421" max="10421" width="5.7109375" bestFit="1" customWidth="1"/>
    <col min="10422" max="10422" width="8.5703125" bestFit="1" customWidth="1"/>
    <col min="10423" max="10423" width="5.5703125" bestFit="1" customWidth="1"/>
    <col min="10424" max="10424" width="14.42578125" bestFit="1" customWidth="1"/>
    <col min="10425" max="10425" width="11.28515625" bestFit="1" customWidth="1"/>
    <col min="10426" max="10427" width="12.28515625" bestFit="1" customWidth="1"/>
    <col min="10428" max="10428" width="11.28515625" bestFit="1" customWidth="1"/>
    <col min="10429" max="10429" width="13.85546875" bestFit="1" customWidth="1"/>
    <col min="10430" max="10430" width="12" bestFit="1" customWidth="1"/>
    <col min="10431" max="10431" width="13.85546875" bestFit="1" customWidth="1"/>
    <col min="10432" max="10433" width="14.42578125" customWidth="1"/>
    <col min="10434" max="10434" width="10.140625" bestFit="1" customWidth="1"/>
    <col min="10435" max="10435" width="12.28515625" bestFit="1" customWidth="1"/>
    <col min="10436" max="10436" width="7.42578125" bestFit="1" customWidth="1"/>
    <col min="10437" max="10437" width="8.5703125" bestFit="1" customWidth="1"/>
    <col min="10438" max="10438" width="11.5703125" bestFit="1" customWidth="1"/>
    <col min="10439" max="10439" width="13.28515625" bestFit="1" customWidth="1"/>
    <col min="10440" max="10440" width="13.28515625" customWidth="1"/>
    <col min="10441" max="10441" width="13.140625" customWidth="1"/>
    <col min="10442" max="10442" width="12.7109375" bestFit="1" customWidth="1"/>
    <col min="10443" max="10443" width="13.28515625" bestFit="1" customWidth="1"/>
    <col min="10444" max="10446" width="13.28515625" customWidth="1"/>
    <col min="10447" max="10447" width="12.140625" bestFit="1" customWidth="1"/>
    <col min="10448" max="10448" width="12.7109375" bestFit="1" customWidth="1"/>
    <col min="10449" max="10449" width="11" customWidth="1"/>
    <col min="10450" max="10450" width="16.7109375" customWidth="1"/>
    <col min="10451" max="10451" width="17" customWidth="1"/>
    <col min="10452" max="10452" width="10.42578125" bestFit="1" customWidth="1"/>
    <col min="10496" max="10496" width="3.85546875" customWidth="1"/>
    <col min="10497" max="10497" width="15.28515625" bestFit="1" customWidth="1"/>
    <col min="10498" max="10498" width="12.28515625" customWidth="1"/>
    <col min="10499" max="10499" width="16.28515625" bestFit="1" customWidth="1"/>
    <col min="10500" max="10500" width="6.42578125" bestFit="1" customWidth="1"/>
    <col min="10501" max="10501" width="9.28515625" bestFit="1" customWidth="1"/>
    <col min="10502" max="10502" width="7.5703125" bestFit="1" customWidth="1"/>
    <col min="10503" max="10503" width="13.28515625" bestFit="1" customWidth="1"/>
    <col min="10504" max="10504" width="9.28515625" bestFit="1" customWidth="1"/>
    <col min="10505" max="10505" width="11.5703125" bestFit="1" customWidth="1"/>
    <col min="10506" max="10506" width="13.28515625" bestFit="1" customWidth="1"/>
    <col min="10507" max="10507" width="7.140625" bestFit="1" customWidth="1"/>
    <col min="10508" max="10508" width="12" bestFit="1" customWidth="1"/>
    <col min="10509" max="10509" width="13.28515625" bestFit="1" customWidth="1"/>
    <col min="10510" max="10510" width="7" bestFit="1" customWidth="1"/>
    <col min="10511" max="10511" width="12.7109375" bestFit="1" customWidth="1"/>
    <col min="10512" max="10512" width="11.5703125" bestFit="1" customWidth="1"/>
    <col min="10513" max="10513" width="10.5703125" bestFit="1" customWidth="1"/>
    <col min="10514" max="10515" width="15.7109375" bestFit="1" customWidth="1"/>
    <col min="10516" max="10516" width="11.5703125" bestFit="1" customWidth="1"/>
    <col min="10517" max="10517" width="7.7109375" bestFit="1" customWidth="1"/>
    <col min="10518" max="10518" width="15.140625" bestFit="1" customWidth="1"/>
    <col min="10519" max="10519" width="11.5703125" bestFit="1" customWidth="1"/>
    <col min="10520" max="10520" width="13.28515625" bestFit="1" customWidth="1"/>
    <col min="10521" max="10521" width="10.42578125" bestFit="1" customWidth="1"/>
    <col min="10522" max="10522" width="13.28515625" bestFit="1" customWidth="1"/>
    <col min="10523" max="10523" width="12.140625" bestFit="1" customWidth="1"/>
    <col min="10524" max="10524" width="14.42578125" bestFit="1" customWidth="1"/>
    <col min="10525" max="10525" width="13.28515625" bestFit="1" customWidth="1"/>
    <col min="10526" max="10526" width="11.5703125" bestFit="1" customWidth="1"/>
    <col min="10527" max="10527" width="7.7109375" bestFit="1" customWidth="1"/>
    <col min="10528" max="10529" width="14.42578125" bestFit="1" customWidth="1"/>
    <col min="10530" max="10530" width="11.5703125" bestFit="1" customWidth="1"/>
    <col min="10531" max="10531" width="7.7109375" bestFit="1" customWidth="1"/>
    <col min="10532" max="10532" width="13.5703125" customWidth="1"/>
    <col min="10533" max="10533" width="15.28515625" customWidth="1"/>
    <col min="10534" max="10534" width="14.5703125" customWidth="1"/>
    <col min="10535" max="10535" width="13.28515625" bestFit="1" customWidth="1"/>
    <col min="10536" max="10536" width="7.7109375" bestFit="1" customWidth="1"/>
    <col min="10537" max="10537" width="12.7109375" bestFit="1" customWidth="1"/>
    <col min="10538" max="10538" width="11.7109375" bestFit="1" customWidth="1"/>
    <col min="10539" max="10539" width="11.5703125" bestFit="1" customWidth="1"/>
    <col min="10540" max="10540" width="5.28515625" bestFit="1" customWidth="1"/>
    <col min="10541" max="10541" width="13.28515625" bestFit="1" customWidth="1"/>
    <col min="10542" max="10542" width="13.5703125" bestFit="1" customWidth="1"/>
    <col min="10543" max="10543" width="10.5703125" bestFit="1" customWidth="1"/>
    <col min="10544" max="10544" width="13.28515625" bestFit="1" customWidth="1"/>
    <col min="10545" max="10545" width="11.5703125" bestFit="1" customWidth="1"/>
    <col min="10546" max="10546" width="10.5703125" bestFit="1" customWidth="1"/>
    <col min="10547" max="10547" width="16.140625" bestFit="1" customWidth="1"/>
    <col min="10548" max="10549" width="11.28515625" bestFit="1" customWidth="1"/>
    <col min="10550" max="10550" width="13.28515625" bestFit="1" customWidth="1"/>
    <col min="10551" max="10551" width="7.7109375" bestFit="1" customWidth="1"/>
    <col min="10552" max="10555" width="9.140625" hidden="1" customWidth="1"/>
    <col min="10556" max="10556" width="10.42578125" bestFit="1" customWidth="1"/>
    <col min="10557" max="10557" width="10.5703125" bestFit="1" customWidth="1"/>
    <col min="10558" max="10558" width="10.42578125" bestFit="1" customWidth="1"/>
    <col min="10559" max="10559" width="10.5703125" bestFit="1" customWidth="1"/>
    <col min="10560" max="10560" width="9.5703125" bestFit="1" customWidth="1"/>
    <col min="10561" max="10561" width="11.5703125" bestFit="1" customWidth="1"/>
    <col min="10562" max="10562" width="10.42578125" bestFit="1" customWidth="1"/>
    <col min="10563" max="10563" width="10.85546875" customWidth="1"/>
    <col min="10564" max="10565" width="9.85546875" bestFit="1" customWidth="1"/>
    <col min="10566" max="10566" width="13.5703125" bestFit="1" customWidth="1"/>
    <col min="10567" max="10567" width="7.7109375" bestFit="1" customWidth="1"/>
    <col min="10568" max="10568" width="13.28515625" bestFit="1" customWidth="1"/>
    <col min="10569" max="10569" width="11.5703125" bestFit="1" customWidth="1"/>
    <col min="10570" max="10570" width="10.42578125" bestFit="1" customWidth="1"/>
    <col min="10571" max="10571" width="7.7109375" bestFit="1" customWidth="1"/>
    <col min="10572" max="10572" width="11.5703125" bestFit="1" customWidth="1"/>
    <col min="10573" max="10573" width="10.85546875" bestFit="1" customWidth="1"/>
    <col min="10574" max="10574" width="13.28515625" bestFit="1" customWidth="1"/>
    <col min="10575" max="10575" width="10.85546875" bestFit="1" customWidth="1"/>
    <col min="10576" max="10577" width="7.5703125" bestFit="1" customWidth="1"/>
    <col min="10578" max="10579" width="10.42578125" bestFit="1" customWidth="1"/>
    <col min="10580" max="10580" width="11.5703125" bestFit="1" customWidth="1"/>
    <col min="10581" max="10581" width="5.28515625" bestFit="1" customWidth="1"/>
    <col min="10582" max="10582" width="10.28515625" bestFit="1" customWidth="1"/>
    <col min="10583" max="10583" width="10.42578125" bestFit="1" customWidth="1"/>
    <col min="10584" max="10584" width="11.5703125" bestFit="1" customWidth="1"/>
    <col min="10585" max="10585" width="5.28515625" bestFit="1" customWidth="1"/>
    <col min="10586" max="10588" width="11.5703125" bestFit="1" customWidth="1"/>
    <col min="10589" max="10589" width="5.28515625" bestFit="1" customWidth="1"/>
    <col min="10590" max="10591" width="10.42578125" bestFit="1" customWidth="1"/>
    <col min="10592" max="10592" width="11.5703125" bestFit="1" customWidth="1"/>
    <col min="10593" max="10593" width="5.28515625" bestFit="1" customWidth="1"/>
    <col min="10594" max="10594" width="14.28515625" bestFit="1" customWidth="1"/>
    <col min="10595" max="10595" width="13" bestFit="1" customWidth="1"/>
    <col min="10596" max="10596" width="11.5703125" bestFit="1" customWidth="1"/>
    <col min="10597" max="10597" width="8.85546875" bestFit="1" customWidth="1"/>
    <col min="10598" max="10598" width="14.42578125" bestFit="1" customWidth="1"/>
    <col min="10599" max="10599" width="10.42578125" bestFit="1" customWidth="1"/>
    <col min="10600" max="10600" width="12.28515625" bestFit="1" customWidth="1"/>
    <col min="10601" max="10601" width="13.85546875" bestFit="1" customWidth="1"/>
    <col min="10602" max="10602" width="11.28515625" customWidth="1"/>
    <col min="10603" max="10603" width="11.5703125" customWidth="1"/>
    <col min="10604" max="10604" width="13.42578125" bestFit="1" customWidth="1"/>
    <col min="10605" max="10605" width="10.42578125" customWidth="1"/>
    <col min="10606" max="10606" width="13.85546875" bestFit="1" customWidth="1"/>
    <col min="10607" max="10607" width="15.42578125" bestFit="1" customWidth="1"/>
    <col min="10608" max="10608" width="12.28515625" bestFit="1" customWidth="1"/>
    <col min="10609" max="10609" width="12.7109375" customWidth="1"/>
    <col min="10610" max="10610" width="10.7109375" bestFit="1" customWidth="1"/>
    <col min="10611" max="10611" width="9.85546875" customWidth="1"/>
    <col min="10612" max="10613" width="10.140625" bestFit="1" customWidth="1"/>
    <col min="10614" max="10614" width="7.5703125" bestFit="1" customWidth="1"/>
    <col min="10615" max="10615" width="9.42578125" bestFit="1" customWidth="1"/>
    <col min="10616" max="10616" width="14.5703125" bestFit="1" customWidth="1"/>
    <col min="10617" max="10617" width="14.85546875" customWidth="1"/>
    <col min="10618" max="10618" width="15.140625" bestFit="1" customWidth="1"/>
    <col min="10619" max="10619" width="12.140625" bestFit="1" customWidth="1"/>
    <col min="10620" max="10620" width="14.85546875" bestFit="1" customWidth="1"/>
    <col min="10621" max="10621" width="12.28515625" bestFit="1" customWidth="1"/>
    <col min="10622" max="10630" width="9.140625" hidden="1" customWidth="1"/>
    <col min="10631" max="10631" width="5.28515625" bestFit="1" customWidth="1"/>
    <col min="10632" max="10637" width="11.5703125" bestFit="1" customWidth="1"/>
    <col min="10638" max="10638" width="11.28515625" bestFit="1" customWidth="1"/>
    <col min="10639" max="10639" width="10.140625" bestFit="1" customWidth="1"/>
    <col min="10640" max="10640" width="11.5703125" bestFit="1" customWidth="1"/>
    <col min="10641" max="10641" width="16.140625" customWidth="1"/>
    <col min="10642" max="10642" width="13.42578125" customWidth="1"/>
    <col min="10643" max="10643" width="10.140625" bestFit="1" customWidth="1"/>
    <col min="10644" max="10644" width="12.85546875" bestFit="1" customWidth="1"/>
    <col min="10645" max="10645" width="12.28515625" bestFit="1" customWidth="1"/>
    <col min="10646" max="10646" width="11.28515625" bestFit="1" customWidth="1"/>
    <col min="10647" max="10647" width="11.5703125" bestFit="1" customWidth="1"/>
    <col min="10648" max="10648" width="10.85546875" bestFit="1" customWidth="1"/>
    <col min="10649" max="10649" width="11.28515625" bestFit="1" customWidth="1"/>
    <col min="10650" max="10650" width="10.140625" bestFit="1" customWidth="1"/>
    <col min="10651" max="10651" width="13.28515625" bestFit="1" customWidth="1"/>
    <col min="10652" max="10653" width="12.7109375" bestFit="1" customWidth="1"/>
    <col min="10654" max="10654" width="11" bestFit="1" customWidth="1"/>
    <col min="10655" max="10655" width="11.28515625" bestFit="1" customWidth="1"/>
    <col min="10656" max="10656" width="11.5703125" bestFit="1" customWidth="1"/>
    <col min="10657" max="10657" width="12.28515625" bestFit="1" customWidth="1"/>
    <col min="10658" max="10658" width="15.140625" bestFit="1" customWidth="1"/>
    <col min="10659" max="10659" width="14.42578125" bestFit="1" customWidth="1"/>
    <col min="10660" max="10660" width="12.28515625" bestFit="1" customWidth="1"/>
    <col min="10661" max="10661" width="15.140625" bestFit="1" customWidth="1"/>
    <col min="10662" max="10662" width="14.42578125" bestFit="1" customWidth="1"/>
    <col min="10663" max="10663" width="12.28515625" bestFit="1" customWidth="1"/>
    <col min="10664" max="10664" width="14.42578125" bestFit="1" customWidth="1"/>
    <col min="10665" max="10665" width="11.28515625" bestFit="1" customWidth="1"/>
    <col min="10666" max="10666" width="12.28515625" bestFit="1" customWidth="1"/>
    <col min="10667" max="10667" width="13" bestFit="1" customWidth="1"/>
    <col min="10668" max="10668" width="15.140625" bestFit="1" customWidth="1"/>
    <col min="10669" max="10669" width="12.28515625" bestFit="1" customWidth="1"/>
    <col min="10670" max="10670" width="13.85546875" bestFit="1" customWidth="1"/>
    <col min="10671" max="10671" width="11.28515625" bestFit="1" customWidth="1"/>
    <col min="10672" max="10672" width="12.28515625" bestFit="1" customWidth="1"/>
    <col min="10673" max="10673" width="13.85546875" bestFit="1" customWidth="1"/>
    <col min="10674" max="10675" width="15.140625" bestFit="1" customWidth="1"/>
    <col min="10676" max="10676" width="12.28515625" bestFit="1" customWidth="1"/>
    <col min="10677" max="10677" width="5.7109375" bestFit="1" customWidth="1"/>
    <col min="10678" max="10678" width="8.5703125" bestFit="1" customWidth="1"/>
    <col min="10679" max="10679" width="5.5703125" bestFit="1" customWidth="1"/>
    <col min="10680" max="10680" width="14.42578125" bestFit="1" customWidth="1"/>
    <col min="10681" max="10681" width="11.28515625" bestFit="1" customWidth="1"/>
    <col min="10682" max="10683" width="12.28515625" bestFit="1" customWidth="1"/>
    <col min="10684" max="10684" width="11.28515625" bestFit="1" customWidth="1"/>
    <col min="10685" max="10685" width="13.85546875" bestFit="1" customWidth="1"/>
    <col min="10686" max="10686" width="12" bestFit="1" customWidth="1"/>
    <col min="10687" max="10687" width="13.85546875" bestFit="1" customWidth="1"/>
    <col min="10688" max="10689" width="14.42578125" customWidth="1"/>
    <col min="10690" max="10690" width="10.140625" bestFit="1" customWidth="1"/>
    <col min="10691" max="10691" width="12.28515625" bestFit="1" customWidth="1"/>
    <col min="10692" max="10692" width="7.42578125" bestFit="1" customWidth="1"/>
    <col min="10693" max="10693" width="8.5703125" bestFit="1" customWidth="1"/>
    <col min="10694" max="10694" width="11.5703125" bestFit="1" customWidth="1"/>
    <col min="10695" max="10695" width="13.28515625" bestFit="1" customWidth="1"/>
    <col min="10696" max="10696" width="13.28515625" customWidth="1"/>
    <col min="10697" max="10697" width="13.140625" customWidth="1"/>
    <col min="10698" max="10698" width="12.7109375" bestFit="1" customWidth="1"/>
    <col min="10699" max="10699" width="13.28515625" bestFit="1" customWidth="1"/>
    <col min="10700" max="10702" width="13.28515625" customWidth="1"/>
    <col min="10703" max="10703" width="12.140625" bestFit="1" customWidth="1"/>
    <col min="10704" max="10704" width="12.7109375" bestFit="1" customWidth="1"/>
    <col min="10705" max="10705" width="11" customWidth="1"/>
    <col min="10706" max="10706" width="16.7109375" customWidth="1"/>
    <col min="10707" max="10707" width="17" customWidth="1"/>
    <col min="10708" max="10708" width="10.42578125" bestFit="1" customWidth="1"/>
    <col min="10752" max="10752" width="3.85546875" customWidth="1"/>
    <col min="10753" max="10753" width="15.28515625" bestFit="1" customWidth="1"/>
    <col min="10754" max="10754" width="12.28515625" customWidth="1"/>
    <col min="10755" max="10755" width="16.28515625" bestFit="1" customWidth="1"/>
    <col min="10756" max="10756" width="6.42578125" bestFit="1" customWidth="1"/>
    <col min="10757" max="10757" width="9.28515625" bestFit="1" customWidth="1"/>
    <col min="10758" max="10758" width="7.5703125" bestFit="1" customWidth="1"/>
    <col min="10759" max="10759" width="13.28515625" bestFit="1" customWidth="1"/>
    <col min="10760" max="10760" width="9.28515625" bestFit="1" customWidth="1"/>
    <col min="10761" max="10761" width="11.5703125" bestFit="1" customWidth="1"/>
    <col min="10762" max="10762" width="13.28515625" bestFit="1" customWidth="1"/>
    <col min="10763" max="10763" width="7.140625" bestFit="1" customWidth="1"/>
    <col min="10764" max="10764" width="12" bestFit="1" customWidth="1"/>
    <col min="10765" max="10765" width="13.28515625" bestFit="1" customWidth="1"/>
    <col min="10766" max="10766" width="7" bestFit="1" customWidth="1"/>
    <col min="10767" max="10767" width="12.7109375" bestFit="1" customWidth="1"/>
    <col min="10768" max="10768" width="11.5703125" bestFit="1" customWidth="1"/>
    <col min="10769" max="10769" width="10.5703125" bestFit="1" customWidth="1"/>
    <col min="10770" max="10771" width="15.7109375" bestFit="1" customWidth="1"/>
    <col min="10772" max="10772" width="11.5703125" bestFit="1" customWidth="1"/>
    <col min="10773" max="10773" width="7.7109375" bestFit="1" customWidth="1"/>
    <col min="10774" max="10774" width="15.140625" bestFit="1" customWidth="1"/>
    <col min="10775" max="10775" width="11.5703125" bestFit="1" customWidth="1"/>
    <col min="10776" max="10776" width="13.28515625" bestFit="1" customWidth="1"/>
    <col min="10777" max="10777" width="10.42578125" bestFit="1" customWidth="1"/>
    <col min="10778" max="10778" width="13.28515625" bestFit="1" customWidth="1"/>
    <col min="10779" max="10779" width="12.140625" bestFit="1" customWidth="1"/>
    <col min="10780" max="10780" width="14.42578125" bestFit="1" customWidth="1"/>
    <col min="10781" max="10781" width="13.28515625" bestFit="1" customWidth="1"/>
    <col min="10782" max="10782" width="11.5703125" bestFit="1" customWidth="1"/>
    <col min="10783" max="10783" width="7.7109375" bestFit="1" customWidth="1"/>
    <col min="10784" max="10785" width="14.42578125" bestFit="1" customWidth="1"/>
    <col min="10786" max="10786" width="11.5703125" bestFit="1" customWidth="1"/>
    <col min="10787" max="10787" width="7.7109375" bestFit="1" customWidth="1"/>
    <col min="10788" max="10788" width="13.5703125" customWidth="1"/>
    <col min="10789" max="10789" width="15.28515625" customWidth="1"/>
    <col min="10790" max="10790" width="14.5703125" customWidth="1"/>
    <col min="10791" max="10791" width="13.28515625" bestFit="1" customWidth="1"/>
    <col min="10792" max="10792" width="7.7109375" bestFit="1" customWidth="1"/>
    <col min="10793" max="10793" width="12.7109375" bestFit="1" customWidth="1"/>
    <col min="10794" max="10794" width="11.7109375" bestFit="1" customWidth="1"/>
    <col min="10795" max="10795" width="11.5703125" bestFit="1" customWidth="1"/>
    <col min="10796" max="10796" width="5.28515625" bestFit="1" customWidth="1"/>
    <col min="10797" max="10797" width="13.28515625" bestFit="1" customWidth="1"/>
    <col min="10798" max="10798" width="13.5703125" bestFit="1" customWidth="1"/>
    <col min="10799" max="10799" width="10.5703125" bestFit="1" customWidth="1"/>
    <col min="10800" max="10800" width="13.28515625" bestFit="1" customWidth="1"/>
    <col min="10801" max="10801" width="11.5703125" bestFit="1" customWidth="1"/>
    <col min="10802" max="10802" width="10.5703125" bestFit="1" customWidth="1"/>
    <col min="10803" max="10803" width="16.140625" bestFit="1" customWidth="1"/>
    <col min="10804" max="10805" width="11.28515625" bestFit="1" customWidth="1"/>
    <col min="10806" max="10806" width="13.28515625" bestFit="1" customWidth="1"/>
    <col min="10807" max="10807" width="7.7109375" bestFit="1" customWidth="1"/>
    <col min="10808" max="10811" width="9.140625" hidden="1" customWidth="1"/>
    <col min="10812" max="10812" width="10.42578125" bestFit="1" customWidth="1"/>
    <col min="10813" max="10813" width="10.5703125" bestFit="1" customWidth="1"/>
    <col min="10814" max="10814" width="10.42578125" bestFit="1" customWidth="1"/>
    <col min="10815" max="10815" width="10.5703125" bestFit="1" customWidth="1"/>
    <col min="10816" max="10816" width="9.5703125" bestFit="1" customWidth="1"/>
    <col min="10817" max="10817" width="11.5703125" bestFit="1" customWidth="1"/>
    <col min="10818" max="10818" width="10.42578125" bestFit="1" customWidth="1"/>
    <col min="10819" max="10819" width="10.85546875" customWidth="1"/>
    <col min="10820" max="10821" width="9.85546875" bestFit="1" customWidth="1"/>
    <col min="10822" max="10822" width="13.5703125" bestFit="1" customWidth="1"/>
    <col min="10823" max="10823" width="7.7109375" bestFit="1" customWidth="1"/>
    <col min="10824" max="10824" width="13.28515625" bestFit="1" customWidth="1"/>
    <col min="10825" max="10825" width="11.5703125" bestFit="1" customWidth="1"/>
    <col min="10826" max="10826" width="10.42578125" bestFit="1" customWidth="1"/>
    <col min="10827" max="10827" width="7.7109375" bestFit="1" customWidth="1"/>
    <col min="10828" max="10828" width="11.5703125" bestFit="1" customWidth="1"/>
    <col min="10829" max="10829" width="10.85546875" bestFit="1" customWidth="1"/>
    <col min="10830" max="10830" width="13.28515625" bestFit="1" customWidth="1"/>
    <col min="10831" max="10831" width="10.85546875" bestFit="1" customWidth="1"/>
    <col min="10832" max="10833" width="7.5703125" bestFit="1" customWidth="1"/>
    <col min="10834" max="10835" width="10.42578125" bestFit="1" customWidth="1"/>
    <col min="10836" max="10836" width="11.5703125" bestFit="1" customWidth="1"/>
    <col min="10837" max="10837" width="5.28515625" bestFit="1" customWidth="1"/>
    <col min="10838" max="10838" width="10.28515625" bestFit="1" customWidth="1"/>
    <col min="10839" max="10839" width="10.42578125" bestFit="1" customWidth="1"/>
    <col min="10840" max="10840" width="11.5703125" bestFit="1" customWidth="1"/>
    <col min="10841" max="10841" width="5.28515625" bestFit="1" customWidth="1"/>
    <col min="10842" max="10844" width="11.5703125" bestFit="1" customWidth="1"/>
    <col min="10845" max="10845" width="5.28515625" bestFit="1" customWidth="1"/>
    <col min="10846" max="10847" width="10.42578125" bestFit="1" customWidth="1"/>
    <col min="10848" max="10848" width="11.5703125" bestFit="1" customWidth="1"/>
    <col min="10849" max="10849" width="5.28515625" bestFit="1" customWidth="1"/>
    <col min="10850" max="10850" width="14.28515625" bestFit="1" customWidth="1"/>
    <col min="10851" max="10851" width="13" bestFit="1" customWidth="1"/>
    <col min="10852" max="10852" width="11.5703125" bestFit="1" customWidth="1"/>
    <col min="10853" max="10853" width="8.85546875" bestFit="1" customWidth="1"/>
    <col min="10854" max="10854" width="14.42578125" bestFit="1" customWidth="1"/>
    <col min="10855" max="10855" width="10.42578125" bestFit="1" customWidth="1"/>
    <col min="10856" max="10856" width="12.28515625" bestFit="1" customWidth="1"/>
    <col min="10857" max="10857" width="13.85546875" bestFit="1" customWidth="1"/>
    <col min="10858" max="10858" width="11.28515625" customWidth="1"/>
    <col min="10859" max="10859" width="11.5703125" customWidth="1"/>
    <col min="10860" max="10860" width="13.42578125" bestFit="1" customWidth="1"/>
    <col min="10861" max="10861" width="10.42578125" customWidth="1"/>
    <col min="10862" max="10862" width="13.85546875" bestFit="1" customWidth="1"/>
    <col min="10863" max="10863" width="15.42578125" bestFit="1" customWidth="1"/>
    <col min="10864" max="10864" width="12.28515625" bestFit="1" customWidth="1"/>
    <col min="10865" max="10865" width="12.7109375" customWidth="1"/>
    <col min="10866" max="10866" width="10.7109375" bestFit="1" customWidth="1"/>
    <col min="10867" max="10867" width="9.85546875" customWidth="1"/>
    <col min="10868" max="10869" width="10.140625" bestFit="1" customWidth="1"/>
    <col min="10870" max="10870" width="7.5703125" bestFit="1" customWidth="1"/>
    <col min="10871" max="10871" width="9.42578125" bestFit="1" customWidth="1"/>
    <col min="10872" max="10872" width="14.5703125" bestFit="1" customWidth="1"/>
    <col min="10873" max="10873" width="14.85546875" customWidth="1"/>
    <col min="10874" max="10874" width="15.140625" bestFit="1" customWidth="1"/>
    <col min="10875" max="10875" width="12.140625" bestFit="1" customWidth="1"/>
    <col min="10876" max="10876" width="14.85546875" bestFit="1" customWidth="1"/>
    <col min="10877" max="10877" width="12.28515625" bestFit="1" customWidth="1"/>
    <col min="10878" max="10886" width="9.140625" hidden="1" customWidth="1"/>
    <col min="10887" max="10887" width="5.28515625" bestFit="1" customWidth="1"/>
    <col min="10888" max="10893" width="11.5703125" bestFit="1" customWidth="1"/>
    <col min="10894" max="10894" width="11.28515625" bestFit="1" customWidth="1"/>
    <col min="10895" max="10895" width="10.140625" bestFit="1" customWidth="1"/>
    <col min="10896" max="10896" width="11.5703125" bestFit="1" customWidth="1"/>
    <col min="10897" max="10897" width="16.140625" customWidth="1"/>
    <col min="10898" max="10898" width="13.42578125" customWidth="1"/>
    <col min="10899" max="10899" width="10.140625" bestFit="1" customWidth="1"/>
    <col min="10900" max="10900" width="12.85546875" bestFit="1" customWidth="1"/>
    <col min="10901" max="10901" width="12.28515625" bestFit="1" customWidth="1"/>
    <col min="10902" max="10902" width="11.28515625" bestFit="1" customWidth="1"/>
    <col min="10903" max="10903" width="11.5703125" bestFit="1" customWidth="1"/>
    <col min="10904" max="10904" width="10.85546875" bestFit="1" customWidth="1"/>
    <col min="10905" max="10905" width="11.28515625" bestFit="1" customWidth="1"/>
    <col min="10906" max="10906" width="10.140625" bestFit="1" customWidth="1"/>
    <col min="10907" max="10907" width="13.28515625" bestFit="1" customWidth="1"/>
    <col min="10908" max="10909" width="12.7109375" bestFit="1" customWidth="1"/>
    <col min="10910" max="10910" width="11" bestFit="1" customWidth="1"/>
    <col min="10911" max="10911" width="11.28515625" bestFit="1" customWidth="1"/>
    <col min="10912" max="10912" width="11.5703125" bestFit="1" customWidth="1"/>
    <col min="10913" max="10913" width="12.28515625" bestFit="1" customWidth="1"/>
    <col min="10914" max="10914" width="15.140625" bestFit="1" customWidth="1"/>
    <col min="10915" max="10915" width="14.42578125" bestFit="1" customWidth="1"/>
    <col min="10916" max="10916" width="12.28515625" bestFit="1" customWidth="1"/>
    <col min="10917" max="10917" width="15.140625" bestFit="1" customWidth="1"/>
    <col min="10918" max="10918" width="14.42578125" bestFit="1" customWidth="1"/>
    <col min="10919" max="10919" width="12.28515625" bestFit="1" customWidth="1"/>
    <col min="10920" max="10920" width="14.42578125" bestFit="1" customWidth="1"/>
    <col min="10921" max="10921" width="11.28515625" bestFit="1" customWidth="1"/>
    <col min="10922" max="10922" width="12.28515625" bestFit="1" customWidth="1"/>
    <col min="10923" max="10923" width="13" bestFit="1" customWidth="1"/>
    <col min="10924" max="10924" width="15.140625" bestFit="1" customWidth="1"/>
    <col min="10925" max="10925" width="12.28515625" bestFit="1" customWidth="1"/>
    <col min="10926" max="10926" width="13.85546875" bestFit="1" customWidth="1"/>
    <col min="10927" max="10927" width="11.28515625" bestFit="1" customWidth="1"/>
    <col min="10928" max="10928" width="12.28515625" bestFit="1" customWidth="1"/>
    <col min="10929" max="10929" width="13.85546875" bestFit="1" customWidth="1"/>
    <col min="10930" max="10931" width="15.140625" bestFit="1" customWidth="1"/>
    <col min="10932" max="10932" width="12.28515625" bestFit="1" customWidth="1"/>
    <col min="10933" max="10933" width="5.7109375" bestFit="1" customWidth="1"/>
    <col min="10934" max="10934" width="8.5703125" bestFit="1" customWidth="1"/>
    <col min="10935" max="10935" width="5.5703125" bestFit="1" customWidth="1"/>
    <col min="10936" max="10936" width="14.42578125" bestFit="1" customWidth="1"/>
    <col min="10937" max="10937" width="11.28515625" bestFit="1" customWidth="1"/>
    <col min="10938" max="10939" width="12.28515625" bestFit="1" customWidth="1"/>
    <col min="10940" max="10940" width="11.28515625" bestFit="1" customWidth="1"/>
    <col min="10941" max="10941" width="13.85546875" bestFit="1" customWidth="1"/>
    <col min="10942" max="10942" width="12" bestFit="1" customWidth="1"/>
    <col min="10943" max="10943" width="13.85546875" bestFit="1" customWidth="1"/>
    <col min="10944" max="10945" width="14.42578125" customWidth="1"/>
    <col min="10946" max="10946" width="10.140625" bestFit="1" customWidth="1"/>
    <col min="10947" max="10947" width="12.28515625" bestFit="1" customWidth="1"/>
    <col min="10948" max="10948" width="7.42578125" bestFit="1" customWidth="1"/>
    <col min="10949" max="10949" width="8.5703125" bestFit="1" customWidth="1"/>
    <col min="10950" max="10950" width="11.5703125" bestFit="1" customWidth="1"/>
    <col min="10951" max="10951" width="13.28515625" bestFit="1" customWidth="1"/>
    <col min="10952" max="10952" width="13.28515625" customWidth="1"/>
    <col min="10953" max="10953" width="13.140625" customWidth="1"/>
    <col min="10954" max="10954" width="12.7109375" bestFit="1" customWidth="1"/>
    <col min="10955" max="10955" width="13.28515625" bestFit="1" customWidth="1"/>
    <col min="10956" max="10958" width="13.28515625" customWidth="1"/>
    <col min="10959" max="10959" width="12.140625" bestFit="1" customWidth="1"/>
    <col min="10960" max="10960" width="12.7109375" bestFit="1" customWidth="1"/>
    <col min="10961" max="10961" width="11" customWidth="1"/>
    <col min="10962" max="10962" width="16.7109375" customWidth="1"/>
    <col min="10963" max="10963" width="17" customWidth="1"/>
    <col min="10964" max="10964" width="10.42578125" bestFit="1" customWidth="1"/>
    <col min="11008" max="11008" width="3.85546875" customWidth="1"/>
    <col min="11009" max="11009" width="15.28515625" bestFit="1" customWidth="1"/>
    <col min="11010" max="11010" width="12.28515625" customWidth="1"/>
    <col min="11011" max="11011" width="16.28515625" bestFit="1" customWidth="1"/>
    <col min="11012" max="11012" width="6.42578125" bestFit="1" customWidth="1"/>
    <col min="11013" max="11013" width="9.28515625" bestFit="1" customWidth="1"/>
    <col min="11014" max="11014" width="7.5703125" bestFit="1" customWidth="1"/>
    <col min="11015" max="11015" width="13.28515625" bestFit="1" customWidth="1"/>
    <col min="11016" max="11016" width="9.28515625" bestFit="1" customWidth="1"/>
    <col min="11017" max="11017" width="11.5703125" bestFit="1" customWidth="1"/>
    <col min="11018" max="11018" width="13.28515625" bestFit="1" customWidth="1"/>
    <col min="11019" max="11019" width="7.140625" bestFit="1" customWidth="1"/>
    <col min="11020" max="11020" width="12" bestFit="1" customWidth="1"/>
    <col min="11021" max="11021" width="13.28515625" bestFit="1" customWidth="1"/>
    <col min="11022" max="11022" width="7" bestFit="1" customWidth="1"/>
    <col min="11023" max="11023" width="12.7109375" bestFit="1" customWidth="1"/>
    <col min="11024" max="11024" width="11.5703125" bestFit="1" customWidth="1"/>
    <col min="11025" max="11025" width="10.5703125" bestFit="1" customWidth="1"/>
    <col min="11026" max="11027" width="15.7109375" bestFit="1" customWidth="1"/>
    <col min="11028" max="11028" width="11.5703125" bestFit="1" customWidth="1"/>
    <col min="11029" max="11029" width="7.7109375" bestFit="1" customWidth="1"/>
    <col min="11030" max="11030" width="15.140625" bestFit="1" customWidth="1"/>
    <col min="11031" max="11031" width="11.5703125" bestFit="1" customWidth="1"/>
    <col min="11032" max="11032" width="13.28515625" bestFit="1" customWidth="1"/>
    <col min="11033" max="11033" width="10.42578125" bestFit="1" customWidth="1"/>
    <col min="11034" max="11034" width="13.28515625" bestFit="1" customWidth="1"/>
    <col min="11035" max="11035" width="12.140625" bestFit="1" customWidth="1"/>
    <col min="11036" max="11036" width="14.42578125" bestFit="1" customWidth="1"/>
    <col min="11037" max="11037" width="13.28515625" bestFit="1" customWidth="1"/>
    <col min="11038" max="11038" width="11.5703125" bestFit="1" customWidth="1"/>
    <col min="11039" max="11039" width="7.7109375" bestFit="1" customWidth="1"/>
    <col min="11040" max="11041" width="14.42578125" bestFit="1" customWidth="1"/>
    <col min="11042" max="11042" width="11.5703125" bestFit="1" customWidth="1"/>
    <col min="11043" max="11043" width="7.7109375" bestFit="1" customWidth="1"/>
    <col min="11044" max="11044" width="13.5703125" customWidth="1"/>
    <col min="11045" max="11045" width="15.28515625" customWidth="1"/>
    <col min="11046" max="11046" width="14.5703125" customWidth="1"/>
    <col min="11047" max="11047" width="13.28515625" bestFit="1" customWidth="1"/>
    <col min="11048" max="11048" width="7.7109375" bestFit="1" customWidth="1"/>
    <col min="11049" max="11049" width="12.7109375" bestFit="1" customWidth="1"/>
    <col min="11050" max="11050" width="11.7109375" bestFit="1" customWidth="1"/>
    <col min="11051" max="11051" width="11.5703125" bestFit="1" customWidth="1"/>
    <col min="11052" max="11052" width="5.28515625" bestFit="1" customWidth="1"/>
    <col min="11053" max="11053" width="13.28515625" bestFit="1" customWidth="1"/>
    <col min="11054" max="11054" width="13.5703125" bestFit="1" customWidth="1"/>
    <col min="11055" max="11055" width="10.5703125" bestFit="1" customWidth="1"/>
    <col min="11056" max="11056" width="13.28515625" bestFit="1" customWidth="1"/>
    <col min="11057" max="11057" width="11.5703125" bestFit="1" customWidth="1"/>
    <col min="11058" max="11058" width="10.5703125" bestFit="1" customWidth="1"/>
    <col min="11059" max="11059" width="16.140625" bestFit="1" customWidth="1"/>
    <col min="11060" max="11061" width="11.28515625" bestFit="1" customWidth="1"/>
    <col min="11062" max="11062" width="13.28515625" bestFit="1" customWidth="1"/>
    <col min="11063" max="11063" width="7.7109375" bestFit="1" customWidth="1"/>
    <col min="11064" max="11067" width="9.140625" hidden="1" customWidth="1"/>
    <col min="11068" max="11068" width="10.42578125" bestFit="1" customWidth="1"/>
    <col min="11069" max="11069" width="10.5703125" bestFit="1" customWidth="1"/>
    <col min="11070" max="11070" width="10.42578125" bestFit="1" customWidth="1"/>
    <col min="11071" max="11071" width="10.5703125" bestFit="1" customWidth="1"/>
    <col min="11072" max="11072" width="9.5703125" bestFit="1" customWidth="1"/>
    <col min="11073" max="11073" width="11.5703125" bestFit="1" customWidth="1"/>
    <col min="11074" max="11074" width="10.42578125" bestFit="1" customWidth="1"/>
    <col min="11075" max="11075" width="10.85546875" customWidth="1"/>
    <col min="11076" max="11077" width="9.85546875" bestFit="1" customWidth="1"/>
    <col min="11078" max="11078" width="13.5703125" bestFit="1" customWidth="1"/>
    <col min="11079" max="11079" width="7.7109375" bestFit="1" customWidth="1"/>
    <col min="11080" max="11080" width="13.28515625" bestFit="1" customWidth="1"/>
    <col min="11081" max="11081" width="11.5703125" bestFit="1" customWidth="1"/>
    <col min="11082" max="11082" width="10.42578125" bestFit="1" customWidth="1"/>
    <col min="11083" max="11083" width="7.7109375" bestFit="1" customWidth="1"/>
    <col min="11084" max="11084" width="11.5703125" bestFit="1" customWidth="1"/>
    <col min="11085" max="11085" width="10.85546875" bestFit="1" customWidth="1"/>
    <col min="11086" max="11086" width="13.28515625" bestFit="1" customWidth="1"/>
    <col min="11087" max="11087" width="10.85546875" bestFit="1" customWidth="1"/>
    <col min="11088" max="11089" width="7.5703125" bestFit="1" customWidth="1"/>
    <col min="11090" max="11091" width="10.42578125" bestFit="1" customWidth="1"/>
    <col min="11092" max="11092" width="11.5703125" bestFit="1" customWidth="1"/>
    <col min="11093" max="11093" width="5.28515625" bestFit="1" customWidth="1"/>
    <col min="11094" max="11094" width="10.28515625" bestFit="1" customWidth="1"/>
    <col min="11095" max="11095" width="10.42578125" bestFit="1" customWidth="1"/>
    <col min="11096" max="11096" width="11.5703125" bestFit="1" customWidth="1"/>
    <col min="11097" max="11097" width="5.28515625" bestFit="1" customWidth="1"/>
    <col min="11098" max="11100" width="11.5703125" bestFit="1" customWidth="1"/>
    <col min="11101" max="11101" width="5.28515625" bestFit="1" customWidth="1"/>
    <col min="11102" max="11103" width="10.42578125" bestFit="1" customWidth="1"/>
    <col min="11104" max="11104" width="11.5703125" bestFit="1" customWidth="1"/>
    <col min="11105" max="11105" width="5.28515625" bestFit="1" customWidth="1"/>
    <col min="11106" max="11106" width="14.28515625" bestFit="1" customWidth="1"/>
    <col min="11107" max="11107" width="13" bestFit="1" customWidth="1"/>
    <col min="11108" max="11108" width="11.5703125" bestFit="1" customWidth="1"/>
    <col min="11109" max="11109" width="8.85546875" bestFit="1" customWidth="1"/>
    <col min="11110" max="11110" width="14.42578125" bestFit="1" customWidth="1"/>
    <col min="11111" max="11111" width="10.42578125" bestFit="1" customWidth="1"/>
    <col min="11112" max="11112" width="12.28515625" bestFit="1" customWidth="1"/>
    <col min="11113" max="11113" width="13.85546875" bestFit="1" customWidth="1"/>
    <col min="11114" max="11114" width="11.28515625" customWidth="1"/>
    <col min="11115" max="11115" width="11.5703125" customWidth="1"/>
    <col min="11116" max="11116" width="13.42578125" bestFit="1" customWidth="1"/>
    <col min="11117" max="11117" width="10.42578125" customWidth="1"/>
    <col min="11118" max="11118" width="13.85546875" bestFit="1" customWidth="1"/>
    <col min="11119" max="11119" width="15.42578125" bestFit="1" customWidth="1"/>
    <col min="11120" max="11120" width="12.28515625" bestFit="1" customWidth="1"/>
    <col min="11121" max="11121" width="12.7109375" customWidth="1"/>
    <col min="11122" max="11122" width="10.7109375" bestFit="1" customWidth="1"/>
    <col min="11123" max="11123" width="9.85546875" customWidth="1"/>
    <col min="11124" max="11125" width="10.140625" bestFit="1" customWidth="1"/>
    <col min="11126" max="11126" width="7.5703125" bestFit="1" customWidth="1"/>
    <col min="11127" max="11127" width="9.42578125" bestFit="1" customWidth="1"/>
    <col min="11128" max="11128" width="14.5703125" bestFit="1" customWidth="1"/>
    <col min="11129" max="11129" width="14.85546875" customWidth="1"/>
    <col min="11130" max="11130" width="15.140625" bestFit="1" customWidth="1"/>
    <col min="11131" max="11131" width="12.140625" bestFit="1" customWidth="1"/>
    <col min="11132" max="11132" width="14.85546875" bestFit="1" customWidth="1"/>
    <col min="11133" max="11133" width="12.28515625" bestFit="1" customWidth="1"/>
    <col min="11134" max="11142" width="9.140625" hidden="1" customWidth="1"/>
    <col min="11143" max="11143" width="5.28515625" bestFit="1" customWidth="1"/>
    <col min="11144" max="11149" width="11.5703125" bestFit="1" customWidth="1"/>
    <col min="11150" max="11150" width="11.28515625" bestFit="1" customWidth="1"/>
    <col min="11151" max="11151" width="10.140625" bestFit="1" customWidth="1"/>
    <col min="11152" max="11152" width="11.5703125" bestFit="1" customWidth="1"/>
    <col min="11153" max="11153" width="16.140625" customWidth="1"/>
    <col min="11154" max="11154" width="13.42578125" customWidth="1"/>
    <col min="11155" max="11155" width="10.140625" bestFit="1" customWidth="1"/>
    <col min="11156" max="11156" width="12.85546875" bestFit="1" customWidth="1"/>
    <col min="11157" max="11157" width="12.28515625" bestFit="1" customWidth="1"/>
    <col min="11158" max="11158" width="11.28515625" bestFit="1" customWidth="1"/>
    <col min="11159" max="11159" width="11.5703125" bestFit="1" customWidth="1"/>
    <col min="11160" max="11160" width="10.85546875" bestFit="1" customWidth="1"/>
    <col min="11161" max="11161" width="11.28515625" bestFit="1" customWidth="1"/>
    <col min="11162" max="11162" width="10.140625" bestFit="1" customWidth="1"/>
    <col min="11163" max="11163" width="13.28515625" bestFit="1" customWidth="1"/>
    <col min="11164" max="11165" width="12.7109375" bestFit="1" customWidth="1"/>
    <col min="11166" max="11166" width="11" bestFit="1" customWidth="1"/>
    <col min="11167" max="11167" width="11.28515625" bestFit="1" customWidth="1"/>
    <col min="11168" max="11168" width="11.5703125" bestFit="1" customWidth="1"/>
    <col min="11169" max="11169" width="12.28515625" bestFit="1" customWidth="1"/>
    <col min="11170" max="11170" width="15.140625" bestFit="1" customWidth="1"/>
    <col min="11171" max="11171" width="14.42578125" bestFit="1" customWidth="1"/>
    <col min="11172" max="11172" width="12.28515625" bestFit="1" customWidth="1"/>
    <col min="11173" max="11173" width="15.140625" bestFit="1" customWidth="1"/>
    <col min="11174" max="11174" width="14.42578125" bestFit="1" customWidth="1"/>
    <col min="11175" max="11175" width="12.28515625" bestFit="1" customWidth="1"/>
    <col min="11176" max="11176" width="14.42578125" bestFit="1" customWidth="1"/>
    <col min="11177" max="11177" width="11.28515625" bestFit="1" customWidth="1"/>
    <col min="11178" max="11178" width="12.28515625" bestFit="1" customWidth="1"/>
    <col min="11179" max="11179" width="13" bestFit="1" customWidth="1"/>
    <col min="11180" max="11180" width="15.140625" bestFit="1" customWidth="1"/>
    <col min="11181" max="11181" width="12.28515625" bestFit="1" customWidth="1"/>
    <col min="11182" max="11182" width="13.85546875" bestFit="1" customWidth="1"/>
    <col min="11183" max="11183" width="11.28515625" bestFit="1" customWidth="1"/>
    <col min="11184" max="11184" width="12.28515625" bestFit="1" customWidth="1"/>
    <col min="11185" max="11185" width="13.85546875" bestFit="1" customWidth="1"/>
    <col min="11186" max="11187" width="15.140625" bestFit="1" customWidth="1"/>
    <col min="11188" max="11188" width="12.28515625" bestFit="1" customWidth="1"/>
    <col min="11189" max="11189" width="5.7109375" bestFit="1" customWidth="1"/>
    <col min="11190" max="11190" width="8.5703125" bestFit="1" customWidth="1"/>
    <col min="11191" max="11191" width="5.5703125" bestFit="1" customWidth="1"/>
    <col min="11192" max="11192" width="14.42578125" bestFit="1" customWidth="1"/>
    <col min="11193" max="11193" width="11.28515625" bestFit="1" customWidth="1"/>
    <col min="11194" max="11195" width="12.28515625" bestFit="1" customWidth="1"/>
    <col min="11196" max="11196" width="11.28515625" bestFit="1" customWidth="1"/>
    <col min="11197" max="11197" width="13.85546875" bestFit="1" customWidth="1"/>
    <col min="11198" max="11198" width="12" bestFit="1" customWidth="1"/>
    <col min="11199" max="11199" width="13.85546875" bestFit="1" customWidth="1"/>
    <col min="11200" max="11201" width="14.42578125" customWidth="1"/>
    <col min="11202" max="11202" width="10.140625" bestFit="1" customWidth="1"/>
    <col min="11203" max="11203" width="12.28515625" bestFit="1" customWidth="1"/>
    <col min="11204" max="11204" width="7.42578125" bestFit="1" customWidth="1"/>
    <col min="11205" max="11205" width="8.5703125" bestFit="1" customWidth="1"/>
    <col min="11206" max="11206" width="11.5703125" bestFit="1" customWidth="1"/>
    <col min="11207" max="11207" width="13.28515625" bestFit="1" customWidth="1"/>
    <col min="11208" max="11208" width="13.28515625" customWidth="1"/>
    <col min="11209" max="11209" width="13.140625" customWidth="1"/>
    <col min="11210" max="11210" width="12.7109375" bestFit="1" customWidth="1"/>
    <col min="11211" max="11211" width="13.28515625" bestFit="1" customWidth="1"/>
    <col min="11212" max="11214" width="13.28515625" customWidth="1"/>
    <col min="11215" max="11215" width="12.140625" bestFit="1" customWidth="1"/>
    <col min="11216" max="11216" width="12.7109375" bestFit="1" customWidth="1"/>
    <col min="11217" max="11217" width="11" customWidth="1"/>
    <col min="11218" max="11218" width="16.7109375" customWidth="1"/>
    <col min="11219" max="11219" width="17" customWidth="1"/>
    <col min="11220" max="11220" width="10.42578125" bestFit="1" customWidth="1"/>
    <col min="11264" max="11264" width="3.85546875" customWidth="1"/>
    <col min="11265" max="11265" width="15.28515625" bestFit="1" customWidth="1"/>
    <col min="11266" max="11266" width="12.28515625" customWidth="1"/>
    <col min="11267" max="11267" width="16.28515625" bestFit="1" customWidth="1"/>
    <col min="11268" max="11268" width="6.42578125" bestFit="1" customWidth="1"/>
    <col min="11269" max="11269" width="9.28515625" bestFit="1" customWidth="1"/>
    <col min="11270" max="11270" width="7.5703125" bestFit="1" customWidth="1"/>
    <col min="11271" max="11271" width="13.28515625" bestFit="1" customWidth="1"/>
    <col min="11272" max="11272" width="9.28515625" bestFit="1" customWidth="1"/>
    <col min="11273" max="11273" width="11.5703125" bestFit="1" customWidth="1"/>
    <col min="11274" max="11274" width="13.28515625" bestFit="1" customWidth="1"/>
    <col min="11275" max="11275" width="7.140625" bestFit="1" customWidth="1"/>
    <col min="11276" max="11276" width="12" bestFit="1" customWidth="1"/>
    <col min="11277" max="11277" width="13.28515625" bestFit="1" customWidth="1"/>
    <col min="11278" max="11278" width="7" bestFit="1" customWidth="1"/>
    <col min="11279" max="11279" width="12.7109375" bestFit="1" customWidth="1"/>
    <col min="11280" max="11280" width="11.5703125" bestFit="1" customWidth="1"/>
    <col min="11281" max="11281" width="10.5703125" bestFit="1" customWidth="1"/>
    <col min="11282" max="11283" width="15.7109375" bestFit="1" customWidth="1"/>
    <col min="11284" max="11284" width="11.5703125" bestFit="1" customWidth="1"/>
    <col min="11285" max="11285" width="7.7109375" bestFit="1" customWidth="1"/>
    <col min="11286" max="11286" width="15.140625" bestFit="1" customWidth="1"/>
    <col min="11287" max="11287" width="11.5703125" bestFit="1" customWidth="1"/>
    <col min="11288" max="11288" width="13.28515625" bestFit="1" customWidth="1"/>
    <col min="11289" max="11289" width="10.42578125" bestFit="1" customWidth="1"/>
    <col min="11290" max="11290" width="13.28515625" bestFit="1" customWidth="1"/>
    <col min="11291" max="11291" width="12.140625" bestFit="1" customWidth="1"/>
    <col min="11292" max="11292" width="14.42578125" bestFit="1" customWidth="1"/>
    <col min="11293" max="11293" width="13.28515625" bestFit="1" customWidth="1"/>
    <col min="11294" max="11294" width="11.5703125" bestFit="1" customWidth="1"/>
    <col min="11295" max="11295" width="7.7109375" bestFit="1" customWidth="1"/>
    <col min="11296" max="11297" width="14.42578125" bestFit="1" customWidth="1"/>
    <col min="11298" max="11298" width="11.5703125" bestFit="1" customWidth="1"/>
    <col min="11299" max="11299" width="7.7109375" bestFit="1" customWidth="1"/>
    <col min="11300" max="11300" width="13.5703125" customWidth="1"/>
    <col min="11301" max="11301" width="15.28515625" customWidth="1"/>
    <col min="11302" max="11302" width="14.5703125" customWidth="1"/>
    <col min="11303" max="11303" width="13.28515625" bestFit="1" customWidth="1"/>
    <col min="11304" max="11304" width="7.7109375" bestFit="1" customWidth="1"/>
    <col min="11305" max="11305" width="12.7109375" bestFit="1" customWidth="1"/>
    <col min="11306" max="11306" width="11.7109375" bestFit="1" customWidth="1"/>
    <col min="11307" max="11307" width="11.5703125" bestFit="1" customWidth="1"/>
    <col min="11308" max="11308" width="5.28515625" bestFit="1" customWidth="1"/>
    <col min="11309" max="11309" width="13.28515625" bestFit="1" customWidth="1"/>
    <col min="11310" max="11310" width="13.5703125" bestFit="1" customWidth="1"/>
    <col min="11311" max="11311" width="10.5703125" bestFit="1" customWidth="1"/>
    <col min="11312" max="11312" width="13.28515625" bestFit="1" customWidth="1"/>
    <col min="11313" max="11313" width="11.5703125" bestFit="1" customWidth="1"/>
    <col min="11314" max="11314" width="10.5703125" bestFit="1" customWidth="1"/>
    <col min="11315" max="11315" width="16.140625" bestFit="1" customWidth="1"/>
    <col min="11316" max="11317" width="11.28515625" bestFit="1" customWidth="1"/>
    <col min="11318" max="11318" width="13.28515625" bestFit="1" customWidth="1"/>
    <col min="11319" max="11319" width="7.7109375" bestFit="1" customWidth="1"/>
    <col min="11320" max="11323" width="9.140625" hidden="1" customWidth="1"/>
    <col min="11324" max="11324" width="10.42578125" bestFit="1" customWidth="1"/>
    <col min="11325" max="11325" width="10.5703125" bestFit="1" customWidth="1"/>
    <col min="11326" max="11326" width="10.42578125" bestFit="1" customWidth="1"/>
    <col min="11327" max="11327" width="10.5703125" bestFit="1" customWidth="1"/>
    <col min="11328" max="11328" width="9.5703125" bestFit="1" customWidth="1"/>
    <col min="11329" max="11329" width="11.5703125" bestFit="1" customWidth="1"/>
    <col min="11330" max="11330" width="10.42578125" bestFit="1" customWidth="1"/>
    <col min="11331" max="11331" width="10.85546875" customWidth="1"/>
    <col min="11332" max="11333" width="9.85546875" bestFit="1" customWidth="1"/>
    <col min="11334" max="11334" width="13.5703125" bestFit="1" customWidth="1"/>
    <col min="11335" max="11335" width="7.7109375" bestFit="1" customWidth="1"/>
    <col min="11336" max="11336" width="13.28515625" bestFit="1" customWidth="1"/>
    <col min="11337" max="11337" width="11.5703125" bestFit="1" customWidth="1"/>
    <col min="11338" max="11338" width="10.42578125" bestFit="1" customWidth="1"/>
    <col min="11339" max="11339" width="7.7109375" bestFit="1" customWidth="1"/>
    <col min="11340" max="11340" width="11.5703125" bestFit="1" customWidth="1"/>
    <col min="11341" max="11341" width="10.85546875" bestFit="1" customWidth="1"/>
    <col min="11342" max="11342" width="13.28515625" bestFit="1" customWidth="1"/>
    <col min="11343" max="11343" width="10.85546875" bestFit="1" customWidth="1"/>
    <col min="11344" max="11345" width="7.5703125" bestFit="1" customWidth="1"/>
    <col min="11346" max="11347" width="10.42578125" bestFit="1" customWidth="1"/>
    <col min="11348" max="11348" width="11.5703125" bestFit="1" customWidth="1"/>
    <col min="11349" max="11349" width="5.28515625" bestFit="1" customWidth="1"/>
    <col min="11350" max="11350" width="10.28515625" bestFit="1" customWidth="1"/>
    <col min="11351" max="11351" width="10.42578125" bestFit="1" customWidth="1"/>
    <col min="11352" max="11352" width="11.5703125" bestFit="1" customWidth="1"/>
    <col min="11353" max="11353" width="5.28515625" bestFit="1" customWidth="1"/>
    <col min="11354" max="11356" width="11.5703125" bestFit="1" customWidth="1"/>
    <col min="11357" max="11357" width="5.28515625" bestFit="1" customWidth="1"/>
    <col min="11358" max="11359" width="10.42578125" bestFit="1" customWidth="1"/>
    <col min="11360" max="11360" width="11.5703125" bestFit="1" customWidth="1"/>
    <col min="11361" max="11361" width="5.28515625" bestFit="1" customWidth="1"/>
    <col min="11362" max="11362" width="14.28515625" bestFit="1" customWidth="1"/>
    <col min="11363" max="11363" width="13" bestFit="1" customWidth="1"/>
    <col min="11364" max="11364" width="11.5703125" bestFit="1" customWidth="1"/>
    <col min="11365" max="11365" width="8.85546875" bestFit="1" customWidth="1"/>
    <col min="11366" max="11366" width="14.42578125" bestFit="1" customWidth="1"/>
    <col min="11367" max="11367" width="10.42578125" bestFit="1" customWidth="1"/>
    <col min="11368" max="11368" width="12.28515625" bestFit="1" customWidth="1"/>
    <col min="11369" max="11369" width="13.85546875" bestFit="1" customWidth="1"/>
    <col min="11370" max="11370" width="11.28515625" customWidth="1"/>
    <col min="11371" max="11371" width="11.5703125" customWidth="1"/>
    <col min="11372" max="11372" width="13.42578125" bestFit="1" customWidth="1"/>
    <col min="11373" max="11373" width="10.42578125" customWidth="1"/>
    <col min="11374" max="11374" width="13.85546875" bestFit="1" customWidth="1"/>
    <col min="11375" max="11375" width="15.42578125" bestFit="1" customWidth="1"/>
    <col min="11376" max="11376" width="12.28515625" bestFit="1" customWidth="1"/>
    <col min="11377" max="11377" width="12.7109375" customWidth="1"/>
    <col min="11378" max="11378" width="10.7109375" bestFit="1" customWidth="1"/>
    <col min="11379" max="11379" width="9.85546875" customWidth="1"/>
    <col min="11380" max="11381" width="10.140625" bestFit="1" customWidth="1"/>
    <col min="11382" max="11382" width="7.5703125" bestFit="1" customWidth="1"/>
    <col min="11383" max="11383" width="9.42578125" bestFit="1" customWidth="1"/>
    <col min="11384" max="11384" width="14.5703125" bestFit="1" customWidth="1"/>
    <col min="11385" max="11385" width="14.85546875" customWidth="1"/>
    <col min="11386" max="11386" width="15.140625" bestFit="1" customWidth="1"/>
    <col min="11387" max="11387" width="12.140625" bestFit="1" customWidth="1"/>
    <col min="11388" max="11388" width="14.85546875" bestFit="1" customWidth="1"/>
    <col min="11389" max="11389" width="12.28515625" bestFit="1" customWidth="1"/>
    <col min="11390" max="11398" width="9.140625" hidden="1" customWidth="1"/>
    <col min="11399" max="11399" width="5.28515625" bestFit="1" customWidth="1"/>
    <col min="11400" max="11405" width="11.5703125" bestFit="1" customWidth="1"/>
    <col min="11406" max="11406" width="11.28515625" bestFit="1" customWidth="1"/>
    <col min="11407" max="11407" width="10.140625" bestFit="1" customWidth="1"/>
    <col min="11408" max="11408" width="11.5703125" bestFit="1" customWidth="1"/>
    <col min="11409" max="11409" width="16.140625" customWidth="1"/>
    <col min="11410" max="11410" width="13.42578125" customWidth="1"/>
    <col min="11411" max="11411" width="10.140625" bestFit="1" customWidth="1"/>
    <col min="11412" max="11412" width="12.85546875" bestFit="1" customWidth="1"/>
    <col min="11413" max="11413" width="12.28515625" bestFit="1" customWidth="1"/>
    <col min="11414" max="11414" width="11.28515625" bestFit="1" customWidth="1"/>
    <col min="11415" max="11415" width="11.5703125" bestFit="1" customWidth="1"/>
    <col min="11416" max="11416" width="10.85546875" bestFit="1" customWidth="1"/>
    <col min="11417" max="11417" width="11.28515625" bestFit="1" customWidth="1"/>
    <col min="11418" max="11418" width="10.140625" bestFit="1" customWidth="1"/>
    <col min="11419" max="11419" width="13.28515625" bestFit="1" customWidth="1"/>
    <col min="11420" max="11421" width="12.7109375" bestFit="1" customWidth="1"/>
    <col min="11422" max="11422" width="11" bestFit="1" customWidth="1"/>
    <col min="11423" max="11423" width="11.28515625" bestFit="1" customWidth="1"/>
    <col min="11424" max="11424" width="11.5703125" bestFit="1" customWidth="1"/>
    <col min="11425" max="11425" width="12.28515625" bestFit="1" customWidth="1"/>
    <col min="11426" max="11426" width="15.140625" bestFit="1" customWidth="1"/>
    <col min="11427" max="11427" width="14.42578125" bestFit="1" customWidth="1"/>
    <col min="11428" max="11428" width="12.28515625" bestFit="1" customWidth="1"/>
    <col min="11429" max="11429" width="15.140625" bestFit="1" customWidth="1"/>
    <col min="11430" max="11430" width="14.42578125" bestFit="1" customWidth="1"/>
    <col min="11431" max="11431" width="12.28515625" bestFit="1" customWidth="1"/>
    <col min="11432" max="11432" width="14.42578125" bestFit="1" customWidth="1"/>
    <col min="11433" max="11433" width="11.28515625" bestFit="1" customWidth="1"/>
    <col min="11434" max="11434" width="12.28515625" bestFit="1" customWidth="1"/>
    <col min="11435" max="11435" width="13" bestFit="1" customWidth="1"/>
    <col min="11436" max="11436" width="15.140625" bestFit="1" customWidth="1"/>
    <col min="11437" max="11437" width="12.28515625" bestFit="1" customWidth="1"/>
    <col min="11438" max="11438" width="13.85546875" bestFit="1" customWidth="1"/>
    <col min="11439" max="11439" width="11.28515625" bestFit="1" customWidth="1"/>
    <col min="11440" max="11440" width="12.28515625" bestFit="1" customWidth="1"/>
    <col min="11441" max="11441" width="13.85546875" bestFit="1" customWidth="1"/>
    <col min="11442" max="11443" width="15.140625" bestFit="1" customWidth="1"/>
    <col min="11444" max="11444" width="12.28515625" bestFit="1" customWidth="1"/>
    <col min="11445" max="11445" width="5.7109375" bestFit="1" customWidth="1"/>
    <col min="11446" max="11446" width="8.5703125" bestFit="1" customWidth="1"/>
    <col min="11447" max="11447" width="5.5703125" bestFit="1" customWidth="1"/>
    <col min="11448" max="11448" width="14.42578125" bestFit="1" customWidth="1"/>
    <col min="11449" max="11449" width="11.28515625" bestFit="1" customWidth="1"/>
    <col min="11450" max="11451" width="12.28515625" bestFit="1" customWidth="1"/>
    <col min="11452" max="11452" width="11.28515625" bestFit="1" customWidth="1"/>
    <col min="11453" max="11453" width="13.85546875" bestFit="1" customWidth="1"/>
    <col min="11454" max="11454" width="12" bestFit="1" customWidth="1"/>
    <col min="11455" max="11455" width="13.85546875" bestFit="1" customWidth="1"/>
    <col min="11456" max="11457" width="14.42578125" customWidth="1"/>
    <col min="11458" max="11458" width="10.140625" bestFit="1" customWidth="1"/>
    <col min="11459" max="11459" width="12.28515625" bestFit="1" customWidth="1"/>
    <col min="11460" max="11460" width="7.42578125" bestFit="1" customWidth="1"/>
    <col min="11461" max="11461" width="8.5703125" bestFit="1" customWidth="1"/>
    <col min="11462" max="11462" width="11.5703125" bestFit="1" customWidth="1"/>
    <col min="11463" max="11463" width="13.28515625" bestFit="1" customWidth="1"/>
    <col min="11464" max="11464" width="13.28515625" customWidth="1"/>
    <col min="11465" max="11465" width="13.140625" customWidth="1"/>
    <col min="11466" max="11466" width="12.7109375" bestFit="1" customWidth="1"/>
    <col min="11467" max="11467" width="13.28515625" bestFit="1" customWidth="1"/>
    <col min="11468" max="11470" width="13.28515625" customWidth="1"/>
    <col min="11471" max="11471" width="12.140625" bestFit="1" customWidth="1"/>
    <col min="11472" max="11472" width="12.7109375" bestFit="1" customWidth="1"/>
    <col min="11473" max="11473" width="11" customWidth="1"/>
    <col min="11474" max="11474" width="16.7109375" customWidth="1"/>
    <col min="11475" max="11475" width="17" customWidth="1"/>
    <col min="11476" max="11476" width="10.42578125" bestFit="1" customWidth="1"/>
    <col min="11520" max="11520" width="3.85546875" customWidth="1"/>
    <col min="11521" max="11521" width="15.28515625" bestFit="1" customWidth="1"/>
    <col min="11522" max="11522" width="12.28515625" customWidth="1"/>
    <col min="11523" max="11523" width="16.28515625" bestFit="1" customWidth="1"/>
    <col min="11524" max="11524" width="6.42578125" bestFit="1" customWidth="1"/>
    <col min="11525" max="11525" width="9.28515625" bestFit="1" customWidth="1"/>
    <col min="11526" max="11526" width="7.5703125" bestFit="1" customWidth="1"/>
    <col min="11527" max="11527" width="13.28515625" bestFit="1" customWidth="1"/>
    <col min="11528" max="11528" width="9.28515625" bestFit="1" customWidth="1"/>
    <col min="11529" max="11529" width="11.5703125" bestFit="1" customWidth="1"/>
    <col min="11530" max="11530" width="13.28515625" bestFit="1" customWidth="1"/>
    <col min="11531" max="11531" width="7.140625" bestFit="1" customWidth="1"/>
    <col min="11532" max="11532" width="12" bestFit="1" customWidth="1"/>
    <col min="11533" max="11533" width="13.28515625" bestFit="1" customWidth="1"/>
    <col min="11534" max="11534" width="7" bestFit="1" customWidth="1"/>
    <col min="11535" max="11535" width="12.7109375" bestFit="1" customWidth="1"/>
    <col min="11536" max="11536" width="11.5703125" bestFit="1" customWidth="1"/>
    <col min="11537" max="11537" width="10.5703125" bestFit="1" customWidth="1"/>
    <col min="11538" max="11539" width="15.7109375" bestFit="1" customWidth="1"/>
    <col min="11540" max="11540" width="11.5703125" bestFit="1" customWidth="1"/>
    <col min="11541" max="11541" width="7.7109375" bestFit="1" customWidth="1"/>
    <col min="11542" max="11542" width="15.140625" bestFit="1" customWidth="1"/>
    <col min="11543" max="11543" width="11.5703125" bestFit="1" customWidth="1"/>
    <col min="11544" max="11544" width="13.28515625" bestFit="1" customWidth="1"/>
    <col min="11545" max="11545" width="10.42578125" bestFit="1" customWidth="1"/>
    <col min="11546" max="11546" width="13.28515625" bestFit="1" customWidth="1"/>
    <col min="11547" max="11547" width="12.140625" bestFit="1" customWidth="1"/>
    <col min="11548" max="11548" width="14.42578125" bestFit="1" customWidth="1"/>
    <col min="11549" max="11549" width="13.28515625" bestFit="1" customWidth="1"/>
    <col min="11550" max="11550" width="11.5703125" bestFit="1" customWidth="1"/>
    <col min="11551" max="11551" width="7.7109375" bestFit="1" customWidth="1"/>
    <col min="11552" max="11553" width="14.42578125" bestFit="1" customWidth="1"/>
    <col min="11554" max="11554" width="11.5703125" bestFit="1" customWidth="1"/>
    <col min="11555" max="11555" width="7.7109375" bestFit="1" customWidth="1"/>
    <col min="11556" max="11556" width="13.5703125" customWidth="1"/>
    <col min="11557" max="11557" width="15.28515625" customWidth="1"/>
    <col min="11558" max="11558" width="14.5703125" customWidth="1"/>
    <col min="11559" max="11559" width="13.28515625" bestFit="1" customWidth="1"/>
    <col min="11560" max="11560" width="7.7109375" bestFit="1" customWidth="1"/>
    <col min="11561" max="11561" width="12.7109375" bestFit="1" customWidth="1"/>
    <col min="11562" max="11562" width="11.7109375" bestFit="1" customWidth="1"/>
    <col min="11563" max="11563" width="11.5703125" bestFit="1" customWidth="1"/>
    <col min="11564" max="11564" width="5.28515625" bestFit="1" customWidth="1"/>
    <col min="11565" max="11565" width="13.28515625" bestFit="1" customWidth="1"/>
    <col min="11566" max="11566" width="13.5703125" bestFit="1" customWidth="1"/>
    <col min="11567" max="11567" width="10.5703125" bestFit="1" customWidth="1"/>
    <col min="11568" max="11568" width="13.28515625" bestFit="1" customWidth="1"/>
    <col min="11569" max="11569" width="11.5703125" bestFit="1" customWidth="1"/>
    <col min="11570" max="11570" width="10.5703125" bestFit="1" customWidth="1"/>
    <col min="11571" max="11571" width="16.140625" bestFit="1" customWidth="1"/>
    <col min="11572" max="11573" width="11.28515625" bestFit="1" customWidth="1"/>
    <col min="11574" max="11574" width="13.28515625" bestFit="1" customWidth="1"/>
    <col min="11575" max="11575" width="7.7109375" bestFit="1" customWidth="1"/>
    <col min="11576" max="11579" width="9.140625" hidden="1" customWidth="1"/>
    <col min="11580" max="11580" width="10.42578125" bestFit="1" customWidth="1"/>
    <col min="11581" max="11581" width="10.5703125" bestFit="1" customWidth="1"/>
    <col min="11582" max="11582" width="10.42578125" bestFit="1" customWidth="1"/>
    <col min="11583" max="11583" width="10.5703125" bestFit="1" customWidth="1"/>
    <col min="11584" max="11584" width="9.5703125" bestFit="1" customWidth="1"/>
    <col min="11585" max="11585" width="11.5703125" bestFit="1" customWidth="1"/>
    <col min="11586" max="11586" width="10.42578125" bestFit="1" customWidth="1"/>
    <col min="11587" max="11587" width="10.85546875" customWidth="1"/>
    <col min="11588" max="11589" width="9.85546875" bestFit="1" customWidth="1"/>
    <col min="11590" max="11590" width="13.5703125" bestFit="1" customWidth="1"/>
    <col min="11591" max="11591" width="7.7109375" bestFit="1" customWidth="1"/>
    <col min="11592" max="11592" width="13.28515625" bestFit="1" customWidth="1"/>
    <col min="11593" max="11593" width="11.5703125" bestFit="1" customWidth="1"/>
    <col min="11594" max="11594" width="10.42578125" bestFit="1" customWidth="1"/>
    <col min="11595" max="11595" width="7.7109375" bestFit="1" customWidth="1"/>
    <col min="11596" max="11596" width="11.5703125" bestFit="1" customWidth="1"/>
    <col min="11597" max="11597" width="10.85546875" bestFit="1" customWidth="1"/>
    <col min="11598" max="11598" width="13.28515625" bestFit="1" customWidth="1"/>
    <col min="11599" max="11599" width="10.85546875" bestFit="1" customWidth="1"/>
    <col min="11600" max="11601" width="7.5703125" bestFit="1" customWidth="1"/>
    <col min="11602" max="11603" width="10.42578125" bestFit="1" customWidth="1"/>
    <col min="11604" max="11604" width="11.5703125" bestFit="1" customWidth="1"/>
    <col min="11605" max="11605" width="5.28515625" bestFit="1" customWidth="1"/>
    <col min="11606" max="11606" width="10.28515625" bestFit="1" customWidth="1"/>
    <col min="11607" max="11607" width="10.42578125" bestFit="1" customWidth="1"/>
    <col min="11608" max="11608" width="11.5703125" bestFit="1" customWidth="1"/>
    <col min="11609" max="11609" width="5.28515625" bestFit="1" customWidth="1"/>
    <col min="11610" max="11612" width="11.5703125" bestFit="1" customWidth="1"/>
    <col min="11613" max="11613" width="5.28515625" bestFit="1" customWidth="1"/>
    <col min="11614" max="11615" width="10.42578125" bestFit="1" customWidth="1"/>
    <col min="11616" max="11616" width="11.5703125" bestFit="1" customWidth="1"/>
    <col min="11617" max="11617" width="5.28515625" bestFit="1" customWidth="1"/>
    <col min="11618" max="11618" width="14.28515625" bestFit="1" customWidth="1"/>
    <col min="11619" max="11619" width="13" bestFit="1" customWidth="1"/>
    <col min="11620" max="11620" width="11.5703125" bestFit="1" customWidth="1"/>
    <col min="11621" max="11621" width="8.85546875" bestFit="1" customWidth="1"/>
    <col min="11622" max="11622" width="14.42578125" bestFit="1" customWidth="1"/>
    <col min="11623" max="11623" width="10.42578125" bestFit="1" customWidth="1"/>
    <col min="11624" max="11624" width="12.28515625" bestFit="1" customWidth="1"/>
    <col min="11625" max="11625" width="13.85546875" bestFit="1" customWidth="1"/>
    <col min="11626" max="11626" width="11.28515625" customWidth="1"/>
    <col min="11627" max="11627" width="11.5703125" customWidth="1"/>
    <col min="11628" max="11628" width="13.42578125" bestFit="1" customWidth="1"/>
    <col min="11629" max="11629" width="10.42578125" customWidth="1"/>
    <col min="11630" max="11630" width="13.85546875" bestFit="1" customWidth="1"/>
    <col min="11631" max="11631" width="15.42578125" bestFit="1" customWidth="1"/>
    <col min="11632" max="11632" width="12.28515625" bestFit="1" customWidth="1"/>
    <col min="11633" max="11633" width="12.7109375" customWidth="1"/>
    <col min="11634" max="11634" width="10.7109375" bestFit="1" customWidth="1"/>
    <col min="11635" max="11635" width="9.85546875" customWidth="1"/>
    <col min="11636" max="11637" width="10.140625" bestFit="1" customWidth="1"/>
    <col min="11638" max="11638" width="7.5703125" bestFit="1" customWidth="1"/>
    <col min="11639" max="11639" width="9.42578125" bestFit="1" customWidth="1"/>
    <col min="11640" max="11640" width="14.5703125" bestFit="1" customWidth="1"/>
    <col min="11641" max="11641" width="14.85546875" customWidth="1"/>
    <col min="11642" max="11642" width="15.140625" bestFit="1" customWidth="1"/>
    <col min="11643" max="11643" width="12.140625" bestFit="1" customWidth="1"/>
    <col min="11644" max="11644" width="14.85546875" bestFit="1" customWidth="1"/>
    <col min="11645" max="11645" width="12.28515625" bestFit="1" customWidth="1"/>
    <col min="11646" max="11654" width="9.140625" hidden="1" customWidth="1"/>
    <col min="11655" max="11655" width="5.28515625" bestFit="1" customWidth="1"/>
    <col min="11656" max="11661" width="11.5703125" bestFit="1" customWidth="1"/>
    <col min="11662" max="11662" width="11.28515625" bestFit="1" customWidth="1"/>
    <col min="11663" max="11663" width="10.140625" bestFit="1" customWidth="1"/>
    <col min="11664" max="11664" width="11.5703125" bestFit="1" customWidth="1"/>
    <col min="11665" max="11665" width="16.140625" customWidth="1"/>
    <col min="11666" max="11666" width="13.42578125" customWidth="1"/>
    <col min="11667" max="11667" width="10.140625" bestFit="1" customWidth="1"/>
    <col min="11668" max="11668" width="12.85546875" bestFit="1" customWidth="1"/>
    <col min="11669" max="11669" width="12.28515625" bestFit="1" customWidth="1"/>
    <col min="11670" max="11670" width="11.28515625" bestFit="1" customWidth="1"/>
    <col min="11671" max="11671" width="11.5703125" bestFit="1" customWidth="1"/>
    <col min="11672" max="11672" width="10.85546875" bestFit="1" customWidth="1"/>
    <col min="11673" max="11673" width="11.28515625" bestFit="1" customWidth="1"/>
    <col min="11674" max="11674" width="10.140625" bestFit="1" customWidth="1"/>
    <col min="11675" max="11675" width="13.28515625" bestFit="1" customWidth="1"/>
    <col min="11676" max="11677" width="12.7109375" bestFit="1" customWidth="1"/>
    <col min="11678" max="11678" width="11" bestFit="1" customWidth="1"/>
    <col min="11679" max="11679" width="11.28515625" bestFit="1" customWidth="1"/>
    <col min="11680" max="11680" width="11.5703125" bestFit="1" customWidth="1"/>
    <col min="11681" max="11681" width="12.28515625" bestFit="1" customWidth="1"/>
    <col min="11682" max="11682" width="15.140625" bestFit="1" customWidth="1"/>
    <col min="11683" max="11683" width="14.42578125" bestFit="1" customWidth="1"/>
    <col min="11684" max="11684" width="12.28515625" bestFit="1" customWidth="1"/>
    <col min="11685" max="11685" width="15.140625" bestFit="1" customWidth="1"/>
    <col min="11686" max="11686" width="14.42578125" bestFit="1" customWidth="1"/>
    <col min="11687" max="11687" width="12.28515625" bestFit="1" customWidth="1"/>
    <col min="11688" max="11688" width="14.42578125" bestFit="1" customWidth="1"/>
    <col min="11689" max="11689" width="11.28515625" bestFit="1" customWidth="1"/>
    <col min="11690" max="11690" width="12.28515625" bestFit="1" customWidth="1"/>
    <col min="11691" max="11691" width="13" bestFit="1" customWidth="1"/>
    <col min="11692" max="11692" width="15.140625" bestFit="1" customWidth="1"/>
    <col min="11693" max="11693" width="12.28515625" bestFit="1" customWidth="1"/>
    <col min="11694" max="11694" width="13.85546875" bestFit="1" customWidth="1"/>
    <col min="11695" max="11695" width="11.28515625" bestFit="1" customWidth="1"/>
    <col min="11696" max="11696" width="12.28515625" bestFit="1" customWidth="1"/>
    <col min="11697" max="11697" width="13.85546875" bestFit="1" customWidth="1"/>
    <col min="11698" max="11699" width="15.140625" bestFit="1" customWidth="1"/>
    <col min="11700" max="11700" width="12.28515625" bestFit="1" customWidth="1"/>
    <col min="11701" max="11701" width="5.7109375" bestFit="1" customWidth="1"/>
    <col min="11702" max="11702" width="8.5703125" bestFit="1" customWidth="1"/>
    <col min="11703" max="11703" width="5.5703125" bestFit="1" customWidth="1"/>
    <col min="11704" max="11704" width="14.42578125" bestFit="1" customWidth="1"/>
    <col min="11705" max="11705" width="11.28515625" bestFit="1" customWidth="1"/>
    <col min="11706" max="11707" width="12.28515625" bestFit="1" customWidth="1"/>
    <col min="11708" max="11708" width="11.28515625" bestFit="1" customWidth="1"/>
    <col min="11709" max="11709" width="13.85546875" bestFit="1" customWidth="1"/>
    <col min="11710" max="11710" width="12" bestFit="1" customWidth="1"/>
    <col min="11711" max="11711" width="13.85546875" bestFit="1" customWidth="1"/>
    <col min="11712" max="11713" width="14.42578125" customWidth="1"/>
    <col min="11714" max="11714" width="10.140625" bestFit="1" customWidth="1"/>
    <col min="11715" max="11715" width="12.28515625" bestFit="1" customWidth="1"/>
    <col min="11716" max="11716" width="7.42578125" bestFit="1" customWidth="1"/>
    <col min="11717" max="11717" width="8.5703125" bestFit="1" customWidth="1"/>
    <col min="11718" max="11718" width="11.5703125" bestFit="1" customWidth="1"/>
    <col min="11719" max="11719" width="13.28515625" bestFit="1" customWidth="1"/>
    <col min="11720" max="11720" width="13.28515625" customWidth="1"/>
    <col min="11721" max="11721" width="13.140625" customWidth="1"/>
    <col min="11722" max="11722" width="12.7109375" bestFit="1" customWidth="1"/>
    <col min="11723" max="11723" width="13.28515625" bestFit="1" customWidth="1"/>
    <col min="11724" max="11726" width="13.28515625" customWidth="1"/>
    <col min="11727" max="11727" width="12.140625" bestFit="1" customWidth="1"/>
    <col min="11728" max="11728" width="12.7109375" bestFit="1" customWidth="1"/>
    <col min="11729" max="11729" width="11" customWidth="1"/>
    <col min="11730" max="11730" width="16.7109375" customWidth="1"/>
    <col min="11731" max="11731" width="17" customWidth="1"/>
    <col min="11732" max="11732" width="10.42578125" bestFit="1" customWidth="1"/>
    <col min="11776" max="11776" width="3.85546875" customWidth="1"/>
    <col min="11777" max="11777" width="15.28515625" bestFit="1" customWidth="1"/>
    <col min="11778" max="11778" width="12.28515625" customWidth="1"/>
    <col min="11779" max="11779" width="16.28515625" bestFit="1" customWidth="1"/>
    <col min="11780" max="11780" width="6.42578125" bestFit="1" customWidth="1"/>
    <col min="11781" max="11781" width="9.28515625" bestFit="1" customWidth="1"/>
    <col min="11782" max="11782" width="7.5703125" bestFit="1" customWidth="1"/>
    <col min="11783" max="11783" width="13.28515625" bestFit="1" customWidth="1"/>
    <col min="11784" max="11784" width="9.28515625" bestFit="1" customWidth="1"/>
    <col min="11785" max="11785" width="11.5703125" bestFit="1" customWidth="1"/>
    <col min="11786" max="11786" width="13.28515625" bestFit="1" customWidth="1"/>
    <col min="11787" max="11787" width="7.140625" bestFit="1" customWidth="1"/>
    <col min="11788" max="11788" width="12" bestFit="1" customWidth="1"/>
    <col min="11789" max="11789" width="13.28515625" bestFit="1" customWidth="1"/>
    <col min="11790" max="11790" width="7" bestFit="1" customWidth="1"/>
    <col min="11791" max="11791" width="12.7109375" bestFit="1" customWidth="1"/>
    <col min="11792" max="11792" width="11.5703125" bestFit="1" customWidth="1"/>
    <col min="11793" max="11793" width="10.5703125" bestFit="1" customWidth="1"/>
    <col min="11794" max="11795" width="15.7109375" bestFit="1" customWidth="1"/>
    <col min="11796" max="11796" width="11.5703125" bestFit="1" customWidth="1"/>
    <col min="11797" max="11797" width="7.7109375" bestFit="1" customWidth="1"/>
    <col min="11798" max="11798" width="15.140625" bestFit="1" customWidth="1"/>
    <col min="11799" max="11799" width="11.5703125" bestFit="1" customWidth="1"/>
    <col min="11800" max="11800" width="13.28515625" bestFit="1" customWidth="1"/>
    <col min="11801" max="11801" width="10.42578125" bestFit="1" customWidth="1"/>
    <col min="11802" max="11802" width="13.28515625" bestFit="1" customWidth="1"/>
    <col min="11803" max="11803" width="12.140625" bestFit="1" customWidth="1"/>
    <col min="11804" max="11804" width="14.42578125" bestFit="1" customWidth="1"/>
    <col min="11805" max="11805" width="13.28515625" bestFit="1" customWidth="1"/>
    <col min="11806" max="11806" width="11.5703125" bestFit="1" customWidth="1"/>
    <col min="11807" max="11807" width="7.7109375" bestFit="1" customWidth="1"/>
    <col min="11808" max="11809" width="14.42578125" bestFit="1" customWidth="1"/>
    <col min="11810" max="11810" width="11.5703125" bestFit="1" customWidth="1"/>
    <col min="11811" max="11811" width="7.7109375" bestFit="1" customWidth="1"/>
    <col min="11812" max="11812" width="13.5703125" customWidth="1"/>
    <col min="11813" max="11813" width="15.28515625" customWidth="1"/>
    <col min="11814" max="11814" width="14.5703125" customWidth="1"/>
    <col min="11815" max="11815" width="13.28515625" bestFit="1" customWidth="1"/>
    <col min="11816" max="11816" width="7.7109375" bestFit="1" customWidth="1"/>
    <col min="11817" max="11817" width="12.7109375" bestFit="1" customWidth="1"/>
    <col min="11818" max="11818" width="11.7109375" bestFit="1" customWidth="1"/>
    <col min="11819" max="11819" width="11.5703125" bestFit="1" customWidth="1"/>
    <col min="11820" max="11820" width="5.28515625" bestFit="1" customWidth="1"/>
    <col min="11821" max="11821" width="13.28515625" bestFit="1" customWidth="1"/>
    <col min="11822" max="11822" width="13.5703125" bestFit="1" customWidth="1"/>
    <col min="11823" max="11823" width="10.5703125" bestFit="1" customWidth="1"/>
    <col min="11824" max="11824" width="13.28515625" bestFit="1" customWidth="1"/>
    <col min="11825" max="11825" width="11.5703125" bestFit="1" customWidth="1"/>
    <col min="11826" max="11826" width="10.5703125" bestFit="1" customWidth="1"/>
    <col min="11827" max="11827" width="16.140625" bestFit="1" customWidth="1"/>
    <col min="11828" max="11829" width="11.28515625" bestFit="1" customWidth="1"/>
    <col min="11830" max="11830" width="13.28515625" bestFit="1" customWidth="1"/>
    <col min="11831" max="11831" width="7.7109375" bestFit="1" customWidth="1"/>
    <col min="11832" max="11835" width="9.140625" hidden="1" customWidth="1"/>
    <col min="11836" max="11836" width="10.42578125" bestFit="1" customWidth="1"/>
    <col min="11837" max="11837" width="10.5703125" bestFit="1" customWidth="1"/>
    <col min="11838" max="11838" width="10.42578125" bestFit="1" customWidth="1"/>
    <col min="11839" max="11839" width="10.5703125" bestFit="1" customWidth="1"/>
    <col min="11840" max="11840" width="9.5703125" bestFit="1" customWidth="1"/>
    <col min="11841" max="11841" width="11.5703125" bestFit="1" customWidth="1"/>
    <col min="11842" max="11842" width="10.42578125" bestFit="1" customWidth="1"/>
    <col min="11843" max="11843" width="10.85546875" customWidth="1"/>
    <col min="11844" max="11845" width="9.85546875" bestFit="1" customWidth="1"/>
    <col min="11846" max="11846" width="13.5703125" bestFit="1" customWidth="1"/>
    <col min="11847" max="11847" width="7.7109375" bestFit="1" customWidth="1"/>
    <col min="11848" max="11848" width="13.28515625" bestFit="1" customWidth="1"/>
    <col min="11849" max="11849" width="11.5703125" bestFit="1" customWidth="1"/>
    <col min="11850" max="11850" width="10.42578125" bestFit="1" customWidth="1"/>
    <col min="11851" max="11851" width="7.7109375" bestFit="1" customWidth="1"/>
    <col min="11852" max="11852" width="11.5703125" bestFit="1" customWidth="1"/>
    <col min="11853" max="11853" width="10.85546875" bestFit="1" customWidth="1"/>
    <col min="11854" max="11854" width="13.28515625" bestFit="1" customWidth="1"/>
    <col min="11855" max="11855" width="10.85546875" bestFit="1" customWidth="1"/>
    <col min="11856" max="11857" width="7.5703125" bestFit="1" customWidth="1"/>
    <col min="11858" max="11859" width="10.42578125" bestFit="1" customWidth="1"/>
    <col min="11860" max="11860" width="11.5703125" bestFit="1" customWidth="1"/>
    <col min="11861" max="11861" width="5.28515625" bestFit="1" customWidth="1"/>
    <col min="11862" max="11862" width="10.28515625" bestFit="1" customWidth="1"/>
    <col min="11863" max="11863" width="10.42578125" bestFit="1" customWidth="1"/>
    <col min="11864" max="11864" width="11.5703125" bestFit="1" customWidth="1"/>
    <col min="11865" max="11865" width="5.28515625" bestFit="1" customWidth="1"/>
    <col min="11866" max="11868" width="11.5703125" bestFit="1" customWidth="1"/>
    <col min="11869" max="11869" width="5.28515625" bestFit="1" customWidth="1"/>
    <col min="11870" max="11871" width="10.42578125" bestFit="1" customWidth="1"/>
    <col min="11872" max="11872" width="11.5703125" bestFit="1" customWidth="1"/>
    <col min="11873" max="11873" width="5.28515625" bestFit="1" customWidth="1"/>
    <col min="11874" max="11874" width="14.28515625" bestFit="1" customWidth="1"/>
    <col min="11875" max="11875" width="13" bestFit="1" customWidth="1"/>
    <col min="11876" max="11876" width="11.5703125" bestFit="1" customWidth="1"/>
    <col min="11877" max="11877" width="8.85546875" bestFit="1" customWidth="1"/>
    <col min="11878" max="11878" width="14.42578125" bestFit="1" customWidth="1"/>
    <col min="11879" max="11879" width="10.42578125" bestFit="1" customWidth="1"/>
    <col min="11880" max="11880" width="12.28515625" bestFit="1" customWidth="1"/>
    <col min="11881" max="11881" width="13.85546875" bestFit="1" customWidth="1"/>
    <col min="11882" max="11882" width="11.28515625" customWidth="1"/>
    <col min="11883" max="11883" width="11.5703125" customWidth="1"/>
    <col min="11884" max="11884" width="13.42578125" bestFit="1" customWidth="1"/>
    <col min="11885" max="11885" width="10.42578125" customWidth="1"/>
    <col min="11886" max="11886" width="13.85546875" bestFit="1" customWidth="1"/>
    <col min="11887" max="11887" width="15.42578125" bestFit="1" customWidth="1"/>
    <col min="11888" max="11888" width="12.28515625" bestFit="1" customWidth="1"/>
    <col min="11889" max="11889" width="12.7109375" customWidth="1"/>
    <col min="11890" max="11890" width="10.7109375" bestFit="1" customWidth="1"/>
    <col min="11891" max="11891" width="9.85546875" customWidth="1"/>
    <col min="11892" max="11893" width="10.140625" bestFit="1" customWidth="1"/>
    <col min="11894" max="11894" width="7.5703125" bestFit="1" customWidth="1"/>
    <col min="11895" max="11895" width="9.42578125" bestFit="1" customWidth="1"/>
    <col min="11896" max="11896" width="14.5703125" bestFit="1" customWidth="1"/>
    <col min="11897" max="11897" width="14.85546875" customWidth="1"/>
    <col min="11898" max="11898" width="15.140625" bestFit="1" customWidth="1"/>
    <col min="11899" max="11899" width="12.140625" bestFit="1" customWidth="1"/>
    <col min="11900" max="11900" width="14.85546875" bestFit="1" customWidth="1"/>
    <col min="11901" max="11901" width="12.28515625" bestFit="1" customWidth="1"/>
    <col min="11902" max="11910" width="9.140625" hidden="1" customWidth="1"/>
    <col min="11911" max="11911" width="5.28515625" bestFit="1" customWidth="1"/>
    <col min="11912" max="11917" width="11.5703125" bestFit="1" customWidth="1"/>
    <col min="11918" max="11918" width="11.28515625" bestFit="1" customWidth="1"/>
    <col min="11919" max="11919" width="10.140625" bestFit="1" customWidth="1"/>
    <col min="11920" max="11920" width="11.5703125" bestFit="1" customWidth="1"/>
    <col min="11921" max="11921" width="16.140625" customWidth="1"/>
    <col min="11922" max="11922" width="13.42578125" customWidth="1"/>
    <col min="11923" max="11923" width="10.140625" bestFit="1" customWidth="1"/>
    <col min="11924" max="11924" width="12.85546875" bestFit="1" customWidth="1"/>
    <col min="11925" max="11925" width="12.28515625" bestFit="1" customWidth="1"/>
    <col min="11926" max="11926" width="11.28515625" bestFit="1" customWidth="1"/>
    <col min="11927" max="11927" width="11.5703125" bestFit="1" customWidth="1"/>
    <col min="11928" max="11928" width="10.85546875" bestFit="1" customWidth="1"/>
    <col min="11929" max="11929" width="11.28515625" bestFit="1" customWidth="1"/>
    <col min="11930" max="11930" width="10.140625" bestFit="1" customWidth="1"/>
    <col min="11931" max="11931" width="13.28515625" bestFit="1" customWidth="1"/>
    <col min="11932" max="11933" width="12.7109375" bestFit="1" customWidth="1"/>
    <col min="11934" max="11934" width="11" bestFit="1" customWidth="1"/>
    <col min="11935" max="11935" width="11.28515625" bestFit="1" customWidth="1"/>
    <col min="11936" max="11936" width="11.5703125" bestFit="1" customWidth="1"/>
    <col min="11937" max="11937" width="12.28515625" bestFit="1" customWidth="1"/>
    <col min="11938" max="11938" width="15.140625" bestFit="1" customWidth="1"/>
    <col min="11939" max="11939" width="14.42578125" bestFit="1" customWidth="1"/>
    <col min="11940" max="11940" width="12.28515625" bestFit="1" customWidth="1"/>
    <col min="11941" max="11941" width="15.140625" bestFit="1" customWidth="1"/>
    <col min="11942" max="11942" width="14.42578125" bestFit="1" customWidth="1"/>
    <col min="11943" max="11943" width="12.28515625" bestFit="1" customWidth="1"/>
    <col min="11944" max="11944" width="14.42578125" bestFit="1" customWidth="1"/>
    <col min="11945" max="11945" width="11.28515625" bestFit="1" customWidth="1"/>
    <col min="11946" max="11946" width="12.28515625" bestFit="1" customWidth="1"/>
    <col min="11947" max="11947" width="13" bestFit="1" customWidth="1"/>
    <col min="11948" max="11948" width="15.140625" bestFit="1" customWidth="1"/>
    <col min="11949" max="11949" width="12.28515625" bestFit="1" customWidth="1"/>
    <col min="11950" max="11950" width="13.85546875" bestFit="1" customWidth="1"/>
    <col min="11951" max="11951" width="11.28515625" bestFit="1" customWidth="1"/>
    <col min="11952" max="11952" width="12.28515625" bestFit="1" customWidth="1"/>
    <col min="11953" max="11953" width="13.85546875" bestFit="1" customWidth="1"/>
    <col min="11954" max="11955" width="15.140625" bestFit="1" customWidth="1"/>
    <col min="11956" max="11956" width="12.28515625" bestFit="1" customWidth="1"/>
    <col min="11957" max="11957" width="5.7109375" bestFit="1" customWidth="1"/>
    <col min="11958" max="11958" width="8.5703125" bestFit="1" customWidth="1"/>
    <col min="11959" max="11959" width="5.5703125" bestFit="1" customWidth="1"/>
    <col min="11960" max="11960" width="14.42578125" bestFit="1" customWidth="1"/>
    <col min="11961" max="11961" width="11.28515625" bestFit="1" customWidth="1"/>
    <col min="11962" max="11963" width="12.28515625" bestFit="1" customWidth="1"/>
    <col min="11964" max="11964" width="11.28515625" bestFit="1" customWidth="1"/>
    <col min="11965" max="11965" width="13.85546875" bestFit="1" customWidth="1"/>
    <col min="11966" max="11966" width="12" bestFit="1" customWidth="1"/>
    <col min="11967" max="11967" width="13.85546875" bestFit="1" customWidth="1"/>
    <col min="11968" max="11969" width="14.42578125" customWidth="1"/>
    <col min="11970" max="11970" width="10.140625" bestFit="1" customWidth="1"/>
    <col min="11971" max="11971" width="12.28515625" bestFit="1" customWidth="1"/>
    <col min="11972" max="11972" width="7.42578125" bestFit="1" customWidth="1"/>
    <col min="11973" max="11973" width="8.5703125" bestFit="1" customWidth="1"/>
    <col min="11974" max="11974" width="11.5703125" bestFit="1" customWidth="1"/>
    <col min="11975" max="11975" width="13.28515625" bestFit="1" customWidth="1"/>
    <col min="11976" max="11976" width="13.28515625" customWidth="1"/>
    <col min="11977" max="11977" width="13.140625" customWidth="1"/>
    <col min="11978" max="11978" width="12.7109375" bestFit="1" customWidth="1"/>
    <col min="11979" max="11979" width="13.28515625" bestFit="1" customWidth="1"/>
    <col min="11980" max="11982" width="13.28515625" customWidth="1"/>
    <col min="11983" max="11983" width="12.140625" bestFit="1" customWidth="1"/>
    <col min="11984" max="11984" width="12.7109375" bestFit="1" customWidth="1"/>
    <col min="11985" max="11985" width="11" customWidth="1"/>
    <col min="11986" max="11986" width="16.7109375" customWidth="1"/>
    <col min="11987" max="11987" width="17" customWidth="1"/>
    <col min="11988" max="11988" width="10.42578125" bestFit="1" customWidth="1"/>
    <col min="12032" max="12032" width="3.85546875" customWidth="1"/>
    <col min="12033" max="12033" width="15.28515625" bestFit="1" customWidth="1"/>
    <col min="12034" max="12034" width="12.28515625" customWidth="1"/>
    <col min="12035" max="12035" width="16.28515625" bestFit="1" customWidth="1"/>
    <col min="12036" max="12036" width="6.42578125" bestFit="1" customWidth="1"/>
    <col min="12037" max="12037" width="9.28515625" bestFit="1" customWidth="1"/>
    <col min="12038" max="12038" width="7.5703125" bestFit="1" customWidth="1"/>
    <col min="12039" max="12039" width="13.28515625" bestFit="1" customWidth="1"/>
    <col min="12040" max="12040" width="9.28515625" bestFit="1" customWidth="1"/>
    <col min="12041" max="12041" width="11.5703125" bestFit="1" customWidth="1"/>
    <col min="12042" max="12042" width="13.28515625" bestFit="1" customWidth="1"/>
    <col min="12043" max="12043" width="7.140625" bestFit="1" customWidth="1"/>
    <col min="12044" max="12044" width="12" bestFit="1" customWidth="1"/>
    <col min="12045" max="12045" width="13.28515625" bestFit="1" customWidth="1"/>
    <col min="12046" max="12046" width="7" bestFit="1" customWidth="1"/>
    <col min="12047" max="12047" width="12.7109375" bestFit="1" customWidth="1"/>
    <col min="12048" max="12048" width="11.5703125" bestFit="1" customWidth="1"/>
    <col min="12049" max="12049" width="10.5703125" bestFit="1" customWidth="1"/>
    <col min="12050" max="12051" width="15.7109375" bestFit="1" customWidth="1"/>
    <col min="12052" max="12052" width="11.5703125" bestFit="1" customWidth="1"/>
    <col min="12053" max="12053" width="7.7109375" bestFit="1" customWidth="1"/>
    <col min="12054" max="12054" width="15.140625" bestFit="1" customWidth="1"/>
    <col min="12055" max="12055" width="11.5703125" bestFit="1" customWidth="1"/>
    <col min="12056" max="12056" width="13.28515625" bestFit="1" customWidth="1"/>
    <col min="12057" max="12057" width="10.42578125" bestFit="1" customWidth="1"/>
    <col min="12058" max="12058" width="13.28515625" bestFit="1" customWidth="1"/>
    <col min="12059" max="12059" width="12.140625" bestFit="1" customWidth="1"/>
    <col min="12060" max="12060" width="14.42578125" bestFit="1" customWidth="1"/>
    <col min="12061" max="12061" width="13.28515625" bestFit="1" customWidth="1"/>
    <col min="12062" max="12062" width="11.5703125" bestFit="1" customWidth="1"/>
    <col min="12063" max="12063" width="7.7109375" bestFit="1" customWidth="1"/>
    <col min="12064" max="12065" width="14.42578125" bestFit="1" customWidth="1"/>
    <col min="12066" max="12066" width="11.5703125" bestFit="1" customWidth="1"/>
    <col min="12067" max="12067" width="7.7109375" bestFit="1" customWidth="1"/>
    <col min="12068" max="12068" width="13.5703125" customWidth="1"/>
    <col min="12069" max="12069" width="15.28515625" customWidth="1"/>
    <col min="12070" max="12070" width="14.5703125" customWidth="1"/>
    <col min="12071" max="12071" width="13.28515625" bestFit="1" customWidth="1"/>
    <col min="12072" max="12072" width="7.7109375" bestFit="1" customWidth="1"/>
    <col min="12073" max="12073" width="12.7109375" bestFit="1" customWidth="1"/>
    <col min="12074" max="12074" width="11.7109375" bestFit="1" customWidth="1"/>
    <col min="12075" max="12075" width="11.5703125" bestFit="1" customWidth="1"/>
    <col min="12076" max="12076" width="5.28515625" bestFit="1" customWidth="1"/>
    <col min="12077" max="12077" width="13.28515625" bestFit="1" customWidth="1"/>
    <col min="12078" max="12078" width="13.5703125" bestFit="1" customWidth="1"/>
    <col min="12079" max="12079" width="10.5703125" bestFit="1" customWidth="1"/>
    <col min="12080" max="12080" width="13.28515625" bestFit="1" customWidth="1"/>
    <col min="12081" max="12081" width="11.5703125" bestFit="1" customWidth="1"/>
    <col min="12082" max="12082" width="10.5703125" bestFit="1" customWidth="1"/>
    <col min="12083" max="12083" width="16.140625" bestFit="1" customWidth="1"/>
    <col min="12084" max="12085" width="11.28515625" bestFit="1" customWidth="1"/>
    <col min="12086" max="12086" width="13.28515625" bestFit="1" customWidth="1"/>
    <col min="12087" max="12087" width="7.7109375" bestFit="1" customWidth="1"/>
    <col min="12088" max="12091" width="9.140625" hidden="1" customWidth="1"/>
    <col min="12092" max="12092" width="10.42578125" bestFit="1" customWidth="1"/>
    <col min="12093" max="12093" width="10.5703125" bestFit="1" customWidth="1"/>
    <col min="12094" max="12094" width="10.42578125" bestFit="1" customWidth="1"/>
    <col min="12095" max="12095" width="10.5703125" bestFit="1" customWidth="1"/>
    <col min="12096" max="12096" width="9.5703125" bestFit="1" customWidth="1"/>
    <col min="12097" max="12097" width="11.5703125" bestFit="1" customWidth="1"/>
    <col min="12098" max="12098" width="10.42578125" bestFit="1" customWidth="1"/>
    <col min="12099" max="12099" width="10.85546875" customWidth="1"/>
    <col min="12100" max="12101" width="9.85546875" bestFit="1" customWidth="1"/>
    <col min="12102" max="12102" width="13.5703125" bestFit="1" customWidth="1"/>
    <col min="12103" max="12103" width="7.7109375" bestFit="1" customWidth="1"/>
    <col min="12104" max="12104" width="13.28515625" bestFit="1" customWidth="1"/>
    <col min="12105" max="12105" width="11.5703125" bestFit="1" customWidth="1"/>
    <col min="12106" max="12106" width="10.42578125" bestFit="1" customWidth="1"/>
    <col min="12107" max="12107" width="7.7109375" bestFit="1" customWidth="1"/>
    <col min="12108" max="12108" width="11.5703125" bestFit="1" customWidth="1"/>
    <col min="12109" max="12109" width="10.85546875" bestFit="1" customWidth="1"/>
    <col min="12110" max="12110" width="13.28515625" bestFit="1" customWidth="1"/>
    <col min="12111" max="12111" width="10.85546875" bestFit="1" customWidth="1"/>
    <col min="12112" max="12113" width="7.5703125" bestFit="1" customWidth="1"/>
    <col min="12114" max="12115" width="10.42578125" bestFit="1" customWidth="1"/>
    <col min="12116" max="12116" width="11.5703125" bestFit="1" customWidth="1"/>
    <col min="12117" max="12117" width="5.28515625" bestFit="1" customWidth="1"/>
    <col min="12118" max="12118" width="10.28515625" bestFit="1" customWidth="1"/>
    <col min="12119" max="12119" width="10.42578125" bestFit="1" customWidth="1"/>
    <col min="12120" max="12120" width="11.5703125" bestFit="1" customWidth="1"/>
    <col min="12121" max="12121" width="5.28515625" bestFit="1" customWidth="1"/>
    <col min="12122" max="12124" width="11.5703125" bestFit="1" customWidth="1"/>
    <col min="12125" max="12125" width="5.28515625" bestFit="1" customWidth="1"/>
    <col min="12126" max="12127" width="10.42578125" bestFit="1" customWidth="1"/>
    <col min="12128" max="12128" width="11.5703125" bestFit="1" customWidth="1"/>
    <col min="12129" max="12129" width="5.28515625" bestFit="1" customWidth="1"/>
    <col min="12130" max="12130" width="14.28515625" bestFit="1" customWidth="1"/>
    <col min="12131" max="12131" width="13" bestFit="1" customWidth="1"/>
    <col min="12132" max="12132" width="11.5703125" bestFit="1" customWidth="1"/>
    <col min="12133" max="12133" width="8.85546875" bestFit="1" customWidth="1"/>
    <col min="12134" max="12134" width="14.42578125" bestFit="1" customWidth="1"/>
    <col min="12135" max="12135" width="10.42578125" bestFit="1" customWidth="1"/>
    <col min="12136" max="12136" width="12.28515625" bestFit="1" customWidth="1"/>
    <col min="12137" max="12137" width="13.85546875" bestFit="1" customWidth="1"/>
    <col min="12138" max="12138" width="11.28515625" customWidth="1"/>
    <col min="12139" max="12139" width="11.5703125" customWidth="1"/>
    <col min="12140" max="12140" width="13.42578125" bestFit="1" customWidth="1"/>
    <col min="12141" max="12141" width="10.42578125" customWidth="1"/>
    <col min="12142" max="12142" width="13.85546875" bestFit="1" customWidth="1"/>
    <col min="12143" max="12143" width="15.42578125" bestFit="1" customWidth="1"/>
    <col min="12144" max="12144" width="12.28515625" bestFit="1" customWidth="1"/>
    <col min="12145" max="12145" width="12.7109375" customWidth="1"/>
    <col min="12146" max="12146" width="10.7109375" bestFit="1" customWidth="1"/>
    <col min="12147" max="12147" width="9.85546875" customWidth="1"/>
    <col min="12148" max="12149" width="10.140625" bestFit="1" customWidth="1"/>
    <col min="12150" max="12150" width="7.5703125" bestFit="1" customWidth="1"/>
    <col min="12151" max="12151" width="9.42578125" bestFit="1" customWidth="1"/>
    <col min="12152" max="12152" width="14.5703125" bestFit="1" customWidth="1"/>
    <col min="12153" max="12153" width="14.85546875" customWidth="1"/>
    <col min="12154" max="12154" width="15.140625" bestFit="1" customWidth="1"/>
    <col min="12155" max="12155" width="12.140625" bestFit="1" customWidth="1"/>
    <col min="12156" max="12156" width="14.85546875" bestFit="1" customWidth="1"/>
    <col min="12157" max="12157" width="12.28515625" bestFit="1" customWidth="1"/>
    <col min="12158" max="12166" width="9.140625" hidden="1" customWidth="1"/>
    <col min="12167" max="12167" width="5.28515625" bestFit="1" customWidth="1"/>
    <col min="12168" max="12173" width="11.5703125" bestFit="1" customWidth="1"/>
    <col min="12174" max="12174" width="11.28515625" bestFit="1" customWidth="1"/>
    <col min="12175" max="12175" width="10.140625" bestFit="1" customWidth="1"/>
    <col min="12176" max="12176" width="11.5703125" bestFit="1" customWidth="1"/>
    <col min="12177" max="12177" width="16.140625" customWidth="1"/>
    <col min="12178" max="12178" width="13.42578125" customWidth="1"/>
    <col min="12179" max="12179" width="10.140625" bestFit="1" customWidth="1"/>
    <col min="12180" max="12180" width="12.85546875" bestFit="1" customWidth="1"/>
    <col min="12181" max="12181" width="12.28515625" bestFit="1" customWidth="1"/>
    <col min="12182" max="12182" width="11.28515625" bestFit="1" customWidth="1"/>
    <col min="12183" max="12183" width="11.5703125" bestFit="1" customWidth="1"/>
    <col min="12184" max="12184" width="10.85546875" bestFit="1" customWidth="1"/>
    <col min="12185" max="12185" width="11.28515625" bestFit="1" customWidth="1"/>
    <col min="12186" max="12186" width="10.140625" bestFit="1" customWidth="1"/>
    <col min="12187" max="12187" width="13.28515625" bestFit="1" customWidth="1"/>
    <col min="12188" max="12189" width="12.7109375" bestFit="1" customWidth="1"/>
    <col min="12190" max="12190" width="11" bestFit="1" customWidth="1"/>
    <col min="12191" max="12191" width="11.28515625" bestFit="1" customWidth="1"/>
    <col min="12192" max="12192" width="11.5703125" bestFit="1" customWidth="1"/>
    <col min="12193" max="12193" width="12.28515625" bestFit="1" customWidth="1"/>
    <col min="12194" max="12194" width="15.140625" bestFit="1" customWidth="1"/>
    <col min="12195" max="12195" width="14.42578125" bestFit="1" customWidth="1"/>
    <col min="12196" max="12196" width="12.28515625" bestFit="1" customWidth="1"/>
    <col min="12197" max="12197" width="15.140625" bestFit="1" customWidth="1"/>
    <col min="12198" max="12198" width="14.42578125" bestFit="1" customWidth="1"/>
    <col min="12199" max="12199" width="12.28515625" bestFit="1" customWidth="1"/>
    <col min="12200" max="12200" width="14.42578125" bestFit="1" customWidth="1"/>
    <col min="12201" max="12201" width="11.28515625" bestFit="1" customWidth="1"/>
    <col min="12202" max="12202" width="12.28515625" bestFit="1" customWidth="1"/>
    <col min="12203" max="12203" width="13" bestFit="1" customWidth="1"/>
    <col min="12204" max="12204" width="15.140625" bestFit="1" customWidth="1"/>
    <col min="12205" max="12205" width="12.28515625" bestFit="1" customWidth="1"/>
    <col min="12206" max="12206" width="13.85546875" bestFit="1" customWidth="1"/>
    <col min="12207" max="12207" width="11.28515625" bestFit="1" customWidth="1"/>
    <col min="12208" max="12208" width="12.28515625" bestFit="1" customWidth="1"/>
    <col min="12209" max="12209" width="13.85546875" bestFit="1" customWidth="1"/>
    <col min="12210" max="12211" width="15.140625" bestFit="1" customWidth="1"/>
    <col min="12212" max="12212" width="12.28515625" bestFit="1" customWidth="1"/>
    <col min="12213" max="12213" width="5.7109375" bestFit="1" customWidth="1"/>
    <col min="12214" max="12214" width="8.5703125" bestFit="1" customWidth="1"/>
    <col min="12215" max="12215" width="5.5703125" bestFit="1" customWidth="1"/>
    <col min="12216" max="12216" width="14.42578125" bestFit="1" customWidth="1"/>
    <col min="12217" max="12217" width="11.28515625" bestFit="1" customWidth="1"/>
    <col min="12218" max="12219" width="12.28515625" bestFit="1" customWidth="1"/>
    <col min="12220" max="12220" width="11.28515625" bestFit="1" customWidth="1"/>
    <col min="12221" max="12221" width="13.85546875" bestFit="1" customWidth="1"/>
    <col min="12222" max="12222" width="12" bestFit="1" customWidth="1"/>
    <col min="12223" max="12223" width="13.85546875" bestFit="1" customWidth="1"/>
    <col min="12224" max="12225" width="14.42578125" customWidth="1"/>
    <col min="12226" max="12226" width="10.140625" bestFit="1" customWidth="1"/>
    <col min="12227" max="12227" width="12.28515625" bestFit="1" customWidth="1"/>
    <col min="12228" max="12228" width="7.42578125" bestFit="1" customWidth="1"/>
    <col min="12229" max="12229" width="8.5703125" bestFit="1" customWidth="1"/>
    <col min="12230" max="12230" width="11.5703125" bestFit="1" customWidth="1"/>
    <col min="12231" max="12231" width="13.28515625" bestFit="1" customWidth="1"/>
    <col min="12232" max="12232" width="13.28515625" customWidth="1"/>
    <col min="12233" max="12233" width="13.140625" customWidth="1"/>
    <col min="12234" max="12234" width="12.7109375" bestFit="1" customWidth="1"/>
    <col min="12235" max="12235" width="13.28515625" bestFit="1" customWidth="1"/>
    <col min="12236" max="12238" width="13.28515625" customWidth="1"/>
    <col min="12239" max="12239" width="12.140625" bestFit="1" customWidth="1"/>
    <col min="12240" max="12240" width="12.7109375" bestFit="1" customWidth="1"/>
    <col min="12241" max="12241" width="11" customWidth="1"/>
    <col min="12242" max="12242" width="16.7109375" customWidth="1"/>
    <col min="12243" max="12243" width="17" customWidth="1"/>
    <col min="12244" max="12244" width="10.42578125" bestFit="1" customWidth="1"/>
    <col min="12288" max="12288" width="3.85546875" customWidth="1"/>
    <col min="12289" max="12289" width="15.28515625" bestFit="1" customWidth="1"/>
    <col min="12290" max="12290" width="12.28515625" customWidth="1"/>
    <col min="12291" max="12291" width="16.28515625" bestFit="1" customWidth="1"/>
    <col min="12292" max="12292" width="6.42578125" bestFit="1" customWidth="1"/>
    <col min="12293" max="12293" width="9.28515625" bestFit="1" customWidth="1"/>
    <col min="12294" max="12294" width="7.5703125" bestFit="1" customWidth="1"/>
    <col min="12295" max="12295" width="13.28515625" bestFit="1" customWidth="1"/>
    <col min="12296" max="12296" width="9.28515625" bestFit="1" customWidth="1"/>
    <col min="12297" max="12297" width="11.5703125" bestFit="1" customWidth="1"/>
    <col min="12298" max="12298" width="13.28515625" bestFit="1" customWidth="1"/>
    <col min="12299" max="12299" width="7.140625" bestFit="1" customWidth="1"/>
    <col min="12300" max="12300" width="12" bestFit="1" customWidth="1"/>
    <col min="12301" max="12301" width="13.28515625" bestFit="1" customWidth="1"/>
    <col min="12302" max="12302" width="7" bestFit="1" customWidth="1"/>
    <col min="12303" max="12303" width="12.7109375" bestFit="1" customWidth="1"/>
    <col min="12304" max="12304" width="11.5703125" bestFit="1" customWidth="1"/>
    <col min="12305" max="12305" width="10.5703125" bestFit="1" customWidth="1"/>
    <col min="12306" max="12307" width="15.7109375" bestFit="1" customWidth="1"/>
    <col min="12308" max="12308" width="11.5703125" bestFit="1" customWidth="1"/>
    <col min="12309" max="12309" width="7.7109375" bestFit="1" customWidth="1"/>
    <col min="12310" max="12310" width="15.140625" bestFit="1" customWidth="1"/>
    <col min="12311" max="12311" width="11.5703125" bestFit="1" customWidth="1"/>
    <col min="12312" max="12312" width="13.28515625" bestFit="1" customWidth="1"/>
    <col min="12313" max="12313" width="10.42578125" bestFit="1" customWidth="1"/>
    <col min="12314" max="12314" width="13.28515625" bestFit="1" customWidth="1"/>
    <col min="12315" max="12315" width="12.140625" bestFit="1" customWidth="1"/>
    <col min="12316" max="12316" width="14.42578125" bestFit="1" customWidth="1"/>
    <col min="12317" max="12317" width="13.28515625" bestFit="1" customWidth="1"/>
    <col min="12318" max="12318" width="11.5703125" bestFit="1" customWidth="1"/>
    <col min="12319" max="12319" width="7.7109375" bestFit="1" customWidth="1"/>
    <col min="12320" max="12321" width="14.42578125" bestFit="1" customWidth="1"/>
    <col min="12322" max="12322" width="11.5703125" bestFit="1" customWidth="1"/>
    <col min="12323" max="12323" width="7.7109375" bestFit="1" customWidth="1"/>
    <col min="12324" max="12324" width="13.5703125" customWidth="1"/>
    <col min="12325" max="12325" width="15.28515625" customWidth="1"/>
    <col min="12326" max="12326" width="14.5703125" customWidth="1"/>
    <col min="12327" max="12327" width="13.28515625" bestFit="1" customWidth="1"/>
    <col min="12328" max="12328" width="7.7109375" bestFit="1" customWidth="1"/>
    <col min="12329" max="12329" width="12.7109375" bestFit="1" customWidth="1"/>
    <col min="12330" max="12330" width="11.7109375" bestFit="1" customWidth="1"/>
    <col min="12331" max="12331" width="11.5703125" bestFit="1" customWidth="1"/>
    <col min="12332" max="12332" width="5.28515625" bestFit="1" customWidth="1"/>
    <col min="12333" max="12333" width="13.28515625" bestFit="1" customWidth="1"/>
    <col min="12334" max="12334" width="13.5703125" bestFit="1" customWidth="1"/>
    <col min="12335" max="12335" width="10.5703125" bestFit="1" customWidth="1"/>
    <col min="12336" max="12336" width="13.28515625" bestFit="1" customWidth="1"/>
    <col min="12337" max="12337" width="11.5703125" bestFit="1" customWidth="1"/>
    <col min="12338" max="12338" width="10.5703125" bestFit="1" customWidth="1"/>
    <col min="12339" max="12339" width="16.140625" bestFit="1" customWidth="1"/>
    <col min="12340" max="12341" width="11.28515625" bestFit="1" customWidth="1"/>
    <col min="12342" max="12342" width="13.28515625" bestFit="1" customWidth="1"/>
    <col min="12343" max="12343" width="7.7109375" bestFit="1" customWidth="1"/>
    <col min="12344" max="12347" width="9.140625" hidden="1" customWidth="1"/>
    <col min="12348" max="12348" width="10.42578125" bestFit="1" customWidth="1"/>
    <col min="12349" max="12349" width="10.5703125" bestFit="1" customWidth="1"/>
    <col min="12350" max="12350" width="10.42578125" bestFit="1" customWidth="1"/>
    <col min="12351" max="12351" width="10.5703125" bestFit="1" customWidth="1"/>
    <col min="12352" max="12352" width="9.5703125" bestFit="1" customWidth="1"/>
    <col min="12353" max="12353" width="11.5703125" bestFit="1" customWidth="1"/>
    <col min="12354" max="12354" width="10.42578125" bestFit="1" customWidth="1"/>
    <col min="12355" max="12355" width="10.85546875" customWidth="1"/>
    <col min="12356" max="12357" width="9.85546875" bestFit="1" customWidth="1"/>
    <col min="12358" max="12358" width="13.5703125" bestFit="1" customWidth="1"/>
    <col min="12359" max="12359" width="7.7109375" bestFit="1" customWidth="1"/>
    <col min="12360" max="12360" width="13.28515625" bestFit="1" customWidth="1"/>
    <col min="12361" max="12361" width="11.5703125" bestFit="1" customWidth="1"/>
    <col min="12362" max="12362" width="10.42578125" bestFit="1" customWidth="1"/>
    <col min="12363" max="12363" width="7.7109375" bestFit="1" customWidth="1"/>
    <col min="12364" max="12364" width="11.5703125" bestFit="1" customWidth="1"/>
    <col min="12365" max="12365" width="10.85546875" bestFit="1" customWidth="1"/>
    <col min="12366" max="12366" width="13.28515625" bestFit="1" customWidth="1"/>
    <col min="12367" max="12367" width="10.85546875" bestFit="1" customWidth="1"/>
    <col min="12368" max="12369" width="7.5703125" bestFit="1" customWidth="1"/>
    <col min="12370" max="12371" width="10.42578125" bestFit="1" customWidth="1"/>
    <col min="12372" max="12372" width="11.5703125" bestFit="1" customWidth="1"/>
    <col min="12373" max="12373" width="5.28515625" bestFit="1" customWidth="1"/>
    <col min="12374" max="12374" width="10.28515625" bestFit="1" customWidth="1"/>
    <col min="12375" max="12375" width="10.42578125" bestFit="1" customWidth="1"/>
    <col min="12376" max="12376" width="11.5703125" bestFit="1" customWidth="1"/>
    <col min="12377" max="12377" width="5.28515625" bestFit="1" customWidth="1"/>
    <col min="12378" max="12380" width="11.5703125" bestFit="1" customWidth="1"/>
    <col min="12381" max="12381" width="5.28515625" bestFit="1" customWidth="1"/>
    <col min="12382" max="12383" width="10.42578125" bestFit="1" customWidth="1"/>
    <col min="12384" max="12384" width="11.5703125" bestFit="1" customWidth="1"/>
    <col min="12385" max="12385" width="5.28515625" bestFit="1" customWidth="1"/>
    <col min="12386" max="12386" width="14.28515625" bestFit="1" customWidth="1"/>
    <col min="12387" max="12387" width="13" bestFit="1" customWidth="1"/>
    <col min="12388" max="12388" width="11.5703125" bestFit="1" customWidth="1"/>
    <col min="12389" max="12389" width="8.85546875" bestFit="1" customWidth="1"/>
    <col min="12390" max="12390" width="14.42578125" bestFit="1" customWidth="1"/>
    <col min="12391" max="12391" width="10.42578125" bestFit="1" customWidth="1"/>
    <col min="12392" max="12392" width="12.28515625" bestFit="1" customWidth="1"/>
    <col min="12393" max="12393" width="13.85546875" bestFit="1" customWidth="1"/>
    <col min="12394" max="12394" width="11.28515625" customWidth="1"/>
    <col min="12395" max="12395" width="11.5703125" customWidth="1"/>
    <col min="12396" max="12396" width="13.42578125" bestFit="1" customWidth="1"/>
    <col min="12397" max="12397" width="10.42578125" customWidth="1"/>
    <col min="12398" max="12398" width="13.85546875" bestFit="1" customWidth="1"/>
    <col min="12399" max="12399" width="15.42578125" bestFit="1" customWidth="1"/>
    <col min="12400" max="12400" width="12.28515625" bestFit="1" customWidth="1"/>
    <col min="12401" max="12401" width="12.7109375" customWidth="1"/>
    <col min="12402" max="12402" width="10.7109375" bestFit="1" customWidth="1"/>
    <col min="12403" max="12403" width="9.85546875" customWidth="1"/>
    <col min="12404" max="12405" width="10.140625" bestFit="1" customWidth="1"/>
    <col min="12406" max="12406" width="7.5703125" bestFit="1" customWidth="1"/>
    <col min="12407" max="12407" width="9.42578125" bestFit="1" customWidth="1"/>
    <col min="12408" max="12408" width="14.5703125" bestFit="1" customWidth="1"/>
    <col min="12409" max="12409" width="14.85546875" customWidth="1"/>
    <col min="12410" max="12410" width="15.140625" bestFit="1" customWidth="1"/>
    <col min="12411" max="12411" width="12.140625" bestFit="1" customWidth="1"/>
    <col min="12412" max="12412" width="14.85546875" bestFit="1" customWidth="1"/>
    <col min="12413" max="12413" width="12.28515625" bestFit="1" customWidth="1"/>
    <col min="12414" max="12422" width="9.140625" hidden="1" customWidth="1"/>
    <col min="12423" max="12423" width="5.28515625" bestFit="1" customWidth="1"/>
    <col min="12424" max="12429" width="11.5703125" bestFit="1" customWidth="1"/>
    <col min="12430" max="12430" width="11.28515625" bestFit="1" customWidth="1"/>
    <col min="12431" max="12431" width="10.140625" bestFit="1" customWidth="1"/>
    <col min="12432" max="12432" width="11.5703125" bestFit="1" customWidth="1"/>
    <col min="12433" max="12433" width="16.140625" customWidth="1"/>
    <col min="12434" max="12434" width="13.42578125" customWidth="1"/>
    <col min="12435" max="12435" width="10.140625" bestFit="1" customWidth="1"/>
    <col min="12436" max="12436" width="12.85546875" bestFit="1" customWidth="1"/>
    <col min="12437" max="12437" width="12.28515625" bestFit="1" customWidth="1"/>
    <col min="12438" max="12438" width="11.28515625" bestFit="1" customWidth="1"/>
    <col min="12439" max="12439" width="11.5703125" bestFit="1" customWidth="1"/>
    <col min="12440" max="12440" width="10.85546875" bestFit="1" customWidth="1"/>
    <col min="12441" max="12441" width="11.28515625" bestFit="1" customWidth="1"/>
    <col min="12442" max="12442" width="10.140625" bestFit="1" customWidth="1"/>
    <col min="12443" max="12443" width="13.28515625" bestFit="1" customWidth="1"/>
    <col min="12444" max="12445" width="12.7109375" bestFit="1" customWidth="1"/>
    <col min="12446" max="12446" width="11" bestFit="1" customWidth="1"/>
    <col min="12447" max="12447" width="11.28515625" bestFit="1" customWidth="1"/>
    <col min="12448" max="12448" width="11.5703125" bestFit="1" customWidth="1"/>
    <col min="12449" max="12449" width="12.28515625" bestFit="1" customWidth="1"/>
    <col min="12450" max="12450" width="15.140625" bestFit="1" customWidth="1"/>
    <col min="12451" max="12451" width="14.42578125" bestFit="1" customWidth="1"/>
    <col min="12452" max="12452" width="12.28515625" bestFit="1" customWidth="1"/>
    <col min="12453" max="12453" width="15.140625" bestFit="1" customWidth="1"/>
    <col min="12454" max="12454" width="14.42578125" bestFit="1" customWidth="1"/>
    <col min="12455" max="12455" width="12.28515625" bestFit="1" customWidth="1"/>
    <col min="12456" max="12456" width="14.42578125" bestFit="1" customWidth="1"/>
    <col min="12457" max="12457" width="11.28515625" bestFit="1" customWidth="1"/>
    <col min="12458" max="12458" width="12.28515625" bestFit="1" customWidth="1"/>
    <col min="12459" max="12459" width="13" bestFit="1" customWidth="1"/>
    <col min="12460" max="12460" width="15.140625" bestFit="1" customWidth="1"/>
    <col min="12461" max="12461" width="12.28515625" bestFit="1" customWidth="1"/>
    <col min="12462" max="12462" width="13.85546875" bestFit="1" customWidth="1"/>
    <col min="12463" max="12463" width="11.28515625" bestFit="1" customWidth="1"/>
    <col min="12464" max="12464" width="12.28515625" bestFit="1" customWidth="1"/>
    <col min="12465" max="12465" width="13.85546875" bestFit="1" customWidth="1"/>
    <col min="12466" max="12467" width="15.140625" bestFit="1" customWidth="1"/>
    <col min="12468" max="12468" width="12.28515625" bestFit="1" customWidth="1"/>
    <col min="12469" max="12469" width="5.7109375" bestFit="1" customWidth="1"/>
    <col min="12470" max="12470" width="8.5703125" bestFit="1" customWidth="1"/>
    <col min="12471" max="12471" width="5.5703125" bestFit="1" customWidth="1"/>
    <col min="12472" max="12472" width="14.42578125" bestFit="1" customWidth="1"/>
    <col min="12473" max="12473" width="11.28515625" bestFit="1" customWidth="1"/>
    <col min="12474" max="12475" width="12.28515625" bestFit="1" customWidth="1"/>
    <col min="12476" max="12476" width="11.28515625" bestFit="1" customWidth="1"/>
    <col min="12477" max="12477" width="13.85546875" bestFit="1" customWidth="1"/>
    <col min="12478" max="12478" width="12" bestFit="1" customWidth="1"/>
    <col min="12479" max="12479" width="13.85546875" bestFit="1" customWidth="1"/>
    <col min="12480" max="12481" width="14.42578125" customWidth="1"/>
    <col min="12482" max="12482" width="10.140625" bestFit="1" customWidth="1"/>
    <col min="12483" max="12483" width="12.28515625" bestFit="1" customWidth="1"/>
    <col min="12484" max="12484" width="7.42578125" bestFit="1" customWidth="1"/>
    <col min="12485" max="12485" width="8.5703125" bestFit="1" customWidth="1"/>
    <col min="12486" max="12486" width="11.5703125" bestFit="1" customWidth="1"/>
    <col min="12487" max="12487" width="13.28515625" bestFit="1" customWidth="1"/>
    <col min="12488" max="12488" width="13.28515625" customWidth="1"/>
    <col min="12489" max="12489" width="13.140625" customWidth="1"/>
    <col min="12490" max="12490" width="12.7109375" bestFit="1" customWidth="1"/>
    <col min="12491" max="12491" width="13.28515625" bestFit="1" customWidth="1"/>
    <col min="12492" max="12494" width="13.28515625" customWidth="1"/>
    <col min="12495" max="12495" width="12.140625" bestFit="1" customWidth="1"/>
    <col min="12496" max="12496" width="12.7109375" bestFit="1" customWidth="1"/>
    <col min="12497" max="12497" width="11" customWidth="1"/>
    <col min="12498" max="12498" width="16.7109375" customWidth="1"/>
    <col min="12499" max="12499" width="17" customWidth="1"/>
    <col min="12500" max="12500" width="10.42578125" bestFit="1" customWidth="1"/>
    <col min="12544" max="12544" width="3.85546875" customWidth="1"/>
    <col min="12545" max="12545" width="15.28515625" bestFit="1" customWidth="1"/>
    <col min="12546" max="12546" width="12.28515625" customWidth="1"/>
    <col min="12547" max="12547" width="16.28515625" bestFit="1" customWidth="1"/>
    <col min="12548" max="12548" width="6.42578125" bestFit="1" customWidth="1"/>
    <col min="12549" max="12549" width="9.28515625" bestFit="1" customWidth="1"/>
    <col min="12550" max="12550" width="7.5703125" bestFit="1" customWidth="1"/>
    <col min="12551" max="12551" width="13.28515625" bestFit="1" customWidth="1"/>
    <col min="12552" max="12552" width="9.28515625" bestFit="1" customWidth="1"/>
    <col min="12553" max="12553" width="11.5703125" bestFit="1" customWidth="1"/>
    <col min="12554" max="12554" width="13.28515625" bestFit="1" customWidth="1"/>
    <col min="12555" max="12555" width="7.140625" bestFit="1" customWidth="1"/>
    <col min="12556" max="12556" width="12" bestFit="1" customWidth="1"/>
    <col min="12557" max="12557" width="13.28515625" bestFit="1" customWidth="1"/>
    <col min="12558" max="12558" width="7" bestFit="1" customWidth="1"/>
    <col min="12559" max="12559" width="12.7109375" bestFit="1" customWidth="1"/>
    <col min="12560" max="12560" width="11.5703125" bestFit="1" customWidth="1"/>
    <col min="12561" max="12561" width="10.5703125" bestFit="1" customWidth="1"/>
    <col min="12562" max="12563" width="15.7109375" bestFit="1" customWidth="1"/>
    <col min="12564" max="12564" width="11.5703125" bestFit="1" customWidth="1"/>
    <col min="12565" max="12565" width="7.7109375" bestFit="1" customWidth="1"/>
    <col min="12566" max="12566" width="15.140625" bestFit="1" customWidth="1"/>
    <col min="12567" max="12567" width="11.5703125" bestFit="1" customWidth="1"/>
    <col min="12568" max="12568" width="13.28515625" bestFit="1" customWidth="1"/>
    <col min="12569" max="12569" width="10.42578125" bestFit="1" customWidth="1"/>
    <col min="12570" max="12570" width="13.28515625" bestFit="1" customWidth="1"/>
    <col min="12571" max="12571" width="12.140625" bestFit="1" customWidth="1"/>
    <col min="12572" max="12572" width="14.42578125" bestFit="1" customWidth="1"/>
    <col min="12573" max="12573" width="13.28515625" bestFit="1" customWidth="1"/>
    <col min="12574" max="12574" width="11.5703125" bestFit="1" customWidth="1"/>
    <col min="12575" max="12575" width="7.7109375" bestFit="1" customWidth="1"/>
    <col min="12576" max="12577" width="14.42578125" bestFit="1" customWidth="1"/>
    <col min="12578" max="12578" width="11.5703125" bestFit="1" customWidth="1"/>
    <col min="12579" max="12579" width="7.7109375" bestFit="1" customWidth="1"/>
    <col min="12580" max="12580" width="13.5703125" customWidth="1"/>
    <col min="12581" max="12581" width="15.28515625" customWidth="1"/>
    <col min="12582" max="12582" width="14.5703125" customWidth="1"/>
    <col min="12583" max="12583" width="13.28515625" bestFit="1" customWidth="1"/>
    <col min="12584" max="12584" width="7.7109375" bestFit="1" customWidth="1"/>
    <col min="12585" max="12585" width="12.7109375" bestFit="1" customWidth="1"/>
    <col min="12586" max="12586" width="11.7109375" bestFit="1" customWidth="1"/>
    <col min="12587" max="12587" width="11.5703125" bestFit="1" customWidth="1"/>
    <col min="12588" max="12588" width="5.28515625" bestFit="1" customWidth="1"/>
    <col min="12589" max="12589" width="13.28515625" bestFit="1" customWidth="1"/>
    <col min="12590" max="12590" width="13.5703125" bestFit="1" customWidth="1"/>
    <col min="12591" max="12591" width="10.5703125" bestFit="1" customWidth="1"/>
    <col min="12592" max="12592" width="13.28515625" bestFit="1" customWidth="1"/>
    <col min="12593" max="12593" width="11.5703125" bestFit="1" customWidth="1"/>
    <col min="12594" max="12594" width="10.5703125" bestFit="1" customWidth="1"/>
    <col min="12595" max="12595" width="16.140625" bestFit="1" customWidth="1"/>
    <col min="12596" max="12597" width="11.28515625" bestFit="1" customWidth="1"/>
    <col min="12598" max="12598" width="13.28515625" bestFit="1" customWidth="1"/>
    <col min="12599" max="12599" width="7.7109375" bestFit="1" customWidth="1"/>
    <col min="12600" max="12603" width="9.140625" hidden="1" customWidth="1"/>
    <col min="12604" max="12604" width="10.42578125" bestFit="1" customWidth="1"/>
    <col min="12605" max="12605" width="10.5703125" bestFit="1" customWidth="1"/>
    <col min="12606" max="12606" width="10.42578125" bestFit="1" customWidth="1"/>
    <col min="12607" max="12607" width="10.5703125" bestFit="1" customWidth="1"/>
    <col min="12608" max="12608" width="9.5703125" bestFit="1" customWidth="1"/>
    <col min="12609" max="12609" width="11.5703125" bestFit="1" customWidth="1"/>
    <col min="12610" max="12610" width="10.42578125" bestFit="1" customWidth="1"/>
    <col min="12611" max="12611" width="10.85546875" customWidth="1"/>
    <col min="12612" max="12613" width="9.85546875" bestFit="1" customWidth="1"/>
    <col min="12614" max="12614" width="13.5703125" bestFit="1" customWidth="1"/>
    <col min="12615" max="12615" width="7.7109375" bestFit="1" customWidth="1"/>
    <col min="12616" max="12616" width="13.28515625" bestFit="1" customWidth="1"/>
    <col min="12617" max="12617" width="11.5703125" bestFit="1" customWidth="1"/>
    <col min="12618" max="12618" width="10.42578125" bestFit="1" customWidth="1"/>
    <col min="12619" max="12619" width="7.7109375" bestFit="1" customWidth="1"/>
    <col min="12620" max="12620" width="11.5703125" bestFit="1" customWidth="1"/>
    <col min="12621" max="12621" width="10.85546875" bestFit="1" customWidth="1"/>
    <col min="12622" max="12622" width="13.28515625" bestFit="1" customWidth="1"/>
    <col min="12623" max="12623" width="10.85546875" bestFit="1" customWidth="1"/>
    <col min="12624" max="12625" width="7.5703125" bestFit="1" customWidth="1"/>
    <col min="12626" max="12627" width="10.42578125" bestFit="1" customWidth="1"/>
    <col min="12628" max="12628" width="11.5703125" bestFit="1" customWidth="1"/>
    <col min="12629" max="12629" width="5.28515625" bestFit="1" customWidth="1"/>
    <col min="12630" max="12630" width="10.28515625" bestFit="1" customWidth="1"/>
    <col min="12631" max="12631" width="10.42578125" bestFit="1" customWidth="1"/>
    <col min="12632" max="12632" width="11.5703125" bestFit="1" customWidth="1"/>
    <col min="12633" max="12633" width="5.28515625" bestFit="1" customWidth="1"/>
    <col min="12634" max="12636" width="11.5703125" bestFit="1" customWidth="1"/>
    <col min="12637" max="12637" width="5.28515625" bestFit="1" customWidth="1"/>
    <col min="12638" max="12639" width="10.42578125" bestFit="1" customWidth="1"/>
    <col min="12640" max="12640" width="11.5703125" bestFit="1" customWidth="1"/>
    <col min="12641" max="12641" width="5.28515625" bestFit="1" customWidth="1"/>
    <col min="12642" max="12642" width="14.28515625" bestFit="1" customWidth="1"/>
    <col min="12643" max="12643" width="13" bestFit="1" customWidth="1"/>
    <col min="12644" max="12644" width="11.5703125" bestFit="1" customWidth="1"/>
    <col min="12645" max="12645" width="8.85546875" bestFit="1" customWidth="1"/>
    <col min="12646" max="12646" width="14.42578125" bestFit="1" customWidth="1"/>
    <col min="12647" max="12647" width="10.42578125" bestFit="1" customWidth="1"/>
    <col min="12648" max="12648" width="12.28515625" bestFit="1" customWidth="1"/>
    <col min="12649" max="12649" width="13.85546875" bestFit="1" customWidth="1"/>
    <col min="12650" max="12650" width="11.28515625" customWidth="1"/>
    <col min="12651" max="12651" width="11.5703125" customWidth="1"/>
    <col min="12652" max="12652" width="13.42578125" bestFit="1" customWidth="1"/>
    <col min="12653" max="12653" width="10.42578125" customWidth="1"/>
    <col min="12654" max="12654" width="13.85546875" bestFit="1" customWidth="1"/>
    <col min="12655" max="12655" width="15.42578125" bestFit="1" customWidth="1"/>
    <col min="12656" max="12656" width="12.28515625" bestFit="1" customWidth="1"/>
    <col min="12657" max="12657" width="12.7109375" customWidth="1"/>
    <col min="12658" max="12658" width="10.7109375" bestFit="1" customWidth="1"/>
    <col min="12659" max="12659" width="9.85546875" customWidth="1"/>
    <col min="12660" max="12661" width="10.140625" bestFit="1" customWidth="1"/>
    <col min="12662" max="12662" width="7.5703125" bestFit="1" customWidth="1"/>
    <col min="12663" max="12663" width="9.42578125" bestFit="1" customWidth="1"/>
    <col min="12664" max="12664" width="14.5703125" bestFit="1" customWidth="1"/>
    <col min="12665" max="12665" width="14.85546875" customWidth="1"/>
    <col min="12666" max="12666" width="15.140625" bestFit="1" customWidth="1"/>
    <col min="12667" max="12667" width="12.140625" bestFit="1" customWidth="1"/>
    <col min="12668" max="12668" width="14.85546875" bestFit="1" customWidth="1"/>
    <col min="12669" max="12669" width="12.28515625" bestFit="1" customWidth="1"/>
    <col min="12670" max="12678" width="9.140625" hidden="1" customWidth="1"/>
    <col min="12679" max="12679" width="5.28515625" bestFit="1" customWidth="1"/>
    <col min="12680" max="12685" width="11.5703125" bestFit="1" customWidth="1"/>
    <col min="12686" max="12686" width="11.28515625" bestFit="1" customWidth="1"/>
    <col min="12687" max="12687" width="10.140625" bestFit="1" customWidth="1"/>
    <col min="12688" max="12688" width="11.5703125" bestFit="1" customWidth="1"/>
    <col min="12689" max="12689" width="16.140625" customWidth="1"/>
    <col min="12690" max="12690" width="13.42578125" customWidth="1"/>
    <col min="12691" max="12691" width="10.140625" bestFit="1" customWidth="1"/>
    <col min="12692" max="12692" width="12.85546875" bestFit="1" customWidth="1"/>
    <col min="12693" max="12693" width="12.28515625" bestFit="1" customWidth="1"/>
    <col min="12694" max="12694" width="11.28515625" bestFit="1" customWidth="1"/>
    <col min="12695" max="12695" width="11.5703125" bestFit="1" customWidth="1"/>
    <col min="12696" max="12696" width="10.85546875" bestFit="1" customWidth="1"/>
    <col min="12697" max="12697" width="11.28515625" bestFit="1" customWidth="1"/>
    <col min="12698" max="12698" width="10.140625" bestFit="1" customWidth="1"/>
    <col min="12699" max="12699" width="13.28515625" bestFit="1" customWidth="1"/>
    <col min="12700" max="12701" width="12.7109375" bestFit="1" customWidth="1"/>
    <col min="12702" max="12702" width="11" bestFit="1" customWidth="1"/>
    <col min="12703" max="12703" width="11.28515625" bestFit="1" customWidth="1"/>
    <col min="12704" max="12704" width="11.5703125" bestFit="1" customWidth="1"/>
    <col min="12705" max="12705" width="12.28515625" bestFit="1" customWidth="1"/>
    <col min="12706" max="12706" width="15.140625" bestFit="1" customWidth="1"/>
    <col min="12707" max="12707" width="14.42578125" bestFit="1" customWidth="1"/>
    <col min="12708" max="12708" width="12.28515625" bestFit="1" customWidth="1"/>
    <col min="12709" max="12709" width="15.140625" bestFit="1" customWidth="1"/>
    <col min="12710" max="12710" width="14.42578125" bestFit="1" customWidth="1"/>
    <col min="12711" max="12711" width="12.28515625" bestFit="1" customWidth="1"/>
    <col min="12712" max="12712" width="14.42578125" bestFit="1" customWidth="1"/>
    <col min="12713" max="12713" width="11.28515625" bestFit="1" customWidth="1"/>
    <col min="12714" max="12714" width="12.28515625" bestFit="1" customWidth="1"/>
    <col min="12715" max="12715" width="13" bestFit="1" customWidth="1"/>
    <col min="12716" max="12716" width="15.140625" bestFit="1" customWidth="1"/>
    <col min="12717" max="12717" width="12.28515625" bestFit="1" customWidth="1"/>
    <col min="12718" max="12718" width="13.85546875" bestFit="1" customWidth="1"/>
    <col min="12719" max="12719" width="11.28515625" bestFit="1" customWidth="1"/>
    <col min="12720" max="12720" width="12.28515625" bestFit="1" customWidth="1"/>
    <col min="12721" max="12721" width="13.85546875" bestFit="1" customWidth="1"/>
    <col min="12722" max="12723" width="15.140625" bestFit="1" customWidth="1"/>
    <col min="12724" max="12724" width="12.28515625" bestFit="1" customWidth="1"/>
    <col min="12725" max="12725" width="5.7109375" bestFit="1" customWidth="1"/>
    <col min="12726" max="12726" width="8.5703125" bestFit="1" customWidth="1"/>
    <col min="12727" max="12727" width="5.5703125" bestFit="1" customWidth="1"/>
    <col min="12728" max="12728" width="14.42578125" bestFit="1" customWidth="1"/>
    <col min="12729" max="12729" width="11.28515625" bestFit="1" customWidth="1"/>
    <col min="12730" max="12731" width="12.28515625" bestFit="1" customWidth="1"/>
    <col min="12732" max="12732" width="11.28515625" bestFit="1" customWidth="1"/>
    <col min="12733" max="12733" width="13.85546875" bestFit="1" customWidth="1"/>
    <col min="12734" max="12734" width="12" bestFit="1" customWidth="1"/>
    <col min="12735" max="12735" width="13.85546875" bestFit="1" customWidth="1"/>
    <col min="12736" max="12737" width="14.42578125" customWidth="1"/>
    <col min="12738" max="12738" width="10.140625" bestFit="1" customWidth="1"/>
    <col min="12739" max="12739" width="12.28515625" bestFit="1" customWidth="1"/>
    <col min="12740" max="12740" width="7.42578125" bestFit="1" customWidth="1"/>
    <col min="12741" max="12741" width="8.5703125" bestFit="1" customWidth="1"/>
    <col min="12742" max="12742" width="11.5703125" bestFit="1" customWidth="1"/>
    <col min="12743" max="12743" width="13.28515625" bestFit="1" customWidth="1"/>
    <col min="12744" max="12744" width="13.28515625" customWidth="1"/>
    <col min="12745" max="12745" width="13.140625" customWidth="1"/>
    <col min="12746" max="12746" width="12.7109375" bestFit="1" customWidth="1"/>
    <col min="12747" max="12747" width="13.28515625" bestFit="1" customWidth="1"/>
    <col min="12748" max="12750" width="13.28515625" customWidth="1"/>
    <col min="12751" max="12751" width="12.140625" bestFit="1" customWidth="1"/>
    <col min="12752" max="12752" width="12.7109375" bestFit="1" customWidth="1"/>
    <col min="12753" max="12753" width="11" customWidth="1"/>
    <col min="12754" max="12754" width="16.7109375" customWidth="1"/>
    <col min="12755" max="12755" width="17" customWidth="1"/>
    <col min="12756" max="12756" width="10.42578125" bestFit="1" customWidth="1"/>
    <col min="12800" max="12800" width="3.85546875" customWidth="1"/>
    <col min="12801" max="12801" width="15.28515625" bestFit="1" customWidth="1"/>
    <col min="12802" max="12802" width="12.28515625" customWidth="1"/>
    <col min="12803" max="12803" width="16.28515625" bestFit="1" customWidth="1"/>
    <col min="12804" max="12804" width="6.42578125" bestFit="1" customWidth="1"/>
    <col min="12805" max="12805" width="9.28515625" bestFit="1" customWidth="1"/>
    <col min="12806" max="12806" width="7.5703125" bestFit="1" customWidth="1"/>
    <col min="12807" max="12807" width="13.28515625" bestFit="1" customWidth="1"/>
    <col min="12808" max="12808" width="9.28515625" bestFit="1" customWidth="1"/>
    <col min="12809" max="12809" width="11.5703125" bestFit="1" customWidth="1"/>
    <col min="12810" max="12810" width="13.28515625" bestFit="1" customWidth="1"/>
    <col min="12811" max="12811" width="7.140625" bestFit="1" customWidth="1"/>
    <col min="12812" max="12812" width="12" bestFit="1" customWidth="1"/>
    <col min="12813" max="12813" width="13.28515625" bestFit="1" customWidth="1"/>
    <col min="12814" max="12814" width="7" bestFit="1" customWidth="1"/>
    <col min="12815" max="12815" width="12.7109375" bestFit="1" customWidth="1"/>
    <col min="12816" max="12816" width="11.5703125" bestFit="1" customWidth="1"/>
    <col min="12817" max="12817" width="10.5703125" bestFit="1" customWidth="1"/>
    <col min="12818" max="12819" width="15.7109375" bestFit="1" customWidth="1"/>
    <col min="12820" max="12820" width="11.5703125" bestFit="1" customWidth="1"/>
    <col min="12821" max="12821" width="7.7109375" bestFit="1" customWidth="1"/>
    <col min="12822" max="12822" width="15.140625" bestFit="1" customWidth="1"/>
    <col min="12823" max="12823" width="11.5703125" bestFit="1" customWidth="1"/>
    <col min="12824" max="12824" width="13.28515625" bestFit="1" customWidth="1"/>
    <col min="12825" max="12825" width="10.42578125" bestFit="1" customWidth="1"/>
    <col min="12826" max="12826" width="13.28515625" bestFit="1" customWidth="1"/>
    <col min="12827" max="12827" width="12.140625" bestFit="1" customWidth="1"/>
    <col min="12828" max="12828" width="14.42578125" bestFit="1" customWidth="1"/>
    <col min="12829" max="12829" width="13.28515625" bestFit="1" customWidth="1"/>
    <col min="12830" max="12830" width="11.5703125" bestFit="1" customWidth="1"/>
    <col min="12831" max="12831" width="7.7109375" bestFit="1" customWidth="1"/>
    <col min="12832" max="12833" width="14.42578125" bestFit="1" customWidth="1"/>
    <col min="12834" max="12834" width="11.5703125" bestFit="1" customWidth="1"/>
    <col min="12835" max="12835" width="7.7109375" bestFit="1" customWidth="1"/>
    <col min="12836" max="12836" width="13.5703125" customWidth="1"/>
    <col min="12837" max="12837" width="15.28515625" customWidth="1"/>
    <col min="12838" max="12838" width="14.5703125" customWidth="1"/>
    <col min="12839" max="12839" width="13.28515625" bestFit="1" customWidth="1"/>
    <col min="12840" max="12840" width="7.7109375" bestFit="1" customWidth="1"/>
    <col min="12841" max="12841" width="12.7109375" bestFit="1" customWidth="1"/>
    <col min="12842" max="12842" width="11.7109375" bestFit="1" customWidth="1"/>
    <col min="12843" max="12843" width="11.5703125" bestFit="1" customWidth="1"/>
    <col min="12844" max="12844" width="5.28515625" bestFit="1" customWidth="1"/>
    <col min="12845" max="12845" width="13.28515625" bestFit="1" customWidth="1"/>
    <col min="12846" max="12846" width="13.5703125" bestFit="1" customWidth="1"/>
    <col min="12847" max="12847" width="10.5703125" bestFit="1" customWidth="1"/>
    <col min="12848" max="12848" width="13.28515625" bestFit="1" customWidth="1"/>
    <col min="12849" max="12849" width="11.5703125" bestFit="1" customWidth="1"/>
    <col min="12850" max="12850" width="10.5703125" bestFit="1" customWidth="1"/>
    <col min="12851" max="12851" width="16.140625" bestFit="1" customWidth="1"/>
    <col min="12852" max="12853" width="11.28515625" bestFit="1" customWidth="1"/>
    <col min="12854" max="12854" width="13.28515625" bestFit="1" customWidth="1"/>
    <col min="12855" max="12855" width="7.7109375" bestFit="1" customWidth="1"/>
    <col min="12856" max="12859" width="9.140625" hidden="1" customWidth="1"/>
    <col min="12860" max="12860" width="10.42578125" bestFit="1" customWidth="1"/>
    <col min="12861" max="12861" width="10.5703125" bestFit="1" customWidth="1"/>
    <col min="12862" max="12862" width="10.42578125" bestFit="1" customWidth="1"/>
    <col min="12863" max="12863" width="10.5703125" bestFit="1" customWidth="1"/>
    <col min="12864" max="12864" width="9.5703125" bestFit="1" customWidth="1"/>
    <col min="12865" max="12865" width="11.5703125" bestFit="1" customWidth="1"/>
    <col min="12866" max="12866" width="10.42578125" bestFit="1" customWidth="1"/>
    <col min="12867" max="12867" width="10.85546875" customWidth="1"/>
    <col min="12868" max="12869" width="9.85546875" bestFit="1" customWidth="1"/>
    <col min="12870" max="12870" width="13.5703125" bestFit="1" customWidth="1"/>
    <col min="12871" max="12871" width="7.7109375" bestFit="1" customWidth="1"/>
    <col min="12872" max="12872" width="13.28515625" bestFit="1" customWidth="1"/>
    <col min="12873" max="12873" width="11.5703125" bestFit="1" customWidth="1"/>
    <col min="12874" max="12874" width="10.42578125" bestFit="1" customWidth="1"/>
    <col min="12875" max="12875" width="7.7109375" bestFit="1" customWidth="1"/>
    <col min="12876" max="12876" width="11.5703125" bestFit="1" customWidth="1"/>
    <col min="12877" max="12877" width="10.85546875" bestFit="1" customWidth="1"/>
    <col min="12878" max="12878" width="13.28515625" bestFit="1" customWidth="1"/>
    <col min="12879" max="12879" width="10.85546875" bestFit="1" customWidth="1"/>
    <col min="12880" max="12881" width="7.5703125" bestFit="1" customWidth="1"/>
    <col min="12882" max="12883" width="10.42578125" bestFit="1" customWidth="1"/>
    <col min="12884" max="12884" width="11.5703125" bestFit="1" customWidth="1"/>
    <col min="12885" max="12885" width="5.28515625" bestFit="1" customWidth="1"/>
    <col min="12886" max="12886" width="10.28515625" bestFit="1" customWidth="1"/>
    <col min="12887" max="12887" width="10.42578125" bestFit="1" customWidth="1"/>
    <col min="12888" max="12888" width="11.5703125" bestFit="1" customWidth="1"/>
    <col min="12889" max="12889" width="5.28515625" bestFit="1" customWidth="1"/>
    <col min="12890" max="12892" width="11.5703125" bestFit="1" customWidth="1"/>
    <col min="12893" max="12893" width="5.28515625" bestFit="1" customWidth="1"/>
    <col min="12894" max="12895" width="10.42578125" bestFit="1" customWidth="1"/>
    <col min="12896" max="12896" width="11.5703125" bestFit="1" customWidth="1"/>
    <col min="12897" max="12897" width="5.28515625" bestFit="1" customWidth="1"/>
    <col min="12898" max="12898" width="14.28515625" bestFit="1" customWidth="1"/>
    <col min="12899" max="12899" width="13" bestFit="1" customWidth="1"/>
    <col min="12900" max="12900" width="11.5703125" bestFit="1" customWidth="1"/>
    <col min="12901" max="12901" width="8.85546875" bestFit="1" customWidth="1"/>
    <col min="12902" max="12902" width="14.42578125" bestFit="1" customWidth="1"/>
    <col min="12903" max="12903" width="10.42578125" bestFit="1" customWidth="1"/>
    <col min="12904" max="12904" width="12.28515625" bestFit="1" customWidth="1"/>
    <col min="12905" max="12905" width="13.85546875" bestFit="1" customWidth="1"/>
    <col min="12906" max="12906" width="11.28515625" customWidth="1"/>
    <col min="12907" max="12907" width="11.5703125" customWidth="1"/>
    <col min="12908" max="12908" width="13.42578125" bestFit="1" customWidth="1"/>
    <col min="12909" max="12909" width="10.42578125" customWidth="1"/>
    <col min="12910" max="12910" width="13.85546875" bestFit="1" customWidth="1"/>
    <col min="12911" max="12911" width="15.42578125" bestFit="1" customWidth="1"/>
    <col min="12912" max="12912" width="12.28515625" bestFit="1" customWidth="1"/>
    <col min="12913" max="12913" width="12.7109375" customWidth="1"/>
    <col min="12914" max="12914" width="10.7109375" bestFit="1" customWidth="1"/>
    <col min="12915" max="12915" width="9.85546875" customWidth="1"/>
    <col min="12916" max="12917" width="10.140625" bestFit="1" customWidth="1"/>
    <col min="12918" max="12918" width="7.5703125" bestFit="1" customWidth="1"/>
    <col min="12919" max="12919" width="9.42578125" bestFit="1" customWidth="1"/>
    <col min="12920" max="12920" width="14.5703125" bestFit="1" customWidth="1"/>
    <col min="12921" max="12921" width="14.85546875" customWidth="1"/>
    <col min="12922" max="12922" width="15.140625" bestFit="1" customWidth="1"/>
    <col min="12923" max="12923" width="12.140625" bestFit="1" customWidth="1"/>
    <col min="12924" max="12924" width="14.85546875" bestFit="1" customWidth="1"/>
    <col min="12925" max="12925" width="12.28515625" bestFit="1" customWidth="1"/>
    <col min="12926" max="12934" width="9.140625" hidden="1" customWidth="1"/>
    <col min="12935" max="12935" width="5.28515625" bestFit="1" customWidth="1"/>
    <col min="12936" max="12941" width="11.5703125" bestFit="1" customWidth="1"/>
    <col min="12942" max="12942" width="11.28515625" bestFit="1" customWidth="1"/>
    <col min="12943" max="12943" width="10.140625" bestFit="1" customWidth="1"/>
    <col min="12944" max="12944" width="11.5703125" bestFit="1" customWidth="1"/>
    <col min="12945" max="12945" width="16.140625" customWidth="1"/>
    <col min="12946" max="12946" width="13.42578125" customWidth="1"/>
    <col min="12947" max="12947" width="10.140625" bestFit="1" customWidth="1"/>
    <col min="12948" max="12948" width="12.85546875" bestFit="1" customWidth="1"/>
    <col min="12949" max="12949" width="12.28515625" bestFit="1" customWidth="1"/>
    <col min="12950" max="12950" width="11.28515625" bestFit="1" customWidth="1"/>
    <col min="12951" max="12951" width="11.5703125" bestFit="1" customWidth="1"/>
    <col min="12952" max="12952" width="10.85546875" bestFit="1" customWidth="1"/>
    <col min="12953" max="12953" width="11.28515625" bestFit="1" customWidth="1"/>
    <col min="12954" max="12954" width="10.140625" bestFit="1" customWidth="1"/>
    <col min="12955" max="12955" width="13.28515625" bestFit="1" customWidth="1"/>
    <col min="12956" max="12957" width="12.7109375" bestFit="1" customWidth="1"/>
    <col min="12958" max="12958" width="11" bestFit="1" customWidth="1"/>
    <col min="12959" max="12959" width="11.28515625" bestFit="1" customWidth="1"/>
    <col min="12960" max="12960" width="11.5703125" bestFit="1" customWidth="1"/>
    <col min="12961" max="12961" width="12.28515625" bestFit="1" customWidth="1"/>
    <col min="12962" max="12962" width="15.140625" bestFit="1" customWidth="1"/>
    <col min="12963" max="12963" width="14.42578125" bestFit="1" customWidth="1"/>
    <col min="12964" max="12964" width="12.28515625" bestFit="1" customWidth="1"/>
    <col min="12965" max="12965" width="15.140625" bestFit="1" customWidth="1"/>
    <col min="12966" max="12966" width="14.42578125" bestFit="1" customWidth="1"/>
    <col min="12967" max="12967" width="12.28515625" bestFit="1" customWidth="1"/>
    <col min="12968" max="12968" width="14.42578125" bestFit="1" customWidth="1"/>
    <col min="12969" max="12969" width="11.28515625" bestFit="1" customWidth="1"/>
    <col min="12970" max="12970" width="12.28515625" bestFit="1" customWidth="1"/>
    <col min="12971" max="12971" width="13" bestFit="1" customWidth="1"/>
    <col min="12972" max="12972" width="15.140625" bestFit="1" customWidth="1"/>
    <col min="12973" max="12973" width="12.28515625" bestFit="1" customWidth="1"/>
    <col min="12974" max="12974" width="13.85546875" bestFit="1" customWidth="1"/>
    <col min="12975" max="12975" width="11.28515625" bestFit="1" customWidth="1"/>
    <col min="12976" max="12976" width="12.28515625" bestFit="1" customWidth="1"/>
    <col min="12977" max="12977" width="13.85546875" bestFit="1" customWidth="1"/>
    <col min="12978" max="12979" width="15.140625" bestFit="1" customWidth="1"/>
    <col min="12980" max="12980" width="12.28515625" bestFit="1" customWidth="1"/>
    <col min="12981" max="12981" width="5.7109375" bestFit="1" customWidth="1"/>
    <col min="12982" max="12982" width="8.5703125" bestFit="1" customWidth="1"/>
    <col min="12983" max="12983" width="5.5703125" bestFit="1" customWidth="1"/>
    <col min="12984" max="12984" width="14.42578125" bestFit="1" customWidth="1"/>
    <col min="12985" max="12985" width="11.28515625" bestFit="1" customWidth="1"/>
    <col min="12986" max="12987" width="12.28515625" bestFit="1" customWidth="1"/>
    <col min="12988" max="12988" width="11.28515625" bestFit="1" customWidth="1"/>
    <col min="12989" max="12989" width="13.85546875" bestFit="1" customWidth="1"/>
    <col min="12990" max="12990" width="12" bestFit="1" customWidth="1"/>
    <col min="12991" max="12991" width="13.85546875" bestFit="1" customWidth="1"/>
    <col min="12992" max="12993" width="14.42578125" customWidth="1"/>
    <col min="12994" max="12994" width="10.140625" bestFit="1" customWidth="1"/>
    <col min="12995" max="12995" width="12.28515625" bestFit="1" customWidth="1"/>
    <col min="12996" max="12996" width="7.42578125" bestFit="1" customWidth="1"/>
    <col min="12997" max="12997" width="8.5703125" bestFit="1" customWidth="1"/>
    <col min="12998" max="12998" width="11.5703125" bestFit="1" customWidth="1"/>
    <col min="12999" max="12999" width="13.28515625" bestFit="1" customWidth="1"/>
    <col min="13000" max="13000" width="13.28515625" customWidth="1"/>
    <col min="13001" max="13001" width="13.140625" customWidth="1"/>
    <col min="13002" max="13002" width="12.7109375" bestFit="1" customWidth="1"/>
    <col min="13003" max="13003" width="13.28515625" bestFit="1" customWidth="1"/>
    <col min="13004" max="13006" width="13.28515625" customWidth="1"/>
    <col min="13007" max="13007" width="12.140625" bestFit="1" customWidth="1"/>
    <col min="13008" max="13008" width="12.7109375" bestFit="1" customWidth="1"/>
    <col min="13009" max="13009" width="11" customWidth="1"/>
    <col min="13010" max="13010" width="16.7109375" customWidth="1"/>
    <col min="13011" max="13011" width="17" customWidth="1"/>
    <col min="13012" max="13012" width="10.42578125" bestFit="1" customWidth="1"/>
    <col min="13056" max="13056" width="3.85546875" customWidth="1"/>
    <col min="13057" max="13057" width="15.28515625" bestFit="1" customWidth="1"/>
    <col min="13058" max="13058" width="12.28515625" customWidth="1"/>
    <col min="13059" max="13059" width="16.28515625" bestFit="1" customWidth="1"/>
    <col min="13060" max="13060" width="6.42578125" bestFit="1" customWidth="1"/>
    <col min="13061" max="13061" width="9.28515625" bestFit="1" customWidth="1"/>
    <col min="13062" max="13062" width="7.5703125" bestFit="1" customWidth="1"/>
    <col min="13063" max="13063" width="13.28515625" bestFit="1" customWidth="1"/>
    <col min="13064" max="13064" width="9.28515625" bestFit="1" customWidth="1"/>
    <col min="13065" max="13065" width="11.5703125" bestFit="1" customWidth="1"/>
    <col min="13066" max="13066" width="13.28515625" bestFit="1" customWidth="1"/>
    <col min="13067" max="13067" width="7.140625" bestFit="1" customWidth="1"/>
    <col min="13068" max="13068" width="12" bestFit="1" customWidth="1"/>
    <col min="13069" max="13069" width="13.28515625" bestFit="1" customWidth="1"/>
    <col min="13070" max="13070" width="7" bestFit="1" customWidth="1"/>
    <col min="13071" max="13071" width="12.7109375" bestFit="1" customWidth="1"/>
    <col min="13072" max="13072" width="11.5703125" bestFit="1" customWidth="1"/>
    <col min="13073" max="13073" width="10.5703125" bestFit="1" customWidth="1"/>
    <col min="13074" max="13075" width="15.7109375" bestFit="1" customWidth="1"/>
    <col min="13076" max="13076" width="11.5703125" bestFit="1" customWidth="1"/>
    <col min="13077" max="13077" width="7.7109375" bestFit="1" customWidth="1"/>
    <col min="13078" max="13078" width="15.140625" bestFit="1" customWidth="1"/>
    <col min="13079" max="13079" width="11.5703125" bestFit="1" customWidth="1"/>
    <col min="13080" max="13080" width="13.28515625" bestFit="1" customWidth="1"/>
    <col min="13081" max="13081" width="10.42578125" bestFit="1" customWidth="1"/>
    <col min="13082" max="13082" width="13.28515625" bestFit="1" customWidth="1"/>
    <col min="13083" max="13083" width="12.140625" bestFit="1" customWidth="1"/>
    <col min="13084" max="13084" width="14.42578125" bestFit="1" customWidth="1"/>
    <col min="13085" max="13085" width="13.28515625" bestFit="1" customWidth="1"/>
    <col min="13086" max="13086" width="11.5703125" bestFit="1" customWidth="1"/>
    <col min="13087" max="13087" width="7.7109375" bestFit="1" customWidth="1"/>
    <col min="13088" max="13089" width="14.42578125" bestFit="1" customWidth="1"/>
    <col min="13090" max="13090" width="11.5703125" bestFit="1" customWidth="1"/>
    <col min="13091" max="13091" width="7.7109375" bestFit="1" customWidth="1"/>
    <col min="13092" max="13092" width="13.5703125" customWidth="1"/>
    <col min="13093" max="13093" width="15.28515625" customWidth="1"/>
    <col min="13094" max="13094" width="14.5703125" customWidth="1"/>
    <col min="13095" max="13095" width="13.28515625" bestFit="1" customWidth="1"/>
    <col min="13096" max="13096" width="7.7109375" bestFit="1" customWidth="1"/>
    <col min="13097" max="13097" width="12.7109375" bestFit="1" customWidth="1"/>
    <col min="13098" max="13098" width="11.7109375" bestFit="1" customWidth="1"/>
    <col min="13099" max="13099" width="11.5703125" bestFit="1" customWidth="1"/>
    <col min="13100" max="13100" width="5.28515625" bestFit="1" customWidth="1"/>
    <col min="13101" max="13101" width="13.28515625" bestFit="1" customWidth="1"/>
    <col min="13102" max="13102" width="13.5703125" bestFit="1" customWidth="1"/>
    <col min="13103" max="13103" width="10.5703125" bestFit="1" customWidth="1"/>
    <col min="13104" max="13104" width="13.28515625" bestFit="1" customWidth="1"/>
    <col min="13105" max="13105" width="11.5703125" bestFit="1" customWidth="1"/>
    <col min="13106" max="13106" width="10.5703125" bestFit="1" customWidth="1"/>
    <col min="13107" max="13107" width="16.140625" bestFit="1" customWidth="1"/>
    <col min="13108" max="13109" width="11.28515625" bestFit="1" customWidth="1"/>
    <col min="13110" max="13110" width="13.28515625" bestFit="1" customWidth="1"/>
    <col min="13111" max="13111" width="7.7109375" bestFit="1" customWidth="1"/>
    <col min="13112" max="13115" width="9.140625" hidden="1" customWidth="1"/>
    <col min="13116" max="13116" width="10.42578125" bestFit="1" customWidth="1"/>
    <col min="13117" max="13117" width="10.5703125" bestFit="1" customWidth="1"/>
    <col min="13118" max="13118" width="10.42578125" bestFit="1" customWidth="1"/>
    <col min="13119" max="13119" width="10.5703125" bestFit="1" customWidth="1"/>
    <col min="13120" max="13120" width="9.5703125" bestFit="1" customWidth="1"/>
    <col min="13121" max="13121" width="11.5703125" bestFit="1" customWidth="1"/>
    <col min="13122" max="13122" width="10.42578125" bestFit="1" customWidth="1"/>
    <col min="13123" max="13123" width="10.85546875" customWidth="1"/>
    <col min="13124" max="13125" width="9.85546875" bestFit="1" customWidth="1"/>
    <col min="13126" max="13126" width="13.5703125" bestFit="1" customWidth="1"/>
    <col min="13127" max="13127" width="7.7109375" bestFit="1" customWidth="1"/>
    <col min="13128" max="13128" width="13.28515625" bestFit="1" customWidth="1"/>
    <col min="13129" max="13129" width="11.5703125" bestFit="1" customWidth="1"/>
    <col min="13130" max="13130" width="10.42578125" bestFit="1" customWidth="1"/>
    <col min="13131" max="13131" width="7.7109375" bestFit="1" customWidth="1"/>
    <col min="13132" max="13132" width="11.5703125" bestFit="1" customWidth="1"/>
    <col min="13133" max="13133" width="10.85546875" bestFit="1" customWidth="1"/>
    <col min="13134" max="13134" width="13.28515625" bestFit="1" customWidth="1"/>
    <col min="13135" max="13135" width="10.85546875" bestFit="1" customWidth="1"/>
    <col min="13136" max="13137" width="7.5703125" bestFit="1" customWidth="1"/>
    <col min="13138" max="13139" width="10.42578125" bestFit="1" customWidth="1"/>
    <col min="13140" max="13140" width="11.5703125" bestFit="1" customWidth="1"/>
    <col min="13141" max="13141" width="5.28515625" bestFit="1" customWidth="1"/>
    <col min="13142" max="13142" width="10.28515625" bestFit="1" customWidth="1"/>
    <col min="13143" max="13143" width="10.42578125" bestFit="1" customWidth="1"/>
    <col min="13144" max="13144" width="11.5703125" bestFit="1" customWidth="1"/>
    <col min="13145" max="13145" width="5.28515625" bestFit="1" customWidth="1"/>
    <col min="13146" max="13148" width="11.5703125" bestFit="1" customWidth="1"/>
    <col min="13149" max="13149" width="5.28515625" bestFit="1" customWidth="1"/>
    <col min="13150" max="13151" width="10.42578125" bestFit="1" customWidth="1"/>
    <col min="13152" max="13152" width="11.5703125" bestFit="1" customWidth="1"/>
    <col min="13153" max="13153" width="5.28515625" bestFit="1" customWidth="1"/>
    <col min="13154" max="13154" width="14.28515625" bestFit="1" customWidth="1"/>
    <col min="13155" max="13155" width="13" bestFit="1" customWidth="1"/>
    <col min="13156" max="13156" width="11.5703125" bestFit="1" customWidth="1"/>
    <col min="13157" max="13157" width="8.85546875" bestFit="1" customWidth="1"/>
    <col min="13158" max="13158" width="14.42578125" bestFit="1" customWidth="1"/>
    <col min="13159" max="13159" width="10.42578125" bestFit="1" customWidth="1"/>
    <col min="13160" max="13160" width="12.28515625" bestFit="1" customWidth="1"/>
    <col min="13161" max="13161" width="13.85546875" bestFit="1" customWidth="1"/>
    <col min="13162" max="13162" width="11.28515625" customWidth="1"/>
    <col min="13163" max="13163" width="11.5703125" customWidth="1"/>
    <col min="13164" max="13164" width="13.42578125" bestFit="1" customWidth="1"/>
    <col min="13165" max="13165" width="10.42578125" customWidth="1"/>
    <col min="13166" max="13166" width="13.85546875" bestFit="1" customWidth="1"/>
    <col min="13167" max="13167" width="15.42578125" bestFit="1" customWidth="1"/>
    <col min="13168" max="13168" width="12.28515625" bestFit="1" customWidth="1"/>
    <col min="13169" max="13169" width="12.7109375" customWidth="1"/>
    <col min="13170" max="13170" width="10.7109375" bestFit="1" customWidth="1"/>
    <col min="13171" max="13171" width="9.85546875" customWidth="1"/>
    <col min="13172" max="13173" width="10.140625" bestFit="1" customWidth="1"/>
    <col min="13174" max="13174" width="7.5703125" bestFit="1" customWidth="1"/>
    <col min="13175" max="13175" width="9.42578125" bestFit="1" customWidth="1"/>
    <col min="13176" max="13176" width="14.5703125" bestFit="1" customWidth="1"/>
    <col min="13177" max="13177" width="14.85546875" customWidth="1"/>
    <col min="13178" max="13178" width="15.140625" bestFit="1" customWidth="1"/>
    <col min="13179" max="13179" width="12.140625" bestFit="1" customWidth="1"/>
    <col min="13180" max="13180" width="14.85546875" bestFit="1" customWidth="1"/>
    <col min="13181" max="13181" width="12.28515625" bestFit="1" customWidth="1"/>
    <col min="13182" max="13190" width="9.140625" hidden="1" customWidth="1"/>
    <col min="13191" max="13191" width="5.28515625" bestFit="1" customWidth="1"/>
    <col min="13192" max="13197" width="11.5703125" bestFit="1" customWidth="1"/>
    <col min="13198" max="13198" width="11.28515625" bestFit="1" customWidth="1"/>
    <col min="13199" max="13199" width="10.140625" bestFit="1" customWidth="1"/>
    <col min="13200" max="13200" width="11.5703125" bestFit="1" customWidth="1"/>
    <col min="13201" max="13201" width="16.140625" customWidth="1"/>
    <col min="13202" max="13202" width="13.42578125" customWidth="1"/>
    <col min="13203" max="13203" width="10.140625" bestFit="1" customWidth="1"/>
    <col min="13204" max="13204" width="12.85546875" bestFit="1" customWidth="1"/>
    <col min="13205" max="13205" width="12.28515625" bestFit="1" customWidth="1"/>
    <col min="13206" max="13206" width="11.28515625" bestFit="1" customWidth="1"/>
    <col min="13207" max="13207" width="11.5703125" bestFit="1" customWidth="1"/>
    <col min="13208" max="13208" width="10.85546875" bestFit="1" customWidth="1"/>
    <col min="13209" max="13209" width="11.28515625" bestFit="1" customWidth="1"/>
    <col min="13210" max="13210" width="10.140625" bestFit="1" customWidth="1"/>
    <col min="13211" max="13211" width="13.28515625" bestFit="1" customWidth="1"/>
    <col min="13212" max="13213" width="12.7109375" bestFit="1" customWidth="1"/>
    <col min="13214" max="13214" width="11" bestFit="1" customWidth="1"/>
    <col min="13215" max="13215" width="11.28515625" bestFit="1" customWidth="1"/>
    <col min="13216" max="13216" width="11.5703125" bestFit="1" customWidth="1"/>
    <col min="13217" max="13217" width="12.28515625" bestFit="1" customWidth="1"/>
    <col min="13218" max="13218" width="15.140625" bestFit="1" customWidth="1"/>
    <col min="13219" max="13219" width="14.42578125" bestFit="1" customWidth="1"/>
    <col min="13220" max="13220" width="12.28515625" bestFit="1" customWidth="1"/>
    <col min="13221" max="13221" width="15.140625" bestFit="1" customWidth="1"/>
    <col min="13222" max="13222" width="14.42578125" bestFit="1" customWidth="1"/>
    <col min="13223" max="13223" width="12.28515625" bestFit="1" customWidth="1"/>
    <col min="13224" max="13224" width="14.42578125" bestFit="1" customWidth="1"/>
    <col min="13225" max="13225" width="11.28515625" bestFit="1" customWidth="1"/>
    <col min="13226" max="13226" width="12.28515625" bestFit="1" customWidth="1"/>
    <col min="13227" max="13227" width="13" bestFit="1" customWidth="1"/>
    <col min="13228" max="13228" width="15.140625" bestFit="1" customWidth="1"/>
    <col min="13229" max="13229" width="12.28515625" bestFit="1" customWidth="1"/>
    <col min="13230" max="13230" width="13.85546875" bestFit="1" customWidth="1"/>
    <col min="13231" max="13231" width="11.28515625" bestFit="1" customWidth="1"/>
    <col min="13232" max="13232" width="12.28515625" bestFit="1" customWidth="1"/>
    <col min="13233" max="13233" width="13.85546875" bestFit="1" customWidth="1"/>
    <col min="13234" max="13235" width="15.140625" bestFit="1" customWidth="1"/>
    <col min="13236" max="13236" width="12.28515625" bestFit="1" customWidth="1"/>
    <col min="13237" max="13237" width="5.7109375" bestFit="1" customWidth="1"/>
    <col min="13238" max="13238" width="8.5703125" bestFit="1" customWidth="1"/>
    <col min="13239" max="13239" width="5.5703125" bestFit="1" customWidth="1"/>
    <col min="13240" max="13240" width="14.42578125" bestFit="1" customWidth="1"/>
    <col min="13241" max="13241" width="11.28515625" bestFit="1" customWidth="1"/>
    <col min="13242" max="13243" width="12.28515625" bestFit="1" customWidth="1"/>
    <col min="13244" max="13244" width="11.28515625" bestFit="1" customWidth="1"/>
    <col min="13245" max="13245" width="13.85546875" bestFit="1" customWidth="1"/>
    <col min="13246" max="13246" width="12" bestFit="1" customWidth="1"/>
    <col min="13247" max="13247" width="13.85546875" bestFit="1" customWidth="1"/>
    <col min="13248" max="13249" width="14.42578125" customWidth="1"/>
    <col min="13250" max="13250" width="10.140625" bestFit="1" customWidth="1"/>
    <col min="13251" max="13251" width="12.28515625" bestFit="1" customWidth="1"/>
    <col min="13252" max="13252" width="7.42578125" bestFit="1" customWidth="1"/>
    <col min="13253" max="13253" width="8.5703125" bestFit="1" customWidth="1"/>
    <col min="13254" max="13254" width="11.5703125" bestFit="1" customWidth="1"/>
    <col min="13255" max="13255" width="13.28515625" bestFit="1" customWidth="1"/>
    <col min="13256" max="13256" width="13.28515625" customWidth="1"/>
    <col min="13257" max="13257" width="13.140625" customWidth="1"/>
    <col min="13258" max="13258" width="12.7109375" bestFit="1" customWidth="1"/>
    <col min="13259" max="13259" width="13.28515625" bestFit="1" customWidth="1"/>
    <col min="13260" max="13262" width="13.28515625" customWidth="1"/>
    <col min="13263" max="13263" width="12.140625" bestFit="1" customWidth="1"/>
    <col min="13264" max="13264" width="12.7109375" bestFit="1" customWidth="1"/>
    <col min="13265" max="13265" width="11" customWidth="1"/>
    <col min="13266" max="13266" width="16.7109375" customWidth="1"/>
    <col min="13267" max="13267" width="17" customWidth="1"/>
    <col min="13268" max="13268" width="10.42578125" bestFit="1" customWidth="1"/>
    <col min="13312" max="13312" width="3.85546875" customWidth="1"/>
    <col min="13313" max="13313" width="15.28515625" bestFit="1" customWidth="1"/>
    <col min="13314" max="13314" width="12.28515625" customWidth="1"/>
    <col min="13315" max="13315" width="16.28515625" bestFit="1" customWidth="1"/>
    <col min="13316" max="13316" width="6.42578125" bestFit="1" customWidth="1"/>
    <col min="13317" max="13317" width="9.28515625" bestFit="1" customWidth="1"/>
    <col min="13318" max="13318" width="7.5703125" bestFit="1" customWidth="1"/>
    <col min="13319" max="13319" width="13.28515625" bestFit="1" customWidth="1"/>
    <col min="13320" max="13320" width="9.28515625" bestFit="1" customWidth="1"/>
    <col min="13321" max="13321" width="11.5703125" bestFit="1" customWidth="1"/>
    <col min="13322" max="13322" width="13.28515625" bestFit="1" customWidth="1"/>
    <col min="13323" max="13323" width="7.140625" bestFit="1" customWidth="1"/>
    <col min="13324" max="13324" width="12" bestFit="1" customWidth="1"/>
    <col min="13325" max="13325" width="13.28515625" bestFit="1" customWidth="1"/>
    <col min="13326" max="13326" width="7" bestFit="1" customWidth="1"/>
    <col min="13327" max="13327" width="12.7109375" bestFit="1" customWidth="1"/>
    <col min="13328" max="13328" width="11.5703125" bestFit="1" customWidth="1"/>
    <col min="13329" max="13329" width="10.5703125" bestFit="1" customWidth="1"/>
    <col min="13330" max="13331" width="15.7109375" bestFit="1" customWidth="1"/>
    <col min="13332" max="13332" width="11.5703125" bestFit="1" customWidth="1"/>
    <col min="13333" max="13333" width="7.7109375" bestFit="1" customWidth="1"/>
    <col min="13334" max="13334" width="15.140625" bestFit="1" customWidth="1"/>
    <col min="13335" max="13335" width="11.5703125" bestFit="1" customWidth="1"/>
    <col min="13336" max="13336" width="13.28515625" bestFit="1" customWidth="1"/>
    <col min="13337" max="13337" width="10.42578125" bestFit="1" customWidth="1"/>
    <col min="13338" max="13338" width="13.28515625" bestFit="1" customWidth="1"/>
    <col min="13339" max="13339" width="12.140625" bestFit="1" customWidth="1"/>
    <col min="13340" max="13340" width="14.42578125" bestFit="1" customWidth="1"/>
    <col min="13341" max="13341" width="13.28515625" bestFit="1" customWidth="1"/>
    <col min="13342" max="13342" width="11.5703125" bestFit="1" customWidth="1"/>
    <col min="13343" max="13343" width="7.7109375" bestFit="1" customWidth="1"/>
    <col min="13344" max="13345" width="14.42578125" bestFit="1" customWidth="1"/>
    <col min="13346" max="13346" width="11.5703125" bestFit="1" customWidth="1"/>
    <col min="13347" max="13347" width="7.7109375" bestFit="1" customWidth="1"/>
    <col min="13348" max="13348" width="13.5703125" customWidth="1"/>
    <col min="13349" max="13349" width="15.28515625" customWidth="1"/>
    <col min="13350" max="13350" width="14.5703125" customWidth="1"/>
    <col min="13351" max="13351" width="13.28515625" bestFit="1" customWidth="1"/>
    <col min="13352" max="13352" width="7.7109375" bestFit="1" customWidth="1"/>
    <col min="13353" max="13353" width="12.7109375" bestFit="1" customWidth="1"/>
    <col min="13354" max="13354" width="11.7109375" bestFit="1" customWidth="1"/>
    <col min="13355" max="13355" width="11.5703125" bestFit="1" customWidth="1"/>
    <col min="13356" max="13356" width="5.28515625" bestFit="1" customWidth="1"/>
    <col min="13357" max="13357" width="13.28515625" bestFit="1" customWidth="1"/>
    <col min="13358" max="13358" width="13.5703125" bestFit="1" customWidth="1"/>
    <col min="13359" max="13359" width="10.5703125" bestFit="1" customWidth="1"/>
    <col min="13360" max="13360" width="13.28515625" bestFit="1" customWidth="1"/>
    <col min="13361" max="13361" width="11.5703125" bestFit="1" customWidth="1"/>
    <col min="13362" max="13362" width="10.5703125" bestFit="1" customWidth="1"/>
    <col min="13363" max="13363" width="16.140625" bestFit="1" customWidth="1"/>
    <col min="13364" max="13365" width="11.28515625" bestFit="1" customWidth="1"/>
    <col min="13366" max="13366" width="13.28515625" bestFit="1" customWidth="1"/>
    <col min="13367" max="13367" width="7.7109375" bestFit="1" customWidth="1"/>
    <col min="13368" max="13371" width="9.140625" hidden="1" customWidth="1"/>
    <col min="13372" max="13372" width="10.42578125" bestFit="1" customWidth="1"/>
    <col min="13373" max="13373" width="10.5703125" bestFit="1" customWidth="1"/>
    <col min="13374" max="13374" width="10.42578125" bestFit="1" customWidth="1"/>
    <col min="13375" max="13375" width="10.5703125" bestFit="1" customWidth="1"/>
    <col min="13376" max="13376" width="9.5703125" bestFit="1" customWidth="1"/>
    <col min="13377" max="13377" width="11.5703125" bestFit="1" customWidth="1"/>
    <col min="13378" max="13378" width="10.42578125" bestFit="1" customWidth="1"/>
    <col min="13379" max="13379" width="10.85546875" customWidth="1"/>
    <col min="13380" max="13381" width="9.85546875" bestFit="1" customWidth="1"/>
    <col min="13382" max="13382" width="13.5703125" bestFit="1" customWidth="1"/>
    <col min="13383" max="13383" width="7.7109375" bestFit="1" customWidth="1"/>
    <col min="13384" max="13384" width="13.28515625" bestFit="1" customWidth="1"/>
    <col min="13385" max="13385" width="11.5703125" bestFit="1" customWidth="1"/>
    <col min="13386" max="13386" width="10.42578125" bestFit="1" customWidth="1"/>
    <col min="13387" max="13387" width="7.7109375" bestFit="1" customWidth="1"/>
    <col min="13388" max="13388" width="11.5703125" bestFit="1" customWidth="1"/>
    <col min="13389" max="13389" width="10.85546875" bestFit="1" customWidth="1"/>
    <col min="13390" max="13390" width="13.28515625" bestFit="1" customWidth="1"/>
    <col min="13391" max="13391" width="10.85546875" bestFit="1" customWidth="1"/>
    <col min="13392" max="13393" width="7.5703125" bestFit="1" customWidth="1"/>
    <col min="13394" max="13395" width="10.42578125" bestFit="1" customWidth="1"/>
    <col min="13396" max="13396" width="11.5703125" bestFit="1" customWidth="1"/>
    <col min="13397" max="13397" width="5.28515625" bestFit="1" customWidth="1"/>
    <col min="13398" max="13398" width="10.28515625" bestFit="1" customWidth="1"/>
    <col min="13399" max="13399" width="10.42578125" bestFit="1" customWidth="1"/>
    <col min="13400" max="13400" width="11.5703125" bestFit="1" customWidth="1"/>
    <col min="13401" max="13401" width="5.28515625" bestFit="1" customWidth="1"/>
    <col min="13402" max="13404" width="11.5703125" bestFit="1" customWidth="1"/>
    <col min="13405" max="13405" width="5.28515625" bestFit="1" customWidth="1"/>
    <col min="13406" max="13407" width="10.42578125" bestFit="1" customWidth="1"/>
    <col min="13408" max="13408" width="11.5703125" bestFit="1" customWidth="1"/>
    <col min="13409" max="13409" width="5.28515625" bestFit="1" customWidth="1"/>
    <col min="13410" max="13410" width="14.28515625" bestFit="1" customWidth="1"/>
    <col min="13411" max="13411" width="13" bestFit="1" customWidth="1"/>
    <col min="13412" max="13412" width="11.5703125" bestFit="1" customWidth="1"/>
    <col min="13413" max="13413" width="8.85546875" bestFit="1" customWidth="1"/>
    <col min="13414" max="13414" width="14.42578125" bestFit="1" customWidth="1"/>
    <col min="13415" max="13415" width="10.42578125" bestFit="1" customWidth="1"/>
    <col min="13416" max="13416" width="12.28515625" bestFit="1" customWidth="1"/>
    <col min="13417" max="13417" width="13.85546875" bestFit="1" customWidth="1"/>
    <col min="13418" max="13418" width="11.28515625" customWidth="1"/>
    <col min="13419" max="13419" width="11.5703125" customWidth="1"/>
    <col min="13420" max="13420" width="13.42578125" bestFit="1" customWidth="1"/>
    <col min="13421" max="13421" width="10.42578125" customWidth="1"/>
    <col min="13422" max="13422" width="13.85546875" bestFit="1" customWidth="1"/>
    <col min="13423" max="13423" width="15.42578125" bestFit="1" customWidth="1"/>
    <col min="13424" max="13424" width="12.28515625" bestFit="1" customWidth="1"/>
    <col min="13425" max="13425" width="12.7109375" customWidth="1"/>
    <col min="13426" max="13426" width="10.7109375" bestFit="1" customWidth="1"/>
    <col min="13427" max="13427" width="9.85546875" customWidth="1"/>
    <col min="13428" max="13429" width="10.140625" bestFit="1" customWidth="1"/>
    <col min="13430" max="13430" width="7.5703125" bestFit="1" customWidth="1"/>
    <col min="13431" max="13431" width="9.42578125" bestFit="1" customWidth="1"/>
    <col min="13432" max="13432" width="14.5703125" bestFit="1" customWidth="1"/>
    <col min="13433" max="13433" width="14.85546875" customWidth="1"/>
    <col min="13434" max="13434" width="15.140625" bestFit="1" customWidth="1"/>
    <col min="13435" max="13435" width="12.140625" bestFit="1" customWidth="1"/>
    <col min="13436" max="13436" width="14.85546875" bestFit="1" customWidth="1"/>
    <col min="13437" max="13437" width="12.28515625" bestFit="1" customWidth="1"/>
    <col min="13438" max="13446" width="9.140625" hidden="1" customWidth="1"/>
    <col min="13447" max="13447" width="5.28515625" bestFit="1" customWidth="1"/>
    <col min="13448" max="13453" width="11.5703125" bestFit="1" customWidth="1"/>
    <col min="13454" max="13454" width="11.28515625" bestFit="1" customWidth="1"/>
    <col min="13455" max="13455" width="10.140625" bestFit="1" customWidth="1"/>
    <col min="13456" max="13456" width="11.5703125" bestFit="1" customWidth="1"/>
    <col min="13457" max="13457" width="16.140625" customWidth="1"/>
    <col min="13458" max="13458" width="13.42578125" customWidth="1"/>
    <col min="13459" max="13459" width="10.140625" bestFit="1" customWidth="1"/>
    <col min="13460" max="13460" width="12.85546875" bestFit="1" customWidth="1"/>
    <col min="13461" max="13461" width="12.28515625" bestFit="1" customWidth="1"/>
    <col min="13462" max="13462" width="11.28515625" bestFit="1" customWidth="1"/>
    <col min="13463" max="13463" width="11.5703125" bestFit="1" customWidth="1"/>
    <col min="13464" max="13464" width="10.85546875" bestFit="1" customWidth="1"/>
    <col min="13465" max="13465" width="11.28515625" bestFit="1" customWidth="1"/>
    <col min="13466" max="13466" width="10.140625" bestFit="1" customWidth="1"/>
    <col min="13467" max="13467" width="13.28515625" bestFit="1" customWidth="1"/>
    <col min="13468" max="13469" width="12.7109375" bestFit="1" customWidth="1"/>
    <col min="13470" max="13470" width="11" bestFit="1" customWidth="1"/>
    <col min="13471" max="13471" width="11.28515625" bestFit="1" customWidth="1"/>
    <col min="13472" max="13472" width="11.5703125" bestFit="1" customWidth="1"/>
    <col min="13473" max="13473" width="12.28515625" bestFit="1" customWidth="1"/>
    <col min="13474" max="13474" width="15.140625" bestFit="1" customWidth="1"/>
    <col min="13475" max="13475" width="14.42578125" bestFit="1" customWidth="1"/>
    <col min="13476" max="13476" width="12.28515625" bestFit="1" customWidth="1"/>
    <col min="13477" max="13477" width="15.140625" bestFit="1" customWidth="1"/>
    <col min="13478" max="13478" width="14.42578125" bestFit="1" customWidth="1"/>
    <col min="13479" max="13479" width="12.28515625" bestFit="1" customWidth="1"/>
    <col min="13480" max="13480" width="14.42578125" bestFit="1" customWidth="1"/>
    <col min="13481" max="13481" width="11.28515625" bestFit="1" customWidth="1"/>
    <col min="13482" max="13482" width="12.28515625" bestFit="1" customWidth="1"/>
    <col min="13483" max="13483" width="13" bestFit="1" customWidth="1"/>
    <col min="13484" max="13484" width="15.140625" bestFit="1" customWidth="1"/>
    <col min="13485" max="13485" width="12.28515625" bestFit="1" customWidth="1"/>
    <col min="13486" max="13486" width="13.85546875" bestFit="1" customWidth="1"/>
    <col min="13487" max="13487" width="11.28515625" bestFit="1" customWidth="1"/>
    <col min="13488" max="13488" width="12.28515625" bestFit="1" customWidth="1"/>
    <col min="13489" max="13489" width="13.85546875" bestFit="1" customWidth="1"/>
    <col min="13490" max="13491" width="15.140625" bestFit="1" customWidth="1"/>
    <col min="13492" max="13492" width="12.28515625" bestFit="1" customWidth="1"/>
    <col min="13493" max="13493" width="5.7109375" bestFit="1" customWidth="1"/>
    <col min="13494" max="13494" width="8.5703125" bestFit="1" customWidth="1"/>
    <col min="13495" max="13495" width="5.5703125" bestFit="1" customWidth="1"/>
    <col min="13496" max="13496" width="14.42578125" bestFit="1" customWidth="1"/>
    <col min="13497" max="13497" width="11.28515625" bestFit="1" customWidth="1"/>
    <col min="13498" max="13499" width="12.28515625" bestFit="1" customWidth="1"/>
    <col min="13500" max="13500" width="11.28515625" bestFit="1" customWidth="1"/>
    <col min="13501" max="13501" width="13.85546875" bestFit="1" customWidth="1"/>
    <col min="13502" max="13502" width="12" bestFit="1" customWidth="1"/>
    <col min="13503" max="13503" width="13.85546875" bestFit="1" customWidth="1"/>
    <col min="13504" max="13505" width="14.42578125" customWidth="1"/>
    <col min="13506" max="13506" width="10.140625" bestFit="1" customWidth="1"/>
    <col min="13507" max="13507" width="12.28515625" bestFit="1" customWidth="1"/>
    <col min="13508" max="13508" width="7.42578125" bestFit="1" customWidth="1"/>
    <col min="13509" max="13509" width="8.5703125" bestFit="1" customWidth="1"/>
    <col min="13510" max="13510" width="11.5703125" bestFit="1" customWidth="1"/>
    <col min="13511" max="13511" width="13.28515625" bestFit="1" customWidth="1"/>
    <col min="13512" max="13512" width="13.28515625" customWidth="1"/>
    <col min="13513" max="13513" width="13.140625" customWidth="1"/>
    <col min="13514" max="13514" width="12.7109375" bestFit="1" customWidth="1"/>
    <col min="13515" max="13515" width="13.28515625" bestFit="1" customWidth="1"/>
    <col min="13516" max="13518" width="13.28515625" customWidth="1"/>
    <col min="13519" max="13519" width="12.140625" bestFit="1" customWidth="1"/>
    <col min="13520" max="13520" width="12.7109375" bestFit="1" customWidth="1"/>
    <col min="13521" max="13521" width="11" customWidth="1"/>
    <col min="13522" max="13522" width="16.7109375" customWidth="1"/>
    <col min="13523" max="13523" width="17" customWidth="1"/>
    <col min="13524" max="13524" width="10.42578125" bestFit="1" customWidth="1"/>
    <col min="13568" max="13568" width="3.85546875" customWidth="1"/>
    <col min="13569" max="13569" width="15.28515625" bestFit="1" customWidth="1"/>
    <col min="13570" max="13570" width="12.28515625" customWidth="1"/>
    <col min="13571" max="13571" width="16.28515625" bestFit="1" customWidth="1"/>
    <col min="13572" max="13572" width="6.42578125" bestFit="1" customWidth="1"/>
    <col min="13573" max="13573" width="9.28515625" bestFit="1" customWidth="1"/>
    <col min="13574" max="13574" width="7.5703125" bestFit="1" customWidth="1"/>
    <col min="13575" max="13575" width="13.28515625" bestFit="1" customWidth="1"/>
    <col min="13576" max="13576" width="9.28515625" bestFit="1" customWidth="1"/>
    <col min="13577" max="13577" width="11.5703125" bestFit="1" customWidth="1"/>
    <col min="13578" max="13578" width="13.28515625" bestFit="1" customWidth="1"/>
    <col min="13579" max="13579" width="7.140625" bestFit="1" customWidth="1"/>
    <col min="13580" max="13580" width="12" bestFit="1" customWidth="1"/>
    <col min="13581" max="13581" width="13.28515625" bestFit="1" customWidth="1"/>
    <col min="13582" max="13582" width="7" bestFit="1" customWidth="1"/>
    <col min="13583" max="13583" width="12.7109375" bestFit="1" customWidth="1"/>
    <col min="13584" max="13584" width="11.5703125" bestFit="1" customWidth="1"/>
    <col min="13585" max="13585" width="10.5703125" bestFit="1" customWidth="1"/>
    <col min="13586" max="13587" width="15.7109375" bestFit="1" customWidth="1"/>
    <col min="13588" max="13588" width="11.5703125" bestFit="1" customWidth="1"/>
    <col min="13589" max="13589" width="7.7109375" bestFit="1" customWidth="1"/>
    <col min="13590" max="13590" width="15.140625" bestFit="1" customWidth="1"/>
    <col min="13591" max="13591" width="11.5703125" bestFit="1" customWidth="1"/>
    <col min="13592" max="13592" width="13.28515625" bestFit="1" customWidth="1"/>
    <col min="13593" max="13593" width="10.42578125" bestFit="1" customWidth="1"/>
    <col min="13594" max="13594" width="13.28515625" bestFit="1" customWidth="1"/>
    <col min="13595" max="13595" width="12.140625" bestFit="1" customWidth="1"/>
    <col min="13596" max="13596" width="14.42578125" bestFit="1" customWidth="1"/>
    <col min="13597" max="13597" width="13.28515625" bestFit="1" customWidth="1"/>
    <col min="13598" max="13598" width="11.5703125" bestFit="1" customWidth="1"/>
    <col min="13599" max="13599" width="7.7109375" bestFit="1" customWidth="1"/>
    <col min="13600" max="13601" width="14.42578125" bestFit="1" customWidth="1"/>
    <col min="13602" max="13602" width="11.5703125" bestFit="1" customWidth="1"/>
    <col min="13603" max="13603" width="7.7109375" bestFit="1" customWidth="1"/>
    <col min="13604" max="13604" width="13.5703125" customWidth="1"/>
    <col min="13605" max="13605" width="15.28515625" customWidth="1"/>
    <col min="13606" max="13606" width="14.5703125" customWidth="1"/>
    <col min="13607" max="13607" width="13.28515625" bestFit="1" customWidth="1"/>
    <col min="13608" max="13608" width="7.7109375" bestFit="1" customWidth="1"/>
    <col min="13609" max="13609" width="12.7109375" bestFit="1" customWidth="1"/>
    <col min="13610" max="13610" width="11.7109375" bestFit="1" customWidth="1"/>
    <col min="13611" max="13611" width="11.5703125" bestFit="1" customWidth="1"/>
    <col min="13612" max="13612" width="5.28515625" bestFit="1" customWidth="1"/>
    <col min="13613" max="13613" width="13.28515625" bestFit="1" customWidth="1"/>
    <col min="13614" max="13614" width="13.5703125" bestFit="1" customWidth="1"/>
    <col min="13615" max="13615" width="10.5703125" bestFit="1" customWidth="1"/>
    <col min="13616" max="13616" width="13.28515625" bestFit="1" customWidth="1"/>
    <col min="13617" max="13617" width="11.5703125" bestFit="1" customWidth="1"/>
    <col min="13618" max="13618" width="10.5703125" bestFit="1" customWidth="1"/>
    <col min="13619" max="13619" width="16.140625" bestFit="1" customWidth="1"/>
    <col min="13620" max="13621" width="11.28515625" bestFit="1" customWidth="1"/>
    <col min="13622" max="13622" width="13.28515625" bestFit="1" customWidth="1"/>
    <col min="13623" max="13623" width="7.7109375" bestFit="1" customWidth="1"/>
    <col min="13624" max="13627" width="9.140625" hidden="1" customWidth="1"/>
    <col min="13628" max="13628" width="10.42578125" bestFit="1" customWidth="1"/>
    <col min="13629" max="13629" width="10.5703125" bestFit="1" customWidth="1"/>
    <col min="13630" max="13630" width="10.42578125" bestFit="1" customWidth="1"/>
    <col min="13631" max="13631" width="10.5703125" bestFit="1" customWidth="1"/>
    <col min="13632" max="13632" width="9.5703125" bestFit="1" customWidth="1"/>
    <col min="13633" max="13633" width="11.5703125" bestFit="1" customWidth="1"/>
    <col min="13634" max="13634" width="10.42578125" bestFit="1" customWidth="1"/>
    <col min="13635" max="13635" width="10.85546875" customWidth="1"/>
    <col min="13636" max="13637" width="9.85546875" bestFit="1" customWidth="1"/>
    <col min="13638" max="13638" width="13.5703125" bestFit="1" customWidth="1"/>
    <col min="13639" max="13639" width="7.7109375" bestFit="1" customWidth="1"/>
    <col min="13640" max="13640" width="13.28515625" bestFit="1" customWidth="1"/>
    <col min="13641" max="13641" width="11.5703125" bestFit="1" customWidth="1"/>
    <col min="13642" max="13642" width="10.42578125" bestFit="1" customWidth="1"/>
    <col min="13643" max="13643" width="7.7109375" bestFit="1" customWidth="1"/>
    <col min="13644" max="13644" width="11.5703125" bestFit="1" customWidth="1"/>
    <col min="13645" max="13645" width="10.85546875" bestFit="1" customWidth="1"/>
    <col min="13646" max="13646" width="13.28515625" bestFit="1" customWidth="1"/>
    <col min="13647" max="13647" width="10.85546875" bestFit="1" customWidth="1"/>
    <col min="13648" max="13649" width="7.5703125" bestFit="1" customWidth="1"/>
    <col min="13650" max="13651" width="10.42578125" bestFit="1" customWidth="1"/>
    <col min="13652" max="13652" width="11.5703125" bestFit="1" customWidth="1"/>
    <col min="13653" max="13653" width="5.28515625" bestFit="1" customWidth="1"/>
    <col min="13654" max="13654" width="10.28515625" bestFit="1" customWidth="1"/>
    <col min="13655" max="13655" width="10.42578125" bestFit="1" customWidth="1"/>
    <col min="13656" max="13656" width="11.5703125" bestFit="1" customWidth="1"/>
    <col min="13657" max="13657" width="5.28515625" bestFit="1" customWidth="1"/>
    <col min="13658" max="13660" width="11.5703125" bestFit="1" customWidth="1"/>
    <col min="13661" max="13661" width="5.28515625" bestFit="1" customWidth="1"/>
    <col min="13662" max="13663" width="10.42578125" bestFit="1" customWidth="1"/>
    <col min="13664" max="13664" width="11.5703125" bestFit="1" customWidth="1"/>
    <col min="13665" max="13665" width="5.28515625" bestFit="1" customWidth="1"/>
    <col min="13666" max="13666" width="14.28515625" bestFit="1" customWidth="1"/>
    <col min="13667" max="13667" width="13" bestFit="1" customWidth="1"/>
    <col min="13668" max="13668" width="11.5703125" bestFit="1" customWidth="1"/>
    <col min="13669" max="13669" width="8.85546875" bestFit="1" customWidth="1"/>
    <col min="13670" max="13670" width="14.42578125" bestFit="1" customWidth="1"/>
    <col min="13671" max="13671" width="10.42578125" bestFit="1" customWidth="1"/>
    <col min="13672" max="13672" width="12.28515625" bestFit="1" customWidth="1"/>
    <col min="13673" max="13673" width="13.85546875" bestFit="1" customWidth="1"/>
    <col min="13674" max="13674" width="11.28515625" customWidth="1"/>
    <col min="13675" max="13675" width="11.5703125" customWidth="1"/>
    <col min="13676" max="13676" width="13.42578125" bestFit="1" customWidth="1"/>
    <col min="13677" max="13677" width="10.42578125" customWidth="1"/>
    <col min="13678" max="13678" width="13.85546875" bestFit="1" customWidth="1"/>
    <col min="13679" max="13679" width="15.42578125" bestFit="1" customWidth="1"/>
    <col min="13680" max="13680" width="12.28515625" bestFit="1" customWidth="1"/>
    <col min="13681" max="13681" width="12.7109375" customWidth="1"/>
    <col min="13682" max="13682" width="10.7109375" bestFit="1" customWidth="1"/>
    <col min="13683" max="13683" width="9.85546875" customWidth="1"/>
    <col min="13684" max="13685" width="10.140625" bestFit="1" customWidth="1"/>
    <col min="13686" max="13686" width="7.5703125" bestFit="1" customWidth="1"/>
    <col min="13687" max="13687" width="9.42578125" bestFit="1" customWidth="1"/>
    <col min="13688" max="13688" width="14.5703125" bestFit="1" customWidth="1"/>
    <col min="13689" max="13689" width="14.85546875" customWidth="1"/>
    <col min="13690" max="13690" width="15.140625" bestFit="1" customWidth="1"/>
    <col min="13691" max="13691" width="12.140625" bestFit="1" customWidth="1"/>
    <col min="13692" max="13692" width="14.85546875" bestFit="1" customWidth="1"/>
    <col min="13693" max="13693" width="12.28515625" bestFit="1" customWidth="1"/>
    <col min="13694" max="13702" width="9.140625" hidden="1" customWidth="1"/>
    <col min="13703" max="13703" width="5.28515625" bestFit="1" customWidth="1"/>
    <col min="13704" max="13709" width="11.5703125" bestFit="1" customWidth="1"/>
    <col min="13710" max="13710" width="11.28515625" bestFit="1" customWidth="1"/>
    <col min="13711" max="13711" width="10.140625" bestFit="1" customWidth="1"/>
    <col min="13712" max="13712" width="11.5703125" bestFit="1" customWidth="1"/>
    <col min="13713" max="13713" width="16.140625" customWidth="1"/>
    <col min="13714" max="13714" width="13.42578125" customWidth="1"/>
    <col min="13715" max="13715" width="10.140625" bestFit="1" customWidth="1"/>
    <col min="13716" max="13716" width="12.85546875" bestFit="1" customWidth="1"/>
    <col min="13717" max="13717" width="12.28515625" bestFit="1" customWidth="1"/>
    <col min="13718" max="13718" width="11.28515625" bestFit="1" customWidth="1"/>
    <col min="13719" max="13719" width="11.5703125" bestFit="1" customWidth="1"/>
    <col min="13720" max="13720" width="10.85546875" bestFit="1" customWidth="1"/>
    <col min="13721" max="13721" width="11.28515625" bestFit="1" customWidth="1"/>
    <col min="13722" max="13722" width="10.140625" bestFit="1" customWidth="1"/>
    <col min="13723" max="13723" width="13.28515625" bestFit="1" customWidth="1"/>
    <col min="13724" max="13725" width="12.7109375" bestFit="1" customWidth="1"/>
    <col min="13726" max="13726" width="11" bestFit="1" customWidth="1"/>
    <col min="13727" max="13727" width="11.28515625" bestFit="1" customWidth="1"/>
    <col min="13728" max="13728" width="11.5703125" bestFit="1" customWidth="1"/>
    <col min="13729" max="13729" width="12.28515625" bestFit="1" customWidth="1"/>
    <col min="13730" max="13730" width="15.140625" bestFit="1" customWidth="1"/>
    <col min="13731" max="13731" width="14.42578125" bestFit="1" customWidth="1"/>
    <col min="13732" max="13732" width="12.28515625" bestFit="1" customWidth="1"/>
    <col min="13733" max="13733" width="15.140625" bestFit="1" customWidth="1"/>
    <col min="13734" max="13734" width="14.42578125" bestFit="1" customWidth="1"/>
    <col min="13735" max="13735" width="12.28515625" bestFit="1" customWidth="1"/>
    <col min="13736" max="13736" width="14.42578125" bestFit="1" customWidth="1"/>
    <col min="13737" max="13737" width="11.28515625" bestFit="1" customWidth="1"/>
    <col min="13738" max="13738" width="12.28515625" bestFit="1" customWidth="1"/>
    <col min="13739" max="13739" width="13" bestFit="1" customWidth="1"/>
    <col min="13740" max="13740" width="15.140625" bestFit="1" customWidth="1"/>
    <col min="13741" max="13741" width="12.28515625" bestFit="1" customWidth="1"/>
    <col min="13742" max="13742" width="13.85546875" bestFit="1" customWidth="1"/>
    <col min="13743" max="13743" width="11.28515625" bestFit="1" customWidth="1"/>
    <col min="13744" max="13744" width="12.28515625" bestFit="1" customWidth="1"/>
    <col min="13745" max="13745" width="13.85546875" bestFit="1" customWidth="1"/>
    <col min="13746" max="13747" width="15.140625" bestFit="1" customWidth="1"/>
    <col min="13748" max="13748" width="12.28515625" bestFit="1" customWidth="1"/>
    <col min="13749" max="13749" width="5.7109375" bestFit="1" customWidth="1"/>
    <col min="13750" max="13750" width="8.5703125" bestFit="1" customWidth="1"/>
    <col min="13751" max="13751" width="5.5703125" bestFit="1" customWidth="1"/>
    <col min="13752" max="13752" width="14.42578125" bestFit="1" customWidth="1"/>
    <col min="13753" max="13753" width="11.28515625" bestFit="1" customWidth="1"/>
    <col min="13754" max="13755" width="12.28515625" bestFit="1" customWidth="1"/>
    <col min="13756" max="13756" width="11.28515625" bestFit="1" customWidth="1"/>
    <col min="13757" max="13757" width="13.85546875" bestFit="1" customWidth="1"/>
    <col min="13758" max="13758" width="12" bestFit="1" customWidth="1"/>
    <col min="13759" max="13759" width="13.85546875" bestFit="1" customWidth="1"/>
    <col min="13760" max="13761" width="14.42578125" customWidth="1"/>
    <col min="13762" max="13762" width="10.140625" bestFit="1" customWidth="1"/>
    <col min="13763" max="13763" width="12.28515625" bestFit="1" customWidth="1"/>
    <col min="13764" max="13764" width="7.42578125" bestFit="1" customWidth="1"/>
    <col min="13765" max="13765" width="8.5703125" bestFit="1" customWidth="1"/>
    <col min="13766" max="13766" width="11.5703125" bestFit="1" customWidth="1"/>
    <col min="13767" max="13767" width="13.28515625" bestFit="1" customWidth="1"/>
    <col min="13768" max="13768" width="13.28515625" customWidth="1"/>
    <col min="13769" max="13769" width="13.140625" customWidth="1"/>
    <col min="13770" max="13770" width="12.7109375" bestFit="1" customWidth="1"/>
    <col min="13771" max="13771" width="13.28515625" bestFit="1" customWidth="1"/>
    <col min="13772" max="13774" width="13.28515625" customWidth="1"/>
    <col min="13775" max="13775" width="12.140625" bestFit="1" customWidth="1"/>
    <col min="13776" max="13776" width="12.7109375" bestFit="1" customWidth="1"/>
    <col min="13777" max="13777" width="11" customWidth="1"/>
    <col min="13778" max="13778" width="16.7109375" customWidth="1"/>
    <col min="13779" max="13779" width="17" customWidth="1"/>
    <col min="13780" max="13780" width="10.42578125" bestFit="1" customWidth="1"/>
    <col min="13824" max="13824" width="3.85546875" customWidth="1"/>
    <col min="13825" max="13825" width="15.28515625" bestFit="1" customWidth="1"/>
    <col min="13826" max="13826" width="12.28515625" customWidth="1"/>
    <col min="13827" max="13827" width="16.28515625" bestFit="1" customWidth="1"/>
    <col min="13828" max="13828" width="6.42578125" bestFit="1" customWidth="1"/>
    <col min="13829" max="13829" width="9.28515625" bestFit="1" customWidth="1"/>
    <col min="13830" max="13830" width="7.5703125" bestFit="1" customWidth="1"/>
    <col min="13831" max="13831" width="13.28515625" bestFit="1" customWidth="1"/>
    <col min="13832" max="13832" width="9.28515625" bestFit="1" customWidth="1"/>
    <col min="13833" max="13833" width="11.5703125" bestFit="1" customWidth="1"/>
    <col min="13834" max="13834" width="13.28515625" bestFit="1" customWidth="1"/>
    <col min="13835" max="13835" width="7.140625" bestFit="1" customWidth="1"/>
    <col min="13836" max="13836" width="12" bestFit="1" customWidth="1"/>
    <col min="13837" max="13837" width="13.28515625" bestFit="1" customWidth="1"/>
    <col min="13838" max="13838" width="7" bestFit="1" customWidth="1"/>
    <col min="13839" max="13839" width="12.7109375" bestFit="1" customWidth="1"/>
    <col min="13840" max="13840" width="11.5703125" bestFit="1" customWidth="1"/>
    <col min="13841" max="13841" width="10.5703125" bestFit="1" customWidth="1"/>
    <col min="13842" max="13843" width="15.7109375" bestFit="1" customWidth="1"/>
    <col min="13844" max="13844" width="11.5703125" bestFit="1" customWidth="1"/>
    <col min="13845" max="13845" width="7.7109375" bestFit="1" customWidth="1"/>
    <col min="13846" max="13846" width="15.140625" bestFit="1" customWidth="1"/>
    <col min="13847" max="13847" width="11.5703125" bestFit="1" customWidth="1"/>
    <col min="13848" max="13848" width="13.28515625" bestFit="1" customWidth="1"/>
    <col min="13849" max="13849" width="10.42578125" bestFit="1" customWidth="1"/>
    <col min="13850" max="13850" width="13.28515625" bestFit="1" customWidth="1"/>
    <col min="13851" max="13851" width="12.140625" bestFit="1" customWidth="1"/>
    <col min="13852" max="13852" width="14.42578125" bestFit="1" customWidth="1"/>
    <col min="13853" max="13853" width="13.28515625" bestFit="1" customWidth="1"/>
    <col min="13854" max="13854" width="11.5703125" bestFit="1" customWidth="1"/>
    <col min="13855" max="13855" width="7.7109375" bestFit="1" customWidth="1"/>
    <col min="13856" max="13857" width="14.42578125" bestFit="1" customWidth="1"/>
    <col min="13858" max="13858" width="11.5703125" bestFit="1" customWidth="1"/>
    <col min="13859" max="13859" width="7.7109375" bestFit="1" customWidth="1"/>
    <col min="13860" max="13860" width="13.5703125" customWidth="1"/>
    <col min="13861" max="13861" width="15.28515625" customWidth="1"/>
    <col min="13862" max="13862" width="14.5703125" customWidth="1"/>
    <col min="13863" max="13863" width="13.28515625" bestFit="1" customWidth="1"/>
    <col min="13864" max="13864" width="7.7109375" bestFit="1" customWidth="1"/>
    <col min="13865" max="13865" width="12.7109375" bestFit="1" customWidth="1"/>
    <col min="13866" max="13866" width="11.7109375" bestFit="1" customWidth="1"/>
    <col min="13867" max="13867" width="11.5703125" bestFit="1" customWidth="1"/>
    <col min="13868" max="13868" width="5.28515625" bestFit="1" customWidth="1"/>
    <col min="13869" max="13869" width="13.28515625" bestFit="1" customWidth="1"/>
    <col min="13870" max="13870" width="13.5703125" bestFit="1" customWidth="1"/>
    <col min="13871" max="13871" width="10.5703125" bestFit="1" customWidth="1"/>
    <col min="13872" max="13872" width="13.28515625" bestFit="1" customWidth="1"/>
    <col min="13873" max="13873" width="11.5703125" bestFit="1" customWidth="1"/>
    <col min="13874" max="13874" width="10.5703125" bestFit="1" customWidth="1"/>
    <col min="13875" max="13875" width="16.140625" bestFit="1" customWidth="1"/>
    <col min="13876" max="13877" width="11.28515625" bestFit="1" customWidth="1"/>
    <col min="13878" max="13878" width="13.28515625" bestFit="1" customWidth="1"/>
    <col min="13879" max="13879" width="7.7109375" bestFit="1" customWidth="1"/>
    <col min="13880" max="13883" width="9.140625" hidden="1" customWidth="1"/>
    <col min="13884" max="13884" width="10.42578125" bestFit="1" customWidth="1"/>
    <col min="13885" max="13885" width="10.5703125" bestFit="1" customWidth="1"/>
    <col min="13886" max="13886" width="10.42578125" bestFit="1" customWidth="1"/>
    <col min="13887" max="13887" width="10.5703125" bestFit="1" customWidth="1"/>
    <col min="13888" max="13888" width="9.5703125" bestFit="1" customWidth="1"/>
    <col min="13889" max="13889" width="11.5703125" bestFit="1" customWidth="1"/>
    <col min="13890" max="13890" width="10.42578125" bestFit="1" customWidth="1"/>
    <col min="13891" max="13891" width="10.85546875" customWidth="1"/>
    <col min="13892" max="13893" width="9.85546875" bestFit="1" customWidth="1"/>
    <col min="13894" max="13894" width="13.5703125" bestFit="1" customWidth="1"/>
    <col min="13895" max="13895" width="7.7109375" bestFit="1" customWidth="1"/>
    <col min="13896" max="13896" width="13.28515625" bestFit="1" customWidth="1"/>
    <col min="13897" max="13897" width="11.5703125" bestFit="1" customWidth="1"/>
    <col min="13898" max="13898" width="10.42578125" bestFit="1" customWidth="1"/>
    <col min="13899" max="13899" width="7.7109375" bestFit="1" customWidth="1"/>
    <col min="13900" max="13900" width="11.5703125" bestFit="1" customWidth="1"/>
    <col min="13901" max="13901" width="10.85546875" bestFit="1" customWidth="1"/>
    <col min="13902" max="13902" width="13.28515625" bestFit="1" customWidth="1"/>
    <col min="13903" max="13903" width="10.85546875" bestFit="1" customWidth="1"/>
    <col min="13904" max="13905" width="7.5703125" bestFit="1" customWidth="1"/>
    <col min="13906" max="13907" width="10.42578125" bestFit="1" customWidth="1"/>
    <col min="13908" max="13908" width="11.5703125" bestFit="1" customWidth="1"/>
    <col min="13909" max="13909" width="5.28515625" bestFit="1" customWidth="1"/>
    <col min="13910" max="13910" width="10.28515625" bestFit="1" customWidth="1"/>
    <col min="13911" max="13911" width="10.42578125" bestFit="1" customWidth="1"/>
    <col min="13912" max="13912" width="11.5703125" bestFit="1" customWidth="1"/>
    <col min="13913" max="13913" width="5.28515625" bestFit="1" customWidth="1"/>
    <col min="13914" max="13916" width="11.5703125" bestFit="1" customWidth="1"/>
    <col min="13917" max="13917" width="5.28515625" bestFit="1" customWidth="1"/>
    <col min="13918" max="13919" width="10.42578125" bestFit="1" customWidth="1"/>
    <col min="13920" max="13920" width="11.5703125" bestFit="1" customWidth="1"/>
    <col min="13921" max="13921" width="5.28515625" bestFit="1" customWidth="1"/>
    <col min="13922" max="13922" width="14.28515625" bestFit="1" customWidth="1"/>
    <col min="13923" max="13923" width="13" bestFit="1" customWidth="1"/>
    <col min="13924" max="13924" width="11.5703125" bestFit="1" customWidth="1"/>
    <col min="13925" max="13925" width="8.85546875" bestFit="1" customWidth="1"/>
    <col min="13926" max="13926" width="14.42578125" bestFit="1" customWidth="1"/>
    <col min="13927" max="13927" width="10.42578125" bestFit="1" customWidth="1"/>
    <col min="13928" max="13928" width="12.28515625" bestFit="1" customWidth="1"/>
    <col min="13929" max="13929" width="13.85546875" bestFit="1" customWidth="1"/>
    <col min="13930" max="13930" width="11.28515625" customWidth="1"/>
    <col min="13931" max="13931" width="11.5703125" customWidth="1"/>
    <col min="13932" max="13932" width="13.42578125" bestFit="1" customWidth="1"/>
    <col min="13933" max="13933" width="10.42578125" customWidth="1"/>
    <col min="13934" max="13934" width="13.85546875" bestFit="1" customWidth="1"/>
    <col min="13935" max="13935" width="15.42578125" bestFit="1" customWidth="1"/>
    <col min="13936" max="13936" width="12.28515625" bestFit="1" customWidth="1"/>
    <col min="13937" max="13937" width="12.7109375" customWidth="1"/>
    <col min="13938" max="13938" width="10.7109375" bestFit="1" customWidth="1"/>
    <col min="13939" max="13939" width="9.85546875" customWidth="1"/>
    <col min="13940" max="13941" width="10.140625" bestFit="1" customWidth="1"/>
    <col min="13942" max="13942" width="7.5703125" bestFit="1" customWidth="1"/>
    <col min="13943" max="13943" width="9.42578125" bestFit="1" customWidth="1"/>
    <col min="13944" max="13944" width="14.5703125" bestFit="1" customWidth="1"/>
    <col min="13945" max="13945" width="14.85546875" customWidth="1"/>
    <col min="13946" max="13946" width="15.140625" bestFit="1" customWidth="1"/>
    <col min="13947" max="13947" width="12.140625" bestFit="1" customWidth="1"/>
    <col min="13948" max="13948" width="14.85546875" bestFit="1" customWidth="1"/>
    <col min="13949" max="13949" width="12.28515625" bestFit="1" customWidth="1"/>
    <col min="13950" max="13958" width="9.140625" hidden="1" customWidth="1"/>
    <col min="13959" max="13959" width="5.28515625" bestFit="1" customWidth="1"/>
    <col min="13960" max="13965" width="11.5703125" bestFit="1" customWidth="1"/>
    <col min="13966" max="13966" width="11.28515625" bestFit="1" customWidth="1"/>
    <col min="13967" max="13967" width="10.140625" bestFit="1" customWidth="1"/>
    <col min="13968" max="13968" width="11.5703125" bestFit="1" customWidth="1"/>
    <col min="13969" max="13969" width="16.140625" customWidth="1"/>
    <col min="13970" max="13970" width="13.42578125" customWidth="1"/>
    <col min="13971" max="13971" width="10.140625" bestFit="1" customWidth="1"/>
    <col min="13972" max="13972" width="12.85546875" bestFit="1" customWidth="1"/>
    <col min="13973" max="13973" width="12.28515625" bestFit="1" customWidth="1"/>
    <col min="13974" max="13974" width="11.28515625" bestFit="1" customWidth="1"/>
    <col min="13975" max="13975" width="11.5703125" bestFit="1" customWidth="1"/>
    <col min="13976" max="13976" width="10.85546875" bestFit="1" customWidth="1"/>
    <col min="13977" max="13977" width="11.28515625" bestFit="1" customWidth="1"/>
    <col min="13978" max="13978" width="10.140625" bestFit="1" customWidth="1"/>
    <col min="13979" max="13979" width="13.28515625" bestFit="1" customWidth="1"/>
    <col min="13980" max="13981" width="12.7109375" bestFit="1" customWidth="1"/>
    <col min="13982" max="13982" width="11" bestFit="1" customWidth="1"/>
    <col min="13983" max="13983" width="11.28515625" bestFit="1" customWidth="1"/>
    <col min="13984" max="13984" width="11.5703125" bestFit="1" customWidth="1"/>
    <col min="13985" max="13985" width="12.28515625" bestFit="1" customWidth="1"/>
    <col min="13986" max="13986" width="15.140625" bestFit="1" customWidth="1"/>
    <col min="13987" max="13987" width="14.42578125" bestFit="1" customWidth="1"/>
    <col min="13988" max="13988" width="12.28515625" bestFit="1" customWidth="1"/>
    <col min="13989" max="13989" width="15.140625" bestFit="1" customWidth="1"/>
    <col min="13990" max="13990" width="14.42578125" bestFit="1" customWidth="1"/>
    <col min="13991" max="13991" width="12.28515625" bestFit="1" customWidth="1"/>
    <col min="13992" max="13992" width="14.42578125" bestFit="1" customWidth="1"/>
    <col min="13993" max="13993" width="11.28515625" bestFit="1" customWidth="1"/>
    <col min="13994" max="13994" width="12.28515625" bestFit="1" customWidth="1"/>
    <col min="13995" max="13995" width="13" bestFit="1" customWidth="1"/>
    <col min="13996" max="13996" width="15.140625" bestFit="1" customWidth="1"/>
    <col min="13997" max="13997" width="12.28515625" bestFit="1" customWidth="1"/>
    <col min="13998" max="13998" width="13.85546875" bestFit="1" customWidth="1"/>
    <col min="13999" max="13999" width="11.28515625" bestFit="1" customWidth="1"/>
    <col min="14000" max="14000" width="12.28515625" bestFit="1" customWidth="1"/>
    <col min="14001" max="14001" width="13.85546875" bestFit="1" customWidth="1"/>
    <col min="14002" max="14003" width="15.140625" bestFit="1" customWidth="1"/>
    <col min="14004" max="14004" width="12.28515625" bestFit="1" customWidth="1"/>
    <col min="14005" max="14005" width="5.7109375" bestFit="1" customWidth="1"/>
    <col min="14006" max="14006" width="8.5703125" bestFit="1" customWidth="1"/>
    <col min="14007" max="14007" width="5.5703125" bestFit="1" customWidth="1"/>
    <col min="14008" max="14008" width="14.42578125" bestFit="1" customWidth="1"/>
    <col min="14009" max="14009" width="11.28515625" bestFit="1" customWidth="1"/>
    <col min="14010" max="14011" width="12.28515625" bestFit="1" customWidth="1"/>
    <col min="14012" max="14012" width="11.28515625" bestFit="1" customWidth="1"/>
    <col min="14013" max="14013" width="13.85546875" bestFit="1" customWidth="1"/>
    <col min="14014" max="14014" width="12" bestFit="1" customWidth="1"/>
    <col min="14015" max="14015" width="13.85546875" bestFit="1" customWidth="1"/>
    <col min="14016" max="14017" width="14.42578125" customWidth="1"/>
    <col min="14018" max="14018" width="10.140625" bestFit="1" customWidth="1"/>
    <col min="14019" max="14019" width="12.28515625" bestFit="1" customWidth="1"/>
    <col min="14020" max="14020" width="7.42578125" bestFit="1" customWidth="1"/>
    <col min="14021" max="14021" width="8.5703125" bestFit="1" customWidth="1"/>
    <col min="14022" max="14022" width="11.5703125" bestFit="1" customWidth="1"/>
    <col min="14023" max="14023" width="13.28515625" bestFit="1" customWidth="1"/>
    <col min="14024" max="14024" width="13.28515625" customWidth="1"/>
    <col min="14025" max="14025" width="13.140625" customWidth="1"/>
    <col min="14026" max="14026" width="12.7109375" bestFit="1" customWidth="1"/>
    <col min="14027" max="14027" width="13.28515625" bestFit="1" customWidth="1"/>
    <col min="14028" max="14030" width="13.28515625" customWidth="1"/>
    <col min="14031" max="14031" width="12.140625" bestFit="1" customWidth="1"/>
    <col min="14032" max="14032" width="12.7109375" bestFit="1" customWidth="1"/>
    <col min="14033" max="14033" width="11" customWidth="1"/>
    <col min="14034" max="14034" width="16.7109375" customWidth="1"/>
    <col min="14035" max="14035" width="17" customWidth="1"/>
    <col min="14036" max="14036" width="10.42578125" bestFit="1" customWidth="1"/>
    <col min="14080" max="14080" width="3.85546875" customWidth="1"/>
    <col min="14081" max="14081" width="15.28515625" bestFit="1" customWidth="1"/>
    <col min="14082" max="14082" width="12.28515625" customWidth="1"/>
    <col min="14083" max="14083" width="16.28515625" bestFit="1" customWidth="1"/>
    <col min="14084" max="14084" width="6.42578125" bestFit="1" customWidth="1"/>
    <col min="14085" max="14085" width="9.28515625" bestFit="1" customWidth="1"/>
    <col min="14086" max="14086" width="7.5703125" bestFit="1" customWidth="1"/>
    <col min="14087" max="14087" width="13.28515625" bestFit="1" customWidth="1"/>
    <col min="14088" max="14088" width="9.28515625" bestFit="1" customWidth="1"/>
    <col min="14089" max="14089" width="11.5703125" bestFit="1" customWidth="1"/>
    <col min="14090" max="14090" width="13.28515625" bestFit="1" customWidth="1"/>
    <col min="14091" max="14091" width="7.140625" bestFit="1" customWidth="1"/>
    <col min="14092" max="14092" width="12" bestFit="1" customWidth="1"/>
    <col min="14093" max="14093" width="13.28515625" bestFit="1" customWidth="1"/>
    <col min="14094" max="14094" width="7" bestFit="1" customWidth="1"/>
    <col min="14095" max="14095" width="12.7109375" bestFit="1" customWidth="1"/>
    <col min="14096" max="14096" width="11.5703125" bestFit="1" customWidth="1"/>
    <col min="14097" max="14097" width="10.5703125" bestFit="1" customWidth="1"/>
    <col min="14098" max="14099" width="15.7109375" bestFit="1" customWidth="1"/>
    <col min="14100" max="14100" width="11.5703125" bestFit="1" customWidth="1"/>
    <col min="14101" max="14101" width="7.7109375" bestFit="1" customWidth="1"/>
    <col min="14102" max="14102" width="15.140625" bestFit="1" customWidth="1"/>
    <col min="14103" max="14103" width="11.5703125" bestFit="1" customWidth="1"/>
    <col min="14104" max="14104" width="13.28515625" bestFit="1" customWidth="1"/>
    <col min="14105" max="14105" width="10.42578125" bestFit="1" customWidth="1"/>
    <col min="14106" max="14106" width="13.28515625" bestFit="1" customWidth="1"/>
    <col min="14107" max="14107" width="12.140625" bestFit="1" customWidth="1"/>
    <col min="14108" max="14108" width="14.42578125" bestFit="1" customWidth="1"/>
    <col min="14109" max="14109" width="13.28515625" bestFit="1" customWidth="1"/>
    <col min="14110" max="14110" width="11.5703125" bestFit="1" customWidth="1"/>
    <col min="14111" max="14111" width="7.7109375" bestFit="1" customWidth="1"/>
    <col min="14112" max="14113" width="14.42578125" bestFit="1" customWidth="1"/>
    <col min="14114" max="14114" width="11.5703125" bestFit="1" customWidth="1"/>
    <col min="14115" max="14115" width="7.7109375" bestFit="1" customWidth="1"/>
    <col min="14116" max="14116" width="13.5703125" customWidth="1"/>
    <col min="14117" max="14117" width="15.28515625" customWidth="1"/>
    <col min="14118" max="14118" width="14.5703125" customWidth="1"/>
    <col min="14119" max="14119" width="13.28515625" bestFit="1" customWidth="1"/>
    <col min="14120" max="14120" width="7.7109375" bestFit="1" customWidth="1"/>
    <col min="14121" max="14121" width="12.7109375" bestFit="1" customWidth="1"/>
    <col min="14122" max="14122" width="11.7109375" bestFit="1" customWidth="1"/>
    <col min="14123" max="14123" width="11.5703125" bestFit="1" customWidth="1"/>
    <col min="14124" max="14124" width="5.28515625" bestFit="1" customWidth="1"/>
    <col min="14125" max="14125" width="13.28515625" bestFit="1" customWidth="1"/>
    <col min="14126" max="14126" width="13.5703125" bestFit="1" customWidth="1"/>
    <col min="14127" max="14127" width="10.5703125" bestFit="1" customWidth="1"/>
    <col min="14128" max="14128" width="13.28515625" bestFit="1" customWidth="1"/>
    <col min="14129" max="14129" width="11.5703125" bestFit="1" customWidth="1"/>
    <col min="14130" max="14130" width="10.5703125" bestFit="1" customWidth="1"/>
    <col min="14131" max="14131" width="16.140625" bestFit="1" customWidth="1"/>
    <col min="14132" max="14133" width="11.28515625" bestFit="1" customWidth="1"/>
    <col min="14134" max="14134" width="13.28515625" bestFit="1" customWidth="1"/>
    <col min="14135" max="14135" width="7.7109375" bestFit="1" customWidth="1"/>
    <col min="14136" max="14139" width="9.140625" hidden="1" customWidth="1"/>
    <col min="14140" max="14140" width="10.42578125" bestFit="1" customWidth="1"/>
    <col min="14141" max="14141" width="10.5703125" bestFit="1" customWidth="1"/>
    <col min="14142" max="14142" width="10.42578125" bestFit="1" customWidth="1"/>
    <col min="14143" max="14143" width="10.5703125" bestFit="1" customWidth="1"/>
    <col min="14144" max="14144" width="9.5703125" bestFit="1" customWidth="1"/>
    <col min="14145" max="14145" width="11.5703125" bestFit="1" customWidth="1"/>
    <col min="14146" max="14146" width="10.42578125" bestFit="1" customWidth="1"/>
    <col min="14147" max="14147" width="10.85546875" customWidth="1"/>
    <col min="14148" max="14149" width="9.85546875" bestFit="1" customWidth="1"/>
    <col min="14150" max="14150" width="13.5703125" bestFit="1" customWidth="1"/>
    <col min="14151" max="14151" width="7.7109375" bestFit="1" customWidth="1"/>
    <col min="14152" max="14152" width="13.28515625" bestFit="1" customWidth="1"/>
    <col min="14153" max="14153" width="11.5703125" bestFit="1" customWidth="1"/>
    <col min="14154" max="14154" width="10.42578125" bestFit="1" customWidth="1"/>
    <col min="14155" max="14155" width="7.7109375" bestFit="1" customWidth="1"/>
    <col min="14156" max="14156" width="11.5703125" bestFit="1" customWidth="1"/>
    <col min="14157" max="14157" width="10.85546875" bestFit="1" customWidth="1"/>
    <col min="14158" max="14158" width="13.28515625" bestFit="1" customWidth="1"/>
    <col min="14159" max="14159" width="10.85546875" bestFit="1" customWidth="1"/>
    <col min="14160" max="14161" width="7.5703125" bestFit="1" customWidth="1"/>
    <col min="14162" max="14163" width="10.42578125" bestFit="1" customWidth="1"/>
    <col min="14164" max="14164" width="11.5703125" bestFit="1" customWidth="1"/>
    <col min="14165" max="14165" width="5.28515625" bestFit="1" customWidth="1"/>
    <col min="14166" max="14166" width="10.28515625" bestFit="1" customWidth="1"/>
    <col min="14167" max="14167" width="10.42578125" bestFit="1" customWidth="1"/>
    <col min="14168" max="14168" width="11.5703125" bestFit="1" customWidth="1"/>
    <col min="14169" max="14169" width="5.28515625" bestFit="1" customWidth="1"/>
    <col min="14170" max="14172" width="11.5703125" bestFit="1" customWidth="1"/>
    <col min="14173" max="14173" width="5.28515625" bestFit="1" customWidth="1"/>
    <col min="14174" max="14175" width="10.42578125" bestFit="1" customWidth="1"/>
    <col min="14176" max="14176" width="11.5703125" bestFit="1" customWidth="1"/>
    <col min="14177" max="14177" width="5.28515625" bestFit="1" customWidth="1"/>
    <col min="14178" max="14178" width="14.28515625" bestFit="1" customWidth="1"/>
    <col min="14179" max="14179" width="13" bestFit="1" customWidth="1"/>
    <col min="14180" max="14180" width="11.5703125" bestFit="1" customWidth="1"/>
    <col min="14181" max="14181" width="8.85546875" bestFit="1" customWidth="1"/>
    <col min="14182" max="14182" width="14.42578125" bestFit="1" customWidth="1"/>
    <col min="14183" max="14183" width="10.42578125" bestFit="1" customWidth="1"/>
    <col min="14184" max="14184" width="12.28515625" bestFit="1" customWidth="1"/>
    <col min="14185" max="14185" width="13.85546875" bestFit="1" customWidth="1"/>
    <col min="14186" max="14186" width="11.28515625" customWidth="1"/>
    <col min="14187" max="14187" width="11.5703125" customWidth="1"/>
    <col min="14188" max="14188" width="13.42578125" bestFit="1" customWidth="1"/>
    <col min="14189" max="14189" width="10.42578125" customWidth="1"/>
    <col min="14190" max="14190" width="13.85546875" bestFit="1" customWidth="1"/>
    <col min="14191" max="14191" width="15.42578125" bestFit="1" customWidth="1"/>
    <col min="14192" max="14192" width="12.28515625" bestFit="1" customWidth="1"/>
    <col min="14193" max="14193" width="12.7109375" customWidth="1"/>
    <col min="14194" max="14194" width="10.7109375" bestFit="1" customWidth="1"/>
    <col min="14195" max="14195" width="9.85546875" customWidth="1"/>
    <col min="14196" max="14197" width="10.140625" bestFit="1" customWidth="1"/>
    <col min="14198" max="14198" width="7.5703125" bestFit="1" customWidth="1"/>
    <col min="14199" max="14199" width="9.42578125" bestFit="1" customWidth="1"/>
    <col min="14200" max="14200" width="14.5703125" bestFit="1" customWidth="1"/>
    <col min="14201" max="14201" width="14.85546875" customWidth="1"/>
    <col min="14202" max="14202" width="15.140625" bestFit="1" customWidth="1"/>
    <col min="14203" max="14203" width="12.140625" bestFit="1" customWidth="1"/>
    <col min="14204" max="14204" width="14.85546875" bestFit="1" customWidth="1"/>
    <col min="14205" max="14205" width="12.28515625" bestFit="1" customWidth="1"/>
    <col min="14206" max="14214" width="9.140625" hidden="1" customWidth="1"/>
    <col min="14215" max="14215" width="5.28515625" bestFit="1" customWidth="1"/>
    <col min="14216" max="14221" width="11.5703125" bestFit="1" customWidth="1"/>
    <col min="14222" max="14222" width="11.28515625" bestFit="1" customWidth="1"/>
    <col min="14223" max="14223" width="10.140625" bestFit="1" customWidth="1"/>
    <col min="14224" max="14224" width="11.5703125" bestFit="1" customWidth="1"/>
    <col min="14225" max="14225" width="16.140625" customWidth="1"/>
    <col min="14226" max="14226" width="13.42578125" customWidth="1"/>
    <col min="14227" max="14227" width="10.140625" bestFit="1" customWidth="1"/>
    <col min="14228" max="14228" width="12.85546875" bestFit="1" customWidth="1"/>
    <col min="14229" max="14229" width="12.28515625" bestFit="1" customWidth="1"/>
    <col min="14230" max="14230" width="11.28515625" bestFit="1" customWidth="1"/>
    <col min="14231" max="14231" width="11.5703125" bestFit="1" customWidth="1"/>
    <col min="14232" max="14232" width="10.85546875" bestFit="1" customWidth="1"/>
    <col min="14233" max="14233" width="11.28515625" bestFit="1" customWidth="1"/>
    <col min="14234" max="14234" width="10.140625" bestFit="1" customWidth="1"/>
    <col min="14235" max="14235" width="13.28515625" bestFit="1" customWidth="1"/>
    <col min="14236" max="14237" width="12.7109375" bestFit="1" customWidth="1"/>
    <col min="14238" max="14238" width="11" bestFit="1" customWidth="1"/>
    <col min="14239" max="14239" width="11.28515625" bestFit="1" customWidth="1"/>
    <col min="14240" max="14240" width="11.5703125" bestFit="1" customWidth="1"/>
    <col min="14241" max="14241" width="12.28515625" bestFit="1" customWidth="1"/>
    <col min="14242" max="14242" width="15.140625" bestFit="1" customWidth="1"/>
    <col min="14243" max="14243" width="14.42578125" bestFit="1" customWidth="1"/>
    <col min="14244" max="14244" width="12.28515625" bestFit="1" customWidth="1"/>
    <col min="14245" max="14245" width="15.140625" bestFit="1" customWidth="1"/>
    <col min="14246" max="14246" width="14.42578125" bestFit="1" customWidth="1"/>
    <col min="14247" max="14247" width="12.28515625" bestFit="1" customWidth="1"/>
    <col min="14248" max="14248" width="14.42578125" bestFit="1" customWidth="1"/>
    <col min="14249" max="14249" width="11.28515625" bestFit="1" customWidth="1"/>
    <col min="14250" max="14250" width="12.28515625" bestFit="1" customWidth="1"/>
    <col min="14251" max="14251" width="13" bestFit="1" customWidth="1"/>
    <col min="14252" max="14252" width="15.140625" bestFit="1" customWidth="1"/>
    <col min="14253" max="14253" width="12.28515625" bestFit="1" customWidth="1"/>
    <col min="14254" max="14254" width="13.85546875" bestFit="1" customWidth="1"/>
    <col min="14255" max="14255" width="11.28515625" bestFit="1" customWidth="1"/>
    <col min="14256" max="14256" width="12.28515625" bestFit="1" customWidth="1"/>
    <col min="14257" max="14257" width="13.85546875" bestFit="1" customWidth="1"/>
    <col min="14258" max="14259" width="15.140625" bestFit="1" customWidth="1"/>
    <col min="14260" max="14260" width="12.28515625" bestFit="1" customWidth="1"/>
    <col min="14261" max="14261" width="5.7109375" bestFit="1" customWidth="1"/>
    <col min="14262" max="14262" width="8.5703125" bestFit="1" customWidth="1"/>
    <col min="14263" max="14263" width="5.5703125" bestFit="1" customWidth="1"/>
    <col min="14264" max="14264" width="14.42578125" bestFit="1" customWidth="1"/>
    <col min="14265" max="14265" width="11.28515625" bestFit="1" customWidth="1"/>
    <col min="14266" max="14267" width="12.28515625" bestFit="1" customWidth="1"/>
    <col min="14268" max="14268" width="11.28515625" bestFit="1" customWidth="1"/>
    <col min="14269" max="14269" width="13.85546875" bestFit="1" customWidth="1"/>
    <col min="14270" max="14270" width="12" bestFit="1" customWidth="1"/>
    <col min="14271" max="14271" width="13.85546875" bestFit="1" customWidth="1"/>
    <col min="14272" max="14273" width="14.42578125" customWidth="1"/>
    <col min="14274" max="14274" width="10.140625" bestFit="1" customWidth="1"/>
    <col min="14275" max="14275" width="12.28515625" bestFit="1" customWidth="1"/>
    <col min="14276" max="14276" width="7.42578125" bestFit="1" customWidth="1"/>
    <col min="14277" max="14277" width="8.5703125" bestFit="1" customWidth="1"/>
    <col min="14278" max="14278" width="11.5703125" bestFit="1" customWidth="1"/>
    <col min="14279" max="14279" width="13.28515625" bestFit="1" customWidth="1"/>
    <col min="14280" max="14280" width="13.28515625" customWidth="1"/>
    <col min="14281" max="14281" width="13.140625" customWidth="1"/>
    <col min="14282" max="14282" width="12.7109375" bestFit="1" customWidth="1"/>
    <col min="14283" max="14283" width="13.28515625" bestFit="1" customWidth="1"/>
    <col min="14284" max="14286" width="13.28515625" customWidth="1"/>
    <col min="14287" max="14287" width="12.140625" bestFit="1" customWidth="1"/>
    <col min="14288" max="14288" width="12.7109375" bestFit="1" customWidth="1"/>
    <col min="14289" max="14289" width="11" customWidth="1"/>
    <col min="14290" max="14290" width="16.7109375" customWidth="1"/>
    <col min="14291" max="14291" width="17" customWidth="1"/>
    <col min="14292" max="14292" width="10.42578125" bestFit="1" customWidth="1"/>
    <col min="14336" max="14336" width="3.85546875" customWidth="1"/>
    <col min="14337" max="14337" width="15.28515625" bestFit="1" customWidth="1"/>
    <col min="14338" max="14338" width="12.28515625" customWidth="1"/>
    <col min="14339" max="14339" width="16.28515625" bestFit="1" customWidth="1"/>
    <col min="14340" max="14340" width="6.42578125" bestFit="1" customWidth="1"/>
    <col min="14341" max="14341" width="9.28515625" bestFit="1" customWidth="1"/>
    <col min="14342" max="14342" width="7.5703125" bestFit="1" customWidth="1"/>
    <col min="14343" max="14343" width="13.28515625" bestFit="1" customWidth="1"/>
    <col min="14344" max="14344" width="9.28515625" bestFit="1" customWidth="1"/>
    <col min="14345" max="14345" width="11.5703125" bestFit="1" customWidth="1"/>
    <col min="14346" max="14346" width="13.28515625" bestFit="1" customWidth="1"/>
    <col min="14347" max="14347" width="7.140625" bestFit="1" customWidth="1"/>
    <col min="14348" max="14348" width="12" bestFit="1" customWidth="1"/>
    <col min="14349" max="14349" width="13.28515625" bestFit="1" customWidth="1"/>
    <col min="14350" max="14350" width="7" bestFit="1" customWidth="1"/>
    <col min="14351" max="14351" width="12.7109375" bestFit="1" customWidth="1"/>
    <col min="14352" max="14352" width="11.5703125" bestFit="1" customWidth="1"/>
    <col min="14353" max="14353" width="10.5703125" bestFit="1" customWidth="1"/>
    <col min="14354" max="14355" width="15.7109375" bestFit="1" customWidth="1"/>
    <col min="14356" max="14356" width="11.5703125" bestFit="1" customWidth="1"/>
    <col min="14357" max="14357" width="7.7109375" bestFit="1" customWidth="1"/>
    <col min="14358" max="14358" width="15.140625" bestFit="1" customWidth="1"/>
    <col min="14359" max="14359" width="11.5703125" bestFit="1" customWidth="1"/>
    <col min="14360" max="14360" width="13.28515625" bestFit="1" customWidth="1"/>
    <col min="14361" max="14361" width="10.42578125" bestFit="1" customWidth="1"/>
    <col min="14362" max="14362" width="13.28515625" bestFit="1" customWidth="1"/>
    <col min="14363" max="14363" width="12.140625" bestFit="1" customWidth="1"/>
    <col min="14364" max="14364" width="14.42578125" bestFit="1" customWidth="1"/>
    <col min="14365" max="14365" width="13.28515625" bestFit="1" customWidth="1"/>
    <col min="14366" max="14366" width="11.5703125" bestFit="1" customWidth="1"/>
    <col min="14367" max="14367" width="7.7109375" bestFit="1" customWidth="1"/>
    <col min="14368" max="14369" width="14.42578125" bestFit="1" customWidth="1"/>
    <col min="14370" max="14370" width="11.5703125" bestFit="1" customWidth="1"/>
    <col min="14371" max="14371" width="7.7109375" bestFit="1" customWidth="1"/>
    <col min="14372" max="14372" width="13.5703125" customWidth="1"/>
    <col min="14373" max="14373" width="15.28515625" customWidth="1"/>
    <col min="14374" max="14374" width="14.5703125" customWidth="1"/>
    <col min="14375" max="14375" width="13.28515625" bestFit="1" customWidth="1"/>
    <col min="14376" max="14376" width="7.7109375" bestFit="1" customWidth="1"/>
    <col min="14377" max="14377" width="12.7109375" bestFit="1" customWidth="1"/>
    <col min="14378" max="14378" width="11.7109375" bestFit="1" customWidth="1"/>
    <col min="14379" max="14379" width="11.5703125" bestFit="1" customWidth="1"/>
    <col min="14380" max="14380" width="5.28515625" bestFit="1" customWidth="1"/>
    <col min="14381" max="14381" width="13.28515625" bestFit="1" customWidth="1"/>
    <col min="14382" max="14382" width="13.5703125" bestFit="1" customWidth="1"/>
    <col min="14383" max="14383" width="10.5703125" bestFit="1" customWidth="1"/>
    <col min="14384" max="14384" width="13.28515625" bestFit="1" customWidth="1"/>
    <col min="14385" max="14385" width="11.5703125" bestFit="1" customWidth="1"/>
    <col min="14386" max="14386" width="10.5703125" bestFit="1" customWidth="1"/>
    <col min="14387" max="14387" width="16.140625" bestFit="1" customWidth="1"/>
    <col min="14388" max="14389" width="11.28515625" bestFit="1" customWidth="1"/>
    <col min="14390" max="14390" width="13.28515625" bestFit="1" customWidth="1"/>
    <col min="14391" max="14391" width="7.7109375" bestFit="1" customWidth="1"/>
    <col min="14392" max="14395" width="9.140625" hidden="1" customWidth="1"/>
    <col min="14396" max="14396" width="10.42578125" bestFit="1" customWidth="1"/>
    <col min="14397" max="14397" width="10.5703125" bestFit="1" customWidth="1"/>
    <col min="14398" max="14398" width="10.42578125" bestFit="1" customWidth="1"/>
    <col min="14399" max="14399" width="10.5703125" bestFit="1" customWidth="1"/>
    <col min="14400" max="14400" width="9.5703125" bestFit="1" customWidth="1"/>
    <col min="14401" max="14401" width="11.5703125" bestFit="1" customWidth="1"/>
    <col min="14402" max="14402" width="10.42578125" bestFit="1" customWidth="1"/>
    <col min="14403" max="14403" width="10.85546875" customWidth="1"/>
    <col min="14404" max="14405" width="9.85546875" bestFit="1" customWidth="1"/>
    <col min="14406" max="14406" width="13.5703125" bestFit="1" customWidth="1"/>
    <col min="14407" max="14407" width="7.7109375" bestFit="1" customWidth="1"/>
    <col min="14408" max="14408" width="13.28515625" bestFit="1" customWidth="1"/>
    <col min="14409" max="14409" width="11.5703125" bestFit="1" customWidth="1"/>
    <col min="14410" max="14410" width="10.42578125" bestFit="1" customWidth="1"/>
    <col min="14411" max="14411" width="7.7109375" bestFit="1" customWidth="1"/>
    <col min="14412" max="14412" width="11.5703125" bestFit="1" customWidth="1"/>
    <col min="14413" max="14413" width="10.85546875" bestFit="1" customWidth="1"/>
    <col min="14414" max="14414" width="13.28515625" bestFit="1" customWidth="1"/>
    <col min="14415" max="14415" width="10.85546875" bestFit="1" customWidth="1"/>
    <col min="14416" max="14417" width="7.5703125" bestFit="1" customWidth="1"/>
    <col min="14418" max="14419" width="10.42578125" bestFit="1" customWidth="1"/>
    <col min="14420" max="14420" width="11.5703125" bestFit="1" customWidth="1"/>
    <col min="14421" max="14421" width="5.28515625" bestFit="1" customWidth="1"/>
    <col min="14422" max="14422" width="10.28515625" bestFit="1" customWidth="1"/>
    <col min="14423" max="14423" width="10.42578125" bestFit="1" customWidth="1"/>
    <col min="14424" max="14424" width="11.5703125" bestFit="1" customWidth="1"/>
    <col min="14425" max="14425" width="5.28515625" bestFit="1" customWidth="1"/>
    <col min="14426" max="14428" width="11.5703125" bestFit="1" customWidth="1"/>
    <col min="14429" max="14429" width="5.28515625" bestFit="1" customWidth="1"/>
    <col min="14430" max="14431" width="10.42578125" bestFit="1" customWidth="1"/>
    <col min="14432" max="14432" width="11.5703125" bestFit="1" customWidth="1"/>
    <col min="14433" max="14433" width="5.28515625" bestFit="1" customWidth="1"/>
    <col min="14434" max="14434" width="14.28515625" bestFit="1" customWidth="1"/>
    <col min="14435" max="14435" width="13" bestFit="1" customWidth="1"/>
    <col min="14436" max="14436" width="11.5703125" bestFit="1" customWidth="1"/>
    <col min="14437" max="14437" width="8.85546875" bestFit="1" customWidth="1"/>
    <col min="14438" max="14438" width="14.42578125" bestFit="1" customWidth="1"/>
    <col min="14439" max="14439" width="10.42578125" bestFit="1" customWidth="1"/>
    <col min="14440" max="14440" width="12.28515625" bestFit="1" customWidth="1"/>
    <col min="14441" max="14441" width="13.85546875" bestFit="1" customWidth="1"/>
    <col min="14442" max="14442" width="11.28515625" customWidth="1"/>
    <col min="14443" max="14443" width="11.5703125" customWidth="1"/>
    <col min="14444" max="14444" width="13.42578125" bestFit="1" customWidth="1"/>
    <col min="14445" max="14445" width="10.42578125" customWidth="1"/>
    <col min="14446" max="14446" width="13.85546875" bestFit="1" customWidth="1"/>
    <col min="14447" max="14447" width="15.42578125" bestFit="1" customWidth="1"/>
    <col min="14448" max="14448" width="12.28515625" bestFit="1" customWidth="1"/>
    <col min="14449" max="14449" width="12.7109375" customWidth="1"/>
    <col min="14450" max="14450" width="10.7109375" bestFit="1" customWidth="1"/>
    <col min="14451" max="14451" width="9.85546875" customWidth="1"/>
    <col min="14452" max="14453" width="10.140625" bestFit="1" customWidth="1"/>
    <col min="14454" max="14454" width="7.5703125" bestFit="1" customWidth="1"/>
    <col min="14455" max="14455" width="9.42578125" bestFit="1" customWidth="1"/>
    <col min="14456" max="14456" width="14.5703125" bestFit="1" customWidth="1"/>
    <col min="14457" max="14457" width="14.85546875" customWidth="1"/>
    <col min="14458" max="14458" width="15.140625" bestFit="1" customWidth="1"/>
    <col min="14459" max="14459" width="12.140625" bestFit="1" customWidth="1"/>
    <col min="14460" max="14460" width="14.85546875" bestFit="1" customWidth="1"/>
    <col min="14461" max="14461" width="12.28515625" bestFit="1" customWidth="1"/>
    <col min="14462" max="14470" width="9.140625" hidden="1" customWidth="1"/>
    <col min="14471" max="14471" width="5.28515625" bestFit="1" customWidth="1"/>
    <col min="14472" max="14477" width="11.5703125" bestFit="1" customWidth="1"/>
    <col min="14478" max="14478" width="11.28515625" bestFit="1" customWidth="1"/>
    <col min="14479" max="14479" width="10.140625" bestFit="1" customWidth="1"/>
    <col min="14480" max="14480" width="11.5703125" bestFit="1" customWidth="1"/>
    <col min="14481" max="14481" width="16.140625" customWidth="1"/>
    <col min="14482" max="14482" width="13.42578125" customWidth="1"/>
    <col min="14483" max="14483" width="10.140625" bestFit="1" customWidth="1"/>
    <col min="14484" max="14484" width="12.85546875" bestFit="1" customWidth="1"/>
    <col min="14485" max="14485" width="12.28515625" bestFit="1" customWidth="1"/>
    <col min="14486" max="14486" width="11.28515625" bestFit="1" customWidth="1"/>
    <col min="14487" max="14487" width="11.5703125" bestFit="1" customWidth="1"/>
    <col min="14488" max="14488" width="10.85546875" bestFit="1" customWidth="1"/>
    <col min="14489" max="14489" width="11.28515625" bestFit="1" customWidth="1"/>
    <col min="14490" max="14490" width="10.140625" bestFit="1" customWidth="1"/>
    <col min="14491" max="14491" width="13.28515625" bestFit="1" customWidth="1"/>
    <col min="14492" max="14493" width="12.7109375" bestFit="1" customWidth="1"/>
    <col min="14494" max="14494" width="11" bestFit="1" customWidth="1"/>
    <col min="14495" max="14495" width="11.28515625" bestFit="1" customWidth="1"/>
    <col min="14496" max="14496" width="11.5703125" bestFit="1" customWidth="1"/>
    <col min="14497" max="14497" width="12.28515625" bestFit="1" customWidth="1"/>
    <col min="14498" max="14498" width="15.140625" bestFit="1" customWidth="1"/>
    <col min="14499" max="14499" width="14.42578125" bestFit="1" customWidth="1"/>
    <col min="14500" max="14500" width="12.28515625" bestFit="1" customWidth="1"/>
    <col min="14501" max="14501" width="15.140625" bestFit="1" customWidth="1"/>
    <col min="14502" max="14502" width="14.42578125" bestFit="1" customWidth="1"/>
    <col min="14503" max="14503" width="12.28515625" bestFit="1" customWidth="1"/>
    <col min="14504" max="14504" width="14.42578125" bestFit="1" customWidth="1"/>
    <col min="14505" max="14505" width="11.28515625" bestFit="1" customWidth="1"/>
    <col min="14506" max="14506" width="12.28515625" bestFit="1" customWidth="1"/>
    <col min="14507" max="14507" width="13" bestFit="1" customWidth="1"/>
    <col min="14508" max="14508" width="15.140625" bestFit="1" customWidth="1"/>
    <col min="14509" max="14509" width="12.28515625" bestFit="1" customWidth="1"/>
    <col min="14510" max="14510" width="13.85546875" bestFit="1" customWidth="1"/>
    <col min="14511" max="14511" width="11.28515625" bestFit="1" customWidth="1"/>
    <col min="14512" max="14512" width="12.28515625" bestFit="1" customWidth="1"/>
    <col min="14513" max="14513" width="13.85546875" bestFit="1" customWidth="1"/>
    <col min="14514" max="14515" width="15.140625" bestFit="1" customWidth="1"/>
    <col min="14516" max="14516" width="12.28515625" bestFit="1" customWidth="1"/>
    <col min="14517" max="14517" width="5.7109375" bestFit="1" customWidth="1"/>
    <col min="14518" max="14518" width="8.5703125" bestFit="1" customWidth="1"/>
    <col min="14519" max="14519" width="5.5703125" bestFit="1" customWidth="1"/>
    <col min="14520" max="14520" width="14.42578125" bestFit="1" customWidth="1"/>
    <col min="14521" max="14521" width="11.28515625" bestFit="1" customWidth="1"/>
    <col min="14522" max="14523" width="12.28515625" bestFit="1" customWidth="1"/>
    <col min="14524" max="14524" width="11.28515625" bestFit="1" customWidth="1"/>
    <col min="14525" max="14525" width="13.85546875" bestFit="1" customWidth="1"/>
    <col min="14526" max="14526" width="12" bestFit="1" customWidth="1"/>
    <col min="14527" max="14527" width="13.85546875" bestFit="1" customWidth="1"/>
    <col min="14528" max="14529" width="14.42578125" customWidth="1"/>
    <col min="14530" max="14530" width="10.140625" bestFit="1" customWidth="1"/>
    <col min="14531" max="14531" width="12.28515625" bestFit="1" customWidth="1"/>
    <col min="14532" max="14532" width="7.42578125" bestFit="1" customWidth="1"/>
    <col min="14533" max="14533" width="8.5703125" bestFit="1" customWidth="1"/>
    <col min="14534" max="14534" width="11.5703125" bestFit="1" customWidth="1"/>
    <col min="14535" max="14535" width="13.28515625" bestFit="1" customWidth="1"/>
    <col min="14536" max="14536" width="13.28515625" customWidth="1"/>
    <col min="14537" max="14537" width="13.140625" customWidth="1"/>
    <col min="14538" max="14538" width="12.7109375" bestFit="1" customWidth="1"/>
    <col min="14539" max="14539" width="13.28515625" bestFit="1" customWidth="1"/>
    <col min="14540" max="14542" width="13.28515625" customWidth="1"/>
    <col min="14543" max="14543" width="12.140625" bestFit="1" customWidth="1"/>
    <col min="14544" max="14544" width="12.7109375" bestFit="1" customWidth="1"/>
    <col min="14545" max="14545" width="11" customWidth="1"/>
    <col min="14546" max="14546" width="16.7109375" customWidth="1"/>
    <col min="14547" max="14547" width="17" customWidth="1"/>
    <col min="14548" max="14548" width="10.42578125" bestFit="1" customWidth="1"/>
    <col min="14592" max="14592" width="3.85546875" customWidth="1"/>
    <col min="14593" max="14593" width="15.28515625" bestFit="1" customWidth="1"/>
    <col min="14594" max="14594" width="12.28515625" customWidth="1"/>
    <col min="14595" max="14595" width="16.28515625" bestFit="1" customWidth="1"/>
    <col min="14596" max="14596" width="6.42578125" bestFit="1" customWidth="1"/>
    <col min="14597" max="14597" width="9.28515625" bestFit="1" customWidth="1"/>
    <col min="14598" max="14598" width="7.5703125" bestFit="1" customWidth="1"/>
    <col min="14599" max="14599" width="13.28515625" bestFit="1" customWidth="1"/>
    <col min="14600" max="14600" width="9.28515625" bestFit="1" customWidth="1"/>
    <col min="14601" max="14601" width="11.5703125" bestFit="1" customWidth="1"/>
    <col min="14602" max="14602" width="13.28515625" bestFit="1" customWidth="1"/>
    <col min="14603" max="14603" width="7.140625" bestFit="1" customWidth="1"/>
    <col min="14604" max="14604" width="12" bestFit="1" customWidth="1"/>
    <col min="14605" max="14605" width="13.28515625" bestFit="1" customWidth="1"/>
    <col min="14606" max="14606" width="7" bestFit="1" customWidth="1"/>
    <col min="14607" max="14607" width="12.7109375" bestFit="1" customWidth="1"/>
    <col min="14608" max="14608" width="11.5703125" bestFit="1" customWidth="1"/>
    <col min="14609" max="14609" width="10.5703125" bestFit="1" customWidth="1"/>
    <col min="14610" max="14611" width="15.7109375" bestFit="1" customWidth="1"/>
    <col min="14612" max="14612" width="11.5703125" bestFit="1" customWidth="1"/>
    <col min="14613" max="14613" width="7.7109375" bestFit="1" customWidth="1"/>
    <col min="14614" max="14614" width="15.140625" bestFit="1" customWidth="1"/>
    <col min="14615" max="14615" width="11.5703125" bestFit="1" customWidth="1"/>
    <col min="14616" max="14616" width="13.28515625" bestFit="1" customWidth="1"/>
    <col min="14617" max="14617" width="10.42578125" bestFit="1" customWidth="1"/>
    <col min="14618" max="14618" width="13.28515625" bestFit="1" customWidth="1"/>
    <col min="14619" max="14619" width="12.140625" bestFit="1" customWidth="1"/>
    <col min="14620" max="14620" width="14.42578125" bestFit="1" customWidth="1"/>
    <col min="14621" max="14621" width="13.28515625" bestFit="1" customWidth="1"/>
    <col min="14622" max="14622" width="11.5703125" bestFit="1" customWidth="1"/>
    <col min="14623" max="14623" width="7.7109375" bestFit="1" customWidth="1"/>
    <col min="14624" max="14625" width="14.42578125" bestFit="1" customWidth="1"/>
    <col min="14626" max="14626" width="11.5703125" bestFit="1" customWidth="1"/>
    <col min="14627" max="14627" width="7.7109375" bestFit="1" customWidth="1"/>
    <col min="14628" max="14628" width="13.5703125" customWidth="1"/>
    <col min="14629" max="14629" width="15.28515625" customWidth="1"/>
    <col min="14630" max="14630" width="14.5703125" customWidth="1"/>
    <col min="14631" max="14631" width="13.28515625" bestFit="1" customWidth="1"/>
    <col min="14632" max="14632" width="7.7109375" bestFit="1" customWidth="1"/>
    <col min="14633" max="14633" width="12.7109375" bestFit="1" customWidth="1"/>
    <col min="14634" max="14634" width="11.7109375" bestFit="1" customWidth="1"/>
    <col min="14635" max="14635" width="11.5703125" bestFit="1" customWidth="1"/>
    <col min="14636" max="14636" width="5.28515625" bestFit="1" customWidth="1"/>
    <col min="14637" max="14637" width="13.28515625" bestFit="1" customWidth="1"/>
    <col min="14638" max="14638" width="13.5703125" bestFit="1" customWidth="1"/>
    <col min="14639" max="14639" width="10.5703125" bestFit="1" customWidth="1"/>
    <col min="14640" max="14640" width="13.28515625" bestFit="1" customWidth="1"/>
    <col min="14641" max="14641" width="11.5703125" bestFit="1" customWidth="1"/>
    <col min="14642" max="14642" width="10.5703125" bestFit="1" customWidth="1"/>
    <col min="14643" max="14643" width="16.140625" bestFit="1" customWidth="1"/>
    <col min="14644" max="14645" width="11.28515625" bestFit="1" customWidth="1"/>
    <col min="14646" max="14646" width="13.28515625" bestFit="1" customWidth="1"/>
    <col min="14647" max="14647" width="7.7109375" bestFit="1" customWidth="1"/>
    <col min="14648" max="14651" width="9.140625" hidden="1" customWidth="1"/>
    <col min="14652" max="14652" width="10.42578125" bestFit="1" customWidth="1"/>
    <col min="14653" max="14653" width="10.5703125" bestFit="1" customWidth="1"/>
    <col min="14654" max="14654" width="10.42578125" bestFit="1" customWidth="1"/>
    <col min="14655" max="14655" width="10.5703125" bestFit="1" customWidth="1"/>
    <col min="14656" max="14656" width="9.5703125" bestFit="1" customWidth="1"/>
    <col min="14657" max="14657" width="11.5703125" bestFit="1" customWidth="1"/>
    <col min="14658" max="14658" width="10.42578125" bestFit="1" customWidth="1"/>
    <col min="14659" max="14659" width="10.85546875" customWidth="1"/>
    <col min="14660" max="14661" width="9.85546875" bestFit="1" customWidth="1"/>
    <col min="14662" max="14662" width="13.5703125" bestFit="1" customWidth="1"/>
    <col min="14663" max="14663" width="7.7109375" bestFit="1" customWidth="1"/>
    <col min="14664" max="14664" width="13.28515625" bestFit="1" customWidth="1"/>
    <col min="14665" max="14665" width="11.5703125" bestFit="1" customWidth="1"/>
    <col min="14666" max="14666" width="10.42578125" bestFit="1" customWidth="1"/>
    <col min="14667" max="14667" width="7.7109375" bestFit="1" customWidth="1"/>
    <col min="14668" max="14668" width="11.5703125" bestFit="1" customWidth="1"/>
    <col min="14669" max="14669" width="10.85546875" bestFit="1" customWidth="1"/>
    <col min="14670" max="14670" width="13.28515625" bestFit="1" customWidth="1"/>
    <col min="14671" max="14671" width="10.85546875" bestFit="1" customWidth="1"/>
    <col min="14672" max="14673" width="7.5703125" bestFit="1" customWidth="1"/>
    <col min="14674" max="14675" width="10.42578125" bestFit="1" customWidth="1"/>
    <col min="14676" max="14676" width="11.5703125" bestFit="1" customWidth="1"/>
    <col min="14677" max="14677" width="5.28515625" bestFit="1" customWidth="1"/>
    <col min="14678" max="14678" width="10.28515625" bestFit="1" customWidth="1"/>
    <col min="14679" max="14679" width="10.42578125" bestFit="1" customWidth="1"/>
    <col min="14680" max="14680" width="11.5703125" bestFit="1" customWidth="1"/>
    <col min="14681" max="14681" width="5.28515625" bestFit="1" customWidth="1"/>
    <col min="14682" max="14684" width="11.5703125" bestFit="1" customWidth="1"/>
    <col min="14685" max="14685" width="5.28515625" bestFit="1" customWidth="1"/>
    <col min="14686" max="14687" width="10.42578125" bestFit="1" customWidth="1"/>
    <col min="14688" max="14688" width="11.5703125" bestFit="1" customWidth="1"/>
    <col min="14689" max="14689" width="5.28515625" bestFit="1" customWidth="1"/>
    <col min="14690" max="14690" width="14.28515625" bestFit="1" customWidth="1"/>
    <col min="14691" max="14691" width="13" bestFit="1" customWidth="1"/>
    <col min="14692" max="14692" width="11.5703125" bestFit="1" customWidth="1"/>
    <col min="14693" max="14693" width="8.85546875" bestFit="1" customWidth="1"/>
    <col min="14694" max="14694" width="14.42578125" bestFit="1" customWidth="1"/>
    <col min="14695" max="14695" width="10.42578125" bestFit="1" customWidth="1"/>
    <col min="14696" max="14696" width="12.28515625" bestFit="1" customWidth="1"/>
    <col min="14697" max="14697" width="13.85546875" bestFit="1" customWidth="1"/>
    <col min="14698" max="14698" width="11.28515625" customWidth="1"/>
    <col min="14699" max="14699" width="11.5703125" customWidth="1"/>
    <col min="14700" max="14700" width="13.42578125" bestFit="1" customWidth="1"/>
    <col min="14701" max="14701" width="10.42578125" customWidth="1"/>
    <col min="14702" max="14702" width="13.85546875" bestFit="1" customWidth="1"/>
    <col min="14703" max="14703" width="15.42578125" bestFit="1" customWidth="1"/>
    <col min="14704" max="14704" width="12.28515625" bestFit="1" customWidth="1"/>
    <col min="14705" max="14705" width="12.7109375" customWidth="1"/>
    <col min="14706" max="14706" width="10.7109375" bestFit="1" customWidth="1"/>
    <col min="14707" max="14707" width="9.85546875" customWidth="1"/>
    <col min="14708" max="14709" width="10.140625" bestFit="1" customWidth="1"/>
    <col min="14710" max="14710" width="7.5703125" bestFit="1" customWidth="1"/>
    <col min="14711" max="14711" width="9.42578125" bestFit="1" customWidth="1"/>
    <col min="14712" max="14712" width="14.5703125" bestFit="1" customWidth="1"/>
    <col min="14713" max="14713" width="14.85546875" customWidth="1"/>
    <col min="14714" max="14714" width="15.140625" bestFit="1" customWidth="1"/>
    <col min="14715" max="14715" width="12.140625" bestFit="1" customWidth="1"/>
    <col min="14716" max="14716" width="14.85546875" bestFit="1" customWidth="1"/>
    <col min="14717" max="14717" width="12.28515625" bestFit="1" customWidth="1"/>
    <col min="14718" max="14726" width="9.140625" hidden="1" customWidth="1"/>
    <col min="14727" max="14727" width="5.28515625" bestFit="1" customWidth="1"/>
    <col min="14728" max="14733" width="11.5703125" bestFit="1" customWidth="1"/>
    <col min="14734" max="14734" width="11.28515625" bestFit="1" customWidth="1"/>
    <col min="14735" max="14735" width="10.140625" bestFit="1" customWidth="1"/>
    <col min="14736" max="14736" width="11.5703125" bestFit="1" customWidth="1"/>
    <col min="14737" max="14737" width="16.140625" customWidth="1"/>
    <col min="14738" max="14738" width="13.42578125" customWidth="1"/>
    <col min="14739" max="14739" width="10.140625" bestFit="1" customWidth="1"/>
    <col min="14740" max="14740" width="12.85546875" bestFit="1" customWidth="1"/>
    <col min="14741" max="14741" width="12.28515625" bestFit="1" customWidth="1"/>
    <col min="14742" max="14742" width="11.28515625" bestFit="1" customWidth="1"/>
    <col min="14743" max="14743" width="11.5703125" bestFit="1" customWidth="1"/>
    <col min="14744" max="14744" width="10.85546875" bestFit="1" customWidth="1"/>
    <col min="14745" max="14745" width="11.28515625" bestFit="1" customWidth="1"/>
    <col min="14746" max="14746" width="10.140625" bestFit="1" customWidth="1"/>
    <col min="14747" max="14747" width="13.28515625" bestFit="1" customWidth="1"/>
    <col min="14748" max="14749" width="12.7109375" bestFit="1" customWidth="1"/>
    <col min="14750" max="14750" width="11" bestFit="1" customWidth="1"/>
    <col min="14751" max="14751" width="11.28515625" bestFit="1" customWidth="1"/>
    <col min="14752" max="14752" width="11.5703125" bestFit="1" customWidth="1"/>
    <col min="14753" max="14753" width="12.28515625" bestFit="1" customWidth="1"/>
    <col min="14754" max="14754" width="15.140625" bestFit="1" customWidth="1"/>
    <col min="14755" max="14755" width="14.42578125" bestFit="1" customWidth="1"/>
    <col min="14756" max="14756" width="12.28515625" bestFit="1" customWidth="1"/>
    <col min="14757" max="14757" width="15.140625" bestFit="1" customWidth="1"/>
    <col min="14758" max="14758" width="14.42578125" bestFit="1" customWidth="1"/>
    <col min="14759" max="14759" width="12.28515625" bestFit="1" customWidth="1"/>
    <col min="14760" max="14760" width="14.42578125" bestFit="1" customWidth="1"/>
    <col min="14761" max="14761" width="11.28515625" bestFit="1" customWidth="1"/>
    <col min="14762" max="14762" width="12.28515625" bestFit="1" customWidth="1"/>
    <col min="14763" max="14763" width="13" bestFit="1" customWidth="1"/>
    <col min="14764" max="14764" width="15.140625" bestFit="1" customWidth="1"/>
    <col min="14765" max="14765" width="12.28515625" bestFit="1" customWidth="1"/>
    <col min="14766" max="14766" width="13.85546875" bestFit="1" customWidth="1"/>
    <col min="14767" max="14767" width="11.28515625" bestFit="1" customWidth="1"/>
    <col min="14768" max="14768" width="12.28515625" bestFit="1" customWidth="1"/>
    <col min="14769" max="14769" width="13.85546875" bestFit="1" customWidth="1"/>
    <col min="14770" max="14771" width="15.140625" bestFit="1" customWidth="1"/>
    <col min="14772" max="14772" width="12.28515625" bestFit="1" customWidth="1"/>
    <col min="14773" max="14773" width="5.7109375" bestFit="1" customWidth="1"/>
    <col min="14774" max="14774" width="8.5703125" bestFit="1" customWidth="1"/>
    <col min="14775" max="14775" width="5.5703125" bestFit="1" customWidth="1"/>
    <col min="14776" max="14776" width="14.42578125" bestFit="1" customWidth="1"/>
    <col min="14777" max="14777" width="11.28515625" bestFit="1" customWidth="1"/>
    <col min="14778" max="14779" width="12.28515625" bestFit="1" customWidth="1"/>
    <col min="14780" max="14780" width="11.28515625" bestFit="1" customWidth="1"/>
    <col min="14781" max="14781" width="13.85546875" bestFit="1" customWidth="1"/>
    <col min="14782" max="14782" width="12" bestFit="1" customWidth="1"/>
    <col min="14783" max="14783" width="13.85546875" bestFit="1" customWidth="1"/>
    <col min="14784" max="14785" width="14.42578125" customWidth="1"/>
    <col min="14786" max="14786" width="10.140625" bestFit="1" customWidth="1"/>
    <col min="14787" max="14787" width="12.28515625" bestFit="1" customWidth="1"/>
    <col min="14788" max="14788" width="7.42578125" bestFit="1" customWidth="1"/>
    <col min="14789" max="14789" width="8.5703125" bestFit="1" customWidth="1"/>
    <col min="14790" max="14790" width="11.5703125" bestFit="1" customWidth="1"/>
    <col min="14791" max="14791" width="13.28515625" bestFit="1" customWidth="1"/>
    <col min="14792" max="14792" width="13.28515625" customWidth="1"/>
    <col min="14793" max="14793" width="13.140625" customWidth="1"/>
    <col min="14794" max="14794" width="12.7109375" bestFit="1" customWidth="1"/>
    <col min="14795" max="14795" width="13.28515625" bestFit="1" customWidth="1"/>
    <col min="14796" max="14798" width="13.28515625" customWidth="1"/>
    <col min="14799" max="14799" width="12.140625" bestFit="1" customWidth="1"/>
    <col min="14800" max="14800" width="12.7109375" bestFit="1" customWidth="1"/>
    <col min="14801" max="14801" width="11" customWidth="1"/>
    <col min="14802" max="14802" width="16.7109375" customWidth="1"/>
    <col min="14803" max="14803" width="17" customWidth="1"/>
    <col min="14804" max="14804" width="10.42578125" bestFit="1" customWidth="1"/>
    <col min="14848" max="14848" width="3.85546875" customWidth="1"/>
    <col min="14849" max="14849" width="15.28515625" bestFit="1" customWidth="1"/>
    <col min="14850" max="14850" width="12.28515625" customWidth="1"/>
    <col min="14851" max="14851" width="16.28515625" bestFit="1" customWidth="1"/>
    <col min="14852" max="14852" width="6.42578125" bestFit="1" customWidth="1"/>
    <col min="14853" max="14853" width="9.28515625" bestFit="1" customWidth="1"/>
    <col min="14854" max="14854" width="7.5703125" bestFit="1" customWidth="1"/>
    <col min="14855" max="14855" width="13.28515625" bestFit="1" customWidth="1"/>
    <col min="14856" max="14856" width="9.28515625" bestFit="1" customWidth="1"/>
    <col min="14857" max="14857" width="11.5703125" bestFit="1" customWidth="1"/>
    <col min="14858" max="14858" width="13.28515625" bestFit="1" customWidth="1"/>
    <col min="14859" max="14859" width="7.140625" bestFit="1" customWidth="1"/>
    <col min="14860" max="14860" width="12" bestFit="1" customWidth="1"/>
    <col min="14861" max="14861" width="13.28515625" bestFit="1" customWidth="1"/>
    <col min="14862" max="14862" width="7" bestFit="1" customWidth="1"/>
    <col min="14863" max="14863" width="12.7109375" bestFit="1" customWidth="1"/>
    <col min="14864" max="14864" width="11.5703125" bestFit="1" customWidth="1"/>
    <col min="14865" max="14865" width="10.5703125" bestFit="1" customWidth="1"/>
    <col min="14866" max="14867" width="15.7109375" bestFit="1" customWidth="1"/>
    <col min="14868" max="14868" width="11.5703125" bestFit="1" customWidth="1"/>
    <col min="14869" max="14869" width="7.7109375" bestFit="1" customWidth="1"/>
    <col min="14870" max="14870" width="15.140625" bestFit="1" customWidth="1"/>
    <col min="14871" max="14871" width="11.5703125" bestFit="1" customWidth="1"/>
    <col min="14872" max="14872" width="13.28515625" bestFit="1" customWidth="1"/>
    <col min="14873" max="14873" width="10.42578125" bestFit="1" customWidth="1"/>
    <col min="14874" max="14874" width="13.28515625" bestFit="1" customWidth="1"/>
    <col min="14875" max="14875" width="12.140625" bestFit="1" customWidth="1"/>
    <col min="14876" max="14876" width="14.42578125" bestFit="1" customWidth="1"/>
    <col min="14877" max="14877" width="13.28515625" bestFit="1" customWidth="1"/>
    <col min="14878" max="14878" width="11.5703125" bestFit="1" customWidth="1"/>
    <col min="14879" max="14879" width="7.7109375" bestFit="1" customWidth="1"/>
    <col min="14880" max="14881" width="14.42578125" bestFit="1" customWidth="1"/>
    <col min="14882" max="14882" width="11.5703125" bestFit="1" customWidth="1"/>
    <col min="14883" max="14883" width="7.7109375" bestFit="1" customWidth="1"/>
    <col min="14884" max="14884" width="13.5703125" customWidth="1"/>
    <col min="14885" max="14885" width="15.28515625" customWidth="1"/>
    <col min="14886" max="14886" width="14.5703125" customWidth="1"/>
    <col min="14887" max="14887" width="13.28515625" bestFit="1" customWidth="1"/>
    <col min="14888" max="14888" width="7.7109375" bestFit="1" customWidth="1"/>
    <col min="14889" max="14889" width="12.7109375" bestFit="1" customWidth="1"/>
    <col min="14890" max="14890" width="11.7109375" bestFit="1" customWidth="1"/>
    <col min="14891" max="14891" width="11.5703125" bestFit="1" customWidth="1"/>
    <col min="14892" max="14892" width="5.28515625" bestFit="1" customWidth="1"/>
    <col min="14893" max="14893" width="13.28515625" bestFit="1" customWidth="1"/>
    <col min="14894" max="14894" width="13.5703125" bestFit="1" customWidth="1"/>
    <col min="14895" max="14895" width="10.5703125" bestFit="1" customWidth="1"/>
    <col min="14896" max="14896" width="13.28515625" bestFit="1" customWidth="1"/>
    <col min="14897" max="14897" width="11.5703125" bestFit="1" customWidth="1"/>
    <col min="14898" max="14898" width="10.5703125" bestFit="1" customWidth="1"/>
    <col min="14899" max="14899" width="16.140625" bestFit="1" customWidth="1"/>
    <col min="14900" max="14901" width="11.28515625" bestFit="1" customWidth="1"/>
    <col min="14902" max="14902" width="13.28515625" bestFit="1" customWidth="1"/>
    <col min="14903" max="14903" width="7.7109375" bestFit="1" customWidth="1"/>
    <col min="14904" max="14907" width="9.140625" hidden="1" customWidth="1"/>
    <col min="14908" max="14908" width="10.42578125" bestFit="1" customWidth="1"/>
    <col min="14909" max="14909" width="10.5703125" bestFit="1" customWidth="1"/>
    <col min="14910" max="14910" width="10.42578125" bestFit="1" customWidth="1"/>
    <col min="14911" max="14911" width="10.5703125" bestFit="1" customWidth="1"/>
    <col min="14912" max="14912" width="9.5703125" bestFit="1" customWidth="1"/>
    <col min="14913" max="14913" width="11.5703125" bestFit="1" customWidth="1"/>
    <col min="14914" max="14914" width="10.42578125" bestFit="1" customWidth="1"/>
    <col min="14915" max="14915" width="10.85546875" customWidth="1"/>
    <col min="14916" max="14917" width="9.85546875" bestFit="1" customWidth="1"/>
    <col min="14918" max="14918" width="13.5703125" bestFit="1" customWidth="1"/>
    <col min="14919" max="14919" width="7.7109375" bestFit="1" customWidth="1"/>
    <col min="14920" max="14920" width="13.28515625" bestFit="1" customWidth="1"/>
    <col min="14921" max="14921" width="11.5703125" bestFit="1" customWidth="1"/>
    <col min="14922" max="14922" width="10.42578125" bestFit="1" customWidth="1"/>
    <col min="14923" max="14923" width="7.7109375" bestFit="1" customWidth="1"/>
    <col min="14924" max="14924" width="11.5703125" bestFit="1" customWidth="1"/>
    <col min="14925" max="14925" width="10.85546875" bestFit="1" customWidth="1"/>
    <col min="14926" max="14926" width="13.28515625" bestFit="1" customWidth="1"/>
    <col min="14927" max="14927" width="10.85546875" bestFit="1" customWidth="1"/>
    <col min="14928" max="14929" width="7.5703125" bestFit="1" customWidth="1"/>
    <col min="14930" max="14931" width="10.42578125" bestFit="1" customWidth="1"/>
    <col min="14932" max="14932" width="11.5703125" bestFit="1" customWidth="1"/>
    <col min="14933" max="14933" width="5.28515625" bestFit="1" customWidth="1"/>
    <col min="14934" max="14934" width="10.28515625" bestFit="1" customWidth="1"/>
    <col min="14935" max="14935" width="10.42578125" bestFit="1" customWidth="1"/>
    <col min="14936" max="14936" width="11.5703125" bestFit="1" customWidth="1"/>
    <col min="14937" max="14937" width="5.28515625" bestFit="1" customWidth="1"/>
    <col min="14938" max="14940" width="11.5703125" bestFit="1" customWidth="1"/>
    <col min="14941" max="14941" width="5.28515625" bestFit="1" customWidth="1"/>
    <col min="14942" max="14943" width="10.42578125" bestFit="1" customWidth="1"/>
    <col min="14944" max="14944" width="11.5703125" bestFit="1" customWidth="1"/>
    <col min="14945" max="14945" width="5.28515625" bestFit="1" customWidth="1"/>
    <col min="14946" max="14946" width="14.28515625" bestFit="1" customWidth="1"/>
    <col min="14947" max="14947" width="13" bestFit="1" customWidth="1"/>
    <col min="14948" max="14948" width="11.5703125" bestFit="1" customWidth="1"/>
    <col min="14949" max="14949" width="8.85546875" bestFit="1" customWidth="1"/>
    <col min="14950" max="14950" width="14.42578125" bestFit="1" customWidth="1"/>
    <col min="14951" max="14951" width="10.42578125" bestFit="1" customWidth="1"/>
    <col min="14952" max="14952" width="12.28515625" bestFit="1" customWidth="1"/>
    <col min="14953" max="14953" width="13.85546875" bestFit="1" customWidth="1"/>
    <col min="14954" max="14954" width="11.28515625" customWidth="1"/>
    <col min="14955" max="14955" width="11.5703125" customWidth="1"/>
    <col min="14956" max="14956" width="13.42578125" bestFit="1" customWidth="1"/>
    <col min="14957" max="14957" width="10.42578125" customWidth="1"/>
    <col min="14958" max="14958" width="13.85546875" bestFit="1" customWidth="1"/>
    <col min="14959" max="14959" width="15.42578125" bestFit="1" customWidth="1"/>
    <col min="14960" max="14960" width="12.28515625" bestFit="1" customWidth="1"/>
    <col min="14961" max="14961" width="12.7109375" customWidth="1"/>
    <col min="14962" max="14962" width="10.7109375" bestFit="1" customWidth="1"/>
    <col min="14963" max="14963" width="9.85546875" customWidth="1"/>
    <col min="14964" max="14965" width="10.140625" bestFit="1" customWidth="1"/>
    <col min="14966" max="14966" width="7.5703125" bestFit="1" customWidth="1"/>
    <col min="14967" max="14967" width="9.42578125" bestFit="1" customWidth="1"/>
    <col min="14968" max="14968" width="14.5703125" bestFit="1" customWidth="1"/>
    <col min="14969" max="14969" width="14.85546875" customWidth="1"/>
    <col min="14970" max="14970" width="15.140625" bestFit="1" customWidth="1"/>
    <col min="14971" max="14971" width="12.140625" bestFit="1" customWidth="1"/>
    <col min="14972" max="14972" width="14.85546875" bestFit="1" customWidth="1"/>
    <col min="14973" max="14973" width="12.28515625" bestFit="1" customWidth="1"/>
    <col min="14974" max="14982" width="9.140625" hidden="1" customWidth="1"/>
    <col min="14983" max="14983" width="5.28515625" bestFit="1" customWidth="1"/>
    <col min="14984" max="14989" width="11.5703125" bestFit="1" customWidth="1"/>
    <col min="14990" max="14990" width="11.28515625" bestFit="1" customWidth="1"/>
    <col min="14991" max="14991" width="10.140625" bestFit="1" customWidth="1"/>
    <col min="14992" max="14992" width="11.5703125" bestFit="1" customWidth="1"/>
    <col min="14993" max="14993" width="16.140625" customWidth="1"/>
    <col min="14994" max="14994" width="13.42578125" customWidth="1"/>
    <col min="14995" max="14995" width="10.140625" bestFit="1" customWidth="1"/>
    <col min="14996" max="14996" width="12.85546875" bestFit="1" customWidth="1"/>
    <col min="14997" max="14997" width="12.28515625" bestFit="1" customWidth="1"/>
    <col min="14998" max="14998" width="11.28515625" bestFit="1" customWidth="1"/>
    <col min="14999" max="14999" width="11.5703125" bestFit="1" customWidth="1"/>
    <col min="15000" max="15000" width="10.85546875" bestFit="1" customWidth="1"/>
    <col min="15001" max="15001" width="11.28515625" bestFit="1" customWidth="1"/>
    <col min="15002" max="15002" width="10.140625" bestFit="1" customWidth="1"/>
    <col min="15003" max="15003" width="13.28515625" bestFit="1" customWidth="1"/>
    <col min="15004" max="15005" width="12.7109375" bestFit="1" customWidth="1"/>
    <col min="15006" max="15006" width="11" bestFit="1" customWidth="1"/>
    <col min="15007" max="15007" width="11.28515625" bestFit="1" customWidth="1"/>
    <col min="15008" max="15008" width="11.5703125" bestFit="1" customWidth="1"/>
    <col min="15009" max="15009" width="12.28515625" bestFit="1" customWidth="1"/>
    <col min="15010" max="15010" width="15.140625" bestFit="1" customWidth="1"/>
    <col min="15011" max="15011" width="14.42578125" bestFit="1" customWidth="1"/>
    <col min="15012" max="15012" width="12.28515625" bestFit="1" customWidth="1"/>
    <col min="15013" max="15013" width="15.140625" bestFit="1" customWidth="1"/>
    <col min="15014" max="15014" width="14.42578125" bestFit="1" customWidth="1"/>
    <col min="15015" max="15015" width="12.28515625" bestFit="1" customWidth="1"/>
    <col min="15016" max="15016" width="14.42578125" bestFit="1" customWidth="1"/>
    <col min="15017" max="15017" width="11.28515625" bestFit="1" customWidth="1"/>
    <col min="15018" max="15018" width="12.28515625" bestFit="1" customWidth="1"/>
    <col min="15019" max="15019" width="13" bestFit="1" customWidth="1"/>
    <col min="15020" max="15020" width="15.140625" bestFit="1" customWidth="1"/>
    <col min="15021" max="15021" width="12.28515625" bestFit="1" customWidth="1"/>
    <col min="15022" max="15022" width="13.85546875" bestFit="1" customWidth="1"/>
    <col min="15023" max="15023" width="11.28515625" bestFit="1" customWidth="1"/>
    <col min="15024" max="15024" width="12.28515625" bestFit="1" customWidth="1"/>
    <col min="15025" max="15025" width="13.85546875" bestFit="1" customWidth="1"/>
    <col min="15026" max="15027" width="15.140625" bestFit="1" customWidth="1"/>
    <col min="15028" max="15028" width="12.28515625" bestFit="1" customWidth="1"/>
    <col min="15029" max="15029" width="5.7109375" bestFit="1" customWidth="1"/>
    <col min="15030" max="15030" width="8.5703125" bestFit="1" customWidth="1"/>
    <col min="15031" max="15031" width="5.5703125" bestFit="1" customWidth="1"/>
    <col min="15032" max="15032" width="14.42578125" bestFit="1" customWidth="1"/>
    <col min="15033" max="15033" width="11.28515625" bestFit="1" customWidth="1"/>
    <col min="15034" max="15035" width="12.28515625" bestFit="1" customWidth="1"/>
    <col min="15036" max="15036" width="11.28515625" bestFit="1" customWidth="1"/>
    <col min="15037" max="15037" width="13.85546875" bestFit="1" customWidth="1"/>
    <col min="15038" max="15038" width="12" bestFit="1" customWidth="1"/>
    <col min="15039" max="15039" width="13.85546875" bestFit="1" customWidth="1"/>
    <col min="15040" max="15041" width="14.42578125" customWidth="1"/>
    <col min="15042" max="15042" width="10.140625" bestFit="1" customWidth="1"/>
    <col min="15043" max="15043" width="12.28515625" bestFit="1" customWidth="1"/>
    <col min="15044" max="15044" width="7.42578125" bestFit="1" customWidth="1"/>
    <col min="15045" max="15045" width="8.5703125" bestFit="1" customWidth="1"/>
    <col min="15046" max="15046" width="11.5703125" bestFit="1" customWidth="1"/>
    <col min="15047" max="15047" width="13.28515625" bestFit="1" customWidth="1"/>
    <col min="15048" max="15048" width="13.28515625" customWidth="1"/>
    <col min="15049" max="15049" width="13.140625" customWidth="1"/>
    <col min="15050" max="15050" width="12.7109375" bestFit="1" customWidth="1"/>
    <col min="15051" max="15051" width="13.28515625" bestFit="1" customWidth="1"/>
    <col min="15052" max="15054" width="13.28515625" customWidth="1"/>
    <col min="15055" max="15055" width="12.140625" bestFit="1" customWidth="1"/>
    <col min="15056" max="15056" width="12.7109375" bestFit="1" customWidth="1"/>
    <col min="15057" max="15057" width="11" customWidth="1"/>
    <col min="15058" max="15058" width="16.7109375" customWidth="1"/>
    <col min="15059" max="15059" width="17" customWidth="1"/>
    <col min="15060" max="15060" width="10.42578125" bestFit="1" customWidth="1"/>
    <col min="15104" max="15104" width="3.85546875" customWidth="1"/>
    <col min="15105" max="15105" width="15.28515625" bestFit="1" customWidth="1"/>
    <col min="15106" max="15106" width="12.28515625" customWidth="1"/>
    <col min="15107" max="15107" width="16.28515625" bestFit="1" customWidth="1"/>
    <col min="15108" max="15108" width="6.42578125" bestFit="1" customWidth="1"/>
    <col min="15109" max="15109" width="9.28515625" bestFit="1" customWidth="1"/>
    <col min="15110" max="15110" width="7.5703125" bestFit="1" customWidth="1"/>
    <col min="15111" max="15111" width="13.28515625" bestFit="1" customWidth="1"/>
    <col min="15112" max="15112" width="9.28515625" bestFit="1" customWidth="1"/>
    <col min="15113" max="15113" width="11.5703125" bestFit="1" customWidth="1"/>
    <col min="15114" max="15114" width="13.28515625" bestFit="1" customWidth="1"/>
    <col min="15115" max="15115" width="7.140625" bestFit="1" customWidth="1"/>
    <col min="15116" max="15116" width="12" bestFit="1" customWidth="1"/>
    <col min="15117" max="15117" width="13.28515625" bestFit="1" customWidth="1"/>
    <col min="15118" max="15118" width="7" bestFit="1" customWidth="1"/>
    <col min="15119" max="15119" width="12.7109375" bestFit="1" customWidth="1"/>
    <col min="15120" max="15120" width="11.5703125" bestFit="1" customWidth="1"/>
    <col min="15121" max="15121" width="10.5703125" bestFit="1" customWidth="1"/>
    <col min="15122" max="15123" width="15.7109375" bestFit="1" customWidth="1"/>
    <col min="15124" max="15124" width="11.5703125" bestFit="1" customWidth="1"/>
    <col min="15125" max="15125" width="7.7109375" bestFit="1" customWidth="1"/>
    <col min="15126" max="15126" width="15.140625" bestFit="1" customWidth="1"/>
    <col min="15127" max="15127" width="11.5703125" bestFit="1" customWidth="1"/>
    <col min="15128" max="15128" width="13.28515625" bestFit="1" customWidth="1"/>
    <col min="15129" max="15129" width="10.42578125" bestFit="1" customWidth="1"/>
    <col min="15130" max="15130" width="13.28515625" bestFit="1" customWidth="1"/>
    <col min="15131" max="15131" width="12.140625" bestFit="1" customWidth="1"/>
    <col min="15132" max="15132" width="14.42578125" bestFit="1" customWidth="1"/>
    <col min="15133" max="15133" width="13.28515625" bestFit="1" customWidth="1"/>
    <col min="15134" max="15134" width="11.5703125" bestFit="1" customWidth="1"/>
    <col min="15135" max="15135" width="7.7109375" bestFit="1" customWidth="1"/>
    <col min="15136" max="15137" width="14.42578125" bestFit="1" customWidth="1"/>
    <col min="15138" max="15138" width="11.5703125" bestFit="1" customWidth="1"/>
    <col min="15139" max="15139" width="7.7109375" bestFit="1" customWidth="1"/>
    <col min="15140" max="15140" width="13.5703125" customWidth="1"/>
    <col min="15141" max="15141" width="15.28515625" customWidth="1"/>
    <col min="15142" max="15142" width="14.5703125" customWidth="1"/>
    <col min="15143" max="15143" width="13.28515625" bestFit="1" customWidth="1"/>
    <col min="15144" max="15144" width="7.7109375" bestFit="1" customWidth="1"/>
    <col min="15145" max="15145" width="12.7109375" bestFit="1" customWidth="1"/>
    <col min="15146" max="15146" width="11.7109375" bestFit="1" customWidth="1"/>
    <col min="15147" max="15147" width="11.5703125" bestFit="1" customWidth="1"/>
    <col min="15148" max="15148" width="5.28515625" bestFit="1" customWidth="1"/>
    <col min="15149" max="15149" width="13.28515625" bestFit="1" customWidth="1"/>
    <col min="15150" max="15150" width="13.5703125" bestFit="1" customWidth="1"/>
    <col min="15151" max="15151" width="10.5703125" bestFit="1" customWidth="1"/>
    <col min="15152" max="15152" width="13.28515625" bestFit="1" customWidth="1"/>
    <col min="15153" max="15153" width="11.5703125" bestFit="1" customWidth="1"/>
    <col min="15154" max="15154" width="10.5703125" bestFit="1" customWidth="1"/>
    <col min="15155" max="15155" width="16.140625" bestFit="1" customWidth="1"/>
    <col min="15156" max="15157" width="11.28515625" bestFit="1" customWidth="1"/>
    <col min="15158" max="15158" width="13.28515625" bestFit="1" customWidth="1"/>
    <col min="15159" max="15159" width="7.7109375" bestFit="1" customWidth="1"/>
    <col min="15160" max="15163" width="9.140625" hidden="1" customWidth="1"/>
    <col min="15164" max="15164" width="10.42578125" bestFit="1" customWidth="1"/>
    <col min="15165" max="15165" width="10.5703125" bestFit="1" customWidth="1"/>
    <col min="15166" max="15166" width="10.42578125" bestFit="1" customWidth="1"/>
    <col min="15167" max="15167" width="10.5703125" bestFit="1" customWidth="1"/>
    <col min="15168" max="15168" width="9.5703125" bestFit="1" customWidth="1"/>
    <col min="15169" max="15169" width="11.5703125" bestFit="1" customWidth="1"/>
    <col min="15170" max="15170" width="10.42578125" bestFit="1" customWidth="1"/>
    <col min="15171" max="15171" width="10.85546875" customWidth="1"/>
    <col min="15172" max="15173" width="9.85546875" bestFit="1" customWidth="1"/>
    <col min="15174" max="15174" width="13.5703125" bestFit="1" customWidth="1"/>
    <col min="15175" max="15175" width="7.7109375" bestFit="1" customWidth="1"/>
    <col min="15176" max="15176" width="13.28515625" bestFit="1" customWidth="1"/>
    <col min="15177" max="15177" width="11.5703125" bestFit="1" customWidth="1"/>
    <col min="15178" max="15178" width="10.42578125" bestFit="1" customWidth="1"/>
    <col min="15179" max="15179" width="7.7109375" bestFit="1" customWidth="1"/>
    <col min="15180" max="15180" width="11.5703125" bestFit="1" customWidth="1"/>
    <col min="15181" max="15181" width="10.85546875" bestFit="1" customWidth="1"/>
    <col min="15182" max="15182" width="13.28515625" bestFit="1" customWidth="1"/>
    <col min="15183" max="15183" width="10.85546875" bestFit="1" customWidth="1"/>
    <col min="15184" max="15185" width="7.5703125" bestFit="1" customWidth="1"/>
    <col min="15186" max="15187" width="10.42578125" bestFit="1" customWidth="1"/>
    <col min="15188" max="15188" width="11.5703125" bestFit="1" customWidth="1"/>
    <col min="15189" max="15189" width="5.28515625" bestFit="1" customWidth="1"/>
    <col min="15190" max="15190" width="10.28515625" bestFit="1" customWidth="1"/>
    <col min="15191" max="15191" width="10.42578125" bestFit="1" customWidth="1"/>
    <col min="15192" max="15192" width="11.5703125" bestFit="1" customWidth="1"/>
    <col min="15193" max="15193" width="5.28515625" bestFit="1" customWidth="1"/>
    <col min="15194" max="15196" width="11.5703125" bestFit="1" customWidth="1"/>
    <col min="15197" max="15197" width="5.28515625" bestFit="1" customWidth="1"/>
    <col min="15198" max="15199" width="10.42578125" bestFit="1" customWidth="1"/>
    <col min="15200" max="15200" width="11.5703125" bestFit="1" customWidth="1"/>
    <col min="15201" max="15201" width="5.28515625" bestFit="1" customWidth="1"/>
    <col min="15202" max="15202" width="14.28515625" bestFit="1" customWidth="1"/>
    <col min="15203" max="15203" width="13" bestFit="1" customWidth="1"/>
    <col min="15204" max="15204" width="11.5703125" bestFit="1" customWidth="1"/>
    <col min="15205" max="15205" width="8.85546875" bestFit="1" customWidth="1"/>
    <col min="15206" max="15206" width="14.42578125" bestFit="1" customWidth="1"/>
    <col min="15207" max="15207" width="10.42578125" bestFit="1" customWidth="1"/>
    <col min="15208" max="15208" width="12.28515625" bestFit="1" customWidth="1"/>
    <col min="15209" max="15209" width="13.85546875" bestFit="1" customWidth="1"/>
    <col min="15210" max="15210" width="11.28515625" customWidth="1"/>
    <col min="15211" max="15211" width="11.5703125" customWidth="1"/>
    <col min="15212" max="15212" width="13.42578125" bestFit="1" customWidth="1"/>
    <col min="15213" max="15213" width="10.42578125" customWidth="1"/>
    <col min="15214" max="15214" width="13.85546875" bestFit="1" customWidth="1"/>
    <col min="15215" max="15215" width="15.42578125" bestFit="1" customWidth="1"/>
    <col min="15216" max="15216" width="12.28515625" bestFit="1" customWidth="1"/>
    <col min="15217" max="15217" width="12.7109375" customWidth="1"/>
    <col min="15218" max="15218" width="10.7109375" bestFit="1" customWidth="1"/>
    <col min="15219" max="15219" width="9.85546875" customWidth="1"/>
    <col min="15220" max="15221" width="10.140625" bestFit="1" customWidth="1"/>
    <col min="15222" max="15222" width="7.5703125" bestFit="1" customWidth="1"/>
    <col min="15223" max="15223" width="9.42578125" bestFit="1" customWidth="1"/>
    <col min="15224" max="15224" width="14.5703125" bestFit="1" customWidth="1"/>
    <col min="15225" max="15225" width="14.85546875" customWidth="1"/>
    <col min="15226" max="15226" width="15.140625" bestFit="1" customWidth="1"/>
    <col min="15227" max="15227" width="12.140625" bestFit="1" customWidth="1"/>
    <col min="15228" max="15228" width="14.85546875" bestFit="1" customWidth="1"/>
    <col min="15229" max="15229" width="12.28515625" bestFit="1" customWidth="1"/>
    <col min="15230" max="15238" width="9.140625" hidden="1" customWidth="1"/>
    <col min="15239" max="15239" width="5.28515625" bestFit="1" customWidth="1"/>
    <col min="15240" max="15245" width="11.5703125" bestFit="1" customWidth="1"/>
    <col min="15246" max="15246" width="11.28515625" bestFit="1" customWidth="1"/>
    <col min="15247" max="15247" width="10.140625" bestFit="1" customWidth="1"/>
    <col min="15248" max="15248" width="11.5703125" bestFit="1" customWidth="1"/>
    <col min="15249" max="15249" width="16.140625" customWidth="1"/>
    <col min="15250" max="15250" width="13.42578125" customWidth="1"/>
    <col min="15251" max="15251" width="10.140625" bestFit="1" customWidth="1"/>
    <col min="15252" max="15252" width="12.85546875" bestFit="1" customWidth="1"/>
    <col min="15253" max="15253" width="12.28515625" bestFit="1" customWidth="1"/>
    <col min="15254" max="15254" width="11.28515625" bestFit="1" customWidth="1"/>
    <col min="15255" max="15255" width="11.5703125" bestFit="1" customWidth="1"/>
    <col min="15256" max="15256" width="10.85546875" bestFit="1" customWidth="1"/>
    <col min="15257" max="15257" width="11.28515625" bestFit="1" customWidth="1"/>
    <col min="15258" max="15258" width="10.140625" bestFit="1" customWidth="1"/>
    <col min="15259" max="15259" width="13.28515625" bestFit="1" customWidth="1"/>
    <col min="15260" max="15261" width="12.7109375" bestFit="1" customWidth="1"/>
    <col min="15262" max="15262" width="11" bestFit="1" customWidth="1"/>
    <col min="15263" max="15263" width="11.28515625" bestFit="1" customWidth="1"/>
    <col min="15264" max="15264" width="11.5703125" bestFit="1" customWidth="1"/>
    <col min="15265" max="15265" width="12.28515625" bestFit="1" customWidth="1"/>
    <col min="15266" max="15266" width="15.140625" bestFit="1" customWidth="1"/>
    <col min="15267" max="15267" width="14.42578125" bestFit="1" customWidth="1"/>
    <col min="15268" max="15268" width="12.28515625" bestFit="1" customWidth="1"/>
    <col min="15269" max="15269" width="15.140625" bestFit="1" customWidth="1"/>
    <col min="15270" max="15270" width="14.42578125" bestFit="1" customWidth="1"/>
    <col min="15271" max="15271" width="12.28515625" bestFit="1" customWidth="1"/>
    <col min="15272" max="15272" width="14.42578125" bestFit="1" customWidth="1"/>
    <col min="15273" max="15273" width="11.28515625" bestFit="1" customWidth="1"/>
    <col min="15274" max="15274" width="12.28515625" bestFit="1" customWidth="1"/>
    <col min="15275" max="15275" width="13" bestFit="1" customWidth="1"/>
    <col min="15276" max="15276" width="15.140625" bestFit="1" customWidth="1"/>
    <col min="15277" max="15277" width="12.28515625" bestFit="1" customWidth="1"/>
    <col min="15278" max="15278" width="13.85546875" bestFit="1" customWidth="1"/>
    <col min="15279" max="15279" width="11.28515625" bestFit="1" customWidth="1"/>
    <col min="15280" max="15280" width="12.28515625" bestFit="1" customWidth="1"/>
    <col min="15281" max="15281" width="13.85546875" bestFit="1" customWidth="1"/>
    <col min="15282" max="15283" width="15.140625" bestFit="1" customWidth="1"/>
    <col min="15284" max="15284" width="12.28515625" bestFit="1" customWidth="1"/>
    <col min="15285" max="15285" width="5.7109375" bestFit="1" customWidth="1"/>
    <col min="15286" max="15286" width="8.5703125" bestFit="1" customWidth="1"/>
    <col min="15287" max="15287" width="5.5703125" bestFit="1" customWidth="1"/>
    <col min="15288" max="15288" width="14.42578125" bestFit="1" customWidth="1"/>
    <col min="15289" max="15289" width="11.28515625" bestFit="1" customWidth="1"/>
    <col min="15290" max="15291" width="12.28515625" bestFit="1" customWidth="1"/>
    <col min="15292" max="15292" width="11.28515625" bestFit="1" customWidth="1"/>
    <col min="15293" max="15293" width="13.85546875" bestFit="1" customWidth="1"/>
    <col min="15294" max="15294" width="12" bestFit="1" customWidth="1"/>
    <col min="15295" max="15295" width="13.85546875" bestFit="1" customWidth="1"/>
    <col min="15296" max="15297" width="14.42578125" customWidth="1"/>
    <col min="15298" max="15298" width="10.140625" bestFit="1" customWidth="1"/>
    <col min="15299" max="15299" width="12.28515625" bestFit="1" customWidth="1"/>
    <col min="15300" max="15300" width="7.42578125" bestFit="1" customWidth="1"/>
    <col min="15301" max="15301" width="8.5703125" bestFit="1" customWidth="1"/>
    <col min="15302" max="15302" width="11.5703125" bestFit="1" customWidth="1"/>
    <col min="15303" max="15303" width="13.28515625" bestFit="1" customWidth="1"/>
    <col min="15304" max="15304" width="13.28515625" customWidth="1"/>
    <col min="15305" max="15305" width="13.140625" customWidth="1"/>
    <col min="15306" max="15306" width="12.7109375" bestFit="1" customWidth="1"/>
    <col min="15307" max="15307" width="13.28515625" bestFit="1" customWidth="1"/>
    <col min="15308" max="15310" width="13.28515625" customWidth="1"/>
    <col min="15311" max="15311" width="12.140625" bestFit="1" customWidth="1"/>
    <col min="15312" max="15312" width="12.7109375" bestFit="1" customWidth="1"/>
    <col min="15313" max="15313" width="11" customWidth="1"/>
    <col min="15314" max="15314" width="16.7109375" customWidth="1"/>
    <col min="15315" max="15315" width="17" customWidth="1"/>
    <col min="15316" max="15316" width="10.42578125" bestFit="1" customWidth="1"/>
    <col min="15360" max="15360" width="3.85546875" customWidth="1"/>
    <col min="15361" max="15361" width="15.28515625" bestFit="1" customWidth="1"/>
    <col min="15362" max="15362" width="12.28515625" customWidth="1"/>
    <col min="15363" max="15363" width="16.28515625" bestFit="1" customWidth="1"/>
    <col min="15364" max="15364" width="6.42578125" bestFit="1" customWidth="1"/>
    <col min="15365" max="15365" width="9.28515625" bestFit="1" customWidth="1"/>
    <col min="15366" max="15366" width="7.5703125" bestFit="1" customWidth="1"/>
    <col min="15367" max="15367" width="13.28515625" bestFit="1" customWidth="1"/>
    <col min="15368" max="15368" width="9.28515625" bestFit="1" customWidth="1"/>
    <col min="15369" max="15369" width="11.5703125" bestFit="1" customWidth="1"/>
    <col min="15370" max="15370" width="13.28515625" bestFit="1" customWidth="1"/>
    <col min="15371" max="15371" width="7.140625" bestFit="1" customWidth="1"/>
    <col min="15372" max="15372" width="12" bestFit="1" customWidth="1"/>
    <col min="15373" max="15373" width="13.28515625" bestFit="1" customWidth="1"/>
    <col min="15374" max="15374" width="7" bestFit="1" customWidth="1"/>
    <col min="15375" max="15375" width="12.7109375" bestFit="1" customWidth="1"/>
    <col min="15376" max="15376" width="11.5703125" bestFit="1" customWidth="1"/>
    <col min="15377" max="15377" width="10.5703125" bestFit="1" customWidth="1"/>
    <col min="15378" max="15379" width="15.7109375" bestFit="1" customWidth="1"/>
    <col min="15380" max="15380" width="11.5703125" bestFit="1" customWidth="1"/>
    <col min="15381" max="15381" width="7.7109375" bestFit="1" customWidth="1"/>
    <col min="15382" max="15382" width="15.140625" bestFit="1" customWidth="1"/>
    <col min="15383" max="15383" width="11.5703125" bestFit="1" customWidth="1"/>
    <col min="15384" max="15384" width="13.28515625" bestFit="1" customWidth="1"/>
    <col min="15385" max="15385" width="10.42578125" bestFit="1" customWidth="1"/>
    <col min="15386" max="15386" width="13.28515625" bestFit="1" customWidth="1"/>
    <col min="15387" max="15387" width="12.140625" bestFit="1" customWidth="1"/>
    <col min="15388" max="15388" width="14.42578125" bestFit="1" customWidth="1"/>
    <col min="15389" max="15389" width="13.28515625" bestFit="1" customWidth="1"/>
    <col min="15390" max="15390" width="11.5703125" bestFit="1" customWidth="1"/>
    <col min="15391" max="15391" width="7.7109375" bestFit="1" customWidth="1"/>
    <col min="15392" max="15393" width="14.42578125" bestFit="1" customWidth="1"/>
    <col min="15394" max="15394" width="11.5703125" bestFit="1" customWidth="1"/>
    <col min="15395" max="15395" width="7.7109375" bestFit="1" customWidth="1"/>
    <col min="15396" max="15396" width="13.5703125" customWidth="1"/>
    <col min="15397" max="15397" width="15.28515625" customWidth="1"/>
    <col min="15398" max="15398" width="14.5703125" customWidth="1"/>
    <col min="15399" max="15399" width="13.28515625" bestFit="1" customWidth="1"/>
    <col min="15400" max="15400" width="7.7109375" bestFit="1" customWidth="1"/>
    <col min="15401" max="15401" width="12.7109375" bestFit="1" customWidth="1"/>
    <col min="15402" max="15402" width="11.7109375" bestFit="1" customWidth="1"/>
    <col min="15403" max="15403" width="11.5703125" bestFit="1" customWidth="1"/>
    <col min="15404" max="15404" width="5.28515625" bestFit="1" customWidth="1"/>
    <col min="15405" max="15405" width="13.28515625" bestFit="1" customWidth="1"/>
    <col min="15406" max="15406" width="13.5703125" bestFit="1" customWidth="1"/>
    <col min="15407" max="15407" width="10.5703125" bestFit="1" customWidth="1"/>
    <col min="15408" max="15408" width="13.28515625" bestFit="1" customWidth="1"/>
    <col min="15409" max="15409" width="11.5703125" bestFit="1" customWidth="1"/>
    <col min="15410" max="15410" width="10.5703125" bestFit="1" customWidth="1"/>
    <col min="15411" max="15411" width="16.140625" bestFit="1" customWidth="1"/>
    <col min="15412" max="15413" width="11.28515625" bestFit="1" customWidth="1"/>
    <col min="15414" max="15414" width="13.28515625" bestFit="1" customWidth="1"/>
    <col min="15415" max="15415" width="7.7109375" bestFit="1" customWidth="1"/>
    <col min="15416" max="15419" width="9.140625" hidden="1" customWidth="1"/>
    <col min="15420" max="15420" width="10.42578125" bestFit="1" customWidth="1"/>
    <col min="15421" max="15421" width="10.5703125" bestFit="1" customWidth="1"/>
    <col min="15422" max="15422" width="10.42578125" bestFit="1" customWidth="1"/>
    <col min="15423" max="15423" width="10.5703125" bestFit="1" customWidth="1"/>
    <col min="15424" max="15424" width="9.5703125" bestFit="1" customWidth="1"/>
    <col min="15425" max="15425" width="11.5703125" bestFit="1" customWidth="1"/>
    <col min="15426" max="15426" width="10.42578125" bestFit="1" customWidth="1"/>
    <col min="15427" max="15427" width="10.85546875" customWidth="1"/>
    <col min="15428" max="15429" width="9.85546875" bestFit="1" customWidth="1"/>
    <col min="15430" max="15430" width="13.5703125" bestFit="1" customWidth="1"/>
    <col min="15431" max="15431" width="7.7109375" bestFit="1" customWidth="1"/>
    <col min="15432" max="15432" width="13.28515625" bestFit="1" customWidth="1"/>
    <col min="15433" max="15433" width="11.5703125" bestFit="1" customWidth="1"/>
    <col min="15434" max="15434" width="10.42578125" bestFit="1" customWidth="1"/>
    <col min="15435" max="15435" width="7.7109375" bestFit="1" customWidth="1"/>
    <col min="15436" max="15436" width="11.5703125" bestFit="1" customWidth="1"/>
    <col min="15437" max="15437" width="10.85546875" bestFit="1" customWidth="1"/>
    <col min="15438" max="15438" width="13.28515625" bestFit="1" customWidth="1"/>
    <col min="15439" max="15439" width="10.85546875" bestFit="1" customWidth="1"/>
    <col min="15440" max="15441" width="7.5703125" bestFit="1" customWidth="1"/>
    <col min="15442" max="15443" width="10.42578125" bestFit="1" customWidth="1"/>
    <col min="15444" max="15444" width="11.5703125" bestFit="1" customWidth="1"/>
    <col min="15445" max="15445" width="5.28515625" bestFit="1" customWidth="1"/>
    <col min="15446" max="15446" width="10.28515625" bestFit="1" customWidth="1"/>
    <col min="15447" max="15447" width="10.42578125" bestFit="1" customWidth="1"/>
    <col min="15448" max="15448" width="11.5703125" bestFit="1" customWidth="1"/>
    <col min="15449" max="15449" width="5.28515625" bestFit="1" customWidth="1"/>
    <col min="15450" max="15452" width="11.5703125" bestFit="1" customWidth="1"/>
    <col min="15453" max="15453" width="5.28515625" bestFit="1" customWidth="1"/>
    <col min="15454" max="15455" width="10.42578125" bestFit="1" customWidth="1"/>
    <col min="15456" max="15456" width="11.5703125" bestFit="1" customWidth="1"/>
    <col min="15457" max="15457" width="5.28515625" bestFit="1" customWidth="1"/>
    <col min="15458" max="15458" width="14.28515625" bestFit="1" customWidth="1"/>
    <col min="15459" max="15459" width="13" bestFit="1" customWidth="1"/>
    <col min="15460" max="15460" width="11.5703125" bestFit="1" customWidth="1"/>
    <col min="15461" max="15461" width="8.85546875" bestFit="1" customWidth="1"/>
    <col min="15462" max="15462" width="14.42578125" bestFit="1" customWidth="1"/>
    <col min="15463" max="15463" width="10.42578125" bestFit="1" customWidth="1"/>
    <col min="15464" max="15464" width="12.28515625" bestFit="1" customWidth="1"/>
    <col min="15465" max="15465" width="13.85546875" bestFit="1" customWidth="1"/>
    <col min="15466" max="15466" width="11.28515625" customWidth="1"/>
    <col min="15467" max="15467" width="11.5703125" customWidth="1"/>
    <col min="15468" max="15468" width="13.42578125" bestFit="1" customWidth="1"/>
    <col min="15469" max="15469" width="10.42578125" customWidth="1"/>
    <col min="15470" max="15470" width="13.85546875" bestFit="1" customWidth="1"/>
    <col min="15471" max="15471" width="15.42578125" bestFit="1" customWidth="1"/>
    <col min="15472" max="15472" width="12.28515625" bestFit="1" customWidth="1"/>
    <col min="15473" max="15473" width="12.7109375" customWidth="1"/>
    <col min="15474" max="15474" width="10.7109375" bestFit="1" customWidth="1"/>
    <col min="15475" max="15475" width="9.85546875" customWidth="1"/>
    <col min="15476" max="15477" width="10.140625" bestFit="1" customWidth="1"/>
    <col min="15478" max="15478" width="7.5703125" bestFit="1" customWidth="1"/>
    <col min="15479" max="15479" width="9.42578125" bestFit="1" customWidth="1"/>
    <col min="15480" max="15480" width="14.5703125" bestFit="1" customWidth="1"/>
    <col min="15481" max="15481" width="14.85546875" customWidth="1"/>
    <col min="15482" max="15482" width="15.140625" bestFit="1" customWidth="1"/>
    <col min="15483" max="15483" width="12.140625" bestFit="1" customWidth="1"/>
    <col min="15484" max="15484" width="14.85546875" bestFit="1" customWidth="1"/>
    <col min="15485" max="15485" width="12.28515625" bestFit="1" customWidth="1"/>
    <col min="15486" max="15494" width="9.140625" hidden="1" customWidth="1"/>
    <col min="15495" max="15495" width="5.28515625" bestFit="1" customWidth="1"/>
    <col min="15496" max="15501" width="11.5703125" bestFit="1" customWidth="1"/>
    <col min="15502" max="15502" width="11.28515625" bestFit="1" customWidth="1"/>
    <col min="15503" max="15503" width="10.140625" bestFit="1" customWidth="1"/>
    <col min="15504" max="15504" width="11.5703125" bestFit="1" customWidth="1"/>
    <col min="15505" max="15505" width="16.140625" customWidth="1"/>
    <col min="15506" max="15506" width="13.42578125" customWidth="1"/>
    <col min="15507" max="15507" width="10.140625" bestFit="1" customWidth="1"/>
    <col min="15508" max="15508" width="12.85546875" bestFit="1" customWidth="1"/>
    <col min="15509" max="15509" width="12.28515625" bestFit="1" customWidth="1"/>
    <col min="15510" max="15510" width="11.28515625" bestFit="1" customWidth="1"/>
    <col min="15511" max="15511" width="11.5703125" bestFit="1" customWidth="1"/>
    <col min="15512" max="15512" width="10.85546875" bestFit="1" customWidth="1"/>
    <col min="15513" max="15513" width="11.28515625" bestFit="1" customWidth="1"/>
    <col min="15514" max="15514" width="10.140625" bestFit="1" customWidth="1"/>
    <col min="15515" max="15515" width="13.28515625" bestFit="1" customWidth="1"/>
    <col min="15516" max="15517" width="12.7109375" bestFit="1" customWidth="1"/>
    <col min="15518" max="15518" width="11" bestFit="1" customWidth="1"/>
    <col min="15519" max="15519" width="11.28515625" bestFit="1" customWidth="1"/>
    <col min="15520" max="15520" width="11.5703125" bestFit="1" customWidth="1"/>
    <col min="15521" max="15521" width="12.28515625" bestFit="1" customWidth="1"/>
    <col min="15522" max="15522" width="15.140625" bestFit="1" customWidth="1"/>
    <col min="15523" max="15523" width="14.42578125" bestFit="1" customWidth="1"/>
    <col min="15524" max="15524" width="12.28515625" bestFit="1" customWidth="1"/>
    <col min="15525" max="15525" width="15.140625" bestFit="1" customWidth="1"/>
    <col min="15526" max="15526" width="14.42578125" bestFit="1" customWidth="1"/>
    <col min="15527" max="15527" width="12.28515625" bestFit="1" customWidth="1"/>
    <col min="15528" max="15528" width="14.42578125" bestFit="1" customWidth="1"/>
    <col min="15529" max="15529" width="11.28515625" bestFit="1" customWidth="1"/>
    <col min="15530" max="15530" width="12.28515625" bestFit="1" customWidth="1"/>
    <col min="15531" max="15531" width="13" bestFit="1" customWidth="1"/>
    <col min="15532" max="15532" width="15.140625" bestFit="1" customWidth="1"/>
    <col min="15533" max="15533" width="12.28515625" bestFit="1" customWidth="1"/>
    <col min="15534" max="15534" width="13.85546875" bestFit="1" customWidth="1"/>
    <col min="15535" max="15535" width="11.28515625" bestFit="1" customWidth="1"/>
    <col min="15536" max="15536" width="12.28515625" bestFit="1" customWidth="1"/>
    <col min="15537" max="15537" width="13.85546875" bestFit="1" customWidth="1"/>
    <col min="15538" max="15539" width="15.140625" bestFit="1" customWidth="1"/>
    <col min="15540" max="15540" width="12.28515625" bestFit="1" customWidth="1"/>
    <col min="15541" max="15541" width="5.7109375" bestFit="1" customWidth="1"/>
    <col min="15542" max="15542" width="8.5703125" bestFit="1" customWidth="1"/>
    <col min="15543" max="15543" width="5.5703125" bestFit="1" customWidth="1"/>
    <col min="15544" max="15544" width="14.42578125" bestFit="1" customWidth="1"/>
    <col min="15545" max="15545" width="11.28515625" bestFit="1" customWidth="1"/>
    <col min="15546" max="15547" width="12.28515625" bestFit="1" customWidth="1"/>
    <col min="15548" max="15548" width="11.28515625" bestFit="1" customWidth="1"/>
    <col min="15549" max="15549" width="13.85546875" bestFit="1" customWidth="1"/>
    <col min="15550" max="15550" width="12" bestFit="1" customWidth="1"/>
    <col min="15551" max="15551" width="13.85546875" bestFit="1" customWidth="1"/>
    <col min="15552" max="15553" width="14.42578125" customWidth="1"/>
    <col min="15554" max="15554" width="10.140625" bestFit="1" customWidth="1"/>
    <col min="15555" max="15555" width="12.28515625" bestFit="1" customWidth="1"/>
    <col min="15556" max="15556" width="7.42578125" bestFit="1" customWidth="1"/>
    <col min="15557" max="15557" width="8.5703125" bestFit="1" customWidth="1"/>
    <col min="15558" max="15558" width="11.5703125" bestFit="1" customWidth="1"/>
    <col min="15559" max="15559" width="13.28515625" bestFit="1" customWidth="1"/>
    <col min="15560" max="15560" width="13.28515625" customWidth="1"/>
    <col min="15561" max="15561" width="13.140625" customWidth="1"/>
    <col min="15562" max="15562" width="12.7109375" bestFit="1" customWidth="1"/>
    <col min="15563" max="15563" width="13.28515625" bestFit="1" customWidth="1"/>
    <col min="15564" max="15566" width="13.28515625" customWidth="1"/>
    <col min="15567" max="15567" width="12.140625" bestFit="1" customWidth="1"/>
    <col min="15568" max="15568" width="12.7109375" bestFit="1" customWidth="1"/>
    <col min="15569" max="15569" width="11" customWidth="1"/>
    <col min="15570" max="15570" width="16.7109375" customWidth="1"/>
    <col min="15571" max="15571" width="17" customWidth="1"/>
    <col min="15572" max="15572" width="10.42578125" bestFit="1" customWidth="1"/>
    <col min="15616" max="15616" width="3.85546875" customWidth="1"/>
    <col min="15617" max="15617" width="15.28515625" bestFit="1" customWidth="1"/>
    <col min="15618" max="15618" width="12.28515625" customWidth="1"/>
    <col min="15619" max="15619" width="16.28515625" bestFit="1" customWidth="1"/>
    <col min="15620" max="15620" width="6.42578125" bestFit="1" customWidth="1"/>
    <col min="15621" max="15621" width="9.28515625" bestFit="1" customWidth="1"/>
    <col min="15622" max="15622" width="7.5703125" bestFit="1" customWidth="1"/>
    <col min="15623" max="15623" width="13.28515625" bestFit="1" customWidth="1"/>
    <col min="15624" max="15624" width="9.28515625" bestFit="1" customWidth="1"/>
    <col min="15625" max="15625" width="11.5703125" bestFit="1" customWidth="1"/>
    <col min="15626" max="15626" width="13.28515625" bestFit="1" customWidth="1"/>
    <col min="15627" max="15627" width="7.140625" bestFit="1" customWidth="1"/>
    <col min="15628" max="15628" width="12" bestFit="1" customWidth="1"/>
    <col min="15629" max="15629" width="13.28515625" bestFit="1" customWidth="1"/>
    <col min="15630" max="15630" width="7" bestFit="1" customWidth="1"/>
    <col min="15631" max="15631" width="12.7109375" bestFit="1" customWidth="1"/>
    <col min="15632" max="15632" width="11.5703125" bestFit="1" customWidth="1"/>
    <col min="15633" max="15633" width="10.5703125" bestFit="1" customWidth="1"/>
    <col min="15634" max="15635" width="15.7109375" bestFit="1" customWidth="1"/>
    <col min="15636" max="15636" width="11.5703125" bestFit="1" customWidth="1"/>
    <col min="15637" max="15637" width="7.7109375" bestFit="1" customWidth="1"/>
    <col min="15638" max="15638" width="15.140625" bestFit="1" customWidth="1"/>
    <col min="15639" max="15639" width="11.5703125" bestFit="1" customWidth="1"/>
    <col min="15640" max="15640" width="13.28515625" bestFit="1" customWidth="1"/>
    <col min="15641" max="15641" width="10.42578125" bestFit="1" customWidth="1"/>
    <col min="15642" max="15642" width="13.28515625" bestFit="1" customWidth="1"/>
    <col min="15643" max="15643" width="12.140625" bestFit="1" customWidth="1"/>
    <col min="15644" max="15644" width="14.42578125" bestFit="1" customWidth="1"/>
    <col min="15645" max="15645" width="13.28515625" bestFit="1" customWidth="1"/>
    <col min="15646" max="15646" width="11.5703125" bestFit="1" customWidth="1"/>
    <col min="15647" max="15647" width="7.7109375" bestFit="1" customWidth="1"/>
    <col min="15648" max="15649" width="14.42578125" bestFit="1" customWidth="1"/>
    <col min="15650" max="15650" width="11.5703125" bestFit="1" customWidth="1"/>
    <col min="15651" max="15651" width="7.7109375" bestFit="1" customWidth="1"/>
    <col min="15652" max="15652" width="13.5703125" customWidth="1"/>
    <col min="15653" max="15653" width="15.28515625" customWidth="1"/>
    <col min="15654" max="15654" width="14.5703125" customWidth="1"/>
    <col min="15655" max="15655" width="13.28515625" bestFit="1" customWidth="1"/>
    <col min="15656" max="15656" width="7.7109375" bestFit="1" customWidth="1"/>
    <col min="15657" max="15657" width="12.7109375" bestFit="1" customWidth="1"/>
    <col min="15658" max="15658" width="11.7109375" bestFit="1" customWidth="1"/>
    <col min="15659" max="15659" width="11.5703125" bestFit="1" customWidth="1"/>
    <col min="15660" max="15660" width="5.28515625" bestFit="1" customWidth="1"/>
    <col min="15661" max="15661" width="13.28515625" bestFit="1" customWidth="1"/>
    <col min="15662" max="15662" width="13.5703125" bestFit="1" customWidth="1"/>
    <col min="15663" max="15663" width="10.5703125" bestFit="1" customWidth="1"/>
    <col min="15664" max="15664" width="13.28515625" bestFit="1" customWidth="1"/>
    <col min="15665" max="15665" width="11.5703125" bestFit="1" customWidth="1"/>
    <col min="15666" max="15666" width="10.5703125" bestFit="1" customWidth="1"/>
    <col min="15667" max="15667" width="16.140625" bestFit="1" customWidth="1"/>
    <col min="15668" max="15669" width="11.28515625" bestFit="1" customWidth="1"/>
    <col min="15670" max="15670" width="13.28515625" bestFit="1" customWidth="1"/>
    <col min="15671" max="15671" width="7.7109375" bestFit="1" customWidth="1"/>
    <col min="15672" max="15675" width="9.140625" hidden="1" customWidth="1"/>
    <col min="15676" max="15676" width="10.42578125" bestFit="1" customWidth="1"/>
    <col min="15677" max="15677" width="10.5703125" bestFit="1" customWidth="1"/>
    <col min="15678" max="15678" width="10.42578125" bestFit="1" customWidth="1"/>
    <col min="15679" max="15679" width="10.5703125" bestFit="1" customWidth="1"/>
    <col min="15680" max="15680" width="9.5703125" bestFit="1" customWidth="1"/>
    <col min="15681" max="15681" width="11.5703125" bestFit="1" customWidth="1"/>
    <col min="15682" max="15682" width="10.42578125" bestFit="1" customWidth="1"/>
    <col min="15683" max="15683" width="10.85546875" customWidth="1"/>
    <col min="15684" max="15685" width="9.85546875" bestFit="1" customWidth="1"/>
    <col min="15686" max="15686" width="13.5703125" bestFit="1" customWidth="1"/>
    <col min="15687" max="15687" width="7.7109375" bestFit="1" customWidth="1"/>
    <col min="15688" max="15688" width="13.28515625" bestFit="1" customWidth="1"/>
    <col min="15689" max="15689" width="11.5703125" bestFit="1" customWidth="1"/>
    <col min="15690" max="15690" width="10.42578125" bestFit="1" customWidth="1"/>
    <col min="15691" max="15691" width="7.7109375" bestFit="1" customWidth="1"/>
    <col min="15692" max="15692" width="11.5703125" bestFit="1" customWidth="1"/>
    <col min="15693" max="15693" width="10.85546875" bestFit="1" customWidth="1"/>
    <col min="15694" max="15694" width="13.28515625" bestFit="1" customWidth="1"/>
    <col min="15695" max="15695" width="10.85546875" bestFit="1" customWidth="1"/>
    <col min="15696" max="15697" width="7.5703125" bestFit="1" customWidth="1"/>
    <col min="15698" max="15699" width="10.42578125" bestFit="1" customWidth="1"/>
    <col min="15700" max="15700" width="11.5703125" bestFit="1" customWidth="1"/>
    <col min="15701" max="15701" width="5.28515625" bestFit="1" customWidth="1"/>
    <col min="15702" max="15702" width="10.28515625" bestFit="1" customWidth="1"/>
    <col min="15703" max="15703" width="10.42578125" bestFit="1" customWidth="1"/>
    <col min="15704" max="15704" width="11.5703125" bestFit="1" customWidth="1"/>
    <col min="15705" max="15705" width="5.28515625" bestFit="1" customWidth="1"/>
    <col min="15706" max="15708" width="11.5703125" bestFit="1" customWidth="1"/>
    <col min="15709" max="15709" width="5.28515625" bestFit="1" customWidth="1"/>
    <col min="15710" max="15711" width="10.42578125" bestFit="1" customWidth="1"/>
    <col min="15712" max="15712" width="11.5703125" bestFit="1" customWidth="1"/>
    <col min="15713" max="15713" width="5.28515625" bestFit="1" customWidth="1"/>
    <col min="15714" max="15714" width="14.28515625" bestFit="1" customWidth="1"/>
    <col min="15715" max="15715" width="13" bestFit="1" customWidth="1"/>
    <col min="15716" max="15716" width="11.5703125" bestFit="1" customWidth="1"/>
    <col min="15717" max="15717" width="8.85546875" bestFit="1" customWidth="1"/>
    <col min="15718" max="15718" width="14.42578125" bestFit="1" customWidth="1"/>
    <col min="15719" max="15719" width="10.42578125" bestFit="1" customWidth="1"/>
    <col min="15720" max="15720" width="12.28515625" bestFit="1" customWidth="1"/>
    <col min="15721" max="15721" width="13.85546875" bestFit="1" customWidth="1"/>
    <col min="15722" max="15722" width="11.28515625" customWidth="1"/>
    <col min="15723" max="15723" width="11.5703125" customWidth="1"/>
    <col min="15724" max="15724" width="13.42578125" bestFit="1" customWidth="1"/>
    <col min="15725" max="15725" width="10.42578125" customWidth="1"/>
    <col min="15726" max="15726" width="13.85546875" bestFit="1" customWidth="1"/>
    <col min="15727" max="15727" width="15.42578125" bestFit="1" customWidth="1"/>
    <col min="15728" max="15728" width="12.28515625" bestFit="1" customWidth="1"/>
    <col min="15729" max="15729" width="12.7109375" customWidth="1"/>
    <col min="15730" max="15730" width="10.7109375" bestFit="1" customWidth="1"/>
    <col min="15731" max="15731" width="9.85546875" customWidth="1"/>
    <col min="15732" max="15733" width="10.140625" bestFit="1" customWidth="1"/>
    <col min="15734" max="15734" width="7.5703125" bestFit="1" customWidth="1"/>
    <col min="15735" max="15735" width="9.42578125" bestFit="1" customWidth="1"/>
    <col min="15736" max="15736" width="14.5703125" bestFit="1" customWidth="1"/>
    <col min="15737" max="15737" width="14.85546875" customWidth="1"/>
    <col min="15738" max="15738" width="15.140625" bestFit="1" customWidth="1"/>
    <col min="15739" max="15739" width="12.140625" bestFit="1" customWidth="1"/>
    <col min="15740" max="15740" width="14.85546875" bestFit="1" customWidth="1"/>
    <col min="15741" max="15741" width="12.28515625" bestFit="1" customWidth="1"/>
    <col min="15742" max="15750" width="9.140625" hidden="1" customWidth="1"/>
    <col min="15751" max="15751" width="5.28515625" bestFit="1" customWidth="1"/>
    <col min="15752" max="15757" width="11.5703125" bestFit="1" customWidth="1"/>
    <col min="15758" max="15758" width="11.28515625" bestFit="1" customWidth="1"/>
    <col min="15759" max="15759" width="10.140625" bestFit="1" customWidth="1"/>
    <col min="15760" max="15760" width="11.5703125" bestFit="1" customWidth="1"/>
    <col min="15761" max="15761" width="16.140625" customWidth="1"/>
    <col min="15762" max="15762" width="13.42578125" customWidth="1"/>
    <col min="15763" max="15763" width="10.140625" bestFit="1" customWidth="1"/>
    <col min="15764" max="15764" width="12.85546875" bestFit="1" customWidth="1"/>
    <col min="15765" max="15765" width="12.28515625" bestFit="1" customWidth="1"/>
    <col min="15766" max="15766" width="11.28515625" bestFit="1" customWidth="1"/>
    <col min="15767" max="15767" width="11.5703125" bestFit="1" customWidth="1"/>
    <col min="15768" max="15768" width="10.85546875" bestFit="1" customWidth="1"/>
    <col min="15769" max="15769" width="11.28515625" bestFit="1" customWidth="1"/>
    <col min="15770" max="15770" width="10.140625" bestFit="1" customWidth="1"/>
    <col min="15771" max="15771" width="13.28515625" bestFit="1" customWidth="1"/>
    <col min="15772" max="15773" width="12.7109375" bestFit="1" customWidth="1"/>
    <col min="15774" max="15774" width="11" bestFit="1" customWidth="1"/>
    <col min="15775" max="15775" width="11.28515625" bestFit="1" customWidth="1"/>
    <col min="15776" max="15776" width="11.5703125" bestFit="1" customWidth="1"/>
    <col min="15777" max="15777" width="12.28515625" bestFit="1" customWidth="1"/>
    <col min="15778" max="15778" width="15.140625" bestFit="1" customWidth="1"/>
    <col min="15779" max="15779" width="14.42578125" bestFit="1" customWidth="1"/>
    <col min="15780" max="15780" width="12.28515625" bestFit="1" customWidth="1"/>
    <col min="15781" max="15781" width="15.140625" bestFit="1" customWidth="1"/>
    <col min="15782" max="15782" width="14.42578125" bestFit="1" customWidth="1"/>
    <col min="15783" max="15783" width="12.28515625" bestFit="1" customWidth="1"/>
    <col min="15784" max="15784" width="14.42578125" bestFit="1" customWidth="1"/>
    <col min="15785" max="15785" width="11.28515625" bestFit="1" customWidth="1"/>
    <col min="15786" max="15786" width="12.28515625" bestFit="1" customWidth="1"/>
    <col min="15787" max="15787" width="13" bestFit="1" customWidth="1"/>
    <col min="15788" max="15788" width="15.140625" bestFit="1" customWidth="1"/>
    <col min="15789" max="15789" width="12.28515625" bestFit="1" customWidth="1"/>
    <col min="15790" max="15790" width="13.85546875" bestFit="1" customWidth="1"/>
    <col min="15791" max="15791" width="11.28515625" bestFit="1" customWidth="1"/>
    <col min="15792" max="15792" width="12.28515625" bestFit="1" customWidth="1"/>
    <col min="15793" max="15793" width="13.85546875" bestFit="1" customWidth="1"/>
    <col min="15794" max="15795" width="15.140625" bestFit="1" customWidth="1"/>
    <col min="15796" max="15796" width="12.28515625" bestFit="1" customWidth="1"/>
    <col min="15797" max="15797" width="5.7109375" bestFit="1" customWidth="1"/>
    <col min="15798" max="15798" width="8.5703125" bestFit="1" customWidth="1"/>
    <col min="15799" max="15799" width="5.5703125" bestFit="1" customWidth="1"/>
    <col min="15800" max="15800" width="14.42578125" bestFit="1" customWidth="1"/>
    <col min="15801" max="15801" width="11.28515625" bestFit="1" customWidth="1"/>
    <col min="15802" max="15803" width="12.28515625" bestFit="1" customWidth="1"/>
    <col min="15804" max="15804" width="11.28515625" bestFit="1" customWidth="1"/>
    <col min="15805" max="15805" width="13.85546875" bestFit="1" customWidth="1"/>
    <col min="15806" max="15806" width="12" bestFit="1" customWidth="1"/>
    <col min="15807" max="15807" width="13.85546875" bestFit="1" customWidth="1"/>
    <col min="15808" max="15809" width="14.42578125" customWidth="1"/>
    <col min="15810" max="15810" width="10.140625" bestFit="1" customWidth="1"/>
    <col min="15811" max="15811" width="12.28515625" bestFit="1" customWidth="1"/>
    <col min="15812" max="15812" width="7.42578125" bestFit="1" customWidth="1"/>
    <col min="15813" max="15813" width="8.5703125" bestFit="1" customWidth="1"/>
    <col min="15814" max="15814" width="11.5703125" bestFit="1" customWidth="1"/>
    <col min="15815" max="15815" width="13.28515625" bestFit="1" customWidth="1"/>
    <col min="15816" max="15816" width="13.28515625" customWidth="1"/>
    <col min="15817" max="15817" width="13.140625" customWidth="1"/>
    <col min="15818" max="15818" width="12.7109375" bestFit="1" customWidth="1"/>
    <col min="15819" max="15819" width="13.28515625" bestFit="1" customWidth="1"/>
    <col min="15820" max="15822" width="13.28515625" customWidth="1"/>
    <col min="15823" max="15823" width="12.140625" bestFit="1" customWidth="1"/>
    <col min="15824" max="15824" width="12.7109375" bestFit="1" customWidth="1"/>
    <col min="15825" max="15825" width="11" customWidth="1"/>
    <col min="15826" max="15826" width="16.7109375" customWidth="1"/>
    <col min="15827" max="15827" width="17" customWidth="1"/>
    <col min="15828" max="15828" width="10.42578125" bestFit="1" customWidth="1"/>
    <col min="15872" max="15872" width="3.85546875" customWidth="1"/>
    <col min="15873" max="15873" width="15.28515625" bestFit="1" customWidth="1"/>
    <col min="15874" max="15874" width="12.28515625" customWidth="1"/>
    <col min="15875" max="15875" width="16.28515625" bestFit="1" customWidth="1"/>
    <col min="15876" max="15876" width="6.42578125" bestFit="1" customWidth="1"/>
    <col min="15877" max="15877" width="9.28515625" bestFit="1" customWidth="1"/>
    <col min="15878" max="15878" width="7.5703125" bestFit="1" customWidth="1"/>
    <col min="15879" max="15879" width="13.28515625" bestFit="1" customWidth="1"/>
    <col min="15880" max="15880" width="9.28515625" bestFit="1" customWidth="1"/>
    <col min="15881" max="15881" width="11.5703125" bestFit="1" customWidth="1"/>
    <col min="15882" max="15882" width="13.28515625" bestFit="1" customWidth="1"/>
    <col min="15883" max="15883" width="7.140625" bestFit="1" customWidth="1"/>
    <col min="15884" max="15884" width="12" bestFit="1" customWidth="1"/>
    <col min="15885" max="15885" width="13.28515625" bestFit="1" customWidth="1"/>
    <col min="15886" max="15886" width="7" bestFit="1" customWidth="1"/>
    <col min="15887" max="15887" width="12.7109375" bestFit="1" customWidth="1"/>
    <col min="15888" max="15888" width="11.5703125" bestFit="1" customWidth="1"/>
    <col min="15889" max="15889" width="10.5703125" bestFit="1" customWidth="1"/>
    <col min="15890" max="15891" width="15.7109375" bestFit="1" customWidth="1"/>
    <col min="15892" max="15892" width="11.5703125" bestFit="1" customWidth="1"/>
    <col min="15893" max="15893" width="7.7109375" bestFit="1" customWidth="1"/>
    <col min="15894" max="15894" width="15.140625" bestFit="1" customWidth="1"/>
    <col min="15895" max="15895" width="11.5703125" bestFit="1" customWidth="1"/>
    <col min="15896" max="15896" width="13.28515625" bestFit="1" customWidth="1"/>
    <col min="15897" max="15897" width="10.42578125" bestFit="1" customWidth="1"/>
    <col min="15898" max="15898" width="13.28515625" bestFit="1" customWidth="1"/>
    <col min="15899" max="15899" width="12.140625" bestFit="1" customWidth="1"/>
    <col min="15900" max="15900" width="14.42578125" bestFit="1" customWidth="1"/>
    <col min="15901" max="15901" width="13.28515625" bestFit="1" customWidth="1"/>
    <col min="15902" max="15902" width="11.5703125" bestFit="1" customWidth="1"/>
    <col min="15903" max="15903" width="7.7109375" bestFit="1" customWidth="1"/>
    <col min="15904" max="15905" width="14.42578125" bestFit="1" customWidth="1"/>
    <col min="15906" max="15906" width="11.5703125" bestFit="1" customWidth="1"/>
    <col min="15907" max="15907" width="7.7109375" bestFit="1" customWidth="1"/>
    <col min="15908" max="15908" width="13.5703125" customWidth="1"/>
    <col min="15909" max="15909" width="15.28515625" customWidth="1"/>
    <col min="15910" max="15910" width="14.5703125" customWidth="1"/>
    <col min="15911" max="15911" width="13.28515625" bestFit="1" customWidth="1"/>
    <col min="15912" max="15912" width="7.7109375" bestFit="1" customWidth="1"/>
    <col min="15913" max="15913" width="12.7109375" bestFit="1" customWidth="1"/>
    <col min="15914" max="15914" width="11.7109375" bestFit="1" customWidth="1"/>
    <col min="15915" max="15915" width="11.5703125" bestFit="1" customWidth="1"/>
    <col min="15916" max="15916" width="5.28515625" bestFit="1" customWidth="1"/>
    <col min="15917" max="15917" width="13.28515625" bestFit="1" customWidth="1"/>
    <col min="15918" max="15918" width="13.5703125" bestFit="1" customWidth="1"/>
    <col min="15919" max="15919" width="10.5703125" bestFit="1" customWidth="1"/>
    <col min="15920" max="15920" width="13.28515625" bestFit="1" customWidth="1"/>
    <col min="15921" max="15921" width="11.5703125" bestFit="1" customWidth="1"/>
    <col min="15922" max="15922" width="10.5703125" bestFit="1" customWidth="1"/>
    <col min="15923" max="15923" width="16.140625" bestFit="1" customWidth="1"/>
    <col min="15924" max="15925" width="11.28515625" bestFit="1" customWidth="1"/>
    <col min="15926" max="15926" width="13.28515625" bestFit="1" customWidth="1"/>
    <col min="15927" max="15927" width="7.7109375" bestFit="1" customWidth="1"/>
    <col min="15928" max="15931" width="9.140625" hidden="1" customWidth="1"/>
    <col min="15932" max="15932" width="10.42578125" bestFit="1" customWidth="1"/>
    <col min="15933" max="15933" width="10.5703125" bestFit="1" customWidth="1"/>
    <col min="15934" max="15934" width="10.42578125" bestFit="1" customWidth="1"/>
    <col min="15935" max="15935" width="10.5703125" bestFit="1" customWidth="1"/>
    <col min="15936" max="15936" width="9.5703125" bestFit="1" customWidth="1"/>
    <col min="15937" max="15937" width="11.5703125" bestFit="1" customWidth="1"/>
    <col min="15938" max="15938" width="10.42578125" bestFit="1" customWidth="1"/>
    <col min="15939" max="15939" width="10.85546875" customWidth="1"/>
    <col min="15940" max="15941" width="9.85546875" bestFit="1" customWidth="1"/>
    <col min="15942" max="15942" width="13.5703125" bestFit="1" customWidth="1"/>
    <col min="15943" max="15943" width="7.7109375" bestFit="1" customWidth="1"/>
    <col min="15944" max="15944" width="13.28515625" bestFit="1" customWidth="1"/>
    <col min="15945" max="15945" width="11.5703125" bestFit="1" customWidth="1"/>
    <col min="15946" max="15946" width="10.42578125" bestFit="1" customWidth="1"/>
    <col min="15947" max="15947" width="7.7109375" bestFit="1" customWidth="1"/>
    <col min="15948" max="15948" width="11.5703125" bestFit="1" customWidth="1"/>
    <col min="15949" max="15949" width="10.85546875" bestFit="1" customWidth="1"/>
    <col min="15950" max="15950" width="13.28515625" bestFit="1" customWidth="1"/>
    <col min="15951" max="15951" width="10.85546875" bestFit="1" customWidth="1"/>
    <col min="15952" max="15953" width="7.5703125" bestFit="1" customWidth="1"/>
    <col min="15954" max="15955" width="10.42578125" bestFit="1" customWidth="1"/>
    <col min="15956" max="15956" width="11.5703125" bestFit="1" customWidth="1"/>
    <col min="15957" max="15957" width="5.28515625" bestFit="1" customWidth="1"/>
    <col min="15958" max="15958" width="10.28515625" bestFit="1" customWidth="1"/>
    <col min="15959" max="15959" width="10.42578125" bestFit="1" customWidth="1"/>
    <col min="15960" max="15960" width="11.5703125" bestFit="1" customWidth="1"/>
    <col min="15961" max="15961" width="5.28515625" bestFit="1" customWidth="1"/>
    <col min="15962" max="15964" width="11.5703125" bestFit="1" customWidth="1"/>
    <col min="15965" max="15965" width="5.28515625" bestFit="1" customWidth="1"/>
    <col min="15966" max="15967" width="10.42578125" bestFit="1" customWidth="1"/>
    <col min="15968" max="15968" width="11.5703125" bestFit="1" customWidth="1"/>
    <col min="15969" max="15969" width="5.28515625" bestFit="1" customWidth="1"/>
    <col min="15970" max="15970" width="14.28515625" bestFit="1" customWidth="1"/>
    <col min="15971" max="15971" width="13" bestFit="1" customWidth="1"/>
    <col min="15972" max="15972" width="11.5703125" bestFit="1" customWidth="1"/>
    <col min="15973" max="15973" width="8.85546875" bestFit="1" customWidth="1"/>
    <col min="15974" max="15974" width="14.42578125" bestFit="1" customWidth="1"/>
    <col min="15975" max="15975" width="10.42578125" bestFit="1" customWidth="1"/>
    <col min="15976" max="15976" width="12.28515625" bestFit="1" customWidth="1"/>
    <col min="15977" max="15977" width="13.85546875" bestFit="1" customWidth="1"/>
    <col min="15978" max="15978" width="11.28515625" customWidth="1"/>
    <col min="15979" max="15979" width="11.5703125" customWidth="1"/>
    <col min="15980" max="15980" width="13.42578125" bestFit="1" customWidth="1"/>
    <col min="15981" max="15981" width="10.42578125" customWidth="1"/>
    <col min="15982" max="15982" width="13.85546875" bestFit="1" customWidth="1"/>
    <col min="15983" max="15983" width="15.42578125" bestFit="1" customWidth="1"/>
    <col min="15984" max="15984" width="12.28515625" bestFit="1" customWidth="1"/>
    <col min="15985" max="15985" width="12.7109375" customWidth="1"/>
    <col min="15986" max="15986" width="10.7109375" bestFit="1" customWidth="1"/>
    <col min="15987" max="15987" width="9.85546875" customWidth="1"/>
    <col min="15988" max="15989" width="10.140625" bestFit="1" customWidth="1"/>
    <col min="15990" max="15990" width="7.5703125" bestFit="1" customWidth="1"/>
    <col min="15991" max="15991" width="9.42578125" bestFit="1" customWidth="1"/>
    <col min="15992" max="15992" width="14.5703125" bestFit="1" customWidth="1"/>
    <col min="15993" max="15993" width="14.85546875" customWidth="1"/>
    <col min="15994" max="15994" width="15.140625" bestFit="1" customWidth="1"/>
    <col min="15995" max="15995" width="12.140625" bestFit="1" customWidth="1"/>
    <col min="15996" max="15996" width="14.85546875" bestFit="1" customWidth="1"/>
    <col min="15997" max="15997" width="12.28515625" bestFit="1" customWidth="1"/>
    <col min="15998" max="16006" width="9.140625" hidden="1" customWidth="1"/>
    <col min="16007" max="16007" width="5.28515625" bestFit="1" customWidth="1"/>
    <col min="16008" max="16013" width="11.5703125" bestFit="1" customWidth="1"/>
    <col min="16014" max="16014" width="11.28515625" bestFit="1" customWidth="1"/>
    <col min="16015" max="16015" width="10.140625" bestFit="1" customWidth="1"/>
    <col min="16016" max="16016" width="11.5703125" bestFit="1" customWidth="1"/>
    <col min="16017" max="16017" width="16.140625" customWidth="1"/>
    <col min="16018" max="16018" width="13.42578125" customWidth="1"/>
    <col min="16019" max="16019" width="10.140625" bestFit="1" customWidth="1"/>
    <col min="16020" max="16020" width="12.85546875" bestFit="1" customWidth="1"/>
    <col min="16021" max="16021" width="12.28515625" bestFit="1" customWidth="1"/>
    <col min="16022" max="16022" width="11.28515625" bestFit="1" customWidth="1"/>
    <col min="16023" max="16023" width="11.5703125" bestFit="1" customWidth="1"/>
    <col min="16024" max="16024" width="10.85546875" bestFit="1" customWidth="1"/>
    <col min="16025" max="16025" width="11.28515625" bestFit="1" customWidth="1"/>
    <col min="16026" max="16026" width="10.140625" bestFit="1" customWidth="1"/>
    <col min="16027" max="16027" width="13.28515625" bestFit="1" customWidth="1"/>
    <col min="16028" max="16029" width="12.7109375" bestFit="1" customWidth="1"/>
    <col min="16030" max="16030" width="11" bestFit="1" customWidth="1"/>
    <col min="16031" max="16031" width="11.28515625" bestFit="1" customWidth="1"/>
    <col min="16032" max="16032" width="11.5703125" bestFit="1" customWidth="1"/>
    <col min="16033" max="16033" width="12.28515625" bestFit="1" customWidth="1"/>
    <col min="16034" max="16034" width="15.140625" bestFit="1" customWidth="1"/>
    <col min="16035" max="16035" width="14.42578125" bestFit="1" customWidth="1"/>
    <col min="16036" max="16036" width="12.28515625" bestFit="1" customWidth="1"/>
    <col min="16037" max="16037" width="15.140625" bestFit="1" customWidth="1"/>
    <col min="16038" max="16038" width="14.42578125" bestFit="1" customWidth="1"/>
    <col min="16039" max="16039" width="12.28515625" bestFit="1" customWidth="1"/>
    <col min="16040" max="16040" width="14.42578125" bestFit="1" customWidth="1"/>
    <col min="16041" max="16041" width="11.28515625" bestFit="1" customWidth="1"/>
    <col min="16042" max="16042" width="12.28515625" bestFit="1" customWidth="1"/>
    <col min="16043" max="16043" width="13" bestFit="1" customWidth="1"/>
    <col min="16044" max="16044" width="15.140625" bestFit="1" customWidth="1"/>
    <col min="16045" max="16045" width="12.28515625" bestFit="1" customWidth="1"/>
    <col min="16046" max="16046" width="13.85546875" bestFit="1" customWidth="1"/>
    <col min="16047" max="16047" width="11.28515625" bestFit="1" customWidth="1"/>
    <col min="16048" max="16048" width="12.28515625" bestFit="1" customWidth="1"/>
    <col min="16049" max="16049" width="13.85546875" bestFit="1" customWidth="1"/>
    <col min="16050" max="16051" width="15.140625" bestFit="1" customWidth="1"/>
    <col min="16052" max="16052" width="12.28515625" bestFit="1" customWidth="1"/>
    <col min="16053" max="16053" width="5.7109375" bestFit="1" customWidth="1"/>
    <col min="16054" max="16054" width="8.5703125" bestFit="1" customWidth="1"/>
    <col min="16055" max="16055" width="5.5703125" bestFit="1" customWidth="1"/>
    <col min="16056" max="16056" width="14.42578125" bestFit="1" customWidth="1"/>
    <col min="16057" max="16057" width="11.28515625" bestFit="1" customWidth="1"/>
    <col min="16058" max="16059" width="12.28515625" bestFit="1" customWidth="1"/>
    <col min="16060" max="16060" width="11.28515625" bestFit="1" customWidth="1"/>
    <col min="16061" max="16061" width="13.85546875" bestFit="1" customWidth="1"/>
    <col min="16062" max="16062" width="12" bestFit="1" customWidth="1"/>
    <col min="16063" max="16063" width="13.85546875" bestFit="1" customWidth="1"/>
    <col min="16064" max="16065" width="14.42578125" customWidth="1"/>
    <col min="16066" max="16066" width="10.140625" bestFit="1" customWidth="1"/>
    <col min="16067" max="16067" width="12.28515625" bestFit="1" customWidth="1"/>
    <col min="16068" max="16068" width="7.42578125" bestFit="1" customWidth="1"/>
    <col min="16069" max="16069" width="8.5703125" bestFit="1" customWidth="1"/>
    <col min="16070" max="16070" width="11.5703125" bestFit="1" customWidth="1"/>
    <col min="16071" max="16071" width="13.28515625" bestFit="1" customWidth="1"/>
    <col min="16072" max="16072" width="13.28515625" customWidth="1"/>
    <col min="16073" max="16073" width="13.140625" customWidth="1"/>
    <col min="16074" max="16074" width="12.7109375" bestFit="1" customWidth="1"/>
    <col min="16075" max="16075" width="13.28515625" bestFit="1" customWidth="1"/>
    <col min="16076" max="16078" width="13.28515625" customWidth="1"/>
    <col min="16079" max="16079" width="12.140625" bestFit="1" customWidth="1"/>
    <col min="16080" max="16080" width="12.7109375" bestFit="1" customWidth="1"/>
    <col min="16081" max="16081" width="11" customWidth="1"/>
    <col min="16082" max="16082" width="16.7109375" customWidth="1"/>
    <col min="16083" max="16083" width="17" customWidth="1"/>
    <col min="16084" max="16084" width="10.42578125" bestFit="1" customWidth="1"/>
    <col min="16128" max="16128" width="3.85546875" customWidth="1"/>
    <col min="16129" max="16129" width="15.28515625" bestFit="1" customWidth="1"/>
    <col min="16130" max="16130" width="12.28515625" customWidth="1"/>
    <col min="16131" max="16131" width="16.28515625" bestFit="1" customWidth="1"/>
    <col min="16132" max="16132" width="6.42578125" bestFit="1" customWidth="1"/>
    <col min="16133" max="16133" width="9.28515625" bestFit="1" customWidth="1"/>
    <col min="16134" max="16134" width="7.5703125" bestFit="1" customWidth="1"/>
    <col min="16135" max="16135" width="13.28515625" bestFit="1" customWidth="1"/>
    <col min="16136" max="16136" width="9.28515625" bestFit="1" customWidth="1"/>
    <col min="16137" max="16137" width="11.5703125" bestFit="1" customWidth="1"/>
    <col min="16138" max="16138" width="13.28515625" bestFit="1" customWidth="1"/>
    <col min="16139" max="16139" width="7.140625" bestFit="1" customWidth="1"/>
    <col min="16140" max="16140" width="12" bestFit="1" customWidth="1"/>
    <col min="16141" max="16141" width="13.28515625" bestFit="1" customWidth="1"/>
    <col min="16142" max="16142" width="7" bestFit="1" customWidth="1"/>
    <col min="16143" max="16143" width="12.7109375" bestFit="1" customWidth="1"/>
    <col min="16144" max="16144" width="11.5703125" bestFit="1" customWidth="1"/>
    <col min="16145" max="16145" width="10.5703125" bestFit="1" customWidth="1"/>
    <col min="16146" max="16147" width="15.7109375" bestFit="1" customWidth="1"/>
    <col min="16148" max="16148" width="11.5703125" bestFit="1" customWidth="1"/>
    <col min="16149" max="16149" width="7.7109375" bestFit="1" customWidth="1"/>
    <col min="16150" max="16150" width="15.140625" bestFit="1" customWidth="1"/>
    <col min="16151" max="16151" width="11.5703125" bestFit="1" customWidth="1"/>
    <col min="16152" max="16152" width="13.28515625" bestFit="1" customWidth="1"/>
    <col min="16153" max="16153" width="10.42578125" bestFit="1" customWidth="1"/>
    <col min="16154" max="16154" width="13.28515625" bestFit="1" customWidth="1"/>
    <col min="16155" max="16155" width="12.140625" bestFit="1" customWidth="1"/>
    <col min="16156" max="16156" width="14.42578125" bestFit="1" customWidth="1"/>
    <col min="16157" max="16157" width="13.28515625" bestFit="1" customWidth="1"/>
    <col min="16158" max="16158" width="11.5703125" bestFit="1" customWidth="1"/>
    <col min="16159" max="16159" width="7.7109375" bestFit="1" customWidth="1"/>
    <col min="16160" max="16161" width="14.42578125" bestFit="1" customWidth="1"/>
    <col min="16162" max="16162" width="11.5703125" bestFit="1" customWidth="1"/>
    <col min="16163" max="16163" width="7.7109375" bestFit="1" customWidth="1"/>
    <col min="16164" max="16164" width="13.5703125" customWidth="1"/>
    <col min="16165" max="16165" width="15.28515625" customWidth="1"/>
    <col min="16166" max="16166" width="14.5703125" customWidth="1"/>
    <col min="16167" max="16167" width="13.28515625" bestFit="1" customWidth="1"/>
    <col min="16168" max="16168" width="7.7109375" bestFit="1" customWidth="1"/>
    <col min="16169" max="16169" width="12.7109375" bestFit="1" customWidth="1"/>
    <col min="16170" max="16170" width="11.7109375" bestFit="1" customWidth="1"/>
    <col min="16171" max="16171" width="11.5703125" bestFit="1" customWidth="1"/>
    <col min="16172" max="16172" width="5.28515625" bestFit="1" customWidth="1"/>
    <col min="16173" max="16173" width="13.28515625" bestFit="1" customWidth="1"/>
    <col min="16174" max="16174" width="13.5703125" bestFit="1" customWidth="1"/>
    <col min="16175" max="16175" width="10.5703125" bestFit="1" customWidth="1"/>
    <col min="16176" max="16176" width="13.28515625" bestFit="1" customWidth="1"/>
    <col min="16177" max="16177" width="11.5703125" bestFit="1" customWidth="1"/>
    <col min="16178" max="16178" width="10.5703125" bestFit="1" customWidth="1"/>
    <col min="16179" max="16179" width="16.140625" bestFit="1" customWidth="1"/>
    <col min="16180" max="16181" width="11.28515625" bestFit="1" customWidth="1"/>
    <col min="16182" max="16182" width="13.28515625" bestFit="1" customWidth="1"/>
    <col min="16183" max="16183" width="7.7109375" bestFit="1" customWidth="1"/>
    <col min="16184" max="16187" width="9.140625" hidden="1" customWidth="1"/>
    <col min="16188" max="16188" width="10.42578125" bestFit="1" customWidth="1"/>
    <col min="16189" max="16189" width="10.5703125" bestFit="1" customWidth="1"/>
    <col min="16190" max="16190" width="10.42578125" bestFit="1" customWidth="1"/>
    <col min="16191" max="16191" width="10.5703125" bestFit="1" customWidth="1"/>
    <col min="16192" max="16192" width="9.5703125" bestFit="1" customWidth="1"/>
    <col min="16193" max="16193" width="11.5703125" bestFit="1" customWidth="1"/>
    <col min="16194" max="16194" width="10.42578125" bestFit="1" customWidth="1"/>
    <col min="16195" max="16195" width="10.85546875" customWidth="1"/>
    <col min="16196" max="16197" width="9.85546875" bestFit="1" customWidth="1"/>
    <col min="16198" max="16198" width="13.5703125" bestFit="1" customWidth="1"/>
    <col min="16199" max="16199" width="7.7109375" bestFit="1" customWidth="1"/>
    <col min="16200" max="16200" width="13.28515625" bestFit="1" customWidth="1"/>
    <col min="16201" max="16201" width="11.5703125" bestFit="1" customWidth="1"/>
    <col min="16202" max="16202" width="10.42578125" bestFit="1" customWidth="1"/>
    <col min="16203" max="16203" width="7.7109375" bestFit="1" customWidth="1"/>
    <col min="16204" max="16204" width="11.5703125" bestFit="1" customWidth="1"/>
    <col min="16205" max="16205" width="10.85546875" bestFit="1" customWidth="1"/>
    <col min="16206" max="16206" width="13.28515625" bestFit="1" customWidth="1"/>
    <col min="16207" max="16207" width="10.85546875" bestFit="1" customWidth="1"/>
    <col min="16208" max="16209" width="7.5703125" bestFit="1" customWidth="1"/>
    <col min="16210" max="16211" width="10.42578125" bestFit="1" customWidth="1"/>
    <col min="16212" max="16212" width="11.5703125" bestFit="1" customWidth="1"/>
    <col min="16213" max="16213" width="5.28515625" bestFit="1" customWidth="1"/>
    <col min="16214" max="16214" width="10.28515625" bestFit="1" customWidth="1"/>
    <col min="16215" max="16215" width="10.42578125" bestFit="1" customWidth="1"/>
    <col min="16216" max="16216" width="11.5703125" bestFit="1" customWidth="1"/>
    <col min="16217" max="16217" width="5.28515625" bestFit="1" customWidth="1"/>
    <col min="16218" max="16220" width="11.5703125" bestFit="1" customWidth="1"/>
    <col min="16221" max="16221" width="5.28515625" bestFit="1" customWidth="1"/>
    <col min="16222" max="16223" width="10.42578125" bestFit="1" customWidth="1"/>
    <col min="16224" max="16224" width="11.5703125" bestFit="1" customWidth="1"/>
    <col min="16225" max="16225" width="5.28515625" bestFit="1" customWidth="1"/>
    <col min="16226" max="16226" width="14.28515625" bestFit="1" customWidth="1"/>
    <col min="16227" max="16227" width="13" bestFit="1" customWidth="1"/>
    <col min="16228" max="16228" width="11.5703125" bestFit="1" customWidth="1"/>
    <col min="16229" max="16229" width="8.85546875" bestFit="1" customWidth="1"/>
    <col min="16230" max="16230" width="14.42578125" bestFit="1" customWidth="1"/>
    <col min="16231" max="16231" width="10.42578125" bestFit="1" customWidth="1"/>
    <col min="16232" max="16232" width="12.28515625" bestFit="1" customWidth="1"/>
    <col min="16233" max="16233" width="13.85546875" bestFit="1" customWidth="1"/>
    <col min="16234" max="16234" width="11.28515625" customWidth="1"/>
    <col min="16235" max="16235" width="11.5703125" customWidth="1"/>
    <col min="16236" max="16236" width="13.42578125" bestFit="1" customWidth="1"/>
    <col min="16237" max="16237" width="10.42578125" customWidth="1"/>
    <col min="16238" max="16238" width="13.85546875" bestFit="1" customWidth="1"/>
    <col min="16239" max="16239" width="15.42578125" bestFit="1" customWidth="1"/>
    <col min="16240" max="16240" width="12.28515625" bestFit="1" customWidth="1"/>
    <col min="16241" max="16241" width="12.7109375" customWidth="1"/>
    <col min="16242" max="16242" width="10.7109375" bestFit="1" customWidth="1"/>
    <col min="16243" max="16243" width="9.85546875" customWidth="1"/>
    <col min="16244" max="16245" width="10.140625" bestFit="1" customWidth="1"/>
    <col min="16246" max="16246" width="7.5703125" bestFit="1" customWidth="1"/>
    <col min="16247" max="16247" width="9.42578125" bestFit="1" customWidth="1"/>
    <col min="16248" max="16248" width="14.5703125" bestFit="1" customWidth="1"/>
    <col min="16249" max="16249" width="14.85546875" customWidth="1"/>
    <col min="16250" max="16250" width="15.140625" bestFit="1" customWidth="1"/>
    <col min="16251" max="16251" width="12.140625" bestFit="1" customWidth="1"/>
    <col min="16252" max="16252" width="14.85546875" bestFit="1" customWidth="1"/>
    <col min="16253" max="16253" width="12.28515625" bestFit="1" customWidth="1"/>
    <col min="16254" max="16262" width="9.140625" hidden="1" customWidth="1"/>
    <col min="16263" max="16263" width="5.28515625" bestFit="1" customWidth="1"/>
    <col min="16264" max="16269" width="11.5703125" bestFit="1" customWidth="1"/>
    <col min="16270" max="16270" width="11.28515625" bestFit="1" customWidth="1"/>
    <col min="16271" max="16271" width="10.140625" bestFit="1" customWidth="1"/>
    <col min="16272" max="16272" width="11.5703125" bestFit="1" customWidth="1"/>
    <col min="16273" max="16273" width="16.140625" customWidth="1"/>
    <col min="16274" max="16274" width="13.42578125" customWidth="1"/>
    <col min="16275" max="16275" width="10.140625" bestFit="1" customWidth="1"/>
    <col min="16276" max="16276" width="12.85546875" bestFit="1" customWidth="1"/>
    <col min="16277" max="16277" width="12.28515625" bestFit="1" customWidth="1"/>
    <col min="16278" max="16278" width="11.28515625" bestFit="1" customWidth="1"/>
    <col min="16279" max="16279" width="11.5703125" bestFit="1" customWidth="1"/>
    <col min="16280" max="16280" width="10.85546875" bestFit="1" customWidth="1"/>
    <col min="16281" max="16281" width="11.28515625" bestFit="1" customWidth="1"/>
    <col min="16282" max="16282" width="10.140625" bestFit="1" customWidth="1"/>
    <col min="16283" max="16283" width="13.28515625" bestFit="1" customWidth="1"/>
    <col min="16284" max="16285" width="12.7109375" bestFit="1" customWidth="1"/>
    <col min="16286" max="16286" width="11" bestFit="1" customWidth="1"/>
    <col min="16287" max="16287" width="11.28515625" bestFit="1" customWidth="1"/>
    <col min="16288" max="16288" width="11.5703125" bestFit="1" customWidth="1"/>
    <col min="16289" max="16289" width="12.28515625" bestFit="1" customWidth="1"/>
    <col min="16290" max="16290" width="15.140625" bestFit="1" customWidth="1"/>
    <col min="16291" max="16291" width="14.42578125" bestFit="1" customWidth="1"/>
    <col min="16292" max="16292" width="12.28515625" bestFit="1" customWidth="1"/>
    <col min="16293" max="16293" width="15.140625" bestFit="1" customWidth="1"/>
    <col min="16294" max="16294" width="14.42578125" bestFit="1" customWidth="1"/>
    <col min="16295" max="16295" width="12.28515625" bestFit="1" customWidth="1"/>
    <col min="16296" max="16296" width="14.42578125" bestFit="1" customWidth="1"/>
    <col min="16297" max="16297" width="11.28515625" bestFit="1" customWidth="1"/>
    <col min="16298" max="16298" width="12.28515625" bestFit="1" customWidth="1"/>
    <col min="16299" max="16299" width="13" bestFit="1" customWidth="1"/>
    <col min="16300" max="16300" width="15.140625" bestFit="1" customWidth="1"/>
    <col min="16301" max="16301" width="12.28515625" bestFit="1" customWidth="1"/>
    <col min="16302" max="16302" width="13.85546875" bestFit="1" customWidth="1"/>
    <col min="16303" max="16303" width="11.28515625" bestFit="1" customWidth="1"/>
    <col min="16304" max="16304" width="12.28515625" bestFit="1" customWidth="1"/>
    <col min="16305" max="16305" width="13.85546875" bestFit="1" customWidth="1"/>
    <col min="16306" max="16307" width="15.140625" bestFit="1" customWidth="1"/>
    <col min="16308" max="16308" width="12.28515625" bestFit="1" customWidth="1"/>
    <col min="16309" max="16309" width="5.7109375" bestFit="1" customWidth="1"/>
    <col min="16310" max="16310" width="8.5703125" bestFit="1" customWidth="1"/>
    <col min="16311" max="16311" width="5.5703125" bestFit="1" customWidth="1"/>
    <col min="16312" max="16312" width="14.42578125" bestFit="1" customWidth="1"/>
    <col min="16313" max="16313" width="11.28515625" bestFit="1" customWidth="1"/>
    <col min="16314" max="16315" width="12.28515625" bestFit="1" customWidth="1"/>
    <col min="16316" max="16316" width="11.28515625" bestFit="1" customWidth="1"/>
    <col min="16317" max="16317" width="13.85546875" bestFit="1" customWidth="1"/>
    <col min="16318" max="16318" width="12" bestFit="1" customWidth="1"/>
    <col min="16319" max="16319" width="13.85546875" bestFit="1" customWidth="1"/>
    <col min="16320" max="16321" width="14.42578125" customWidth="1"/>
    <col min="16322" max="16322" width="10.140625" bestFit="1" customWidth="1"/>
    <col min="16323" max="16323" width="12.28515625" bestFit="1" customWidth="1"/>
    <col min="16324" max="16324" width="7.42578125" bestFit="1" customWidth="1"/>
    <col min="16325" max="16325" width="8.5703125" bestFit="1" customWidth="1"/>
    <col min="16326" max="16326" width="11.5703125" bestFit="1" customWidth="1"/>
    <col min="16327" max="16327" width="13.28515625" bestFit="1" customWidth="1"/>
    <col min="16328" max="16328" width="13.28515625" customWidth="1"/>
    <col min="16329" max="16329" width="13.140625" customWidth="1"/>
    <col min="16330" max="16330" width="12.7109375" bestFit="1" customWidth="1"/>
    <col min="16331" max="16331" width="13.28515625" bestFit="1" customWidth="1"/>
    <col min="16332" max="16334" width="13.28515625" customWidth="1"/>
    <col min="16335" max="16335" width="12.140625" bestFit="1" customWidth="1"/>
    <col min="16336" max="16336" width="12.7109375" bestFit="1" customWidth="1"/>
    <col min="16337" max="16337" width="11" customWidth="1"/>
    <col min="16338" max="16338" width="16.7109375" customWidth="1"/>
    <col min="16339" max="16339" width="17" customWidth="1"/>
    <col min="16340" max="16340" width="10.42578125" bestFit="1" customWidth="1"/>
  </cols>
  <sheetData>
    <row r="1" spans="1:284" x14ac:dyDescent="0.25">
      <c r="A1" s="1" t="s">
        <v>0</v>
      </c>
      <c r="CE1" s="2"/>
      <c r="ED1" s="3"/>
      <c r="EE1" s="3"/>
      <c r="EP1" s="2"/>
      <c r="FD1" s="2"/>
    </row>
    <row r="2" spans="1:284" x14ac:dyDescent="0.25">
      <c r="A2" s="1" t="s">
        <v>184</v>
      </c>
      <c r="ED2" s="3"/>
      <c r="EP2" s="2"/>
      <c r="FD2" s="2"/>
      <c r="FE2" s="3"/>
      <c r="GA2" t="s">
        <v>211</v>
      </c>
      <c r="GP2" s="447" t="s">
        <v>210</v>
      </c>
      <c r="GQ2" s="447"/>
    </row>
    <row r="3" spans="1:284" x14ac:dyDescent="0.25">
      <c r="A3" s="448" t="s">
        <v>1</v>
      </c>
      <c r="B3" s="449" t="s">
        <v>2</v>
      </c>
      <c r="C3" s="449"/>
      <c r="D3" s="449"/>
      <c r="E3" s="449"/>
      <c r="F3" s="449"/>
      <c r="G3" s="449"/>
      <c r="H3" s="420" t="s">
        <v>3</v>
      </c>
      <c r="I3" s="420"/>
      <c r="J3" s="420"/>
      <c r="K3" s="420"/>
      <c r="L3" s="420"/>
      <c r="M3" s="420"/>
      <c r="N3" s="420"/>
      <c r="O3" s="420" t="s">
        <v>4</v>
      </c>
      <c r="P3" s="420"/>
      <c r="Q3" s="420"/>
      <c r="R3" s="420"/>
      <c r="S3" s="420"/>
      <c r="T3" s="420"/>
      <c r="U3" s="420"/>
      <c r="V3" s="420"/>
      <c r="W3" s="420"/>
      <c r="X3" s="420"/>
      <c r="Y3" s="420"/>
      <c r="Z3" s="420"/>
      <c r="AA3" s="420"/>
      <c r="AB3" s="420"/>
      <c r="AC3" s="420"/>
      <c r="AD3" s="420"/>
      <c r="AE3" s="420"/>
      <c r="AF3" s="420"/>
      <c r="AG3" s="420"/>
      <c r="AH3" s="420"/>
      <c r="AI3" s="420"/>
      <c r="AJ3" s="420"/>
      <c r="AK3" s="420"/>
      <c r="AL3" s="420"/>
      <c r="AM3" s="420"/>
      <c r="AN3" s="420"/>
      <c r="AO3" s="420"/>
      <c r="AP3" s="420"/>
      <c r="AQ3" s="420"/>
      <c r="AR3" s="420"/>
      <c r="AS3" s="420"/>
      <c r="AT3" s="420"/>
      <c r="AU3" s="420"/>
      <c r="AV3" s="420"/>
      <c r="AW3" s="420"/>
      <c r="AX3" s="420"/>
      <c r="AY3" s="420"/>
      <c r="AZ3" s="420"/>
      <c r="BA3" s="420"/>
      <c r="BB3" s="420"/>
      <c r="BC3" s="420"/>
      <c r="BD3" s="420"/>
      <c r="BE3" s="433" t="s">
        <v>5</v>
      </c>
      <c r="BF3" s="445"/>
      <c r="BG3" s="434"/>
      <c r="BH3" s="403" t="s">
        <v>6</v>
      </c>
      <c r="BI3" s="417"/>
      <c r="BJ3" s="404"/>
      <c r="BK3" s="433" t="s">
        <v>7</v>
      </c>
      <c r="BL3" s="445"/>
      <c r="BM3" s="445"/>
      <c r="BN3" s="445"/>
      <c r="BO3" s="445"/>
      <c r="BP3" s="434"/>
      <c r="BQ3" s="420" t="s">
        <v>8</v>
      </c>
      <c r="BR3" s="420"/>
      <c r="BS3" s="450"/>
      <c r="BT3" s="451"/>
      <c r="BU3" s="420" t="s">
        <v>9</v>
      </c>
      <c r="BV3" s="420"/>
      <c r="BW3" s="420"/>
      <c r="BX3" s="420"/>
      <c r="BY3" s="420"/>
      <c r="BZ3" s="420"/>
      <c r="CA3" s="420"/>
      <c r="CB3" s="420"/>
      <c r="CC3" s="420"/>
      <c r="CD3" s="420"/>
      <c r="CE3" s="420"/>
      <c r="CF3" s="420"/>
      <c r="CG3" s="420"/>
      <c r="CH3" s="420"/>
      <c r="CI3" s="420"/>
      <c r="CJ3" s="420"/>
      <c r="CK3" s="420"/>
      <c r="CL3" s="420"/>
      <c r="CM3" s="420"/>
      <c r="CN3" s="420"/>
      <c r="CO3" s="420"/>
      <c r="CP3" s="420"/>
      <c r="CQ3" s="420"/>
      <c r="CR3" s="420"/>
      <c r="CS3" s="420"/>
      <c r="CT3" s="420"/>
      <c r="CU3" s="420"/>
      <c r="CV3" s="420"/>
      <c r="CW3" s="420"/>
      <c r="CX3" s="420"/>
      <c r="CY3" s="420"/>
      <c r="CZ3" s="420"/>
      <c r="DA3" s="420"/>
      <c r="DB3" s="420"/>
      <c r="DC3" s="420"/>
      <c r="DD3" s="420"/>
      <c r="DE3" s="420"/>
      <c r="DF3" s="420"/>
      <c r="DG3" s="420"/>
      <c r="DH3" s="438" t="s">
        <v>10</v>
      </c>
      <c r="DI3" s="421" t="s">
        <v>11</v>
      </c>
      <c r="DJ3" s="421"/>
      <c r="DK3" s="421"/>
      <c r="DL3" s="421"/>
      <c r="DM3" s="421"/>
      <c r="DN3" s="421"/>
      <c r="DO3" s="421"/>
      <c r="DP3" s="421"/>
      <c r="DQ3" s="408" t="s">
        <v>180</v>
      </c>
      <c r="DR3" s="409"/>
      <c r="DS3" s="408" t="s">
        <v>12</v>
      </c>
      <c r="DT3" s="409"/>
      <c r="DU3" s="440" t="s">
        <v>13</v>
      </c>
      <c r="DV3" s="441"/>
      <c r="DW3" s="441"/>
      <c r="DX3" s="441"/>
      <c r="DY3" s="441"/>
      <c r="DZ3" s="441"/>
      <c r="EA3" s="441"/>
      <c r="EB3" s="441"/>
      <c r="EC3" s="442"/>
      <c r="ED3" s="4"/>
      <c r="EE3" s="440" t="s">
        <v>14</v>
      </c>
      <c r="EF3" s="441"/>
      <c r="EG3" s="441"/>
      <c r="EH3" s="441"/>
      <c r="EI3" s="441"/>
      <c r="EJ3" s="441"/>
      <c r="EK3" s="441"/>
      <c r="EL3" s="441"/>
      <c r="EM3" s="442"/>
      <c r="EN3" s="5"/>
      <c r="EO3" s="446" t="s">
        <v>15</v>
      </c>
      <c r="EP3" s="446"/>
      <c r="EQ3" s="446"/>
      <c r="ER3" s="446"/>
      <c r="ES3" s="446"/>
      <c r="ET3" s="446"/>
      <c r="EU3" s="446"/>
      <c r="EV3" s="446"/>
      <c r="EW3" s="446"/>
      <c r="EX3" s="446"/>
      <c r="EY3" s="446"/>
      <c r="EZ3" s="446"/>
      <c r="FA3" s="446"/>
      <c r="FB3" s="446"/>
      <c r="FC3" s="446"/>
      <c r="FD3" s="446"/>
      <c r="FE3" s="446" t="s">
        <v>16</v>
      </c>
      <c r="FF3" s="446"/>
      <c r="FG3" s="446"/>
      <c r="FH3" s="446"/>
      <c r="FI3" s="446"/>
      <c r="FJ3" s="446"/>
      <c r="FK3" s="446"/>
      <c r="FL3" s="446"/>
      <c r="FM3" s="446"/>
      <c r="FN3" s="446"/>
      <c r="FO3" s="446"/>
      <c r="FP3" s="446"/>
      <c r="FQ3" s="446"/>
      <c r="FR3" s="446"/>
      <c r="FS3" s="446"/>
      <c r="FT3" s="446"/>
      <c r="FU3" s="446"/>
      <c r="FV3" s="446" t="s">
        <v>17</v>
      </c>
      <c r="FW3" s="446"/>
      <c r="FX3" s="446"/>
      <c r="FY3" s="446"/>
      <c r="FZ3" s="446"/>
      <c r="GA3" s="446"/>
      <c r="GB3" s="446"/>
      <c r="GC3" s="446"/>
      <c r="GD3" s="446"/>
      <c r="GE3" s="446"/>
      <c r="GF3" s="446"/>
      <c r="GG3" s="446"/>
      <c r="GH3" s="404" t="s">
        <v>18</v>
      </c>
      <c r="GI3" s="402"/>
      <c r="GJ3" s="402"/>
      <c r="GK3" s="402"/>
      <c r="GL3" s="402"/>
      <c r="GM3" s="402"/>
      <c r="GN3" s="403" t="s">
        <v>202</v>
      </c>
      <c r="GO3" s="417"/>
      <c r="GP3" s="404"/>
      <c r="GQ3" s="403" t="s">
        <v>209</v>
      </c>
      <c r="GR3" s="417"/>
      <c r="GS3" s="404"/>
      <c r="HH3" s="406" t="s">
        <v>256</v>
      </c>
      <c r="HI3" s="406"/>
      <c r="HJ3" s="406"/>
      <c r="HK3" s="406"/>
      <c r="HL3" s="406"/>
      <c r="HM3" s="406"/>
      <c r="HN3" s="406"/>
      <c r="HO3" s="406"/>
      <c r="HP3" s="406"/>
      <c r="HQ3" s="406"/>
      <c r="HR3" s="406"/>
      <c r="HS3" s="406"/>
      <c r="HT3" s="406"/>
      <c r="HU3" s="406"/>
      <c r="HV3" s="406"/>
      <c r="HW3" s="406"/>
      <c r="HX3" s="406"/>
      <c r="HY3" s="406"/>
      <c r="HZ3" s="406"/>
      <c r="IA3" s="406"/>
      <c r="IB3" s="406"/>
      <c r="IC3" s="406"/>
      <c r="ID3" s="406"/>
      <c r="IE3" s="406"/>
      <c r="IF3" s="406"/>
      <c r="IG3" s="406"/>
      <c r="IH3" s="406"/>
      <c r="II3" s="406"/>
      <c r="IJ3" s="406"/>
      <c r="IK3" s="406"/>
      <c r="IL3" s="406"/>
      <c r="IM3" s="406"/>
      <c r="IN3" s="406"/>
      <c r="IO3" s="406"/>
      <c r="IP3" s="406"/>
      <c r="IQ3" s="406"/>
      <c r="IR3" s="406"/>
      <c r="IS3" s="406"/>
      <c r="IT3" s="406"/>
      <c r="IU3" s="406"/>
      <c r="IV3" s="406"/>
      <c r="IW3" s="406"/>
      <c r="IX3" s="406"/>
      <c r="IY3" s="406"/>
      <c r="IZ3" s="406"/>
      <c r="JA3" s="406"/>
      <c r="JB3" s="406"/>
      <c r="JC3" s="406"/>
      <c r="JD3" s="406"/>
      <c r="JE3" s="406"/>
      <c r="JF3" s="406"/>
      <c r="JG3" s="406"/>
      <c r="JH3" s="406"/>
      <c r="JI3" s="406"/>
      <c r="JJ3" s="406"/>
      <c r="JK3" s="406"/>
      <c r="JL3" s="406"/>
      <c r="JM3" s="406"/>
      <c r="JN3" s="406"/>
      <c r="JO3" s="406"/>
      <c r="JP3" s="406"/>
      <c r="JQ3" s="406"/>
      <c r="JR3" s="406"/>
      <c r="JS3" s="406"/>
      <c r="JT3" s="406"/>
      <c r="JU3" s="406"/>
      <c r="JV3" s="406"/>
    </row>
    <row r="4" spans="1:284" x14ac:dyDescent="0.25">
      <c r="A4" s="448"/>
      <c r="B4" s="449"/>
      <c r="C4" s="449"/>
      <c r="D4" s="449"/>
      <c r="E4" s="449"/>
      <c r="F4" s="449"/>
      <c r="G4" s="449"/>
      <c r="H4" s="420"/>
      <c r="I4" s="420"/>
      <c r="J4" s="420"/>
      <c r="K4" s="420"/>
      <c r="L4" s="420"/>
      <c r="M4" s="420"/>
      <c r="N4" s="420"/>
      <c r="O4" s="420" t="s">
        <v>20</v>
      </c>
      <c r="P4" s="420"/>
      <c r="Q4" s="420"/>
      <c r="R4" s="420"/>
      <c r="S4" s="420"/>
      <c r="T4" s="420"/>
      <c r="U4" s="420"/>
      <c r="V4" s="420"/>
      <c r="W4" s="420"/>
      <c r="X4" s="420"/>
      <c r="Y4" s="420"/>
      <c r="Z4" s="420"/>
      <c r="AA4" s="420"/>
      <c r="AB4" s="420"/>
      <c r="AC4" s="420"/>
      <c r="AD4" s="420"/>
      <c r="AE4" s="420"/>
      <c r="AF4" s="420"/>
      <c r="AG4" s="420"/>
      <c r="AH4" s="420"/>
      <c r="AI4" s="420"/>
      <c r="AJ4" s="7"/>
      <c r="AK4" s="430" t="s">
        <v>21</v>
      </c>
      <c r="AL4" s="420" t="s">
        <v>22</v>
      </c>
      <c r="AM4" s="420"/>
      <c r="AN4" s="420"/>
      <c r="AO4" s="420"/>
      <c r="AP4" s="420"/>
      <c r="AQ4" s="420"/>
      <c r="AR4" s="420"/>
      <c r="AS4" s="420"/>
      <c r="AT4" s="420"/>
      <c r="AU4" s="420"/>
      <c r="AV4" s="420"/>
      <c r="AW4" s="420"/>
      <c r="AX4" s="420"/>
      <c r="AY4" s="420"/>
      <c r="AZ4" s="420"/>
      <c r="BA4" s="420"/>
      <c r="BB4" s="420"/>
      <c r="BC4" s="420"/>
      <c r="BD4" s="430" t="s">
        <v>23</v>
      </c>
      <c r="BE4" s="420" t="s">
        <v>24</v>
      </c>
      <c r="BF4" s="420"/>
      <c r="BG4" s="420"/>
      <c r="BH4" s="7"/>
      <c r="BI4" s="7"/>
      <c r="BJ4" s="7"/>
      <c r="BK4" s="420" t="s">
        <v>25</v>
      </c>
      <c r="BL4" s="420"/>
      <c r="BM4" s="420" t="s">
        <v>26</v>
      </c>
      <c r="BN4" s="420"/>
      <c r="BO4" s="427" t="s">
        <v>27</v>
      </c>
      <c r="BP4" s="427"/>
      <c r="BQ4" s="420"/>
      <c r="BR4" s="420"/>
      <c r="BS4" s="428" t="s">
        <v>28</v>
      </c>
      <c r="BT4" s="429"/>
      <c r="BU4" s="420"/>
      <c r="BV4" s="420"/>
      <c r="BW4" s="420"/>
      <c r="BX4" s="420"/>
      <c r="BY4" s="420"/>
      <c r="BZ4" s="420"/>
      <c r="CA4" s="420"/>
      <c r="CB4" s="420"/>
      <c r="CC4" s="420"/>
      <c r="CD4" s="420"/>
      <c r="CE4" s="420"/>
      <c r="CF4" s="420"/>
      <c r="CG4" s="420"/>
      <c r="CH4" s="420"/>
      <c r="CI4" s="420"/>
      <c r="CJ4" s="420"/>
      <c r="CK4" s="420"/>
      <c r="CL4" s="420"/>
      <c r="CM4" s="420"/>
      <c r="CN4" s="420"/>
      <c r="CO4" s="420"/>
      <c r="CP4" s="420"/>
      <c r="CQ4" s="420"/>
      <c r="CR4" s="420"/>
      <c r="CS4" s="420"/>
      <c r="CT4" s="420"/>
      <c r="CU4" s="420"/>
      <c r="CV4" s="420"/>
      <c r="CW4" s="420"/>
      <c r="CX4" s="420"/>
      <c r="CY4" s="420"/>
      <c r="CZ4" s="420"/>
      <c r="DA4" s="420"/>
      <c r="DB4" s="420"/>
      <c r="DC4" s="420"/>
      <c r="DD4" s="420"/>
      <c r="DE4" s="420"/>
      <c r="DF4" s="420"/>
      <c r="DG4" s="420"/>
      <c r="DH4" s="439"/>
      <c r="DI4" s="421"/>
      <c r="DJ4" s="421"/>
      <c r="DK4" s="421"/>
      <c r="DL4" s="421"/>
      <c r="DM4" s="421"/>
      <c r="DN4" s="421"/>
      <c r="DO4" s="421"/>
      <c r="DP4" s="421"/>
      <c r="DQ4" s="410"/>
      <c r="DR4" s="411"/>
      <c r="DS4" s="410"/>
      <c r="DT4" s="411"/>
      <c r="DU4" s="435" t="s">
        <v>29</v>
      </c>
      <c r="DV4" s="436"/>
      <c r="DW4" s="437"/>
      <c r="DX4" s="435" t="s">
        <v>30</v>
      </c>
      <c r="DY4" s="436"/>
      <c r="DZ4" s="437"/>
      <c r="EA4" s="435"/>
      <c r="EB4" s="436"/>
      <c r="EC4" s="437"/>
      <c r="ED4" s="8" t="s">
        <v>31</v>
      </c>
      <c r="EE4" s="435"/>
      <c r="EF4" s="436"/>
      <c r="EG4" s="437"/>
      <c r="EH4" s="435"/>
      <c r="EI4" s="436"/>
      <c r="EJ4" s="437"/>
      <c r="EK4" s="435"/>
      <c r="EL4" s="436"/>
      <c r="EM4" s="437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403" t="s">
        <v>33</v>
      </c>
      <c r="FW4" s="417"/>
      <c r="FX4" s="417"/>
      <c r="FY4" s="417" t="s">
        <v>33</v>
      </c>
      <c r="FZ4" s="417"/>
      <c r="GA4" s="417"/>
      <c r="GB4" s="417"/>
      <c r="GC4" s="417"/>
      <c r="GD4" s="417"/>
      <c r="GE4" s="417"/>
      <c r="GF4" s="417"/>
      <c r="GG4" s="404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402" t="s">
        <v>252</v>
      </c>
      <c r="HH4" s="491" t="s">
        <v>106</v>
      </c>
      <c r="HI4" s="491"/>
      <c r="HJ4" s="491"/>
      <c r="HK4" s="491" t="s">
        <v>258</v>
      </c>
      <c r="HL4" s="491"/>
      <c r="HM4" s="491"/>
      <c r="HN4" s="490" t="s">
        <v>259</v>
      </c>
      <c r="HO4" s="490"/>
      <c r="HP4" s="490"/>
      <c r="HQ4" s="490"/>
      <c r="HR4" s="490"/>
      <c r="HS4" s="490"/>
      <c r="HT4" s="490"/>
      <c r="HU4" s="490"/>
      <c r="HV4" s="490"/>
      <c r="HW4" s="490"/>
      <c r="HX4" s="490"/>
      <c r="HY4" s="490"/>
      <c r="HZ4" s="494" t="s">
        <v>283</v>
      </c>
      <c r="IA4" s="493" t="s">
        <v>204</v>
      </c>
      <c r="IB4" s="493"/>
      <c r="IC4" s="493"/>
      <c r="ID4" s="493"/>
      <c r="IE4" s="493"/>
      <c r="IF4" s="493"/>
      <c r="IG4" s="493"/>
      <c r="IH4" s="493"/>
      <c r="II4" s="493"/>
      <c r="IJ4" s="493"/>
      <c r="IK4" s="493"/>
      <c r="IL4" s="493"/>
      <c r="IM4" s="492" t="s">
        <v>260</v>
      </c>
      <c r="IN4" s="492"/>
      <c r="IO4" s="492"/>
      <c r="IP4" s="492"/>
      <c r="IQ4" s="492"/>
      <c r="IR4" s="492"/>
      <c r="IS4" s="492"/>
      <c r="IT4" s="492"/>
      <c r="IU4" s="492"/>
      <c r="IV4" s="492"/>
      <c r="IW4" s="492"/>
      <c r="IX4" s="492"/>
      <c r="IY4" s="492"/>
      <c r="IZ4" s="492"/>
      <c r="JA4" s="492"/>
      <c r="JB4" s="492"/>
      <c r="JC4" s="492"/>
      <c r="JD4" s="492"/>
      <c r="JE4" s="496" t="s">
        <v>261</v>
      </c>
      <c r="JF4" s="496"/>
      <c r="JG4" s="496"/>
      <c r="JH4" s="496"/>
      <c r="JI4" s="496"/>
      <c r="JJ4" s="496"/>
      <c r="JK4" s="496"/>
      <c r="JL4" s="496"/>
      <c r="JM4" s="496"/>
      <c r="JN4" s="496"/>
      <c r="JO4" s="496"/>
      <c r="JP4" s="496"/>
      <c r="JQ4" s="496"/>
      <c r="JR4" s="496"/>
      <c r="JS4" s="496"/>
      <c r="JT4" s="496"/>
      <c r="JU4" s="496"/>
      <c r="JV4" s="496"/>
      <c r="JX4" t="s">
        <v>98</v>
      </c>
    </row>
    <row r="5" spans="1:284" x14ac:dyDescent="0.25">
      <c r="A5" s="448"/>
      <c r="B5" s="452" t="s">
        <v>35</v>
      </c>
      <c r="C5" s="452"/>
      <c r="D5" s="452"/>
      <c r="E5" s="452" t="s">
        <v>36</v>
      </c>
      <c r="F5" s="452"/>
      <c r="G5" s="15" t="s">
        <v>37</v>
      </c>
      <c r="H5" s="420" t="s">
        <v>38</v>
      </c>
      <c r="I5" s="420"/>
      <c r="J5" s="420"/>
      <c r="K5" s="420"/>
      <c r="L5" s="420" t="s">
        <v>39</v>
      </c>
      <c r="M5" s="420"/>
      <c r="N5" s="420"/>
      <c r="O5" s="420" t="s">
        <v>40</v>
      </c>
      <c r="P5" s="420"/>
      <c r="Q5" s="420"/>
      <c r="R5" s="7"/>
      <c r="S5" s="420" t="s">
        <v>41</v>
      </c>
      <c r="T5" s="420"/>
      <c r="U5" s="420" t="s">
        <v>42</v>
      </c>
      <c r="V5" s="420"/>
      <c r="W5" s="420" t="s">
        <v>43</v>
      </c>
      <c r="X5" s="420"/>
      <c r="Y5" s="431" t="s">
        <v>44</v>
      </c>
      <c r="Z5" s="432"/>
      <c r="AA5" s="433" t="s">
        <v>188</v>
      </c>
      <c r="AB5" s="434"/>
      <c r="AC5" s="420" t="s">
        <v>45</v>
      </c>
      <c r="AD5" s="420"/>
      <c r="AE5" s="420"/>
      <c r="AF5" s="420"/>
      <c r="AG5" s="420" t="s">
        <v>46</v>
      </c>
      <c r="AH5" s="420"/>
      <c r="AI5" s="420"/>
      <c r="AJ5" s="420"/>
      <c r="AK5" s="430"/>
      <c r="AL5" s="421" t="s">
        <v>47</v>
      </c>
      <c r="AM5" s="421"/>
      <c r="AN5" s="421"/>
      <c r="AO5" s="421"/>
      <c r="AP5" s="421" t="s">
        <v>48</v>
      </c>
      <c r="AQ5" s="421"/>
      <c r="AR5" s="421"/>
      <c r="AS5" s="421"/>
      <c r="AT5" s="422" t="s">
        <v>49</v>
      </c>
      <c r="AU5" s="423"/>
      <c r="AV5" s="422" t="s">
        <v>50</v>
      </c>
      <c r="AW5" s="423"/>
      <c r="AX5" s="421" t="s">
        <v>51</v>
      </c>
      <c r="AY5" s="421"/>
      <c r="AZ5" s="421"/>
      <c r="BA5" s="421" t="s">
        <v>52</v>
      </c>
      <c r="BB5" s="421"/>
      <c r="BC5" s="421"/>
      <c r="BD5" s="430"/>
      <c r="BE5" s="420"/>
      <c r="BF5" s="420"/>
      <c r="BG5" s="420"/>
      <c r="BH5" s="16"/>
      <c r="BI5" s="16"/>
      <c r="BJ5" s="16"/>
      <c r="BK5" s="420"/>
      <c r="BL5" s="420"/>
      <c r="BM5" s="420"/>
      <c r="BN5" s="420"/>
      <c r="BO5" s="427"/>
      <c r="BP5" s="427"/>
      <c r="BQ5" s="420"/>
      <c r="BR5" s="420"/>
      <c r="BS5" s="443" t="s">
        <v>53</v>
      </c>
      <c r="BT5" s="444"/>
      <c r="BU5" s="420" t="s">
        <v>54</v>
      </c>
      <c r="BV5" s="420"/>
      <c r="BW5" s="420"/>
      <c r="BX5" s="420"/>
      <c r="BY5" s="433" t="s">
        <v>55</v>
      </c>
      <c r="BZ5" s="445"/>
      <c r="CA5" s="445"/>
      <c r="CB5" s="434"/>
      <c r="CC5" s="420" t="s">
        <v>56</v>
      </c>
      <c r="CD5" s="420"/>
      <c r="CE5" s="420" t="s">
        <v>57</v>
      </c>
      <c r="CF5" s="420"/>
      <c r="CG5" s="420" t="s">
        <v>58</v>
      </c>
      <c r="CH5" s="420"/>
      <c r="CI5" s="420" t="s">
        <v>59</v>
      </c>
      <c r="CJ5" s="420"/>
      <c r="CK5" s="420"/>
      <c r="CL5" s="420"/>
      <c r="CM5" s="420" t="s">
        <v>60</v>
      </c>
      <c r="CN5" s="420"/>
      <c r="CO5" s="420"/>
      <c r="CP5" s="420"/>
      <c r="CQ5" s="421" t="s">
        <v>61</v>
      </c>
      <c r="CR5" s="421"/>
      <c r="CS5" s="421"/>
      <c r="CT5" s="421"/>
      <c r="CU5" s="421" t="s">
        <v>62</v>
      </c>
      <c r="CV5" s="421"/>
      <c r="CW5" s="421"/>
      <c r="CX5" s="421"/>
      <c r="CY5" s="421" t="s">
        <v>63</v>
      </c>
      <c r="CZ5" s="421"/>
      <c r="DA5" s="421"/>
      <c r="DB5" s="421"/>
      <c r="DC5" s="421" t="s">
        <v>64</v>
      </c>
      <c r="DD5" s="421"/>
      <c r="DE5" s="421"/>
      <c r="DF5" s="421"/>
      <c r="DG5" s="17" t="s">
        <v>65</v>
      </c>
      <c r="DH5" s="17"/>
      <c r="DI5" s="421"/>
      <c r="DJ5" s="421"/>
      <c r="DK5" s="421"/>
      <c r="DL5" s="421"/>
      <c r="DM5" s="421"/>
      <c r="DN5" s="421"/>
      <c r="DO5" s="421"/>
      <c r="DP5" s="421"/>
      <c r="DQ5" s="412"/>
      <c r="DR5" s="413"/>
      <c r="DS5" s="412"/>
      <c r="DT5" s="413"/>
      <c r="DU5" s="424" t="s">
        <v>66</v>
      </c>
      <c r="DV5" s="425"/>
      <c r="DW5" s="426"/>
      <c r="DX5" s="424" t="s">
        <v>67</v>
      </c>
      <c r="DY5" s="425"/>
      <c r="DZ5" s="426"/>
      <c r="EA5" s="424" t="s">
        <v>68</v>
      </c>
      <c r="EB5" s="425"/>
      <c r="EC5" s="426"/>
      <c r="ED5" s="18"/>
      <c r="EE5" s="424" t="s">
        <v>69</v>
      </c>
      <c r="EF5" s="425"/>
      <c r="EG5" s="426"/>
      <c r="EH5" s="424" t="s">
        <v>70</v>
      </c>
      <c r="EI5" s="425"/>
      <c r="EJ5" s="426"/>
      <c r="EK5" s="424" t="s">
        <v>71</v>
      </c>
      <c r="EL5" s="425"/>
      <c r="EM5" s="426"/>
      <c r="EN5" s="19"/>
      <c r="EO5" s="403" t="s">
        <v>72</v>
      </c>
      <c r="EP5" s="417"/>
      <c r="EQ5" s="404"/>
      <c r="ER5" s="403" t="s">
        <v>73</v>
      </c>
      <c r="ES5" s="417"/>
      <c r="ET5" s="404"/>
      <c r="EU5" s="403" t="s">
        <v>74</v>
      </c>
      <c r="EV5" s="417"/>
      <c r="EW5" s="404"/>
      <c r="EX5" s="403" t="s">
        <v>75</v>
      </c>
      <c r="EY5" s="417"/>
      <c r="EZ5" s="404"/>
      <c r="FA5" s="20"/>
      <c r="FB5" s="403" t="s">
        <v>76</v>
      </c>
      <c r="FC5" s="404"/>
      <c r="FD5" s="16" t="s">
        <v>77</v>
      </c>
      <c r="FE5" s="403" t="s">
        <v>72</v>
      </c>
      <c r="FF5" s="417"/>
      <c r="FG5" s="404"/>
      <c r="FH5" s="403" t="s">
        <v>73</v>
      </c>
      <c r="FI5" s="417"/>
      <c r="FJ5" s="404"/>
      <c r="FK5" s="10" t="s">
        <v>78</v>
      </c>
      <c r="FL5" s="11"/>
      <c r="FM5" s="21"/>
      <c r="FN5" s="403" t="s">
        <v>75</v>
      </c>
      <c r="FO5" s="417"/>
      <c r="FP5" s="404"/>
      <c r="FQ5" s="403" t="s">
        <v>79</v>
      </c>
      <c r="FR5" s="417"/>
      <c r="FS5" s="404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402"/>
      <c r="HH5" s="16"/>
      <c r="HI5" s="16"/>
      <c r="HJ5" s="16"/>
      <c r="HK5" s="16"/>
      <c r="HL5" s="16"/>
      <c r="HM5" s="16"/>
      <c r="HN5" s="402" t="s">
        <v>204</v>
      </c>
      <c r="HO5" s="402"/>
      <c r="HP5" s="402"/>
      <c r="HQ5" s="402" t="s">
        <v>260</v>
      </c>
      <c r="HR5" s="402"/>
      <c r="HS5" s="402"/>
      <c r="HT5" s="402" t="s">
        <v>261</v>
      </c>
      <c r="HU5" s="402"/>
      <c r="HV5" s="402"/>
      <c r="HW5" s="402" t="s">
        <v>65</v>
      </c>
      <c r="HX5" s="402"/>
      <c r="HY5" s="402"/>
      <c r="HZ5" s="495"/>
      <c r="IA5" s="402" t="s">
        <v>262</v>
      </c>
      <c r="IB5" s="402"/>
      <c r="IC5" s="402"/>
      <c r="ID5" s="402" t="s">
        <v>263</v>
      </c>
      <c r="IE5" s="402"/>
      <c r="IF5" s="402"/>
      <c r="IG5" s="402" t="s">
        <v>264</v>
      </c>
      <c r="IH5" s="402"/>
      <c r="II5" s="402"/>
      <c r="IJ5" s="402" t="s">
        <v>265</v>
      </c>
      <c r="IK5" s="402"/>
      <c r="IL5" s="402"/>
      <c r="IM5" s="402" t="s">
        <v>152</v>
      </c>
      <c r="IN5" s="402"/>
      <c r="IO5" s="402"/>
      <c r="IP5" s="402" t="s">
        <v>266</v>
      </c>
      <c r="IQ5" s="402"/>
      <c r="IR5" s="402"/>
      <c r="IS5" s="402" t="s">
        <v>165</v>
      </c>
      <c r="IT5" s="402"/>
      <c r="IU5" s="402"/>
      <c r="IV5" s="402" t="s">
        <v>267</v>
      </c>
      <c r="IW5" s="402"/>
      <c r="IX5" s="402"/>
      <c r="IY5" s="402" t="s">
        <v>268</v>
      </c>
      <c r="IZ5" s="402"/>
      <c r="JA5" s="402"/>
      <c r="JB5" s="402" t="s">
        <v>269</v>
      </c>
      <c r="JC5" s="402"/>
      <c r="JD5" s="402"/>
      <c r="JE5" s="402" t="s">
        <v>152</v>
      </c>
      <c r="JF5" s="402"/>
      <c r="JG5" s="402"/>
      <c r="JH5" s="402" t="s">
        <v>266</v>
      </c>
      <c r="JI5" s="402"/>
      <c r="JJ5" s="402"/>
      <c r="JK5" s="402" t="s">
        <v>165</v>
      </c>
      <c r="JL5" s="402"/>
      <c r="JM5" s="402"/>
      <c r="JN5" s="402" t="s">
        <v>267</v>
      </c>
      <c r="JO5" s="402"/>
      <c r="JP5" s="402"/>
      <c r="JQ5" s="402" t="s">
        <v>268</v>
      </c>
      <c r="JR5" s="402"/>
      <c r="JS5" s="402"/>
      <c r="JT5" s="402" t="s">
        <v>269</v>
      </c>
      <c r="JU5" s="402"/>
      <c r="JV5" s="402"/>
    </row>
    <row r="6" spans="1:284" x14ac:dyDescent="0.25">
      <c r="A6" s="448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403" t="s">
        <v>99</v>
      </c>
      <c r="FW6" s="417"/>
      <c r="FX6" s="404"/>
      <c r="FY6" s="403" t="s">
        <v>100</v>
      </c>
      <c r="FZ6" s="417"/>
      <c r="GA6" s="404"/>
      <c r="GB6" s="403" t="s">
        <v>101</v>
      </c>
      <c r="GC6" s="417"/>
      <c r="GD6" s="404"/>
      <c r="GE6" s="403" t="s">
        <v>102</v>
      </c>
      <c r="GF6" s="417"/>
      <c r="GG6" s="404"/>
      <c r="GH6" s="403" t="s">
        <v>103</v>
      </c>
      <c r="GI6" s="417"/>
      <c r="GJ6" s="404"/>
      <c r="GK6" s="403" t="s">
        <v>104</v>
      </c>
      <c r="GL6" s="417"/>
      <c r="GM6" s="404"/>
      <c r="GN6" s="33"/>
      <c r="GO6" s="33"/>
      <c r="GP6" s="33"/>
      <c r="GQ6" s="6"/>
      <c r="GR6" s="6"/>
      <c r="GS6" s="6"/>
      <c r="GT6" s="177"/>
      <c r="GU6" s="402" t="s">
        <v>105</v>
      </c>
      <c r="GV6" s="402"/>
      <c r="GW6" s="402"/>
      <c r="GX6" s="402"/>
      <c r="GY6" s="418"/>
      <c r="GZ6" s="406"/>
      <c r="HA6" s="406"/>
      <c r="HB6" s="406"/>
      <c r="HG6" s="402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9"/>
      <c r="IA6" s="207" t="s">
        <v>82</v>
      </c>
      <c r="IB6" s="207" t="s">
        <v>83</v>
      </c>
      <c r="IC6" s="207" t="s">
        <v>257</v>
      </c>
      <c r="ID6" s="207" t="s">
        <v>82</v>
      </c>
      <c r="IE6" s="207" t="s">
        <v>83</v>
      </c>
      <c r="IF6" s="207" t="s">
        <v>257</v>
      </c>
      <c r="IG6" s="207" t="s">
        <v>82</v>
      </c>
      <c r="IH6" s="207" t="s">
        <v>83</v>
      </c>
      <c r="II6" s="207" t="s">
        <v>257</v>
      </c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X6" s="208" t="s">
        <v>78</v>
      </c>
    </row>
    <row r="7" spans="1:284" x14ac:dyDescent="0.25">
      <c r="A7" s="35">
        <v>1</v>
      </c>
      <c r="B7" s="38">
        <v>3362.92</v>
      </c>
      <c r="C7" s="38"/>
      <c r="D7" s="38"/>
      <c r="E7" s="38">
        <v>677.54</v>
      </c>
      <c r="F7" s="38"/>
      <c r="G7" s="38"/>
      <c r="H7" s="37"/>
      <c r="I7" s="39"/>
      <c r="J7" s="42"/>
      <c r="K7" s="37"/>
      <c r="L7" s="40">
        <v>9596800</v>
      </c>
      <c r="M7" s="40"/>
      <c r="N7" s="37"/>
      <c r="O7" s="37">
        <v>9424.1</v>
      </c>
      <c r="P7" s="37"/>
      <c r="Q7" s="37"/>
      <c r="R7" s="37"/>
      <c r="S7" s="37">
        <v>10938012.98</v>
      </c>
      <c r="T7" s="37"/>
      <c r="U7" s="37">
        <v>1518125.52</v>
      </c>
      <c r="V7" s="37"/>
      <c r="W7" s="37">
        <v>3236.2</v>
      </c>
      <c r="X7" s="37"/>
      <c r="Y7" s="183"/>
      <c r="Z7" s="183"/>
      <c r="AA7" s="37">
        <v>453740</v>
      </c>
      <c r="AB7" s="37"/>
      <c r="AC7" s="37">
        <v>3432</v>
      </c>
      <c r="AD7" s="37"/>
      <c r="AE7" s="37"/>
      <c r="AF7" s="37"/>
      <c r="AG7" s="37">
        <v>7482</v>
      </c>
      <c r="AH7" s="37"/>
      <c r="AI7" s="37"/>
      <c r="AJ7" s="37"/>
      <c r="AK7" s="37"/>
      <c r="AL7" s="42">
        <v>9603.5</v>
      </c>
      <c r="AM7" s="42"/>
      <c r="AN7" s="37"/>
      <c r="AO7" s="37"/>
      <c r="AP7" s="37">
        <v>7253.8</v>
      </c>
      <c r="AQ7" s="37"/>
      <c r="AR7" s="37"/>
      <c r="AS7" s="37"/>
      <c r="AT7" s="183"/>
      <c r="AU7" s="183"/>
      <c r="AV7" s="183"/>
      <c r="AW7" s="183"/>
      <c r="AX7" s="37">
        <v>443519.76</v>
      </c>
      <c r="AY7" s="37"/>
      <c r="AZ7" s="37"/>
      <c r="BA7" s="37">
        <v>88081.631999999998</v>
      </c>
      <c r="BB7" s="37"/>
      <c r="BC7" s="37"/>
      <c r="BD7" s="37"/>
      <c r="BE7" s="43">
        <v>1636.8</v>
      </c>
      <c r="BF7" s="43">
        <v>889.47</v>
      </c>
      <c r="BG7" s="37"/>
      <c r="BH7" s="44">
        <v>7874.4</v>
      </c>
      <c r="BI7" s="44">
        <v>5066.3999999999996</v>
      </c>
      <c r="BJ7" s="37"/>
      <c r="BK7" s="40">
        <v>1132200</v>
      </c>
      <c r="BL7" s="40"/>
      <c r="BM7" s="40">
        <v>796.93</v>
      </c>
      <c r="BN7" s="37"/>
      <c r="BO7" s="186"/>
      <c r="BP7" s="183"/>
      <c r="BQ7" s="40">
        <v>755.08</v>
      </c>
      <c r="BR7" s="37"/>
      <c r="BS7" s="37">
        <v>74871.02</v>
      </c>
      <c r="BT7" s="37"/>
      <c r="BU7" s="42">
        <v>1929200</v>
      </c>
      <c r="BV7" s="42"/>
      <c r="BW7" s="37"/>
      <c r="BX7" s="37"/>
      <c r="BY7" s="43">
        <v>269.27999999999997</v>
      </c>
      <c r="BZ7" s="43"/>
      <c r="CA7" s="37"/>
      <c r="CB7" s="37"/>
      <c r="CC7" s="37">
        <v>456750</v>
      </c>
      <c r="CD7" s="37"/>
      <c r="CE7" s="41">
        <v>697330</v>
      </c>
      <c r="CF7" s="37"/>
      <c r="CG7" s="37">
        <v>56497</v>
      </c>
      <c r="CH7" s="37"/>
      <c r="CI7" s="40">
        <v>10790</v>
      </c>
      <c r="CJ7" s="40"/>
      <c r="CK7" s="37"/>
      <c r="CL7" s="37"/>
      <c r="CM7" s="37">
        <v>2774.8</v>
      </c>
      <c r="CN7" s="37"/>
      <c r="CO7" s="37"/>
      <c r="CP7" s="37"/>
      <c r="CQ7" s="39">
        <v>2698.6</v>
      </c>
      <c r="CR7" s="39"/>
      <c r="CS7" s="37"/>
      <c r="CT7" s="37"/>
      <c r="CU7" s="37">
        <v>2185600</v>
      </c>
      <c r="CV7" s="41"/>
      <c r="CW7" s="38"/>
      <c r="CX7" s="37"/>
      <c r="CY7" s="37">
        <v>1164200</v>
      </c>
      <c r="CZ7" s="37"/>
      <c r="DA7" s="37"/>
      <c r="DB7" s="37"/>
      <c r="DC7" s="37"/>
      <c r="DD7" s="40"/>
      <c r="DE7" s="37" t="e">
        <f>IF((DC7-DC6)&lt;=0,0,(DC7-DC6))</f>
        <v>#VALUE!</v>
      </c>
      <c r="DF7" s="37" t="e">
        <f>IF(DE7&lt;=0,0,(DE7/SQRT(DE7^2+(DD7-DD6)^2)))</f>
        <v>#VALUE!</v>
      </c>
      <c r="DG7" s="37" t="e">
        <f t="shared" ref="DG7" si="0">(DE7)-DA7-CW7-CS7-CO7-CK7-BW7</f>
        <v>#VALUE!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2571800</v>
      </c>
      <c r="DR7" s="49"/>
      <c r="DS7" s="50">
        <v>1822900</v>
      </c>
      <c r="DT7" s="49"/>
      <c r="DU7" s="51">
        <v>7508.8</v>
      </c>
      <c r="DV7" s="51">
        <v>4190.5</v>
      </c>
      <c r="DW7" s="37"/>
      <c r="DX7" s="52">
        <v>12436</v>
      </c>
      <c r="DY7" s="52">
        <v>8223.1</v>
      </c>
      <c r="DZ7" s="37"/>
      <c r="EA7" s="49">
        <v>27670</v>
      </c>
      <c r="EB7" s="49">
        <v>19.718</v>
      </c>
      <c r="EC7" s="37"/>
      <c r="ED7" s="53"/>
      <c r="EE7" s="49">
        <v>42730</v>
      </c>
      <c r="EF7" s="49">
        <v>27.061</v>
      </c>
      <c r="EG7" s="37"/>
      <c r="EH7" s="51">
        <v>11985</v>
      </c>
      <c r="EI7" s="51">
        <v>1.5964</v>
      </c>
      <c r="EJ7" s="37"/>
      <c r="EK7" s="37">
        <v>723.49</v>
      </c>
      <c r="EL7" s="40">
        <v>1039.5</v>
      </c>
      <c r="EM7" s="37"/>
      <c r="EN7" s="54"/>
      <c r="EO7" s="48">
        <v>12065</v>
      </c>
      <c r="EP7" s="48">
        <v>4201.6000000000004</v>
      </c>
      <c r="EQ7" s="37"/>
      <c r="ER7" s="48">
        <v>7660.1</v>
      </c>
      <c r="ES7" s="55">
        <v>3109.7</v>
      </c>
      <c r="ET7" s="49"/>
      <c r="EU7" s="48">
        <v>2722.9</v>
      </c>
      <c r="EV7" s="48">
        <v>974.98</v>
      </c>
      <c r="EW7" s="49"/>
      <c r="EX7" s="48">
        <v>12241</v>
      </c>
      <c r="EY7" s="48">
        <v>1.2971999999999999</v>
      </c>
      <c r="EZ7" s="37"/>
      <c r="FA7" s="48"/>
      <c r="FB7" s="48">
        <v>34068786</v>
      </c>
      <c r="FC7" s="49"/>
      <c r="FD7" s="48"/>
      <c r="FE7" s="153">
        <v>16109</v>
      </c>
      <c r="FF7" s="154">
        <v>5782.9</v>
      </c>
      <c r="FG7" s="37"/>
      <c r="FH7" s="48">
        <v>7102.9</v>
      </c>
      <c r="FI7" s="48">
        <v>2.7345999999999999</v>
      </c>
      <c r="FJ7" s="49"/>
      <c r="FK7" s="48"/>
      <c r="FL7" s="58"/>
      <c r="FM7" s="48"/>
      <c r="FN7" s="48">
        <v>15383</v>
      </c>
      <c r="FO7" s="48">
        <v>0.68830000000000002</v>
      </c>
      <c r="FP7" s="37"/>
      <c r="FQ7" s="48">
        <v>54798</v>
      </c>
      <c r="FR7" s="48">
        <v>13.084</v>
      </c>
      <c r="FS7" s="37"/>
      <c r="FT7" s="48"/>
      <c r="FU7" s="48"/>
      <c r="FV7" s="44">
        <v>2430700</v>
      </c>
      <c r="FW7" s="44">
        <v>786010</v>
      </c>
      <c r="FX7" s="37"/>
      <c r="FY7" s="56">
        <v>2812.5</v>
      </c>
      <c r="FZ7" s="56">
        <v>1.6180000000000001</v>
      </c>
      <c r="GA7" s="37"/>
      <c r="GB7" s="56">
        <v>739.11</v>
      </c>
      <c r="GC7" s="56">
        <v>820.18</v>
      </c>
      <c r="GD7" s="37"/>
      <c r="GE7" s="56">
        <v>9189.5</v>
      </c>
      <c r="GF7" s="63">
        <v>2.7475999999999998</v>
      </c>
      <c r="GG7" s="37"/>
      <c r="GH7" s="48">
        <v>1776.3</v>
      </c>
      <c r="GI7" s="56">
        <v>1500</v>
      </c>
      <c r="GJ7" s="38"/>
      <c r="GK7" s="56">
        <v>1406.9</v>
      </c>
      <c r="GL7" s="44">
        <v>1092.5</v>
      </c>
      <c r="GM7" s="38"/>
      <c r="GN7" s="57">
        <v>158900</v>
      </c>
      <c r="GO7" s="57">
        <v>138640</v>
      </c>
      <c r="GP7" s="38"/>
      <c r="GQ7" s="38">
        <v>202100</v>
      </c>
      <c r="GR7" s="38">
        <v>203200</v>
      </c>
      <c r="GS7" s="38"/>
      <c r="GT7" s="178"/>
      <c r="GU7" s="144"/>
      <c r="GV7" s="59"/>
      <c r="GW7" s="60"/>
      <c r="GX7" s="61"/>
      <c r="GY7" s="140"/>
      <c r="GZ7" s="74"/>
      <c r="HA7" s="141"/>
      <c r="HB7" s="62"/>
      <c r="HC7" s="74"/>
      <c r="HD7" s="74"/>
      <c r="HE7" s="24"/>
      <c r="HG7" s="213">
        <v>1</v>
      </c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210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</row>
    <row r="8" spans="1:284" x14ac:dyDescent="0.25">
      <c r="A8" s="35">
        <f t="shared" ref="A8:A36" si="1">A7+1</f>
        <v>2</v>
      </c>
      <c r="B8" s="38">
        <v>3370</v>
      </c>
      <c r="C8" s="38">
        <f t="shared" ref="C8:C38" si="2">IF((B8-B7)&lt;=0,0,(B8-B7))</f>
        <v>7.0799999999999272</v>
      </c>
      <c r="D8" s="38">
        <f t="shared" ref="D8:D38" si="3">IF((B8-B7)*32000&lt;=0,0,(B8-B7)*32000)</f>
        <v>226559.99999999767</v>
      </c>
      <c r="E8" s="38">
        <v>679.06</v>
      </c>
      <c r="F8" s="38">
        <f t="shared" ref="F8:F10" si="4">IF((E8-E7)*32000&lt;=0,0,(E8-E7)*32000)</f>
        <v>48639.999999999418</v>
      </c>
      <c r="G8" s="38">
        <f t="shared" ref="G8:G38" si="5">D8+F8</f>
        <v>275199.99999999709</v>
      </c>
      <c r="H8" s="37"/>
      <c r="I8" s="39"/>
      <c r="J8" s="42"/>
      <c r="K8" s="37">
        <f>IF(J8&lt;=0,0,(J8/SQRT(J8^2+(I8-I7)^2)))</f>
        <v>0</v>
      </c>
      <c r="L8" s="40">
        <v>9624100</v>
      </c>
      <c r="M8" s="40"/>
      <c r="N8" s="37">
        <f>IF((L8-L7)&lt;=0,0,(L8-L7)*10)</f>
        <v>273000</v>
      </c>
      <c r="O8" s="37">
        <v>9437.6</v>
      </c>
      <c r="P8" s="37"/>
      <c r="Q8" s="37">
        <f t="shared" ref="Q8:Q21" si="6">IF((O8-O7)&lt;=0,0,(O8-O7))*1000</f>
        <v>13500</v>
      </c>
      <c r="R8" s="37">
        <f>IF(Q8&lt;=0,0,(Q8/SQRT(Q8^2+(P8-P7)^2)))</f>
        <v>1</v>
      </c>
      <c r="S8" s="41">
        <v>10938012.98</v>
      </c>
      <c r="T8" s="37">
        <f t="shared" ref="T8:T38" si="7">IF((S8-S7)&lt;=0,0,(S8-S7))</f>
        <v>0</v>
      </c>
      <c r="U8" s="37">
        <v>1518125.52</v>
      </c>
      <c r="V8" s="37">
        <f t="shared" ref="V8:V35" si="8">IF((U8-U7)&lt;=0,0,(U8-U7))</f>
        <v>0</v>
      </c>
      <c r="W8" s="37">
        <v>3243</v>
      </c>
      <c r="X8" s="37">
        <f>Q8-T8-V8-AB8</f>
        <v>8390</v>
      </c>
      <c r="Y8" s="183"/>
      <c r="Z8" s="183">
        <f t="shared" ref="Z8:Z38" si="9">IF((Y8-Y7)&lt;=0,0,(Y8-Y7))</f>
        <v>0</v>
      </c>
      <c r="AA8" s="37">
        <v>458850</v>
      </c>
      <c r="AB8" s="37">
        <f t="shared" ref="AB8:AB38" si="10">IF((AA8-AA7)&lt;=0,0,(AA8-AA7))</f>
        <v>5110</v>
      </c>
      <c r="AC8" s="37">
        <v>3439.3</v>
      </c>
      <c r="AD8" s="37"/>
      <c r="AE8" s="37">
        <f t="shared" ref="AE8:AE21" si="11">IF((AC8-AC7)&lt;=0,0,(AC8-AC7))*1000</f>
        <v>7300.0000000001819</v>
      </c>
      <c r="AF8" s="37">
        <f>IF(AE8&lt;=0,0,(AE8/SQRT(AE8^2+(AD8-AD7)^2)))</f>
        <v>1</v>
      </c>
      <c r="AG8" s="37">
        <v>7497.4</v>
      </c>
      <c r="AH8" s="37"/>
      <c r="AI8" s="37">
        <f t="shared" ref="AI8:AI38" si="12">IF((AG8-AG7)&lt;=0,0,(AG8-AG7))*1000+GX8</f>
        <v>15550.719999999636</v>
      </c>
      <c r="AJ8" s="37">
        <f t="shared" ref="AJ8:AJ38" si="13">IF(AI8&lt;=0,0,(AI8/SQRT(AI8^2+(AH8-AH7)^2)))</f>
        <v>1</v>
      </c>
      <c r="AK8" s="37">
        <f t="shared" ref="AK8:AK38" si="14">T8+V8+X8+AE8+AI8</f>
        <v>31240.719999999819</v>
      </c>
      <c r="AL8" s="42">
        <v>9612.4</v>
      </c>
      <c r="AM8" s="42"/>
      <c r="AN8" s="37">
        <f>IF((AL8-AL7)&lt;=0,0,(AL8-AL7))*1000+GX8-BL8-BN8-BP8-BR8</f>
        <v>3940.7199999996901</v>
      </c>
      <c r="AO8" s="37">
        <f>IF(AN8&lt;=0,0,(AN8/SQRT(AN8^2+(AM8-AM7)^2)))</f>
        <v>1</v>
      </c>
      <c r="AP8" s="37">
        <v>7262.9</v>
      </c>
      <c r="AQ8" s="37"/>
      <c r="AR8" s="37">
        <f t="shared" ref="AR8:AR38" si="15">IF((AP8-AP7)&lt;=0,0,(AP8-AP7))*1000</f>
        <v>9099.9999999994543</v>
      </c>
      <c r="AS8" s="37">
        <f>IF(AR8&lt;=0,0,(AR8/SQRT(AR8^2+(AQ8-AQ7)^2)))</f>
        <v>1</v>
      </c>
      <c r="AT8" s="183"/>
      <c r="AU8" s="183">
        <f t="shared" ref="AU8:AU38" si="16">IF((AT8-AT7)&lt;=0,0,(AT8-AT7))</f>
        <v>0</v>
      </c>
      <c r="AV8" s="183"/>
      <c r="AW8" s="183">
        <f t="shared" ref="AW8:AW38" si="17">IF((AV8-AV7)&lt;=0,0,(AV8-AV7))</f>
        <v>0</v>
      </c>
      <c r="AX8" s="37">
        <v>443539.44</v>
      </c>
      <c r="AY8" s="37"/>
      <c r="AZ8" s="37">
        <f t="shared" ref="AZ8:AZ38" si="18">IF((AX8-AX7)&lt;=0,0,(AX8-AX7))</f>
        <v>19.679999999993015</v>
      </c>
      <c r="BA8" s="37">
        <v>88101.008000000002</v>
      </c>
      <c r="BB8" s="37"/>
      <c r="BC8" s="37">
        <f t="shared" ref="BC8:BC38" si="19">IF((BA8-BA7)&lt;=0,0,(BA8-BA7))</f>
        <v>19.376000000003842</v>
      </c>
      <c r="BD8" s="37">
        <f>AN8+AR8+AZ8+BC8</f>
        <v>13079.775999999141</v>
      </c>
      <c r="BE8" s="43">
        <v>1639.2</v>
      </c>
      <c r="BF8" s="43">
        <v>890.94</v>
      </c>
      <c r="BG8" s="37">
        <f t="shared" ref="BG8:BG38" si="20">IF((BE8-BE7)&lt;=0,0,(BE8-BE7))*1000</f>
        <v>2400.0000000000909</v>
      </c>
      <c r="BH8" s="44">
        <v>7884.2</v>
      </c>
      <c r="BI8" s="44">
        <v>5072.7</v>
      </c>
      <c r="BJ8" s="37">
        <f t="shared" ref="BJ8:BJ38" si="21">IF((BH8-BH7)&lt;=0,0,(BH8-BH7))*1000</f>
        <v>9800.0000000001819</v>
      </c>
      <c r="BK8" s="40">
        <v>1136000</v>
      </c>
      <c r="BL8" s="40">
        <f>IF((BK8-BK7)&lt;=0,0,(BK8-BK7))</f>
        <v>3800</v>
      </c>
      <c r="BM8" s="40">
        <v>797.64</v>
      </c>
      <c r="BN8" s="37">
        <f t="shared" ref="BN8:BN38" si="22">IF((BM8-BM7)&lt;=0,0,BM8-BM7)*1000</f>
        <v>710.00000000003638</v>
      </c>
      <c r="BO8" s="186"/>
      <c r="BP8" s="183">
        <f t="shared" ref="BP8:BP38" si="23">IF((BO8-BO7)&lt;=0,0,(BO8-BO7))*1000</f>
        <v>0</v>
      </c>
      <c r="BQ8" s="40">
        <v>755.68</v>
      </c>
      <c r="BR8" s="37">
        <f>IF((BQ8-BQ7)&lt;=0,0,(BQ8-BQ7))*1000</f>
        <v>599.99999999990905</v>
      </c>
      <c r="BS8" s="37">
        <v>75063.55</v>
      </c>
      <c r="BT8" s="37">
        <f t="shared" ref="BT8:BT38" si="24">IF((BS8-BS7)&lt;=0,0,(BS8-BS7))</f>
        <v>192.52999999999884</v>
      </c>
      <c r="BU8" s="42">
        <v>1936900</v>
      </c>
      <c r="BV8" s="42"/>
      <c r="BW8" s="37">
        <f t="shared" ref="BW8:BW38" si="25">IF((BU8-BU7)&lt;=0,0,(BU8-BU7))</f>
        <v>7700</v>
      </c>
      <c r="BX8" s="37">
        <f>IF(BW8&lt;=0,0,(BW8/SQRT(BW8^2+(BV8-BV7)^2)))</f>
        <v>1</v>
      </c>
      <c r="BY8" s="43">
        <v>270.10000000000002</v>
      </c>
      <c r="BZ8" s="43"/>
      <c r="CA8" s="37">
        <f t="shared" ref="CA8:CA16" si="26">IF((BY8-BY7)&lt;=0,0,(BY8-BY7)*1000)</f>
        <v>820.00000000005002</v>
      </c>
      <c r="CB8" s="37">
        <f>IF(CA8&lt;=0,0,(CA8/SQRT(CA8^2+(BZ8-BZ7)^2)))</f>
        <v>1</v>
      </c>
      <c r="CC8" s="37">
        <v>459440</v>
      </c>
      <c r="CD8" s="37">
        <f t="shared" ref="CD8:CD38" si="27">IF((CC8-CC7)&lt;=0,0,(CC8-CC7))</f>
        <v>2690</v>
      </c>
      <c r="CE8" s="41">
        <v>697330</v>
      </c>
      <c r="CF8" s="37">
        <f>IF((CE8-CE7)&lt;=0,0,(CE8-CE7))</f>
        <v>0</v>
      </c>
      <c r="CG8" s="37">
        <v>57235</v>
      </c>
      <c r="CH8" s="37">
        <f>IF((CG8-CG7)&lt;=0,0,(CG8-CG7))</f>
        <v>738</v>
      </c>
      <c r="CI8" s="40">
        <v>10807</v>
      </c>
      <c r="CJ8" s="40"/>
      <c r="CK8" s="37">
        <f>IF((CI8-CI7)*1000&lt;=0,0,(CI8-CI7)*1000)+GX8-CA8</f>
        <v>16330.71999999995</v>
      </c>
      <c r="CL8" s="37">
        <f t="shared" ref="CL8:CL38" si="28">IF(CK8&lt;=0,0,(CK8/SQRT(CK8^2+(CJ8-CJ7)^2)))</f>
        <v>1</v>
      </c>
      <c r="CM8" s="37">
        <v>2781</v>
      </c>
      <c r="CN8" s="37"/>
      <c r="CO8" s="37">
        <f t="shared" ref="CO8:CO38" si="29">IF((CM8-CM7)&lt;=0,0,(CM8-CM7))*1000+GX8</f>
        <v>6350.7199999998184</v>
      </c>
      <c r="CP8" s="37">
        <f>IF(CO8&lt;=0,0,(CO8/SQRT(CO8^2+(CN8-CN7)^2)))</f>
        <v>1</v>
      </c>
      <c r="CQ8" s="39">
        <v>2704.9</v>
      </c>
      <c r="CR8" s="45"/>
      <c r="CS8" s="37">
        <f t="shared" ref="CS8:CS34" si="30">IF((CQ8-CQ7)&lt;=0,0,(CQ8-CQ7))*1000+GX8</f>
        <v>6450.7200000001822</v>
      </c>
      <c r="CT8" s="37">
        <f>IF(CS8&lt;=0,0,(CS8/SQRT(CS8^2+(CR8-CR7)^2)))</f>
        <v>1</v>
      </c>
      <c r="CU8" s="37">
        <v>2205500</v>
      </c>
      <c r="CV8" s="37"/>
      <c r="CW8" s="38">
        <f t="shared" ref="CW8:CW38" si="31">IF((CU8-CU7)&lt;=0,0,(CU8-CU7))</f>
        <v>19900</v>
      </c>
      <c r="CX8" s="37">
        <f>IF(CW8&lt;=0,0,(CW8/SQRT(CW8^2+(CV8-CV7)^2)))</f>
        <v>1</v>
      </c>
      <c r="CY8" s="37">
        <v>1175700</v>
      </c>
      <c r="CZ8" s="37"/>
      <c r="DA8" s="37">
        <f t="shared" ref="DA8:DA26" si="32">IF((CY8-CY7)&lt;=0,0,(CY8-CY7))</f>
        <v>11500</v>
      </c>
      <c r="DB8" s="37">
        <f>IF(DA8&lt;=0,0,(DA8/SQRT(DA8^2+(CZ8-CZ7)^2)))</f>
        <v>1</v>
      </c>
      <c r="DC8" s="37"/>
      <c r="DD8" s="40"/>
      <c r="DE8" s="37">
        <f t="shared" ref="DE8:DE33" si="33">IF((DC8-DC7)&lt;=0,0,(DC8-DC7))</f>
        <v>0</v>
      </c>
      <c r="DF8" s="37">
        <f>IF(DE8&lt;=0,0,(DE8/SQRT(DE8^2+(DD8-DD7)^2)))</f>
        <v>0</v>
      </c>
      <c r="DG8" s="37">
        <f t="shared" ref="DG8:DG38" si="34">(DE8)-DA8-CW8-CS8-CO8-CK8-BW8</f>
        <v>-68232.159999999945</v>
      </c>
      <c r="DH8" s="37">
        <f t="shared" ref="DH8:DH38" si="35">DE8+BG8+AK8+N8</f>
        <v>306640.71999999991</v>
      </c>
      <c r="DI8" s="46"/>
      <c r="DJ8" s="46"/>
      <c r="DK8" s="47"/>
      <c r="DL8" s="47"/>
      <c r="DM8" s="37"/>
      <c r="DN8" s="37"/>
      <c r="DO8" s="37"/>
      <c r="DP8" s="37"/>
      <c r="DQ8" s="50">
        <v>2582100</v>
      </c>
      <c r="DR8" s="49">
        <f>IF((DQ8-DQ7)&lt;=0,0,(DQ8-DQ7))</f>
        <v>10300</v>
      </c>
      <c r="DS8" s="50">
        <v>1835400</v>
      </c>
      <c r="DT8" s="49">
        <f>IF((DS8-DS7)&lt;=0,0,(DS8-DS7))</f>
        <v>12500</v>
      </c>
      <c r="DU8" s="52">
        <v>7512.3</v>
      </c>
      <c r="DV8" s="52">
        <v>4192.6000000000004</v>
      </c>
      <c r="DW8" s="37">
        <f>IF((DU8-DU7)*1000&lt;=0,0,(DU8-DU7)*1000)</f>
        <v>3500</v>
      </c>
      <c r="DX8" s="52">
        <v>12441</v>
      </c>
      <c r="DY8" s="52">
        <v>8225.2999999999993</v>
      </c>
      <c r="DZ8" s="37">
        <f t="shared" ref="DZ8:DZ38" si="36">IF((DX8-DX7)*1000&lt;=0,0,(DX8-DX7)*1000)+GX8</f>
        <v>5150.72</v>
      </c>
      <c r="EA8" s="49">
        <v>27686</v>
      </c>
      <c r="EB8" s="49">
        <v>19.725000000000001</v>
      </c>
      <c r="EC8" s="37">
        <f t="shared" ref="EC8:EC35" si="37">IF((EA8-EA7)*1000&lt;=0,0,(EA8-EA7)*1000)+GX8+$EE$40</f>
        <v>18310.72</v>
      </c>
      <c r="ED8" s="53">
        <f t="shared" ref="ED8:ED38" si="38">DW8+DZ8+EC8</f>
        <v>26961.440000000002</v>
      </c>
      <c r="EE8" s="49">
        <v>42763</v>
      </c>
      <c r="EF8" s="49">
        <v>27.088000000000001</v>
      </c>
      <c r="EG8" s="37">
        <f t="shared" ref="EG8:EG35" si="39">IF((EE8-EE7)*1000&lt;=0,0,(EE8-EE7)*1000)+GX8+$EE$40</f>
        <v>35310.720000000001</v>
      </c>
      <c r="EH8" s="52">
        <v>11995</v>
      </c>
      <c r="EI8" s="52">
        <v>1.5979000000000001</v>
      </c>
      <c r="EJ8" s="37">
        <f t="shared" ref="EJ8:EJ38" si="40">IF((EH8-EH7)*1000&lt;=0,0,(EH8-EH7)*1000)+GX8</f>
        <v>10150.719999999999</v>
      </c>
      <c r="EK8" s="37">
        <v>724.2</v>
      </c>
      <c r="EL8" s="40">
        <v>1040.5</v>
      </c>
      <c r="EM8" s="37">
        <f>IF((EK8-EK7)&lt;=0,0,(EK8-EK7))*1000</f>
        <v>710.00000000003638</v>
      </c>
      <c r="EN8" s="54">
        <f>EG8+EJ8+EM8</f>
        <v>46171.440000000039</v>
      </c>
      <c r="EO8" s="48">
        <v>12074</v>
      </c>
      <c r="EP8" s="48">
        <v>4204.6000000000004</v>
      </c>
      <c r="EQ8" s="37">
        <f t="shared" ref="EQ8:EQ38" si="41">IF((EO8-EO7)*1000&lt;=0,0,(EO8-EO7)*1000)+GX8</f>
        <v>9150.7199999999993</v>
      </c>
      <c r="ER8" s="48">
        <v>7679.1</v>
      </c>
      <c r="ES8" s="48">
        <v>3117.6</v>
      </c>
      <c r="ET8" s="49">
        <f t="shared" ref="ET8:ET14" si="42">IF((ER8-ER7)&lt;=0,0,(ER8-ER7))*1000</f>
        <v>19000</v>
      </c>
      <c r="EU8" s="48">
        <v>2731.3</v>
      </c>
      <c r="EV8" s="48">
        <v>977.94</v>
      </c>
      <c r="EW8" s="49">
        <f t="shared" ref="EW8:EW38" si="43">IF((EU8-EU7)&lt;=0,0,(EU8-EU7))*1000+GX8</f>
        <v>8550.7200000000903</v>
      </c>
      <c r="EX8" s="48">
        <v>12252</v>
      </c>
      <c r="EY8" s="48">
        <v>1.2996000000000001</v>
      </c>
      <c r="EZ8" s="37">
        <f t="shared" ref="EZ8:EZ38" si="44">IF((EX8-EX7)&lt;=0,0,(EX8-EX7))*1000+GX8</f>
        <v>11150.72</v>
      </c>
      <c r="FA8" s="48">
        <f>FC8-EQ8-ET8-EW8-EZ8</f>
        <v>-23735.160000000091</v>
      </c>
      <c r="FB8" s="48">
        <v>34092903</v>
      </c>
      <c r="FC8" s="49">
        <f>IF((FB8-FB7)&lt;=0,0,(FB8-FB7))</f>
        <v>24117</v>
      </c>
      <c r="FD8" s="48">
        <f>EQ8+ET8+EW8+EZ8+GJ8</f>
        <v>50352.160000000091</v>
      </c>
      <c r="FE8" s="48">
        <v>16119</v>
      </c>
      <c r="FF8" s="48">
        <v>5786.2</v>
      </c>
      <c r="FG8" s="37">
        <f>IF((FE8-FE7)*1000&lt;=0,0,(FE8-FE7)*1000)+FL8+GX8</f>
        <v>10584.05</v>
      </c>
      <c r="FH8" s="48">
        <v>7123.1</v>
      </c>
      <c r="FI8" s="48">
        <v>2.7423999999999999</v>
      </c>
      <c r="FJ8" s="49">
        <f t="shared" ref="FJ8:FJ38" si="45">IF((FH8-FH7)&lt;=0,0,(FH8-FH7))*1000+FL8+GX8</f>
        <v>20784.050000000731</v>
      </c>
      <c r="FK8" s="48"/>
      <c r="FL8" s="58">
        <v>433.33</v>
      </c>
      <c r="FM8" s="48">
        <f>FT8/3</f>
        <v>-150.7166666669109</v>
      </c>
      <c r="FN8" s="48">
        <v>15395</v>
      </c>
      <c r="FO8" s="48">
        <v>0.69040000000000001</v>
      </c>
      <c r="FP8" s="37">
        <f>IF((FN8-FN7)*1000&lt;=0,0,(FN8-FN7)*1000)+FL8+GX8</f>
        <v>12584.05</v>
      </c>
      <c r="FQ8" s="48">
        <v>54854</v>
      </c>
      <c r="FR8" s="48">
        <v>13.099</v>
      </c>
      <c r="FS8" s="37">
        <f t="shared" ref="FS8:FS34" si="46">IF((FQ8-FQ7)*1000&lt;=0,0,(FQ8-FQ7)*1000)</f>
        <v>56000</v>
      </c>
      <c r="FT8" s="48">
        <f>FS8-FG8-FJ8-FP8-DT8</f>
        <v>-452.15000000073269</v>
      </c>
      <c r="FU8" s="48">
        <f>FG8+FJ8+FP8+GM8</f>
        <v>44152.150000000547</v>
      </c>
      <c r="FV8" s="44">
        <v>2431000</v>
      </c>
      <c r="FW8" s="44">
        <v>786270</v>
      </c>
      <c r="FX8" s="37">
        <f t="shared" ref="FX8:FX38" si="47">IF((FV8-FV7)*1000&lt;=0,0,(FV8-FV7))</f>
        <v>300</v>
      </c>
      <c r="FY8" s="56">
        <v>2812.7</v>
      </c>
      <c r="FZ8" s="56">
        <v>1.6180000000000001</v>
      </c>
      <c r="GA8" s="37">
        <f t="shared" ref="GA8:GA37" si="48">IF((FY8-FY7)*1000&lt;=0,0,((FY8-FY7)*1000)-GS8)</f>
        <v>109.9999999998181</v>
      </c>
      <c r="GB8" s="56">
        <v>739.39</v>
      </c>
      <c r="GC8" s="56">
        <v>820.6</v>
      </c>
      <c r="GD8" s="37">
        <f t="shared" ref="GD8:GD38" si="49">IF((GB8-GB7)*1000&lt;=0,0,(GB8-GB7)*1000)</f>
        <v>279.99999999997272</v>
      </c>
      <c r="GE8" s="56">
        <v>9192.5</v>
      </c>
      <c r="GF8" s="63">
        <v>2.7505999999999999</v>
      </c>
      <c r="GG8" s="37">
        <f t="shared" ref="GG8:GG38" si="50">IF((GE8-GE7)*1000&lt;=0,0,(GE8-GE7)*1000)-GJ8-GM8</f>
        <v>300.0000000001819</v>
      </c>
      <c r="GH8" s="48">
        <v>1778.8</v>
      </c>
      <c r="GI8" s="56">
        <v>1502.4</v>
      </c>
      <c r="GJ8" s="38">
        <f t="shared" ref="GJ8:GJ38" si="51">IF((GH8-GH7)&lt;=0,0,(GH8-GH7))*1000</f>
        <v>2500</v>
      </c>
      <c r="GK8" s="56">
        <v>1407.1</v>
      </c>
      <c r="GL8" s="44">
        <v>1092.5999999999999</v>
      </c>
      <c r="GM8" s="38">
        <f t="shared" ref="GM8:GM38" si="52">IF((GK8-GK7)&lt;=0,0,(GK8-GK7))*1000</f>
        <v>199.9999999998181</v>
      </c>
      <c r="GN8" s="57">
        <v>158910</v>
      </c>
      <c r="GO8" s="57">
        <v>138650</v>
      </c>
      <c r="GP8" s="38">
        <f>IF((GN8-GN7)&lt;=0,0,(GN8-GN7)+1000)</f>
        <v>1010</v>
      </c>
      <c r="GQ8" s="38">
        <v>202190</v>
      </c>
      <c r="GR8" s="38">
        <v>203290</v>
      </c>
      <c r="GS8" s="38">
        <f>IF((GQ8-GQ7)&lt;=0,0,(GQ8-GQ7))</f>
        <v>90</v>
      </c>
      <c r="GT8" s="178"/>
      <c r="GU8" s="144">
        <f>DailyFeb!B7-DailyFeb!N7-DailyFeb!V7-DailyFeb!Y7-DailyFeb!Z7-DailyFeb!AA7-DailyFeb!AB7-DailyFeb!AC7-DailyFeb!AD7-DailyFeb!AE7-DailyFeb!AK7-DailyFeb!AO7-DailyFeb!AS7-DailyFeb!AY7-DailyFeb!BD7+DailyFeb!BS7-SUM(DailyFeb!BM7:BQ7)-DailyFeb!BR7-DailyFeb!AF7-DailyFeb!AG7</f>
        <v>-3.2000000028347131E-2</v>
      </c>
      <c r="GV8" s="59">
        <v>2260.7679999999746</v>
      </c>
      <c r="GW8" s="60">
        <f t="shared" ref="GW8:GW38" si="53">GV8/15</f>
        <v>150.71786666666497</v>
      </c>
      <c r="GX8" s="61">
        <v>150.72</v>
      </c>
      <c r="GY8" s="140"/>
      <c r="GZ8" s="62"/>
      <c r="HA8" s="62">
        <f>$HA$39*G8</f>
        <v>2260.7679999999759</v>
      </c>
      <c r="HB8" s="62"/>
      <c r="HC8" s="62">
        <v>33692.95399999724</v>
      </c>
      <c r="HD8" s="74"/>
      <c r="HE8" s="24">
        <f t="shared" ref="HE8:HE35" si="54">HC8-HA8</f>
        <v>31432.185999997266</v>
      </c>
      <c r="HG8" s="213">
        <v>2</v>
      </c>
      <c r="HH8" s="16"/>
      <c r="HI8" s="16"/>
      <c r="HJ8" s="128">
        <f>HE8</f>
        <v>31432.185999997266</v>
      </c>
      <c r="HK8" s="16"/>
      <c r="HL8" s="16"/>
      <c r="HM8" s="16"/>
      <c r="HN8" s="16"/>
      <c r="HO8" s="16"/>
      <c r="HP8" s="179">
        <f>HJ8/2</f>
        <v>15716.092999998633</v>
      </c>
      <c r="HQ8" s="16"/>
      <c r="HR8" s="16"/>
      <c r="HS8" s="16">
        <f>HJ8/2</f>
        <v>15716.092999998633</v>
      </c>
      <c r="HT8" s="16"/>
      <c r="HU8" s="16"/>
      <c r="HV8" s="16"/>
      <c r="HW8" s="16"/>
      <c r="HX8" s="16"/>
      <c r="HY8" s="16"/>
      <c r="HZ8" s="211">
        <f>HJ8+HM8-HP8-HS8-HV8-HY8</f>
        <v>0</v>
      </c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</row>
    <row r="9" spans="1:284" x14ac:dyDescent="0.25">
      <c r="A9" s="35">
        <f t="shared" si="1"/>
        <v>3</v>
      </c>
      <c r="B9" s="38">
        <v>3377.25</v>
      </c>
      <c r="C9" s="38">
        <f t="shared" si="2"/>
        <v>7.25</v>
      </c>
      <c r="D9" s="38">
        <f t="shared" si="3"/>
        <v>232000</v>
      </c>
      <c r="E9" s="37">
        <v>680.49</v>
      </c>
      <c r="F9" s="38">
        <f t="shared" si="4"/>
        <v>45760.000000002037</v>
      </c>
      <c r="G9" s="38">
        <f t="shared" si="5"/>
        <v>277760.00000000204</v>
      </c>
      <c r="H9" s="37"/>
      <c r="I9" s="39"/>
      <c r="J9" s="42"/>
      <c r="K9" s="37">
        <f>IF(J9&lt;=0,0,(J9/SQRT(J9^2+(I9-I8)^2)))</f>
        <v>0</v>
      </c>
      <c r="L9" s="40">
        <v>9651700</v>
      </c>
      <c r="M9" s="40"/>
      <c r="N9" s="37">
        <f>IF((L9-L8)&lt;=0,0,(L9-L8)*10)</f>
        <v>276000</v>
      </c>
      <c r="O9" s="37">
        <v>9450.9</v>
      </c>
      <c r="P9" s="37"/>
      <c r="Q9" s="37">
        <f t="shared" si="6"/>
        <v>13299.999999999272</v>
      </c>
      <c r="R9" s="37">
        <f>IF(Q9&lt;=0,0,(Q9/SQRT(Q9^2+(P9-P8)^2)))</f>
        <v>1</v>
      </c>
      <c r="S9" s="41">
        <v>10938012.98</v>
      </c>
      <c r="T9" s="37">
        <f t="shared" si="7"/>
        <v>0</v>
      </c>
      <c r="U9" s="37">
        <v>1518125.52</v>
      </c>
      <c r="V9" s="37">
        <f t="shared" si="8"/>
        <v>0</v>
      </c>
      <c r="W9" s="37">
        <v>3249.6</v>
      </c>
      <c r="X9" s="37">
        <f>Q9-T9-V9-AB9</f>
        <v>8319.9999999992724</v>
      </c>
      <c r="Y9" s="183"/>
      <c r="Z9" s="183">
        <f t="shared" si="9"/>
        <v>0</v>
      </c>
      <c r="AA9" s="37">
        <v>463830</v>
      </c>
      <c r="AB9" s="37">
        <f t="shared" si="10"/>
        <v>4980</v>
      </c>
      <c r="AC9" s="37">
        <v>3446.6</v>
      </c>
      <c r="AD9" s="37"/>
      <c r="AE9" s="37">
        <f t="shared" si="11"/>
        <v>7299.9999999997272</v>
      </c>
      <c r="AF9" s="37">
        <f>IF(AE9&lt;=0,0,(AE9/SQRT(AE9^2+(AD9-AD8)^2)))</f>
        <v>1</v>
      </c>
      <c r="AG9" s="37">
        <v>7513</v>
      </c>
      <c r="AH9" s="37"/>
      <c r="AI9" s="37">
        <f t="shared" si="12"/>
        <v>15752.120000000365</v>
      </c>
      <c r="AJ9" s="37">
        <f t="shared" si="13"/>
        <v>1</v>
      </c>
      <c r="AK9" s="37">
        <f t="shared" si="14"/>
        <v>31372.119999999362</v>
      </c>
      <c r="AL9" s="42">
        <v>9620.7999999999993</v>
      </c>
      <c r="AM9" s="42"/>
      <c r="AN9" s="37">
        <f t="shared" ref="AN9:AN38" si="55">IF((AL9-AL8)&lt;=0,0,(AL9-AL8))*1000+GX9-BL9-BN9-BP9-BR9</f>
        <v>3822.1199999995506</v>
      </c>
      <c r="AO9" s="37">
        <f>IF(AN9&lt;=0,0,(AN9/SQRT(AN9^2+(AM9-AM8)^2)))</f>
        <v>1</v>
      </c>
      <c r="AP9" s="37">
        <v>7271.8</v>
      </c>
      <c r="AQ9" s="37"/>
      <c r="AR9" s="37">
        <f t="shared" si="15"/>
        <v>8900.0000000005457</v>
      </c>
      <c r="AS9" s="37">
        <f>IF(AR9&lt;=0,0,(AR9/SQRT(AR9^2+(AQ9-AQ8)^2)))</f>
        <v>1</v>
      </c>
      <c r="AT9" s="183"/>
      <c r="AU9" s="183">
        <f t="shared" si="16"/>
        <v>0</v>
      </c>
      <c r="AV9" s="183"/>
      <c r="AW9" s="183">
        <f t="shared" si="17"/>
        <v>0</v>
      </c>
      <c r="AX9" s="37">
        <v>443558.16</v>
      </c>
      <c r="AY9" s="37"/>
      <c r="AZ9" s="37">
        <f t="shared" si="18"/>
        <v>18.71999999997206</v>
      </c>
      <c r="BA9" s="37">
        <v>88123.144</v>
      </c>
      <c r="BB9" s="37"/>
      <c r="BC9" s="37">
        <f t="shared" si="19"/>
        <v>22.135999999998603</v>
      </c>
      <c r="BD9" s="37">
        <f>AN9+AR9+AZ9+BC9</f>
        <v>12762.976000000068</v>
      </c>
      <c r="BE9" s="43">
        <v>1641.5</v>
      </c>
      <c r="BF9" s="43">
        <v>892.29</v>
      </c>
      <c r="BG9" s="37">
        <f t="shared" si="20"/>
        <v>2299.9999999999545</v>
      </c>
      <c r="BH9" s="44">
        <v>7893</v>
      </c>
      <c r="BI9" s="44">
        <v>5078.5</v>
      </c>
      <c r="BJ9" s="37">
        <f t="shared" si="21"/>
        <v>8800.0000000001819</v>
      </c>
      <c r="BK9" s="40">
        <v>1139700</v>
      </c>
      <c r="BL9" s="40">
        <f>IF((BK9-BK8)&lt;=0,0,(BK9-BK8))</f>
        <v>3700</v>
      </c>
      <c r="BM9" s="40">
        <v>798.34</v>
      </c>
      <c r="BN9" s="37">
        <f t="shared" si="22"/>
        <v>700.00000000004547</v>
      </c>
      <c r="BO9" s="186"/>
      <c r="BP9" s="183">
        <f t="shared" si="23"/>
        <v>0</v>
      </c>
      <c r="BQ9" s="40">
        <v>756.01</v>
      </c>
      <c r="BR9" s="37">
        <f t="shared" ref="BR9:BR38" si="56">IF((BQ9-BQ8)&lt;=0,0,(BQ9-BQ8))*1000</f>
        <v>330.00000000004093</v>
      </c>
      <c r="BS9" s="37">
        <v>75248.960000000006</v>
      </c>
      <c r="BT9" s="37">
        <f t="shared" si="24"/>
        <v>185.41000000000349</v>
      </c>
      <c r="BU9" s="42">
        <v>1942500</v>
      </c>
      <c r="BV9" s="42"/>
      <c r="BW9" s="37">
        <f t="shared" si="25"/>
        <v>5600</v>
      </c>
      <c r="BX9" s="37">
        <f>IF(BW9&lt;=0,0,(BW9/SQRT(BW9^2+(BV9-BV8)^2)))</f>
        <v>1</v>
      </c>
      <c r="BY9" s="43">
        <v>270.89</v>
      </c>
      <c r="BZ9" s="43"/>
      <c r="CA9" s="37">
        <f t="shared" si="26"/>
        <v>789.99999999996362</v>
      </c>
      <c r="CB9" s="37">
        <f t="shared" ref="CB9:CB38" si="57">IF(CA9&lt;=0,0,(CA9/SQRT(CA9^2+(BZ9-BZ8)^2)))</f>
        <v>1</v>
      </c>
      <c r="CC9" s="37">
        <v>459730</v>
      </c>
      <c r="CD9" s="37">
        <f t="shared" si="27"/>
        <v>290</v>
      </c>
      <c r="CE9" s="41">
        <v>697330</v>
      </c>
      <c r="CF9" s="37">
        <f t="shared" ref="CF9:CF38" si="58">IF((CE9-CE8)&lt;=0,0,(CE9-CE8))</f>
        <v>0</v>
      </c>
      <c r="CG9" s="37">
        <v>58347</v>
      </c>
      <c r="CH9" s="37">
        <f t="shared" ref="CH9:CH38" si="59">IF((CG9-CG8)&lt;=0,0,(CG9-CG8))</f>
        <v>1112</v>
      </c>
      <c r="CI9" s="40">
        <v>10823</v>
      </c>
      <c r="CJ9" s="40"/>
      <c r="CK9" s="37">
        <f t="shared" ref="CK9:CK38" si="60">IF((CI9-CI8)*1000&lt;=0,0,(CI9-CI8)*1000)+GX9-CA9</f>
        <v>15362.120000000037</v>
      </c>
      <c r="CL9" s="37">
        <f t="shared" si="28"/>
        <v>1</v>
      </c>
      <c r="CM9" s="37">
        <v>2786.7</v>
      </c>
      <c r="CN9" s="37"/>
      <c r="CO9" s="37">
        <f t="shared" si="29"/>
        <v>5852.119999999818</v>
      </c>
      <c r="CP9" s="37">
        <f>IF(CO9&lt;=0,0,(CO9/SQRT(CO9^2+(CN9-CN8)^2)))</f>
        <v>1</v>
      </c>
      <c r="CQ9" s="39">
        <v>2710.8</v>
      </c>
      <c r="CR9" s="45"/>
      <c r="CS9" s="37">
        <f t="shared" si="30"/>
        <v>6052.1200000000908</v>
      </c>
      <c r="CT9" s="37">
        <f>IF(CS9&lt;=0,0,(CS9/SQRT(CS9^2+(CR9-CR8)^2)))</f>
        <v>1</v>
      </c>
      <c r="CU9" s="37">
        <v>2223600</v>
      </c>
      <c r="CV9" s="37"/>
      <c r="CW9" s="38">
        <f t="shared" si="31"/>
        <v>18100</v>
      </c>
      <c r="CX9" s="37">
        <f>IF(CW9&lt;=0,0,(CW9/SQRT(CW9^2+(CV9-CV8)^2)))</f>
        <v>1</v>
      </c>
      <c r="CY9" s="37">
        <v>1185100</v>
      </c>
      <c r="CZ9" s="37"/>
      <c r="DA9" s="37">
        <f t="shared" si="32"/>
        <v>9400</v>
      </c>
      <c r="DB9" s="37">
        <f>IF(DA9&lt;=0,0,(DA9/SQRT(DA9^2+(CZ9-CZ8)^2)))</f>
        <v>1</v>
      </c>
      <c r="DC9" s="37"/>
      <c r="DD9" s="40"/>
      <c r="DE9" s="37">
        <f t="shared" si="33"/>
        <v>0</v>
      </c>
      <c r="DF9" s="37">
        <f>IF(DE9&lt;=0,0,(DE9/SQRT(DE9^2+(DD9-DD8)^2)))</f>
        <v>0</v>
      </c>
      <c r="DG9" s="37">
        <f t="shared" si="34"/>
        <v>-60366.35999999995</v>
      </c>
      <c r="DH9" s="37">
        <f t="shared" si="35"/>
        <v>309672.1199999993</v>
      </c>
      <c r="DI9" s="46"/>
      <c r="DJ9" s="46"/>
      <c r="DK9" s="47"/>
      <c r="DL9" s="47"/>
      <c r="DM9" s="37"/>
      <c r="DN9" s="37"/>
      <c r="DO9" s="37"/>
      <c r="DP9" s="37"/>
      <c r="DQ9" s="50">
        <v>2591300</v>
      </c>
      <c r="DR9" s="49">
        <f t="shared" ref="DR9:DR38" si="61">IF((DQ9-DQ8)&lt;=0,0,(DQ9-DQ8))</f>
        <v>9200</v>
      </c>
      <c r="DS9" s="50">
        <v>1851100</v>
      </c>
      <c r="DT9" s="49">
        <f t="shared" ref="DT9:DT38" si="62">IF((DS9-DS8)&lt;=0,0,(DS9-DS8))</f>
        <v>15700</v>
      </c>
      <c r="DU9" s="52">
        <v>7516.7</v>
      </c>
      <c r="DV9" s="52">
        <v>4195.3</v>
      </c>
      <c r="DW9" s="37">
        <f>IF((DU9-DU8)*1000&lt;=0,0,(DU9-DU8)*1000)</f>
        <v>4399.9999999996362</v>
      </c>
      <c r="DX9" s="52">
        <v>12448</v>
      </c>
      <c r="DY9" s="52">
        <v>8227.6</v>
      </c>
      <c r="DZ9" s="37">
        <f t="shared" si="36"/>
        <v>7152.12</v>
      </c>
      <c r="EA9" s="49">
        <v>27709</v>
      </c>
      <c r="EB9" s="49">
        <v>19.734999999999999</v>
      </c>
      <c r="EC9" s="37">
        <f t="shared" si="37"/>
        <v>25312.12</v>
      </c>
      <c r="ED9" s="53">
        <f t="shared" si="38"/>
        <v>36864.239999999634</v>
      </c>
      <c r="EE9" s="49">
        <v>42795</v>
      </c>
      <c r="EF9" s="49">
        <v>27.114999999999998</v>
      </c>
      <c r="EG9" s="37">
        <f t="shared" si="39"/>
        <v>34312.119999999995</v>
      </c>
      <c r="EH9" s="52">
        <v>12004</v>
      </c>
      <c r="EI9" s="52">
        <v>1.5992999999999999</v>
      </c>
      <c r="EJ9" s="37">
        <f t="shared" si="40"/>
        <v>9152.1200000000008</v>
      </c>
      <c r="EK9" s="37">
        <v>724.89</v>
      </c>
      <c r="EL9" s="40">
        <v>1041.5</v>
      </c>
      <c r="EM9" s="37">
        <f t="shared" ref="EM9:EM38" si="63">IF((EK9-EK8)&lt;=0,0,(EK9-EK8))*1000</f>
        <v>689.99999999994088</v>
      </c>
      <c r="EN9" s="54">
        <f t="shared" ref="EN9:EN38" si="64">EG9+EJ9+EM9</f>
        <v>44154.23999999994</v>
      </c>
      <c r="EO9" s="48">
        <v>12083</v>
      </c>
      <c r="EP9" s="48">
        <v>4207.7</v>
      </c>
      <c r="EQ9" s="37">
        <f t="shared" si="41"/>
        <v>9152.1200000000008</v>
      </c>
      <c r="ER9" s="48">
        <v>7697.5</v>
      </c>
      <c r="ES9" s="48">
        <v>3125.2</v>
      </c>
      <c r="ET9" s="49">
        <f t="shared" si="42"/>
        <v>18399.999999999636</v>
      </c>
      <c r="EU9" s="48">
        <v>2739.6</v>
      </c>
      <c r="EV9" s="48">
        <v>980.79</v>
      </c>
      <c r="EW9" s="49">
        <f t="shared" si="43"/>
        <v>8452.119999999728</v>
      </c>
      <c r="EX9" s="48">
        <v>12262</v>
      </c>
      <c r="EY9" s="48">
        <v>1.3018000000000001</v>
      </c>
      <c r="EZ9" s="37">
        <f t="shared" si="44"/>
        <v>10152.120000000001</v>
      </c>
      <c r="FA9" s="48">
        <f t="shared" ref="FA9:FA38" si="65">FC9-EQ9-ET9-EW9-EZ9</f>
        <v>-22594.359999999368</v>
      </c>
      <c r="FB9" s="48">
        <v>34116465</v>
      </c>
      <c r="FC9" s="49">
        <f>IF((FB9-FB8)&lt;=0,0,(FB9-FB8))</f>
        <v>23562</v>
      </c>
      <c r="FD9" s="48">
        <f t="shared" ref="FD9:FD38" si="66">EQ9+ET9+EW9+EZ9+GJ9</f>
        <v>48556.359999999462</v>
      </c>
      <c r="FE9" s="48">
        <v>16129</v>
      </c>
      <c r="FF9" s="48">
        <v>5789.4</v>
      </c>
      <c r="FG9" s="37">
        <f t="shared" ref="FG9:FG38" si="67">IF((FE9-FE8)*1000&lt;=0,0,(FE9-FE8)*1000)+FL9+GX9</f>
        <v>9685.4500000000007</v>
      </c>
      <c r="FH9" s="48">
        <v>7142.8</v>
      </c>
      <c r="FI9" s="48">
        <v>2.75</v>
      </c>
      <c r="FJ9" s="49">
        <f t="shared" si="45"/>
        <v>19385.449999999819</v>
      </c>
      <c r="FK9" s="48"/>
      <c r="FL9" s="58">
        <v>-466.67</v>
      </c>
      <c r="FM9" s="48">
        <f>FT9/3</f>
        <v>-152.11666666660554</v>
      </c>
      <c r="FN9" s="48">
        <v>15407</v>
      </c>
      <c r="FO9" s="48">
        <v>0.6925</v>
      </c>
      <c r="FP9" s="37">
        <f t="shared" ref="FP9:FP38" si="68">IF((FN9-FN8)*1000&lt;=0,0,(FN9-FN8)*1000)+FL9+GX9</f>
        <v>11685.45</v>
      </c>
      <c r="FQ9" s="48">
        <v>54910</v>
      </c>
      <c r="FR9" s="48">
        <v>13.116</v>
      </c>
      <c r="FS9" s="37">
        <f t="shared" si="46"/>
        <v>56000</v>
      </c>
      <c r="FT9" s="48">
        <f t="shared" ref="FT9:FT15" si="69">FS9-FG9-FJ9-FP9-DT9</f>
        <v>-456.34999999981665</v>
      </c>
      <c r="FU9" s="48">
        <f t="shared" ref="FU9:FU38" si="70">FG9+FJ9+FP9+GM9</f>
        <v>40756.349999999817</v>
      </c>
      <c r="FV9" s="44">
        <v>2431500</v>
      </c>
      <c r="FW9" s="44">
        <v>786520</v>
      </c>
      <c r="FX9" s="37">
        <f t="shared" si="47"/>
        <v>500</v>
      </c>
      <c r="FY9" s="56">
        <v>2812.9</v>
      </c>
      <c r="FZ9" s="56">
        <v>1.6180000000000001</v>
      </c>
      <c r="GA9" s="37">
        <f t="shared" si="48"/>
        <v>120.00000000027285</v>
      </c>
      <c r="GB9" s="56">
        <v>739.65</v>
      </c>
      <c r="GC9" s="56">
        <v>821</v>
      </c>
      <c r="GD9" s="37">
        <f t="shared" si="49"/>
        <v>259.99999999999091</v>
      </c>
      <c r="GE9" s="63">
        <v>9195.2999999999993</v>
      </c>
      <c r="GF9" s="56">
        <v>2.7534999999999998</v>
      </c>
      <c r="GG9" s="37">
        <f t="shared" si="50"/>
        <v>399.99999999918145</v>
      </c>
      <c r="GH9" s="48">
        <v>1781.2</v>
      </c>
      <c r="GI9" s="56">
        <v>1504.8</v>
      </c>
      <c r="GJ9" s="38">
        <f t="shared" si="51"/>
        <v>2400.0000000000909</v>
      </c>
      <c r="GK9" s="56">
        <v>1407.1</v>
      </c>
      <c r="GL9" s="44">
        <v>1092.5999999999999</v>
      </c>
      <c r="GM9" s="38">
        <f t="shared" si="52"/>
        <v>0</v>
      </c>
      <c r="GN9" s="57">
        <v>158910</v>
      </c>
      <c r="GO9" s="57">
        <v>138650</v>
      </c>
      <c r="GP9" s="38">
        <f>IF((GN9-GN8)&lt;=0,0,(GN9-GN8)+1000)</f>
        <v>0</v>
      </c>
      <c r="GQ9" s="38">
        <v>202270</v>
      </c>
      <c r="GR9" s="38">
        <v>203370</v>
      </c>
      <c r="GS9" s="38">
        <f t="shared" ref="GS9:GS38" si="71">IF((GQ9-GQ8)&lt;=0,0,(GQ9-GQ8))</f>
        <v>80</v>
      </c>
      <c r="GT9" s="178"/>
      <c r="GU9" s="144">
        <f>DailyFeb!B8-DailyFeb!N8-DailyFeb!V8-DailyFeb!Y8-DailyFeb!Z8-DailyFeb!AA8-DailyFeb!AB8-DailyFeb!AC8-DailyFeb!AD8-DailyFeb!AE8-DailyFeb!AK8-DailyFeb!AO8-DailyFeb!AS8-DailyFeb!AY8-DailyFeb!BD8+DailyFeb!BS8-SUM(DailyFeb!BM8:BQ8)-DailyFeb!BR8-DailyFeb!AF8-DailyFeb!AG8</f>
        <v>-1.5999999959603883E-3</v>
      </c>
      <c r="GV9" s="59">
        <v>2281.7984000000142</v>
      </c>
      <c r="GW9" s="60">
        <f t="shared" si="53"/>
        <v>152.11989333333429</v>
      </c>
      <c r="GX9" s="61">
        <v>152.12</v>
      </c>
      <c r="GY9" s="140"/>
      <c r="GZ9" s="62"/>
      <c r="HA9" s="62">
        <f t="shared" ref="HA9:HA38" si="72">$HA$39*G9</f>
        <v>2281.798400000017</v>
      </c>
      <c r="HB9" s="74"/>
      <c r="HC9" s="62">
        <v>52807.1540000042</v>
      </c>
      <c r="HD9" s="74"/>
      <c r="HE9" s="24">
        <f t="shared" si="54"/>
        <v>50525.355600004186</v>
      </c>
      <c r="HG9" s="213">
        <v>3</v>
      </c>
      <c r="HH9" s="16"/>
      <c r="HI9" s="16"/>
      <c r="HJ9" s="128">
        <f t="shared" ref="HJ9:HJ14" si="73">HE9</f>
        <v>50525.355600004186</v>
      </c>
      <c r="HK9" s="16"/>
      <c r="HL9" s="16"/>
      <c r="HM9" s="16"/>
      <c r="HN9" s="16"/>
      <c r="HO9" s="16"/>
      <c r="HP9" s="179">
        <f t="shared" ref="HP9:HP14" si="74">HJ9/2</f>
        <v>25262.677800002093</v>
      </c>
      <c r="HQ9" s="16"/>
      <c r="HR9" s="16"/>
      <c r="HS9" s="16">
        <f t="shared" ref="HS9:HS14" si="75">HJ9/2</f>
        <v>25262.677800002093</v>
      </c>
      <c r="HT9" s="16"/>
      <c r="HU9" s="16"/>
      <c r="HV9" s="16"/>
      <c r="HW9" s="16"/>
      <c r="HX9" s="16"/>
      <c r="HY9" s="16"/>
      <c r="HZ9" s="211">
        <f t="shared" ref="HZ9:HZ38" si="76">HJ9+HM9-HP9-HS9-HV9-HY9</f>
        <v>0</v>
      </c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</row>
    <row r="10" spans="1:284" x14ac:dyDescent="0.25">
      <c r="A10" s="35">
        <f t="shared" si="1"/>
        <v>4</v>
      </c>
      <c r="B10" s="38">
        <v>3382.99</v>
      </c>
      <c r="C10" s="38">
        <f t="shared" si="2"/>
        <v>5.7399999999997817</v>
      </c>
      <c r="D10" s="38">
        <f t="shared" si="3"/>
        <v>183679.99999999302</v>
      </c>
      <c r="E10" s="38">
        <v>681.63</v>
      </c>
      <c r="F10" s="38">
        <f t="shared" si="4"/>
        <v>36479.999999999563</v>
      </c>
      <c r="G10" s="38">
        <f t="shared" si="5"/>
        <v>220159.99999999258</v>
      </c>
      <c r="H10" s="37"/>
      <c r="I10" s="39"/>
      <c r="J10" s="42"/>
      <c r="K10" s="37">
        <f t="shared" ref="K10:K34" si="77">IF(J10&lt;=0,0,(J10/SQRT(J10^2+(I10-I9)^2)))</f>
        <v>0</v>
      </c>
      <c r="L10" s="40">
        <f>L9+21900</f>
        <v>9673600</v>
      </c>
      <c r="M10" s="40"/>
      <c r="N10" s="37">
        <f t="shared" ref="N10:N38" si="78">IF((L10-L9)&lt;=0,0,(L10-L9)*10)</f>
        <v>219000</v>
      </c>
      <c r="O10" s="37">
        <v>9464</v>
      </c>
      <c r="P10" s="37"/>
      <c r="Q10" s="37">
        <f t="shared" si="6"/>
        <v>13100.000000000364</v>
      </c>
      <c r="R10" s="37">
        <f t="shared" ref="R10:R34" si="79">IF(Q10&lt;=0,0,(Q10/SQRT(Q10^2+(P10-P9)^2)))</f>
        <v>1</v>
      </c>
      <c r="S10" s="41">
        <v>10938012.98</v>
      </c>
      <c r="T10" s="37">
        <f t="shared" si="7"/>
        <v>0</v>
      </c>
      <c r="U10" s="37">
        <v>1518125.52</v>
      </c>
      <c r="V10" s="37">
        <f t="shared" si="8"/>
        <v>0</v>
      </c>
      <c r="W10" s="37">
        <v>3256.3</v>
      </c>
      <c r="X10" s="37">
        <f>Q10-T10-V10-AB10</f>
        <v>8220.0000000003638</v>
      </c>
      <c r="Y10" s="183"/>
      <c r="Z10" s="183">
        <f t="shared" si="9"/>
        <v>0</v>
      </c>
      <c r="AA10" s="37">
        <v>468710</v>
      </c>
      <c r="AB10" s="37">
        <f t="shared" si="10"/>
        <v>4880</v>
      </c>
      <c r="AC10" s="37">
        <v>3454.1</v>
      </c>
      <c r="AD10" s="37"/>
      <c r="AE10" s="37">
        <f t="shared" si="11"/>
        <v>7500</v>
      </c>
      <c r="AF10" s="37">
        <f t="shared" ref="AF10:AF34" si="80">IF(AE10&lt;=0,0,(AE10/SQRT(AE10^2+(AD10-AD9)^2)))</f>
        <v>1</v>
      </c>
      <c r="AG10" s="37">
        <v>7529.8</v>
      </c>
      <c r="AH10" s="37"/>
      <c r="AI10" s="37">
        <f t="shared" si="12"/>
        <v>16920.570000000182</v>
      </c>
      <c r="AJ10" s="37">
        <f t="shared" si="13"/>
        <v>1</v>
      </c>
      <c r="AK10" s="37">
        <f t="shared" si="14"/>
        <v>32640.570000000545</v>
      </c>
      <c r="AL10" s="2">
        <v>9629.7999999999993</v>
      </c>
      <c r="AM10" s="42"/>
      <c r="AN10" s="37">
        <f t="shared" si="55"/>
        <v>4490.5700000000725</v>
      </c>
      <c r="AO10" s="37">
        <f t="shared" ref="AO10:AO34" si="81">IF(AN10&lt;=0,0,(AN10/SQRT(AN10^2+(AM10-AM9)^2)))</f>
        <v>1</v>
      </c>
      <c r="AP10" s="37">
        <v>7280.7</v>
      </c>
      <c r="AQ10" s="37"/>
      <c r="AR10" s="37">
        <f t="shared" si="15"/>
        <v>8899.9999999996362</v>
      </c>
      <c r="AS10" s="37">
        <f t="shared" ref="AS10:AS34" si="82">IF(AR10&lt;=0,0,(AR10/SQRT(AR10^2+(AQ10-AQ9)^2)))</f>
        <v>1</v>
      </c>
      <c r="AT10" s="183"/>
      <c r="AU10" s="183">
        <f t="shared" si="16"/>
        <v>0</v>
      </c>
      <c r="AV10" s="183"/>
      <c r="AW10" s="183">
        <f t="shared" si="17"/>
        <v>0</v>
      </c>
      <c r="AX10" s="37">
        <v>443867.28</v>
      </c>
      <c r="AY10" s="37"/>
      <c r="AZ10" s="37">
        <f t="shared" si="18"/>
        <v>309.12000000005355</v>
      </c>
      <c r="BA10" s="37">
        <v>88435.695999999996</v>
      </c>
      <c r="BB10" s="37"/>
      <c r="BC10" s="37">
        <f t="shared" si="19"/>
        <v>312.55199999999604</v>
      </c>
      <c r="BD10" s="37">
        <f t="shared" ref="BD10:BD34" si="83">AN10+AR10+AZ10+BC10</f>
        <v>14012.241999999758</v>
      </c>
      <c r="BE10" s="37">
        <v>1643.8</v>
      </c>
      <c r="BF10" s="37">
        <v>893.67</v>
      </c>
      <c r="BG10" s="37">
        <f t="shared" si="20"/>
        <v>2299.9999999999545</v>
      </c>
      <c r="BH10" s="44">
        <v>7901.9</v>
      </c>
      <c r="BI10" s="44">
        <v>5084.1000000000004</v>
      </c>
      <c r="BJ10" s="37">
        <f t="shared" si="21"/>
        <v>8899.9999999996362</v>
      </c>
      <c r="BK10" s="40">
        <v>1143000</v>
      </c>
      <c r="BL10" s="40">
        <f t="shared" ref="BL10:BL38" si="84">IF((BK10-BK9)&lt;=0,0,(BK10-BK9))</f>
        <v>3300</v>
      </c>
      <c r="BM10" s="40">
        <v>799.02</v>
      </c>
      <c r="BN10" s="37">
        <f t="shared" si="22"/>
        <v>679.99999999994998</v>
      </c>
      <c r="BO10" s="186"/>
      <c r="BP10" s="183">
        <f t="shared" si="23"/>
        <v>0</v>
      </c>
      <c r="BQ10" s="40">
        <v>756.66</v>
      </c>
      <c r="BR10" s="37">
        <f t="shared" si="56"/>
        <v>649.99999999997726</v>
      </c>
      <c r="BS10" s="37">
        <v>75462.69</v>
      </c>
      <c r="BT10" s="37">
        <f t="shared" si="24"/>
        <v>213.72999999999593</v>
      </c>
      <c r="BU10" s="42">
        <v>1942600</v>
      </c>
      <c r="BV10" s="42"/>
      <c r="BW10" s="37">
        <f t="shared" si="25"/>
        <v>100</v>
      </c>
      <c r="BX10" s="37">
        <f t="shared" ref="BX10:BX33" si="85">IF(BW10&lt;=0,0,(BW10/SQRT(BW10^2+(BV10-BV9)^2)))</f>
        <v>1</v>
      </c>
      <c r="BY10" s="43">
        <v>271.02999999999997</v>
      </c>
      <c r="BZ10" s="43"/>
      <c r="CA10" s="37">
        <f t="shared" si="26"/>
        <v>139.99999999998636</v>
      </c>
      <c r="CB10" s="37">
        <f t="shared" si="57"/>
        <v>1</v>
      </c>
      <c r="CC10" s="37">
        <v>459780</v>
      </c>
      <c r="CD10" s="37">
        <f t="shared" si="27"/>
        <v>50</v>
      </c>
      <c r="CE10" s="37">
        <v>697330</v>
      </c>
      <c r="CF10" s="37">
        <f t="shared" si="58"/>
        <v>0</v>
      </c>
      <c r="CG10" s="37">
        <v>58399</v>
      </c>
      <c r="CH10" s="37">
        <f t="shared" si="59"/>
        <v>52</v>
      </c>
      <c r="CI10" s="40">
        <v>10827</v>
      </c>
      <c r="CJ10" s="40"/>
      <c r="CK10" s="37">
        <f t="shared" si="60"/>
        <v>3980.5700000000134</v>
      </c>
      <c r="CL10" s="37">
        <f t="shared" si="28"/>
        <v>1</v>
      </c>
      <c r="CM10" s="37">
        <v>2786.7</v>
      </c>
      <c r="CN10" s="37"/>
      <c r="CO10" s="37">
        <f t="shared" si="29"/>
        <v>120.57</v>
      </c>
      <c r="CP10" s="37">
        <f t="shared" ref="CP10:CP34" si="86">IF(CO10&lt;=0,0,(CO10/SQRT(CO10^2+(CN10-CN9)^2)))</f>
        <v>1</v>
      </c>
      <c r="CQ10" s="39">
        <v>2710.8</v>
      </c>
      <c r="CR10" s="45"/>
      <c r="CS10" s="37">
        <f t="shared" si="30"/>
        <v>120.57</v>
      </c>
      <c r="CT10" s="37">
        <f t="shared" ref="CT10:CT33" si="87">IF(CS10&lt;=0,0,(CS10/SQRT(CS10^2+(CR10-CR9)^2)))</f>
        <v>1</v>
      </c>
      <c r="CU10" s="37">
        <v>2224200</v>
      </c>
      <c r="CV10" s="37"/>
      <c r="CW10" s="38">
        <f t="shared" si="31"/>
        <v>600</v>
      </c>
      <c r="CX10" s="37">
        <f t="shared" ref="CX10:CX38" si="88">IF(CW10&lt;=0,0,(CW10/SQRT(CW10^2+(CV10-CV9)^2)))</f>
        <v>1</v>
      </c>
      <c r="CY10" s="37">
        <v>1185300</v>
      </c>
      <c r="CZ10" s="37"/>
      <c r="DA10" s="37">
        <f t="shared" si="32"/>
        <v>200</v>
      </c>
      <c r="DB10" s="37">
        <f t="shared" ref="DB10:DB34" si="89">IF(DA10&lt;=0,0,(DA10/SQRT(DA10^2+(CZ10-CZ9)^2)))</f>
        <v>1</v>
      </c>
      <c r="DC10" s="37"/>
      <c r="DD10" s="40"/>
      <c r="DE10" s="37">
        <f t="shared" si="33"/>
        <v>0</v>
      </c>
      <c r="DF10" s="37">
        <f>IF(DE10&lt;=0,0,(DE10/SQRT(DE10^2+(DD10-DD9)^2)))</f>
        <v>0</v>
      </c>
      <c r="DG10" s="37">
        <f t="shared" si="34"/>
        <v>-5121.7100000000137</v>
      </c>
      <c r="DH10" s="37">
        <f t="shared" si="35"/>
        <v>253940.5700000005</v>
      </c>
      <c r="DI10" s="46"/>
      <c r="DJ10" s="46"/>
      <c r="DK10" s="47"/>
      <c r="DL10" s="47"/>
      <c r="DM10" s="37"/>
      <c r="DN10" s="37"/>
      <c r="DO10" s="37"/>
      <c r="DP10" s="37"/>
      <c r="DQ10" s="50">
        <v>2600400</v>
      </c>
      <c r="DR10" s="49">
        <f t="shared" si="61"/>
        <v>9100</v>
      </c>
      <c r="DS10" s="50">
        <v>1866600</v>
      </c>
      <c r="DT10" s="49">
        <f t="shared" si="62"/>
        <v>15500</v>
      </c>
      <c r="DU10" s="52">
        <v>7521.1</v>
      </c>
      <c r="DV10" s="52">
        <v>4198</v>
      </c>
      <c r="DW10" s="37">
        <f t="shared" ref="DW10:DW38" si="90">IF((DU10-DU9)*1000&lt;=0,0,(DU10-DU9)*1000)</f>
        <v>4400.0000000005457</v>
      </c>
      <c r="DX10" s="52">
        <v>12455</v>
      </c>
      <c r="DY10" s="52">
        <v>8230</v>
      </c>
      <c r="DZ10" s="37">
        <f t="shared" si="36"/>
        <v>7120.57</v>
      </c>
      <c r="EA10" s="49">
        <v>27733</v>
      </c>
      <c r="EB10" s="49">
        <v>19.745999999999999</v>
      </c>
      <c r="EC10" s="37">
        <f t="shared" si="37"/>
        <v>26280.57</v>
      </c>
      <c r="ED10" s="53">
        <f t="shared" si="38"/>
        <v>37801.140000000545</v>
      </c>
      <c r="EE10" s="49">
        <v>42829</v>
      </c>
      <c r="EF10" s="49">
        <v>27.143000000000001</v>
      </c>
      <c r="EG10" s="37">
        <f t="shared" si="39"/>
        <v>36280.57</v>
      </c>
      <c r="EH10" s="52">
        <v>12014</v>
      </c>
      <c r="EI10" s="52">
        <v>1.601</v>
      </c>
      <c r="EJ10" s="37">
        <f t="shared" si="40"/>
        <v>10120.57</v>
      </c>
      <c r="EK10" s="37">
        <v>725.58</v>
      </c>
      <c r="EL10" s="40">
        <v>1042.4000000000001</v>
      </c>
      <c r="EM10" s="37">
        <f t="shared" si="63"/>
        <v>690.00000000005457</v>
      </c>
      <c r="EN10" s="54">
        <f t="shared" si="64"/>
        <v>47091.140000000058</v>
      </c>
      <c r="EO10" s="48">
        <v>12093</v>
      </c>
      <c r="EP10" s="48">
        <v>4210.8999999999996</v>
      </c>
      <c r="EQ10" s="37">
        <f t="shared" si="41"/>
        <v>10120.57</v>
      </c>
      <c r="ER10" s="48">
        <v>7716.6</v>
      </c>
      <c r="ES10" s="48">
        <v>3133.2</v>
      </c>
      <c r="ET10" s="49">
        <f t="shared" si="42"/>
        <v>19100.000000000364</v>
      </c>
      <c r="EU10" s="48">
        <v>2748.3</v>
      </c>
      <c r="EV10" s="48">
        <v>983.77</v>
      </c>
      <c r="EW10" s="49">
        <f t="shared" si="43"/>
        <v>8820.5700000002726</v>
      </c>
      <c r="EX10" s="48">
        <v>12273</v>
      </c>
      <c r="EY10" s="48">
        <v>1.3039000000000001</v>
      </c>
      <c r="EZ10" s="37">
        <f t="shared" si="44"/>
        <v>11120.57</v>
      </c>
      <c r="FA10" s="48">
        <f t="shared" si="65"/>
        <v>-24295.710000000636</v>
      </c>
      <c r="FB10" s="48">
        <v>34141331</v>
      </c>
      <c r="FC10" s="49">
        <f t="shared" ref="FC10:FC35" si="91">IF((FB10-FB9)&lt;=0,0,(FB10-FB9))</f>
        <v>24866</v>
      </c>
      <c r="FD10" s="48">
        <f t="shared" si="66"/>
        <v>51661.710000000639</v>
      </c>
      <c r="FE10" s="48">
        <v>16146</v>
      </c>
      <c r="FF10" s="48">
        <v>5792.7</v>
      </c>
      <c r="FG10" s="37">
        <f t="shared" si="67"/>
        <v>15687.24</v>
      </c>
      <c r="FH10" s="48">
        <v>7163.6</v>
      </c>
      <c r="FI10" s="48">
        <v>2.758</v>
      </c>
      <c r="FJ10" s="49">
        <f t="shared" si="45"/>
        <v>19487.24000000018</v>
      </c>
      <c r="FK10" s="48"/>
      <c r="FL10" s="58">
        <v>-1433.33</v>
      </c>
      <c r="FM10" s="48">
        <f t="shared" ref="FM10:FM38" si="92">FT10/3</f>
        <v>-120.57333333339254</v>
      </c>
      <c r="FN10" s="55">
        <v>15419</v>
      </c>
      <c r="FO10" s="48">
        <v>0.6946</v>
      </c>
      <c r="FP10" s="37">
        <f t="shared" si="68"/>
        <v>10687.24</v>
      </c>
      <c r="FQ10" s="48">
        <v>54971</v>
      </c>
      <c r="FR10" s="48">
        <v>13.132999999999999</v>
      </c>
      <c r="FS10" s="37">
        <f t="shared" si="46"/>
        <v>61000</v>
      </c>
      <c r="FT10" s="48">
        <f t="shared" si="69"/>
        <v>-361.72000000017761</v>
      </c>
      <c r="FU10" s="48">
        <f t="shared" si="70"/>
        <v>45861.720000000176</v>
      </c>
      <c r="FV10" s="44">
        <v>2431700</v>
      </c>
      <c r="FW10" s="44">
        <v>786660</v>
      </c>
      <c r="FX10" s="37">
        <f t="shared" si="47"/>
        <v>200</v>
      </c>
      <c r="FY10" s="56">
        <v>2813.1</v>
      </c>
      <c r="FZ10" s="56">
        <v>1.6180000000000001</v>
      </c>
      <c r="GA10" s="37">
        <f t="shared" si="48"/>
        <v>109.9999999998181</v>
      </c>
      <c r="GB10" s="56">
        <v>739.91</v>
      </c>
      <c r="GC10" s="56">
        <v>821.43</v>
      </c>
      <c r="GD10" s="37">
        <f t="shared" si="49"/>
        <v>259.99999999999091</v>
      </c>
      <c r="GE10" s="56">
        <v>9198.2000000000007</v>
      </c>
      <c r="GF10" s="56">
        <v>2.7565</v>
      </c>
      <c r="GG10" s="37">
        <f t="shared" si="50"/>
        <v>400.00000000145519</v>
      </c>
      <c r="GH10" s="153">
        <v>1783.7</v>
      </c>
      <c r="GI10" s="162">
        <v>1507.3</v>
      </c>
      <c r="GJ10" s="38">
        <f t="shared" si="51"/>
        <v>2500</v>
      </c>
      <c r="GK10" s="162">
        <v>1407.1</v>
      </c>
      <c r="GL10" s="163">
        <v>1092.5999999999999</v>
      </c>
      <c r="GM10" s="38">
        <f t="shared" si="52"/>
        <v>0</v>
      </c>
      <c r="GN10" s="57">
        <v>158910</v>
      </c>
      <c r="GO10" s="57">
        <v>138650</v>
      </c>
      <c r="GP10" s="38">
        <f>IF((GN10-GN9)&lt;=0,0,(GN10-GN9)+1000)</f>
        <v>0</v>
      </c>
      <c r="GQ10" s="38">
        <v>202360</v>
      </c>
      <c r="GR10" s="38">
        <v>203460</v>
      </c>
      <c r="GS10" s="38">
        <f t="shared" si="71"/>
        <v>90</v>
      </c>
      <c r="GT10" s="178"/>
      <c r="GU10" s="144">
        <f>DailyFeb!B9-DailyFeb!N9-DailyFeb!V9-DailyFeb!Y9-DailyFeb!Z9-DailyFeb!AA9-DailyFeb!AB9-DailyFeb!AC9-DailyFeb!AD9-DailyFeb!AE9-DailyFeb!AK9-DailyFeb!AO9-DailyFeb!AS9-DailyFeb!AY9-DailyFeb!BD9+DailyFeb!BS9-SUM(DailyFeb!BM9:BQ9)-DailyFeb!BR9-DailyFeb!AF9-DailyFeb!AG9</f>
        <v>6.4399999984743772E-2</v>
      </c>
      <c r="GV10" s="59">
        <v>1808.6143999999404</v>
      </c>
      <c r="GW10" s="60">
        <f t="shared" si="53"/>
        <v>120.57429333332935</v>
      </c>
      <c r="GX10" s="61">
        <v>120.57</v>
      </c>
      <c r="GY10" s="140"/>
      <c r="GZ10" s="62"/>
      <c r="HA10" s="62">
        <f t="shared" si="72"/>
        <v>1808.614399999939</v>
      </c>
      <c r="HB10" s="74"/>
      <c r="HC10" s="62">
        <v>33526.317999990053</v>
      </c>
      <c r="HD10" s="74"/>
      <c r="HE10" s="24">
        <f t="shared" si="54"/>
        <v>31717.703599990113</v>
      </c>
      <c r="HG10" s="213">
        <v>4</v>
      </c>
      <c r="HH10" s="16"/>
      <c r="HI10" s="16"/>
      <c r="HJ10" s="128">
        <f t="shared" si="73"/>
        <v>31717.703599990113</v>
      </c>
      <c r="HK10" s="16"/>
      <c r="HL10" s="16"/>
      <c r="HM10" s="16"/>
      <c r="HN10" s="16"/>
      <c r="HO10" s="16"/>
      <c r="HP10" s="179">
        <f t="shared" si="74"/>
        <v>15858.851799995056</v>
      </c>
      <c r="HQ10" s="16"/>
      <c r="HR10" s="16"/>
      <c r="HS10" s="16">
        <f t="shared" si="75"/>
        <v>15858.851799995056</v>
      </c>
      <c r="HT10" s="16"/>
      <c r="HU10" s="16"/>
      <c r="HV10" s="16"/>
      <c r="HW10" s="16"/>
      <c r="HX10" s="16"/>
      <c r="HY10" s="16"/>
      <c r="HZ10" s="211">
        <f t="shared" si="76"/>
        <v>0</v>
      </c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</row>
    <row r="11" spans="1:284" x14ac:dyDescent="0.25">
      <c r="A11" s="35">
        <f t="shared" si="1"/>
        <v>5</v>
      </c>
      <c r="B11" s="38">
        <v>3388.9</v>
      </c>
      <c r="C11" s="38">
        <f t="shared" si="2"/>
        <v>5.9100000000003092</v>
      </c>
      <c r="D11" s="38">
        <f t="shared" si="3"/>
        <v>189120.0000000099</v>
      </c>
      <c r="E11" s="38">
        <v>682.88</v>
      </c>
      <c r="F11" s="38">
        <f>IF((E11-E10)*32000&lt;=0,0,(E11-E10)*32000)</f>
        <v>40000</v>
      </c>
      <c r="G11" s="38">
        <f t="shared" si="5"/>
        <v>229120.0000000099</v>
      </c>
      <c r="H11" s="37"/>
      <c r="I11" s="39"/>
      <c r="J11" s="42"/>
      <c r="K11" s="37">
        <f t="shared" si="77"/>
        <v>0</v>
      </c>
      <c r="L11" s="40">
        <v>9696300</v>
      </c>
      <c r="M11" s="40"/>
      <c r="N11" s="37">
        <f t="shared" si="78"/>
        <v>227000</v>
      </c>
      <c r="O11" s="37">
        <v>9477.2000000000007</v>
      </c>
      <c r="P11" s="37"/>
      <c r="Q11" s="37">
        <f t="shared" si="6"/>
        <v>13200.000000000728</v>
      </c>
      <c r="R11" s="37">
        <f t="shared" si="79"/>
        <v>1</v>
      </c>
      <c r="S11" s="41">
        <v>10938012.98</v>
      </c>
      <c r="T11" s="37">
        <f t="shared" si="7"/>
        <v>0</v>
      </c>
      <c r="U11" s="37">
        <v>1518125.52</v>
      </c>
      <c r="V11" s="37">
        <f t="shared" si="8"/>
        <v>0</v>
      </c>
      <c r="W11" s="37">
        <v>3262.9</v>
      </c>
      <c r="X11" s="37">
        <f t="shared" ref="X11:X38" si="93">Q11-T11-V11-AB11</f>
        <v>8320.0000000007276</v>
      </c>
      <c r="Y11" s="183"/>
      <c r="Z11" s="183">
        <f t="shared" si="9"/>
        <v>0</v>
      </c>
      <c r="AA11" s="37">
        <v>473590</v>
      </c>
      <c r="AB11" s="37">
        <f t="shared" si="10"/>
        <v>4880</v>
      </c>
      <c r="AC11" s="37">
        <v>3461.8</v>
      </c>
      <c r="AD11" s="37"/>
      <c r="AE11" s="37">
        <f t="shared" si="11"/>
        <v>7700.0000000002728</v>
      </c>
      <c r="AF11" s="37">
        <f t="shared" si="80"/>
        <v>1</v>
      </c>
      <c r="AG11" s="37">
        <v>7546.3</v>
      </c>
      <c r="AH11" s="37"/>
      <c r="AI11" s="37">
        <f t="shared" si="12"/>
        <v>16625.48</v>
      </c>
      <c r="AJ11" s="37">
        <f t="shared" si="13"/>
        <v>1</v>
      </c>
      <c r="AK11" s="37">
        <f t="shared" si="14"/>
        <v>32645.480000001</v>
      </c>
      <c r="AL11" s="42">
        <v>9639</v>
      </c>
      <c r="AM11" s="2"/>
      <c r="AN11" s="37">
        <f t="shared" si="55"/>
        <v>4605.4800000006771</v>
      </c>
      <c r="AO11" s="37">
        <f t="shared" si="81"/>
        <v>1</v>
      </c>
      <c r="AP11" s="37">
        <v>7289.4</v>
      </c>
      <c r="AQ11" s="37"/>
      <c r="AR11" s="37">
        <f t="shared" si="15"/>
        <v>8699.9999999998181</v>
      </c>
      <c r="AS11" s="37">
        <f t="shared" si="82"/>
        <v>1</v>
      </c>
      <c r="AT11" s="183"/>
      <c r="AU11" s="183">
        <f t="shared" si="16"/>
        <v>0</v>
      </c>
      <c r="AV11" s="183"/>
      <c r="AW11" s="183">
        <f t="shared" si="17"/>
        <v>0</v>
      </c>
      <c r="AX11" s="37">
        <v>444341.44</v>
      </c>
      <c r="AY11" s="37"/>
      <c r="AZ11" s="37">
        <f t="shared" si="18"/>
        <v>474.15999999997439</v>
      </c>
      <c r="BA11" s="37">
        <v>88458.687999999995</v>
      </c>
      <c r="BB11" s="37"/>
      <c r="BC11" s="37">
        <f t="shared" si="19"/>
        <v>22.99199999999837</v>
      </c>
      <c r="BD11" s="37">
        <f t="shared" si="83"/>
        <v>13802.632000000467</v>
      </c>
      <c r="BE11" s="43">
        <v>1646.2</v>
      </c>
      <c r="BF11" s="43">
        <v>895.13</v>
      </c>
      <c r="BG11" s="37">
        <f t="shared" si="20"/>
        <v>2400.0000000000909</v>
      </c>
      <c r="BH11" s="44">
        <v>7911.2</v>
      </c>
      <c r="BI11" s="44">
        <v>5090.1000000000004</v>
      </c>
      <c r="BJ11" s="37">
        <f t="shared" si="21"/>
        <v>9300.0000000001819</v>
      </c>
      <c r="BK11" s="40">
        <v>1146400</v>
      </c>
      <c r="BL11" s="40">
        <f t="shared" si="84"/>
        <v>3400</v>
      </c>
      <c r="BM11" s="40">
        <v>799.73</v>
      </c>
      <c r="BN11" s="37">
        <f t="shared" si="22"/>
        <v>710.00000000003638</v>
      </c>
      <c r="BO11" s="186"/>
      <c r="BP11" s="183">
        <f t="shared" si="23"/>
        <v>0</v>
      </c>
      <c r="BQ11" s="40">
        <v>757.27</v>
      </c>
      <c r="BR11" s="37">
        <f t="shared" si="56"/>
        <v>610.00000000001364</v>
      </c>
      <c r="BS11" s="37">
        <v>75683.740000000005</v>
      </c>
      <c r="BT11" s="37">
        <f t="shared" si="24"/>
        <v>221.05000000000291</v>
      </c>
      <c r="BU11" s="42">
        <v>1944500</v>
      </c>
      <c r="BV11" s="42"/>
      <c r="BW11" s="37">
        <f t="shared" si="25"/>
        <v>1900</v>
      </c>
      <c r="BX11" s="37">
        <f t="shared" si="85"/>
        <v>1</v>
      </c>
      <c r="BY11" s="43">
        <v>271.31</v>
      </c>
      <c r="BZ11" s="43"/>
      <c r="CA11" s="37">
        <f t="shared" si="26"/>
        <v>280.00000000002956</v>
      </c>
      <c r="CB11" s="37">
        <f t="shared" si="57"/>
        <v>1</v>
      </c>
      <c r="CC11" s="37">
        <v>459780</v>
      </c>
      <c r="CD11" s="37">
        <f t="shared" si="27"/>
        <v>0</v>
      </c>
      <c r="CE11" s="37">
        <v>697330</v>
      </c>
      <c r="CF11" s="37">
        <f t="shared" si="58"/>
        <v>0</v>
      </c>
      <c r="CG11" s="37">
        <v>58619</v>
      </c>
      <c r="CH11" s="37">
        <f t="shared" si="59"/>
        <v>220</v>
      </c>
      <c r="CI11" s="40">
        <v>10836</v>
      </c>
      <c r="CJ11" s="40"/>
      <c r="CK11" s="37">
        <f t="shared" si="60"/>
        <v>8845.4799999999705</v>
      </c>
      <c r="CL11" s="37">
        <f t="shared" si="28"/>
        <v>1</v>
      </c>
      <c r="CM11" s="37">
        <v>2789.6</v>
      </c>
      <c r="CN11" s="37"/>
      <c r="CO11" s="37">
        <f t="shared" si="29"/>
        <v>3025.480000000091</v>
      </c>
      <c r="CP11" s="37">
        <f>IF(CO11&lt;=0,0,(CO11/SQRT(CO11^2+(CN11-CN10)^2)))</f>
        <v>1</v>
      </c>
      <c r="CQ11" s="39">
        <v>2714.1</v>
      </c>
      <c r="CR11" s="45"/>
      <c r="CS11" s="37">
        <f t="shared" si="30"/>
        <v>3425.4799999997272</v>
      </c>
      <c r="CT11" s="37">
        <f t="shared" si="87"/>
        <v>1</v>
      </c>
      <c r="CU11" s="37">
        <v>2234000</v>
      </c>
      <c r="CV11" s="37"/>
      <c r="CW11" s="38">
        <f t="shared" si="31"/>
        <v>9800</v>
      </c>
      <c r="CX11" s="37">
        <f t="shared" si="88"/>
        <v>1</v>
      </c>
      <c r="CY11" s="37">
        <v>1188700</v>
      </c>
      <c r="CZ11" s="37"/>
      <c r="DA11" s="37">
        <f t="shared" si="32"/>
        <v>3400</v>
      </c>
      <c r="DB11" s="37">
        <f t="shared" si="89"/>
        <v>1</v>
      </c>
      <c r="DC11" s="37"/>
      <c r="DD11" s="40"/>
      <c r="DE11" s="37">
        <f t="shared" si="33"/>
        <v>0</v>
      </c>
      <c r="DF11" s="37">
        <f t="shared" ref="DF11:DF33" si="94">IF(DE11&lt;=0,0,(DE11/SQRT(DE11^2+(DD11-DD10)^2)))</f>
        <v>0</v>
      </c>
      <c r="DG11" s="37">
        <f t="shared" si="34"/>
        <v>-30396.439999999788</v>
      </c>
      <c r="DH11" s="37">
        <f t="shared" si="35"/>
        <v>262045.48000000109</v>
      </c>
      <c r="DI11" s="46"/>
      <c r="DJ11" s="46"/>
      <c r="DK11" s="47"/>
      <c r="DL11" s="47"/>
      <c r="DM11" s="37"/>
      <c r="DN11" s="37"/>
      <c r="DO11" s="37"/>
      <c r="DP11" s="37"/>
      <c r="DQ11" s="50">
        <v>2609600</v>
      </c>
      <c r="DR11" s="49">
        <f t="shared" si="61"/>
        <v>9200</v>
      </c>
      <c r="DS11" s="50">
        <v>1882000</v>
      </c>
      <c r="DT11" s="49">
        <f t="shared" si="62"/>
        <v>15400</v>
      </c>
      <c r="DU11" s="52">
        <v>7525.6</v>
      </c>
      <c r="DV11" s="52">
        <v>4200.8</v>
      </c>
      <c r="DW11" s="37">
        <f t="shared" si="90"/>
        <v>4500</v>
      </c>
      <c r="DX11" s="52">
        <v>12461</v>
      </c>
      <c r="DY11" s="52">
        <v>8232.2000000000007</v>
      </c>
      <c r="DZ11" s="37">
        <f t="shared" si="36"/>
        <v>6125.48</v>
      </c>
      <c r="EA11" s="49">
        <v>27755</v>
      </c>
      <c r="EB11" s="49">
        <v>19.757000000000001</v>
      </c>
      <c r="EC11" s="37">
        <f t="shared" si="37"/>
        <v>24285.48</v>
      </c>
      <c r="ED11" s="53">
        <f t="shared" si="38"/>
        <v>34910.959999999999</v>
      </c>
      <c r="EE11" s="49">
        <v>42856</v>
      </c>
      <c r="EF11" s="49">
        <v>27.166</v>
      </c>
      <c r="EG11" s="37">
        <f t="shared" si="39"/>
        <v>29285.48</v>
      </c>
      <c r="EH11" s="52">
        <v>12023</v>
      </c>
      <c r="EI11" s="52">
        <v>1.6022000000000001</v>
      </c>
      <c r="EJ11" s="37">
        <f t="shared" si="40"/>
        <v>9125.48</v>
      </c>
      <c r="EK11" s="37">
        <v>726.21</v>
      </c>
      <c r="EL11" s="64">
        <v>1043.3</v>
      </c>
      <c r="EM11" s="37">
        <f t="shared" si="63"/>
        <v>629.99999999999545</v>
      </c>
      <c r="EN11" s="54">
        <f t="shared" si="64"/>
        <v>39040.959999999992</v>
      </c>
      <c r="EO11" s="48">
        <v>12102</v>
      </c>
      <c r="EP11" s="48">
        <v>4214.1000000000004</v>
      </c>
      <c r="EQ11" s="37">
        <f t="shared" si="41"/>
        <v>9125.48</v>
      </c>
      <c r="ER11" s="48">
        <v>7734.8</v>
      </c>
      <c r="ES11" s="48">
        <v>3141</v>
      </c>
      <c r="ET11" s="49">
        <f t="shared" si="42"/>
        <v>18199.999999999818</v>
      </c>
      <c r="EU11" s="48">
        <v>2756.5</v>
      </c>
      <c r="EV11" s="48">
        <v>986.63</v>
      </c>
      <c r="EW11" s="49">
        <f t="shared" si="43"/>
        <v>8325.4799999998177</v>
      </c>
      <c r="EX11" s="48">
        <v>12283</v>
      </c>
      <c r="EY11" s="48">
        <v>1.3049999999999999</v>
      </c>
      <c r="EZ11" s="37">
        <f t="shared" si="44"/>
        <v>10125.48</v>
      </c>
      <c r="FA11" s="48">
        <f t="shared" si="65"/>
        <v>-22305.439999999635</v>
      </c>
      <c r="FB11" s="48">
        <v>34164802</v>
      </c>
      <c r="FC11" s="49">
        <f t="shared" si="91"/>
        <v>23471</v>
      </c>
      <c r="FD11" s="48">
        <f t="shared" si="66"/>
        <v>47576.439999999595</v>
      </c>
      <c r="FE11" s="48">
        <v>16148</v>
      </c>
      <c r="FF11" s="48">
        <v>5795</v>
      </c>
      <c r="FG11" s="37">
        <f t="shared" si="67"/>
        <v>4092.15</v>
      </c>
      <c r="FH11" s="48">
        <v>7177.3</v>
      </c>
      <c r="FI11" s="48">
        <v>2.7633999999999999</v>
      </c>
      <c r="FJ11" s="49">
        <f t="shared" si="45"/>
        <v>15792.149999999818</v>
      </c>
      <c r="FK11" s="48"/>
      <c r="FL11" s="58">
        <v>1966.67</v>
      </c>
      <c r="FM11" s="48">
        <f t="shared" si="92"/>
        <v>-125.48333333327355</v>
      </c>
      <c r="FN11" s="48">
        <v>15429</v>
      </c>
      <c r="FO11" s="48">
        <v>0.69620000000000004</v>
      </c>
      <c r="FP11" s="37">
        <f t="shared" si="68"/>
        <v>12092.15</v>
      </c>
      <c r="FQ11" s="48">
        <v>55018</v>
      </c>
      <c r="FR11" s="48">
        <v>13.147</v>
      </c>
      <c r="FS11" s="37">
        <f t="shared" si="46"/>
        <v>47000</v>
      </c>
      <c r="FT11" s="48">
        <f t="shared" si="69"/>
        <v>-376.44999999982065</v>
      </c>
      <c r="FU11" s="48">
        <f>FG11+FJ11+FP11+GM11</f>
        <v>32876.44999999991</v>
      </c>
      <c r="FV11" s="44">
        <v>2437100</v>
      </c>
      <c r="FW11" s="44">
        <v>788680</v>
      </c>
      <c r="FX11" s="37">
        <f t="shared" si="47"/>
        <v>5400</v>
      </c>
      <c r="FY11" s="56">
        <v>2813.5</v>
      </c>
      <c r="FZ11" s="56">
        <v>1.6185</v>
      </c>
      <c r="GA11" s="37">
        <f t="shared" si="48"/>
        <v>310.00000000009095</v>
      </c>
      <c r="GB11" s="56">
        <v>740.6</v>
      </c>
      <c r="GC11" s="56">
        <v>822.32</v>
      </c>
      <c r="GD11" s="37">
        <f t="shared" si="49"/>
        <v>690.00000000005457</v>
      </c>
      <c r="GE11" s="56">
        <v>9207.1</v>
      </c>
      <c r="GF11" s="63">
        <v>2.7627999999999999</v>
      </c>
      <c r="GG11" s="37">
        <f t="shared" si="50"/>
        <v>6199.9999999995907</v>
      </c>
      <c r="GH11" s="153">
        <v>1785.5</v>
      </c>
      <c r="GI11" s="162">
        <v>1509</v>
      </c>
      <c r="GJ11" s="38">
        <f t="shared" si="51"/>
        <v>1799.9999999999545</v>
      </c>
      <c r="GK11" s="162">
        <v>1408</v>
      </c>
      <c r="GL11" s="163">
        <v>1093</v>
      </c>
      <c r="GM11" s="38">
        <f t="shared" si="52"/>
        <v>900.00000000009095</v>
      </c>
      <c r="GN11" s="57">
        <v>158910</v>
      </c>
      <c r="GO11" s="57">
        <v>138660</v>
      </c>
      <c r="GP11" s="38">
        <f>IF((GN11-GN10)&lt;=0,0,(GN11-GN10)+1000)</f>
        <v>0</v>
      </c>
      <c r="GQ11" s="38">
        <v>202450</v>
      </c>
      <c r="GR11" s="38">
        <v>203550</v>
      </c>
      <c r="GS11" s="38">
        <f t="shared" si="71"/>
        <v>90</v>
      </c>
      <c r="GT11" s="178"/>
      <c r="GU11" s="144">
        <f>DailyFeb!B10-DailyFeb!N10-DailyFeb!V10-DailyFeb!Y10-DailyFeb!Z10-DailyFeb!AA10-DailyFeb!AB10-DailyFeb!AC10-DailyFeb!AD10-DailyFeb!AE10-DailyFeb!AK10-DailyFeb!AO10-DailyFeb!AS10-DailyFeb!AY10-DailyFeb!BD10+DailyFeb!BS10-SUM(DailyFeb!BM10:BQ10)-DailyFeb!BR10-DailyFeb!AF10-DailyFeb!AG10</f>
        <v>2.080000006390037E-2</v>
      </c>
      <c r="GV11" s="59">
        <v>1882.2208000000828</v>
      </c>
      <c r="GW11" s="60">
        <f t="shared" si="53"/>
        <v>125.48138666667219</v>
      </c>
      <c r="GX11" s="61">
        <v>125.48</v>
      </c>
      <c r="GY11" s="140"/>
      <c r="GZ11" s="62"/>
      <c r="HA11" s="62">
        <f t="shared" si="72"/>
        <v>1882.2208000000812</v>
      </c>
      <c r="HB11" s="74"/>
      <c r="HC11" s="62">
        <v>26252.838000009149</v>
      </c>
      <c r="HD11" s="74"/>
      <c r="HE11" s="24">
        <f t="shared" si="54"/>
        <v>24370.617200009066</v>
      </c>
      <c r="HG11" s="213">
        <v>5</v>
      </c>
      <c r="HH11" s="16"/>
      <c r="HI11" s="16"/>
      <c r="HJ11" s="128">
        <f t="shared" si="73"/>
        <v>24370.617200009066</v>
      </c>
      <c r="HK11" s="16"/>
      <c r="HL11" s="16"/>
      <c r="HM11" s="16"/>
      <c r="HN11" s="16"/>
      <c r="HO11" s="16"/>
      <c r="HP11" s="179">
        <f t="shared" si="74"/>
        <v>12185.308600004533</v>
      </c>
      <c r="HQ11" s="16"/>
      <c r="HR11" s="16"/>
      <c r="HS11" s="16">
        <f t="shared" si="75"/>
        <v>12185.308600004533</v>
      </c>
      <c r="HT11" s="16"/>
      <c r="HU11" s="16"/>
      <c r="HV11" s="16"/>
      <c r="HW11" s="16"/>
      <c r="HX11" s="16"/>
      <c r="HY11" s="16"/>
      <c r="HZ11" s="211">
        <f t="shared" si="76"/>
        <v>0</v>
      </c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</row>
    <row r="12" spans="1:284" x14ac:dyDescent="0.25">
      <c r="A12" s="35">
        <f t="shared" si="1"/>
        <v>6</v>
      </c>
      <c r="B12" s="38">
        <v>3396.37</v>
      </c>
      <c r="C12" s="38">
        <f t="shared" si="2"/>
        <v>7.4699999999997999</v>
      </c>
      <c r="D12" s="38">
        <f t="shared" si="3"/>
        <v>239039.9999999936</v>
      </c>
      <c r="E12" s="38">
        <v>684.29</v>
      </c>
      <c r="F12" s="38">
        <f t="shared" ref="F12:F38" si="95">IF((E12-E11)*32000&lt;=0,0,(E12-E11)*32000)</f>
        <v>45119.999999998981</v>
      </c>
      <c r="G12" s="38">
        <f t="shared" si="5"/>
        <v>284159.99999999255</v>
      </c>
      <c r="H12" s="37"/>
      <c r="I12" s="39"/>
      <c r="J12" s="42"/>
      <c r="K12" s="37">
        <f>IF(J12&lt;=0,0,(J12/SQRT(J12^2+(I12-I11)^2)))</f>
        <v>0</v>
      </c>
      <c r="L12" s="40">
        <v>9724500</v>
      </c>
      <c r="M12" s="40"/>
      <c r="N12" s="37">
        <f t="shared" si="78"/>
        <v>282000</v>
      </c>
      <c r="O12" s="37">
        <v>9490.2999999999993</v>
      </c>
      <c r="P12" s="37"/>
      <c r="Q12" s="37">
        <f t="shared" si="6"/>
        <v>13099.999999998545</v>
      </c>
      <c r="R12" s="37">
        <f>IF(Q12&lt;=0,0,(Q12/SQRT(Q12^2+(P12-P11)^2)))</f>
        <v>1</v>
      </c>
      <c r="S12" s="41">
        <v>10938012.93</v>
      </c>
      <c r="T12" s="37">
        <f t="shared" si="7"/>
        <v>0</v>
      </c>
      <c r="U12" s="37">
        <v>1518125.52</v>
      </c>
      <c r="V12" s="37">
        <f t="shared" si="8"/>
        <v>0</v>
      </c>
      <c r="W12" s="37">
        <v>3269.5</v>
      </c>
      <c r="X12" s="37">
        <f t="shared" si="93"/>
        <v>8239.9999999985448</v>
      </c>
      <c r="Y12" s="183"/>
      <c r="Z12" s="183">
        <f t="shared" si="9"/>
        <v>0</v>
      </c>
      <c r="AA12" s="37">
        <v>478450</v>
      </c>
      <c r="AB12" s="37">
        <f t="shared" si="10"/>
        <v>4860</v>
      </c>
      <c r="AC12" s="37">
        <v>3469.5</v>
      </c>
      <c r="AD12" s="2"/>
      <c r="AE12" s="37">
        <f t="shared" si="11"/>
        <v>7699.9999999998181</v>
      </c>
      <c r="AF12" s="37">
        <f>IF(AE12&lt;=0,0,(AE12/SQRT(AE12^2+(AD12-AD11)^2)))</f>
        <v>1</v>
      </c>
      <c r="AG12" s="37">
        <v>7562.4</v>
      </c>
      <c r="AH12" s="48"/>
      <c r="AI12" s="37">
        <f t="shared" si="12"/>
        <v>16255.619999999455</v>
      </c>
      <c r="AJ12" s="37">
        <f t="shared" si="13"/>
        <v>1</v>
      </c>
      <c r="AK12" s="37">
        <f t="shared" si="14"/>
        <v>32195.61999999782</v>
      </c>
      <c r="AL12" s="42">
        <v>9648.2000000000007</v>
      </c>
      <c r="AM12" s="42"/>
      <c r="AN12" s="37">
        <f t="shared" si="55"/>
        <v>4505.6200000008193</v>
      </c>
      <c r="AO12" s="37">
        <f>IF(AN12&lt;=0,0,(AN12/SQRT(AN12^2+(AM12-AM11)^2)))</f>
        <v>1</v>
      </c>
      <c r="AP12" s="37">
        <v>7298.5</v>
      </c>
      <c r="AQ12" s="37"/>
      <c r="AR12" s="37">
        <f t="shared" si="15"/>
        <v>9100.0000000003638</v>
      </c>
      <c r="AS12" s="37">
        <f>IF(AR12&lt;=0,0,(AR12/SQRT(AR12^2+(AQ12-AQ11)^2)))</f>
        <v>1</v>
      </c>
      <c r="AT12" s="183"/>
      <c r="AU12" s="183">
        <f t="shared" si="16"/>
        <v>0</v>
      </c>
      <c r="AV12" s="183"/>
      <c r="AW12" s="183">
        <f t="shared" si="17"/>
        <v>0</v>
      </c>
      <c r="AX12" s="37">
        <v>444650.48</v>
      </c>
      <c r="AY12" s="37"/>
      <c r="AZ12" s="37">
        <f t="shared" si="18"/>
        <v>309.03999999997905</v>
      </c>
      <c r="BA12" s="37">
        <v>88616.072</v>
      </c>
      <c r="BB12" s="37"/>
      <c r="BC12" s="37">
        <f t="shared" si="19"/>
        <v>157.38400000000547</v>
      </c>
      <c r="BD12" s="37">
        <f t="shared" si="83"/>
        <v>14072.044000001168</v>
      </c>
      <c r="BE12" s="43">
        <v>1648.6</v>
      </c>
      <c r="BF12" s="43">
        <v>896.52</v>
      </c>
      <c r="BG12" s="37">
        <f t="shared" si="20"/>
        <v>2399.9999999998636</v>
      </c>
      <c r="BH12" s="44">
        <v>7920.8</v>
      </c>
      <c r="BI12" s="44">
        <v>5096.3</v>
      </c>
      <c r="BJ12" s="37">
        <f t="shared" si="21"/>
        <v>9600.0000000003638</v>
      </c>
      <c r="BK12" s="40">
        <v>1149900</v>
      </c>
      <c r="BL12" s="40">
        <f t="shared" si="84"/>
        <v>3500</v>
      </c>
      <c r="BM12" s="40">
        <v>800.43</v>
      </c>
      <c r="BN12" s="37">
        <f t="shared" si="22"/>
        <v>699.99999999993179</v>
      </c>
      <c r="BO12" s="186"/>
      <c r="BP12" s="183">
        <f t="shared" si="23"/>
        <v>0</v>
      </c>
      <c r="BQ12" s="40">
        <v>757.92</v>
      </c>
      <c r="BR12" s="37">
        <f t="shared" si="56"/>
        <v>649.99999999997726</v>
      </c>
      <c r="BS12" s="37">
        <v>75903.73</v>
      </c>
      <c r="BT12" s="37">
        <f t="shared" si="24"/>
        <v>219.98999999999069</v>
      </c>
      <c r="BU12" s="42">
        <v>1948800</v>
      </c>
      <c r="BV12" s="42"/>
      <c r="BW12" s="37">
        <f t="shared" si="25"/>
        <v>4300</v>
      </c>
      <c r="BX12" s="37">
        <f>IF(BW12&lt;=0,0,(BW12/SQRT(BW12^2+(BV12-BV11)^2)))</f>
        <v>1</v>
      </c>
      <c r="BY12" s="43">
        <v>272.10000000000002</v>
      </c>
      <c r="BZ12" s="43"/>
      <c r="CA12" s="37">
        <f t="shared" si="26"/>
        <v>790.00000000002046</v>
      </c>
      <c r="CB12" s="37">
        <f t="shared" si="57"/>
        <v>1</v>
      </c>
      <c r="CC12" s="37">
        <v>460540</v>
      </c>
      <c r="CD12" s="37">
        <f t="shared" si="27"/>
        <v>760</v>
      </c>
      <c r="CE12" s="37">
        <v>697330</v>
      </c>
      <c r="CF12" s="37">
        <f t="shared" si="58"/>
        <v>0</v>
      </c>
      <c r="CG12" s="37">
        <v>58619</v>
      </c>
      <c r="CH12" s="37">
        <f t="shared" si="59"/>
        <v>0</v>
      </c>
      <c r="CI12" s="40">
        <v>10852</v>
      </c>
      <c r="CJ12" s="40"/>
      <c r="CK12" s="37">
        <f t="shared" si="60"/>
        <v>15365.619999999981</v>
      </c>
      <c r="CL12" s="37">
        <f t="shared" si="28"/>
        <v>1</v>
      </c>
      <c r="CM12" s="37">
        <v>2796.1</v>
      </c>
      <c r="CN12" s="37"/>
      <c r="CO12" s="37">
        <f t="shared" si="29"/>
        <v>6655.62</v>
      </c>
      <c r="CP12" s="37">
        <f>IF(CO12&lt;=0,0,(CO12/SQRT(CO12^2+(CN12-CN11)^2)))</f>
        <v>1</v>
      </c>
      <c r="CQ12" s="39">
        <v>2719.8</v>
      </c>
      <c r="CR12" s="45"/>
      <c r="CS12" s="37">
        <f t="shared" si="30"/>
        <v>5855.6200000002727</v>
      </c>
      <c r="CT12" s="37">
        <f>IF(CS12&lt;=0,0,(CS12/SQRT(CS12^2+(CR12-CR11)^2)))</f>
        <v>1</v>
      </c>
      <c r="CU12" s="37">
        <v>2244700</v>
      </c>
      <c r="CV12" s="37"/>
      <c r="CW12" s="38">
        <f t="shared" si="31"/>
        <v>10700</v>
      </c>
      <c r="CX12" s="37">
        <f>IF(CW12&lt;=0,0,(CW12/SQRT(CW12^2+(CV12-CV11)^2)))</f>
        <v>1</v>
      </c>
      <c r="CY12" s="37">
        <v>1192700</v>
      </c>
      <c r="CZ12" s="37"/>
      <c r="DA12" s="37">
        <f t="shared" si="32"/>
        <v>4000</v>
      </c>
      <c r="DB12" s="37">
        <f>IF(DA12&lt;=0,0,(DA12/SQRT(DA12^2+(CZ12-CZ11)^2)))</f>
        <v>1</v>
      </c>
      <c r="DC12" s="37"/>
      <c r="DD12" s="40"/>
      <c r="DE12" s="37">
        <f t="shared" si="33"/>
        <v>0</v>
      </c>
      <c r="DF12" s="37">
        <f>IF(DE12&lt;=0,0,(DE12/SQRT(DE12^2+(DD12-DD11)^2)))</f>
        <v>0</v>
      </c>
      <c r="DG12" s="37">
        <f t="shared" si="34"/>
        <v>-46876.860000000248</v>
      </c>
      <c r="DH12" s="37">
        <f t="shared" si="35"/>
        <v>316595.61999999767</v>
      </c>
      <c r="DI12" s="46"/>
      <c r="DJ12" s="46"/>
      <c r="DK12" s="47"/>
      <c r="DL12" s="47"/>
      <c r="DM12" s="37"/>
      <c r="DN12" s="37"/>
      <c r="DO12" s="37"/>
      <c r="DP12" s="37"/>
      <c r="DQ12" s="50">
        <v>2619500</v>
      </c>
      <c r="DR12" s="49">
        <f t="shared" si="61"/>
        <v>9900</v>
      </c>
      <c r="DS12" s="50">
        <v>1898300</v>
      </c>
      <c r="DT12" s="49">
        <f t="shared" si="62"/>
        <v>16300</v>
      </c>
      <c r="DU12" s="52">
        <v>7530.3</v>
      </c>
      <c r="DV12" s="52">
        <v>4203.7</v>
      </c>
      <c r="DW12" s="37">
        <f t="shared" si="90"/>
        <v>4699.9999999998181</v>
      </c>
      <c r="DX12" s="52">
        <v>12468</v>
      </c>
      <c r="DY12" s="52">
        <v>8234.6</v>
      </c>
      <c r="DZ12" s="37">
        <f t="shared" si="36"/>
        <v>7155.62</v>
      </c>
      <c r="EA12" s="49">
        <v>27778</v>
      </c>
      <c r="EB12" s="49">
        <v>19.766999999999999</v>
      </c>
      <c r="EC12" s="37">
        <f t="shared" si="37"/>
        <v>25315.62</v>
      </c>
      <c r="ED12" s="53">
        <f t="shared" si="38"/>
        <v>37171.239999999816</v>
      </c>
      <c r="EE12" s="49">
        <v>42889</v>
      </c>
      <c r="EF12" s="49">
        <v>27.193999999999999</v>
      </c>
      <c r="EG12" s="37">
        <f t="shared" si="39"/>
        <v>35315.620000000003</v>
      </c>
      <c r="EH12" s="52">
        <v>12033</v>
      </c>
      <c r="EI12" s="52">
        <v>1.6037999999999999</v>
      </c>
      <c r="EJ12" s="37">
        <f t="shared" si="40"/>
        <v>10155.620000000001</v>
      </c>
      <c r="EK12" s="37">
        <v>726.93</v>
      </c>
      <c r="EL12" s="64">
        <v>1044.4000000000001</v>
      </c>
      <c r="EM12" s="37">
        <f t="shared" si="63"/>
        <v>719.9999999999136</v>
      </c>
      <c r="EN12" s="54">
        <f t="shared" si="64"/>
        <v>46191.239999999918</v>
      </c>
      <c r="EO12" s="48">
        <v>12111</v>
      </c>
      <c r="EP12" s="48">
        <v>4217.3</v>
      </c>
      <c r="EQ12" s="37">
        <f t="shared" si="41"/>
        <v>9155.6200000000008</v>
      </c>
      <c r="ER12" s="48">
        <v>7753.4</v>
      </c>
      <c r="ES12" s="48">
        <v>3148.8</v>
      </c>
      <c r="ET12" s="49">
        <f t="shared" si="42"/>
        <v>18599.999999999454</v>
      </c>
      <c r="EU12" s="48">
        <v>2765.2</v>
      </c>
      <c r="EV12" s="48">
        <v>989.62</v>
      </c>
      <c r="EW12" s="49">
        <f t="shared" si="43"/>
        <v>8855.6199999998189</v>
      </c>
      <c r="EX12" s="48">
        <v>12293</v>
      </c>
      <c r="EY12" s="48">
        <v>1.3061</v>
      </c>
      <c r="EZ12" s="37">
        <f t="shared" si="44"/>
        <v>10155.620000000001</v>
      </c>
      <c r="FA12" s="48">
        <f t="shared" si="65"/>
        <v>-22828.859999999273</v>
      </c>
      <c r="FB12" s="48">
        <v>34188740</v>
      </c>
      <c r="FC12" s="49">
        <f t="shared" si="91"/>
        <v>23938</v>
      </c>
      <c r="FD12" s="48">
        <f t="shared" si="66"/>
        <v>48566.859999999237</v>
      </c>
      <c r="FE12" s="48">
        <v>16158</v>
      </c>
      <c r="FF12" s="48">
        <v>5798.2</v>
      </c>
      <c r="FG12" s="37">
        <f t="shared" si="67"/>
        <v>10588.95</v>
      </c>
      <c r="FH12" s="48">
        <v>7197.7</v>
      </c>
      <c r="FI12" s="48">
        <v>2.7711999999999999</v>
      </c>
      <c r="FJ12" s="49">
        <f t="shared" si="45"/>
        <v>20988.949999999637</v>
      </c>
      <c r="FK12" s="48"/>
      <c r="FL12" s="58">
        <v>433.33</v>
      </c>
      <c r="FM12" s="48">
        <f t="shared" si="92"/>
        <v>-155.61666666654492</v>
      </c>
      <c r="FN12" s="48">
        <v>15441</v>
      </c>
      <c r="FO12" s="48">
        <v>0.69820000000000004</v>
      </c>
      <c r="FP12" s="37">
        <f t="shared" si="68"/>
        <v>12588.95</v>
      </c>
      <c r="FQ12" s="48">
        <v>55078</v>
      </c>
      <c r="FR12" s="48">
        <v>13.164999999999999</v>
      </c>
      <c r="FS12" s="37">
        <f>IF((FQ12-FQ11)*1000&lt;=0,0,(FQ12-FQ11)*1000)</f>
        <v>60000</v>
      </c>
      <c r="FT12" s="48">
        <f t="shared" si="69"/>
        <v>-466.84999999963475</v>
      </c>
      <c r="FU12" s="48">
        <f>FG12+FJ12+FP12+GM12</f>
        <v>45566.849999999729</v>
      </c>
      <c r="FV12" s="44">
        <v>2442500</v>
      </c>
      <c r="FW12" s="65">
        <v>790740</v>
      </c>
      <c r="FX12" s="37">
        <f t="shared" si="47"/>
        <v>5400</v>
      </c>
      <c r="FY12" s="56">
        <v>2813.9</v>
      </c>
      <c r="FZ12" s="56">
        <v>1.6189</v>
      </c>
      <c r="GA12" s="37">
        <f t="shared" si="48"/>
        <v>320.00000000009095</v>
      </c>
      <c r="GB12" s="56">
        <v>741.24</v>
      </c>
      <c r="GC12" s="63">
        <v>823.13</v>
      </c>
      <c r="GD12" s="37">
        <f t="shared" si="49"/>
        <v>639.99999999998636</v>
      </c>
      <c r="GE12" s="56">
        <v>9215.1</v>
      </c>
      <c r="GF12" s="56">
        <v>2.7684000000000002</v>
      </c>
      <c r="GG12" s="37">
        <f t="shared" si="50"/>
        <v>4799.9999999999545</v>
      </c>
      <c r="GH12" s="153">
        <v>1787.3</v>
      </c>
      <c r="GI12" s="162">
        <v>1510.7</v>
      </c>
      <c r="GJ12" s="38">
        <f t="shared" si="51"/>
        <v>1799.9999999999545</v>
      </c>
      <c r="GK12" s="162">
        <v>1409.4</v>
      </c>
      <c r="GL12" s="163">
        <v>1093.5</v>
      </c>
      <c r="GM12" s="38">
        <f t="shared" si="52"/>
        <v>1400.0000000000909</v>
      </c>
      <c r="GN12" s="57">
        <v>158920</v>
      </c>
      <c r="GO12" s="57">
        <v>138660</v>
      </c>
      <c r="GP12" s="38">
        <f t="shared" ref="GP12:GP38" si="96">IF((GN12-GN11)&lt;=0,0,(GN12-GN11))</f>
        <v>10</v>
      </c>
      <c r="GQ12" s="38">
        <v>202530</v>
      </c>
      <c r="GR12" s="38">
        <v>203630</v>
      </c>
      <c r="GS12" s="38">
        <f t="shared" si="71"/>
        <v>80</v>
      </c>
      <c r="GT12" s="178"/>
      <c r="GU12" s="144">
        <f>DailyFeb!B11-DailyFeb!N11-DailyFeb!V11-DailyFeb!Y11-DailyFeb!Z11-DailyFeb!AA11-DailyFeb!AB11-DailyFeb!AC11-DailyFeb!AD11-DailyFeb!AE11-DailyFeb!AK11-DailyFeb!AO11-DailyFeb!AS11-DailyFeb!AY11-DailyFeb!BD11+DailyFeb!BS11-SUM(DailyFeb!BM11:BQ11)-DailyFeb!BR11-DailyFeb!AF11-DailyFeb!AG11</f>
        <v>7.4399999910383485E-2</v>
      </c>
      <c r="GV12" s="59">
        <v>2334.3743999999424</v>
      </c>
      <c r="GW12" s="60">
        <f t="shared" si="53"/>
        <v>155.62495999999615</v>
      </c>
      <c r="GX12" s="61">
        <v>155.62</v>
      </c>
      <c r="GY12" s="140"/>
      <c r="GZ12" s="62"/>
      <c r="HA12" s="62">
        <f t="shared" si="72"/>
        <v>2334.3743999999388</v>
      </c>
      <c r="HB12" s="74"/>
      <c r="HC12" s="62">
        <v>52083.585999994451</v>
      </c>
      <c r="HD12" s="74"/>
      <c r="HE12" s="24">
        <f t="shared" si="54"/>
        <v>49749.211599994509</v>
      </c>
      <c r="HG12" s="213">
        <v>6</v>
      </c>
      <c r="HH12" s="16"/>
      <c r="HI12" s="16"/>
      <c r="HJ12" s="128">
        <f t="shared" si="73"/>
        <v>49749.211599994509</v>
      </c>
      <c r="HK12" s="16"/>
      <c r="HL12" s="16"/>
      <c r="HM12" s="16"/>
      <c r="HN12" s="16"/>
      <c r="HO12" s="16"/>
      <c r="HP12" s="179">
        <f t="shared" si="74"/>
        <v>24874.605799997255</v>
      </c>
      <c r="HQ12" s="16"/>
      <c r="HR12" s="16"/>
      <c r="HS12" s="16">
        <f t="shared" si="75"/>
        <v>24874.605799997255</v>
      </c>
      <c r="HT12" s="16"/>
      <c r="HU12" s="16"/>
      <c r="HV12" s="16"/>
      <c r="HW12" s="16"/>
      <c r="HX12" s="16"/>
      <c r="HY12" s="16"/>
      <c r="HZ12" s="211">
        <f t="shared" si="76"/>
        <v>0</v>
      </c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</row>
    <row r="13" spans="1:284" x14ac:dyDescent="0.25">
      <c r="A13" s="35">
        <f t="shared" si="1"/>
        <v>7</v>
      </c>
      <c r="B13" s="38">
        <v>3404.23</v>
      </c>
      <c r="C13" s="38">
        <f t="shared" si="2"/>
        <v>7.8600000000001273</v>
      </c>
      <c r="D13" s="38">
        <f t="shared" si="3"/>
        <v>251520.00000000407</v>
      </c>
      <c r="E13" s="38">
        <v>685.92</v>
      </c>
      <c r="F13" s="38">
        <f t="shared" si="95"/>
        <v>52159.999999999854</v>
      </c>
      <c r="G13" s="38">
        <f t="shared" si="5"/>
        <v>303680.00000000396</v>
      </c>
      <c r="H13" s="37"/>
      <c r="I13" s="39"/>
      <c r="J13" s="42"/>
      <c r="K13" s="37">
        <f t="shared" si="77"/>
        <v>0</v>
      </c>
      <c r="L13" s="40">
        <v>9755000</v>
      </c>
      <c r="M13" s="40"/>
      <c r="N13" s="37">
        <f t="shared" si="78"/>
        <v>305000</v>
      </c>
      <c r="O13" s="37">
        <v>9503.6</v>
      </c>
      <c r="P13" s="37"/>
      <c r="Q13" s="37">
        <f t="shared" si="6"/>
        <v>13300.000000001091</v>
      </c>
      <c r="R13" s="37">
        <f t="shared" si="79"/>
        <v>1</v>
      </c>
      <c r="S13" s="41">
        <v>10938012.98</v>
      </c>
      <c r="T13" s="37">
        <f t="shared" si="7"/>
        <v>5.000000074505806E-2</v>
      </c>
      <c r="U13" s="37">
        <v>1518125.52</v>
      </c>
      <c r="V13" s="37">
        <f t="shared" si="8"/>
        <v>0</v>
      </c>
      <c r="W13" s="37">
        <v>3276.2</v>
      </c>
      <c r="X13" s="37">
        <f t="shared" si="93"/>
        <v>8349.9500000003463</v>
      </c>
      <c r="Y13" s="183"/>
      <c r="Z13" s="183">
        <f t="shared" si="9"/>
        <v>0</v>
      </c>
      <c r="AA13" s="37">
        <v>483400</v>
      </c>
      <c r="AB13" s="37">
        <f t="shared" si="10"/>
        <v>4950</v>
      </c>
      <c r="AC13" s="37">
        <v>3476.3</v>
      </c>
      <c r="AD13" s="37"/>
      <c r="AE13" s="37">
        <f t="shared" si="11"/>
        <v>6800.0000000001819</v>
      </c>
      <c r="AF13" s="37">
        <f t="shared" si="80"/>
        <v>1</v>
      </c>
      <c r="AG13" s="37">
        <v>7576.9</v>
      </c>
      <c r="AH13" s="48"/>
      <c r="AI13" s="37">
        <f t="shared" si="12"/>
        <v>14666.32</v>
      </c>
      <c r="AJ13" s="37">
        <f t="shared" si="13"/>
        <v>1</v>
      </c>
      <c r="AK13" s="37">
        <f t="shared" si="14"/>
        <v>29816.320000001273</v>
      </c>
      <c r="AL13" s="42">
        <v>9658.4</v>
      </c>
      <c r="AM13" s="42"/>
      <c r="AN13" s="37">
        <f t="shared" si="55"/>
        <v>4996.3199999987992</v>
      </c>
      <c r="AO13" s="37">
        <f t="shared" si="81"/>
        <v>1</v>
      </c>
      <c r="AP13" s="37">
        <v>7308.2</v>
      </c>
      <c r="AQ13" s="37"/>
      <c r="AR13" s="37">
        <f t="shared" si="15"/>
        <v>9699.9999999998181</v>
      </c>
      <c r="AS13" s="37">
        <f t="shared" si="82"/>
        <v>1</v>
      </c>
      <c r="AT13" s="183"/>
      <c r="AU13" s="183">
        <f t="shared" si="16"/>
        <v>0</v>
      </c>
      <c r="AV13" s="183"/>
      <c r="AW13" s="183">
        <f t="shared" si="17"/>
        <v>0</v>
      </c>
      <c r="AX13" s="37">
        <v>444890</v>
      </c>
      <c r="AY13" s="37"/>
      <c r="AZ13" s="37">
        <f t="shared" si="18"/>
        <v>239.52000000001863</v>
      </c>
      <c r="BA13" s="37">
        <v>88920</v>
      </c>
      <c r="BB13" s="37"/>
      <c r="BC13" s="37">
        <f t="shared" si="19"/>
        <v>303.92799999999988</v>
      </c>
      <c r="BD13" s="37">
        <f t="shared" si="83"/>
        <v>15239.767999998636</v>
      </c>
      <c r="BE13" s="43">
        <v>1650.8</v>
      </c>
      <c r="BF13" s="43">
        <v>897.84</v>
      </c>
      <c r="BG13" s="37">
        <f t="shared" si="20"/>
        <v>2200.0000000000455</v>
      </c>
      <c r="BH13" s="44">
        <v>7931.1</v>
      </c>
      <c r="BI13" s="44">
        <v>5102.8999999999996</v>
      </c>
      <c r="BJ13" s="37">
        <f t="shared" si="21"/>
        <v>10300.000000000182</v>
      </c>
      <c r="BK13" s="40">
        <v>1153890</v>
      </c>
      <c r="BL13" s="40">
        <f t="shared" si="84"/>
        <v>3990</v>
      </c>
      <c r="BM13" s="40">
        <v>801.13</v>
      </c>
      <c r="BN13" s="37">
        <f t="shared" si="22"/>
        <v>700.00000000004547</v>
      </c>
      <c r="BO13" s="186"/>
      <c r="BP13" s="183">
        <f t="shared" si="23"/>
        <v>0</v>
      </c>
      <c r="BQ13" s="40">
        <v>758.6</v>
      </c>
      <c r="BR13" s="37">
        <f t="shared" si="56"/>
        <v>680.00000000006366</v>
      </c>
      <c r="BS13" s="37">
        <v>76108.62</v>
      </c>
      <c r="BT13" s="37">
        <f t="shared" si="24"/>
        <v>204.88999999999942</v>
      </c>
      <c r="BU13" s="42">
        <v>1955014</v>
      </c>
      <c r="BV13" s="42"/>
      <c r="BW13" s="37">
        <f t="shared" si="25"/>
        <v>6214</v>
      </c>
      <c r="BX13" s="37">
        <f t="shared" si="85"/>
        <v>1</v>
      </c>
      <c r="BY13" s="43">
        <v>273.05329999999998</v>
      </c>
      <c r="BZ13" s="37"/>
      <c r="CA13" s="37">
        <f t="shared" si="26"/>
        <v>953.29999999995607</v>
      </c>
      <c r="CB13" s="37">
        <f t="shared" si="57"/>
        <v>1</v>
      </c>
      <c r="CC13" s="37">
        <v>462022.1</v>
      </c>
      <c r="CD13" s="37">
        <f t="shared" si="27"/>
        <v>1482.0999999999767</v>
      </c>
      <c r="CE13" s="37">
        <v>697330</v>
      </c>
      <c r="CF13" s="37">
        <f t="shared" si="58"/>
        <v>0</v>
      </c>
      <c r="CG13" s="37">
        <v>58799</v>
      </c>
      <c r="CH13" s="37">
        <f t="shared" si="59"/>
        <v>180</v>
      </c>
      <c r="CI13" s="40">
        <v>10870.2</v>
      </c>
      <c r="CJ13" s="40"/>
      <c r="CK13" s="37">
        <f t="shared" si="60"/>
        <v>17413.020000000772</v>
      </c>
      <c r="CL13" s="37">
        <f t="shared" si="28"/>
        <v>1</v>
      </c>
      <c r="CM13" s="37">
        <v>2804.3130000000001</v>
      </c>
      <c r="CN13" s="37"/>
      <c r="CO13" s="37">
        <f t="shared" si="29"/>
        <v>8379.3200000001925</v>
      </c>
      <c r="CP13" s="37">
        <f t="shared" si="86"/>
        <v>1</v>
      </c>
      <c r="CQ13" s="39">
        <v>2726.4340000000002</v>
      </c>
      <c r="CR13" s="45"/>
      <c r="CS13" s="37">
        <f t="shared" si="30"/>
        <v>6800.3200000000143</v>
      </c>
      <c r="CT13" s="37">
        <f t="shared" si="87"/>
        <v>1</v>
      </c>
      <c r="CU13" s="37">
        <v>2257224</v>
      </c>
      <c r="CV13" s="37"/>
      <c r="CW13" s="38">
        <f t="shared" si="31"/>
        <v>12524</v>
      </c>
      <c r="CX13" s="37">
        <f t="shared" si="88"/>
        <v>1</v>
      </c>
      <c r="CY13" s="37">
        <v>1197030</v>
      </c>
      <c r="CZ13" s="37"/>
      <c r="DA13" s="37">
        <f t="shared" si="32"/>
        <v>4330</v>
      </c>
      <c r="DB13" s="37">
        <f t="shared" si="89"/>
        <v>1</v>
      </c>
      <c r="DC13" s="37"/>
      <c r="DD13" s="40"/>
      <c r="DE13" s="37">
        <f t="shared" si="33"/>
        <v>0</v>
      </c>
      <c r="DF13" s="37">
        <f t="shared" si="94"/>
        <v>0</v>
      </c>
      <c r="DG13" s="37">
        <f t="shared" si="34"/>
        <v>-55660.660000000978</v>
      </c>
      <c r="DH13" s="37">
        <f t="shared" si="35"/>
        <v>337016.32000000135</v>
      </c>
      <c r="DI13" s="46"/>
      <c r="DJ13" s="46"/>
      <c r="DK13" s="47"/>
      <c r="DL13" s="47"/>
      <c r="DM13" s="37"/>
      <c r="DN13" s="37"/>
      <c r="DO13" s="37"/>
      <c r="DP13" s="37"/>
      <c r="DQ13" s="50">
        <v>2629200</v>
      </c>
      <c r="DR13" s="49">
        <f t="shared" si="61"/>
        <v>9700</v>
      </c>
      <c r="DS13" s="50">
        <v>1913000</v>
      </c>
      <c r="DT13" s="49">
        <f t="shared" si="62"/>
        <v>14700</v>
      </c>
      <c r="DU13" s="52">
        <v>7535</v>
      </c>
      <c r="DV13" s="52">
        <v>4206.5</v>
      </c>
      <c r="DW13" s="37">
        <f t="shared" si="90"/>
        <v>4699.9999999998181</v>
      </c>
      <c r="DX13" s="52">
        <v>12476</v>
      </c>
      <c r="DY13" s="52">
        <v>8237.1</v>
      </c>
      <c r="DZ13" s="37">
        <f t="shared" si="36"/>
        <v>8166.32</v>
      </c>
      <c r="EA13" s="49">
        <v>27802</v>
      </c>
      <c r="EB13" s="49">
        <v>19.777999999999999</v>
      </c>
      <c r="EC13" s="37">
        <f t="shared" si="37"/>
        <v>26326.32</v>
      </c>
      <c r="ED13" s="53">
        <f t="shared" si="38"/>
        <v>39192.639999999818</v>
      </c>
      <c r="EE13" s="49">
        <v>42923</v>
      </c>
      <c r="EF13" s="49">
        <v>27.222999999999999</v>
      </c>
      <c r="EG13" s="37">
        <f t="shared" si="39"/>
        <v>36326.32</v>
      </c>
      <c r="EH13" s="52">
        <v>12043</v>
      </c>
      <c r="EI13" s="52">
        <v>1.6053999999999999</v>
      </c>
      <c r="EJ13" s="37">
        <f t="shared" si="40"/>
        <v>10166.32</v>
      </c>
      <c r="EK13" s="37">
        <v>727.64</v>
      </c>
      <c r="EL13" s="40">
        <v>1045.3</v>
      </c>
      <c r="EM13" s="37">
        <f t="shared" si="63"/>
        <v>710.00000000003638</v>
      </c>
      <c r="EN13" s="54">
        <f t="shared" si="64"/>
        <v>47202.640000000036</v>
      </c>
      <c r="EO13" s="48">
        <v>12121</v>
      </c>
      <c r="EP13" s="48">
        <v>4220.8</v>
      </c>
      <c r="EQ13" s="37">
        <f t="shared" si="41"/>
        <v>10166.32</v>
      </c>
      <c r="ER13" s="48">
        <v>7774.4</v>
      </c>
      <c r="ES13" s="48">
        <v>3157.6</v>
      </c>
      <c r="ET13" s="49">
        <f t="shared" si="42"/>
        <v>21000</v>
      </c>
      <c r="EU13" s="48">
        <v>2774.4</v>
      </c>
      <c r="EV13" s="48">
        <v>992.78</v>
      </c>
      <c r="EW13" s="49">
        <f t="shared" si="43"/>
        <v>9366.3200000002726</v>
      </c>
      <c r="EX13" s="48">
        <v>12304</v>
      </c>
      <c r="EY13" s="48">
        <v>1.3089</v>
      </c>
      <c r="EZ13" s="37">
        <f t="shared" si="44"/>
        <v>11166.32</v>
      </c>
      <c r="FA13" s="48">
        <f>FC13-EQ13-ET13-EW13-EZ13</f>
        <v>-25687.960000000272</v>
      </c>
      <c r="FB13" s="48">
        <v>34214751</v>
      </c>
      <c r="FC13" s="49">
        <f t="shared" si="91"/>
        <v>26011</v>
      </c>
      <c r="FD13" s="48">
        <f t="shared" si="66"/>
        <v>53498.960000000232</v>
      </c>
      <c r="FE13" s="48">
        <v>16169</v>
      </c>
      <c r="FF13" s="48">
        <v>5801.6</v>
      </c>
      <c r="FG13" s="37">
        <f t="shared" si="67"/>
        <v>11332.99</v>
      </c>
      <c r="FH13" s="48">
        <v>7219.5</v>
      </c>
      <c r="FI13" s="48">
        <v>2.7795000000000001</v>
      </c>
      <c r="FJ13" s="49">
        <f t="shared" si="45"/>
        <v>22132.99000000018</v>
      </c>
      <c r="FK13" s="48"/>
      <c r="FL13" s="58">
        <v>166.67</v>
      </c>
      <c r="FM13" s="48">
        <f t="shared" si="92"/>
        <v>-166.32333333339253</v>
      </c>
      <c r="FN13" s="48">
        <v>15455</v>
      </c>
      <c r="FO13" s="48">
        <v>0.70030000000000003</v>
      </c>
      <c r="FP13" s="37">
        <f t="shared" si="68"/>
        <v>14332.99</v>
      </c>
      <c r="FQ13" s="48">
        <v>55140</v>
      </c>
      <c r="FR13" s="48">
        <v>13.182</v>
      </c>
      <c r="FS13" s="37">
        <f t="shared" si="46"/>
        <v>62000</v>
      </c>
      <c r="FT13" s="48">
        <f t="shared" si="69"/>
        <v>-498.97000000017761</v>
      </c>
      <c r="FU13" s="48">
        <f>FG13+FJ13+FP13+GM13</f>
        <v>49298.970000000176</v>
      </c>
      <c r="FV13" s="44">
        <v>2449400</v>
      </c>
      <c r="FW13" s="44">
        <v>793370</v>
      </c>
      <c r="FX13" s="37">
        <f t="shared" si="47"/>
        <v>6900</v>
      </c>
      <c r="FY13" s="56">
        <v>2814.4</v>
      </c>
      <c r="FZ13" s="56">
        <v>1.6194999999999999</v>
      </c>
      <c r="GA13" s="37">
        <f t="shared" si="48"/>
        <v>410</v>
      </c>
      <c r="GB13" s="56">
        <v>741.99</v>
      </c>
      <c r="GC13" s="56">
        <v>824.09</v>
      </c>
      <c r="GD13" s="37">
        <f t="shared" si="49"/>
        <v>750</v>
      </c>
      <c r="GE13" s="56">
        <v>9224.7000000000007</v>
      </c>
      <c r="GF13" s="56">
        <v>2.7751000000000001</v>
      </c>
      <c r="GG13" s="37">
        <f t="shared" si="50"/>
        <v>6300.0000000004093</v>
      </c>
      <c r="GH13" s="153">
        <v>1789.1</v>
      </c>
      <c r="GI13" s="162">
        <v>1512.4</v>
      </c>
      <c r="GJ13" s="38">
        <f t="shared" si="51"/>
        <v>1799.9999999999545</v>
      </c>
      <c r="GK13" s="162">
        <v>1410.9</v>
      </c>
      <c r="GL13" s="163">
        <v>1094.3</v>
      </c>
      <c r="GM13" s="38">
        <f t="shared" si="52"/>
        <v>1500</v>
      </c>
      <c r="GN13" s="57">
        <v>158920</v>
      </c>
      <c r="GO13" s="57">
        <v>138670</v>
      </c>
      <c r="GP13" s="38">
        <f t="shared" si="96"/>
        <v>0</v>
      </c>
      <c r="GQ13" s="38">
        <v>202620</v>
      </c>
      <c r="GR13" s="38">
        <v>203720</v>
      </c>
      <c r="GS13" s="38">
        <f t="shared" si="71"/>
        <v>90</v>
      </c>
      <c r="GT13" s="178"/>
      <c r="GU13" s="144">
        <f>DailyFeb!B12-DailyFeb!N12-DailyFeb!V12-DailyFeb!Y12-DailyFeb!Z12-DailyFeb!AA12-DailyFeb!AB12-DailyFeb!AC12-DailyFeb!AD12-DailyFeb!AE12-DailyFeb!AK12-DailyFeb!AO12-DailyFeb!AS12-DailyFeb!AY12-DailyFeb!BD12+DailyFeb!BS12-SUM(DailyFeb!BM12:BQ12)-DailyFeb!BR12-DailyFeb!AF12-DailyFeb!AG12</f>
        <v>-6.879999994271202E-2</v>
      </c>
      <c r="GV13" s="59">
        <v>2494.7312000000311</v>
      </c>
      <c r="GW13" s="60">
        <f t="shared" si="53"/>
        <v>166.31541333333541</v>
      </c>
      <c r="GX13" s="61">
        <v>166.32</v>
      </c>
      <c r="GY13" s="140"/>
      <c r="GZ13" s="62"/>
      <c r="HA13" s="62">
        <f t="shared" si="72"/>
        <v>2494.7312000000325</v>
      </c>
      <c r="HB13" s="74"/>
      <c r="HC13" s="62">
        <v>54943.442000002113</v>
      </c>
      <c r="HD13" s="74"/>
      <c r="HE13" s="24">
        <f t="shared" si="54"/>
        <v>52448.710800002082</v>
      </c>
      <c r="HG13" s="213">
        <v>7</v>
      </c>
      <c r="HH13" s="16"/>
      <c r="HI13" s="16"/>
      <c r="HJ13" s="128">
        <f t="shared" si="73"/>
        <v>52448.710800002082</v>
      </c>
      <c r="HK13" s="16"/>
      <c r="HL13" s="16"/>
      <c r="HM13" s="16"/>
      <c r="HN13" s="16"/>
      <c r="HO13" s="16"/>
      <c r="HP13" s="179">
        <f t="shared" si="74"/>
        <v>26224.355400001041</v>
      </c>
      <c r="HQ13" s="16"/>
      <c r="HR13" s="16"/>
      <c r="HS13" s="16">
        <f t="shared" si="75"/>
        <v>26224.355400001041</v>
      </c>
      <c r="HT13" s="16"/>
      <c r="HU13" s="16"/>
      <c r="HV13" s="16"/>
      <c r="HW13" s="16"/>
      <c r="HX13" s="16"/>
      <c r="HY13" s="16"/>
      <c r="HZ13" s="211">
        <f t="shared" si="76"/>
        <v>0</v>
      </c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</row>
    <row r="14" spans="1:284" x14ac:dyDescent="0.25">
      <c r="A14" s="35">
        <f t="shared" si="1"/>
        <v>8</v>
      </c>
      <c r="B14" s="38">
        <v>3412.37</v>
      </c>
      <c r="C14" s="38">
        <f t="shared" si="2"/>
        <v>8.1399999999998727</v>
      </c>
      <c r="D14" s="38">
        <f t="shared" si="3"/>
        <v>260479.99999999593</v>
      </c>
      <c r="E14" s="38">
        <v>687.41</v>
      </c>
      <c r="F14" s="38">
        <f t="shared" si="95"/>
        <v>47680.000000000291</v>
      </c>
      <c r="G14" s="38">
        <f t="shared" si="5"/>
        <v>308159.99999999622</v>
      </c>
      <c r="H14" s="37"/>
      <c r="I14" s="39"/>
      <c r="J14" s="42"/>
      <c r="K14" s="37">
        <f>IF(J14&lt;=0,0,(J14/SQRT(J14^2+(I14-I13)^2)))</f>
        <v>0</v>
      </c>
      <c r="L14" s="40">
        <v>9786100</v>
      </c>
      <c r="M14" s="40"/>
      <c r="N14" s="37">
        <f t="shared" si="78"/>
        <v>311000</v>
      </c>
      <c r="O14" s="37">
        <v>9516.4</v>
      </c>
      <c r="P14" s="37"/>
      <c r="Q14" s="37">
        <f t="shared" si="6"/>
        <v>12799.999999999272</v>
      </c>
      <c r="R14" s="37">
        <f t="shared" si="79"/>
        <v>1</v>
      </c>
      <c r="S14" s="41">
        <v>10938012.98</v>
      </c>
      <c r="T14" s="37">
        <f t="shared" si="7"/>
        <v>0</v>
      </c>
      <c r="U14" s="37">
        <v>1518125.52</v>
      </c>
      <c r="V14" s="37">
        <f t="shared" si="8"/>
        <v>0</v>
      </c>
      <c r="W14" s="37">
        <v>3282.7</v>
      </c>
      <c r="X14" s="37">
        <f t="shared" si="93"/>
        <v>8119.9999999992724</v>
      </c>
      <c r="Y14" s="183"/>
      <c r="Z14" s="183">
        <f t="shared" si="9"/>
        <v>0</v>
      </c>
      <c r="AA14" s="37">
        <v>488080</v>
      </c>
      <c r="AB14" s="37">
        <f t="shared" si="10"/>
        <v>4680</v>
      </c>
      <c r="AC14" s="37">
        <v>3482.6</v>
      </c>
      <c r="AD14" s="37"/>
      <c r="AE14" s="37">
        <f t="shared" si="11"/>
        <v>6299.9999999997272</v>
      </c>
      <c r="AF14" s="37">
        <f t="shared" si="80"/>
        <v>1</v>
      </c>
      <c r="AG14" s="37">
        <v>7589</v>
      </c>
      <c r="AH14" s="48"/>
      <c r="AI14" s="37">
        <f t="shared" si="12"/>
        <v>12268.770000000364</v>
      </c>
      <c r="AJ14" s="37">
        <f t="shared" si="13"/>
        <v>1</v>
      </c>
      <c r="AK14" s="37">
        <f t="shared" si="14"/>
        <v>26688.769999999364</v>
      </c>
      <c r="AL14" s="42">
        <v>9669</v>
      </c>
      <c r="AM14" s="42"/>
      <c r="AN14" s="37">
        <f t="shared" si="55"/>
        <v>5538.7700000003824</v>
      </c>
      <c r="AO14" s="37">
        <f t="shared" si="81"/>
        <v>1</v>
      </c>
      <c r="AP14" s="37">
        <v>7320.6</v>
      </c>
      <c r="AQ14" s="37"/>
      <c r="AR14" s="37">
        <f t="shared" si="15"/>
        <v>12400.000000000546</v>
      </c>
      <c r="AS14" s="37">
        <f t="shared" si="82"/>
        <v>1</v>
      </c>
      <c r="AT14" s="183"/>
      <c r="AU14" s="183">
        <f t="shared" si="16"/>
        <v>0</v>
      </c>
      <c r="AV14" s="183"/>
      <c r="AW14" s="183">
        <f t="shared" si="17"/>
        <v>0</v>
      </c>
      <c r="AX14" s="37">
        <v>445200</v>
      </c>
      <c r="AY14" s="37"/>
      <c r="AZ14" s="37">
        <f t="shared" si="18"/>
        <v>310</v>
      </c>
      <c r="BA14" s="37">
        <v>89477.84</v>
      </c>
      <c r="BB14" s="37"/>
      <c r="BC14" s="37">
        <f t="shared" si="19"/>
        <v>557.83999999999651</v>
      </c>
      <c r="BD14" s="37">
        <f t="shared" si="83"/>
        <v>18806.610000000925</v>
      </c>
      <c r="BE14" s="43">
        <v>1653</v>
      </c>
      <c r="BF14" s="43">
        <v>899.11</v>
      </c>
      <c r="BG14" s="37">
        <f t="shared" si="20"/>
        <v>2200.0000000000455</v>
      </c>
      <c r="BH14" s="44">
        <v>7940.1</v>
      </c>
      <c r="BI14" s="44">
        <v>5108.7</v>
      </c>
      <c r="BJ14" s="37">
        <f t="shared" si="21"/>
        <v>9000</v>
      </c>
      <c r="BK14" s="40">
        <v>1157600</v>
      </c>
      <c r="BL14" s="40">
        <f t="shared" si="84"/>
        <v>3710</v>
      </c>
      <c r="BM14" s="40">
        <v>801.85</v>
      </c>
      <c r="BN14" s="37">
        <f t="shared" si="22"/>
        <v>720.00000000002728</v>
      </c>
      <c r="BO14" s="186"/>
      <c r="BP14" s="183">
        <f t="shared" si="23"/>
        <v>0</v>
      </c>
      <c r="BQ14" s="40">
        <v>759.4</v>
      </c>
      <c r="BR14" s="37">
        <f t="shared" si="56"/>
        <v>799.99999999995453</v>
      </c>
      <c r="BS14" s="37">
        <v>76324.63</v>
      </c>
      <c r="BT14" s="37">
        <f t="shared" si="24"/>
        <v>216.01000000000931</v>
      </c>
      <c r="BU14" s="42">
        <v>1961000</v>
      </c>
      <c r="BV14" s="42"/>
      <c r="BW14" s="37">
        <f t="shared" si="25"/>
        <v>5986</v>
      </c>
      <c r="BX14" s="37">
        <f t="shared" si="85"/>
        <v>1</v>
      </c>
      <c r="BY14" s="147">
        <v>274.07</v>
      </c>
      <c r="BZ14" s="40"/>
      <c r="CA14" s="37">
        <f t="shared" si="26"/>
        <v>1016.7000000000144</v>
      </c>
      <c r="CB14" s="37">
        <f t="shared" si="57"/>
        <v>1</v>
      </c>
      <c r="CC14" s="37">
        <v>463590</v>
      </c>
      <c r="CD14" s="37">
        <f t="shared" si="27"/>
        <v>1567.9000000000233</v>
      </c>
      <c r="CE14" s="37">
        <v>697330</v>
      </c>
      <c r="CF14" s="37">
        <f t="shared" si="58"/>
        <v>0</v>
      </c>
      <c r="CG14" s="37">
        <v>58799</v>
      </c>
      <c r="CH14" s="37">
        <f t="shared" si="59"/>
        <v>0</v>
      </c>
      <c r="CI14" s="40">
        <v>10889</v>
      </c>
      <c r="CJ14" s="40"/>
      <c r="CK14" s="37">
        <f t="shared" si="60"/>
        <v>17952.069999999258</v>
      </c>
      <c r="CL14" s="37">
        <f t="shared" si="28"/>
        <v>1</v>
      </c>
      <c r="CM14" s="37">
        <v>2812.7</v>
      </c>
      <c r="CN14" s="37"/>
      <c r="CO14" s="37">
        <f t="shared" si="29"/>
        <v>8555.7699999997167</v>
      </c>
      <c r="CP14" s="37">
        <f t="shared" si="86"/>
        <v>1</v>
      </c>
      <c r="CQ14" s="39">
        <v>2733.3</v>
      </c>
      <c r="CR14" s="45"/>
      <c r="CS14" s="37">
        <f t="shared" si="30"/>
        <v>7034.7699999999859</v>
      </c>
      <c r="CT14" s="37">
        <f t="shared" si="87"/>
        <v>1</v>
      </c>
      <c r="CU14" s="37">
        <v>2270000</v>
      </c>
      <c r="CV14" s="37"/>
      <c r="CW14" s="38">
        <f t="shared" si="31"/>
        <v>12776</v>
      </c>
      <c r="CX14" s="37">
        <f t="shared" si="88"/>
        <v>1</v>
      </c>
      <c r="CY14" s="37">
        <v>1201300</v>
      </c>
      <c r="CZ14" s="37"/>
      <c r="DA14" s="37">
        <f t="shared" si="32"/>
        <v>4270</v>
      </c>
      <c r="DB14" s="37">
        <f t="shared" si="89"/>
        <v>1</v>
      </c>
      <c r="DC14" s="37"/>
      <c r="DD14" s="40"/>
      <c r="DE14" s="37">
        <f t="shared" si="33"/>
        <v>0</v>
      </c>
      <c r="DF14" s="37">
        <f t="shared" si="94"/>
        <v>0</v>
      </c>
      <c r="DG14" s="37">
        <f t="shared" si="34"/>
        <v>-56574.60999999896</v>
      </c>
      <c r="DH14" s="37">
        <f t="shared" si="35"/>
        <v>339888.76999999944</v>
      </c>
      <c r="DI14" s="46"/>
      <c r="DJ14" s="46"/>
      <c r="DK14" s="47"/>
      <c r="DL14" s="47"/>
      <c r="DM14" s="37"/>
      <c r="DN14" s="37"/>
      <c r="DO14" s="37"/>
      <c r="DP14" s="37"/>
      <c r="DQ14" s="50">
        <v>2638600</v>
      </c>
      <c r="DR14" s="49">
        <f t="shared" si="61"/>
        <v>9400</v>
      </c>
      <c r="DS14" s="50">
        <v>1929500</v>
      </c>
      <c r="DT14" s="49">
        <f t="shared" si="62"/>
        <v>16500</v>
      </c>
      <c r="DU14" s="52">
        <v>7539</v>
      </c>
      <c r="DV14" s="52">
        <v>4209.1000000000004</v>
      </c>
      <c r="DW14" s="37">
        <f t="shared" si="90"/>
        <v>4000</v>
      </c>
      <c r="DX14" s="52">
        <v>12482</v>
      </c>
      <c r="DY14" s="52">
        <v>8239.2000000000007</v>
      </c>
      <c r="DZ14" s="37">
        <f t="shared" si="36"/>
        <v>6168.77</v>
      </c>
      <c r="EA14" s="49">
        <v>27822</v>
      </c>
      <c r="EB14" s="49">
        <v>19.788</v>
      </c>
      <c r="EC14" s="37">
        <f t="shared" si="37"/>
        <v>22328.77</v>
      </c>
      <c r="ED14" s="53">
        <f t="shared" si="38"/>
        <v>32497.54</v>
      </c>
      <c r="EE14" s="49">
        <v>42952</v>
      </c>
      <c r="EF14" s="49">
        <v>27.247</v>
      </c>
      <c r="EG14" s="37">
        <f t="shared" si="39"/>
        <v>31328.77</v>
      </c>
      <c r="EH14" s="52">
        <v>12052</v>
      </c>
      <c r="EI14" s="52">
        <v>1.6068</v>
      </c>
      <c r="EJ14" s="37">
        <f t="shared" si="40"/>
        <v>9168.77</v>
      </c>
      <c r="EK14" s="37">
        <v>728.32</v>
      </c>
      <c r="EL14" s="40">
        <v>1046.3</v>
      </c>
      <c r="EM14" s="37">
        <f t="shared" si="63"/>
        <v>680.00000000006366</v>
      </c>
      <c r="EN14" s="54">
        <f t="shared" si="64"/>
        <v>41177.540000000066</v>
      </c>
      <c r="EO14" s="48">
        <v>12129</v>
      </c>
      <c r="EP14" s="48">
        <v>4223.7</v>
      </c>
      <c r="EQ14" s="37">
        <f t="shared" si="41"/>
        <v>8168.77</v>
      </c>
      <c r="ER14" s="48">
        <v>7791.7</v>
      </c>
      <c r="ES14" s="48">
        <v>3164.9</v>
      </c>
      <c r="ET14" s="49">
        <f t="shared" si="42"/>
        <v>17300.000000000182</v>
      </c>
      <c r="EU14" s="48">
        <v>2781.9</v>
      </c>
      <c r="EV14" s="48">
        <v>995.48</v>
      </c>
      <c r="EW14" s="49">
        <f t="shared" si="43"/>
        <v>7668.77</v>
      </c>
      <c r="EX14" s="48">
        <v>12314</v>
      </c>
      <c r="EY14" s="48">
        <v>1.3109</v>
      </c>
      <c r="EZ14" s="37">
        <f t="shared" si="44"/>
        <v>10168.77</v>
      </c>
      <c r="FA14" s="48">
        <f t="shared" si="65"/>
        <v>-21621.310000000183</v>
      </c>
      <c r="FB14" s="48">
        <v>34236436</v>
      </c>
      <c r="FC14" s="49">
        <f t="shared" si="91"/>
        <v>21685</v>
      </c>
      <c r="FD14" s="48">
        <f t="shared" si="66"/>
        <v>44906.310000000325</v>
      </c>
      <c r="FE14" s="48">
        <v>16178</v>
      </c>
      <c r="FF14" s="48">
        <v>5804.6</v>
      </c>
      <c r="FG14" s="37">
        <f t="shared" si="67"/>
        <v>9502.1</v>
      </c>
      <c r="FH14" s="48">
        <v>7238</v>
      </c>
      <c r="FI14" s="48">
        <v>2.7866</v>
      </c>
      <c r="FJ14" s="49">
        <f t="shared" si="45"/>
        <v>19002.100000000002</v>
      </c>
      <c r="FK14" s="48"/>
      <c r="FL14" s="58">
        <v>333.33</v>
      </c>
      <c r="FM14" s="48">
        <f t="shared" si="92"/>
        <v>-168.76666666666702</v>
      </c>
      <c r="FN14" s="48">
        <v>15465</v>
      </c>
      <c r="FO14" s="48">
        <v>0.70209999999999995</v>
      </c>
      <c r="FP14" s="37">
        <f t="shared" si="68"/>
        <v>10502.1</v>
      </c>
      <c r="FQ14" s="48">
        <v>55195</v>
      </c>
      <c r="FR14" s="48">
        <v>13.199</v>
      </c>
      <c r="FS14" s="37">
        <f t="shared" si="46"/>
        <v>55000</v>
      </c>
      <c r="FT14" s="48">
        <f t="shared" si="69"/>
        <v>-506.30000000000109</v>
      </c>
      <c r="FU14" s="48">
        <f t="shared" si="70"/>
        <v>40306.299999999959</v>
      </c>
      <c r="FV14" s="44">
        <v>2455300</v>
      </c>
      <c r="FW14" s="44">
        <v>799620</v>
      </c>
      <c r="FX14" s="37">
        <f t="shared" si="47"/>
        <v>5900</v>
      </c>
      <c r="FY14" s="56">
        <v>2814.7</v>
      </c>
      <c r="FZ14" s="56">
        <v>1.6197999999999999</v>
      </c>
      <c r="GA14" s="37">
        <f t="shared" si="48"/>
        <v>219.99999999972715</v>
      </c>
      <c r="GB14" s="56">
        <v>742.64</v>
      </c>
      <c r="GC14" s="56">
        <v>824.92</v>
      </c>
      <c r="GD14" s="37">
        <f t="shared" si="49"/>
        <v>649.99999999997726</v>
      </c>
      <c r="GE14" s="56">
        <v>9233.2000000000007</v>
      </c>
      <c r="GF14" s="56">
        <v>2.7808999999999999</v>
      </c>
      <c r="GG14" s="37">
        <f t="shared" si="50"/>
        <v>5599.9999999999091</v>
      </c>
      <c r="GH14" s="153">
        <v>1790.7</v>
      </c>
      <c r="GI14" s="162">
        <v>1513.9</v>
      </c>
      <c r="GJ14" s="38">
        <f t="shared" si="51"/>
        <v>1600.0000000001364</v>
      </c>
      <c r="GK14" s="162">
        <v>1412.2</v>
      </c>
      <c r="GL14" s="163">
        <v>1094.9000000000001</v>
      </c>
      <c r="GM14" s="38">
        <f t="shared" si="52"/>
        <v>1299.9999999999545</v>
      </c>
      <c r="GN14" s="57">
        <v>158920</v>
      </c>
      <c r="GO14" s="57">
        <v>138670</v>
      </c>
      <c r="GP14" s="38">
        <f t="shared" si="96"/>
        <v>0</v>
      </c>
      <c r="GQ14" s="38">
        <v>202700</v>
      </c>
      <c r="GR14" s="38">
        <v>203800</v>
      </c>
      <c r="GS14" s="38">
        <f t="shared" si="71"/>
        <v>80</v>
      </c>
      <c r="GT14" s="178"/>
      <c r="GU14" s="144">
        <f>DailyFeb!B13-DailyFeb!N13-DailyFeb!V13-DailyFeb!Y13-DailyFeb!Z13-DailyFeb!AA13-DailyFeb!AB13-DailyFeb!AC13-DailyFeb!AD13-DailyFeb!AE13-DailyFeb!AK13-DailyFeb!AO13-DailyFeb!AS13-DailyFeb!AY13-DailyFeb!BD13+DailyFeb!BS13-SUM(DailyFeb!BM13:BQ13)-DailyFeb!BR13-DailyFeb!AF13-DailyFeb!AG13</f>
        <v>-1.5600000057020225E-2</v>
      </c>
      <c r="GV14" s="59">
        <v>2531.534399999975</v>
      </c>
      <c r="GW14" s="60">
        <f t="shared" si="53"/>
        <v>168.76895999999834</v>
      </c>
      <c r="GX14" s="61">
        <v>168.77</v>
      </c>
      <c r="GY14" s="140"/>
      <c r="GZ14" s="62"/>
      <c r="HA14" s="62">
        <f t="shared" si="72"/>
        <v>2531.5343999999691</v>
      </c>
      <c r="HB14" s="74"/>
      <c r="HC14" s="62">
        <v>78325.269999996919</v>
      </c>
      <c r="HD14" s="74"/>
      <c r="HE14" s="24">
        <f t="shared" si="54"/>
        <v>75793.735599996944</v>
      </c>
      <c r="HG14" s="213">
        <v>8</v>
      </c>
      <c r="HH14" s="16">
        <v>335.59</v>
      </c>
      <c r="HI14" s="16">
        <v>199.45</v>
      </c>
      <c r="HJ14" s="128">
        <f t="shared" si="73"/>
        <v>75793.735599996944</v>
      </c>
      <c r="HK14" s="16">
        <v>1.9189000000000001</v>
      </c>
      <c r="HL14" s="16">
        <v>660.93</v>
      </c>
      <c r="HM14" s="16"/>
      <c r="HN14" s="16">
        <v>85.159000000000006</v>
      </c>
      <c r="HO14" s="16">
        <v>51.505000000000003</v>
      </c>
      <c r="HP14" s="179">
        <f t="shared" si="74"/>
        <v>37896.867799998472</v>
      </c>
      <c r="HQ14" s="16">
        <v>124.46</v>
      </c>
      <c r="HR14" s="16">
        <v>80.483999999999995</v>
      </c>
      <c r="HS14" s="16">
        <f t="shared" si="75"/>
        <v>37896.867799998472</v>
      </c>
      <c r="HT14" s="16">
        <v>39.058999999999997</v>
      </c>
      <c r="HU14" s="16">
        <v>27.001999999999999</v>
      </c>
      <c r="HV14" s="16"/>
      <c r="HW14" s="16"/>
      <c r="HX14" s="16"/>
      <c r="HY14" s="16"/>
      <c r="HZ14" s="211">
        <f t="shared" si="76"/>
        <v>0</v>
      </c>
      <c r="IA14" s="16">
        <v>82624.399999999994</v>
      </c>
      <c r="IB14" s="16">
        <v>35082.9</v>
      </c>
      <c r="IC14" s="16"/>
      <c r="ID14" s="16">
        <v>28.713000000000001</v>
      </c>
      <c r="IE14" s="16">
        <v>15.097</v>
      </c>
      <c r="IF14" s="16"/>
      <c r="IG14" s="16">
        <v>7795.9</v>
      </c>
      <c r="IH14" s="16">
        <v>11037.3</v>
      </c>
      <c r="II14" s="16"/>
      <c r="IJ14" s="16">
        <v>13491.5</v>
      </c>
      <c r="IK14" s="16">
        <v>6817.2</v>
      </c>
      <c r="IL14" s="16"/>
      <c r="IM14" s="16">
        <v>59630.3</v>
      </c>
      <c r="IN14" s="16">
        <v>25805.599999999999</v>
      </c>
      <c r="IO14" s="16"/>
      <c r="IP14" s="16">
        <v>72884.399999999994</v>
      </c>
      <c r="IQ14" s="16">
        <v>8864.7999999999993</v>
      </c>
      <c r="IR14" s="16"/>
      <c r="IS14" s="16">
        <v>12055.5</v>
      </c>
      <c r="IT14" s="16">
        <v>6359.8</v>
      </c>
      <c r="IU14" s="16"/>
      <c r="IV14" s="16">
        <v>36272.699999999997</v>
      </c>
      <c r="IW14" s="16">
        <v>6591.9</v>
      </c>
      <c r="IX14" s="16"/>
      <c r="IY14" s="16">
        <v>3525.04</v>
      </c>
      <c r="IZ14" s="16">
        <v>269.24</v>
      </c>
      <c r="JA14" s="16"/>
      <c r="JB14" s="16">
        <v>3171.8</v>
      </c>
      <c r="JC14" s="16">
        <v>281.45</v>
      </c>
      <c r="JD14" s="16"/>
      <c r="JE14" s="16">
        <v>16048.1</v>
      </c>
      <c r="JF14" s="16">
        <v>885.2</v>
      </c>
      <c r="JG14" s="16"/>
      <c r="JH14" s="16">
        <v>17182</v>
      </c>
      <c r="JI14" s="16">
        <v>827.2</v>
      </c>
      <c r="JJ14" s="16"/>
      <c r="JK14" s="16"/>
      <c r="JL14" s="16"/>
      <c r="JM14" s="16"/>
      <c r="JN14" s="16">
        <v>8330.1</v>
      </c>
      <c r="JO14" s="16">
        <v>1511.1</v>
      </c>
      <c r="JP14" s="16"/>
      <c r="JQ14" s="16">
        <v>1.1000000000000001</v>
      </c>
      <c r="JR14" s="16">
        <v>0.27</v>
      </c>
      <c r="JS14" s="16"/>
      <c r="JT14" s="16">
        <v>1342</v>
      </c>
      <c r="JU14" s="16">
        <v>75</v>
      </c>
      <c r="JV14" s="16"/>
    </row>
    <row r="15" spans="1:284" x14ac:dyDescent="0.25">
      <c r="A15" s="214">
        <f t="shared" si="1"/>
        <v>9</v>
      </c>
      <c r="B15" s="38">
        <f>B14+8.3</f>
        <v>3420.67</v>
      </c>
      <c r="C15" s="38">
        <f t="shared" si="2"/>
        <v>8.3000000000001819</v>
      </c>
      <c r="D15" s="38">
        <f t="shared" si="3"/>
        <v>265600.00000000582</v>
      </c>
      <c r="E15" s="38">
        <f>E14+1.05</f>
        <v>688.45999999999992</v>
      </c>
      <c r="F15" s="38">
        <f t="shared" si="95"/>
        <v>33599.999999998545</v>
      </c>
      <c r="G15" s="38">
        <f t="shared" si="5"/>
        <v>299200.00000000437</v>
      </c>
      <c r="H15" s="37"/>
      <c r="I15" s="39"/>
      <c r="J15" s="42"/>
      <c r="K15" s="37">
        <f>IF(J15&lt;=0,0,(J15/SQRT(J15^2+(I15-I14)^2)))</f>
        <v>0</v>
      </c>
      <c r="L15" s="40">
        <v>9815700</v>
      </c>
      <c r="M15" s="40"/>
      <c r="N15" s="37">
        <f t="shared" si="78"/>
        <v>296000</v>
      </c>
      <c r="O15" s="37">
        <v>9528.7000000000007</v>
      </c>
      <c r="P15" s="2"/>
      <c r="Q15" s="37">
        <f t="shared" si="6"/>
        <v>12300.000000001091</v>
      </c>
      <c r="R15" s="37">
        <f>IF(Q15&lt;=0,0,(Q15/SQRT(Q15^2+(P15-P14)^2)))</f>
        <v>1</v>
      </c>
      <c r="S15" s="41">
        <v>10938012.98</v>
      </c>
      <c r="T15" s="37">
        <f t="shared" si="7"/>
        <v>0</v>
      </c>
      <c r="U15" s="37">
        <v>1518125.52</v>
      </c>
      <c r="V15" s="37">
        <f t="shared" si="8"/>
        <v>0</v>
      </c>
      <c r="W15" s="37">
        <v>3289.1</v>
      </c>
      <c r="X15" s="37">
        <f t="shared" si="93"/>
        <v>7980.0000000010914</v>
      </c>
      <c r="Y15" s="183"/>
      <c r="Z15" s="183">
        <f t="shared" si="9"/>
        <v>0</v>
      </c>
      <c r="AA15" s="37">
        <v>492400</v>
      </c>
      <c r="AB15" s="37">
        <f t="shared" si="10"/>
        <v>4320</v>
      </c>
      <c r="AC15" s="37">
        <v>3488.5</v>
      </c>
      <c r="AD15" s="37"/>
      <c r="AE15" s="37">
        <f t="shared" si="11"/>
        <v>5900.0000000000909</v>
      </c>
      <c r="AF15" s="37">
        <f>IF(AE15&lt;=0,0,(AE15/SQRT(AE15^2+(AD15-AD14)^2)))</f>
        <v>1</v>
      </c>
      <c r="AG15" s="37">
        <v>7601.6</v>
      </c>
      <c r="AH15" s="48"/>
      <c r="AI15" s="37">
        <f t="shared" si="12"/>
        <v>13422.790000000365</v>
      </c>
      <c r="AJ15" s="37">
        <f t="shared" si="13"/>
        <v>1</v>
      </c>
      <c r="AK15" s="37">
        <f t="shared" si="14"/>
        <v>27302.790000001547</v>
      </c>
      <c r="AL15" s="2">
        <v>9679</v>
      </c>
      <c r="AM15" s="42"/>
      <c r="AN15" s="37">
        <f t="shared" si="55"/>
        <v>5272.7900000000191</v>
      </c>
      <c r="AO15" s="37">
        <f>IF(AN15&lt;=0,0,(AN15/SQRT(AN15^2+(AM15-AM14)^2)))</f>
        <v>1</v>
      </c>
      <c r="AP15" s="37">
        <v>7332.6</v>
      </c>
      <c r="AQ15" s="37"/>
      <c r="AR15" s="37">
        <f t="shared" si="15"/>
        <v>12000</v>
      </c>
      <c r="AS15" s="37">
        <f>IF(AR15&lt;=0,0,(AR15/SQRT(AR15^2+(AQ15-AQ14)^2)))</f>
        <v>1</v>
      </c>
      <c r="AT15" s="183"/>
      <c r="AU15" s="183">
        <f t="shared" si="16"/>
        <v>0</v>
      </c>
      <c r="AV15" s="183"/>
      <c r="AW15" s="183">
        <f t="shared" si="17"/>
        <v>0</v>
      </c>
      <c r="AX15" s="37">
        <v>445620</v>
      </c>
      <c r="AY15" s="37"/>
      <c r="AZ15" s="37">
        <f t="shared" si="18"/>
        <v>420</v>
      </c>
      <c r="BA15" s="37">
        <v>90080</v>
      </c>
      <c r="BB15" s="37"/>
      <c r="BC15" s="37">
        <f t="shared" si="19"/>
        <v>602.16000000000349</v>
      </c>
      <c r="BD15" s="37">
        <f t="shared" si="83"/>
        <v>18294.950000000023</v>
      </c>
      <c r="BE15" s="43">
        <v>1655</v>
      </c>
      <c r="BF15" s="43">
        <v>900.31</v>
      </c>
      <c r="BG15" s="37">
        <f t="shared" si="20"/>
        <v>2000</v>
      </c>
      <c r="BH15" s="44">
        <v>7949.8</v>
      </c>
      <c r="BI15" s="44">
        <v>5114.8999999999996</v>
      </c>
      <c r="BJ15" s="37">
        <f t="shared" si="21"/>
        <v>9699.9999999998181</v>
      </c>
      <c r="BK15" s="40">
        <v>1161880</v>
      </c>
      <c r="BL15" s="40">
        <f t="shared" si="84"/>
        <v>4280</v>
      </c>
      <c r="BM15" s="40">
        <v>802.52</v>
      </c>
      <c r="BN15" s="37">
        <f t="shared" si="22"/>
        <v>669.99999999995907</v>
      </c>
      <c r="BO15" s="186"/>
      <c r="BP15" s="183">
        <f t="shared" si="23"/>
        <v>0</v>
      </c>
      <c r="BQ15" s="40">
        <v>760</v>
      </c>
      <c r="BR15" s="37">
        <f t="shared" si="56"/>
        <v>600.00000000002274</v>
      </c>
      <c r="BS15" s="37">
        <v>76526.78</v>
      </c>
      <c r="BT15" s="37">
        <f t="shared" si="24"/>
        <v>202.14999999999418</v>
      </c>
      <c r="BU15" s="42">
        <v>1966491</v>
      </c>
      <c r="BV15" s="42"/>
      <c r="BW15" s="37">
        <f t="shared" si="25"/>
        <v>5491</v>
      </c>
      <c r="BX15" s="37">
        <f>IF(BW15&lt;=0,0,(BW15/SQRT(BW15^2+(BV15-BV14)^2)))</f>
        <v>1</v>
      </c>
      <c r="BY15" s="43">
        <v>275.02679999999998</v>
      </c>
      <c r="BZ15" s="37"/>
      <c r="CA15" s="37">
        <f t="shared" si="26"/>
        <v>956.79999999998699</v>
      </c>
      <c r="CB15" s="37">
        <f t="shared" si="57"/>
        <v>1</v>
      </c>
      <c r="CC15" s="37">
        <v>464985</v>
      </c>
      <c r="CD15" s="37">
        <f t="shared" si="27"/>
        <v>1395</v>
      </c>
      <c r="CE15" s="37">
        <v>697329.9</v>
      </c>
      <c r="CF15" s="37">
        <f t="shared" si="58"/>
        <v>0</v>
      </c>
      <c r="CG15" s="37">
        <v>58799</v>
      </c>
      <c r="CH15" s="37">
        <f t="shared" si="59"/>
        <v>0</v>
      </c>
      <c r="CI15" s="40">
        <v>10905.69</v>
      </c>
      <c r="CJ15" s="40"/>
      <c r="CK15" s="37">
        <f t="shared" si="60"/>
        <v>16555.990000000522</v>
      </c>
      <c r="CL15" s="37">
        <f t="shared" si="28"/>
        <v>1</v>
      </c>
      <c r="CM15" s="37">
        <v>2820.4229999999998</v>
      </c>
      <c r="CN15" s="37"/>
      <c r="CO15" s="37">
        <f t="shared" si="29"/>
        <v>8545.7899999999572</v>
      </c>
      <c r="CP15" s="37">
        <f>IF(CO15&lt;=0,0,(CO15/SQRT(CO15^2+(CN15-CN14)^2)))</f>
        <v>1</v>
      </c>
      <c r="CQ15" s="39">
        <v>2733.471</v>
      </c>
      <c r="CR15" s="45"/>
      <c r="CS15" s="37">
        <f t="shared" si="30"/>
        <v>993.7899999998217</v>
      </c>
      <c r="CT15" s="37">
        <f>IF(CS15&lt;=0,0,(CS15/SQRT(CS15^2+(CR15-CR14)^2)))</f>
        <v>1</v>
      </c>
      <c r="CU15" s="37">
        <v>2284109</v>
      </c>
      <c r="CV15" s="37"/>
      <c r="CW15" s="38">
        <f t="shared" si="31"/>
        <v>14109</v>
      </c>
      <c r="CX15" s="37">
        <f t="shared" si="88"/>
        <v>1</v>
      </c>
      <c r="CY15" s="37">
        <v>1203998</v>
      </c>
      <c r="CZ15" s="37"/>
      <c r="DA15" s="37">
        <f t="shared" si="32"/>
        <v>2698</v>
      </c>
      <c r="DB15" s="37">
        <f>IF(DA15&lt;=0,0,(DA15/SQRT(DA15^2+(CZ15-CZ14)^2)))</f>
        <v>1</v>
      </c>
      <c r="DC15" s="37"/>
      <c r="DD15" s="40"/>
      <c r="DE15" s="37">
        <f t="shared" si="33"/>
        <v>0</v>
      </c>
      <c r="DF15" s="37">
        <f>IF(DE15&lt;=0,0,(DE15/SQRT(DE15^2+(DD15-DD14)^2)))</f>
        <v>0</v>
      </c>
      <c r="DG15" s="37">
        <f t="shared" si="34"/>
        <v>-48393.570000000298</v>
      </c>
      <c r="DH15" s="37">
        <f t="shared" si="35"/>
        <v>325302.79000000155</v>
      </c>
      <c r="DI15" s="46"/>
      <c r="DJ15" s="46"/>
      <c r="DK15" s="47"/>
      <c r="DL15" s="47"/>
      <c r="DM15" s="37"/>
      <c r="DN15" s="37"/>
      <c r="DO15" s="37"/>
      <c r="DP15" s="37"/>
      <c r="DQ15" s="50">
        <f>2648500-2800</f>
        <v>2645700</v>
      </c>
      <c r="DR15" s="49">
        <f t="shared" si="61"/>
        <v>7100</v>
      </c>
      <c r="DS15" s="50">
        <v>1944600</v>
      </c>
      <c r="DT15" s="49">
        <f t="shared" si="62"/>
        <v>15100</v>
      </c>
      <c r="DU15" s="52">
        <v>7543.1</v>
      </c>
      <c r="DV15" s="52">
        <v>4211.3999999999996</v>
      </c>
      <c r="DW15" s="37">
        <f t="shared" si="90"/>
        <v>4100.0000000003638</v>
      </c>
      <c r="DX15" s="52">
        <v>12489</v>
      </c>
      <c r="DY15" s="52">
        <v>8241.6</v>
      </c>
      <c r="DZ15" s="37">
        <f t="shared" si="36"/>
        <v>7822.79</v>
      </c>
      <c r="EA15" s="49">
        <v>27846</v>
      </c>
      <c r="EB15" s="49">
        <v>19.798999999999999</v>
      </c>
      <c r="EC15" s="37">
        <f t="shared" si="37"/>
        <v>26982.79</v>
      </c>
      <c r="ED15" s="53">
        <f t="shared" si="38"/>
        <v>38905.580000000366</v>
      </c>
      <c r="EE15" s="49">
        <v>42984</v>
      </c>
      <c r="EF15" s="49">
        <v>27.274000000000001</v>
      </c>
      <c r="EG15" s="37">
        <f t="shared" si="39"/>
        <v>34982.79</v>
      </c>
      <c r="EH15" s="52">
        <v>12062</v>
      </c>
      <c r="EI15" s="52">
        <v>1.6082000000000001</v>
      </c>
      <c r="EJ15" s="37">
        <f t="shared" si="40"/>
        <v>10822.79</v>
      </c>
      <c r="EK15" s="37">
        <v>729.02</v>
      </c>
      <c r="EL15" s="40">
        <v>1047.3</v>
      </c>
      <c r="EM15" s="37">
        <f t="shared" si="63"/>
        <v>699.99999999993179</v>
      </c>
      <c r="EN15" s="54">
        <f t="shared" si="64"/>
        <v>46505.579999999936</v>
      </c>
      <c r="EO15" s="48">
        <v>12139</v>
      </c>
      <c r="EP15" s="48">
        <v>4227</v>
      </c>
      <c r="EQ15" s="37">
        <f t="shared" si="41"/>
        <v>10822.79</v>
      </c>
      <c r="ER15" s="48">
        <v>7810.9</v>
      </c>
      <c r="ES15" s="48">
        <v>3172.9</v>
      </c>
      <c r="ET15" s="49">
        <f>IF((ER15-ER14)&lt;=0,0,(ER15-ER14))*1000</f>
        <v>19199.999999999818</v>
      </c>
      <c r="EU15" s="48">
        <v>2789.8</v>
      </c>
      <c r="EV15" s="48">
        <v>998.3</v>
      </c>
      <c r="EW15" s="49">
        <f t="shared" si="43"/>
        <v>8722.7900000000918</v>
      </c>
      <c r="EX15" s="48">
        <v>12325</v>
      </c>
      <c r="EY15" s="48">
        <v>1.3131999999999999</v>
      </c>
      <c r="EZ15" s="37">
        <f t="shared" si="44"/>
        <v>11822.79</v>
      </c>
      <c r="FA15" s="48">
        <f t="shared" si="65"/>
        <v>-25556.369999999912</v>
      </c>
      <c r="FB15" s="48">
        <v>34261448</v>
      </c>
      <c r="FC15" s="49">
        <f>IF((FB15-FB14)&lt;=0,0,(FB15-FB14))</f>
        <v>25012</v>
      </c>
      <c r="FD15" s="48">
        <f t="shared" si="66"/>
        <v>51968.369999999777</v>
      </c>
      <c r="FE15" s="48">
        <v>16187</v>
      </c>
      <c r="FF15" s="48">
        <v>5807.5</v>
      </c>
      <c r="FG15" s="37">
        <f t="shared" si="67"/>
        <v>10189.459999999999</v>
      </c>
      <c r="FH15" s="48">
        <v>7255.8</v>
      </c>
      <c r="FI15" s="48">
        <v>2.7934999999999999</v>
      </c>
      <c r="FJ15" s="49">
        <f t="shared" si="45"/>
        <v>18989.460000000181</v>
      </c>
      <c r="FK15" s="48"/>
      <c r="FL15" s="58">
        <v>366.67</v>
      </c>
      <c r="FM15" s="48">
        <f>FT15/3</f>
        <v>-822.79333333339309</v>
      </c>
      <c r="FN15" s="48">
        <v>15476</v>
      </c>
      <c r="FO15" s="48">
        <v>0.70409999999999995</v>
      </c>
      <c r="FP15" s="37">
        <f t="shared" si="68"/>
        <v>12189.46</v>
      </c>
      <c r="FQ15" s="48">
        <v>55249</v>
      </c>
      <c r="FR15" s="48">
        <v>13.214</v>
      </c>
      <c r="FS15" s="37">
        <f t="shared" si="46"/>
        <v>54000</v>
      </c>
      <c r="FT15" s="48">
        <f t="shared" si="69"/>
        <v>-2468.3800000001793</v>
      </c>
      <c r="FU15" s="48">
        <f t="shared" si="70"/>
        <v>42568.380000000223</v>
      </c>
      <c r="FV15" s="44">
        <v>2462600</v>
      </c>
      <c r="FW15" s="44">
        <v>798330</v>
      </c>
      <c r="FX15" s="37">
        <f t="shared" si="47"/>
        <v>7300</v>
      </c>
      <c r="FY15" s="56">
        <v>2815.2</v>
      </c>
      <c r="FZ15" s="56">
        <v>1.6202000000000001</v>
      </c>
      <c r="GA15" s="37">
        <f t="shared" si="48"/>
        <v>410</v>
      </c>
      <c r="GB15" s="56">
        <v>743.35</v>
      </c>
      <c r="GC15" s="56">
        <v>825.8</v>
      </c>
      <c r="GD15" s="37">
        <f t="shared" si="49"/>
        <v>710.00000000003638</v>
      </c>
      <c r="GE15" s="56">
        <v>9242.2000000000007</v>
      </c>
      <c r="GF15" s="56">
        <v>2.7873999999999999</v>
      </c>
      <c r="GG15" s="37">
        <f t="shared" si="50"/>
        <v>6400.0000000000909</v>
      </c>
      <c r="GH15" s="153">
        <v>1792.1</v>
      </c>
      <c r="GI15" s="162">
        <v>1515.3</v>
      </c>
      <c r="GJ15" s="38">
        <f t="shared" si="51"/>
        <v>1399.9999999998636</v>
      </c>
      <c r="GK15" s="162">
        <v>1413.4</v>
      </c>
      <c r="GL15" s="163">
        <v>1095.4000000000001</v>
      </c>
      <c r="GM15" s="38">
        <f t="shared" si="52"/>
        <v>1200.0000000000455</v>
      </c>
      <c r="GN15" s="57">
        <v>158930</v>
      </c>
      <c r="GO15" s="57">
        <v>138680</v>
      </c>
      <c r="GP15" s="38">
        <f t="shared" si="96"/>
        <v>10</v>
      </c>
      <c r="GQ15" s="38">
        <v>202790</v>
      </c>
      <c r="GR15" s="38">
        <v>203880</v>
      </c>
      <c r="GS15" s="38">
        <f t="shared" si="71"/>
        <v>90</v>
      </c>
      <c r="GT15" s="178"/>
      <c r="GU15" s="144">
        <f>DailyFeb!B14-DailyFeb!N14-DailyFeb!V14-DailyFeb!Y14-DailyFeb!Z14-DailyFeb!AA14-DailyFeb!AB14-DailyFeb!AC14-DailyFeb!AD14-DailyFeb!AE14-DailyFeb!AK14-DailyFeb!AO14-DailyFeb!AS14-DailyFeb!AY14-DailyFeb!BD14+DailyFeb!BS14-SUM(DailyFeb!BM14:BQ14)-DailyFeb!BR14-DailyFeb!AF14-DailyFeb!AG14</f>
        <v>-1.999999770487193E-2</v>
      </c>
      <c r="GV15" s="59">
        <v>12341.83</v>
      </c>
      <c r="GW15" s="60">
        <f t="shared" si="53"/>
        <v>822.7886666666667</v>
      </c>
      <c r="GX15" s="61">
        <v>822.79</v>
      </c>
      <c r="GY15" s="140"/>
      <c r="GZ15" s="62"/>
      <c r="HA15" s="62"/>
      <c r="HB15" s="142"/>
      <c r="HC15" s="62">
        <f>HJ15</f>
        <v>59420.000000000015</v>
      </c>
      <c r="HD15" s="74"/>
      <c r="HE15" s="24">
        <f t="shared" si="54"/>
        <v>59420.000000000015</v>
      </c>
      <c r="HF15" s="151"/>
      <c r="HG15" s="213">
        <v>9</v>
      </c>
      <c r="HH15" s="16">
        <v>395.01</v>
      </c>
      <c r="HI15" s="16">
        <v>223.82</v>
      </c>
      <c r="HJ15" s="16">
        <f t="shared" ref="HJ15:HJ18" si="97">IF((HH15-HH14)&lt;=0,0,(HH15-HH14)*1000)</f>
        <v>59420.000000000015</v>
      </c>
      <c r="HK15" s="16">
        <v>1.9189000000000001</v>
      </c>
      <c r="HL15" s="16">
        <v>660.93</v>
      </c>
      <c r="HM15" s="16">
        <f>IF((HK15-HK14)&lt;=0,0,(HK15-HK14))</f>
        <v>0</v>
      </c>
      <c r="HN15" s="16">
        <v>99.007999999999996</v>
      </c>
      <c r="HO15" s="16">
        <v>57.274999999999999</v>
      </c>
      <c r="HP15" s="16">
        <f>IF((HN15-HN14)&lt;=0,0,(HN15-HN14)*1000)+IC52</f>
        <v>18526.999999999989</v>
      </c>
      <c r="HQ15" s="16">
        <v>139.32</v>
      </c>
      <c r="HR15" s="16">
        <v>87.286000000000001</v>
      </c>
      <c r="HS15" s="16">
        <f>IF((HQ15-HQ14)&lt;=0,0,(HQ15-HQ14)*1000)+IC52</f>
        <v>19538</v>
      </c>
      <c r="HT15" s="16">
        <v>55.735999999999997</v>
      </c>
      <c r="HU15" s="16">
        <v>33.874000000000002</v>
      </c>
      <c r="HV15" s="16">
        <f>IF((HT15-HT14)&lt;=0,0,(HT15-HT14)*1000)+IC52</f>
        <v>21355</v>
      </c>
      <c r="HW15" s="16"/>
      <c r="HX15" s="16"/>
      <c r="HY15" s="128"/>
      <c r="HZ15" s="211">
        <f t="shared" si="76"/>
        <v>2.9103830456733704E-11</v>
      </c>
      <c r="IA15" s="16">
        <v>90507.5</v>
      </c>
      <c r="IB15" s="16">
        <v>38460.800000000003</v>
      </c>
      <c r="IC15" s="16">
        <f>IF((IA15-IA14)&lt;=0,0,(IA15-IA14))</f>
        <v>7883.1000000000058</v>
      </c>
      <c r="ID15" s="16">
        <v>35.369</v>
      </c>
      <c r="IE15" s="16">
        <v>18.204000000000001</v>
      </c>
      <c r="IF15" s="16">
        <f>IF((ID15-ID14)&lt;=0,0,(ID15-ID14)*1000)</f>
        <v>6655.9999999999991</v>
      </c>
      <c r="IG15" s="16">
        <v>9523.2999999999993</v>
      </c>
      <c r="IH15" s="16">
        <v>13407.6</v>
      </c>
      <c r="II15" s="16">
        <f>IF((IG15-IG14)&lt;=0,0,(IG15-IG14))</f>
        <v>1727.3999999999996</v>
      </c>
      <c r="IJ15" s="16">
        <v>14593.7</v>
      </c>
      <c r="IK15" s="16">
        <v>7408.8</v>
      </c>
      <c r="IL15" s="16">
        <f>IF((IJ15-IJ14)&lt;=0,0,(IJ15-IJ14))</f>
        <v>1102.2000000000007</v>
      </c>
      <c r="IM15" s="16">
        <v>75355.600000000006</v>
      </c>
      <c r="IN15" s="16">
        <v>33068.5</v>
      </c>
      <c r="IO15" s="16">
        <f>IF((IM15-IM14)&lt;=0,0,(IM15-IM14))</f>
        <v>15725.300000000003</v>
      </c>
      <c r="IP15" s="16">
        <v>83421.2</v>
      </c>
      <c r="IQ15" s="16">
        <v>10204.4</v>
      </c>
      <c r="IR15" s="16">
        <f>IF((IP15-IP14)&lt;=0,0,(IP15-IP14))</f>
        <v>10536.800000000003</v>
      </c>
      <c r="IS15" s="16">
        <v>12650.2</v>
      </c>
      <c r="IT15" s="16">
        <v>6678.3</v>
      </c>
      <c r="IU15" s="16">
        <f>IF((IS15-IS14)&lt;=0,0,(IS15-IS14))</f>
        <v>594.70000000000073</v>
      </c>
      <c r="IV15" s="16">
        <v>40597.5</v>
      </c>
      <c r="IW15" s="16">
        <v>7348.5</v>
      </c>
      <c r="IX15" s="16">
        <f>IF((IV15-IV14)&lt;=0,0,(IV15-IV14))</f>
        <v>4324.8000000000029</v>
      </c>
      <c r="IY15" s="16">
        <v>3954.84</v>
      </c>
      <c r="IZ15" s="16">
        <v>304.83999999999997</v>
      </c>
      <c r="JA15" s="16">
        <f>IF((IY15-IY14)&lt;=0,0,(IY15-IY14))</f>
        <v>429.80000000000018</v>
      </c>
      <c r="JB15" s="16">
        <v>3633.55</v>
      </c>
      <c r="JC15" s="16">
        <v>326.95</v>
      </c>
      <c r="JD15" s="16">
        <f>IF((JB15-JB14)&lt;=0,0,(JB15-JB14))</f>
        <v>461.75</v>
      </c>
      <c r="JE15" s="16">
        <v>25742.6</v>
      </c>
      <c r="JF15" s="16">
        <v>885.2</v>
      </c>
      <c r="JG15" s="16">
        <f>IF((JE15-JE14)&lt;=0,0,(JE15-JE14))</f>
        <v>9694.4999999999982</v>
      </c>
      <c r="JH15" s="16">
        <v>27859.200000000001</v>
      </c>
      <c r="JI15" s="16">
        <v>2932</v>
      </c>
      <c r="JJ15" s="16">
        <f>IF((JH15-JH14)&lt;=0,0,(JH15-JH14))</f>
        <v>10677.2</v>
      </c>
      <c r="JK15" s="16"/>
      <c r="JL15" s="16"/>
      <c r="JM15" s="16">
        <f>IF((JK15-JK14)&lt;=0,0,(JK15-JK14))</f>
        <v>0</v>
      </c>
      <c r="JN15" s="16">
        <v>13798.68</v>
      </c>
      <c r="JO15" s="16">
        <v>2424.6</v>
      </c>
      <c r="JP15" s="16">
        <f>IF((JN15-JN14)&lt;=0,0,(JN15-JN14))</f>
        <v>5468.58</v>
      </c>
      <c r="JQ15" s="16">
        <v>1.47</v>
      </c>
      <c r="JR15" s="16">
        <v>0.37</v>
      </c>
      <c r="JS15" s="16">
        <f>IF((JQ15-JQ14)&lt;=0,0,(JQ15-JQ14))</f>
        <v>0.36999999999999988</v>
      </c>
      <c r="JT15" s="16">
        <v>1947</v>
      </c>
      <c r="JU15" s="16">
        <v>127</v>
      </c>
      <c r="JV15" s="16">
        <f>IF((JT15-JT14)&lt;=0,0,(JT15-JT14))</f>
        <v>605</v>
      </c>
      <c r="JX15" s="151">
        <f>HJ15+HM15-HP15-HS15-HV15-HY15</f>
        <v>2.9103830456733704E-11</v>
      </c>
    </row>
    <row r="16" spans="1:284" x14ac:dyDescent="0.25">
      <c r="A16" s="35">
        <f t="shared" si="1"/>
        <v>10</v>
      </c>
      <c r="B16" s="38">
        <v>3423.83</v>
      </c>
      <c r="C16" s="38">
        <f t="shared" si="2"/>
        <v>3.1599999999998545</v>
      </c>
      <c r="D16" s="38">
        <f t="shared" si="3"/>
        <v>101119.99999999534</v>
      </c>
      <c r="E16" s="38">
        <v>689.62</v>
      </c>
      <c r="F16" s="38">
        <f t="shared" si="95"/>
        <v>37120.000000002619</v>
      </c>
      <c r="G16" s="38">
        <f t="shared" si="5"/>
        <v>138239.99999999796</v>
      </c>
      <c r="H16" s="37"/>
      <c r="I16" s="39"/>
      <c r="J16" s="42"/>
      <c r="K16" s="37">
        <f t="shared" si="77"/>
        <v>0</v>
      </c>
      <c r="L16" s="40">
        <v>9829100</v>
      </c>
      <c r="M16" s="40"/>
      <c r="N16" s="37">
        <f t="shared" si="78"/>
        <v>134000</v>
      </c>
      <c r="O16" s="37">
        <v>9535.2000000000007</v>
      </c>
      <c r="P16" s="48"/>
      <c r="Q16" s="37">
        <f t="shared" si="6"/>
        <v>6500</v>
      </c>
      <c r="R16" s="37">
        <f t="shared" si="79"/>
        <v>1</v>
      </c>
      <c r="S16" s="37">
        <v>10938012.98</v>
      </c>
      <c r="T16" s="37">
        <f t="shared" si="7"/>
        <v>0</v>
      </c>
      <c r="U16" s="37">
        <v>1518125.52</v>
      </c>
      <c r="V16" s="37">
        <f t="shared" si="8"/>
        <v>0</v>
      </c>
      <c r="W16" s="37">
        <v>3292.6</v>
      </c>
      <c r="X16" s="37">
        <f t="shared" si="93"/>
        <v>4200</v>
      </c>
      <c r="Y16" s="183"/>
      <c r="Z16" s="183">
        <f t="shared" si="9"/>
        <v>0</v>
      </c>
      <c r="AA16" s="37">
        <v>494700</v>
      </c>
      <c r="AB16" s="37">
        <f t="shared" si="10"/>
        <v>2300</v>
      </c>
      <c r="AC16" s="37">
        <v>3491.9</v>
      </c>
      <c r="AD16" s="37"/>
      <c r="AE16" s="37">
        <f t="shared" si="11"/>
        <v>3400.0000000000909</v>
      </c>
      <c r="AF16" s="37">
        <f t="shared" si="80"/>
        <v>1</v>
      </c>
      <c r="AG16" s="37">
        <v>7608.6</v>
      </c>
      <c r="AH16" s="37"/>
      <c r="AI16" s="37">
        <f t="shared" si="12"/>
        <v>7433.88</v>
      </c>
      <c r="AJ16" s="37">
        <f t="shared" si="13"/>
        <v>1</v>
      </c>
      <c r="AK16" s="37">
        <f t="shared" si="14"/>
        <v>15033.880000000092</v>
      </c>
      <c r="AL16" s="42">
        <v>9684.2999999999993</v>
      </c>
      <c r="AM16" s="42"/>
      <c r="AN16" s="37">
        <f t="shared" si="55"/>
        <v>3393.8799999992816</v>
      </c>
      <c r="AO16" s="37">
        <f t="shared" si="81"/>
        <v>1</v>
      </c>
      <c r="AP16" s="37">
        <v>7336.6</v>
      </c>
      <c r="AQ16" s="37"/>
      <c r="AR16" s="37">
        <f t="shared" si="15"/>
        <v>4000</v>
      </c>
      <c r="AS16" s="37">
        <f t="shared" si="82"/>
        <v>1</v>
      </c>
      <c r="AT16" s="183"/>
      <c r="AU16" s="183">
        <f t="shared" si="16"/>
        <v>0</v>
      </c>
      <c r="AV16" s="183"/>
      <c r="AW16" s="183">
        <f t="shared" si="17"/>
        <v>0</v>
      </c>
      <c r="AX16" s="37">
        <v>445800</v>
      </c>
      <c r="AY16" s="37"/>
      <c r="AZ16" s="37">
        <f t="shared" si="18"/>
        <v>180</v>
      </c>
      <c r="BA16" s="37">
        <v>90430</v>
      </c>
      <c r="BB16" s="37"/>
      <c r="BC16" s="37">
        <f t="shared" si="19"/>
        <v>350</v>
      </c>
      <c r="BD16" s="37">
        <f t="shared" si="83"/>
        <v>7923.8799999992816</v>
      </c>
      <c r="BE16" s="43">
        <v>1656.3</v>
      </c>
      <c r="BF16" s="43">
        <v>901.08</v>
      </c>
      <c r="BG16" s="37">
        <f t="shared" si="20"/>
        <v>1299.9999999999545</v>
      </c>
      <c r="BH16" s="44">
        <v>7955.3</v>
      </c>
      <c r="BI16" s="44">
        <v>5118.5</v>
      </c>
      <c r="BJ16" s="37">
        <f t="shared" si="21"/>
        <v>5500</v>
      </c>
      <c r="BK16" s="40">
        <v>1163460</v>
      </c>
      <c r="BL16" s="40">
        <f t="shared" si="84"/>
        <v>1580</v>
      </c>
      <c r="BM16" s="40">
        <v>802.98</v>
      </c>
      <c r="BN16" s="37">
        <f t="shared" si="22"/>
        <v>460.00000000003638</v>
      </c>
      <c r="BO16" s="186"/>
      <c r="BP16" s="183">
        <f t="shared" si="23"/>
        <v>0</v>
      </c>
      <c r="BQ16" s="40">
        <v>760.3</v>
      </c>
      <c r="BR16" s="37">
        <f t="shared" si="56"/>
        <v>299.99999999995453</v>
      </c>
      <c r="BS16" s="37">
        <v>76717.06</v>
      </c>
      <c r="BT16" s="37">
        <f t="shared" si="24"/>
        <v>190.27999999999884</v>
      </c>
      <c r="BU16" s="42">
        <v>1966500</v>
      </c>
      <c r="BV16" s="42"/>
      <c r="BW16" s="37">
        <f t="shared" si="25"/>
        <v>9</v>
      </c>
      <c r="BX16" s="37">
        <f t="shared" si="85"/>
        <v>1</v>
      </c>
      <c r="BY16" s="43">
        <v>275.5127</v>
      </c>
      <c r="BZ16" s="37"/>
      <c r="CA16" s="37">
        <f t="shared" si="26"/>
        <v>485.9000000000151</v>
      </c>
      <c r="CB16" s="37">
        <f t="shared" si="57"/>
        <v>1</v>
      </c>
      <c r="CC16" s="37">
        <v>465662</v>
      </c>
      <c r="CD16" s="37">
        <f t="shared" si="27"/>
        <v>677</v>
      </c>
      <c r="CE16" s="37">
        <v>697329.9</v>
      </c>
      <c r="CF16" s="37">
        <f t="shared" si="58"/>
        <v>0</v>
      </c>
      <c r="CG16" s="37">
        <v>58799</v>
      </c>
      <c r="CH16" s="37">
        <f t="shared" si="59"/>
        <v>0</v>
      </c>
      <c r="CI16" s="40">
        <v>10914.34</v>
      </c>
      <c r="CJ16" s="40"/>
      <c r="CK16" s="37">
        <f t="shared" si="60"/>
        <v>8597.9799999996212</v>
      </c>
      <c r="CL16" s="37">
        <f t="shared" si="28"/>
        <v>1</v>
      </c>
      <c r="CM16" s="37">
        <v>2824.328</v>
      </c>
      <c r="CN16" s="37"/>
      <c r="CO16" s="37">
        <f t="shared" si="29"/>
        <v>4338.8800000002002</v>
      </c>
      <c r="CP16" s="37">
        <f t="shared" si="86"/>
        <v>1</v>
      </c>
      <c r="CQ16" s="39">
        <v>2742.9810000000002</v>
      </c>
      <c r="CR16" s="45"/>
      <c r="CS16" s="37">
        <f t="shared" si="30"/>
        <v>9943.8800000002175</v>
      </c>
      <c r="CT16" s="37">
        <f t="shared" si="87"/>
        <v>1</v>
      </c>
      <c r="CU16" s="37">
        <v>2284579</v>
      </c>
      <c r="CV16" s="37"/>
      <c r="CW16" s="38">
        <f t="shared" si="31"/>
        <v>470</v>
      </c>
      <c r="CX16" s="37">
        <f t="shared" si="88"/>
        <v>1</v>
      </c>
      <c r="CY16" s="37">
        <v>1206428</v>
      </c>
      <c r="CZ16" s="37"/>
      <c r="DA16" s="37">
        <f t="shared" si="32"/>
        <v>2430</v>
      </c>
      <c r="DB16" s="37">
        <f t="shared" si="89"/>
        <v>1</v>
      </c>
      <c r="DC16" s="37"/>
      <c r="DD16" s="40"/>
      <c r="DE16" s="37">
        <f t="shared" si="33"/>
        <v>0</v>
      </c>
      <c r="DF16" s="37">
        <f t="shared" si="94"/>
        <v>0</v>
      </c>
      <c r="DG16" s="37">
        <f t="shared" si="34"/>
        <v>-25789.740000000038</v>
      </c>
      <c r="DH16" s="37">
        <f t="shared" si="35"/>
        <v>150333.88000000003</v>
      </c>
      <c r="DI16" s="46"/>
      <c r="DJ16" s="46"/>
      <c r="DK16" s="47"/>
      <c r="DL16" s="47"/>
      <c r="DM16" s="37"/>
      <c r="DN16" s="37"/>
      <c r="DO16" s="37"/>
      <c r="DP16" s="37"/>
      <c r="DQ16" s="50">
        <v>2648500</v>
      </c>
      <c r="DR16" s="49">
        <f t="shared" si="61"/>
        <v>2800</v>
      </c>
      <c r="DS16" s="50">
        <v>1954700</v>
      </c>
      <c r="DT16" s="49">
        <f t="shared" si="62"/>
        <v>10100</v>
      </c>
      <c r="DU16" s="52">
        <v>7546</v>
      </c>
      <c r="DV16" s="52">
        <v>4213.1000000000004</v>
      </c>
      <c r="DW16" s="37">
        <f t="shared" si="90"/>
        <v>2899.9999999996362</v>
      </c>
      <c r="DX16" s="52">
        <v>12493</v>
      </c>
      <c r="DY16" s="52">
        <v>8243.7000000000007</v>
      </c>
      <c r="DZ16" s="37">
        <f t="shared" si="36"/>
        <v>4433.88</v>
      </c>
      <c r="EA16" s="49">
        <v>27860</v>
      </c>
      <c r="EB16" s="49">
        <v>19.805</v>
      </c>
      <c r="EC16" s="37">
        <f t="shared" si="37"/>
        <v>16593.879999999997</v>
      </c>
      <c r="ED16" s="53">
        <f t="shared" si="38"/>
        <v>23927.759999999635</v>
      </c>
      <c r="EE16" s="49">
        <v>43004</v>
      </c>
      <c r="EF16" s="49">
        <v>27.292000000000002</v>
      </c>
      <c r="EG16" s="37">
        <f t="shared" si="39"/>
        <v>22593.88</v>
      </c>
      <c r="EH16" s="52">
        <v>12069</v>
      </c>
      <c r="EI16" s="52">
        <v>1.6091</v>
      </c>
      <c r="EJ16" s="37">
        <f t="shared" si="40"/>
        <v>7433.88</v>
      </c>
      <c r="EK16" s="37">
        <v>729.49</v>
      </c>
      <c r="EL16" s="40">
        <v>1047.9000000000001</v>
      </c>
      <c r="EM16" s="37">
        <f t="shared" si="63"/>
        <v>470.00000000002728</v>
      </c>
      <c r="EN16" s="54">
        <f t="shared" si="64"/>
        <v>30497.760000000031</v>
      </c>
      <c r="EO16" s="48">
        <v>12144</v>
      </c>
      <c r="EP16" s="48">
        <v>4228.8999999999996</v>
      </c>
      <c r="EQ16" s="37">
        <f t="shared" si="41"/>
        <v>5433.88</v>
      </c>
      <c r="ER16" s="48">
        <v>7817.3</v>
      </c>
      <c r="ES16" s="48">
        <v>3175.6</v>
      </c>
      <c r="ET16" s="49">
        <f t="shared" ref="ET16:ET38" si="98">IF((ER16-ER15)&lt;=0,0,(ER16-ER15))*1000</f>
        <v>6400.0000000005457</v>
      </c>
      <c r="EU16" s="48">
        <v>2792.5</v>
      </c>
      <c r="EV16" s="48">
        <v>999.29</v>
      </c>
      <c r="EW16" s="49">
        <f t="shared" si="43"/>
        <v>3133.8799999998182</v>
      </c>
      <c r="EX16" s="48">
        <v>12330</v>
      </c>
      <c r="EY16" s="48">
        <v>1.3141</v>
      </c>
      <c r="EZ16" s="37">
        <f t="shared" si="44"/>
        <v>5433.88</v>
      </c>
      <c r="FA16" s="48">
        <f t="shared" si="65"/>
        <v>-11253.640000000363</v>
      </c>
      <c r="FB16" s="48">
        <v>34270596</v>
      </c>
      <c r="FC16" s="49">
        <f t="shared" si="91"/>
        <v>9148</v>
      </c>
      <c r="FD16" s="48">
        <f t="shared" si="66"/>
        <v>20901.640000000367</v>
      </c>
      <c r="FE16" s="48">
        <v>16191</v>
      </c>
      <c r="FF16" s="48">
        <v>5809.1</v>
      </c>
      <c r="FG16" s="37">
        <f t="shared" si="67"/>
        <v>4691.5</v>
      </c>
      <c r="FH16" s="48">
        <v>7262.8</v>
      </c>
      <c r="FI16" s="48">
        <v>2.7963</v>
      </c>
      <c r="FJ16" s="49">
        <f t="shared" si="45"/>
        <v>7691.5</v>
      </c>
      <c r="FK16" s="48"/>
      <c r="FL16" s="58">
        <v>257.62</v>
      </c>
      <c r="FM16" s="48">
        <f t="shared" si="92"/>
        <v>-358.16666666666669</v>
      </c>
      <c r="FN16" s="48">
        <v>15481</v>
      </c>
      <c r="FO16" s="48">
        <v>0.70520000000000005</v>
      </c>
      <c r="FP16" s="37">
        <f t="shared" si="68"/>
        <v>5691.5</v>
      </c>
      <c r="FQ16" s="48">
        <v>55266</v>
      </c>
      <c r="FR16" s="48">
        <v>13.22</v>
      </c>
      <c r="FS16" s="37">
        <f t="shared" si="46"/>
        <v>17000</v>
      </c>
      <c r="FT16" s="48">
        <f>FS16-FG16-FJ16-FP16</f>
        <v>-1074.5</v>
      </c>
      <c r="FU16" s="48">
        <f t="shared" si="70"/>
        <v>18774.499999999818</v>
      </c>
      <c r="FV16" s="44">
        <v>2467100</v>
      </c>
      <c r="FW16" s="44">
        <v>802510</v>
      </c>
      <c r="FX16" s="37">
        <f t="shared" si="47"/>
        <v>4500</v>
      </c>
      <c r="FY16" s="56">
        <v>2819</v>
      </c>
      <c r="FZ16" s="56">
        <v>1.6236999999999999</v>
      </c>
      <c r="GA16" s="37">
        <f t="shared" si="48"/>
        <v>3280.0000000001819</v>
      </c>
      <c r="GB16" s="56">
        <v>743.68</v>
      </c>
      <c r="GC16" s="56">
        <v>826.2</v>
      </c>
      <c r="GD16" s="37">
        <f t="shared" si="49"/>
        <v>329.99999999992724</v>
      </c>
      <c r="GE16" s="56">
        <v>9246.7999999999993</v>
      </c>
      <c r="GF16" s="56">
        <v>2.79</v>
      </c>
      <c r="GG16" s="37">
        <f t="shared" si="50"/>
        <v>3399.9999999987267</v>
      </c>
      <c r="GH16" s="153">
        <v>1792.6</v>
      </c>
      <c r="GI16" s="162">
        <v>1515.8</v>
      </c>
      <c r="GJ16" s="38">
        <f t="shared" si="51"/>
        <v>500</v>
      </c>
      <c r="GK16" s="162">
        <v>1414.1</v>
      </c>
      <c r="GL16" s="163">
        <v>1095.7</v>
      </c>
      <c r="GM16" s="38">
        <f t="shared" si="52"/>
        <v>699.9999999998181</v>
      </c>
      <c r="GN16" s="57">
        <v>158930</v>
      </c>
      <c r="GO16" s="57">
        <v>138680</v>
      </c>
      <c r="GP16" s="38">
        <f t="shared" si="96"/>
        <v>0</v>
      </c>
      <c r="GQ16" s="38">
        <v>203310</v>
      </c>
      <c r="GR16" s="38">
        <v>204350</v>
      </c>
      <c r="GS16" s="38">
        <f t="shared" si="71"/>
        <v>520</v>
      </c>
      <c r="GT16" s="178"/>
      <c r="GU16" s="144">
        <f>DailyFeb!B15-DailyFeb!N15-DailyFeb!V15-DailyFeb!Y15-DailyFeb!Z15-DailyFeb!AA15-DailyFeb!AB15-DailyFeb!AC15-DailyFeb!AD15-DailyFeb!AE15-DailyFeb!AK15-DailyFeb!AO15-DailyFeb!AS15-DailyFeb!AY15-DailyFeb!BD15+DailyFeb!BS15-SUM(DailyFeb!BM15:BQ15)-DailyFeb!BR15-DailyFeb!AF15-DailyFeb!AG15</f>
        <v>-6.000000019048457E-2</v>
      </c>
      <c r="GV16" s="59">
        <v>6508.14</v>
      </c>
      <c r="GW16" s="60">
        <f t="shared" si="53"/>
        <v>433.87600000000003</v>
      </c>
      <c r="GX16" s="61">
        <v>433.88</v>
      </c>
      <c r="GY16" s="140"/>
      <c r="GZ16" s="62"/>
      <c r="HA16" s="62"/>
      <c r="HB16" s="74"/>
      <c r="HC16" s="62">
        <f t="shared" ref="HC16:HC34" si="99">HJ16</f>
        <v>27230.000000000018</v>
      </c>
      <c r="HD16" s="74"/>
      <c r="HE16" s="24">
        <f t="shared" si="54"/>
        <v>27230.000000000018</v>
      </c>
      <c r="HF16" s="151"/>
      <c r="HG16" s="213">
        <v>10</v>
      </c>
      <c r="HH16" s="16">
        <v>422.24</v>
      </c>
      <c r="HI16" s="16">
        <v>234.71</v>
      </c>
      <c r="HJ16" s="16">
        <f t="shared" si="97"/>
        <v>27230.000000000018</v>
      </c>
      <c r="HK16" s="16">
        <v>1.9189000000000001</v>
      </c>
      <c r="HL16" s="16">
        <v>660.93</v>
      </c>
      <c r="HM16" s="16">
        <f t="shared" ref="HM16:HM38" si="100">IF((HK16-HK15)&lt;=0,0,(HK16-HK15))</f>
        <v>0</v>
      </c>
      <c r="HN16" s="16">
        <v>102.95</v>
      </c>
      <c r="HO16" s="16">
        <v>59.206000000000003</v>
      </c>
      <c r="HP16" s="16">
        <f>IF((HN16-HN15)&lt;=0,0,(HN16-HN15)*1000)+IC53</f>
        <v>4189.3330000000069</v>
      </c>
      <c r="HQ16" s="16">
        <v>145.82</v>
      </c>
      <c r="HR16" s="16">
        <v>90.367000000000004</v>
      </c>
      <c r="HS16" s="16">
        <f t="shared" ref="HS16:HS35" si="101">IF((HQ16-HQ15)&lt;=0,0,(HQ16-HQ15)*1000)+IC53</f>
        <v>6747.3329999999996</v>
      </c>
      <c r="HT16" s="16">
        <v>61.682000000000002</v>
      </c>
      <c r="HU16" s="16">
        <v>36.521000000000001</v>
      </c>
      <c r="HV16" s="16">
        <f t="shared" ref="HV16:HV35" si="102">IF((HT16-HT15)&lt;=0,0,(HT16-HT15)*1000)+IC53</f>
        <v>6193.3330000000051</v>
      </c>
      <c r="HW16" s="16"/>
      <c r="HX16" s="16"/>
      <c r="HY16" s="128">
        <f>DT16</f>
        <v>10100</v>
      </c>
      <c r="HZ16" s="211">
        <f t="shared" si="76"/>
        <v>1.0000000074796844E-3</v>
      </c>
      <c r="IA16" s="16">
        <v>93910.399999999994</v>
      </c>
      <c r="IB16" s="16">
        <v>36604.6</v>
      </c>
      <c r="IC16" s="16">
        <f t="shared" ref="IC16:IC38" si="103">IF((IA16-IA15)&lt;=0,0,(IA16-IA15))</f>
        <v>3402.8999999999942</v>
      </c>
      <c r="ID16" s="16">
        <v>37.052999999999997</v>
      </c>
      <c r="IE16" s="16">
        <v>19.010999999999999</v>
      </c>
      <c r="IF16" s="16">
        <f t="shared" ref="IF16:IF38" si="104">IF((ID16-ID15)&lt;=0,0,(ID16-ID15)*1000)</f>
        <v>1683.9999999999975</v>
      </c>
      <c r="IG16" s="16">
        <v>10226.1</v>
      </c>
      <c r="IH16" s="16">
        <v>14389.9</v>
      </c>
      <c r="II16" s="16">
        <f t="shared" ref="II16:II38" si="105">IF((IG16-IG15)&lt;=0,0,(IG16-IG15))</f>
        <v>702.80000000000109</v>
      </c>
      <c r="IJ16" s="16">
        <v>15191.2</v>
      </c>
      <c r="IK16" s="16">
        <v>7766.2</v>
      </c>
      <c r="IL16" s="16">
        <f t="shared" ref="IL16:IL38" si="106">IF((IJ16-IJ15)&lt;=0,0,(IJ16-IJ15))</f>
        <v>597.5</v>
      </c>
      <c r="IM16" s="16">
        <v>81813.600000000006</v>
      </c>
      <c r="IN16" s="16">
        <v>35846.699999999997</v>
      </c>
      <c r="IO16" s="16">
        <f t="shared" ref="IO16:IO38" si="107">IF((IM16-IM15)&lt;=0,0,(IM16-IM15))</f>
        <v>6458</v>
      </c>
      <c r="IP16" s="16">
        <v>87548</v>
      </c>
      <c r="IQ16" s="16">
        <v>10738.4</v>
      </c>
      <c r="IR16" s="16">
        <f t="shared" ref="IR16:IR38" si="108">IF((IP16-IP15)&lt;=0,0,(IP16-IP15))</f>
        <v>4126.8000000000029</v>
      </c>
      <c r="IS16" s="16">
        <v>328.3</v>
      </c>
      <c r="IT16" s="16">
        <v>102</v>
      </c>
      <c r="IU16" s="16">
        <f t="shared" ref="IU16:IU38" si="109">IF((IS16-IS15)&lt;=0,0,(IS16-IS15))</f>
        <v>0</v>
      </c>
      <c r="IV16" s="16">
        <v>42450.3</v>
      </c>
      <c r="IW16" s="16">
        <v>7680.6</v>
      </c>
      <c r="IX16" s="16">
        <f t="shared" ref="IX16:IX38" si="110">IF((IV16-IV15)&lt;=0,0,(IV16-IV15))</f>
        <v>1852.8000000000029</v>
      </c>
      <c r="IY16" s="16">
        <v>4093.44</v>
      </c>
      <c r="IZ16" s="16">
        <v>316.83999999999997</v>
      </c>
      <c r="JA16" s="16">
        <f t="shared" ref="JA16:JA38" si="111">IF((IY16-IY15)&lt;=0,0,(IY16-IY15))</f>
        <v>138.59999999999991</v>
      </c>
      <c r="JB16" s="16">
        <v>3811.85</v>
      </c>
      <c r="JC16" s="16">
        <v>346.25</v>
      </c>
      <c r="JD16" s="16">
        <f t="shared" ref="JD16:JD38" si="112">IF((JB16-JB15)&lt;=0,0,(JB16-JB15))</f>
        <v>178.29999999999973</v>
      </c>
      <c r="JE16" s="16">
        <v>36697</v>
      </c>
      <c r="JF16" s="16">
        <v>885.2</v>
      </c>
      <c r="JG16" s="16">
        <f t="shared" ref="JG16:JG38" si="113">IF((JE16-JE15)&lt;=0,0,(JE16-JE15))</f>
        <v>10954.400000000001</v>
      </c>
      <c r="JH16" s="16">
        <v>31128.799999999999</v>
      </c>
      <c r="JI16" s="16">
        <v>3305.2</v>
      </c>
      <c r="JJ16" s="16">
        <f>IF((JH16-JH15)&lt;=0,0,(JH16-JH15))</f>
        <v>3269.5999999999985</v>
      </c>
      <c r="JK16" s="16">
        <v>5549.3</v>
      </c>
      <c r="JL16" s="16">
        <v>1151.5999999999999</v>
      </c>
      <c r="JM16" s="16">
        <f t="shared" ref="JM16:JM38" si="114">IF((JK16-JK15)&lt;=0,0,(JK16-JK15))</f>
        <v>5549.3</v>
      </c>
      <c r="JN16" s="16">
        <v>15540.6</v>
      </c>
      <c r="JO16" s="16">
        <v>2723.4</v>
      </c>
      <c r="JP16" s="16">
        <f t="shared" ref="JP16:JP38" si="115">IF((JN16-JN15)&lt;=0,0,(JN16-JN15))</f>
        <v>1741.92</v>
      </c>
      <c r="JQ16" s="16">
        <v>1.8</v>
      </c>
      <c r="JR16" s="16">
        <v>0.43</v>
      </c>
      <c r="JS16" s="16">
        <f t="shared" ref="JS16:JS38" si="116">IF((JQ16-JQ15)&lt;=0,0,(JQ16-JQ15))</f>
        <v>0.33000000000000007</v>
      </c>
      <c r="JT16" s="16">
        <v>2401</v>
      </c>
      <c r="JU16" s="16">
        <v>154</v>
      </c>
      <c r="JV16" s="16">
        <f t="shared" ref="JV16:JV38" si="117">IF((JT16-JT15)&lt;=0,0,(JT16-JT15))</f>
        <v>454</v>
      </c>
      <c r="JX16" s="151">
        <f t="shared" ref="JX16:JX38" si="118">HJ16+HM16-HP16-HS16-HV16-HY16</f>
        <v>1.0000000074796844E-3</v>
      </c>
    </row>
    <row r="17" spans="1:284" x14ac:dyDescent="0.25">
      <c r="A17" s="35">
        <f t="shared" si="1"/>
        <v>11</v>
      </c>
      <c r="B17" s="38">
        <v>3431.91</v>
      </c>
      <c r="C17" s="38">
        <f t="shared" si="2"/>
        <v>8.0799999999999272</v>
      </c>
      <c r="D17" s="38">
        <f t="shared" si="3"/>
        <v>258559.99999999767</v>
      </c>
      <c r="E17" s="38">
        <v>691.2</v>
      </c>
      <c r="F17" s="38">
        <f t="shared" si="95"/>
        <v>50560.00000000131</v>
      </c>
      <c r="G17" s="38">
        <f t="shared" si="5"/>
        <v>309119.99999999895</v>
      </c>
      <c r="H17" s="37"/>
      <c r="I17" s="39"/>
      <c r="J17" s="42"/>
      <c r="K17" s="37">
        <f t="shared" si="77"/>
        <v>0</v>
      </c>
      <c r="L17" s="40">
        <v>9859700</v>
      </c>
      <c r="M17" s="40"/>
      <c r="N17" s="37">
        <f t="shared" si="78"/>
        <v>306000</v>
      </c>
      <c r="O17" s="37">
        <v>9548.2999999999993</v>
      </c>
      <c r="P17" s="37"/>
      <c r="Q17" s="37">
        <f t="shared" si="6"/>
        <v>13099.999999998545</v>
      </c>
      <c r="R17" s="37">
        <f t="shared" si="79"/>
        <v>1</v>
      </c>
      <c r="S17" s="37">
        <v>10938012.98</v>
      </c>
      <c r="T17" s="37">
        <f t="shared" si="7"/>
        <v>0</v>
      </c>
      <c r="U17" s="37">
        <v>1518125.52</v>
      </c>
      <c r="V17" s="37">
        <f>IF((U17-U16)&lt;=0,0,(U17-U16))</f>
        <v>0</v>
      </c>
      <c r="W17" s="37">
        <v>3299.4</v>
      </c>
      <c r="X17" s="37">
        <f t="shared" si="93"/>
        <v>8399.9999999985448</v>
      </c>
      <c r="Y17" s="183"/>
      <c r="Z17" s="183">
        <f t="shared" si="9"/>
        <v>0</v>
      </c>
      <c r="AA17" s="37">
        <v>499400</v>
      </c>
      <c r="AB17" s="37">
        <f t="shared" si="10"/>
        <v>4700</v>
      </c>
      <c r="AC17" s="37">
        <v>3499.7</v>
      </c>
      <c r="AD17" s="37"/>
      <c r="AE17" s="37">
        <f t="shared" si="11"/>
        <v>7799.9999999997272</v>
      </c>
      <c r="AF17" s="37">
        <f t="shared" si="80"/>
        <v>1</v>
      </c>
      <c r="AG17" s="37">
        <v>7624.3</v>
      </c>
      <c r="AH17" s="37"/>
      <c r="AI17" s="37">
        <f t="shared" si="12"/>
        <v>15766.449999999819</v>
      </c>
      <c r="AJ17" s="37">
        <f t="shared" si="13"/>
        <v>1</v>
      </c>
      <c r="AK17" s="37">
        <f t="shared" si="14"/>
        <v>31966.449999998091</v>
      </c>
      <c r="AL17" s="2">
        <v>9695.9</v>
      </c>
      <c r="AM17" s="42"/>
      <c r="AN17" s="37">
        <f t="shared" si="55"/>
        <v>6426.4500000003054</v>
      </c>
      <c r="AO17" s="37">
        <f t="shared" si="81"/>
        <v>1</v>
      </c>
      <c r="AP17" s="37">
        <v>7345.2</v>
      </c>
      <c r="AQ17" s="37"/>
      <c r="AR17" s="37">
        <f t="shared" si="15"/>
        <v>8599.9999999994543</v>
      </c>
      <c r="AS17" s="37">
        <f t="shared" si="82"/>
        <v>1</v>
      </c>
      <c r="AT17" s="183"/>
      <c r="AU17" s="183">
        <f t="shared" si="16"/>
        <v>0</v>
      </c>
      <c r="AV17" s="183"/>
      <c r="AW17" s="183">
        <f t="shared" si="17"/>
        <v>0</v>
      </c>
      <c r="AX17" s="37">
        <v>446190</v>
      </c>
      <c r="AY17" s="37"/>
      <c r="AZ17" s="37">
        <f t="shared" si="18"/>
        <v>390</v>
      </c>
      <c r="BA17" s="37">
        <v>91060</v>
      </c>
      <c r="BB17" s="37"/>
      <c r="BC17" s="37">
        <f t="shared" si="19"/>
        <v>630</v>
      </c>
      <c r="BD17" s="37">
        <f t="shared" si="83"/>
        <v>16046.449999999761</v>
      </c>
      <c r="BE17" s="43">
        <v>1658.5</v>
      </c>
      <c r="BF17" s="43">
        <v>902.39</v>
      </c>
      <c r="BG17" s="37">
        <f t="shared" si="20"/>
        <v>2200.0000000000455</v>
      </c>
      <c r="BH17" s="44">
        <v>7963.4</v>
      </c>
      <c r="BI17" s="44">
        <v>5123.7</v>
      </c>
      <c r="BJ17" s="37">
        <f t="shared" si="21"/>
        <v>8099.9999999994543</v>
      </c>
      <c r="BK17" s="40">
        <v>1167140</v>
      </c>
      <c r="BL17" s="40">
        <f t="shared" si="84"/>
        <v>3680</v>
      </c>
      <c r="BM17" s="40">
        <v>803.64</v>
      </c>
      <c r="BN17" s="37">
        <f t="shared" si="22"/>
        <v>659.99999999996817</v>
      </c>
      <c r="BO17" s="186"/>
      <c r="BP17" s="183">
        <f t="shared" si="23"/>
        <v>0</v>
      </c>
      <c r="BQ17" s="40">
        <v>761.2</v>
      </c>
      <c r="BR17" s="37">
        <f t="shared" si="56"/>
        <v>900.00000000009095</v>
      </c>
      <c r="BS17" s="37">
        <v>76931.240000000005</v>
      </c>
      <c r="BT17" s="37">
        <f t="shared" si="24"/>
        <v>214.18000000000757</v>
      </c>
      <c r="BU17" s="42">
        <v>1971062</v>
      </c>
      <c r="BV17" s="42"/>
      <c r="BW17" s="37">
        <f t="shared" si="25"/>
        <v>4562</v>
      </c>
      <c r="BX17" s="37">
        <f t="shared" si="85"/>
        <v>1</v>
      </c>
      <c r="BY17" s="43">
        <v>276.3603</v>
      </c>
      <c r="BZ17" s="43"/>
      <c r="CA17" s="37">
        <f>IF((BY17-BY16)&lt;=0,0,(BY17-BY16)*1000)</f>
        <v>847.59999999999991</v>
      </c>
      <c r="CB17" s="37">
        <f t="shared" si="57"/>
        <v>1</v>
      </c>
      <c r="CC17" s="37">
        <v>466984.1</v>
      </c>
      <c r="CD17" s="37">
        <f t="shared" si="27"/>
        <v>1322.0999999999767</v>
      </c>
      <c r="CE17" s="37">
        <v>697329.9</v>
      </c>
      <c r="CF17" s="37">
        <f t="shared" si="58"/>
        <v>0</v>
      </c>
      <c r="CG17" s="37">
        <v>58799</v>
      </c>
      <c r="CH17" s="37">
        <f t="shared" si="59"/>
        <v>0</v>
      </c>
      <c r="CI17" s="40">
        <v>10929.23</v>
      </c>
      <c r="CJ17" s="40"/>
      <c r="CK17" s="37">
        <f t="shared" si="60"/>
        <v>14108.849999999418</v>
      </c>
      <c r="CL17" s="37">
        <f t="shared" si="28"/>
        <v>1</v>
      </c>
      <c r="CM17" s="37">
        <v>2831.1610000000001</v>
      </c>
      <c r="CN17" s="37"/>
      <c r="CO17" s="37">
        <f t="shared" si="29"/>
        <v>6899.4500000000835</v>
      </c>
      <c r="CP17" s="37">
        <f t="shared" si="86"/>
        <v>1</v>
      </c>
      <c r="CQ17" s="39">
        <v>2749.2649999999999</v>
      </c>
      <c r="CR17" s="45"/>
      <c r="CS17" s="37">
        <f t="shared" si="30"/>
        <v>6350.4499999996506</v>
      </c>
      <c r="CT17" s="37">
        <f t="shared" si="87"/>
        <v>1</v>
      </c>
      <c r="CU17" s="37">
        <v>2286712</v>
      </c>
      <c r="CV17" s="37"/>
      <c r="CW17" s="38">
        <f t="shared" si="31"/>
        <v>2133</v>
      </c>
      <c r="CX17" s="37">
        <f t="shared" si="88"/>
        <v>1</v>
      </c>
      <c r="CY17" s="37">
        <v>1207420</v>
      </c>
      <c r="CZ17" s="37"/>
      <c r="DA17" s="37">
        <f t="shared" si="32"/>
        <v>992</v>
      </c>
      <c r="DB17" s="37">
        <f t="shared" si="89"/>
        <v>1</v>
      </c>
      <c r="DC17" s="37"/>
      <c r="DD17" s="40"/>
      <c r="DE17" s="37">
        <f t="shared" si="33"/>
        <v>0</v>
      </c>
      <c r="DF17" s="37">
        <f t="shared" si="94"/>
        <v>0</v>
      </c>
      <c r="DG17" s="37">
        <f t="shared" si="34"/>
        <v>-35045.749999999156</v>
      </c>
      <c r="DH17" s="37">
        <f t="shared" si="35"/>
        <v>340166.44999999815</v>
      </c>
      <c r="DI17" s="46"/>
      <c r="DJ17" s="46"/>
      <c r="DK17" s="47"/>
      <c r="DL17" s="47"/>
      <c r="DM17" s="37"/>
      <c r="DN17" s="37"/>
      <c r="DO17" s="37"/>
      <c r="DP17" s="37"/>
      <c r="DQ17" s="50">
        <v>2656300</v>
      </c>
      <c r="DR17" s="49">
        <f t="shared" si="61"/>
        <v>7800</v>
      </c>
      <c r="DS17" s="50">
        <v>1970600</v>
      </c>
      <c r="DT17" s="49">
        <f t="shared" si="62"/>
        <v>15900</v>
      </c>
      <c r="DU17" s="36">
        <v>7549.9</v>
      </c>
      <c r="DV17" s="36">
        <v>4215.3</v>
      </c>
      <c r="DW17" s="37">
        <f t="shared" si="90"/>
        <v>3899.9999999996362</v>
      </c>
      <c r="DX17" s="52">
        <v>12500</v>
      </c>
      <c r="DY17" s="52">
        <v>8246.2000000000007</v>
      </c>
      <c r="DZ17" s="37">
        <f t="shared" si="36"/>
        <v>7066.45</v>
      </c>
      <c r="EA17" s="50">
        <v>27882</v>
      </c>
      <c r="EB17" s="49">
        <v>19.815999999999999</v>
      </c>
      <c r="EC17" s="37">
        <f t="shared" si="37"/>
        <v>24226.45</v>
      </c>
      <c r="ED17" s="53">
        <f t="shared" si="38"/>
        <v>35192.899999999638</v>
      </c>
      <c r="EE17" s="49">
        <v>43034</v>
      </c>
      <c r="EF17" s="49">
        <v>27.318999999999999</v>
      </c>
      <c r="EG17" s="37">
        <f t="shared" si="39"/>
        <v>32226.45</v>
      </c>
      <c r="EH17" s="52">
        <v>12079</v>
      </c>
      <c r="EI17" s="52">
        <v>1.6105</v>
      </c>
      <c r="EJ17" s="37">
        <f t="shared" si="40"/>
        <v>10066.450000000001</v>
      </c>
      <c r="EK17" s="37">
        <v>730.15</v>
      </c>
      <c r="EL17" s="40">
        <v>1048.9000000000001</v>
      </c>
      <c r="EM17" s="37">
        <f t="shared" si="63"/>
        <v>659.99999999996817</v>
      </c>
      <c r="EN17" s="54">
        <f t="shared" si="64"/>
        <v>42952.899999999972</v>
      </c>
      <c r="EO17" s="48">
        <v>12153</v>
      </c>
      <c r="EP17" s="48">
        <v>4232.2</v>
      </c>
      <c r="EQ17" s="37">
        <f t="shared" si="41"/>
        <v>9066.4500000000007</v>
      </c>
      <c r="ER17" s="48">
        <v>7837.2</v>
      </c>
      <c r="ES17" s="48">
        <v>3183.8</v>
      </c>
      <c r="ET17" s="49">
        <f t="shared" si="98"/>
        <v>19899.999999999636</v>
      </c>
      <c r="EU17" s="48">
        <v>2800.5</v>
      </c>
      <c r="EV17" s="48">
        <v>1002.1</v>
      </c>
      <c r="EW17" s="49">
        <f t="shared" si="43"/>
        <v>8066.45</v>
      </c>
      <c r="EX17" s="48">
        <v>12341</v>
      </c>
      <c r="EY17" s="48">
        <v>1.3159000000000001</v>
      </c>
      <c r="EZ17" s="37">
        <f t="shared" si="44"/>
        <v>11066.45</v>
      </c>
      <c r="FA17" s="48">
        <f t="shared" si="65"/>
        <v>-23392.349999999638</v>
      </c>
      <c r="FB17" s="48">
        <v>34295303</v>
      </c>
      <c r="FC17" s="49">
        <f t="shared" si="91"/>
        <v>24707</v>
      </c>
      <c r="FD17" s="48">
        <f t="shared" si="66"/>
        <v>49799.349999999686</v>
      </c>
      <c r="FE17" s="48">
        <v>16200</v>
      </c>
      <c r="FF17" s="48">
        <v>5812</v>
      </c>
      <c r="FG17" s="37">
        <f t="shared" si="67"/>
        <v>8963.83</v>
      </c>
      <c r="FH17" s="48">
        <v>7282.6</v>
      </c>
      <c r="FI17" s="48">
        <v>2.8039000000000001</v>
      </c>
      <c r="FJ17" s="49">
        <f t="shared" si="45"/>
        <v>19763.830000000184</v>
      </c>
      <c r="FK17" s="48"/>
      <c r="FL17" s="58">
        <v>-102.62</v>
      </c>
      <c r="FM17" s="48">
        <f t="shared" si="92"/>
        <v>102.8366666666049</v>
      </c>
      <c r="FN17" s="48">
        <v>15493</v>
      </c>
      <c r="FO17" s="48">
        <v>0.70730000000000004</v>
      </c>
      <c r="FP17" s="37">
        <f t="shared" si="68"/>
        <v>11963.83</v>
      </c>
      <c r="FQ17" s="48">
        <v>55307</v>
      </c>
      <c r="FR17" s="48">
        <v>13.231999999999999</v>
      </c>
      <c r="FS17" s="37">
        <f t="shared" si="46"/>
        <v>41000</v>
      </c>
      <c r="FT17" s="48">
        <f t="shared" ref="FT17:FT38" si="119">FS17-FG17-FJ17-FP17</f>
        <v>308.50999999981468</v>
      </c>
      <c r="FU17" s="48">
        <f t="shared" si="70"/>
        <v>42191.490000000187</v>
      </c>
      <c r="FV17" s="44">
        <v>2494900</v>
      </c>
      <c r="FW17" s="44">
        <v>808530</v>
      </c>
      <c r="FX17" s="37">
        <f t="shared" si="47"/>
        <v>27800</v>
      </c>
      <c r="FY17" s="56">
        <v>2824.6</v>
      </c>
      <c r="FZ17" s="56">
        <v>1.6291</v>
      </c>
      <c r="GA17" s="37">
        <f t="shared" si="48"/>
        <v>4689.9999999999091</v>
      </c>
      <c r="GB17" s="56">
        <v>744.27</v>
      </c>
      <c r="GC17" s="56">
        <v>826.96</v>
      </c>
      <c r="GD17" s="37">
        <f t="shared" si="49"/>
        <v>590.00000000003183</v>
      </c>
      <c r="GE17" s="56">
        <v>9254.6</v>
      </c>
      <c r="GF17" s="56">
        <v>2.7953000000000001</v>
      </c>
      <c r="GG17" s="37">
        <f t="shared" si="50"/>
        <v>4600.0000000010459</v>
      </c>
      <c r="GH17" s="153">
        <v>1794.3</v>
      </c>
      <c r="GI17" s="162">
        <v>1517.4</v>
      </c>
      <c r="GJ17" s="38">
        <f t="shared" si="51"/>
        <v>1700.0000000000455</v>
      </c>
      <c r="GK17" s="162">
        <v>1415.6</v>
      </c>
      <c r="GL17" s="163">
        <v>1096.4000000000001</v>
      </c>
      <c r="GM17" s="38">
        <f t="shared" si="52"/>
        <v>1500</v>
      </c>
      <c r="GN17" s="57">
        <v>158930</v>
      </c>
      <c r="GO17" s="57">
        <v>138680</v>
      </c>
      <c r="GP17" s="38">
        <f t="shared" si="96"/>
        <v>0</v>
      </c>
      <c r="GQ17" s="38">
        <v>204220</v>
      </c>
      <c r="GR17" s="38">
        <v>205200</v>
      </c>
      <c r="GS17" s="38">
        <f t="shared" si="71"/>
        <v>910</v>
      </c>
      <c r="GT17" s="178"/>
      <c r="GU17" s="144">
        <f>DailyFeb!B16-DailyFeb!N16-DailyFeb!V16-DailyFeb!Y16-DailyFeb!Z16-DailyFeb!AA16-DailyFeb!AB16-DailyFeb!AC16-DailyFeb!AD16-DailyFeb!AE16-DailyFeb!AK16-DailyFeb!AO16-DailyFeb!AS16-DailyFeb!AY16-DailyFeb!BD16+DailyFeb!BS16-SUM(DailyFeb!BM16:BQ16)-DailyFeb!BR16-DailyFeb!AF16-DailyFeb!AG16</f>
        <v>1.0000001973821782E-2</v>
      </c>
      <c r="GV17" s="59">
        <v>996.76000000195927</v>
      </c>
      <c r="GW17" s="60">
        <f t="shared" si="53"/>
        <v>66.450666666797289</v>
      </c>
      <c r="GX17" s="61">
        <v>66.45</v>
      </c>
      <c r="GY17" s="140"/>
      <c r="GZ17" s="62"/>
      <c r="HA17" s="62"/>
      <c r="HB17" s="74"/>
      <c r="HC17" s="62">
        <f t="shared" si="99"/>
        <v>77000</v>
      </c>
      <c r="HD17" s="74"/>
      <c r="HE17" s="24">
        <f t="shared" si="54"/>
        <v>77000</v>
      </c>
      <c r="HF17" s="151"/>
      <c r="HG17" s="213">
        <v>11</v>
      </c>
      <c r="HH17" s="16">
        <v>499.24</v>
      </c>
      <c r="HI17" s="16">
        <v>265.16000000000003</v>
      </c>
      <c r="HJ17" s="16">
        <f t="shared" si="97"/>
        <v>77000</v>
      </c>
      <c r="HK17" s="16">
        <v>1.9189000000000001</v>
      </c>
      <c r="HL17" s="16">
        <v>660.93</v>
      </c>
      <c r="HM17" s="16">
        <f t="shared" si="100"/>
        <v>0</v>
      </c>
      <c r="HN17" s="16">
        <v>116.62</v>
      </c>
      <c r="HO17" s="16">
        <v>65.046000000000006</v>
      </c>
      <c r="HP17" s="16">
        <f>IF((HN17-HN16)&lt;=0,0,(HN17-HN16)*2000)+IC54</f>
        <v>27405.666700000005</v>
      </c>
      <c r="HQ17" s="16">
        <v>164.53</v>
      </c>
      <c r="HR17" s="16">
        <v>98.866</v>
      </c>
      <c r="HS17" s="16">
        <f t="shared" si="101"/>
        <v>18775.666700000009</v>
      </c>
      <c r="HT17" s="16">
        <v>76.534999999999997</v>
      </c>
      <c r="HU17" s="16">
        <v>43.1</v>
      </c>
      <c r="HV17" s="16">
        <f t="shared" si="102"/>
        <v>14918.666699999994</v>
      </c>
      <c r="HW17" s="16"/>
      <c r="HX17" s="16"/>
      <c r="HY17" s="128">
        <f>DT17</f>
        <v>15900</v>
      </c>
      <c r="HZ17" s="211">
        <f t="shared" si="76"/>
        <v>-1.0000000474974513E-4</v>
      </c>
      <c r="IA17" s="16">
        <v>102005.5</v>
      </c>
      <c r="IB17" s="16">
        <v>43424.800000000003</v>
      </c>
      <c r="IC17" s="16">
        <f t="shared" si="103"/>
        <v>8095.1000000000058</v>
      </c>
      <c r="ID17" s="16">
        <v>43.707999999999998</v>
      </c>
      <c r="IE17" s="16">
        <v>22.116</v>
      </c>
      <c r="IF17" s="16">
        <f t="shared" si="104"/>
        <v>6655.0000000000009</v>
      </c>
      <c r="IG17" s="16">
        <v>12226.5</v>
      </c>
      <c r="IH17" s="16">
        <v>17123.400000000001</v>
      </c>
      <c r="II17" s="16">
        <f t="shared" si="105"/>
        <v>2000.3999999999996</v>
      </c>
      <c r="IJ17" s="16">
        <v>16034.4</v>
      </c>
      <c r="IK17" s="16">
        <v>8249.2000000000007</v>
      </c>
      <c r="IL17" s="16">
        <f t="shared" si="106"/>
        <v>843.19999999999891</v>
      </c>
      <c r="IM17" s="16">
        <v>100094.39999999999</v>
      </c>
      <c r="IN17" s="16">
        <v>43871.199999999997</v>
      </c>
      <c r="IO17" s="16">
        <f t="shared" si="107"/>
        <v>18280.799999999988</v>
      </c>
      <c r="IP17" s="16">
        <v>99657.8</v>
      </c>
      <c r="IQ17" s="16">
        <v>12294.8</v>
      </c>
      <c r="IR17" s="16">
        <f t="shared" si="108"/>
        <v>12109.800000000003</v>
      </c>
      <c r="IS17" s="16">
        <v>997.6</v>
      </c>
      <c r="IT17" s="16">
        <v>606.4</v>
      </c>
      <c r="IU17" s="16">
        <f t="shared" si="109"/>
        <v>669.3</v>
      </c>
      <c r="IV17" s="16">
        <v>47681.4</v>
      </c>
      <c r="IW17" s="16">
        <v>8503.9</v>
      </c>
      <c r="IX17" s="16">
        <f t="shared" si="110"/>
        <v>5231.0999999999985</v>
      </c>
      <c r="IY17" s="16">
        <v>4650.3999999999996</v>
      </c>
      <c r="IZ17" s="16">
        <v>368.72</v>
      </c>
      <c r="JA17" s="16">
        <f t="shared" si="111"/>
        <v>556.95999999999958</v>
      </c>
      <c r="JB17" s="16">
        <v>4323.3999999999996</v>
      </c>
      <c r="JC17" s="16">
        <v>403.7</v>
      </c>
      <c r="JD17" s="16">
        <f t="shared" si="112"/>
        <v>511.54999999999973</v>
      </c>
      <c r="JE17" s="16">
        <v>37327.5</v>
      </c>
      <c r="JF17" s="16">
        <v>885.2</v>
      </c>
      <c r="JG17" s="16">
        <f t="shared" si="113"/>
        <v>630.5</v>
      </c>
      <c r="JH17" s="16">
        <v>39516.400000000001</v>
      </c>
      <c r="JI17" s="16">
        <v>4261.2</v>
      </c>
      <c r="JJ17" s="16">
        <f>IF((JH17-JH16)&lt;=0,0,(JH17-JH16))</f>
        <v>8387.6000000000022</v>
      </c>
      <c r="JK17" s="16">
        <v>3306.1</v>
      </c>
      <c r="JL17" s="16">
        <v>1151.5999999999999</v>
      </c>
      <c r="JM17" s="16">
        <f t="shared" si="114"/>
        <v>0</v>
      </c>
      <c r="JN17" s="16">
        <v>20377.5</v>
      </c>
      <c r="JO17" s="16">
        <v>3498.9</v>
      </c>
      <c r="JP17" s="16">
        <f t="shared" si="115"/>
        <v>4836.8999999999996</v>
      </c>
      <c r="JQ17" s="16">
        <v>2.34</v>
      </c>
      <c r="JR17" s="16">
        <v>0.49</v>
      </c>
      <c r="JS17" s="16">
        <f t="shared" si="116"/>
        <v>0.53999999999999981</v>
      </c>
      <c r="JT17" s="16">
        <v>2882</v>
      </c>
      <c r="JU17" s="16">
        <v>186</v>
      </c>
      <c r="JV17" s="16">
        <f t="shared" si="117"/>
        <v>481</v>
      </c>
      <c r="JX17" s="151">
        <f t="shared" si="118"/>
        <v>-1.0000000474974513E-4</v>
      </c>
    </row>
    <row r="18" spans="1:284" x14ac:dyDescent="0.25">
      <c r="A18" s="35">
        <f t="shared" si="1"/>
        <v>12</v>
      </c>
      <c r="B18" s="38">
        <v>3440.1</v>
      </c>
      <c r="C18" s="38">
        <f t="shared" si="2"/>
        <v>8.1900000000000546</v>
      </c>
      <c r="D18" s="38">
        <f t="shared" si="3"/>
        <v>262080.00000000175</v>
      </c>
      <c r="E18" s="38">
        <v>692.98</v>
      </c>
      <c r="F18" s="38">
        <f t="shared" si="95"/>
        <v>56959.999999999127</v>
      </c>
      <c r="G18" s="38">
        <f t="shared" si="5"/>
        <v>319040.00000000087</v>
      </c>
      <c r="H18" s="37"/>
      <c r="I18" s="39"/>
      <c r="J18" s="42"/>
      <c r="K18" s="37">
        <f t="shared" si="77"/>
        <v>0</v>
      </c>
      <c r="L18" s="40">
        <v>9891200</v>
      </c>
      <c r="M18" s="40"/>
      <c r="N18" s="37">
        <f t="shared" si="78"/>
        <v>315000</v>
      </c>
      <c r="O18" s="37">
        <v>9560.9</v>
      </c>
      <c r="P18" s="37"/>
      <c r="Q18" s="37">
        <f t="shared" si="6"/>
        <v>12600.000000000364</v>
      </c>
      <c r="R18" s="37">
        <f t="shared" si="79"/>
        <v>1</v>
      </c>
      <c r="S18" s="37">
        <v>10938012.98</v>
      </c>
      <c r="T18" s="37">
        <f t="shared" si="7"/>
        <v>0</v>
      </c>
      <c r="U18" s="37">
        <v>1518125.52</v>
      </c>
      <c r="V18" s="37">
        <f>IF((U18-U17)&lt;=0,0,(U18-U17))</f>
        <v>0</v>
      </c>
      <c r="W18" s="37">
        <v>3306.1</v>
      </c>
      <c r="X18" s="37">
        <f t="shared" si="93"/>
        <v>8300.0000000003638</v>
      </c>
      <c r="Y18" s="183"/>
      <c r="Z18" s="183">
        <f t="shared" si="9"/>
        <v>0</v>
      </c>
      <c r="AA18" s="37">
        <v>503700</v>
      </c>
      <c r="AB18" s="37">
        <f t="shared" si="10"/>
        <v>4300</v>
      </c>
      <c r="AC18" s="173">
        <v>3506.8</v>
      </c>
      <c r="AD18" s="37"/>
      <c r="AE18" s="37">
        <f t="shared" si="11"/>
        <v>7100.0000000003638</v>
      </c>
      <c r="AF18" s="37">
        <f t="shared" si="80"/>
        <v>1</v>
      </c>
      <c r="AG18" s="37">
        <v>7639.8</v>
      </c>
      <c r="AH18" s="37"/>
      <c r="AI18" s="37">
        <f t="shared" si="12"/>
        <v>16366.41</v>
      </c>
      <c r="AJ18" s="37">
        <f t="shared" si="13"/>
        <v>1</v>
      </c>
      <c r="AK18" s="37">
        <f t="shared" si="14"/>
        <v>31766.410000000727</v>
      </c>
      <c r="AL18" s="48">
        <v>9707</v>
      </c>
      <c r="AM18" s="66"/>
      <c r="AN18" s="37">
        <f>IF((AL18-AL17)&lt;=0,0,(AL18-AL17))*1000+GX18-BL18-BN18-BP18-BR18</f>
        <v>6996.4100000004546</v>
      </c>
      <c r="AO18" s="37">
        <f t="shared" si="81"/>
        <v>1</v>
      </c>
      <c r="AP18" s="37">
        <v>7356.5</v>
      </c>
      <c r="AQ18" s="37"/>
      <c r="AR18" s="37">
        <f t="shared" si="15"/>
        <v>11300.000000000182</v>
      </c>
      <c r="AS18" s="37">
        <f t="shared" si="82"/>
        <v>1</v>
      </c>
      <c r="AT18" s="183"/>
      <c r="AU18" s="183">
        <f t="shared" si="16"/>
        <v>0</v>
      </c>
      <c r="AV18" s="183"/>
      <c r="AW18" s="183">
        <f t="shared" si="17"/>
        <v>0</v>
      </c>
      <c r="AX18" s="37">
        <v>446530</v>
      </c>
      <c r="AY18" s="37"/>
      <c r="AZ18" s="37">
        <f t="shared" si="18"/>
        <v>340</v>
      </c>
      <c r="BA18" s="40">
        <v>91590</v>
      </c>
      <c r="BB18" s="37"/>
      <c r="BC18" s="37">
        <f t="shared" si="19"/>
        <v>530</v>
      </c>
      <c r="BD18" s="37">
        <f t="shared" si="83"/>
        <v>19166.410000000637</v>
      </c>
      <c r="BE18" s="43">
        <v>1660.9</v>
      </c>
      <c r="BF18" s="43">
        <v>903.8</v>
      </c>
      <c r="BG18" s="37">
        <f t="shared" si="20"/>
        <v>2400.0000000000909</v>
      </c>
      <c r="BH18" s="44">
        <v>7972.3</v>
      </c>
      <c r="BI18" s="44">
        <v>5129.3999999999996</v>
      </c>
      <c r="BJ18" s="37">
        <f t="shared" si="21"/>
        <v>8900.0000000005457</v>
      </c>
      <c r="BK18" s="40">
        <v>1170760</v>
      </c>
      <c r="BL18" s="40">
        <f t="shared" si="84"/>
        <v>3620</v>
      </c>
      <c r="BM18" s="40">
        <v>804.29</v>
      </c>
      <c r="BN18" s="37">
        <f t="shared" si="22"/>
        <v>649.99999999997726</v>
      </c>
      <c r="BO18" s="186"/>
      <c r="BP18" s="183">
        <f t="shared" si="23"/>
        <v>0</v>
      </c>
      <c r="BQ18" s="40">
        <v>761.9</v>
      </c>
      <c r="BR18" s="37">
        <f t="shared" si="56"/>
        <v>699.99999999993179</v>
      </c>
      <c r="BS18" s="37">
        <v>77129.22</v>
      </c>
      <c r="BT18" s="37">
        <f t="shared" si="24"/>
        <v>197.97999999999593</v>
      </c>
      <c r="BU18" s="42">
        <v>1975688</v>
      </c>
      <c r="BV18" s="42"/>
      <c r="BW18" s="37">
        <f t="shared" si="25"/>
        <v>4626</v>
      </c>
      <c r="BX18" s="37">
        <f t="shared" si="85"/>
        <v>1</v>
      </c>
      <c r="BY18" s="43">
        <v>277.13679999999999</v>
      </c>
      <c r="BZ18" s="43"/>
      <c r="CA18" s="37">
        <f>IF((BY18-BY17)&lt;=0,0,(BY18-BY17)*1000)</f>
        <v>776.49999999999864</v>
      </c>
      <c r="CB18" s="37">
        <f t="shared" si="57"/>
        <v>1</v>
      </c>
      <c r="CC18" s="37">
        <v>468255.2</v>
      </c>
      <c r="CD18" s="37">
        <f t="shared" si="27"/>
        <v>1271.1000000000349</v>
      </c>
      <c r="CE18" s="37">
        <v>697329.9</v>
      </c>
      <c r="CF18" s="37">
        <f t="shared" si="58"/>
        <v>0</v>
      </c>
      <c r="CG18" s="37">
        <v>58799</v>
      </c>
      <c r="CH18" s="37">
        <f t="shared" si="59"/>
        <v>0</v>
      </c>
      <c r="CI18" s="40">
        <v>10943.83</v>
      </c>
      <c r="CJ18" s="40"/>
      <c r="CK18" s="37">
        <f t="shared" si="60"/>
        <v>14689.910000000365</v>
      </c>
      <c r="CL18" s="37">
        <f t="shared" si="28"/>
        <v>1</v>
      </c>
      <c r="CM18" s="37">
        <v>2838.069</v>
      </c>
      <c r="CN18" s="37"/>
      <c r="CO18" s="37">
        <f t="shared" si="29"/>
        <v>7774.4099999999016</v>
      </c>
      <c r="CP18" s="37">
        <f t="shared" si="86"/>
        <v>1</v>
      </c>
      <c r="CQ18" s="39">
        <v>2755.3530000000001</v>
      </c>
      <c r="CR18" s="39"/>
      <c r="CS18" s="37">
        <f t="shared" si="30"/>
        <v>6954.4100000001927</v>
      </c>
      <c r="CT18" s="37">
        <f t="shared" si="87"/>
        <v>1</v>
      </c>
      <c r="CU18" s="37">
        <v>2287364</v>
      </c>
      <c r="CV18" s="37"/>
      <c r="CW18" s="38">
        <f t="shared" si="31"/>
        <v>652</v>
      </c>
      <c r="CX18" s="37">
        <f t="shared" si="88"/>
        <v>1</v>
      </c>
      <c r="CY18" s="37">
        <v>1208005</v>
      </c>
      <c r="CZ18" s="37"/>
      <c r="DA18" s="37">
        <f t="shared" si="32"/>
        <v>585</v>
      </c>
      <c r="DB18" s="37">
        <f t="shared" si="89"/>
        <v>1</v>
      </c>
      <c r="DC18" s="37"/>
      <c r="DD18" s="40"/>
      <c r="DE18" s="37">
        <f>IF((DC18-DC17)&lt;=0,0,(DC18-DC17))</f>
        <v>0</v>
      </c>
      <c r="DF18" s="37">
        <f t="shared" si="94"/>
        <v>0</v>
      </c>
      <c r="DG18" s="37">
        <f t="shared" si="34"/>
        <v>-35281.730000000462</v>
      </c>
      <c r="DH18" s="37">
        <f t="shared" si="35"/>
        <v>349166.41000000085</v>
      </c>
      <c r="DI18" s="46"/>
      <c r="DJ18" s="46"/>
      <c r="DK18" s="46"/>
      <c r="DL18" s="47"/>
      <c r="DM18" s="37"/>
      <c r="DN18" s="37"/>
      <c r="DO18" s="37"/>
      <c r="DP18" s="37"/>
      <c r="DQ18" s="50">
        <v>2662900</v>
      </c>
      <c r="DR18" s="49">
        <f t="shared" si="61"/>
        <v>6600</v>
      </c>
      <c r="DS18" s="50">
        <v>1985700</v>
      </c>
      <c r="DT18" s="49">
        <f t="shared" si="62"/>
        <v>15100</v>
      </c>
      <c r="DU18" s="52">
        <v>7554.3</v>
      </c>
      <c r="DV18" s="52">
        <v>4218</v>
      </c>
      <c r="DW18" s="37">
        <f t="shared" si="90"/>
        <v>4400.0000000005457</v>
      </c>
      <c r="DX18" s="52">
        <v>12507</v>
      </c>
      <c r="DY18" s="52">
        <v>8249</v>
      </c>
      <c r="DZ18" s="37">
        <f t="shared" si="36"/>
        <v>7866.41</v>
      </c>
      <c r="EA18" s="49">
        <v>27904</v>
      </c>
      <c r="EB18" s="49">
        <v>19.826000000000001</v>
      </c>
      <c r="EC18" s="37">
        <f t="shared" si="37"/>
        <v>25026.41</v>
      </c>
      <c r="ED18" s="53">
        <f t="shared" si="38"/>
        <v>37292.820000000545</v>
      </c>
      <c r="EE18" s="49">
        <v>43065</v>
      </c>
      <c r="EF18" s="49">
        <v>27.346</v>
      </c>
      <c r="EG18" s="37">
        <f t="shared" si="39"/>
        <v>34026.410000000003</v>
      </c>
      <c r="EH18" s="52">
        <v>12088</v>
      </c>
      <c r="EI18" s="44">
        <v>1.6120000000000001</v>
      </c>
      <c r="EJ18" s="37">
        <f t="shared" si="40"/>
        <v>9866.41</v>
      </c>
      <c r="EK18" s="37">
        <v>730.87</v>
      </c>
      <c r="EL18" s="40">
        <v>1049.9000000000001</v>
      </c>
      <c r="EM18" s="37">
        <f t="shared" si="63"/>
        <v>720.00000000002728</v>
      </c>
      <c r="EN18" s="54">
        <f t="shared" si="64"/>
        <v>44612.820000000036</v>
      </c>
      <c r="EO18" s="48">
        <v>12162</v>
      </c>
      <c r="EP18" s="48">
        <v>4235.3</v>
      </c>
      <c r="EQ18" s="37">
        <f t="shared" si="41"/>
        <v>9866.41</v>
      </c>
      <c r="ER18" s="48">
        <v>7856.6</v>
      </c>
      <c r="ES18" s="48">
        <v>3191.9</v>
      </c>
      <c r="ET18" s="49">
        <f t="shared" si="98"/>
        <v>19400.000000000546</v>
      </c>
      <c r="EU18" s="48">
        <v>2808.2</v>
      </c>
      <c r="EV18" s="48">
        <v>1004.8</v>
      </c>
      <c r="EW18" s="49">
        <f t="shared" si="43"/>
        <v>8566.409999999818</v>
      </c>
      <c r="EX18" s="55">
        <v>12352</v>
      </c>
      <c r="EY18" s="48">
        <v>1.3177000000000001</v>
      </c>
      <c r="EZ18" s="37">
        <f t="shared" si="44"/>
        <v>11866.41</v>
      </c>
      <c r="FA18" s="48">
        <f t="shared" si="65"/>
        <v>-29851.230000000363</v>
      </c>
      <c r="FB18" s="48">
        <v>34315151</v>
      </c>
      <c r="FC18" s="49">
        <f>IF((FB18-FB17)&lt;=0,0,(FB18-FB17))</f>
        <v>19848</v>
      </c>
      <c r="FD18" s="48">
        <f t="shared" si="66"/>
        <v>51199.23000000036</v>
      </c>
      <c r="FE18" s="48">
        <v>16209</v>
      </c>
      <c r="FF18" s="48">
        <v>5814.6</v>
      </c>
      <c r="FG18" s="37">
        <f t="shared" si="67"/>
        <v>9958.35</v>
      </c>
      <c r="FH18" s="48">
        <v>7300.8</v>
      </c>
      <c r="FI18" s="48">
        <v>2.8109000000000002</v>
      </c>
      <c r="FJ18" s="49">
        <f t="shared" si="45"/>
        <v>19158.349999999817</v>
      </c>
      <c r="FK18" s="48"/>
      <c r="FL18" s="58">
        <v>91.94</v>
      </c>
      <c r="FM18" s="48">
        <f>FT18/3</f>
        <v>-691.68333333327189</v>
      </c>
      <c r="FN18" s="48">
        <v>15504</v>
      </c>
      <c r="FO18" s="48">
        <v>0.70950000000000002</v>
      </c>
      <c r="FP18" s="37">
        <f t="shared" si="68"/>
        <v>11958.35</v>
      </c>
      <c r="FQ18" s="48">
        <v>55346</v>
      </c>
      <c r="FR18" s="48">
        <v>13.243</v>
      </c>
      <c r="FS18" s="37">
        <f>IF((FQ18-FQ17)*1000&lt;=0,0,(FQ18-FQ17)*1000)</f>
        <v>39000</v>
      </c>
      <c r="FT18" s="48">
        <f t="shared" si="119"/>
        <v>-2075.0499999998156</v>
      </c>
      <c r="FU18" s="48">
        <f t="shared" si="70"/>
        <v>41175.049999999952</v>
      </c>
      <c r="FV18" s="44">
        <v>2523400</v>
      </c>
      <c r="FW18" s="44">
        <v>817380</v>
      </c>
      <c r="FX18" s="37">
        <f t="shared" si="47"/>
        <v>28500</v>
      </c>
      <c r="FY18" s="56">
        <v>2833.2</v>
      </c>
      <c r="FZ18" s="56">
        <v>1.6364000000000001</v>
      </c>
      <c r="GA18" s="37">
        <f t="shared" si="48"/>
        <v>7719.9999999999091</v>
      </c>
      <c r="GB18" s="56">
        <v>744.99</v>
      </c>
      <c r="GC18" s="56">
        <v>824.86</v>
      </c>
      <c r="GD18" s="37">
        <f t="shared" si="49"/>
        <v>720.00000000002728</v>
      </c>
      <c r="GE18" s="56">
        <v>9262.7000000000007</v>
      </c>
      <c r="GF18" s="56">
        <v>2.8014000000000001</v>
      </c>
      <c r="GG18" s="37">
        <f t="shared" si="50"/>
        <v>6500.0000000002274</v>
      </c>
      <c r="GH18" s="153">
        <v>1795.8</v>
      </c>
      <c r="GI18" s="162">
        <v>1518.9</v>
      </c>
      <c r="GJ18" s="38">
        <f t="shared" si="51"/>
        <v>1500</v>
      </c>
      <c r="GK18" s="162">
        <v>1415.7</v>
      </c>
      <c r="GL18" s="163">
        <v>1096.5</v>
      </c>
      <c r="GM18" s="38">
        <f t="shared" si="52"/>
        <v>100.00000000013642</v>
      </c>
      <c r="GN18" s="57">
        <v>158930</v>
      </c>
      <c r="GO18" s="57">
        <v>138690</v>
      </c>
      <c r="GP18" s="38">
        <f t="shared" si="96"/>
        <v>0</v>
      </c>
      <c r="GQ18" s="38">
        <v>205100</v>
      </c>
      <c r="GR18" s="38">
        <v>205990</v>
      </c>
      <c r="GS18" s="38">
        <f t="shared" si="71"/>
        <v>880</v>
      </c>
      <c r="GT18" s="178"/>
      <c r="GU18" s="144">
        <f>DailyFeb!B17-DailyFeb!N17-DailyFeb!V17-DailyFeb!Y17-DailyFeb!Z17-DailyFeb!AA17-DailyFeb!AB17-DailyFeb!AC17-DailyFeb!AD17-DailyFeb!AE17-DailyFeb!AK17-DailyFeb!AO17-DailyFeb!AS17-DailyFeb!AY17-DailyFeb!BD17+DailyFeb!BS17-SUM(DailyFeb!BM17:BQ17)-DailyFeb!BR17-DailyFeb!AF17-DailyFeb!AG17</f>
        <v>-7.0000002502638381E-2</v>
      </c>
      <c r="GV18" s="59">
        <v>12996.079999997484</v>
      </c>
      <c r="GW18" s="60">
        <f t="shared" si="53"/>
        <v>866.40533333316557</v>
      </c>
      <c r="GX18" s="61">
        <v>866.41</v>
      </c>
      <c r="GY18" s="140"/>
      <c r="GZ18" s="62"/>
      <c r="HA18" s="62"/>
      <c r="HB18" s="74"/>
      <c r="HC18" s="62">
        <f t="shared" si="99"/>
        <v>77059.999999999942</v>
      </c>
      <c r="HD18" s="74"/>
      <c r="HE18" s="24">
        <f t="shared" si="54"/>
        <v>77059.999999999942</v>
      </c>
      <c r="HF18" s="151"/>
      <c r="HG18" s="213">
        <v>12</v>
      </c>
      <c r="HH18" s="16">
        <v>576.29999999999995</v>
      </c>
      <c r="HI18" s="16">
        <v>296.05</v>
      </c>
      <c r="HJ18" s="16">
        <f t="shared" si="97"/>
        <v>77059.999999999942</v>
      </c>
      <c r="HK18" s="16">
        <v>1.9189000000000001</v>
      </c>
      <c r="HL18" s="16">
        <v>660.93</v>
      </c>
      <c r="HM18" s="16">
        <f t="shared" si="100"/>
        <v>0</v>
      </c>
      <c r="HN18" s="16">
        <v>129.12</v>
      </c>
      <c r="HO18" s="16">
        <v>70.513000000000005</v>
      </c>
      <c r="HP18" s="16">
        <f t="shared" ref="HP18:HP32" si="120">IF((HN18-HN17)&lt;=0,0,(HN18-HN17)*2000)+IC55</f>
        <v>25051</v>
      </c>
      <c r="HQ18" s="16">
        <v>183.71</v>
      </c>
      <c r="HR18" s="16">
        <v>107.69</v>
      </c>
      <c r="HS18" s="16">
        <f t="shared" si="101"/>
        <v>19231.000000000007</v>
      </c>
      <c r="HT18" s="16">
        <v>94.162000000000006</v>
      </c>
      <c r="HU18" s="16">
        <v>50.628</v>
      </c>
      <c r="HV18" s="16">
        <f t="shared" si="102"/>
        <v>17678.000000000011</v>
      </c>
      <c r="HW18" s="16"/>
      <c r="HX18" s="16"/>
      <c r="HY18" s="128">
        <f t="shared" ref="HY18:HY38" si="121">DT18</f>
        <v>15100</v>
      </c>
      <c r="HZ18" s="211">
        <f t="shared" si="76"/>
        <v>-7.6397554948925972E-11</v>
      </c>
      <c r="IA18" s="16">
        <v>109860.4</v>
      </c>
      <c r="IB18" s="16">
        <v>46898.6</v>
      </c>
      <c r="IC18" s="16">
        <f t="shared" si="103"/>
        <v>7854.8999999999942</v>
      </c>
      <c r="ID18" s="16">
        <v>49.715000000000003</v>
      </c>
      <c r="IE18" s="16">
        <v>24.928000000000001</v>
      </c>
      <c r="IF18" s="16">
        <f t="shared" si="104"/>
        <v>6007.0000000000055</v>
      </c>
      <c r="IG18" s="16">
        <v>14140.7</v>
      </c>
      <c r="IH18" s="16">
        <v>19747.2</v>
      </c>
      <c r="II18" s="16">
        <f t="shared" si="105"/>
        <v>1914.2000000000007</v>
      </c>
      <c r="IJ18" s="16">
        <v>16857.900000000001</v>
      </c>
      <c r="IK18" s="16">
        <v>8738.9</v>
      </c>
      <c r="IL18" s="16">
        <f t="shared" si="106"/>
        <v>823.50000000000182</v>
      </c>
      <c r="IM18" s="16">
        <v>119300.2</v>
      </c>
      <c r="IN18" s="16">
        <v>52436.7</v>
      </c>
      <c r="IO18" s="16">
        <f t="shared" si="107"/>
        <v>19205.800000000003</v>
      </c>
      <c r="IP18" s="16">
        <v>112036.4</v>
      </c>
      <c r="IQ18" s="16">
        <v>13839.6</v>
      </c>
      <c r="IR18" s="16">
        <f t="shared" si="108"/>
        <v>12378.599999999991</v>
      </c>
      <c r="IS18" s="16">
        <v>11237</v>
      </c>
      <c r="IT18" s="16">
        <v>5472.6</v>
      </c>
      <c r="IU18" s="16">
        <f t="shared" si="109"/>
        <v>10239.4</v>
      </c>
      <c r="IV18" s="16">
        <v>53508.2</v>
      </c>
      <c r="IW18" s="16">
        <v>9583.5</v>
      </c>
      <c r="IX18" s="16">
        <f t="shared" si="110"/>
        <v>5826.7999999999956</v>
      </c>
      <c r="IY18" s="16">
        <v>5139.92</v>
      </c>
      <c r="IZ18" s="16">
        <v>415.72</v>
      </c>
      <c r="JA18" s="16">
        <f t="shared" si="111"/>
        <v>489.52000000000044</v>
      </c>
      <c r="JB18" s="16">
        <v>4779.8999999999996</v>
      </c>
      <c r="JC18" s="16">
        <v>456.1</v>
      </c>
      <c r="JD18" s="16">
        <f t="shared" si="112"/>
        <v>456.5</v>
      </c>
      <c r="JE18" s="16">
        <v>47127.5</v>
      </c>
      <c r="JF18" s="16">
        <v>885.2</v>
      </c>
      <c r="JG18" s="16">
        <f t="shared" si="113"/>
        <v>9800</v>
      </c>
      <c r="JH18" s="16">
        <v>50067.199999999997</v>
      </c>
      <c r="JI18" s="16">
        <v>5343.6</v>
      </c>
      <c r="JJ18" s="16">
        <f>IF((JH18-JH17)&lt;=0,0,(JH18-JH17))</f>
        <v>10550.799999999996</v>
      </c>
      <c r="JK18" s="16">
        <v>12078</v>
      </c>
      <c r="JL18" s="16">
        <v>5425.3</v>
      </c>
      <c r="JM18" s="16">
        <f t="shared" si="114"/>
        <v>8771.9</v>
      </c>
      <c r="JN18" s="16">
        <v>26064.6</v>
      </c>
      <c r="JO18" s="16">
        <v>4396.5</v>
      </c>
      <c r="JP18" s="16">
        <f t="shared" si="115"/>
        <v>5687.0999999999985</v>
      </c>
      <c r="JQ18" s="16">
        <v>2.84</v>
      </c>
      <c r="JR18" s="16">
        <v>0.57999999999999996</v>
      </c>
      <c r="JS18" s="16">
        <f t="shared" si="116"/>
        <v>0.5</v>
      </c>
      <c r="JT18" s="16">
        <v>3535</v>
      </c>
      <c r="JU18" s="16">
        <v>230</v>
      </c>
      <c r="JV18" s="16">
        <f t="shared" si="117"/>
        <v>653</v>
      </c>
      <c r="JX18" s="151">
        <f t="shared" si="118"/>
        <v>-7.6397554948925972E-11</v>
      </c>
    </row>
    <row r="19" spans="1:284" x14ac:dyDescent="0.25">
      <c r="A19" s="35">
        <f t="shared" si="1"/>
        <v>13</v>
      </c>
      <c r="B19" s="38">
        <v>3449.1</v>
      </c>
      <c r="C19" s="38">
        <f t="shared" si="2"/>
        <v>9</v>
      </c>
      <c r="D19" s="38">
        <f t="shared" si="3"/>
        <v>288000</v>
      </c>
      <c r="E19" s="38">
        <v>694.68</v>
      </c>
      <c r="F19" s="38">
        <f t="shared" si="95"/>
        <v>54399.999999997817</v>
      </c>
      <c r="G19" s="38">
        <f t="shared" si="5"/>
        <v>342399.99999999779</v>
      </c>
      <c r="H19" s="37"/>
      <c r="I19" s="39"/>
      <c r="J19" s="42"/>
      <c r="K19" s="37">
        <f t="shared" si="77"/>
        <v>0</v>
      </c>
      <c r="L19" s="40">
        <v>9925200</v>
      </c>
      <c r="M19" s="40"/>
      <c r="N19" s="37">
        <f t="shared" si="78"/>
        <v>340000</v>
      </c>
      <c r="O19" s="37">
        <v>9576.5</v>
      </c>
      <c r="P19" s="37"/>
      <c r="Q19" s="37">
        <f t="shared" si="6"/>
        <v>15600.000000000364</v>
      </c>
      <c r="R19" s="37">
        <f t="shared" si="79"/>
        <v>1</v>
      </c>
      <c r="S19" s="37">
        <v>10945111.42</v>
      </c>
      <c r="T19" s="37">
        <f t="shared" si="7"/>
        <v>7098.4399999994785</v>
      </c>
      <c r="U19" s="37">
        <v>1518125.52</v>
      </c>
      <c r="V19" s="37">
        <f t="shared" si="8"/>
        <v>0</v>
      </c>
      <c r="W19" s="37">
        <v>3312.2</v>
      </c>
      <c r="X19" s="37">
        <f t="shared" si="93"/>
        <v>7571.5600000008853</v>
      </c>
      <c r="Y19" s="183"/>
      <c r="Z19" s="183">
        <f t="shared" si="9"/>
        <v>0</v>
      </c>
      <c r="AA19" s="37">
        <v>504630</v>
      </c>
      <c r="AB19" s="37">
        <f t="shared" si="10"/>
        <v>930</v>
      </c>
      <c r="AC19" s="37">
        <v>3512.4</v>
      </c>
      <c r="AD19" s="37"/>
      <c r="AE19" s="37">
        <f t="shared" si="11"/>
        <v>5599.9999999999091</v>
      </c>
      <c r="AF19" s="37">
        <f t="shared" si="80"/>
        <v>1</v>
      </c>
      <c r="AG19" s="37">
        <v>7652.6</v>
      </c>
      <c r="AH19" s="67"/>
      <c r="AI19" s="37">
        <f t="shared" si="12"/>
        <v>13689.400000000182</v>
      </c>
      <c r="AJ19" s="37">
        <f t="shared" si="13"/>
        <v>1</v>
      </c>
      <c r="AK19" s="37">
        <f t="shared" si="14"/>
        <v>33959.400000000453</v>
      </c>
      <c r="AL19" s="48">
        <v>9720</v>
      </c>
      <c r="AM19" s="66"/>
      <c r="AN19" s="37">
        <f t="shared" si="55"/>
        <v>7739.3999999999405</v>
      </c>
      <c r="AO19" s="37">
        <f t="shared" si="81"/>
        <v>1</v>
      </c>
      <c r="AP19" s="37">
        <v>7367.8</v>
      </c>
      <c r="AQ19" s="37"/>
      <c r="AR19" s="37">
        <f t="shared" si="15"/>
        <v>11300.000000000182</v>
      </c>
      <c r="AS19" s="37">
        <f t="shared" si="82"/>
        <v>1</v>
      </c>
      <c r="AT19" s="183"/>
      <c r="AU19" s="183">
        <f t="shared" si="16"/>
        <v>0</v>
      </c>
      <c r="AV19" s="183"/>
      <c r="AW19" s="183">
        <f t="shared" si="17"/>
        <v>0</v>
      </c>
      <c r="AX19" s="37">
        <v>446882.08</v>
      </c>
      <c r="AY19" s="37"/>
      <c r="AZ19" s="37">
        <f t="shared" si="18"/>
        <v>352.0800000000163</v>
      </c>
      <c r="BA19" s="37">
        <v>92224.607999999993</v>
      </c>
      <c r="BB19" s="37"/>
      <c r="BC19" s="37">
        <f t="shared" si="19"/>
        <v>634.6079999999929</v>
      </c>
      <c r="BD19" s="37">
        <f>AN19+AR19+AZ19+BC19</f>
        <v>20026.088000000131</v>
      </c>
      <c r="BE19" s="43">
        <v>1663.4</v>
      </c>
      <c r="BF19" s="43">
        <v>905.26</v>
      </c>
      <c r="BG19" s="37">
        <f t="shared" si="20"/>
        <v>2500</v>
      </c>
      <c r="BH19" s="44">
        <v>7981.5</v>
      </c>
      <c r="BI19" s="44">
        <v>5135.3</v>
      </c>
      <c r="BJ19" s="37">
        <f t="shared" si="21"/>
        <v>9199.9999999998181</v>
      </c>
      <c r="BK19" s="40">
        <v>1175600</v>
      </c>
      <c r="BL19" s="40">
        <f t="shared" si="84"/>
        <v>4840</v>
      </c>
      <c r="BM19" s="40">
        <v>804.94</v>
      </c>
      <c r="BN19" s="37">
        <f t="shared" si="22"/>
        <v>650.00000000009095</v>
      </c>
      <c r="BO19" s="186"/>
      <c r="BP19" s="183">
        <f t="shared" si="23"/>
        <v>0</v>
      </c>
      <c r="BQ19" s="40">
        <v>762.56</v>
      </c>
      <c r="BR19" s="37">
        <f t="shared" si="56"/>
        <v>659.99999999996817</v>
      </c>
      <c r="BS19" s="37">
        <v>77347.740000000005</v>
      </c>
      <c r="BT19" s="37">
        <f t="shared" si="24"/>
        <v>218.52000000000407</v>
      </c>
      <c r="BU19" s="42">
        <v>1981300</v>
      </c>
      <c r="BV19" s="42"/>
      <c r="BW19" s="37">
        <f t="shared" si="25"/>
        <v>5612</v>
      </c>
      <c r="BX19" s="37">
        <f t="shared" si="85"/>
        <v>1</v>
      </c>
      <c r="BY19" s="43">
        <v>278.13</v>
      </c>
      <c r="BZ19" s="43"/>
      <c r="CA19" s="37">
        <f>IF((BY19-BY18)&lt;=0,0,(BY19-BY18)*1000)</f>
        <v>993.20000000000164</v>
      </c>
      <c r="CB19" s="37">
        <f t="shared" si="57"/>
        <v>1</v>
      </c>
      <c r="CC19" s="37">
        <v>469670</v>
      </c>
      <c r="CD19" s="37">
        <f t="shared" si="27"/>
        <v>1414.7999999999884</v>
      </c>
      <c r="CE19" s="41">
        <v>697330</v>
      </c>
      <c r="CF19" s="37">
        <f t="shared" si="58"/>
        <v>9.9999999976716936E-2</v>
      </c>
      <c r="CG19" s="37">
        <v>58799</v>
      </c>
      <c r="CH19" s="37">
        <f t="shared" si="59"/>
        <v>0</v>
      </c>
      <c r="CI19" s="40">
        <v>10961</v>
      </c>
      <c r="CJ19" s="40"/>
      <c r="CK19" s="37">
        <f t="shared" si="60"/>
        <v>17066.200000000073</v>
      </c>
      <c r="CL19" s="37">
        <f t="shared" si="28"/>
        <v>1</v>
      </c>
      <c r="CM19" s="37">
        <v>2846.7</v>
      </c>
      <c r="CN19" s="37"/>
      <c r="CO19" s="37">
        <f t="shared" si="29"/>
        <v>9520.3999999998578</v>
      </c>
      <c r="CP19" s="37">
        <f t="shared" si="86"/>
        <v>1</v>
      </c>
      <c r="CQ19" s="39">
        <v>2763.1</v>
      </c>
      <c r="CR19" s="39"/>
      <c r="CS19" s="37">
        <f t="shared" si="30"/>
        <v>8636.3999999998432</v>
      </c>
      <c r="CT19" s="37">
        <f t="shared" si="87"/>
        <v>1</v>
      </c>
      <c r="CU19" s="37">
        <v>2288100</v>
      </c>
      <c r="CV19" s="37"/>
      <c r="CW19" s="38">
        <f t="shared" si="31"/>
        <v>736</v>
      </c>
      <c r="CX19" s="37">
        <f t="shared" si="88"/>
        <v>1</v>
      </c>
      <c r="CY19" s="37">
        <v>1208600</v>
      </c>
      <c r="CZ19" s="37"/>
      <c r="DA19" s="37">
        <f t="shared" si="32"/>
        <v>595</v>
      </c>
      <c r="DB19" s="37">
        <f t="shared" si="89"/>
        <v>1</v>
      </c>
      <c r="DC19" s="37"/>
      <c r="DD19" s="40"/>
      <c r="DE19" s="37">
        <f t="shared" si="33"/>
        <v>0</v>
      </c>
      <c r="DF19" s="37">
        <f t="shared" si="94"/>
        <v>0</v>
      </c>
      <c r="DG19" s="37">
        <f t="shared" si="34"/>
        <v>-42165.999999999774</v>
      </c>
      <c r="DH19" s="37">
        <f t="shared" si="35"/>
        <v>376459.40000000043</v>
      </c>
      <c r="DI19" s="46"/>
      <c r="DJ19" s="46"/>
      <c r="DK19" s="47"/>
      <c r="DL19" s="47"/>
      <c r="DM19" s="37"/>
      <c r="DN19" s="37"/>
      <c r="DO19" s="37"/>
      <c r="DP19" s="37"/>
      <c r="DQ19" s="50">
        <v>2670000</v>
      </c>
      <c r="DR19" s="49">
        <f t="shared" si="61"/>
        <v>7100</v>
      </c>
      <c r="DS19" s="50">
        <v>2001100</v>
      </c>
      <c r="DT19" s="49">
        <f t="shared" si="62"/>
        <v>15400</v>
      </c>
      <c r="DU19" s="52">
        <v>7559</v>
      </c>
      <c r="DV19" s="52">
        <v>4221</v>
      </c>
      <c r="DW19" s="37">
        <f t="shared" si="90"/>
        <v>4699.9999999998181</v>
      </c>
      <c r="DX19" s="52">
        <v>12514</v>
      </c>
      <c r="DY19" s="52">
        <v>8251.6</v>
      </c>
      <c r="DZ19" s="37">
        <f t="shared" si="36"/>
        <v>7889.4</v>
      </c>
      <c r="EA19" s="49">
        <v>27926</v>
      </c>
      <c r="EB19" s="49">
        <v>19.837</v>
      </c>
      <c r="EC19" s="37">
        <f t="shared" si="37"/>
        <v>25049.4</v>
      </c>
      <c r="ED19" s="53">
        <f t="shared" si="38"/>
        <v>37638.799999999821</v>
      </c>
      <c r="EE19" s="49">
        <v>43097</v>
      </c>
      <c r="EF19" s="49">
        <v>27.373999999999999</v>
      </c>
      <c r="EG19" s="37">
        <f t="shared" si="39"/>
        <v>35049.4</v>
      </c>
      <c r="EH19" s="44">
        <v>12099</v>
      </c>
      <c r="EI19" s="68">
        <v>1.6134999999999999</v>
      </c>
      <c r="EJ19" s="37">
        <f t="shared" si="40"/>
        <v>11889.4</v>
      </c>
      <c r="EK19" s="37">
        <v>731.55</v>
      </c>
      <c r="EL19" s="40">
        <v>1050.9000000000001</v>
      </c>
      <c r="EM19" s="37">
        <f t="shared" si="63"/>
        <v>679.99999999994998</v>
      </c>
      <c r="EN19" s="54">
        <f t="shared" si="64"/>
        <v>47618.799999999952</v>
      </c>
      <c r="EO19" s="48">
        <v>12172</v>
      </c>
      <c r="EP19" s="48">
        <v>4239</v>
      </c>
      <c r="EQ19" s="37">
        <f t="shared" si="41"/>
        <v>10889.4</v>
      </c>
      <c r="ER19" s="48">
        <v>7875.9</v>
      </c>
      <c r="ES19" s="48">
        <v>3200</v>
      </c>
      <c r="ET19" s="49">
        <f t="shared" si="98"/>
        <v>19299.999999999272</v>
      </c>
      <c r="EU19" s="48">
        <v>2816.2</v>
      </c>
      <c r="EV19" s="48">
        <v>1007.6</v>
      </c>
      <c r="EW19" s="49">
        <f t="shared" si="43"/>
        <v>8889.4</v>
      </c>
      <c r="EX19" s="48">
        <v>12362</v>
      </c>
      <c r="EY19" s="48">
        <v>1.3192999999999999</v>
      </c>
      <c r="EZ19" s="37">
        <f t="shared" si="44"/>
        <v>10889.4</v>
      </c>
      <c r="FA19" s="48">
        <f t="shared" si="65"/>
        <v>-21576.199999999273</v>
      </c>
      <c r="FB19" s="48">
        <v>34343543</v>
      </c>
      <c r="FC19" s="49">
        <f t="shared" si="91"/>
        <v>28392</v>
      </c>
      <c r="FD19" s="48">
        <f t="shared" si="66"/>
        <v>51668.19999999932</v>
      </c>
      <c r="FE19" s="48">
        <v>16219</v>
      </c>
      <c r="FF19" s="48">
        <v>5817.4</v>
      </c>
      <c r="FG19" s="37">
        <f t="shared" si="67"/>
        <v>10901.88</v>
      </c>
      <c r="FH19" s="48">
        <v>7319.2</v>
      </c>
      <c r="FI19" s="48">
        <v>2.8180000000000001</v>
      </c>
      <c r="FJ19" s="49">
        <f t="shared" si="45"/>
        <v>19301.879999999637</v>
      </c>
      <c r="FK19" s="48"/>
      <c r="FL19" s="58">
        <v>12.48</v>
      </c>
      <c r="FM19" s="48">
        <f t="shared" si="92"/>
        <v>-701.8799999998779</v>
      </c>
      <c r="FN19" s="48">
        <v>15514</v>
      </c>
      <c r="FO19" s="48">
        <v>0.71150000000000002</v>
      </c>
      <c r="FP19" s="37">
        <f t="shared" si="68"/>
        <v>10901.88</v>
      </c>
      <c r="FQ19" s="48">
        <v>55385</v>
      </c>
      <c r="FR19" s="48">
        <v>13.254</v>
      </c>
      <c r="FS19" s="37">
        <f t="shared" si="46"/>
        <v>39000</v>
      </c>
      <c r="FT19" s="48">
        <f t="shared" si="119"/>
        <v>-2105.6399999996338</v>
      </c>
      <c r="FU19" s="48">
        <f t="shared" si="70"/>
        <v>41105.639999999636</v>
      </c>
      <c r="FV19" s="44">
        <v>2555200</v>
      </c>
      <c r="FW19" s="44">
        <v>827220</v>
      </c>
      <c r="FX19" s="37">
        <f t="shared" si="47"/>
        <v>31800</v>
      </c>
      <c r="FY19" s="56">
        <v>2842.7</v>
      </c>
      <c r="FZ19" s="63">
        <v>1.6443000000000001</v>
      </c>
      <c r="GA19" s="37">
        <f t="shared" si="48"/>
        <v>8490</v>
      </c>
      <c r="GB19" s="56">
        <v>745.89</v>
      </c>
      <c r="GC19" s="56">
        <v>828.99</v>
      </c>
      <c r="GD19" s="37">
        <f t="shared" si="49"/>
        <v>899.99999999997726</v>
      </c>
      <c r="GE19" s="56">
        <v>9272.1</v>
      </c>
      <c r="GF19" s="56">
        <v>2.8085</v>
      </c>
      <c r="GG19" s="37">
        <f t="shared" si="50"/>
        <v>7699.9999999995907</v>
      </c>
      <c r="GH19" s="153">
        <v>1797.5</v>
      </c>
      <c r="GI19" s="162">
        <v>1520.4</v>
      </c>
      <c r="GJ19" s="38">
        <f t="shared" si="51"/>
        <v>1700.0000000000455</v>
      </c>
      <c r="GK19" s="162">
        <v>1415.7</v>
      </c>
      <c r="GL19" s="163">
        <v>1096.5</v>
      </c>
      <c r="GM19" s="38">
        <f t="shared" si="52"/>
        <v>0</v>
      </c>
      <c r="GN19" s="57">
        <v>158940</v>
      </c>
      <c r="GO19" s="57">
        <v>138690</v>
      </c>
      <c r="GP19" s="38">
        <f t="shared" si="96"/>
        <v>10</v>
      </c>
      <c r="GQ19" s="38">
        <v>206110</v>
      </c>
      <c r="GR19" s="38">
        <v>206910</v>
      </c>
      <c r="GS19" s="38">
        <f t="shared" si="71"/>
        <v>1010</v>
      </c>
      <c r="GT19" s="178"/>
      <c r="GU19" s="144">
        <f>DailyFeb!B18-DailyFeb!N18-DailyFeb!V18-DailyFeb!Y18-DailyFeb!Z18-DailyFeb!AA18-DailyFeb!AB18-DailyFeb!AC18-DailyFeb!AD18-DailyFeb!AE18-DailyFeb!AK18-DailyFeb!AO18-DailyFeb!AS18-DailyFeb!AY18-DailyFeb!BD18+DailyFeb!BS18-SUM(DailyFeb!BM18:BQ18)-DailyFeb!BR18-DailyFeb!AF18-DailyFeb!AG18</f>
        <v>-2.8000000747852027E-2</v>
      </c>
      <c r="GV19" s="59">
        <v>13340.971999999252</v>
      </c>
      <c r="GW19" s="60">
        <f t="shared" si="53"/>
        <v>889.39813333328345</v>
      </c>
      <c r="GX19" s="61">
        <v>889.4</v>
      </c>
      <c r="GY19" s="140"/>
      <c r="GZ19" s="62"/>
      <c r="HA19" s="62"/>
      <c r="HB19" s="74"/>
      <c r="HC19" s="62">
        <f t="shared" si="99"/>
        <v>87250</v>
      </c>
      <c r="HD19" s="74"/>
      <c r="HE19" s="24">
        <f t="shared" si="54"/>
        <v>87250</v>
      </c>
      <c r="HF19" s="151"/>
      <c r="HG19" s="213">
        <v>13</v>
      </c>
      <c r="HH19" s="16">
        <v>663.55</v>
      </c>
      <c r="HI19" s="16">
        <v>329.1</v>
      </c>
      <c r="HJ19" s="16">
        <f>IF((HH19-HH18)&lt;=0,0,(HH19-HH18)*1000)</f>
        <v>87250</v>
      </c>
      <c r="HK19" s="16">
        <v>1.9189000000000001</v>
      </c>
      <c r="HL19" s="16">
        <v>660.93</v>
      </c>
      <c r="HM19" s="16">
        <f t="shared" si="100"/>
        <v>0</v>
      </c>
      <c r="HN19" s="16">
        <v>144.56</v>
      </c>
      <c r="HO19" s="16">
        <v>76.623999999999995</v>
      </c>
      <c r="HP19" s="16">
        <f t="shared" si="120"/>
        <v>30933.999999999996</v>
      </c>
      <c r="HQ19" s="16">
        <v>205.09</v>
      </c>
      <c r="HR19" s="16">
        <v>117.14</v>
      </c>
      <c r="HS19" s="16">
        <f t="shared" si="101"/>
        <v>21433.999999999996</v>
      </c>
      <c r="HT19" s="16">
        <v>113.59</v>
      </c>
      <c r="HU19" s="16">
        <v>58.497</v>
      </c>
      <c r="HV19" s="16">
        <f t="shared" si="102"/>
        <v>19481.999999999996</v>
      </c>
      <c r="HW19" s="16"/>
      <c r="HX19" s="16"/>
      <c r="HY19" s="128">
        <f t="shared" si="121"/>
        <v>15400</v>
      </c>
      <c r="HZ19" s="211">
        <f t="shared" si="76"/>
        <v>0</v>
      </c>
      <c r="IA19" s="16">
        <v>117754.9</v>
      </c>
      <c r="IB19" s="16">
        <v>57699</v>
      </c>
      <c r="IC19" s="16">
        <f t="shared" si="103"/>
        <v>7894.5</v>
      </c>
      <c r="ID19" s="16">
        <v>57.698999999999998</v>
      </c>
      <c r="IE19" s="16">
        <v>28.446000000000002</v>
      </c>
      <c r="IF19" s="16">
        <f t="shared" si="104"/>
        <v>7983.9999999999945</v>
      </c>
      <c r="IG19" s="16">
        <v>15965.9</v>
      </c>
      <c r="IH19" s="16">
        <v>22223.8</v>
      </c>
      <c r="II19" s="16">
        <f t="shared" si="105"/>
        <v>1825.1999999999989</v>
      </c>
      <c r="IJ19" s="16">
        <v>17617.5</v>
      </c>
      <c r="IK19" s="16">
        <v>9178.9</v>
      </c>
      <c r="IL19" s="16">
        <f t="shared" si="106"/>
        <v>759.59999999999854</v>
      </c>
      <c r="IM19" s="16">
        <v>140070.6</v>
      </c>
      <c r="IN19" s="16">
        <v>61318</v>
      </c>
      <c r="IO19" s="16">
        <f t="shared" si="107"/>
        <v>20770.400000000009</v>
      </c>
      <c r="IP19" s="16">
        <v>125725.6</v>
      </c>
      <c r="IQ19" s="16">
        <v>15568</v>
      </c>
      <c r="IR19" s="16">
        <f t="shared" si="108"/>
        <v>13689.200000000012</v>
      </c>
      <c r="IS19" s="16">
        <v>2345.6</v>
      </c>
      <c r="IT19" s="16">
        <v>1471.4</v>
      </c>
      <c r="IU19" s="16">
        <f t="shared" si="109"/>
        <v>0</v>
      </c>
      <c r="IV19" s="16">
        <v>59652.6</v>
      </c>
      <c r="IW19" s="16">
        <v>10673.1</v>
      </c>
      <c r="IX19" s="16">
        <f t="shared" si="110"/>
        <v>6144.4000000000015</v>
      </c>
      <c r="IY19" s="16">
        <v>5751.12</v>
      </c>
      <c r="IZ19" s="16">
        <v>479.84</v>
      </c>
      <c r="JA19" s="16">
        <f t="shared" si="111"/>
        <v>611.19999999999982</v>
      </c>
      <c r="JB19" s="16">
        <v>5340.85</v>
      </c>
      <c r="JC19" s="16">
        <v>521.85</v>
      </c>
      <c r="JD19" s="16">
        <f t="shared" si="112"/>
        <v>560.95000000000073</v>
      </c>
      <c r="JE19" s="16">
        <v>57531.3</v>
      </c>
      <c r="JF19" s="16">
        <v>97990.399999999994</v>
      </c>
      <c r="JG19" s="16">
        <f t="shared" si="113"/>
        <v>10403.800000000003</v>
      </c>
      <c r="JH19" s="16">
        <v>61474.400000000001</v>
      </c>
      <c r="JI19" s="16">
        <v>6447.2</v>
      </c>
      <c r="JJ19" s="16">
        <f>IF((JH19-JH18)&lt;=0,0,(JH19-JH18))</f>
        <v>11407.200000000004</v>
      </c>
      <c r="JK19" s="16">
        <v>4598.3</v>
      </c>
      <c r="JL19" s="16">
        <v>6045.7</v>
      </c>
      <c r="JM19" s="16">
        <f t="shared" si="114"/>
        <v>0</v>
      </c>
      <c r="JN19" s="16">
        <v>32062.5</v>
      </c>
      <c r="JO19" s="16">
        <v>5358.3</v>
      </c>
      <c r="JP19" s="16">
        <f t="shared" si="115"/>
        <v>5997.9000000000015</v>
      </c>
      <c r="JQ19" s="16">
        <v>138.08000000000001</v>
      </c>
      <c r="JR19" s="16">
        <v>25.48</v>
      </c>
      <c r="JS19" s="16">
        <f t="shared" si="116"/>
        <v>135.24</v>
      </c>
      <c r="JT19" s="16">
        <v>2091.5</v>
      </c>
      <c r="JU19" s="16">
        <v>141.5</v>
      </c>
      <c r="JV19" s="16">
        <f t="shared" si="117"/>
        <v>0</v>
      </c>
      <c r="JX19" s="151">
        <f t="shared" si="118"/>
        <v>0</v>
      </c>
    </row>
    <row r="20" spans="1:284" x14ac:dyDescent="0.25">
      <c r="A20" s="35">
        <f t="shared" si="1"/>
        <v>14</v>
      </c>
      <c r="B20" s="38">
        <v>3458.01</v>
      </c>
      <c r="C20" s="38">
        <f t="shared" si="2"/>
        <v>8.9100000000003092</v>
      </c>
      <c r="D20" s="38">
        <f t="shared" si="3"/>
        <v>285120.0000000099</v>
      </c>
      <c r="E20" s="38">
        <v>696.32</v>
      </c>
      <c r="F20" s="38">
        <f t="shared" si="95"/>
        <v>52480.000000003201</v>
      </c>
      <c r="G20" s="38">
        <f t="shared" si="5"/>
        <v>337600.0000000131</v>
      </c>
      <c r="H20" s="37"/>
      <c r="I20" s="39"/>
      <c r="J20" s="42"/>
      <c r="K20" s="37">
        <f t="shared" si="77"/>
        <v>0</v>
      </c>
      <c r="L20" s="40">
        <v>9958700</v>
      </c>
      <c r="M20" s="40"/>
      <c r="N20" s="37">
        <f t="shared" si="78"/>
        <v>335000</v>
      </c>
      <c r="O20" s="37">
        <v>9594.6214</v>
      </c>
      <c r="P20" s="37"/>
      <c r="Q20" s="37">
        <f t="shared" si="6"/>
        <v>18121.399999999994</v>
      </c>
      <c r="R20" s="37">
        <f t="shared" si="79"/>
        <v>1</v>
      </c>
      <c r="S20" s="37">
        <v>10954900</v>
      </c>
      <c r="T20" s="37">
        <f t="shared" si="7"/>
        <v>9788.5800000000745</v>
      </c>
      <c r="U20" s="37">
        <v>1518125.52</v>
      </c>
      <c r="V20" s="37">
        <f t="shared" si="8"/>
        <v>0</v>
      </c>
      <c r="W20" s="37">
        <v>3318.8</v>
      </c>
      <c r="X20" s="37">
        <f t="shared" si="93"/>
        <v>8322.8199999999197</v>
      </c>
      <c r="Y20" s="183"/>
      <c r="Z20" s="183">
        <f t="shared" si="9"/>
        <v>0</v>
      </c>
      <c r="AA20" s="37">
        <v>504640</v>
      </c>
      <c r="AB20" s="37">
        <f t="shared" si="10"/>
        <v>10</v>
      </c>
      <c r="AC20" s="37">
        <v>3517.7</v>
      </c>
      <c r="AD20" s="37"/>
      <c r="AE20" s="37">
        <f t="shared" si="11"/>
        <v>5299.9999999997272</v>
      </c>
      <c r="AF20" s="37">
        <f t="shared" si="80"/>
        <v>1</v>
      </c>
      <c r="AG20" s="37">
        <v>7665.3</v>
      </c>
      <c r="AH20" s="67"/>
      <c r="AI20" s="37">
        <f t="shared" si="12"/>
        <v>12959.259999999818</v>
      </c>
      <c r="AJ20" s="37">
        <f t="shared" si="13"/>
        <v>1</v>
      </c>
      <c r="AK20" s="37">
        <f t="shared" si="14"/>
        <v>36370.659999999538</v>
      </c>
      <c r="AL20" s="48">
        <v>9733.2999999999993</v>
      </c>
      <c r="AM20" s="66"/>
      <c r="AN20" s="37">
        <f t="shared" si="55"/>
        <v>7909.2599999992281</v>
      </c>
      <c r="AO20" s="37">
        <f t="shared" si="81"/>
        <v>1</v>
      </c>
      <c r="AP20" s="37">
        <v>7380.6</v>
      </c>
      <c r="AQ20" s="37"/>
      <c r="AR20" s="37">
        <f t="shared" si="15"/>
        <v>12800.000000000182</v>
      </c>
      <c r="AS20" s="37">
        <f t="shared" si="82"/>
        <v>1</v>
      </c>
      <c r="AT20" s="183"/>
      <c r="AU20" s="183">
        <f t="shared" si="16"/>
        <v>0</v>
      </c>
      <c r="AV20" s="183"/>
      <c r="AW20" s="183">
        <f t="shared" si="17"/>
        <v>0</v>
      </c>
      <c r="AX20" s="37">
        <v>447333.76</v>
      </c>
      <c r="AY20" s="37"/>
      <c r="AZ20" s="37">
        <f t="shared" si="18"/>
        <v>451.67999999999302</v>
      </c>
      <c r="BA20" s="37">
        <v>92916.36</v>
      </c>
      <c r="BB20" s="37"/>
      <c r="BC20" s="37">
        <f t="shared" si="19"/>
        <v>691.75200000000768</v>
      </c>
      <c r="BD20" s="37">
        <f t="shared" si="83"/>
        <v>21852.69199999941</v>
      </c>
      <c r="BE20" s="43">
        <v>1665.7</v>
      </c>
      <c r="BF20" s="43">
        <v>906.62</v>
      </c>
      <c r="BG20" s="37">
        <f t="shared" si="20"/>
        <v>2299.9999999999545</v>
      </c>
      <c r="BH20" s="44">
        <v>7989.9</v>
      </c>
      <c r="BI20" s="44">
        <v>5140.8</v>
      </c>
      <c r="BJ20" s="37">
        <f t="shared" si="21"/>
        <v>8399.9999999996362</v>
      </c>
      <c r="BK20" s="40">
        <v>1179800</v>
      </c>
      <c r="BL20" s="40">
        <f t="shared" si="84"/>
        <v>4200</v>
      </c>
      <c r="BM20" s="40">
        <v>805.57</v>
      </c>
      <c r="BN20" s="37">
        <f t="shared" si="22"/>
        <v>629.99999999999545</v>
      </c>
      <c r="BO20" s="186"/>
      <c r="BP20" s="183">
        <f t="shared" si="23"/>
        <v>0</v>
      </c>
      <c r="BQ20" s="40">
        <v>763.38</v>
      </c>
      <c r="BR20" s="37">
        <f t="shared" si="56"/>
        <v>820.00000000005002</v>
      </c>
      <c r="BS20" s="37">
        <v>77542.080000000002</v>
      </c>
      <c r="BT20" s="37">
        <f t="shared" si="24"/>
        <v>194.33999999999651</v>
      </c>
      <c r="BU20" s="42">
        <v>1985700</v>
      </c>
      <c r="BV20" s="42"/>
      <c r="BW20" s="37">
        <f t="shared" si="25"/>
        <v>4400</v>
      </c>
      <c r="BX20" s="37">
        <f t="shared" si="85"/>
        <v>1</v>
      </c>
      <c r="BY20" s="43">
        <v>278.92</v>
      </c>
      <c r="BZ20" s="43"/>
      <c r="CA20" s="37">
        <f>IF((BY20-BY19)&lt;=0,0,(BY20-BY19)*1000)</f>
        <v>790.00000000002046</v>
      </c>
      <c r="CB20" s="37">
        <f t="shared" si="57"/>
        <v>1</v>
      </c>
      <c r="CC20" s="37">
        <v>470330</v>
      </c>
      <c r="CD20" s="37">
        <f t="shared" si="27"/>
        <v>660</v>
      </c>
      <c r="CE20" s="41">
        <v>697330</v>
      </c>
      <c r="CF20" s="37">
        <f t="shared" si="58"/>
        <v>0</v>
      </c>
      <c r="CG20" s="37">
        <v>58799</v>
      </c>
      <c r="CH20" s="37">
        <f t="shared" si="59"/>
        <v>0</v>
      </c>
      <c r="CI20" s="40">
        <v>10978</v>
      </c>
      <c r="CJ20" s="40"/>
      <c r="CK20" s="37">
        <f t="shared" si="60"/>
        <v>16469.259999999977</v>
      </c>
      <c r="CL20" s="37">
        <f t="shared" si="28"/>
        <v>1</v>
      </c>
      <c r="CM20" s="37">
        <v>2854.2</v>
      </c>
      <c r="CN20" s="37"/>
      <c r="CO20" s="37">
        <f t="shared" si="29"/>
        <v>7759.26</v>
      </c>
      <c r="CP20" s="37">
        <f t="shared" si="86"/>
        <v>1</v>
      </c>
      <c r="CQ20" s="39">
        <v>2770.5</v>
      </c>
      <c r="CR20" s="39"/>
      <c r="CS20" s="37">
        <f t="shared" si="30"/>
        <v>7659.2600000000912</v>
      </c>
      <c r="CT20" s="37">
        <f t="shared" si="87"/>
        <v>1</v>
      </c>
      <c r="CU20" s="37">
        <v>2288800</v>
      </c>
      <c r="CV20" s="37"/>
      <c r="CW20" s="38">
        <f t="shared" si="31"/>
        <v>700</v>
      </c>
      <c r="CX20" s="37">
        <f t="shared" si="88"/>
        <v>1</v>
      </c>
      <c r="CY20" s="37">
        <v>1209200</v>
      </c>
      <c r="CZ20" s="37"/>
      <c r="DA20" s="37">
        <f t="shared" si="32"/>
        <v>600</v>
      </c>
      <c r="DB20" s="37">
        <f t="shared" si="89"/>
        <v>1</v>
      </c>
      <c r="DC20" s="37"/>
      <c r="DD20" s="40"/>
      <c r="DE20" s="37">
        <f t="shared" si="33"/>
        <v>0</v>
      </c>
      <c r="DF20" s="37">
        <f t="shared" si="94"/>
        <v>0</v>
      </c>
      <c r="DG20" s="37">
        <f t="shared" si="34"/>
        <v>-37587.780000000072</v>
      </c>
      <c r="DH20" s="37">
        <f t="shared" si="35"/>
        <v>373670.65999999951</v>
      </c>
      <c r="DI20" s="46"/>
      <c r="DJ20" s="46"/>
      <c r="DK20" s="47"/>
      <c r="DL20" s="47"/>
      <c r="DM20" s="37"/>
      <c r="DN20" s="37"/>
      <c r="DO20" s="37"/>
      <c r="DP20" s="37"/>
      <c r="DQ20" s="50">
        <v>2676000</v>
      </c>
      <c r="DR20" s="49">
        <f t="shared" si="61"/>
        <v>6000</v>
      </c>
      <c r="DS20" s="50">
        <v>2017200</v>
      </c>
      <c r="DT20" s="49">
        <f t="shared" si="62"/>
        <v>16100</v>
      </c>
      <c r="DU20" s="52">
        <v>7563.3</v>
      </c>
      <c r="DV20" s="52">
        <v>4223.7</v>
      </c>
      <c r="DW20" s="37">
        <f t="shared" si="90"/>
        <v>4300.0000000001819</v>
      </c>
      <c r="DX20" s="52">
        <v>12521</v>
      </c>
      <c r="DY20" s="52">
        <v>8254</v>
      </c>
      <c r="DZ20" s="37">
        <f t="shared" si="36"/>
        <v>7259.26</v>
      </c>
      <c r="EA20" s="49">
        <v>27948</v>
      </c>
      <c r="EB20" s="49">
        <v>19.846</v>
      </c>
      <c r="EC20" s="37">
        <f t="shared" si="37"/>
        <v>24419.26</v>
      </c>
      <c r="ED20" s="53">
        <f t="shared" si="38"/>
        <v>35978.520000000179</v>
      </c>
      <c r="EE20" s="49">
        <v>43128</v>
      </c>
      <c r="EF20" s="49">
        <v>27.401</v>
      </c>
      <c r="EG20" s="37">
        <f t="shared" si="39"/>
        <v>33419.259999999995</v>
      </c>
      <c r="EH20" s="68">
        <v>12109</v>
      </c>
      <c r="EI20" s="52">
        <v>1.6149</v>
      </c>
      <c r="EJ20" s="37">
        <f t="shared" si="40"/>
        <v>10259.26</v>
      </c>
      <c r="EK20" s="37">
        <v>732.11</v>
      </c>
      <c r="EL20" s="40">
        <v>1051.5999999999999</v>
      </c>
      <c r="EM20" s="37">
        <f t="shared" si="63"/>
        <v>560.00000000005912</v>
      </c>
      <c r="EN20" s="54">
        <f t="shared" si="64"/>
        <v>44238.520000000055</v>
      </c>
      <c r="EO20" s="48">
        <v>12181</v>
      </c>
      <c r="EP20" s="48">
        <v>4242.5</v>
      </c>
      <c r="EQ20" s="37">
        <f t="shared" si="41"/>
        <v>9259.26</v>
      </c>
      <c r="ER20" s="48">
        <v>7893.2</v>
      </c>
      <c r="ES20" s="48">
        <v>3207.4</v>
      </c>
      <c r="ET20" s="49">
        <f t="shared" si="98"/>
        <v>17300.000000000182</v>
      </c>
      <c r="EU20" s="48">
        <v>2824</v>
      </c>
      <c r="EV20" s="48">
        <v>1010.4</v>
      </c>
      <c r="EW20" s="49">
        <f t="shared" si="43"/>
        <v>8059.2600000001821</v>
      </c>
      <c r="EX20" s="48">
        <v>12371</v>
      </c>
      <c r="EY20" s="48">
        <v>1.3205</v>
      </c>
      <c r="EZ20" s="37">
        <f t="shared" si="44"/>
        <v>9259.26</v>
      </c>
      <c r="FA20" s="48">
        <f t="shared" si="65"/>
        <v>-21619.780000000363</v>
      </c>
      <c r="FB20" s="48">
        <v>34365801</v>
      </c>
      <c r="FC20" s="49">
        <f t="shared" si="91"/>
        <v>22258</v>
      </c>
      <c r="FD20" s="48">
        <f t="shared" si="66"/>
        <v>45577.780000000414</v>
      </c>
      <c r="FE20" s="48">
        <v>16228</v>
      </c>
      <c r="FF20" s="48">
        <v>5820.5</v>
      </c>
      <c r="FG20" s="37">
        <f t="shared" si="67"/>
        <v>9441.0400000000009</v>
      </c>
      <c r="FH20" s="48">
        <v>7338.1</v>
      </c>
      <c r="FI20" s="48">
        <v>2.8252999999999999</v>
      </c>
      <c r="FJ20" s="49">
        <f t="shared" si="45"/>
        <v>19341.040000000543</v>
      </c>
      <c r="FK20" s="48"/>
      <c r="FL20" s="58">
        <v>181.78</v>
      </c>
      <c r="FM20" s="48">
        <f t="shared" si="92"/>
        <v>-74.373333333514893</v>
      </c>
      <c r="FN20" s="48">
        <v>15525</v>
      </c>
      <c r="FO20" s="48">
        <v>0.71360000000000001</v>
      </c>
      <c r="FP20" s="37">
        <f t="shared" si="68"/>
        <v>11441.04</v>
      </c>
      <c r="FQ20" s="48">
        <v>55425</v>
      </c>
      <c r="FR20" s="48">
        <v>13.265000000000001</v>
      </c>
      <c r="FS20" s="37">
        <f t="shared" si="46"/>
        <v>40000</v>
      </c>
      <c r="FT20" s="48">
        <f t="shared" si="119"/>
        <v>-223.12000000054468</v>
      </c>
      <c r="FU20" s="48">
        <f t="shared" si="70"/>
        <v>40223.120000000548</v>
      </c>
      <c r="FV20" s="44">
        <v>2587300</v>
      </c>
      <c r="FW20" s="44">
        <v>837110</v>
      </c>
      <c r="FX20" s="37">
        <f t="shared" si="47"/>
        <v>32100</v>
      </c>
      <c r="FY20" s="56">
        <v>2851.2</v>
      </c>
      <c r="FZ20" s="63">
        <v>1.6523000000000001</v>
      </c>
      <c r="GA20" s="37">
        <f t="shared" si="48"/>
        <v>7460</v>
      </c>
      <c r="GB20" s="56">
        <v>746.8</v>
      </c>
      <c r="GC20" s="56">
        <v>830.11</v>
      </c>
      <c r="GD20" s="37">
        <f t="shared" si="49"/>
        <v>909.99999999996817</v>
      </c>
      <c r="GE20" s="56">
        <v>9281.7000000000007</v>
      </c>
      <c r="GF20" s="56">
        <v>2.8155999999999999</v>
      </c>
      <c r="GG20" s="37">
        <f t="shared" si="50"/>
        <v>7900.0000000003183</v>
      </c>
      <c r="GH20" s="153">
        <v>1799.2</v>
      </c>
      <c r="GI20" s="162">
        <v>1522.1</v>
      </c>
      <c r="GJ20" s="38">
        <f t="shared" si="51"/>
        <v>1700.0000000000455</v>
      </c>
      <c r="GK20" s="162">
        <v>1415.7</v>
      </c>
      <c r="GL20" s="163">
        <v>1096.5</v>
      </c>
      <c r="GM20" s="38">
        <f t="shared" si="52"/>
        <v>0</v>
      </c>
      <c r="GN20" s="57">
        <v>158940</v>
      </c>
      <c r="GO20" s="57">
        <v>138700</v>
      </c>
      <c r="GP20" s="38">
        <f t="shared" si="96"/>
        <v>0</v>
      </c>
      <c r="GQ20" s="38">
        <v>207150</v>
      </c>
      <c r="GR20" s="38">
        <v>207850</v>
      </c>
      <c r="GS20" s="38">
        <f t="shared" si="71"/>
        <v>1040</v>
      </c>
      <c r="GT20" s="178"/>
      <c r="GU20" s="144">
        <f>DailyFeb!B19-DailyFeb!N19-DailyFeb!V19-DailyFeb!Y19-DailyFeb!Z19-DailyFeb!AA19-DailyFeb!AB19-DailyFeb!AC19-DailyFeb!AD19-DailyFeb!AE19-DailyFeb!AK19-DailyFeb!AO19-DailyFeb!AS19-DailyFeb!AY19-DailyFeb!BD19+DailyFeb!BS19-SUM(DailyFeb!BM19:BQ19)-DailyFeb!BR19-DailyFeb!AF19-DailyFeb!AG19</f>
        <v>-7.1999987150775269E-2</v>
      </c>
      <c r="GV20" s="59">
        <v>3888.8280000129016</v>
      </c>
      <c r="GW20" s="60">
        <f t="shared" si="53"/>
        <v>259.2552000008601</v>
      </c>
      <c r="GX20" s="61">
        <v>259.26</v>
      </c>
      <c r="GY20" s="140"/>
      <c r="GZ20" s="62"/>
      <c r="HA20" s="62"/>
      <c r="HB20" s="74"/>
      <c r="HC20" s="62">
        <f t="shared" si="99"/>
        <v>93600.000000000029</v>
      </c>
      <c r="HD20" s="74"/>
      <c r="HE20" s="24">
        <f t="shared" si="54"/>
        <v>93600.000000000029</v>
      </c>
      <c r="HF20" s="151"/>
      <c r="HG20" s="213">
        <v>14</v>
      </c>
      <c r="HH20" s="128">
        <v>757.15</v>
      </c>
      <c r="HI20" s="128">
        <v>359.2</v>
      </c>
      <c r="HJ20" s="16">
        <f>IF((HH20-HH19)&lt;=0,0,(HH20-HH19)*1000)</f>
        <v>93600.000000000029</v>
      </c>
      <c r="HK20" s="16">
        <v>1.9189000000000001</v>
      </c>
      <c r="HL20" s="16">
        <v>660.93</v>
      </c>
      <c r="HM20" s="16">
        <f t="shared" si="100"/>
        <v>0</v>
      </c>
      <c r="HN20" s="16">
        <v>160.19999999999999</v>
      </c>
      <c r="HO20" s="16">
        <v>82.367999999999995</v>
      </c>
      <c r="HP20" s="16">
        <f t="shared" si="120"/>
        <v>31499.999999999971</v>
      </c>
      <c r="HQ20" s="16">
        <v>228.65</v>
      </c>
      <c r="HR20" s="16">
        <v>127.46</v>
      </c>
      <c r="HS20" s="16">
        <f t="shared" si="101"/>
        <v>23780.000000000004</v>
      </c>
      <c r="HT20" s="16">
        <v>135.59</v>
      </c>
      <c r="HU20" s="16">
        <v>67.162000000000006</v>
      </c>
      <c r="HV20" s="16">
        <f t="shared" si="102"/>
        <v>22220</v>
      </c>
      <c r="HW20" s="16"/>
      <c r="HX20" s="16"/>
      <c r="HY20" s="128">
        <f t="shared" si="121"/>
        <v>16100</v>
      </c>
      <c r="HZ20" s="211">
        <f t="shared" si="76"/>
        <v>5.8207660913467407E-11</v>
      </c>
      <c r="IA20" s="16">
        <v>356.5</v>
      </c>
      <c r="IB20" s="16">
        <v>441.1</v>
      </c>
      <c r="IC20" s="16">
        <f t="shared" si="103"/>
        <v>0</v>
      </c>
      <c r="ID20" s="16">
        <v>65.528999999999996</v>
      </c>
      <c r="IE20" s="16">
        <v>31.891999999999999</v>
      </c>
      <c r="IF20" s="16">
        <f t="shared" si="104"/>
        <v>7829.9999999999982</v>
      </c>
      <c r="IG20" s="16">
        <v>910</v>
      </c>
      <c r="IH20" s="16">
        <v>909.8</v>
      </c>
      <c r="II20" s="16">
        <f t="shared" si="105"/>
        <v>0</v>
      </c>
      <c r="IJ20" s="16">
        <v>563.4</v>
      </c>
      <c r="IK20" s="16">
        <v>711.7</v>
      </c>
      <c r="IL20" s="16">
        <f t="shared" si="106"/>
        <v>0</v>
      </c>
      <c r="IM20" s="16">
        <v>41.5</v>
      </c>
      <c r="IN20" s="16">
        <v>52.9</v>
      </c>
      <c r="IO20" s="16">
        <f t="shared" si="107"/>
        <v>0</v>
      </c>
      <c r="IP20" s="16">
        <v>141011.6</v>
      </c>
      <c r="IQ20" s="16">
        <v>17489.599999999999</v>
      </c>
      <c r="IR20" s="16">
        <f t="shared" si="108"/>
        <v>15286</v>
      </c>
      <c r="IS20" s="16">
        <v>86.7</v>
      </c>
      <c r="IT20" s="16">
        <v>943.7</v>
      </c>
      <c r="IU20" s="16">
        <f t="shared" si="109"/>
        <v>0</v>
      </c>
      <c r="IV20" s="16">
        <v>66284.7</v>
      </c>
      <c r="IW20" s="16">
        <v>11859.6</v>
      </c>
      <c r="IX20" s="16">
        <f t="shared" si="110"/>
        <v>6632.0999999999985</v>
      </c>
      <c r="IY20" s="16">
        <v>6382.44</v>
      </c>
      <c r="IZ20" s="16">
        <v>546.12</v>
      </c>
      <c r="JA20" s="16">
        <f t="shared" si="111"/>
        <v>631.31999999999971</v>
      </c>
      <c r="JB20" s="16">
        <v>5934.5</v>
      </c>
      <c r="JC20" s="16">
        <v>591.5</v>
      </c>
      <c r="JD20" s="16">
        <f t="shared" si="112"/>
        <v>593.64999999999964</v>
      </c>
      <c r="JE20" s="16"/>
      <c r="JF20" s="16"/>
      <c r="JG20" s="16">
        <f t="shared" si="113"/>
        <v>0</v>
      </c>
      <c r="JH20" s="16"/>
      <c r="JI20" s="16"/>
      <c r="JJ20" s="16">
        <f t="shared" ref="JJ20:JJ38" si="122">IF((JH20-JH19)&lt;=0,0,(JH20-JH19))</f>
        <v>0</v>
      </c>
      <c r="JK20" s="16"/>
      <c r="JL20" s="16"/>
      <c r="JM20" s="16">
        <f t="shared" si="114"/>
        <v>0</v>
      </c>
      <c r="JN20" s="16"/>
      <c r="JO20" s="16"/>
      <c r="JP20" s="16">
        <f t="shared" si="115"/>
        <v>0</v>
      </c>
      <c r="JQ20" s="16"/>
      <c r="JR20" s="16"/>
      <c r="JS20" s="16">
        <f t="shared" si="116"/>
        <v>0</v>
      </c>
      <c r="JT20" s="16"/>
      <c r="JU20" s="16"/>
      <c r="JV20" s="16">
        <f t="shared" si="117"/>
        <v>0</v>
      </c>
      <c r="JX20" s="151">
        <f t="shared" si="118"/>
        <v>5.8207660913467407E-11</v>
      </c>
    </row>
    <row r="21" spans="1:284" x14ac:dyDescent="0.25">
      <c r="A21" s="35">
        <f t="shared" si="1"/>
        <v>15</v>
      </c>
      <c r="B21" s="38">
        <v>3467.13</v>
      </c>
      <c r="C21" s="38">
        <f t="shared" si="2"/>
        <v>9.1199999999998909</v>
      </c>
      <c r="D21" s="38">
        <f t="shared" si="3"/>
        <v>291839.99999999651</v>
      </c>
      <c r="E21" s="38">
        <v>698.06</v>
      </c>
      <c r="F21" s="38">
        <f t="shared" si="95"/>
        <v>55679.999999996653</v>
      </c>
      <c r="G21" s="38">
        <f t="shared" si="5"/>
        <v>347519.99999999313</v>
      </c>
      <c r="H21" s="37"/>
      <c r="I21" s="39"/>
      <c r="J21" s="42"/>
      <c r="K21" s="37">
        <f t="shared" si="77"/>
        <v>0</v>
      </c>
      <c r="L21" s="40">
        <v>9992800</v>
      </c>
      <c r="M21" s="40"/>
      <c r="N21" s="37">
        <f t="shared" si="78"/>
        <v>341000</v>
      </c>
      <c r="O21" s="37">
        <v>9613.7999999999993</v>
      </c>
      <c r="P21" s="37"/>
      <c r="Q21" s="37">
        <f t="shared" si="6"/>
        <v>19178.599999999278</v>
      </c>
      <c r="R21" s="37">
        <f t="shared" si="79"/>
        <v>1</v>
      </c>
      <c r="S21" s="37">
        <v>10964793.109999999</v>
      </c>
      <c r="T21" s="37">
        <f t="shared" si="7"/>
        <v>9893.109999999404</v>
      </c>
      <c r="U21" s="37">
        <v>1518125.52</v>
      </c>
      <c r="V21" s="37">
        <f t="shared" si="8"/>
        <v>0</v>
      </c>
      <c r="W21" s="37">
        <v>3325.8</v>
      </c>
      <c r="X21" s="37">
        <f t="shared" si="93"/>
        <v>9225.4899999998743</v>
      </c>
      <c r="Y21" s="183"/>
      <c r="Z21" s="183">
        <f t="shared" si="9"/>
        <v>0</v>
      </c>
      <c r="AA21" s="37">
        <v>504700</v>
      </c>
      <c r="AB21" s="37">
        <f t="shared" si="10"/>
        <v>60</v>
      </c>
      <c r="AC21" s="37">
        <v>3523.2</v>
      </c>
      <c r="AD21" s="37"/>
      <c r="AE21" s="37">
        <f t="shared" si="11"/>
        <v>5500</v>
      </c>
      <c r="AF21" s="37">
        <f t="shared" si="80"/>
        <v>1</v>
      </c>
      <c r="AG21" s="37">
        <v>7678.8</v>
      </c>
      <c r="AH21" s="67"/>
      <c r="AI21" s="37">
        <f t="shared" si="12"/>
        <v>14597.84</v>
      </c>
      <c r="AJ21" s="37">
        <f t="shared" si="13"/>
        <v>1</v>
      </c>
      <c r="AK21" s="37">
        <f t="shared" si="14"/>
        <v>39216.439999999275</v>
      </c>
      <c r="AL21" s="42">
        <v>9746.9</v>
      </c>
      <c r="AM21" s="42"/>
      <c r="AN21" s="37">
        <f t="shared" si="55"/>
        <v>9197.8400000004003</v>
      </c>
      <c r="AO21" s="37">
        <f t="shared" si="81"/>
        <v>1</v>
      </c>
      <c r="AP21" s="37">
        <v>7394.2</v>
      </c>
      <c r="AQ21" s="37"/>
      <c r="AR21" s="37">
        <f t="shared" si="15"/>
        <v>13599.999999999454</v>
      </c>
      <c r="AS21" s="37">
        <f t="shared" si="82"/>
        <v>1</v>
      </c>
      <c r="AT21" s="183"/>
      <c r="AU21" s="183">
        <f t="shared" si="16"/>
        <v>0</v>
      </c>
      <c r="AV21" s="183"/>
      <c r="AW21" s="183">
        <f t="shared" si="17"/>
        <v>0</v>
      </c>
      <c r="AX21" s="37">
        <v>447760</v>
      </c>
      <c r="AY21" s="37"/>
      <c r="AZ21" s="37">
        <f t="shared" si="18"/>
        <v>426.23999999999069</v>
      </c>
      <c r="BA21" s="37">
        <v>93550</v>
      </c>
      <c r="BB21" s="37"/>
      <c r="BC21" s="37">
        <f t="shared" si="19"/>
        <v>633.63999999999942</v>
      </c>
      <c r="BD21" s="37">
        <f t="shared" si="83"/>
        <v>23857.719999999845</v>
      </c>
      <c r="BE21" s="43">
        <v>1667.9</v>
      </c>
      <c r="BF21" s="43">
        <v>907.94</v>
      </c>
      <c r="BG21" s="37">
        <f t="shared" si="20"/>
        <v>2200.0000000000455</v>
      </c>
      <c r="BH21" s="44">
        <v>7998.6</v>
      </c>
      <c r="BI21" s="44">
        <v>5146.3</v>
      </c>
      <c r="BJ21" s="37">
        <f t="shared" si="21"/>
        <v>8700.0000000007276</v>
      </c>
      <c r="BK21" s="40">
        <v>1184010</v>
      </c>
      <c r="BL21" s="40">
        <f t="shared" si="84"/>
        <v>4210</v>
      </c>
      <c r="BM21" s="40">
        <v>806.24</v>
      </c>
      <c r="BN21" s="37">
        <f t="shared" si="22"/>
        <v>669.99999999995907</v>
      </c>
      <c r="BO21" s="186"/>
      <c r="BP21" s="183">
        <f t="shared" si="23"/>
        <v>0</v>
      </c>
      <c r="BQ21" s="40">
        <v>764</v>
      </c>
      <c r="BR21" s="37">
        <f>IF((BQ21-BQ20)&lt;=0,0,(BQ21-BQ20))*1000</f>
        <v>620.00000000000455</v>
      </c>
      <c r="BS21" s="37">
        <v>77755.44</v>
      </c>
      <c r="BT21" s="37">
        <f t="shared" si="24"/>
        <v>213.36000000000058</v>
      </c>
      <c r="BU21" s="42">
        <v>1991953</v>
      </c>
      <c r="BV21" s="42"/>
      <c r="BW21" s="37">
        <f t="shared" si="25"/>
        <v>6253</v>
      </c>
      <c r="BX21" s="37">
        <f t="shared" si="85"/>
        <v>1</v>
      </c>
      <c r="BY21" s="43">
        <v>279.69970000000001</v>
      </c>
      <c r="BZ21" s="43"/>
      <c r="CA21" s="37">
        <f t="shared" ref="CA21:CA38" si="123">IF((BY21-BY20)&lt;=0,0,(BY21-BY20)*1000)</f>
        <v>779.69999999999118</v>
      </c>
      <c r="CB21" s="37">
        <f t="shared" si="57"/>
        <v>1</v>
      </c>
      <c r="CC21" s="37">
        <v>472585</v>
      </c>
      <c r="CD21" s="37">
        <f t="shared" si="27"/>
        <v>2255</v>
      </c>
      <c r="CE21" s="41">
        <v>697329.9</v>
      </c>
      <c r="CF21" s="37">
        <f t="shared" si="58"/>
        <v>0</v>
      </c>
      <c r="CG21" s="37">
        <v>58799</v>
      </c>
      <c r="CH21" s="37">
        <f t="shared" si="59"/>
        <v>0</v>
      </c>
      <c r="CI21" s="40">
        <v>10994.75</v>
      </c>
      <c r="CJ21" s="40"/>
      <c r="CK21" s="37">
        <f t="shared" si="60"/>
        <v>17068.14000000001</v>
      </c>
      <c r="CL21" s="37">
        <f t="shared" si="28"/>
        <v>1</v>
      </c>
      <c r="CM21" s="37">
        <v>2860.384</v>
      </c>
      <c r="CN21" s="37"/>
      <c r="CO21" s="37">
        <f t="shared" si="29"/>
        <v>7281.8400000001966</v>
      </c>
      <c r="CP21" s="37">
        <f t="shared" si="86"/>
        <v>1</v>
      </c>
      <c r="CQ21" s="39">
        <v>2776.9029999999998</v>
      </c>
      <c r="CR21" s="39"/>
      <c r="CS21" s="37">
        <f t="shared" si="30"/>
        <v>7500.8399999997928</v>
      </c>
      <c r="CT21" s="37">
        <f t="shared" si="87"/>
        <v>1</v>
      </c>
      <c r="CU21" s="37">
        <v>2289455</v>
      </c>
      <c r="CV21" s="37"/>
      <c r="CW21" s="38">
        <f t="shared" si="31"/>
        <v>655</v>
      </c>
      <c r="CX21" s="37">
        <f t="shared" si="88"/>
        <v>1</v>
      </c>
      <c r="CY21" s="37">
        <v>1209795</v>
      </c>
      <c r="CZ21" s="37"/>
      <c r="DA21" s="37">
        <f t="shared" si="32"/>
        <v>595</v>
      </c>
      <c r="DB21" s="37">
        <f t="shared" si="89"/>
        <v>1</v>
      </c>
      <c r="DC21" s="37"/>
      <c r="DD21" s="40"/>
      <c r="DE21" s="37">
        <f t="shared" si="33"/>
        <v>0</v>
      </c>
      <c r="DF21" s="37">
        <f t="shared" si="94"/>
        <v>0</v>
      </c>
      <c r="DG21" s="37">
        <f t="shared" si="34"/>
        <v>-39353.82</v>
      </c>
      <c r="DH21" s="37">
        <f t="shared" si="35"/>
        <v>382416.4399999993</v>
      </c>
      <c r="DI21" s="46"/>
      <c r="DJ21" s="46"/>
      <c r="DK21" s="47"/>
      <c r="DL21" s="47"/>
      <c r="DM21" s="37"/>
      <c r="DN21" s="37"/>
      <c r="DO21" s="37"/>
      <c r="DP21" s="37"/>
      <c r="DQ21" s="50">
        <v>2683200</v>
      </c>
      <c r="DR21" s="49">
        <f t="shared" si="61"/>
        <v>7200</v>
      </c>
      <c r="DS21" s="50">
        <v>2033500</v>
      </c>
      <c r="DT21" s="49">
        <f t="shared" si="62"/>
        <v>16300</v>
      </c>
      <c r="DU21" s="52">
        <v>7567.9</v>
      </c>
      <c r="DV21" s="52">
        <v>4226.5</v>
      </c>
      <c r="DW21" s="37">
        <f t="shared" si="90"/>
        <v>4599.9999999994543</v>
      </c>
      <c r="DX21" s="52">
        <v>12528</v>
      </c>
      <c r="DY21" s="52">
        <v>8256.5</v>
      </c>
      <c r="DZ21" s="37">
        <f t="shared" si="36"/>
        <v>8097.84</v>
      </c>
      <c r="EA21" s="49">
        <v>27969</v>
      </c>
      <c r="EB21" s="49">
        <v>19.856999999999999</v>
      </c>
      <c r="EC21" s="37">
        <f t="shared" si="37"/>
        <v>24257.84</v>
      </c>
      <c r="ED21" s="53">
        <f t="shared" si="38"/>
        <v>36955.679999999455</v>
      </c>
      <c r="EE21" s="49">
        <v>43159</v>
      </c>
      <c r="EF21" s="49">
        <v>27.427</v>
      </c>
      <c r="EG21" s="37">
        <f t="shared" si="39"/>
        <v>34257.839999999997</v>
      </c>
      <c r="EH21" s="52">
        <v>12118</v>
      </c>
      <c r="EI21" s="52">
        <v>1.6165</v>
      </c>
      <c r="EJ21" s="37">
        <f t="shared" si="40"/>
        <v>10097.84</v>
      </c>
      <c r="EK21" s="37">
        <v>732.8</v>
      </c>
      <c r="EL21" s="40">
        <v>1052.5</v>
      </c>
      <c r="EM21" s="37">
        <f t="shared" si="63"/>
        <v>689.99999999994088</v>
      </c>
      <c r="EN21" s="54">
        <f t="shared" si="64"/>
        <v>45045.679999999935</v>
      </c>
      <c r="EO21" s="48">
        <v>12191</v>
      </c>
      <c r="EP21" s="48">
        <v>4246.2</v>
      </c>
      <c r="EQ21" s="37">
        <f t="shared" si="41"/>
        <v>11097.84</v>
      </c>
      <c r="ER21" s="48">
        <v>7912.3</v>
      </c>
      <c r="ES21" s="48">
        <v>3215.5</v>
      </c>
      <c r="ET21" s="49">
        <f t="shared" si="98"/>
        <v>19100.000000000364</v>
      </c>
      <c r="EU21" s="48">
        <v>2832</v>
      </c>
      <c r="EV21" s="48">
        <v>1013.1</v>
      </c>
      <c r="EW21" s="49">
        <f t="shared" si="43"/>
        <v>9097.84</v>
      </c>
      <c r="EX21" s="48">
        <v>12383</v>
      </c>
      <c r="EY21" s="48">
        <v>1.3229</v>
      </c>
      <c r="EZ21" s="37">
        <f t="shared" si="44"/>
        <v>13097.84</v>
      </c>
      <c r="FA21" s="48">
        <f t="shared" si="65"/>
        <v>-27340.520000000364</v>
      </c>
      <c r="FB21" s="48">
        <v>34390854</v>
      </c>
      <c r="FC21" s="49">
        <f t="shared" si="91"/>
        <v>25053</v>
      </c>
      <c r="FD21" s="48">
        <f t="shared" si="66"/>
        <v>54093.520000000412</v>
      </c>
      <c r="FE21" s="48">
        <v>16237</v>
      </c>
      <c r="FF21" s="48">
        <v>5823.3</v>
      </c>
      <c r="FG21" s="37">
        <f t="shared" si="67"/>
        <v>10131.17</v>
      </c>
      <c r="FH21" s="48">
        <v>7356</v>
      </c>
      <c r="FI21" s="48">
        <v>2.8321000000000001</v>
      </c>
      <c r="FJ21" s="49">
        <f t="shared" si="45"/>
        <v>19031.169999999638</v>
      </c>
      <c r="FK21" s="48"/>
      <c r="FL21" s="58">
        <v>33.33</v>
      </c>
      <c r="FM21" s="48">
        <f t="shared" si="92"/>
        <v>-1097.8366666665454</v>
      </c>
      <c r="FN21" s="48">
        <v>15535</v>
      </c>
      <c r="FO21" s="48">
        <v>0.7157</v>
      </c>
      <c r="FP21" s="37">
        <f t="shared" si="68"/>
        <v>11131.17</v>
      </c>
      <c r="FQ21" s="48">
        <v>55462</v>
      </c>
      <c r="FR21" s="48">
        <v>13.276</v>
      </c>
      <c r="FS21" s="37">
        <f t="shared" si="46"/>
        <v>37000</v>
      </c>
      <c r="FT21" s="48">
        <f t="shared" si="119"/>
        <v>-3293.5099999996364</v>
      </c>
      <c r="FU21" s="48">
        <f>FG21+FJ21+FP21+GM21</f>
        <v>40293.509999999638</v>
      </c>
      <c r="FV21" s="44">
        <v>2622200</v>
      </c>
      <c r="FW21" s="44">
        <v>847900</v>
      </c>
      <c r="FX21" s="37">
        <f t="shared" si="47"/>
        <v>34900</v>
      </c>
      <c r="FY21" s="56">
        <v>2859.4</v>
      </c>
      <c r="FZ21" s="56">
        <v>1.6606000000000001</v>
      </c>
      <c r="GA21" s="37">
        <f t="shared" si="48"/>
        <v>7140.0000000002728</v>
      </c>
      <c r="GB21" s="56">
        <v>747.71</v>
      </c>
      <c r="GC21" s="56">
        <v>831.28</v>
      </c>
      <c r="GD21" s="37">
        <f t="shared" si="49"/>
        <v>910.00000000008185</v>
      </c>
      <c r="GE21" s="56">
        <v>9290.9</v>
      </c>
      <c r="GF21" s="56">
        <v>2.8224999999999998</v>
      </c>
      <c r="GG21" s="37">
        <f t="shared" si="50"/>
        <v>7499.9999999988631</v>
      </c>
      <c r="GH21" s="153">
        <v>1800.9</v>
      </c>
      <c r="GI21" s="162">
        <v>1523.6</v>
      </c>
      <c r="GJ21" s="38">
        <f t="shared" si="51"/>
        <v>1700.0000000000455</v>
      </c>
      <c r="GK21" s="162">
        <v>1415.7</v>
      </c>
      <c r="GL21" s="163">
        <v>1096.5</v>
      </c>
      <c r="GM21" s="38">
        <f t="shared" si="52"/>
        <v>0</v>
      </c>
      <c r="GN21" s="57">
        <v>158940</v>
      </c>
      <c r="GO21" s="57">
        <v>138700</v>
      </c>
      <c r="GP21" s="38">
        <f t="shared" si="96"/>
        <v>0</v>
      </c>
      <c r="GQ21" s="38">
        <v>208210</v>
      </c>
      <c r="GR21" s="38">
        <v>208810</v>
      </c>
      <c r="GS21" s="38">
        <f t="shared" si="71"/>
        <v>1060</v>
      </c>
      <c r="GT21" s="178"/>
      <c r="GU21" s="144">
        <f>DailyFeb!B20-DailyFeb!N20-DailyFeb!V20-DailyFeb!Y20-DailyFeb!Z20-DailyFeb!AA20-DailyFeb!AB20-DailyFeb!AC20-DailyFeb!AD20-DailyFeb!AE20-DailyFeb!AK20-DailyFeb!AO20-DailyFeb!AS20-DailyFeb!AY20-DailyFeb!BD20+DailyFeb!BS20-SUM(DailyFeb!BM20:BQ20)-DailyFeb!BR20-DailyFeb!AF20-DailyFeb!AG20</f>
        <v>-7.0000005274778232E-2</v>
      </c>
      <c r="GV21" s="59">
        <v>16467.529999994702</v>
      </c>
      <c r="GW21" s="60">
        <f t="shared" si="53"/>
        <v>1097.8353333329801</v>
      </c>
      <c r="GX21" s="61">
        <v>1097.8399999999999</v>
      </c>
      <c r="GY21" s="140"/>
      <c r="GZ21" s="62"/>
      <c r="HA21" s="62"/>
      <c r="HB21" s="74"/>
      <c r="HC21" s="62">
        <f t="shared" si="99"/>
        <v>85409.999999999971</v>
      </c>
      <c r="HD21" s="74"/>
      <c r="HE21" s="24">
        <f t="shared" si="54"/>
        <v>85409.999999999971</v>
      </c>
      <c r="HF21" s="151"/>
      <c r="HG21" s="213">
        <v>15</v>
      </c>
      <c r="HH21" s="128">
        <v>842.56</v>
      </c>
      <c r="HI21" s="16">
        <v>395.39</v>
      </c>
      <c r="HJ21" s="16">
        <f t="shared" ref="HJ21:HJ38" si="124">IF((HH21-HH20)&lt;=0,0,(HH21-HH20)*1000)</f>
        <v>85409.999999999971</v>
      </c>
      <c r="HK21" s="16">
        <v>1.9189000000000001</v>
      </c>
      <c r="HL21" s="16">
        <v>660.93</v>
      </c>
      <c r="HM21" s="16">
        <f t="shared" si="100"/>
        <v>0</v>
      </c>
      <c r="HN21" s="16">
        <v>174.79</v>
      </c>
      <c r="HO21" s="16">
        <v>87.787000000000006</v>
      </c>
      <c r="HP21" s="16">
        <f t="shared" si="120"/>
        <v>29186.666670000006</v>
      </c>
      <c r="HQ21" s="16">
        <v>249.22</v>
      </c>
      <c r="HR21" s="16">
        <v>136.66999999999999</v>
      </c>
      <c r="HS21" s="16">
        <f t="shared" si="101"/>
        <v>20576.666669999991</v>
      </c>
      <c r="HT21" s="16">
        <v>154.93</v>
      </c>
      <c r="HU21" s="16">
        <v>74.933000000000007</v>
      </c>
      <c r="HV21" s="16">
        <f t="shared" si="102"/>
        <v>19346.666670000002</v>
      </c>
      <c r="HW21" s="16"/>
      <c r="HX21" s="16"/>
      <c r="HY21" s="128">
        <f t="shared" si="121"/>
        <v>16300</v>
      </c>
      <c r="HZ21" s="211">
        <f t="shared" si="76"/>
        <v>-1.0000028851209208E-5</v>
      </c>
      <c r="IA21" s="16">
        <v>141100</v>
      </c>
      <c r="IB21" s="16"/>
      <c r="IC21" s="16">
        <f>IF((IA21-IA19)&lt;=0,0,(IA21-IA19))</f>
        <v>23345.100000000006</v>
      </c>
      <c r="ID21" s="16">
        <v>73.064999999999998</v>
      </c>
      <c r="IE21" s="16">
        <v>35.273000000000003</v>
      </c>
      <c r="IF21" s="16">
        <f t="shared" si="104"/>
        <v>7536.0000000000018</v>
      </c>
      <c r="IG21" s="16">
        <v>876.3</v>
      </c>
      <c r="IH21" s="16">
        <v>607.20000000000005</v>
      </c>
      <c r="II21" s="16">
        <f t="shared" si="105"/>
        <v>0</v>
      </c>
      <c r="IJ21" s="16">
        <v>352.3</v>
      </c>
      <c r="IK21" s="16">
        <v>162.69999999999999</v>
      </c>
      <c r="IL21" s="16">
        <f t="shared" si="106"/>
        <v>0</v>
      </c>
      <c r="IM21" s="16">
        <v>241.7</v>
      </c>
      <c r="IN21" s="16">
        <v>807.9</v>
      </c>
      <c r="IO21" s="16">
        <f t="shared" si="107"/>
        <v>200.2</v>
      </c>
      <c r="IP21" s="16">
        <v>154235.4</v>
      </c>
      <c r="IQ21" s="16">
        <v>19158</v>
      </c>
      <c r="IR21" s="16">
        <f t="shared" si="108"/>
        <v>13223.799999999988</v>
      </c>
      <c r="IS21" s="16">
        <v>760.4</v>
      </c>
      <c r="IT21" s="16">
        <v>376.2</v>
      </c>
      <c r="IU21" s="16">
        <f t="shared" si="109"/>
        <v>673.69999999999993</v>
      </c>
      <c r="IV21" s="16">
        <v>72291.199999999997</v>
      </c>
      <c r="IW21" s="16">
        <v>12928.1</v>
      </c>
      <c r="IX21" s="16">
        <f t="shared" si="110"/>
        <v>6006.5</v>
      </c>
      <c r="IY21" s="16">
        <v>6639</v>
      </c>
      <c r="IZ21" s="16">
        <v>572.64</v>
      </c>
      <c r="JA21" s="16">
        <f t="shared" si="111"/>
        <v>256.5600000000004</v>
      </c>
      <c r="JB21" s="16">
        <v>6200.9</v>
      </c>
      <c r="JC21" s="16">
        <v>627.85</v>
      </c>
      <c r="JD21" s="16">
        <f t="shared" si="112"/>
        <v>266.39999999999964</v>
      </c>
      <c r="JE21" s="16">
        <v>643.20000000000005</v>
      </c>
      <c r="JF21" s="16">
        <v>885.2</v>
      </c>
      <c r="JG21" s="16">
        <f t="shared" si="113"/>
        <v>643.20000000000005</v>
      </c>
      <c r="JH21" s="16">
        <v>85270.6</v>
      </c>
      <c r="JI21" s="16">
        <v>8634.4</v>
      </c>
      <c r="JJ21" s="16">
        <f t="shared" si="122"/>
        <v>85270.6</v>
      </c>
      <c r="JK21" s="16"/>
      <c r="JL21" s="16"/>
      <c r="JM21" s="16">
        <f t="shared" si="114"/>
        <v>0</v>
      </c>
      <c r="JN21" s="16">
        <v>45493.4</v>
      </c>
      <c r="JO21" s="16">
        <v>7515.3</v>
      </c>
      <c r="JP21" s="16">
        <f t="shared" si="115"/>
        <v>45493.4</v>
      </c>
      <c r="JQ21" s="16">
        <v>181.2</v>
      </c>
      <c r="JR21" s="16">
        <v>29.8</v>
      </c>
      <c r="JS21" s="16">
        <f t="shared" si="116"/>
        <v>181.2</v>
      </c>
      <c r="JT21" s="16">
        <v>2683.45</v>
      </c>
      <c r="JU21" s="16">
        <v>191.4</v>
      </c>
      <c r="JV21" s="16">
        <f t="shared" si="117"/>
        <v>2683.45</v>
      </c>
      <c r="JX21" s="151">
        <f t="shared" si="118"/>
        <v>-1.0000028851209208E-5</v>
      </c>
    </row>
    <row r="22" spans="1:284" x14ac:dyDescent="0.25">
      <c r="A22" s="35">
        <f t="shared" si="1"/>
        <v>16</v>
      </c>
      <c r="B22" s="38">
        <v>3476.76</v>
      </c>
      <c r="C22" s="38">
        <f t="shared" si="2"/>
        <v>9.6300000000001091</v>
      </c>
      <c r="D22" s="38">
        <f t="shared" si="3"/>
        <v>308160.00000000349</v>
      </c>
      <c r="E22" s="38">
        <v>699.92</v>
      </c>
      <c r="F22" s="38">
        <f t="shared" si="95"/>
        <v>59520.000000000437</v>
      </c>
      <c r="G22" s="38">
        <f t="shared" si="5"/>
        <v>367680.00000000396</v>
      </c>
      <c r="H22" s="37"/>
      <c r="I22" s="39"/>
      <c r="J22" s="42"/>
      <c r="K22" s="37">
        <f>IF(J22&lt;=0,0,(J22/SQRT(J22^2+(I22-I21)^2)))</f>
        <v>0</v>
      </c>
      <c r="L22" s="40">
        <v>10029600</v>
      </c>
      <c r="M22" s="40"/>
      <c r="N22" s="37">
        <f t="shared" si="78"/>
        <v>368000</v>
      </c>
      <c r="O22" s="37">
        <v>9633.2999999999993</v>
      </c>
      <c r="P22" s="37"/>
      <c r="Q22" s="37">
        <f>IF((O22-O21)&lt;=0,0,(O22-O21))*1000</f>
        <v>19500</v>
      </c>
      <c r="R22" s="37">
        <f>IF(Q22&lt;=0,0,(Q22/SQRT(Q22^2+(P22-P21)^2)))</f>
        <v>1</v>
      </c>
      <c r="S22" s="37">
        <v>10976147.17</v>
      </c>
      <c r="T22" s="37">
        <f t="shared" si="7"/>
        <v>11354.060000000522</v>
      </c>
      <c r="U22" s="37">
        <v>1518125.52</v>
      </c>
      <c r="V22" s="37">
        <f t="shared" si="8"/>
        <v>0</v>
      </c>
      <c r="W22" s="37">
        <v>3333</v>
      </c>
      <c r="X22" s="37">
        <f t="shared" si="93"/>
        <v>8145.9399999994785</v>
      </c>
      <c r="Y22" s="183"/>
      <c r="Z22" s="183">
        <f t="shared" si="9"/>
        <v>0</v>
      </c>
      <c r="AA22" s="37">
        <v>504700</v>
      </c>
      <c r="AB22" s="37">
        <f t="shared" si="10"/>
        <v>0</v>
      </c>
      <c r="AC22" s="37">
        <v>3528.9</v>
      </c>
      <c r="AD22" s="37"/>
      <c r="AE22" s="37">
        <f>IF((AC22-AC21)&lt;=0,0,(AC22-AC21))*1000</f>
        <v>5700.0000000002728</v>
      </c>
      <c r="AF22" s="37">
        <f>IF(AE22&lt;=0,0,(AE22/SQRT(AE22^2+(AD22-AD21)^2)))</f>
        <v>1</v>
      </c>
      <c r="AG22" s="37">
        <v>7692</v>
      </c>
      <c r="AH22" s="37"/>
      <c r="AI22" s="37">
        <f t="shared" si="12"/>
        <v>14346.339999999818</v>
      </c>
      <c r="AJ22" s="37">
        <f t="shared" si="13"/>
        <v>1</v>
      </c>
      <c r="AK22" s="37">
        <f t="shared" si="14"/>
        <v>39546.340000000091</v>
      </c>
      <c r="AL22" s="42">
        <v>9760.7000000000007</v>
      </c>
      <c r="AM22" s="42"/>
      <c r="AN22" s="37">
        <f t="shared" si="55"/>
        <v>9486.3400000011206</v>
      </c>
      <c r="AO22" s="37">
        <f t="shared" si="81"/>
        <v>1</v>
      </c>
      <c r="AP22" s="37">
        <v>7407.8</v>
      </c>
      <c r="AQ22" s="37"/>
      <c r="AR22" s="37">
        <f t="shared" si="15"/>
        <v>13600.000000000364</v>
      </c>
      <c r="AS22" s="37">
        <f t="shared" si="82"/>
        <v>1</v>
      </c>
      <c r="AT22" s="183"/>
      <c r="AU22" s="183">
        <f t="shared" si="16"/>
        <v>0</v>
      </c>
      <c r="AV22" s="183"/>
      <c r="AW22" s="183">
        <f t="shared" si="17"/>
        <v>0</v>
      </c>
      <c r="AX22" s="37">
        <v>448230</v>
      </c>
      <c r="AY22" s="37"/>
      <c r="AZ22" s="37">
        <f t="shared" si="18"/>
        <v>470</v>
      </c>
      <c r="BA22" s="37">
        <v>94290</v>
      </c>
      <c r="BB22" s="37"/>
      <c r="BC22" s="37">
        <f t="shared" si="19"/>
        <v>740</v>
      </c>
      <c r="BD22" s="37">
        <f t="shared" si="83"/>
        <v>24296.340000001484</v>
      </c>
      <c r="BE22" s="43">
        <v>1670.1</v>
      </c>
      <c r="BF22" s="43">
        <v>909.27</v>
      </c>
      <c r="BG22" s="37">
        <f t="shared" si="20"/>
        <v>2199.9999999998181</v>
      </c>
      <c r="BH22" s="44">
        <v>8007.7</v>
      </c>
      <c r="BI22" s="44">
        <v>5152.2</v>
      </c>
      <c r="BJ22" s="37">
        <f t="shared" si="21"/>
        <v>9099.9999999994543</v>
      </c>
      <c r="BK22" s="40">
        <v>1188190</v>
      </c>
      <c r="BL22" s="40">
        <f t="shared" si="84"/>
        <v>4180</v>
      </c>
      <c r="BM22" s="40">
        <v>806.92</v>
      </c>
      <c r="BN22" s="37">
        <f t="shared" si="22"/>
        <v>679.99999999994998</v>
      </c>
      <c r="BO22" s="186"/>
      <c r="BP22" s="183">
        <f t="shared" si="23"/>
        <v>0</v>
      </c>
      <c r="BQ22" s="40">
        <v>764.6</v>
      </c>
      <c r="BR22" s="37">
        <f t="shared" si="56"/>
        <v>600.00000000002274</v>
      </c>
      <c r="BS22" s="37">
        <v>77968.56</v>
      </c>
      <c r="BT22" s="37">
        <f t="shared" si="24"/>
        <v>213.11999999999534</v>
      </c>
      <c r="BU22" s="42">
        <v>1997953</v>
      </c>
      <c r="BV22" s="42"/>
      <c r="BW22" s="37">
        <f t="shared" si="25"/>
        <v>6000</v>
      </c>
      <c r="BX22" s="37">
        <f t="shared" si="85"/>
        <v>1</v>
      </c>
      <c r="BY22" s="43">
        <v>280.52859999999998</v>
      </c>
      <c r="BZ22" s="43"/>
      <c r="CA22" s="37">
        <f t="shared" si="123"/>
        <v>828.89999999997599</v>
      </c>
      <c r="CB22" s="37">
        <f t="shared" si="57"/>
        <v>1</v>
      </c>
      <c r="CC22" s="37">
        <v>474362.9</v>
      </c>
      <c r="CD22" s="37">
        <f t="shared" si="27"/>
        <v>1777.9000000000233</v>
      </c>
      <c r="CE22" s="41">
        <v>697329.9</v>
      </c>
      <c r="CF22" s="37">
        <f t="shared" si="58"/>
        <v>0</v>
      </c>
      <c r="CG22" s="37">
        <v>58799</v>
      </c>
      <c r="CH22" s="37">
        <f t="shared" si="59"/>
        <v>0</v>
      </c>
      <c r="CI22" s="40">
        <v>11012.3</v>
      </c>
      <c r="CJ22" s="40"/>
      <c r="CK22" s="37">
        <f t="shared" si="60"/>
        <v>17867.439999999297</v>
      </c>
      <c r="CL22" s="37">
        <f t="shared" si="28"/>
        <v>1</v>
      </c>
      <c r="CM22" s="37">
        <v>2867.4369999999999</v>
      </c>
      <c r="CN22" s="37"/>
      <c r="CO22" s="37">
        <f t="shared" si="29"/>
        <v>8199.3399999998837</v>
      </c>
      <c r="CP22" s="37">
        <f t="shared" si="86"/>
        <v>1</v>
      </c>
      <c r="CQ22" s="39">
        <v>2783.6320000000001</v>
      </c>
      <c r="CR22" s="39"/>
      <c r="CS22" s="37">
        <f t="shared" si="30"/>
        <v>7875.3400000002694</v>
      </c>
      <c r="CT22" s="37">
        <f>IF(CS22&lt;=0,0,(CS22/SQRT(CS22^2+(CR22-CR21)^2)))</f>
        <v>1</v>
      </c>
      <c r="CU22" s="37">
        <v>2290227</v>
      </c>
      <c r="CV22" s="37"/>
      <c r="CW22" s="38">
        <f t="shared" si="31"/>
        <v>772</v>
      </c>
      <c r="CX22" s="37">
        <f t="shared" si="88"/>
        <v>1</v>
      </c>
      <c r="CY22" s="37">
        <v>1210482</v>
      </c>
      <c r="CZ22" s="37"/>
      <c r="DA22" s="37">
        <f t="shared" si="32"/>
        <v>687</v>
      </c>
      <c r="DB22" s="37">
        <f t="shared" si="89"/>
        <v>1</v>
      </c>
      <c r="DC22" s="37"/>
      <c r="DD22" s="40"/>
      <c r="DE22" s="37">
        <f t="shared" si="33"/>
        <v>0</v>
      </c>
      <c r="DF22" s="37">
        <f t="shared" si="94"/>
        <v>0</v>
      </c>
      <c r="DG22" s="37">
        <f t="shared" si="34"/>
        <v>-41401.11999999945</v>
      </c>
      <c r="DH22" s="37">
        <f t="shared" si="35"/>
        <v>409746.33999999991</v>
      </c>
      <c r="DI22" s="46"/>
      <c r="DJ22" s="46"/>
      <c r="DK22" s="47"/>
      <c r="DL22" s="47"/>
      <c r="DM22" s="37"/>
      <c r="DN22" s="37"/>
      <c r="DO22" s="37"/>
      <c r="DP22" s="37"/>
      <c r="DQ22" s="50">
        <v>2690400</v>
      </c>
      <c r="DR22" s="49">
        <f t="shared" si="61"/>
        <v>7200</v>
      </c>
      <c r="DS22" s="50">
        <v>2050200</v>
      </c>
      <c r="DT22" s="49">
        <f>IF((DS22-DS21)&lt;=0,0,(DS22-DS21))</f>
        <v>16700</v>
      </c>
      <c r="DU22" s="52">
        <v>7572.6</v>
      </c>
      <c r="DV22" s="52">
        <v>4229.3999999999996</v>
      </c>
      <c r="DW22" s="37">
        <f t="shared" si="90"/>
        <v>4700.0000000007276</v>
      </c>
      <c r="DX22" s="52">
        <v>12536</v>
      </c>
      <c r="DY22" s="52">
        <v>8259</v>
      </c>
      <c r="DZ22" s="37">
        <f t="shared" si="36"/>
        <v>9146.34</v>
      </c>
      <c r="EA22" s="49">
        <v>27992</v>
      </c>
      <c r="EB22" s="69">
        <v>19.867000000000001</v>
      </c>
      <c r="EC22" s="37">
        <f t="shared" si="37"/>
        <v>26306.34</v>
      </c>
      <c r="ED22" s="53">
        <f t="shared" si="38"/>
        <v>40152.680000000728</v>
      </c>
      <c r="EE22" s="49">
        <v>43191</v>
      </c>
      <c r="EF22" s="49">
        <v>27.457999999999998</v>
      </c>
      <c r="EG22" s="37">
        <f t="shared" si="39"/>
        <v>35306.339999999997</v>
      </c>
      <c r="EH22" s="52">
        <v>12131</v>
      </c>
      <c r="EI22" s="52">
        <v>1.6193</v>
      </c>
      <c r="EJ22" s="37">
        <f t="shared" si="40"/>
        <v>14146.34</v>
      </c>
      <c r="EK22" s="37">
        <v>733.48</v>
      </c>
      <c r="EL22" s="40">
        <v>1053.5</v>
      </c>
      <c r="EM22" s="37">
        <f t="shared" si="63"/>
        <v>680.00000000006366</v>
      </c>
      <c r="EN22" s="54">
        <f t="shared" si="64"/>
        <v>50132.680000000058</v>
      </c>
      <c r="EO22" s="48">
        <v>12200</v>
      </c>
      <c r="EP22" s="48">
        <v>4249.6000000000004</v>
      </c>
      <c r="EQ22" s="37">
        <f t="shared" si="41"/>
        <v>10146.34</v>
      </c>
      <c r="ER22" s="48">
        <v>7930.9</v>
      </c>
      <c r="ES22" s="48">
        <v>3223.2</v>
      </c>
      <c r="ET22" s="49">
        <f t="shared" si="98"/>
        <v>18599.999999999454</v>
      </c>
      <c r="EU22" s="48">
        <v>2839.8</v>
      </c>
      <c r="EV22" s="48">
        <v>1015.9</v>
      </c>
      <c r="EW22" s="49">
        <f t="shared" si="43"/>
        <v>8946.340000000182</v>
      </c>
      <c r="EX22" s="48">
        <v>12394</v>
      </c>
      <c r="EY22" s="48">
        <v>1.325</v>
      </c>
      <c r="EZ22" s="37">
        <f t="shared" si="44"/>
        <v>12146.34</v>
      </c>
      <c r="FA22" s="48">
        <f t="shared" si="65"/>
        <v>-26121.019999999637</v>
      </c>
      <c r="FB22" s="48">
        <v>34414572</v>
      </c>
      <c r="FC22" s="49">
        <f t="shared" si="91"/>
        <v>23718</v>
      </c>
      <c r="FD22" s="48">
        <f t="shared" si="66"/>
        <v>51539.019999999458</v>
      </c>
      <c r="FE22" s="48">
        <v>16245</v>
      </c>
      <c r="FF22" s="48">
        <v>5825.8</v>
      </c>
      <c r="FG22" s="37">
        <f t="shared" si="67"/>
        <v>9579.67</v>
      </c>
      <c r="FH22" s="48">
        <v>7374.7</v>
      </c>
      <c r="FI22" s="48">
        <v>2.8393999999999999</v>
      </c>
      <c r="FJ22" s="49">
        <f t="shared" si="45"/>
        <v>20279.66999999982</v>
      </c>
      <c r="FK22" s="48"/>
      <c r="FL22" s="58">
        <v>433.33</v>
      </c>
      <c r="FM22" s="48">
        <f t="shared" si="92"/>
        <v>-1146.3366666666061</v>
      </c>
      <c r="FN22" s="48">
        <v>15545</v>
      </c>
      <c r="FO22" s="48">
        <v>0.71750000000000003</v>
      </c>
      <c r="FP22" s="37">
        <f t="shared" si="68"/>
        <v>11579.67</v>
      </c>
      <c r="FQ22" s="48">
        <v>55500</v>
      </c>
      <c r="FR22" s="48">
        <v>13.287000000000001</v>
      </c>
      <c r="FS22" s="37">
        <f t="shared" si="46"/>
        <v>38000</v>
      </c>
      <c r="FT22" s="48">
        <f t="shared" si="119"/>
        <v>-3439.0099999998183</v>
      </c>
      <c r="FU22" s="48">
        <f t="shared" si="70"/>
        <v>41439.00999999982</v>
      </c>
      <c r="FV22" s="44">
        <v>2659500</v>
      </c>
      <c r="FW22" s="44">
        <v>859180</v>
      </c>
      <c r="FX22" s="37">
        <f t="shared" si="47"/>
        <v>37300</v>
      </c>
      <c r="FY22" s="56">
        <v>2868.9</v>
      </c>
      <c r="FZ22" s="56">
        <v>1.6692</v>
      </c>
      <c r="GA22" s="37">
        <f t="shared" si="48"/>
        <v>8460</v>
      </c>
      <c r="GB22" s="56">
        <v>748.72</v>
      </c>
      <c r="GC22" s="56">
        <v>832.49</v>
      </c>
      <c r="GD22" s="37">
        <f t="shared" si="49"/>
        <v>1009.9999999999909</v>
      </c>
      <c r="GE22" s="56">
        <v>9301</v>
      </c>
      <c r="GF22" s="56">
        <v>2.83</v>
      </c>
      <c r="GG22" s="37">
        <f t="shared" si="50"/>
        <v>8400.0000000005457</v>
      </c>
      <c r="GH22" s="153">
        <v>1802.6</v>
      </c>
      <c r="GI22" s="162">
        <v>1525.1</v>
      </c>
      <c r="GJ22" s="38">
        <f t="shared" si="51"/>
        <v>1699.9999999998181</v>
      </c>
      <c r="GK22" s="162">
        <v>1415.7</v>
      </c>
      <c r="GL22" s="163">
        <v>1096.5</v>
      </c>
      <c r="GM22" s="38">
        <f t="shared" si="52"/>
        <v>0</v>
      </c>
      <c r="GN22" s="57">
        <v>158940</v>
      </c>
      <c r="GO22" s="57">
        <v>138700</v>
      </c>
      <c r="GP22" s="38">
        <f t="shared" si="96"/>
        <v>0</v>
      </c>
      <c r="GQ22" s="38">
        <v>209250</v>
      </c>
      <c r="GR22" s="38">
        <v>209770</v>
      </c>
      <c r="GS22" s="38">
        <f t="shared" si="71"/>
        <v>1040</v>
      </c>
      <c r="GT22" s="178"/>
      <c r="GU22" s="144">
        <f>DailyFeb!B21-DailyFeb!N21-DailyFeb!V21-DailyFeb!Y21-DailyFeb!Z21-DailyFeb!AA21-DailyFeb!AB21-DailyFeb!AC21-DailyFeb!AD21-DailyFeb!AE21-DailyFeb!AK21-DailyFeb!AO21-DailyFeb!AS21-DailyFeb!AY21-DailyFeb!BD21+DailyFeb!BS21-SUM(DailyFeb!BM21:BQ21)-DailyFeb!BR21-DailyFeb!AF21-DailyFeb!AG21</f>
        <v>1.0000003065215424E-2</v>
      </c>
      <c r="GV22" s="59">
        <v>17195.110000003056</v>
      </c>
      <c r="GW22" s="60">
        <f t="shared" si="53"/>
        <v>1146.3406666668704</v>
      </c>
      <c r="GX22" s="61">
        <v>1146.3399999999999</v>
      </c>
      <c r="GY22" s="140"/>
      <c r="GZ22" s="62"/>
      <c r="HA22" s="62"/>
      <c r="HB22" s="74"/>
      <c r="HC22" s="62">
        <f t="shared" si="99"/>
        <v>96180.000000000058</v>
      </c>
      <c r="HD22" s="74"/>
      <c r="HE22" s="24">
        <f t="shared" si="54"/>
        <v>96180.000000000058</v>
      </c>
      <c r="HF22" s="151"/>
      <c r="HG22" s="213">
        <v>16</v>
      </c>
      <c r="HH22" s="16">
        <v>938.74</v>
      </c>
      <c r="HI22" s="16">
        <v>430.26</v>
      </c>
      <c r="HJ22" s="16">
        <f t="shared" si="124"/>
        <v>96180.000000000058</v>
      </c>
      <c r="HK22" s="16">
        <v>1.9189000000000001</v>
      </c>
      <c r="HL22" s="16">
        <v>660.93</v>
      </c>
      <c r="HM22" s="16">
        <f t="shared" si="100"/>
        <v>0</v>
      </c>
      <c r="HN22" s="16">
        <v>193.57</v>
      </c>
      <c r="HO22" s="16">
        <v>94.667000000000002</v>
      </c>
      <c r="HP22" s="16">
        <f t="shared" si="120"/>
        <v>37600</v>
      </c>
      <c r="HQ22" s="16">
        <v>270.68</v>
      </c>
      <c r="HR22" s="16">
        <v>145.9</v>
      </c>
      <c r="HS22" s="16">
        <f t="shared" si="101"/>
        <v>21500.000000000007</v>
      </c>
      <c r="HT22" s="16">
        <v>175.27</v>
      </c>
      <c r="HU22" s="16">
        <v>82.855999999999995</v>
      </c>
      <c r="HV22" s="16">
        <f t="shared" si="102"/>
        <v>20380.000000000004</v>
      </c>
      <c r="HW22" s="16"/>
      <c r="HX22" s="16"/>
      <c r="HY22" s="128">
        <f t="shared" si="121"/>
        <v>16700</v>
      </c>
      <c r="HZ22" s="211">
        <f t="shared" si="76"/>
        <v>4.7293724492192268E-11</v>
      </c>
      <c r="IA22" s="16">
        <v>142437.29999999999</v>
      </c>
      <c r="IB22" s="16">
        <v>57224.4</v>
      </c>
      <c r="IC22" s="16">
        <f t="shared" si="103"/>
        <v>1337.2999999999884</v>
      </c>
      <c r="ID22" s="16">
        <v>83.263000000000005</v>
      </c>
      <c r="IE22" s="16">
        <v>39.606000000000002</v>
      </c>
      <c r="IF22" s="16">
        <f t="shared" si="104"/>
        <v>10198.000000000007</v>
      </c>
      <c r="IG22" s="16">
        <v>21730.7</v>
      </c>
      <c r="IH22" s="16">
        <v>30181.4</v>
      </c>
      <c r="II22" s="16">
        <f t="shared" si="105"/>
        <v>20854.400000000001</v>
      </c>
      <c r="IJ22" s="16">
        <v>20221.5</v>
      </c>
      <c r="IK22" s="16">
        <v>10629.5</v>
      </c>
      <c r="IL22" s="16">
        <f t="shared" si="106"/>
        <v>19869.2</v>
      </c>
      <c r="IM22" s="16">
        <v>203726</v>
      </c>
      <c r="IN22" s="16">
        <v>88325.8</v>
      </c>
      <c r="IO22" s="16">
        <f>IF((IM22-IM19)&lt;=0,0,(IM22-IM19))</f>
        <v>63655.399999999994</v>
      </c>
      <c r="IP22" s="16">
        <v>167578.6</v>
      </c>
      <c r="IQ22" s="16">
        <v>20900.400000000001</v>
      </c>
      <c r="IR22" s="16">
        <f t="shared" si="108"/>
        <v>13343.200000000012</v>
      </c>
      <c r="IS22" s="16">
        <v>4409.7</v>
      </c>
      <c r="IT22" s="16">
        <v>2799.9</v>
      </c>
      <c r="IU22" s="16">
        <f t="shared" si="109"/>
        <v>3649.2999999999997</v>
      </c>
      <c r="IV22" s="16">
        <v>78488.399999999994</v>
      </c>
      <c r="IW22" s="16">
        <v>14100</v>
      </c>
      <c r="IX22" s="16">
        <f t="shared" si="110"/>
        <v>6197.1999999999971</v>
      </c>
      <c r="IY22" s="16">
        <v>6960.16</v>
      </c>
      <c r="IZ22" s="16">
        <v>607.36</v>
      </c>
      <c r="JA22" s="16">
        <f t="shared" si="111"/>
        <v>321.15999999999985</v>
      </c>
      <c r="JB22" s="16">
        <v>6575.8</v>
      </c>
      <c r="JC22" s="16">
        <v>675.15</v>
      </c>
      <c r="JD22" s="16">
        <f t="shared" si="112"/>
        <v>374.90000000000055</v>
      </c>
      <c r="JE22" s="16">
        <v>90336.6</v>
      </c>
      <c r="JF22" s="16">
        <v>3669.7</v>
      </c>
      <c r="JG22" s="16">
        <f t="shared" si="113"/>
        <v>89693.400000000009</v>
      </c>
      <c r="JH22" s="16">
        <v>96754.4</v>
      </c>
      <c r="JI22" s="16">
        <v>9760.4</v>
      </c>
      <c r="JJ22" s="16">
        <f t="shared" si="122"/>
        <v>11483.799999999988</v>
      </c>
      <c r="JK22" s="16"/>
      <c r="JL22" s="16"/>
      <c r="JM22" s="16">
        <f t="shared" si="114"/>
        <v>0</v>
      </c>
      <c r="JN22" s="16">
        <v>51978.6</v>
      </c>
      <c r="JO22" s="16">
        <v>8671.7999999999993</v>
      </c>
      <c r="JP22" s="16">
        <f t="shared" si="115"/>
        <v>6485.1999999999971</v>
      </c>
      <c r="JQ22" s="16">
        <v>199.16</v>
      </c>
      <c r="JR22" s="16">
        <v>30.16</v>
      </c>
      <c r="JS22" s="16">
        <f t="shared" si="116"/>
        <v>17.960000000000008</v>
      </c>
      <c r="JT22" s="16">
        <v>2974.45</v>
      </c>
      <c r="JU22" s="16">
        <v>218.1</v>
      </c>
      <c r="JV22" s="16">
        <f t="shared" si="117"/>
        <v>291</v>
      </c>
      <c r="JX22" s="151">
        <f t="shared" si="118"/>
        <v>4.7293724492192268E-11</v>
      </c>
    </row>
    <row r="23" spans="1:284" x14ac:dyDescent="0.25">
      <c r="A23" s="35">
        <f t="shared" si="1"/>
        <v>17</v>
      </c>
      <c r="B23" s="38">
        <v>3485.63</v>
      </c>
      <c r="C23" s="38">
        <f t="shared" si="2"/>
        <v>8.8699999999998909</v>
      </c>
      <c r="D23" s="38">
        <f t="shared" si="3"/>
        <v>283839.99999999651</v>
      </c>
      <c r="E23" s="38">
        <v>701.81</v>
      </c>
      <c r="F23" s="38">
        <f t="shared" si="95"/>
        <v>60479.999999999563</v>
      </c>
      <c r="G23" s="38">
        <f t="shared" si="5"/>
        <v>344319.99999999604</v>
      </c>
      <c r="H23" s="37"/>
      <c r="I23" s="39"/>
      <c r="J23" s="42"/>
      <c r="K23" s="37">
        <f t="shared" ref="K23:K24" si="125">IF(J23&lt;=0,0,(J23/SQRT(J23^2+(I23-I22)^2)))</f>
        <v>0</v>
      </c>
      <c r="L23" s="40">
        <v>10063500</v>
      </c>
      <c r="M23" s="40"/>
      <c r="N23" s="37">
        <f t="shared" si="78"/>
        <v>339000</v>
      </c>
      <c r="O23" s="37">
        <v>9651.7999999999993</v>
      </c>
      <c r="P23" s="37"/>
      <c r="Q23" s="37">
        <f t="shared" ref="Q23:Q38" si="126">IF((O23-O22)&lt;=0,0,(O23-O22))*1000</f>
        <v>18500</v>
      </c>
      <c r="R23" s="37">
        <f t="shared" ref="R23:R24" si="127">IF(Q23&lt;=0,0,(Q23/SQRT(Q23^2+(P23-P22)^2)))</f>
        <v>1</v>
      </c>
      <c r="S23" s="37">
        <v>10986127.75</v>
      </c>
      <c r="T23" s="37">
        <f t="shared" si="7"/>
        <v>9980.5800000000745</v>
      </c>
      <c r="U23" s="37">
        <v>1518125.52</v>
      </c>
      <c r="V23" s="37">
        <f t="shared" si="8"/>
        <v>0</v>
      </c>
      <c r="W23" s="37">
        <v>3339.9</v>
      </c>
      <c r="X23" s="37">
        <f t="shared" si="93"/>
        <v>8519.4199999999255</v>
      </c>
      <c r="Y23" s="183"/>
      <c r="Z23" s="183">
        <f t="shared" si="9"/>
        <v>0</v>
      </c>
      <c r="AA23" s="37">
        <v>504700</v>
      </c>
      <c r="AB23" s="37">
        <f t="shared" si="10"/>
        <v>0</v>
      </c>
      <c r="AC23" s="37">
        <v>3534.1</v>
      </c>
      <c r="AD23" s="37"/>
      <c r="AE23" s="37">
        <f t="shared" ref="AE23:AE38" si="128">IF((AC23-AC22)&lt;=0,0,(AC23-AC22))*1000</f>
        <v>5199.9999999998181</v>
      </c>
      <c r="AF23" s="37">
        <f t="shared" ref="AF23:AF24" si="129">IF(AE23&lt;=0,0,(AE23/SQRT(AE23^2+(AD23-AD22)^2)))</f>
        <v>1</v>
      </c>
      <c r="AG23" s="37">
        <v>7704.4</v>
      </c>
      <c r="AH23" s="70"/>
      <c r="AI23" s="37">
        <f t="shared" si="12"/>
        <v>12177.319999999636</v>
      </c>
      <c r="AJ23" s="37">
        <f t="shared" si="13"/>
        <v>1</v>
      </c>
      <c r="AK23" s="37">
        <f t="shared" si="14"/>
        <v>35877.319999999454</v>
      </c>
      <c r="AL23" s="42">
        <v>9773.2999999999993</v>
      </c>
      <c r="AM23" s="42"/>
      <c r="AN23" s="37">
        <f t="shared" si="55"/>
        <v>7507.3199999986036</v>
      </c>
      <c r="AO23" s="37">
        <f t="shared" si="81"/>
        <v>1</v>
      </c>
      <c r="AP23" s="37">
        <v>7420.6</v>
      </c>
      <c r="AQ23" s="37"/>
      <c r="AR23" s="37">
        <f t="shared" si="15"/>
        <v>12800.000000000182</v>
      </c>
      <c r="AS23" s="37">
        <f t="shared" si="82"/>
        <v>1</v>
      </c>
      <c r="AT23" s="183"/>
      <c r="AU23" s="183">
        <f t="shared" si="16"/>
        <v>0</v>
      </c>
      <c r="AV23" s="183"/>
      <c r="AW23" s="183">
        <f t="shared" si="17"/>
        <v>0</v>
      </c>
      <c r="AX23" s="37">
        <v>448680</v>
      </c>
      <c r="AY23" s="37"/>
      <c r="AZ23" s="37">
        <f t="shared" si="18"/>
        <v>450</v>
      </c>
      <c r="BA23" s="37">
        <v>94970</v>
      </c>
      <c r="BB23" s="37"/>
      <c r="BC23" s="37">
        <f t="shared" si="19"/>
        <v>680</v>
      </c>
      <c r="BD23" s="37">
        <f t="shared" si="83"/>
        <v>21437.319999998785</v>
      </c>
      <c r="BE23" s="43">
        <v>1672.6</v>
      </c>
      <c r="BF23" s="43">
        <v>910.7</v>
      </c>
      <c r="BG23" s="37">
        <f t="shared" si="20"/>
        <v>2500</v>
      </c>
      <c r="BH23" s="44">
        <v>8016.2</v>
      </c>
      <c r="BI23" s="44">
        <v>5157.7</v>
      </c>
      <c r="BJ23" s="37">
        <f t="shared" si="21"/>
        <v>8500</v>
      </c>
      <c r="BK23" s="40">
        <v>1192120</v>
      </c>
      <c r="BL23" s="40">
        <f t="shared" si="84"/>
        <v>3930</v>
      </c>
      <c r="BM23" s="40">
        <v>807.56</v>
      </c>
      <c r="BN23" s="37">
        <f t="shared" si="22"/>
        <v>639.99999999998636</v>
      </c>
      <c r="BO23" s="186"/>
      <c r="BP23" s="183">
        <f t="shared" si="23"/>
        <v>0</v>
      </c>
      <c r="BQ23" s="40">
        <v>764.9</v>
      </c>
      <c r="BR23" s="37">
        <f t="shared" si="56"/>
        <v>299.99999999995453</v>
      </c>
      <c r="BS23" s="37">
        <v>78173.05</v>
      </c>
      <c r="BT23" s="37">
        <f t="shared" si="24"/>
        <v>204.49000000000524</v>
      </c>
      <c r="BU23" s="42">
        <v>2003387</v>
      </c>
      <c r="BV23" s="42"/>
      <c r="BW23" s="37">
        <f t="shared" si="25"/>
        <v>5434</v>
      </c>
      <c r="BX23" s="37">
        <f t="shared" si="85"/>
        <v>1</v>
      </c>
      <c r="BY23" s="43">
        <v>281.32100000000003</v>
      </c>
      <c r="BZ23" s="43"/>
      <c r="CA23" s="37">
        <f t="shared" si="123"/>
        <v>792.40000000004329</v>
      </c>
      <c r="CB23" s="37">
        <f t="shared" si="57"/>
        <v>1</v>
      </c>
      <c r="CC23" s="37">
        <v>475971.8</v>
      </c>
      <c r="CD23" s="37">
        <f t="shared" si="27"/>
        <v>1608.8999999999651</v>
      </c>
      <c r="CE23" s="41">
        <v>697329.9</v>
      </c>
      <c r="CF23" s="37">
        <f t="shared" si="58"/>
        <v>0</v>
      </c>
      <c r="CG23" s="37">
        <v>58799</v>
      </c>
      <c r="CH23" s="37">
        <f t="shared" si="59"/>
        <v>0</v>
      </c>
      <c r="CI23" s="40">
        <v>11028.33</v>
      </c>
      <c r="CJ23" s="40"/>
      <c r="CK23" s="37">
        <f t="shared" si="60"/>
        <v>15014.920000000611</v>
      </c>
      <c r="CL23" s="37">
        <f t="shared" si="28"/>
        <v>1</v>
      </c>
      <c r="CM23" s="37">
        <v>2873.6759999999999</v>
      </c>
      <c r="CN23" s="37"/>
      <c r="CO23" s="37">
        <f t="shared" si="29"/>
        <v>6016.3200000000325</v>
      </c>
      <c r="CP23" s="37">
        <f t="shared" si="86"/>
        <v>1</v>
      </c>
      <c r="CQ23" s="39">
        <v>2789.3150000000001</v>
      </c>
      <c r="CR23" s="39"/>
      <c r="CS23" s="37">
        <f t="shared" si="30"/>
        <v>5460.3199999999924</v>
      </c>
      <c r="CT23" s="37">
        <f>IF(CS23&lt;=0,0,(CS23/SQRT(CS23^2+(CR23-CR22)^2)))</f>
        <v>1</v>
      </c>
      <c r="CU23" s="37">
        <v>2290975</v>
      </c>
      <c r="CV23" s="37"/>
      <c r="CW23" s="38">
        <f t="shared" si="31"/>
        <v>748</v>
      </c>
      <c r="CX23" s="37">
        <f t="shared" si="88"/>
        <v>1</v>
      </c>
      <c r="CY23" s="37">
        <v>1211045</v>
      </c>
      <c r="CZ23" s="37"/>
      <c r="DA23" s="37">
        <f t="shared" si="32"/>
        <v>563</v>
      </c>
      <c r="DB23" s="37">
        <f t="shared" si="89"/>
        <v>1</v>
      </c>
      <c r="DC23" s="37"/>
      <c r="DD23" s="40"/>
      <c r="DE23" s="37">
        <f t="shared" si="33"/>
        <v>0</v>
      </c>
      <c r="DF23" s="37">
        <f t="shared" si="94"/>
        <v>0</v>
      </c>
      <c r="DG23" s="37">
        <f t="shared" si="34"/>
        <v>-33236.560000000638</v>
      </c>
      <c r="DH23" s="37">
        <f t="shared" si="35"/>
        <v>377377.31999999948</v>
      </c>
      <c r="DI23" s="46"/>
      <c r="DJ23" s="46"/>
      <c r="DK23" s="47"/>
      <c r="DL23" s="47"/>
      <c r="DM23" s="37"/>
      <c r="DN23" s="37"/>
      <c r="DO23" s="37"/>
      <c r="DP23" s="37"/>
      <c r="DQ23" s="50">
        <v>2696100</v>
      </c>
      <c r="DR23" s="49">
        <f t="shared" si="61"/>
        <v>5700</v>
      </c>
      <c r="DS23" s="50">
        <v>2066300</v>
      </c>
      <c r="DT23" s="49">
        <f>IF((DS23-DS22)&lt;=0,0,(DS23-DS22))</f>
        <v>16100</v>
      </c>
      <c r="DU23" s="51">
        <v>7576.4</v>
      </c>
      <c r="DV23" s="51">
        <v>4231.8</v>
      </c>
      <c r="DW23" s="37">
        <f t="shared" si="90"/>
        <v>3799.9999999992724</v>
      </c>
      <c r="DX23" s="51">
        <v>12541</v>
      </c>
      <c r="DY23" s="51">
        <v>8260.9</v>
      </c>
      <c r="DZ23" s="37">
        <f t="shared" si="36"/>
        <v>4777.32</v>
      </c>
      <c r="EA23" s="49">
        <v>28010</v>
      </c>
      <c r="EB23" s="49">
        <v>19.876000000000001</v>
      </c>
      <c r="EC23" s="37">
        <f t="shared" si="37"/>
        <v>19937.32</v>
      </c>
      <c r="ED23" s="53">
        <f t="shared" si="38"/>
        <v>28514.639999999272</v>
      </c>
      <c r="EE23" s="49">
        <v>43222</v>
      </c>
      <c r="EF23" s="49">
        <v>27.486999999999998</v>
      </c>
      <c r="EG23" s="37">
        <f t="shared" si="39"/>
        <v>32937.32</v>
      </c>
      <c r="EH23" s="51">
        <v>12142</v>
      </c>
      <c r="EI23" s="51">
        <v>1.6221000000000001</v>
      </c>
      <c r="EJ23" s="37">
        <f t="shared" si="40"/>
        <v>10777.32</v>
      </c>
      <c r="EK23" s="37">
        <v>734.06</v>
      </c>
      <c r="EL23" s="40">
        <v>1054.2</v>
      </c>
      <c r="EM23" s="37">
        <f t="shared" si="63"/>
        <v>579.99999999992724</v>
      </c>
      <c r="EN23" s="54">
        <f t="shared" si="64"/>
        <v>44294.639999999927</v>
      </c>
      <c r="EO23" s="48">
        <v>12210</v>
      </c>
      <c r="EP23" s="48">
        <v>4249.6000000000004</v>
      </c>
      <c r="EQ23" s="37">
        <f t="shared" si="41"/>
        <v>9777.32</v>
      </c>
      <c r="ER23" s="48">
        <v>7950.4</v>
      </c>
      <c r="ES23" s="48">
        <v>3231.3</v>
      </c>
      <c r="ET23" s="49">
        <f t="shared" si="98"/>
        <v>19500</v>
      </c>
      <c r="EU23" s="48">
        <v>2847.8</v>
      </c>
      <c r="EV23" s="48">
        <v>1018.7</v>
      </c>
      <c r="EW23" s="49">
        <f t="shared" si="43"/>
        <v>7777.32</v>
      </c>
      <c r="EX23" s="48">
        <v>12405</v>
      </c>
      <c r="EY23" s="48">
        <v>1.3268</v>
      </c>
      <c r="EZ23" s="37">
        <f t="shared" si="44"/>
        <v>10777.32</v>
      </c>
      <c r="FA23" s="48">
        <f t="shared" si="65"/>
        <v>-23699.96</v>
      </c>
      <c r="FB23" s="48">
        <v>34438704</v>
      </c>
      <c r="FC23" s="49">
        <f t="shared" si="91"/>
        <v>24132</v>
      </c>
      <c r="FD23" s="48">
        <f t="shared" si="66"/>
        <v>49431.960000000137</v>
      </c>
      <c r="FE23" s="48">
        <v>16255</v>
      </c>
      <c r="FF23" s="48">
        <v>5829</v>
      </c>
      <c r="FG23" s="37">
        <f t="shared" si="67"/>
        <v>9655.42</v>
      </c>
      <c r="FH23" s="48">
        <v>7394.5</v>
      </c>
      <c r="FI23" s="48">
        <v>2.8471000000000002</v>
      </c>
      <c r="FJ23" s="49">
        <f t="shared" si="45"/>
        <v>19455.42000000018</v>
      </c>
      <c r="FK23" s="48"/>
      <c r="FL23" s="58">
        <v>-121.9</v>
      </c>
      <c r="FM23" s="48">
        <f t="shared" si="92"/>
        <v>411.24666666660715</v>
      </c>
      <c r="FN23" s="48">
        <v>15555</v>
      </c>
      <c r="FO23" s="48">
        <v>0.71970000000000001</v>
      </c>
      <c r="FP23" s="37">
        <f t="shared" si="68"/>
        <v>9655.42</v>
      </c>
      <c r="FQ23" s="48">
        <v>55540</v>
      </c>
      <c r="FR23" s="48">
        <v>13.298999999999999</v>
      </c>
      <c r="FS23" s="37">
        <f t="shared" si="46"/>
        <v>40000</v>
      </c>
      <c r="FT23" s="48">
        <f t="shared" si="119"/>
        <v>1233.7399999998215</v>
      </c>
      <c r="FU23" s="48">
        <f t="shared" si="70"/>
        <v>38766.260000000177</v>
      </c>
      <c r="FV23" s="44">
        <v>2696900</v>
      </c>
      <c r="FW23" s="44">
        <v>870120</v>
      </c>
      <c r="FX23" s="37">
        <f t="shared" si="47"/>
        <v>37400</v>
      </c>
      <c r="FY23" s="56">
        <v>2877.9</v>
      </c>
      <c r="FZ23" s="56">
        <v>1.6778</v>
      </c>
      <c r="GA23" s="37">
        <f t="shared" si="48"/>
        <v>7960</v>
      </c>
      <c r="GB23" s="56">
        <v>749.67</v>
      </c>
      <c r="GC23" s="56">
        <v>833.61</v>
      </c>
      <c r="GD23" s="37">
        <f t="shared" si="49"/>
        <v>949.99999999993179</v>
      </c>
      <c r="GE23" s="56">
        <v>9311.1</v>
      </c>
      <c r="GF23" s="56">
        <v>2.8374999999999999</v>
      </c>
      <c r="GG23" s="37">
        <f t="shared" si="50"/>
        <v>8500.0000000002274</v>
      </c>
      <c r="GH23" s="137">
        <v>1804.2</v>
      </c>
      <c r="GI23" s="162">
        <v>1526.7</v>
      </c>
      <c r="GJ23" s="38">
        <f t="shared" si="51"/>
        <v>1600.0000000001364</v>
      </c>
      <c r="GK23" s="162">
        <v>1415.7</v>
      </c>
      <c r="GL23" s="163">
        <v>1096.5</v>
      </c>
      <c r="GM23" s="38">
        <f t="shared" si="52"/>
        <v>0</v>
      </c>
      <c r="GN23" s="57">
        <v>158950</v>
      </c>
      <c r="GO23" s="57">
        <v>138710</v>
      </c>
      <c r="GP23" s="38">
        <f t="shared" si="96"/>
        <v>10</v>
      </c>
      <c r="GQ23" s="38">
        <v>210290</v>
      </c>
      <c r="GR23" s="38">
        <v>210720</v>
      </c>
      <c r="GS23" s="38">
        <f t="shared" si="71"/>
        <v>1040</v>
      </c>
      <c r="GT23" s="178"/>
      <c r="GU23" s="144">
        <f>DailyFeb!B22-DailyFeb!N22-DailyFeb!V22-DailyFeb!Y22-DailyFeb!Z22-DailyFeb!AA22-DailyFeb!AB22-DailyFeb!AC22-DailyFeb!AD22-DailyFeb!AE22-DailyFeb!AK22-DailyFeb!AO22-DailyFeb!AS22-DailyFeb!AY22-DailyFeb!BD22+DailyFeb!BS22-SUM(DailyFeb!BM22:BQ22)-DailyFeb!BR22-DailyFeb!AF22-DailyFeb!AG22</f>
        <v>-2.6775524020195007E-9</v>
      </c>
      <c r="GV23" s="59">
        <v>-3340.200000002631</v>
      </c>
      <c r="GW23" s="60">
        <f t="shared" si="53"/>
        <v>-222.6800000001754</v>
      </c>
      <c r="GX23" s="61">
        <v>-222.68</v>
      </c>
      <c r="GY23" s="140"/>
      <c r="GZ23" s="62"/>
      <c r="HA23" s="62"/>
      <c r="HB23" s="74"/>
      <c r="HC23" s="62">
        <f t="shared" si="99"/>
        <v>92160.000000000087</v>
      </c>
      <c r="HD23" s="74"/>
      <c r="HE23" s="24">
        <f t="shared" si="54"/>
        <v>92160.000000000087</v>
      </c>
      <c r="HF23" s="151"/>
      <c r="HG23" s="213">
        <v>17</v>
      </c>
      <c r="HH23" s="16">
        <v>1030.9000000000001</v>
      </c>
      <c r="HI23" s="16">
        <v>463.25</v>
      </c>
      <c r="HJ23" s="16">
        <f t="shared" si="124"/>
        <v>92160.000000000087</v>
      </c>
      <c r="HK23" s="16">
        <v>1.9189000000000001</v>
      </c>
      <c r="HL23" s="16">
        <v>660.93</v>
      </c>
      <c r="HM23" s="16">
        <f t="shared" si="100"/>
        <v>0</v>
      </c>
      <c r="HN23" s="16">
        <v>210.21</v>
      </c>
      <c r="HO23" s="16">
        <v>100.91</v>
      </c>
      <c r="HP23" s="16">
        <f t="shared" si="120"/>
        <v>33646.66700000003</v>
      </c>
      <c r="HQ23" s="16">
        <v>292.42</v>
      </c>
      <c r="HR23" s="16">
        <v>155.09</v>
      </c>
      <c r="HS23" s="16">
        <f t="shared" si="101"/>
        <v>22106.667000000009</v>
      </c>
      <c r="HT23" s="16">
        <v>195.21</v>
      </c>
      <c r="HU23" s="16">
        <v>90.730999999999995</v>
      </c>
      <c r="HV23" s="16">
        <f t="shared" si="102"/>
        <v>20306.666999999998</v>
      </c>
      <c r="HW23" s="16"/>
      <c r="HX23" s="16"/>
      <c r="HY23" s="128">
        <f t="shared" si="121"/>
        <v>16100</v>
      </c>
      <c r="HZ23" s="211">
        <f t="shared" si="76"/>
        <v>-9.9999994927202351E-4</v>
      </c>
      <c r="IA23" s="16">
        <v>150586.4</v>
      </c>
      <c r="IB23" s="16">
        <v>59619</v>
      </c>
      <c r="IC23" s="16">
        <f t="shared" si="103"/>
        <v>8149.1000000000058</v>
      </c>
      <c r="ID23" s="16">
        <v>91.54</v>
      </c>
      <c r="IE23" s="16">
        <v>43.307000000000002</v>
      </c>
      <c r="IF23" s="16">
        <f t="shared" si="104"/>
        <v>8277.0000000000018</v>
      </c>
      <c r="IG23" s="16">
        <v>23742.5</v>
      </c>
      <c r="IH23" s="16">
        <v>32864.300000000003</v>
      </c>
      <c r="II23" s="16">
        <f t="shared" si="105"/>
        <v>2011.7999999999993</v>
      </c>
      <c r="IJ23" s="16">
        <v>21060.3</v>
      </c>
      <c r="IK23" s="16">
        <v>11061.2</v>
      </c>
      <c r="IL23" s="16">
        <f t="shared" si="106"/>
        <v>838.79999999999927</v>
      </c>
      <c r="IM23" s="16">
        <v>226070.3</v>
      </c>
      <c r="IN23" s="16">
        <v>97401.3</v>
      </c>
      <c r="IO23" s="16">
        <f t="shared" si="107"/>
        <v>22344.299999999988</v>
      </c>
      <c r="IP23" s="16">
        <v>182025.2</v>
      </c>
      <c r="IQ23" s="16">
        <v>23038</v>
      </c>
      <c r="IR23" s="16">
        <f t="shared" si="108"/>
        <v>14446.600000000006</v>
      </c>
      <c r="IS23" s="16">
        <v>5113.7</v>
      </c>
      <c r="IT23" s="16">
        <v>3255.3</v>
      </c>
      <c r="IU23" s="16">
        <f t="shared" si="109"/>
        <v>704</v>
      </c>
      <c r="IV23" s="16">
        <v>85242.3</v>
      </c>
      <c r="IW23" s="16">
        <v>15502.8</v>
      </c>
      <c r="IX23" s="16">
        <f t="shared" si="110"/>
        <v>6753.9000000000087</v>
      </c>
      <c r="IY23" s="16">
        <v>7229.52</v>
      </c>
      <c r="IZ23" s="16">
        <v>640.88</v>
      </c>
      <c r="JA23" s="16">
        <f t="shared" si="111"/>
        <v>269.36000000000058</v>
      </c>
      <c r="JB23" s="16">
        <v>6972.9</v>
      </c>
      <c r="JC23" s="16">
        <v>732.6</v>
      </c>
      <c r="JD23" s="16">
        <f t="shared" si="112"/>
        <v>397.09999999999945</v>
      </c>
      <c r="JE23" s="16">
        <v>101683.4</v>
      </c>
      <c r="JF23" s="16">
        <v>885.2</v>
      </c>
      <c r="JG23" s="16">
        <f t="shared" si="113"/>
        <v>11346.799999999988</v>
      </c>
      <c r="JH23" s="16">
        <v>108431.6</v>
      </c>
      <c r="JI23" s="16">
        <v>1121.32</v>
      </c>
      <c r="JJ23" s="16">
        <f t="shared" si="122"/>
        <v>11677.200000000012</v>
      </c>
      <c r="JK23" s="16"/>
      <c r="JL23" s="16"/>
      <c r="JM23" s="16">
        <f t="shared" si="114"/>
        <v>0</v>
      </c>
      <c r="JN23" s="16">
        <v>59115</v>
      </c>
      <c r="JO23" s="16">
        <v>10141.5</v>
      </c>
      <c r="JP23" s="16">
        <f t="shared" si="115"/>
        <v>7136.4000000000015</v>
      </c>
      <c r="JQ23" s="16">
        <v>211.98</v>
      </c>
      <c r="JR23" s="16">
        <v>32.4</v>
      </c>
      <c r="JS23" s="16">
        <f t="shared" si="116"/>
        <v>12.819999999999993</v>
      </c>
      <c r="JT23" s="16">
        <v>3167.85</v>
      </c>
      <c r="JU23" s="16">
        <v>243.65</v>
      </c>
      <c r="JV23" s="16">
        <f t="shared" si="117"/>
        <v>193.40000000000009</v>
      </c>
      <c r="JX23" s="151">
        <f t="shared" si="118"/>
        <v>-9.9999994927202351E-4</v>
      </c>
    </row>
    <row r="24" spans="1:284" x14ac:dyDescent="0.25">
      <c r="A24" s="35">
        <f t="shared" si="1"/>
        <v>18</v>
      </c>
      <c r="B24" s="38">
        <v>3494.71</v>
      </c>
      <c r="C24" s="38">
        <f t="shared" si="2"/>
        <v>9.0799999999999272</v>
      </c>
      <c r="D24" s="38">
        <f t="shared" si="3"/>
        <v>290559.99999999767</v>
      </c>
      <c r="E24" s="38">
        <v>703.68</v>
      </c>
      <c r="F24" s="38">
        <f t="shared" si="95"/>
        <v>59840.000000000146</v>
      </c>
      <c r="G24" s="38">
        <f t="shared" si="5"/>
        <v>350399.99999999779</v>
      </c>
      <c r="H24" s="37"/>
      <c r="I24" s="39"/>
      <c r="J24" s="42"/>
      <c r="K24" s="37">
        <f t="shared" si="125"/>
        <v>0</v>
      </c>
      <c r="L24" s="40">
        <v>10098200</v>
      </c>
      <c r="M24" s="40"/>
      <c r="N24" s="37">
        <f t="shared" si="78"/>
        <v>347000</v>
      </c>
      <c r="O24" s="37">
        <v>9670.5</v>
      </c>
      <c r="P24" s="37"/>
      <c r="Q24" s="37">
        <f t="shared" si="126"/>
        <v>18700.000000000728</v>
      </c>
      <c r="R24" s="37">
        <f t="shared" si="127"/>
        <v>1</v>
      </c>
      <c r="S24" s="37">
        <v>10996493.109999999</v>
      </c>
      <c r="T24" s="37">
        <f t="shared" si="7"/>
        <v>10365.359999999404</v>
      </c>
      <c r="U24" s="37">
        <v>1518125.52</v>
      </c>
      <c r="V24" s="37">
        <f t="shared" si="8"/>
        <v>0</v>
      </c>
      <c r="W24" s="37">
        <v>3346.8</v>
      </c>
      <c r="X24" s="37">
        <f t="shared" si="93"/>
        <v>8334.6400000013236</v>
      </c>
      <c r="Y24" s="183"/>
      <c r="Z24" s="183">
        <f t="shared" si="9"/>
        <v>0</v>
      </c>
      <c r="AA24" s="37">
        <v>504700</v>
      </c>
      <c r="AB24" s="37">
        <f t="shared" si="10"/>
        <v>0</v>
      </c>
      <c r="AC24" s="37">
        <v>3539.8</v>
      </c>
      <c r="AD24" s="37"/>
      <c r="AE24" s="37">
        <f t="shared" si="128"/>
        <v>5700.0000000002728</v>
      </c>
      <c r="AF24" s="37">
        <f t="shared" si="129"/>
        <v>1</v>
      </c>
      <c r="AG24" s="37">
        <v>7716.9</v>
      </c>
      <c r="AH24" s="37"/>
      <c r="AI24" s="37">
        <f t="shared" si="12"/>
        <v>13106.43</v>
      </c>
      <c r="AJ24" s="37">
        <f t="shared" si="13"/>
        <v>1</v>
      </c>
      <c r="AK24" s="37">
        <f t="shared" si="14"/>
        <v>37506.430000000997</v>
      </c>
      <c r="AL24" s="42">
        <v>9786.6</v>
      </c>
      <c r="AM24" s="42"/>
      <c r="AN24" s="37">
        <f t="shared" si="55"/>
        <v>8486.4300000009862</v>
      </c>
      <c r="AO24" s="37">
        <f t="shared" si="81"/>
        <v>1</v>
      </c>
      <c r="AP24" s="37">
        <v>7434.2</v>
      </c>
      <c r="AQ24" s="37"/>
      <c r="AR24" s="37">
        <f t="shared" si="15"/>
        <v>13599.999999999454</v>
      </c>
      <c r="AS24" s="37">
        <f t="shared" si="82"/>
        <v>1</v>
      </c>
      <c r="AT24" s="183"/>
      <c r="AU24" s="183">
        <f t="shared" si="16"/>
        <v>0</v>
      </c>
      <c r="AV24" s="183"/>
      <c r="AW24" s="183">
        <f t="shared" si="17"/>
        <v>0</v>
      </c>
      <c r="AX24" s="37">
        <v>449160</v>
      </c>
      <c r="AY24" s="37"/>
      <c r="AZ24" s="37">
        <f t="shared" si="18"/>
        <v>480</v>
      </c>
      <c r="BA24" s="37">
        <v>95660</v>
      </c>
      <c r="BB24" s="37"/>
      <c r="BC24" s="37">
        <f t="shared" si="19"/>
        <v>690</v>
      </c>
      <c r="BD24" s="37">
        <f>AN24+AR24+AZ24+BC24</f>
        <v>23256.43000000044</v>
      </c>
      <c r="BE24" s="43">
        <v>1675</v>
      </c>
      <c r="BF24" s="43">
        <v>912.13</v>
      </c>
      <c r="BG24" s="37">
        <f t="shared" si="20"/>
        <v>2400.0000000000909</v>
      </c>
      <c r="BH24" s="44">
        <v>8025</v>
      </c>
      <c r="BI24" s="44">
        <v>5163.2</v>
      </c>
      <c r="BJ24" s="37">
        <f t="shared" si="21"/>
        <v>8800.0000000001819</v>
      </c>
      <c r="BK24" s="40">
        <v>1196280</v>
      </c>
      <c r="BL24" s="40">
        <f t="shared" si="84"/>
        <v>4160</v>
      </c>
      <c r="BM24" s="40">
        <v>808.22</v>
      </c>
      <c r="BN24" s="37">
        <f t="shared" si="22"/>
        <v>660.00000000008185</v>
      </c>
      <c r="BO24" s="186"/>
      <c r="BP24" s="183">
        <f t="shared" si="23"/>
        <v>0</v>
      </c>
      <c r="BQ24" s="40">
        <v>765.5</v>
      </c>
      <c r="BR24" s="37">
        <f t="shared" si="56"/>
        <v>600.00000000002274</v>
      </c>
      <c r="BS24" s="37">
        <v>78403.47</v>
      </c>
      <c r="BT24" s="37">
        <f t="shared" si="24"/>
        <v>230.41999999999825</v>
      </c>
      <c r="BU24" s="42">
        <v>2009211</v>
      </c>
      <c r="BV24" s="42"/>
      <c r="BW24" s="37">
        <f t="shared" si="25"/>
        <v>5824</v>
      </c>
      <c r="BX24" s="37">
        <f t="shared" si="85"/>
        <v>1</v>
      </c>
      <c r="BY24" s="43">
        <v>282.08109999999999</v>
      </c>
      <c r="BZ24" s="37"/>
      <c r="CA24" s="37">
        <f t="shared" si="123"/>
        <v>760.0999999999658</v>
      </c>
      <c r="CB24" s="37">
        <f t="shared" si="57"/>
        <v>1</v>
      </c>
      <c r="CC24" s="37">
        <v>476512.4</v>
      </c>
      <c r="CD24" s="37">
        <f t="shared" si="27"/>
        <v>540.60000000003492</v>
      </c>
      <c r="CE24" s="41">
        <v>697330.8</v>
      </c>
      <c r="CF24" s="37">
        <f t="shared" si="58"/>
        <v>0.90000000002328306</v>
      </c>
      <c r="CG24" s="37">
        <v>59788.7</v>
      </c>
      <c r="CH24" s="37">
        <f t="shared" si="59"/>
        <v>989.69999999999709</v>
      </c>
      <c r="CI24" s="40">
        <v>11045.12</v>
      </c>
      <c r="CJ24" s="40"/>
      <c r="CK24" s="37">
        <f t="shared" si="60"/>
        <v>16636.330000000908</v>
      </c>
      <c r="CL24" s="37">
        <f t="shared" si="28"/>
        <v>1</v>
      </c>
      <c r="CM24" s="37">
        <v>2878.9639999999999</v>
      </c>
      <c r="CN24" s="37"/>
      <c r="CO24" s="37">
        <f t="shared" si="29"/>
        <v>5894.4300000000112</v>
      </c>
      <c r="CP24" s="37">
        <f t="shared" si="86"/>
        <v>1</v>
      </c>
      <c r="CQ24" s="39">
        <v>2794.8910000000001</v>
      </c>
      <c r="CR24" s="39"/>
      <c r="CS24" s="37">
        <f t="shared" si="30"/>
        <v>6182.4300000000221</v>
      </c>
      <c r="CT24" s="37">
        <f t="shared" ref="CT24" si="130">IF(CS24&lt;=0,0,(CS24/SQRT(CS24^2+(CR24-CR23)^2)))</f>
        <v>1</v>
      </c>
      <c r="CU24" s="37">
        <v>2291674</v>
      </c>
      <c r="CV24" s="37"/>
      <c r="CW24" s="38">
        <f t="shared" si="31"/>
        <v>699</v>
      </c>
      <c r="CX24" s="37">
        <f t="shared" si="88"/>
        <v>1</v>
      </c>
      <c r="CY24" s="37">
        <v>1211630</v>
      </c>
      <c r="CZ24" s="37"/>
      <c r="DA24" s="37">
        <f t="shared" si="32"/>
        <v>585</v>
      </c>
      <c r="DB24" s="37">
        <f t="shared" si="89"/>
        <v>1</v>
      </c>
      <c r="DC24" s="37"/>
      <c r="DD24" s="40"/>
      <c r="DE24" s="37">
        <f t="shared" si="33"/>
        <v>0</v>
      </c>
      <c r="DF24" s="37">
        <f t="shared" si="94"/>
        <v>0</v>
      </c>
      <c r="DG24" s="37">
        <f t="shared" si="34"/>
        <v>-35821.190000000941</v>
      </c>
      <c r="DH24" s="37">
        <f t="shared" si="35"/>
        <v>386906.4300000011</v>
      </c>
      <c r="DI24" s="46"/>
      <c r="DJ24" s="46"/>
      <c r="DK24" s="47"/>
      <c r="DL24" s="47"/>
      <c r="DM24" s="37"/>
      <c r="DN24" s="37"/>
      <c r="DO24" s="37"/>
      <c r="DP24" s="37"/>
      <c r="DQ24" s="50">
        <v>2706300</v>
      </c>
      <c r="DR24" s="49">
        <f t="shared" si="61"/>
        <v>10200</v>
      </c>
      <c r="DS24" s="50">
        <v>2084400</v>
      </c>
      <c r="DT24" s="49">
        <f>IF((DS24-DS23)&lt;=0,0,(DS24-DS23))</f>
        <v>18100</v>
      </c>
      <c r="DU24" s="51">
        <v>7580.4</v>
      </c>
      <c r="DV24" s="51">
        <v>4234.1000000000004</v>
      </c>
      <c r="DW24" s="37">
        <f t="shared" si="90"/>
        <v>4000</v>
      </c>
      <c r="DX24" s="52">
        <v>12549</v>
      </c>
      <c r="DY24" s="52">
        <v>8263.2000000000007</v>
      </c>
      <c r="DZ24" s="37">
        <f t="shared" si="36"/>
        <v>8606.43</v>
      </c>
      <c r="EA24" s="49">
        <v>28033</v>
      </c>
      <c r="EB24" s="49">
        <v>19.887</v>
      </c>
      <c r="EC24" s="37">
        <f t="shared" si="37"/>
        <v>25766.43</v>
      </c>
      <c r="ED24" s="53">
        <f t="shared" si="38"/>
        <v>38372.86</v>
      </c>
      <c r="EE24" s="49">
        <v>43254</v>
      </c>
      <c r="EF24" s="49">
        <v>27.516999999999999</v>
      </c>
      <c r="EG24" s="37">
        <f t="shared" si="39"/>
        <v>34766.43</v>
      </c>
      <c r="EH24" s="51">
        <v>12154</v>
      </c>
      <c r="EI24" s="51">
        <v>1.625</v>
      </c>
      <c r="EJ24" s="37">
        <f t="shared" si="40"/>
        <v>12606.43</v>
      </c>
      <c r="EK24" s="37">
        <v>734.76</v>
      </c>
      <c r="EL24" s="40">
        <v>1055.0999999999999</v>
      </c>
      <c r="EM24" s="37">
        <f t="shared" si="63"/>
        <v>700.00000000004547</v>
      </c>
      <c r="EN24" s="54">
        <f t="shared" si="64"/>
        <v>48072.860000000044</v>
      </c>
      <c r="EO24" s="48">
        <v>12219</v>
      </c>
      <c r="EP24" s="48">
        <v>4256.6000000000004</v>
      </c>
      <c r="EQ24" s="37">
        <f t="shared" si="41"/>
        <v>9606.43</v>
      </c>
      <c r="ER24" s="48">
        <v>7969.7</v>
      </c>
      <c r="ES24" s="48">
        <v>3239.4</v>
      </c>
      <c r="ET24" s="49">
        <f t="shared" si="98"/>
        <v>19300.000000000182</v>
      </c>
      <c r="EU24" s="48">
        <v>2856.1</v>
      </c>
      <c r="EV24" s="48">
        <v>1021.6</v>
      </c>
      <c r="EW24" s="49">
        <f t="shared" si="43"/>
        <v>8906.4299999997274</v>
      </c>
      <c r="EX24" s="48">
        <v>12415</v>
      </c>
      <c r="EY24" s="48">
        <v>1.3283</v>
      </c>
      <c r="EZ24" s="37">
        <f t="shared" si="44"/>
        <v>10606.43</v>
      </c>
      <c r="FA24" s="48">
        <f t="shared" si="65"/>
        <v>-23961.28999999991</v>
      </c>
      <c r="FB24" s="48">
        <v>34463162</v>
      </c>
      <c r="FC24" s="49">
        <f t="shared" si="91"/>
        <v>24458</v>
      </c>
      <c r="FD24" s="48">
        <f t="shared" si="66"/>
        <v>50119.289999999957</v>
      </c>
      <c r="FE24" s="48">
        <v>16264</v>
      </c>
      <c r="FF24" s="48">
        <v>5831.9</v>
      </c>
      <c r="FG24" s="37">
        <f t="shared" si="67"/>
        <v>9581.2000000000007</v>
      </c>
      <c r="FH24" s="48">
        <v>7414</v>
      </c>
      <c r="FI24" s="48">
        <v>2.8544</v>
      </c>
      <c r="FJ24" s="49">
        <f t="shared" si="45"/>
        <v>20081.2</v>
      </c>
      <c r="FK24" s="48"/>
      <c r="FL24" s="58">
        <v>-25.23</v>
      </c>
      <c r="FM24" s="48">
        <f t="shared" si="92"/>
        <v>-414.53333333333404</v>
      </c>
      <c r="FN24" s="48">
        <v>15565</v>
      </c>
      <c r="FO24" s="48">
        <v>0.72170000000000001</v>
      </c>
      <c r="FP24" s="37">
        <f t="shared" si="68"/>
        <v>10581.2</v>
      </c>
      <c r="FQ24" s="48">
        <v>55579</v>
      </c>
      <c r="FR24" s="48">
        <v>13.311</v>
      </c>
      <c r="FS24" s="37">
        <f t="shared" si="46"/>
        <v>39000</v>
      </c>
      <c r="FT24" s="48">
        <f t="shared" si="119"/>
        <v>-1243.6000000000022</v>
      </c>
      <c r="FU24" s="48">
        <f t="shared" si="70"/>
        <v>40243.600000000006</v>
      </c>
      <c r="FV24" s="44">
        <v>2731900</v>
      </c>
      <c r="FW24" s="44">
        <v>880640</v>
      </c>
      <c r="FX24" s="37">
        <f t="shared" si="47"/>
        <v>35000</v>
      </c>
      <c r="FY24" s="56">
        <v>2887.8</v>
      </c>
      <c r="FZ24" s="56">
        <v>1.6862999999999999</v>
      </c>
      <c r="GA24" s="37">
        <f t="shared" si="48"/>
        <v>8860.0000000000909</v>
      </c>
      <c r="GB24" s="56">
        <v>750.62</v>
      </c>
      <c r="GC24" s="56">
        <v>834.8</v>
      </c>
      <c r="GD24" s="37">
        <f t="shared" si="49"/>
        <v>950.00000000004547</v>
      </c>
      <c r="GE24" s="56">
        <v>9321.1</v>
      </c>
      <c r="GF24" s="56">
        <v>2.8450000000000002</v>
      </c>
      <c r="GG24" s="37">
        <f t="shared" si="50"/>
        <v>8299.9999999999545</v>
      </c>
      <c r="GH24" s="158">
        <v>1805.9</v>
      </c>
      <c r="GI24" s="159">
        <v>1528.3</v>
      </c>
      <c r="GJ24" s="38">
        <f t="shared" si="51"/>
        <v>1700.0000000000455</v>
      </c>
      <c r="GK24" s="159">
        <v>1415.7</v>
      </c>
      <c r="GL24" s="160">
        <v>1096.5</v>
      </c>
      <c r="GM24" s="38">
        <f t="shared" si="52"/>
        <v>0</v>
      </c>
      <c r="GN24" s="57">
        <v>158950</v>
      </c>
      <c r="GO24" s="57">
        <v>138710</v>
      </c>
      <c r="GP24" s="38">
        <f t="shared" si="96"/>
        <v>0</v>
      </c>
      <c r="GQ24" s="38">
        <v>211330</v>
      </c>
      <c r="GR24" s="38">
        <v>211670</v>
      </c>
      <c r="GS24" s="38">
        <f t="shared" si="71"/>
        <v>1040</v>
      </c>
      <c r="GT24" s="178"/>
      <c r="GU24" s="144">
        <f>DailyFeb!B23-DailyFeb!N23-DailyFeb!V23-DailyFeb!Y23-DailyFeb!Z23-DailyFeb!AA23-DailyFeb!AB23-DailyFeb!AC23-DailyFeb!AD23-DailyFeb!AE23-DailyFeb!AK23-DailyFeb!AO23-DailyFeb!AS23-DailyFeb!AY23-DailyFeb!BD23+DailyFeb!BS23-SUM(DailyFeb!BM23:BQ23)-DailyFeb!BR23-DailyFeb!AF23-DailyFeb!AG23</f>
        <v>3.9999995162361301E-2</v>
      </c>
      <c r="GV24" s="59">
        <v>9096.4899999951012</v>
      </c>
      <c r="GW24" s="60">
        <f t="shared" si="53"/>
        <v>606.43266666634008</v>
      </c>
      <c r="GX24" s="61">
        <v>606.42999999999995</v>
      </c>
      <c r="GY24" s="140"/>
      <c r="GZ24" s="62"/>
      <c r="HA24" s="62"/>
      <c r="HB24" s="74"/>
      <c r="HC24" s="62">
        <f t="shared" si="99"/>
        <v>91199.999999999825</v>
      </c>
      <c r="HD24" s="74"/>
      <c r="HE24" s="24">
        <f t="shared" si="54"/>
        <v>91199.999999999825</v>
      </c>
      <c r="HF24" s="151"/>
      <c r="HG24" s="213">
        <v>18</v>
      </c>
      <c r="HH24" s="16">
        <v>1122.0999999999999</v>
      </c>
      <c r="HI24" s="16">
        <v>496.53</v>
      </c>
      <c r="HJ24" s="16">
        <f t="shared" si="124"/>
        <v>91199.999999999825</v>
      </c>
      <c r="HK24" s="16">
        <v>1.9189000000000001</v>
      </c>
      <c r="HL24" s="16">
        <v>660.93</v>
      </c>
      <c r="HM24" s="16">
        <f t="shared" si="100"/>
        <v>0</v>
      </c>
      <c r="HN24" s="16">
        <v>225.35</v>
      </c>
      <c r="HO24" s="16">
        <v>106.55</v>
      </c>
      <c r="HP24" s="16">
        <f t="shared" si="120"/>
        <v>30193.33299999997</v>
      </c>
      <c r="HQ24" s="16">
        <v>314.86</v>
      </c>
      <c r="HR24" s="16">
        <v>164.79</v>
      </c>
      <c r="HS24" s="16">
        <f t="shared" si="101"/>
        <v>22353.332999999995</v>
      </c>
      <c r="HT24" s="16">
        <v>215.85</v>
      </c>
      <c r="HU24" s="16">
        <v>98.697000000000003</v>
      </c>
      <c r="HV24" s="16">
        <f t="shared" si="102"/>
        <v>20553.332999999984</v>
      </c>
      <c r="HW24" s="16"/>
      <c r="HX24" s="16"/>
      <c r="HY24" s="128">
        <f t="shared" si="121"/>
        <v>18100</v>
      </c>
      <c r="HZ24" s="211">
        <f t="shared" si="76"/>
        <v>9.9999987287446856E-4</v>
      </c>
      <c r="IA24" s="16">
        <v>159065.5</v>
      </c>
      <c r="IB24" s="16">
        <v>62193.3</v>
      </c>
      <c r="IC24" s="16">
        <f t="shared" si="103"/>
        <v>8479.1000000000058</v>
      </c>
      <c r="ID24" s="16">
        <v>99.284000000000006</v>
      </c>
      <c r="IE24" s="16">
        <v>46.694000000000003</v>
      </c>
      <c r="IF24" s="16">
        <f t="shared" si="104"/>
        <v>7744</v>
      </c>
      <c r="IG24" s="16">
        <v>25769.200000000001</v>
      </c>
      <c r="IH24" s="16">
        <v>35562.5</v>
      </c>
      <c r="II24" s="16">
        <f t="shared" si="105"/>
        <v>2026.7000000000007</v>
      </c>
      <c r="IJ24" s="16">
        <v>21909.1</v>
      </c>
      <c r="IK24" s="16">
        <v>11536.3</v>
      </c>
      <c r="IL24" s="16">
        <f t="shared" si="106"/>
        <v>848.79999999999927</v>
      </c>
      <c r="IM24" s="16">
        <v>247688</v>
      </c>
      <c r="IN24" s="16">
        <v>106429.7</v>
      </c>
      <c r="IO24" s="16">
        <f t="shared" si="107"/>
        <v>21617.700000000012</v>
      </c>
      <c r="IP24" s="16">
        <v>195828.8</v>
      </c>
      <c r="IQ24" s="16">
        <v>24756</v>
      </c>
      <c r="IR24" s="16">
        <f t="shared" si="108"/>
        <v>13803.599999999977</v>
      </c>
      <c r="IS24" s="16">
        <v>5756.8</v>
      </c>
      <c r="IT24" s="16">
        <v>3675.5</v>
      </c>
      <c r="IU24" s="16">
        <f t="shared" si="109"/>
        <v>643.10000000000036</v>
      </c>
      <c r="IV24" s="16">
        <v>92254.2</v>
      </c>
      <c r="IW24" s="16">
        <v>16806.3</v>
      </c>
      <c r="IX24" s="16">
        <f t="shared" si="110"/>
        <v>7011.8999999999942</v>
      </c>
      <c r="IY24" s="16">
        <v>7464.6</v>
      </c>
      <c r="IZ24" s="16">
        <v>664.04</v>
      </c>
      <c r="JA24" s="16">
        <f t="shared" si="111"/>
        <v>235.07999999999993</v>
      </c>
      <c r="JB24" s="16">
        <v>7131.95</v>
      </c>
      <c r="JC24" s="16">
        <v>755.9</v>
      </c>
      <c r="JD24" s="16">
        <f t="shared" si="112"/>
        <v>159.05000000000018</v>
      </c>
      <c r="JE24" s="16">
        <v>112572.1</v>
      </c>
      <c r="JF24" s="16">
        <v>885.2</v>
      </c>
      <c r="JG24" s="16">
        <f t="shared" si="113"/>
        <v>10888.700000000012</v>
      </c>
      <c r="JH24" s="16">
        <v>119475.6</v>
      </c>
      <c r="JI24" s="16">
        <v>1212.4000000000001</v>
      </c>
      <c r="JJ24" s="16">
        <f t="shared" si="122"/>
        <v>11044</v>
      </c>
      <c r="JK24" s="16">
        <v>7954.8</v>
      </c>
      <c r="JL24" s="16">
        <v>1151.5999999999999</v>
      </c>
      <c r="JM24" s="16">
        <f t="shared" si="114"/>
        <v>7954.8</v>
      </c>
      <c r="JN24" s="16">
        <v>66205.5</v>
      </c>
      <c r="JO24" s="16">
        <v>11322.9</v>
      </c>
      <c r="JP24" s="16">
        <f t="shared" si="115"/>
        <v>7090.5</v>
      </c>
      <c r="JQ24" s="16">
        <v>226</v>
      </c>
      <c r="JR24" s="16">
        <v>33.799999999999997</v>
      </c>
      <c r="JS24" s="16">
        <f t="shared" si="116"/>
        <v>14.02000000000001</v>
      </c>
      <c r="JT24" s="16">
        <v>3375.65</v>
      </c>
      <c r="JU24" s="16">
        <v>263.3</v>
      </c>
      <c r="JV24" s="16">
        <f t="shared" si="117"/>
        <v>207.80000000000018</v>
      </c>
      <c r="JX24" s="151">
        <f t="shared" si="118"/>
        <v>9.9999987287446856E-4</v>
      </c>
    </row>
    <row r="25" spans="1:284" x14ac:dyDescent="0.25">
      <c r="A25" s="35">
        <f t="shared" si="1"/>
        <v>19</v>
      </c>
      <c r="B25" s="38">
        <v>3502.89</v>
      </c>
      <c r="C25" s="38">
        <f t="shared" si="2"/>
        <v>8.1799999999998363</v>
      </c>
      <c r="D25" s="38">
        <f t="shared" si="3"/>
        <v>261759.99999999476</v>
      </c>
      <c r="E25" s="38">
        <v>705.27</v>
      </c>
      <c r="F25" s="38">
        <f t="shared" si="95"/>
        <v>50880.000000001019</v>
      </c>
      <c r="G25" s="38">
        <f t="shared" si="5"/>
        <v>312639.99999999581</v>
      </c>
      <c r="H25" s="37"/>
      <c r="I25" s="39"/>
      <c r="J25" s="42"/>
      <c r="K25" s="37">
        <f t="shared" si="77"/>
        <v>0</v>
      </c>
      <c r="L25" s="40">
        <v>10129300</v>
      </c>
      <c r="M25" s="40"/>
      <c r="N25" s="37">
        <f t="shared" si="78"/>
        <v>311000</v>
      </c>
      <c r="O25" s="37">
        <v>9689.6</v>
      </c>
      <c r="P25" s="70"/>
      <c r="Q25" s="37">
        <f t="shared" si="126"/>
        <v>19100.000000000364</v>
      </c>
      <c r="R25" s="37">
        <f t="shared" si="79"/>
        <v>1</v>
      </c>
      <c r="S25" s="37">
        <v>11006924.42</v>
      </c>
      <c r="T25" s="37">
        <f t="shared" si="7"/>
        <v>10431.310000000522</v>
      </c>
      <c r="U25" s="37">
        <v>1518125.52</v>
      </c>
      <c r="V25" s="37">
        <f t="shared" si="8"/>
        <v>0</v>
      </c>
      <c r="W25" s="37">
        <v>3353.7</v>
      </c>
      <c r="X25" s="37">
        <f t="shared" si="93"/>
        <v>8668.6899999998423</v>
      </c>
      <c r="Y25" s="183"/>
      <c r="Z25" s="183">
        <f t="shared" si="9"/>
        <v>0</v>
      </c>
      <c r="AA25" s="37">
        <v>504700</v>
      </c>
      <c r="AB25" s="37">
        <f t="shared" si="10"/>
        <v>0</v>
      </c>
      <c r="AC25" s="37">
        <v>3545.6</v>
      </c>
      <c r="AD25" s="37"/>
      <c r="AE25" s="37">
        <f t="shared" si="128"/>
        <v>5799.9999999997272</v>
      </c>
      <c r="AF25" s="37">
        <f t="shared" si="80"/>
        <v>1</v>
      </c>
      <c r="AG25" s="37">
        <v>7730.1</v>
      </c>
      <c r="AH25" s="37"/>
      <c r="AI25" s="37">
        <f t="shared" si="12"/>
        <v>13782.500000000728</v>
      </c>
      <c r="AJ25" s="37">
        <f t="shared" si="13"/>
        <v>1</v>
      </c>
      <c r="AK25" s="37">
        <f t="shared" si="14"/>
        <v>38682.500000000815</v>
      </c>
      <c r="AL25" s="42">
        <v>9799.9</v>
      </c>
      <c r="AM25" s="42"/>
      <c r="AN25" s="37">
        <f t="shared" si="55"/>
        <v>8262.4999999993579</v>
      </c>
      <c r="AO25" s="37">
        <f t="shared" si="81"/>
        <v>1</v>
      </c>
      <c r="AP25" s="37">
        <v>7448.6</v>
      </c>
      <c r="AQ25" s="37"/>
      <c r="AR25" s="37">
        <f t="shared" si="15"/>
        <v>14400.000000000546</v>
      </c>
      <c r="AS25" s="37">
        <f t="shared" si="82"/>
        <v>1</v>
      </c>
      <c r="AT25" s="183"/>
      <c r="AU25" s="183">
        <f t="shared" si="16"/>
        <v>0</v>
      </c>
      <c r="AV25" s="183"/>
      <c r="AW25" s="183">
        <f t="shared" si="17"/>
        <v>0</v>
      </c>
      <c r="AX25" s="37">
        <v>449620</v>
      </c>
      <c r="AY25" s="37"/>
      <c r="AZ25" s="37">
        <f t="shared" si="18"/>
        <v>460</v>
      </c>
      <c r="BA25" s="37">
        <v>96400</v>
      </c>
      <c r="BB25" s="37"/>
      <c r="BC25" s="37">
        <f t="shared" si="19"/>
        <v>740</v>
      </c>
      <c r="BD25" s="37">
        <f t="shared" si="83"/>
        <v>23862.499999999905</v>
      </c>
      <c r="BE25" s="37">
        <v>1677.1</v>
      </c>
      <c r="BF25" s="37">
        <v>913.42</v>
      </c>
      <c r="BG25" s="37">
        <f t="shared" si="20"/>
        <v>2099.9999999999091</v>
      </c>
      <c r="BH25" s="44">
        <v>8034.5</v>
      </c>
      <c r="BI25" s="44">
        <v>5169.3</v>
      </c>
      <c r="BJ25" s="37">
        <f t="shared" si="21"/>
        <v>9500</v>
      </c>
      <c r="BK25" s="40">
        <v>1200430</v>
      </c>
      <c r="BL25" s="40">
        <f t="shared" si="84"/>
        <v>4150</v>
      </c>
      <c r="BM25" s="40">
        <v>808.89</v>
      </c>
      <c r="BN25" s="37">
        <f t="shared" si="22"/>
        <v>669.99999999995907</v>
      </c>
      <c r="BO25" s="186"/>
      <c r="BP25" s="183">
        <f t="shared" si="23"/>
        <v>0</v>
      </c>
      <c r="BQ25" s="40">
        <v>766.3</v>
      </c>
      <c r="BR25" s="37">
        <f t="shared" si="56"/>
        <v>799.99999999995453</v>
      </c>
      <c r="BS25" s="37">
        <v>78676.88</v>
      </c>
      <c r="BT25" s="37">
        <f t="shared" si="24"/>
        <v>273.41000000000349</v>
      </c>
      <c r="BU25" s="42">
        <v>2013130</v>
      </c>
      <c r="BV25" s="42"/>
      <c r="BW25" s="37">
        <f t="shared" si="25"/>
        <v>3919</v>
      </c>
      <c r="BX25" s="37">
        <f t="shared" si="85"/>
        <v>1</v>
      </c>
      <c r="BY25" s="37">
        <v>282.88200000000001</v>
      </c>
      <c r="BZ25" s="37"/>
      <c r="CA25" s="37">
        <f t="shared" si="123"/>
        <v>800.90000000001282</v>
      </c>
      <c r="CB25" s="37">
        <f t="shared" si="57"/>
        <v>1</v>
      </c>
      <c r="CC25" s="37">
        <v>478009.3</v>
      </c>
      <c r="CD25" s="37">
        <f t="shared" si="27"/>
        <v>1496.8999999999651</v>
      </c>
      <c r="CE25" s="41">
        <v>697330.8</v>
      </c>
      <c r="CF25" s="37">
        <f t="shared" si="58"/>
        <v>0</v>
      </c>
      <c r="CG25" s="37">
        <v>60170.3</v>
      </c>
      <c r="CH25" s="37">
        <f t="shared" si="59"/>
        <v>381.60000000000582</v>
      </c>
      <c r="CI25" s="40">
        <v>11062.46</v>
      </c>
      <c r="CJ25" s="40"/>
      <c r="CK25" s="37">
        <f t="shared" si="60"/>
        <v>17121.599999998314</v>
      </c>
      <c r="CL25" s="37">
        <f t="shared" si="28"/>
        <v>1</v>
      </c>
      <c r="CM25" s="37">
        <v>2885.0120000000002</v>
      </c>
      <c r="CN25" s="37"/>
      <c r="CO25" s="37">
        <f t="shared" si="29"/>
        <v>6630.5000000002292</v>
      </c>
      <c r="CP25" s="37">
        <f t="shared" si="86"/>
        <v>1</v>
      </c>
      <c r="CQ25" s="39">
        <v>2800.8040000000001</v>
      </c>
      <c r="CR25" s="39"/>
      <c r="CS25" s="37">
        <f t="shared" si="30"/>
        <v>6495.5000000000109</v>
      </c>
      <c r="CT25" s="37">
        <f t="shared" si="87"/>
        <v>1</v>
      </c>
      <c r="CU25" s="37">
        <v>2292376</v>
      </c>
      <c r="CV25" s="37"/>
      <c r="CW25" s="38">
        <f t="shared" si="31"/>
        <v>702</v>
      </c>
      <c r="CX25" s="37">
        <f t="shared" si="88"/>
        <v>1</v>
      </c>
      <c r="CY25" s="37">
        <v>1212220</v>
      </c>
      <c r="CZ25" s="37"/>
      <c r="DA25" s="37">
        <f t="shared" si="32"/>
        <v>590</v>
      </c>
      <c r="DB25" s="37">
        <f t="shared" si="89"/>
        <v>1</v>
      </c>
      <c r="DC25" s="37"/>
      <c r="DD25" s="40"/>
      <c r="DE25" s="37">
        <f t="shared" si="33"/>
        <v>0</v>
      </c>
      <c r="DF25" s="37">
        <f t="shared" si="94"/>
        <v>0</v>
      </c>
      <c r="DG25" s="37">
        <f t="shared" si="34"/>
        <v>-35458.599999998551</v>
      </c>
      <c r="DH25" s="37">
        <f t="shared" si="35"/>
        <v>351782.5000000007</v>
      </c>
      <c r="DI25" s="46"/>
      <c r="DJ25" s="46"/>
      <c r="DK25" s="47"/>
      <c r="DL25" s="47"/>
      <c r="DM25" s="37"/>
      <c r="DN25" s="37"/>
      <c r="DO25" s="37"/>
      <c r="DP25" s="37"/>
      <c r="DQ25" s="50">
        <v>2716000</v>
      </c>
      <c r="DR25" s="49">
        <f t="shared" si="61"/>
        <v>9700</v>
      </c>
      <c r="DS25" s="50">
        <v>2102000</v>
      </c>
      <c r="DT25" s="49">
        <f t="shared" si="62"/>
        <v>17600</v>
      </c>
      <c r="DU25" s="51">
        <v>7581.7</v>
      </c>
      <c r="DV25" s="51">
        <v>4234.6000000000004</v>
      </c>
      <c r="DW25" s="37">
        <f t="shared" si="90"/>
        <v>1300.0000000001819</v>
      </c>
      <c r="DX25" s="52">
        <v>12550</v>
      </c>
      <c r="DY25" s="52">
        <v>8264.6</v>
      </c>
      <c r="DZ25" s="37">
        <f t="shared" si="36"/>
        <v>1582.5</v>
      </c>
      <c r="EA25" s="49">
        <v>28037</v>
      </c>
      <c r="EB25" s="49">
        <v>19.89</v>
      </c>
      <c r="EC25" s="37">
        <f t="shared" si="37"/>
        <v>6742.5</v>
      </c>
      <c r="ED25" s="53">
        <f t="shared" si="38"/>
        <v>9625.0000000001819</v>
      </c>
      <c r="EE25" s="49">
        <v>43284</v>
      </c>
      <c r="EF25" s="49">
        <v>27.544</v>
      </c>
      <c r="EG25" s="37">
        <f t="shared" si="39"/>
        <v>32742.5</v>
      </c>
      <c r="EH25" s="51">
        <v>12165</v>
      </c>
      <c r="EI25" s="51">
        <v>1.6272</v>
      </c>
      <c r="EJ25" s="37">
        <f t="shared" si="40"/>
        <v>11582.5</v>
      </c>
      <c r="EK25" s="37">
        <v>735.46</v>
      </c>
      <c r="EL25" s="40">
        <v>1056.0999999999999</v>
      </c>
      <c r="EM25" s="37">
        <f t="shared" si="63"/>
        <v>700.00000000004547</v>
      </c>
      <c r="EN25" s="54">
        <f t="shared" si="64"/>
        <v>45025.000000000044</v>
      </c>
      <c r="EO25" s="48">
        <v>12229</v>
      </c>
      <c r="EP25" s="48">
        <v>4260.1000000000004</v>
      </c>
      <c r="EQ25" s="37">
        <f t="shared" si="41"/>
        <v>10582.5</v>
      </c>
      <c r="ER25" s="48">
        <v>7988.9</v>
      </c>
      <c r="ES25" s="48">
        <v>8247.2999999999993</v>
      </c>
      <c r="ET25" s="49">
        <f t="shared" si="98"/>
        <v>19199.999999999818</v>
      </c>
      <c r="EU25" s="48">
        <v>2864.2</v>
      </c>
      <c r="EV25" s="48">
        <v>1024.5</v>
      </c>
      <c r="EW25" s="49">
        <f t="shared" si="43"/>
        <v>8682.4999999999091</v>
      </c>
      <c r="EX25" s="48">
        <v>12425</v>
      </c>
      <c r="EY25" s="48">
        <v>1.3299000000000001</v>
      </c>
      <c r="EZ25" s="37">
        <f t="shared" si="44"/>
        <v>10582.5</v>
      </c>
      <c r="FA25" s="48">
        <f t="shared" si="65"/>
        <v>-24902.499999999727</v>
      </c>
      <c r="FB25" s="48">
        <v>34487307</v>
      </c>
      <c r="FC25" s="49">
        <f t="shared" si="91"/>
        <v>24145</v>
      </c>
      <c r="FD25" s="48">
        <f t="shared" si="66"/>
        <v>50747.499999999542</v>
      </c>
      <c r="FE25" s="48">
        <v>16265</v>
      </c>
      <c r="FF25" s="48">
        <v>5832</v>
      </c>
      <c r="FG25" s="37">
        <f t="shared" si="67"/>
        <v>1882.5</v>
      </c>
      <c r="FH25" s="48">
        <v>7415.1</v>
      </c>
      <c r="FI25" s="48">
        <v>2.8549000000000002</v>
      </c>
      <c r="FJ25" s="49">
        <f t="shared" si="45"/>
        <v>1982.5000000003638</v>
      </c>
      <c r="FK25" s="48"/>
      <c r="FL25" s="58">
        <v>300</v>
      </c>
      <c r="FM25" s="48">
        <f t="shared" si="92"/>
        <v>-582.5000000001213</v>
      </c>
      <c r="FN25" s="48">
        <v>15567</v>
      </c>
      <c r="FO25" s="48">
        <v>0.72209999999999996</v>
      </c>
      <c r="FP25" s="37">
        <f t="shared" si="68"/>
        <v>2882.5</v>
      </c>
      <c r="FQ25" s="48">
        <v>55584</v>
      </c>
      <c r="FR25" s="48">
        <v>13.311999999999999</v>
      </c>
      <c r="FS25" s="37">
        <f t="shared" si="46"/>
        <v>5000</v>
      </c>
      <c r="FT25" s="48">
        <f t="shared" si="119"/>
        <v>-1747.5000000003638</v>
      </c>
      <c r="FU25" s="48">
        <f>FG25+FJ25+FP25+GM25</f>
        <v>6747.5000000003638</v>
      </c>
      <c r="FV25" s="44">
        <v>2765300</v>
      </c>
      <c r="FW25" s="44">
        <v>890810</v>
      </c>
      <c r="FX25" s="37">
        <f t="shared" si="47"/>
        <v>33400</v>
      </c>
      <c r="FY25" s="56">
        <v>2897.1</v>
      </c>
      <c r="FZ25" s="56">
        <v>1.6944999999999999</v>
      </c>
      <c r="GA25" s="37">
        <f t="shared" si="48"/>
        <v>8269.9999999997272</v>
      </c>
      <c r="GB25" s="56">
        <v>751.57</v>
      </c>
      <c r="GC25" s="56">
        <v>835.99</v>
      </c>
      <c r="GD25" s="37">
        <f t="shared" si="49"/>
        <v>950.00000000004547</v>
      </c>
      <c r="GE25" s="56">
        <v>9330.7000000000007</v>
      </c>
      <c r="GF25" s="56">
        <v>2.8523000000000001</v>
      </c>
      <c r="GG25" s="37">
        <f t="shared" si="50"/>
        <v>7900.0000000005457</v>
      </c>
      <c r="GH25" s="158">
        <v>1807.6</v>
      </c>
      <c r="GI25" s="159">
        <v>1530</v>
      </c>
      <c r="GJ25" s="38">
        <f t="shared" si="51"/>
        <v>1699.9999999998181</v>
      </c>
      <c r="GK25" s="159">
        <v>1415.7</v>
      </c>
      <c r="GL25" s="160">
        <v>1096.5</v>
      </c>
      <c r="GM25" s="38">
        <f t="shared" si="52"/>
        <v>0</v>
      </c>
      <c r="GN25" s="57">
        <v>158950</v>
      </c>
      <c r="GO25" s="57">
        <v>138710</v>
      </c>
      <c r="GP25" s="38">
        <f t="shared" si="96"/>
        <v>0</v>
      </c>
      <c r="GQ25" s="38">
        <v>212360</v>
      </c>
      <c r="GR25" s="38">
        <v>212620</v>
      </c>
      <c r="GS25" s="38">
        <f t="shared" si="71"/>
        <v>1030</v>
      </c>
      <c r="GT25" s="178"/>
      <c r="GU25" s="144">
        <f>DailyFeb!B24-DailyFeb!N24-DailyFeb!V24-DailyFeb!Y24-DailyFeb!Z24-DailyFeb!AA24-DailyFeb!AB24-DailyFeb!AC24-DailyFeb!AD24-DailyFeb!AE24-DailyFeb!AK24-DailyFeb!AO24-DailyFeb!AS24-DailyFeb!AY24-DailyFeb!BD24+DailyFeb!BS24-SUM(DailyFeb!BM24:BQ24)-DailyFeb!BR24-DailyFeb!AF24-DailyFeb!AG24</f>
        <v>-3.7834979593753815E-9</v>
      </c>
      <c r="GV25" s="59">
        <v>8737.4999999962456</v>
      </c>
      <c r="GW25" s="60">
        <f t="shared" si="53"/>
        <v>582.49999999974966</v>
      </c>
      <c r="GX25" s="61">
        <v>582.5</v>
      </c>
      <c r="GY25" s="140"/>
      <c r="GZ25" s="62"/>
      <c r="HA25" s="62"/>
      <c r="HB25" s="74"/>
      <c r="HC25" s="62">
        <f t="shared" si="99"/>
        <v>86900.000000000087</v>
      </c>
      <c r="HD25" s="74"/>
      <c r="HE25" s="24">
        <f t="shared" si="54"/>
        <v>86900.000000000087</v>
      </c>
      <c r="HF25" s="151"/>
      <c r="HG25" s="213">
        <v>19</v>
      </c>
      <c r="HH25" s="16">
        <v>1209</v>
      </c>
      <c r="HI25" s="16">
        <v>528.45000000000005</v>
      </c>
      <c r="HJ25" s="16">
        <f t="shared" si="124"/>
        <v>86900.000000000087</v>
      </c>
      <c r="HK25" s="16">
        <v>1.9189000000000001</v>
      </c>
      <c r="HL25" s="16">
        <v>660.93</v>
      </c>
      <c r="HM25" s="16">
        <f t="shared" si="100"/>
        <v>0</v>
      </c>
      <c r="HN25" s="16">
        <v>239.27</v>
      </c>
      <c r="HO25" s="16">
        <v>111.69</v>
      </c>
      <c r="HP25" s="16">
        <f t="shared" si="120"/>
        <v>27806.667000000034</v>
      </c>
      <c r="HQ25" s="16">
        <v>336.62</v>
      </c>
      <c r="HR25" s="16">
        <v>174.24</v>
      </c>
      <c r="HS25" s="16">
        <f t="shared" si="101"/>
        <v>21726.666999999994</v>
      </c>
      <c r="HT25" s="16">
        <v>235.65</v>
      </c>
      <c r="HU25" s="16">
        <v>106.45</v>
      </c>
      <c r="HV25" s="16">
        <f t="shared" si="102"/>
        <v>19766.667000000012</v>
      </c>
      <c r="HW25" s="16"/>
      <c r="HX25" s="16"/>
      <c r="HY25" s="128">
        <f t="shared" si="121"/>
        <v>17600</v>
      </c>
      <c r="HZ25" s="211">
        <f t="shared" si="76"/>
        <v>-9.9999994927202351E-4</v>
      </c>
      <c r="IA25" s="16">
        <v>167469.20000000001</v>
      </c>
      <c r="IB25" s="16">
        <v>64598.8</v>
      </c>
      <c r="IC25" s="16">
        <f t="shared" si="103"/>
        <v>8403.7000000000116</v>
      </c>
      <c r="ID25" s="16">
        <v>106.02</v>
      </c>
      <c r="IE25" s="16">
        <v>49.74</v>
      </c>
      <c r="IF25" s="16">
        <f t="shared" si="104"/>
        <v>6735.99999999999</v>
      </c>
      <c r="IG25" s="16">
        <v>27630.3</v>
      </c>
      <c r="IH25" s="16">
        <v>38094.5</v>
      </c>
      <c r="II25" s="16">
        <f t="shared" si="105"/>
        <v>1861.0999999999985</v>
      </c>
      <c r="IJ25" s="16">
        <v>22814.2</v>
      </c>
      <c r="IK25" s="16">
        <v>12035.4</v>
      </c>
      <c r="IL25" s="16">
        <f t="shared" si="106"/>
        <v>905.10000000000218</v>
      </c>
      <c r="IM25" s="16">
        <v>269123.7</v>
      </c>
      <c r="IN25" s="16">
        <v>115435.4</v>
      </c>
      <c r="IO25" s="16">
        <f t="shared" si="107"/>
        <v>21435.700000000012</v>
      </c>
      <c r="IP25" s="16">
        <v>209469.2</v>
      </c>
      <c r="IQ25" s="16">
        <v>26417.200000000001</v>
      </c>
      <c r="IR25" s="16">
        <f t="shared" si="108"/>
        <v>13640.400000000023</v>
      </c>
      <c r="IS25" s="16">
        <v>6410.3</v>
      </c>
      <c r="IT25" s="16">
        <v>4106.1000000000004</v>
      </c>
      <c r="IU25" s="16">
        <f t="shared" si="109"/>
        <v>653.5</v>
      </c>
      <c r="IV25" s="16">
        <v>99063</v>
      </c>
      <c r="IW25" s="16">
        <v>18038.099999999999</v>
      </c>
      <c r="IX25" s="16">
        <f t="shared" si="110"/>
        <v>6808.8000000000029</v>
      </c>
      <c r="IY25" s="16">
        <v>7865.04</v>
      </c>
      <c r="IZ25" s="16">
        <v>704.16</v>
      </c>
      <c r="JA25" s="16">
        <f t="shared" si="111"/>
        <v>400.4399999999996</v>
      </c>
      <c r="JB25" s="16">
        <v>7381.5</v>
      </c>
      <c r="JC25" s="16">
        <v>786.1</v>
      </c>
      <c r="JD25" s="16">
        <f t="shared" si="112"/>
        <v>249.55000000000018</v>
      </c>
      <c r="JE25" s="16">
        <v>123314.3</v>
      </c>
      <c r="JF25" s="16">
        <v>885.2</v>
      </c>
      <c r="JG25" s="16">
        <f t="shared" si="113"/>
        <v>10742.199999999997</v>
      </c>
      <c r="JH25" s="16">
        <v>130392.4</v>
      </c>
      <c r="JI25" s="16">
        <v>1318.64</v>
      </c>
      <c r="JJ25" s="16">
        <f t="shared" si="122"/>
        <v>10916.799999999988</v>
      </c>
      <c r="JK25" s="16">
        <v>8599.7999999999993</v>
      </c>
      <c r="JL25" s="16">
        <v>1151.5999999999999</v>
      </c>
      <c r="JM25" s="16">
        <f t="shared" si="114"/>
        <v>644.99999999999909</v>
      </c>
      <c r="JN25" s="16">
        <v>73069.8</v>
      </c>
      <c r="JO25" s="16">
        <v>11307.009</v>
      </c>
      <c r="JP25" s="16">
        <f t="shared" si="115"/>
        <v>6864.3000000000029</v>
      </c>
      <c r="JQ25" s="16">
        <v>242.24</v>
      </c>
      <c r="JR25" s="16">
        <v>36.76</v>
      </c>
      <c r="JS25" s="16">
        <f t="shared" si="116"/>
        <v>16.240000000000009</v>
      </c>
      <c r="JT25" s="16">
        <v>3615</v>
      </c>
      <c r="JU25" s="16">
        <v>283.85000000000002</v>
      </c>
      <c r="JV25" s="16">
        <f t="shared" si="117"/>
        <v>239.34999999999991</v>
      </c>
      <c r="JX25" s="151">
        <f t="shared" si="118"/>
        <v>-9.9999994927202351E-4</v>
      </c>
    </row>
    <row r="26" spans="1:284" x14ac:dyDescent="0.25">
      <c r="A26" s="35">
        <f t="shared" si="1"/>
        <v>20</v>
      </c>
      <c r="B26" s="38">
        <v>3510.39</v>
      </c>
      <c r="C26" s="38">
        <f t="shared" si="2"/>
        <v>7.5</v>
      </c>
      <c r="D26" s="38">
        <f t="shared" si="3"/>
        <v>240000</v>
      </c>
      <c r="E26" s="38">
        <v>706.91</v>
      </c>
      <c r="F26" s="38">
        <f t="shared" si="95"/>
        <v>52479.999999999563</v>
      </c>
      <c r="G26" s="38">
        <f t="shared" si="5"/>
        <v>292479.99999999953</v>
      </c>
      <c r="H26" s="37"/>
      <c r="I26" s="39"/>
      <c r="J26" s="42"/>
      <c r="K26" s="37">
        <f t="shared" si="77"/>
        <v>0</v>
      </c>
      <c r="L26" s="40">
        <v>10158700</v>
      </c>
      <c r="M26" s="40"/>
      <c r="N26" s="37">
        <f t="shared" si="78"/>
        <v>294000</v>
      </c>
      <c r="O26" s="37">
        <v>9708.6</v>
      </c>
      <c r="P26" s="37"/>
      <c r="Q26" s="37">
        <f t="shared" si="126"/>
        <v>19000</v>
      </c>
      <c r="R26" s="37">
        <f t="shared" si="79"/>
        <v>1</v>
      </c>
      <c r="S26" s="37">
        <v>11017246.66</v>
      </c>
      <c r="T26" s="37">
        <f t="shared" si="7"/>
        <v>10322.240000000224</v>
      </c>
      <c r="U26" s="37">
        <v>1518125.52</v>
      </c>
      <c r="V26" s="37">
        <f t="shared" si="8"/>
        <v>0</v>
      </c>
      <c r="W26" s="37">
        <v>3360.8</v>
      </c>
      <c r="X26" s="37">
        <f t="shared" si="93"/>
        <v>8677.7599999997765</v>
      </c>
      <c r="Y26" s="183"/>
      <c r="Z26" s="183">
        <f t="shared" si="9"/>
        <v>0</v>
      </c>
      <c r="AA26" s="37">
        <v>504700</v>
      </c>
      <c r="AB26" s="37">
        <f t="shared" si="10"/>
        <v>0</v>
      </c>
      <c r="AC26" s="37">
        <v>3551.9</v>
      </c>
      <c r="AD26" s="37"/>
      <c r="AE26" s="37">
        <f t="shared" si="128"/>
        <v>6300.0000000001819</v>
      </c>
      <c r="AF26" s="37">
        <f>IF(AE26&lt;=0,0,(AE26/SQRT(AE26^2+(AD26-AD25)^2)))</f>
        <v>1</v>
      </c>
      <c r="AG26" s="37">
        <v>7742.5</v>
      </c>
      <c r="AH26" s="37"/>
      <c r="AI26" s="37">
        <f t="shared" si="12"/>
        <v>12644.879999999635</v>
      </c>
      <c r="AJ26" s="37">
        <f t="shared" si="13"/>
        <v>1</v>
      </c>
      <c r="AK26" s="37">
        <f t="shared" si="14"/>
        <v>37944.879999999815</v>
      </c>
      <c r="AL26" s="42">
        <v>9812.9</v>
      </c>
      <c r="AM26" s="42"/>
      <c r="AN26" s="37">
        <f t="shared" si="55"/>
        <v>7684.8799999999319</v>
      </c>
      <c r="AO26" s="37">
        <f t="shared" si="81"/>
        <v>1</v>
      </c>
      <c r="AP26" s="37">
        <v>7462.8</v>
      </c>
      <c r="AQ26" s="37"/>
      <c r="AR26" s="37">
        <f t="shared" si="15"/>
        <v>14199.999999999818</v>
      </c>
      <c r="AS26" s="37">
        <f t="shared" si="82"/>
        <v>1</v>
      </c>
      <c r="AT26" s="183"/>
      <c r="AU26" s="183">
        <f t="shared" si="16"/>
        <v>0</v>
      </c>
      <c r="AV26" s="183"/>
      <c r="AW26" s="183">
        <f t="shared" si="17"/>
        <v>0</v>
      </c>
      <c r="AX26" s="37">
        <v>450110</v>
      </c>
      <c r="AY26" s="37"/>
      <c r="AZ26" s="37">
        <f t="shared" si="18"/>
        <v>490</v>
      </c>
      <c r="BA26" s="37">
        <v>97100</v>
      </c>
      <c r="BB26" s="37"/>
      <c r="BC26" s="37">
        <f t="shared" si="19"/>
        <v>700</v>
      </c>
      <c r="BD26" s="37">
        <f t="shared" si="83"/>
        <v>23074.87999999975</v>
      </c>
      <c r="BE26" s="43">
        <v>1679.1</v>
      </c>
      <c r="BF26" s="43">
        <v>914.54</v>
      </c>
      <c r="BG26" s="37">
        <f t="shared" si="20"/>
        <v>2000</v>
      </c>
      <c r="BH26" s="44">
        <v>8043</v>
      </c>
      <c r="BI26" s="44">
        <v>5174.8</v>
      </c>
      <c r="BJ26" s="37">
        <f t="shared" si="21"/>
        <v>8500</v>
      </c>
      <c r="BK26" s="40">
        <v>1204440</v>
      </c>
      <c r="BL26" s="40">
        <f t="shared" si="84"/>
        <v>4010</v>
      </c>
      <c r="BM26" s="40">
        <v>809.54</v>
      </c>
      <c r="BN26" s="37">
        <f t="shared" si="22"/>
        <v>649.99999999997726</v>
      </c>
      <c r="BO26" s="186"/>
      <c r="BP26" s="183">
        <f t="shared" si="23"/>
        <v>0</v>
      </c>
      <c r="BQ26" s="40">
        <v>767.2</v>
      </c>
      <c r="BR26" s="37">
        <f t="shared" si="56"/>
        <v>900.00000000009095</v>
      </c>
      <c r="BS26" s="37">
        <v>78916.92</v>
      </c>
      <c r="BT26" s="37">
        <f t="shared" si="24"/>
        <v>240.0399999999936</v>
      </c>
      <c r="BU26" s="42">
        <v>2015644</v>
      </c>
      <c r="BV26" s="42"/>
      <c r="BW26" s="37">
        <f t="shared" si="25"/>
        <v>2514</v>
      </c>
      <c r="BX26" s="37">
        <f t="shared" si="85"/>
        <v>1</v>
      </c>
      <c r="BY26" s="43">
        <v>283.64150000000001</v>
      </c>
      <c r="BZ26" s="37"/>
      <c r="CA26" s="37">
        <f t="shared" si="123"/>
        <v>759.50000000000273</v>
      </c>
      <c r="CB26" s="37">
        <f t="shared" si="57"/>
        <v>1</v>
      </c>
      <c r="CC26" s="37">
        <v>478009.3</v>
      </c>
      <c r="CD26" s="37">
        <f t="shared" si="27"/>
        <v>0</v>
      </c>
      <c r="CE26" s="41">
        <v>697330.8</v>
      </c>
      <c r="CF26" s="37">
        <f t="shared" si="58"/>
        <v>0</v>
      </c>
      <c r="CG26" s="37">
        <v>60207.1</v>
      </c>
      <c r="CH26" s="37">
        <f t="shared" si="59"/>
        <v>36.799999999995634</v>
      </c>
      <c r="CI26" s="40">
        <v>11077.85</v>
      </c>
      <c r="CJ26" s="40"/>
      <c r="CK26" s="37">
        <f t="shared" si="60"/>
        <v>14875.380000001234</v>
      </c>
      <c r="CL26" s="37">
        <f t="shared" si="28"/>
        <v>1</v>
      </c>
      <c r="CM26" s="37">
        <v>2890.8380000000002</v>
      </c>
      <c r="CN26" s="37"/>
      <c r="CO26" s="37">
        <f t="shared" si="29"/>
        <v>6070.8800000000219</v>
      </c>
      <c r="CP26" s="37">
        <f t="shared" si="86"/>
        <v>1</v>
      </c>
      <c r="CQ26" s="39">
        <v>2806.4560000000001</v>
      </c>
      <c r="CR26" s="39"/>
      <c r="CS26" s="37">
        <f t="shared" si="30"/>
        <v>5896.8800000000438</v>
      </c>
      <c r="CT26" s="37">
        <f t="shared" si="87"/>
        <v>1</v>
      </c>
      <c r="CU26" s="37">
        <v>2293122</v>
      </c>
      <c r="CV26" s="37"/>
      <c r="CW26" s="38">
        <f t="shared" si="31"/>
        <v>746</v>
      </c>
      <c r="CX26" s="37">
        <f t="shared" si="88"/>
        <v>1</v>
      </c>
      <c r="CY26" s="37">
        <v>1212786</v>
      </c>
      <c r="CZ26" s="37"/>
      <c r="DA26" s="37">
        <f t="shared" si="32"/>
        <v>566</v>
      </c>
      <c r="DB26" s="37">
        <f t="shared" si="89"/>
        <v>1</v>
      </c>
      <c r="DC26" s="37"/>
      <c r="DD26" s="40"/>
      <c r="DE26" s="37">
        <f t="shared" si="33"/>
        <v>0</v>
      </c>
      <c r="DF26" s="37">
        <f t="shared" si="94"/>
        <v>0</v>
      </c>
      <c r="DG26" s="37">
        <f t="shared" si="34"/>
        <v>-30669.140000001302</v>
      </c>
      <c r="DH26" s="37">
        <f t="shared" si="35"/>
        <v>333944.87999999983</v>
      </c>
      <c r="DI26" s="46"/>
      <c r="DJ26" s="46"/>
      <c r="DK26" s="47"/>
      <c r="DL26" s="47"/>
      <c r="DM26" s="37"/>
      <c r="DN26" s="37"/>
      <c r="DO26" s="37"/>
      <c r="DP26" s="37"/>
      <c r="DQ26" s="50">
        <v>2724900</v>
      </c>
      <c r="DR26" s="49">
        <f t="shared" si="61"/>
        <v>8900</v>
      </c>
      <c r="DS26" s="50">
        <v>2118300</v>
      </c>
      <c r="DT26" s="49">
        <f t="shared" si="62"/>
        <v>16300</v>
      </c>
      <c r="DU26" s="51">
        <v>7586</v>
      </c>
      <c r="DV26" s="51">
        <v>4237.3</v>
      </c>
      <c r="DW26" s="37">
        <f t="shared" si="90"/>
        <v>4300.0000000001819</v>
      </c>
      <c r="DX26" s="52">
        <v>12556</v>
      </c>
      <c r="DY26" s="52">
        <v>8266.9</v>
      </c>
      <c r="DZ26" s="37">
        <f t="shared" si="36"/>
        <v>6244.88</v>
      </c>
      <c r="EA26" s="49">
        <v>28058</v>
      </c>
      <c r="EB26" s="49">
        <v>19.904</v>
      </c>
      <c r="EC26" s="37">
        <f t="shared" si="37"/>
        <v>23404.880000000001</v>
      </c>
      <c r="ED26" s="53">
        <f t="shared" si="38"/>
        <v>33949.760000000184</v>
      </c>
      <c r="EE26" s="49">
        <v>43313</v>
      </c>
      <c r="EF26" s="49">
        <v>27.571000000000002</v>
      </c>
      <c r="EG26" s="37">
        <f t="shared" si="39"/>
        <v>31404.880000000001</v>
      </c>
      <c r="EH26" s="51">
        <v>12175</v>
      </c>
      <c r="EI26" s="51">
        <v>1.629</v>
      </c>
      <c r="EJ26" s="37">
        <f t="shared" si="40"/>
        <v>10244.879999999999</v>
      </c>
      <c r="EK26" s="37">
        <v>736.16</v>
      </c>
      <c r="EL26" s="40">
        <v>1057</v>
      </c>
      <c r="EM26" s="37">
        <f t="shared" si="63"/>
        <v>699.99999999993179</v>
      </c>
      <c r="EN26" s="54">
        <f t="shared" si="64"/>
        <v>42349.759999999937</v>
      </c>
      <c r="EO26" s="48">
        <v>12239</v>
      </c>
      <c r="EP26" s="48">
        <v>4263.7</v>
      </c>
      <c r="EQ26" s="37">
        <f t="shared" si="41"/>
        <v>10244.879999999999</v>
      </c>
      <c r="ER26" s="48">
        <v>8008.1</v>
      </c>
      <c r="ES26" s="48">
        <v>8255.2999999999993</v>
      </c>
      <c r="ET26" s="49">
        <f t="shared" si="98"/>
        <v>19200.000000000728</v>
      </c>
      <c r="EU26" s="48">
        <v>2872.1</v>
      </c>
      <c r="EV26" s="48">
        <v>1027.3</v>
      </c>
      <c r="EW26" s="49">
        <f t="shared" si="43"/>
        <v>8144.8800000000911</v>
      </c>
      <c r="EX26" s="48">
        <v>12436</v>
      </c>
      <c r="EY26" s="48">
        <v>1.3321000000000001</v>
      </c>
      <c r="EZ26" s="37">
        <f t="shared" si="44"/>
        <v>11244.88</v>
      </c>
      <c r="FA26" s="48">
        <f t="shared" si="65"/>
        <v>-24176.640000000814</v>
      </c>
      <c r="FB26" s="60">
        <v>34511965</v>
      </c>
      <c r="FC26" s="49">
        <f t="shared" si="91"/>
        <v>24658</v>
      </c>
      <c r="FD26" s="48">
        <f t="shared" si="66"/>
        <v>50534.640000000858</v>
      </c>
      <c r="FE26" s="48">
        <v>16266</v>
      </c>
      <c r="FF26" s="48">
        <v>5832</v>
      </c>
      <c r="FG26" s="37">
        <f t="shared" si="67"/>
        <v>1044.8800000000001</v>
      </c>
      <c r="FH26" s="48">
        <v>7415.7</v>
      </c>
      <c r="FI26" s="48">
        <v>2.855</v>
      </c>
      <c r="FJ26" s="49">
        <f t="shared" si="45"/>
        <v>644.8799999994543</v>
      </c>
      <c r="FK26" s="48"/>
      <c r="FL26" s="58">
        <v>-200</v>
      </c>
      <c r="FM26" s="48">
        <f t="shared" si="92"/>
        <v>-244.87999999981818</v>
      </c>
      <c r="FN26" s="48">
        <v>15568</v>
      </c>
      <c r="FO26" s="48">
        <v>0.72209999999999996</v>
      </c>
      <c r="FP26" s="37">
        <f t="shared" si="68"/>
        <v>1044.8800000000001</v>
      </c>
      <c r="FQ26" s="48">
        <v>55586</v>
      </c>
      <c r="FR26" s="48">
        <v>13.311999999999999</v>
      </c>
      <c r="FS26" s="37">
        <f t="shared" si="46"/>
        <v>2000</v>
      </c>
      <c r="FT26" s="48">
        <f t="shared" si="119"/>
        <v>-734.63999999945452</v>
      </c>
      <c r="FU26" s="48">
        <f t="shared" si="70"/>
        <v>2734.6399999994546</v>
      </c>
      <c r="FV26" s="71">
        <v>2795100</v>
      </c>
      <c r="FW26" s="44">
        <v>890810</v>
      </c>
      <c r="FX26" s="37">
        <f t="shared" si="47"/>
        <v>29800</v>
      </c>
      <c r="FY26" s="56">
        <v>2905.8</v>
      </c>
      <c r="FZ26" s="56">
        <v>1.702</v>
      </c>
      <c r="GA26" s="37">
        <f t="shared" si="48"/>
        <v>7760.0000000002728</v>
      </c>
      <c r="GB26" s="56">
        <v>752.45</v>
      </c>
      <c r="GC26" s="56">
        <v>837.08</v>
      </c>
      <c r="GD26" s="37">
        <f t="shared" si="49"/>
        <v>879.99999999999545</v>
      </c>
      <c r="GE26" s="56">
        <v>9339.5</v>
      </c>
      <c r="GF26" s="56">
        <v>2.8591000000000002</v>
      </c>
      <c r="GG26" s="37">
        <f t="shared" si="50"/>
        <v>7099.9999999992269</v>
      </c>
      <c r="GH26" s="158">
        <v>1809.3</v>
      </c>
      <c r="GI26" s="159">
        <v>1531.6</v>
      </c>
      <c r="GJ26" s="38">
        <f t="shared" si="51"/>
        <v>1700.0000000000455</v>
      </c>
      <c r="GK26" s="159">
        <v>1415.7</v>
      </c>
      <c r="GL26" s="160">
        <v>1096.5</v>
      </c>
      <c r="GM26" s="38">
        <f t="shared" si="52"/>
        <v>0</v>
      </c>
      <c r="GN26" s="57">
        <v>158960</v>
      </c>
      <c r="GO26" s="57">
        <v>138720</v>
      </c>
      <c r="GP26" s="38">
        <f t="shared" si="96"/>
        <v>10</v>
      </c>
      <c r="GQ26" s="38">
        <v>213300</v>
      </c>
      <c r="GR26" s="38">
        <v>213460</v>
      </c>
      <c r="GS26" s="38">
        <f t="shared" si="71"/>
        <v>940</v>
      </c>
      <c r="GT26" s="178"/>
      <c r="GU26" s="144">
        <f>DailyFeb!B25-DailyFeb!N25-DailyFeb!V25-DailyFeb!Y25-DailyFeb!Z25-DailyFeb!AA25-DailyFeb!AB25-DailyFeb!AC25-DailyFeb!AD25-DailyFeb!AE25-DailyFeb!AK25-DailyFeb!AO25-DailyFeb!AS25-DailyFeb!AY25-DailyFeb!BD25+DailyFeb!BS25-SUM(DailyFeb!BM25:BQ25)-DailyFeb!BR25-DailyFeb!AF25-DailyFeb!AG25</f>
        <v>-1.2514647096395493E-9</v>
      </c>
      <c r="GV26" s="59">
        <v>3673.1999999987747</v>
      </c>
      <c r="GW26" s="60">
        <f t="shared" si="53"/>
        <v>244.87999999991831</v>
      </c>
      <c r="GX26" s="61">
        <v>244.88</v>
      </c>
      <c r="GY26" s="140"/>
      <c r="GZ26" s="62"/>
      <c r="HA26" s="62"/>
      <c r="HB26" s="74"/>
      <c r="HC26" s="62">
        <f t="shared" si="99"/>
        <v>85099.999999999913</v>
      </c>
      <c r="HD26" s="74"/>
      <c r="HE26" s="24">
        <f t="shared" si="54"/>
        <v>85099.999999999913</v>
      </c>
      <c r="HF26" s="151"/>
      <c r="HG26" s="213">
        <v>20</v>
      </c>
      <c r="HH26" s="16">
        <v>1294.0999999999999</v>
      </c>
      <c r="HI26" s="16">
        <v>559.64</v>
      </c>
      <c r="HJ26" s="16">
        <f t="shared" si="124"/>
        <v>85099.999999999913</v>
      </c>
      <c r="HK26" s="16">
        <v>1.9189000000000001</v>
      </c>
      <c r="HL26" s="16">
        <v>660.93</v>
      </c>
      <c r="HM26" s="16">
        <f t="shared" si="100"/>
        <v>0</v>
      </c>
      <c r="HN26" s="16">
        <v>253.17</v>
      </c>
      <c r="HO26" s="16">
        <v>116.79</v>
      </c>
      <c r="HP26" s="16">
        <f t="shared" si="120"/>
        <v>27823.333299999955</v>
      </c>
      <c r="HQ26" s="16">
        <v>358.21</v>
      </c>
      <c r="HR26" s="16">
        <v>183.61</v>
      </c>
      <c r="HS26" s="16">
        <f t="shared" si="101"/>
        <v>21613.333299999973</v>
      </c>
      <c r="HT26" s="16">
        <v>254.99</v>
      </c>
      <c r="HU26" s="16">
        <v>113.98</v>
      </c>
      <c r="HV26" s="16">
        <f t="shared" si="102"/>
        <v>19363.333300000002</v>
      </c>
      <c r="HW26" s="16"/>
      <c r="HX26" s="16"/>
      <c r="HY26" s="128">
        <f t="shared" si="121"/>
        <v>16300</v>
      </c>
      <c r="HZ26" s="211">
        <f t="shared" si="76"/>
        <v>9.9999986559851095E-5</v>
      </c>
      <c r="IA26" s="16">
        <v>175913.3</v>
      </c>
      <c r="IB26" s="16">
        <v>67085.5</v>
      </c>
      <c r="IC26" s="16">
        <f t="shared" si="103"/>
        <v>8444.0999999999767</v>
      </c>
      <c r="ID26" s="16">
        <v>112.78</v>
      </c>
      <c r="IE26" s="16">
        <v>52.792000000000002</v>
      </c>
      <c r="IF26" s="16">
        <f t="shared" si="104"/>
        <v>6760.0000000000055</v>
      </c>
      <c r="IG26" s="16">
        <v>29421.3</v>
      </c>
      <c r="IH26" s="16">
        <v>40537.5</v>
      </c>
      <c r="II26" s="16">
        <f t="shared" si="105"/>
        <v>1791</v>
      </c>
      <c r="IJ26" s="16">
        <v>23737.9</v>
      </c>
      <c r="IK26" s="16">
        <v>12549.9</v>
      </c>
      <c r="IL26" s="16">
        <f t="shared" si="106"/>
        <v>923.70000000000073</v>
      </c>
      <c r="IM26" s="16">
        <v>289787.8</v>
      </c>
      <c r="IN26" s="16">
        <v>124127.7</v>
      </c>
      <c r="IO26" s="16">
        <f t="shared" si="107"/>
        <v>20664.099999999977</v>
      </c>
      <c r="IP26" s="16">
        <v>222532</v>
      </c>
      <c r="IQ26" s="16">
        <v>28029.599999999999</v>
      </c>
      <c r="IR26" s="16">
        <f t="shared" si="108"/>
        <v>13062.799999999988</v>
      </c>
      <c r="IS26" s="16">
        <v>6991.7</v>
      </c>
      <c r="IT26" s="16">
        <v>4486.1000000000004</v>
      </c>
      <c r="IU26" s="16">
        <f t="shared" si="109"/>
        <v>581.39999999999964</v>
      </c>
      <c r="IV26" s="16">
        <v>105826.8</v>
      </c>
      <c r="IW26" s="16">
        <v>19284</v>
      </c>
      <c r="IX26" s="16">
        <f t="shared" si="110"/>
        <v>6763.8000000000029</v>
      </c>
      <c r="IY26" s="16">
        <v>8070.56</v>
      </c>
      <c r="IZ26" s="16">
        <v>727.84</v>
      </c>
      <c r="JA26" s="16">
        <f t="shared" si="111"/>
        <v>205.52000000000044</v>
      </c>
      <c r="JB26" s="16">
        <v>7574.75</v>
      </c>
      <c r="JC26" s="16">
        <v>812.5</v>
      </c>
      <c r="JD26" s="16">
        <f t="shared" si="112"/>
        <v>193.25</v>
      </c>
      <c r="JE26" s="16">
        <v>133586.1</v>
      </c>
      <c r="JF26" s="16">
        <v>265740.3</v>
      </c>
      <c r="JG26" s="16">
        <f t="shared" si="113"/>
        <v>10271.800000000003</v>
      </c>
      <c r="JH26" s="16">
        <v>140604.4</v>
      </c>
      <c r="JI26" s="16">
        <v>14097.6</v>
      </c>
      <c r="JJ26" s="16">
        <f t="shared" si="122"/>
        <v>10212</v>
      </c>
      <c r="JK26" s="16">
        <v>9216.5</v>
      </c>
      <c r="JL26" s="16">
        <v>9195.1</v>
      </c>
      <c r="JM26" s="16">
        <f t="shared" si="114"/>
        <v>616.70000000000073</v>
      </c>
      <c r="JN26" s="16">
        <v>79824.89</v>
      </c>
      <c r="JO26" s="16">
        <v>13524.3</v>
      </c>
      <c r="JP26" s="16">
        <f t="shared" si="115"/>
        <v>6755.0899999999965</v>
      </c>
      <c r="JQ26" s="16">
        <v>261</v>
      </c>
      <c r="JR26" s="16">
        <v>41.08</v>
      </c>
      <c r="JS26" s="16">
        <f t="shared" si="116"/>
        <v>18.759999999999991</v>
      </c>
      <c r="JT26" s="16">
        <v>3826.35</v>
      </c>
      <c r="JU26" s="16">
        <v>302</v>
      </c>
      <c r="JV26" s="16">
        <f t="shared" si="117"/>
        <v>211.34999999999991</v>
      </c>
      <c r="JX26" s="151">
        <f t="shared" si="118"/>
        <v>9.9999986559851095E-5</v>
      </c>
    </row>
    <row r="27" spans="1:284" x14ac:dyDescent="0.25">
      <c r="A27" s="35">
        <f t="shared" si="1"/>
        <v>21</v>
      </c>
      <c r="B27" s="38">
        <v>3518.3</v>
      </c>
      <c r="C27" s="38">
        <f t="shared" si="2"/>
        <v>7.9100000000003092</v>
      </c>
      <c r="D27" s="38">
        <f t="shared" si="3"/>
        <v>253120.0000000099</v>
      </c>
      <c r="E27" s="38">
        <v>708.43</v>
      </c>
      <c r="F27" s="38">
        <f t="shared" si="95"/>
        <v>48639.999999999418</v>
      </c>
      <c r="G27" s="38">
        <f t="shared" si="5"/>
        <v>301760.00000000931</v>
      </c>
      <c r="H27" s="37"/>
      <c r="I27" s="39"/>
      <c r="J27" s="42"/>
      <c r="K27" s="37">
        <f t="shared" si="77"/>
        <v>0</v>
      </c>
      <c r="L27" s="40">
        <v>10189000</v>
      </c>
      <c r="M27" s="40"/>
      <c r="N27" s="37">
        <f t="shared" si="78"/>
        <v>303000</v>
      </c>
      <c r="O27" s="37">
        <v>9727.4</v>
      </c>
      <c r="P27" s="37"/>
      <c r="Q27" s="37">
        <f t="shared" si="126"/>
        <v>18799.999999999272</v>
      </c>
      <c r="R27" s="37">
        <f t="shared" si="79"/>
        <v>1</v>
      </c>
      <c r="S27" s="37">
        <v>11027270.029999999</v>
      </c>
      <c r="T27" s="37">
        <f t="shared" si="7"/>
        <v>10023.36999999918</v>
      </c>
      <c r="U27" s="37">
        <v>1518173.85</v>
      </c>
      <c r="V27" s="37">
        <f t="shared" si="8"/>
        <v>48.330000000074506</v>
      </c>
      <c r="W27" s="37">
        <v>3367.8</v>
      </c>
      <c r="X27" s="37">
        <f t="shared" si="93"/>
        <v>8678.3000000000175</v>
      </c>
      <c r="Y27" s="183"/>
      <c r="Z27" s="183">
        <f t="shared" si="9"/>
        <v>0</v>
      </c>
      <c r="AA27" s="37">
        <v>504750</v>
      </c>
      <c r="AB27" s="37">
        <f t="shared" si="10"/>
        <v>50</v>
      </c>
      <c r="AC27" s="37">
        <v>3556.6</v>
      </c>
      <c r="AD27" s="37"/>
      <c r="AE27" s="37">
        <f t="shared" si="128"/>
        <v>4699.9999999998181</v>
      </c>
      <c r="AF27" s="37">
        <f t="shared" si="80"/>
        <v>1</v>
      </c>
      <c r="AG27" s="37">
        <v>7754.4</v>
      </c>
      <c r="AH27" s="37"/>
      <c r="AI27" s="37">
        <f t="shared" si="12"/>
        <v>12693.639999999636</v>
      </c>
      <c r="AJ27" s="37">
        <f t="shared" si="13"/>
        <v>1</v>
      </c>
      <c r="AK27" s="37">
        <f t="shared" si="14"/>
        <v>36143.639999998726</v>
      </c>
      <c r="AL27" s="42">
        <v>9826.5</v>
      </c>
      <c r="AM27" s="42"/>
      <c r="AN27" s="37">
        <f t="shared" si="55"/>
        <v>8893.6400000003541</v>
      </c>
      <c r="AO27" s="37">
        <f t="shared" si="81"/>
        <v>1</v>
      </c>
      <c r="AP27" s="37">
        <v>7475.8</v>
      </c>
      <c r="AQ27" s="37"/>
      <c r="AR27" s="37">
        <f t="shared" si="15"/>
        <v>13000</v>
      </c>
      <c r="AS27" s="37">
        <f t="shared" si="82"/>
        <v>1</v>
      </c>
      <c r="AT27" s="183"/>
      <c r="AU27" s="183">
        <f t="shared" si="16"/>
        <v>0</v>
      </c>
      <c r="AV27" s="183"/>
      <c r="AW27" s="183">
        <f t="shared" si="17"/>
        <v>0</v>
      </c>
      <c r="AX27" s="37">
        <v>450521.04</v>
      </c>
      <c r="AY27" s="37"/>
      <c r="AZ27" s="37">
        <f t="shared" si="18"/>
        <v>411.03999999997905</v>
      </c>
      <c r="BA27" s="37">
        <v>97703.784</v>
      </c>
      <c r="BB27" s="37"/>
      <c r="BC27" s="37">
        <f t="shared" si="19"/>
        <v>603.78399999999965</v>
      </c>
      <c r="BD27" s="37">
        <f t="shared" si="83"/>
        <v>22908.464000000335</v>
      </c>
      <c r="BE27" s="43">
        <v>1681.5</v>
      </c>
      <c r="BF27" s="43">
        <v>916.02</v>
      </c>
      <c r="BG27" s="37">
        <f t="shared" si="20"/>
        <v>2400.0000000000909</v>
      </c>
      <c r="BH27" s="44">
        <v>8051.9</v>
      </c>
      <c r="BI27" s="44">
        <v>5180.6000000000004</v>
      </c>
      <c r="BJ27" s="37">
        <f t="shared" si="21"/>
        <v>8899.9999999996362</v>
      </c>
      <c r="BK27" s="40">
        <f>BK26+BL26</f>
        <v>1208450</v>
      </c>
      <c r="BL27" s="40">
        <f t="shared" si="84"/>
        <v>4010</v>
      </c>
      <c r="BM27" s="40">
        <v>810.21</v>
      </c>
      <c r="BN27" s="37">
        <f t="shared" si="22"/>
        <v>670.00000000007276</v>
      </c>
      <c r="BO27" s="186"/>
      <c r="BP27" s="183">
        <f t="shared" si="23"/>
        <v>0</v>
      </c>
      <c r="BQ27" s="40">
        <v>768.02</v>
      </c>
      <c r="BR27" s="37">
        <f t="shared" si="56"/>
        <v>819.99999999993634</v>
      </c>
      <c r="BS27" s="37">
        <v>79125.38</v>
      </c>
      <c r="BT27" s="37">
        <f t="shared" si="24"/>
        <v>208.4600000000064</v>
      </c>
      <c r="BU27" s="42">
        <v>2019300</v>
      </c>
      <c r="BV27" s="42"/>
      <c r="BW27" s="37">
        <f t="shared" si="25"/>
        <v>3656</v>
      </c>
      <c r="BX27" s="37">
        <f t="shared" si="85"/>
        <v>1</v>
      </c>
      <c r="BY27" s="43">
        <v>284.49</v>
      </c>
      <c r="BZ27" s="37"/>
      <c r="CA27" s="37">
        <f t="shared" si="123"/>
        <v>848.50000000000136</v>
      </c>
      <c r="CB27" s="37">
        <f t="shared" si="57"/>
        <v>1</v>
      </c>
      <c r="CC27" s="37">
        <v>478320</v>
      </c>
      <c r="CD27" s="37">
        <f t="shared" si="27"/>
        <v>310.70000000001164</v>
      </c>
      <c r="CE27" s="41">
        <v>697330.8</v>
      </c>
      <c r="CF27" s="37">
        <f t="shared" si="58"/>
        <v>0</v>
      </c>
      <c r="CG27" s="37">
        <v>60278</v>
      </c>
      <c r="CH27" s="37">
        <f t="shared" si="59"/>
        <v>70.900000000001455</v>
      </c>
      <c r="CI27" s="40">
        <v>11094</v>
      </c>
      <c r="CJ27" s="40"/>
      <c r="CK27" s="37">
        <f t="shared" si="60"/>
        <v>16095.139999999634</v>
      </c>
      <c r="CL27" s="37">
        <f t="shared" si="28"/>
        <v>1</v>
      </c>
      <c r="CM27" s="37">
        <v>2899.0279999999998</v>
      </c>
      <c r="CN27" s="37"/>
      <c r="CO27" s="37">
        <f t="shared" si="29"/>
        <v>8983.6399999995992</v>
      </c>
      <c r="CP27" s="37">
        <f t="shared" si="86"/>
        <v>1</v>
      </c>
      <c r="CQ27" s="39">
        <v>2813.3389999999999</v>
      </c>
      <c r="CR27" s="39"/>
      <c r="CS27" s="37">
        <f t="shared" si="30"/>
        <v>7676.6399999998112</v>
      </c>
      <c r="CT27" s="37">
        <f t="shared" si="87"/>
        <v>1</v>
      </c>
      <c r="CU27" s="37">
        <v>2293800</v>
      </c>
      <c r="CV27" s="37"/>
      <c r="CW27" s="38">
        <f t="shared" si="31"/>
        <v>678</v>
      </c>
      <c r="CX27" s="37">
        <f t="shared" si="88"/>
        <v>1</v>
      </c>
      <c r="CY27" s="37">
        <f>CY26+DA26</f>
        <v>1213352</v>
      </c>
      <c r="CZ27" s="37"/>
      <c r="DA27" s="37">
        <f t="shared" ref="DA27:DA38" si="131">IF((CY27-CY26)&lt;=0,0,(CY27-CY26))/1</f>
        <v>566</v>
      </c>
      <c r="DB27" s="37">
        <f t="shared" si="89"/>
        <v>1</v>
      </c>
      <c r="DC27" s="37"/>
      <c r="DD27" s="40"/>
      <c r="DE27" s="37">
        <f t="shared" si="33"/>
        <v>0</v>
      </c>
      <c r="DF27" s="37">
        <f t="shared" si="94"/>
        <v>0</v>
      </c>
      <c r="DG27" s="37">
        <f t="shared" si="34"/>
        <v>-37655.419999999045</v>
      </c>
      <c r="DH27" s="37">
        <f t="shared" si="35"/>
        <v>341543.63999999885</v>
      </c>
      <c r="DI27" s="46"/>
      <c r="DJ27" s="46"/>
      <c r="DK27" s="47"/>
      <c r="DL27" s="47"/>
      <c r="DM27" s="37"/>
      <c r="DN27" s="37"/>
      <c r="DO27" s="37"/>
      <c r="DP27" s="37"/>
      <c r="DQ27" s="50">
        <v>2734300</v>
      </c>
      <c r="DR27" s="49">
        <f t="shared" si="61"/>
        <v>9400</v>
      </c>
      <c r="DS27" s="50">
        <v>2133500</v>
      </c>
      <c r="DT27" s="49">
        <f t="shared" si="62"/>
        <v>15200</v>
      </c>
      <c r="DU27" s="51">
        <v>7590.1</v>
      </c>
      <c r="DV27" s="51">
        <v>4239.7</v>
      </c>
      <c r="DW27" s="37">
        <f t="shared" si="90"/>
        <v>4100.0000000003638</v>
      </c>
      <c r="DX27" s="52">
        <v>12564</v>
      </c>
      <c r="DY27" s="52">
        <v>8269.2000000000007</v>
      </c>
      <c r="DZ27" s="37">
        <f t="shared" si="36"/>
        <v>8793.64</v>
      </c>
      <c r="EA27" s="49">
        <v>28080</v>
      </c>
      <c r="EB27" s="49">
        <v>19.914999999999999</v>
      </c>
      <c r="EC27" s="37">
        <f t="shared" si="37"/>
        <v>24953.64</v>
      </c>
      <c r="ED27" s="53">
        <f t="shared" si="38"/>
        <v>37847.280000000363</v>
      </c>
      <c r="EE27" s="49">
        <v>43342</v>
      </c>
      <c r="EF27" s="49">
        <v>27.597000000000001</v>
      </c>
      <c r="EG27" s="37">
        <f t="shared" si="39"/>
        <v>31953.64</v>
      </c>
      <c r="EH27" s="51">
        <v>12186</v>
      </c>
      <c r="EI27" s="51">
        <v>1.6305000000000001</v>
      </c>
      <c r="EJ27" s="37">
        <f t="shared" si="40"/>
        <v>11793.64</v>
      </c>
      <c r="EK27" s="37">
        <v>736.87</v>
      </c>
      <c r="EL27" s="40">
        <v>1058</v>
      </c>
      <c r="EM27" s="37">
        <f t="shared" si="63"/>
        <v>710.00000000003638</v>
      </c>
      <c r="EN27" s="54">
        <f t="shared" si="64"/>
        <v>44457.280000000035</v>
      </c>
      <c r="EO27" s="48">
        <v>12249</v>
      </c>
      <c r="EP27" s="48">
        <v>4267.6000000000004</v>
      </c>
      <c r="EQ27" s="37">
        <f t="shared" si="41"/>
        <v>10793.64</v>
      </c>
      <c r="ER27" s="48">
        <v>8021</v>
      </c>
      <c r="ES27" s="48">
        <v>8261.2000000000007</v>
      </c>
      <c r="ET27" s="49">
        <f t="shared" si="98"/>
        <v>12899.999999999636</v>
      </c>
      <c r="EU27" s="48">
        <v>2880.9</v>
      </c>
      <c r="EV27" s="48">
        <v>1030.3</v>
      </c>
      <c r="EW27" s="49">
        <f t="shared" si="43"/>
        <v>9593.6400000001813</v>
      </c>
      <c r="EX27" s="48">
        <v>12446</v>
      </c>
      <c r="EY27" s="48">
        <v>1.3342000000000001</v>
      </c>
      <c r="EZ27" s="37">
        <f t="shared" si="44"/>
        <v>10793.64</v>
      </c>
      <c r="FA27" s="48">
        <f t="shared" si="65"/>
        <v>-22804.919999999816</v>
      </c>
      <c r="FB27" s="48">
        <v>34533241</v>
      </c>
      <c r="FC27" s="49">
        <f t="shared" si="91"/>
        <v>21276</v>
      </c>
      <c r="FD27" s="48">
        <f t="shared" si="66"/>
        <v>45880.919999999773</v>
      </c>
      <c r="FE27" s="48">
        <v>16267</v>
      </c>
      <c r="FF27" s="48">
        <v>5832</v>
      </c>
      <c r="FG27" s="37">
        <f t="shared" si="67"/>
        <v>2126.9699999999998</v>
      </c>
      <c r="FH27" s="48">
        <v>7415.3</v>
      </c>
      <c r="FI27" s="48">
        <v>2.8551000000000002</v>
      </c>
      <c r="FJ27" s="49">
        <f t="shared" si="45"/>
        <v>1126.97</v>
      </c>
      <c r="FK27" s="48"/>
      <c r="FL27" s="58">
        <v>333.33</v>
      </c>
      <c r="FM27" s="48">
        <f t="shared" si="92"/>
        <v>-793.63666666666666</v>
      </c>
      <c r="FN27" s="48">
        <v>15569</v>
      </c>
      <c r="FO27" s="48">
        <v>0.72209999999999996</v>
      </c>
      <c r="FP27" s="37">
        <f t="shared" si="68"/>
        <v>2126.9699999999998</v>
      </c>
      <c r="FQ27" s="48">
        <v>55589</v>
      </c>
      <c r="FR27" s="55">
        <v>13.311999999999999</v>
      </c>
      <c r="FS27" s="37">
        <f t="shared" si="46"/>
        <v>3000</v>
      </c>
      <c r="FT27" s="48">
        <f t="shared" si="119"/>
        <v>-2380.91</v>
      </c>
      <c r="FU27" s="48">
        <f t="shared" si="70"/>
        <v>5380.91</v>
      </c>
      <c r="FV27" s="44">
        <v>2829300</v>
      </c>
      <c r="FW27" s="44">
        <v>910170</v>
      </c>
      <c r="FX27" s="37">
        <f t="shared" si="47"/>
        <v>34200</v>
      </c>
      <c r="FY27" s="56">
        <v>2915.1</v>
      </c>
      <c r="FZ27" s="56">
        <v>1.7101999999999999</v>
      </c>
      <c r="GA27" s="37">
        <f t="shared" si="48"/>
        <v>8299.9999999997272</v>
      </c>
      <c r="GB27" s="56">
        <v>753.46</v>
      </c>
      <c r="GC27" s="56">
        <v>838.32</v>
      </c>
      <c r="GD27" s="37">
        <f t="shared" si="49"/>
        <v>1009.9999999999909</v>
      </c>
      <c r="GE27" s="63">
        <v>9349.5</v>
      </c>
      <c r="GF27" s="56">
        <v>2.8666999999999998</v>
      </c>
      <c r="GG27" s="37">
        <f t="shared" si="50"/>
        <v>8200.0000000000455</v>
      </c>
      <c r="GH27" s="158">
        <v>1811.1</v>
      </c>
      <c r="GI27" s="159">
        <v>1533.4</v>
      </c>
      <c r="GJ27" s="38">
        <f t="shared" si="51"/>
        <v>1799.9999999999545</v>
      </c>
      <c r="GK27" s="159">
        <v>1415.7</v>
      </c>
      <c r="GL27" s="160">
        <v>1096.5</v>
      </c>
      <c r="GM27" s="38">
        <f t="shared" si="52"/>
        <v>0</v>
      </c>
      <c r="GN27" s="57">
        <v>158960</v>
      </c>
      <c r="GO27" s="57">
        <v>138720</v>
      </c>
      <c r="GP27" s="38">
        <f t="shared" si="96"/>
        <v>0</v>
      </c>
      <c r="GQ27" s="38">
        <v>214300</v>
      </c>
      <c r="GR27" s="38">
        <v>214380</v>
      </c>
      <c r="GS27" s="38">
        <f t="shared" si="71"/>
        <v>1000</v>
      </c>
      <c r="GT27" s="24"/>
      <c r="GU27" s="144">
        <f>DailyFeb!B26-DailyFeb!N26-DailyFeb!V26-DailyFeb!Y26-DailyFeb!Z26-DailyFeb!AA26-DailyFeb!AB26-DailyFeb!AC26-DailyFeb!AD26-DailyFeb!AE26-DailyFeb!AK26-DailyFeb!AO26-DailyFeb!AS26-DailyFeb!AY26-DailyFeb!BD26+DailyFeb!BS26-SUM(DailyFeb!BM26:BQ26)-DailyFeb!BR26-DailyFeb!AF26-DailyFeb!AG26</f>
        <v>-1.3999988528667018E-2</v>
      </c>
      <c r="GV27" s="59">
        <v>11904.586000011506</v>
      </c>
      <c r="GW27" s="60">
        <f t="shared" si="53"/>
        <v>793.63906666743378</v>
      </c>
      <c r="GX27" s="61">
        <v>793.64</v>
      </c>
      <c r="GY27" s="140"/>
      <c r="GZ27" s="62"/>
      <c r="HA27" s="62"/>
      <c r="HB27" s="74"/>
      <c r="HC27" s="62">
        <f t="shared" si="99"/>
        <v>83700.000000000044</v>
      </c>
      <c r="HD27" s="62"/>
      <c r="HE27" s="24">
        <f t="shared" si="54"/>
        <v>83700.000000000044</v>
      </c>
      <c r="HF27" s="3"/>
      <c r="HG27" s="213">
        <v>21</v>
      </c>
      <c r="HH27" s="16">
        <v>1377.8</v>
      </c>
      <c r="HI27" s="16">
        <v>589.99</v>
      </c>
      <c r="HJ27" s="16">
        <f t="shared" si="124"/>
        <v>83700.000000000044</v>
      </c>
      <c r="HK27" s="16">
        <v>1.9189000000000001</v>
      </c>
      <c r="HL27" s="16">
        <v>660.93</v>
      </c>
      <c r="HM27" s="16">
        <f t="shared" si="100"/>
        <v>0</v>
      </c>
      <c r="HN27" s="16">
        <v>267.92</v>
      </c>
      <c r="HO27" s="16">
        <v>122.2</v>
      </c>
      <c r="HP27" s="16">
        <f t="shared" si="120"/>
        <v>29633.333000000057</v>
      </c>
      <c r="HQ27" s="16">
        <v>379.94</v>
      </c>
      <c r="HR27" s="16">
        <v>192.89</v>
      </c>
      <c r="HS27" s="16">
        <f t="shared" si="101"/>
        <v>21863.333000000017</v>
      </c>
      <c r="HT27" s="16">
        <v>271.86</v>
      </c>
      <c r="HU27" s="16">
        <v>120.58</v>
      </c>
      <c r="HV27" s="16">
        <f t="shared" si="102"/>
        <v>17003.333000000002</v>
      </c>
      <c r="HW27" s="16"/>
      <c r="HX27" s="16"/>
      <c r="HY27" s="128">
        <f t="shared" si="121"/>
        <v>15200</v>
      </c>
      <c r="HZ27" s="211">
        <f t="shared" si="76"/>
        <v>9.9999996746191755E-4</v>
      </c>
      <c r="IA27" s="16">
        <v>184395.6</v>
      </c>
      <c r="IB27" s="16">
        <v>69496.2</v>
      </c>
      <c r="IC27" s="16">
        <f t="shared" si="103"/>
        <v>8482.3000000000175</v>
      </c>
      <c r="ID27" s="16">
        <v>120</v>
      </c>
      <c r="IE27" s="16">
        <v>56.021999999999998</v>
      </c>
      <c r="IF27" s="16">
        <f t="shared" si="104"/>
        <v>7219.9999999999991</v>
      </c>
      <c r="IG27" s="16">
        <v>31209</v>
      </c>
      <c r="IH27" s="16">
        <v>42991</v>
      </c>
      <c r="II27" s="16">
        <f t="shared" si="105"/>
        <v>1787.7000000000007</v>
      </c>
      <c r="IJ27" s="16">
        <v>24646</v>
      </c>
      <c r="IK27" s="16">
        <v>13051.6</v>
      </c>
      <c r="IL27" s="16">
        <f t="shared" si="106"/>
        <v>908.09999999999854</v>
      </c>
      <c r="IM27" s="16">
        <v>311642.90000000002</v>
      </c>
      <c r="IN27" s="16">
        <v>133134.39999999999</v>
      </c>
      <c r="IO27" s="16">
        <f t="shared" si="107"/>
        <v>21855.100000000035</v>
      </c>
      <c r="IP27" s="16">
        <v>236398.4</v>
      </c>
      <c r="IQ27" s="16">
        <v>29728.799999999999</v>
      </c>
      <c r="IR27" s="16">
        <f t="shared" si="108"/>
        <v>13866.399999999994</v>
      </c>
      <c r="IS27" s="16">
        <v>7969.25</v>
      </c>
      <c r="IT27" s="16">
        <v>4820.1000000000004</v>
      </c>
      <c r="IU27" s="16">
        <f t="shared" si="109"/>
        <v>977.55000000000018</v>
      </c>
      <c r="IV27" s="16">
        <v>112947</v>
      </c>
      <c r="IW27" s="16">
        <v>20595.900000000001</v>
      </c>
      <c r="IX27" s="16">
        <f t="shared" si="110"/>
        <v>7120.1999999999971</v>
      </c>
      <c r="IY27" s="16">
        <v>8425.7999999999993</v>
      </c>
      <c r="IZ27" s="16">
        <v>764</v>
      </c>
      <c r="JA27" s="16">
        <f t="shared" si="111"/>
        <v>355.23999999999887</v>
      </c>
      <c r="JB27" s="16">
        <v>7969.25</v>
      </c>
      <c r="JC27" s="16">
        <v>858.45</v>
      </c>
      <c r="JD27" s="16">
        <f t="shared" si="112"/>
        <v>394.5</v>
      </c>
      <c r="JE27" s="16">
        <v>142904.9</v>
      </c>
      <c r="JF27" s="16">
        <v>241379.7</v>
      </c>
      <c r="JG27" s="16">
        <f t="shared" si="113"/>
        <v>9318.7999999999884</v>
      </c>
      <c r="JH27" s="16">
        <v>149912.79999999999</v>
      </c>
      <c r="JI27" s="16">
        <v>14941.6</v>
      </c>
      <c r="JJ27" s="16">
        <f t="shared" si="122"/>
        <v>9308.3999999999942</v>
      </c>
      <c r="JK27" s="16">
        <v>9793.2000000000007</v>
      </c>
      <c r="JL27" s="16">
        <v>9598.9</v>
      </c>
      <c r="JM27" s="16">
        <f t="shared" si="114"/>
        <v>576.70000000000073</v>
      </c>
      <c r="JN27" s="16">
        <v>85859.1</v>
      </c>
      <c r="JO27" s="16">
        <v>14527.5</v>
      </c>
      <c r="JP27" s="16">
        <f t="shared" si="115"/>
        <v>6034.2100000000064</v>
      </c>
      <c r="JQ27" s="16">
        <v>279.60000000000002</v>
      </c>
      <c r="JR27" s="16">
        <v>45.56</v>
      </c>
      <c r="JS27" s="16">
        <f t="shared" si="116"/>
        <v>18.600000000000023</v>
      </c>
      <c r="JT27" s="16">
        <v>4092.3</v>
      </c>
      <c r="JU27" s="16">
        <v>321.64999999999998</v>
      </c>
      <c r="JV27" s="16">
        <f t="shared" si="117"/>
        <v>265.95000000000027</v>
      </c>
      <c r="JX27" s="151">
        <f t="shared" si="118"/>
        <v>9.9999996746191755E-4</v>
      </c>
    </row>
    <row r="28" spans="1:284" x14ac:dyDescent="0.25">
      <c r="A28" s="35">
        <f t="shared" si="1"/>
        <v>22</v>
      </c>
      <c r="B28" s="38">
        <v>3526.25</v>
      </c>
      <c r="C28" s="38">
        <f t="shared" si="2"/>
        <v>7.9499999999998181</v>
      </c>
      <c r="D28" s="38">
        <f t="shared" si="3"/>
        <v>254399.99999999418</v>
      </c>
      <c r="E28" s="38">
        <v>710</v>
      </c>
      <c r="F28" s="38">
        <f t="shared" si="95"/>
        <v>50240.000000001601</v>
      </c>
      <c r="G28" s="38">
        <f t="shared" si="5"/>
        <v>304639.99999999581</v>
      </c>
      <c r="H28" s="37"/>
      <c r="I28" s="39"/>
      <c r="J28" s="42"/>
      <c r="K28" s="37">
        <f t="shared" si="77"/>
        <v>0</v>
      </c>
      <c r="L28" s="40">
        <v>10218800</v>
      </c>
      <c r="M28" s="40"/>
      <c r="N28" s="37">
        <f t="shared" si="78"/>
        <v>298000</v>
      </c>
      <c r="O28" s="37">
        <v>9745.1</v>
      </c>
      <c r="P28" s="37"/>
      <c r="Q28" s="37">
        <f t="shared" si="126"/>
        <v>17700.000000000728</v>
      </c>
      <c r="R28" s="37">
        <f t="shared" si="79"/>
        <v>1</v>
      </c>
      <c r="S28" s="37">
        <v>11037353.800000001</v>
      </c>
      <c r="T28" s="37">
        <f t="shared" si="7"/>
        <v>10083.770000001416</v>
      </c>
      <c r="U28" s="37">
        <v>1518173.85</v>
      </c>
      <c r="V28" s="37">
        <f>IF((U28-U27)&lt;=0,0,(U28-U27))</f>
        <v>0</v>
      </c>
      <c r="W28" s="37">
        <v>3373.9</v>
      </c>
      <c r="X28" s="37">
        <f t="shared" si="93"/>
        <v>7566.229999999312</v>
      </c>
      <c r="Y28" s="183"/>
      <c r="Z28" s="183">
        <f t="shared" si="9"/>
        <v>0</v>
      </c>
      <c r="AA28" s="37">
        <v>504800</v>
      </c>
      <c r="AB28" s="37">
        <f t="shared" si="10"/>
        <v>50</v>
      </c>
      <c r="AC28" s="37">
        <v>3561.2</v>
      </c>
      <c r="AD28" s="37"/>
      <c r="AE28" s="37">
        <f t="shared" si="128"/>
        <v>4599.9999999999091</v>
      </c>
      <c r="AF28" s="37">
        <f t="shared" si="80"/>
        <v>1</v>
      </c>
      <c r="AG28" s="37">
        <v>7764.9</v>
      </c>
      <c r="AH28" s="37"/>
      <c r="AI28" s="37">
        <f t="shared" si="12"/>
        <v>10714.99</v>
      </c>
      <c r="AJ28" s="37">
        <f t="shared" si="13"/>
        <v>1</v>
      </c>
      <c r="AK28" s="37">
        <f t="shared" si="14"/>
        <v>32964.990000000638</v>
      </c>
      <c r="AL28" s="42">
        <v>9839.4</v>
      </c>
      <c r="AM28" s="2"/>
      <c r="AN28" s="37">
        <f t="shared" si="55"/>
        <v>7034.989999999686</v>
      </c>
      <c r="AO28" s="37">
        <f t="shared" si="81"/>
        <v>1</v>
      </c>
      <c r="AP28" s="37">
        <v>7488</v>
      </c>
      <c r="AQ28" s="37"/>
      <c r="AR28" s="37">
        <f t="shared" si="15"/>
        <v>12199.999999999818</v>
      </c>
      <c r="AS28" s="37">
        <f t="shared" si="82"/>
        <v>1</v>
      </c>
      <c r="AT28" s="183"/>
      <c r="AU28" s="183">
        <f t="shared" si="16"/>
        <v>0</v>
      </c>
      <c r="AV28" s="183"/>
      <c r="AW28" s="183">
        <f t="shared" si="17"/>
        <v>0</v>
      </c>
      <c r="AX28" s="37">
        <v>450900</v>
      </c>
      <c r="AY28" s="37"/>
      <c r="AZ28" s="37">
        <f t="shared" si="18"/>
        <v>378.96000000002095</v>
      </c>
      <c r="BA28" s="37">
        <v>98240</v>
      </c>
      <c r="BB28" s="37"/>
      <c r="BC28" s="37">
        <f t="shared" si="19"/>
        <v>536.21600000000035</v>
      </c>
      <c r="BD28" s="37">
        <f t="shared" si="83"/>
        <v>20150.165999999525</v>
      </c>
      <c r="BE28" s="43">
        <v>1683.7</v>
      </c>
      <c r="BF28" s="43">
        <v>917.27</v>
      </c>
      <c r="BG28" s="37">
        <f t="shared" si="20"/>
        <v>2200.0000000000455</v>
      </c>
      <c r="BH28" s="44">
        <v>8060.5</v>
      </c>
      <c r="BI28" s="44">
        <v>5186.2</v>
      </c>
      <c r="BJ28" s="37">
        <f t="shared" si="21"/>
        <v>8600.0000000003638</v>
      </c>
      <c r="BK28" s="40">
        <v>1213100</v>
      </c>
      <c r="BL28" s="40">
        <f t="shared" si="84"/>
        <v>4650</v>
      </c>
      <c r="BM28" s="40">
        <v>810.86</v>
      </c>
      <c r="BN28" s="37">
        <f t="shared" si="22"/>
        <v>649.99999999997726</v>
      </c>
      <c r="BO28" s="186"/>
      <c r="BP28" s="183">
        <f t="shared" si="23"/>
        <v>0</v>
      </c>
      <c r="BQ28" s="40">
        <v>768.8</v>
      </c>
      <c r="BR28" s="37">
        <f t="shared" si="56"/>
        <v>779.99999999997272</v>
      </c>
      <c r="BS28" s="37">
        <v>79323.5</v>
      </c>
      <c r="BT28" s="37">
        <f t="shared" si="24"/>
        <v>198.11999999999534</v>
      </c>
      <c r="BU28" s="42">
        <v>2022949</v>
      </c>
      <c r="BV28" s="42"/>
      <c r="BW28" s="37">
        <f t="shared" si="25"/>
        <v>3649</v>
      </c>
      <c r="BX28" s="37">
        <f t="shared" si="85"/>
        <v>1</v>
      </c>
      <c r="BY28" s="43">
        <v>285.28429999999997</v>
      </c>
      <c r="BZ28" s="37"/>
      <c r="CA28" s="37">
        <f t="shared" si="123"/>
        <v>794.29999999996426</v>
      </c>
      <c r="CB28" s="37">
        <f t="shared" si="57"/>
        <v>1</v>
      </c>
      <c r="CC28" s="37">
        <v>478820.6</v>
      </c>
      <c r="CD28" s="37">
        <f t="shared" si="27"/>
        <v>500.59999999997672</v>
      </c>
      <c r="CE28" s="41">
        <v>697330.8</v>
      </c>
      <c r="CF28" s="37">
        <f t="shared" si="58"/>
        <v>0</v>
      </c>
      <c r="CG28" s="37">
        <v>60278.400000000001</v>
      </c>
      <c r="CH28" s="37">
        <f t="shared" si="59"/>
        <v>0.40000000000145519</v>
      </c>
      <c r="CI28" s="40">
        <v>11110.3</v>
      </c>
      <c r="CJ28" s="40"/>
      <c r="CK28" s="37">
        <f t="shared" si="60"/>
        <v>15720.689999999309</v>
      </c>
      <c r="CL28" s="37">
        <f t="shared" si="28"/>
        <v>1</v>
      </c>
      <c r="CM28" s="37">
        <v>2907.009</v>
      </c>
      <c r="CN28" s="37"/>
      <c r="CO28" s="37">
        <f t="shared" si="29"/>
        <v>8195.9900000002217</v>
      </c>
      <c r="CP28" s="37">
        <f t="shared" si="86"/>
        <v>1</v>
      </c>
      <c r="CQ28" s="39">
        <v>2819.605</v>
      </c>
      <c r="CR28" s="39"/>
      <c r="CS28" s="37">
        <f t="shared" si="30"/>
        <v>6480.9900000000762</v>
      </c>
      <c r="CT28" s="37">
        <f t="shared" si="87"/>
        <v>1</v>
      </c>
      <c r="CU28" s="37">
        <v>2298150</v>
      </c>
      <c r="CV28" s="37"/>
      <c r="CW28" s="38">
        <f t="shared" si="31"/>
        <v>4350</v>
      </c>
      <c r="CX28" s="37">
        <f t="shared" si="88"/>
        <v>1</v>
      </c>
      <c r="CY28" s="37">
        <v>1217219</v>
      </c>
      <c r="CZ28" s="37"/>
      <c r="DA28" s="37">
        <f t="shared" si="131"/>
        <v>3867</v>
      </c>
      <c r="DB28" s="37">
        <f>IF(DA28&lt;=0,0,(DA28/SQRT(DA28^2+(CZ28-CZ27)^2)))</f>
        <v>1</v>
      </c>
      <c r="DC28" s="37"/>
      <c r="DD28" s="40"/>
      <c r="DE28" s="37">
        <f t="shared" si="33"/>
        <v>0</v>
      </c>
      <c r="DF28" s="37">
        <f t="shared" si="94"/>
        <v>0</v>
      </c>
      <c r="DG28" s="37">
        <f t="shared" si="34"/>
        <v>-42263.669999999605</v>
      </c>
      <c r="DH28" s="37">
        <f t="shared" si="35"/>
        <v>333164.99000000069</v>
      </c>
      <c r="DI28" s="46"/>
      <c r="DJ28" s="46"/>
      <c r="DK28" s="47"/>
      <c r="DL28" s="47"/>
      <c r="DM28" s="37"/>
      <c r="DN28" s="37"/>
      <c r="DO28" s="37"/>
      <c r="DP28" s="37"/>
      <c r="DQ28" s="50">
        <v>2743600</v>
      </c>
      <c r="DR28" s="49">
        <f t="shared" si="61"/>
        <v>9300</v>
      </c>
      <c r="DS28" s="50">
        <v>2149800</v>
      </c>
      <c r="DT28" s="49">
        <f t="shared" si="62"/>
        <v>16300</v>
      </c>
      <c r="DU28" s="51">
        <v>7594.2</v>
      </c>
      <c r="DV28" s="51">
        <v>4242.2</v>
      </c>
      <c r="DW28" s="37">
        <f t="shared" si="90"/>
        <v>4099.9999999994543</v>
      </c>
      <c r="DX28" s="52">
        <v>12571</v>
      </c>
      <c r="DY28" s="52">
        <v>8271.2999999999993</v>
      </c>
      <c r="DZ28" s="37">
        <f t="shared" si="36"/>
        <v>7214.99</v>
      </c>
      <c r="EA28" s="49">
        <v>28102</v>
      </c>
      <c r="EB28" s="49">
        <v>19.927</v>
      </c>
      <c r="EC28" s="37">
        <f t="shared" si="37"/>
        <v>24374.99</v>
      </c>
      <c r="ED28" s="53">
        <f t="shared" si="38"/>
        <v>35689.979999999458</v>
      </c>
      <c r="EE28" s="49">
        <v>43370</v>
      </c>
      <c r="EF28" s="49">
        <v>27.623000000000001</v>
      </c>
      <c r="EG28" s="37">
        <f t="shared" si="39"/>
        <v>30374.99</v>
      </c>
      <c r="EH28" s="51">
        <v>12197</v>
      </c>
      <c r="EI28" s="51">
        <v>1.6322000000000001</v>
      </c>
      <c r="EJ28" s="37">
        <f t="shared" si="40"/>
        <v>11214.99</v>
      </c>
      <c r="EK28" s="37">
        <v>737.55</v>
      </c>
      <c r="EL28" s="40">
        <v>1059</v>
      </c>
      <c r="EM28" s="37">
        <f t="shared" si="63"/>
        <v>679.99999999994998</v>
      </c>
      <c r="EN28" s="54">
        <f t="shared" si="64"/>
        <v>42269.979999999952</v>
      </c>
      <c r="EO28" s="48">
        <v>12259</v>
      </c>
      <c r="EP28" s="48">
        <v>4271</v>
      </c>
      <c r="EQ28" s="37">
        <f t="shared" si="41"/>
        <v>10214.99</v>
      </c>
      <c r="ER28" s="48">
        <v>8039.3</v>
      </c>
      <c r="ES28" s="48">
        <v>8268.7999999999993</v>
      </c>
      <c r="ET28" s="49">
        <f t="shared" si="98"/>
        <v>18300.000000000182</v>
      </c>
      <c r="EU28" s="48">
        <v>2889.4</v>
      </c>
      <c r="EV28" s="48">
        <v>1033.3</v>
      </c>
      <c r="EW28" s="49">
        <f t="shared" si="43"/>
        <v>8714.99</v>
      </c>
      <c r="EX28" s="48">
        <v>12458</v>
      </c>
      <c r="EY28" s="48">
        <v>1.3368</v>
      </c>
      <c r="EZ28" s="37">
        <f t="shared" si="44"/>
        <v>12214.99</v>
      </c>
      <c r="FA28" s="48">
        <f t="shared" si="65"/>
        <v>-24347.970000000183</v>
      </c>
      <c r="FB28" s="48">
        <v>34558338</v>
      </c>
      <c r="FC28" s="49">
        <f t="shared" si="91"/>
        <v>25097</v>
      </c>
      <c r="FD28" s="48">
        <f t="shared" si="66"/>
        <v>51344.970000000263</v>
      </c>
      <c r="FE28" s="48">
        <v>16268</v>
      </c>
      <c r="FF28" s="48">
        <v>5832</v>
      </c>
      <c r="FG28" s="37">
        <f t="shared" si="67"/>
        <v>1148.3200000000002</v>
      </c>
      <c r="FH28" s="48">
        <v>7415.5</v>
      </c>
      <c r="FI28" s="48">
        <v>2.8553000000000002</v>
      </c>
      <c r="FJ28" s="49">
        <f t="shared" si="45"/>
        <v>348.31999999981809</v>
      </c>
      <c r="FK28" s="48"/>
      <c r="FL28" s="58">
        <v>-66.67</v>
      </c>
      <c r="FM28" s="48">
        <f t="shared" si="92"/>
        <v>-214.98666666660611</v>
      </c>
      <c r="FN28" s="48">
        <v>15570</v>
      </c>
      <c r="FO28" s="48">
        <v>0.72219999999999995</v>
      </c>
      <c r="FP28" s="37">
        <f t="shared" si="68"/>
        <v>1148.3200000000002</v>
      </c>
      <c r="FQ28" s="48">
        <v>55591</v>
      </c>
      <c r="FR28" s="48">
        <v>13.311999999999999</v>
      </c>
      <c r="FS28" s="37">
        <f t="shared" si="46"/>
        <v>2000</v>
      </c>
      <c r="FT28" s="48">
        <f t="shared" si="119"/>
        <v>-644.95999999981836</v>
      </c>
      <c r="FU28" s="48">
        <f t="shared" si="70"/>
        <v>2644.9599999998181</v>
      </c>
      <c r="FV28" s="44">
        <v>2862600</v>
      </c>
      <c r="FW28" s="44">
        <v>920350</v>
      </c>
      <c r="FX28" s="37">
        <f t="shared" si="47"/>
        <v>33300</v>
      </c>
      <c r="FY28" s="56">
        <v>2923.4</v>
      </c>
      <c r="FZ28" s="56">
        <v>1.7184999999999999</v>
      </c>
      <c r="GA28" s="37">
        <f t="shared" si="48"/>
        <v>7300.0000000001819</v>
      </c>
      <c r="GB28" s="56">
        <v>754.39</v>
      </c>
      <c r="GC28" s="56">
        <v>839.52</v>
      </c>
      <c r="GD28" s="37">
        <f t="shared" si="49"/>
        <v>929.99999999994998</v>
      </c>
      <c r="GE28" s="56">
        <v>9358.6</v>
      </c>
      <c r="GF28" s="56">
        <v>2.8738000000000001</v>
      </c>
      <c r="GG28" s="37">
        <f t="shared" si="50"/>
        <v>7200.0000000002728</v>
      </c>
      <c r="GH28" s="158">
        <v>1813</v>
      </c>
      <c r="GI28" s="159">
        <v>1535.3</v>
      </c>
      <c r="GJ28" s="38">
        <f t="shared" si="51"/>
        <v>1900.0000000000909</v>
      </c>
      <c r="GK28" s="159">
        <v>1415.7</v>
      </c>
      <c r="GL28" s="160">
        <v>1096.5</v>
      </c>
      <c r="GM28" s="38">
        <f>IF((GK28-GK27)&lt;=0,0,(GK28-GK27))*1000</f>
        <v>0</v>
      </c>
      <c r="GN28" s="57">
        <v>158960</v>
      </c>
      <c r="GO28" s="57">
        <v>138720</v>
      </c>
      <c r="GP28" s="38">
        <f t="shared" si="96"/>
        <v>0</v>
      </c>
      <c r="GQ28" s="38">
        <v>215300</v>
      </c>
      <c r="GR28" s="38">
        <v>215290</v>
      </c>
      <c r="GS28" s="38">
        <f t="shared" si="71"/>
        <v>1000</v>
      </c>
      <c r="GT28" s="178"/>
      <c r="GU28" s="144">
        <f>DailyFeb!B27-DailyFeb!N27-DailyFeb!V27-DailyFeb!Y27-DailyFeb!Z27-DailyFeb!AA27-DailyFeb!AB27-DailyFeb!AC27-DailyFeb!AD27-DailyFeb!AE27-DailyFeb!AK27-DailyFeb!AO27-DailyFeb!AS27-DailyFeb!AY27-DailyFeb!BD27+DailyFeb!BS27-SUM(DailyFeb!BM27:BQ27)-DailyFeb!BR27-DailyFeb!AF27-DailyFeb!AG27</f>
        <v>-1.6000004296074621E-2</v>
      </c>
      <c r="GV28" s="59">
        <v>3224.8339999957243</v>
      </c>
      <c r="GW28" s="60">
        <f t="shared" si="53"/>
        <v>214.98893333304829</v>
      </c>
      <c r="GX28" s="61">
        <v>214.99</v>
      </c>
      <c r="GY28" s="140"/>
      <c r="GZ28" s="62"/>
      <c r="HA28" s="62"/>
      <c r="HB28" s="74"/>
      <c r="HC28" s="62">
        <f t="shared" si="99"/>
        <v>88400.000000000087</v>
      </c>
      <c r="HD28" s="74"/>
      <c r="HE28" s="24">
        <f t="shared" si="54"/>
        <v>88400.000000000087</v>
      </c>
      <c r="HF28" s="151"/>
      <c r="HG28" s="213">
        <v>22</v>
      </c>
      <c r="HH28" s="16">
        <v>1466.2</v>
      </c>
      <c r="HI28" s="16">
        <v>621.77</v>
      </c>
      <c r="HJ28" s="16">
        <f t="shared" si="124"/>
        <v>88400.000000000087</v>
      </c>
      <c r="HK28" s="16">
        <v>1.9189000000000001</v>
      </c>
      <c r="HL28" s="16">
        <v>660.93</v>
      </c>
      <c r="HM28" s="16">
        <f t="shared" si="100"/>
        <v>0</v>
      </c>
      <c r="HN28" s="16">
        <v>283.25</v>
      </c>
      <c r="HO28" s="16">
        <v>127.9</v>
      </c>
      <c r="HP28" s="16">
        <f t="shared" si="120"/>
        <v>30756.666699999969</v>
      </c>
      <c r="HQ28" s="16">
        <v>401.96</v>
      </c>
      <c r="HR28" s="16">
        <v>202.24</v>
      </c>
      <c r="HS28" s="16">
        <f t="shared" si="101"/>
        <v>22116.666699999983</v>
      </c>
      <c r="HT28" s="16">
        <v>290.99</v>
      </c>
      <c r="HU28" s="16">
        <v>127.94</v>
      </c>
      <c r="HV28" s="16">
        <f t="shared" si="102"/>
        <v>19226.666699999998</v>
      </c>
      <c r="HW28" s="16"/>
      <c r="HX28" s="16"/>
      <c r="HY28" s="128">
        <f t="shared" si="121"/>
        <v>16300</v>
      </c>
      <c r="HZ28" s="211">
        <f t="shared" si="76"/>
        <v>-9.9999870144529268E-5</v>
      </c>
      <c r="IA28" s="16">
        <v>193106.3</v>
      </c>
      <c r="IB28" s="16">
        <v>71922.600000000006</v>
      </c>
      <c r="IC28" s="16">
        <f t="shared" si="103"/>
        <v>8710.6999999999825</v>
      </c>
      <c r="ID28" s="16">
        <v>127.49</v>
      </c>
      <c r="IE28" s="16">
        <v>59.414000000000001</v>
      </c>
      <c r="IF28" s="16">
        <f t="shared" si="104"/>
        <v>7489.9999999999945</v>
      </c>
      <c r="IG28" s="16">
        <v>33284.6</v>
      </c>
      <c r="IH28" s="16">
        <v>45852.1</v>
      </c>
      <c r="II28" s="16">
        <f t="shared" si="105"/>
        <v>2075.5999999999985</v>
      </c>
      <c r="IJ28" s="16">
        <v>25568.1</v>
      </c>
      <c r="IK28" s="16">
        <v>13547.2</v>
      </c>
      <c r="IL28" s="16">
        <f t="shared" si="106"/>
        <v>922.09999999999854</v>
      </c>
      <c r="IM28" s="16">
        <v>333424</v>
      </c>
      <c r="IN28" s="16">
        <v>142049.20000000001</v>
      </c>
      <c r="IO28" s="16">
        <f t="shared" si="107"/>
        <v>21781.099999999977</v>
      </c>
      <c r="IP28" s="16">
        <v>250290.6</v>
      </c>
      <c r="IQ28" s="16">
        <v>31435.200000000001</v>
      </c>
      <c r="IR28" s="16">
        <f t="shared" si="108"/>
        <v>13892.200000000012</v>
      </c>
      <c r="IS28" s="16">
        <v>8112.3</v>
      </c>
      <c r="IT28" s="16">
        <v>5222.1000000000004</v>
      </c>
      <c r="IU28" s="16">
        <f t="shared" si="109"/>
        <v>143.05000000000018</v>
      </c>
      <c r="IV28" s="16">
        <v>119968.1</v>
      </c>
      <c r="IW28" s="16">
        <v>21887.7</v>
      </c>
      <c r="IX28" s="16">
        <f t="shared" si="110"/>
        <v>7021.1000000000058</v>
      </c>
      <c r="IY28" s="16">
        <v>8761.6</v>
      </c>
      <c r="IZ28" s="16">
        <v>799.16</v>
      </c>
      <c r="JA28" s="16">
        <f t="shared" si="111"/>
        <v>335.80000000000109</v>
      </c>
      <c r="JB28" s="16">
        <v>8261.5499999999993</v>
      </c>
      <c r="JC28" s="16">
        <v>894.55</v>
      </c>
      <c r="JD28" s="16">
        <f t="shared" si="112"/>
        <v>292.29999999999927</v>
      </c>
      <c r="JE28" s="16">
        <v>153179.29999999999</v>
      </c>
      <c r="JF28" s="16">
        <v>259185.2</v>
      </c>
      <c r="JG28" s="16">
        <f t="shared" si="113"/>
        <v>10274.399999999994</v>
      </c>
      <c r="JH28" s="16">
        <v>160246.20000000001</v>
      </c>
      <c r="JI28" s="16">
        <v>15873.6</v>
      </c>
      <c r="JJ28" s="16">
        <f t="shared" si="122"/>
        <v>10333.400000000023</v>
      </c>
      <c r="JK28" s="16">
        <v>10394.9</v>
      </c>
      <c r="JL28" s="16">
        <v>1151.5999999999999</v>
      </c>
      <c r="JM28" s="16">
        <f t="shared" si="114"/>
        <v>601.69999999999891</v>
      </c>
      <c r="JN28" s="16">
        <v>92670.9</v>
      </c>
      <c r="JO28" s="16">
        <v>15656.1</v>
      </c>
      <c r="JP28" s="16">
        <f t="shared" si="115"/>
        <v>6811.7999999999884</v>
      </c>
      <c r="JQ28" s="16">
        <v>301.04000000000002</v>
      </c>
      <c r="JR28" s="16">
        <v>53.6</v>
      </c>
      <c r="JS28" s="16">
        <f t="shared" si="116"/>
        <v>21.439999999999998</v>
      </c>
      <c r="JT28" s="16">
        <v>4336.55</v>
      </c>
      <c r="JU28" s="16">
        <v>341.8</v>
      </c>
      <c r="JV28" s="16">
        <f t="shared" si="117"/>
        <v>244.25</v>
      </c>
      <c r="JX28" s="151">
        <f t="shared" si="118"/>
        <v>-9.9999870144529268E-5</v>
      </c>
    </row>
    <row r="29" spans="1:284" x14ac:dyDescent="0.25">
      <c r="A29" s="35">
        <f t="shared" si="1"/>
        <v>23</v>
      </c>
      <c r="B29" s="38">
        <v>3534.31</v>
      </c>
      <c r="C29" s="38">
        <f t="shared" si="2"/>
        <v>8.0599999999999454</v>
      </c>
      <c r="D29" s="38">
        <f t="shared" si="3"/>
        <v>257919.99999999825</v>
      </c>
      <c r="E29" s="38">
        <v>711.67</v>
      </c>
      <c r="F29" s="38">
        <f t="shared" si="95"/>
        <v>53439.99999999869</v>
      </c>
      <c r="G29" s="38">
        <f t="shared" si="5"/>
        <v>311359.99999999697</v>
      </c>
      <c r="H29" s="37"/>
      <c r="I29" s="39"/>
      <c r="J29" s="42"/>
      <c r="K29" s="37">
        <f t="shared" si="77"/>
        <v>0</v>
      </c>
      <c r="L29" s="40">
        <v>10249800</v>
      </c>
      <c r="M29" s="40"/>
      <c r="N29" s="37">
        <f t="shared" si="78"/>
        <v>310000</v>
      </c>
      <c r="O29" s="37">
        <v>9763.1</v>
      </c>
      <c r="P29" s="37"/>
      <c r="Q29" s="37">
        <f t="shared" si="126"/>
        <v>18000</v>
      </c>
      <c r="R29" s="37">
        <f t="shared" si="79"/>
        <v>1</v>
      </c>
      <c r="S29" s="37">
        <v>11047513.890000001</v>
      </c>
      <c r="T29" s="37">
        <f t="shared" si="7"/>
        <v>10160.089999999851</v>
      </c>
      <c r="U29" s="37">
        <v>1518173.85</v>
      </c>
      <c r="V29" s="37">
        <f t="shared" si="8"/>
        <v>0</v>
      </c>
      <c r="W29" s="37">
        <v>3380.2</v>
      </c>
      <c r="X29" s="37">
        <f t="shared" si="93"/>
        <v>7839.910000000149</v>
      </c>
      <c r="Y29" s="183"/>
      <c r="Z29" s="183">
        <f t="shared" si="9"/>
        <v>0</v>
      </c>
      <c r="AA29" s="37">
        <v>504800</v>
      </c>
      <c r="AB29" s="37">
        <f t="shared" si="10"/>
        <v>0</v>
      </c>
      <c r="AC29" s="37">
        <v>3566.7</v>
      </c>
      <c r="AD29" s="37"/>
      <c r="AE29" s="37">
        <f t="shared" si="128"/>
        <v>5500</v>
      </c>
      <c r="AF29" s="37">
        <f t="shared" si="80"/>
        <v>1</v>
      </c>
      <c r="AG29" s="37">
        <v>7777.2</v>
      </c>
      <c r="AH29" s="37"/>
      <c r="AI29" s="37">
        <f t="shared" si="12"/>
        <v>12643.570000000182</v>
      </c>
      <c r="AJ29" s="37">
        <f t="shared" si="13"/>
        <v>1</v>
      </c>
      <c r="AK29" s="37">
        <f t="shared" si="14"/>
        <v>36143.570000000182</v>
      </c>
      <c r="AL29" s="42">
        <v>9852.6</v>
      </c>
      <c r="AM29" s="42"/>
      <c r="AN29" s="37">
        <f t="shared" si="55"/>
        <v>7963.5700000007782</v>
      </c>
      <c r="AO29" s="37">
        <f t="shared" si="81"/>
        <v>1</v>
      </c>
      <c r="AP29" s="67">
        <v>7500.2</v>
      </c>
      <c r="AQ29" s="37"/>
      <c r="AR29" s="37">
        <f t="shared" si="15"/>
        <v>12199.999999999818</v>
      </c>
      <c r="AS29" s="37">
        <f t="shared" si="82"/>
        <v>1</v>
      </c>
      <c r="AT29" s="183"/>
      <c r="AU29" s="183">
        <f t="shared" si="16"/>
        <v>0</v>
      </c>
      <c r="AV29" s="183"/>
      <c r="AW29" s="183">
        <f t="shared" si="17"/>
        <v>0</v>
      </c>
      <c r="AX29" s="37">
        <v>451400</v>
      </c>
      <c r="AY29" s="37"/>
      <c r="AZ29" s="37">
        <f t="shared" si="18"/>
        <v>500</v>
      </c>
      <c r="BA29" s="37">
        <v>98526</v>
      </c>
      <c r="BB29" s="37"/>
      <c r="BC29" s="37">
        <f t="shared" si="19"/>
        <v>286</v>
      </c>
      <c r="BD29" s="37">
        <f t="shared" si="83"/>
        <v>20949.570000000596</v>
      </c>
      <c r="BE29" s="43">
        <v>1685.9</v>
      </c>
      <c r="BF29" s="43">
        <v>918.57</v>
      </c>
      <c r="BG29" s="37">
        <f t="shared" si="20"/>
        <v>2200.0000000000455</v>
      </c>
      <c r="BH29" s="44">
        <v>8069</v>
      </c>
      <c r="BI29" s="44">
        <v>5191.6000000000004</v>
      </c>
      <c r="BJ29" s="37">
        <f t="shared" si="21"/>
        <v>8500</v>
      </c>
      <c r="BK29" s="40">
        <v>1217500</v>
      </c>
      <c r="BL29" s="40">
        <f t="shared" si="84"/>
        <v>4400</v>
      </c>
      <c r="BM29" s="40">
        <v>811.54</v>
      </c>
      <c r="BN29" s="37">
        <f t="shared" si="22"/>
        <v>679.99999999994998</v>
      </c>
      <c r="BO29" s="186"/>
      <c r="BP29" s="183">
        <f t="shared" si="23"/>
        <v>0</v>
      </c>
      <c r="BQ29" s="40">
        <v>769.3</v>
      </c>
      <c r="BR29" s="37">
        <f t="shared" si="56"/>
        <v>500</v>
      </c>
      <c r="BS29" s="37">
        <v>79535.92</v>
      </c>
      <c r="BT29" s="37">
        <f t="shared" si="24"/>
        <v>212.41999999999825</v>
      </c>
      <c r="BU29" s="42">
        <v>2027428</v>
      </c>
      <c r="BV29" s="42"/>
      <c r="BW29" s="37">
        <f t="shared" si="25"/>
        <v>4479</v>
      </c>
      <c r="BX29" s="37">
        <f t="shared" si="85"/>
        <v>1</v>
      </c>
      <c r="BY29" s="43">
        <v>286.18920000000003</v>
      </c>
      <c r="BZ29" s="43"/>
      <c r="CA29" s="37">
        <f t="shared" si="123"/>
        <v>904.90000000005466</v>
      </c>
      <c r="CB29" s="37">
        <f t="shared" si="57"/>
        <v>1</v>
      </c>
      <c r="CC29" s="37">
        <v>478849.8</v>
      </c>
      <c r="CD29" s="37">
        <f t="shared" si="27"/>
        <v>29.200000000011642</v>
      </c>
      <c r="CE29" s="41">
        <v>697330.8</v>
      </c>
      <c r="CF29" s="37">
        <f t="shared" si="58"/>
        <v>0</v>
      </c>
      <c r="CG29" s="37">
        <v>60967.7</v>
      </c>
      <c r="CH29" s="37">
        <f t="shared" si="59"/>
        <v>689.29999999999563</v>
      </c>
      <c r="CI29" s="40">
        <v>11126.95</v>
      </c>
      <c r="CJ29" s="40"/>
      <c r="CK29" s="37">
        <f t="shared" si="60"/>
        <v>16088.670000001401</v>
      </c>
      <c r="CL29" s="37">
        <f t="shared" si="28"/>
        <v>1</v>
      </c>
      <c r="CM29" s="37">
        <v>2915.694</v>
      </c>
      <c r="CN29" s="37"/>
      <c r="CO29" s="37">
        <f t="shared" si="29"/>
        <v>9028.5699999999451</v>
      </c>
      <c r="CP29" s="37">
        <f t="shared" si="86"/>
        <v>1</v>
      </c>
      <c r="CQ29" s="39">
        <v>2826.1460000000002</v>
      </c>
      <c r="CR29" s="39"/>
      <c r="CS29" s="37">
        <f>IF((CQ29-CQ28)&lt;=0,0,(CQ29-CQ28))*1000+GX29</f>
        <v>6884.5700000001671</v>
      </c>
      <c r="CT29" s="37">
        <f t="shared" si="87"/>
        <v>1</v>
      </c>
      <c r="CU29" s="37">
        <v>2317065</v>
      </c>
      <c r="CV29" s="37"/>
      <c r="CW29" s="38">
        <f t="shared" si="31"/>
        <v>18915</v>
      </c>
      <c r="CX29" s="37">
        <f t="shared" si="88"/>
        <v>1</v>
      </c>
      <c r="CY29" s="37">
        <v>1226612</v>
      </c>
      <c r="CZ29" s="37"/>
      <c r="DA29" s="37">
        <f t="shared" si="131"/>
        <v>9393</v>
      </c>
      <c r="DB29" s="37">
        <f t="shared" si="89"/>
        <v>1</v>
      </c>
      <c r="DC29" s="37"/>
      <c r="DD29" s="40"/>
      <c r="DE29" s="37">
        <f t="shared" si="33"/>
        <v>0</v>
      </c>
      <c r="DF29" s="37">
        <f t="shared" si="94"/>
        <v>0</v>
      </c>
      <c r="DG29" s="37">
        <f t="shared" si="34"/>
        <v>-64788.810000001518</v>
      </c>
      <c r="DH29" s="37">
        <f t="shared" si="35"/>
        <v>348343.57000000024</v>
      </c>
      <c r="DI29" s="46"/>
      <c r="DJ29" s="46"/>
      <c r="DK29" s="47"/>
      <c r="DL29" s="47"/>
      <c r="DM29" s="37"/>
      <c r="DN29" s="37"/>
      <c r="DO29" s="37"/>
      <c r="DP29" s="37"/>
      <c r="DQ29" s="50">
        <v>2752000</v>
      </c>
      <c r="DR29" s="49">
        <f t="shared" si="61"/>
        <v>8400</v>
      </c>
      <c r="DS29" s="50">
        <v>2167000</v>
      </c>
      <c r="DT29" s="49">
        <f t="shared" si="62"/>
        <v>17200</v>
      </c>
      <c r="DU29" s="72">
        <v>7599.1</v>
      </c>
      <c r="DV29" s="51">
        <v>4245.1000000000004</v>
      </c>
      <c r="DW29" s="37">
        <f t="shared" si="90"/>
        <v>4900.0000000005457</v>
      </c>
      <c r="DX29" s="52">
        <v>12579</v>
      </c>
      <c r="DY29" s="52">
        <v>8273.6</v>
      </c>
      <c r="DZ29" s="37">
        <f t="shared" si="36"/>
        <v>8343.57</v>
      </c>
      <c r="EA29" s="49">
        <v>28125</v>
      </c>
      <c r="EB29" s="49">
        <v>19.939</v>
      </c>
      <c r="EC29" s="37">
        <f t="shared" si="37"/>
        <v>25503.57</v>
      </c>
      <c r="ED29" s="53">
        <f t="shared" si="38"/>
        <v>38747.140000000545</v>
      </c>
      <c r="EE29" s="49">
        <v>43400</v>
      </c>
      <c r="EF29" s="49">
        <v>27.651</v>
      </c>
      <c r="EG29" s="37">
        <f t="shared" si="39"/>
        <v>32503.57</v>
      </c>
      <c r="EH29" s="72">
        <v>12207</v>
      </c>
      <c r="EI29" s="51">
        <v>1.6337999999999999</v>
      </c>
      <c r="EJ29" s="37">
        <f t="shared" si="40"/>
        <v>10343.57</v>
      </c>
      <c r="EK29" s="37">
        <v>738.41</v>
      </c>
      <c r="EL29" s="40">
        <v>1060.2</v>
      </c>
      <c r="EM29" s="37">
        <f t="shared" si="63"/>
        <v>860.00000000001364</v>
      </c>
      <c r="EN29" s="54">
        <f t="shared" si="64"/>
        <v>43707.140000000014</v>
      </c>
      <c r="EO29" s="48">
        <v>12270</v>
      </c>
      <c r="EP29" s="48">
        <v>4274.5</v>
      </c>
      <c r="EQ29" s="37">
        <f t="shared" si="41"/>
        <v>11343.57</v>
      </c>
      <c r="ER29" s="48">
        <v>8059</v>
      </c>
      <c r="ES29" s="48">
        <v>8276.7999999999993</v>
      </c>
      <c r="ET29" s="49">
        <f t="shared" si="98"/>
        <v>19699.999999999818</v>
      </c>
      <c r="EU29" s="48">
        <v>2896.7</v>
      </c>
      <c r="EV29" s="48">
        <v>1035.9000000000001</v>
      </c>
      <c r="EW29" s="49">
        <f t="shared" si="43"/>
        <v>7643.5699999997269</v>
      </c>
      <c r="EX29" s="48">
        <v>12471</v>
      </c>
      <c r="EY29" s="55">
        <v>1.339</v>
      </c>
      <c r="EZ29" s="37">
        <f t="shared" si="44"/>
        <v>13343.57</v>
      </c>
      <c r="FA29" s="48">
        <f t="shared" si="65"/>
        <v>-26454.709999999544</v>
      </c>
      <c r="FB29" s="48">
        <v>34583914</v>
      </c>
      <c r="FC29" s="49">
        <f t="shared" si="91"/>
        <v>25576</v>
      </c>
      <c r="FD29" s="48">
        <f t="shared" si="66"/>
        <v>53730.709999999592</v>
      </c>
      <c r="FE29" s="48">
        <v>16269</v>
      </c>
      <c r="FF29" s="48">
        <v>5832</v>
      </c>
      <c r="FG29" s="37">
        <f t="shared" si="67"/>
        <v>1310.24</v>
      </c>
      <c r="FH29" s="48">
        <v>7415.6</v>
      </c>
      <c r="FI29" s="48">
        <v>2.8553999999999999</v>
      </c>
      <c r="FJ29" s="49">
        <f t="shared" si="45"/>
        <v>410.24000000036381</v>
      </c>
      <c r="FK29" s="48"/>
      <c r="FL29" s="58">
        <v>-33.33</v>
      </c>
      <c r="FM29" s="48">
        <f t="shared" si="92"/>
        <v>-343.57333333345463</v>
      </c>
      <c r="FN29" s="48">
        <v>15571</v>
      </c>
      <c r="FO29" s="48">
        <v>0.72219999999999995</v>
      </c>
      <c r="FP29" s="37">
        <f t="shared" si="68"/>
        <v>1310.24</v>
      </c>
      <c r="FQ29" s="48">
        <v>55593</v>
      </c>
      <c r="FR29" s="48">
        <v>13.311999999999999</v>
      </c>
      <c r="FS29" s="37">
        <f t="shared" si="46"/>
        <v>2000</v>
      </c>
      <c r="FT29" s="48">
        <f t="shared" si="119"/>
        <v>-1030.7200000003638</v>
      </c>
      <c r="FU29" s="48">
        <f t="shared" si="70"/>
        <v>3330.7200000003186</v>
      </c>
      <c r="FV29" s="44">
        <v>2882200</v>
      </c>
      <c r="FW29" s="65">
        <v>926420</v>
      </c>
      <c r="FX29" s="37">
        <f t="shared" si="47"/>
        <v>19600</v>
      </c>
      <c r="FY29" s="56">
        <v>2929.6</v>
      </c>
      <c r="FZ29" s="56">
        <v>1.7242</v>
      </c>
      <c r="GA29" s="37">
        <f t="shared" si="48"/>
        <v>5159.9999999998181</v>
      </c>
      <c r="GB29" s="56">
        <v>755.07</v>
      </c>
      <c r="GC29" s="56">
        <v>840.38</v>
      </c>
      <c r="GD29" s="37">
        <f t="shared" si="49"/>
        <v>680.00000000006366</v>
      </c>
      <c r="GE29" s="56">
        <v>9365.9</v>
      </c>
      <c r="GF29" s="56">
        <v>2.8794</v>
      </c>
      <c r="GG29" s="37">
        <f t="shared" si="50"/>
        <v>5299.9999999992724</v>
      </c>
      <c r="GH29" s="158">
        <v>1814.7</v>
      </c>
      <c r="GI29" s="159">
        <v>1537</v>
      </c>
      <c r="GJ29" s="38">
        <f t="shared" si="51"/>
        <v>1700.0000000000455</v>
      </c>
      <c r="GK29" s="159">
        <v>1416</v>
      </c>
      <c r="GL29" s="160">
        <v>1096.5999999999999</v>
      </c>
      <c r="GM29" s="38">
        <f t="shared" si="52"/>
        <v>299.99999999995453</v>
      </c>
      <c r="GN29" s="57">
        <v>158970</v>
      </c>
      <c r="GO29" s="57">
        <v>138730</v>
      </c>
      <c r="GP29" s="38">
        <f t="shared" si="96"/>
        <v>10</v>
      </c>
      <c r="GQ29" s="38">
        <v>216340</v>
      </c>
      <c r="GR29" s="38">
        <v>216230</v>
      </c>
      <c r="GS29" s="38">
        <f t="shared" si="71"/>
        <v>1040</v>
      </c>
      <c r="GT29" s="178"/>
      <c r="GU29" s="144">
        <f>DailyFeb!B28-DailyFeb!N28-DailyFeb!V28-DailyFeb!Y28-DailyFeb!Z28-DailyFeb!AA28-DailyFeb!AB28-DailyFeb!AC28-DailyFeb!AD28-DailyFeb!AE28-DailyFeb!AK28-DailyFeb!AO28-DailyFeb!AS28-DailyFeb!AY28-DailyFeb!BD28+DailyFeb!BS28-SUM(DailyFeb!BM28:BQ28)-DailyFeb!BR28-DailyFeb!AF28-DailyFeb!AG28</f>
        <v>-6.0000004814355634E-2</v>
      </c>
      <c r="GV29" s="59">
        <v>5153.489999995174</v>
      </c>
      <c r="GW29" s="60">
        <f t="shared" si="53"/>
        <v>343.56599999967824</v>
      </c>
      <c r="GX29" s="61">
        <v>343.57</v>
      </c>
      <c r="GY29" s="140"/>
      <c r="GZ29" s="62"/>
      <c r="HA29" s="62"/>
      <c r="HB29" s="74"/>
      <c r="HC29" s="62">
        <f t="shared" si="99"/>
        <v>83899.999999999869</v>
      </c>
      <c r="HD29" s="74"/>
      <c r="HE29" s="24">
        <f t="shared" si="54"/>
        <v>83899.999999999869</v>
      </c>
      <c r="HG29" s="213">
        <v>23</v>
      </c>
      <c r="HH29" s="16">
        <v>1550.1</v>
      </c>
      <c r="HI29" s="16">
        <v>652.13</v>
      </c>
      <c r="HJ29" s="16">
        <f t="shared" si="124"/>
        <v>83899.999999999869</v>
      </c>
      <c r="HK29" s="16">
        <v>1.9189000000000001</v>
      </c>
      <c r="HL29" s="16">
        <v>660.93</v>
      </c>
      <c r="HM29" s="16">
        <f t="shared" si="100"/>
        <v>0</v>
      </c>
      <c r="HN29" s="16">
        <v>297.87</v>
      </c>
      <c r="HO29" s="16">
        <v>133.08000000000001</v>
      </c>
      <c r="HP29" s="16">
        <f t="shared" si="120"/>
        <v>29243.333330000009</v>
      </c>
      <c r="HQ29" s="16">
        <v>422.06</v>
      </c>
      <c r="HR29" s="16">
        <v>210.92</v>
      </c>
      <c r="HS29" s="16">
        <f t="shared" si="101"/>
        <v>20103.333330000023</v>
      </c>
      <c r="HT29" s="16">
        <v>308.33999999999997</v>
      </c>
      <c r="HU29" s="16">
        <v>134.80000000000001</v>
      </c>
      <c r="HV29" s="16">
        <f t="shared" si="102"/>
        <v>17353.333329999969</v>
      </c>
      <c r="HW29" s="16"/>
      <c r="HX29" s="16"/>
      <c r="HY29" s="128">
        <f t="shared" si="121"/>
        <v>17200</v>
      </c>
      <c r="HZ29" s="211">
        <f t="shared" si="76"/>
        <v>9.9998687801416963E-6</v>
      </c>
      <c r="IA29" s="16">
        <v>200255.9</v>
      </c>
      <c r="IB29" s="16">
        <v>73163.100000000006</v>
      </c>
      <c r="IC29" s="16">
        <f t="shared" si="103"/>
        <v>7149.6000000000058</v>
      </c>
      <c r="ID29" s="16">
        <v>135.19</v>
      </c>
      <c r="IE29" s="16">
        <v>62.847000000000001</v>
      </c>
      <c r="IF29" s="16">
        <f t="shared" si="104"/>
        <v>7700.0000000000027</v>
      </c>
      <c r="IG29" s="16">
        <v>35299.800000000003</v>
      </c>
      <c r="IH29" s="16">
        <v>48615.9</v>
      </c>
      <c r="II29" s="16">
        <f t="shared" si="105"/>
        <v>2015.2000000000044</v>
      </c>
      <c r="IJ29" s="16">
        <v>26475.599999999999</v>
      </c>
      <c r="IK29" s="16">
        <v>14039.2</v>
      </c>
      <c r="IL29" s="16">
        <f t="shared" si="106"/>
        <v>907.5</v>
      </c>
      <c r="IM29" s="16">
        <v>353024.9</v>
      </c>
      <c r="IN29" s="16">
        <v>150246.39999999999</v>
      </c>
      <c r="IO29" s="16">
        <f t="shared" si="107"/>
        <v>19600.900000000023</v>
      </c>
      <c r="IP29" s="16">
        <v>262744.8</v>
      </c>
      <c r="IQ29" s="16">
        <v>32974.800000000003</v>
      </c>
      <c r="IR29" s="16">
        <f t="shared" si="108"/>
        <v>12454.199999999983</v>
      </c>
      <c r="IS29" s="16">
        <v>8625.7000000000007</v>
      </c>
      <c r="IT29" s="16">
        <v>5550.7</v>
      </c>
      <c r="IU29" s="16">
        <f t="shared" si="109"/>
        <v>513.40000000000055</v>
      </c>
      <c r="IV29" s="16">
        <v>126241.5</v>
      </c>
      <c r="IW29" s="16">
        <v>23016</v>
      </c>
      <c r="IX29" s="16">
        <f t="shared" si="110"/>
        <v>6273.3999999999942</v>
      </c>
      <c r="IY29" s="16">
        <v>9049.1200000000008</v>
      </c>
      <c r="IZ29" s="16">
        <v>829.04</v>
      </c>
      <c r="JA29" s="16">
        <f t="shared" si="111"/>
        <v>287.52000000000044</v>
      </c>
      <c r="JB29" s="16">
        <v>8543.15</v>
      </c>
      <c r="JC29" s="16">
        <v>928.75</v>
      </c>
      <c r="JD29" s="16">
        <f t="shared" si="112"/>
        <v>281.60000000000036</v>
      </c>
      <c r="JE29" s="16">
        <v>162571.29999999999</v>
      </c>
      <c r="JF29" s="16">
        <v>274256.8</v>
      </c>
      <c r="JG29" s="16">
        <f t="shared" si="113"/>
        <v>9392</v>
      </c>
      <c r="JH29" s="16">
        <v>169521.4</v>
      </c>
      <c r="JI29" s="16">
        <v>16766.8</v>
      </c>
      <c r="JJ29" s="16">
        <f t="shared" si="122"/>
        <v>9275.1999999999825</v>
      </c>
      <c r="JK29" s="16">
        <v>10985.6</v>
      </c>
      <c r="JL29" s="16">
        <v>10436.4</v>
      </c>
      <c r="JM29" s="16">
        <f t="shared" si="114"/>
        <v>590.70000000000073</v>
      </c>
      <c r="JN29" s="16">
        <v>98806.2</v>
      </c>
      <c r="JO29" s="16">
        <v>16554.5</v>
      </c>
      <c r="JP29" s="16">
        <f t="shared" si="115"/>
        <v>6135.3000000000029</v>
      </c>
      <c r="JQ29" s="16">
        <v>319.2</v>
      </c>
      <c r="JR29" s="16">
        <v>60.44</v>
      </c>
      <c r="JS29" s="16">
        <f t="shared" si="116"/>
        <v>18.159999999999968</v>
      </c>
      <c r="JT29" s="16">
        <v>4595.6499999999996</v>
      </c>
      <c r="JU29" s="16">
        <v>361.8</v>
      </c>
      <c r="JV29" s="16">
        <f t="shared" si="117"/>
        <v>259.09999999999945</v>
      </c>
      <c r="JX29" s="151">
        <f t="shared" si="118"/>
        <v>9.9998687801416963E-6</v>
      </c>
    </row>
    <row r="30" spans="1:284" x14ac:dyDescent="0.25">
      <c r="A30" s="35">
        <f t="shared" si="1"/>
        <v>24</v>
      </c>
      <c r="B30" s="38">
        <v>3542.13</v>
      </c>
      <c r="C30" s="38">
        <f t="shared" si="2"/>
        <v>7.8200000000001637</v>
      </c>
      <c r="D30" s="38">
        <f t="shared" si="3"/>
        <v>250240.00000000524</v>
      </c>
      <c r="E30" s="38">
        <v>713.13</v>
      </c>
      <c r="F30" s="38">
        <f t="shared" si="95"/>
        <v>46720.000000001164</v>
      </c>
      <c r="G30" s="38">
        <f t="shared" si="5"/>
        <v>296960.0000000064</v>
      </c>
      <c r="H30" s="37"/>
      <c r="I30" s="39"/>
      <c r="J30" s="42"/>
      <c r="K30" s="37">
        <f>IF(J30&lt;=0,0,(J30/SQRT(J30^2+(I30-I29)^2)))</f>
        <v>0</v>
      </c>
      <c r="L30" s="40">
        <v>10279500</v>
      </c>
      <c r="M30" s="40"/>
      <c r="N30" s="37">
        <f t="shared" si="78"/>
        <v>297000</v>
      </c>
      <c r="O30" s="37">
        <v>9781.4</v>
      </c>
      <c r="P30" s="37"/>
      <c r="Q30" s="37">
        <f t="shared" si="126"/>
        <v>18299.999999999272</v>
      </c>
      <c r="R30" s="37">
        <f>IF(Q30&lt;=0,0,(Q30/SQRT(Q30^2+(P30-P29)^2)))</f>
        <v>1</v>
      </c>
      <c r="S30" s="37">
        <v>11057732.09</v>
      </c>
      <c r="T30" s="37">
        <f t="shared" si="7"/>
        <v>10218.199999999255</v>
      </c>
      <c r="U30" s="37">
        <v>1518173.85</v>
      </c>
      <c r="V30" s="37">
        <f t="shared" si="8"/>
        <v>0</v>
      </c>
      <c r="W30" s="37">
        <v>3386.6</v>
      </c>
      <c r="X30" s="37">
        <f t="shared" si="93"/>
        <v>8081.8000000000175</v>
      </c>
      <c r="Y30" s="183"/>
      <c r="Z30" s="183">
        <f t="shared" si="9"/>
        <v>0</v>
      </c>
      <c r="AA30" s="37">
        <v>504800</v>
      </c>
      <c r="AB30" s="37">
        <f t="shared" si="10"/>
        <v>0</v>
      </c>
      <c r="AC30" s="37">
        <v>3572.4</v>
      </c>
      <c r="AD30" s="37"/>
      <c r="AE30" s="37">
        <f t="shared" si="128"/>
        <v>5700.0000000002728</v>
      </c>
      <c r="AF30" s="37">
        <f>IF(AE30&lt;=0,0,(AE30/SQRT(AE30^2+(AD30-AD29)^2)))</f>
        <v>1</v>
      </c>
      <c r="AG30" s="37">
        <v>7789.8</v>
      </c>
      <c r="AH30" s="37"/>
      <c r="AI30" s="37">
        <f t="shared" si="12"/>
        <v>12971.180000000364</v>
      </c>
      <c r="AJ30" s="37">
        <f t="shared" si="13"/>
        <v>1</v>
      </c>
      <c r="AK30" s="37">
        <f t="shared" si="14"/>
        <v>36971.179999999906</v>
      </c>
      <c r="AL30" s="42">
        <v>9865.2999999999993</v>
      </c>
      <c r="AM30" s="42"/>
      <c r="AN30" s="37">
        <f t="shared" si="55"/>
        <v>7681.1799999987588</v>
      </c>
      <c r="AO30" s="37">
        <f>IF(AN30&lt;=0,0,(AN30/SQRT(AN30^2+(AM30-AM29)^2)))</f>
        <v>1</v>
      </c>
      <c r="AP30" s="67">
        <v>7512.7</v>
      </c>
      <c r="AQ30" s="37"/>
      <c r="AR30" s="37">
        <f t="shared" si="15"/>
        <v>12500</v>
      </c>
      <c r="AS30" s="37">
        <f>IF(AR30&lt;=0,0,(AR30/SQRT(AR30^2+(AQ30-AQ29)^2)))</f>
        <v>1</v>
      </c>
      <c r="AT30" s="183"/>
      <c r="AU30" s="183">
        <f t="shared" si="16"/>
        <v>0</v>
      </c>
      <c r="AV30" s="183"/>
      <c r="AW30" s="183">
        <f t="shared" si="17"/>
        <v>0</v>
      </c>
      <c r="AX30" s="37">
        <v>451880</v>
      </c>
      <c r="AY30" s="37"/>
      <c r="AZ30" s="37">
        <f t="shared" si="18"/>
        <v>480</v>
      </c>
      <c r="BA30" s="37">
        <v>99610</v>
      </c>
      <c r="BB30" s="37"/>
      <c r="BC30" s="37">
        <f t="shared" si="19"/>
        <v>1084</v>
      </c>
      <c r="BD30" s="37">
        <f>AN30+AR30+AZ30+BC30</f>
        <v>21745.17999999876</v>
      </c>
      <c r="BE30" s="43">
        <v>1688.1</v>
      </c>
      <c r="BF30" s="43">
        <v>919.91</v>
      </c>
      <c r="BG30" s="37">
        <f t="shared" si="20"/>
        <v>2199.9999999998181</v>
      </c>
      <c r="BH30" s="44">
        <v>8077.6</v>
      </c>
      <c r="BI30" s="44">
        <v>5197.2</v>
      </c>
      <c r="BJ30" s="37">
        <f t="shared" si="21"/>
        <v>8600.0000000003638</v>
      </c>
      <c r="BK30" s="40">
        <v>1221930</v>
      </c>
      <c r="BL30" s="40">
        <f t="shared" si="84"/>
        <v>4430</v>
      </c>
      <c r="BM30" s="40">
        <v>812.2</v>
      </c>
      <c r="BN30" s="37">
        <f t="shared" si="22"/>
        <v>660.00000000008185</v>
      </c>
      <c r="BO30" s="186"/>
      <c r="BP30" s="183">
        <f t="shared" si="23"/>
        <v>0</v>
      </c>
      <c r="BQ30" s="40">
        <v>769.6</v>
      </c>
      <c r="BR30" s="37">
        <f t="shared" si="56"/>
        <v>300.00000000006821</v>
      </c>
      <c r="BS30" s="37">
        <v>79743.839999999997</v>
      </c>
      <c r="BT30" s="37">
        <f t="shared" si="24"/>
        <v>207.91999999999825</v>
      </c>
      <c r="BU30" s="42">
        <v>2031476</v>
      </c>
      <c r="BV30" s="42"/>
      <c r="BW30" s="37">
        <f t="shared" si="25"/>
        <v>4048</v>
      </c>
      <c r="BX30" s="37">
        <f>IF(BW30&lt;=0,0,(BW30/SQRT(BW30^2+(BV30-BV29)^2)))</f>
        <v>1</v>
      </c>
      <c r="BY30" s="43">
        <v>287.10449999999997</v>
      </c>
      <c r="BZ30" s="37"/>
      <c r="CA30" s="37">
        <f t="shared" si="123"/>
        <v>915.29999999994516</v>
      </c>
      <c r="CB30" s="37">
        <f t="shared" si="57"/>
        <v>1</v>
      </c>
      <c r="CC30" s="37">
        <v>478849.8</v>
      </c>
      <c r="CD30" s="37">
        <f t="shared" si="27"/>
        <v>0</v>
      </c>
      <c r="CE30" s="41">
        <v>697330.8</v>
      </c>
      <c r="CF30" s="37">
        <f t="shared" si="58"/>
        <v>0</v>
      </c>
      <c r="CG30" s="37">
        <v>61113</v>
      </c>
      <c r="CH30" s="37">
        <f t="shared" si="59"/>
        <v>145.30000000000291</v>
      </c>
      <c r="CI30" s="40">
        <v>11143.6</v>
      </c>
      <c r="CJ30" s="40"/>
      <c r="CK30" s="37">
        <f t="shared" si="60"/>
        <v>16105.879999999692</v>
      </c>
      <c r="CL30" s="37">
        <f t="shared" si="28"/>
        <v>1</v>
      </c>
      <c r="CM30" s="37">
        <v>2924.627</v>
      </c>
      <c r="CN30" s="37"/>
      <c r="CO30" s="37">
        <f t="shared" si="29"/>
        <v>9304.179999999993</v>
      </c>
      <c r="CP30" s="37">
        <f>IF(CO30&lt;=0,0,(CO30/SQRT(CO30^2+(CN30-CN29)^2)))</f>
        <v>1</v>
      </c>
      <c r="CQ30" s="39">
        <v>2832.7559999999999</v>
      </c>
      <c r="CR30" s="39"/>
      <c r="CS30" s="37">
        <f t="shared" si="30"/>
        <v>6981.1799999996729</v>
      </c>
      <c r="CT30" s="37">
        <f>IF(CS30&lt;=0,0,(CS30/SQRT(CS30^2+(CR30-CR29)^2)))</f>
        <v>1</v>
      </c>
      <c r="CU30" s="37">
        <v>2336917</v>
      </c>
      <c r="CV30" s="37"/>
      <c r="CW30" s="38">
        <f t="shared" si="31"/>
        <v>19852</v>
      </c>
      <c r="CX30" s="37">
        <f>IF(CW30&lt;=0,0,(CW30/SQRT(CW30^2+(CV30-CV29)^2)))</f>
        <v>1</v>
      </c>
      <c r="CY30" s="37">
        <v>1237191</v>
      </c>
      <c r="CZ30" s="37"/>
      <c r="DA30" s="37">
        <f t="shared" si="131"/>
        <v>10579</v>
      </c>
      <c r="DB30" s="37">
        <f t="shared" si="89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4"/>
        <v>-66870.23999999935</v>
      </c>
      <c r="DH30" s="37">
        <f t="shared" si="35"/>
        <v>336171.1799999997</v>
      </c>
      <c r="DI30" s="46"/>
      <c r="DJ30" s="46"/>
      <c r="DK30" s="47"/>
      <c r="DL30" s="47"/>
      <c r="DM30" s="37"/>
      <c r="DN30" s="37"/>
      <c r="DO30" s="37"/>
      <c r="DP30" s="37"/>
      <c r="DQ30" s="50">
        <v>2758200</v>
      </c>
      <c r="DR30" s="49">
        <f t="shared" si="61"/>
        <v>6200</v>
      </c>
      <c r="DS30" s="50">
        <v>2182900</v>
      </c>
      <c r="DT30" s="49">
        <f t="shared" si="62"/>
        <v>15900</v>
      </c>
      <c r="DU30" s="51">
        <v>7603.1</v>
      </c>
      <c r="DV30" s="51">
        <v>4247.5</v>
      </c>
      <c r="DW30" s="37">
        <f t="shared" si="90"/>
        <v>4000</v>
      </c>
      <c r="DX30" s="52">
        <v>12586</v>
      </c>
      <c r="DY30" s="52">
        <v>8275.7000000000007</v>
      </c>
      <c r="DZ30" s="37">
        <f t="shared" si="36"/>
        <v>7371.18</v>
      </c>
      <c r="EA30" s="49">
        <v>28147</v>
      </c>
      <c r="EB30" s="49">
        <v>19.95</v>
      </c>
      <c r="EC30" s="37">
        <f t="shared" si="37"/>
        <v>24531.18</v>
      </c>
      <c r="ED30" s="53">
        <f t="shared" si="38"/>
        <v>35902.36</v>
      </c>
      <c r="EE30" s="49">
        <v>43428</v>
      </c>
      <c r="EF30" s="49">
        <v>27.675999999999998</v>
      </c>
      <c r="EG30" s="37">
        <f t="shared" si="39"/>
        <v>30531.18</v>
      </c>
      <c r="EH30" s="51">
        <v>12218</v>
      </c>
      <c r="EI30" s="51">
        <v>1.6352</v>
      </c>
      <c r="EJ30" s="37">
        <f t="shared" si="40"/>
        <v>11371.18</v>
      </c>
      <c r="EK30" s="37">
        <v>739.14</v>
      </c>
      <c r="EL30" s="40">
        <v>1061.2</v>
      </c>
      <c r="EM30" s="37">
        <f t="shared" si="63"/>
        <v>730.00000000001819</v>
      </c>
      <c r="EN30" s="54">
        <f t="shared" si="64"/>
        <v>42632.360000000015</v>
      </c>
      <c r="EO30" s="48">
        <v>12280</v>
      </c>
      <c r="EP30" s="48">
        <v>4277.8999999999996</v>
      </c>
      <c r="EQ30" s="37">
        <f t="shared" si="41"/>
        <v>10371.18</v>
      </c>
      <c r="ER30" s="48">
        <v>8078.5</v>
      </c>
      <c r="ES30" s="48">
        <v>8284.7000000000007</v>
      </c>
      <c r="ET30" s="49">
        <f t="shared" si="98"/>
        <v>19500</v>
      </c>
      <c r="EU30" s="73">
        <v>2904.5</v>
      </c>
      <c r="EV30" s="48">
        <v>1038.5999999999999</v>
      </c>
      <c r="EW30" s="49">
        <f t="shared" si="43"/>
        <v>8171.1800000001822</v>
      </c>
      <c r="EX30" s="48">
        <v>12483</v>
      </c>
      <c r="EY30" s="55">
        <v>1.3418000000000001</v>
      </c>
      <c r="EZ30" s="37">
        <f t="shared" si="44"/>
        <v>12371.18</v>
      </c>
      <c r="FA30" s="48">
        <f t="shared" si="65"/>
        <v>-25330.540000000183</v>
      </c>
      <c r="FB30" s="48">
        <v>34608997</v>
      </c>
      <c r="FC30" s="49">
        <f t="shared" si="91"/>
        <v>25083</v>
      </c>
      <c r="FD30" s="48">
        <f t="shared" si="66"/>
        <v>52113.540000000226</v>
      </c>
      <c r="FE30" s="48">
        <v>16271</v>
      </c>
      <c r="FF30" s="55">
        <v>5832</v>
      </c>
      <c r="FG30" s="37">
        <f t="shared" si="67"/>
        <v>2304.5099999999998</v>
      </c>
      <c r="FH30" s="48">
        <v>7415.8</v>
      </c>
      <c r="FI30" s="48">
        <v>2.8555999999999999</v>
      </c>
      <c r="FJ30" s="49">
        <f t="shared" si="45"/>
        <v>504.50999999981809</v>
      </c>
      <c r="FK30" s="48"/>
      <c r="FL30" s="58">
        <v>-66.67</v>
      </c>
      <c r="FM30" s="48">
        <f t="shared" si="92"/>
        <v>-371.17666666660597</v>
      </c>
      <c r="FN30" s="48">
        <v>15572</v>
      </c>
      <c r="FO30" s="48">
        <v>0.72219999999999995</v>
      </c>
      <c r="FP30" s="37">
        <f t="shared" si="68"/>
        <v>1304.51</v>
      </c>
      <c r="FQ30" s="48">
        <v>55596</v>
      </c>
      <c r="FR30" s="48">
        <v>13.311999999999999</v>
      </c>
      <c r="FS30" s="37">
        <f t="shared" si="46"/>
        <v>3000</v>
      </c>
      <c r="FT30" s="48">
        <f t="shared" si="119"/>
        <v>-1113.5299999998178</v>
      </c>
      <c r="FU30" s="48">
        <f t="shared" si="70"/>
        <v>4413.5299999997724</v>
      </c>
      <c r="FV30" s="44">
        <v>2899500</v>
      </c>
      <c r="FW30" s="44">
        <v>931750</v>
      </c>
      <c r="FX30" s="37">
        <f t="shared" si="47"/>
        <v>17300</v>
      </c>
      <c r="FY30" s="56">
        <v>2935.4</v>
      </c>
      <c r="FZ30" s="56">
        <v>1.7294</v>
      </c>
      <c r="GA30" s="37">
        <f t="shared" si="48"/>
        <v>4620.0000000001819</v>
      </c>
      <c r="GB30" s="56">
        <v>755.75</v>
      </c>
      <c r="GC30" s="56">
        <v>841.24</v>
      </c>
      <c r="GD30" s="37">
        <f t="shared" si="49"/>
        <v>679.99999999994998</v>
      </c>
      <c r="GE30" s="56">
        <v>9372.1</v>
      </c>
      <c r="GF30" s="56">
        <v>2.8843000000000001</v>
      </c>
      <c r="GG30" s="37">
        <f t="shared" si="50"/>
        <v>4200.0000000007276</v>
      </c>
      <c r="GH30" s="158">
        <v>1816.4</v>
      </c>
      <c r="GI30" s="159">
        <v>1538.6</v>
      </c>
      <c r="GJ30" s="38">
        <f t="shared" si="51"/>
        <v>1700.0000000000455</v>
      </c>
      <c r="GK30" s="159">
        <v>1416.3</v>
      </c>
      <c r="GL30" s="160">
        <v>1096.8</v>
      </c>
      <c r="GM30" s="38">
        <f t="shared" si="52"/>
        <v>299.99999999995453</v>
      </c>
      <c r="GN30" s="57">
        <v>158970</v>
      </c>
      <c r="GO30" s="57">
        <v>138730</v>
      </c>
      <c r="GP30" s="38">
        <f t="shared" si="96"/>
        <v>0</v>
      </c>
      <c r="GQ30" s="38">
        <v>217520</v>
      </c>
      <c r="GR30" s="38">
        <v>217210</v>
      </c>
      <c r="GS30" s="38">
        <f t="shared" si="71"/>
        <v>1180</v>
      </c>
      <c r="GT30" s="178"/>
      <c r="GU30" s="144">
        <f>DailyFeb!B29-DailyFeb!N29-DailyFeb!V29-DailyFeb!Y29-DailyFeb!Z29-DailyFeb!AA29-DailyFeb!AB29-DailyFeb!AC29-DailyFeb!AD29-DailyFeb!AE29-DailyFeb!AK29-DailyFeb!AO29-DailyFeb!AS29-DailyFeb!AY29-DailyFeb!BD29+DailyFeb!BS29-SUM(DailyFeb!BM29:BQ29)-DailyFeb!BR29-DailyFeb!AF29-DailyFeb!AG29</f>
        <v>1.0000007183407433E-2</v>
      </c>
      <c r="GV30" s="59">
        <v>5567.7100000072096</v>
      </c>
      <c r="GW30" s="60">
        <f t="shared" si="53"/>
        <v>371.18066666714731</v>
      </c>
      <c r="GX30" s="61">
        <v>371.18</v>
      </c>
      <c r="GY30" s="140"/>
      <c r="GZ30" s="62"/>
      <c r="HA30" s="62"/>
      <c r="HB30" s="74"/>
      <c r="HC30" s="62">
        <f t="shared" si="99"/>
        <v>76500</v>
      </c>
      <c r="HD30" s="74"/>
      <c r="HE30" s="24">
        <f t="shared" si="54"/>
        <v>76500</v>
      </c>
      <c r="HG30" s="213">
        <v>24</v>
      </c>
      <c r="HH30" s="16">
        <v>1626.6</v>
      </c>
      <c r="HI30" s="16">
        <v>679.68</v>
      </c>
      <c r="HJ30" s="16">
        <f t="shared" si="124"/>
        <v>76500</v>
      </c>
      <c r="HK30" s="16">
        <v>1.9189000000000001</v>
      </c>
      <c r="HL30" s="16">
        <v>660.93</v>
      </c>
      <c r="HM30" s="16">
        <f t="shared" si="100"/>
        <v>0</v>
      </c>
      <c r="HN30" s="16">
        <v>311.54000000000002</v>
      </c>
      <c r="HO30" s="16">
        <v>138.06</v>
      </c>
      <c r="HP30" s="16">
        <f t="shared" si="120"/>
        <v>27466.667000000034</v>
      </c>
      <c r="HQ30" s="16">
        <v>439.69</v>
      </c>
      <c r="HR30" s="16">
        <v>218.03</v>
      </c>
      <c r="HS30" s="16">
        <f t="shared" si="101"/>
        <v>17756.666999999998</v>
      </c>
      <c r="HT30" s="16">
        <v>323.58999999999997</v>
      </c>
      <c r="HU30" s="16">
        <v>140.69999999999999</v>
      </c>
      <c r="HV30" s="16">
        <f t="shared" si="102"/>
        <v>15376.666999999999</v>
      </c>
      <c r="HW30" s="16"/>
      <c r="HX30" s="16"/>
      <c r="HY30" s="128">
        <f t="shared" si="121"/>
        <v>15900</v>
      </c>
      <c r="HZ30" s="211">
        <f t="shared" si="76"/>
        <v>-1.0000000274885679E-3</v>
      </c>
      <c r="IA30" s="16">
        <v>208243.8</v>
      </c>
      <c r="IB30" s="16">
        <v>76505</v>
      </c>
      <c r="IC30" s="16">
        <f t="shared" si="103"/>
        <v>7987.8999999999942</v>
      </c>
      <c r="ID30" s="16">
        <v>141.93</v>
      </c>
      <c r="IE30" s="16">
        <v>65.917000000000002</v>
      </c>
      <c r="IF30" s="16">
        <f t="shared" si="104"/>
        <v>6740.0000000000091</v>
      </c>
      <c r="IG30" s="16">
        <v>37123.9</v>
      </c>
      <c r="IH30" s="16">
        <v>51125.5</v>
      </c>
      <c r="II30" s="16">
        <f t="shared" si="105"/>
        <v>1824.0999999999985</v>
      </c>
      <c r="IJ30" s="16">
        <v>27415.4</v>
      </c>
      <c r="IK30" s="16">
        <v>14520.4</v>
      </c>
      <c r="IL30" s="16">
        <f t="shared" si="106"/>
        <v>939.80000000000291</v>
      </c>
      <c r="IM30" s="16">
        <v>75424.7</v>
      </c>
      <c r="IN30" s="16">
        <v>33106.199999999997</v>
      </c>
      <c r="IO30" s="16">
        <f>HS30+HS31-IO31</f>
        <v>18364.167000000009</v>
      </c>
      <c r="IP30" s="16">
        <v>273576</v>
      </c>
      <c r="IQ30" s="16">
        <v>34357.199999999997</v>
      </c>
      <c r="IR30" s="16">
        <f t="shared" si="108"/>
        <v>10831.200000000012</v>
      </c>
      <c r="IS30" s="16">
        <v>9109.9</v>
      </c>
      <c r="IT30" s="16">
        <v>5854.1</v>
      </c>
      <c r="IU30" s="16">
        <f t="shared" si="109"/>
        <v>484.19999999999891</v>
      </c>
      <c r="IV30" s="16">
        <v>131749.5</v>
      </c>
      <c r="IW30" s="16">
        <v>24030</v>
      </c>
      <c r="IX30" s="16">
        <f t="shared" si="110"/>
        <v>5508</v>
      </c>
      <c r="IY30" s="16">
        <v>9281.9599999999991</v>
      </c>
      <c r="IZ30" s="16">
        <v>852.76</v>
      </c>
      <c r="JA30" s="16">
        <f t="shared" si="111"/>
        <v>232.83999999999833</v>
      </c>
      <c r="JB30" s="16">
        <v>8764.65</v>
      </c>
      <c r="JC30" s="16">
        <v>956.55</v>
      </c>
      <c r="JD30" s="16">
        <f t="shared" si="112"/>
        <v>221.5</v>
      </c>
      <c r="JE30" s="16">
        <v>170881.5</v>
      </c>
      <c r="JF30" s="16">
        <v>287894.7</v>
      </c>
      <c r="JG30" s="16">
        <f t="shared" si="113"/>
        <v>8310.2000000000116</v>
      </c>
      <c r="JH30" s="16">
        <v>177554.4</v>
      </c>
      <c r="JI30" s="16">
        <v>17562</v>
      </c>
      <c r="JJ30" s="16">
        <f t="shared" si="122"/>
        <v>8033</v>
      </c>
      <c r="JK30" s="16">
        <v>11524.3</v>
      </c>
      <c r="JL30" s="16">
        <v>10811.6</v>
      </c>
      <c r="JM30" s="16">
        <f t="shared" si="114"/>
        <v>538.69999999999891</v>
      </c>
      <c r="JN30" s="16">
        <v>104159.7</v>
      </c>
      <c r="JO30" s="16">
        <v>17544.599999999999</v>
      </c>
      <c r="JP30" s="16">
        <f t="shared" si="115"/>
        <v>5353.5</v>
      </c>
      <c r="JQ30" s="16">
        <v>339.84</v>
      </c>
      <c r="JR30" s="16">
        <v>67.88</v>
      </c>
      <c r="JS30" s="16">
        <f t="shared" si="116"/>
        <v>20.639999999999986</v>
      </c>
      <c r="JT30" s="16">
        <v>4802.1000000000004</v>
      </c>
      <c r="JU30" s="16">
        <v>378.85</v>
      </c>
      <c r="JV30" s="16">
        <f t="shared" si="117"/>
        <v>206.45000000000073</v>
      </c>
      <c r="JX30" s="151">
        <f t="shared" si="118"/>
        <v>-1.0000000274885679E-3</v>
      </c>
    </row>
    <row r="31" spans="1:284" x14ac:dyDescent="0.25">
      <c r="A31" s="35">
        <f t="shared" si="1"/>
        <v>25</v>
      </c>
      <c r="B31" s="38">
        <v>3549.68</v>
      </c>
      <c r="C31" s="38">
        <f t="shared" si="2"/>
        <v>7.5499999999997272</v>
      </c>
      <c r="D31" s="38">
        <f t="shared" si="3"/>
        <v>241599.99999999127</v>
      </c>
      <c r="E31" s="38">
        <v>714.6</v>
      </c>
      <c r="F31" s="38">
        <f t="shared" si="95"/>
        <v>47040.000000000873</v>
      </c>
      <c r="G31" s="38">
        <f t="shared" si="5"/>
        <v>288639.99999999214</v>
      </c>
      <c r="H31" s="37"/>
      <c r="I31" s="39"/>
      <c r="J31" s="42"/>
      <c r="K31" s="37">
        <f t="shared" si="77"/>
        <v>0</v>
      </c>
      <c r="L31" s="40">
        <v>10308000</v>
      </c>
      <c r="M31" s="40"/>
      <c r="N31" s="37">
        <f t="shared" si="78"/>
        <v>285000</v>
      </c>
      <c r="O31" s="37">
        <v>9799.7000000000007</v>
      </c>
      <c r="P31" s="37"/>
      <c r="Q31" s="37">
        <f t="shared" si="126"/>
        <v>18300.000000001091</v>
      </c>
      <c r="R31" s="37">
        <f t="shared" si="79"/>
        <v>1</v>
      </c>
      <c r="S31" s="37">
        <v>11068025</v>
      </c>
      <c r="T31" s="37">
        <f t="shared" si="7"/>
        <v>10292.910000000149</v>
      </c>
      <c r="U31" s="37">
        <v>1518173.85</v>
      </c>
      <c r="V31" s="37">
        <f t="shared" si="8"/>
        <v>0</v>
      </c>
      <c r="W31" s="37">
        <v>3392.9</v>
      </c>
      <c r="X31" s="37">
        <f t="shared" si="93"/>
        <v>8007.0900000009424</v>
      </c>
      <c r="Y31" s="183"/>
      <c r="Z31" s="183">
        <f t="shared" si="9"/>
        <v>0</v>
      </c>
      <c r="AA31" s="37">
        <v>504800</v>
      </c>
      <c r="AB31" s="37">
        <f t="shared" si="10"/>
        <v>0</v>
      </c>
      <c r="AC31" s="37">
        <v>3578</v>
      </c>
      <c r="AD31" s="37"/>
      <c r="AE31" s="37">
        <f t="shared" si="128"/>
        <v>5599.9999999999091</v>
      </c>
      <c r="AF31" s="37">
        <f t="shared" si="80"/>
        <v>1</v>
      </c>
      <c r="AG31" s="37">
        <v>7802.4</v>
      </c>
      <c r="AH31" s="37"/>
      <c r="AI31" s="37">
        <f t="shared" si="12"/>
        <v>13226.669999999454</v>
      </c>
      <c r="AJ31" s="37">
        <f t="shared" si="13"/>
        <v>1</v>
      </c>
      <c r="AK31" s="37">
        <f t="shared" si="14"/>
        <v>37126.670000000457</v>
      </c>
      <c r="AL31" s="42">
        <v>9878.4</v>
      </c>
      <c r="AM31" s="2"/>
      <c r="AN31" s="37">
        <f t="shared" si="55"/>
        <v>8066.6700000003721</v>
      </c>
      <c r="AO31" s="37">
        <f t="shared" si="81"/>
        <v>1</v>
      </c>
      <c r="AP31" s="37">
        <v>7525.5</v>
      </c>
      <c r="AQ31" s="37"/>
      <c r="AR31" s="37">
        <f t="shared" si="15"/>
        <v>12800.000000000182</v>
      </c>
      <c r="AS31" s="37">
        <f t="shared" si="82"/>
        <v>1</v>
      </c>
      <c r="AT31" s="183"/>
      <c r="AU31" s="183">
        <f t="shared" si="16"/>
        <v>0</v>
      </c>
      <c r="AV31" s="183"/>
      <c r="AW31" s="183">
        <f t="shared" si="17"/>
        <v>0</v>
      </c>
      <c r="AX31" s="37">
        <v>452350</v>
      </c>
      <c r="AY31" s="37"/>
      <c r="AZ31" s="37">
        <f t="shared" si="18"/>
        <v>470</v>
      </c>
      <c r="BA31" s="37">
        <v>100300</v>
      </c>
      <c r="BB31" s="37"/>
      <c r="BC31" s="37">
        <f t="shared" si="19"/>
        <v>690</v>
      </c>
      <c r="BD31" s="37">
        <f t="shared" si="83"/>
        <v>22026.670000000555</v>
      </c>
      <c r="BE31" s="43">
        <v>1690.6</v>
      </c>
      <c r="BF31" s="43">
        <v>921.36</v>
      </c>
      <c r="BG31" s="37">
        <f t="shared" si="20"/>
        <v>2500</v>
      </c>
      <c r="BH31" s="44">
        <v>8086</v>
      </c>
      <c r="BI31" s="44">
        <v>5202.6000000000004</v>
      </c>
      <c r="BJ31" s="37">
        <f t="shared" si="21"/>
        <v>8399.9999999996362</v>
      </c>
      <c r="BK31" s="40">
        <v>1226330</v>
      </c>
      <c r="BL31" s="40">
        <f t="shared" si="84"/>
        <v>4400</v>
      </c>
      <c r="BM31" s="40">
        <v>812.86</v>
      </c>
      <c r="BN31" s="37">
        <f t="shared" si="22"/>
        <v>659.99999999996817</v>
      </c>
      <c r="BO31" s="186"/>
      <c r="BP31" s="183">
        <f t="shared" si="23"/>
        <v>0</v>
      </c>
      <c r="BQ31" s="40">
        <v>770.2</v>
      </c>
      <c r="BR31" s="37">
        <f t="shared" si="56"/>
        <v>600.00000000002274</v>
      </c>
      <c r="BS31" s="37">
        <v>79928.81</v>
      </c>
      <c r="BT31" s="37">
        <f t="shared" si="24"/>
        <v>184.97000000000116</v>
      </c>
      <c r="BU31" s="42">
        <v>2035297</v>
      </c>
      <c r="BV31" s="42"/>
      <c r="BW31" s="37">
        <f t="shared" si="25"/>
        <v>3821</v>
      </c>
      <c r="BX31" s="37">
        <f t="shared" si="85"/>
        <v>1</v>
      </c>
      <c r="BY31" s="43">
        <v>288.005</v>
      </c>
      <c r="BZ31" s="37"/>
      <c r="CA31" s="37">
        <f t="shared" si="123"/>
        <v>900.50000000002228</v>
      </c>
      <c r="CB31" s="37">
        <f t="shared" si="57"/>
        <v>1</v>
      </c>
      <c r="CC31" s="37">
        <v>478849.8</v>
      </c>
      <c r="CD31" s="37">
        <f t="shared" si="27"/>
        <v>0</v>
      </c>
      <c r="CE31" s="41">
        <v>697330.8</v>
      </c>
      <c r="CF31" s="37">
        <f t="shared" si="58"/>
        <v>0</v>
      </c>
      <c r="CG31" s="37">
        <v>61113</v>
      </c>
      <c r="CH31" s="37">
        <f t="shared" si="59"/>
        <v>0</v>
      </c>
      <c r="CI31" s="40">
        <v>11159.99</v>
      </c>
      <c r="CJ31" s="40"/>
      <c r="CK31" s="37">
        <f t="shared" si="60"/>
        <v>16116.169999999394</v>
      </c>
      <c r="CL31" s="37">
        <f t="shared" si="28"/>
        <v>1</v>
      </c>
      <c r="CM31" s="37">
        <v>2933.6849999999999</v>
      </c>
      <c r="CN31" s="37"/>
      <c r="CO31" s="37">
        <f t="shared" si="29"/>
        <v>9684.6699999999928</v>
      </c>
      <c r="CP31" s="37">
        <f t="shared" si="86"/>
        <v>1</v>
      </c>
      <c r="CQ31" s="39">
        <v>2839.3069999999998</v>
      </c>
      <c r="CR31" s="39"/>
      <c r="CS31" s="37">
        <f t="shared" si="30"/>
        <v>7177.669999999931</v>
      </c>
      <c r="CT31" s="37">
        <f t="shared" si="87"/>
        <v>1</v>
      </c>
      <c r="CU31" s="37">
        <v>2356681</v>
      </c>
      <c r="CV31" s="37"/>
      <c r="CW31" s="38">
        <f t="shared" si="31"/>
        <v>19764</v>
      </c>
      <c r="CX31" s="37">
        <f t="shared" si="88"/>
        <v>1</v>
      </c>
      <c r="CY31" s="37">
        <v>1248048</v>
      </c>
      <c r="CZ31" s="37"/>
      <c r="DA31" s="37">
        <f t="shared" si="131"/>
        <v>10857</v>
      </c>
      <c r="DB31" s="37">
        <f t="shared" si="89"/>
        <v>1</v>
      </c>
      <c r="DC31" s="37"/>
      <c r="DD31" s="40"/>
      <c r="DE31" s="37">
        <f t="shared" si="33"/>
        <v>0</v>
      </c>
      <c r="DF31" s="37">
        <f t="shared" si="94"/>
        <v>0</v>
      </c>
      <c r="DG31" s="37">
        <f t="shared" si="34"/>
        <v>-67420.509999999311</v>
      </c>
      <c r="DH31" s="37">
        <f t="shared" si="35"/>
        <v>324626.67000000045</v>
      </c>
      <c r="DI31" s="46"/>
      <c r="DJ31" s="46"/>
      <c r="DK31" s="47"/>
      <c r="DL31" s="47"/>
      <c r="DM31" s="37"/>
      <c r="DN31" s="37"/>
      <c r="DO31" s="37"/>
      <c r="DP31" s="37"/>
      <c r="DQ31" s="50">
        <v>2767500</v>
      </c>
      <c r="DR31" s="49">
        <f t="shared" si="61"/>
        <v>9300</v>
      </c>
      <c r="DS31" s="50">
        <v>2198800</v>
      </c>
      <c r="DT31" s="49">
        <f t="shared" si="62"/>
        <v>15900</v>
      </c>
      <c r="DU31" s="51">
        <v>7607.5</v>
      </c>
      <c r="DV31" s="51">
        <v>4250.2</v>
      </c>
      <c r="DW31" s="37">
        <f t="shared" si="90"/>
        <v>4399.9999999996362</v>
      </c>
      <c r="DX31" s="52">
        <v>12593</v>
      </c>
      <c r="DY31" s="52">
        <v>8278.1</v>
      </c>
      <c r="DZ31" s="37">
        <f t="shared" si="36"/>
        <v>7626.67</v>
      </c>
      <c r="EA31" s="49">
        <v>28168</v>
      </c>
      <c r="EB31" s="49">
        <v>19.962</v>
      </c>
      <c r="EC31" s="37">
        <f t="shared" si="37"/>
        <v>23786.67</v>
      </c>
      <c r="ED31" s="53">
        <f t="shared" si="38"/>
        <v>35813.339999999633</v>
      </c>
      <c r="EE31" s="49">
        <v>43458</v>
      </c>
      <c r="EF31" s="49">
        <v>27.702999999999999</v>
      </c>
      <c r="EG31" s="37">
        <f t="shared" si="39"/>
        <v>32786.67</v>
      </c>
      <c r="EH31" s="51">
        <v>12228</v>
      </c>
      <c r="EI31" s="51">
        <v>1.6369</v>
      </c>
      <c r="EJ31" s="37">
        <f t="shared" si="40"/>
        <v>10626.67</v>
      </c>
      <c r="EK31" s="37">
        <v>739.92</v>
      </c>
      <c r="EL31" s="40">
        <v>1062.3</v>
      </c>
      <c r="EM31" s="37">
        <f t="shared" si="63"/>
        <v>779.99999999997272</v>
      </c>
      <c r="EN31" s="54">
        <f t="shared" si="64"/>
        <v>44193.339999999967</v>
      </c>
      <c r="EO31" s="48">
        <v>12290</v>
      </c>
      <c r="EP31" s="48">
        <v>4281.3999999999996</v>
      </c>
      <c r="EQ31" s="37">
        <f t="shared" si="41"/>
        <v>10626.67</v>
      </c>
      <c r="ER31" s="48">
        <v>8098.3</v>
      </c>
      <c r="ES31" s="48">
        <v>8292.7000000000007</v>
      </c>
      <c r="ET31" s="49">
        <f t="shared" si="98"/>
        <v>19800.000000000182</v>
      </c>
      <c r="EU31" s="48">
        <v>2912.7</v>
      </c>
      <c r="EV31" s="48">
        <v>1041.4000000000001</v>
      </c>
      <c r="EW31" s="49">
        <f t="shared" si="43"/>
        <v>8826.6699999998182</v>
      </c>
      <c r="EX31" s="48">
        <v>12495</v>
      </c>
      <c r="EY31" s="48">
        <v>1.3443000000000001</v>
      </c>
      <c r="EZ31" s="37">
        <f t="shared" si="44"/>
        <v>12626.67</v>
      </c>
      <c r="FA31" s="48">
        <f t="shared" si="65"/>
        <v>-26321.010000000002</v>
      </c>
      <c r="FB31" s="48">
        <v>34634556</v>
      </c>
      <c r="FC31" s="49">
        <f t="shared" si="91"/>
        <v>25559</v>
      </c>
      <c r="FD31" s="48">
        <f t="shared" si="66"/>
        <v>53580.009999999813</v>
      </c>
      <c r="FE31" s="48">
        <v>16272</v>
      </c>
      <c r="FF31" s="48">
        <v>5832</v>
      </c>
      <c r="FG31" s="37">
        <f t="shared" si="67"/>
        <v>1926.67</v>
      </c>
      <c r="FH31" s="48">
        <v>7415.9</v>
      </c>
      <c r="FI31" s="48">
        <v>2.8557999999999999</v>
      </c>
      <c r="FJ31" s="49">
        <f t="shared" si="45"/>
        <v>1026.6699999994544</v>
      </c>
      <c r="FK31" s="48"/>
      <c r="FL31" s="58">
        <v>300</v>
      </c>
      <c r="FM31" s="48">
        <f>FT31/3</f>
        <v>-626.66999999981817</v>
      </c>
      <c r="FN31" s="48">
        <v>15573</v>
      </c>
      <c r="FO31" s="48">
        <v>0.72219999999999995</v>
      </c>
      <c r="FP31" s="37">
        <f t="shared" si="68"/>
        <v>1926.67</v>
      </c>
      <c r="FQ31" s="48">
        <v>55599</v>
      </c>
      <c r="FR31" s="48">
        <v>13.311999999999999</v>
      </c>
      <c r="FS31" s="37">
        <f t="shared" si="46"/>
        <v>3000</v>
      </c>
      <c r="FT31" s="48">
        <f t="shared" si="119"/>
        <v>-1880.0099999994545</v>
      </c>
      <c r="FU31" s="48">
        <f>FG31+FJ31+FP31+GM31</f>
        <v>5280.0099999995455</v>
      </c>
      <c r="FV31" s="44">
        <v>2915700</v>
      </c>
      <c r="FW31" s="44">
        <v>936880</v>
      </c>
      <c r="FX31" s="37">
        <f t="shared" si="47"/>
        <v>16200</v>
      </c>
      <c r="FY31" s="56">
        <v>2941.2</v>
      </c>
      <c r="FZ31" s="56">
        <v>1.7343999999999999</v>
      </c>
      <c r="GA31" s="37">
        <f t="shared" si="48"/>
        <v>4669.9999999997272</v>
      </c>
      <c r="GB31" s="56">
        <v>756.34</v>
      </c>
      <c r="GC31" s="56">
        <v>841.99</v>
      </c>
      <c r="GD31" s="37">
        <f t="shared" si="49"/>
        <v>590.00000000003183</v>
      </c>
      <c r="GE31" s="56">
        <v>9378.2000000000007</v>
      </c>
      <c r="GF31" s="56">
        <v>2.8889999999999998</v>
      </c>
      <c r="GG31" s="37">
        <f t="shared" si="50"/>
        <v>4000.0000000004547</v>
      </c>
      <c r="GH31" s="158">
        <v>1818.1</v>
      </c>
      <c r="GI31" s="159">
        <v>1540.3</v>
      </c>
      <c r="GJ31" s="38">
        <f t="shared" si="51"/>
        <v>1699.9999999998181</v>
      </c>
      <c r="GK31" s="159">
        <v>1416.7</v>
      </c>
      <c r="GL31" s="160">
        <v>1096.9000000000001</v>
      </c>
      <c r="GM31" s="38">
        <f t="shared" si="52"/>
        <v>400.00000000009095</v>
      </c>
      <c r="GN31" s="57">
        <v>158970</v>
      </c>
      <c r="GO31" s="57">
        <v>138740</v>
      </c>
      <c r="GP31" s="38">
        <f t="shared" si="96"/>
        <v>0</v>
      </c>
      <c r="GQ31" s="38">
        <v>218650</v>
      </c>
      <c r="GR31" s="38">
        <v>218200</v>
      </c>
      <c r="GS31" s="38">
        <f t="shared" si="71"/>
        <v>1130</v>
      </c>
      <c r="GT31" s="178"/>
      <c r="GU31" s="144">
        <f>DailyFeb!B30-DailyFeb!N30-DailyFeb!V30-DailyFeb!Y30-DailyFeb!Z30-DailyFeb!AA30-DailyFeb!AB30-DailyFeb!AC30-DailyFeb!AD30-DailyFeb!AE30-DailyFeb!AK30-DailyFeb!AO30-DailyFeb!AS30-DailyFeb!AY30-DailyFeb!BD30+DailyFeb!BS30-SUM(DailyFeb!BM30:BQ30)-DailyFeb!BR30-DailyFeb!AF30-DailyFeb!AG30</f>
        <v>-5.0000007140624803E-2</v>
      </c>
      <c r="GV31" s="59">
        <v>9399.9999999928768</v>
      </c>
      <c r="GW31" s="60">
        <f t="shared" si="53"/>
        <v>626.66666666619176</v>
      </c>
      <c r="GX31" s="61">
        <v>626.66999999999996</v>
      </c>
      <c r="GY31" s="140"/>
      <c r="GZ31" s="62"/>
      <c r="HA31" s="62"/>
      <c r="HB31" s="74"/>
      <c r="HC31" s="62">
        <f t="shared" si="99"/>
        <v>60100.000000000138</v>
      </c>
      <c r="HD31" s="74"/>
      <c r="HE31" s="24">
        <f t="shared" si="54"/>
        <v>60100.000000000138</v>
      </c>
      <c r="HF31" s="3"/>
      <c r="HG31" s="213">
        <v>25</v>
      </c>
      <c r="HH31" s="16">
        <v>1686.7</v>
      </c>
      <c r="HI31" s="16">
        <v>702.57</v>
      </c>
      <c r="HJ31" s="16">
        <f t="shared" si="124"/>
        <v>60100.000000000138</v>
      </c>
      <c r="HK31" s="16">
        <v>1.9189000000000001</v>
      </c>
      <c r="HL31" s="16">
        <v>660.93</v>
      </c>
      <c r="HM31" s="16">
        <f t="shared" si="100"/>
        <v>0</v>
      </c>
      <c r="HN31" s="16">
        <v>320.47000000000003</v>
      </c>
      <c r="HO31" s="16">
        <v>142.18</v>
      </c>
      <c r="HP31" s="16">
        <f t="shared" si="120"/>
        <v>17970.000000000015</v>
      </c>
      <c r="HQ31" s="16">
        <v>453.74</v>
      </c>
      <c r="HR31" s="16">
        <v>224.53</v>
      </c>
      <c r="HS31" s="16">
        <f t="shared" si="101"/>
        <v>14160.000000000011</v>
      </c>
      <c r="HT31" s="16">
        <v>335.55</v>
      </c>
      <c r="HU31" s="16">
        <v>145.66</v>
      </c>
      <c r="HV31" s="16">
        <f t="shared" si="102"/>
        <v>12070.000000000036</v>
      </c>
      <c r="HW31" s="16"/>
      <c r="HX31" s="16"/>
      <c r="HY31" s="128">
        <f t="shared" si="121"/>
        <v>15900</v>
      </c>
      <c r="HZ31" s="211">
        <f t="shared" si="76"/>
        <v>7.6397554948925972E-11</v>
      </c>
      <c r="IA31" s="16">
        <v>215189.6</v>
      </c>
      <c r="IB31" s="16">
        <v>78196.899999999994</v>
      </c>
      <c r="IC31" s="16">
        <f t="shared" si="103"/>
        <v>6945.8000000000175</v>
      </c>
      <c r="ID31" s="16">
        <v>145.62</v>
      </c>
      <c r="IE31" s="16">
        <v>67.917000000000002</v>
      </c>
      <c r="IF31" s="16">
        <f t="shared" si="104"/>
        <v>3689.9999999999977</v>
      </c>
      <c r="IG31" s="16">
        <v>38890.5</v>
      </c>
      <c r="IH31" s="16">
        <v>53534.9</v>
      </c>
      <c r="II31" s="16">
        <f t="shared" si="105"/>
        <v>1766.5999999999985</v>
      </c>
      <c r="IJ31" s="16">
        <v>28423.1</v>
      </c>
      <c r="IK31" s="16">
        <v>15085.3</v>
      </c>
      <c r="IL31" s="16">
        <f t="shared" si="106"/>
        <v>1007.6999999999971</v>
      </c>
      <c r="IM31" s="16">
        <v>88977.2</v>
      </c>
      <c r="IN31" s="16">
        <v>38645.699999999997</v>
      </c>
      <c r="IO31" s="16">
        <f t="shared" si="107"/>
        <v>13552.5</v>
      </c>
      <c r="IP31" s="16">
        <v>281906.2</v>
      </c>
      <c r="IQ31" s="16">
        <v>35385.599999999999</v>
      </c>
      <c r="IR31" s="16">
        <f t="shared" si="108"/>
        <v>8330.2000000000116</v>
      </c>
      <c r="IS31" s="16">
        <v>9544.1</v>
      </c>
      <c r="IT31" s="16">
        <v>6129.5</v>
      </c>
      <c r="IU31" s="16">
        <f t="shared" si="109"/>
        <v>434.20000000000073</v>
      </c>
      <c r="IV31" s="16">
        <v>136272.9</v>
      </c>
      <c r="IW31" s="16">
        <v>24851.1</v>
      </c>
      <c r="IX31" s="16">
        <f t="shared" si="110"/>
        <v>4523.3999999999942</v>
      </c>
      <c r="IY31" s="16">
        <v>9440.16</v>
      </c>
      <c r="IZ31" s="16">
        <v>863.96</v>
      </c>
      <c r="JA31" s="16">
        <f t="shared" si="111"/>
        <v>158.20000000000073</v>
      </c>
      <c r="JB31" s="16">
        <v>9006.7999999999993</v>
      </c>
      <c r="JC31" s="16">
        <v>978.95</v>
      </c>
      <c r="JD31" s="16">
        <f t="shared" si="112"/>
        <v>242.14999999999964</v>
      </c>
      <c r="JE31" s="16">
        <v>177370.3</v>
      </c>
      <c r="JF31" s="16">
        <v>298583.2</v>
      </c>
      <c r="JG31" s="16">
        <f t="shared" si="113"/>
        <v>6488.7999999999884</v>
      </c>
      <c r="JH31" s="16">
        <v>183800.8</v>
      </c>
      <c r="JI31" s="16">
        <v>18208.2</v>
      </c>
      <c r="JJ31" s="16">
        <f t="shared" si="122"/>
        <v>6246.3999999999942</v>
      </c>
      <c r="JK31" s="16">
        <v>11904.5</v>
      </c>
      <c r="JL31" s="16">
        <v>11516</v>
      </c>
      <c r="JM31" s="16">
        <f t="shared" si="114"/>
        <v>380.20000000000073</v>
      </c>
      <c r="JN31" s="16">
        <v>108246.3</v>
      </c>
      <c r="JO31" s="16">
        <v>18219.2</v>
      </c>
      <c r="JP31" s="16">
        <f t="shared" si="115"/>
        <v>4086.6000000000058</v>
      </c>
      <c r="JQ31" s="16">
        <v>358.64</v>
      </c>
      <c r="JR31" s="16">
        <v>75.28</v>
      </c>
      <c r="JS31" s="16">
        <f t="shared" si="116"/>
        <v>18.800000000000011</v>
      </c>
      <c r="JT31" s="16">
        <v>5116.3999999999996</v>
      </c>
      <c r="JU31" s="16">
        <v>396.1</v>
      </c>
      <c r="JV31" s="16">
        <f t="shared" si="117"/>
        <v>314.29999999999927</v>
      </c>
      <c r="JX31" s="151">
        <f t="shared" si="118"/>
        <v>7.6397554948925972E-11</v>
      </c>
    </row>
    <row r="32" spans="1:284" x14ac:dyDescent="0.25">
      <c r="A32" s="35">
        <f t="shared" si="1"/>
        <v>26</v>
      </c>
      <c r="B32" s="38">
        <v>3557.91</v>
      </c>
      <c r="C32" s="38">
        <f t="shared" si="2"/>
        <v>8.2300000000000182</v>
      </c>
      <c r="D32" s="38">
        <f t="shared" si="3"/>
        <v>263360.00000000058</v>
      </c>
      <c r="E32" s="38">
        <v>716.06</v>
      </c>
      <c r="F32" s="38">
        <f t="shared" si="95"/>
        <v>46719.999999997526</v>
      </c>
      <c r="G32" s="38">
        <f t="shared" si="5"/>
        <v>310079.99999999814</v>
      </c>
      <c r="H32" s="37"/>
      <c r="I32" s="39"/>
      <c r="J32" s="42"/>
      <c r="K32" s="37">
        <f t="shared" si="77"/>
        <v>0</v>
      </c>
      <c r="L32" s="40">
        <v>10339000</v>
      </c>
      <c r="M32" s="40"/>
      <c r="N32" s="37">
        <f t="shared" si="78"/>
        <v>310000</v>
      </c>
      <c r="O32" s="37">
        <v>9817.7000000000007</v>
      </c>
      <c r="P32" s="37"/>
      <c r="Q32" s="37">
        <f t="shared" si="126"/>
        <v>18000</v>
      </c>
      <c r="R32" s="37">
        <f t="shared" si="79"/>
        <v>1</v>
      </c>
      <c r="S32" s="37">
        <v>11078130.869999999</v>
      </c>
      <c r="T32" s="37">
        <f t="shared" si="7"/>
        <v>10105.86999999918</v>
      </c>
      <c r="U32" s="37">
        <v>1518173.85</v>
      </c>
      <c r="V32" s="37">
        <f>IF((U32-U31)&lt;=0,0,(U32-U31))</f>
        <v>0</v>
      </c>
      <c r="W32" s="37">
        <v>3399.3</v>
      </c>
      <c r="X32" s="37">
        <f t="shared" si="93"/>
        <v>7854.1300000008196</v>
      </c>
      <c r="Y32" s="183"/>
      <c r="Z32" s="183">
        <f t="shared" si="9"/>
        <v>0</v>
      </c>
      <c r="AA32" s="37">
        <v>504840</v>
      </c>
      <c r="AB32" s="37">
        <f t="shared" si="10"/>
        <v>40</v>
      </c>
      <c r="AC32" s="37">
        <v>3583.4</v>
      </c>
      <c r="AD32" s="37"/>
      <c r="AE32" s="37">
        <f t="shared" si="128"/>
        <v>5400.0000000000909</v>
      </c>
      <c r="AF32" s="37">
        <f t="shared" si="80"/>
        <v>1</v>
      </c>
      <c r="AG32" s="37">
        <v>7814.9</v>
      </c>
      <c r="AH32" s="37"/>
      <c r="AI32" s="37">
        <f t="shared" si="12"/>
        <v>13090.77</v>
      </c>
      <c r="AJ32" s="37">
        <f t="shared" si="13"/>
        <v>1</v>
      </c>
      <c r="AK32" s="37">
        <f t="shared" si="14"/>
        <v>36450.770000000091</v>
      </c>
      <c r="AL32" s="42">
        <v>9892.1</v>
      </c>
      <c r="AM32" s="42"/>
      <c r="AN32" s="37">
        <f t="shared" si="55"/>
        <v>8710.7700000007826</v>
      </c>
      <c r="AO32" s="37">
        <f t="shared" si="81"/>
        <v>1</v>
      </c>
      <c r="AP32" s="37">
        <v>7538.2</v>
      </c>
      <c r="AQ32" s="37"/>
      <c r="AR32" s="37">
        <f t="shared" si="15"/>
        <v>12699.999999999818</v>
      </c>
      <c r="AS32" s="37">
        <f t="shared" si="82"/>
        <v>1</v>
      </c>
      <c r="AT32" s="183"/>
      <c r="AU32" s="183">
        <f t="shared" si="16"/>
        <v>0</v>
      </c>
      <c r="AV32" s="183"/>
      <c r="AW32" s="183">
        <f t="shared" si="17"/>
        <v>0</v>
      </c>
      <c r="AX32" s="37">
        <v>452865.36</v>
      </c>
      <c r="AY32" s="37"/>
      <c r="AZ32" s="37">
        <f t="shared" si="18"/>
        <v>515.35999999998603</v>
      </c>
      <c r="BA32" s="37">
        <v>101001.1</v>
      </c>
      <c r="BB32" s="37"/>
      <c r="BC32" s="37">
        <f t="shared" si="19"/>
        <v>701.10000000000582</v>
      </c>
      <c r="BD32" s="37">
        <f t="shared" si="83"/>
        <v>22627.230000000593</v>
      </c>
      <c r="BE32" s="43">
        <v>1693.1</v>
      </c>
      <c r="BF32" s="43">
        <v>922.79</v>
      </c>
      <c r="BG32" s="37">
        <f t="shared" si="20"/>
        <v>2500</v>
      </c>
      <c r="BH32" s="44">
        <v>8095.1</v>
      </c>
      <c r="BI32" s="44">
        <v>5208.3999999999996</v>
      </c>
      <c r="BJ32" s="37">
        <f t="shared" si="21"/>
        <v>9100.0000000003638</v>
      </c>
      <c r="BK32" s="40">
        <v>1230600</v>
      </c>
      <c r="BL32" s="40">
        <f t="shared" si="84"/>
        <v>4270</v>
      </c>
      <c r="BM32" s="40">
        <v>813.52</v>
      </c>
      <c r="BN32" s="37">
        <f t="shared" si="22"/>
        <v>659.99999999996817</v>
      </c>
      <c r="BO32" s="186"/>
      <c r="BP32" s="183">
        <f t="shared" si="23"/>
        <v>0</v>
      </c>
      <c r="BQ32" s="40">
        <v>770.85</v>
      </c>
      <c r="BR32" s="37">
        <f t="shared" si="56"/>
        <v>649.99999999997726</v>
      </c>
      <c r="BS32" s="37">
        <v>80144.850000000006</v>
      </c>
      <c r="BT32" s="37">
        <f t="shared" si="24"/>
        <v>216.04000000000815</v>
      </c>
      <c r="BU32" s="42">
        <v>2039000</v>
      </c>
      <c r="BV32" s="42"/>
      <c r="BW32" s="37">
        <f t="shared" si="25"/>
        <v>3703</v>
      </c>
      <c r="BX32" s="37">
        <f t="shared" si="85"/>
        <v>1</v>
      </c>
      <c r="BY32" s="43">
        <v>288.79000000000002</v>
      </c>
      <c r="BZ32" s="43"/>
      <c r="CA32" s="37">
        <f t="shared" si="123"/>
        <v>785.00000000002501</v>
      </c>
      <c r="CB32" s="37">
        <f t="shared" si="57"/>
        <v>1</v>
      </c>
      <c r="CC32" s="37">
        <v>478849.8</v>
      </c>
      <c r="CD32" s="37">
        <f t="shared" si="27"/>
        <v>0</v>
      </c>
      <c r="CE32" s="41">
        <v>697330.8</v>
      </c>
      <c r="CF32" s="37">
        <f t="shared" si="58"/>
        <v>0</v>
      </c>
      <c r="CG32" s="37">
        <v>61113</v>
      </c>
      <c r="CH32" s="37">
        <f t="shared" si="59"/>
        <v>0</v>
      </c>
      <c r="CI32" s="40">
        <v>11177</v>
      </c>
      <c r="CJ32" s="40"/>
      <c r="CK32" s="37">
        <f t="shared" si="60"/>
        <v>16815.770000000193</v>
      </c>
      <c r="CL32" s="37">
        <f t="shared" si="28"/>
        <v>1</v>
      </c>
      <c r="CM32" s="37">
        <v>2942.6</v>
      </c>
      <c r="CN32" s="37"/>
      <c r="CO32" s="37">
        <f t="shared" si="29"/>
        <v>9505.7699999999641</v>
      </c>
      <c r="CP32" s="37">
        <f t="shared" si="86"/>
        <v>1</v>
      </c>
      <c r="CQ32" s="39">
        <v>2846</v>
      </c>
      <c r="CR32" s="39"/>
      <c r="CS32" s="37">
        <f t="shared" si="30"/>
        <v>7283.7700000002114</v>
      </c>
      <c r="CT32" s="37">
        <f t="shared" si="87"/>
        <v>1</v>
      </c>
      <c r="CU32" s="37">
        <v>2376700</v>
      </c>
      <c r="CV32" s="37"/>
      <c r="CW32" s="38">
        <f t="shared" si="31"/>
        <v>20019</v>
      </c>
      <c r="CX32" s="37">
        <f>IF(CW32&lt;=0,0,(CW32/SQRT(CW32^2+(CV32-CV31)^2)))</f>
        <v>1</v>
      </c>
      <c r="CY32" s="37">
        <v>1259100</v>
      </c>
      <c r="CZ32" s="37"/>
      <c r="DA32" s="37">
        <f t="shared" si="131"/>
        <v>11052</v>
      </c>
      <c r="DB32" s="37">
        <f t="shared" si="89"/>
        <v>1</v>
      </c>
      <c r="DC32" s="37"/>
      <c r="DD32" s="40"/>
      <c r="DE32" s="37">
        <f t="shared" si="33"/>
        <v>0</v>
      </c>
      <c r="DF32" s="37">
        <f t="shared" si="94"/>
        <v>0</v>
      </c>
      <c r="DG32" s="37">
        <f t="shared" si="34"/>
        <v>-68379.310000000361</v>
      </c>
      <c r="DH32" s="37">
        <f t="shared" si="35"/>
        <v>348950.77000000008</v>
      </c>
      <c r="DI32" s="46"/>
      <c r="DJ32" s="46"/>
      <c r="DK32" s="47"/>
      <c r="DL32" s="47"/>
      <c r="DM32" s="37"/>
      <c r="DN32" s="37"/>
      <c r="DO32" s="37"/>
      <c r="DP32" s="37"/>
      <c r="DQ32" s="50">
        <v>2776100</v>
      </c>
      <c r="DR32" s="49">
        <f t="shared" si="61"/>
        <v>8600</v>
      </c>
      <c r="DS32" s="50">
        <v>2214100</v>
      </c>
      <c r="DT32" s="49">
        <f t="shared" si="62"/>
        <v>15300</v>
      </c>
      <c r="DU32" s="51">
        <v>7612.1</v>
      </c>
      <c r="DV32" s="51">
        <v>4253</v>
      </c>
      <c r="DW32" s="37">
        <f t="shared" si="90"/>
        <v>4600.0000000003638</v>
      </c>
      <c r="DX32" s="52">
        <v>12600</v>
      </c>
      <c r="DY32" s="52">
        <v>8280.2999999999993</v>
      </c>
      <c r="DZ32" s="37">
        <f t="shared" si="36"/>
        <v>7590.77</v>
      </c>
      <c r="EA32" s="49">
        <v>28191</v>
      </c>
      <c r="EB32" s="49">
        <v>19.974</v>
      </c>
      <c r="EC32" s="37">
        <f t="shared" si="37"/>
        <v>25750.77</v>
      </c>
      <c r="ED32" s="53">
        <f t="shared" si="38"/>
        <v>37941.540000000365</v>
      </c>
      <c r="EE32" s="49">
        <v>43487</v>
      </c>
      <c r="EF32" s="49">
        <v>27.728999999999999</v>
      </c>
      <c r="EG32" s="37">
        <f t="shared" si="39"/>
        <v>31750.77</v>
      </c>
      <c r="EH32" s="51">
        <v>12239</v>
      </c>
      <c r="EI32" s="51">
        <v>1.6386000000000001</v>
      </c>
      <c r="EJ32" s="37">
        <f t="shared" si="40"/>
        <v>11590.77</v>
      </c>
      <c r="EK32" s="37">
        <v>740.67</v>
      </c>
      <c r="EL32" s="40">
        <v>1063.4000000000001</v>
      </c>
      <c r="EM32" s="37">
        <f t="shared" si="63"/>
        <v>750</v>
      </c>
      <c r="EN32" s="54">
        <f t="shared" si="64"/>
        <v>44091.54</v>
      </c>
      <c r="EO32" s="48">
        <v>12301</v>
      </c>
      <c r="EP32" s="48">
        <v>4285.1000000000004</v>
      </c>
      <c r="EQ32" s="37">
        <f t="shared" si="41"/>
        <v>11590.77</v>
      </c>
      <c r="ER32" s="48">
        <v>8117.4</v>
      </c>
      <c r="ES32" s="48">
        <v>8300.6</v>
      </c>
      <c r="ET32" s="49">
        <f t="shared" si="98"/>
        <v>19099.999999999454</v>
      </c>
      <c r="EU32" s="48">
        <v>2920.7</v>
      </c>
      <c r="EV32" s="48">
        <v>1044.3</v>
      </c>
      <c r="EW32" s="49">
        <f t="shared" si="43"/>
        <v>8590.77</v>
      </c>
      <c r="EX32" s="48">
        <v>12507</v>
      </c>
      <c r="EY32" s="48">
        <v>1.3472999999999999</v>
      </c>
      <c r="EZ32" s="37">
        <f t="shared" si="44"/>
        <v>12590.77</v>
      </c>
      <c r="FA32" s="48">
        <f t="shared" si="65"/>
        <v>-25997.309999999456</v>
      </c>
      <c r="FB32" s="48">
        <v>34660431</v>
      </c>
      <c r="FC32" s="49">
        <f t="shared" si="91"/>
        <v>25875</v>
      </c>
      <c r="FD32" s="48">
        <f t="shared" si="66"/>
        <v>53372.309999999459</v>
      </c>
      <c r="FE32" s="48">
        <v>16272</v>
      </c>
      <c r="FF32" s="48">
        <v>5832.3</v>
      </c>
      <c r="FG32" s="37">
        <f t="shared" si="67"/>
        <v>890.77</v>
      </c>
      <c r="FH32" s="48">
        <v>7416</v>
      </c>
      <c r="FI32" s="48">
        <v>2.8559000000000001</v>
      </c>
      <c r="FJ32" s="49">
        <f t="shared" si="45"/>
        <v>990.77000000036378</v>
      </c>
      <c r="FK32" s="48"/>
      <c r="FL32" s="58">
        <v>300</v>
      </c>
      <c r="FM32" s="48">
        <f>FT32/3</f>
        <v>-590.77000000012129</v>
      </c>
      <c r="FN32" s="48">
        <v>15574</v>
      </c>
      <c r="FO32" s="48">
        <v>0.72219999999999995</v>
      </c>
      <c r="FP32" s="37">
        <f t="shared" si="68"/>
        <v>1890.77</v>
      </c>
      <c r="FQ32" s="48">
        <v>55601</v>
      </c>
      <c r="FR32" s="48">
        <v>13.313000000000001</v>
      </c>
      <c r="FS32" s="37">
        <f t="shared" si="46"/>
        <v>2000</v>
      </c>
      <c r="FT32" s="48">
        <f t="shared" si="119"/>
        <v>-1772.3100000003637</v>
      </c>
      <c r="FU32" s="48">
        <f t="shared" si="70"/>
        <v>4172.3100000002269</v>
      </c>
      <c r="FV32" s="44">
        <v>2932600</v>
      </c>
      <c r="FW32" s="44">
        <v>942330</v>
      </c>
      <c r="FX32" s="37">
        <f t="shared" si="47"/>
        <v>16900</v>
      </c>
      <c r="FY32" s="56">
        <v>2947</v>
      </c>
      <c r="FZ32" s="56">
        <v>1.7397</v>
      </c>
      <c r="GA32" s="37">
        <f t="shared" si="48"/>
        <v>4670.0000000001819</v>
      </c>
      <c r="GB32" s="56">
        <v>756.92</v>
      </c>
      <c r="GC32" s="56">
        <v>842.73</v>
      </c>
      <c r="GD32" s="37">
        <f t="shared" si="49"/>
        <v>579.99999999992724</v>
      </c>
      <c r="GE32" s="56">
        <v>9384.4</v>
      </c>
      <c r="GF32" s="56">
        <v>2.8936999999999999</v>
      </c>
      <c r="GG32" s="37">
        <f>IF((GE32-GE31)*1000&lt;=0,0,(GE32-GE31)*1000)-GJ32-GM32</f>
        <v>4299.999999999045</v>
      </c>
      <c r="GH32" s="158">
        <v>1819.6</v>
      </c>
      <c r="GI32" s="159">
        <v>1541.7</v>
      </c>
      <c r="GJ32" s="38">
        <f t="shared" si="51"/>
        <v>1500</v>
      </c>
      <c r="GK32" s="159">
        <v>1417.1</v>
      </c>
      <c r="GL32" s="160">
        <v>1097.0999999999999</v>
      </c>
      <c r="GM32" s="38">
        <f t="shared" si="52"/>
        <v>399.99999999986358</v>
      </c>
      <c r="GN32" s="57">
        <v>158970</v>
      </c>
      <c r="GO32" s="57">
        <v>138740</v>
      </c>
      <c r="GP32" s="38">
        <f t="shared" si="96"/>
        <v>0</v>
      </c>
      <c r="GQ32" s="38">
        <v>219780</v>
      </c>
      <c r="GR32" s="38">
        <v>219170</v>
      </c>
      <c r="GS32" s="38">
        <f t="shared" si="71"/>
        <v>1130</v>
      </c>
      <c r="GT32" s="178"/>
      <c r="GU32" s="144">
        <f>DailyFeb!B31-DailyFeb!N31-DailyFeb!V31-DailyFeb!Y31-DailyFeb!Z31-DailyFeb!AA31-DailyFeb!AB31-DailyFeb!AC31-DailyFeb!AD31-DailyFeb!AE31-DailyFeb!AK31-DailyFeb!AO31-DailyFeb!AS31-DailyFeb!AY31-DailyFeb!BD31+DailyFeb!BS31-SUM(DailyFeb!BM31:BQ31)-DailyFeb!BR31-DailyFeb!AF31-DailyFeb!AG31</f>
        <v>-1.0000002555898391E-2</v>
      </c>
      <c r="GV32" s="59">
        <v>8861.5399999974761</v>
      </c>
      <c r="GW32" s="60">
        <f t="shared" si="53"/>
        <v>590.76933333316504</v>
      </c>
      <c r="GX32" s="61">
        <v>590.77</v>
      </c>
      <c r="GY32" s="140"/>
      <c r="GZ32" s="62"/>
      <c r="HA32" s="62"/>
      <c r="HB32" s="74"/>
      <c r="HC32" s="62">
        <f t="shared" si="99"/>
        <v>82000</v>
      </c>
      <c r="HD32" s="74"/>
      <c r="HE32" s="24">
        <f t="shared" si="54"/>
        <v>82000</v>
      </c>
      <c r="HG32" s="213">
        <v>26</v>
      </c>
      <c r="HH32" s="16">
        <v>1768.7</v>
      </c>
      <c r="HI32" s="16">
        <v>733.96</v>
      </c>
      <c r="HJ32" s="16">
        <f t="shared" si="124"/>
        <v>82000</v>
      </c>
      <c r="HK32" s="16">
        <v>1.9189000000000001</v>
      </c>
      <c r="HL32" s="16">
        <v>660.93</v>
      </c>
      <c r="HM32" s="16">
        <f t="shared" si="100"/>
        <v>0</v>
      </c>
      <c r="HN32" s="16">
        <v>334.57</v>
      </c>
      <c r="HO32" s="16">
        <v>148.33000000000001</v>
      </c>
      <c r="HP32" s="16">
        <f t="shared" si="120"/>
        <v>28093.329999999933</v>
      </c>
      <c r="HQ32" s="16">
        <v>474.77</v>
      </c>
      <c r="HR32" s="16">
        <v>235.56</v>
      </c>
      <c r="HS32" s="16">
        <f t="shared" si="101"/>
        <v>20923.329999999973</v>
      </c>
      <c r="HT32" s="16">
        <v>353.34</v>
      </c>
      <c r="HU32" s="16">
        <v>152.65</v>
      </c>
      <c r="HV32" s="16">
        <f t="shared" si="102"/>
        <v>17683.329999999965</v>
      </c>
      <c r="HW32" s="16"/>
      <c r="HX32" s="16"/>
      <c r="HY32" s="128">
        <f t="shared" si="121"/>
        <v>15300</v>
      </c>
      <c r="HZ32" s="211">
        <f t="shared" si="76"/>
        <v>1.0000000133004505E-2</v>
      </c>
      <c r="IA32" s="16">
        <v>224145.4</v>
      </c>
      <c r="IB32" s="16">
        <v>82284.2</v>
      </c>
      <c r="IC32" s="16">
        <f t="shared" si="103"/>
        <v>8955.7999999999884</v>
      </c>
      <c r="ID32" s="16">
        <v>152.28</v>
      </c>
      <c r="IE32" s="16">
        <v>71.061999999999998</v>
      </c>
      <c r="IF32" s="16">
        <f t="shared" si="104"/>
        <v>6659.9999999999964</v>
      </c>
      <c r="IG32" s="16">
        <v>40959.199999999997</v>
      </c>
      <c r="IH32" s="16">
        <v>56296</v>
      </c>
      <c r="II32" s="16">
        <f t="shared" si="105"/>
        <v>2068.6999999999971</v>
      </c>
      <c r="IJ32" s="16">
        <v>29634.3</v>
      </c>
      <c r="IK32" s="16">
        <v>15748.4</v>
      </c>
      <c r="IL32" s="16">
        <f t="shared" si="106"/>
        <v>1211.2000000000007</v>
      </c>
      <c r="IM32" s="16">
        <v>110011.9</v>
      </c>
      <c r="IN32" s="16">
        <v>47274.9</v>
      </c>
      <c r="IO32" s="16">
        <f t="shared" si="107"/>
        <v>21034.699999999997</v>
      </c>
      <c r="IP32" s="16">
        <v>295280</v>
      </c>
      <c r="IQ32" s="16">
        <v>37068.800000000003</v>
      </c>
      <c r="IR32" s="16">
        <f t="shared" si="108"/>
        <v>13373.799999999988</v>
      </c>
      <c r="IS32" s="16">
        <v>10096</v>
      </c>
      <c r="IT32" s="16">
        <v>6477.8</v>
      </c>
      <c r="IU32" s="16">
        <f t="shared" si="109"/>
        <v>551.89999999999964</v>
      </c>
      <c r="IV32" s="16">
        <v>143060.70000000001</v>
      </c>
      <c r="IW32" s="16">
        <v>26109.3</v>
      </c>
      <c r="IX32" s="16">
        <f t="shared" si="110"/>
        <v>6787.8000000000175</v>
      </c>
      <c r="IY32" s="16">
        <v>9828.24</v>
      </c>
      <c r="IZ32" s="16">
        <v>902.4</v>
      </c>
      <c r="JA32" s="16">
        <f t="shared" si="111"/>
        <v>388.07999999999993</v>
      </c>
      <c r="JB32" s="16">
        <v>9383.1</v>
      </c>
      <c r="JC32" s="16">
        <v>1022.4</v>
      </c>
      <c r="JD32" s="16">
        <f t="shared" si="112"/>
        <v>376.30000000000109</v>
      </c>
      <c r="JE32" s="16">
        <v>187229.2</v>
      </c>
      <c r="JF32" s="16">
        <v>885.2</v>
      </c>
      <c r="JG32" s="16">
        <f t="shared" si="113"/>
        <v>9858.9000000000233</v>
      </c>
      <c r="JH32" s="16">
        <v>193349.9</v>
      </c>
      <c r="JI32" s="16">
        <v>19133.2</v>
      </c>
      <c r="JJ32" s="16">
        <f t="shared" si="122"/>
        <v>9549.1000000000058</v>
      </c>
      <c r="JK32" s="16">
        <v>12519.3</v>
      </c>
      <c r="JL32" s="16">
        <v>11516</v>
      </c>
      <c r="JM32" s="16">
        <f t="shared" si="114"/>
        <v>614.79999999999927</v>
      </c>
      <c r="JN32" s="16">
        <v>114629.7</v>
      </c>
      <c r="JO32" s="16">
        <v>19254.900000000001</v>
      </c>
      <c r="JP32" s="16">
        <f t="shared" si="115"/>
        <v>6383.3999999999942</v>
      </c>
      <c r="JQ32" s="16">
        <v>385.64</v>
      </c>
      <c r="JR32" s="16">
        <v>82.84</v>
      </c>
      <c r="JS32" s="16">
        <f t="shared" si="116"/>
        <v>27</v>
      </c>
      <c r="JT32" s="16">
        <v>5513.2</v>
      </c>
      <c r="JU32" s="16">
        <v>423.1</v>
      </c>
      <c r="JV32" s="16">
        <f t="shared" si="117"/>
        <v>396.80000000000018</v>
      </c>
      <c r="JX32" s="151">
        <f t="shared" si="118"/>
        <v>1.0000000133004505E-2</v>
      </c>
    </row>
    <row r="33" spans="1:284" x14ac:dyDescent="0.25">
      <c r="A33" s="35">
        <f t="shared" si="1"/>
        <v>27</v>
      </c>
      <c r="B33" s="38">
        <v>3566.01</v>
      </c>
      <c r="C33" s="38">
        <f t="shared" si="2"/>
        <v>8.1000000000003638</v>
      </c>
      <c r="D33" s="38">
        <f t="shared" si="3"/>
        <v>259200.00000001164</v>
      </c>
      <c r="E33" s="38">
        <v>717.59</v>
      </c>
      <c r="F33" s="38">
        <f t="shared" si="95"/>
        <v>48960.000000002765</v>
      </c>
      <c r="G33" s="38">
        <f t="shared" si="5"/>
        <v>308160.00000001444</v>
      </c>
      <c r="H33" s="37"/>
      <c r="I33" s="39"/>
      <c r="J33" s="42"/>
      <c r="K33" s="37">
        <f t="shared" si="77"/>
        <v>0</v>
      </c>
      <c r="L33" s="40">
        <v>10369300</v>
      </c>
      <c r="M33" s="40"/>
      <c r="N33" s="37">
        <f t="shared" si="78"/>
        <v>303000</v>
      </c>
      <c r="O33" s="37">
        <v>9834.2000000000007</v>
      </c>
      <c r="P33" s="37"/>
      <c r="Q33" s="37">
        <f t="shared" si="126"/>
        <v>16500</v>
      </c>
      <c r="R33" s="37">
        <f t="shared" si="79"/>
        <v>1</v>
      </c>
      <c r="S33" s="37">
        <v>11085811.630000001</v>
      </c>
      <c r="T33" s="37">
        <f t="shared" si="7"/>
        <v>7680.7600000016391</v>
      </c>
      <c r="U33" s="37">
        <v>1518173.85</v>
      </c>
      <c r="V33" s="37">
        <f t="shared" si="8"/>
        <v>0</v>
      </c>
      <c r="W33" s="37">
        <v>3405.4</v>
      </c>
      <c r="X33" s="37">
        <f t="shared" si="93"/>
        <v>7559.2399999983609</v>
      </c>
      <c r="Y33" s="183"/>
      <c r="Z33" s="183">
        <f t="shared" si="9"/>
        <v>0</v>
      </c>
      <c r="AA33" s="37">
        <v>506100</v>
      </c>
      <c r="AB33" s="37">
        <f t="shared" si="10"/>
        <v>1260</v>
      </c>
      <c r="AC33" s="37">
        <v>3588.4</v>
      </c>
      <c r="AD33" s="37"/>
      <c r="AE33" s="37">
        <f t="shared" si="128"/>
        <v>5000</v>
      </c>
      <c r="AF33" s="37">
        <f t="shared" si="80"/>
        <v>1</v>
      </c>
      <c r="AG33" s="37">
        <v>7826.5</v>
      </c>
      <c r="AH33" s="37"/>
      <c r="AI33" s="37">
        <f t="shared" si="12"/>
        <v>12372.720000000363</v>
      </c>
      <c r="AJ33" s="37">
        <f t="shared" si="13"/>
        <v>1</v>
      </c>
      <c r="AK33" s="37">
        <f t="shared" si="14"/>
        <v>32612.720000000365</v>
      </c>
      <c r="AL33" s="42">
        <v>9905.1</v>
      </c>
      <c r="AM33" s="42"/>
      <c r="AN33" s="37">
        <f t="shared" si="55"/>
        <v>8152.7199999999266</v>
      </c>
      <c r="AO33" s="37">
        <f t="shared" si="81"/>
        <v>1</v>
      </c>
      <c r="AP33" s="37">
        <v>7549.7</v>
      </c>
      <c r="AQ33" s="37"/>
      <c r="AR33" s="37">
        <f t="shared" si="15"/>
        <v>11500</v>
      </c>
      <c r="AS33" s="37">
        <f t="shared" si="82"/>
        <v>1</v>
      </c>
      <c r="AT33" s="183"/>
      <c r="AU33" s="183">
        <f t="shared" si="16"/>
        <v>0</v>
      </c>
      <c r="AV33" s="183"/>
      <c r="AW33" s="183">
        <f t="shared" si="17"/>
        <v>0</v>
      </c>
      <c r="AX33" s="37">
        <v>453350</v>
      </c>
      <c r="AY33" s="37"/>
      <c r="AZ33" s="37">
        <f t="shared" si="18"/>
        <v>484.64000000001397</v>
      </c>
      <c r="BA33" s="37">
        <v>101670</v>
      </c>
      <c r="BB33" s="37"/>
      <c r="BC33" s="37">
        <f t="shared" si="19"/>
        <v>668.89999999999418</v>
      </c>
      <c r="BD33" s="37">
        <f t="shared" si="83"/>
        <v>20806.259999999937</v>
      </c>
      <c r="BE33" s="43">
        <v>1695.5</v>
      </c>
      <c r="BF33" s="43">
        <v>924.23</v>
      </c>
      <c r="BG33" s="37">
        <f t="shared" si="20"/>
        <v>2400.0000000000909</v>
      </c>
      <c r="BH33" s="44">
        <v>8103.7</v>
      </c>
      <c r="BI33" s="44">
        <v>5213.8</v>
      </c>
      <c r="BJ33" s="37">
        <f t="shared" si="21"/>
        <v>8599.9999999994543</v>
      </c>
      <c r="BK33" s="40">
        <v>1234800</v>
      </c>
      <c r="BL33" s="40">
        <f t="shared" si="84"/>
        <v>4200</v>
      </c>
      <c r="BM33" s="40">
        <v>814.19</v>
      </c>
      <c r="BN33" s="37">
        <f t="shared" si="22"/>
        <v>670.00000000007276</v>
      </c>
      <c r="BO33" s="186"/>
      <c r="BP33" s="183">
        <f t="shared" si="23"/>
        <v>0</v>
      </c>
      <c r="BQ33" s="40">
        <v>771.6</v>
      </c>
      <c r="BR33" s="37">
        <f t="shared" si="56"/>
        <v>750</v>
      </c>
      <c r="BS33" s="37">
        <v>80349.88</v>
      </c>
      <c r="BT33" s="37">
        <f t="shared" si="24"/>
        <v>205.02999999999884</v>
      </c>
      <c r="BU33" s="42">
        <v>2043491</v>
      </c>
      <c r="BV33" s="42"/>
      <c r="BW33" s="37">
        <f t="shared" si="25"/>
        <v>4491</v>
      </c>
      <c r="BX33" s="37">
        <f t="shared" si="85"/>
        <v>1</v>
      </c>
      <c r="BY33" s="43">
        <v>289.471</v>
      </c>
      <c r="BZ33" s="43"/>
      <c r="CA33" s="37">
        <f t="shared" si="123"/>
        <v>680.99999999998317</v>
      </c>
      <c r="CB33" s="37">
        <f t="shared" si="57"/>
        <v>1</v>
      </c>
      <c r="CC33" s="37">
        <v>479659.8</v>
      </c>
      <c r="CD33" s="37">
        <f t="shared" si="27"/>
        <v>810</v>
      </c>
      <c r="CE33" s="41">
        <v>697330.8</v>
      </c>
      <c r="CF33" s="37">
        <f t="shared" si="58"/>
        <v>0</v>
      </c>
      <c r="CG33" s="37">
        <v>61113</v>
      </c>
      <c r="CH33" s="37">
        <f t="shared" si="59"/>
        <v>0</v>
      </c>
      <c r="CI33" s="40">
        <v>11192.78</v>
      </c>
      <c r="CJ33" s="40"/>
      <c r="CK33" s="37">
        <f t="shared" si="60"/>
        <v>15871.720000000672</v>
      </c>
      <c r="CL33" s="37">
        <f t="shared" si="28"/>
        <v>1</v>
      </c>
      <c r="CM33" s="37">
        <v>2951.2950000000001</v>
      </c>
      <c r="CN33" s="37"/>
      <c r="CO33" s="37">
        <f t="shared" si="29"/>
        <v>9467.7200000001631</v>
      </c>
      <c r="CP33" s="37">
        <f t="shared" si="86"/>
        <v>1</v>
      </c>
      <c r="CQ33" s="39">
        <v>2852.3240000000001</v>
      </c>
      <c r="CR33" s="39"/>
      <c r="CS33" s="37">
        <f t="shared" si="30"/>
        <v>7096.7200000000694</v>
      </c>
      <c r="CT33" s="37">
        <f t="shared" si="87"/>
        <v>1</v>
      </c>
      <c r="CU33" s="37">
        <v>2393866</v>
      </c>
      <c r="CV33" s="37"/>
      <c r="CW33" s="38">
        <f t="shared" si="31"/>
        <v>17166</v>
      </c>
      <c r="CX33" s="37">
        <f t="shared" si="88"/>
        <v>1</v>
      </c>
      <c r="CY33" s="37">
        <v>1268821</v>
      </c>
      <c r="CZ33" s="37"/>
      <c r="DA33" s="37">
        <f t="shared" si="131"/>
        <v>9721</v>
      </c>
      <c r="DB33" s="37">
        <f t="shared" si="89"/>
        <v>1</v>
      </c>
      <c r="DC33" s="37"/>
      <c r="DD33" s="40"/>
      <c r="DE33" s="37">
        <f t="shared" si="33"/>
        <v>0</v>
      </c>
      <c r="DF33" s="37">
        <f t="shared" si="94"/>
        <v>0</v>
      </c>
      <c r="DG33" s="37">
        <f t="shared" si="34"/>
        <v>-63814.160000000898</v>
      </c>
      <c r="DH33" s="37">
        <f t="shared" si="35"/>
        <v>338012.72000000044</v>
      </c>
      <c r="DI33" s="46"/>
      <c r="DJ33" s="46"/>
      <c r="DK33" s="47"/>
      <c r="DL33" s="47"/>
      <c r="DM33" s="37"/>
      <c r="DN33" s="37"/>
      <c r="DO33" s="37"/>
      <c r="DP33" s="37"/>
      <c r="DQ33" s="50">
        <v>2785500</v>
      </c>
      <c r="DR33" s="49">
        <f t="shared" si="61"/>
        <v>9400</v>
      </c>
      <c r="DS33" s="50">
        <v>2232800</v>
      </c>
      <c r="DT33" s="49">
        <f t="shared" si="62"/>
        <v>18700</v>
      </c>
      <c r="DU33" s="51">
        <v>7616.7</v>
      </c>
      <c r="DV33" s="51">
        <v>4255.8999999999996</v>
      </c>
      <c r="DW33" s="37">
        <f t="shared" si="90"/>
        <v>4599.9999999994543</v>
      </c>
      <c r="DX33" s="52">
        <v>12607</v>
      </c>
      <c r="DY33" s="52">
        <v>8282.7000000000007</v>
      </c>
      <c r="DZ33" s="37">
        <f t="shared" si="36"/>
        <v>7772.72</v>
      </c>
      <c r="EA33" s="49">
        <v>28212</v>
      </c>
      <c r="EB33" s="49">
        <v>19.986000000000001</v>
      </c>
      <c r="EC33" s="37">
        <f t="shared" si="37"/>
        <v>23932.720000000001</v>
      </c>
      <c r="ED33" s="53">
        <f t="shared" si="38"/>
        <v>36305.439999999457</v>
      </c>
      <c r="EE33" s="49">
        <v>43514</v>
      </c>
      <c r="EF33" s="49">
        <v>27.754999999999999</v>
      </c>
      <c r="EG33" s="37">
        <f t="shared" si="39"/>
        <v>29932.720000000001</v>
      </c>
      <c r="EH33" s="51">
        <v>12249</v>
      </c>
      <c r="EI33" s="51">
        <v>1.6400999999999999</v>
      </c>
      <c r="EJ33" s="37">
        <f t="shared" si="40"/>
        <v>10772.72</v>
      </c>
      <c r="EK33" s="37">
        <v>741.47</v>
      </c>
      <c r="EL33" s="40">
        <v>1064.5</v>
      </c>
      <c r="EM33" s="37">
        <f t="shared" si="63"/>
        <v>800.00000000006821</v>
      </c>
      <c r="EN33" s="54">
        <f t="shared" si="64"/>
        <v>41505.440000000068</v>
      </c>
      <c r="EO33" s="48">
        <v>12310</v>
      </c>
      <c r="EP33" s="48">
        <v>4288.3</v>
      </c>
      <c r="EQ33" s="37">
        <f t="shared" si="41"/>
        <v>9772.7199999999993</v>
      </c>
      <c r="ER33" s="48">
        <v>8133.8</v>
      </c>
      <c r="ES33" s="48">
        <v>8307.5</v>
      </c>
      <c r="ET33" s="49">
        <f t="shared" si="98"/>
        <v>16400.000000000546</v>
      </c>
      <c r="EU33" s="48">
        <v>2928.4</v>
      </c>
      <c r="EV33" s="48">
        <v>1047</v>
      </c>
      <c r="EW33" s="49">
        <f t="shared" si="43"/>
        <v>8472.7200000002722</v>
      </c>
      <c r="EX33" s="48">
        <v>12520</v>
      </c>
      <c r="EY33" s="48">
        <v>1.3496999999999999</v>
      </c>
      <c r="EZ33" s="37">
        <f t="shared" si="44"/>
        <v>13772.72</v>
      </c>
      <c r="FA33" s="48">
        <f t="shared" si="65"/>
        <v>-25156.160000000818</v>
      </c>
      <c r="FB33" s="48">
        <v>34683693</v>
      </c>
      <c r="FC33" s="49">
        <f t="shared" si="91"/>
        <v>23262</v>
      </c>
      <c r="FD33" s="48">
        <f t="shared" si="66"/>
        <v>49118.160000000862</v>
      </c>
      <c r="FE33" s="48">
        <v>16273</v>
      </c>
      <c r="FF33" s="48">
        <v>5832.8</v>
      </c>
      <c r="FG33" s="37">
        <f t="shared" si="67"/>
        <v>1406.05</v>
      </c>
      <c r="FH33" s="48">
        <v>7416.1</v>
      </c>
      <c r="FI33" s="48">
        <v>2.8561000000000001</v>
      </c>
      <c r="FJ33" s="49">
        <f>IF((FH33-FH32)&lt;=0,0,(FH33-FH32))*1000+GX33</f>
        <v>872.72000000036383</v>
      </c>
      <c r="FK33" s="48"/>
      <c r="FL33" s="58">
        <v>-366.67</v>
      </c>
      <c r="FM33" s="48">
        <f t="shared" si="92"/>
        <v>-894.94000000012136</v>
      </c>
      <c r="FN33" s="48">
        <v>15576</v>
      </c>
      <c r="FO33" s="48">
        <v>0.72230000000000005</v>
      </c>
      <c r="FP33" s="37">
        <f t="shared" si="68"/>
        <v>2406.0500000000002</v>
      </c>
      <c r="FQ33" s="48">
        <v>55603</v>
      </c>
      <c r="FR33" s="48">
        <v>13.315</v>
      </c>
      <c r="FS33" s="37">
        <f t="shared" si="46"/>
        <v>2000</v>
      </c>
      <c r="FT33" s="48">
        <f t="shared" si="119"/>
        <v>-2684.820000000364</v>
      </c>
      <c r="FU33" s="48">
        <f t="shared" si="70"/>
        <v>5684.8200000003635</v>
      </c>
      <c r="FV33" s="44">
        <v>2950200</v>
      </c>
      <c r="FW33" s="44">
        <v>947800</v>
      </c>
      <c r="FX33" s="37">
        <f t="shared" si="47"/>
        <v>17600</v>
      </c>
      <c r="FY33" s="56">
        <v>2952.5</v>
      </c>
      <c r="FZ33" s="56">
        <v>1.7450000000000001</v>
      </c>
      <c r="GA33" s="37">
        <f t="shared" si="48"/>
        <v>4490</v>
      </c>
      <c r="GB33" s="56">
        <v>757.54</v>
      </c>
      <c r="GC33" s="56">
        <v>843.52</v>
      </c>
      <c r="GD33" s="37">
        <f t="shared" si="49"/>
        <v>620.00000000000455</v>
      </c>
      <c r="GE33" s="56">
        <v>9390.4</v>
      </c>
      <c r="GF33" s="56">
        <v>2.8978000000000002</v>
      </c>
      <c r="GG33" s="37">
        <f t="shared" si="50"/>
        <v>4299.9999999999545</v>
      </c>
      <c r="GH33" s="153">
        <v>1820.3</v>
      </c>
      <c r="GI33" s="162">
        <v>1542.4</v>
      </c>
      <c r="GJ33" s="38">
        <f t="shared" si="51"/>
        <v>700.00000000004547</v>
      </c>
      <c r="GK33" s="162">
        <v>1418.1</v>
      </c>
      <c r="GL33" s="163">
        <v>1097.5</v>
      </c>
      <c r="GM33" s="38">
        <f t="shared" si="52"/>
        <v>1000</v>
      </c>
      <c r="GN33" s="57">
        <v>158980</v>
      </c>
      <c r="GO33" s="57">
        <v>138750</v>
      </c>
      <c r="GP33" s="38">
        <f t="shared" si="96"/>
        <v>10</v>
      </c>
      <c r="GQ33" s="38">
        <v>220790</v>
      </c>
      <c r="GR33" s="38">
        <v>220100</v>
      </c>
      <c r="GS33" s="38">
        <f t="shared" si="71"/>
        <v>1010</v>
      </c>
      <c r="GT33" s="178"/>
      <c r="GU33" s="144">
        <f>DailyFeb!B32-DailyFeb!N32-DailyFeb!V32-DailyFeb!Y32-DailyFeb!Z32-DailyFeb!AA32-DailyFeb!AB32-DailyFeb!AC32-DailyFeb!AD32-DailyFeb!AE32-DailyFeb!AK32-DailyFeb!AO32-DailyFeb!AS32-DailyFeb!AY32-DailyFeb!BD32+DailyFeb!BS32-SUM(DailyFeb!BM32:BQ32)-DailyFeb!BR32-DailyFeb!AF32-DailyFeb!AG32</f>
        <v>1.2980308383703232E-8</v>
      </c>
      <c r="GV33" s="59">
        <v>11590.800000012954</v>
      </c>
      <c r="GW33" s="60">
        <f t="shared" si="53"/>
        <v>772.72000000086359</v>
      </c>
      <c r="GX33" s="61">
        <v>772.72</v>
      </c>
      <c r="GY33" s="140"/>
      <c r="GZ33" s="62"/>
      <c r="HA33" s="62"/>
      <c r="HB33" s="74"/>
      <c r="HC33" s="62">
        <f t="shared" si="99"/>
        <v>90500</v>
      </c>
      <c r="HD33" s="74"/>
      <c r="HE33" s="24">
        <f t="shared" si="54"/>
        <v>90500</v>
      </c>
      <c r="HG33" s="213">
        <v>27</v>
      </c>
      <c r="HH33" s="16">
        <v>1859.2</v>
      </c>
      <c r="HI33" s="16">
        <v>768.01</v>
      </c>
      <c r="HJ33" s="16">
        <f t="shared" si="124"/>
        <v>90500</v>
      </c>
      <c r="HK33" s="16">
        <v>1.9189000000000001</v>
      </c>
      <c r="HL33" s="16">
        <v>660.93</v>
      </c>
      <c r="HM33" s="16">
        <f t="shared" si="100"/>
        <v>0</v>
      </c>
      <c r="HN33" s="16">
        <v>359.84</v>
      </c>
      <c r="HO33" s="16">
        <v>159.47</v>
      </c>
      <c r="HP33" s="16">
        <f>IF((HN33-HN32)&lt;=0,0,(HN33-HN32)*1000)+IC70</f>
        <v>26553.32999999998</v>
      </c>
      <c r="HQ33" s="16">
        <v>497.36</v>
      </c>
      <c r="HR33" s="16">
        <v>243.12</v>
      </c>
      <c r="HS33" s="16">
        <f t="shared" si="101"/>
        <v>23873.330000000031</v>
      </c>
      <c r="HT33" s="16">
        <v>373.43</v>
      </c>
      <c r="HU33" s="16">
        <v>160.29</v>
      </c>
      <c r="HV33" s="16">
        <f t="shared" si="102"/>
        <v>21373.330000000031</v>
      </c>
      <c r="HW33" s="16"/>
      <c r="HX33" s="16"/>
      <c r="HY33" s="128">
        <f t="shared" si="121"/>
        <v>18700</v>
      </c>
      <c r="HZ33" s="211">
        <f t="shared" si="76"/>
        <v>9.9999999583815224E-3</v>
      </c>
      <c r="IA33" s="16">
        <v>233247.9</v>
      </c>
      <c r="IB33" s="16">
        <v>86420.5</v>
      </c>
      <c r="IC33" s="16">
        <f t="shared" si="103"/>
        <v>9102.5</v>
      </c>
      <c r="ID33" s="16">
        <v>158.84</v>
      </c>
      <c r="IE33" s="16">
        <v>74.123999999999995</v>
      </c>
      <c r="IF33" s="16">
        <f t="shared" si="104"/>
        <v>6560.0000000000018</v>
      </c>
      <c r="IG33" s="16">
        <v>43037.3</v>
      </c>
      <c r="IH33" s="16">
        <v>59054.7</v>
      </c>
      <c r="II33" s="16">
        <f t="shared" si="105"/>
        <v>2078.1000000000058</v>
      </c>
      <c r="IJ33" s="16">
        <v>30865.599999999999</v>
      </c>
      <c r="IK33" s="16">
        <v>16431.7</v>
      </c>
      <c r="IL33" s="16">
        <f t="shared" si="106"/>
        <v>1231.2999999999993</v>
      </c>
      <c r="IM33" s="16">
        <v>132210.6</v>
      </c>
      <c r="IN33" s="16">
        <v>47412.800000000003</v>
      </c>
      <c r="IO33" s="16">
        <f t="shared" si="107"/>
        <v>22198.700000000012</v>
      </c>
      <c r="IP33" s="16">
        <v>309501.59999999998</v>
      </c>
      <c r="IQ33" s="16">
        <v>38826.400000000001</v>
      </c>
      <c r="IR33" s="16">
        <f t="shared" si="108"/>
        <v>14221.599999999977</v>
      </c>
      <c r="IS33" s="16">
        <v>10663.4</v>
      </c>
      <c r="IT33" s="16">
        <v>6837.9</v>
      </c>
      <c r="IU33" s="16">
        <f t="shared" si="109"/>
        <v>567.39999999999964</v>
      </c>
      <c r="IV33" s="16">
        <v>150105.29999999999</v>
      </c>
      <c r="IW33" s="16">
        <v>27412.799999999999</v>
      </c>
      <c r="IX33" s="16">
        <f t="shared" si="110"/>
        <v>7044.5999999999767</v>
      </c>
      <c r="IY33" s="16">
        <v>10516.48</v>
      </c>
      <c r="IZ33" s="16">
        <v>967.56</v>
      </c>
      <c r="JA33" s="16">
        <f t="shared" si="111"/>
        <v>688.23999999999978</v>
      </c>
      <c r="JB33" s="16">
        <v>9904.9</v>
      </c>
      <c r="JC33" s="16">
        <v>1078.25</v>
      </c>
      <c r="JD33" s="16">
        <f t="shared" si="112"/>
        <v>521.79999999999927</v>
      </c>
      <c r="JE33" s="16">
        <v>198024.9</v>
      </c>
      <c r="JF33" s="16">
        <v>885.2</v>
      </c>
      <c r="JG33" s="16">
        <f t="shared" si="113"/>
        <v>10795.699999999983</v>
      </c>
      <c r="JH33" s="16">
        <v>204024.4</v>
      </c>
      <c r="JI33" s="16">
        <v>20073.2</v>
      </c>
      <c r="JJ33" s="16">
        <f t="shared" si="122"/>
        <v>10674.5</v>
      </c>
      <c r="JK33" s="16">
        <v>13165.5</v>
      </c>
      <c r="JL33" s="16">
        <v>1151.5999999999999</v>
      </c>
      <c r="JM33" s="16">
        <f t="shared" si="114"/>
        <v>646.20000000000073</v>
      </c>
      <c r="JN33" s="16">
        <v>121819.2</v>
      </c>
      <c r="JO33" s="16">
        <v>20440.2</v>
      </c>
      <c r="JP33" s="16">
        <f t="shared" si="115"/>
        <v>7189.5</v>
      </c>
      <c r="JQ33" s="16">
        <v>412.32</v>
      </c>
      <c r="JR33" s="16">
        <v>88.16</v>
      </c>
      <c r="JS33" s="16">
        <f t="shared" si="116"/>
        <v>26.680000000000007</v>
      </c>
      <c r="JT33" s="16">
        <v>5867.85</v>
      </c>
      <c r="JU33" s="16">
        <v>448</v>
      </c>
      <c r="JV33" s="16">
        <f t="shared" si="117"/>
        <v>354.65000000000055</v>
      </c>
      <c r="JX33" s="151">
        <f t="shared" si="118"/>
        <v>9.9999999583815224E-3</v>
      </c>
    </row>
    <row r="34" spans="1:284" x14ac:dyDescent="0.25">
      <c r="A34" s="35">
        <f t="shared" si="1"/>
        <v>28</v>
      </c>
      <c r="B34" s="38">
        <v>3572.55</v>
      </c>
      <c r="C34" s="38">
        <f t="shared" si="2"/>
        <v>6.5399999999999636</v>
      </c>
      <c r="D34" s="38">
        <f t="shared" si="3"/>
        <v>209279.99999999884</v>
      </c>
      <c r="E34" s="38">
        <v>719.09</v>
      </c>
      <c r="F34" s="38">
        <f t="shared" si="95"/>
        <v>48000</v>
      </c>
      <c r="G34" s="38">
        <f t="shared" si="5"/>
        <v>257279.99999999884</v>
      </c>
      <c r="H34" s="37"/>
      <c r="I34" s="39"/>
      <c r="J34" s="42"/>
      <c r="K34" s="37">
        <f t="shared" si="77"/>
        <v>0</v>
      </c>
      <c r="L34" s="40">
        <v>10395000</v>
      </c>
      <c r="M34" s="40"/>
      <c r="N34" s="37">
        <f t="shared" si="78"/>
        <v>257000</v>
      </c>
      <c r="O34" s="37">
        <v>9848.2999999999993</v>
      </c>
      <c r="P34" s="37"/>
      <c r="Q34" s="37">
        <f t="shared" si="126"/>
        <v>14099.999999998545</v>
      </c>
      <c r="R34" s="37">
        <f t="shared" si="79"/>
        <v>1</v>
      </c>
      <c r="S34" s="37">
        <v>11093691.57</v>
      </c>
      <c r="T34" s="37">
        <f t="shared" si="7"/>
        <v>7879.9399999994785</v>
      </c>
      <c r="U34" s="37">
        <v>1518173.85</v>
      </c>
      <c r="V34" s="37">
        <f t="shared" si="8"/>
        <v>0</v>
      </c>
      <c r="W34" s="37">
        <v>3410.4</v>
      </c>
      <c r="X34" s="37">
        <f t="shared" si="93"/>
        <v>6220.0599999990663</v>
      </c>
      <c r="Y34" s="183"/>
      <c r="Z34" s="183">
        <f t="shared" si="9"/>
        <v>0</v>
      </c>
      <c r="AA34" s="37">
        <v>506100</v>
      </c>
      <c r="AB34" s="37">
        <f t="shared" si="10"/>
        <v>0</v>
      </c>
      <c r="AC34" s="37">
        <v>3591.4</v>
      </c>
      <c r="AD34" s="37"/>
      <c r="AE34" s="37">
        <f t="shared" si="128"/>
        <v>3000</v>
      </c>
      <c r="AF34" s="37">
        <f t="shared" si="80"/>
        <v>1</v>
      </c>
      <c r="AG34" s="37">
        <v>7834.6</v>
      </c>
      <c r="AH34" s="37"/>
      <c r="AI34" s="37">
        <f t="shared" si="12"/>
        <v>8573.6900000003643</v>
      </c>
      <c r="AJ34" s="37">
        <f t="shared" si="13"/>
        <v>1</v>
      </c>
      <c r="AK34" s="37">
        <f t="shared" si="14"/>
        <v>25673.689999998911</v>
      </c>
      <c r="AL34" s="42">
        <v>9915.9</v>
      </c>
      <c r="AM34" s="42"/>
      <c r="AN34" s="37">
        <f t="shared" si="55"/>
        <v>5923.6899999993184</v>
      </c>
      <c r="AO34" s="37">
        <f t="shared" si="81"/>
        <v>1</v>
      </c>
      <c r="AP34" s="37">
        <v>7560.2</v>
      </c>
      <c r="AQ34" s="37"/>
      <c r="AR34" s="37">
        <f t="shared" si="15"/>
        <v>10500</v>
      </c>
      <c r="AS34" s="37">
        <f t="shared" si="82"/>
        <v>1</v>
      </c>
      <c r="AT34" s="183"/>
      <c r="AU34" s="183">
        <f t="shared" si="16"/>
        <v>0</v>
      </c>
      <c r="AV34" s="183"/>
      <c r="AW34" s="183">
        <f t="shared" si="17"/>
        <v>0</v>
      </c>
      <c r="AX34" s="37">
        <v>453700</v>
      </c>
      <c r="AY34" s="37"/>
      <c r="AZ34" s="37">
        <f t="shared" si="18"/>
        <v>350</v>
      </c>
      <c r="BA34" s="37">
        <v>102140</v>
      </c>
      <c r="BB34" s="37"/>
      <c r="BC34" s="37">
        <f t="shared" si="19"/>
        <v>470</v>
      </c>
      <c r="BD34" s="37">
        <f t="shared" si="83"/>
        <v>17243.689999999318</v>
      </c>
      <c r="BE34" s="43">
        <v>1697.9</v>
      </c>
      <c r="BF34" s="43">
        <v>925.62</v>
      </c>
      <c r="BG34" s="37">
        <f t="shared" si="20"/>
        <v>2400.0000000000909</v>
      </c>
      <c r="BH34" s="44">
        <v>8112.3</v>
      </c>
      <c r="BI34" s="44">
        <v>5219.3999999999996</v>
      </c>
      <c r="BJ34" s="37">
        <f t="shared" si="21"/>
        <v>8600.0000000003638</v>
      </c>
      <c r="BK34" s="40">
        <v>1238850</v>
      </c>
      <c r="BL34" s="40">
        <f t="shared" si="84"/>
        <v>4050</v>
      </c>
      <c r="BM34" s="40">
        <v>814.69</v>
      </c>
      <c r="BN34" s="37">
        <f t="shared" si="22"/>
        <v>500</v>
      </c>
      <c r="BO34" s="186"/>
      <c r="BP34" s="183">
        <f t="shared" si="23"/>
        <v>0</v>
      </c>
      <c r="BQ34" s="40">
        <v>772.4</v>
      </c>
      <c r="BR34" s="37">
        <f t="shared" si="56"/>
        <v>799.99999999995453</v>
      </c>
      <c r="BS34" s="37">
        <v>80552.69</v>
      </c>
      <c r="BT34" s="37">
        <f t="shared" si="24"/>
        <v>202.80999999999767</v>
      </c>
      <c r="BU34" s="42">
        <v>2043491</v>
      </c>
      <c r="BV34" s="42"/>
      <c r="BW34" s="37">
        <f t="shared" si="25"/>
        <v>0</v>
      </c>
      <c r="BX34" s="37">
        <f>IF(BW34&lt;=0,0,(BW34/SQRT(BW34^2+(BV34-BV33)^2)))</f>
        <v>0</v>
      </c>
      <c r="BY34" s="43">
        <v>290.08449999999999</v>
      </c>
      <c r="BZ34" s="37"/>
      <c r="CA34" s="37">
        <f t="shared" si="123"/>
        <v>613.49999999998772</v>
      </c>
      <c r="CB34" s="37">
        <f t="shared" si="57"/>
        <v>1</v>
      </c>
      <c r="CC34" s="37">
        <v>480567.4</v>
      </c>
      <c r="CD34" s="37">
        <f t="shared" si="27"/>
        <v>907.60000000003492</v>
      </c>
      <c r="CE34" s="41">
        <v>697330.8</v>
      </c>
      <c r="CF34" s="37">
        <f t="shared" si="58"/>
        <v>0</v>
      </c>
      <c r="CG34" s="37">
        <v>61113</v>
      </c>
      <c r="CH34" s="37">
        <f t="shared" si="59"/>
        <v>0</v>
      </c>
      <c r="CI34" s="40">
        <v>11207.8</v>
      </c>
      <c r="CJ34" s="40"/>
      <c r="CK34" s="37">
        <f t="shared" si="60"/>
        <v>14880.189999998631</v>
      </c>
      <c r="CL34" s="37">
        <f t="shared" si="28"/>
        <v>1</v>
      </c>
      <c r="CM34" s="37">
        <v>2959.2809999999999</v>
      </c>
      <c r="CN34" s="37"/>
      <c r="CO34" s="37">
        <f t="shared" si="29"/>
        <v>8459.6899999998768</v>
      </c>
      <c r="CP34" s="37">
        <f t="shared" si="86"/>
        <v>1</v>
      </c>
      <c r="CQ34" s="39">
        <v>2858.1329999999998</v>
      </c>
      <c r="CR34" s="39"/>
      <c r="CS34" s="37">
        <f t="shared" si="30"/>
        <v>6282.6899999997413</v>
      </c>
      <c r="CT34" s="37">
        <f>IF(CS34&lt;=0,0,(CS34/SQRT(CS34^2+(CR34-CR31)^2)))</f>
        <v>1</v>
      </c>
      <c r="CU34" s="37">
        <v>2409970</v>
      </c>
      <c r="CV34" s="37"/>
      <c r="CW34" s="38">
        <f t="shared" si="31"/>
        <v>16104</v>
      </c>
      <c r="CX34" s="37">
        <f t="shared" si="88"/>
        <v>1</v>
      </c>
      <c r="CY34" s="37">
        <v>1278092</v>
      </c>
      <c r="CZ34" s="37"/>
      <c r="DA34" s="37">
        <f t="shared" si="131"/>
        <v>9271</v>
      </c>
      <c r="DB34" s="37">
        <f t="shared" si="89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4"/>
        <v>-54997.569999998246</v>
      </c>
      <c r="DH34" s="37">
        <f t="shared" si="35"/>
        <v>285073.68999999901</v>
      </c>
      <c r="DI34" s="46"/>
      <c r="DJ34" s="46"/>
      <c r="DK34" s="47"/>
      <c r="DL34" s="47"/>
      <c r="DM34" s="37"/>
      <c r="DN34" s="37"/>
      <c r="DO34" s="37"/>
      <c r="DP34" s="37"/>
      <c r="DQ34" s="50">
        <v>2793900</v>
      </c>
      <c r="DR34" s="49">
        <f t="shared" si="61"/>
        <v>8400</v>
      </c>
      <c r="DS34" s="50">
        <v>2250700</v>
      </c>
      <c r="DT34" s="49">
        <f t="shared" si="62"/>
        <v>17900</v>
      </c>
      <c r="DU34" s="51">
        <v>7621.5</v>
      </c>
      <c r="DV34" s="51">
        <v>4258.8999999999996</v>
      </c>
      <c r="DW34" s="37">
        <f t="shared" si="90"/>
        <v>4800.0000000001819</v>
      </c>
      <c r="DX34" s="52">
        <v>12614</v>
      </c>
      <c r="DY34" s="52">
        <v>8285.2999999999993</v>
      </c>
      <c r="DZ34" s="37">
        <f t="shared" si="36"/>
        <v>7473.69</v>
      </c>
      <c r="EA34" s="49">
        <v>28235</v>
      </c>
      <c r="EB34" s="49">
        <v>19.998000000000001</v>
      </c>
      <c r="EC34" s="37">
        <f t="shared" si="37"/>
        <v>25633.69</v>
      </c>
      <c r="ED34" s="53">
        <f t="shared" si="38"/>
        <v>37907.380000000179</v>
      </c>
      <c r="EE34" s="49">
        <v>43536</v>
      </c>
      <c r="EF34" s="49">
        <v>27.776</v>
      </c>
      <c r="EG34" s="37">
        <f t="shared" si="39"/>
        <v>24633.69</v>
      </c>
      <c r="EH34" s="51">
        <v>12258</v>
      </c>
      <c r="EI34" s="51">
        <v>1.6415</v>
      </c>
      <c r="EJ34" s="37">
        <f t="shared" si="40"/>
        <v>9473.69</v>
      </c>
      <c r="EK34" s="37">
        <v>742.22</v>
      </c>
      <c r="EL34" s="40">
        <v>1065.5</v>
      </c>
      <c r="EM34" s="37">
        <f t="shared" si="63"/>
        <v>750</v>
      </c>
      <c r="EN34" s="54">
        <f t="shared" si="64"/>
        <v>34857.379999999997</v>
      </c>
      <c r="EO34" s="48">
        <v>12318</v>
      </c>
      <c r="EP34" s="48">
        <v>4291</v>
      </c>
      <c r="EQ34" s="37">
        <f t="shared" si="41"/>
        <v>8473.69</v>
      </c>
      <c r="ER34" s="48">
        <v>8145.3</v>
      </c>
      <c r="ES34" s="48">
        <v>8312.5</v>
      </c>
      <c r="ET34" s="49">
        <f t="shared" si="98"/>
        <v>11500</v>
      </c>
      <c r="EU34" s="48">
        <v>2934.2</v>
      </c>
      <c r="EV34" s="48">
        <v>1049.5999999999999</v>
      </c>
      <c r="EW34" s="49">
        <f t="shared" si="43"/>
        <v>6273.6899999997268</v>
      </c>
      <c r="EX34" s="48">
        <v>12528</v>
      </c>
      <c r="EY34" s="48">
        <v>1.3520000000000001</v>
      </c>
      <c r="EZ34" s="37">
        <f t="shared" si="44"/>
        <v>8473.69</v>
      </c>
      <c r="FA34" s="48">
        <f t="shared" si="65"/>
        <v>-17502.06999999973</v>
      </c>
      <c r="FB34" s="48">
        <v>34700912</v>
      </c>
      <c r="FC34" s="49">
        <f t="shared" si="91"/>
        <v>17219</v>
      </c>
      <c r="FD34" s="48">
        <f t="shared" si="66"/>
        <v>35621.069999999818</v>
      </c>
      <c r="FE34" s="48">
        <v>16274</v>
      </c>
      <c r="FF34" s="48">
        <v>5833.1</v>
      </c>
      <c r="FG34" s="37">
        <f t="shared" si="67"/>
        <v>1440.36</v>
      </c>
      <c r="FH34" s="48">
        <v>7416.2</v>
      </c>
      <c r="FI34" s="48">
        <v>2.8561000000000001</v>
      </c>
      <c r="FJ34" s="49">
        <f t="shared" si="45"/>
        <v>540.35999999945432</v>
      </c>
      <c r="FK34" s="48"/>
      <c r="FL34" s="58">
        <v>-33.33</v>
      </c>
      <c r="FM34" s="48">
        <f t="shared" si="92"/>
        <v>-473.69333333315143</v>
      </c>
      <c r="FN34" s="48">
        <v>15578</v>
      </c>
      <c r="FO34" s="48">
        <v>0.72240000000000004</v>
      </c>
      <c r="FP34" s="37">
        <f t="shared" si="68"/>
        <v>2440.36</v>
      </c>
      <c r="FQ34" s="48">
        <v>55606</v>
      </c>
      <c r="FR34" s="48">
        <v>13.316000000000001</v>
      </c>
      <c r="FS34" s="37">
        <f t="shared" si="46"/>
        <v>3000</v>
      </c>
      <c r="FT34" s="48">
        <f t="shared" si="119"/>
        <v>-1421.0799999994542</v>
      </c>
      <c r="FU34" s="48">
        <f t="shared" si="70"/>
        <v>4721.0799999996361</v>
      </c>
      <c r="FV34" s="44">
        <v>2963600</v>
      </c>
      <c r="FW34" s="44">
        <v>952030</v>
      </c>
      <c r="FX34" s="37">
        <f t="shared" si="47"/>
        <v>13400</v>
      </c>
      <c r="FY34" s="56">
        <v>2956.2</v>
      </c>
      <c r="FZ34" s="56">
        <v>1.7488999999999999</v>
      </c>
      <c r="GA34" s="37">
        <f t="shared" si="48"/>
        <v>3119.9999999998181</v>
      </c>
      <c r="GB34" s="56">
        <v>758.06</v>
      </c>
      <c r="GC34" s="56">
        <v>844.2</v>
      </c>
      <c r="GD34" s="37">
        <f t="shared" si="49"/>
        <v>519.99999999998181</v>
      </c>
      <c r="GE34" s="56">
        <v>9394.7000000000007</v>
      </c>
      <c r="GF34" s="56">
        <v>2.9011</v>
      </c>
      <c r="GG34" s="37">
        <f t="shared" si="50"/>
        <v>3100.0000000008185</v>
      </c>
      <c r="GH34" s="158">
        <v>1821.2</v>
      </c>
      <c r="GI34" s="159">
        <v>1543.3</v>
      </c>
      <c r="GJ34" s="38">
        <f t="shared" si="51"/>
        <v>900.00000000009095</v>
      </c>
      <c r="GK34" s="56">
        <v>1418.4</v>
      </c>
      <c r="GL34" s="44">
        <v>1097.5999999999999</v>
      </c>
      <c r="GM34" s="38">
        <f t="shared" si="52"/>
        <v>300.0000000001819</v>
      </c>
      <c r="GN34" s="57">
        <v>158980</v>
      </c>
      <c r="GO34" s="57">
        <v>138750</v>
      </c>
      <c r="GP34" s="38">
        <f t="shared" si="96"/>
        <v>0</v>
      </c>
      <c r="GQ34" s="38">
        <v>221370</v>
      </c>
      <c r="GR34" s="38">
        <v>220630</v>
      </c>
      <c r="GS34" s="38">
        <f t="shared" si="71"/>
        <v>580</v>
      </c>
      <c r="GT34" s="178"/>
      <c r="GU34" s="144">
        <f>DailyFeb!B33-DailyFeb!N33-DailyFeb!V33-DailyFeb!Y33-DailyFeb!Z33-DailyFeb!AA33-DailyFeb!AB33-DailyFeb!AC33-DailyFeb!AD33-DailyFeb!AE33-DailyFeb!AK33-DailyFeb!AO33-DailyFeb!AS33-DailyFeb!AY33-DailyFeb!BD33+DailyFeb!BS33-SUM(DailyFeb!BM33:BQ33)-DailyFeb!BR33-DailyFeb!AF33-DailyFeb!AG33</f>
        <v>4.0000001747102942E-2</v>
      </c>
      <c r="GV34" s="59">
        <v>7105.3900000017602</v>
      </c>
      <c r="GW34" s="60">
        <f t="shared" si="53"/>
        <v>473.69266666678402</v>
      </c>
      <c r="GX34" s="61">
        <v>473.69</v>
      </c>
      <c r="GY34" s="140"/>
      <c r="GZ34" s="62"/>
      <c r="HA34" s="62"/>
      <c r="HB34" s="74"/>
      <c r="HC34" s="62">
        <f t="shared" si="99"/>
        <v>80099.999999999913</v>
      </c>
      <c r="HD34" s="74"/>
      <c r="HE34" s="24">
        <f t="shared" si="54"/>
        <v>80099.999999999913</v>
      </c>
      <c r="HG34" s="213">
        <v>28</v>
      </c>
      <c r="HH34" s="16">
        <v>1939.3</v>
      </c>
      <c r="HI34" s="16">
        <v>799.94</v>
      </c>
      <c r="HJ34" s="16">
        <f t="shared" si="124"/>
        <v>80099.999999999913</v>
      </c>
      <c r="HK34" s="16">
        <v>1.9189000000000001</v>
      </c>
      <c r="HL34" s="16">
        <v>660.93</v>
      </c>
      <c r="HM34" s="16">
        <f t="shared" si="100"/>
        <v>0</v>
      </c>
      <c r="HN34" s="16">
        <v>386.6</v>
      </c>
      <c r="HO34" s="16">
        <v>171.29</v>
      </c>
      <c r="HP34" s="16">
        <f>IF((HN34-HN33)&lt;=0,0,(HN34-HN33)*1000)+IC71</f>
        <v>25813.330000000049</v>
      </c>
      <c r="HQ34" s="16">
        <v>519.28</v>
      </c>
      <c r="HR34" s="16">
        <v>252.18</v>
      </c>
      <c r="HS34" s="16">
        <f t="shared" si="101"/>
        <v>20973.329999999962</v>
      </c>
      <c r="HT34" s="16">
        <v>389.79</v>
      </c>
      <c r="HU34" s="16">
        <v>167.11</v>
      </c>
      <c r="HV34" s="16">
        <f t="shared" si="102"/>
        <v>15413.330000000014</v>
      </c>
      <c r="HW34" s="16"/>
      <c r="HX34" s="16"/>
      <c r="HY34" s="128">
        <f t="shared" si="121"/>
        <v>17900</v>
      </c>
      <c r="HZ34" s="211">
        <f t="shared" si="76"/>
        <v>9.9999998928979039E-3</v>
      </c>
      <c r="IA34" s="16">
        <v>240891</v>
      </c>
      <c r="IB34" s="16">
        <v>91043</v>
      </c>
      <c r="IC34" s="16">
        <f t="shared" si="103"/>
        <v>7643.1000000000058</v>
      </c>
      <c r="ID34" s="16">
        <v>164.71</v>
      </c>
      <c r="IE34" s="16">
        <v>76.899000000000001</v>
      </c>
      <c r="IF34" s="16">
        <f t="shared" si="104"/>
        <v>5870.0000000000045</v>
      </c>
      <c r="IG34" s="16">
        <v>44940</v>
      </c>
      <c r="IH34" s="16">
        <v>61522</v>
      </c>
      <c r="II34" s="16">
        <f t="shared" si="105"/>
        <v>1902.6999999999971</v>
      </c>
      <c r="IJ34" s="16">
        <v>33003</v>
      </c>
      <c r="IK34" s="16">
        <v>17039</v>
      </c>
      <c r="IL34" s="16">
        <f t="shared" si="106"/>
        <v>2137.4000000000015</v>
      </c>
      <c r="IM34" s="16">
        <v>153795</v>
      </c>
      <c r="IN34" s="16">
        <v>64937</v>
      </c>
      <c r="IO34" s="16">
        <f t="shared" si="107"/>
        <v>21584.399999999994</v>
      </c>
      <c r="IP34" s="16">
        <v>323277</v>
      </c>
      <c r="IQ34" s="16">
        <v>40618</v>
      </c>
      <c r="IR34" s="16">
        <f t="shared" si="108"/>
        <v>13775.400000000023</v>
      </c>
      <c r="IS34" s="16">
        <v>11245</v>
      </c>
      <c r="IT34" s="16">
        <v>7180.9</v>
      </c>
      <c r="IU34" s="16">
        <f t="shared" si="109"/>
        <v>581.60000000000036</v>
      </c>
      <c r="IV34" s="16">
        <v>157104</v>
      </c>
      <c r="IW34" s="16">
        <v>28811</v>
      </c>
      <c r="IX34" s="16">
        <f t="shared" si="110"/>
        <v>6998.7000000000116</v>
      </c>
      <c r="IY34" s="16">
        <v>11145.72</v>
      </c>
      <c r="IZ34" s="16">
        <v>1037.08</v>
      </c>
      <c r="JA34" s="16">
        <f t="shared" si="111"/>
        <v>629.23999999999978</v>
      </c>
      <c r="JB34" s="16">
        <v>10401</v>
      </c>
      <c r="JC34" s="16">
        <v>1137.8499999999999</v>
      </c>
      <c r="JD34" s="16">
        <f t="shared" si="112"/>
        <v>496.10000000000036</v>
      </c>
      <c r="JE34" s="16">
        <v>208391</v>
      </c>
      <c r="JF34" s="16">
        <v>347.01299999999998</v>
      </c>
      <c r="JG34" s="16">
        <f t="shared" si="113"/>
        <v>10366.100000000006</v>
      </c>
      <c r="JH34" s="16">
        <v>212482</v>
      </c>
      <c r="JI34" s="16">
        <v>21005</v>
      </c>
      <c r="JJ34" s="16">
        <f t="shared" si="122"/>
        <v>8457.6000000000058</v>
      </c>
      <c r="JK34" s="16">
        <v>13679.9</v>
      </c>
      <c r="JL34" s="16">
        <v>1151.5999999999999</v>
      </c>
      <c r="JM34" s="16">
        <f t="shared" si="114"/>
        <v>514.39999999999964</v>
      </c>
      <c r="JN34" s="16">
        <v>127967</v>
      </c>
      <c r="JO34" s="16">
        <v>21531</v>
      </c>
      <c r="JP34" s="16">
        <f t="shared" si="115"/>
        <v>6147.8000000000029</v>
      </c>
      <c r="JQ34" s="16">
        <v>433.21100000000001</v>
      </c>
      <c r="JR34" s="16">
        <v>95</v>
      </c>
      <c r="JS34" s="16">
        <f t="shared" si="116"/>
        <v>20.89100000000002</v>
      </c>
      <c r="JT34" s="16">
        <v>6149</v>
      </c>
      <c r="JU34" s="16">
        <v>437.4</v>
      </c>
      <c r="JV34" s="16">
        <f t="shared" si="117"/>
        <v>281.14999999999964</v>
      </c>
      <c r="JX34" s="151">
        <f t="shared" si="118"/>
        <v>9.9999998928979039E-3</v>
      </c>
    </row>
    <row r="35" spans="1:284" ht="15.75" thickBot="1" x14ac:dyDescent="0.3">
      <c r="A35" s="35">
        <v>1</v>
      </c>
      <c r="B35" s="38">
        <v>3580.83</v>
      </c>
      <c r="C35" s="38">
        <f t="shared" si="2"/>
        <v>8.2799999999997453</v>
      </c>
      <c r="D35" s="38">
        <f t="shared" si="3"/>
        <v>264959.99999999185</v>
      </c>
      <c r="E35" s="38">
        <v>720.73</v>
      </c>
      <c r="F35" s="38">
        <f t="shared" si="95"/>
        <v>52479.999999999563</v>
      </c>
      <c r="G35" s="38">
        <f t="shared" si="5"/>
        <v>317439.99999999139</v>
      </c>
      <c r="H35" s="37"/>
      <c r="I35" s="39"/>
      <c r="J35" s="42"/>
      <c r="K35" s="37">
        <f>IF(J35&lt;=0,0,(J35/SQRT(J35^2+(I35-I34)^2)))</f>
        <v>0</v>
      </c>
      <c r="L35" s="40">
        <v>10426400</v>
      </c>
      <c r="M35" s="40"/>
      <c r="N35" s="37">
        <f t="shared" si="78"/>
        <v>314000</v>
      </c>
      <c r="O35" s="37">
        <v>9865.7000000000007</v>
      </c>
      <c r="P35" s="37"/>
      <c r="Q35" s="37">
        <f t="shared" si="126"/>
        <v>17400.000000001455</v>
      </c>
      <c r="R35" s="37">
        <f>IF(Q35&lt;=0,0,(Q35/SQRT(Q35^2+(P35-P34)^2)))</f>
        <v>1</v>
      </c>
      <c r="S35" s="37">
        <v>11103453.27</v>
      </c>
      <c r="T35" s="37">
        <f t="shared" si="7"/>
        <v>9761.6999999992549</v>
      </c>
      <c r="U35" s="37">
        <v>1518173.85</v>
      </c>
      <c r="V35" s="37">
        <f t="shared" si="8"/>
        <v>0</v>
      </c>
      <c r="W35" s="37">
        <v>3416.4</v>
      </c>
      <c r="X35" s="37">
        <f t="shared" si="93"/>
        <v>7538.3000000022002</v>
      </c>
      <c r="Y35" s="183"/>
      <c r="Z35" s="183">
        <f t="shared" si="9"/>
        <v>0</v>
      </c>
      <c r="AA35" s="37">
        <v>506200</v>
      </c>
      <c r="AB35" s="37">
        <f t="shared" si="10"/>
        <v>100</v>
      </c>
      <c r="AC35" s="37">
        <v>3594.9</v>
      </c>
      <c r="AD35" s="37"/>
      <c r="AE35" s="37">
        <f t="shared" si="128"/>
        <v>3500</v>
      </c>
      <c r="AF35" s="37">
        <f>IF(AE35&lt;=0,0,(AE35/SQRT(AE35^2+(AD35-AD34)^2)))</f>
        <v>1</v>
      </c>
      <c r="AG35" s="37">
        <v>7844.4</v>
      </c>
      <c r="AH35" s="37"/>
      <c r="AI35" s="37">
        <f t="shared" si="12"/>
        <v>10434.169999999272</v>
      </c>
      <c r="AJ35" s="37">
        <f t="shared" si="13"/>
        <v>1</v>
      </c>
      <c r="AK35" s="37">
        <f t="shared" si="14"/>
        <v>31234.170000000726</v>
      </c>
      <c r="AL35" s="42">
        <v>9929.2000000000007</v>
      </c>
      <c r="AM35" s="42"/>
      <c r="AN35" s="37">
        <f t="shared" si="55"/>
        <v>8184.1700000011278</v>
      </c>
      <c r="AO35" s="37">
        <f>IF(AN35&lt;=0,0,(AN35/SQRT(AN35^2+(AM35-AM34)^2)))</f>
        <v>1</v>
      </c>
      <c r="AP35" s="37">
        <v>7570.6</v>
      </c>
      <c r="AQ35" s="37"/>
      <c r="AR35" s="37">
        <f t="shared" si="15"/>
        <v>10400.000000000546</v>
      </c>
      <c r="AS35" s="37">
        <f>IF(AR35&lt;=0,0,(AR35/SQRT(AR35^2+(AQ35-AQ34)^2)))</f>
        <v>1</v>
      </c>
      <c r="AT35" s="183"/>
      <c r="AU35" s="183">
        <f t="shared" si="16"/>
        <v>0</v>
      </c>
      <c r="AV35" s="183"/>
      <c r="AW35" s="183">
        <f t="shared" si="17"/>
        <v>0</v>
      </c>
      <c r="AX35" s="37">
        <v>454100</v>
      </c>
      <c r="AY35" s="37"/>
      <c r="AZ35" s="37">
        <f t="shared" si="18"/>
        <v>400</v>
      </c>
      <c r="BA35" s="37">
        <v>102760</v>
      </c>
      <c r="BB35" s="37"/>
      <c r="BC35" s="37">
        <f t="shared" si="19"/>
        <v>620</v>
      </c>
      <c r="BD35" s="37">
        <f>AN35+AR35+AZ35+BC35</f>
        <v>19604.170000001672</v>
      </c>
      <c r="BE35" s="43">
        <v>1700.4</v>
      </c>
      <c r="BF35" s="43">
        <v>927.11</v>
      </c>
      <c r="BG35" s="37">
        <f t="shared" si="20"/>
        <v>2500</v>
      </c>
      <c r="BH35" s="44">
        <v>8120.9</v>
      </c>
      <c r="BI35" s="44">
        <v>5224.8999999999996</v>
      </c>
      <c r="BJ35" s="37">
        <f t="shared" si="21"/>
        <v>8599.9999999994543</v>
      </c>
      <c r="BK35" s="40">
        <v>1243310</v>
      </c>
      <c r="BL35" s="40">
        <f t="shared" si="84"/>
        <v>4460</v>
      </c>
      <c r="BM35" s="40">
        <v>815.28</v>
      </c>
      <c r="BN35" s="37">
        <f t="shared" si="22"/>
        <v>589.99999999991815</v>
      </c>
      <c r="BO35" s="186"/>
      <c r="BP35" s="183">
        <f t="shared" si="23"/>
        <v>0</v>
      </c>
      <c r="BQ35" s="40">
        <v>773.1</v>
      </c>
      <c r="BR35" s="37">
        <f t="shared" si="56"/>
        <v>700.00000000004547</v>
      </c>
      <c r="BS35" s="37">
        <v>80760.34</v>
      </c>
      <c r="BT35" s="37">
        <f t="shared" si="24"/>
        <v>207.64999999999418</v>
      </c>
      <c r="BU35" s="42">
        <v>2043491</v>
      </c>
      <c r="BV35" s="42"/>
      <c r="BW35" s="37">
        <f t="shared" si="25"/>
        <v>0</v>
      </c>
      <c r="BX35" s="37">
        <f>IF(BW35&lt;=0,0,(BW35/SQRT(BW35^2+(BV35-BV34)^2)))</f>
        <v>0</v>
      </c>
      <c r="BY35" s="37">
        <v>290.74950000000001</v>
      </c>
      <c r="BZ35" s="37"/>
      <c r="CA35" s="37">
        <f t="shared" si="123"/>
        <v>665.00000000002046</v>
      </c>
      <c r="CB35" s="37">
        <f t="shared" si="57"/>
        <v>1</v>
      </c>
      <c r="CC35" s="37">
        <v>480949.9</v>
      </c>
      <c r="CD35" s="37">
        <f t="shared" si="27"/>
        <v>382.5</v>
      </c>
      <c r="CE35" s="41">
        <v>697330.8</v>
      </c>
      <c r="CF35" s="37">
        <f t="shared" si="58"/>
        <v>0</v>
      </c>
      <c r="CG35" s="37">
        <v>61113</v>
      </c>
      <c r="CH35" s="37">
        <f t="shared" si="59"/>
        <v>0</v>
      </c>
      <c r="CI35" s="40">
        <v>11223.93</v>
      </c>
      <c r="CJ35" s="40"/>
      <c r="CK35" s="37">
        <f t="shared" si="60"/>
        <v>16099.170000000997</v>
      </c>
      <c r="CL35" s="37">
        <f t="shared" si="28"/>
        <v>1</v>
      </c>
      <c r="CM35" s="37">
        <v>2968.1849999999999</v>
      </c>
      <c r="CN35" s="37"/>
      <c r="CO35" s="37">
        <f t="shared" si="29"/>
        <v>9538.1699999999964</v>
      </c>
      <c r="CP35" s="37">
        <f>IF(CO35&lt;=0,0,(CO35/SQRT(CO35^2+(CN35-CN34)^2)))</f>
        <v>1</v>
      </c>
      <c r="CQ35" s="39">
        <v>2864.5549999999998</v>
      </c>
      <c r="CR35" s="39"/>
      <c r="CS35" s="37">
        <f>IF((CQ35-CQ34)&lt;=0,0,(CQ35-CQ34))*1000+GX35</f>
        <v>7056.1700000000255</v>
      </c>
      <c r="CT35" s="37">
        <f>IF(CS35&lt;=0,0,(CS35/SQRT(CS35^2+(CR35-CR34)^2)))</f>
        <v>1</v>
      </c>
      <c r="CU35" s="37">
        <v>2429377</v>
      </c>
      <c r="CV35" s="37"/>
      <c r="CW35" s="38">
        <f t="shared" si="31"/>
        <v>19407</v>
      </c>
      <c r="CX35" s="37">
        <f t="shared" si="88"/>
        <v>1</v>
      </c>
      <c r="CY35" s="37">
        <v>1288185</v>
      </c>
      <c r="CZ35" s="37"/>
      <c r="DA35" s="37">
        <f t="shared" si="131"/>
        <v>10093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4"/>
        <v>-62193.510000001021</v>
      </c>
      <c r="DH35" s="37">
        <f t="shared" si="35"/>
        <v>347734.17000000074</v>
      </c>
      <c r="DI35" s="46"/>
      <c r="DJ35" s="46"/>
      <c r="DK35" s="46"/>
      <c r="DL35" s="47"/>
      <c r="DM35" s="37"/>
      <c r="DN35" s="37"/>
      <c r="DO35" s="37"/>
      <c r="DP35" s="37"/>
      <c r="DQ35" s="50">
        <v>2802900</v>
      </c>
      <c r="DR35" s="49">
        <f t="shared" si="61"/>
        <v>9000</v>
      </c>
      <c r="DS35" s="50">
        <v>2269300</v>
      </c>
      <c r="DT35" s="49">
        <f t="shared" si="62"/>
        <v>18600</v>
      </c>
      <c r="DU35" s="51">
        <v>7626.2</v>
      </c>
      <c r="DV35" s="51">
        <v>4261.8</v>
      </c>
      <c r="DW35" s="37">
        <f t="shared" si="90"/>
        <v>4699.9999999998181</v>
      </c>
      <c r="DX35" s="52">
        <v>12622</v>
      </c>
      <c r="DY35" s="52">
        <v>8287.9</v>
      </c>
      <c r="DZ35" s="37">
        <f t="shared" si="36"/>
        <v>8634.17</v>
      </c>
      <c r="EA35" s="49">
        <v>28257</v>
      </c>
      <c r="EB35" s="49">
        <v>20.010000000000002</v>
      </c>
      <c r="EC35" s="37">
        <f t="shared" si="37"/>
        <v>24794.17</v>
      </c>
      <c r="ED35" s="53">
        <f t="shared" si="38"/>
        <v>38128.339999999815</v>
      </c>
      <c r="EE35" s="49">
        <v>43563</v>
      </c>
      <c r="EF35" s="49">
        <v>27.802</v>
      </c>
      <c r="EG35" s="37">
        <f t="shared" si="39"/>
        <v>29794.17</v>
      </c>
      <c r="EH35" s="51">
        <v>12269</v>
      </c>
      <c r="EI35" s="51">
        <v>1.6432</v>
      </c>
      <c r="EJ35" s="37">
        <f t="shared" si="40"/>
        <v>11634.17</v>
      </c>
      <c r="EK35" s="37">
        <v>743.06</v>
      </c>
      <c r="EL35" s="40">
        <v>1066.7</v>
      </c>
      <c r="EM35" s="37">
        <f t="shared" si="63"/>
        <v>839.99999999991815</v>
      </c>
      <c r="EN35" s="54">
        <f t="shared" si="64"/>
        <v>42268.339999999916</v>
      </c>
      <c r="EO35" s="55">
        <v>12327</v>
      </c>
      <c r="EP35" s="48">
        <v>4294</v>
      </c>
      <c r="EQ35" s="37">
        <f t="shared" si="41"/>
        <v>9634.17</v>
      </c>
      <c r="ER35" s="48">
        <v>8162.6</v>
      </c>
      <c r="ES35" s="48">
        <v>8319.5</v>
      </c>
      <c r="ET35" s="49">
        <f t="shared" si="98"/>
        <v>17300.000000000182</v>
      </c>
      <c r="EU35" s="48">
        <v>2942.3</v>
      </c>
      <c r="EV35" s="48">
        <v>1051.8</v>
      </c>
      <c r="EW35" s="49">
        <f t="shared" si="43"/>
        <v>8734.1700000003639</v>
      </c>
      <c r="EX35" s="48">
        <v>12539</v>
      </c>
      <c r="EY35" s="48">
        <v>1.3544</v>
      </c>
      <c r="EZ35" s="37">
        <f t="shared" si="44"/>
        <v>11634.17</v>
      </c>
      <c r="FA35" s="48">
        <f t="shared" si="65"/>
        <v>-24430.510000000548</v>
      </c>
      <c r="FB35" s="48">
        <v>34723784</v>
      </c>
      <c r="FC35" s="49">
        <f t="shared" si="91"/>
        <v>22872</v>
      </c>
      <c r="FD35" s="48">
        <f t="shared" si="66"/>
        <v>49302.51000000054</v>
      </c>
      <c r="FE35" s="48">
        <v>16279</v>
      </c>
      <c r="FF35" s="48">
        <v>5895.5</v>
      </c>
      <c r="FG35" s="37">
        <f t="shared" si="67"/>
        <v>5634.17</v>
      </c>
      <c r="FH35" s="48">
        <v>7422.1</v>
      </c>
      <c r="FI35" s="48">
        <v>2.8586999999999998</v>
      </c>
      <c r="FJ35" s="49">
        <f t="shared" si="45"/>
        <v>6534.1700000005458</v>
      </c>
      <c r="FK35" s="48"/>
      <c r="FL35" s="58"/>
      <c r="FM35" s="48">
        <f t="shared" si="92"/>
        <v>-600.8366666668486</v>
      </c>
      <c r="FN35" s="48">
        <v>15586</v>
      </c>
      <c r="FO35" s="48">
        <v>0.7238</v>
      </c>
      <c r="FP35" s="37">
        <f t="shared" si="68"/>
        <v>8634.17</v>
      </c>
      <c r="FQ35" s="48">
        <v>55625</v>
      </c>
      <c r="FR35" s="48">
        <v>13.323</v>
      </c>
      <c r="FS35" s="37">
        <f>IF((FQ35-FQ34)*1000&lt;=0,0,(FQ35-FQ34)*1000)</f>
        <v>19000</v>
      </c>
      <c r="FT35" s="48">
        <f t="shared" si="119"/>
        <v>-1802.5100000005459</v>
      </c>
      <c r="FU35" s="48">
        <f t="shared" si="70"/>
        <v>21702.510000000409</v>
      </c>
      <c r="FV35" s="44">
        <v>2975300</v>
      </c>
      <c r="FW35" s="44">
        <v>955820</v>
      </c>
      <c r="FX35" s="37">
        <f t="shared" si="47"/>
        <v>11700</v>
      </c>
      <c r="FY35" s="56">
        <v>2960.3</v>
      </c>
      <c r="FZ35" s="56">
        <v>1.7528999999999999</v>
      </c>
      <c r="GA35" s="37">
        <f t="shared" si="48"/>
        <v>3050.0000000003638</v>
      </c>
      <c r="GB35" s="56">
        <v>758.47</v>
      </c>
      <c r="GC35" s="56">
        <v>844.75</v>
      </c>
      <c r="GD35" s="37">
        <f t="shared" si="49"/>
        <v>410.00000000008185</v>
      </c>
      <c r="GE35" s="56">
        <v>9399.7999999999993</v>
      </c>
      <c r="GF35" s="56">
        <v>2.9047999999999998</v>
      </c>
      <c r="GG35" s="37">
        <f t="shared" si="50"/>
        <v>2199.9999999986812</v>
      </c>
      <c r="GH35" s="48">
        <v>1823.2</v>
      </c>
      <c r="GI35" s="56">
        <v>1545.1</v>
      </c>
      <c r="GJ35" s="38">
        <f t="shared" si="51"/>
        <v>2000</v>
      </c>
      <c r="GK35" s="56">
        <v>1419.3</v>
      </c>
      <c r="GL35" s="44">
        <v>1098</v>
      </c>
      <c r="GM35" s="38">
        <f t="shared" si="52"/>
        <v>899.99999999986358</v>
      </c>
      <c r="GN35" s="57">
        <v>158980</v>
      </c>
      <c r="GO35" s="57">
        <v>138750</v>
      </c>
      <c r="GP35" s="38">
        <f t="shared" si="96"/>
        <v>0</v>
      </c>
      <c r="GQ35" s="38">
        <v>222420</v>
      </c>
      <c r="GR35" s="38">
        <v>221600</v>
      </c>
      <c r="GS35" s="38">
        <f t="shared" si="71"/>
        <v>1050</v>
      </c>
      <c r="GT35" s="178"/>
      <c r="GU35" s="144">
        <f>DailyFeb!B34-DailyFeb!N34-DailyFeb!V34-DailyFeb!Y34-DailyFeb!Z34-DailyFeb!AA34-DailyFeb!AB34-DailyFeb!AC34-DailyFeb!AD34-DailyFeb!AE34-DailyFeb!AK34-DailyFeb!AO34-DailyFeb!AS34-DailyFeb!AY34-DailyFeb!BD34+DailyFeb!BS34-SUM(DailyFeb!BM34:BQ34)-DailyFeb!BR34-DailyFeb!AF34-DailyFeb!AG34</f>
        <v>-5.0000011353404261E-2</v>
      </c>
      <c r="GV35" s="59">
        <v>9512.5</v>
      </c>
      <c r="GW35" s="60">
        <f t="shared" si="53"/>
        <v>634.16666666666663</v>
      </c>
      <c r="GX35" s="61">
        <v>634.16999999999996</v>
      </c>
      <c r="GY35" s="140"/>
      <c r="GZ35" s="62"/>
      <c r="HA35" s="62"/>
      <c r="HB35" s="74"/>
      <c r="HC35" s="62">
        <f>HJ35</f>
        <v>91860.000000000131</v>
      </c>
      <c r="HD35" s="74"/>
      <c r="HE35" s="24">
        <f t="shared" si="54"/>
        <v>91860.000000000131</v>
      </c>
      <c r="HG35" s="213">
        <v>1</v>
      </c>
      <c r="HH35" s="16">
        <v>2031.16</v>
      </c>
      <c r="HI35" s="16">
        <v>836.43</v>
      </c>
      <c r="HJ35" s="16">
        <f t="shared" si="124"/>
        <v>91860.000000000131</v>
      </c>
      <c r="HK35" s="16">
        <v>1.9189000000000001</v>
      </c>
      <c r="HL35" s="16">
        <v>660.93</v>
      </c>
      <c r="HM35" s="16">
        <f t="shared" si="100"/>
        <v>0</v>
      </c>
      <c r="HN35" s="16">
        <v>413.42</v>
      </c>
      <c r="HO35" s="16">
        <v>185.4</v>
      </c>
      <c r="HP35" s="16">
        <f>IF((HN35-HN34)&lt;=0,0,(HN35-HN34)*1000)+IC72</f>
        <v>26633.329999999994</v>
      </c>
      <c r="HQ35" s="16">
        <v>544.05999999999995</v>
      </c>
      <c r="HR35" s="16">
        <v>262.27</v>
      </c>
      <c r="HS35" s="16">
        <f t="shared" si="101"/>
        <v>24593.329999999973</v>
      </c>
      <c r="HT35" s="16">
        <v>412.01</v>
      </c>
      <c r="HU35" s="16">
        <v>175.53</v>
      </c>
      <c r="HV35" s="16">
        <f t="shared" si="102"/>
        <v>22033.329999999973</v>
      </c>
      <c r="HW35" s="16"/>
      <c r="HX35" s="16"/>
      <c r="HY35" s="128">
        <f t="shared" si="121"/>
        <v>18600</v>
      </c>
      <c r="HZ35" s="211">
        <f t="shared" si="76"/>
        <v>1.0000000191212166E-2</v>
      </c>
      <c r="IA35" s="16">
        <v>249978</v>
      </c>
      <c r="IB35" s="16">
        <v>96934</v>
      </c>
      <c r="IC35" s="16">
        <f t="shared" si="103"/>
        <v>9087</v>
      </c>
      <c r="ID35" s="16">
        <v>171.48</v>
      </c>
      <c r="IE35" s="16">
        <v>79.992999999999995</v>
      </c>
      <c r="IF35" s="16">
        <f t="shared" si="104"/>
        <v>6769.9999999999818</v>
      </c>
      <c r="IG35" s="16">
        <v>46899</v>
      </c>
      <c r="IH35" s="16">
        <v>64096</v>
      </c>
      <c r="II35" s="16">
        <f t="shared" si="105"/>
        <v>1959</v>
      </c>
      <c r="IJ35" s="16">
        <v>33194</v>
      </c>
      <c r="IK35" s="16">
        <v>17679</v>
      </c>
      <c r="IL35" s="16">
        <f t="shared" si="106"/>
        <v>191</v>
      </c>
      <c r="IM35" s="16">
        <v>177968</v>
      </c>
      <c r="IN35" s="16">
        <v>74618</v>
      </c>
      <c r="IO35" s="16">
        <f t="shared" si="107"/>
        <v>24173</v>
      </c>
      <c r="IP35" s="16">
        <v>338840</v>
      </c>
      <c r="IQ35" s="16">
        <v>42620</v>
      </c>
      <c r="IR35" s="16">
        <f t="shared" si="108"/>
        <v>15563</v>
      </c>
      <c r="IS35" s="16">
        <v>11913</v>
      </c>
      <c r="IT35" s="16">
        <v>7358</v>
      </c>
      <c r="IU35" s="16">
        <f t="shared" si="109"/>
        <v>668</v>
      </c>
      <c r="IV35" s="16">
        <v>164760</v>
      </c>
      <c r="IW35" s="16">
        <v>30320</v>
      </c>
      <c r="IX35" s="16">
        <f t="shared" si="110"/>
        <v>7656</v>
      </c>
      <c r="IY35" s="16">
        <v>11722.28</v>
      </c>
      <c r="IZ35" s="16">
        <v>1099.2</v>
      </c>
      <c r="JA35" s="16">
        <f t="shared" si="111"/>
        <v>576.56000000000131</v>
      </c>
      <c r="JB35" s="16">
        <v>10830.25</v>
      </c>
      <c r="JC35" s="16">
        <v>1189.8</v>
      </c>
      <c r="JD35" s="16">
        <f t="shared" si="112"/>
        <v>429.25</v>
      </c>
      <c r="JE35" s="16">
        <v>220703</v>
      </c>
      <c r="JF35" s="16">
        <v>366.62400000000002</v>
      </c>
      <c r="JG35" s="16">
        <f t="shared" si="113"/>
        <v>12312</v>
      </c>
      <c r="JH35" s="16">
        <v>224300</v>
      </c>
      <c r="JI35" s="16">
        <v>22180</v>
      </c>
      <c r="JJ35" s="16">
        <f t="shared" si="122"/>
        <v>11818</v>
      </c>
      <c r="JK35" s="16">
        <v>14296</v>
      </c>
      <c r="JL35" s="16">
        <v>1255</v>
      </c>
      <c r="JM35" s="16">
        <f t="shared" si="114"/>
        <v>616.10000000000036</v>
      </c>
      <c r="JN35" s="16">
        <v>136058</v>
      </c>
      <c r="JO35" s="16">
        <v>23058</v>
      </c>
      <c r="JP35" s="16">
        <f t="shared" si="115"/>
        <v>8091</v>
      </c>
      <c r="JQ35" s="16">
        <v>460.28</v>
      </c>
      <c r="JR35" s="16">
        <v>99.2</v>
      </c>
      <c r="JS35" s="16">
        <f t="shared" si="116"/>
        <v>27.06899999999996</v>
      </c>
      <c r="JT35" s="16">
        <v>6534</v>
      </c>
      <c r="JU35" s="16">
        <v>507.2</v>
      </c>
      <c r="JV35" s="16">
        <f t="shared" si="117"/>
        <v>385</v>
      </c>
      <c r="JX35" s="151">
        <f t="shared" si="118"/>
        <v>1.0000000191212166E-2</v>
      </c>
    </row>
    <row r="36" spans="1:284" hidden="1" x14ac:dyDescent="0.25">
      <c r="A36" s="35">
        <f t="shared" si="1"/>
        <v>2</v>
      </c>
      <c r="B36" s="38"/>
      <c r="C36" s="38">
        <f t="shared" si="2"/>
        <v>0</v>
      </c>
      <c r="D36" s="38">
        <f t="shared" si="3"/>
        <v>0</v>
      </c>
      <c r="E36" s="38"/>
      <c r="F36" s="38">
        <f t="shared" si="95"/>
        <v>0</v>
      </c>
      <c r="G36" s="38">
        <f t="shared" si="5"/>
        <v>0</v>
      </c>
      <c r="H36" s="37"/>
      <c r="I36" s="39"/>
      <c r="J36" s="42"/>
      <c r="K36" s="37">
        <f>IF(J36&lt;=0,0,(J36/SQRT(J36^2+(I36-I35)^2)))</f>
        <v>0</v>
      </c>
      <c r="L36" s="40"/>
      <c r="M36" s="40"/>
      <c r="N36" s="37">
        <f t="shared" si="78"/>
        <v>0</v>
      </c>
      <c r="O36" s="37"/>
      <c r="P36" s="37"/>
      <c r="Q36" s="37">
        <f t="shared" si="126"/>
        <v>0</v>
      </c>
      <c r="R36" s="37">
        <f>IF(Q36&lt;=0,0,(Q36/SQRT(Q36^2+(P36-P35)^2)))</f>
        <v>0</v>
      </c>
      <c r="S36" s="37"/>
      <c r="T36" s="37">
        <f t="shared" si="7"/>
        <v>0</v>
      </c>
      <c r="U36" s="37"/>
      <c r="V36" s="37">
        <f>IF((U36-U35)&lt;=0,0,(U36-U35))</f>
        <v>0</v>
      </c>
      <c r="W36" s="37"/>
      <c r="X36" s="37">
        <f t="shared" si="93"/>
        <v>0</v>
      </c>
      <c r="Y36" s="183"/>
      <c r="Z36" s="183">
        <f t="shared" si="9"/>
        <v>0</v>
      </c>
      <c r="AA36" s="37"/>
      <c r="AB36" s="37">
        <f t="shared" si="10"/>
        <v>0</v>
      </c>
      <c r="AC36" s="37"/>
      <c r="AD36" s="37"/>
      <c r="AE36" s="37">
        <f t="shared" si="128"/>
        <v>0</v>
      </c>
      <c r="AF36" s="37">
        <f>IF(AE36&lt;=0,0,(AE36/SQRT(AE36^2+(AD36-AD35)^2)))</f>
        <v>0</v>
      </c>
      <c r="AG36" s="37"/>
      <c r="AH36" s="37"/>
      <c r="AI36" s="37">
        <f t="shared" si="12"/>
        <v>0</v>
      </c>
      <c r="AJ36" s="37">
        <f t="shared" si="13"/>
        <v>0</v>
      </c>
      <c r="AK36" s="37">
        <f t="shared" si="14"/>
        <v>0</v>
      </c>
      <c r="AL36" s="42"/>
      <c r="AM36" s="42"/>
      <c r="AN36" s="37">
        <f t="shared" si="55"/>
        <v>0</v>
      </c>
      <c r="AO36" s="37">
        <f>IF(AN36&lt;=0,0,(AN36/SQRT(AN36^2+(AM36-AM35)^2)))</f>
        <v>0</v>
      </c>
      <c r="AP36" s="37"/>
      <c r="AQ36" s="37"/>
      <c r="AR36" s="37">
        <f t="shared" si="15"/>
        <v>0</v>
      </c>
      <c r="AS36" s="37">
        <f>IF(AR36&lt;=0,0,(AR36/SQRT(AR36^2+(AQ36-AQ35)^2)))</f>
        <v>0</v>
      </c>
      <c r="AT36" s="183"/>
      <c r="AU36" s="183">
        <f t="shared" si="16"/>
        <v>0</v>
      </c>
      <c r="AV36" s="183"/>
      <c r="AW36" s="183">
        <f t="shared" si="17"/>
        <v>0</v>
      </c>
      <c r="AX36" s="37"/>
      <c r="AY36" s="37"/>
      <c r="AZ36" s="37">
        <f t="shared" si="18"/>
        <v>0</v>
      </c>
      <c r="BA36" s="37"/>
      <c r="BB36" s="37"/>
      <c r="BC36" s="37">
        <f t="shared" si="19"/>
        <v>0</v>
      </c>
      <c r="BD36" s="37">
        <f>AN36+AR36+AZ36+BC36</f>
        <v>0</v>
      </c>
      <c r="BE36" s="43"/>
      <c r="BF36" s="43"/>
      <c r="BG36" s="37">
        <f t="shared" si="20"/>
        <v>0</v>
      </c>
      <c r="BH36" s="44"/>
      <c r="BI36" s="44"/>
      <c r="BJ36" s="37">
        <f t="shared" si="21"/>
        <v>0</v>
      </c>
      <c r="BK36" s="40"/>
      <c r="BL36" s="40">
        <f t="shared" si="84"/>
        <v>0</v>
      </c>
      <c r="BM36" s="40"/>
      <c r="BN36" s="37">
        <f t="shared" si="22"/>
        <v>0</v>
      </c>
      <c r="BO36" s="186"/>
      <c r="BP36" s="183">
        <f t="shared" si="23"/>
        <v>0</v>
      </c>
      <c r="BQ36" s="40"/>
      <c r="BR36" s="37">
        <f t="shared" si="56"/>
        <v>0</v>
      </c>
      <c r="BS36" s="37"/>
      <c r="BT36" s="37">
        <f t="shared" si="24"/>
        <v>0</v>
      </c>
      <c r="BU36" s="42"/>
      <c r="BV36" s="42"/>
      <c r="BW36" s="37">
        <f t="shared" si="25"/>
        <v>0</v>
      </c>
      <c r="BX36" s="37">
        <f>IF(BW36&lt;=0,0,(BW36/SQRT(BW36^2+(BV36-BV35)^2)))</f>
        <v>0</v>
      </c>
      <c r="BY36" s="43"/>
      <c r="BZ36" s="43"/>
      <c r="CA36" s="37">
        <f t="shared" si="123"/>
        <v>0</v>
      </c>
      <c r="CB36" s="37">
        <f t="shared" si="57"/>
        <v>0</v>
      </c>
      <c r="CC36" s="37"/>
      <c r="CD36" s="37">
        <f t="shared" si="27"/>
        <v>0</v>
      </c>
      <c r="CE36" s="41"/>
      <c r="CF36" s="37">
        <f t="shared" si="58"/>
        <v>0</v>
      </c>
      <c r="CG36" s="37"/>
      <c r="CH36" s="37">
        <f t="shared" si="59"/>
        <v>0</v>
      </c>
      <c r="CI36" s="40"/>
      <c r="CJ36" s="40"/>
      <c r="CK36" s="37">
        <f t="shared" si="60"/>
        <v>0</v>
      </c>
      <c r="CL36" s="37">
        <f t="shared" si="28"/>
        <v>0</v>
      </c>
      <c r="CM36" s="37"/>
      <c r="CN36" s="37"/>
      <c r="CO36" s="37">
        <f t="shared" si="29"/>
        <v>0</v>
      </c>
      <c r="CP36" s="37">
        <f>IF(CO36&lt;=0,0,(CO36/SQRT(CO36^2+(CN36-CN35)^2)))</f>
        <v>0</v>
      </c>
      <c r="CQ36" s="39"/>
      <c r="CR36" s="39"/>
      <c r="CS36" s="37">
        <f>IF((CQ36-CQ35)&lt;=0,0,(CQ36-CQ35))*1000+GX36</f>
        <v>0</v>
      </c>
      <c r="CT36" s="37">
        <f>IF(CS36&lt;=0,0,(CS36/SQRT(CS36^2+(CR36-CR35)^2)))</f>
        <v>0</v>
      </c>
      <c r="CU36" s="37"/>
      <c r="CV36" s="41"/>
      <c r="CW36" s="38">
        <f t="shared" si="31"/>
        <v>0</v>
      </c>
      <c r="CX36" s="37">
        <f t="shared" si="88"/>
        <v>0</v>
      </c>
      <c r="CY36" s="37"/>
      <c r="CZ36" s="37"/>
      <c r="DA36" s="37">
        <f t="shared" si="131"/>
        <v>0</v>
      </c>
      <c r="DB36" s="37">
        <f>IF(DA36&lt;=0,0,(DA36/SQRT(DA36^2+(CZ36-CZ35)^2)))</f>
        <v>0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4"/>
        <v>0</v>
      </c>
      <c r="DH36" s="37">
        <f t="shared" si="35"/>
        <v>0</v>
      </c>
      <c r="DI36" s="46"/>
      <c r="DJ36" s="46"/>
      <c r="DK36" s="47"/>
      <c r="DL36" s="47"/>
      <c r="DM36" s="37"/>
      <c r="DN36" s="37"/>
      <c r="DO36" s="37"/>
      <c r="DP36" s="37"/>
      <c r="DQ36" s="50"/>
      <c r="DR36" s="49">
        <f t="shared" si="61"/>
        <v>0</v>
      </c>
      <c r="DS36" s="50"/>
      <c r="DT36" s="49">
        <f t="shared" si="62"/>
        <v>0</v>
      </c>
      <c r="DU36" s="51"/>
      <c r="DV36" s="51"/>
      <c r="DW36" s="37">
        <f t="shared" si="90"/>
        <v>0</v>
      </c>
      <c r="DX36" s="52"/>
      <c r="DY36" s="52"/>
      <c r="DZ36" s="37">
        <f t="shared" si="36"/>
        <v>0</v>
      </c>
      <c r="EA36" s="49"/>
      <c r="EB36" s="49"/>
      <c r="EC36" s="37">
        <f t="shared" ref="EC36:EC38" si="132">IF((EA36-EA35)*1000&lt;=0,0,(EA36-EA35)*1000)+GX36</f>
        <v>0</v>
      </c>
      <c r="ED36" s="53">
        <f t="shared" si="38"/>
        <v>0</v>
      </c>
      <c r="EE36" s="49"/>
      <c r="EF36" s="49"/>
      <c r="EG36" s="37">
        <f t="shared" ref="EG36:EG38" si="133">IF((EE36-EE35)*1000&lt;=0,0,(EE36-EE35)*1000)+GX36</f>
        <v>0</v>
      </c>
      <c r="EH36" s="51"/>
      <c r="EI36" s="51"/>
      <c r="EJ36" s="37">
        <f t="shared" si="40"/>
        <v>0</v>
      </c>
      <c r="EK36" s="37"/>
      <c r="EL36" s="40"/>
      <c r="EM36" s="37">
        <f t="shared" si="63"/>
        <v>0</v>
      </c>
      <c r="EN36" s="54">
        <f t="shared" si="64"/>
        <v>0</v>
      </c>
      <c r="EO36" s="48"/>
      <c r="EP36" s="48"/>
      <c r="EQ36" s="37">
        <f t="shared" si="41"/>
        <v>0</v>
      </c>
      <c r="ER36" s="48"/>
      <c r="ES36" s="55"/>
      <c r="ET36" s="49">
        <f t="shared" si="98"/>
        <v>0</v>
      </c>
      <c r="EU36" s="48"/>
      <c r="EV36" s="48"/>
      <c r="EW36" s="49">
        <f t="shared" si="43"/>
        <v>0</v>
      </c>
      <c r="EX36" s="48"/>
      <c r="EY36" s="48"/>
      <c r="EZ36" s="37">
        <f t="shared" si="44"/>
        <v>0</v>
      </c>
      <c r="FA36" s="48">
        <f t="shared" si="65"/>
        <v>0</v>
      </c>
      <c r="FB36" s="48"/>
      <c r="FC36" s="49">
        <f>IF((FB36-FB35)&lt;=0,0,(FB36-FB35))</f>
        <v>0</v>
      </c>
      <c r="FD36" s="48">
        <f t="shared" si="66"/>
        <v>0</v>
      </c>
      <c r="FE36" s="153"/>
      <c r="FF36" s="48"/>
      <c r="FG36" s="37">
        <f t="shared" si="67"/>
        <v>0</v>
      </c>
      <c r="FH36" s="48"/>
      <c r="FI36" s="48"/>
      <c r="FJ36" s="49">
        <f t="shared" si="45"/>
        <v>0</v>
      </c>
      <c r="FK36" s="48"/>
      <c r="FL36" s="58"/>
      <c r="FM36" s="48">
        <f t="shared" si="92"/>
        <v>0</v>
      </c>
      <c r="FN36" s="48"/>
      <c r="FO36" s="48"/>
      <c r="FP36" s="37">
        <f t="shared" si="68"/>
        <v>0</v>
      </c>
      <c r="FQ36" s="48"/>
      <c r="FR36" s="48"/>
      <c r="FS36" s="37">
        <f>IF((FQ36-FQ35)*1000&lt;=0,0,(FQ36-FQ35)*1000)</f>
        <v>0</v>
      </c>
      <c r="FT36" s="48">
        <f t="shared" si="119"/>
        <v>0</v>
      </c>
      <c r="FU36" s="48">
        <f t="shared" si="70"/>
        <v>0</v>
      </c>
      <c r="FV36" s="44"/>
      <c r="FW36" s="44"/>
      <c r="FX36" s="37">
        <f t="shared" si="47"/>
        <v>0</v>
      </c>
      <c r="FY36" s="56"/>
      <c r="FZ36" s="56"/>
      <c r="GA36" s="37">
        <f t="shared" si="48"/>
        <v>0</v>
      </c>
      <c r="GB36" s="56"/>
      <c r="GC36" s="56"/>
      <c r="GD36" s="37">
        <f t="shared" si="49"/>
        <v>0</v>
      </c>
      <c r="GE36" s="56"/>
      <c r="GF36" s="63"/>
      <c r="GG36" s="37">
        <f t="shared" si="50"/>
        <v>0</v>
      </c>
      <c r="GH36" s="48"/>
      <c r="GI36" s="56"/>
      <c r="GJ36" s="38">
        <f t="shared" si="51"/>
        <v>0</v>
      </c>
      <c r="GK36" s="56"/>
      <c r="GL36" s="44"/>
      <c r="GM36" s="38">
        <f t="shared" si="52"/>
        <v>0</v>
      </c>
      <c r="GN36" s="57"/>
      <c r="GO36" s="57"/>
      <c r="GP36" s="38">
        <f t="shared" si="96"/>
        <v>0</v>
      </c>
      <c r="GQ36" s="38"/>
      <c r="GR36" s="38"/>
      <c r="GS36" s="38">
        <f t="shared" si="71"/>
        <v>0</v>
      </c>
      <c r="GT36" s="178"/>
      <c r="GU36" s="144">
        <f>DailyFeb!B35-DailyFeb!N35-DailyFeb!V35-DailyFeb!Y35-DailyFeb!Z35-DailyFeb!AA35-DailyFeb!AB35-DailyFeb!AC35-DailyFeb!AD35-DailyFeb!AE35-DailyFeb!AK35-DailyFeb!AO35-DailyFeb!AS35-DailyFeb!AY35-DailyFeb!BD35+DailyFeb!BS35-SUM(DailyFeb!BM35:BQ35)-DailyFeb!BR35-DailyFeb!AF35-DailyFeb!AG35</f>
        <v>0</v>
      </c>
      <c r="GV36" s="59"/>
      <c r="GW36" s="60">
        <f t="shared" si="53"/>
        <v>0</v>
      </c>
      <c r="GX36" s="61"/>
      <c r="GY36" s="140"/>
      <c r="GZ36" s="62"/>
      <c r="HA36" s="62">
        <f t="shared" si="72"/>
        <v>0</v>
      </c>
      <c r="HB36" s="62"/>
      <c r="HC36" s="62"/>
      <c r="HD36" s="74"/>
      <c r="HE36" s="24"/>
      <c r="HG36" s="212"/>
      <c r="HH36" s="16"/>
      <c r="HI36" s="16"/>
      <c r="HJ36" s="16">
        <f t="shared" si="124"/>
        <v>0</v>
      </c>
      <c r="HK36" s="16"/>
      <c r="HL36" s="16"/>
      <c r="HM36" s="16">
        <f t="shared" si="100"/>
        <v>0</v>
      </c>
      <c r="HN36" s="16"/>
      <c r="HO36" s="16"/>
      <c r="HP36" s="16">
        <f t="shared" ref="HP36:HP38" si="134">IF((HN36-HN35)&lt;=0,0,(HN36-HN35)*1000)</f>
        <v>0</v>
      </c>
      <c r="HQ36" s="16"/>
      <c r="HR36" s="16"/>
      <c r="HS36" s="16">
        <f t="shared" ref="HS36:HS38" si="135">IF((HQ36-HQ35)&lt;=0,0,(HQ36-HQ35)*1000)</f>
        <v>0</v>
      </c>
      <c r="HT36" s="16"/>
      <c r="HU36" s="16"/>
      <c r="HV36" s="16">
        <f t="shared" ref="HV36:HV38" si="136">IF((HT36-HT35)&lt;=0,0,(HT36-HT35)*1000)</f>
        <v>0</v>
      </c>
      <c r="HW36" s="16"/>
      <c r="HX36" s="16"/>
      <c r="HY36" s="128">
        <f t="shared" si="121"/>
        <v>0</v>
      </c>
      <c r="HZ36" s="211">
        <f t="shared" si="76"/>
        <v>0</v>
      </c>
      <c r="IA36" s="16"/>
      <c r="IB36" s="16"/>
      <c r="IC36" s="16">
        <f t="shared" si="103"/>
        <v>0</v>
      </c>
      <c r="ID36" s="16"/>
      <c r="IE36" s="16"/>
      <c r="IF36" s="16">
        <f t="shared" si="104"/>
        <v>0</v>
      </c>
      <c r="IG36" s="16"/>
      <c r="IH36" s="16"/>
      <c r="II36" s="16">
        <f t="shared" si="105"/>
        <v>0</v>
      </c>
      <c r="IJ36" s="16"/>
      <c r="IK36" s="16"/>
      <c r="IL36" s="16">
        <f t="shared" si="106"/>
        <v>0</v>
      </c>
      <c r="IM36" s="16"/>
      <c r="IN36" s="16"/>
      <c r="IO36" s="16">
        <f t="shared" si="107"/>
        <v>0</v>
      </c>
      <c r="IP36" s="16"/>
      <c r="IQ36" s="16"/>
      <c r="IR36" s="16">
        <f t="shared" si="108"/>
        <v>0</v>
      </c>
      <c r="IS36" s="16"/>
      <c r="IT36" s="16"/>
      <c r="IU36" s="16">
        <f t="shared" si="109"/>
        <v>0</v>
      </c>
      <c r="IV36" s="16"/>
      <c r="IW36" s="16"/>
      <c r="IX36" s="16">
        <f t="shared" si="110"/>
        <v>0</v>
      </c>
      <c r="IY36" s="16"/>
      <c r="IZ36" s="16"/>
      <c r="JA36" s="16">
        <f t="shared" si="111"/>
        <v>0</v>
      </c>
      <c r="JB36" s="16"/>
      <c r="JC36" s="16"/>
      <c r="JD36" s="16">
        <f t="shared" si="112"/>
        <v>0</v>
      </c>
      <c r="JE36" s="16"/>
      <c r="JF36" s="16"/>
      <c r="JG36" s="16">
        <f t="shared" si="113"/>
        <v>0</v>
      </c>
      <c r="JH36" s="16"/>
      <c r="JI36" s="16"/>
      <c r="JJ36" s="16">
        <f t="shared" si="122"/>
        <v>0</v>
      </c>
      <c r="JK36" s="16"/>
      <c r="JL36" s="16"/>
      <c r="JM36" s="16">
        <f t="shared" si="114"/>
        <v>0</v>
      </c>
      <c r="JN36" s="16"/>
      <c r="JO36" s="16"/>
      <c r="JP36" s="16">
        <f t="shared" si="115"/>
        <v>0</v>
      </c>
      <c r="JQ36" s="16"/>
      <c r="JR36" s="16"/>
      <c r="JS36" s="16">
        <f t="shared" si="116"/>
        <v>0</v>
      </c>
      <c r="JT36" s="16"/>
      <c r="JU36" s="16"/>
      <c r="JV36" s="16">
        <f t="shared" si="117"/>
        <v>0</v>
      </c>
      <c r="JX36" s="151">
        <f t="shared" si="118"/>
        <v>0</v>
      </c>
    </row>
    <row r="37" spans="1:284" hidden="1" x14ac:dyDescent="0.25">
      <c r="A37" s="35">
        <v>31</v>
      </c>
      <c r="B37" s="38"/>
      <c r="C37" s="38">
        <f t="shared" si="2"/>
        <v>0</v>
      </c>
      <c r="D37" s="38">
        <f t="shared" si="3"/>
        <v>0</v>
      </c>
      <c r="E37" s="38"/>
      <c r="F37" s="38">
        <f t="shared" si="95"/>
        <v>0</v>
      </c>
      <c r="G37" s="38">
        <f t="shared" si="5"/>
        <v>0</v>
      </c>
      <c r="H37" s="37"/>
      <c r="I37" s="39"/>
      <c r="J37" s="42"/>
      <c r="K37" s="37">
        <f>IF(J37&lt;=0,0,(J37/SQRT(J37^2+(I37-I36)^2)))</f>
        <v>0</v>
      </c>
      <c r="L37" s="40"/>
      <c r="M37" s="40"/>
      <c r="N37" s="37">
        <f t="shared" si="78"/>
        <v>0</v>
      </c>
      <c r="O37" s="37"/>
      <c r="P37" s="37"/>
      <c r="Q37" s="37">
        <f t="shared" si="126"/>
        <v>0</v>
      </c>
      <c r="R37" s="37">
        <f>IF(Q37&lt;=0,0,(Q37/SQRT(Q37^2+(P37-P36)^2)))</f>
        <v>0</v>
      </c>
      <c r="S37" s="37"/>
      <c r="T37" s="37">
        <f t="shared" si="7"/>
        <v>0</v>
      </c>
      <c r="U37" s="37"/>
      <c r="V37" s="37">
        <f>IF((U37-U36)&lt;=0,0,(U37-U36))</f>
        <v>0</v>
      </c>
      <c r="W37" s="37"/>
      <c r="X37" s="37">
        <f t="shared" si="93"/>
        <v>0</v>
      </c>
      <c r="Y37" s="183"/>
      <c r="Z37" s="183">
        <f t="shared" si="9"/>
        <v>0</v>
      </c>
      <c r="AA37" s="37"/>
      <c r="AB37" s="37">
        <f t="shared" si="10"/>
        <v>0</v>
      </c>
      <c r="AC37" s="37"/>
      <c r="AD37" s="37"/>
      <c r="AE37" s="37">
        <f t="shared" si="128"/>
        <v>0</v>
      </c>
      <c r="AF37" s="37">
        <f>IF(AE37&lt;=0,0,(AE37/SQRT(AE37^2+(AD37-AD36)^2)))</f>
        <v>0</v>
      </c>
      <c r="AG37" s="37"/>
      <c r="AH37" s="37"/>
      <c r="AI37" s="37">
        <f t="shared" si="12"/>
        <v>0</v>
      </c>
      <c r="AJ37" s="37">
        <f t="shared" si="13"/>
        <v>0</v>
      </c>
      <c r="AK37" s="37">
        <f t="shared" si="14"/>
        <v>0</v>
      </c>
      <c r="AL37" s="42"/>
      <c r="AM37" s="42"/>
      <c r="AN37" s="37">
        <f t="shared" si="55"/>
        <v>0</v>
      </c>
      <c r="AO37" s="37">
        <f>IF(AN37&lt;=0,0,(AN37/SQRT(AN37^2+(AM37-AM36)^2)))</f>
        <v>0</v>
      </c>
      <c r="AP37" s="37"/>
      <c r="AQ37" s="37"/>
      <c r="AR37" s="37">
        <f t="shared" si="15"/>
        <v>0</v>
      </c>
      <c r="AS37" s="37">
        <f>IF(AR37&lt;=0,0,(AR37/SQRT(AR37^2+(AQ37-AQ36)^2)))</f>
        <v>0</v>
      </c>
      <c r="AT37" s="183"/>
      <c r="AU37" s="183">
        <f t="shared" si="16"/>
        <v>0</v>
      </c>
      <c r="AV37" s="183"/>
      <c r="AW37" s="183">
        <f t="shared" si="17"/>
        <v>0</v>
      </c>
      <c r="AX37" s="37"/>
      <c r="AY37" s="37"/>
      <c r="AZ37" s="37">
        <f t="shared" si="18"/>
        <v>0</v>
      </c>
      <c r="BA37" s="37"/>
      <c r="BB37" s="37"/>
      <c r="BC37" s="37">
        <f t="shared" si="19"/>
        <v>0</v>
      </c>
      <c r="BD37" s="37">
        <f>AN37+AR37+AZ37+BC37</f>
        <v>0</v>
      </c>
      <c r="BE37" s="43"/>
      <c r="BF37" s="43"/>
      <c r="BG37" s="37">
        <f t="shared" si="20"/>
        <v>0</v>
      </c>
      <c r="BH37" s="44"/>
      <c r="BI37" s="44"/>
      <c r="BJ37" s="37">
        <f t="shared" si="21"/>
        <v>0</v>
      </c>
      <c r="BK37" s="40"/>
      <c r="BL37" s="40">
        <f t="shared" si="84"/>
        <v>0</v>
      </c>
      <c r="BM37" s="40"/>
      <c r="BN37" s="37">
        <f t="shared" si="22"/>
        <v>0</v>
      </c>
      <c r="BO37" s="186"/>
      <c r="BP37" s="183">
        <f t="shared" si="23"/>
        <v>0</v>
      </c>
      <c r="BQ37" s="40"/>
      <c r="BR37" s="37">
        <f t="shared" si="56"/>
        <v>0</v>
      </c>
      <c r="BS37" s="37"/>
      <c r="BT37" s="37">
        <f t="shared" si="24"/>
        <v>0</v>
      </c>
      <c r="BU37" s="42"/>
      <c r="BV37" s="42"/>
      <c r="BW37" s="37">
        <f t="shared" si="25"/>
        <v>0</v>
      </c>
      <c r="BX37" s="37">
        <f>IF(BW37&lt;=0,0,(BW37/SQRT(BW37^2+(BV37-BV36)^2)))</f>
        <v>0</v>
      </c>
      <c r="BY37" s="43"/>
      <c r="BZ37" s="43"/>
      <c r="CA37" s="37">
        <f t="shared" si="123"/>
        <v>0</v>
      </c>
      <c r="CB37" s="37">
        <f t="shared" si="57"/>
        <v>0</v>
      </c>
      <c r="CC37" s="37"/>
      <c r="CD37" s="37">
        <f t="shared" si="27"/>
        <v>0</v>
      </c>
      <c r="CE37" s="41"/>
      <c r="CF37" s="37">
        <f t="shared" si="58"/>
        <v>0</v>
      </c>
      <c r="CG37" s="37"/>
      <c r="CH37" s="37">
        <f t="shared" si="59"/>
        <v>0</v>
      </c>
      <c r="CI37" s="40"/>
      <c r="CJ37" s="40"/>
      <c r="CK37" s="37">
        <f t="shared" si="60"/>
        <v>0</v>
      </c>
      <c r="CL37" s="37">
        <f t="shared" si="28"/>
        <v>0</v>
      </c>
      <c r="CM37" s="37"/>
      <c r="CN37" s="37"/>
      <c r="CO37" s="37">
        <f t="shared" si="29"/>
        <v>0</v>
      </c>
      <c r="CP37" s="37">
        <f>IF(CO37&lt;=0,0,(CO37/SQRT(CO37^2+(CN37-CN36)^2)))</f>
        <v>0</v>
      </c>
      <c r="CQ37" s="39"/>
      <c r="CR37" s="39"/>
      <c r="CS37" s="37">
        <f>IF((CQ37-CQ36)&lt;=0,0,(CQ37-CQ36))*1000+GX37</f>
        <v>0</v>
      </c>
      <c r="CT37" s="37">
        <f>IF(CS37&lt;=0,0,(CS37/SQRT(CS37^2+(CR37-CR36)^2)))</f>
        <v>0</v>
      </c>
      <c r="CU37" s="37"/>
      <c r="CV37" s="41"/>
      <c r="CW37" s="38">
        <f t="shared" si="31"/>
        <v>0</v>
      </c>
      <c r="CX37" s="37">
        <f t="shared" si="88"/>
        <v>0</v>
      </c>
      <c r="CY37" s="37"/>
      <c r="CZ37" s="37"/>
      <c r="DA37" s="37">
        <f t="shared" si="131"/>
        <v>0</v>
      </c>
      <c r="DB37" s="37">
        <f>IF(DA37&lt;=0,0,(DA37/SQRT(DA37^2+(CZ37-CZ36)^2)))</f>
        <v>0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4"/>
        <v>0</v>
      </c>
      <c r="DH37" s="37">
        <f t="shared" si="35"/>
        <v>0</v>
      </c>
      <c r="DI37" s="46"/>
      <c r="DJ37" s="46"/>
      <c r="DK37" s="47"/>
      <c r="DL37" s="47"/>
      <c r="DM37" s="37"/>
      <c r="DN37" s="37"/>
      <c r="DO37" s="37"/>
      <c r="DP37" s="37"/>
      <c r="DQ37" s="50"/>
      <c r="DR37" s="49">
        <f t="shared" si="61"/>
        <v>0</v>
      </c>
      <c r="DS37" s="50"/>
      <c r="DT37" s="49">
        <f t="shared" si="62"/>
        <v>0</v>
      </c>
      <c r="DU37" s="51"/>
      <c r="DV37" s="51"/>
      <c r="DW37" s="37">
        <f t="shared" si="90"/>
        <v>0</v>
      </c>
      <c r="DX37" s="52"/>
      <c r="DY37" s="52"/>
      <c r="DZ37" s="37">
        <f t="shared" si="36"/>
        <v>0</v>
      </c>
      <c r="EA37" s="49"/>
      <c r="EB37" s="49"/>
      <c r="EC37" s="37">
        <f t="shared" si="132"/>
        <v>0</v>
      </c>
      <c r="ED37" s="53">
        <f t="shared" si="38"/>
        <v>0</v>
      </c>
      <c r="EE37" s="49"/>
      <c r="EF37" s="49"/>
      <c r="EG37" s="37">
        <f t="shared" si="133"/>
        <v>0</v>
      </c>
      <c r="EH37" s="51"/>
      <c r="EI37" s="51"/>
      <c r="EJ37" s="37">
        <f t="shared" si="40"/>
        <v>0</v>
      </c>
      <c r="EK37" s="37"/>
      <c r="EL37" s="40"/>
      <c r="EM37" s="37">
        <f t="shared" si="63"/>
        <v>0</v>
      </c>
      <c r="EN37" s="54">
        <f t="shared" si="64"/>
        <v>0</v>
      </c>
      <c r="EO37" s="48"/>
      <c r="EP37" s="48"/>
      <c r="EQ37" s="37">
        <f t="shared" si="41"/>
        <v>0</v>
      </c>
      <c r="ER37" s="48"/>
      <c r="ES37" s="55"/>
      <c r="ET37" s="49">
        <f t="shared" si="98"/>
        <v>0</v>
      </c>
      <c r="EU37" s="48"/>
      <c r="EV37" s="48"/>
      <c r="EW37" s="49">
        <f t="shared" si="43"/>
        <v>0</v>
      </c>
      <c r="EX37" s="48"/>
      <c r="EY37" s="48"/>
      <c r="EZ37" s="37">
        <f t="shared" si="44"/>
        <v>0</v>
      </c>
      <c r="FA37" s="48">
        <f t="shared" si="65"/>
        <v>0</v>
      </c>
      <c r="FB37" s="48"/>
      <c r="FC37" s="49">
        <f>IF((FB37-FB36)&lt;=0,0,(FB37-FB36))</f>
        <v>0</v>
      </c>
      <c r="FD37" s="48">
        <f t="shared" si="66"/>
        <v>0</v>
      </c>
      <c r="FE37" s="153"/>
      <c r="FF37" s="154"/>
      <c r="FG37" s="37">
        <f t="shared" si="67"/>
        <v>0</v>
      </c>
      <c r="FH37" s="48"/>
      <c r="FI37" s="48"/>
      <c r="FJ37" s="49">
        <f t="shared" si="45"/>
        <v>0</v>
      </c>
      <c r="FK37" s="48"/>
      <c r="FL37" s="58"/>
      <c r="FM37" s="48">
        <f t="shared" si="92"/>
        <v>0</v>
      </c>
      <c r="FN37" s="48"/>
      <c r="FO37" s="48"/>
      <c r="FP37" s="37">
        <f t="shared" si="68"/>
        <v>0</v>
      </c>
      <c r="FQ37" s="48"/>
      <c r="FR37" s="48"/>
      <c r="FS37" s="37">
        <f>IF((FQ37-FQ36)*1000&lt;=0,0,(FQ37-FQ36)*1000)</f>
        <v>0</v>
      </c>
      <c r="FT37" s="48">
        <f t="shared" si="119"/>
        <v>0</v>
      </c>
      <c r="FU37" s="48">
        <f t="shared" si="70"/>
        <v>0</v>
      </c>
      <c r="FV37" s="44"/>
      <c r="FW37" s="44"/>
      <c r="FX37" s="37">
        <f t="shared" si="47"/>
        <v>0</v>
      </c>
      <c r="FY37" s="56"/>
      <c r="FZ37" s="56"/>
      <c r="GA37" s="37">
        <f t="shared" si="48"/>
        <v>0</v>
      </c>
      <c r="GB37" s="56"/>
      <c r="GC37" s="56"/>
      <c r="GD37" s="37">
        <f t="shared" si="49"/>
        <v>0</v>
      </c>
      <c r="GE37" s="56"/>
      <c r="GF37" s="63"/>
      <c r="GG37" s="37">
        <f t="shared" si="50"/>
        <v>0</v>
      </c>
      <c r="GH37" s="48"/>
      <c r="GI37" s="56"/>
      <c r="GJ37" s="38">
        <f t="shared" si="51"/>
        <v>0</v>
      </c>
      <c r="GK37" s="56"/>
      <c r="GL37" s="44"/>
      <c r="GM37" s="38">
        <f t="shared" si="52"/>
        <v>0</v>
      </c>
      <c r="GN37" s="57"/>
      <c r="GO37" s="57"/>
      <c r="GP37" s="38">
        <f t="shared" si="96"/>
        <v>0</v>
      </c>
      <c r="GQ37" s="38"/>
      <c r="GR37" s="38"/>
      <c r="GS37" s="38">
        <f t="shared" si="71"/>
        <v>0</v>
      </c>
      <c r="GT37" s="178"/>
      <c r="GU37" s="144">
        <f>DailyFeb!B36-DailyFeb!N36-DailyFeb!V36-DailyFeb!Y36-DailyFeb!Z36-DailyFeb!AA36-DailyFeb!AB36-DailyFeb!AC36-DailyFeb!AD36-DailyFeb!AE36-DailyFeb!AK36-DailyFeb!AO36-DailyFeb!AS36-DailyFeb!AY36-DailyFeb!BD36+DailyFeb!BS36-SUM(DailyFeb!BM36:BQ36)-DailyFeb!BR36-DailyFeb!AF36-DailyFeb!AG36</f>
        <v>0</v>
      </c>
      <c r="GV37" s="59"/>
      <c r="GW37" s="60">
        <f t="shared" si="53"/>
        <v>0</v>
      </c>
      <c r="GX37" s="61"/>
      <c r="GY37" s="140"/>
      <c r="GZ37" s="62"/>
      <c r="HA37" s="62">
        <f t="shared" si="72"/>
        <v>0</v>
      </c>
      <c r="HB37" s="62"/>
      <c r="HC37" s="62"/>
      <c r="HD37" s="74"/>
      <c r="HE37" s="24"/>
      <c r="HG37" s="212"/>
      <c r="HH37" s="16"/>
      <c r="HI37" s="16"/>
      <c r="HJ37" s="16">
        <f t="shared" si="124"/>
        <v>0</v>
      </c>
      <c r="HK37" s="16"/>
      <c r="HL37" s="16"/>
      <c r="HM37" s="16">
        <f t="shared" si="100"/>
        <v>0</v>
      </c>
      <c r="HN37" s="16"/>
      <c r="HO37" s="16"/>
      <c r="HP37" s="16">
        <f t="shared" si="134"/>
        <v>0</v>
      </c>
      <c r="HQ37" s="16"/>
      <c r="HR37" s="16"/>
      <c r="HS37" s="16">
        <f t="shared" si="135"/>
        <v>0</v>
      </c>
      <c r="HT37" s="16"/>
      <c r="HU37" s="16"/>
      <c r="HV37" s="16">
        <f t="shared" si="136"/>
        <v>0</v>
      </c>
      <c r="HW37" s="16"/>
      <c r="HX37" s="16"/>
      <c r="HY37" s="128">
        <f t="shared" si="121"/>
        <v>0</v>
      </c>
      <c r="HZ37" s="211">
        <f t="shared" si="76"/>
        <v>0</v>
      </c>
      <c r="IA37" s="16"/>
      <c r="IB37" s="16"/>
      <c r="IC37" s="16">
        <f t="shared" si="103"/>
        <v>0</v>
      </c>
      <c r="ID37" s="16"/>
      <c r="IE37" s="16"/>
      <c r="IF37" s="16">
        <f t="shared" si="104"/>
        <v>0</v>
      </c>
      <c r="IG37" s="16"/>
      <c r="IH37" s="16"/>
      <c r="II37" s="16">
        <f t="shared" si="105"/>
        <v>0</v>
      </c>
      <c r="IJ37" s="16"/>
      <c r="IK37" s="16"/>
      <c r="IL37" s="16">
        <f t="shared" si="106"/>
        <v>0</v>
      </c>
      <c r="IM37" s="16"/>
      <c r="IN37" s="16"/>
      <c r="IO37" s="16">
        <f t="shared" si="107"/>
        <v>0</v>
      </c>
      <c r="IP37" s="16"/>
      <c r="IQ37" s="16"/>
      <c r="IR37" s="16">
        <f t="shared" si="108"/>
        <v>0</v>
      </c>
      <c r="IS37" s="16"/>
      <c r="IT37" s="16"/>
      <c r="IU37" s="16">
        <f t="shared" si="109"/>
        <v>0</v>
      </c>
      <c r="IV37" s="16"/>
      <c r="IW37" s="16"/>
      <c r="IX37" s="16">
        <f t="shared" si="110"/>
        <v>0</v>
      </c>
      <c r="IY37" s="16"/>
      <c r="IZ37" s="16"/>
      <c r="JA37" s="16">
        <f t="shared" si="111"/>
        <v>0</v>
      </c>
      <c r="JB37" s="16"/>
      <c r="JC37" s="16"/>
      <c r="JD37" s="16">
        <f t="shared" si="112"/>
        <v>0</v>
      </c>
      <c r="JE37" s="16"/>
      <c r="JF37" s="16"/>
      <c r="JG37" s="16">
        <f t="shared" si="113"/>
        <v>0</v>
      </c>
      <c r="JH37" s="16"/>
      <c r="JI37" s="16"/>
      <c r="JJ37" s="16">
        <f t="shared" si="122"/>
        <v>0</v>
      </c>
      <c r="JK37" s="16"/>
      <c r="JL37" s="16"/>
      <c r="JM37" s="16">
        <f t="shared" si="114"/>
        <v>0</v>
      </c>
      <c r="JN37" s="16"/>
      <c r="JO37" s="16"/>
      <c r="JP37" s="16">
        <f t="shared" si="115"/>
        <v>0</v>
      </c>
      <c r="JQ37" s="16"/>
      <c r="JR37" s="16"/>
      <c r="JS37" s="16">
        <f t="shared" si="116"/>
        <v>0</v>
      </c>
      <c r="JT37" s="16"/>
      <c r="JU37" s="16"/>
      <c r="JV37" s="16">
        <f t="shared" si="117"/>
        <v>0</v>
      </c>
      <c r="JX37" s="151">
        <f t="shared" si="118"/>
        <v>0</v>
      </c>
    </row>
    <row r="38" spans="1:284" ht="15.75" hidden="1" thickBot="1" x14ac:dyDescent="0.3">
      <c r="A38" s="35">
        <v>1</v>
      </c>
      <c r="B38" s="38"/>
      <c r="C38" s="38">
        <f t="shared" si="2"/>
        <v>0</v>
      </c>
      <c r="D38" s="38">
        <f t="shared" si="3"/>
        <v>0</v>
      </c>
      <c r="E38" s="38"/>
      <c r="F38" s="38">
        <f t="shared" si="95"/>
        <v>0</v>
      </c>
      <c r="G38" s="38">
        <f t="shared" si="5"/>
        <v>0</v>
      </c>
      <c r="H38" s="37"/>
      <c r="I38" s="39"/>
      <c r="J38" s="42"/>
      <c r="K38" s="37">
        <f>IF(J38&lt;=0,0,(J38/SQRT(J38^2+(I38-I37)^2)))</f>
        <v>0</v>
      </c>
      <c r="L38" s="40"/>
      <c r="M38" s="40"/>
      <c r="N38" s="37">
        <f t="shared" si="78"/>
        <v>0</v>
      </c>
      <c r="O38" s="37"/>
      <c r="P38" s="37"/>
      <c r="Q38" s="37">
        <f t="shared" si="126"/>
        <v>0</v>
      </c>
      <c r="R38" s="37">
        <f>IF(Q38&lt;=0,0,(Q38/SQRT(Q38^2+(P38-P37)^2)))</f>
        <v>0</v>
      </c>
      <c r="S38" s="37"/>
      <c r="T38" s="37">
        <f t="shared" si="7"/>
        <v>0</v>
      </c>
      <c r="U38" s="37"/>
      <c r="V38" s="37">
        <f>IF((U38-U37)&lt;=0,0,(U38-U37))</f>
        <v>0</v>
      </c>
      <c r="W38" s="37"/>
      <c r="X38" s="37">
        <f t="shared" si="93"/>
        <v>0</v>
      </c>
      <c r="Y38" s="183"/>
      <c r="Z38" s="183">
        <f t="shared" si="9"/>
        <v>0</v>
      </c>
      <c r="AA38" s="37"/>
      <c r="AB38" s="37">
        <f t="shared" si="10"/>
        <v>0</v>
      </c>
      <c r="AC38" s="37"/>
      <c r="AD38" s="37"/>
      <c r="AE38" s="37">
        <f t="shared" si="128"/>
        <v>0</v>
      </c>
      <c r="AF38" s="37">
        <f>IF(AE38&lt;=0,0,(AE38/SQRT(AE38^2+(AD38-AD37)^2)))</f>
        <v>0</v>
      </c>
      <c r="AG38" s="37"/>
      <c r="AH38" s="37"/>
      <c r="AI38" s="37">
        <f t="shared" si="12"/>
        <v>0</v>
      </c>
      <c r="AJ38" s="37">
        <f t="shared" si="13"/>
        <v>0</v>
      </c>
      <c r="AK38" s="37">
        <f t="shared" si="14"/>
        <v>0</v>
      </c>
      <c r="AL38" s="42"/>
      <c r="AM38" s="42"/>
      <c r="AN38" s="37">
        <f t="shared" si="55"/>
        <v>0</v>
      </c>
      <c r="AO38" s="37">
        <f>IF(AN38&lt;=0,0,(AN38/SQRT(AN38^2+(AM38-AM37)^2)))</f>
        <v>0</v>
      </c>
      <c r="AP38" s="37"/>
      <c r="AQ38" s="37"/>
      <c r="AR38" s="37">
        <f t="shared" si="15"/>
        <v>0</v>
      </c>
      <c r="AS38" s="37">
        <f>IF(AR38&lt;=0,0,(AR38/SQRT(AR38^2+(AQ38-AQ37)^2)))</f>
        <v>0</v>
      </c>
      <c r="AT38" s="183"/>
      <c r="AU38" s="183">
        <f t="shared" si="16"/>
        <v>0</v>
      </c>
      <c r="AV38" s="183"/>
      <c r="AW38" s="183">
        <f t="shared" si="17"/>
        <v>0</v>
      </c>
      <c r="AX38" s="37"/>
      <c r="AY38" s="37"/>
      <c r="AZ38" s="37">
        <f t="shared" si="18"/>
        <v>0</v>
      </c>
      <c r="BA38" s="37"/>
      <c r="BB38" s="37"/>
      <c r="BC38" s="37">
        <f t="shared" si="19"/>
        <v>0</v>
      </c>
      <c r="BD38" s="37">
        <f>AN38+AR38+AZ38+BC38</f>
        <v>0</v>
      </c>
      <c r="BE38" s="43"/>
      <c r="BF38" s="43"/>
      <c r="BG38" s="37">
        <f t="shared" si="20"/>
        <v>0</v>
      </c>
      <c r="BH38" s="44"/>
      <c r="BI38" s="44"/>
      <c r="BJ38" s="37">
        <f t="shared" si="21"/>
        <v>0</v>
      </c>
      <c r="BK38" s="40"/>
      <c r="BL38" s="40">
        <f t="shared" si="84"/>
        <v>0</v>
      </c>
      <c r="BM38" s="40"/>
      <c r="BN38" s="37">
        <f t="shared" si="22"/>
        <v>0</v>
      </c>
      <c r="BO38" s="186"/>
      <c r="BP38" s="183">
        <f t="shared" si="23"/>
        <v>0</v>
      </c>
      <c r="BQ38" s="40"/>
      <c r="BR38" s="37">
        <f t="shared" si="56"/>
        <v>0</v>
      </c>
      <c r="BS38" s="37"/>
      <c r="BT38" s="37">
        <f t="shared" si="24"/>
        <v>0</v>
      </c>
      <c r="BU38" s="42"/>
      <c r="BV38" s="42"/>
      <c r="BW38" s="37">
        <f t="shared" si="25"/>
        <v>0</v>
      </c>
      <c r="BX38" s="37">
        <f>IF(BW38&lt;=0,0,(BW38/SQRT(BW38^2+(BV38-BV37)^2)))</f>
        <v>0</v>
      </c>
      <c r="BY38" s="43"/>
      <c r="BZ38" s="43"/>
      <c r="CA38" s="37">
        <f t="shared" si="123"/>
        <v>0</v>
      </c>
      <c r="CB38" s="37">
        <f t="shared" si="57"/>
        <v>0</v>
      </c>
      <c r="CC38" s="37"/>
      <c r="CD38" s="37">
        <f t="shared" si="27"/>
        <v>0</v>
      </c>
      <c r="CE38" s="41"/>
      <c r="CF38" s="37">
        <f t="shared" si="58"/>
        <v>0</v>
      </c>
      <c r="CG38" s="37"/>
      <c r="CH38" s="37">
        <f t="shared" si="59"/>
        <v>0</v>
      </c>
      <c r="CI38" s="40"/>
      <c r="CJ38" s="40"/>
      <c r="CK38" s="37">
        <f t="shared" si="60"/>
        <v>0</v>
      </c>
      <c r="CL38" s="37">
        <f t="shared" si="28"/>
        <v>0</v>
      </c>
      <c r="CM38" s="37"/>
      <c r="CN38" s="37"/>
      <c r="CO38" s="37">
        <f t="shared" si="29"/>
        <v>0</v>
      </c>
      <c r="CP38" s="37">
        <f>IF(CO38&lt;=0,0,(CO38/SQRT(CO38^2+(CN38-CN37)^2)))</f>
        <v>0</v>
      </c>
      <c r="CQ38" s="39"/>
      <c r="CR38" s="39"/>
      <c r="CS38" s="37">
        <f>IF((CQ38-CQ37)&lt;=0,0,(CQ38-CQ37))*1000+GX38</f>
        <v>0</v>
      </c>
      <c r="CT38" s="37">
        <f>IF(CS38&lt;=0,0,(CS38/SQRT(CS38^2+(CR38-CR37)^2)))</f>
        <v>0</v>
      </c>
      <c r="CU38" s="37"/>
      <c r="CV38" s="41"/>
      <c r="CW38" s="38">
        <f t="shared" si="31"/>
        <v>0</v>
      </c>
      <c r="CX38" s="37">
        <f t="shared" si="88"/>
        <v>0</v>
      </c>
      <c r="CY38" s="37"/>
      <c r="CZ38" s="37"/>
      <c r="DA38" s="37">
        <f t="shared" si="131"/>
        <v>0</v>
      </c>
      <c r="DB38" s="37">
        <f>IF(DA38&lt;=0,0,(DA38/SQRT(DA38^2+(CZ38-CZ37)^2)))</f>
        <v>0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4"/>
        <v>0</v>
      </c>
      <c r="DH38" s="37">
        <f t="shared" si="35"/>
        <v>0</v>
      </c>
      <c r="DI38" s="46"/>
      <c r="DJ38" s="46"/>
      <c r="DK38" s="47"/>
      <c r="DL38" s="47"/>
      <c r="DM38" s="37"/>
      <c r="DN38" s="37"/>
      <c r="DO38" s="37"/>
      <c r="DP38" s="37"/>
      <c r="DQ38" s="50"/>
      <c r="DR38" s="49">
        <f t="shared" si="61"/>
        <v>0</v>
      </c>
      <c r="DS38" s="50"/>
      <c r="DT38" s="49">
        <f t="shared" si="62"/>
        <v>0</v>
      </c>
      <c r="DU38" s="51"/>
      <c r="DV38" s="51"/>
      <c r="DW38" s="37">
        <f t="shared" si="90"/>
        <v>0</v>
      </c>
      <c r="DX38" s="52"/>
      <c r="DY38" s="52"/>
      <c r="DZ38" s="37">
        <f t="shared" si="36"/>
        <v>0</v>
      </c>
      <c r="EA38" s="49"/>
      <c r="EB38" s="49"/>
      <c r="EC38" s="37">
        <f t="shared" si="132"/>
        <v>0</v>
      </c>
      <c r="ED38" s="53">
        <f t="shared" si="38"/>
        <v>0</v>
      </c>
      <c r="EE38" s="49"/>
      <c r="EF38" s="49"/>
      <c r="EG38" s="37">
        <f t="shared" si="133"/>
        <v>0</v>
      </c>
      <c r="EH38" s="51"/>
      <c r="EI38" s="51"/>
      <c r="EJ38" s="37">
        <f t="shared" si="40"/>
        <v>0</v>
      </c>
      <c r="EK38" s="37"/>
      <c r="EL38" s="40"/>
      <c r="EM38" s="37">
        <f t="shared" si="63"/>
        <v>0</v>
      </c>
      <c r="EN38" s="54">
        <f t="shared" si="64"/>
        <v>0</v>
      </c>
      <c r="EO38" s="48"/>
      <c r="EP38" s="48"/>
      <c r="EQ38" s="37">
        <f t="shared" si="41"/>
        <v>0</v>
      </c>
      <c r="ER38" s="48"/>
      <c r="ES38" s="55"/>
      <c r="ET38" s="49">
        <f t="shared" si="98"/>
        <v>0</v>
      </c>
      <c r="EU38" s="48"/>
      <c r="EV38" s="48"/>
      <c r="EW38" s="49">
        <f t="shared" si="43"/>
        <v>0</v>
      </c>
      <c r="EX38" s="48"/>
      <c r="EY38" s="48"/>
      <c r="EZ38" s="37">
        <f t="shared" si="44"/>
        <v>0</v>
      </c>
      <c r="FA38" s="48">
        <f t="shared" si="65"/>
        <v>0</v>
      </c>
      <c r="FB38" s="48"/>
      <c r="FC38" s="49">
        <f>IF((FB38-FB37)&lt;=0,0,(FB38-FB37))</f>
        <v>0</v>
      </c>
      <c r="FD38" s="48">
        <f t="shared" si="66"/>
        <v>0</v>
      </c>
      <c r="FE38" s="153"/>
      <c r="FF38" s="154"/>
      <c r="FG38" s="37">
        <f t="shared" si="67"/>
        <v>0</v>
      </c>
      <c r="FH38" s="48"/>
      <c r="FI38" s="48"/>
      <c r="FJ38" s="49">
        <f t="shared" si="45"/>
        <v>0</v>
      </c>
      <c r="FK38" s="48"/>
      <c r="FL38" s="58"/>
      <c r="FM38" s="48">
        <f t="shared" si="92"/>
        <v>0</v>
      </c>
      <c r="FN38" s="48"/>
      <c r="FO38" s="48"/>
      <c r="FP38" s="37">
        <f t="shared" si="68"/>
        <v>0</v>
      </c>
      <c r="FQ38" s="48"/>
      <c r="FR38" s="48"/>
      <c r="FS38" s="37">
        <f>IF((FQ38-FQ37)*1000&lt;=0,0,(FQ38-FQ37)*1000)</f>
        <v>0</v>
      </c>
      <c r="FT38" s="48">
        <f t="shared" si="119"/>
        <v>0</v>
      </c>
      <c r="FU38" s="48">
        <f t="shared" si="70"/>
        <v>0</v>
      </c>
      <c r="FV38" s="44"/>
      <c r="FW38" s="44"/>
      <c r="FX38" s="37">
        <f t="shared" si="47"/>
        <v>0</v>
      </c>
      <c r="FY38" s="56"/>
      <c r="FZ38" s="56"/>
      <c r="GA38" s="37">
        <f t="shared" ref="GA38" si="137">IF((FY38-FY37)*1000&lt;=0,0,((FY38-FY37)*1000)-GS38)</f>
        <v>0</v>
      </c>
      <c r="GB38" s="56"/>
      <c r="GC38" s="56"/>
      <c r="GD38" s="37">
        <f t="shared" si="49"/>
        <v>0</v>
      </c>
      <c r="GE38" s="56"/>
      <c r="GF38" s="63"/>
      <c r="GG38" s="37">
        <f t="shared" si="50"/>
        <v>0</v>
      </c>
      <c r="GH38" s="48"/>
      <c r="GI38" s="56"/>
      <c r="GJ38" s="38">
        <f t="shared" si="51"/>
        <v>0</v>
      </c>
      <c r="GK38" s="56"/>
      <c r="GL38" s="44"/>
      <c r="GM38" s="38">
        <f t="shared" si="52"/>
        <v>0</v>
      </c>
      <c r="GN38" s="57"/>
      <c r="GO38" s="57"/>
      <c r="GP38" s="38">
        <f t="shared" si="96"/>
        <v>0</v>
      </c>
      <c r="GQ38" s="38"/>
      <c r="GR38" s="38"/>
      <c r="GS38" s="38">
        <f t="shared" si="71"/>
        <v>0</v>
      </c>
      <c r="GT38" s="178"/>
      <c r="GU38" s="144">
        <f>DailyFeb!B37-DailyFeb!N37-DailyFeb!V37-DailyFeb!Y37-DailyFeb!Z37-DailyFeb!AA37-DailyFeb!AB37-DailyFeb!AC37-DailyFeb!AD37-DailyFeb!AE37-DailyFeb!AK37-DailyFeb!AO37-DailyFeb!AS37-DailyFeb!AY37-DailyFeb!BD37+DailyFeb!BS37-SUM(DailyFeb!BM37:BQ37)-DailyFeb!BR37-DailyFeb!AF37-DailyFeb!AG37</f>
        <v>0</v>
      </c>
      <c r="GV38" s="59"/>
      <c r="GW38" s="60">
        <f t="shared" si="53"/>
        <v>0</v>
      </c>
      <c r="GX38" s="61"/>
      <c r="GY38" s="140"/>
      <c r="GZ38" s="74"/>
      <c r="HA38" s="62">
        <f t="shared" si="72"/>
        <v>0</v>
      </c>
      <c r="HB38" s="62"/>
      <c r="HC38" s="74"/>
      <c r="HD38" s="74"/>
      <c r="HE38" s="24"/>
      <c r="HG38" s="212"/>
      <c r="HH38" s="16"/>
      <c r="HI38" s="16"/>
      <c r="HJ38" s="16">
        <f t="shared" si="124"/>
        <v>0</v>
      </c>
      <c r="HK38" s="16"/>
      <c r="HL38" s="16"/>
      <c r="HM38" s="16">
        <f t="shared" si="100"/>
        <v>0</v>
      </c>
      <c r="HN38" s="16"/>
      <c r="HO38" s="16"/>
      <c r="HP38" s="16">
        <f t="shared" si="134"/>
        <v>0</v>
      </c>
      <c r="HQ38" s="16"/>
      <c r="HR38" s="16"/>
      <c r="HS38" s="16">
        <f t="shared" si="135"/>
        <v>0</v>
      </c>
      <c r="HT38" s="16"/>
      <c r="HU38" s="16"/>
      <c r="HV38" s="16">
        <f t="shared" si="136"/>
        <v>0</v>
      </c>
      <c r="HW38" s="16"/>
      <c r="HX38" s="16"/>
      <c r="HY38" s="128">
        <f t="shared" si="121"/>
        <v>0</v>
      </c>
      <c r="HZ38" s="211">
        <f t="shared" si="76"/>
        <v>0</v>
      </c>
      <c r="IA38" s="16"/>
      <c r="IB38" s="16"/>
      <c r="IC38" s="16">
        <f t="shared" si="103"/>
        <v>0</v>
      </c>
      <c r="ID38" s="16"/>
      <c r="IE38" s="16"/>
      <c r="IF38" s="16">
        <f t="shared" si="104"/>
        <v>0</v>
      </c>
      <c r="IG38" s="16"/>
      <c r="IH38" s="16"/>
      <c r="II38" s="16">
        <f t="shared" si="105"/>
        <v>0</v>
      </c>
      <c r="IJ38" s="16"/>
      <c r="IK38" s="16"/>
      <c r="IL38" s="16">
        <f t="shared" si="106"/>
        <v>0</v>
      </c>
      <c r="IM38" s="16"/>
      <c r="IN38" s="16"/>
      <c r="IO38" s="16">
        <f t="shared" si="107"/>
        <v>0</v>
      </c>
      <c r="IP38" s="16"/>
      <c r="IQ38" s="16"/>
      <c r="IR38" s="16">
        <f t="shared" si="108"/>
        <v>0</v>
      </c>
      <c r="IS38" s="16"/>
      <c r="IT38" s="16"/>
      <c r="IU38" s="16">
        <f t="shared" si="109"/>
        <v>0</v>
      </c>
      <c r="IV38" s="16"/>
      <c r="IW38" s="16"/>
      <c r="IX38" s="16">
        <f t="shared" si="110"/>
        <v>0</v>
      </c>
      <c r="IY38" s="16"/>
      <c r="IZ38" s="16"/>
      <c r="JA38" s="16">
        <f t="shared" si="111"/>
        <v>0</v>
      </c>
      <c r="JB38" s="16"/>
      <c r="JC38" s="16"/>
      <c r="JD38" s="16">
        <f t="shared" si="112"/>
        <v>0</v>
      </c>
      <c r="JE38" s="16"/>
      <c r="JF38" s="16"/>
      <c r="JG38" s="16">
        <f t="shared" si="113"/>
        <v>0</v>
      </c>
      <c r="JH38" s="16"/>
      <c r="JI38" s="16"/>
      <c r="JJ38" s="16">
        <f t="shared" si="122"/>
        <v>0</v>
      </c>
      <c r="JK38" s="16"/>
      <c r="JL38" s="16"/>
      <c r="JM38" s="16">
        <f t="shared" si="114"/>
        <v>0</v>
      </c>
      <c r="JN38" s="16"/>
      <c r="JO38" s="16"/>
      <c r="JP38" s="16">
        <f t="shared" si="115"/>
        <v>0</v>
      </c>
      <c r="JQ38" s="16"/>
      <c r="JR38" s="16"/>
      <c r="JS38" s="16">
        <f t="shared" si="116"/>
        <v>0</v>
      </c>
      <c r="JT38" s="16"/>
      <c r="JU38" s="16"/>
      <c r="JV38" s="16">
        <f t="shared" si="117"/>
        <v>0</v>
      </c>
      <c r="JX38" s="151">
        <f t="shared" si="118"/>
        <v>0</v>
      </c>
    </row>
    <row r="39" spans="1:284" ht="15.75" thickBot="1" x14ac:dyDescent="0.3">
      <c r="A39" s="77" t="s">
        <v>37</v>
      </c>
      <c r="B39" s="78"/>
      <c r="C39" s="78">
        <f>SUM(C8:C38)</f>
        <v>217.90999999999985</v>
      </c>
      <c r="D39" s="78">
        <f>SUM(D8:D38)</f>
        <v>6973119.9999999963</v>
      </c>
      <c r="E39" s="78"/>
      <c r="F39" s="78">
        <f>SUM(F8:F38)</f>
        <v>1382080.0000000016</v>
      </c>
      <c r="G39" s="78">
        <f>SUM(G8:G38)</f>
        <v>8355200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8296000</v>
      </c>
      <c r="O39" s="79"/>
      <c r="P39" s="79"/>
      <c r="Q39" s="78">
        <f>SUM(Q8:Q38)</f>
        <v>441600.00000000041</v>
      </c>
      <c r="R39" s="79">
        <f>AVERAGE(R8:R38)</f>
        <v>0.90322580645161288</v>
      </c>
      <c r="S39" s="79"/>
      <c r="T39" s="78">
        <f>SUM(T8:T38)</f>
        <v>165440.33999999985</v>
      </c>
      <c r="U39" s="79"/>
      <c r="V39" s="79">
        <f>SUM(V8:V38)</f>
        <v>48.330000000074506</v>
      </c>
      <c r="W39" s="79"/>
      <c r="X39" s="78">
        <f>SUM(X8:X38)</f>
        <v>223651.33000000042</v>
      </c>
      <c r="Y39" s="184"/>
      <c r="Z39" s="184"/>
      <c r="AA39" s="78"/>
      <c r="AB39" s="78"/>
      <c r="AC39" s="79"/>
      <c r="AD39" s="79"/>
      <c r="AE39" s="78">
        <f>SUM(AE8:AE38)</f>
        <v>162900.00000000009</v>
      </c>
      <c r="AF39" s="79">
        <f>AVERAGE(AF8:AF38)</f>
        <v>0.90322580645161288</v>
      </c>
      <c r="AG39" s="79"/>
      <c r="AH39" s="79"/>
      <c r="AI39" s="78">
        <f>SUM(AI8:AI38)</f>
        <v>375054.49999999965</v>
      </c>
      <c r="AJ39" s="79">
        <f>AVERAGE(AJ8:AJ38)</f>
        <v>0.90322580645161288</v>
      </c>
      <c r="AK39" s="78">
        <f>SUM(AK8:AK38)</f>
        <v>927094.50000000012</v>
      </c>
      <c r="AL39" s="79"/>
      <c r="AM39" s="79"/>
      <c r="AN39" s="78">
        <f>SUM(AN8:AN38)</f>
        <v>190874.50000000073</v>
      </c>
      <c r="AO39" s="79">
        <f>AVERAGE(AO8:AO38)</f>
        <v>0.90322580645161288</v>
      </c>
      <c r="AP39" s="79"/>
      <c r="AQ39" s="79"/>
      <c r="AR39" s="78">
        <f>SUM(AR8:AR38)</f>
        <v>316800.00000000012</v>
      </c>
      <c r="AS39" s="79">
        <f>AVERAGE(AS8:AS38)</f>
        <v>0.90322580645161288</v>
      </c>
      <c r="AT39" s="184"/>
      <c r="AU39" s="184"/>
      <c r="AV39" s="184"/>
      <c r="AW39" s="184"/>
      <c r="AX39" s="79"/>
      <c r="AY39" s="79"/>
      <c r="AZ39" s="78">
        <f>SUM(AZ8:AZ38)</f>
        <v>10580.239999999991</v>
      </c>
      <c r="BA39" s="79"/>
      <c r="BB39" s="79"/>
      <c r="BC39" s="78">
        <f>SUM(BC8:BC38)</f>
        <v>14678.368000000002</v>
      </c>
      <c r="BD39" s="78">
        <f>SUM(BD8:BD38)</f>
        <v>532933.10800000094</v>
      </c>
      <c r="BE39" s="80"/>
      <c r="BF39" s="81"/>
      <c r="BG39" s="78">
        <f>SUM(BG8:BG38)</f>
        <v>63600.000000000131</v>
      </c>
      <c r="BH39" s="78"/>
      <c r="BI39" s="78"/>
      <c r="BJ39" s="78"/>
      <c r="BK39" s="80"/>
      <c r="BL39" s="78">
        <f>SUM(BL8:BL38)</f>
        <v>111110</v>
      </c>
      <c r="BM39" s="80"/>
      <c r="BN39" s="78">
        <f>SUM(BN8:BN38)</f>
        <v>18350.000000000022</v>
      </c>
      <c r="BO39" s="187"/>
      <c r="BP39" s="188">
        <f>SUM(BP8:BP38)</f>
        <v>0</v>
      </c>
      <c r="BQ39" s="79"/>
      <c r="BR39" s="78">
        <f>SUM(BR8:BR38)</f>
        <v>18019.999999999978</v>
      </c>
      <c r="BS39" s="78"/>
      <c r="BT39" s="78"/>
      <c r="BU39" s="79"/>
      <c r="BV39" s="79"/>
      <c r="BW39" s="78">
        <f>SUM(BW8:BW38)</f>
        <v>114291</v>
      </c>
      <c r="BX39" s="79">
        <f>AVERAGE(BX8:BX38)</f>
        <v>0.83870967741935487</v>
      </c>
      <c r="BY39" s="79"/>
      <c r="BZ39" s="79"/>
      <c r="CA39" s="78">
        <f>SUM(CA8:CA38)</f>
        <v>21469.50000000004</v>
      </c>
      <c r="CB39" s="78"/>
      <c r="CC39" s="79"/>
      <c r="CD39" s="79"/>
      <c r="CE39" s="79"/>
      <c r="CF39" s="78">
        <f>SUM(CF8:CF38)</f>
        <v>1</v>
      </c>
      <c r="CG39" s="79"/>
      <c r="CH39" s="78">
        <f>SUM(CH8:CH38)</f>
        <v>4616</v>
      </c>
      <c r="CI39" s="79"/>
      <c r="CJ39" s="79"/>
      <c r="CK39" s="78">
        <f>SUM(CK8:CK38)</f>
        <v>425115.00000000017</v>
      </c>
      <c r="CL39" s="79">
        <f>AVERAGE(CL8:CL38)</f>
        <v>0.90322580645161288</v>
      </c>
      <c r="CM39" s="79"/>
      <c r="CN39" s="79"/>
      <c r="CO39" s="78">
        <f>SUM(CO8:CO38)</f>
        <v>206039.49999999977</v>
      </c>
      <c r="CP39" s="79">
        <f>AVERAGE(CP8:CP38)</f>
        <v>0.90322580645161288</v>
      </c>
      <c r="CQ39" s="82"/>
      <c r="CR39" s="83"/>
      <c r="CS39" s="78">
        <f>SUM(CS8:CS38)</f>
        <v>178609.49999999991</v>
      </c>
      <c r="CT39" s="79">
        <f>AVERAGE(CT8:CT38)</f>
        <v>0.90322580645161288</v>
      </c>
      <c r="CU39" s="79"/>
      <c r="CV39" s="79"/>
      <c r="CW39" s="78">
        <f>SUM(CW8:CW38)</f>
        <v>243777</v>
      </c>
      <c r="CX39" s="79">
        <f>AVERAGE(CX8:CX38)</f>
        <v>0.90322580645161288</v>
      </c>
      <c r="CY39" s="79"/>
      <c r="CZ39" s="79"/>
      <c r="DA39" s="78">
        <f>SUM(DA8:DA38)</f>
        <v>123985</v>
      </c>
      <c r="DB39" s="79">
        <f>AVERAGE(DB8:DB38)</f>
        <v>0.90322580645161288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-1291816.9999999995</v>
      </c>
      <c r="DH39" s="78">
        <f>SUM(DH8:DH38)</f>
        <v>9286694.5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231100</v>
      </c>
      <c r="DS39" s="84"/>
      <c r="DT39" s="85">
        <f>SUMIF(DT7:DT38,"&gt;0")</f>
        <v>446400</v>
      </c>
      <c r="DU39" s="86"/>
      <c r="DV39" s="86"/>
      <c r="DW39" s="87">
        <f>SUMIF(DW8:DW38,"&gt;0")</f>
        <v>117399.99999999962</v>
      </c>
      <c r="DX39" s="86"/>
      <c r="DY39" s="86"/>
      <c r="DZ39" s="87">
        <f>SUMIF(DZ8:DZ38,"&gt;0")</f>
        <v>198654.5</v>
      </c>
      <c r="EA39" s="86"/>
      <c r="EB39" s="86"/>
      <c r="EC39" s="87">
        <f>SUMIF(EC8:EC38,"&gt;0")</f>
        <v>660134.50000000012</v>
      </c>
      <c r="ED39" s="88">
        <f>SUMIF(ED8:ED38,"&gt;0")</f>
        <v>976188.99999999977</v>
      </c>
      <c r="EE39" s="86"/>
      <c r="EF39" s="86"/>
      <c r="EG39" s="87">
        <f>SUMIF(EG8:EG38,"&gt;0")</f>
        <v>906134.5</v>
      </c>
      <c r="EH39" s="86"/>
      <c r="EI39" s="86"/>
      <c r="EJ39" s="87">
        <f>SUMIF(EJ8:EJ38,"&gt;0")</f>
        <v>296654.49999999994</v>
      </c>
      <c r="EK39" s="87"/>
      <c r="EL39" s="87"/>
      <c r="EM39" s="87">
        <f>SUMIF(EM8:EM38,"&gt;0")</f>
        <v>19569.999999999935</v>
      </c>
      <c r="EN39" s="89">
        <f>SUMIF(EN8:EN38,"&gt;0")</f>
        <v>1222358.9999999998</v>
      </c>
      <c r="EO39" s="48"/>
      <c r="EP39" s="48"/>
      <c r="EQ39" s="90">
        <f>SUMIF(EQ8:EQ38,"&gt;0")</f>
        <v>274654.49999999994</v>
      </c>
      <c r="ER39" s="90"/>
      <c r="ES39" s="90"/>
      <c r="ET39" s="90">
        <f>SUMIF(ET8:ET38,"&gt;0")</f>
        <v>502500</v>
      </c>
      <c r="EU39" s="90"/>
      <c r="EV39" s="90"/>
      <c r="EW39" s="90">
        <f>SUMIF(EW8:EW38,"&gt;0")</f>
        <v>232054.50000000009</v>
      </c>
      <c r="EX39" s="48"/>
      <c r="EY39" s="48"/>
      <c r="EZ39" s="90">
        <f>SUMIF(EZ8:EZ38,"&gt;0")</f>
        <v>310654.49999999994</v>
      </c>
      <c r="FA39" s="90"/>
      <c r="FB39" s="90"/>
      <c r="FC39" s="90"/>
      <c r="FD39" s="90">
        <f>SUMIF(FD8:FD38,"&gt;0")</f>
        <v>1366763.4999999998</v>
      </c>
      <c r="FE39" s="48"/>
      <c r="FF39" s="48"/>
      <c r="FG39" s="90">
        <f>SUMIF(FG8:FG38,"&gt;0")</f>
        <v>185681.89000000004</v>
      </c>
      <c r="FH39" s="90"/>
      <c r="FI39" s="90"/>
      <c r="FJ39" s="90">
        <f>SUMIF(FJ8:FJ38,"&gt;0")</f>
        <v>335648.56000000035</v>
      </c>
      <c r="FK39" s="90"/>
      <c r="FL39" s="90">
        <f>SUMIF(FL8:FL38,"&gt;0")</f>
        <v>5943.8099999999995</v>
      </c>
      <c r="FM39" s="90">
        <f>SUMIF(FM8:FM38,"&gt;0")</f>
        <v>514.08333333321207</v>
      </c>
      <c r="FN39" s="48"/>
      <c r="FO39" s="48"/>
      <c r="FP39" s="90">
        <f>SUMIF(FP8:FP38,"&gt;0")</f>
        <v>218681.89000000007</v>
      </c>
      <c r="FQ39" s="90"/>
      <c r="FR39" s="90"/>
      <c r="FS39" s="90">
        <f>SUMIF(FS8:FS38,"&gt;0")</f>
        <v>827000</v>
      </c>
      <c r="FT39" s="90"/>
      <c r="FU39" s="90">
        <f>SUMIF(FU8:FU38,"&gt;0")</f>
        <v>752412.34000000008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1080</v>
      </c>
      <c r="GQ39" s="90"/>
      <c r="GR39" s="90"/>
      <c r="GS39" s="90">
        <f>SUM(GS8:GS38)</f>
        <v>20320</v>
      </c>
      <c r="GT39" s="178"/>
      <c r="GU39" s="90">
        <f>SUM(GU8:GU38)</f>
        <v>-0.36839999792573508</v>
      </c>
      <c r="GV39" s="90">
        <f>SUM(GV8:GV38)</f>
        <v>189817.13160001149</v>
      </c>
      <c r="GW39" s="16"/>
      <c r="GX39" s="90"/>
      <c r="GY39" s="139"/>
      <c r="GZ39" s="143"/>
      <c r="HA39">
        <v>8.2150000000000001E-3</v>
      </c>
      <c r="HB39" s="3"/>
      <c r="HC39" s="3">
        <f>SUM(HC8:HC38)</f>
        <v>2027201.5619999943</v>
      </c>
      <c r="HD39" s="74"/>
      <c r="HE39" s="3">
        <f>SUM(HE8:HE38)</f>
        <v>2011607.5203999944</v>
      </c>
      <c r="HH39" s="16"/>
      <c r="HI39" s="16"/>
      <c r="HJ39" s="16">
        <f>SUM(HJ7:HJ38)</f>
        <v>2011607.5203999944</v>
      </c>
      <c r="HK39" s="16"/>
      <c r="HL39" s="16"/>
      <c r="HM39" s="16">
        <f>SUM(HM7:HM38)</f>
        <v>0</v>
      </c>
      <c r="HN39" s="16"/>
      <c r="HO39" s="16"/>
      <c r="HP39" s="16">
        <f>SUM(HP7:HP38)</f>
        <v>724045.746899997</v>
      </c>
      <c r="HQ39" s="16"/>
      <c r="HR39" s="16"/>
      <c r="HS39" s="16">
        <f>SUM(HS7:HS38)</f>
        <v>583764.74689999712</v>
      </c>
      <c r="HT39" s="16"/>
      <c r="HU39" s="16"/>
      <c r="HV39" s="16">
        <f>SUM(HV7:HV38)</f>
        <v>379096.98670000001</v>
      </c>
      <c r="HW39" s="16"/>
      <c r="HX39" s="16"/>
      <c r="HY39" s="16">
        <f>SUM(HY7:HY38)</f>
        <v>324700</v>
      </c>
      <c r="HZ39" s="211">
        <f>SUM(HZ8:HZ38)</f>
        <v>3.9900000183479278E-2</v>
      </c>
      <c r="IA39" s="16"/>
      <c r="IB39" s="16"/>
      <c r="IC39" s="16">
        <f>SUM(IC7:IC38)</f>
        <v>167353.60000000001</v>
      </c>
      <c r="ID39" s="16"/>
      <c r="IE39" s="16"/>
      <c r="IF39" s="16">
        <f>SUM(IF7:IF38)</f>
        <v>142766.99999999997</v>
      </c>
      <c r="IG39" s="16"/>
      <c r="IH39" s="16"/>
      <c r="II39" s="16">
        <f>SUM(II7:II38)</f>
        <v>54192.7</v>
      </c>
      <c r="IJ39" s="16"/>
      <c r="IK39" s="16"/>
      <c r="IL39" s="16">
        <f>SUM(IL7:IL38)</f>
        <v>36967.700000000004</v>
      </c>
      <c r="IM39" s="16"/>
      <c r="IN39" s="16"/>
      <c r="IO39" s="16">
        <f>SUM(IO7:IO38)</f>
        <v>414502.26700000011</v>
      </c>
      <c r="IP39" s="16"/>
      <c r="IQ39" s="16"/>
      <c r="IR39" s="16">
        <f>SUM(IR7:IR38)</f>
        <v>265955.59999999998</v>
      </c>
      <c r="IS39" s="16"/>
      <c r="IT39" s="16"/>
      <c r="IU39" s="16">
        <f>SUM(IU7:IU38)</f>
        <v>23329.699999999997</v>
      </c>
      <c r="IV39" s="16"/>
      <c r="IW39" s="16"/>
      <c r="IX39" s="16">
        <f>SUM(IX7:IX38)</f>
        <v>128487.3</v>
      </c>
      <c r="IY39" s="16"/>
      <c r="IZ39" s="16"/>
      <c r="JA39" s="16">
        <f>SUM(JA7:JA38)</f>
        <v>8197.2400000000016</v>
      </c>
      <c r="JB39" s="16"/>
      <c r="JC39" s="16"/>
      <c r="JD39" s="16">
        <f>SUM(JD7:JD38)</f>
        <v>7658.45</v>
      </c>
      <c r="JE39" s="16"/>
      <c r="JF39" s="16"/>
      <c r="JG39" s="16">
        <f>SUM(JG7:JG38)</f>
        <v>262186.19999999995</v>
      </c>
      <c r="JH39" s="16"/>
      <c r="JI39" s="16"/>
      <c r="JJ39" s="16">
        <f>SUM(JJ7:JJ38)</f>
        <v>268592.40000000002</v>
      </c>
      <c r="JK39" s="16"/>
      <c r="JL39" s="16"/>
      <c r="JM39" s="16">
        <f>SUM(JM7:JM38)</f>
        <v>28617.199999999997</v>
      </c>
      <c r="JN39" s="16"/>
      <c r="JO39" s="16"/>
      <c r="JP39" s="16">
        <f>SUM(JP7:JP38)</f>
        <v>159790.40000000002</v>
      </c>
      <c r="JQ39" s="16"/>
      <c r="JR39" s="16"/>
      <c r="JS39" s="16">
        <f>SUM(JS7:JS38)</f>
        <v>597.26</v>
      </c>
      <c r="JT39" s="16"/>
      <c r="JU39" s="16"/>
      <c r="JV39" s="16">
        <f>SUM(JV7:JV38)</f>
        <v>8727</v>
      </c>
      <c r="JX39">
        <f>SUM(JX7:JX38)</f>
        <v>3.9900000183479278E-2</v>
      </c>
    </row>
    <row r="40" spans="1:284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74"/>
    </row>
    <row r="41" spans="1:284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>
        <f>SUM(N33:N35)</f>
        <v>874000</v>
      </c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419" t="s">
        <v>208</v>
      </c>
      <c r="BV41" s="419"/>
      <c r="BW41" s="419"/>
      <c r="BY41" s="406" t="s">
        <v>205</v>
      </c>
      <c r="BZ41" s="406"/>
      <c r="CA41" s="406"/>
      <c r="CC41" s="91"/>
      <c r="CE41" s="95"/>
      <c r="CF41" s="95"/>
      <c r="CG41" s="95"/>
      <c r="CH41" s="96"/>
      <c r="CI41" s="92"/>
      <c r="CJ41" s="92"/>
      <c r="CK41" s="92"/>
      <c r="CL41" s="92"/>
      <c r="CU41" s="91"/>
      <c r="CZ41" s="91"/>
      <c r="DB41" s="91"/>
      <c r="DS41" s="24"/>
      <c r="DT41" s="151"/>
      <c r="DU41" s="406" t="s">
        <v>205</v>
      </c>
      <c r="DV41" s="406"/>
      <c r="DW41" s="406"/>
      <c r="DX41" s="406" t="s">
        <v>203</v>
      </c>
      <c r="DY41" s="406"/>
      <c r="DZ41" s="406"/>
      <c r="EA41" s="406" t="s">
        <v>204</v>
      </c>
      <c r="EB41" s="406"/>
      <c r="EC41" s="406"/>
      <c r="EE41" t="s">
        <v>108</v>
      </c>
      <c r="EF41" s="3"/>
      <c r="EJ41" s="2"/>
      <c r="EK41" s="174"/>
      <c r="EL41" s="174"/>
      <c r="EN41" s="2"/>
      <c r="EO41" s="406" t="s">
        <v>155</v>
      </c>
      <c r="EP41" s="406"/>
      <c r="EQ41" s="406"/>
      <c r="ER41" s="406" t="s">
        <v>135</v>
      </c>
      <c r="ES41" s="406"/>
      <c r="ET41" s="406"/>
      <c r="EU41" s="406" t="s">
        <v>155</v>
      </c>
      <c r="EV41" s="406"/>
      <c r="EW41" s="406"/>
      <c r="EX41" s="406"/>
      <c r="EY41" s="406"/>
      <c r="EZ41" s="406"/>
      <c r="FE41" s="407" t="s">
        <v>155</v>
      </c>
      <c r="FF41" s="407"/>
      <c r="FG41" s="407"/>
      <c r="FH41" s="406" t="s">
        <v>135</v>
      </c>
      <c r="FI41" s="406"/>
      <c r="FJ41" s="406"/>
      <c r="FO41" s="407" t="s">
        <v>155</v>
      </c>
      <c r="FP41" s="407"/>
      <c r="FQ41" s="407"/>
      <c r="GJ41" s="151"/>
      <c r="GK41" s="151"/>
      <c r="GM41" s="91">
        <f>279+298</f>
        <v>577</v>
      </c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U41" s="151"/>
    </row>
    <row r="42" spans="1:284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/>
      <c r="CE42" s="95"/>
      <c r="CF42" s="98"/>
      <c r="CG42" s="98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414" t="s">
        <v>224</v>
      </c>
      <c r="DR42" s="414"/>
      <c r="DS42" s="414"/>
      <c r="DT42" s="414"/>
      <c r="EE42" t="s">
        <v>109</v>
      </c>
      <c r="EJ42" s="3"/>
      <c r="EK42" s="174"/>
      <c r="EL42" s="174"/>
      <c r="EN42" s="2"/>
      <c r="EO42" s="151"/>
      <c r="EP42">
        <v>0.35070052539404384</v>
      </c>
      <c r="FF42" s="416" t="s">
        <v>243</v>
      </c>
      <c r="FG42" s="416"/>
      <c r="FH42" s="416" t="s">
        <v>246</v>
      </c>
      <c r="FI42" s="416"/>
      <c r="FJ42" s="415" t="s">
        <v>247</v>
      </c>
      <c r="FK42" s="415"/>
      <c r="FL42" s="415" t="s">
        <v>245</v>
      </c>
      <c r="FM42" s="415"/>
      <c r="FN42" s="416" t="s">
        <v>37</v>
      </c>
      <c r="FQ42" s="151"/>
      <c r="GJ42" s="151"/>
      <c r="GK42" s="151"/>
      <c r="GO42" s="91"/>
      <c r="HD42" s="74"/>
      <c r="HH42" s="16" t="s">
        <v>270</v>
      </c>
      <c r="HI42" s="16">
        <f>HJ39</f>
        <v>2011607.5203999944</v>
      </c>
      <c r="HJ42" s="16">
        <f>HJ39</f>
        <v>2011607.5203999944</v>
      </c>
      <c r="HQ42" s="151"/>
      <c r="HU42" s="151"/>
      <c r="HY42" s="16"/>
      <c r="HZ42" s="16" t="s">
        <v>290</v>
      </c>
      <c r="IA42" s="16"/>
      <c r="IB42" s="16"/>
      <c r="IC42" s="16"/>
      <c r="IF42" t="s">
        <v>295</v>
      </c>
      <c r="IM42" t="s">
        <v>298</v>
      </c>
      <c r="IP42" t="s">
        <v>297</v>
      </c>
      <c r="JE42" t="s">
        <v>296</v>
      </c>
    </row>
    <row r="43" spans="1:284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/>
      <c r="CE43" s="95"/>
      <c r="CF43" s="98"/>
      <c r="CG43" s="96"/>
      <c r="CH43" s="96"/>
      <c r="CI43" s="92"/>
      <c r="CJ43" s="92"/>
      <c r="CK43" s="92"/>
      <c r="CL43" s="92"/>
      <c r="CQ43" s="161"/>
      <c r="CR43" s="161"/>
      <c r="CU43" s="180"/>
      <c r="CV43" s="91"/>
      <c r="DQ43" s="408" t="s">
        <v>225</v>
      </c>
      <c r="DR43" s="409"/>
      <c r="DS43" s="408" t="s">
        <v>226</v>
      </c>
      <c r="DT43" s="409"/>
      <c r="EE43" t="s">
        <v>110</v>
      </c>
      <c r="EJ43" s="2"/>
      <c r="EK43" s="174"/>
      <c r="EL43" s="174"/>
      <c r="EN43" s="3"/>
      <c r="EO43" s="151"/>
      <c r="EP43">
        <v>0.32005253940453693</v>
      </c>
      <c r="EZ43" s="416" t="s">
        <v>241</v>
      </c>
      <c r="FA43" s="416" t="s">
        <v>242</v>
      </c>
      <c r="FB43" s="416" t="s">
        <v>37</v>
      </c>
      <c r="FD43" s="3"/>
      <c r="FF43" s="416"/>
      <c r="FG43" s="416"/>
      <c r="FH43" s="416"/>
      <c r="FI43" s="416"/>
      <c r="FJ43" s="415"/>
      <c r="FK43" s="415"/>
      <c r="FL43" s="415"/>
      <c r="FM43" s="415"/>
      <c r="FN43" s="416"/>
      <c r="FS43" s="151"/>
      <c r="FU43" s="151"/>
      <c r="HD43" s="74"/>
      <c r="HH43" s="16" t="s">
        <v>271</v>
      </c>
      <c r="HI43" s="16">
        <f>HM39</f>
        <v>0</v>
      </c>
      <c r="HJ43" s="16">
        <f>HM39</f>
        <v>0</v>
      </c>
      <c r="HQ43" s="151"/>
      <c r="HS43" s="151"/>
      <c r="HT43" s="151"/>
      <c r="HU43" s="151"/>
      <c r="HY43" s="16"/>
      <c r="HZ43" s="16" t="s">
        <v>291</v>
      </c>
      <c r="IA43" s="16"/>
      <c r="IB43" s="16"/>
      <c r="IC43" s="16"/>
      <c r="IE43">
        <v>9</v>
      </c>
      <c r="IF43">
        <f>HP15-IC15-IF15</f>
        <v>3987.8999999999842</v>
      </c>
      <c r="IM43">
        <f>HS15-IO15</f>
        <v>3812.6999999999971</v>
      </c>
      <c r="IP43">
        <f>IO15-IR15-IU15-IX15</f>
        <v>268.99999999999636</v>
      </c>
      <c r="JE43">
        <f>HV15-JG15</f>
        <v>11660.500000000002</v>
      </c>
    </row>
    <row r="44" spans="1:284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/>
      <c r="CE44" s="96"/>
      <c r="CF44" s="98"/>
      <c r="CG44" s="96"/>
      <c r="CH44" s="96"/>
      <c r="CI44" s="92"/>
      <c r="CJ44" s="92"/>
      <c r="CK44" s="92"/>
      <c r="CL44" s="92"/>
      <c r="CQ44" s="161"/>
      <c r="CR44" s="161"/>
      <c r="CV44" s="91"/>
      <c r="DQ44" s="410"/>
      <c r="DR44" s="411"/>
      <c r="DS44" s="410"/>
      <c r="DT44" s="411"/>
      <c r="EE44" t="s">
        <v>111</v>
      </c>
      <c r="EJ44" s="2"/>
      <c r="EP44">
        <v>0.32924693520141918</v>
      </c>
      <c r="EV44" t="s">
        <v>235</v>
      </c>
      <c r="EZ44" s="416"/>
      <c r="FA44" s="416"/>
      <c r="FB44" s="416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416"/>
      <c r="GH44" t="s">
        <v>112</v>
      </c>
      <c r="GK44" t="s">
        <v>113</v>
      </c>
      <c r="HD44" s="74"/>
      <c r="HH44" s="16" t="s">
        <v>272</v>
      </c>
      <c r="HI44" s="16">
        <f>HP39</f>
        <v>724045.746899997</v>
      </c>
      <c r="HJ44" s="16">
        <f>IC39+IF39</f>
        <v>310120.59999999998</v>
      </c>
      <c r="HQ44" s="151"/>
      <c r="HS44" s="151"/>
      <c r="HT44" s="151"/>
      <c r="HU44" s="151"/>
      <c r="HY44" s="16"/>
      <c r="HZ44" s="16"/>
      <c r="IA44" s="16" t="s">
        <v>292</v>
      </c>
      <c r="IB44" s="16"/>
      <c r="IC44" s="16" t="s">
        <v>292</v>
      </c>
      <c r="IE44">
        <v>10</v>
      </c>
      <c r="IF44">
        <f t="shared" ref="IF44:IF63" si="138">HP16-IC16-IF16</f>
        <v>-897.56699999998477</v>
      </c>
      <c r="IM44">
        <f t="shared" ref="IM44:IM63" si="139">HS16-IO16</f>
        <v>289.33299999999963</v>
      </c>
      <c r="IP44">
        <f t="shared" ref="IP44:IP63" si="140">IO16-IR16-IU16-IX16</f>
        <v>478.39999999999418</v>
      </c>
      <c r="JE44">
        <f t="shared" ref="JE44:JE63" si="141">HV16-JG16</f>
        <v>-4761.0669999999964</v>
      </c>
    </row>
    <row r="45" spans="1:284" x14ac:dyDescent="0.25">
      <c r="A45" s="35">
        <v>31</v>
      </c>
      <c r="B45" s="138">
        <v>24.4</v>
      </c>
      <c r="C45" s="65"/>
      <c r="D45" s="55"/>
      <c r="E45" s="16">
        <v>17657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/>
      <c r="CE45" s="96"/>
      <c r="CF45" s="98"/>
      <c r="CG45" s="96"/>
      <c r="CH45" s="96"/>
      <c r="CI45" s="92"/>
      <c r="CJ45" s="92"/>
      <c r="CK45" s="92"/>
      <c r="CL45" s="92"/>
      <c r="DQ45" s="412"/>
      <c r="DR45" s="413"/>
      <c r="DS45" s="412"/>
      <c r="DT45" s="413"/>
      <c r="EE45" t="s">
        <v>114</v>
      </c>
      <c r="EV45" t="s">
        <v>236</v>
      </c>
      <c r="EW45" s="406" t="s">
        <v>238</v>
      </c>
      <c r="EX45" s="406"/>
      <c r="EZ45" s="203">
        <f>EZ8</f>
        <v>11150.72</v>
      </c>
      <c r="FA45" s="205">
        <f>FP8</f>
        <v>12584.05</v>
      </c>
      <c r="FB45" s="201">
        <f>EZ45+FA45</f>
        <v>23734.769999999997</v>
      </c>
      <c r="FC45" s="16">
        <f>85*0.6355*24</f>
        <v>1296.42</v>
      </c>
      <c r="FD45" s="167">
        <f>FB45-$FC$45</f>
        <v>22438.35</v>
      </c>
      <c r="FE45" s="16"/>
      <c r="FF45" s="199">
        <v>0.52205329847351034</v>
      </c>
      <c r="FG45" s="200">
        <v>0.47794670152648966</v>
      </c>
      <c r="FH45" s="16">
        <f>FF45*$FC$45</f>
        <v>676.80033720702829</v>
      </c>
      <c r="FI45" s="179">
        <f>FG45*$FC$45</f>
        <v>619.61966279297178</v>
      </c>
      <c r="FJ45" s="179">
        <f>FF45*FD45</f>
        <v>11714.01462980309</v>
      </c>
      <c r="FK45" s="179">
        <f>FG45*FD45</f>
        <v>10724.335370196908</v>
      </c>
      <c r="FL45" s="204">
        <f>FH45+FJ45</f>
        <v>12390.814967010119</v>
      </c>
      <c r="FM45" s="206">
        <f>FI45+FK45</f>
        <v>11343.955032989879</v>
      </c>
      <c r="FN45" s="202">
        <f>FL45+FM45</f>
        <v>23734.769999999997</v>
      </c>
      <c r="GH45" s="100" t="s">
        <v>115</v>
      </c>
      <c r="GI45" s="100" t="s">
        <v>116</v>
      </c>
      <c r="GJ45" s="100"/>
      <c r="GK45" s="100" t="s">
        <v>115</v>
      </c>
      <c r="GL45" s="100" t="s">
        <v>116</v>
      </c>
      <c r="GM45" s="100"/>
      <c r="GN45" s="16"/>
      <c r="GO45" s="16"/>
      <c r="GP45" s="16"/>
      <c r="GQ45" s="16"/>
      <c r="GR45" s="16"/>
      <c r="GS45" s="16"/>
      <c r="GT45" s="402" t="s">
        <v>182</v>
      </c>
      <c r="GU45" s="402"/>
      <c r="HD45" s="74"/>
      <c r="HH45" s="16" t="s">
        <v>273</v>
      </c>
      <c r="HI45" s="16">
        <f>HS39</f>
        <v>583764.74689999712</v>
      </c>
      <c r="HJ45" s="179">
        <f>IO39</f>
        <v>414502.26700000011</v>
      </c>
      <c r="HO45" s="151"/>
      <c r="HP45" s="151"/>
      <c r="HQ45" s="151"/>
      <c r="HS45" s="151"/>
      <c r="HT45" s="151"/>
      <c r="HX45" s="151"/>
      <c r="HY45" s="16">
        <v>1</v>
      </c>
      <c r="HZ45" s="144">
        <f>DailyFeb!BV7+DailyFeb!BW7-DailyFeb!BX7-DailyFeb!BY7-DailyFeb!BZ7-DailyFeb!CA7</f>
        <v>0</v>
      </c>
      <c r="IA45" s="16">
        <v>0</v>
      </c>
      <c r="IB45" s="16">
        <f>IA45/3</f>
        <v>0</v>
      </c>
      <c r="IC45" s="16"/>
      <c r="IE45">
        <v>11</v>
      </c>
      <c r="IF45">
        <f t="shared" si="138"/>
        <v>12655.566699999999</v>
      </c>
      <c r="IM45">
        <f t="shared" si="139"/>
        <v>494.8667000000205</v>
      </c>
      <c r="IP45">
        <f t="shared" si="140"/>
        <v>270.59999999998672</v>
      </c>
      <c r="JE45">
        <f t="shared" si="141"/>
        <v>14288.166699999994</v>
      </c>
    </row>
    <row r="46" spans="1:284" x14ac:dyDescent="0.25">
      <c r="A46" s="35">
        <v>1</v>
      </c>
      <c r="B46" s="138"/>
      <c r="C46" s="65"/>
      <c r="D46" s="37">
        <f t="shared" ref="D46:D77" si="142">IF((B46-B45)&lt;=0,0,(B46-B45))*1000</f>
        <v>0</v>
      </c>
      <c r="E46" s="16">
        <v>17737</v>
      </c>
      <c r="F46" s="16"/>
      <c r="G46" s="37">
        <f t="shared" ref="G46:G77" si="143">IF((E46-E45)&lt;=0,0,(E46-E45))*1000</f>
        <v>80000</v>
      </c>
      <c r="H46" s="138"/>
      <c r="I46" s="65"/>
      <c r="J46" s="37">
        <f t="shared" ref="J46:J75" si="144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/>
      <c r="CE46" s="96"/>
      <c r="CF46" s="98"/>
      <c r="CG46" s="96"/>
      <c r="CH46" s="96"/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45">EZ9</f>
        <v>10152.120000000001</v>
      </c>
      <c r="FA46" s="205">
        <f t="shared" ref="FA46:FA75" si="146">FP9</f>
        <v>11685.45</v>
      </c>
      <c r="FB46" s="201">
        <f t="shared" ref="FB46:FB75" si="147">EZ46+FA46</f>
        <v>21837.57</v>
      </c>
      <c r="FC46" s="16"/>
      <c r="FD46" s="167">
        <f t="shared" ref="FD46:FD75" si="148">FB46-$FC$45</f>
        <v>20541.150000000001</v>
      </c>
      <c r="FE46" s="16"/>
      <c r="FF46" s="199">
        <v>0.5117862918273417</v>
      </c>
      <c r="FG46" s="200">
        <v>0.48821370817265836</v>
      </c>
      <c r="FH46" s="16">
        <f t="shared" ref="FH46:FI73" si="149">FF46*$FC$45</f>
        <v>663.48998445080235</v>
      </c>
      <c r="FI46" s="179">
        <f t="shared" si="149"/>
        <v>632.93001554919783</v>
      </c>
      <c r="FJ46" s="179">
        <f t="shared" ref="FJ46:FJ73" si="150">FF46*FD46</f>
        <v>10512.6789883692</v>
      </c>
      <c r="FK46" s="179">
        <f t="shared" ref="FK46:FK73" si="151">FG46*FD46</f>
        <v>10028.471011630802</v>
      </c>
      <c r="FL46" s="204">
        <f t="shared" ref="FL46:FM73" si="152">FH46+FJ46</f>
        <v>11176.168972820002</v>
      </c>
      <c r="FM46" s="206">
        <f t="shared" si="152"/>
        <v>10661.40102718</v>
      </c>
      <c r="FN46" s="202">
        <f t="shared" ref="FN46:FN73" si="153">FL46+FM46</f>
        <v>21837.57</v>
      </c>
      <c r="FS46" s="151">
        <f>FS35-FG35-FJ35-FP35</f>
        <v>-1802.5100000005459</v>
      </c>
      <c r="GG46">
        <v>1</v>
      </c>
      <c r="GH46" s="63"/>
      <c r="GI46" s="63"/>
      <c r="GJ46" s="63"/>
      <c r="GK46" s="63"/>
      <c r="GL46" s="63"/>
      <c r="GM46" s="63"/>
      <c r="GN46" s="16"/>
      <c r="GO46" s="403" t="s">
        <v>133</v>
      </c>
      <c r="GP46" s="404"/>
      <c r="GQ46" s="33"/>
      <c r="GR46" s="33"/>
      <c r="GS46" s="33"/>
      <c r="GT46" s="152" t="s">
        <v>183</v>
      </c>
      <c r="GU46" s="152">
        <f>60*24</f>
        <v>1440</v>
      </c>
      <c r="HH46" s="16" t="s">
        <v>274</v>
      </c>
      <c r="HI46" s="16">
        <f>HV39</f>
        <v>379096.98670000001</v>
      </c>
      <c r="HJ46" s="16">
        <f>JG39</f>
        <v>262186.19999999995</v>
      </c>
      <c r="HQ46" s="151"/>
      <c r="HS46" s="151"/>
      <c r="HT46" s="151"/>
      <c r="HY46" s="16">
        <v>2</v>
      </c>
      <c r="HZ46" s="144">
        <f>DailyFeb!BV8+DailyFeb!BW8-DailyFeb!BX8-DailyFeb!BY8-DailyFeb!BZ8-DailyFeb!CA8</f>
        <v>0</v>
      </c>
      <c r="IA46" s="16">
        <v>0</v>
      </c>
      <c r="IB46" s="16">
        <f t="shared" ref="IB46:IB73" si="154">IA46/3</f>
        <v>0</v>
      </c>
      <c r="IC46" s="16"/>
      <c r="IE46">
        <v>12</v>
      </c>
      <c r="IF46">
        <f t="shared" si="138"/>
        <v>11189.1</v>
      </c>
      <c r="IM46">
        <f t="shared" si="139"/>
        <v>25.200000000004366</v>
      </c>
      <c r="IP46">
        <f t="shared" si="140"/>
        <v>-9238.9999999999836</v>
      </c>
      <c r="JE46">
        <f t="shared" si="141"/>
        <v>7878.0000000000109</v>
      </c>
    </row>
    <row r="47" spans="1:284" x14ac:dyDescent="0.25">
      <c r="A47" s="35">
        <v>2</v>
      </c>
      <c r="B47" s="138"/>
      <c r="C47" s="65"/>
      <c r="D47" s="37">
        <f t="shared" si="142"/>
        <v>0</v>
      </c>
      <c r="E47" s="16">
        <v>17828</v>
      </c>
      <c r="F47" s="16"/>
      <c r="G47" s="37">
        <f t="shared" si="143"/>
        <v>91000</v>
      </c>
      <c r="H47" s="138"/>
      <c r="I47" s="65"/>
      <c r="J47" s="37">
        <f t="shared" si="144"/>
        <v>0</v>
      </c>
      <c r="BH47" s="96"/>
      <c r="BI47" s="96"/>
      <c r="BJ47" s="96"/>
      <c r="CC47" s="91"/>
      <c r="CD47" s="91"/>
      <c r="CE47" s="96"/>
      <c r="CF47" s="98"/>
      <c r="CG47" s="96"/>
      <c r="CH47" s="96"/>
      <c r="CI47" s="92"/>
      <c r="CJ47" s="92"/>
      <c r="CK47" s="92"/>
      <c r="CL47" s="92"/>
      <c r="CN47" s="91"/>
      <c r="DP47">
        <v>1</v>
      </c>
      <c r="DQ47" s="50">
        <v>7.5164999999999997</v>
      </c>
      <c r="DR47" s="49"/>
      <c r="DS47" s="50">
        <v>48.606000000000002</v>
      </c>
      <c r="DT47" s="49"/>
      <c r="EV47" t="s">
        <v>239</v>
      </c>
      <c r="EZ47" s="203">
        <f t="shared" si="145"/>
        <v>11120.57</v>
      </c>
      <c r="FA47" s="205">
        <f t="shared" si="146"/>
        <v>10687.24</v>
      </c>
      <c r="FB47" s="201">
        <f t="shared" si="147"/>
        <v>21807.809999999998</v>
      </c>
      <c r="FC47" s="16"/>
      <c r="FD47" s="167">
        <f t="shared" si="148"/>
        <v>20511.39</v>
      </c>
      <c r="FE47" s="16"/>
      <c r="FF47" s="199">
        <v>0.75418300653594772</v>
      </c>
      <c r="FG47" s="200">
        <v>0.24581699346405228</v>
      </c>
      <c r="FH47" s="16">
        <f t="shared" si="149"/>
        <v>977.73793333333344</v>
      </c>
      <c r="FI47" s="179">
        <f t="shared" si="149"/>
        <v>318.68206666666669</v>
      </c>
      <c r="FJ47" s="179">
        <f t="shared" si="150"/>
        <v>15469.341778431371</v>
      </c>
      <c r="FK47" s="179">
        <f t="shared" si="151"/>
        <v>5042.048221568627</v>
      </c>
      <c r="FL47" s="204">
        <f t="shared" si="152"/>
        <v>16447.079711764705</v>
      </c>
      <c r="FM47" s="206">
        <f t="shared" si="152"/>
        <v>5360.7302882352933</v>
      </c>
      <c r="FN47" s="202">
        <f t="shared" si="153"/>
        <v>21807.809999999998</v>
      </c>
      <c r="FO47" s="406"/>
      <c r="FP47" s="406"/>
      <c r="GG47">
        <f>GG46+1</f>
        <v>2</v>
      </c>
      <c r="GH47" s="63"/>
      <c r="GI47" s="63"/>
      <c r="GJ47" s="63">
        <f t="shared" ref="GJ47:GJ54" si="155">GH47-GH46</f>
        <v>0</v>
      </c>
      <c r="GK47" s="63"/>
      <c r="GL47" s="63"/>
      <c r="GM47" s="63">
        <f t="shared" ref="GM47:GM54" si="156">GK47-GK46</f>
        <v>0</v>
      </c>
      <c r="GN47" s="16">
        <v>1</v>
      </c>
      <c r="GO47" s="137"/>
      <c r="GP47" s="137"/>
      <c r="GQ47" s="137"/>
      <c r="GR47" s="137"/>
      <c r="GS47" s="137"/>
      <c r="GT47" s="402"/>
      <c r="GU47" s="402"/>
      <c r="HH47" s="16" t="s">
        <v>275</v>
      </c>
      <c r="HI47" s="16">
        <f>HY39</f>
        <v>324700</v>
      </c>
      <c r="HJ47" s="16">
        <f>HY39</f>
        <v>324700</v>
      </c>
      <c r="HQ47" s="151"/>
      <c r="HS47" s="151"/>
      <c r="HT47" s="151"/>
      <c r="HY47" s="16">
        <v>3</v>
      </c>
      <c r="HZ47" s="144">
        <f>DailyFeb!BV9+DailyFeb!BW9-DailyFeb!BX9-DailyFeb!BY9-DailyFeb!BZ9-DailyFeb!CA9</f>
        <v>0</v>
      </c>
      <c r="IA47" s="16">
        <v>0</v>
      </c>
      <c r="IB47" s="16">
        <f t="shared" si="154"/>
        <v>0</v>
      </c>
      <c r="IC47" s="16"/>
      <c r="IE47">
        <v>13</v>
      </c>
      <c r="IF47">
        <f t="shared" si="138"/>
        <v>15055.500000000002</v>
      </c>
      <c r="IM47">
        <f t="shared" si="139"/>
        <v>663.59999999998763</v>
      </c>
      <c r="IP47">
        <f t="shared" si="140"/>
        <v>936.79999999999563</v>
      </c>
      <c r="JE47">
        <f t="shared" si="141"/>
        <v>9078.1999999999935</v>
      </c>
    </row>
    <row r="48" spans="1:284" x14ac:dyDescent="0.25">
      <c r="A48" s="35">
        <v>3</v>
      </c>
      <c r="B48" s="138"/>
      <c r="C48" s="65"/>
      <c r="D48" s="37">
        <f t="shared" si="142"/>
        <v>0</v>
      </c>
      <c r="E48" s="16">
        <v>17920</v>
      </c>
      <c r="F48" s="16"/>
      <c r="G48" s="37">
        <f t="shared" si="143"/>
        <v>92000</v>
      </c>
      <c r="H48" s="138"/>
      <c r="I48" s="65"/>
      <c r="J48" s="37">
        <f t="shared" si="144"/>
        <v>0</v>
      </c>
      <c r="AL48" s="101"/>
      <c r="AM48" s="101"/>
      <c r="AN48" s="101"/>
      <c r="AP48" s="405"/>
      <c r="AQ48" s="405"/>
      <c r="AR48" s="405"/>
      <c r="AS48" s="405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f>DP47+1</f>
        <v>2</v>
      </c>
      <c r="DQ48" s="50">
        <v>7.5202999999999998</v>
      </c>
      <c r="DR48" s="49">
        <f t="shared" ref="DR48:DR56" si="157">IF((DQ48-DQ47)&lt;=0,0,(DQ48-DQ47))*10000</f>
        <v>38.000000000000256</v>
      </c>
      <c r="DS48" s="50">
        <v>48.771000000000001</v>
      </c>
      <c r="DT48" s="49">
        <f t="shared" ref="DT48:DT56" si="158">IF((DS48-DS47)&lt;=0,0,(DS48-DS47))*1000</f>
        <v>164.99999999999915</v>
      </c>
      <c r="EE48" s="406" t="s">
        <v>206</v>
      </c>
      <c r="EF48" s="406"/>
      <c r="EG48" s="406"/>
      <c r="EH48" s="406" t="s">
        <v>155</v>
      </c>
      <c r="EI48" s="406"/>
      <c r="EJ48" s="406"/>
      <c r="EK48" s="406" t="s">
        <v>207</v>
      </c>
      <c r="EL48" s="406"/>
      <c r="EM48" s="406"/>
      <c r="EV48" s="406" t="s">
        <v>240</v>
      </c>
      <c r="EW48" s="406"/>
      <c r="EX48">
        <f>85*0.6355*24</f>
        <v>1296.42</v>
      </c>
      <c r="EZ48" s="203">
        <f t="shared" si="145"/>
        <v>10125.48</v>
      </c>
      <c r="FA48" s="205">
        <f t="shared" si="146"/>
        <v>12092.15</v>
      </c>
      <c r="FB48" s="201">
        <f t="shared" si="147"/>
        <v>22217.629999999997</v>
      </c>
      <c r="FC48" s="16"/>
      <c r="FD48" s="167">
        <f t="shared" si="148"/>
        <v>20921.21</v>
      </c>
      <c r="FE48" s="16"/>
      <c r="FF48" s="199">
        <v>0.5538158663754652</v>
      </c>
      <c r="FG48" s="199">
        <v>0.44618413362453474</v>
      </c>
      <c r="FH48" s="16">
        <f t="shared" si="149"/>
        <v>717.97796548648068</v>
      </c>
      <c r="FI48" s="179">
        <f t="shared" si="149"/>
        <v>578.44203451351939</v>
      </c>
      <c r="FJ48" s="179">
        <f t="shared" si="150"/>
        <v>11586.498041773046</v>
      </c>
      <c r="FK48" s="179">
        <f t="shared" si="151"/>
        <v>9334.7119582269515</v>
      </c>
      <c r="FL48" s="204">
        <f t="shared" si="152"/>
        <v>12304.476007259527</v>
      </c>
      <c r="FM48" s="206">
        <f t="shared" si="152"/>
        <v>9913.1539927404701</v>
      </c>
      <c r="FN48" s="202">
        <f t="shared" si="153"/>
        <v>22217.629999999997</v>
      </c>
      <c r="FO48" s="406"/>
      <c r="FP48" s="406"/>
      <c r="FW48" s="406"/>
      <c r="FX48" s="406"/>
      <c r="FY48" s="406"/>
      <c r="FZ48" s="406"/>
      <c r="GG48">
        <f t="shared" ref="GG48:GG75" si="159">GG47+1</f>
        <v>3</v>
      </c>
      <c r="GH48" s="63"/>
      <c r="GI48" s="63"/>
      <c r="GJ48" s="63">
        <f t="shared" si="155"/>
        <v>0</v>
      </c>
      <c r="GK48" s="63"/>
      <c r="GL48" s="63"/>
      <c r="GM48" s="63">
        <f t="shared" si="156"/>
        <v>0</v>
      </c>
      <c r="GN48" s="16">
        <v>2</v>
      </c>
      <c r="GO48" s="137"/>
      <c r="GP48" s="137"/>
      <c r="GQ48" s="137"/>
      <c r="GR48" s="137"/>
      <c r="GS48" s="137"/>
      <c r="GT48" s="402"/>
      <c r="GU48" s="402"/>
      <c r="HQ48" s="151"/>
      <c r="HY48" s="16">
        <v>4</v>
      </c>
      <c r="HZ48" s="144">
        <f>DailyFeb!BV10+DailyFeb!BW10-DailyFeb!BX10-DailyFeb!BY10-DailyFeb!BZ10-DailyFeb!CA10</f>
        <v>0</v>
      </c>
      <c r="IA48" s="16">
        <v>0</v>
      </c>
      <c r="IB48" s="16">
        <f t="shared" si="154"/>
        <v>0</v>
      </c>
      <c r="IC48" s="16"/>
      <c r="IE48">
        <v>14</v>
      </c>
      <c r="IF48">
        <f t="shared" si="138"/>
        <v>23669.999999999971</v>
      </c>
      <c r="IM48">
        <f t="shared" si="139"/>
        <v>23780.000000000004</v>
      </c>
      <c r="IP48">
        <f t="shared" si="140"/>
        <v>-21918.1</v>
      </c>
      <c r="JE48">
        <f t="shared" si="141"/>
        <v>22220</v>
      </c>
    </row>
    <row r="49" spans="1:265" x14ac:dyDescent="0.25">
      <c r="A49" s="35">
        <v>4</v>
      </c>
      <c r="B49" s="138"/>
      <c r="C49" s="65"/>
      <c r="D49" s="37">
        <f t="shared" si="142"/>
        <v>0</v>
      </c>
      <c r="E49" s="16">
        <v>18003</v>
      </c>
      <c r="F49" s="16"/>
      <c r="G49" s="37">
        <f t="shared" si="143"/>
        <v>83000</v>
      </c>
      <c r="H49" s="138"/>
      <c r="I49" s="65"/>
      <c r="J49" s="37">
        <f t="shared" si="144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f t="shared" ref="DP49:DP74" si="160">DP48+1</f>
        <v>3</v>
      </c>
      <c r="DQ49" s="50">
        <v>7.524</v>
      </c>
      <c r="DR49" s="49">
        <f t="shared" si="157"/>
        <v>37.000000000002586</v>
      </c>
      <c r="DS49" s="50">
        <v>48.890999999999998</v>
      </c>
      <c r="DT49" s="49">
        <f t="shared" si="158"/>
        <v>119.99999999999744</v>
      </c>
      <c r="EZ49" s="203">
        <f t="shared" si="145"/>
        <v>10155.620000000001</v>
      </c>
      <c r="FA49" s="205">
        <f t="shared" si="146"/>
        <v>12588.95</v>
      </c>
      <c r="FB49" s="201">
        <f t="shared" si="147"/>
        <v>22744.57</v>
      </c>
      <c r="FC49" s="16"/>
      <c r="FD49" s="167">
        <f t="shared" si="148"/>
        <v>21448.15</v>
      </c>
      <c r="FE49" s="16"/>
      <c r="FF49" s="199">
        <v>0.51238741171134194</v>
      </c>
      <c r="FG49" s="199">
        <v>0.48761258828865806</v>
      </c>
      <c r="FH49" s="16">
        <f t="shared" si="149"/>
        <v>664.26928829081794</v>
      </c>
      <c r="FI49" s="179">
        <f t="shared" si="149"/>
        <v>632.15071170918213</v>
      </c>
      <c r="FJ49" s="179">
        <f t="shared" si="150"/>
        <v>10989.762064496619</v>
      </c>
      <c r="FK49" s="179">
        <f t="shared" si="151"/>
        <v>10458.387935503382</v>
      </c>
      <c r="FL49" s="204">
        <f t="shared" si="152"/>
        <v>11654.031352787437</v>
      </c>
      <c r="FM49" s="206">
        <f t="shared" si="152"/>
        <v>11090.538647212565</v>
      </c>
      <c r="FN49" s="202">
        <f t="shared" si="153"/>
        <v>22744.57</v>
      </c>
      <c r="GG49">
        <f t="shared" si="159"/>
        <v>4</v>
      </c>
      <c r="GH49" s="63"/>
      <c r="GI49" s="63"/>
      <c r="GJ49" s="63">
        <f t="shared" si="155"/>
        <v>0</v>
      </c>
      <c r="GK49" s="63"/>
      <c r="GL49" s="63"/>
      <c r="GM49" s="63">
        <f t="shared" si="156"/>
        <v>0</v>
      </c>
      <c r="GN49" s="16">
        <v>3</v>
      </c>
      <c r="GO49" s="137"/>
      <c r="GP49" s="137"/>
      <c r="GQ49" s="137"/>
      <c r="GR49" s="137"/>
      <c r="GS49" s="137"/>
      <c r="GT49" s="152"/>
      <c r="GU49" s="152"/>
      <c r="HQ49" s="151"/>
      <c r="HY49" s="16">
        <v>5</v>
      </c>
      <c r="HZ49" s="144">
        <f>DailyFeb!BV11+DailyFeb!BW11-DailyFeb!BX11-DailyFeb!BY11-DailyFeb!BZ11-DailyFeb!CA11</f>
        <v>0</v>
      </c>
      <c r="IA49" s="16">
        <v>0</v>
      </c>
      <c r="IB49" s="16">
        <f t="shared" si="154"/>
        <v>0</v>
      </c>
      <c r="IC49" s="16"/>
      <c r="IE49">
        <v>15</v>
      </c>
      <c r="IF49">
        <f t="shared" si="138"/>
        <v>-1694.4333300000017</v>
      </c>
      <c r="IM49">
        <f t="shared" si="139"/>
        <v>20376.466669999991</v>
      </c>
      <c r="IP49">
        <f t="shared" si="140"/>
        <v>-19703.799999999988</v>
      </c>
      <c r="JE49">
        <f t="shared" si="141"/>
        <v>18703.466670000002</v>
      </c>
    </row>
    <row r="50" spans="1:265" x14ac:dyDescent="0.25">
      <c r="A50" s="35">
        <v>5</v>
      </c>
      <c r="B50" s="138"/>
      <c r="C50" s="65"/>
      <c r="D50" s="37">
        <f t="shared" si="142"/>
        <v>0</v>
      </c>
      <c r="E50" s="16">
        <v>18095</v>
      </c>
      <c r="F50" s="16"/>
      <c r="G50" s="37">
        <f t="shared" si="143"/>
        <v>92000</v>
      </c>
      <c r="H50" s="138"/>
      <c r="I50" s="65"/>
      <c r="J50" s="37">
        <f t="shared" si="144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f t="shared" si="160"/>
        <v>4</v>
      </c>
      <c r="DQ50" s="50">
        <v>7.5354000000000001</v>
      </c>
      <c r="DR50" s="49">
        <f t="shared" si="157"/>
        <v>114.00000000000077</v>
      </c>
      <c r="DS50" s="50">
        <v>49.125</v>
      </c>
      <c r="DT50" s="49">
        <f t="shared" si="158"/>
        <v>234.00000000000176</v>
      </c>
      <c r="EZ50" s="203">
        <f t="shared" si="145"/>
        <v>11166.32</v>
      </c>
      <c r="FA50" s="205">
        <f t="shared" si="146"/>
        <v>14332.99</v>
      </c>
      <c r="FB50" s="201">
        <f t="shared" si="147"/>
        <v>25499.309999999998</v>
      </c>
      <c r="FC50" s="16"/>
      <c r="FD50" s="167">
        <f t="shared" si="148"/>
        <v>24202.89</v>
      </c>
      <c r="FE50" s="16"/>
      <c r="FF50" s="199">
        <v>0.5</v>
      </c>
      <c r="FG50" s="199">
        <v>0.5</v>
      </c>
      <c r="FH50" s="16">
        <f t="shared" si="149"/>
        <v>648.21</v>
      </c>
      <c r="FI50" s="179">
        <f t="shared" si="149"/>
        <v>648.21</v>
      </c>
      <c r="FJ50" s="179">
        <f t="shared" si="150"/>
        <v>12101.445</v>
      </c>
      <c r="FK50" s="179">
        <f t="shared" si="151"/>
        <v>12101.445</v>
      </c>
      <c r="FL50" s="204">
        <f t="shared" si="152"/>
        <v>12749.654999999999</v>
      </c>
      <c r="FM50" s="206">
        <f t="shared" si="152"/>
        <v>12749.654999999999</v>
      </c>
      <c r="FN50" s="202">
        <f t="shared" si="153"/>
        <v>25499.309999999998</v>
      </c>
      <c r="FW50" s="151"/>
      <c r="FX50" s="151"/>
      <c r="FY50" s="150"/>
      <c r="FZ50" s="151"/>
      <c r="GG50">
        <f t="shared" si="159"/>
        <v>5</v>
      </c>
      <c r="GH50" s="63"/>
      <c r="GI50" s="63"/>
      <c r="GJ50" s="63">
        <f t="shared" si="155"/>
        <v>0</v>
      </c>
      <c r="GK50" s="63"/>
      <c r="GL50" s="63"/>
      <c r="GM50" s="63">
        <f t="shared" si="156"/>
        <v>0</v>
      </c>
      <c r="GN50" s="16">
        <v>4</v>
      </c>
      <c r="GO50" s="137"/>
      <c r="GP50" s="137"/>
      <c r="GQ50" s="176"/>
      <c r="GR50" s="176"/>
      <c r="GS50" s="176"/>
      <c r="GT50" s="399"/>
      <c r="GU50" s="400"/>
      <c r="GV50" s="166"/>
      <c r="HY50" s="16">
        <v>6</v>
      </c>
      <c r="HZ50" s="144">
        <f>DailyFeb!BV12+DailyFeb!BW12-DailyFeb!BX12-DailyFeb!BY12-DailyFeb!BZ12-DailyFeb!CA12</f>
        <v>0</v>
      </c>
      <c r="IA50" s="16">
        <v>0</v>
      </c>
      <c r="IB50" s="16">
        <f t="shared" si="154"/>
        <v>0</v>
      </c>
      <c r="IC50" s="16"/>
      <c r="IE50">
        <v>16</v>
      </c>
      <c r="IF50">
        <f t="shared" si="138"/>
        <v>26064.700000000004</v>
      </c>
      <c r="IM50">
        <f t="shared" si="139"/>
        <v>-42155.399999999987</v>
      </c>
      <c r="IP50">
        <f t="shared" si="140"/>
        <v>40465.699999999983</v>
      </c>
      <c r="JE50">
        <f t="shared" si="141"/>
        <v>-69313.400000000009</v>
      </c>
    </row>
    <row r="51" spans="1:265" x14ac:dyDescent="0.25">
      <c r="A51" s="35">
        <v>6</v>
      </c>
      <c r="B51" s="138"/>
      <c r="C51" s="65"/>
      <c r="D51" s="37">
        <f t="shared" si="142"/>
        <v>0</v>
      </c>
      <c r="E51" s="16">
        <v>18191</v>
      </c>
      <c r="F51" s="16"/>
      <c r="G51" s="37">
        <f t="shared" si="143"/>
        <v>96000</v>
      </c>
      <c r="H51" s="138"/>
      <c r="I51" s="65"/>
      <c r="J51" s="37">
        <f t="shared" si="144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f t="shared" si="160"/>
        <v>5</v>
      </c>
      <c r="DQ51" s="50">
        <v>7.5464000000000002</v>
      </c>
      <c r="DR51" s="49">
        <f t="shared" si="157"/>
        <v>110.00000000000121</v>
      </c>
      <c r="DS51" s="50">
        <v>49.247</v>
      </c>
      <c r="DT51" s="49">
        <f t="shared" si="158"/>
        <v>121.99999999999989</v>
      </c>
      <c r="EZ51" s="203">
        <f t="shared" si="145"/>
        <v>10168.77</v>
      </c>
      <c r="FA51" s="205">
        <f t="shared" si="146"/>
        <v>10502.1</v>
      </c>
      <c r="FB51" s="201">
        <f t="shared" si="147"/>
        <v>20670.870000000003</v>
      </c>
      <c r="FC51" s="16"/>
      <c r="FD51" s="167">
        <f t="shared" si="148"/>
        <v>19374.450000000004</v>
      </c>
      <c r="FE51" s="16"/>
      <c r="FF51" s="199">
        <v>0.52245944373828546</v>
      </c>
      <c r="FG51" s="199">
        <v>0.47754055626171443</v>
      </c>
      <c r="FH51" s="16">
        <f t="shared" si="149"/>
        <v>677.32687205118805</v>
      </c>
      <c r="FI51" s="179">
        <f t="shared" si="149"/>
        <v>619.09312794881191</v>
      </c>
      <c r="FJ51" s="179">
        <f t="shared" si="150"/>
        <v>10122.364369735227</v>
      </c>
      <c r="FK51" s="179">
        <f t="shared" si="151"/>
        <v>9252.0856302647753</v>
      </c>
      <c r="FL51" s="204">
        <f t="shared" si="152"/>
        <v>10799.691241786415</v>
      </c>
      <c r="FM51" s="206">
        <f t="shared" si="152"/>
        <v>9871.1787582135876</v>
      </c>
      <c r="FN51" s="202">
        <f t="shared" si="153"/>
        <v>20670.870000000003</v>
      </c>
      <c r="GG51">
        <f t="shared" si="159"/>
        <v>6</v>
      </c>
      <c r="GH51" s="63"/>
      <c r="GI51" s="63"/>
      <c r="GJ51" s="63">
        <f t="shared" si="155"/>
        <v>0</v>
      </c>
      <c r="GK51" s="63"/>
      <c r="GL51" s="63"/>
      <c r="GM51" s="63">
        <f t="shared" si="156"/>
        <v>0</v>
      </c>
      <c r="GN51" s="16">
        <v>5</v>
      </c>
      <c r="GO51" s="137"/>
      <c r="GP51" s="137"/>
      <c r="GQ51" s="176"/>
      <c r="GR51" s="176"/>
      <c r="GS51" s="176"/>
      <c r="GT51" s="399"/>
      <c r="GU51" s="400"/>
      <c r="GV51" s="166"/>
      <c r="HH51" s="16" t="s">
        <v>276</v>
      </c>
      <c r="HI51" s="16">
        <f>HI42+HI43-HI44-HI45-HI46-HI47</f>
        <v>3.9900000207126141E-2</v>
      </c>
      <c r="HJ51" s="179">
        <f>HI42-HJ44-HJ45-HJ47-HJ46</f>
        <v>700098.45339999464</v>
      </c>
      <c r="HK51" s="16" t="s">
        <v>115</v>
      </c>
      <c r="HY51" s="16">
        <v>7</v>
      </c>
      <c r="HZ51" s="144">
        <f>DailyFeb!BV13+DailyFeb!BW13-DailyFeb!BX13-DailyFeb!BY13-DailyFeb!BZ13-DailyFeb!CA13</f>
        <v>0</v>
      </c>
      <c r="IA51" s="16">
        <v>0</v>
      </c>
      <c r="IB51" s="16">
        <f t="shared" si="154"/>
        <v>0</v>
      </c>
      <c r="IC51" s="16"/>
      <c r="IE51">
        <v>17</v>
      </c>
      <c r="IF51">
        <f t="shared" si="138"/>
        <v>17220.567000000025</v>
      </c>
      <c r="IM51">
        <f t="shared" si="139"/>
        <v>-237.6329999999798</v>
      </c>
      <c r="IP51">
        <f t="shared" si="140"/>
        <v>439.79999999997381</v>
      </c>
      <c r="JE51">
        <f t="shared" si="141"/>
        <v>8959.8670000000093</v>
      </c>
    </row>
    <row r="52" spans="1:265" x14ac:dyDescent="0.25">
      <c r="A52" s="35">
        <v>7</v>
      </c>
      <c r="B52" s="138"/>
      <c r="C52" s="65"/>
      <c r="D52" s="37">
        <f t="shared" si="142"/>
        <v>0</v>
      </c>
      <c r="E52" s="16">
        <v>18275</v>
      </c>
      <c r="F52" s="16"/>
      <c r="G52" s="37">
        <f t="shared" si="143"/>
        <v>84000</v>
      </c>
      <c r="H52" s="138"/>
      <c r="I52" s="65"/>
      <c r="J52" s="37">
        <f t="shared" si="144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f t="shared" si="160"/>
        <v>6</v>
      </c>
      <c r="DQ52" s="50">
        <v>7.5605000000000002</v>
      </c>
      <c r="DR52" s="49">
        <f t="shared" si="157"/>
        <v>141</v>
      </c>
      <c r="DS52" s="50">
        <v>49.372</v>
      </c>
      <c r="DT52" s="49">
        <f t="shared" si="158"/>
        <v>125</v>
      </c>
      <c r="EZ52" s="203">
        <f t="shared" si="145"/>
        <v>11822.79</v>
      </c>
      <c r="FA52" s="205">
        <f t="shared" si="146"/>
        <v>12189.46</v>
      </c>
      <c r="FB52" s="201">
        <f t="shared" si="147"/>
        <v>24012.25</v>
      </c>
      <c r="FC52" s="16"/>
      <c r="FD52" s="167">
        <f t="shared" si="148"/>
        <v>22715.83</v>
      </c>
      <c r="FE52" s="16"/>
      <c r="FF52" s="199">
        <v>0.53439102971724117</v>
      </c>
      <c r="FG52" s="199">
        <v>0.46560897028275894</v>
      </c>
      <c r="FH52" s="16">
        <f t="shared" si="149"/>
        <v>692.79521874602585</v>
      </c>
      <c r="FI52" s="179">
        <f t="shared" si="149"/>
        <v>603.62478125397433</v>
      </c>
      <c r="FJ52" s="179">
        <f t="shared" si="150"/>
        <v>12139.1357845818</v>
      </c>
      <c r="FK52" s="179">
        <f t="shared" si="151"/>
        <v>10576.694215418205</v>
      </c>
      <c r="FL52" s="204">
        <f t="shared" si="152"/>
        <v>12831.931003327825</v>
      </c>
      <c r="FM52" s="206">
        <f t="shared" si="152"/>
        <v>11180.31899667218</v>
      </c>
      <c r="FN52" s="202">
        <f t="shared" si="153"/>
        <v>24012.250000000007</v>
      </c>
      <c r="GG52">
        <f t="shared" si="159"/>
        <v>7</v>
      </c>
      <c r="GH52" s="63"/>
      <c r="GI52" s="63"/>
      <c r="GJ52" s="63">
        <f t="shared" si="155"/>
        <v>0</v>
      </c>
      <c r="GK52" s="63"/>
      <c r="GL52" s="63"/>
      <c r="GM52" s="63">
        <f t="shared" si="156"/>
        <v>0</v>
      </c>
      <c r="GN52" s="16">
        <v>6</v>
      </c>
      <c r="GO52" s="137"/>
      <c r="GP52" s="137"/>
      <c r="GQ52" s="176"/>
      <c r="GR52" s="176"/>
      <c r="GS52" s="176"/>
      <c r="GT52" s="399"/>
      <c r="GU52" s="400"/>
      <c r="HY52" s="16">
        <v>8</v>
      </c>
      <c r="HZ52" s="144">
        <f>DailyFeb!BV14+DailyFeb!BW14-DailyFeb!BX14-DailyFeb!BY14-DailyFeb!BZ14-DailyFeb!CA14</f>
        <v>2.9103830456733704E-11</v>
      </c>
      <c r="IA52" s="16">
        <v>14034</v>
      </c>
      <c r="IB52" s="16">
        <f t="shared" si="154"/>
        <v>4678</v>
      </c>
      <c r="IC52" s="16">
        <v>4678</v>
      </c>
      <c r="IE52">
        <v>18</v>
      </c>
      <c r="IF52">
        <f t="shared" si="138"/>
        <v>13970.232999999964</v>
      </c>
      <c r="IM52">
        <f t="shared" si="139"/>
        <v>735.63299999998344</v>
      </c>
      <c r="IP52">
        <f t="shared" si="140"/>
        <v>159.10000000004038</v>
      </c>
      <c r="JE52">
        <f t="shared" si="141"/>
        <v>9664.6329999999725</v>
      </c>
    </row>
    <row r="53" spans="1:265" x14ac:dyDescent="0.25">
      <c r="A53" s="35">
        <v>8</v>
      </c>
      <c r="B53" s="138"/>
      <c r="C53" s="65"/>
      <c r="D53" s="37">
        <f t="shared" si="142"/>
        <v>0</v>
      </c>
      <c r="E53" s="16">
        <v>18364</v>
      </c>
      <c r="F53" s="16"/>
      <c r="G53" s="37">
        <f t="shared" si="143"/>
        <v>89000</v>
      </c>
      <c r="H53" s="138"/>
      <c r="I53" s="65"/>
      <c r="J53" s="37">
        <f t="shared" si="144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3"/>
      <c r="DP53">
        <f t="shared" si="160"/>
        <v>7</v>
      </c>
      <c r="DQ53" s="50">
        <v>7.5731000000000002</v>
      </c>
      <c r="DR53" s="49">
        <f t="shared" si="157"/>
        <v>125.99999999999945</v>
      </c>
      <c r="DS53" s="50">
        <v>49.493000000000002</v>
      </c>
      <c r="DT53" s="49">
        <f t="shared" si="158"/>
        <v>121.00000000000222</v>
      </c>
      <c r="EZ53" s="203">
        <f t="shared" si="145"/>
        <v>5433.88</v>
      </c>
      <c r="FA53" s="205">
        <f t="shared" si="146"/>
        <v>5691.5</v>
      </c>
      <c r="FB53" s="201">
        <f t="shared" si="147"/>
        <v>11125.380000000001</v>
      </c>
      <c r="FC53" s="16"/>
      <c r="FD53" s="167">
        <f t="shared" si="148"/>
        <v>9828.9600000000009</v>
      </c>
      <c r="FE53" s="16"/>
      <c r="FF53" s="199">
        <v>0.30141790138450331</v>
      </c>
      <c r="FG53" s="199">
        <v>0.69858209861549669</v>
      </c>
      <c r="FH53" s="16">
        <f t="shared" si="149"/>
        <v>390.76419571289779</v>
      </c>
      <c r="FI53" s="179">
        <f t="shared" si="149"/>
        <v>905.65580428710223</v>
      </c>
      <c r="FJ53" s="179">
        <f t="shared" si="150"/>
        <v>2962.6244959922278</v>
      </c>
      <c r="FK53" s="179">
        <f t="shared" si="151"/>
        <v>6866.3355040077731</v>
      </c>
      <c r="FL53" s="204">
        <f t="shared" si="152"/>
        <v>3353.3886917051254</v>
      </c>
      <c r="FM53" s="206">
        <f t="shared" si="152"/>
        <v>7771.9913082948751</v>
      </c>
      <c r="FN53" s="202">
        <f t="shared" si="153"/>
        <v>11125.380000000001</v>
      </c>
      <c r="GG53">
        <f t="shared" si="159"/>
        <v>8</v>
      </c>
      <c r="GH53" s="63"/>
      <c r="GI53" s="63"/>
      <c r="GJ53" s="63">
        <f t="shared" si="155"/>
        <v>0</v>
      </c>
      <c r="GK53" s="63"/>
      <c r="GL53" s="63"/>
      <c r="GM53" s="63">
        <f t="shared" si="156"/>
        <v>0</v>
      </c>
      <c r="GN53" s="16">
        <v>7</v>
      </c>
      <c r="GO53" s="137"/>
      <c r="GP53" s="137"/>
      <c r="GQ53" s="176"/>
      <c r="GR53" s="176"/>
      <c r="GS53" s="176"/>
      <c r="GT53" s="399"/>
      <c r="GU53" s="400"/>
      <c r="HY53" s="16">
        <v>9</v>
      </c>
      <c r="HZ53" s="144">
        <f>DailyFeb!BV15+DailyFeb!BW15-DailyFeb!BX15-DailyFeb!BY15-DailyFeb!BZ15-DailyFeb!CA15</f>
        <v>1.0000000074796844E-3</v>
      </c>
      <c r="IA53" s="16">
        <v>742</v>
      </c>
      <c r="IB53" s="16">
        <f t="shared" si="154"/>
        <v>247.33333333333334</v>
      </c>
      <c r="IC53" s="16">
        <v>247.333</v>
      </c>
      <c r="IE53">
        <v>19</v>
      </c>
      <c r="IF53">
        <f t="shared" si="138"/>
        <v>12666.967000000033</v>
      </c>
      <c r="IM53">
        <f t="shared" si="139"/>
        <v>290.96699999998236</v>
      </c>
      <c r="IP53">
        <f t="shared" si="140"/>
        <v>332.99999999998545</v>
      </c>
      <c r="JE53">
        <f t="shared" si="141"/>
        <v>9024.4670000000151</v>
      </c>
    </row>
    <row r="54" spans="1:265" x14ac:dyDescent="0.25">
      <c r="A54" s="35">
        <v>9</v>
      </c>
      <c r="B54" s="138"/>
      <c r="C54" s="65"/>
      <c r="D54" s="37">
        <f t="shared" si="142"/>
        <v>0</v>
      </c>
      <c r="E54" s="16">
        <v>18423</v>
      </c>
      <c r="F54" s="16"/>
      <c r="G54" s="37">
        <f t="shared" si="143"/>
        <v>59000</v>
      </c>
      <c r="H54" s="138"/>
      <c r="I54" s="65"/>
      <c r="J54" s="37">
        <f t="shared" si="144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f t="shared" si="160"/>
        <v>8</v>
      </c>
      <c r="DQ54" s="50">
        <v>7.5867000000000004</v>
      </c>
      <c r="DR54" s="49">
        <f t="shared" si="157"/>
        <v>136.00000000000279</v>
      </c>
      <c r="DS54" s="50">
        <v>49.604999999999997</v>
      </c>
      <c r="DT54" s="49">
        <f t="shared" si="158"/>
        <v>111.99999999999477</v>
      </c>
      <c r="EZ54" s="203">
        <f t="shared" si="145"/>
        <v>11066.45</v>
      </c>
      <c r="FA54" s="205">
        <f t="shared" si="146"/>
        <v>11963.83</v>
      </c>
      <c r="FB54" s="201">
        <f t="shared" si="147"/>
        <v>23030.28</v>
      </c>
      <c r="FC54" s="16"/>
      <c r="FD54" s="167">
        <f t="shared" si="148"/>
        <v>21733.86</v>
      </c>
      <c r="FE54" s="16"/>
      <c r="FF54" s="199">
        <v>0.50077057225128763</v>
      </c>
      <c r="FG54" s="199">
        <v>0.49922942774871232</v>
      </c>
      <c r="FH54" s="16">
        <f t="shared" si="149"/>
        <v>649.20898527801432</v>
      </c>
      <c r="FI54" s="179">
        <f t="shared" si="149"/>
        <v>647.21101472198563</v>
      </c>
      <c r="FJ54" s="179">
        <f t="shared" si="150"/>
        <v>10883.67750942937</v>
      </c>
      <c r="FK54" s="179">
        <f t="shared" si="151"/>
        <v>10850.182490570629</v>
      </c>
      <c r="FL54" s="204">
        <f t="shared" si="152"/>
        <v>11532.886494707383</v>
      </c>
      <c r="FM54" s="206">
        <f t="shared" si="152"/>
        <v>11497.393505292615</v>
      </c>
      <c r="FN54" s="202">
        <f t="shared" si="153"/>
        <v>23030.28</v>
      </c>
      <c r="FW54" s="151"/>
      <c r="FX54" s="151"/>
      <c r="GG54">
        <f t="shared" si="159"/>
        <v>9</v>
      </c>
      <c r="GH54" s="63"/>
      <c r="GI54" s="63"/>
      <c r="GJ54" s="63">
        <f t="shared" si="155"/>
        <v>0</v>
      </c>
      <c r="GK54" s="63"/>
      <c r="GL54" s="63"/>
      <c r="GM54" s="63">
        <f t="shared" si="156"/>
        <v>0</v>
      </c>
      <c r="GN54" s="16">
        <v>8</v>
      </c>
      <c r="GO54" s="137"/>
      <c r="GP54" s="137"/>
      <c r="GQ54" s="176"/>
      <c r="GR54" s="176"/>
      <c r="GS54" s="176"/>
      <c r="GT54" s="399"/>
      <c r="GU54" s="400"/>
      <c r="HY54" s="16">
        <v>10</v>
      </c>
      <c r="HZ54" s="144">
        <f>DailyFeb!BV16+DailyFeb!BW16-DailyFeb!BX16-DailyFeb!BY16-DailyFeb!BZ16-DailyFeb!CA16</f>
        <v>-1.0000000474974513E-4</v>
      </c>
      <c r="IA54" s="16">
        <v>197</v>
      </c>
      <c r="IB54" s="16">
        <f t="shared" si="154"/>
        <v>65.666666666666671</v>
      </c>
      <c r="IC54" s="16">
        <v>65.666700000000006</v>
      </c>
      <c r="IE54">
        <v>20</v>
      </c>
      <c r="IF54">
        <f t="shared" si="138"/>
        <v>12619.233299999973</v>
      </c>
      <c r="IM54">
        <f t="shared" si="139"/>
        <v>949.23329999999623</v>
      </c>
      <c r="IP54">
        <f t="shared" si="140"/>
        <v>256.09999999998581</v>
      </c>
      <c r="JE54">
        <f t="shared" si="141"/>
        <v>9091.5332999999991</v>
      </c>
    </row>
    <row r="55" spans="1:265" x14ac:dyDescent="0.25">
      <c r="A55" s="35">
        <v>10</v>
      </c>
      <c r="B55" s="138"/>
      <c r="C55" s="65"/>
      <c r="D55" s="37">
        <f t="shared" si="142"/>
        <v>0</v>
      </c>
      <c r="E55" s="16">
        <v>18508</v>
      </c>
      <c r="F55" s="16"/>
      <c r="G55" s="37">
        <f t="shared" si="143"/>
        <v>85000</v>
      </c>
      <c r="H55" s="138"/>
      <c r="I55" s="65"/>
      <c r="J55" s="37">
        <f t="shared" si="144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f t="shared" si="160"/>
        <v>9</v>
      </c>
      <c r="DQ55" s="50">
        <v>7.5951000000000004</v>
      </c>
      <c r="DR55" s="49">
        <f t="shared" si="157"/>
        <v>83.999999999999631</v>
      </c>
      <c r="DS55" s="50">
        <v>49.701000000000001</v>
      </c>
      <c r="DT55" s="49">
        <f t="shared" si="158"/>
        <v>96.000000000003638</v>
      </c>
      <c r="EZ55" s="203">
        <f t="shared" si="145"/>
        <v>11866.41</v>
      </c>
      <c r="FA55" s="205">
        <f t="shared" si="146"/>
        <v>11958.35</v>
      </c>
      <c r="FB55" s="201">
        <f t="shared" si="147"/>
        <v>23824.760000000002</v>
      </c>
      <c r="FC55" s="16"/>
      <c r="FD55" s="167">
        <f t="shared" si="148"/>
        <v>22528.340000000004</v>
      </c>
      <c r="FE55" s="16"/>
      <c r="FF55" s="199">
        <v>0.47665171597036732</v>
      </c>
      <c r="FG55" s="199">
        <v>0.52334828402963263</v>
      </c>
      <c r="FH55" s="16">
        <f t="shared" si="149"/>
        <v>617.94081761830364</v>
      </c>
      <c r="FI55" s="179">
        <f t="shared" si="149"/>
        <v>678.47918238169632</v>
      </c>
      <c r="FJ55" s="179">
        <f t="shared" si="150"/>
        <v>10738.171918963866</v>
      </c>
      <c r="FK55" s="179">
        <f t="shared" si="151"/>
        <v>11790.168081036136</v>
      </c>
      <c r="FL55" s="204">
        <f t="shared" si="152"/>
        <v>11356.11273658217</v>
      </c>
      <c r="FM55" s="206">
        <f t="shared" si="152"/>
        <v>12468.647263417832</v>
      </c>
      <c r="FN55" s="202">
        <f t="shared" si="153"/>
        <v>23824.760000000002</v>
      </c>
      <c r="FW55" s="151"/>
      <c r="FX55" s="151"/>
      <c r="GG55">
        <f t="shared" si="159"/>
        <v>10</v>
      </c>
      <c r="GH55" s="63"/>
      <c r="GI55" s="63"/>
      <c r="GJ55" s="63">
        <f>GH55-GH54</f>
        <v>0</v>
      </c>
      <c r="GK55" s="63"/>
      <c r="GL55" s="63"/>
      <c r="GM55" s="63">
        <f>GK55-GK54</f>
        <v>0</v>
      </c>
      <c r="GN55" s="16">
        <v>9</v>
      </c>
      <c r="GO55" s="137"/>
      <c r="GP55" s="137"/>
      <c r="GQ55" s="176"/>
      <c r="GR55" s="176"/>
      <c r="GS55" s="176"/>
      <c r="GT55" s="399"/>
      <c r="GU55" s="400"/>
      <c r="HY55" s="16">
        <v>11</v>
      </c>
      <c r="HZ55" s="144">
        <f>DailyFeb!BV17+DailyFeb!BW17-DailyFeb!BX17-DailyFeb!BY17-DailyFeb!BZ17-DailyFeb!CA17</f>
        <v>-7.6397554948925972E-11</v>
      </c>
      <c r="IA55" s="16">
        <v>153</v>
      </c>
      <c r="IB55" s="16">
        <f t="shared" si="154"/>
        <v>51</v>
      </c>
      <c r="IC55" s="16">
        <v>51</v>
      </c>
      <c r="IE55">
        <v>21</v>
      </c>
      <c r="IF55">
        <f t="shared" si="138"/>
        <v>13931.033000000039</v>
      </c>
      <c r="IM55">
        <f t="shared" si="139"/>
        <v>8.2329999999819847</v>
      </c>
      <c r="IP55">
        <f t="shared" si="140"/>
        <v>-109.04999999995653</v>
      </c>
      <c r="JE55">
        <f t="shared" si="141"/>
        <v>7684.533000000014</v>
      </c>
    </row>
    <row r="56" spans="1:265" x14ac:dyDescent="0.25">
      <c r="A56" s="35">
        <v>11</v>
      </c>
      <c r="B56" s="138"/>
      <c r="C56" s="65"/>
      <c r="D56" s="37">
        <f t="shared" si="142"/>
        <v>0</v>
      </c>
      <c r="E56" s="16">
        <v>18595</v>
      </c>
      <c r="F56" s="16"/>
      <c r="G56" s="37">
        <f t="shared" si="143"/>
        <v>87000</v>
      </c>
      <c r="H56" s="138"/>
      <c r="I56" s="65"/>
      <c r="J56" s="37">
        <f t="shared" si="144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f t="shared" si="160"/>
        <v>10</v>
      </c>
      <c r="DQ56" s="50">
        <v>7.5983999999999998</v>
      </c>
      <c r="DR56" s="49">
        <f t="shared" si="157"/>
        <v>32.999999999994145</v>
      </c>
      <c r="DS56" s="50">
        <v>49.734999999999999</v>
      </c>
      <c r="DT56" s="49">
        <f t="shared" si="158"/>
        <v>33.99999999999892</v>
      </c>
      <c r="EZ56" s="203">
        <f t="shared" si="145"/>
        <v>10889.4</v>
      </c>
      <c r="FA56" s="205">
        <f t="shared" si="146"/>
        <v>10901.88</v>
      </c>
      <c r="FB56" s="201">
        <f t="shared" si="147"/>
        <v>21791.279999999999</v>
      </c>
      <c r="FC56" s="16"/>
      <c r="FD56" s="167">
        <f t="shared" si="148"/>
        <v>20494.86</v>
      </c>
      <c r="FE56" s="16"/>
      <c r="FF56" s="199">
        <v>0.49303731996498762</v>
      </c>
      <c r="FG56" s="199">
        <v>0.50696268003501233</v>
      </c>
      <c r="FH56" s="16">
        <f t="shared" si="149"/>
        <v>639.18344234900928</v>
      </c>
      <c r="FI56" s="179">
        <f t="shared" si="149"/>
        <v>657.23655765099068</v>
      </c>
      <c r="FJ56" s="179">
        <f t="shared" si="150"/>
        <v>10104.730847457626</v>
      </c>
      <c r="FK56" s="179">
        <f t="shared" si="151"/>
        <v>10390.129152542373</v>
      </c>
      <c r="FL56" s="204">
        <f t="shared" si="152"/>
        <v>10743.914289806635</v>
      </c>
      <c r="FM56" s="206">
        <f t="shared" si="152"/>
        <v>11047.365710193364</v>
      </c>
      <c r="FN56" s="202">
        <f t="shared" si="153"/>
        <v>21791.279999999999</v>
      </c>
      <c r="GG56">
        <f t="shared" si="159"/>
        <v>11</v>
      </c>
      <c r="GH56" s="63"/>
      <c r="GI56" s="63"/>
      <c r="GJ56" s="63">
        <f t="shared" ref="GJ56:GJ75" si="161">GH56-GH55</f>
        <v>0</v>
      </c>
      <c r="GK56" s="63"/>
      <c r="GL56" s="63"/>
      <c r="GM56" s="63">
        <f t="shared" ref="GM56:GM75" si="162">GK56-GK55</f>
        <v>0</v>
      </c>
      <c r="GN56" s="16">
        <v>10</v>
      </c>
      <c r="GO56" s="137"/>
      <c r="GP56" s="137"/>
      <c r="GQ56" s="176"/>
      <c r="GR56" s="176"/>
      <c r="GS56" s="176"/>
      <c r="GT56" s="399"/>
      <c r="GU56" s="400"/>
      <c r="HY56" s="16">
        <v>12</v>
      </c>
      <c r="HZ56" s="144">
        <f>DailyFeb!BV18+DailyFeb!BW18-DailyFeb!BX18-DailyFeb!BY18-DailyFeb!BZ18-DailyFeb!CA18</f>
        <v>0</v>
      </c>
      <c r="IA56" s="16">
        <v>162</v>
      </c>
      <c r="IB56" s="16">
        <f t="shared" si="154"/>
        <v>54</v>
      </c>
      <c r="IC56" s="16">
        <v>54</v>
      </c>
      <c r="IE56">
        <v>22</v>
      </c>
      <c r="IF56">
        <f t="shared" si="138"/>
        <v>14555.966699999992</v>
      </c>
      <c r="IM56">
        <f t="shared" si="139"/>
        <v>335.56670000000668</v>
      </c>
      <c r="IP56">
        <f t="shared" si="140"/>
        <v>724.74999999995907</v>
      </c>
      <c r="JE56">
        <f t="shared" si="141"/>
        <v>8952.2667000000038</v>
      </c>
    </row>
    <row r="57" spans="1:265" x14ac:dyDescent="0.25">
      <c r="A57" s="35">
        <v>12</v>
      </c>
      <c r="B57" s="138"/>
      <c r="C57" s="65"/>
      <c r="D57" s="37">
        <f t="shared" si="142"/>
        <v>0</v>
      </c>
      <c r="E57" s="16">
        <v>18686</v>
      </c>
      <c r="F57" s="16"/>
      <c r="G57" s="37">
        <f t="shared" si="143"/>
        <v>91000</v>
      </c>
      <c r="H57" s="138"/>
      <c r="I57" s="65"/>
      <c r="J57" s="37">
        <f t="shared" si="144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f t="shared" si="160"/>
        <v>11</v>
      </c>
      <c r="DQ57" s="50">
        <v>7.6120999999999999</v>
      </c>
      <c r="DR57" s="49">
        <f t="shared" ref="DR57:DR78" si="163">IF((DQ57-DQ56)&lt;=0,0,(DQ57-DQ56))*10000</f>
        <v>137.00000000000045</v>
      </c>
      <c r="DS57" s="50">
        <v>49.875</v>
      </c>
      <c r="DT57" s="49">
        <f>IF((DS57-DS56)&lt;=0,0,(DS57-DS56))*1000</f>
        <v>140.00000000000057</v>
      </c>
      <c r="EZ57" s="203">
        <f t="shared" si="145"/>
        <v>9259.26</v>
      </c>
      <c r="FA57" s="205">
        <f t="shared" si="146"/>
        <v>11441.04</v>
      </c>
      <c r="FB57" s="201">
        <f t="shared" si="147"/>
        <v>20700.300000000003</v>
      </c>
      <c r="FC57" s="16"/>
      <c r="FD57" s="167">
        <f t="shared" si="148"/>
        <v>19403.880000000005</v>
      </c>
      <c r="FE57" s="16"/>
      <c r="FF57" s="199">
        <v>0.49858422595955215</v>
      </c>
      <c r="FG57" s="199">
        <v>0.50141577404044779</v>
      </c>
      <c r="FH57" s="16">
        <f t="shared" si="149"/>
        <v>646.37456221848265</v>
      </c>
      <c r="FI57" s="179">
        <f t="shared" si="149"/>
        <v>650.04543778151731</v>
      </c>
      <c r="FJ57" s="179">
        <f t="shared" si="150"/>
        <v>9674.4684904120368</v>
      </c>
      <c r="FK57" s="179">
        <f t="shared" si="151"/>
        <v>9729.4115095879661</v>
      </c>
      <c r="FL57" s="204">
        <f t="shared" si="152"/>
        <v>10320.84305263052</v>
      </c>
      <c r="FM57" s="206">
        <f t="shared" si="152"/>
        <v>10379.456947369483</v>
      </c>
      <c r="FN57" s="202">
        <f t="shared" si="153"/>
        <v>20700.300000000003</v>
      </c>
      <c r="GG57">
        <f t="shared" si="159"/>
        <v>12</v>
      </c>
      <c r="GH57" s="63"/>
      <c r="GI57" s="63"/>
      <c r="GJ57" s="63">
        <f t="shared" si="161"/>
        <v>0</v>
      </c>
      <c r="GK57" s="63"/>
      <c r="GL57" s="63"/>
      <c r="GM57" s="63">
        <f t="shared" si="162"/>
        <v>0</v>
      </c>
      <c r="GN57" s="16">
        <v>11</v>
      </c>
      <c r="GO57" s="137"/>
      <c r="GP57" s="137"/>
      <c r="GQ57" s="176"/>
      <c r="GR57" s="176"/>
      <c r="GS57" s="176"/>
      <c r="GT57" s="399"/>
      <c r="GU57" s="400"/>
      <c r="HY57" s="16">
        <v>13</v>
      </c>
      <c r="HZ57" s="144">
        <f>DailyFeb!BV19+DailyFeb!BW19-DailyFeb!BX19-DailyFeb!BY19-DailyFeb!BZ19-DailyFeb!CA19</f>
        <v>5.8207660913467407E-11</v>
      </c>
      <c r="IA57" s="16">
        <v>660</v>
      </c>
      <c r="IB57" s="16">
        <f t="shared" si="154"/>
        <v>220</v>
      </c>
      <c r="IC57" s="16">
        <v>220</v>
      </c>
      <c r="IE57">
        <v>23</v>
      </c>
      <c r="IF57">
        <f t="shared" si="138"/>
        <v>14393.733329999999</v>
      </c>
      <c r="IM57">
        <f t="shared" si="139"/>
        <v>502.43332999999984</v>
      </c>
      <c r="IP57">
        <f t="shared" si="140"/>
        <v>359.90000000004602</v>
      </c>
      <c r="JE57">
        <f t="shared" si="141"/>
        <v>7961.3333299999686</v>
      </c>
    </row>
    <row r="58" spans="1:265" x14ac:dyDescent="0.25">
      <c r="A58" s="35">
        <v>13</v>
      </c>
      <c r="B58" s="138"/>
      <c r="C58" s="65"/>
      <c r="D58" s="37">
        <f t="shared" si="142"/>
        <v>0</v>
      </c>
      <c r="E58" s="16">
        <v>18772</v>
      </c>
      <c r="F58" s="16"/>
      <c r="G58" s="37">
        <f t="shared" si="143"/>
        <v>86000</v>
      </c>
      <c r="H58" s="138"/>
      <c r="I58" s="65"/>
      <c r="J58" s="37">
        <f t="shared" si="144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f t="shared" si="160"/>
        <v>12</v>
      </c>
      <c r="DQ58" s="50">
        <v>7.6289999999999996</v>
      </c>
      <c r="DR58" s="49">
        <f t="shared" si="163"/>
        <v>168.99999999999693</v>
      </c>
      <c r="DS58" s="50">
        <v>50</v>
      </c>
      <c r="DT58" s="49">
        <f t="shared" ref="DT58:DT78" si="164">IF((DS58-DS57)&lt;=0,0,(DS58-DS57))*1000</f>
        <v>125</v>
      </c>
      <c r="EJ58" s="2"/>
      <c r="EZ58" s="203">
        <f t="shared" si="145"/>
        <v>13097.84</v>
      </c>
      <c r="FA58" s="205">
        <f t="shared" si="146"/>
        <v>11131.17</v>
      </c>
      <c r="FB58" s="201">
        <f t="shared" si="147"/>
        <v>24229.010000000002</v>
      </c>
      <c r="FC58" s="16"/>
      <c r="FD58" s="167">
        <f t="shared" si="148"/>
        <v>22932.590000000004</v>
      </c>
      <c r="FE58" s="16"/>
      <c r="FF58" s="199">
        <v>0.52914684357511066</v>
      </c>
      <c r="FG58" s="199">
        <v>0.4708531564248894</v>
      </c>
      <c r="FH58" s="16">
        <f t="shared" si="149"/>
        <v>685.99655094764501</v>
      </c>
      <c r="FI58" s="179">
        <f t="shared" si="149"/>
        <v>610.42344905235518</v>
      </c>
      <c r="FJ58" s="179">
        <f t="shared" si="150"/>
        <v>12134.707613502149</v>
      </c>
      <c r="FK58" s="179">
        <f t="shared" si="151"/>
        <v>10797.882386497857</v>
      </c>
      <c r="FL58" s="204">
        <f t="shared" si="152"/>
        <v>12820.704164449793</v>
      </c>
      <c r="FM58" s="206">
        <f t="shared" si="152"/>
        <v>11408.305835550213</v>
      </c>
      <c r="FN58" s="202">
        <f t="shared" si="153"/>
        <v>24229.010000000006</v>
      </c>
      <c r="GG58">
        <f t="shared" si="159"/>
        <v>13</v>
      </c>
      <c r="GH58" s="63"/>
      <c r="GI58" s="63"/>
      <c r="GJ58" s="63">
        <f t="shared" si="161"/>
        <v>0</v>
      </c>
      <c r="GK58" s="63"/>
      <c r="GL58" s="63"/>
      <c r="GM58" s="63">
        <f t="shared" si="162"/>
        <v>0</v>
      </c>
      <c r="GN58" s="16">
        <v>12</v>
      </c>
      <c r="GO58" s="137"/>
      <c r="GP58" s="137"/>
      <c r="GQ58" s="176"/>
      <c r="GR58" s="176"/>
      <c r="GS58" s="176"/>
      <c r="GT58" s="399"/>
      <c r="GU58" s="400"/>
      <c r="HY58" s="16">
        <v>14</v>
      </c>
      <c r="HZ58" s="144">
        <f>DailyFeb!BV20+DailyFeb!BW20-DailyFeb!BX20-DailyFeb!BY20-DailyFeb!BZ20-DailyFeb!CA20</f>
        <v>-1.0000028851209208E-5</v>
      </c>
      <c r="IA58" s="16">
        <v>20</v>
      </c>
      <c r="IB58" s="16">
        <f t="shared" si="154"/>
        <v>6.666666666666667</v>
      </c>
      <c r="IC58" s="16">
        <v>6.6666699999999999</v>
      </c>
      <c r="IE58">
        <v>24</v>
      </c>
      <c r="IF58">
        <f t="shared" si="138"/>
        <v>12738.767000000031</v>
      </c>
      <c r="IM58">
        <f t="shared" si="139"/>
        <v>-607.50000000001091</v>
      </c>
      <c r="IP58">
        <f t="shared" si="140"/>
        <v>1540.766999999998</v>
      </c>
      <c r="JE58">
        <f t="shared" si="141"/>
        <v>7066.4669999999878</v>
      </c>
    </row>
    <row r="59" spans="1:265" x14ac:dyDescent="0.25">
      <c r="A59" s="35">
        <v>14</v>
      </c>
      <c r="B59" s="138"/>
      <c r="C59" s="65"/>
      <c r="D59" s="37">
        <f t="shared" si="142"/>
        <v>0</v>
      </c>
      <c r="E59" s="16">
        <v>18860</v>
      </c>
      <c r="F59" s="16"/>
      <c r="G59" s="37">
        <f t="shared" si="143"/>
        <v>88000</v>
      </c>
      <c r="H59" s="138"/>
      <c r="I59" s="65"/>
      <c r="J59" s="37">
        <f t="shared" si="144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f t="shared" si="160"/>
        <v>13</v>
      </c>
      <c r="DQ59" s="50">
        <v>7.6436000000000002</v>
      </c>
      <c r="DR59" s="49">
        <f t="shared" si="163"/>
        <v>146.00000000000614</v>
      </c>
      <c r="DS59" s="50">
        <v>50.134999999999998</v>
      </c>
      <c r="DT59" s="49">
        <f t="shared" si="164"/>
        <v>134.99999999999801</v>
      </c>
      <c r="EJ59" s="2"/>
      <c r="EZ59" s="203">
        <f t="shared" si="145"/>
        <v>12146.34</v>
      </c>
      <c r="FA59" s="205">
        <f t="shared" si="146"/>
        <v>11579.67</v>
      </c>
      <c r="FB59" s="201">
        <f t="shared" si="147"/>
        <v>23726.010000000002</v>
      </c>
      <c r="FC59" s="16"/>
      <c r="FD59" s="167">
        <f t="shared" si="148"/>
        <v>22429.590000000004</v>
      </c>
      <c r="FE59" s="16"/>
      <c r="FF59" s="199">
        <v>0.40778273659720587</v>
      </c>
      <c r="FG59" s="199">
        <v>0.59221726340279413</v>
      </c>
      <c r="FH59" s="16">
        <f t="shared" si="149"/>
        <v>528.65769537934966</v>
      </c>
      <c r="FI59" s="179">
        <f t="shared" si="149"/>
        <v>767.76230462065041</v>
      </c>
      <c r="FJ59" s="179">
        <f t="shared" si="150"/>
        <v>9146.3995909533242</v>
      </c>
      <c r="FK59" s="179">
        <f t="shared" si="151"/>
        <v>13283.19040904668</v>
      </c>
      <c r="FL59" s="204">
        <f t="shared" si="152"/>
        <v>9675.0572863326743</v>
      </c>
      <c r="FM59" s="206">
        <f t="shared" si="152"/>
        <v>14050.95271366733</v>
      </c>
      <c r="FN59" s="202">
        <f t="shared" si="153"/>
        <v>23726.010000000002</v>
      </c>
      <c r="GG59">
        <f t="shared" si="159"/>
        <v>14</v>
      </c>
      <c r="GH59" s="63"/>
      <c r="GI59" s="63"/>
      <c r="GJ59" s="63">
        <f t="shared" si="161"/>
        <v>0</v>
      </c>
      <c r="GK59" s="63"/>
      <c r="GL59" s="63"/>
      <c r="GM59" s="63">
        <f t="shared" si="162"/>
        <v>0</v>
      </c>
      <c r="GN59" s="16">
        <v>13</v>
      </c>
      <c r="GO59" s="137"/>
      <c r="GP59" s="137"/>
      <c r="GQ59" s="176"/>
      <c r="GR59" s="176"/>
      <c r="GS59" s="176"/>
      <c r="GT59" s="399"/>
      <c r="GU59" s="400"/>
      <c r="HY59" s="16">
        <v>15</v>
      </c>
      <c r="HZ59" s="144">
        <f>DailyFeb!BV21+DailyFeb!BW21-DailyFeb!BX21-DailyFeb!BY21-DailyFeb!BZ21-DailyFeb!CA21</f>
        <v>4.7293724492192268E-11</v>
      </c>
      <c r="IA59" s="16">
        <v>120</v>
      </c>
      <c r="IB59" s="16">
        <f t="shared" si="154"/>
        <v>40</v>
      </c>
      <c r="IC59" s="16">
        <v>40</v>
      </c>
      <c r="IE59">
        <v>25</v>
      </c>
      <c r="IF59">
        <f t="shared" si="138"/>
        <v>7334.1999999999989</v>
      </c>
      <c r="IM59">
        <f t="shared" si="139"/>
        <v>607.50000000001091</v>
      </c>
      <c r="IP59">
        <f t="shared" si="140"/>
        <v>264.69999999999345</v>
      </c>
      <c r="JE59">
        <f t="shared" si="141"/>
        <v>5581.200000000048</v>
      </c>
    </row>
    <row r="60" spans="1:265" x14ac:dyDescent="0.25">
      <c r="A60" s="35">
        <v>15</v>
      </c>
      <c r="B60" s="138"/>
      <c r="C60" s="65"/>
      <c r="D60" s="37">
        <f t="shared" si="142"/>
        <v>0</v>
      </c>
      <c r="E60" s="16">
        <v>18953</v>
      </c>
      <c r="F60" s="16"/>
      <c r="G60" s="37">
        <f t="shared" si="143"/>
        <v>93000</v>
      </c>
      <c r="H60" s="138"/>
      <c r="I60" s="65"/>
      <c r="J60" s="37">
        <f t="shared" si="144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f t="shared" si="160"/>
        <v>14</v>
      </c>
      <c r="DQ60" s="50">
        <v>7.6563999999999997</v>
      </c>
      <c r="DR60" s="49">
        <f t="shared" si="163"/>
        <v>127.99999999999478</v>
      </c>
      <c r="DS60" s="50">
        <v>50.268000000000001</v>
      </c>
      <c r="DT60" s="49">
        <f t="shared" si="164"/>
        <v>133.00000000000267</v>
      </c>
      <c r="EJ60" s="2"/>
      <c r="EZ60" s="203">
        <f t="shared" si="145"/>
        <v>10777.32</v>
      </c>
      <c r="FA60" s="205">
        <f t="shared" si="146"/>
        <v>9655.42</v>
      </c>
      <c r="FB60" s="201">
        <f t="shared" si="147"/>
        <v>20432.739999999998</v>
      </c>
      <c r="FC60" s="16"/>
      <c r="FD60" s="167">
        <f t="shared" si="148"/>
        <v>19136.32</v>
      </c>
      <c r="FE60" s="16"/>
      <c r="FF60" s="199">
        <v>0.49219300305235969</v>
      </c>
      <c r="FG60" s="199">
        <v>0.5078069969476402</v>
      </c>
      <c r="FH60" s="16">
        <f t="shared" si="149"/>
        <v>638.0888530171402</v>
      </c>
      <c r="FI60" s="179">
        <f t="shared" si="149"/>
        <v>658.33114698285976</v>
      </c>
      <c r="FJ60" s="179">
        <f t="shared" si="150"/>
        <v>9418.7628081709317</v>
      </c>
      <c r="FK60" s="179">
        <f t="shared" si="151"/>
        <v>9717.5571918290661</v>
      </c>
      <c r="FL60" s="204">
        <f t="shared" si="152"/>
        <v>10056.851661188071</v>
      </c>
      <c r="FM60" s="206">
        <f t="shared" si="152"/>
        <v>10375.888338811927</v>
      </c>
      <c r="FN60" s="202">
        <f t="shared" si="153"/>
        <v>20432.739999999998</v>
      </c>
      <c r="GG60">
        <f t="shared" si="159"/>
        <v>15</v>
      </c>
      <c r="GH60" s="63"/>
      <c r="GI60" s="63"/>
      <c r="GJ60" s="63">
        <f t="shared" si="161"/>
        <v>0</v>
      </c>
      <c r="GK60" s="63"/>
      <c r="GL60" s="63"/>
      <c r="GM60" s="63">
        <f t="shared" si="162"/>
        <v>0</v>
      </c>
      <c r="GN60" s="16">
        <v>14</v>
      </c>
      <c r="GO60" s="137"/>
      <c r="GP60" s="137"/>
      <c r="GQ60" s="176"/>
      <c r="GR60" s="176"/>
      <c r="GS60" s="176"/>
      <c r="GT60" s="399"/>
      <c r="GU60" s="400"/>
      <c r="HY60" s="16">
        <v>16</v>
      </c>
      <c r="HZ60" s="144">
        <f>DailyFeb!BV22+DailyFeb!BW22-DailyFeb!BX22-DailyFeb!BY22-DailyFeb!BZ22-DailyFeb!CA22</f>
        <v>-9.9999994927202351E-4</v>
      </c>
      <c r="IA60" s="16">
        <v>1100</v>
      </c>
      <c r="IB60" s="16">
        <f t="shared" si="154"/>
        <v>366.66666666666669</v>
      </c>
      <c r="IC60" s="16">
        <v>366.66699999999997</v>
      </c>
      <c r="IE60">
        <v>26</v>
      </c>
      <c r="IF60">
        <f t="shared" si="138"/>
        <v>12477.529999999948</v>
      </c>
      <c r="IM60">
        <f t="shared" si="139"/>
        <v>-111.37000000002445</v>
      </c>
      <c r="IP60">
        <f t="shared" si="140"/>
        <v>321.19999999999163</v>
      </c>
      <c r="JE60">
        <f t="shared" si="141"/>
        <v>7824.4299999999421</v>
      </c>
    </row>
    <row r="61" spans="1:265" x14ac:dyDescent="0.25">
      <c r="A61" s="35">
        <v>16</v>
      </c>
      <c r="B61" s="138"/>
      <c r="C61" s="65"/>
      <c r="D61" s="37">
        <f t="shared" si="142"/>
        <v>0</v>
      </c>
      <c r="E61" s="16">
        <v>19026</v>
      </c>
      <c r="F61" s="16"/>
      <c r="G61" s="37">
        <f t="shared" si="143"/>
        <v>73000</v>
      </c>
      <c r="H61" s="138"/>
      <c r="I61" s="65"/>
      <c r="J61" s="37">
        <f t="shared" si="144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f t="shared" si="160"/>
        <v>15</v>
      </c>
      <c r="DQ61" s="50">
        <v>7.6694000000000004</v>
      </c>
      <c r="DR61" s="49">
        <f t="shared" si="163"/>
        <v>130.0000000000079</v>
      </c>
      <c r="DS61" s="50">
        <v>50.39</v>
      </c>
      <c r="DT61" s="49">
        <f t="shared" si="164"/>
        <v>121.99999999999989</v>
      </c>
      <c r="EJ61" s="2"/>
      <c r="EZ61" s="203">
        <f t="shared" si="145"/>
        <v>10606.43</v>
      </c>
      <c r="FA61" s="205">
        <f t="shared" si="146"/>
        <v>10581.2</v>
      </c>
      <c r="FB61" s="201">
        <f t="shared" si="147"/>
        <v>21187.63</v>
      </c>
      <c r="FC61" s="16"/>
      <c r="FD61" s="167">
        <f t="shared" si="148"/>
        <v>19891.21</v>
      </c>
      <c r="FE61" s="16"/>
      <c r="FF61" s="199">
        <v>0.50435178165276717</v>
      </c>
      <c r="FG61" s="199">
        <v>0.49564821834723272</v>
      </c>
      <c r="FH61" s="16">
        <f t="shared" si="149"/>
        <v>653.85173677028047</v>
      </c>
      <c r="FI61" s="179">
        <f t="shared" si="149"/>
        <v>642.56826322971949</v>
      </c>
      <c r="FJ61" s="179">
        <f t="shared" si="150"/>
        <v>10032.167202729339</v>
      </c>
      <c r="FK61" s="179">
        <f t="shared" si="151"/>
        <v>9859.0427972706584</v>
      </c>
      <c r="FL61" s="204">
        <f t="shared" si="152"/>
        <v>10686.01893949962</v>
      </c>
      <c r="FM61" s="206">
        <f t="shared" si="152"/>
        <v>10501.611060500378</v>
      </c>
      <c r="FN61" s="202">
        <f t="shared" si="153"/>
        <v>21187.629999999997</v>
      </c>
      <c r="GG61">
        <f t="shared" si="159"/>
        <v>16</v>
      </c>
      <c r="GH61" s="63"/>
      <c r="GI61" s="63"/>
      <c r="GJ61" s="63">
        <f t="shared" si="161"/>
        <v>0</v>
      </c>
      <c r="GK61" s="63"/>
      <c r="GL61" s="63"/>
      <c r="GM61" s="63">
        <f t="shared" si="162"/>
        <v>0</v>
      </c>
      <c r="GN61" s="16">
        <v>15</v>
      </c>
      <c r="GO61" s="137"/>
      <c r="GP61" s="137"/>
      <c r="GQ61" s="176"/>
      <c r="GR61" s="176"/>
      <c r="GS61" s="176"/>
      <c r="GT61" s="399"/>
      <c r="GU61" s="400"/>
      <c r="HY61" s="16">
        <v>17</v>
      </c>
      <c r="HZ61" s="144">
        <f>DailyFeb!BV23+DailyFeb!BW23-DailyFeb!BX23-DailyFeb!BY23-DailyFeb!BZ23-DailyFeb!CA23</f>
        <v>9.9999987287446856E-4</v>
      </c>
      <c r="IA61" s="16">
        <v>-260</v>
      </c>
      <c r="IB61" s="16">
        <f t="shared" si="154"/>
        <v>-86.666666666666671</v>
      </c>
      <c r="IC61" s="16">
        <v>-86.667000000000002</v>
      </c>
      <c r="IE61">
        <v>27</v>
      </c>
      <c r="IF61">
        <f t="shared" si="138"/>
        <v>10890.829999999978</v>
      </c>
      <c r="IM61">
        <f t="shared" si="139"/>
        <v>1674.6300000000192</v>
      </c>
      <c r="IP61">
        <f t="shared" si="140"/>
        <v>365.10000000005857</v>
      </c>
      <c r="JE61">
        <f t="shared" si="141"/>
        <v>10577.630000000048</v>
      </c>
    </row>
    <row r="62" spans="1:265" x14ac:dyDescent="0.25">
      <c r="A62" s="35">
        <v>17</v>
      </c>
      <c r="B62" s="138"/>
      <c r="C62" s="65"/>
      <c r="D62" s="37">
        <f t="shared" si="142"/>
        <v>0</v>
      </c>
      <c r="E62" s="16">
        <v>19117</v>
      </c>
      <c r="F62" s="16"/>
      <c r="G62" s="37">
        <f t="shared" si="143"/>
        <v>91000</v>
      </c>
      <c r="H62" s="138"/>
      <c r="I62" s="65"/>
      <c r="J62" s="37">
        <f t="shared" si="144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f t="shared" si="160"/>
        <v>16</v>
      </c>
      <c r="DQ62" s="50">
        <v>7.6778000000000004</v>
      </c>
      <c r="DR62" s="49">
        <f t="shared" si="163"/>
        <v>83.999999999999631</v>
      </c>
      <c r="DS62" s="50">
        <v>50.531999999999996</v>
      </c>
      <c r="DT62" s="49">
        <f t="shared" si="164"/>
        <v>141.99999999999591</v>
      </c>
      <c r="EJ62" s="2"/>
      <c r="EZ62" s="203">
        <f t="shared" si="145"/>
        <v>10582.5</v>
      </c>
      <c r="FA62" s="205">
        <f t="shared" si="146"/>
        <v>2882.5</v>
      </c>
      <c r="FB62" s="201">
        <f t="shared" si="147"/>
        <v>13465</v>
      </c>
      <c r="FC62" s="16"/>
      <c r="FD62" s="167">
        <f t="shared" si="148"/>
        <v>12168.58</v>
      </c>
      <c r="FE62" s="16"/>
      <c r="FF62" s="199">
        <v>0.4935068821065231</v>
      </c>
      <c r="FG62" s="199">
        <v>0.50649311789347695</v>
      </c>
      <c r="FH62" s="16">
        <f t="shared" si="149"/>
        <v>639.79219210053873</v>
      </c>
      <c r="FI62" s="179">
        <f t="shared" si="149"/>
        <v>656.62780789946146</v>
      </c>
      <c r="FJ62" s="179">
        <f t="shared" si="150"/>
        <v>6005.277975463795</v>
      </c>
      <c r="FK62" s="179">
        <f t="shared" si="151"/>
        <v>6163.3020245362059</v>
      </c>
      <c r="FL62" s="204">
        <f t="shared" si="152"/>
        <v>6645.070167564334</v>
      </c>
      <c r="FM62" s="206">
        <f t="shared" si="152"/>
        <v>6819.9298324356678</v>
      </c>
      <c r="FN62" s="202">
        <f t="shared" si="153"/>
        <v>13465.000000000002</v>
      </c>
      <c r="GG62">
        <f t="shared" si="159"/>
        <v>17</v>
      </c>
      <c r="GH62" s="63"/>
      <c r="GI62" s="63"/>
      <c r="GJ62" s="63">
        <f t="shared" si="161"/>
        <v>0</v>
      </c>
      <c r="GK62" s="63"/>
      <c r="GL62" s="63"/>
      <c r="GM62" s="63">
        <f t="shared" si="162"/>
        <v>0</v>
      </c>
      <c r="GN62" s="16">
        <v>16</v>
      </c>
      <c r="GO62" s="137"/>
      <c r="GP62" s="137"/>
      <c r="GQ62" s="176"/>
      <c r="GR62" s="176"/>
      <c r="GS62" s="176"/>
      <c r="GT62" s="399"/>
      <c r="GU62" s="400"/>
      <c r="HY62" s="16">
        <v>18</v>
      </c>
      <c r="HZ62" s="144">
        <f>DailyFeb!BV24+DailyFeb!BW24-DailyFeb!BX24-DailyFeb!BY24-DailyFeb!BZ24-DailyFeb!CA24</f>
        <v>-9.9999994927202351E-4</v>
      </c>
      <c r="IA62" s="16">
        <v>-100</v>
      </c>
      <c r="IB62" s="16">
        <f t="shared" si="154"/>
        <v>-33.333333333333336</v>
      </c>
      <c r="IC62" s="16">
        <v>-33.332999999999998</v>
      </c>
      <c r="IE62">
        <v>28</v>
      </c>
      <c r="IF62">
        <f t="shared" si="138"/>
        <v>12300.23000000004</v>
      </c>
      <c r="IM62">
        <f t="shared" si="139"/>
        <v>-611.07000000003245</v>
      </c>
      <c r="IP62">
        <f t="shared" si="140"/>
        <v>228.69999999995889</v>
      </c>
      <c r="JE62">
        <f t="shared" si="141"/>
        <v>5047.2300000000087</v>
      </c>
    </row>
    <row r="63" spans="1:265" x14ac:dyDescent="0.25">
      <c r="A63" s="35">
        <v>18</v>
      </c>
      <c r="B63" s="138"/>
      <c r="C63" s="65"/>
      <c r="D63" s="37">
        <f t="shared" si="142"/>
        <v>0</v>
      </c>
      <c r="E63" s="16">
        <v>19178</v>
      </c>
      <c r="F63" s="16"/>
      <c r="G63" s="37">
        <f t="shared" si="143"/>
        <v>61000</v>
      </c>
      <c r="H63" s="138"/>
      <c r="I63" s="65"/>
      <c r="J63" s="37">
        <f t="shared" si="144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f t="shared" si="160"/>
        <v>17</v>
      </c>
      <c r="DQ63" s="50">
        <v>7.6863999999999999</v>
      </c>
      <c r="DR63" s="49">
        <f t="shared" si="163"/>
        <v>85.999999999994969</v>
      </c>
      <c r="DS63" s="50">
        <v>50.6</v>
      </c>
      <c r="DT63" s="49">
        <f t="shared" si="164"/>
        <v>68.000000000004945</v>
      </c>
      <c r="EJ63" s="2"/>
      <c r="EZ63" s="203">
        <f t="shared" si="145"/>
        <v>11244.88</v>
      </c>
      <c r="FA63" s="205">
        <f t="shared" si="146"/>
        <v>1044.8800000000001</v>
      </c>
      <c r="FB63" s="201">
        <f t="shared" si="147"/>
        <v>12289.759999999998</v>
      </c>
      <c r="FC63" s="16"/>
      <c r="FD63" s="167">
        <f t="shared" si="148"/>
        <v>10993.339999999998</v>
      </c>
      <c r="FE63" s="16"/>
      <c r="FF63" s="199">
        <v>0.56586728544555454</v>
      </c>
      <c r="FG63" s="199">
        <v>0.43413271455444535</v>
      </c>
      <c r="FH63" s="16">
        <f t="shared" si="149"/>
        <v>733.60166619732581</v>
      </c>
      <c r="FI63" s="179">
        <f t="shared" si="149"/>
        <v>562.81833380267403</v>
      </c>
      <c r="FJ63" s="179">
        <f t="shared" si="150"/>
        <v>6220.7714637800318</v>
      </c>
      <c r="FK63" s="179">
        <f t="shared" si="151"/>
        <v>4772.5685362199656</v>
      </c>
      <c r="FL63" s="204">
        <f t="shared" si="152"/>
        <v>6954.3731299773572</v>
      </c>
      <c r="FM63" s="206">
        <f t="shared" si="152"/>
        <v>5335.3868700226394</v>
      </c>
      <c r="FN63" s="202">
        <f t="shared" si="153"/>
        <v>12289.759999999997</v>
      </c>
      <c r="GG63">
        <f t="shared" si="159"/>
        <v>18</v>
      </c>
      <c r="GH63" s="63"/>
      <c r="GI63" s="63"/>
      <c r="GJ63" s="63">
        <f t="shared" si="161"/>
        <v>0</v>
      </c>
      <c r="GK63" s="63"/>
      <c r="GL63" s="63"/>
      <c r="GM63" s="63">
        <f t="shared" si="162"/>
        <v>0</v>
      </c>
      <c r="GN63" s="16">
        <v>17</v>
      </c>
      <c r="GO63" s="137"/>
      <c r="GP63" s="137"/>
      <c r="GQ63" s="176"/>
      <c r="GR63" s="176"/>
      <c r="GS63" s="176"/>
      <c r="GT63" s="399"/>
      <c r="GU63" s="400"/>
      <c r="HY63" s="16">
        <v>19</v>
      </c>
      <c r="HZ63" s="144">
        <f>DailyFeb!BV25+DailyFeb!BW25-DailyFeb!BX25-DailyFeb!BY25-DailyFeb!BZ25-DailyFeb!CA25</f>
        <v>9.9999986559851095E-5</v>
      </c>
      <c r="IA63" s="16">
        <v>70</v>
      </c>
      <c r="IB63" s="16">
        <f t="shared" si="154"/>
        <v>23.333333333333332</v>
      </c>
      <c r="IC63" s="16">
        <v>23.333300000000001</v>
      </c>
      <c r="IE63">
        <v>1</v>
      </c>
      <c r="IF63">
        <f t="shared" si="138"/>
        <v>10776.330000000013</v>
      </c>
      <c r="IM63">
        <f t="shared" si="139"/>
        <v>420.32999999997264</v>
      </c>
      <c r="IP63">
        <f t="shared" si="140"/>
        <v>286</v>
      </c>
      <c r="JE63">
        <f t="shared" si="141"/>
        <v>9721.3299999999726</v>
      </c>
    </row>
    <row r="64" spans="1:265" x14ac:dyDescent="0.25">
      <c r="A64" s="35">
        <v>19</v>
      </c>
      <c r="B64" s="138"/>
      <c r="C64" s="65"/>
      <c r="D64" s="37">
        <f t="shared" si="142"/>
        <v>0</v>
      </c>
      <c r="E64" s="16">
        <v>19261</v>
      </c>
      <c r="F64" s="16"/>
      <c r="G64" s="37">
        <f t="shared" si="143"/>
        <v>83000</v>
      </c>
      <c r="H64" s="138"/>
      <c r="I64" s="65"/>
      <c r="J64" s="37">
        <f t="shared" si="144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f t="shared" si="160"/>
        <v>18</v>
      </c>
      <c r="DQ64" s="50">
        <v>7.7019000000000002</v>
      </c>
      <c r="DR64" s="49">
        <f t="shared" si="163"/>
        <v>155.0000000000029</v>
      </c>
      <c r="DS64" s="50">
        <v>50.765000000000001</v>
      </c>
      <c r="DT64" s="49">
        <f t="shared" si="164"/>
        <v>164.99999999999915</v>
      </c>
      <c r="EZ64" s="203">
        <f t="shared" si="145"/>
        <v>10793.64</v>
      </c>
      <c r="FA64" s="205">
        <f t="shared" si="146"/>
        <v>2126.9699999999998</v>
      </c>
      <c r="FB64" s="201">
        <f t="shared" si="147"/>
        <v>12920.609999999999</v>
      </c>
      <c r="FC64" s="16"/>
      <c r="FD64" s="167">
        <f t="shared" si="148"/>
        <v>11624.189999999999</v>
      </c>
      <c r="FE64" s="16"/>
      <c r="FF64" s="199">
        <v>0.50433099053131525</v>
      </c>
      <c r="FG64" s="199">
        <v>0.49566900946868481</v>
      </c>
      <c r="FH64" s="16">
        <f t="shared" si="149"/>
        <v>653.82478274460777</v>
      </c>
      <c r="FI64" s="179">
        <f t="shared" si="149"/>
        <v>642.59521725539241</v>
      </c>
      <c r="FJ64" s="179">
        <f t="shared" si="150"/>
        <v>5862.4392568242083</v>
      </c>
      <c r="FK64" s="179">
        <f t="shared" si="151"/>
        <v>5761.7507431757904</v>
      </c>
      <c r="FL64" s="204">
        <f t="shared" si="152"/>
        <v>6516.2640395688159</v>
      </c>
      <c r="FM64" s="206">
        <f t="shared" si="152"/>
        <v>6404.3459604311829</v>
      </c>
      <c r="FN64" s="202">
        <f t="shared" si="153"/>
        <v>12920.609999999999</v>
      </c>
      <c r="GG64">
        <f t="shared" si="159"/>
        <v>19</v>
      </c>
      <c r="GH64" s="63"/>
      <c r="GI64" s="63"/>
      <c r="GJ64" s="63">
        <f t="shared" si="161"/>
        <v>0</v>
      </c>
      <c r="GK64" s="63"/>
      <c r="GL64" s="63"/>
      <c r="GM64" s="63">
        <f t="shared" si="162"/>
        <v>0</v>
      </c>
      <c r="GN64" s="16">
        <v>18</v>
      </c>
      <c r="GO64" s="137"/>
      <c r="GP64" s="137"/>
      <c r="GQ64" s="137"/>
      <c r="GR64" s="137"/>
      <c r="GS64" s="137"/>
      <c r="GT64" s="401"/>
      <c r="GU64" s="401"/>
      <c r="HY64" s="16">
        <v>20</v>
      </c>
      <c r="HZ64" s="144">
        <f>DailyFeb!BV26+DailyFeb!BW26-DailyFeb!BX26-DailyFeb!BY26-DailyFeb!BZ26-DailyFeb!CA26</f>
        <v>9.9999996746191755E-4</v>
      </c>
      <c r="IA64" s="16">
        <v>400</v>
      </c>
      <c r="IB64" s="16">
        <f t="shared" si="154"/>
        <v>133.33333333333334</v>
      </c>
      <c r="IC64" s="16">
        <v>133.333</v>
      </c>
    </row>
    <row r="65" spans="1:237" x14ac:dyDescent="0.25">
      <c r="A65" s="35">
        <v>20</v>
      </c>
      <c r="B65" s="138"/>
      <c r="C65" s="65"/>
      <c r="D65" s="37">
        <f t="shared" si="142"/>
        <v>0</v>
      </c>
      <c r="E65" s="145">
        <v>19349</v>
      </c>
      <c r="F65" s="16"/>
      <c r="G65" s="37">
        <f t="shared" si="143"/>
        <v>88000</v>
      </c>
      <c r="H65" s="138"/>
      <c r="I65" s="65"/>
      <c r="J65" s="37">
        <f t="shared" si="144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f t="shared" si="160"/>
        <v>19</v>
      </c>
      <c r="DQ65" s="50">
        <v>7.7165999999999997</v>
      </c>
      <c r="DR65" s="49">
        <f t="shared" si="163"/>
        <v>146.99999999999491</v>
      </c>
      <c r="DS65" s="50">
        <v>50.929000000000002</v>
      </c>
      <c r="DT65" s="49">
        <f t="shared" si="164"/>
        <v>164.00000000000148</v>
      </c>
      <c r="EZ65" s="203">
        <f t="shared" si="145"/>
        <v>12214.99</v>
      </c>
      <c r="FA65" s="205">
        <f t="shared" si="146"/>
        <v>1148.3200000000002</v>
      </c>
      <c r="FB65" s="201">
        <f t="shared" si="147"/>
        <v>13363.31</v>
      </c>
      <c r="FC65" s="16"/>
      <c r="FD65" s="167">
        <f t="shared" si="148"/>
        <v>12066.89</v>
      </c>
      <c r="FE65" s="16"/>
      <c r="FF65" s="199">
        <v>0.44610433869291705</v>
      </c>
      <c r="FG65" s="199">
        <v>0.5538956613070829</v>
      </c>
      <c r="FH65" s="16">
        <f t="shared" si="149"/>
        <v>578.33858676827151</v>
      </c>
      <c r="FI65" s="179">
        <f t="shared" si="149"/>
        <v>718.08141323172845</v>
      </c>
      <c r="FJ65" s="179">
        <f t="shared" si="150"/>
        <v>5383.0919835301738</v>
      </c>
      <c r="FK65" s="179">
        <f t="shared" si="151"/>
        <v>6683.7980164698256</v>
      </c>
      <c r="FL65" s="204">
        <f t="shared" si="152"/>
        <v>5961.4305702984457</v>
      </c>
      <c r="FM65" s="206">
        <f t="shared" si="152"/>
        <v>7401.8794297015538</v>
      </c>
      <c r="FN65" s="202">
        <f t="shared" si="153"/>
        <v>13363.31</v>
      </c>
      <c r="GG65">
        <f t="shared" si="159"/>
        <v>20</v>
      </c>
      <c r="GH65" s="63"/>
      <c r="GI65" s="63"/>
      <c r="GJ65" s="63">
        <f t="shared" si="161"/>
        <v>0</v>
      </c>
      <c r="GK65" s="63"/>
      <c r="GL65" s="63"/>
      <c r="GM65" s="63">
        <f t="shared" si="162"/>
        <v>0</v>
      </c>
      <c r="GN65" s="16">
        <v>19</v>
      </c>
      <c r="GO65" s="137"/>
      <c r="GP65" s="137"/>
      <c r="GQ65" s="137"/>
      <c r="GR65" s="137"/>
      <c r="GS65" s="137"/>
      <c r="GT65" s="401"/>
      <c r="GU65" s="401"/>
      <c r="HY65" s="16">
        <v>21</v>
      </c>
      <c r="HZ65" s="144">
        <f>DailyFeb!BV27+DailyFeb!BW27-DailyFeb!BX27-DailyFeb!BY27-DailyFeb!BZ27-DailyFeb!CA27</f>
        <v>-9.9999870144529268E-5</v>
      </c>
      <c r="IA65" s="16">
        <v>290</v>
      </c>
      <c r="IB65" s="16">
        <f t="shared" si="154"/>
        <v>96.666666666666671</v>
      </c>
      <c r="IC65" s="16">
        <v>96.666700000000006</v>
      </c>
    </row>
    <row r="66" spans="1:237" x14ac:dyDescent="0.25">
      <c r="A66" s="35">
        <v>21</v>
      </c>
      <c r="B66" s="138"/>
      <c r="C66" s="65"/>
      <c r="D66" s="37">
        <f t="shared" si="142"/>
        <v>0</v>
      </c>
      <c r="E66" s="16">
        <v>19433</v>
      </c>
      <c r="F66" s="16"/>
      <c r="G66" s="37">
        <f t="shared" si="143"/>
        <v>84000</v>
      </c>
      <c r="H66" s="138"/>
      <c r="I66" s="65"/>
      <c r="J66" s="37">
        <f t="shared" si="144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f t="shared" si="160"/>
        <v>20</v>
      </c>
      <c r="DQ66" s="50">
        <v>7.7287999999999997</v>
      </c>
      <c r="DR66" s="49">
        <f t="shared" si="163"/>
        <v>121.99999999999989</v>
      </c>
      <c r="DS66" s="50">
        <v>51.076999999999998</v>
      </c>
      <c r="DT66" s="49">
        <f t="shared" si="164"/>
        <v>147.99999999999613</v>
      </c>
      <c r="EZ66" s="203">
        <f t="shared" si="145"/>
        <v>13343.57</v>
      </c>
      <c r="FA66" s="205">
        <f t="shared" si="146"/>
        <v>1310.24</v>
      </c>
      <c r="FB66" s="201">
        <f t="shared" si="147"/>
        <v>14653.81</v>
      </c>
      <c r="FC66" s="16"/>
      <c r="FD66" s="167">
        <f t="shared" si="148"/>
        <v>13357.39</v>
      </c>
      <c r="FE66" s="16"/>
      <c r="FF66" s="199">
        <v>0.57465183225706062</v>
      </c>
      <c r="FG66" s="199">
        <v>0.42534816774293943</v>
      </c>
      <c r="FH66" s="16">
        <f t="shared" si="149"/>
        <v>744.99012837469854</v>
      </c>
      <c r="FI66" s="179">
        <f t="shared" si="149"/>
        <v>551.42987162530153</v>
      </c>
      <c r="FJ66" s="179">
        <f t="shared" si="150"/>
        <v>7675.8486376721385</v>
      </c>
      <c r="FK66" s="179">
        <f t="shared" si="151"/>
        <v>5681.5413623278619</v>
      </c>
      <c r="FL66" s="204">
        <f t="shared" si="152"/>
        <v>8420.8387660468361</v>
      </c>
      <c r="FM66" s="206">
        <f t="shared" si="152"/>
        <v>6232.9712339531634</v>
      </c>
      <c r="FN66" s="202">
        <f t="shared" si="153"/>
        <v>14653.81</v>
      </c>
      <c r="GG66">
        <f t="shared" si="159"/>
        <v>21</v>
      </c>
      <c r="GH66" s="63"/>
      <c r="GI66" s="63"/>
      <c r="GJ66" s="63">
        <f t="shared" si="161"/>
        <v>0</v>
      </c>
      <c r="GK66" s="63"/>
      <c r="GL66" s="63"/>
      <c r="GM66" s="63">
        <f t="shared" si="162"/>
        <v>0</v>
      </c>
      <c r="GN66" s="16">
        <v>20</v>
      </c>
      <c r="GO66" s="137"/>
      <c r="GP66" s="137"/>
      <c r="GQ66" s="176"/>
      <c r="GR66" s="176"/>
      <c r="GS66" s="176"/>
      <c r="GT66" s="399"/>
      <c r="GU66" s="400"/>
      <c r="HY66" s="16">
        <v>22</v>
      </c>
      <c r="HZ66" s="144">
        <f>DailyFeb!BV28+DailyFeb!BW28-DailyFeb!BX28-DailyFeb!BY28-DailyFeb!BZ28-DailyFeb!CA28</f>
        <v>9.9998687801416963E-6</v>
      </c>
      <c r="IA66" s="16">
        <v>10</v>
      </c>
      <c r="IB66" s="16">
        <f t="shared" si="154"/>
        <v>3.3333333333333335</v>
      </c>
      <c r="IC66" s="16">
        <v>3.3333300000000001</v>
      </c>
    </row>
    <row r="67" spans="1:237" x14ac:dyDescent="0.25">
      <c r="A67" s="35">
        <v>22</v>
      </c>
      <c r="B67" s="138"/>
      <c r="C67" s="65"/>
      <c r="D67" s="37">
        <f t="shared" si="142"/>
        <v>0</v>
      </c>
      <c r="E67" s="16">
        <v>19520</v>
      </c>
      <c r="F67" s="16"/>
      <c r="G67" s="37">
        <f t="shared" si="143"/>
        <v>87000</v>
      </c>
      <c r="H67" s="138"/>
      <c r="I67" s="65"/>
      <c r="J67" s="37">
        <f t="shared" si="144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f t="shared" si="160"/>
        <v>21</v>
      </c>
      <c r="DQ67" s="50">
        <v>7.7427999999999999</v>
      </c>
      <c r="DR67" s="49">
        <f t="shared" si="163"/>
        <v>140.00000000000233</v>
      </c>
      <c r="DS67" s="50">
        <v>51.198999999999998</v>
      </c>
      <c r="DT67" s="49">
        <f t="shared" si="164"/>
        <v>121.99999999999989</v>
      </c>
      <c r="EZ67" s="203">
        <f t="shared" si="145"/>
        <v>12371.18</v>
      </c>
      <c r="FA67" s="205">
        <f t="shared" si="146"/>
        <v>1304.51</v>
      </c>
      <c r="FB67" s="201">
        <f t="shared" si="147"/>
        <v>13675.69</v>
      </c>
      <c r="FC67" s="16"/>
      <c r="FD67" s="167">
        <f t="shared" si="148"/>
        <v>12379.27</v>
      </c>
      <c r="FE67" s="16"/>
      <c r="FF67" s="199">
        <v>0.66652394303946072</v>
      </c>
      <c r="FG67" s="199">
        <v>0.33347605696053917</v>
      </c>
      <c r="FH67" s="16">
        <f t="shared" si="149"/>
        <v>864.09497023521772</v>
      </c>
      <c r="FI67" s="179">
        <f t="shared" si="149"/>
        <v>432.32502976478219</v>
      </c>
      <c r="FJ67" s="179">
        <f t="shared" si="150"/>
        <v>8251.0798523501053</v>
      </c>
      <c r="FK67" s="179">
        <f t="shared" si="151"/>
        <v>4128.1901476498942</v>
      </c>
      <c r="FL67" s="204">
        <f t="shared" si="152"/>
        <v>9115.1748225853225</v>
      </c>
      <c r="FM67" s="206">
        <f t="shared" si="152"/>
        <v>4560.5151774146761</v>
      </c>
      <c r="FN67" s="202">
        <f t="shared" si="153"/>
        <v>13675.689999999999</v>
      </c>
      <c r="GG67">
        <f t="shared" si="159"/>
        <v>22</v>
      </c>
      <c r="GH67" s="63"/>
      <c r="GI67" s="63"/>
      <c r="GJ67" s="63">
        <f t="shared" si="161"/>
        <v>0</v>
      </c>
      <c r="GK67" s="63"/>
      <c r="GL67" s="63"/>
      <c r="GM67" s="63">
        <f t="shared" si="162"/>
        <v>0</v>
      </c>
      <c r="GN67" s="16">
        <v>21</v>
      </c>
      <c r="GO67" s="137"/>
      <c r="GP67" s="16"/>
      <c r="GQ67" s="10"/>
      <c r="GR67" s="10"/>
      <c r="GS67" s="10"/>
      <c r="GT67" s="399"/>
      <c r="GU67" s="400"/>
      <c r="HY67" s="16">
        <v>23</v>
      </c>
      <c r="HZ67" s="144">
        <f>DailyFeb!BV29+DailyFeb!BW29-DailyFeb!BX29-DailyFeb!BY29-DailyFeb!BZ29-DailyFeb!CA29</f>
        <v>-1.0000000274885679E-3</v>
      </c>
      <c r="IA67" s="16">
        <v>380</v>
      </c>
      <c r="IB67" s="16">
        <f t="shared" si="154"/>
        <v>126.66666666666667</v>
      </c>
      <c r="IC67" s="16">
        <v>126.667</v>
      </c>
    </row>
    <row r="68" spans="1:237" x14ac:dyDescent="0.25">
      <c r="A68" s="35">
        <v>23</v>
      </c>
      <c r="B68" s="138"/>
      <c r="C68" s="65"/>
      <c r="D68" s="37">
        <f t="shared" si="142"/>
        <v>0</v>
      </c>
      <c r="E68" s="16">
        <v>19607</v>
      </c>
      <c r="F68" s="16"/>
      <c r="G68" s="37">
        <f t="shared" si="143"/>
        <v>87000</v>
      </c>
      <c r="H68" s="138"/>
      <c r="I68" s="65"/>
      <c r="J68" s="37">
        <f t="shared" si="144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f t="shared" si="160"/>
        <v>22</v>
      </c>
      <c r="DQ68" s="50">
        <v>7.7561999999999998</v>
      </c>
      <c r="DR68" s="49">
        <f t="shared" si="163"/>
        <v>133.99999999999858</v>
      </c>
      <c r="DS68" s="50">
        <v>51.3</v>
      </c>
      <c r="DT68" s="49">
        <f t="shared" si="164"/>
        <v>100.99999999999909</v>
      </c>
      <c r="EZ68" s="203">
        <f t="shared" si="145"/>
        <v>12626.67</v>
      </c>
      <c r="FA68" s="205">
        <f t="shared" si="146"/>
        <v>1926.67</v>
      </c>
      <c r="FB68" s="201">
        <f t="shared" si="147"/>
        <v>14553.34</v>
      </c>
      <c r="FC68" s="16"/>
      <c r="FD68" s="167">
        <f t="shared" si="148"/>
        <v>13256.92</v>
      </c>
      <c r="FE68" s="16"/>
      <c r="FF68" s="199">
        <v>0.54687840369450624</v>
      </c>
      <c r="FG68" s="199">
        <v>0.45312159630549381</v>
      </c>
      <c r="FH68" s="16">
        <f t="shared" si="149"/>
        <v>708.98410011763178</v>
      </c>
      <c r="FI68" s="179">
        <f t="shared" si="149"/>
        <v>587.43589988236829</v>
      </c>
      <c r="FJ68" s="179">
        <f t="shared" si="150"/>
        <v>7249.9232475057734</v>
      </c>
      <c r="FK68" s="179">
        <f t="shared" si="151"/>
        <v>6006.9967524942267</v>
      </c>
      <c r="FL68" s="204">
        <f t="shared" si="152"/>
        <v>7958.9073476234053</v>
      </c>
      <c r="FM68" s="206">
        <f t="shared" si="152"/>
        <v>6594.4326523765949</v>
      </c>
      <c r="FN68" s="202">
        <f t="shared" si="153"/>
        <v>14553.34</v>
      </c>
      <c r="GG68">
        <f t="shared" si="159"/>
        <v>23</v>
      </c>
      <c r="GH68" s="63"/>
      <c r="GI68" s="63"/>
      <c r="GJ68" s="63">
        <f t="shared" si="161"/>
        <v>0</v>
      </c>
      <c r="GK68" s="63"/>
      <c r="GL68" s="63"/>
      <c r="GM68" s="63">
        <f t="shared" si="162"/>
        <v>0</v>
      </c>
      <c r="GN68" s="16">
        <v>22</v>
      </c>
      <c r="GO68" s="137"/>
      <c r="GP68" s="137"/>
      <c r="GQ68" s="176"/>
      <c r="GR68" s="176"/>
      <c r="GS68" s="176"/>
      <c r="GT68" s="399"/>
      <c r="GU68" s="400"/>
      <c r="HY68" s="16">
        <v>24</v>
      </c>
      <c r="HZ68" s="144">
        <f>DailyFeb!BV30+DailyFeb!BW30-DailyFeb!BX30-DailyFeb!BY30-DailyFeb!BZ30-DailyFeb!CA30</f>
        <v>7.6397554948925972E-11</v>
      </c>
      <c r="IA68" s="16">
        <v>330</v>
      </c>
      <c r="IB68" s="16">
        <f t="shared" si="154"/>
        <v>110</v>
      </c>
      <c r="IC68" s="16">
        <v>110</v>
      </c>
    </row>
    <row r="69" spans="1:237" x14ac:dyDescent="0.25">
      <c r="A69" s="35">
        <v>24</v>
      </c>
      <c r="B69" s="138"/>
      <c r="C69" s="65"/>
      <c r="D69" s="37">
        <f t="shared" si="142"/>
        <v>0</v>
      </c>
      <c r="E69" s="16">
        <v>19693</v>
      </c>
      <c r="F69" s="16"/>
      <c r="G69" s="37">
        <f t="shared" si="143"/>
        <v>86000</v>
      </c>
      <c r="H69" s="138"/>
      <c r="I69" s="65"/>
      <c r="J69" s="37">
        <f t="shared" si="144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f t="shared" si="160"/>
        <v>23</v>
      </c>
      <c r="DQ69" s="50">
        <v>7.7641</v>
      </c>
      <c r="DR69" s="49">
        <f t="shared" si="163"/>
        <v>79.000000000002402</v>
      </c>
      <c r="DS69" s="50">
        <v>51.348999999999997</v>
      </c>
      <c r="DT69" s="49">
        <f t="shared" si="164"/>
        <v>48.999999999999488</v>
      </c>
      <c r="EZ69" s="203">
        <f t="shared" si="145"/>
        <v>12590.77</v>
      </c>
      <c r="FA69" s="205">
        <f t="shared" si="146"/>
        <v>1890.77</v>
      </c>
      <c r="FB69" s="201">
        <f t="shared" si="147"/>
        <v>14481.54</v>
      </c>
      <c r="FC69" s="16"/>
      <c r="FD69" s="167">
        <f t="shared" si="148"/>
        <v>13185.12</v>
      </c>
      <c r="FE69" s="16"/>
      <c r="FF69" s="199">
        <v>0.70381253106452646</v>
      </c>
      <c r="FG69" s="199">
        <v>0.29618746893547349</v>
      </c>
      <c r="FH69" s="16">
        <f t="shared" si="149"/>
        <v>912.43664152267343</v>
      </c>
      <c r="FI69" s="179">
        <f t="shared" si="149"/>
        <v>383.98335847732653</v>
      </c>
      <c r="FJ69" s="179">
        <f t="shared" si="150"/>
        <v>9279.8526795895104</v>
      </c>
      <c r="FK69" s="179">
        <f t="shared" si="151"/>
        <v>3905.2673204104904</v>
      </c>
      <c r="FL69" s="204">
        <f t="shared" si="152"/>
        <v>10192.289321112185</v>
      </c>
      <c r="FM69" s="206">
        <f t="shared" si="152"/>
        <v>4289.2506788878172</v>
      </c>
      <c r="FN69" s="202">
        <f t="shared" si="153"/>
        <v>14481.54</v>
      </c>
      <c r="GG69">
        <f t="shared" si="159"/>
        <v>24</v>
      </c>
      <c r="GH69" s="63"/>
      <c r="GI69" s="63"/>
      <c r="GJ69" s="63">
        <f t="shared" si="161"/>
        <v>0</v>
      </c>
      <c r="GK69" s="63"/>
      <c r="GL69" s="63"/>
      <c r="GM69" s="63">
        <f t="shared" si="162"/>
        <v>0</v>
      </c>
      <c r="GN69" s="16">
        <v>23</v>
      </c>
      <c r="GO69" s="137"/>
      <c r="GP69" s="137"/>
      <c r="GQ69" s="176"/>
      <c r="GR69" s="176"/>
      <c r="GS69" s="176"/>
      <c r="GT69" s="399"/>
      <c r="GU69" s="400"/>
      <c r="HY69" s="16">
        <v>25</v>
      </c>
      <c r="HZ69" s="144">
        <f>DailyFeb!BV31+DailyFeb!BW31-DailyFeb!BX31-DailyFeb!BY31-DailyFeb!BZ31-DailyFeb!CA31</f>
        <v>1.0000000133004505E-2</v>
      </c>
      <c r="IA69" s="16">
        <v>-320</v>
      </c>
      <c r="IB69" s="16">
        <f t="shared" si="154"/>
        <v>-106.66666666666667</v>
      </c>
      <c r="IC69" s="16">
        <v>-106.67</v>
      </c>
    </row>
    <row r="70" spans="1:237" x14ac:dyDescent="0.25">
      <c r="A70" s="35">
        <v>25</v>
      </c>
      <c r="B70" s="138"/>
      <c r="C70" s="65"/>
      <c r="D70" s="37">
        <f t="shared" si="142"/>
        <v>0</v>
      </c>
      <c r="E70" s="16">
        <v>19782</v>
      </c>
      <c r="F70" s="16"/>
      <c r="G70" s="37">
        <f t="shared" si="143"/>
        <v>89000</v>
      </c>
      <c r="H70" s="138"/>
      <c r="I70" s="65"/>
      <c r="J70" s="37">
        <f t="shared" si="144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f t="shared" si="160"/>
        <v>24</v>
      </c>
      <c r="DQ70" s="50">
        <v>7.7750000000000004</v>
      </c>
      <c r="DR70" s="49">
        <f t="shared" si="163"/>
        <v>109.00000000000354</v>
      </c>
      <c r="DS70" s="50">
        <v>51.348999999999997</v>
      </c>
      <c r="DT70" s="49">
        <f t="shared" si="164"/>
        <v>0</v>
      </c>
      <c r="EZ70" s="203">
        <f t="shared" si="145"/>
        <v>13772.72</v>
      </c>
      <c r="FA70" s="205">
        <f t="shared" si="146"/>
        <v>2406.0500000000002</v>
      </c>
      <c r="FB70" s="201">
        <f t="shared" si="147"/>
        <v>16178.77</v>
      </c>
      <c r="FC70" s="16"/>
      <c r="FD70" s="167">
        <f t="shared" si="148"/>
        <v>14882.35</v>
      </c>
      <c r="FE70" s="16"/>
      <c r="FF70" s="199">
        <v>0.52682931952569512</v>
      </c>
      <c r="FG70" s="199">
        <v>0.47317068047430499</v>
      </c>
      <c r="FH70" s="16">
        <f t="shared" si="149"/>
        <v>682.99206641950173</v>
      </c>
      <c r="FI70" s="179">
        <f t="shared" si="149"/>
        <v>613.42793358049846</v>
      </c>
      <c r="FJ70" s="179">
        <f t="shared" si="150"/>
        <v>7840.4583234432293</v>
      </c>
      <c r="FK70" s="179">
        <f t="shared" si="151"/>
        <v>7041.8916765567728</v>
      </c>
      <c r="FL70" s="204">
        <f t="shared" si="152"/>
        <v>8523.4503898627318</v>
      </c>
      <c r="FM70" s="206">
        <f t="shared" si="152"/>
        <v>7655.3196101372714</v>
      </c>
      <c r="FN70" s="202">
        <f t="shared" si="153"/>
        <v>16178.770000000004</v>
      </c>
      <c r="GG70">
        <f t="shared" si="159"/>
        <v>25</v>
      </c>
      <c r="GH70" s="63"/>
      <c r="GI70" s="63"/>
      <c r="GJ70" s="63">
        <f t="shared" si="161"/>
        <v>0</v>
      </c>
      <c r="GK70" s="63"/>
      <c r="GL70" s="63"/>
      <c r="GM70" s="63">
        <f t="shared" si="162"/>
        <v>0</v>
      </c>
      <c r="GN70" s="16">
        <v>23</v>
      </c>
      <c r="GO70" s="137"/>
      <c r="GP70" s="137"/>
      <c r="GQ70" s="176"/>
      <c r="GR70" s="176"/>
      <c r="GS70" s="176"/>
      <c r="GT70" s="399"/>
      <c r="GU70" s="400"/>
      <c r="HY70" s="16">
        <v>26</v>
      </c>
      <c r="HZ70" s="144">
        <f>DailyFeb!BV32+DailyFeb!BW32-DailyFeb!BX32-DailyFeb!BY32-DailyFeb!BZ32-DailyFeb!CA32</f>
        <v>9.9999999583815224E-3</v>
      </c>
      <c r="IA70" s="16">
        <v>3850</v>
      </c>
      <c r="IB70" s="16">
        <f t="shared" si="154"/>
        <v>1283.3333333333333</v>
      </c>
      <c r="IC70" s="16">
        <v>1283.33</v>
      </c>
    </row>
    <row r="71" spans="1:237" x14ac:dyDescent="0.25">
      <c r="A71" s="35">
        <v>26</v>
      </c>
      <c r="B71" s="138"/>
      <c r="C71" s="65"/>
      <c r="D71" s="37">
        <f t="shared" si="142"/>
        <v>0</v>
      </c>
      <c r="E71" s="16">
        <v>19866</v>
      </c>
      <c r="F71" s="16"/>
      <c r="G71" s="37">
        <f t="shared" si="143"/>
        <v>84000</v>
      </c>
      <c r="H71" s="138"/>
      <c r="I71" s="65"/>
      <c r="J71" s="37">
        <f t="shared" si="144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f t="shared" si="160"/>
        <v>25</v>
      </c>
      <c r="DQ71" s="50">
        <v>7.7910000000000004</v>
      </c>
      <c r="DR71" s="49">
        <f t="shared" si="163"/>
        <v>160.00000000000014</v>
      </c>
      <c r="DS71" s="50">
        <v>51.348999999999997</v>
      </c>
      <c r="DT71" s="49">
        <f t="shared" si="164"/>
        <v>0</v>
      </c>
      <c r="EZ71" s="203">
        <f t="shared" si="145"/>
        <v>8473.69</v>
      </c>
      <c r="FA71" s="205">
        <f t="shared" si="146"/>
        <v>2440.36</v>
      </c>
      <c r="FB71" s="201">
        <f t="shared" si="147"/>
        <v>10914.050000000001</v>
      </c>
      <c r="FC71" s="16"/>
      <c r="FD71" s="167">
        <f t="shared" si="148"/>
        <v>9617.630000000001</v>
      </c>
      <c r="FE71" s="16"/>
      <c r="FF71" s="199">
        <v>0.52673293055284864</v>
      </c>
      <c r="FG71" s="199">
        <v>0.4732670694471513</v>
      </c>
      <c r="FH71" s="16">
        <f t="shared" si="149"/>
        <v>682.86710582732405</v>
      </c>
      <c r="FI71" s="179">
        <f t="shared" si="149"/>
        <v>613.55289417267591</v>
      </c>
      <c r="FJ71" s="179">
        <f t="shared" si="150"/>
        <v>5065.922434872994</v>
      </c>
      <c r="FK71" s="179">
        <f t="shared" si="151"/>
        <v>4551.7075651270061</v>
      </c>
      <c r="FL71" s="204">
        <f t="shared" si="152"/>
        <v>5748.789540700318</v>
      </c>
      <c r="FM71" s="206">
        <f t="shared" si="152"/>
        <v>5165.2604592996822</v>
      </c>
      <c r="FN71" s="202">
        <f t="shared" si="153"/>
        <v>10914.05</v>
      </c>
      <c r="GG71">
        <f t="shared" si="159"/>
        <v>26</v>
      </c>
      <c r="GH71" s="63"/>
      <c r="GI71" s="63"/>
      <c r="GJ71" s="63">
        <f t="shared" si="161"/>
        <v>0</v>
      </c>
      <c r="GK71" s="63"/>
      <c r="GL71" s="63"/>
      <c r="GM71" s="63">
        <f t="shared" si="162"/>
        <v>0</v>
      </c>
      <c r="GN71" s="34">
        <v>24</v>
      </c>
      <c r="GO71" s="137"/>
      <c r="GP71" s="137"/>
      <c r="GQ71" s="176"/>
      <c r="GR71" s="176"/>
      <c r="GS71" s="176"/>
      <c r="GT71" s="399"/>
      <c r="GU71" s="400"/>
      <c r="HY71" s="16">
        <v>27</v>
      </c>
      <c r="HZ71" s="144">
        <f>DailyFeb!BV33+DailyFeb!BW33-DailyFeb!BX33-DailyFeb!BY33-DailyFeb!BZ33-DailyFeb!CA33</f>
        <v>9.9999998928979039E-3</v>
      </c>
      <c r="IA71" s="16">
        <v>-2840</v>
      </c>
      <c r="IB71" s="16">
        <f t="shared" si="154"/>
        <v>-946.66666666666663</v>
      </c>
      <c r="IC71" s="16">
        <v>-946.67</v>
      </c>
    </row>
    <row r="72" spans="1:237" x14ac:dyDescent="0.25">
      <c r="A72" s="35">
        <v>27</v>
      </c>
      <c r="B72" s="138"/>
      <c r="C72" s="65"/>
      <c r="D72" s="37">
        <f t="shared" si="142"/>
        <v>0</v>
      </c>
      <c r="E72" s="16">
        <v>19947</v>
      </c>
      <c r="F72" s="16"/>
      <c r="G72" s="37">
        <f t="shared" si="143"/>
        <v>81000</v>
      </c>
      <c r="H72" s="138"/>
      <c r="I72" s="65"/>
      <c r="J72" s="37">
        <f t="shared" si="144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f t="shared" si="160"/>
        <v>26</v>
      </c>
      <c r="DQ72" s="50">
        <v>7.8052999999999999</v>
      </c>
      <c r="DR72" s="49">
        <f t="shared" si="163"/>
        <v>142.99999999999534</v>
      </c>
      <c r="DS72" s="50">
        <v>51.348999999999997</v>
      </c>
      <c r="DT72" s="49">
        <f t="shared" si="164"/>
        <v>0</v>
      </c>
      <c r="EZ72" s="203">
        <f t="shared" si="145"/>
        <v>11634.17</v>
      </c>
      <c r="FA72" s="205">
        <f t="shared" si="146"/>
        <v>8634.17</v>
      </c>
      <c r="FB72" s="201">
        <f t="shared" si="147"/>
        <v>20268.34</v>
      </c>
      <c r="FC72" s="16"/>
      <c r="FD72" s="167">
        <f t="shared" si="148"/>
        <v>18971.919999999998</v>
      </c>
      <c r="FE72" s="16"/>
      <c r="FF72" s="199">
        <v>0.52845016607689466</v>
      </c>
      <c r="FG72" s="199">
        <v>0.47154983392310529</v>
      </c>
      <c r="FH72" s="16">
        <f t="shared" si="149"/>
        <v>685.09336430540782</v>
      </c>
      <c r="FI72" s="179">
        <f t="shared" si="149"/>
        <v>611.32663569459214</v>
      </c>
      <c r="FJ72" s="179">
        <f t="shared" si="150"/>
        <v>10025.714274797558</v>
      </c>
      <c r="FK72" s="179">
        <f t="shared" si="151"/>
        <v>8946.2057252024388</v>
      </c>
      <c r="FL72" s="204">
        <f t="shared" si="152"/>
        <v>10710.807639102966</v>
      </c>
      <c r="FM72" s="206">
        <f t="shared" si="152"/>
        <v>9557.5323608970302</v>
      </c>
      <c r="FN72" s="202">
        <f t="shared" si="153"/>
        <v>20268.339999999997</v>
      </c>
      <c r="GG72">
        <f t="shared" si="159"/>
        <v>27</v>
      </c>
      <c r="GH72" s="63"/>
      <c r="GI72" s="63"/>
      <c r="GJ72" s="63">
        <f t="shared" si="161"/>
        <v>0</v>
      </c>
      <c r="GK72" s="63"/>
      <c r="GL72" s="63"/>
      <c r="GM72" s="63">
        <f t="shared" si="162"/>
        <v>0</v>
      </c>
      <c r="GN72" s="16">
        <v>25</v>
      </c>
      <c r="GO72" s="137"/>
      <c r="GP72" s="137"/>
      <c r="GQ72" s="176"/>
      <c r="GR72" s="176"/>
      <c r="GS72" s="176"/>
      <c r="GT72" s="399"/>
      <c r="GU72" s="400"/>
      <c r="HY72" s="16">
        <v>28</v>
      </c>
      <c r="HZ72" s="144">
        <f>DailyFeb!BV34+DailyFeb!BW34-DailyFeb!BX34-DailyFeb!BY34-DailyFeb!BZ34-DailyFeb!CA34</f>
        <v>1.0000000191212166E-2</v>
      </c>
      <c r="IA72" s="16">
        <v>-560</v>
      </c>
      <c r="IB72" s="16">
        <f t="shared" si="154"/>
        <v>-186.66666666666666</v>
      </c>
      <c r="IC72" s="16">
        <v>-186.67</v>
      </c>
    </row>
    <row r="73" spans="1:237" x14ac:dyDescent="0.25">
      <c r="A73" s="35">
        <v>28</v>
      </c>
      <c r="B73" s="138"/>
      <c r="C73" s="65"/>
      <c r="D73" s="37">
        <f t="shared" si="142"/>
        <v>0</v>
      </c>
      <c r="E73" s="16">
        <v>20032</v>
      </c>
      <c r="F73" s="16"/>
      <c r="G73" s="37">
        <f t="shared" si="143"/>
        <v>85000</v>
      </c>
      <c r="H73" s="138"/>
      <c r="I73" s="65"/>
      <c r="J73" s="37">
        <f t="shared" si="144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f t="shared" si="160"/>
        <v>27</v>
      </c>
      <c r="DQ73" s="50">
        <v>7.8175999999999997</v>
      </c>
      <c r="DR73" s="49">
        <f t="shared" si="163"/>
        <v>122.99999999999756</v>
      </c>
      <c r="DS73" s="50">
        <v>51.348999999999997</v>
      </c>
      <c r="DT73" s="49">
        <f t="shared" si="164"/>
        <v>0</v>
      </c>
      <c r="EZ73" s="203">
        <f t="shared" si="145"/>
        <v>0</v>
      </c>
      <c r="FA73" s="205">
        <f t="shared" si="146"/>
        <v>0</v>
      </c>
      <c r="FB73" s="201">
        <f t="shared" si="147"/>
        <v>0</v>
      </c>
      <c r="FC73" s="16"/>
      <c r="FD73" s="167">
        <f t="shared" si="148"/>
        <v>-1296.42</v>
      </c>
      <c r="FE73" s="16"/>
      <c r="FF73" s="199">
        <v>0.50745825222825536</v>
      </c>
      <c r="FG73" s="199">
        <v>0.4925417477717447</v>
      </c>
      <c r="FH73" s="16">
        <f t="shared" si="149"/>
        <v>657.87902735375485</v>
      </c>
      <c r="FI73" s="179">
        <f t="shared" si="149"/>
        <v>638.54097264624534</v>
      </c>
      <c r="FJ73" s="179">
        <f t="shared" si="150"/>
        <v>-657.87902735375485</v>
      </c>
      <c r="FK73" s="179">
        <f t="shared" si="151"/>
        <v>-638.54097264624534</v>
      </c>
      <c r="FL73" s="204">
        <f t="shared" si="152"/>
        <v>0</v>
      </c>
      <c r="FM73" s="206">
        <f t="shared" si="152"/>
        <v>0</v>
      </c>
      <c r="FN73" s="202">
        <f t="shared" si="153"/>
        <v>0</v>
      </c>
      <c r="GG73">
        <f t="shared" si="159"/>
        <v>28</v>
      </c>
      <c r="GH73" s="63"/>
      <c r="GI73" s="63"/>
      <c r="GJ73" s="63">
        <f t="shared" si="161"/>
        <v>0</v>
      </c>
      <c r="GK73" s="63"/>
      <c r="GL73" s="63"/>
      <c r="GM73" s="63">
        <f t="shared" si="162"/>
        <v>0</v>
      </c>
      <c r="GN73" s="16">
        <v>26</v>
      </c>
      <c r="GO73" s="137"/>
      <c r="GP73" s="137"/>
      <c r="GQ73" s="176"/>
      <c r="GR73" s="176"/>
      <c r="GS73" s="176"/>
      <c r="GT73" s="399"/>
      <c r="GU73" s="400"/>
      <c r="HY73" s="16">
        <v>1</v>
      </c>
      <c r="HZ73" s="144">
        <f>DailyFeb!BV35+DailyFeb!BW35-DailyFeb!BX35-DailyFeb!BY35-DailyFeb!BZ35-DailyFeb!CA35</f>
        <v>0</v>
      </c>
      <c r="IA73" s="16"/>
      <c r="IB73" s="16">
        <f t="shared" si="154"/>
        <v>0</v>
      </c>
      <c r="IC73" s="16"/>
    </row>
    <row r="74" spans="1:237" x14ac:dyDescent="0.25">
      <c r="A74" s="35">
        <v>1</v>
      </c>
      <c r="B74" s="138"/>
      <c r="C74" s="65"/>
      <c r="D74" s="37">
        <f t="shared" si="142"/>
        <v>0</v>
      </c>
      <c r="E74" s="16"/>
      <c r="F74" s="16"/>
      <c r="G74" s="37">
        <f t="shared" si="143"/>
        <v>0</v>
      </c>
      <c r="H74" s="138"/>
      <c r="I74" s="65"/>
      <c r="J74" s="37">
        <f t="shared" si="144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f t="shared" si="160"/>
        <v>28</v>
      </c>
      <c r="DQ74" s="50">
        <v>7.8282999999999996</v>
      </c>
      <c r="DR74" s="49">
        <f t="shared" si="163"/>
        <v>106.99999999999932</v>
      </c>
      <c r="DS74" s="50">
        <v>51.348999999999997</v>
      </c>
      <c r="DT74" s="49">
        <f t="shared" si="164"/>
        <v>0</v>
      </c>
      <c r="EZ74" s="203">
        <f t="shared" si="145"/>
        <v>0</v>
      </c>
      <c r="FA74" s="205">
        <f t="shared" si="146"/>
        <v>0</v>
      </c>
      <c r="FB74" s="201">
        <f t="shared" si="147"/>
        <v>0</v>
      </c>
      <c r="FC74" s="16"/>
      <c r="FD74" s="167">
        <f t="shared" si="148"/>
        <v>-1296.42</v>
      </c>
      <c r="FE74" s="16"/>
      <c r="FF74" s="16"/>
      <c r="FG74" s="16"/>
      <c r="FH74" s="16"/>
      <c r="FI74" s="179"/>
      <c r="FJ74" s="16"/>
      <c r="FK74" s="16"/>
      <c r="FL74" s="16"/>
      <c r="FM74" s="16"/>
      <c r="FN74" s="16"/>
      <c r="GG74">
        <f t="shared" si="159"/>
        <v>29</v>
      </c>
      <c r="GH74" s="63"/>
      <c r="GI74" s="63"/>
      <c r="GJ74" s="63">
        <f t="shared" si="161"/>
        <v>0</v>
      </c>
      <c r="GK74" s="63"/>
      <c r="GL74" s="63"/>
      <c r="GM74" s="63">
        <f t="shared" si="162"/>
        <v>0</v>
      </c>
      <c r="GN74" s="16">
        <v>27</v>
      </c>
      <c r="GO74" s="137"/>
      <c r="GP74" s="137"/>
      <c r="GQ74" s="176"/>
      <c r="GR74" s="176"/>
      <c r="GS74" s="176"/>
      <c r="GT74" s="399"/>
      <c r="GU74" s="400"/>
      <c r="HY74" s="16" t="s">
        <v>37</v>
      </c>
      <c r="HZ74" s="128">
        <f>SUM(HZ45:HZ73)</f>
        <v>3.9900000183479278E-2</v>
      </c>
      <c r="IA74" s="16"/>
      <c r="IB74" s="16"/>
      <c r="IC74" s="16"/>
    </row>
    <row r="75" spans="1:237" x14ac:dyDescent="0.25">
      <c r="A75" s="35"/>
      <c r="B75" s="138"/>
      <c r="C75" s="65"/>
      <c r="D75" s="37">
        <f t="shared" si="142"/>
        <v>0</v>
      </c>
      <c r="E75" s="16"/>
      <c r="F75" s="16"/>
      <c r="G75" s="37">
        <f t="shared" si="143"/>
        <v>0</v>
      </c>
      <c r="H75" s="138"/>
      <c r="I75" s="65"/>
      <c r="J75" s="37">
        <f t="shared" si="144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1</v>
      </c>
      <c r="DQ75" s="50">
        <v>7.8381999999999996</v>
      </c>
      <c r="DR75" s="49">
        <f t="shared" si="163"/>
        <v>99.000000000000199</v>
      </c>
      <c r="DS75" s="50">
        <v>51.348999999999997</v>
      </c>
      <c r="DT75" s="49">
        <f t="shared" si="164"/>
        <v>0</v>
      </c>
      <c r="EZ75" s="167">
        <f t="shared" si="145"/>
        <v>0</v>
      </c>
      <c r="FA75" s="167">
        <f t="shared" si="146"/>
        <v>0</v>
      </c>
      <c r="FB75" s="167">
        <f t="shared" si="147"/>
        <v>0</v>
      </c>
      <c r="FC75" s="16"/>
      <c r="FD75" s="167">
        <f t="shared" si="148"/>
        <v>-1296.42</v>
      </c>
      <c r="FE75" s="16"/>
      <c r="FF75" s="16"/>
      <c r="FG75" s="16"/>
      <c r="FH75" s="16"/>
      <c r="FI75" s="179"/>
      <c r="FJ75" s="16"/>
      <c r="FK75" s="16"/>
      <c r="FL75" s="16"/>
      <c r="FM75" s="16"/>
      <c r="FN75" s="16"/>
      <c r="GG75">
        <f t="shared" si="159"/>
        <v>30</v>
      </c>
      <c r="GH75" s="63"/>
      <c r="GI75" s="63"/>
      <c r="GJ75" s="63">
        <f t="shared" si="161"/>
        <v>0</v>
      </c>
      <c r="GK75" s="63"/>
      <c r="GL75" s="63"/>
      <c r="GM75" s="63">
        <f t="shared" si="162"/>
        <v>0</v>
      </c>
      <c r="GN75" s="16">
        <v>28</v>
      </c>
      <c r="GO75" s="137"/>
      <c r="GP75" s="137"/>
      <c r="GQ75" s="176"/>
      <c r="GR75" s="176"/>
      <c r="GS75" s="176"/>
      <c r="GT75" s="399"/>
      <c r="GU75" s="400"/>
    </row>
    <row r="76" spans="1:237" x14ac:dyDescent="0.25">
      <c r="A76" s="35"/>
      <c r="B76" s="138"/>
      <c r="C76" s="65"/>
      <c r="D76" s="37">
        <f t="shared" si="142"/>
        <v>0</v>
      </c>
      <c r="E76" s="16"/>
      <c r="F76" s="16"/>
      <c r="G76" s="37">
        <f t="shared" si="143"/>
        <v>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Q76" s="50"/>
      <c r="DR76" s="49">
        <f t="shared" si="163"/>
        <v>0</v>
      </c>
      <c r="DS76" s="50"/>
      <c r="DT76" s="49">
        <f t="shared" si="164"/>
        <v>0</v>
      </c>
      <c r="EZ76" s="91"/>
      <c r="GH76" s="63"/>
      <c r="GI76" s="63"/>
      <c r="GJ76" s="63"/>
      <c r="GK76" s="63"/>
      <c r="GL76" s="63"/>
      <c r="GM76" s="63"/>
      <c r="GN76" s="16">
        <v>29</v>
      </c>
      <c r="GO76" s="137"/>
      <c r="GP76" s="137"/>
      <c r="GQ76" s="176"/>
      <c r="GR76" s="176"/>
      <c r="GS76" s="176"/>
      <c r="GT76" s="155"/>
      <c r="GU76" s="156"/>
    </row>
    <row r="77" spans="1:237" ht="15.75" thickBot="1" x14ac:dyDescent="0.3">
      <c r="A77" s="157"/>
      <c r="B77" s="138"/>
      <c r="C77" s="65"/>
      <c r="D77" s="37">
        <f t="shared" si="142"/>
        <v>0</v>
      </c>
      <c r="E77" s="16"/>
      <c r="F77" s="16"/>
      <c r="G77" s="37">
        <f t="shared" si="143"/>
        <v>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Q77" s="50"/>
      <c r="DR77" s="49">
        <f t="shared" si="163"/>
        <v>0</v>
      </c>
      <c r="DS77" s="50"/>
      <c r="DT77" s="49">
        <f t="shared" si="164"/>
        <v>0</v>
      </c>
      <c r="EZ77" s="91"/>
      <c r="GH77" s="63"/>
      <c r="GI77" s="63"/>
      <c r="GJ77" s="63"/>
      <c r="GK77" s="63"/>
      <c r="GL77" s="63"/>
      <c r="GM77" s="63"/>
      <c r="GN77" s="16">
        <v>30</v>
      </c>
      <c r="GO77" s="137"/>
      <c r="GP77" s="137"/>
      <c r="GQ77" s="176"/>
      <c r="GR77" s="176"/>
      <c r="GS77" s="176"/>
      <c r="GT77" s="155"/>
      <c r="GU77" s="156"/>
    </row>
    <row r="78" spans="1:237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2375000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Q78" s="50"/>
      <c r="DR78" s="49">
        <f t="shared" si="163"/>
        <v>0</v>
      </c>
      <c r="DS78" s="50"/>
      <c r="DT78" s="49">
        <f t="shared" si="164"/>
        <v>0</v>
      </c>
      <c r="EZ78" s="91"/>
      <c r="GG78">
        <v>1</v>
      </c>
      <c r="GH78" s="63"/>
      <c r="GI78" s="63"/>
      <c r="GJ78" s="63" t="e">
        <f>GH78-#REF!</f>
        <v>#REF!</v>
      </c>
      <c r="GK78" s="63"/>
      <c r="GL78" s="63"/>
      <c r="GM78" s="63" t="e">
        <f>GK78-#REF!</f>
        <v>#REF!</v>
      </c>
      <c r="GN78" s="16">
        <v>31</v>
      </c>
      <c r="GO78" s="137"/>
      <c r="GP78" s="137"/>
      <c r="GQ78" s="137"/>
      <c r="GR78" s="137"/>
      <c r="GS78" s="137"/>
      <c r="GT78" s="401"/>
      <c r="GU78" s="401"/>
    </row>
    <row r="79" spans="1:237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3216.9999999999991</v>
      </c>
      <c r="DS79" s="84"/>
      <c r="DT79" s="85">
        <f>SUMIF(DT47:DT78,"&gt;0")</f>
        <v>2742.999999999995</v>
      </c>
      <c r="EZ79" s="91"/>
      <c r="GN79" s="16">
        <v>1</v>
      </c>
      <c r="GO79" s="137"/>
      <c r="GP79" s="137"/>
      <c r="GQ79" s="137"/>
      <c r="GR79" s="137"/>
      <c r="GS79" s="137"/>
      <c r="GT79" s="401"/>
      <c r="GU79" s="401"/>
    </row>
    <row r="80" spans="1:237" x14ac:dyDescent="0.25">
      <c r="B80" t="s">
        <v>197</v>
      </c>
      <c r="F80" s="1" t="s">
        <v>198</v>
      </c>
      <c r="J80" s="189" t="s">
        <v>212</v>
      </c>
      <c r="K80" s="190"/>
      <c r="L80" s="191"/>
      <c r="M80" s="75"/>
      <c r="O80" s="62"/>
      <c r="P80" s="24"/>
      <c r="Q80" s="24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B47</f>
        <v>0</v>
      </c>
      <c r="F81" t="s">
        <v>173</v>
      </c>
      <c r="H81" s="146">
        <f>E72</f>
        <v>19947</v>
      </c>
      <c r="J81" s="192" t="s">
        <v>213</v>
      </c>
      <c r="K81" s="193"/>
      <c r="L81" s="194">
        <f>[3]Master!$AU$34</f>
        <v>528422</v>
      </c>
      <c r="M81" s="24"/>
      <c r="P81" s="74"/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v>0</v>
      </c>
      <c r="F82" t="s">
        <v>174</v>
      </c>
      <c r="H82" s="148">
        <f>Jan!E75</f>
        <v>17568</v>
      </c>
      <c r="J82" s="192" t="s">
        <v>214</v>
      </c>
      <c r="K82" s="195"/>
      <c r="L82" s="196">
        <f>[1]Master!$AT$37</f>
        <v>509939</v>
      </c>
      <c r="M82" s="24"/>
      <c r="O82" s="62"/>
      <c r="P82" s="24"/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</f>
        <v>0</v>
      </c>
      <c r="E83" t="s">
        <v>176</v>
      </c>
      <c r="F83" t="s">
        <v>175</v>
      </c>
      <c r="H83" s="104">
        <f>(H81-H82)*1000</f>
        <v>2379000</v>
      </c>
      <c r="I83" t="s">
        <v>176</v>
      </c>
      <c r="J83" s="192" t="s">
        <v>175</v>
      </c>
      <c r="K83" s="192"/>
      <c r="L83" s="197">
        <f>L81-L82</f>
        <v>18483</v>
      </c>
      <c r="M83" s="24" t="s">
        <v>215</v>
      </c>
      <c r="O83" s="62"/>
      <c r="P83" s="24"/>
      <c r="Q83" s="24"/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customSheetViews>
    <customSheetView guid="{48545DB9-4D9D-4699-ACEC-DA6E2D3586A8}" scale="82" fitToPage="1" hiddenRows="1" hiddenColumns="1">
      <pane xSplit="1" ySplit="6" topLeftCell="GI16" activePane="bottomRight" state="frozen"/>
      <selection pane="bottomRight" activeCell="GX5" sqref="GX5"/>
      <pageMargins left="0.70866141732283472" right="0.70866141732283472" top="0.74803149606299213" bottom="0.74803149606299213" header="0.31496062992125984" footer="0.31496062992125984"/>
      <pageSetup scale="10" orientation="landscape" r:id="rId1"/>
    </customSheetView>
    <customSheetView guid="{32ABFE17-599B-4D0B-A1DB-D95B181877FC}" scale="82" fitToPage="1" hiddenRows="1" hiddenColumns="1">
      <pane xSplit="1" ySplit="6" topLeftCell="GI7" activePane="bottomRight" state="frozen"/>
      <selection pane="bottomRight" activeCell="GX5" sqref="GX5"/>
      <pageMargins left="0.70866141732283472" right="0.70866141732283472" top="0.74803149606299213" bottom="0.74803149606299213" header="0.31496062992125984" footer="0.31496062992125984"/>
      <pageSetup scale="10" orientation="landscape" r:id="rId2"/>
    </customSheetView>
  </customSheetViews>
  <mergeCells count="185">
    <mergeCell ref="HH3:JV3"/>
    <mergeCell ref="EE3:EM3"/>
    <mergeCell ref="IY5:JA5"/>
    <mergeCell ref="JB5:JD5"/>
    <mergeCell ref="IM4:JD4"/>
    <mergeCell ref="IA5:IC5"/>
    <mergeCell ref="ID5:IF5"/>
    <mergeCell ref="IG5:II5"/>
    <mergeCell ref="IJ5:IL5"/>
    <mergeCell ref="IA4:IL4"/>
    <mergeCell ref="IM5:IO5"/>
    <mergeCell ref="IP5:IR5"/>
    <mergeCell ref="IS5:IU5"/>
    <mergeCell ref="IV5:IX5"/>
    <mergeCell ref="FV4:FX4"/>
    <mergeCell ref="FY4:GG4"/>
    <mergeCell ref="HZ4:HZ5"/>
    <mergeCell ref="JE4:JV4"/>
    <mergeCell ref="JE5:JG5"/>
    <mergeCell ref="JH5:JJ5"/>
    <mergeCell ref="JK5:JM5"/>
    <mergeCell ref="JN5:JP5"/>
    <mergeCell ref="JQ5:JS5"/>
    <mergeCell ref="JT5:JV5"/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GQ3:GS3"/>
    <mergeCell ref="O4:AI4"/>
    <mergeCell ref="AK4:AK5"/>
    <mergeCell ref="AL4:BC4"/>
    <mergeCell ref="BD4:BD5"/>
    <mergeCell ref="BE4:BG5"/>
    <mergeCell ref="BK4:BL5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DU4:DW4"/>
    <mergeCell ref="DX4:DZ4"/>
    <mergeCell ref="EE4:EG4"/>
    <mergeCell ref="EH4:EJ4"/>
    <mergeCell ref="EK4:EM4"/>
    <mergeCell ref="EK5:EM5"/>
    <mergeCell ref="DC5:DF5"/>
    <mergeCell ref="DU5:DW5"/>
    <mergeCell ref="DX5:DZ5"/>
    <mergeCell ref="EA5:EC5"/>
    <mergeCell ref="EA4:EC4"/>
    <mergeCell ref="B5:D5"/>
    <mergeCell ref="E5:F5"/>
    <mergeCell ref="H5:K5"/>
    <mergeCell ref="L5:N5"/>
    <mergeCell ref="O5:Q5"/>
    <mergeCell ref="CE5:CF5"/>
    <mergeCell ref="BM4:BN5"/>
    <mergeCell ref="BO4:BP5"/>
    <mergeCell ref="BS4:BT4"/>
    <mergeCell ref="AC5:AF5"/>
    <mergeCell ref="AG5:AJ5"/>
    <mergeCell ref="AL5:AO5"/>
    <mergeCell ref="AP5:AS5"/>
    <mergeCell ref="AT5:AU5"/>
    <mergeCell ref="AV5:AW5"/>
    <mergeCell ref="AX5:AZ5"/>
    <mergeCell ref="S5:T5"/>
    <mergeCell ref="U5:V5"/>
    <mergeCell ref="W5:X5"/>
    <mergeCell ref="Y5:Z5"/>
    <mergeCell ref="AA5:AB5"/>
    <mergeCell ref="CM5:CP5"/>
    <mergeCell ref="CQ5:CT5"/>
    <mergeCell ref="CU5:CX5"/>
    <mergeCell ref="CY5:DB5"/>
    <mergeCell ref="BA5:BC5"/>
    <mergeCell ref="BS5:BT5"/>
    <mergeCell ref="BU5:BX5"/>
    <mergeCell ref="BY5:CB5"/>
    <mergeCell ref="CC5:CD5"/>
    <mergeCell ref="CG5:CH5"/>
    <mergeCell ref="BU41:BW41"/>
    <mergeCell ref="BY41:CA41"/>
    <mergeCell ref="DU41:DW41"/>
    <mergeCell ref="DX41:DZ41"/>
    <mergeCell ref="EA41:EC41"/>
    <mergeCell ref="FH5:FJ5"/>
    <mergeCell ref="FN5:FP5"/>
    <mergeCell ref="FQ5:FS5"/>
    <mergeCell ref="FV6:FX6"/>
    <mergeCell ref="EO5:EQ5"/>
    <mergeCell ref="ER5:ET5"/>
    <mergeCell ref="EU5:EW5"/>
    <mergeCell ref="EX5:EZ5"/>
    <mergeCell ref="FB5:FC5"/>
    <mergeCell ref="EO41:EQ41"/>
    <mergeCell ref="ER41:ET41"/>
    <mergeCell ref="EU41:EZ41"/>
    <mergeCell ref="FE41:FG41"/>
    <mergeCell ref="FH41:FJ41"/>
    <mergeCell ref="FO41:FQ41"/>
    <mergeCell ref="FE5:FG5"/>
    <mergeCell ref="EE5:EG5"/>
    <mergeCell ref="EH5:EJ5"/>
    <mergeCell ref="CI5:CL5"/>
    <mergeCell ref="GE6:GG6"/>
    <mergeCell ref="GH6:GJ6"/>
    <mergeCell ref="GK6:GM6"/>
    <mergeCell ref="FB43:FB44"/>
    <mergeCell ref="EW45:EX45"/>
    <mergeCell ref="GT45:GU45"/>
    <mergeCell ref="GO46:GP46"/>
    <mergeCell ref="FO47:FP48"/>
    <mergeCell ref="GT47:GU47"/>
    <mergeCell ref="FY48:FZ48"/>
    <mergeCell ref="GT48:GU48"/>
    <mergeCell ref="GU6:GX6"/>
    <mergeCell ref="FY6:GA6"/>
    <mergeCell ref="GB6:GD6"/>
    <mergeCell ref="AP48:AS48"/>
    <mergeCell ref="EE48:EG48"/>
    <mergeCell ref="EH48:EJ48"/>
    <mergeCell ref="EK48:EM48"/>
    <mergeCell ref="EV48:EW48"/>
    <mergeCell ref="FW48:FX48"/>
    <mergeCell ref="DQ42:DT42"/>
    <mergeCell ref="FF42:FG43"/>
    <mergeCell ref="FH42:FI43"/>
    <mergeCell ref="FJ42:FK43"/>
    <mergeCell ref="FL42:FM43"/>
    <mergeCell ref="FN42:FN44"/>
    <mergeCell ref="DQ43:DR45"/>
    <mergeCell ref="DS43:DT45"/>
    <mergeCell ref="EZ43:EZ44"/>
    <mergeCell ref="FA43:FA44"/>
    <mergeCell ref="GT78:GU78"/>
    <mergeCell ref="GT79:GU79"/>
    <mergeCell ref="GT68:GU68"/>
    <mergeCell ref="GT69:GU69"/>
    <mergeCell ref="GT70:GU70"/>
    <mergeCell ref="GT71:GU71"/>
    <mergeCell ref="GT72:GU72"/>
    <mergeCell ref="GT73:GU73"/>
    <mergeCell ref="GT62:GU62"/>
    <mergeCell ref="GT63:GU63"/>
    <mergeCell ref="GT64:GU64"/>
    <mergeCell ref="GT65:GU65"/>
    <mergeCell ref="GT66:GU66"/>
    <mergeCell ref="GT67:GU67"/>
    <mergeCell ref="GT75:GU75"/>
    <mergeCell ref="GT74:GU74"/>
    <mergeCell ref="GT57:GU57"/>
    <mergeCell ref="GT58:GU58"/>
    <mergeCell ref="GT59:GU59"/>
    <mergeCell ref="GT60:GU60"/>
    <mergeCell ref="GT61:GU61"/>
    <mergeCell ref="GT50:GU50"/>
    <mergeCell ref="GT51:GU51"/>
    <mergeCell ref="GT52:GU52"/>
    <mergeCell ref="GT53:GU53"/>
    <mergeCell ref="GT54:GU54"/>
    <mergeCell ref="GT55:GU55"/>
    <mergeCell ref="GY6:HB6"/>
    <mergeCell ref="HN4:HY4"/>
    <mergeCell ref="HK4:HM4"/>
    <mergeCell ref="HH4:HJ4"/>
    <mergeCell ref="HN5:HP5"/>
    <mergeCell ref="HQ5:HS5"/>
    <mergeCell ref="HT5:HV5"/>
    <mergeCell ref="HW5:HY5"/>
    <mergeCell ref="GT56:GU56"/>
    <mergeCell ref="HG4:HG6"/>
  </mergeCells>
  <pageMargins left="0.70866141732283472" right="0.70866141732283472" top="0.74803149606299213" bottom="0.74803149606299213" header="0.31496062992125984" footer="0.31496062992125984"/>
  <pageSetup scale="10" orientation="landscape"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2:CA68"/>
  <sheetViews>
    <sheetView zoomScale="85" zoomScaleNormal="85" workbookViewId="0">
      <pane xSplit="1" ySplit="6" topLeftCell="BA10" activePane="bottomRight" state="frozen"/>
      <selection pane="topRight" activeCell="B1" sqref="B1"/>
      <selection pane="bottomLeft" activeCell="A7" sqref="A7"/>
      <selection pane="bottomRight" activeCell="BV27" sqref="BV27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customWidth="1"/>
    <col min="16" max="16" width="10.7109375" customWidth="1"/>
    <col min="17" max="17" width="10.85546875" customWidth="1"/>
    <col min="18" max="18" width="10.5703125" customWidth="1"/>
    <col min="19" max="19" width="11.28515625" customWidth="1"/>
    <col min="20" max="20" width="10.85546875" customWidth="1"/>
    <col min="21" max="21" width="11.28515625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2" width="10.42578125" customWidth="1"/>
    <col min="33" max="33" width="12.7109375" customWidth="1"/>
    <col min="34" max="34" width="10.85546875" hidden="1" customWidth="1"/>
    <col min="35" max="36" width="11.285156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2.42578125" bestFit="1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2.42578125" bestFit="1" customWidth="1"/>
    <col min="46" max="46" width="11.28515625" customWidth="1"/>
    <col min="47" max="47" width="11.42578125" customWidth="1"/>
    <col min="48" max="48" width="12" customWidth="1"/>
    <col min="49" max="50" width="11.28515625" customWidth="1"/>
    <col min="51" max="51" width="12.42578125" bestFit="1" customWidth="1"/>
    <col min="52" max="52" width="11.28515625" customWidth="1"/>
    <col min="53" max="53" width="11.42578125" customWidth="1"/>
    <col min="54" max="55" width="11.28515625" customWidth="1"/>
    <col min="56" max="56" width="12.42578125" bestFit="1" customWidth="1"/>
    <col min="57" max="57" width="10.7109375" customWidth="1"/>
    <col min="58" max="60" width="3.7109375" customWidth="1"/>
    <col min="61" max="62" width="10.7109375" customWidth="1"/>
    <col min="63" max="63" width="3.7109375" customWidth="1"/>
    <col min="64" max="64" width="10.7109375" customWidth="1"/>
    <col min="65" max="70" width="3.7109375" customWidth="1"/>
    <col min="71" max="71" width="14.42578125" bestFit="1" customWidth="1"/>
    <col min="72" max="72" width="58.42578125" bestFit="1" customWidth="1"/>
    <col min="73" max="73" width="16.140625" customWidth="1"/>
    <col min="74" max="74" width="11.7109375" customWidth="1"/>
    <col min="75" max="75" width="9.140625" customWidth="1"/>
    <col min="76" max="78" width="10.5703125" customWidth="1"/>
    <col min="79" max="79" width="12.5703125" customWidth="1"/>
    <col min="80" max="80" width="9.140625" customWidth="1"/>
  </cols>
  <sheetData>
    <row r="2" spans="1:79" ht="26.25" x14ac:dyDescent="0.4">
      <c r="A2" s="499" t="s">
        <v>294</v>
      </c>
      <c r="B2" s="499"/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499"/>
      <c r="O2" s="499"/>
      <c r="P2" s="499"/>
      <c r="Q2" s="499"/>
      <c r="R2" s="499"/>
      <c r="S2" s="499"/>
      <c r="T2" s="499"/>
      <c r="U2" s="499"/>
      <c r="V2" s="499"/>
      <c r="W2" s="499"/>
      <c r="X2" s="499"/>
      <c r="Y2" s="499"/>
      <c r="Z2" s="499"/>
      <c r="AA2" s="499"/>
      <c r="AB2" s="499"/>
      <c r="AC2" s="499"/>
      <c r="AD2" s="499"/>
      <c r="AE2" s="499"/>
      <c r="AF2" s="499"/>
      <c r="AG2" s="499"/>
      <c r="AH2" s="499"/>
      <c r="AI2" s="499"/>
      <c r="AJ2" s="499"/>
      <c r="AK2" s="499"/>
      <c r="AL2" s="499"/>
      <c r="AM2" s="499"/>
      <c r="AN2" s="499"/>
      <c r="AO2" s="499"/>
      <c r="AP2" s="499"/>
      <c r="AQ2" s="499"/>
      <c r="AR2" s="499"/>
      <c r="AS2" s="499"/>
      <c r="AT2" s="499"/>
      <c r="AU2" s="499"/>
      <c r="AV2" s="499"/>
      <c r="AW2" s="499"/>
      <c r="AX2" s="499"/>
      <c r="AY2" s="499"/>
      <c r="AZ2" s="499"/>
      <c r="BA2" s="499"/>
      <c r="BB2" s="499"/>
      <c r="BC2" s="499"/>
      <c r="BD2" s="499"/>
      <c r="BE2" s="499"/>
      <c r="BF2" s="499"/>
      <c r="BG2" s="499"/>
      <c r="BH2" s="499"/>
      <c r="BI2" s="499"/>
      <c r="BJ2" s="499"/>
      <c r="BK2" s="499"/>
      <c r="BL2" s="499"/>
      <c r="BM2" s="499"/>
      <c r="BN2" s="499"/>
      <c r="BO2" s="499"/>
      <c r="BP2" s="499"/>
      <c r="BQ2" s="499"/>
      <c r="BR2" s="499"/>
      <c r="BS2" s="499"/>
    </row>
    <row r="4" spans="1:79" ht="15" customHeight="1" x14ac:dyDescent="0.25">
      <c r="A4" s="448" t="s">
        <v>1</v>
      </c>
      <c r="B4" s="455" t="s">
        <v>118</v>
      </c>
      <c r="C4" s="455" t="s">
        <v>119</v>
      </c>
      <c r="D4" s="465" t="s">
        <v>4</v>
      </c>
      <c r="E4" s="466"/>
      <c r="F4" s="466"/>
      <c r="G4" s="466"/>
      <c r="H4" s="466"/>
      <c r="I4" s="466"/>
      <c r="J4" s="466"/>
      <c r="K4" s="466"/>
      <c r="L4" s="466"/>
      <c r="M4" s="467"/>
      <c r="N4" s="468" t="s">
        <v>120</v>
      </c>
      <c r="O4" s="110"/>
      <c r="P4" s="110"/>
      <c r="Q4" s="110"/>
      <c r="R4" s="110"/>
      <c r="S4" s="110" t="s">
        <v>121</v>
      </c>
      <c r="T4" s="110"/>
      <c r="U4" s="110"/>
      <c r="V4" s="476" t="s">
        <v>121</v>
      </c>
      <c r="W4" s="460" t="s">
        <v>122</v>
      </c>
      <c r="X4" s="460"/>
      <c r="Y4" s="459" t="s">
        <v>123</v>
      </c>
      <c r="Z4" s="461" t="s">
        <v>124</v>
      </c>
      <c r="AA4" s="462" t="s">
        <v>125</v>
      </c>
      <c r="AB4" s="463" t="s">
        <v>126</v>
      </c>
      <c r="AC4" s="456" t="s">
        <v>127</v>
      </c>
      <c r="AD4" s="457" t="s">
        <v>200</v>
      </c>
      <c r="AE4" s="457" t="s">
        <v>223</v>
      </c>
      <c r="AF4" s="457" t="s">
        <v>248</v>
      </c>
      <c r="AG4" s="457" t="s">
        <v>249</v>
      </c>
      <c r="AH4" s="458" t="s">
        <v>128</v>
      </c>
      <c r="AI4" s="458"/>
      <c r="AJ4" s="458"/>
      <c r="AK4" s="454" t="s">
        <v>129</v>
      </c>
      <c r="AL4" s="454" t="s">
        <v>130</v>
      </c>
      <c r="AM4" s="454"/>
      <c r="AN4" s="454"/>
      <c r="AO4" s="454" t="s">
        <v>14</v>
      </c>
      <c r="AP4" s="459" t="s">
        <v>131</v>
      </c>
      <c r="AQ4" s="459"/>
      <c r="AR4" s="459"/>
      <c r="AS4" s="459" t="s">
        <v>17</v>
      </c>
      <c r="AT4" s="453" t="s">
        <v>132</v>
      </c>
      <c r="AU4" s="453"/>
      <c r="AV4" s="453"/>
      <c r="AW4" s="453"/>
      <c r="AX4" s="111"/>
      <c r="AY4" s="453" t="s">
        <v>15</v>
      </c>
      <c r="AZ4" s="453" t="s">
        <v>133</v>
      </c>
      <c r="BA4" s="453"/>
      <c r="BB4" s="453"/>
      <c r="BC4" s="111"/>
      <c r="BD4" s="453" t="s">
        <v>16</v>
      </c>
      <c r="BE4" s="477" t="s">
        <v>201</v>
      </c>
      <c r="BF4" s="478"/>
      <c r="BG4" s="478"/>
      <c r="BH4" s="479"/>
      <c r="BI4" s="483" t="s">
        <v>134</v>
      </c>
      <c r="BJ4" s="483"/>
      <c r="BK4" s="483"/>
      <c r="BL4" s="483"/>
      <c r="BM4" s="484" t="s">
        <v>19</v>
      </c>
      <c r="BN4" s="485"/>
      <c r="BO4" s="485"/>
      <c r="BP4" s="485"/>
      <c r="BQ4" s="486"/>
      <c r="BR4" s="455" t="s">
        <v>293</v>
      </c>
      <c r="BS4" s="455" t="s">
        <v>190</v>
      </c>
      <c r="BV4" s="455" t="s">
        <v>278</v>
      </c>
      <c r="BW4" s="455" t="s">
        <v>279</v>
      </c>
      <c r="BX4" s="455" t="s">
        <v>204</v>
      </c>
      <c r="BY4" s="455" t="s">
        <v>260</v>
      </c>
      <c r="BZ4" s="455" t="s">
        <v>261</v>
      </c>
      <c r="CA4" s="455" t="s">
        <v>280</v>
      </c>
    </row>
    <row r="5" spans="1:79" x14ac:dyDescent="0.25">
      <c r="A5" s="448"/>
      <c r="B5" s="455"/>
      <c r="C5" s="455"/>
      <c r="D5" s="471" t="s">
        <v>135</v>
      </c>
      <c r="E5" s="472"/>
      <c r="F5" s="472"/>
      <c r="G5" s="472"/>
      <c r="H5" s="472"/>
      <c r="I5" s="473"/>
      <c r="J5" s="474" t="s">
        <v>136</v>
      </c>
      <c r="K5" s="475"/>
      <c r="L5" s="474" t="s">
        <v>55</v>
      </c>
      <c r="M5" s="475"/>
      <c r="N5" s="469"/>
      <c r="O5" s="110"/>
      <c r="P5" s="110"/>
      <c r="Q5" s="110"/>
      <c r="R5" s="110"/>
      <c r="S5" s="110"/>
      <c r="T5" s="110"/>
      <c r="U5" s="110"/>
      <c r="V5" s="476"/>
      <c r="W5" s="460"/>
      <c r="X5" s="460"/>
      <c r="Y5" s="459"/>
      <c r="Z5" s="461"/>
      <c r="AA5" s="462"/>
      <c r="AB5" s="463"/>
      <c r="AC5" s="456"/>
      <c r="AD5" s="457"/>
      <c r="AE5" s="457"/>
      <c r="AF5" s="457"/>
      <c r="AG5" s="457"/>
      <c r="AH5" s="112"/>
      <c r="AI5" s="112"/>
      <c r="AJ5" s="112"/>
      <c r="AK5" s="454"/>
      <c r="AL5" s="113"/>
      <c r="AM5" s="113"/>
      <c r="AN5" s="113"/>
      <c r="AO5" s="454"/>
      <c r="AP5" s="114"/>
      <c r="AQ5" s="114"/>
      <c r="AR5" s="114"/>
      <c r="AS5" s="459"/>
      <c r="AT5" s="111"/>
      <c r="AU5" s="111"/>
      <c r="AV5" s="111"/>
      <c r="AW5" s="111"/>
      <c r="AX5" s="111"/>
      <c r="AY5" s="453"/>
      <c r="AZ5" s="111"/>
      <c r="BA5" s="111"/>
      <c r="BB5" s="111"/>
      <c r="BC5" s="111"/>
      <c r="BD5" s="453"/>
      <c r="BE5" s="480"/>
      <c r="BF5" s="481"/>
      <c r="BG5" s="481"/>
      <c r="BH5" s="482"/>
      <c r="BI5" s="483"/>
      <c r="BJ5" s="483"/>
      <c r="BK5" s="483"/>
      <c r="BL5" s="483"/>
      <c r="BM5" s="487"/>
      <c r="BN5" s="488"/>
      <c r="BO5" s="488"/>
      <c r="BP5" s="488"/>
      <c r="BQ5" s="489"/>
      <c r="BR5" s="455"/>
      <c r="BS5" s="455"/>
      <c r="BV5" s="455"/>
      <c r="BW5" s="455"/>
      <c r="BX5" s="455"/>
      <c r="BY5" s="455"/>
      <c r="BZ5" s="455"/>
      <c r="CA5" s="455"/>
    </row>
    <row r="6" spans="1:79" ht="60" x14ac:dyDescent="0.25">
      <c r="A6" s="448"/>
      <c r="B6" s="455"/>
      <c r="C6" s="455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70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76"/>
      <c r="W6" s="120" t="s">
        <v>62</v>
      </c>
      <c r="X6" s="121" t="s">
        <v>63</v>
      </c>
      <c r="Y6" s="459"/>
      <c r="Z6" s="461"/>
      <c r="AA6" s="462"/>
      <c r="AB6" s="463"/>
      <c r="AC6" s="456"/>
      <c r="AD6" s="457"/>
      <c r="AE6" s="457"/>
      <c r="AF6" s="457"/>
      <c r="AG6" s="457"/>
      <c r="AH6" s="112" t="s">
        <v>66</v>
      </c>
      <c r="AI6" s="112" t="s">
        <v>67</v>
      </c>
      <c r="AJ6" s="112" t="s">
        <v>147</v>
      </c>
      <c r="AK6" s="454"/>
      <c r="AL6" s="122" t="s">
        <v>148</v>
      </c>
      <c r="AM6" s="122" t="s">
        <v>149</v>
      </c>
      <c r="AN6" s="122" t="s">
        <v>150</v>
      </c>
      <c r="AO6" s="454"/>
      <c r="AP6" s="114" t="s">
        <v>99</v>
      </c>
      <c r="AQ6" s="114" t="s">
        <v>100</v>
      </c>
      <c r="AR6" s="114" t="s">
        <v>151</v>
      </c>
      <c r="AS6" s="459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453"/>
      <c r="AZ6" s="111" t="s">
        <v>152</v>
      </c>
      <c r="BA6" s="111" t="s">
        <v>153</v>
      </c>
      <c r="BB6" s="111" t="s">
        <v>155</v>
      </c>
      <c r="BC6" s="111" t="s">
        <v>151</v>
      </c>
      <c r="BD6" s="453"/>
      <c r="BE6" s="123" t="s">
        <v>157</v>
      </c>
      <c r="BF6" s="123" t="s">
        <v>130</v>
      </c>
      <c r="BG6" s="123" t="s">
        <v>132</v>
      </c>
      <c r="BH6" s="123" t="s">
        <v>133</v>
      </c>
      <c r="BI6" s="123" t="s">
        <v>157</v>
      </c>
      <c r="BJ6" s="123" t="s">
        <v>130</v>
      </c>
      <c r="BK6" s="123" t="s">
        <v>132</v>
      </c>
      <c r="BL6" s="123" t="s">
        <v>133</v>
      </c>
      <c r="BM6" s="175" t="s">
        <v>157</v>
      </c>
      <c r="BN6" s="175" t="s">
        <v>128</v>
      </c>
      <c r="BO6" s="175" t="s">
        <v>130</v>
      </c>
      <c r="BP6" s="175" t="s">
        <v>132</v>
      </c>
      <c r="BQ6" s="175" t="s">
        <v>133</v>
      </c>
      <c r="BR6" s="455"/>
      <c r="BS6" s="455"/>
      <c r="BV6" s="455"/>
      <c r="BW6" s="455"/>
      <c r="BX6" s="455"/>
      <c r="BY6" s="455"/>
      <c r="BZ6" s="455"/>
      <c r="CA6" s="455"/>
    </row>
    <row r="7" spans="1:79" x14ac:dyDescent="0.25">
      <c r="A7" s="124">
        <v>1</v>
      </c>
      <c r="B7" s="42">
        <f>Feb!G8</f>
        <v>275199.99999999709</v>
      </c>
      <c r="C7" s="42">
        <f>Feb!N8</f>
        <v>273000</v>
      </c>
      <c r="D7" s="42">
        <f>Feb!T8</f>
        <v>0</v>
      </c>
      <c r="E7" s="42">
        <f>Feb!V8</f>
        <v>0</v>
      </c>
      <c r="F7" s="42">
        <f>Feb!AB8</f>
        <v>5110</v>
      </c>
      <c r="G7" s="42">
        <f>Feb!X8</f>
        <v>8390</v>
      </c>
      <c r="H7" s="42">
        <f>Feb!AE8</f>
        <v>7300.0000000001819</v>
      </c>
      <c r="I7" s="42">
        <f>Feb!AI8</f>
        <v>15550.719999999636</v>
      </c>
      <c r="J7" s="42">
        <f>Feb!AN8</f>
        <v>3940.7199999996901</v>
      </c>
      <c r="K7" s="42">
        <f>Feb!AR8</f>
        <v>9099.9999999994543</v>
      </c>
      <c r="L7" s="42">
        <f>Feb!AZ8</f>
        <v>19.679999999993015</v>
      </c>
      <c r="M7" s="42">
        <f>Feb!BC8</f>
        <v>19.376000000003842</v>
      </c>
      <c r="N7" s="125">
        <f t="shared" ref="N7" si="0">SUM(D7:M7)</f>
        <v>49430.495999998959</v>
      </c>
      <c r="O7" s="125">
        <f>Feb!CA8</f>
        <v>820.00000000005002</v>
      </c>
      <c r="P7" s="125">
        <f>Feb!CD8</f>
        <v>2690</v>
      </c>
      <c r="Q7" s="125">
        <f>Feb!CF8</f>
        <v>0</v>
      </c>
      <c r="R7" s="125">
        <f>Feb!CH8</f>
        <v>738</v>
      </c>
      <c r="S7" s="125">
        <f>Feb!CK8</f>
        <v>16330.71999999995</v>
      </c>
      <c r="T7" s="125">
        <f>Feb!CO8</f>
        <v>6350.7199999998184</v>
      </c>
      <c r="U7" s="125">
        <f>Feb!CS8</f>
        <v>6450.7200000001822</v>
      </c>
      <c r="V7" s="126">
        <f>SUM(O7:U7)</f>
        <v>33380.160000000003</v>
      </c>
      <c r="W7" s="126">
        <f>Feb!CW8</f>
        <v>19900</v>
      </c>
      <c r="X7" s="126">
        <f>Feb!DA8</f>
        <v>11500</v>
      </c>
      <c r="Y7" s="126">
        <f t="shared" ref="Y7:Y36" si="1">W7+X7</f>
        <v>31400</v>
      </c>
      <c r="Z7" s="42">
        <f>Feb!BR8</f>
        <v>599.99999999990905</v>
      </c>
      <c r="AA7" s="126">
        <f>Feb!BG8</f>
        <v>2400.0000000000909</v>
      </c>
      <c r="AB7" s="126">
        <f>Feb!BJ8</f>
        <v>9800.0000000001819</v>
      </c>
      <c r="AC7" s="126">
        <f>Feb!BL8+Feb!BN8</f>
        <v>4510.0000000000364</v>
      </c>
      <c r="AD7" s="126">
        <f>Feb!DR8</f>
        <v>10300</v>
      </c>
      <c r="AE7" s="127">
        <f>Feb!DT8-Feb!DR48-Feb!DT48</f>
        <v>12297</v>
      </c>
      <c r="AF7" s="127">
        <f>Feb!DR48+Feb!DT48</f>
        <v>202.9999999999994</v>
      </c>
      <c r="AG7" s="127">
        <f>Feb!HE8</f>
        <v>31432.185999997266</v>
      </c>
      <c r="AH7" s="127">
        <f>Feb!DW8</f>
        <v>3500</v>
      </c>
      <c r="AI7" s="127">
        <f>Feb!DZ8</f>
        <v>5150.72</v>
      </c>
      <c r="AJ7" s="127">
        <f>Feb!EC8</f>
        <v>18310.72</v>
      </c>
      <c r="AK7" s="127">
        <f>SUM(AH7:AJ7)</f>
        <v>26961.440000000002</v>
      </c>
      <c r="AL7" s="127">
        <f>Feb!EG8</f>
        <v>35310.720000000001</v>
      </c>
      <c r="AM7" s="127">
        <f>Feb!EJ8</f>
        <v>10150.719999999999</v>
      </c>
      <c r="AN7" s="127">
        <f>Feb!EM8</f>
        <v>710.00000000003638</v>
      </c>
      <c r="AO7" s="127">
        <f>SUM(AL7:AN7)</f>
        <v>46171.440000000039</v>
      </c>
      <c r="AP7" s="127">
        <f>Feb!FX8</f>
        <v>300</v>
      </c>
      <c r="AQ7" s="127">
        <f>Feb!GA8</f>
        <v>109.9999999998181</v>
      </c>
      <c r="AR7" s="127">
        <f>Feb!GG8+(Feb!GP8+Feb!GS8)</f>
        <v>1400.0000000001819</v>
      </c>
      <c r="AS7" s="127">
        <f>SUM(AP7:AR7)</f>
        <v>1810</v>
      </c>
      <c r="AT7" s="127">
        <f>Feb!EQ8</f>
        <v>9150.7199999999993</v>
      </c>
      <c r="AU7" s="127">
        <f>Feb!ET8</f>
        <v>19000</v>
      </c>
      <c r="AV7" s="127">
        <f>Feb!EW8</f>
        <v>8550.7200000000903</v>
      </c>
      <c r="AW7" s="127">
        <f>Feb!FL45</f>
        <v>12390.814967010119</v>
      </c>
      <c r="AX7" s="127">
        <f>Feb!GJ8</f>
        <v>2500</v>
      </c>
      <c r="AY7" s="127">
        <f>SUM(AT7:AX7)</f>
        <v>51592.254967010209</v>
      </c>
      <c r="AZ7" s="127">
        <f>Feb!FG8</f>
        <v>10584.05</v>
      </c>
      <c r="BA7" s="127">
        <f>Feb!FJ8</f>
        <v>20784.050000000731</v>
      </c>
      <c r="BB7" s="127">
        <f>Feb!FM45</f>
        <v>11343.955032989879</v>
      </c>
      <c r="BC7" s="127">
        <f>Feb!GM8</f>
        <v>199.9999999998181</v>
      </c>
      <c r="BD7" s="127">
        <f>SUM(AZ7:BC7)</f>
        <v>42912.055032990429</v>
      </c>
      <c r="BE7" s="127">
        <f>Y7+AS7</f>
        <v>33210</v>
      </c>
      <c r="BF7" s="127"/>
      <c r="BG7" s="127"/>
      <c r="BH7" s="127"/>
      <c r="BI7" s="128">
        <v>0</v>
      </c>
      <c r="BJ7" s="128">
        <v>0</v>
      </c>
      <c r="BK7" s="128"/>
      <c r="BL7" s="128">
        <v>0</v>
      </c>
      <c r="BM7" s="128"/>
      <c r="BN7" s="128"/>
      <c r="BO7" s="128"/>
      <c r="BP7" s="128"/>
      <c r="BQ7" s="128"/>
      <c r="BR7" s="42">
        <f>Feb!D46</f>
        <v>0</v>
      </c>
      <c r="BS7" s="42">
        <f>Feb!G46</f>
        <v>80000</v>
      </c>
      <c r="BT7" s="3"/>
      <c r="BV7" s="42">
        <f>Feb!HJ8</f>
        <v>31432.185999997266</v>
      </c>
      <c r="BW7" s="42">
        <f>Feb!HM8</f>
        <v>0</v>
      </c>
      <c r="BX7" s="42">
        <f>Feb!HP8</f>
        <v>15716.092999998633</v>
      </c>
      <c r="BY7" s="42">
        <f>Feb!HS8</f>
        <v>15716.092999998633</v>
      </c>
      <c r="BZ7" s="42">
        <f>Feb!HV8</f>
        <v>0</v>
      </c>
      <c r="CA7" s="42">
        <f>Feb!HY8</f>
        <v>0</v>
      </c>
    </row>
    <row r="8" spans="1:79" x14ac:dyDescent="0.25">
      <c r="A8" s="26">
        <f>A7+1</f>
        <v>2</v>
      </c>
      <c r="B8" s="42">
        <f>Feb!G9</f>
        <v>277760.00000000204</v>
      </c>
      <c r="C8" s="42">
        <f>Feb!N9</f>
        <v>276000</v>
      </c>
      <c r="D8" s="42">
        <f>Feb!T9</f>
        <v>0</v>
      </c>
      <c r="E8" s="42">
        <f>Feb!V9</f>
        <v>0</v>
      </c>
      <c r="F8" s="42">
        <f>Feb!AB9</f>
        <v>4980</v>
      </c>
      <c r="G8" s="42">
        <f>Feb!X9</f>
        <v>8319.9999999992724</v>
      </c>
      <c r="H8" s="42">
        <f>Feb!AE9</f>
        <v>7299.9999999997272</v>
      </c>
      <c r="I8" s="42">
        <f>Feb!AI9</f>
        <v>15752.120000000365</v>
      </c>
      <c r="J8" s="42">
        <f>Feb!AN9</f>
        <v>3822.1199999995506</v>
      </c>
      <c r="K8" s="42">
        <f>Feb!AR9</f>
        <v>8900.0000000005457</v>
      </c>
      <c r="L8" s="42">
        <f>Feb!AZ9</f>
        <v>18.71999999997206</v>
      </c>
      <c r="M8" s="42">
        <f>Feb!BC9</f>
        <v>22.135999999998603</v>
      </c>
      <c r="N8" s="125">
        <f t="shared" ref="N8:N15" si="2">SUM(D8:M8)</f>
        <v>49115.09599999943</v>
      </c>
      <c r="O8" s="125">
        <f>Feb!CA9</f>
        <v>789.99999999996362</v>
      </c>
      <c r="P8" s="125">
        <f>Feb!CD9</f>
        <v>290</v>
      </c>
      <c r="Q8" s="125">
        <f>Feb!CF9</f>
        <v>0</v>
      </c>
      <c r="R8" s="125">
        <f>Feb!CH9</f>
        <v>1112</v>
      </c>
      <c r="S8" s="125">
        <f>Feb!CK9</f>
        <v>15362.120000000037</v>
      </c>
      <c r="T8" s="125">
        <f>Feb!CO9</f>
        <v>5852.119999999818</v>
      </c>
      <c r="U8" s="125">
        <f>Feb!CS9</f>
        <v>6052.1200000000908</v>
      </c>
      <c r="V8" s="126">
        <f t="shared" ref="V8:V15" si="3">SUM(O8:U8)</f>
        <v>29458.35999999991</v>
      </c>
      <c r="W8" s="126">
        <f>Feb!CW9</f>
        <v>18100</v>
      </c>
      <c r="X8" s="126">
        <f>Feb!DA9</f>
        <v>9400</v>
      </c>
      <c r="Y8" s="126">
        <f t="shared" si="1"/>
        <v>27500</v>
      </c>
      <c r="Z8" s="42">
        <f>Feb!BR9</f>
        <v>330.00000000004093</v>
      </c>
      <c r="AA8" s="126">
        <f>Feb!BG9</f>
        <v>2299.9999999999545</v>
      </c>
      <c r="AB8" s="126">
        <f>Feb!BJ9</f>
        <v>8800.0000000001819</v>
      </c>
      <c r="AC8" s="126">
        <f>Feb!BL9+Feb!BN9</f>
        <v>4400.0000000000455</v>
      </c>
      <c r="AD8" s="126">
        <f>Feb!DR9</f>
        <v>9200</v>
      </c>
      <c r="AE8" s="127">
        <f>Feb!DT9-Feb!DR49-Feb!DT49</f>
        <v>15543</v>
      </c>
      <c r="AF8" s="127">
        <f>Feb!DR49+Feb!DT49</f>
        <v>157.00000000000003</v>
      </c>
      <c r="AG8" s="127">
        <f>Feb!HE9</f>
        <v>50525.355600004186</v>
      </c>
      <c r="AH8" s="127">
        <f>Feb!DW9</f>
        <v>4399.9999999996362</v>
      </c>
      <c r="AI8" s="127">
        <f>Feb!DZ9</f>
        <v>7152.12</v>
      </c>
      <c r="AJ8" s="127">
        <f>Feb!EC9</f>
        <v>25312.12</v>
      </c>
      <c r="AK8" s="127">
        <f t="shared" ref="AK8:AK37" si="4">SUM(AH8:AJ8)</f>
        <v>36864.239999999634</v>
      </c>
      <c r="AL8" s="127">
        <f>Feb!EG9</f>
        <v>34312.119999999995</v>
      </c>
      <c r="AM8" s="127">
        <f>Feb!EJ9</f>
        <v>9152.1200000000008</v>
      </c>
      <c r="AN8" s="127">
        <f>Feb!EM9</f>
        <v>689.99999999994088</v>
      </c>
      <c r="AO8" s="127">
        <f t="shared" ref="AO8:AO28" si="5">SUM(AL8:AN8)</f>
        <v>44154.23999999994</v>
      </c>
      <c r="AP8" s="127">
        <f>Feb!FX9</f>
        <v>500</v>
      </c>
      <c r="AQ8" s="127">
        <f>Feb!GA9</f>
        <v>120.00000000027285</v>
      </c>
      <c r="AR8" s="127">
        <f>Feb!GG9+(Feb!GP9+Feb!GS9)</f>
        <v>479.99999999918145</v>
      </c>
      <c r="AS8" s="127">
        <f t="shared" ref="AS8:AS37" si="6">SUM(AP8:AR8)</f>
        <v>1099.9999999994543</v>
      </c>
      <c r="AT8" s="127">
        <f>Feb!EQ9</f>
        <v>9152.1200000000008</v>
      </c>
      <c r="AU8" s="127">
        <f>Feb!ET9</f>
        <v>18399.999999999636</v>
      </c>
      <c r="AV8" s="127">
        <f>Feb!EW9</f>
        <v>8452.119999999728</v>
      </c>
      <c r="AW8" s="127">
        <f>Feb!FL46</f>
        <v>11176.168972820002</v>
      </c>
      <c r="AX8" s="127">
        <f>Feb!GJ9</f>
        <v>2400.0000000000909</v>
      </c>
      <c r="AY8" s="127">
        <f t="shared" ref="AY8:AY37" si="7">SUM(AT8:AX8)</f>
        <v>49580.408972819452</v>
      </c>
      <c r="AZ8" s="127">
        <f>Feb!FG9</f>
        <v>9685.4500000000007</v>
      </c>
      <c r="BA8" s="127">
        <f>Feb!FJ9</f>
        <v>19385.449999999819</v>
      </c>
      <c r="BB8" s="127">
        <f>Feb!FM46</f>
        <v>10661.40102718</v>
      </c>
      <c r="BC8" s="127">
        <f>Feb!GM9</f>
        <v>0</v>
      </c>
      <c r="BD8" s="127">
        <f t="shared" ref="BD8:BD37" si="8">SUM(AZ8:BC8)</f>
        <v>39732.301027179819</v>
      </c>
      <c r="BE8" s="127">
        <f t="shared" ref="BE8:BE9" si="9">Y8+AS8</f>
        <v>28599.999999999454</v>
      </c>
      <c r="BF8" s="127"/>
      <c r="BG8" s="127"/>
      <c r="BH8" s="127"/>
      <c r="BI8" s="128">
        <v>0</v>
      </c>
      <c r="BJ8" s="128">
        <v>0</v>
      </c>
      <c r="BK8" s="128"/>
      <c r="BL8" s="128">
        <v>0</v>
      </c>
      <c r="BM8" s="128"/>
      <c r="BN8" s="128"/>
      <c r="BO8" s="128"/>
      <c r="BP8" s="128"/>
      <c r="BQ8" s="128"/>
      <c r="BR8" s="42">
        <f>Feb!D47</f>
        <v>0</v>
      </c>
      <c r="BS8" s="42">
        <f>Feb!G47</f>
        <v>91000</v>
      </c>
      <c r="BV8" s="42">
        <f>Feb!HJ9</f>
        <v>50525.355600004186</v>
      </c>
      <c r="BW8" s="42">
        <f>Feb!HM9</f>
        <v>0</v>
      </c>
      <c r="BX8" s="42">
        <f>Feb!HP9</f>
        <v>25262.677800002093</v>
      </c>
      <c r="BY8" s="42">
        <f>Feb!HS9</f>
        <v>25262.677800002093</v>
      </c>
      <c r="BZ8" s="42">
        <f>Feb!HV9</f>
        <v>0</v>
      </c>
      <c r="CA8" s="42">
        <f>Feb!HY9</f>
        <v>0</v>
      </c>
    </row>
    <row r="9" spans="1:79" x14ac:dyDescent="0.25">
      <c r="A9" s="26">
        <f t="shared" ref="A9:A37" si="10">A8+1</f>
        <v>3</v>
      </c>
      <c r="B9" s="42">
        <f>Feb!G10</f>
        <v>220159.99999999258</v>
      </c>
      <c r="C9" s="42">
        <f>Feb!N10</f>
        <v>219000</v>
      </c>
      <c r="D9" s="42">
        <f>Feb!T10</f>
        <v>0</v>
      </c>
      <c r="E9" s="42">
        <f>Feb!V10</f>
        <v>0</v>
      </c>
      <c r="F9" s="42">
        <f>Feb!AB10</f>
        <v>4880</v>
      </c>
      <c r="G9" s="42">
        <f>Feb!X10</f>
        <v>8220.0000000003638</v>
      </c>
      <c r="H9" s="42">
        <f>Feb!AE10</f>
        <v>7500</v>
      </c>
      <c r="I9" s="42">
        <f>Feb!AI10</f>
        <v>16920.570000000182</v>
      </c>
      <c r="J9" s="42">
        <f>Feb!AN10</f>
        <v>4490.5700000000725</v>
      </c>
      <c r="K9" s="42">
        <f>Feb!AR10</f>
        <v>8899.9999999996362</v>
      </c>
      <c r="L9" s="42">
        <f>Feb!AZ10</f>
        <v>309.12000000005355</v>
      </c>
      <c r="M9" s="42">
        <f>Feb!BC10</f>
        <v>312.55199999999604</v>
      </c>
      <c r="N9" s="125">
        <f t="shared" si="2"/>
        <v>51532.812000000304</v>
      </c>
      <c r="O9" s="125">
        <f>Feb!CA10</f>
        <v>139.99999999998636</v>
      </c>
      <c r="P9" s="125">
        <f>Feb!CD10</f>
        <v>50</v>
      </c>
      <c r="Q9" s="125">
        <f>Feb!CF10</f>
        <v>0</v>
      </c>
      <c r="R9" s="125">
        <f>Feb!CH10</f>
        <v>52</v>
      </c>
      <c r="S9" s="125">
        <f>Feb!CK10</f>
        <v>3980.5700000000134</v>
      </c>
      <c r="T9" s="125">
        <f>Feb!CO10</f>
        <v>120.57</v>
      </c>
      <c r="U9" s="125">
        <f>Feb!CS10</f>
        <v>120.57</v>
      </c>
      <c r="V9" s="126">
        <f t="shared" si="3"/>
        <v>4463.7099999999991</v>
      </c>
      <c r="W9" s="126">
        <f>Feb!CW10</f>
        <v>600</v>
      </c>
      <c r="X9" s="126">
        <f>Feb!DA10</f>
        <v>200</v>
      </c>
      <c r="Y9" s="126">
        <f t="shared" si="1"/>
        <v>800</v>
      </c>
      <c r="Z9" s="42">
        <f>Feb!BR10</f>
        <v>649.99999999997726</v>
      </c>
      <c r="AA9" s="126">
        <f>Feb!BG10</f>
        <v>2299.9999999999545</v>
      </c>
      <c r="AB9" s="126">
        <f>Feb!BJ10</f>
        <v>8899.9999999996362</v>
      </c>
      <c r="AC9" s="126">
        <f>Feb!BL10+Feb!BN10</f>
        <v>3979.99999999995</v>
      </c>
      <c r="AD9" s="126">
        <f>Feb!DR10</f>
        <v>9100</v>
      </c>
      <c r="AE9" s="127">
        <f>Feb!DT10-Feb!DR50-Feb!DT50</f>
        <v>15151.999999999998</v>
      </c>
      <c r="AF9" s="127">
        <f>Feb!DR50+Feb!DT50</f>
        <v>348.0000000000025</v>
      </c>
      <c r="AG9" s="127">
        <f>Feb!HE10</f>
        <v>31717.703599990113</v>
      </c>
      <c r="AH9" s="127">
        <f>Feb!DW10</f>
        <v>4400.0000000005457</v>
      </c>
      <c r="AI9" s="127">
        <f>Feb!DZ10</f>
        <v>7120.57</v>
      </c>
      <c r="AJ9" s="127">
        <f>Feb!EC10</f>
        <v>26280.57</v>
      </c>
      <c r="AK9" s="127">
        <f t="shared" si="4"/>
        <v>37801.140000000545</v>
      </c>
      <c r="AL9" s="127">
        <f>Feb!EG10</f>
        <v>36280.57</v>
      </c>
      <c r="AM9" s="127">
        <f>Feb!EJ10</f>
        <v>10120.57</v>
      </c>
      <c r="AN9" s="127">
        <f>Feb!EM10</f>
        <v>690.00000000005457</v>
      </c>
      <c r="AO9" s="127">
        <f t="shared" si="5"/>
        <v>47091.140000000058</v>
      </c>
      <c r="AP9" s="127">
        <f>Feb!FX10</f>
        <v>200</v>
      </c>
      <c r="AQ9" s="127">
        <f>Feb!GA10</f>
        <v>109.9999999998181</v>
      </c>
      <c r="AR9" s="127">
        <f>Feb!GG10+(Feb!GP10+Feb!GS10)</f>
        <v>490.00000000145519</v>
      </c>
      <c r="AS9" s="127">
        <f t="shared" si="6"/>
        <v>800.00000000127329</v>
      </c>
      <c r="AT9" s="127">
        <f>Feb!EQ10</f>
        <v>10120.57</v>
      </c>
      <c r="AU9" s="127">
        <f>Feb!ET10</f>
        <v>19100.000000000364</v>
      </c>
      <c r="AV9" s="127">
        <f>Feb!EW10</f>
        <v>8820.5700000002726</v>
      </c>
      <c r="AW9" s="127">
        <f>Feb!FL47</f>
        <v>16447.079711764705</v>
      </c>
      <c r="AX9" s="127">
        <f>Feb!GJ10</f>
        <v>2500</v>
      </c>
      <c r="AY9" s="127">
        <f t="shared" si="7"/>
        <v>56988.219711765341</v>
      </c>
      <c r="AZ9" s="127">
        <f>Feb!FG10</f>
        <v>15687.24</v>
      </c>
      <c r="BA9" s="127">
        <f>Feb!FJ10</f>
        <v>19487.24000000018</v>
      </c>
      <c r="BB9" s="127">
        <f>Feb!FM47</f>
        <v>5360.7302882352933</v>
      </c>
      <c r="BC9" s="127">
        <f>Feb!GM10</f>
        <v>0</v>
      </c>
      <c r="BD9" s="127">
        <f t="shared" si="8"/>
        <v>40535.210288235474</v>
      </c>
      <c r="BE9" s="127">
        <f t="shared" si="9"/>
        <v>1600.0000000012733</v>
      </c>
      <c r="BF9" s="127"/>
      <c r="BG9" s="127"/>
      <c r="BH9" s="127"/>
      <c r="BI9" s="128">
        <v>0</v>
      </c>
      <c r="BJ9" s="128">
        <v>0</v>
      </c>
      <c r="BK9" s="128"/>
      <c r="BL9" s="128">
        <v>0</v>
      </c>
      <c r="BM9" s="128"/>
      <c r="BN9" s="128"/>
      <c r="BO9" s="128"/>
      <c r="BP9" s="128"/>
      <c r="BQ9" s="128"/>
      <c r="BR9" s="42">
        <f>Feb!D48</f>
        <v>0</v>
      </c>
      <c r="BS9" s="42">
        <f>Feb!G48</f>
        <v>92000</v>
      </c>
      <c r="BV9" s="42">
        <f>Feb!HJ10</f>
        <v>31717.703599990113</v>
      </c>
      <c r="BW9" s="42">
        <f>Feb!HM10</f>
        <v>0</v>
      </c>
      <c r="BX9" s="42">
        <f>Feb!HP10</f>
        <v>15858.851799995056</v>
      </c>
      <c r="BY9" s="42">
        <f>Feb!HS10</f>
        <v>15858.851799995056</v>
      </c>
      <c r="BZ9" s="42">
        <f>Feb!HV10</f>
        <v>0</v>
      </c>
      <c r="CA9" s="42">
        <f>Feb!HY10</f>
        <v>0</v>
      </c>
    </row>
    <row r="10" spans="1:79" x14ac:dyDescent="0.25">
      <c r="A10" s="26">
        <f t="shared" si="10"/>
        <v>4</v>
      </c>
      <c r="B10" s="42">
        <f>Feb!G11</f>
        <v>229120.0000000099</v>
      </c>
      <c r="C10" s="42">
        <f>Feb!N11</f>
        <v>227000</v>
      </c>
      <c r="D10" s="42">
        <f>Feb!T11</f>
        <v>0</v>
      </c>
      <c r="E10" s="42">
        <f>Feb!V11</f>
        <v>0</v>
      </c>
      <c r="F10" s="42">
        <f>Feb!AB11</f>
        <v>4880</v>
      </c>
      <c r="G10" s="42">
        <f>Feb!X11</f>
        <v>8320.0000000007276</v>
      </c>
      <c r="H10" s="42">
        <f>Feb!AE11</f>
        <v>7700.0000000002728</v>
      </c>
      <c r="I10" s="42">
        <f>Feb!AI11</f>
        <v>16625.48</v>
      </c>
      <c r="J10" s="42">
        <f>Feb!AN11</f>
        <v>4605.4800000006771</v>
      </c>
      <c r="K10" s="42">
        <f>Feb!AR11</f>
        <v>8699.9999999998181</v>
      </c>
      <c r="L10" s="42">
        <f>Feb!AZ11</f>
        <v>474.15999999997439</v>
      </c>
      <c r="M10" s="42">
        <f>Feb!BC11</f>
        <v>22.99199999999837</v>
      </c>
      <c r="N10" s="125">
        <f t="shared" si="2"/>
        <v>51328.112000001471</v>
      </c>
      <c r="O10" s="125">
        <f>Feb!CA11</f>
        <v>280.00000000002956</v>
      </c>
      <c r="P10" s="125">
        <f>Feb!CD11</f>
        <v>0</v>
      </c>
      <c r="Q10" s="125">
        <f>Feb!CF11</f>
        <v>0</v>
      </c>
      <c r="R10" s="125">
        <f>Feb!CH11</f>
        <v>220</v>
      </c>
      <c r="S10" s="125">
        <f>Feb!CK11</f>
        <v>8845.4799999999705</v>
      </c>
      <c r="T10" s="125">
        <f>Feb!CO11</f>
        <v>3025.480000000091</v>
      </c>
      <c r="U10" s="125">
        <f>Feb!CS11</f>
        <v>3425.4799999997272</v>
      </c>
      <c r="V10" s="126">
        <f t="shared" si="3"/>
        <v>15796.439999999817</v>
      </c>
      <c r="W10" s="126">
        <f>Feb!CW11</f>
        <v>9800</v>
      </c>
      <c r="X10" s="126">
        <f>Feb!DA11</f>
        <v>3400</v>
      </c>
      <c r="Y10" s="126">
        <f t="shared" si="1"/>
        <v>13200</v>
      </c>
      <c r="Z10" s="42">
        <f>Feb!BR11</f>
        <v>610.00000000001364</v>
      </c>
      <c r="AA10" s="126">
        <f>Feb!BG11</f>
        <v>2400.0000000000909</v>
      </c>
      <c r="AB10" s="126">
        <f>Feb!BJ11</f>
        <v>9300.0000000001819</v>
      </c>
      <c r="AC10" s="126">
        <f>Feb!BL11+Feb!BN11</f>
        <v>4110.0000000000364</v>
      </c>
      <c r="AD10" s="126">
        <f>Feb!DR11</f>
        <v>9200</v>
      </c>
      <c r="AE10" s="127">
        <f>Feb!DT11-Feb!DR51-Feb!DT51</f>
        <v>15167.999999999998</v>
      </c>
      <c r="AF10" s="127">
        <f>Feb!DR51+Feb!DT51</f>
        <v>232.00000000000108</v>
      </c>
      <c r="AG10" s="127">
        <f>Feb!HE11</f>
        <v>24370.617200009066</v>
      </c>
      <c r="AH10" s="127">
        <f>Feb!DW11</f>
        <v>4500</v>
      </c>
      <c r="AI10" s="127">
        <f>Feb!DZ11</f>
        <v>6125.48</v>
      </c>
      <c r="AJ10" s="127">
        <f>Feb!EC11</f>
        <v>24285.48</v>
      </c>
      <c r="AK10" s="127">
        <f t="shared" si="4"/>
        <v>34910.959999999999</v>
      </c>
      <c r="AL10" s="127">
        <f>Feb!EG11</f>
        <v>29285.48</v>
      </c>
      <c r="AM10" s="127">
        <f>Feb!EJ11</f>
        <v>9125.48</v>
      </c>
      <c r="AN10" s="127">
        <f>Feb!EM11</f>
        <v>629.99999999999545</v>
      </c>
      <c r="AO10" s="127">
        <f t="shared" si="5"/>
        <v>39040.959999999992</v>
      </c>
      <c r="AP10" s="127">
        <f>Feb!FX11</f>
        <v>5400</v>
      </c>
      <c r="AQ10" s="127">
        <f>Feb!GA11</f>
        <v>310.00000000009095</v>
      </c>
      <c r="AR10" s="127">
        <f>Feb!GG11+(Feb!GP11+Feb!GS11)</f>
        <v>6289.9999999995907</v>
      </c>
      <c r="AS10" s="127">
        <f t="shared" si="6"/>
        <v>11999.999999999682</v>
      </c>
      <c r="AT10" s="127">
        <f>Feb!EQ11</f>
        <v>9125.48</v>
      </c>
      <c r="AU10" s="127">
        <f>Feb!ET11</f>
        <v>18199.999999999818</v>
      </c>
      <c r="AV10" s="127">
        <f>Feb!EW11</f>
        <v>8325.4799999998177</v>
      </c>
      <c r="AW10" s="127">
        <f>Feb!FL48</f>
        <v>12304.476007259527</v>
      </c>
      <c r="AX10" s="127">
        <f>Feb!GJ11</f>
        <v>1799.9999999999545</v>
      </c>
      <c r="AY10" s="127">
        <f t="shared" si="7"/>
        <v>49755.436007259123</v>
      </c>
      <c r="AZ10" s="127">
        <f>Feb!FG11</f>
        <v>4092.15</v>
      </c>
      <c r="BA10" s="127">
        <f>Feb!FJ11</f>
        <v>15792.149999999818</v>
      </c>
      <c r="BB10" s="127">
        <f>Feb!FM48</f>
        <v>9913.1539927404701</v>
      </c>
      <c r="BC10" s="127">
        <f>Feb!GM11</f>
        <v>900.00000000009095</v>
      </c>
      <c r="BD10" s="127">
        <f t="shared" si="8"/>
        <v>30697.453992740378</v>
      </c>
      <c r="BE10" s="127">
        <f t="shared" ref="BE10:BE34" si="11">Y10</f>
        <v>13200</v>
      </c>
      <c r="BF10" s="127"/>
      <c r="BG10" s="127"/>
      <c r="BH10" s="127"/>
      <c r="BI10" s="128">
        <f t="shared" ref="BI10:BI16" si="12">AS10</f>
        <v>11999.999999999682</v>
      </c>
      <c r="BJ10" s="128">
        <v>0</v>
      </c>
      <c r="BK10" s="128"/>
      <c r="BL10" s="128">
        <v>0</v>
      </c>
      <c r="BM10" s="128"/>
      <c r="BN10" s="128"/>
      <c r="BO10" s="128"/>
      <c r="BP10" s="128"/>
      <c r="BQ10" s="128"/>
      <c r="BR10" s="42">
        <f>Feb!D49</f>
        <v>0</v>
      </c>
      <c r="BS10" s="42">
        <f>Feb!G49</f>
        <v>83000</v>
      </c>
      <c r="BV10" s="42">
        <f>Feb!HJ11</f>
        <v>24370.617200009066</v>
      </c>
      <c r="BW10" s="42">
        <f>Feb!HM11</f>
        <v>0</v>
      </c>
      <c r="BX10" s="42">
        <f>Feb!HP11</f>
        <v>12185.308600004533</v>
      </c>
      <c r="BY10" s="42">
        <f>Feb!HS11</f>
        <v>12185.308600004533</v>
      </c>
      <c r="BZ10" s="42">
        <f>Feb!HV11</f>
        <v>0</v>
      </c>
      <c r="CA10" s="42">
        <f>Feb!HY11</f>
        <v>0</v>
      </c>
    </row>
    <row r="11" spans="1:79" x14ac:dyDescent="0.25">
      <c r="A11" s="26">
        <f t="shared" si="10"/>
        <v>5</v>
      </c>
      <c r="B11" s="42">
        <f>Feb!G12</f>
        <v>284159.99999999255</v>
      </c>
      <c r="C11" s="42">
        <f>Feb!N12</f>
        <v>282000</v>
      </c>
      <c r="D11" s="42">
        <f>Feb!T12</f>
        <v>0</v>
      </c>
      <c r="E11" s="42">
        <f>Feb!V12</f>
        <v>0</v>
      </c>
      <c r="F11" s="42">
        <f>Feb!AB12</f>
        <v>4860</v>
      </c>
      <c r="G11" s="42">
        <f>Feb!X12</f>
        <v>8239.9999999985448</v>
      </c>
      <c r="H11" s="42">
        <f>Feb!AE12</f>
        <v>7699.9999999998181</v>
      </c>
      <c r="I11" s="42">
        <f>Feb!AI12</f>
        <v>16255.619999999455</v>
      </c>
      <c r="J11" s="42">
        <f>Feb!AN12</f>
        <v>4505.6200000008193</v>
      </c>
      <c r="K11" s="42">
        <f>Feb!AR12</f>
        <v>9100.0000000003638</v>
      </c>
      <c r="L11" s="42">
        <f>Feb!AZ12</f>
        <v>309.03999999997905</v>
      </c>
      <c r="M11" s="42">
        <f>Feb!BC12</f>
        <v>157.38400000000547</v>
      </c>
      <c r="N11" s="125">
        <f t="shared" si="2"/>
        <v>51127.663999998986</v>
      </c>
      <c r="O11" s="125">
        <f>Feb!CA12</f>
        <v>790.00000000002046</v>
      </c>
      <c r="P11" s="125">
        <f>Feb!CD12</f>
        <v>760</v>
      </c>
      <c r="Q11" s="125">
        <f>Feb!CF12</f>
        <v>0</v>
      </c>
      <c r="R11" s="125">
        <f>Feb!CH12</f>
        <v>0</v>
      </c>
      <c r="S11" s="125">
        <f>Feb!CK12</f>
        <v>15365.619999999981</v>
      </c>
      <c r="T11" s="125">
        <f>Feb!CO12</f>
        <v>6655.62</v>
      </c>
      <c r="U11" s="125">
        <f>Feb!CS12</f>
        <v>5855.6200000002727</v>
      </c>
      <c r="V11" s="126">
        <f t="shared" si="3"/>
        <v>29426.860000000273</v>
      </c>
      <c r="W11" s="126">
        <f>Feb!CW12</f>
        <v>10700</v>
      </c>
      <c r="X11" s="126">
        <f>Feb!DA12</f>
        <v>4000</v>
      </c>
      <c r="Y11" s="126">
        <f t="shared" si="1"/>
        <v>14700</v>
      </c>
      <c r="Z11" s="42">
        <f>Feb!BR12</f>
        <v>649.99999999997726</v>
      </c>
      <c r="AA11" s="126">
        <f>Feb!BG12</f>
        <v>2399.9999999998636</v>
      </c>
      <c r="AB11" s="126">
        <f>Feb!BJ12</f>
        <v>9600.0000000003638</v>
      </c>
      <c r="AC11" s="126">
        <f>Feb!BL12+Feb!BN12</f>
        <v>4199.9999999999318</v>
      </c>
      <c r="AD11" s="126">
        <f>Feb!DR12</f>
        <v>9900</v>
      </c>
      <c r="AE11" s="127">
        <f>Feb!DT12-Feb!DR52-Feb!DT52</f>
        <v>16034</v>
      </c>
      <c r="AF11" s="127">
        <f>Feb!DR52+Feb!DT52</f>
        <v>266</v>
      </c>
      <c r="AG11" s="127">
        <f>Feb!HE12</f>
        <v>49749.211599994509</v>
      </c>
      <c r="AH11" s="127">
        <f>Feb!DW12</f>
        <v>4699.9999999998181</v>
      </c>
      <c r="AI11" s="127">
        <f>Feb!DZ12</f>
        <v>7155.62</v>
      </c>
      <c r="AJ11" s="127">
        <f>Feb!EC12</f>
        <v>25315.62</v>
      </c>
      <c r="AK11" s="127">
        <f t="shared" si="4"/>
        <v>37171.239999999816</v>
      </c>
      <c r="AL11" s="127">
        <f>Feb!EG12</f>
        <v>35315.620000000003</v>
      </c>
      <c r="AM11" s="127">
        <f>Feb!EJ12</f>
        <v>10155.620000000001</v>
      </c>
      <c r="AN11" s="127">
        <f>Feb!EM12</f>
        <v>719.9999999999136</v>
      </c>
      <c r="AO11" s="127">
        <f t="shared" si="5"/>
        <v>46191.239999999918</v>
      </c>
      <c r="AP11" s="127">
        <f>Feb!FX12</f>
        <v>5400</v>
      </c>
      <c r="AQ11" s="127">
        <f>Feb!GA12</f>
        <v>320.00000000009095</v>
      </c>
      <c r="AR11" s="127">
        <f>Feb!GG12+(Feb!GP12+Feb!GS12)</f>
        <v>4889.9999999999545</v>
      </c>
      <c r="AS11" s="127">
        <f t="shared" si="6"/>
        <v>10610.000000000045</v>
      </c>
      <c r="AT11" s="127">
        <f>Feb!EQ12</f>
        <v>9155.6200000000008</v>
      </c>
      <c r="AU11" s="127">
        <f>Feb!ET12</f>
        <v>18599.999999999454</v>
      </c>
      <c r="AV11" s="127">
        <f>Feb!EW12</f>
        <v>8855.6199999998189</v>
      </c>
      <c r="AW11" s="127">
        <f>Feb!FL49</f>
        <v>11654.031352787437</v>
      </c>
      <c r="AX11" s="127">
        <f>Feb!GJ12</f>
        <v>1799.9999999999545</v>
      </c>
      <c r="AY11" s="127">
        <f t="shared" si="7"/>
        <v>50065.271352786673</v>
      </c>
      <c r="AZ11" s="127">
        <f>Feb!FG12</f>
        <v>10588.95</v>
      </c>
      <c r="BA11" s="127">
        <f>Feb!FJ12</f>
        <v>20988.949999999637</v>
      </c>
      <c r="BB11" s="127">
        <f>Feb!FM49</f>
        <v>11090.538647212565</v>
      </c>
      <c r="BC11" s="127">
        <f>Feb!GM12</f>
        <v>1400.0000000000909</v>
      </c>
      <c r="BD11" s="127">
        <f t="shared" si="8"/>
        <v>44068.438647212286</v>
      </c>
      <c r="BE11" s="127">
        <f t="shared" si="11"/>
        <v>14700</v>
      </c>
      <c r="BF11" s="127"/>
      <c r="BG11" s="127"/>
      <c r="BH11" s="127"/>
      <c r="BI11" s="128">
        <f t="shared" si="12"/>
        <v>10610.000000000045</v>
      </c>
      <c r="BJ11" s="128">
        <v>0</v>
      </c>
      <c r="BK11" s="128"/>
      <c r="BL11" s="128">
        <v>0</v>
      </c>
      <c r="BM11" s="128"/>
      <c r="BN11" s="128"/>
      <c r="BO11" s="128"/>
      <c r="BP11" s="128"/>
      <c r="BQ11" s="128"/>
      <c r="BR11" s="42">
        <f>Feb!D50</f>
        <v>0</v>
      </c>
      <c r="BS11" s="42">
        <f>Feb!G50</f>
        <v>92000</v>
      </c>
      <c r="BV11" s="42">
        <f>Feb!HJ12</f>
        <v>49749.211599994509</v>
      </c>
      <c r="BW11" s="42">
        <f>Feb!HM12</f>
        <v>0</v>
      </c>
      <c r="BX11" s="42">
        <f>Feb!HP12</f>
        <v>24874.605799997255</v>
      </c>
      <c r="BY11" s="42">
        <f>Feb!HS12</f>
        <v>24874.605799997255</v>
      </c>
      <c r="BZ11" s="42">
        <f>Feb!HV12</f>
        <v>0</v>
      </c>
      <c r="CA11" s="42">
        <f>Feb!HY12</f>
        <v>0</v>
      </c>
    </row>
    <row r="12" spans="1:79" x14ac:dyDescent="0.25">
      <c r="A12" s="26">
        <f t="shared" si="10"/>
        <v>6</v>
      </c>
      <c r="B12" s="42">
        <f>Feb!G13</f>
        <v>303680.00000000396</v>
      </c>
      <c r="C12" s="42">
        <f>Feb!N13</f>
        <v>305000</v>
      </c>
      <c r="D12" s="42">
        <f>Feb!T13</f>
        <v>5.000000074505806E-2</v>
      </c>
      <c r="E12" s="42">
        <f>Feb!V13</f>
        <v>0</v>
      </c>
      <c r="F12" s="42">
        <f>Feb!AB13</f>
        <v>4950</v>
      </c>
      <c r="G12" s="42">
        <f>Feb!X13</f>
        <v>8349.9500000003463</v>
      </c>
      <c r="H12" s="42">
        <f>Feb!AE13</f>
        <v>6800.0000000001819</v>
      </c>
      <c r="I12" s="42">
        <f>Feb!AI13</f>
        <v>14666.32</v>
      </c>
      <c r="J12" s="42">
        <f>Feb!AN13</f>
        <v>4996.3199999987992</v>
      </c>
      <c r="K12" s="42">
        <f>Feb!AR13</f>
        <v>9699.9999999998181</v>
      </c>
      <c r="L12" s="42">
        <f>Feb!AZ13</f>
        <v>239.52000000001863</v>
      </c>
      <c r="M12" s="42">
        <f>Feb!BC13</f>
        <v>303.92799999999988</v>
      </c>
      <c r="N12" s="125">
        <f t="shared" si="2"/>
        <v>50006.087999999909</v>
      </c>
      <c r="O12" s="125">
        <f>Feb!CA13</f>
        <v>953.29999999995607</v>
      </c>
      <c r="P12" s="125">
        <f>Feb!CD13</f>
        <v>1482.0999999999767</v>
      </c>
      <c r="Q12" s="125">
        <f>Feb!CF13</f>
        <v>0</v>
      </c>
      <c r="R12" s="125">
        <f>Feb!CH13</f>
        <v>180</v>
      </c>
      <c r="S12" s="125">
        <f>Feb!CK13</f>
        <v>17413.020000000772</v>
      </c>
      <c r="T12" s="125">
        <f>Feb!CO13</f>
        <v>8379.3200000001925</v>
      </c>
      <c r="U12" s="125">
        <f>Feb!CS13</f>
        <v>6800.3200000000143</v>
      </c>
      <c r="V12" s="126">
        <f t="shared" si="3"/>
        <v>35208.060000000914</v>
      </c>
      <c r="W12" s="126">
        <f>Feb!CW13</f>
        <v>12524</v>
      </c>
      <c r="X12" s="126">
        <f>Feb!DA13</f>
        <v>4330</v>
      </c>
      <c r="Y12" s="126">
        <f t="shared" si="1"/>
        <v>16854</v>
      </c>
      <c r="Z12" s="42">
        <f>Feb!BR13</f>
        <v>680.00000000006366</v>
      </c>
      <c r="AA12" s="126">
        <f>Feb!BG13</f>
        <v>2200.0000000000455</v>
      </c>
      <c r="AB12" s="126">
        <f>Feb!BJ13</f>
        <v>10300.000000000182</v>
      </c>
      <c r="AC12" s="126">
        <f>Feb!BL13+Feb!BN13</f>
        <v>4690.0000000000455</v>
      </c>
      <c r="AD12" s="126">
        <f>Feb!DR13</f>
        <v>9700</v>
      </c>
      <c r="AE12" s="127">
        <f>Feb!DT13-Feb!DR53-Feb!DT53</f>
        <v>14452.999999999998</v>
      </c>
      <c r="AF12" s="127">
        <f>Feb!DR53+Feb!DT53</f>
        <v>247.00000000000165</v>
      </c>
      <c r="AG12" s="127">
        <f>Feb!HE13</f>
        <v>52448.710800002082</v>
      </c>
      <c r="AH12" s="127">
        <f>Feb!DW13</f>
        <v>4699.9999999998181</v>
      </c>
      <c r="AI12" s="127">
        <f>Feb!DZ13</f>
        <v>8166.32</v>
      </c>
      <c r="AJ12" s="127">
        <f>Feb!EC13</f>
        <v>26326.32</v>
      </c>
      <c r="AK12" s="127">
        <f t="shared" si="4"/>
        <v>39192.639999999818</v>
      </c>
      <c r="AL12" s="127">
        <f>Feb!EG13</f>
        <v>36326.32</v>
      </c>
      <c r="AM12" s="127">
        <f>Feb!EJ13</f>
        <v>10166.32</v>
      </c>
      <c r="AN12" s="127">
        <f>Feb!EM13</f>
        <v>710.00000000003638</v>
      </c>
      <c r="AO12" s="127">
        <f t="shared" si="5"/>
        <v>47202.640000000036</v>
      </c>
      <c r="AP12" s="127">
        <f>Feb!FX13</f>
        <v>6900</v>
      </c>
      <c r="AQ12" s="127">
        <f>Feb!GA13</f>
        <v>410</v>
      </c>
      <c r="AR12" s="127">
        <f>Feb!GG13+(Feb!GP13+Feb!GS13)</f>
        <v>6390.0000000004093</v>
      </c>
      <c r="AS12" s="127">
        <f t="shared" si="6"/>
        <v>13700.000000000409</v>
      </c>
      <c r="AT12" s="127">
        <f>Feb!EQ13</f>
        <v>10166.32</v>
      </c>
      <c r="AU12" s="127">
        <f>Feb!ET13</f>
        <v>21000</v>
      </c>
      <c r="AV12" s="127">
        <f>Feb!EW13</f>
        <v>9366.3200000002726</v>
      </c>
      <c r="AW12" s="127">
        <f>Feb!FL50</f>
        <v>12749.654999999999</v>
      </c>
      <c r="AX12" s="127">
        <f>Feb!GJ13</f>
        <v>1799.9999999999545</v>
      </c>
      <c r="AY12" s="127">
        <f t="shared" si="7"/>
        <v>55082.295000000231</v>
      </c>
      <c r="AZ12" s="127">
        <f>Feb!FG13</f>
        <v>11332.99</v>
      </c>
      <c r="BA12" s="127">
        <f>Feb!FJ13</f>
        <v>22132.99000000018</v>
      </c>
      <c r="BB12" s="127">
        <f>Feb!FM50</f>
        <v>12749.654999999999</v>
      </c>
      <c r="BC12" s="127">
        <f>Feb!GM13</f>
        <v>1500</v>
      </c>
      <c r="BD12" s="127">
        <f t="shared" si="8"/>
        <v>47715.635000000177</v>
      </c>
      <c r="BE12" s="127">
        <f t="shared" si="11"/>
        <v>16854</v>
      </c>
      <c r="BF12" s="127"/>
      <c r="BG12" s="127"/>
      <c r="BH12" s="127"/>
      <c r="BI12" s="128">
        <f t="shared" si="12"/>
        <v>13700.000000000409</v>
      </c>
      <c r="BJ12" s="128">
        <v>0</v>
      </c>
      <c r="BK12" s="128"/>
      <c r="BL12" s="128">
        <v>0</v>
      </c>
      <c r="BM12" s="128"/>
      <c r="BN12" s="128"/>
      <c r="BO12" s="128"/>
      <c r="BP12" s="128"/>
      <c r="BQ12" s="128"/>
      <c r="BR12" s="42">
        <f>Feb!D51</f>
        <v>0</v>
      </c>
      <c r="BS12" s="42">
        <f>Feb!G51</f>
        <v>96000</v>
      </c>
      <c r="BV12" s="42">
        <f>Feb!HJ13</f>
        <v>52448.710800002082</v>
      </c>
      <c r="BW12" s="42">
        <f>Feb!HM13</f>
        <v>0</v>
      </c>
      <c r="BX12" s="42">
        <f>Feb!HP13</f>
        <v>26224.355400001041</v>
      </c>
      <c r="BY12" s="42">
        <f>Feb!HS13</f>
        <v>26224.355400001041</v>
      </c>
      <c r="BZ12" s="42">
        <f>Feb!HV13</f>
        <v>0</v>
      </c>
      <c r="CA12" s="42">
        <f>Feb!HY13</f>
        <v>0</v>
      </c>
    </row>
    <row r="13" spans="1:79" x14ac:dyDescent="0.25">
      <c r="A13" s="26">
        <f t="shared" si="10"/>
        <v>7</v>
      </c>
      <c r="B13" s="42">
        <f>Feb!G14</f>
        <v>308159.99999999622</v>
      </c>
      <c r="C13" s="42">
        <f>Feb!N14</f>
        <v>311000</v>
      </c>
      <c r="D13" s="42">
        <f>Feb!T14</f>
        <v>0</v>
      </c>
      <c r="E13" s="42">
        <f>Feb!V14</f>
        <v>0</v>
      </c>
      <c r="F13" s="42">
        <f>Feb!AB14</f>
        <v>4680</v>
      </c>
      <c r="G13" s="42">
        <f>Feb!X14</f>
        <v>8119.9999999992724</v>
      </c>
      <c r="H13" s="42">
        <f>Feb!AE14</f>
        <v>6299.9999999997272</v>
      </c>
      <c r="I13" s="42">
        <f>Feb!AI14</f>
        <v>12268.770000000364</v>
      </c>
      <c r="J13" s="42">
        <f>Feb!AN14</f>
        <v>5538.7700000003824</v>
      </c>
      <c r="K13" s="42">
        <f>Feb!AR14</f>
        <v>12400.000000000546</v>
      </c>
      <c r="L13" s="42">
        <f>Feb!AZ14</f>
        <v>310</v>
      </c>
      <c r="M13" s="42">
        <f>Feb!BC14</f>
        <v>557.83999999999651</v>
      </c>
      <c r="N13" s="125">
        <f t="shared" si="2"/>
        <v>50175.380000000288</v>
      </c>
      <c r="O13" s="125">
        <f>Feb!CA14</f>
        <v>1016.7000000000144</v>
      </c>
      <c r="P13" s="125">
        <f>Feb!CD14</f>
        <v>1567.9000000000233</v>
      </c>
      <c r="Q13" s="125">
        <f>Feb!CF14</f>
        <v>0</v>
      </c>
      <c r="R13" s="125">
        <f>Feb!CH14</f>
        <v>0</v>
      </c>
      <c r="S13" s="125">
        <f>Feb!CK14</f>
        <v>17952.069999999258</v>
      </c>
      <c r="T13" s="125">
        <f>Feb!CO14</f>
        <v>8555.7699999997167</v>
      </c>
      <c r="U13" s="125">
        <f>Feb!CS14</f>
        <v>7034.7699999999859</v>
      </c>
      <c r="V13" s="126">
        <f t="shared" si="3"/>
        <v>36127.209999999002</v>
      </c>
      <c r="W13" s="126">
        <f>Feb!CW14</f>
        <v>12776</v>
      </c>
      <c r="X13" s="126">
        <f>Feb!DA14</f>
        <v>4270</v>
      </c>
      <c r="Y13" s="126">
        <f t="shared" si="1"/>
        <v>17046</v>
      </c>
      <c r="Z13" s="42">
        <f>Feb!BR14</f>
        <v>799.99999999995453</v>
      </c>
      <c r="AA13" s="126">
        <f>Feb!BG14</f>
        <v>2200.0000000000455</v>
      </c>
      <c r="AB13" s="126">
        <f>Feb!BJ14</f>
        <v>9000</v>
      </c>
      <c r="AC13" s="126">
        <f>Feb!BL14+Feb!BN14</f>
        <v>4430.0000000000273</v>
      </c>
      <c r="AD13" s="126">
        <f>Feb!DR14</f>
        <v>9400</v>
      </c>
      <c r="AE13" s="127">
        <f>Feb!DT14-Feb!DR54-Feb!DT54</f>
        <v>16252.000000000002</v>
      </c>
      <c r="AF13" s="127">
        <f>Feb!DR54+Feb!DT54</f>
        <v>247.99999999999756</v>
      </c>
      <c r="AG13" s="127">
        <f>Feb!HE14</f>
        <v>75793.735599996944</v>
      </c>
      <c r="AH13" s="127">
        <f>Feb!DW14</f>
        <v>4000</v>
      </c>
      <c r="AI13" s="127">
        <f>Feb!DZ14</f>
        <v>6168.77</v>
      </c>
      <c r="AJ13" s="127">
        <f>Feb!EC14</f>
        <v>22328.77</v>
      </c>
      <c r="AK13" s="127">
        <f t="shared" si="4"/>
        <v>32497.54</v>
      </c>
      <c r="AL13" s="127">
        <f>Feb!EG14</f>
        <v>31328.77</v>
      </c>
      <c r="AM13" s="127">
        <f>Feb!EJ14</f>
        <v>9168.77</v>
      </c>
      <c r="AN13" s="127">
        <f>Feb!EM14</f>
        <v>680.00000000006366</v>
      </c>
      <c r="AO13" s="127">
        <f t="shared" si="5"/>
        <v>41177.540000000066</v>
      </c>
      <c r="AP13" s="127">
        <f>Feb!FX14</f>
        <v>5900</v>
      </c>
      <c r="AQ13" s="127">
        <f>Feb!GA14</f>
        <v>219.99999999972715</v>
      </c>
      <c r="AR13" s="127">
        <f>Feb!GG14+(Feb!GP14+Feb!GS14)</f>
        <v>5679.9999999999091</v>
      </c>
      <c r="AS13" s="127">
        <f t="shared" si="6"/>
        <v>11799.999999999636</v>
      </c>
      <c r="AT13" s="127">
        <f>Feb!EQ14</f>
        <v>8168.77</v>
      </c>
      <c r="AU13" s="127">
        <f>Feb!ET14</f>
        <v>17300.000000000182</v>
      </c>
      <c r="AV13" s="127">
        <f>Feb!EW14</f>
        <v>7668.77</v>
      </c>
      <c r="AW13" s="127">
        <f>Feb!FL51</f>
        <v>10799.691241786415</v>
      </c>
      <c r="AX13" s="127">
        <f>Feb!GJ14</f>
        <v>1600.0000000001364</v>
      </c>
      <c r="AY13" s="127">
        <f t="shared" si="7"/>
        <v>45537.231241786736</v>
      </c>
      <c r="AZ13" s="127">
        <f>Feb!FG14</f>
        <v>9502.1</v>
      </c>
      <c r="BA13" s="127">
        <f>Feb!FJ14</f>
        <v>19002.100000000002</v>
      </c>
      <c r="BB13" s="127">
        <f>Feb!FM51</f>
        <v>9871.1787582135876</v>
      </c>
      <c r="BC13" s="127">
        <f>Feb!GM14</f>
        <v>1299.9999999999545</v>
      </c>
      <c r="BD13" s="127">
        <f t="shared" si="8"/>
        <v>39675.378758213548</v>
      </c>
      <c r="BE13" s="127">
        <f t="shared" si="11"/>
        <v>17046</v>
      </c>
      <c r="BF13" s="127"/>
      <c r="BG13" s="127"/>
      <c r="BH13" s="127"/>
      <c r="BI13" s="128">
        <f t="shared" si="12"/>
        <v>11799.999999999636</v>
      </c>
      <c r="BJ13" s="128">
        <v>0</v>
      </c>
      <c r="BK13" s="128"/>
      <c r="BL13" s="128">
        <v>0</v>
      </c>
      <c r="BM13" s="128"/>
      <c r="BN13" s="128"/>
      <c r="BO13" s="128"/>
      <c r="BP13" s="128"/>
      <c r="BQ13" s="128"/>
      <c r="BR13" s="42">
        <f>Feb!D52</f>
        <v>0</v>
      </c>
      <c r="BS13" s="42">
        <f>Feb!G52</f>
        <v>84000</v>
      </c>
      <c r="BV13" s="42">
        <f>Feb!HJ14</f>
        <v>75793.735599996944</v>
      </c>
      <c r="BW13" s="42">
        <f>Feb!HM14</f>
        <v>0</v>
      </c>
      <c r="BX13" s="42">
        <f>Feb!HP14</f>
        <v>37896.867799998472</v>
      </c>
      <c r="BY13" s="42">
        <f>Feb!HS14</f>
        <v>37896.867799998472</v>
      </c>
      <c r="BZ13" s="42">
        <f>Feb!HV14</f>
        <v>0</v>
      </c>
      <c r="CA13" s="42">
        <f>Feb!HY14</f>
        <v>0</v>
      </c>
    </row>
    <row r="14" spans="1:79" x14ac:dyDescent="0.25">
      <c r="A14" s="26">
        <f t="shared" si="10"/>
        <v>8</v>
      </c>
      <c r="B14" s="42">
        <f>Feb!G15</f>
        <v>299200.00000000437</v>
      </c>
      <c r="C14" s="42">
        <f>Feb!N15</f>
        <v>296000</v>
      </c>
      <c r="D14" s="42">
        <f>Feb!T15</f>
        <v>0</v>
      </c>
      <c r="E14" s="42">
        <f>Feb!V15</f>
        <v>0</v>
      </c>
      <c r="F14" s="42">
        <f>Feb!AB15</f>
        <v>4320</v>
      </c>
      <c r="G14" s="42">
        <f>Feb!X15</f>
        <v>7980.0000000010914</v>
      </c>
      <c r="H14" s="42">
        <f>Feb!AE15</f>
        <v>5900.0000000000909</v>
      </c>
      <c r="I14" s="42">
        <f>Feb!AI15</f>
        <v>13422.790000000365</v>
      </c>
      <c r="J14" s="42">
        <f>Feb!AN15</f>
        <v>5272.7900000000191</v>
      </c>
      <c r="K14" s="42">
        <f>Feb!AR15</f>
        <v>12000</v>
      </c>
      <c r="L14" s="42">
        <f>Feb!AZ15</f>
        <v>420</v>
      </c>
      <c r="M14" s="42">
        <f>Feb!BC15</f>
        <v>602.16000000000349</v>
      </c>
      <c r="N14" s="125">
        <f t="shared" si="2"/>
        <v>49917.74000000157</v>
      </c>
      <c r="O14" s="125">
        <f>Feb!CA15</f>
        <v>956.79999999998699</v>
      </c>
      <c r="P14" s="125">
        <f>Feb!CD15</f>
        <v>1395</v>
      </c>
      <c r="Q14" s="125">
        <f>Feb!CF15</f>
        <v>0</v>
      </c>
      <c r="R14" s="125">
        <f>Feb!CH15</f>
        <v>0</v>
      </c>
      <c r="S14" s="125">
        <f>Feb!CK15</f>
        <v>16555.990000000522</v>
      </c>
      <c r="T14" s="125">
        <f>Feb!CO15</f>
        <v>8545.7899999999572</v>
      </c>
      <c r="U14" s="125">
        <f>Feb!CS15</f>
        <v>993.7899999998217</v>
      </c>
      <c r="V14" s="126">
        <f t="shared" si="3"/>
        <v>28447.37000000029</v>
      </c>
      <c r="W14" s="126">
        <f>Feb!CW15</f>
        <v>14109</v>
      </c>
      <c r="X14" s="126">
        <f>Feb!DA15</f>
        <v>2698</v>
      </c>
      <c r="Y14" s="126">
        <f t="shared" si="1"/>
        <v>16807</v>
      </c>
      <c r="Z14" s="42">
        <f>Feb!BR15</f>
        <v>600.00000000002274</v>
      </c>
      <c r="AA14" s="126">
        <f>Feb!BG15</f>
        <v>2000</v>
      </c>
      <c r="AB14" s="126">
        <f>Feb!BJ15</f>
        <v>9699.9999999998181</v>
      </c>
      <c r="AC14" s="126">
        <f>Feb!BL15+Feb!BN15</f>
        <v>4949.9999999999591</v>
      </c>
      <c r="AD14" s="126">
        <f>Feb!DR15</f>
        <v>7100</v>
      </c>
      <c r="AE14" s="127">
        <f>Feb!DT15-Feb!DR55-Feb!DT55</f>
        <v>14919.999999999996</v>
      </c>
      <c r="AF14" s="127">
        <f>Feb!DR55+Feb!DT55</f>
        <v>180.00000000000327</v>
      </c>
      <c r="AG14" s="127">
        <f>Feb!HE15</f>
        <v>59420.000000000015</v>
      </c>
      <c r="AH14" s="127">
        <f>Feb!DW15</f>
        <v>4100.0000000003638</v>
      </c>
      <c r="AI14" s="127">
        <f>Feb!DZ15</f>
        <v>7822.79</v>
      </c>
      <c r="AJ14" s="127">
        <f>Feb!EC15</f>
        <v>26982.79</v>
      </c>
      <c r="AK14" s="127">
        <f t="shared" si="4"/>
        <v>38905.580000000366</v>
      </c>
      <c r="AL14" s="127">
        <f>Feb!EG15</f>
        <v>34982.79</v>
      </c>
      <c r="AM14" s="127">
        <f>Feb!EJ15</f>
        <v>10822.79</v>
      </c>
      <c r="AN14" s="127">
        <f>Feb!EM15</f>
        <v>699.99999999993179</v>
      </c>
      <c r="AO14" s="127">
        <f t="shared" si="5"/>
        <v>46505.579999999936</v>
      </c>
      <c r="AP14" s="127">
        <f>Feb!FX15</f>
        <v>7300</v>
      </c>
      <c r="AQ14" s="127">
        <f>Feb!GA15</f>
        <v>410</v>
      </c>
      <c r="AR14" s="127">
        <f>Feb!GG15+(Feb!GP15+Feb!GS15)</f>
        <v>6500.0000000000909</v>
      </c>
      <c r="AS14" s="127">
        <f t="shared" si="6"/>
        <v>14210.000000000091</v>
      </c>
      <c r="AT14" s="127">
        <f>Feb!EQ15</f>
        <v>10822.79</v>
      </c>
      <c r="AU14" s="127">
        <f>Feb!ET15</f>
        <v>19199.999999999818</v>
      </c>
      <c r="AV14" s="127">
        <f>Feb!EW15</f>
        <v>8722.7900000000918</v>
      </c>
      <c r="AW14" s="127">
        <f>Feb!FL52</f>
        <v>12831.931003327825</v>
      </c>
      <c r="AX14" s="127">
        <f>Feb!GJ15</f>
        <v>1399.9999999998636</v>
      </c>
      <c r="AY14" s="127">
        <f t="shared" si="7"/>
        <v>52977.5110033276</v>
      </c>
      <c r="AZ14" s="127">
        <f>Feb!FG15</f>
        <v>10189.459999999999</v>
      </c>
      <c r="BA14" s="127">
        <f>Feb!FJ15</f>
        <v>18989.460000000181</v>
      </c>
      <c r="BB14" s="127">
        <f>Feb!FM52</f>
        <v>11180.31899667218</v>
      </c>
      <c r="BC14" s="127">
        <f>Feb!GM15</f>
        <v>1200.0000000000455</v>
      </c>
      <c r="BD14" s="127">
        <f t="shared" si="8"/>
        <v>41559.2389966724</v>
      </c>
      <c r="BE14" s="127">
        <f t="shared" si="11"/>
        <v>16807</v>
      </c>
      <c r="BF14" s="127"/>
      <c r="BG14" s="127"/>
      <c r="BH14" s="127"/>
      <c r="BI14" s="128">
        <f t="shared" si="12"/>
        <v>14210.000000000091</v>
      </c>
      <c r="BJ14" s="128">
        <v>0</v>
      </c>
      <c r="BK14" s="128"/>
      <c r="BL14" s="128">
        <v>0</v>
      </c>
      <c r="BM14" s="128"/>
      <c r="BN14" s="128"/>
      <c r="BO14" s="128"/>
      <c r="BP14" s="128"/>
      <c r="BQ14" s="128"/>
      <c r="BR14" s="42">
        <f>Feb!D53</f>
        <v>0</v>
      </c>
      <c r="BS14" s="42">
        <f>Feb!G53</f>
        <v>89000</v>
      </c>
      <c r="BV14" s="42">
        <f>Feb!HJ15</f>
        <v>59420.000000000015</v>
      </c>
      <c r="BW14" s="42">
        <f>Feb!HM15</f>
        <v>0</v>
      </c>
      <c r="BX14" s="42">
        <f>Feb!HP15</f>
        <v>18526.999999999989</v>
      </c>
      <c r="BY14" s="42">
        <f>Feb!HS15</f>
        <v>19538</v>
      </c>
      <c r="BZ14" s="42">
        <f>Feb!HV15</f>
        <v>21355</v>
      </c>
      <c r="CA14" s="42">
        <f>Feb!HY15</f>
        <v>0</v>
      </c>
    </row>
    <row r="15" spans="1:79" x14ac:dyDescent="0.25">
      <c r="A15" s="26">
        <f t="shared" si="10"/>
        <v>9</v>
      </c>
      <c r="B15" s="42">
        <f>Feb!G16</f>
        <v>138239.99999999796</v>
      </c>
      <c r="C15" s="42">
        <f>Feb!N16</f>
        <v>134000</v>
      </c>
      <c r="D15" s="42">
        <f>Feb!T16</f>
        <v>0</v>
      </c>
      <c r="E15" s="42">
        <f>Feb!V16</f>
        <v>0</v>
      </c>
      <c r="F15" s="42">
        <f>Feb!AB16</f>
        <v>2300</v>
      </c>
      <c r="G15" s="42">
        <f>Feb!X16</f>
        <v>4200</v>
      </c>
      <c r="H15" s="42">
        <f>Feb!AE16</f>
        <v>3400.0000000000909</v>
      </c>
      <c r="I15" s="42">
        <f>Feb!AI16</f>
        <v>7433.88</v>
      </c>
      <c r="J15" s="42">
        <f>Feb!AN16</f>
        <v>3393.8799999992816</v>
      </c>
      <c r="K15" s="42">
        <f>Feb!AR16</f>
        <v>4000</v>
      </c>
      <c r="L15" s="42">
        <f>Feb!AZ16</f>
        <v>180</v>
      </c>
      <c r="M15" s="42">
        <f>Feb!BC16</f>
        <v>350</v>
      </c>
      <c r="N15" s="125">
        <f t="shared" si="2"/>
        <v>25257.759999999373</v>
      </c>
      <c r="O15" s="125">
        <f>Feb!CA16</f>
        <v>485.9000000000151</v>
      </c>
      <c r="P15" s="125">
        <f>Feb!CD16</f>
        <v>677</v>
      </c>
      <c r="Q15" s="125">
        <f>Feb!CF16</f>
        <v>0</v>
      </c>
      <c r="R15" s="125">
        <f>Feb!CH16</f>
        <v>0</v>
      </c>
      <c r="S15" s="125">
        <f>Feb!CK16</f>
        <v>8597.9799999996212</v>
      </c>
      <c r="T15" s="125">
        <f>Feb!CO16</f>
        <v>4338.8800000002002</v>
      </c>
      <c r="U15" s="125">
        <f>Feb!CS16</f>
        <v>9943.8800000002175</v>
      </c>
      <c r="V15" s="126">
        <f t="shared" si="3"/>
        <v>24043.640000000058</v>
      </c>
      <c r="W15" s="126">
        <f>Feb!CW16</f>
        <v>470</v>
      </c>
      <c r="X15" s="126">
        <f>Feb!DA16</f>
        <v>2430</v>
      </c>
      <c r="Y15" s="126">
        <f t="shared" si="1"/>
        <v>2900</v>
      </c>
      <c r="Z15" s="42">
        <f>Feb!BR16</f>
        <v>299.99999999995453</v>
      </c>
      <c r="AA15" s="126">
        <f>Feb!BG16</f>
        <v>1299.9999999999545</v>
      </c>
      <c r="AB15" s="126">
        <f>Feb!BJ16</f>
        <v>5500</v>
      </c>
      <c r="AC15" s="126">
        <f>Feb!BL16+Feb!BN16</f>
        <v>2040.0000000000364</v>
      </c>
      <c r="AD15" s="126">
        <f>Feb!DR16</f>
        <v>2800</v>
      </c>
      <c r="AE15" s="127">
        <f>Feb!DT16-Feb!DR56-Feb!DT56</f>
        <v>10033.000000000007</v>
      </c>
      <c r="AF15" s="127">
        <f>Feb!DR56+Feb!DT56</f>
        <v>66.999999999993065</v>
      </c>
      <c r="AG15" s="127">
        <f>Feb!HE16-AE15</f>
        <v>17197.000000000011</v>
      </c>
      <c r="AH15" s="127">
        <f>Feb!DW16</f>
        <v>2899.9999999996362</v>
      </c>
      <c r="AI15" s="127">
        <f>Feb!DZ16</f>
        <v>4433.88</v>
      </c>
      <c r="AJ15" s="127">
        <f>Feb!EC16</f>
        <v>16593.879999999997</v>
      </c>
      <c r="AK15" s="127">
        <f t="shared" si="4"/>
        <v>23927.759999999635</v>
      </c>
      <c r="AL15" s="127">
        <f>Feb!EG16</f>
        <v>22593.88</v>
      </c>
      <c r="AM15" s="127">
        <f>Feb!EJ16</f>
        <v>7433.88</v>
      </c>
      <c r="AN15" s="127">
        <f>Feb!EM16</f>
        <v>470.00000000002728</v>
      </c>
      <c r="AO15" s="127">
        <f t="shared" si="5"/>
        <v>30497.760000000031</v>
      </c>
      <c r="AP15" s="127">
        <f>Feb!FX16</f>
        <v>4500</v>
      </c>
      <c r="AQ15" s="127">
        <f>Feb!GA16</f>
        <v>3280.0000000001819</v>
      </c>
      <c r="AR15" s="127">
        <f>Feb!GG16+(Feb!GP16+Feb!GS16)</f>
        <v>3919.9999999987267</v>
      </c>
      <c r="AS15" s="127">
        <f t="shared" si="6"/>
        <v>11699.999999998909</v>
      </c>
      <c r="AT15" s="127">
        <f>Feb!EQ16</f>
        <v>5433.88</v>
      </c>
      <c r="AU15" s="127">
        <f>Feb!ET16</f>
        <v>6400.0000000005457</v>
      </c>
      <c r="AV15" s="127">
        <f>Feb!EW16</f>
        <v>3133.8799999998182</v>
      </c>
      <c r="AW15" s="127">
        <f>Feb!FL53</f>
        <v>3353.3886917051254</v>
      </c>
      <c r="AX15" s="127">
        <f>Feb!GJ16</f>
        <v>500</v>
      </c>
      <c r="AY15" s="127">
        <f t="shared" si="7"/>
        <v>18821.14869170549</v>
      </c>
      <c r="AZ15" s="127">
        <f>Feb!FG16</f>
        <v>4691.5</v>
      </c>
      <c r="BA15" s="127">
        <f>Feb!FJ16</f>
        <v>7691.5</v>
      </c>
      <c r="BB15" s="127">
        <f>Feb!FM53</f>
        <v>7771.9913082948751</v>
      </c>
      <c r="BC15" s="127">
        <f>Feb!GM16</f>
        <v>699.9999999998181</v>
      </c>
      <c r="BD15" s="127">
        <f t="shared" si="8"/>
        <v>20854.991308294695</v>
      </c>
      <c r="BE15" s="127">
        <f t="shared" si="11"/>
        <v>2900</v>
      </c>
      <c r="BF15" s="127"/>
      <c r="BG15" s="127"/>
      <c r="BH15" s="127"/>
      <c r="BI15" s="128">
        <f t="shared" si="12"/>
        <v>11699.999999998909</v>
      </c>
      <c r="BJ15" s="128">
        <v>0</v>
      </c>
      <c r="BK15" s="128"/>
      <c r="BL15" s="128">
        <v>0</v>
      </c>
      <c r="BM15" s="128"/>
      <c r="BN15" s="128"/>
      <c r="BO15" s="128"/>
      <c r="BP15" s="128"/>
      <c r="BQ15" s="128"/>
      <c r="BR15" s="42">
        <f>Feb!D54</f>
        <v>0</v>
      </c>
      <c r="BS15" s="42">
        <f>Feb!G54</f>
        <v>59000</v>
      </c>
      <c r="BU15" s="151"/>
      <c r="BV15" s="42">
        <f>Feb!HJ16</f>
        <v>27230.000000000018</v>
      </c>
      <c r="BW15" s="42">
        <f>Feb!HM16</f>
        <v>0</v>
      </c>
      <c r="BX15" s="42">
        <f>Feb!HP16</f>
        <v>4189.3330000000069</v>
      </c>
      <c r="BY15" s="42">
        <f>Feb!HS16</f>
        <v>6747.3329999999996</v>
      </c>
      <c r="BZ15" s="42">
        <f>Feb!HV16</f>
        <v>6193.3330000000051</v>
      </c>
      <c r="CA15" s="42">
        <f>Feb!HY16</f>
        <v>10100</v>
      </c>
    </row>
    <row r="16" spans="1:79" x14ac:dyDescent="0.25">
      <c r="A16" s="26">
        <f t="shared" si="10"/>
        <v>10</v>
      </c>
      <c r="B16" s="42">
        <f>Feb!G17</f>
        <v>309119.99999999895</v>
      </c>
      <c r="C16" s="42">
        <f>Feb!N17</f>
        <v>306000</v>
      </c>
      <c r="D16" s="42">
        <f>Feb!T17</f>
        <v>0</v>
      </c>
      <c r="E16" s="42">
        <f>Feb!V17</f>
        <v>0</v>
      </c>
      <c r="F16" s="42">
        <f>Feb!AB17</f>
        <v>4700</v>
      </c>
      <c r="G16" s="42">
        <f>Feb!X17</f>
        <v>8399.9999999985448</v>
      </c>
      <c r="H16" s="42">
        <f>Feb!AE17</f>
        <v>7799.9999999997272</v>
      </c>
      <c r="I16" s="42">
        <f>Feb!AI17</f>
        <v>15766.449999999819</v>
      </c>
      <c r="J16" s="42">
        <f>Feb!AN17</f>
        <v>6426.4500000003054</v>
      </c>
      <c r="K16" s="42">
        <f>Feb!AR17</f>
        <v>8599.9999999994543</v>
      </c>
      <c r="L16" s="42">
        <f>Feb!AZ17</f>
        <v>390</v>
      </c>
      <c r="M16" s="42">
        <f>Feb!BC17</f>
        <v>630</v>
      </c>
      <c r="N16" s="125">
        <f t="shared" ref="N16:N37" si="13">SUM(D16:M16)</f>
        <v>52712.899999997848</v>
      </c>
      <c r="O16" s="125">
        <f>Feb!CA17</f>
        <v>847.59999999999991</v>
      </c>
      <c r="P16" s="125">
        <f>Feb!CD17</f>
        <v>1322.0999999999767</v>
      </c>
      <c r="Q16" s="125">
        <f>Feb!CF17</f>
        <v>0</v>
      </c>
      <c r="R16" s="125">
        <f>Feb!CH17</f>
        <v>0</v>
      </c>
      <c r="S16" s="125">
        <f>Feb!CK17</f>
        <v>14108.849999999418</v>
      </c>
      <c r="T16" s="125">
        <f>Feb!CO17</f>
        <v>6899.4500000000835</v>
      </c>
      <c r="U16" s="125">
        <f>Feb!CS17</f>
        <v>6350.4499999996506</v>
      </c>
      <c r="V16" s="126">
        <f t="shared" ref="V16:V37" si="14">SUM(O16:U16)</f>
        <v>29528.449999999131</v>
      </c>
      <c r="W16" s="126">
        <f>Feb!CW17</f>
        <v>2133</v>
      </c>
      <c r="X16" s="126">
        <f>Feb!DA17</f>
        <v>992</v>
      </c>
      <c r="Y16" s="126">
        <f t="shared" si="1"/>
        <v>3125</v>
      </c>
      <c r="Z16" s="42">
        <f>Feb!BR17</f>
        <v>900.00000000009095</v>
      </c>
      <c r="AA16" s="126">
        <f>Feb!BG17</f>
        <v>2200.0000000000455</v>
      </c>
      <c r="AB16" s="126">
        <f>Feb!BJ17</f>
        <v>8099.9999999994543</v>
      </c>
      <c r="AC16" s="126">
        <f>Feb!BL17+Feb!BN17+Feb!BP17</f>
        <v>4339.9999999999682</v>
      </c>
      <c r="AD16" s="126">
        <f>Feb!DR17</f>
        <v>7800</v>
      </c>
      <c r="AE16" s="127">
        <f>Feb!DT17-Feb!DR57-Feb!DT57</f>
        <v>15623</v>
      </c>
      <c r="AF16" s="127">
        <f>Feb!DR57+Feb!DT57</f>
        <v>277.00000000000102</v>
      </c>
      <c r="AG16" s="127">
        <f>Feb!HE17-AE16</f>
        <v>61377</v>
      </c>
      <c r="AH16" s="127">
        <f>Feb!DW17</f>
        <v>3899.9999999996362</v>
      </c>
      <c r="AI16" s="127">
        <f>Feb!DZ17</f>
        <v>7066.45</v>
      </c>
      <c r="AJ16" s="127">
        <f>Feb!EC17</f>
        <v>24226.45</v>
      </c>
      <c r="AK16" s="127">
        <f t="shared" si="4"/>
        <v>35192.899999999638</v>
      </c>
      <c r="AL16" s="127">
        <f>Feb!EG17</f>
        <v>32226.45</v>
      </c>
      <c r="AM16" s="127">
        <f>Feb!EJ17</f>
        <v>10066.450000000001</v>
      </c>
      <c r="AN16" s="127">
        <f>Feb!EM17</f>
        <v>659.99999999996817</v>
      </c>
      <c r="AO16" s="127">
        <f t="shared" si="5"/>
        <v>42952.899999999972</v>
      </c>
      <c r="AP16" s="127">
        <f>Feb!FX17</f>
        <v>27800</v>
      </c>
      <c r="AQ16" s="127">
        <f>Feb!GA17</f>
        <v>4689.9999999999091</v>
      </c>
      <c r="AR16" s="127">
        <f>Feb!GG17+(Feb!GP17+Feb!GS17)</f>
        <v>5510.0000000010459</v>
      </c>
      <c r="AS16" s="127">
        <f t="shared" si="6"/>
        <v>38000.000000000953</v>
      </c>
      <c r="AT16" s="127">
        <f>Feb!EQ17</f>
        <v>9066.4500000000007</v>
      </c>
      <c r="AU16" s="127">
        <f>Feb!ET17</f>
        <v>19899.999999999636</v>
      </c>
      <c r="AV16" s="127">
        <f>Feb!EW17</f>
        <v>8066.45</v>
      </c>
      <c r="AW16" s="127">
        <f>Feb!FL54</f>
        <v>11532.886494707383</v>
      </c>
      <c r="AX16" s="127">
        <f>Feb!GJ17</f>
        <v>1700.0000000000455</v>
      </c>
      <c r="AY16" s="127">
        <f t="shared" si="7"/>
        <v>50265.786494707063</v>
      </c>
      <c r="AZ16" s="127">
        <f>Feb!FG17</f>
        <v>8963.83</v>
      </c>
      <c r="BA16" s="127">
        <f>Feb!FJ17</f>
        <v>19763.830000000184</v>
      </c>
      <c r="BB16" s="127">
        <f>Feb!FM54</f>
        <v>11497.393505292615</v>
      </c>
      <c r="BC16" s="127">
        <f>Feb!GM17</f>
        <v>1500</v>
      </c>
      <c r="BD16" s="127">
        <f t="shared" si="8"/>
        <v>41725.053505292803</v>
      </c>
      <c r="BE16" s="127">
        <f t="shared" si="11"/>
        <v>3125</v>
      </c>
      <c r="BF16" s="127"/>
      <c r="BG16" s="127"/>
      <c r="BH16" s="127"/>
      <c r="BI16" s="128">
        <f t="shared" si="12"/>
        <v>38000.000000000953</v>
      </c>
      <c r="BJ16" s="128">
        <v>0</v>
      </c>
      <c r="BK16" s="128"/>
      <c r="BL16" s="128">
        <v>0</v>
      </c>
      <c r="BM16" s="128"/>
      <c r="BN16" s="128"/>
      <c r="BO16" s="128"/>
      <c r="BP16" s="128"/>
      <c r="BQ16" s="128"/>
      <c r="BR16" s="42">
        <f>Feb!D55</f>
        <v>0</v>
      </c>
      <c r="BS16" s="42">
        <f>Feb!G55</f>
        <v>85000</v>
      </c>
      <c r="BV16" s="42">
        <f>Feb!HJ17</f>
        <v>77000</v>
      </c>
      <c r="BW16" s="42">
        <f>Feb!HM17</f>
        <v>0</v>
      </c>
      <c r="BX16" s="42">
        <f>Feb!HP17</f>
        <v>27405.666700000005</v>
      </c>
      <c r="BY16" s="42">
        <f>Feb!HS17</f>
        <v>18775.666700000009</v>
      </c>
      <c r="BZ16" s="42">
        <f>Feb!HV17</f>
        <v>14918.666699999994</v>
      </c>
      <c r="CA16" s="42">
        <f>Feb!HY17</f>
        <v>15900</v>
      </c>
    </row>
    <row r="17" spans="1:79" x14ac:dyDescent="0.25">
      <c r="A17" s="26">
        <f t="shared" si="10"/>
        <v>11</v>
      </c>
      <c r="B17" s="42">
        <f>Feb!G18</f>
        <v>319040.00000000087</v>
      </c>
      <c r="C17" s="42">
        <f>Feb!N18</f>
        <v>315000</v>
      </c>
      <c r="D17" s="42">
        <f>Feb!T18</f>
        <v>0</v>
      </c>
      <c r="E17" s="42">
        <f>Feb!V18</f>
        <v>0</v>
      </c>
      <c r="F17" s="42">
        <f>Feb!AB18</f>
        <v>4300</v>
      </c>
      <c r="G17" s="42">
        <f>Feb!X18</f>
        <v>8300.0000000003638</v>
      </c>
      <c r="H17" s="42">
        <f>Feb!AE18</f>
        <v>7100.0000000003638</v>
      </c>
      <c r="I17" s="42">
        <f>Feb!AI18</f>
        <v>16366.41</v>
      </c>
      <c r="J17" s="42">
        <f>Feb!AN18</f>
        <v>6996.4100000004546</v>
      </c>
      <c r="K17" s="42">
        <f>Feb!AR18</f>
        <v>11300.000000000182</v>
      </c>
      <c r="L17" s="42">
        <f>Feb!AZ18</f>
        <v>340</v>
      </c>
      <c r="M17" s="42">
        <f>Feb!BC18</f>
        <v>530</v>
      </c>
      <c r="N17" s="125">
        <f t="shared" ref="N17:N28" si="15">SUM(D17:M17)</f>
        <v>55232.820000001368</v>
      </c>
      <c r="O17" s="125">
        <f>Feb!CA18</f>
        <v>776.49999999999864</v>
      </c>
      <c r="P17" s="125">
        <f>Feb!CD18</f>
        <v>1271.1000000000349</v>
      </c>
      <c r="Q17" s="125">
        <f>Feb!CF18</f>
        <v>0</v>
      </c>
      <c r="R17" s="125">
        <f>Feb!CH18</f>
        <v>0</v>
      </c>
      <c r="S17" s="125">
        <f>Feb!CK18</f>
        <v>14689.910000000365</v>
      </c>
      <c r="T17" s="125">
        <f>Feb!CO18</f>
        <v>7774.4099999999016</v>
      </c>
      <c r="U17" s="125">
        <f>Feb!CS18</f>
        <v>6954.4100000001927</v>
      </c>
      <c r="V17" s="126">
        <f t="shared" ref="V17:V28" si="16">SUM(O17:U17)</f>
        <v>31466.330000000493</v>
      </c>
      <c r="W17" s="126">
        <f>Feb!CW18</f>
        <v>652</v>
      </c>
      <c r="X17" s="126">
        <f>Feb!DA18</f>
        <v>585</v>
      </c>
      <c r="Y17" s="126">
        <f t="shared" si="1"/>
        <v>1237</v>
      </c>
      <c r="Z17" s="42">
        <f>Feb!BR18</f>
        <v>699.99999999993179</v>
      </c>
      <c r="AA17" s="126">
        <f>Feb!BG18</f>
        <v>2400.0000000000909</v>
      </c>
      <c r="AB17" s="126">
        <f>Feb!BJ18</f>
        <v>8900.0000000005457</v>
      </c>
      <c r="AC17" s="126">
        <f>Feb!BL18+Feb!BN18+Feb!BP18</f>
        <v>4269.9999999999773</v>
      </c>
      <c r="AD17" s="126">
        <f>Feb!DR18</f>
        <v>6600</v>
      </c>
      <c r="AE17" s="127">
        <f>Feb!DT18-Feb!DR58-Feb!DT58</f>
        <v>14806.000000000004</v>
      </c>
      <c r="AF17" s="127">
        <f>Feb!DR58+Feb!DT58</f>
        <v>293.99999999999693</v>
      </c>
      <c r="AG17" s="127">
        <f>Feb!HE18-AE17</f>
        <v>62253.999999999942</v>
      </c>
      <c r="AH17" s="127">
        <f>Feb!DW18</f>
        <v>4400.0000000005457</v>
      </c>
      <c r="AI17" s="127">
        <f>Feb!DZ18</f>
        <v>7866.41</v>
      </c>
      <c r="AJ17" s="127">
        <f>Feb!EC18</f>
        <v>25026.41</v>
      </c>
      <c r="AK17" s="127">
        <f t="shared" si="4"/>
        <v>37292.820000000545</v>
      </c>
      <c r="AL17" s="127">
        <f>Feb!EG18</f>
        <v>34026.410000000003</v>
      </c>
      <c r="AM17" s="127">
        <f>Feb!EJ18</f>
        <v>9866.41</v>
      </c>
      <c r="AN17" s="127">
        <f>Feb!EM18</f>
        <v>720.00000000002728</v>
      </c>
      <c r="AO17" s="127">
        <f t="shared" si="5"/>
        <v>44612.820000000036</v>
      </c>
      <c r="AP17" s="127">
        <f>Feb!FX18</f>
        <v>28500</v>
      </c>
      <c r="AQ17" s="127">
        <f>Feb!GA18</f>
        <v>7719.9999999999091</v>
      </c>
      <c r="AR17" s="127">
        <f>Feb!GG18+(Feb!GP18+Feb!GS18)</f>
        <v>7380.0000000002274</v>
      </c>
      <c r="AS17" s="127">
        <f t="shared" si="6"/>
        <v>43600.000000000138</v>
      </c>
      <c r="AT17" s="127">
        <f>Feb!EQ18</f>
        <v>9866.41</v>
      </c>
      <c r="AU17" s="127">
        <f>Feb!ET18</f>
        <v>19400.000000000546</v>
      </c>
      <c r="AV17" s="127">
        <f>Feb!EW18</f>
        <v>8566.409999999818</v>
      </c>
      <c r="AW17" s="127">
        <f>Feb!FL55</f>
        <v>11356.11273658217</v>
      </c>
      <c r="AX17" s="127">
        <f>Feb!GJ18</f>
        <v>1500</v>
      </c>
      <c r="AY17" s="127">
        <f t="shared" si="7"/>
        <v>50688.93273658253</v>
      </c>
      <c r="AZ17" s="127">
        <f>Feb!FG18</f>
        <v>9958.35</v>
      </c>
      <c r="BA17" s="127">
        <f>Feb!FJ18</f>
        <v>19158.349999999817</v>
      </c>
      <c r="BB17" s="127">
        <f>Feb!FM55</f>
        <v>12468.647263417832</v>
      </c>
      <c r="BC17" s="127">
        <f>Feb!GM18</f>
        <v>100.00000000013642</v>
      </c>
      <c r="BD17" s="127">
        <f t="shared" si="8"/>
        <v>41685.347263417782</v>
      </c>
      <c r="BE17" s="127">
        <f t="shared" si="11"/>
        <v>1237</v>
      </c>
      <c r="BF17" s="127"/>
      <c r="BG17" s="127"/>
      <c r="BH17" s="127"/>
      <c r="BI17" s="128">
        <f>AS17*55/100</f>
        <v>23980.000000000073</v>
      </c>
      <c r="BJ17" s="128">
        <v>0</v>
      </c>
      <c r="BK17" s="128"/>
      <c r="BL17" s="128">
        <f>AS17*45/100</f>
        <v>19620.000000000062</v>
      </c>
      <c r="BM17" s="128"/>
      <c r="BN17" s="128"/>
      <c r="BO17" s="128"/>
      <c r="BP17" s="128"/>
      <c r="BQ17" s="128"/>
      <c r="BR17" s="42">
        <f>Feb!D56</f>
        <v>0</v>
      </c>
      <c r="BS17" s="42">
        <f>Feb!G56</f>
        <v>87000</v>
      </c>
      <c r="BT17" s="151"/>
      <c r="BV17" s="42">
        <f>Feb!HJ18</f>
        <v>77059.999999999942</v>
      </c>
      <c r="BW17" s="42">
        <f>Feb!HM18</f>
        <v>0</v>
      </c>
      <c r="BX17" s="42">
        <f>Feb!HP18</f>
        <v>25051</v>
      </c>
      <c r="BY17" s="42">
        <f>Feb!HS18</f>
        <v>19231.000000000007</v>
      </c>
      <c r="BZ17" s="42">
        <f>Feb!HV18</f>
        <v>17678.000000000011</v>
      </c>
      <c r="CA17" s="42">
        <f>Feb!HY18</f>
        <v>15100</v>
      </c>
    </row>
    <row r="18" spans="1:79" x14ac:dyDescent="0.25">
      <c r="A18" s="26">
        <f t="shared" si="10"/>
        <v>12</v>
      </c>
      <c r="B18" s="42">
        <f>Feb!G19</f>
        <v>342399.99999999779</v>
      </c>
      <c r="C18" s="42">
        <f>Feb!N19</f>
        <v>340000</v>
      </c>
      <c r="D18" s="42">
        <f>Feb!T19</f>
        <v>7098.4399999994785</v>
      </c>
      <c r="E18" s="42">
        <f>Feb!V19</f>
        <v>0</v>
      </c>
      <c r="F18" s="42">
        <f>Feb!AB19</f>
        <v>930</v>
      </c>
      <c r="G18" s="42">
        <f>Feb!X19</f>
        <v>7571.5600000008853</v>
      </c>
      <c r="H18" s="42">
        <f>Feb!AE19</f>
        <v>5599.9999999999091</v>
      </c>
      <c r="I18" s="42">
        <f>Feb!AI19</f>
        <v>13689.400000000182</v>
      </c>
      <c r="J18" s="42">
        <f>Feb!AN19</f>
        <v>7739.3999999999405</v>
      </c>
      <c r="K18" s="42">
        <f>Feb!AR19</f>
        <v>11300.000000000182</v>
      </c>
      <c r="L18" s="42">
        <f>Feb!AZ19</f>
        <v>352.0800000000163</v>
      </c>
      <c r="M18" s="42">
        <f>Feb!BC19</f>
        <v>634.6079999999929</v>
      </c>
      <c r="N18" s="125">
        <f t="shared" si="15"/>
        <v>54915.488000000587</v>
      </c>
      <c r="O18" s="125">
        <f>Feb!CA19</f>
        <v>993.20000000000164</v>
      </c>
      <c r="P18" s="125">
        <f>Feb!CD19</f>
        <v>1414.7999999999884</v>
      </c>
      <c r="Q18" s="125">
        <f>Feb!CF19</f>
        <v>9.9999999976716936E-2</v>
      </c>
      <c r="R18" s="125">
        <f>Feb!CH19</f>
        <v>0</v>
      </c>
      <c r="S18" s="125">
        <f>Feb!CK19</f>
        <v>17066.200000000073</v>
      </c>
      <c r="T18" s="125">
        <f>Feb!CO19</f>
        <v>9520.3999999998578</v>
      </c>
      <c r="U18" s="125">
        <f>Feb!CS19</f>
        <v>8636.3999999998432</v>
      </c>
      <c r="V18" s="126">
        <f t="shared" si="16"/>
        <v>37631.099999999737</v>
      </c>
      <c r="W18" s="126">
        <f>Feb!CW19</f>
        <v>736</v>
      </c>
      <c r="X18" s="126">
        <f>Feb!DA19</f>
        <v>595</v>
      </c>
      <c r="Y18" s="126">
        <f t="shared" si="1"/>
        <v>1331</v>
      </c>
      <c r="Z18" s="42">
        <f>Feb!BR19</f>
        <v>659.99999999996817</v>
      </c>
      <c r="AA18" s="126">
        <f>Feb!BG19</f>
        <v>2500</v>
      </c>
      <c r="AB18" s="126">
        <f>Feb!BJ19</f>
        <v>9199.9999999998181</v>
      </c>
      <c r="AC18" s="126">
        <f>Feb!BL19+Feb!BN19+Feb!BP19</f>
        <v>5490.0000000000909</v>
      </c>
      <c r="AD18" s="126">
        <f>Feb!DR19</f>
        <v>7100</v>
      </c>
      <c r="AE18" s="127">
        <f>Feb!DT19-Feb!DR59-Feb!DT59</f>
        <v>15118.999999999996</v>
      </c>
      <c r="AF18" s="127">
        <f>Feb!DR59+Feb!DT59</f>
        <v>281.00000000000415</v>
      </c>
      <c r="AG18" s="127">
        <f>Feb!HE19-AE18</f>
        <v>72131</v>
      </c>
      <c r="AH18" s="127">
        <f>Feb!DW19</f>
        <v>4699.9999999998181</v>
      </c>
      <c r="AI18" s="127">
        <f>Feb!DZ19</f>
        <v>7889.4</v>
      </c>
      <c r="AJ18" s="127">
        <f>Feb!EC19</f>
        <v>25049.4</v>
      </c>
      <c r="AK18" s="127">
        <f t="shared" si="4"/>
        <v>37638.799999999821</v>
      </c>
      <c r="AL18" s="127">
        <f>Feb!EG19</f>
        <v>35049.4</v>
      </c>
      <c r="AM18" s="127">
        <f>Feb!EJ19</f>
        <v>11889.4</v>
      </c>
      <c r="AN18" s="127">
        <f>Feb!EM19</f>
        <v>679.99999999994998</v>
      </c>
      <c r="AO18" s="127">
        <f t="shared" si="5"/>
        <v>47618.799999999952</v>
      </c>
      <c r="AP18" s="127">
        <f>Feb!FX19</f>
        <v>31800</v>
      </c>
      <c r="AQ18" s="127">
        <f>Feb!GA19</f>
        <v>8490</v>
      </c>
      <c r="AR18" s="127">
        <f>Feb!GG19+(Feb!GP19+Feb!GS19)</f>
        <v>8719.9999999995907</v>
      </c>
      <c r="AS18" s="127">
        <f t="shared" si="6"/>
        <v>49009.999999999593</v>
      </c>
      <c r="AT18" s="127">
        <f>Feb!EQ19</f>
        <v>10889.4</v>
      </c>
      <c r="AU18" s="127">
        <f>Feb!ET19</f>
        <v>19299.999999999272</v>
      </c>
      <c r="AV18" s="127">
        <f>Feb!EW19</f>
        <v>8889.4</v>
      </c>
      <c r="AW18" s="127">
        <f>Feb!FL56</f>
        <v>10743.914289806635</v>
      </c>
      <c r="AX18" s="127">
        <f>Feb!GJ19</f>
        <v>1700.0000000000455</v>
      </c>
      <c r="AY18" s="127">
        <f t="shared" si="7"/>
        <v>51522.714289805954</v>
      </c>
      <c r="AZ18" s="127">
        <f>Feb!FG19</f>
        <v>10901.88</v>
      </c>
      <c r="BA18" s="127">
        <f>Feb!FJ19</f>
        <v>19301.879999999637</v>
      </c>
      <c r="BB18" s="127">
        <f>Feb!FM56</f>
        <v>11047.365710193364</v>
      </c>
      <c r="BC18" s="127">
        <f>Feb!GM19</f>
        <v>0</v>
      </c>
      <c r="BD18" s="127">
        <f t="shared" si="8"/>
        <v>41251.125710193002</v>
      </c>
      <c r="BE18" s="127">
        <f t="shared" si="11"/>
        <v>1331</v>
      </c>
      <c r="BF18" s="127"/>
      <c r="BG18" s="127"/>
      <c r="BH18" s="127"/>
      <c r="BI18" s="128">
        <f>AS18*55/100</f>
        <v>26955.499999999778</v>
      </c>
      <c r="BJ18" s="128">
        <v>0</v>
      </c>
      <c r="BK18" s="128"/>
      <c r="BL18" s="128">
        <f>AS18*45/100</f>
        <v>22054.499999999818</v>
      </c>
      <c r="BM18" s="128"/>
      <c r="BN18" s="128"/>
      <c r="BO18" s="128"/>
      <c r="BP18" s="128"/>
      <c r="BQ18" s="128"/>
      <c r="BR18" s="42">
        <f>Feb!D57</f>
        <v>0</v>
      </c>
      <c r="BS18" s="42">
        <f>Feb!G57</f>
        <v>91000</v>
      </c>
      <c r="BT18" s="151"/>
      <c r="BV18" s="42">
        <f>Feb!HJ19</f>
        <v>87250</v>
      </c>
      <c r="BW18" s="42">
        <f>Feb!HM19</f>
        <v>0</v>
      </c>
      <c r="BX18" s="42">
        <f>Feb!HP19</f>
        <v>30933.999999999996</v>
      </c>
      <c r="BY18" s="42">
        <f>Feb!HS19</f>
        <v>21433.999999999996</v>
      </c>
      <c r="BZ18" s="42">
        <f>Feb!HV19</f>
        <v>19481.999999999996</v>
      </c>
      <c r="CA18" s="42">
        <f>Feb!HY19</f>
        <v>15400</v>
      </c>
    </row>
    <row r="19" spans="1:79" x14ac:dyDescent="0.25">
      <c r="A19" s="26">
        <f t="shared" si="10"/>
        <v>13</v>
      </c>
      <c r="B19" s="42">
        <f>Feb!G20</f>
        <v>337600.0000000131</v>
      </c>
      <c r="C19" s="42">
        <f>Feb!N20</f>
        <v>335000</v>
      </c>
      <c r="D19" s="42">
        <f>Feb!T20</f>
        <v>9788.5800000000745</v>
      </c>
      <c r="E19" s="42">
        <f>Feb!V20</f>
        <v>0</v>
      </c>
      <c r="F19" s="42">
        <f>Feb!AB20</f>
        <v>10</v>
      </c>
      <c r="G19" s="42">
        <f>Feb!X20</f>
        <v>8322.8199999999197</v>
      </c>
      <c r="H19" s="42">
        <f>Feb!AE20</f>
        <v>5299.9999999997272</v>
      </c>
      <c r="I19" s="42">
        <f>Feb!AI20</f>
        <v>12959.259999999818</v>
      </c>
      <c r="J19" s="42">
        <f>Feb!AN20</f>
        <v>7909.2599999992281</v>
      </c>
      <c r="K19" s="42">
        <f>Feb!AR20</f>
        <v>12800.000000000182</v>
      </c>
      <c r="L19" s="42">
        <f>Feb!AZ20</f>
        <v>451.67999999999302</v>
      </c>
      <c r="M19" s="42">
        <f>Feb!BC20</f>
        <v>691.75200000000768</v>
      </c>
      <c r="N19" s="125">
        <f t="shared" si="15"/>
        <v>58233.351999998951</v>
      </c>
      <c r="O19" s="125">
        <f>Feb!CA20</f>
        <v>790.00000000002046</v>
      </c>
      <c r="P19" s="125">
        <f>Feb!CD20</f>
        <v>660</v>
      </c>
      <c r="Q19" s="125">
        <f>Feb!CF20</f>
        <v>0</v>
      </c>
      <c r="R19" s="125">
        <f>Feb!CH20</f>
        <v>0</v>
      </c>
      <c r="S19" s="125">
        <f>Feb!CK20</f>
        <v>16469.259999999977</v>
      </c>
      <c r="T19" s="125">
        <f>Feb!CO20</f>
        <v>7759.26</v>
      </c>
      <c r="U19" s="125">
        <f>Feb!CS20</f>
        <v>7659.2600000000912</v>
      </c>
      <c r="V19" s="126">
        <f t="shared" si="16"/>
        <v>33337.780000000086</v>
      </c>
      <c r="W19" s="126">
        <f>Feb!CW20</f>
        <v>700</v>
      </c>
      <c r="X19" s="126">
        <f>Feb!DA20</f>
        <v>600</v>
      </c>
      <c r="Y19" s="126">
        <f t="shared" si="1"/>
        <v>1300</v>
      </c>
      <c r="Z19" s="42">
        <f>Feb!BR20</f>
        <v>820.00000000005002</v>
      </c>
      <c r="AA19" s="126">
        <f>Feb!BG20</f>
        <v>2299.9999999999545</v>
      </c>
      <c r="AB19" s="126">
        <f>Feb!BJ20</f>
        <v>8399.9999999996362</v>
      </c>
      <c r="AC19" s="126">
        <f>Feb!BL20+Feb!BN20+Feb!BP20</f>
        <v>4829.9999999999955</v>
      </c>
      <c r="AD19" s="126">
        <f>Feb!DR20</f>
        <v>6000</v>
      </c>
      <c r="AE19" s="127">
        <f>Feb!DT20-Feb!DR60-Feb!DT60</f>
        <v>15839.000000000004</v>
      </c>
      <c r="AF19" s="127">
        <f>Feb!DR60+Feb!DT60</f>
        <v>260.99999999999744</v>
      </c>
      <c r="AG19" s="127">
        <f>Feb!HE20-AE19</f>
        <v>77761.000000000029</v>
      </c>
      <c r="AH19" s="127">
        <f>Feb!DW20</f>
        <v>4300.0000000001819</v>
      </c>
      <c r="AI19" s="127">
        <f>Feb!DZ20</f>
        <v>7259.26</v>
      </c>
      <c r="AJ19" s="127">
        <f>Feb!EC20</f>
        <v>24419.26</v>
      </c>
      <c r="AK19" s="127">
        <f t="shared" si="4"/>
        <v>35978.520000000179</v>
      </c>
      <c r="AL19" s="127">
        <f>Feb!EG20</f>
        <v>33419.259999999995</v>
      </c>
      <c r="AM19" s="127">
        <f>Feb!EJ20</f>
        <v>10259.26</v>
      </c>
      <c r="AN19" s="127">
        <f>Feb!EM20</f>
        <v>560.00000000005912</v>
      </c>
      <c r="AO19" s="127">
        <f t="shared" si="5"/>
        <v>44238.520000000055</v>
      </c>
      <c r="AP19" s="127">
        <f>Feb!FX20</f>
        <v>32100</v>
      </c>
      <c r="AQ19" s="127">
        <f>Feb!GA20</f>
        <v>7460</v>
      </c>
      <c r="AR19" s="127">
        <f>Feb!GG20+(Feb!GP20+Feb!GS20)</f>
        <v>8940.0000000003183</v>
      </c>
      <c r="AS19" s="127">
        <f t="shared" si="6"/>
        <v>48500.00000000032</v>
      </c>
      <c r="AT19" s="127">
        <f>Feb!EQ20</f>
        <v>9259.26</v>
      </c>
      <c r="AU19" s="127">
        <f>Feb!ET20</f>
        <v>17300.000000000182</v>
      </c>
      <c r="AV19" s="127">
        <f>Feb!EW20</f>
        <v>8059.2600000001821</v>
      </c>
      <c r="AW19" s="127">
        <f>Feb!FL57</f>
        <v>10320.84305263052</v>
      </c>
      <c r="AX19" s="127">
        <f>Feb!GJ20</f>
        <v>1700.0000000000455</v>
      </c>
      <c r="AY19" s="127">
        <f t="shared" si="7"/>
        <v>46639.363052630928</v>
      </c>
      <c r="AZ19" s="127">
        <f>Feb!FG20</f>
        <v>9441.0400000000009</v>
      </c>
      <c r="BA19" s="127">
        <f>Feb!FJ20</f>
        <v>19341.040000000543</v>
      </c>
      <c r="BB19" s="127">
        <f>Feb!FM57</f>
        <v>10379.456947369483</v>
      </c>
      <c r="BC19" s="127">
        <f>Feb!GM20</f>
        <v>0</v>
      </c>
      <c r="BD19" s="127">
        <f t="shared" si="8"/>
        <v>39161.536947370027</v>
      </c>
      <c r="BE19" s="127">
        <f t="shared" si="11"/>
        <v>1300</v>
      </c>
      <c r="BF19" s="127"/>
      <c r="BG19" s="127"/>
      <c r="BH19" s="127"/>
      <c r="BI19" s="128">
        <f>AS19*50/100</f>
        <v>24250.00000000016</v>
      </c>
      <c r="BJ19" s="128">
        <v>0</v>
      </c>
      <c r="BK19" s="128"/>
      <c r="BL19" s="128">
        <f>AS19*50/100</f>
        <v>24250.00000000016</v>
      </c>
      <c r="BM19" s="128"/>
      <c r="BN19" s="128"/>
      <c r="BO19" s="128"/>
      <c r="BP19" s="128"/>
      <c r="BQ19" s="128"/>
      <c r="BR19" s="42">
        <f>Feb!D58</f>
        <v>0</v>
      </c>
      <c r="BS19" s="42">
        <f>Feb!G58</f>
        <v>86000</v>
      </c>
      <c r="BT19" s="151"/>
      <c r="BU19" s="151"/>
      <c r="BV19" s="42">
        <f>Feb!HJ20</f>
        <v>93600.000000000029</v>
      </c>
      <c r="BW19" s="42">
        <f>Feb!HM20</f>
        <v>0</v>
      </c>
      <c r="BX19" s="42">
        <f>Feb!HP20</f>
        <v>31499.999999999971</v>
      </c>
      <c r="BY19" s="42">
        <f>Feb!HS20</f>
        <v>23780.000000000004</v>
      </c>
      <c r="BZ19" s="42">
        <f>Feb!HV20</f>
        <v>22220</v>
      </c>
      <c r="CA19" s="42">
        <f>Feb!HY20</f>
        <v>16100</v>
      </c>
    </row>
    <row r="20" spans="1:79" x14ac:dyDescent="0.25">
      <c r="A20" s="26">
        <f t="shared" si="10"/>
        <v>14</v>
      </c>
      <c r="B20" s="42">
        <f>Feb!G21</f>
        <v>347519.99999999313</v>
      </c>
      <c r="C20" s="42">
        <f>Feb!N21</f>
        <v>341000</v>
      </c>
      <c r="D20" s="42">
        <f>Feb!T21</f>
        <v>9893.109999999404</v>
      </c>
      <c r="E20" s="42">
        <f>Feb!V21</f>
        <v>0</v>
      </c>
      <c r="F20" s="42">
        <f>Feb!AB21</f>
        <v>60</v>
      </c>
      <c r="G20" s="42">
        <f>Feb!X21</f>
        <v>9225.4899999998743</v>
      </c>
      <c r="H20" s="42">
        <f>Feb!AE21</f>
        <v>5500</v>
      </c>
      <c r="I20" s="42">
        <f>Feb!AI21</f>
        <v>14597.84</v>
      </c>
      <c r="J20" s="42">
        <f>Feb!AN21</f>
        <v>9197.8400000004003</v>
      </c>
      <c r="K20" s="42">
        <f>Feb!AR21</f>
        <v>13599.999999999454</v>
      </c>
      <c r="L20" s="42">
        <f>Feb!AZ21</f>
        <v>426.23999999999069</v>
      </c>
      <c r="M20" s="42">
        <f>Feb!BC21</f>
        <v>633.63999999999942</v>
      </c>
      <c r="N20" s="125">
        <f t="shared" si="15"/>
        <v>63134.159999999123</v>
      </c>
      <c r="O20" s="125">
        <f>Feb!CA21</f>
        <v>779.69999999999118</v>
      </c>
      <c r="P20" s="125">
        <f>Feb!CD21</f>
        <v>2255</v>
      </c>
      <c r="Q20" s="125">
        <f>Feb!CF21</f>
        <v>0</v>
      </c>
      <c r="R20" s="125">
        <f>Feb!CH21</f>
        <v>0</v>
      </c>
      <c r="S20" s="125">
        <f>Feb!CK21</f>
        <v>17068.14000000001</v>
      </c>
      <c r="T20" s="125">
        <f>Feb!CO21</f>
        <v>7281.8400000001966</v>
      </c>
      <c r="U20" s="125">
        <f>Feb!CS21</f>
        <v>7500.8399999997928</v>
      </c>
      <c r="V20" s="126">
        <f t="shared" si="16"/>
        <v>34885.51999999999</v>
      </c>
      <c r="W20" s="126">
        <f>Feb!CW21</f>
        <v>655</v>
      </c>
      <c r="X20" s="126">
        <f>Feb!DA21</f>
        <v>595</v>
      </c>
      <c r="Y20" s="126">
        <f t="shared" si="1"/>
        <v>1250</v>
      </c>
      <c r="Z20" s="42">
        <f>Feb!BR21</f>
        <v>620.00000000000455</v>
      </c>
      <c r="AA20" s="126">
        <f>Feb!BG21</f>
        <v>2200.0000000000455</v>
      </c>
      <c r="AB20" s="126">
        <f>Feb!BJ21</f>
        <v>8700.0000000007276</v>
      </c>
      <c r="AC20" s="126">
        <f>Feb!BL21+Feb!BN21+Feb!BP21</f>
        <v>4879.9999999999591</v>
      </c>
      <c r="AD20" s="126">
        <f>Feb!DR21</f>
        <v>7200</v>
      </c>
      <c r="AE20" s="127">
        <f>Feb!DT21-Feb!DR61-Feb!DT61</f>
        <v>16047.999999999993</v>
      </c>
      <c r="AF20" s="127">
        <f>Feb!DR61+Feb!DT61</f>
        <v>252.00000000000779</v>
      </c>
      <c r="AG20" s="127">
        <f>Feb!HE21-AE20</f>
        <v>69361.999999999971</v>
      </c>
      <c r="AH20" s="127">
        <f>Feb!DW21</f>
        <v>4599.9999999994543</v>
      </c>
      <c r="AI20" s="127">
        <f>Feb!DZ21</f>
        <v>8097.84</v>
      </c>
      <c r="AJ20" s="127">
        <f>Feb!EC21</f>
        <v>24257.84</v>
      </c>
      <c r="AK20" s="127">
        <f t="shared" si="4"/>
        <v>36955.679999999455</v>
      </c>
      <c r="AL20" s="127">
        <f>Feb!EG21</f>
        <v>34257.839999999997</v>
      </c>
      <c r="AM20" s="127">
        <f>Feb!EJ21</f>
        <v>10097.84</v>
      </c>
      <c r="AN20" s="127">
        <f>Feb!EM21</f>
        <v>689.99999999994088</v>
      </c>
      <c r="AO20" s="127">
        <f t="shared" si="5"/>
        <v>45045.679999999935</v>
      </c>
      <c r="AP20" s="127">
        <f>Feb!FX21</f>
        <v>34900</v>
      </c>
      <c r="AQ20" s="127">
        <f>Feb!GA21</f>
        <v>7140.0000000002728</v>
      </c>
      <c r="AR20" s="127">
        <f>Feb!GG21+(Feb!GP21+Feb!GS21)</f>
        <v>8559.9999999988631</v>
      </c>
      <c r="AS20" s="127">
        <f t="shared" si="6"/>
        <v>50599.999999999141</v>
      </c>
      <c r="AT20" s="127">
        <f>Feb!EQ21</f>
        <v>11097.84</v>
      </c>
      <c r="AU20" s="127">
        <f>Feb!ET21</f>
        <v>19100.000000000364</v>
      </c>
      <c r="AV20" s="127">
        <f>Feb!EW21</f>
        <v>9097.84</v>
      </c>
      <c r="AW20" s="127">
        <f>Feb!FL58</f>
        <v>12820.704164449793</v>
      </c>
      <c r="AX20" s="127">
        <f>Feb!GJ21</f>
        <v>1700.0000000000455</v>
      </c>
      <c r="AY20" s="127">
        <f t="shared" si="7"/>
        <v>53816.384164450203</v>
      </c>
      <c r="AZ20" s="127">
        <f>Feb!FG21</f>
        <v>10131.17</v>
      </c>
      <c r="BA20" s="127">
        <f>Feb!FJ21</f>
        <v>19031.169999999638</v>
      </c>
      <c r="BB20" s="127">
        <f>Feb!FM58</f>
        <v>11408.305835550213</v>
      </c>
      <c r="BC20" s="127">
        <f>Feb!GM21</f>
        <v>0</v>
      </c>
      <c r="BD20" s="127">
        <f t="shared" si="8"/>
        <v>40570.645835549854</v>
      </c>
      <c r="BE20" s="127">
        <f t="shared" si="11"/>
        <v>1250</v>
      </c>
      <c r="BF20" s="127"/>
      <c r="BG20" s="127"/>
      <c r="BH20" s="127"/>
      <c r="BI20" s="128">
        <f t="shared" ref="BI20:BI27" si="17">AS20*55/100</f>
        <v>27829.999999999531</v>
      </c>
      <c r="BJ20" s="128">
        <v>0</v>
      </c>
      <c r="BK20" s="128"/>
      <c r="BL20" s="128">
        <f t="shared" ref="BL20:BL22" si="18">AS20*45/100</f>
        <v>22769.999999999614</v>
      </c>
      <c r="BM20" s="128"/>
      <c r="BN20" s="128"/>
      <c r="BO20" s="128"/>
      <c r="BP20" s="128"/>
      <c r="BQ20" s="128"/>
      <c r="BR20" s="42">
        <f>Feb!D59</f>
        <v>0</v>
      </c>
      <c r="BS20" s="42">
        <f>Feb!G59</f>
        <v>88000</v>
      </c>
      <c r="BT20" s="151"/>
      <c r="BV20" s="42">
        <f>Feb!HJ21</f>
        <v>85409.999999999971</v>
      </c>
      <c r="BW20" s="42">
        <f>Feb!HM21</f>
        <v>0</v>
      </c>
      <c r="BX20" s="42">
        <f>Feb!HP21</f>
        <v>29186.666670000006</v>
      </c>
      <c r="BY20" s="42">
        <f>Feb!HS21</f>
        <v>20576.666669999991</v>
      </c>
      <c r="BZ20" s="42">
        <f>Feb!HV21</f>
        <v>19346.666670000002</v>
      </c>
      <c r="CA20" s="42">
        <f>Feb!HY21</f>
        <v>16300</v>
      </c>
    </row>
    <row r="21" spans="1:79" x14ac:dyDescent="0.25">
      <c r="A21" s="26">
        <f t="shared" si="10"/>
        <v>15</v>
      </c>
      <c r="B21" s="42">
        <f>Feb!G22</f>
        <v>367680.00000000396</v>
      </c>
      <c r="C21" s="42">
        <f>Feb!N22</f>
        <v>368000</v>
      </c>
      <c r="D21" s="42">
        <f>Feb!T22</f>
        <v>11354.060000000522</v>
      </c>
      <c r="E21" s="42">
        <f>Feb!V22</f>
        <v>0</v>
      </c>
      <c r="F21" s="42">
        <f>Feb!AB22</f>
        <v>0</v>
      </c>
      <c r="G21" s="42">
        <f>Feb!X22</f>
        <v>8145.9399999994785</v>
      </c>
      <c r="H21" s="42">
        <f>Feb!AE22</f>
        <v>5700.0000000002728</v>
      </c>
      <c r="I21" s="42">
        <f>Feb!AI22</f>
        <v>14346.339999999818</v>
      </c>
      <c r="J21" s="42">
        <f>Feb!AN22</f>
        <v>9486.3400000011206</v>
      </c>
      <c r="K21" s="42">
        <f>Feb!AR22</f>
        <v>13600.000000000364</v>
      </c>
      <c r="L21" s="42">
        <f>Feb!AZ22</f>
        <v>470</v>
      </c>
      <c r="M21" s="42">
        <f>Feb!BC22</f>
        <v>740</v>
      </c>
      <c r="N21" s="125">
        <f t="shared" si="15"/>
        <v>63842.680000001579</v>
      </c>
      <c r="O21" s="125">
        <f>Feb!CA22</f>
        <v>828.89999999997599</v>
      </c>
      <c r="P21" s="125">
        <f>Feb!CD22</f>
        <v>1777.9000000000233</v>
      </c>
      <c r="Q21" s="125">
        <f>Feb!CF22</f>
        <v>0</v>
      </c>
      <c r="R21" s="125">
        <f>Feb!CH22</f>
        <v>0</v>
      </c>
      <c r="S21" s="125">
        <f>Feb!CK22</f>
        <v>17867.439999999297</v>
      </c>
      <c r="T21" s="125">
        <f>Feb!CO22</f>
        <v>8199.3399999998837</v>
      </c>
      <c r="U21" s="125">
        <f>Feb!CS22</f>
        <v>7875.3400000002694</v>
      </c>
      <c r="V21" s="126">
        <f t="shared" si="16"/>
        <v>36548.919999999445</v>
      </c>
      <c r="W21" s="126">
        <f>Feb!CW22</f>
        <v>772</v>
      </c>
      <c r="X21" s="126">
        <f>Feb!DA22</f>
        <v>687</v>
      </c>
      <c r="Y21" s="126">
        <f t="shared" si="1"/>
        <v>1459</v>
      </c>
      <c r="Z21" s="42">
        <f>Feb!BR22</f>
        <v>600.00000000002274</v>
      </c>
      <c r="AA21" s="126">
        <f>Feb!BG22</f>
        <v>2199.9999999998181</v>
      </c>
      <c r="AB21" s="126">
        <f>Feb!BJ22</f>
        <v>9099.9999999994543</v>
      </c>
      <c r="AC21" s="126">
        <f>Feb!BL22+Feb!BN22+Feb!BP22</f>
        <v>4859.99999999995</v>
      </c>
      <c r="AD21" s="126">
        <f>Feb!DR22</f>
        <v>7200</v>
      </c>
      <c r="AE21" s="127">
        <f>Feb!DT22-Feb!DR62-Feb!DT62</f>
        <v>16474.000000000004</v>
      </c>
      <c r="AF21" s="127">
        <f>Feb!DR62+Feb!DT62</f>
        <v>225.99999999999554</v>
      </c>
      <c r="AG21" s="127">
        <f>Feb!HE22-AE21</f>
        <v>79706.000000000058</v>
      </c>
      <c r="AH21" s="127">
        <f>Feb!DW22</f>
        <v>4700.0000000007276</v>
      </c>
      <c r="AI21" s="127">
        <f>Feb!DZ22</f>
        <v>9146.34</v>
      </c>
      <c r="AJ21" s="127">
        <f>Feb!EC22</f>
        <v>26306.34</v>
      </c>
      <c r="AK21" s="127">
        <f t="shared" si="4"/>
        <v>40152.680000000728</v>
      </c>
      <c r="AL21" s="127">
        <f>Feb!EG22</f>
        <v>35306.339999999997</v>
      </c>
      <c r="AM21" s="127">
        <f>Feb!EJ22</f>
        <v>14146.34</v>
      </c>
      <c r="AN21" s="127">
        <f>Feb!EM22</f>
        <v>680.00000000006366</v>
      </c>
      <c r="AO21" s="127">
        <f t="shared" si="5"/>
        <v>50132.680000000058</v>
      </c>
      <c r="AP21" s="127">
        <f>Feb!FX22</f>
        <v>37300</v>
      </c>
      <c r="AQ21" s="127">
        <f>Feb!GA22</f>
        <v>8460</v>
      </c>
      <c r="AR21" s="127">
        <f>Feb!GG22+(Feb!GP22+Feb!GS22)</f>
        <v>9440.0000000005457</v>
      </c>
      <c r="AS21" s="127">
        <f t="shared" si="6"/>
        <v>55200.000000000546</v>
      </c>
      <c r="AT21" s="127">
        <f>Feb!EQ22</f>
        <v>10146.34</v>
      </c>
      <c r="AU21" s="127">
        <f>Feb!ET22</f>
        <v>18599.999999999454</v>
      </c>
      <c r="AV21" s="127">
        <f>Feb!EW22</f>
        <v>8946.340000000182</v>
      </c>
      <c r="AW21" s="127">
        <f>Feb!FL59</f>
        <v>9675.0572863326743</v>
      </c>
      <c r="AX21" s="127">
        <f>Feb!GJ22</f>
        <v>1699.9999999998181</v>
      </c>
      <c r="AY21" s="127">
        <f t="shared" si="7"/>
        <v>49067.737286332129</v>
      </c>
      <c r="AZ21" s="127">
        <f>Feb!FG22</f>
        <v>9579.67</v>
      </c>
      <c r="BA21" s="127">
        <f>Feb!FJ22</f>
        <v>20279.66999999982</v>
      </c>
      <c r="BB21" s="127">
        <f>Feb!FM59</f>
        <v>14050.95271366733</v>
      </c>
      <c r="BC21" s="127">
        <f>Feb!GM22</f>
        <v>0</v>
      </c>
      <c r="BD21" s="127">
        <f t="shared" si="8"/>
        <v>43910.29271366715</v>
      </c>
      <c r="BE21" s="127">
        <f t="shared" si="11"/>
        <v>1459</v>
      </c>
      <c r="BF21" s="127"/>
      <c r="BG21" s="127"/>
      <c r="BH21" s="127"/>
      <c r="BI21" s="128">
        <f t="shared" si="17"/>
        <v>30360.000000000298</v>
      </c>
      <c r="BJ21" s="128">
        <v>0</v>
      </c>
      <c r="BK21" s="128"/>
      <c r="BL21" s="128">
        <f t="shared" si="18"/>
        <v>24840.000000000247</v>
      </c>
      <c r="BM21" s="128"/>
      <c r="BN21" s="128"/>
      <c r="BO21" s="128"/>
      <c r="BP21" s="128"/>
      <c r="BQ21" s="128"/>
      <c r="BR21" s="42">
        <f>Feb!D60</f>
        <v>0</v>
      </c>
      <c r="BS21" s="42">
        <f>Feb!G60</f>
        <v>93000</v>
      </c>
      <c r="BT21" s="151"/>
      <c r="BV21" s="42">
        <f>Feb!HJ22</f>
        <v>96180.000000000058</v>
      </c>
      <c r="BW21" s="42">
        <f>Feb!HM22</f>
        <v>0</v>
      </c>
      <c r="BX21" s="42">
        <f>Feb!HP22</f>
        <v>37600</v>
      </c>
      <c r="BY21" s="42">
        <f>Feb!HS22</f>
        <v>21500.000000000007</v>
      </c>
      <c r="BZ21" s="42">
        <f>Feb!HV22</f>
        <v>20380.000000000004</v>
      </c>
      <c r="CA21" s="42">
        <f>Feb!HY22</f>
        <v>16700</v>
      </c>
    </row>
    <row r="22" spans="1:79" x14ac:dyDescent="0.25">
      <c r="A22" s="26">
        <f t="shared" si="10"/>
        <v>16</v>
      </c>
      <c r="B22" s="42">
        <f>Feb!G23</f>
        <v>344319.99999999604</v>
      </c>
      <c r="C22" s="42">
        <f>Feb!N23</f>
        <v>339000</v>
      </c>
      <c r="D22" s="42">
        <f>Feb!T23</f>
        <v>9980.5800000000745</v>
      </c>
      <c r="E22" s="42">
        <f>Feb!V23</f>
        <v>0</v>
      </c>
      <c r="F22" s="42">
        <f>Feb!AB23</f>
        <v>0</v>
      </c>
      <c r="G22" s="42">
        <f>Feb!X23</f>
        <v>8519.4199999999255</v>
      </c>
      <c r="H22" s="42">
        <f>Feb!AE23</f>
        <v>5199.9999999998181</v>
      </c>
      <c r="I22" s="42">
        <f>Feb!AI23</f>
        <v>12177.319999999636</v>
      </c>
      <c r="J22" s="42">
        <f>Feb!AN23</f>
        <v>7507.3199999986036</v>
      </c>
      <c r="K22" s="42">
        <f>Feb!AR23</f>
        <v>12800.000000000182</v>
      </c>
      <c r="L22" s="42">
        <f>Feb!AZ23</f>
        <v>450</v>
      </c>
      <c r="M22" s="42">
        <f>Feb!BC23</f>
        <v>680</v>
      </c>
      <c r="N22" s="125">
        <f t="shared" si="15"/>
        <v>57314.639999998239</v>
      </c>
      <c r="O22" s="125">
        <f>Feb!CA23</f>
        <v>792.40000000004329</v>
      </c>
      <c r="P22" s="125">
        <f>Feb!CD23</f>
        <v>1608.8999999999651</v>
      </c>
      <c r="Q22" s="125">
        <f>Feb!CF23</f>
        <v>0</v>
      </c>
      <c r="R22" s="125">
        <f>Feb!CH23</f>
        <v>0</v>
      </c>
      <c r="S22" s="125">
        <f>Feb!CK23</f>
        <v>15014.920000000611</v>
      </c>
      <c r="T22" s="125">
        <f>Feb!CO23</f>
        <v>6016.3200000000325</v>
      </c>
      <c r="U22" s="125">
        <f>Feb!CS23</f>
        <v>5460.3199999999924</v>
      </c>
      <c r="V22" s="126">
        <f t="shared" si="16"/>
        <v>28892.860000000645</v>
      </c>
      <c r="W22" s="126">
        <f>Feb!CW23</f>
        <v>748</v>
      </c>
      <c r="X22" s="126">
        <f>Feb!DA23</f>
        <v>563</v>
      </c>
      <c r="Y22" s="126">
        <f t="shared" si="1"/>
        <v>1311</v>
      </c>
      <c r="Z22" s="42">
        <f>Feb!BR23</f>
        <v>299.99999999995453</v>
      </c>
      <c r="AA22" s="126">
        <f>Feb!BG23</f>
        <v>2500</v>
      </c>
      <c r="AB22" s="126">
        <f>Feb!BJ23</f>
        <v>8500</v>
      </c>
      <c r="AC22" s="126">
        <f>Feb!BL23+Feb!BN23+Feb!BP23</f>
        <v>4569.9999999999864</v>
      </c>
      <c r="AD22" s="126">
        <f>Feb!DR23</f>
        <v>5700</v>
      </c>
      <c r="AE22" s="127">
        <f>Feb!DT23-Feb!DR63-Feb!DT63</f>
        <v>15946</v>
      </c>
      <c r="AF22" s="127">
        <f>Feb!DR63+Feb!DT63</f>
        <v>153.99999999999991</v>
      </c>
      <c r="AG22" s="127">
        <f>Feb!HE23-AE22</f>
        <v>76214.000000000087</v>
      </c>
      <c r="AH22" s="127">
        <f>Feb!DW23</f>
        <v>3799.9999999992724</v>
      </c>
      <c r="AI22" s="127">
        <f>Feb!DZ23</f>
        <v>4777.32</v>
      </c>
      <c r="AJ22" s="127">
        <f>Feb!EC23</f>
        <v>19937.32</v>
      </c>
      <c r="AK22" s="127">
        <f t="shared" si="4"/>
        <v>28514.639999999272</v>
      </c>
      <c r="AL22" s="127">
        <f>Feb!EG23</f>
        <v>32937.32</v>
      </c>
      <c r="AM22" s="127">
        <f>Feb!EJ23</f>
        <v>10777.32</v>
      </c>
      <c r="AN22" s="127">
        <f>Feb!EM23</f>
        <v>579.99999999992724</v>
      </c>
      <c r="AO22" s="127">
        <f t="shared" si="5"/>
        <v>44294.639999999927</v>
      </c>
      <c r="AP22" s="127">
        <f>Feb!FX23</f>
        <v>37400</v>
      </c>
      <c r="AQ22" s="127">
        <f>Feb!GA23</f>
        <v>7960</v>
      </c>
      <c r="AR22" s="127">
        <f>Feb!GG23+(Feb!GP23+Feb!GS23)</f>
        <v>9550.0000000002274</v>
      </c>
      <c r="AS22" s="127">
        <f t="shared" si="6"/>
        <v>54910.000000000226</v>
      </c>
      <c r="AT22" s="127">
        <f>Feb!EQ23</f>
        <v>9777.32</v>
      </c>
      <c r="AU22" s="127">
        <f>Feb!ET23</f>
        <v>19500</v>
      </c>
      <c r="AV22" s="127">
        <f>Feb!EW23</f>
        <v>7777.32</v>
      </c>
      <c r="AW22" s="127">
        <f>Feb!FL60</f>
        <v>10056.851661188071</v>
      </c>
      <c r="AX22" s="127">
        <f>Feb!GJ23</f>
        <v>1600.0000000001364</v>
      </c>
      <c r="AY22" s="127">
        <f t="shared" si="7"/>
        <v>48711.491661188207</v>
      </c>
      <c r="AZ22" s="127">
        <f>Feb!FG23</f>
        <v>9655.42</v>
      </c>
      <c r="BA22" s="127">
        <f>Feb!FJ23</f>
        <v>19455.42000000018</v>
      </c>
      <c r="BB22" s="127">
        <f>Feb!FM60</f>
        <v>10375.888338811927</v>
      </c>
      <c r="BC22" s="127">
        <f>Feb!GM23</f>
        <v>0</v>
      </c>
      <c r="BD22" s="127">
        <f t="shared" si="8"/>
        <v>39486.728338812107</v>
      </c>
      <c r="BE22" s="127">
        <f t="shared" si="11"/>
        <v>1311</v>
      </c>
      <c r="BF22" s="127"/>
      <c r="BG22" s="127"/>
      <c r="BH22" s="127"/>
      <c r="BI22" s="128">
        <f t="shared" si="17"/>
        <v>30200.500000000127</v>
      </c>
      <c r="BJ22" s="128">
        <v>0</v>
      </c>
      <c r="BK22" s="128"/>
      <c r="BL22" s="128">
        <f t="shared" si="18"/>
        <v>24709.500000000102</v>
      </c>
      <c r="BM22" s="128"/>
      <c r="BN22" s="128"/>
      <c r="BO22" s="128"/>
      <c r="BP22" s="128"/>
      <c r="BQ22" s="128"/>
      <c r="BR22" s="42">
        <f>Feb!D61</f>
        <v>0</v>
      </c>
      <c r="BS22" s="42">
        <f>Feb!G61</f>
        <v>73000</v>
      </c>
      <c r="BT22" s="151"/>
      <c r="BU22" s="151"/>
      <c r="BV22" s="42">
        <f>Feb!HJ23</f>
        <v>92160.000000000087</v>
      </c>
      <c r="BW22" s="42">
        <f>Feb!HM23</f>
        <v>0</v>
      </c>
      <c r="BX22" s="42">
        <f>Feb!HP23</f>
        <v>33646.66700000003</v>
      </c>
      <c r="BY22" s="42">
        <f>Feb!HS23</f>
        <v>22106.667000000009</v>
      </c>
      <c r="BZ22" s="42">
        <f>Feb!HV23</f>
        <v>20306.666999999998</v>
      </c>
      <c r="CA22" s="42">
        <f>Feb!HY23</f>
        <v>16100</v>
      </c>
    </row>
    <row r="23" spans="1:79" x14ac:dyDescent="0.25">
      <c r="A23" s="26">
        <f t="shared" si="10"/>
        <v>17</v>
      </c>
      <c r="B23" s="42">
        <f>Feb!G24</f>
        <v>350399.99999999779</v>
      </c>
      <c r="C23" s="42">
        <f>Feb!N24</f>
        <v>347000</v>
      </c>
      <c r="D23" s="42">
        <f>Feb!T24</f>
        <v>10365.359999999404</v>
      </c>
      <c r="E23" s="42">
        <f>Feb!V24</f>
        <v>0</v>
      </c>
      <c r="F23" s="42">
        <f>Feb!AB24</f>
        <v>0</v>
      </c>
      <c r="G23" s="42">
        <f>Feb!X24</f>
        <v>8334.6400000013236</v>
      </c>
      <c r="H23" s="42">
        <f>Feb!AE24</f>
        <v>5700.0000000002728</v>
      </c>
      <c r="I23" s="42">
        <f>Feb!AI24</f>
        <v>13106.43</v>
      </c>
      <c r="J23" s="42">
        <f>Feb!AN24</f>
        <v>8486.4300000009862</v>
      </c>
      <c r="K23" s="42">
        <f>Feb!AR24</f>
        <v>13599.999999999454</v>
      </c>
      <c r="L23" s="42">
        <f>Feb!AZ24</f>
        <v>480</v>
      </c>
      <c r="M23" s="42">
        <f>Feb!BC24</f>
        <v>690</v>
      </c>
      <c r="N23" s="125">
        <f t="shared" si="15"/>
        <v>60762.860000001434</v>
      </c>
      <c r="O23" s="125">
        <f>Feb!CA24</f>
        <v>760.0999999999658</v>
      </c>
      <c r="P23" s="125">
        <f>Feb!CD24</f>
        <v>540.60000000003492</v>
      </c>
      <c r="Q23" s="125">
        <f>Feb!CF24</f>
        <v>0.90000000002328306</v>
      </c>
      <c r="R23" s="125">
        <f>Feb!CH24</f>
        <v>989.69999999999709</v>
      </c>
      <c r="S23" s="125">
        <f>Feb!CK24</f>
        <v>16636.330000000908</v>
      </c>
      <c r="T23" s="125">
        <f>Feb!CO24</f>
        <v>5894.4300000000112</v>
      </c>
      <c r="U23" s="125">
        <f>Feb!CS24</f>
        <v>6182.4300000000221</v>
      </c>
      <c r="V23" s="126">
        <f t="shared" si="16"/>
        <v>31004.490000000962</v>
      </c>
      <c r="W23" s="126">
        <f>Feb!CW24</f>
        <v>699</v>
      </c>
      <c r="X23" s="126">
        <f>Feb!DA24</f>
        <v>585</v>
      </c>
      <c r="Y23" s="126">
        <f t="shared" si="1"/>
        <v>1284</v>
      </c>
      <c r="Z23" s="42">
        <f>Feb!BR24</f>
        <v>600.00000000002274</v>
      </c>
      <c r="AA23" s="126">
        <f>Feb!BG24</f>
        <v>2400.0000000000909</v>
      </c>
      <c r="AB23" s="126">
        <f>Feb!BJ24</f>
        <v>8800.0000000001819</v>
      </c>
      <c r="AC23" s="126">
        <f>Feb!BL24+Feb!BN24+Feb!BP24</f>
        <v>4820.0000000000819</v>
      </c>
      <c r="AD23" s="126">
        <f>Feb!DR24</f>
        <v>10200</v>
      </c>
      <c r="AE23" s="127">
        <f>Feb!DT24-Feb!DR64-Feb!DT64</f>
        <v>17779.999999999996</v>
      </c>
      <c r="AF23" s="127">
        <f>Feb!DR64+Feb!DT64</f>
        <v>320.00000000000205</v>
      </c>
      <c r="AG23" s="127">
        <f>Feb!HE24-AE23</f>
        <v>73419.999999999825</v>
      </c>
      <c r="AH23" s="127">
        <f>Feb!DW24</f>
        <v>4000</v>
      </c>
      <c r="AI23" s="127">
        <f>Feb!DZ24</f>
        <v>8606.43</v>
      </c>
      <c r="AJ23" s="127">
        <f>Feb!EC24</f>
        <v>25766.43</v>
      </c>
      <c r="AK23" s="127">
        <f t="shared" si="4"/>
        <v>38372.86</v>
      </c>
      <c r="AL23" s="127">
        <f>Feb!EG24</f>
        <v>34766.43</v>
      </c>
      <c r="AM23" s="127">
        <f>Feb!EJ24</f>
        <v>12606.43</v>
      </c>
      <c r="AN23" s="127">
        <f>Feb!EM24</f>
        <v>700.00000000004547</v>
      </c>
      <c r="AO23" s="127">
        <f t="shared" si="5"/>
        <v>48072.860000000044</v>
      </c>
      <c r="AP23" s="127">
        <f>Feb!FX24</f>
        <v>35000</v>
      </c>
      <c r="AQ23" s="127">
        <f>Feb!GA24</f>
        <v>8860.0000000000909</v>
      </c>
      <c r="AR23" s="127">
        <f>Feb!GG24+(Feb!GP24+Feb!GS24)</f>
        <v>9339.9999999999545</v>
      </c>
      <c r="AS23" s="127">
        <f t="shared" si="6"/>
        <v>53200.000000000044</v>
      </c>
      <c r="AT23" s="127">
        <f>Feb!EQ24</f>
        <v>9606.43</v>
      </c>
      <c r="AU23" s="127">
        <f>Feb!ET24</f>
        <v>19300.000000000182</v>
      </c>
      <c r="AV23" s="127">
        <f>Feb!EW24</f>
        <v>8906.4299999997274</v>
      </c>
      <c r="AW23" s="127">
        <f>Feb!FL61</f>
        <v>10686.01893949962</v>
      </c>
      <c r="AX23" s="127">
        <f>Feb!GJ24</f>
        <v>1700.0000000000455</v>
      </c>
      <c r="AY23" s="127">
        <f t="shared" si="7"/>
        <v>50198.878939499577</v>
      </c>
      <c r="AZ23" s="127">
        <f>Feb!FG24</f>
        <v>9581.2000000000007</v>
      </c>
      <c r="BA23" s="127">
        <f>Feb!FJ24</f>
        <v>20081.2</v>
      </c>
      <c r="BB23" s="127">
        <f>Feb!FM61</f>
        <v>10501.611060500378</v>
      </c>
      <c r="BC23" s="127">
        <f>Feb!GM24</f>
        <v>0</v>
      </c>
      <c r="BD23" s="127">
        <f t="shared" si="8"/>
        <v>40164.011060500379</v>
      </c>
      <c r="BE23" s="127">
        <f t="shared" si="11"/>
        <v>1284</v>
      </c>
      <c r="BF23" s="127"/>
      <c r="BG23" s="127"/>
      <c r="BH23" s="127"/>
      <c r="BI23" s="128">
        <f t="shared" si="17"/>
        <v>29260.000000000022</v>
      </c>
      <c r="BJ23" s="128">
        <v>0</v>
      </c>
      <c r="BK23" s="128"/>
      <c r="BL23" s="128">
        <f>AS23*45/100</f>
        <v>23940.000000000018</v>
      </c>
      <c r="BM23" s="128"/>
      <c r="BN23" s="128"/>
      <c r="BO23" s="128"/>
      <c r="BP23" s="128"/>
      <c r="BQ23" s="128"/>
      <c r="BR23" s="42">
        <f>Feb!D62</f>
        <v>0</v>
      </c>
      <c r="BS23" s="42">
        <f>Feb!G62</f>
        <v>91000</v>
      </c>
      <c r="BT23" s="151"/>
      <c r="BV23" s="42">
        <f>Feb!HJ24</f>
        <v>91199.999999999825</v>
      </c>
      <c r="BW23" s="42">
        <f>Feb!HM24</f>
        <v>0</v>
      </c>
      <c r="BX23" s="42">
        <f>Feb!HP24</f>
        <v>30193.33299999997</v>
      </c>
      <c r="BY23" s="42">
        <f>Feb!HS24</f>
        <v>22353.332999999995</v>
      </c>
      <c r="BZ23" s="42">
        <f>Feb!HV24</f>
        <v>20553.332999999984</v>
      </c>
      <c r="CA23" s="42">
        <f>Feb!HY24</f>
        <v>18100</v>
      </c>
    </row>
    <row r="24" spans="1:79" x14ac:dyDescent="0.25">
      <c r="A24" s="26">
        <f t="shared" si="10"/>
        <v>18</v>
      </c>
      <c r="B24" s="42">
        <f>Feb!G25</f>
        <v>312639.99999999581</v>
      </c>
      <c r="C24" s="42">
        <f>Feb!N25</f>
        <v>311000</v>
      </c>
      <c r="D24" s="42">
        <f>Feb!T25</f>
        <v>10431.310000000522</v>
      </c>
      <c r="E24" s="42">
        <f>Feb!V25</f>
        <v>0</v>
      </c>
      <c r="F24" s="42">
        <f>Feb!AB25</f>
        <v>0</v>
      </c>
      <c r="G24" s="42">
        <f>Feb!X25</f>
        <v>8668.6899999998423</v>
      </c>
      <c r="H24" s="42">
        <f>Feb!AE25</f>
        <v>5799.9999999997272</v>
      </c>
      <c r="I24" s="42">
        <f>Feb!AI25</f>
        <v>13782.500000000728</v>
      </c>
      <c r="J24" s="42">
        <f>Feb!AN25</f>
        <v>8262.4999999993579</v>
      </c>
      <c r="K24" s="42">
        <f>Feb!AR25</f>
        <v>14400.000000000546</v>
      </c>
      <c r="L24" s="42">
        <f>Feb!AZ25</f>
        <v>460</v>
      </c>
      <c r="M24" s="42">
        <f>Feb!BC25</f>
        <v>740</v>
      </c>
      <c r="N24" s="125">
        <f t="shared" si="15"/>
        <v>62545.00000000072</v>
      </c>
      <c r="O24" s="125">
        <f>Feb!CA25</f>
        <v>800.90000000001282</v>
      </c>
      <c r="P24" s="125">
        <f>Feb!CD25</f>
        <v>1496.8999999999651</v>
      </c>
      <c r="Q24" s="125">
        <f>Feb!CF25</f>
        <v>0</v>
      </c>
      <c r="R24" s="125">
        <f>Feb!CH25</f>
        <v>381.60000000000582</v>
      </c>
      <c r="S24" s="125">
        <f>Feb!CK25</f>
        <v>17121.599999998314</v>
      </c>
      <c r="T24" s="125">
        <f>Feb!CO25</f>
        <v>6630.5000000002292</v>
      </c>
      <c r="U24" s="125">
        <f>Feb!CS25</f>
        <v>6495.5000000000109</v>
      </c>
      <c r="V24" s="126">
        <f t="shared" si="16"/>
        <v>32926.999999998538</v>
      </c>
      <c r="W24" s="126">
        <f>Feb!CW25</f>
        <v>702</v>
      </c>
      <c r="X24" s="126">
        <f>Feb!DA25</f>
        <v>590</v>
      </c>
      <c r="Y24" s="126">
        <f t="shared" si="1"/>
        <v>1292</v>
      </c>
      <c r="Z24" s="42">
        <f>Feb!BR25</f>
        <v>799.99999999995453</v>
      </c>
      <c r="AA24" s="126">
        <f>Feb!BG25</f>
        <v>2099.9999999999091</v>
      </c>
      <c r="AB24" s="126">
        <f>Feb!BJ25</f>
        <v>9500</v>
      </c>
      <c r="AC24" s="126">
        <f>Feb!BL25+Feb!BN25+Feb!BP25</f>
        <v>4819.9999999999591</v>
      </c>
      <c r="AD24" s="126">
        <f>Feb!DR25</f>
        <v>9700</v>
      </c>
      <c r="AE24" s="127">
        <f>Feb!DT25-Feb!DR65-Feb!DT65</f>
        <v>17289.000000000004</v>
      </c>
      <c r="AF24" s="127">
        <f>Feb!DR65+Feb!DT65</f>
        <v>310.99999999999636</v>
      </c>
      <c r="AG24" s="127">
        <f>Feb!HE25-AE24</f>
        <v>69611.000000000087</v>
      </c>
      <c r="AH24" s="127">
        <f>Feb!DW25</f>
        <v>1300.0000000001819</v>
      </c>
      <c r="AI24" s="127">
        <f>Feb!DZ25</f>
        <v>1582.5</v>
      </c>
      <c r="AJ24" s="127">
        <f>Feb!EC25</f>
        <v>6742.5</v>
      </c>
      <c r="AK24" s="127">
        <f t="shared" si="4"/>
        <v>9625.0000000001819</v>
      </c>
      <c r="AL24" s="127">
        <f>Feb!EG25</f>
        <v>32742.5</v>
      </c>
      <c r="AM24" s="127">
        <f>Feb!EJ25</f>
        <v>11582.5</v>
      </c>
      <c r="AN24" s="127">
        <f>Feb!EM25</f>
        <v>700.00000000004547</v>
      </c>
      <c r="AO24" s="127">
        <f t="shared" si="5"/>
        <v>45025.000000000044</v>
      </c>
      <c r="AP24" s="127">
        <f>Feb!FX25</f>
        <v>33400</v>
      </c>
      <c r="AQ24" s="127">
        <f>Feb!GA25</f>
        <v>8269.9999999997272</v>
      </c>
      <c r="AR24" s="127">
        <f>Feb!GG25+(Feb!GP25+Feb!GS25)</f>
        <v>8930.0000000005457</v>
      </c>
      <c r="AS24" s="127">
        <f t="shared" si="6"/>
        <v>50600.000000000269</v>
      </c>
      <c r="AT24" s="127">
        <f>Feb!EQ25</f>
        <v>10582.5</v>
      </c>
      <c r="AU24" s="127">
        <f>Feb!ET25</f>
        <v>19199.999999999818</v>
      </c>
      <c r="AV24" s="127">
        <f>Feb!EW25</f>
        <v>8682.4999999999091</v>
      </c>
      <c r="AW24" s="127">
        <f>Feb!FL62</f>
        <v>6645.070167564334</v>
      </c>
      <c r="AX24" s="127">
        <f>Feb!GJ25</f>
        <v>1699.9999999998181</v>
      </c>
      <c r="AY24" s="127">
        <f t="shared" si="7"/>
        <v>46810.070167563877</v>
      </c>
      <c r="AZ24" s="127">
        <f>Feb!FG25</f>
        <v>1882.5</v>
      </c>
      <c r="BA24" s="127">
        <f>Feb!FJ25</f>
        <v>1982.5000000003638</v>
      </c>
      <c r="BB24" s="127">
        <f>Feb!FM62</f>
        <v>6819.9298324356678</v>
      </c>
      <c r="BC24" s="127">
        <f>Feb!GM25</f>
        <v>0</v>
      </c>
      <c r="BD24" s="127">
        <f t="shared" si="8"/>
        <v>10684.929832436032</v>
      </c>
      <c r="BE24" s="127">
        <f t="shared" si="11"/>
        <v>1292</v>
      </c>
      <c r="BF24" s="127"/>
      <c r="BG24" s="127"/>
      <c r="BH24" s="127"/>
      <c r="BI24" s="128">
        <f t="shared" si="17"/>
        <v>27830.000000000149</v>
      </c>
      <c r="BJ24" s="128">
        <f t="shared" ref="BJ24:BJ27" si="19">AS24*45/100</f>
        <v>22770.00000000012</v>
      </c>
      <c r="BK24" s="128"/>
      <c r="BL24" s="128">
        <v>0</v>
      </c>
      <c r="BM24" s="128"/>
      <c r="BN24" s="128"/>
      <c r="BO24" s="128"/>
      <c r="BP24" s="128"/>
      <c r="BQ24" s="128"/>
      <c r="BR24" s="42">
        <f>Feb!D63</f>
        <v>0</v>
      </c>
      <c r="BS24" s="42">
        <f>Feb!G63</f>
        <v>61000</v>
      </c>
      <c r="BT24" s="151"/>
      <c r="BV24" s="42">
        <f>Feb!HJ25</f>
        <v>86900.000000000087</v>
      </c>
      <c r="BW24" s="42">
        <f>Feb!HM25</f>
        <v>0</v>
      </c>
      <c r="BX24" s="42">
        <f>Feb!HP25</f>
        <v>27806.667000000034</v>
      </c>
      <c r="BY24" s="42">
        <f>Feb!HS25</f>
        <v>21726.666999999994</v>
      </c>
      <c r="BZ24" s="42">
        <f>Feb!HV25</f>
        <v>19766.667000000012</v>
      </c>
      <c r="CA24" s="42">
        <f>Feb!HY25</f>
        <v>17600</v>
      </c>
    </row>
    <row r="25" spans="1:79" x14ac:dyDescent="0.25">
      <c r="A25" s="26">
        <f t="shared" si="10"/>
        <v>19</v>
      </c>
      <c r="B25" s="42">
        <f>Feb!G26</f>
        <v>292479.99999999953</v>
      </c>
      <c r="C25" s="42">
        <f>Feb!N26</f>
        <v>294000</v>
      </c>
      <c r="D25" s="42">
        <f>Feb!T26</f>
        <v>10322.240000000224</v>
      </c>
      <c r="E25" s="42">
        <f>Feb!V26</f>
        <v>0</v>
      </c>
      <c r="F25" s="42">
        <f>Feb!AB26</f>
        <v>0</v>
      </c>
      <c r="G25" s="42">
        <f>Feb!X26</f>
        <v>8677.7599999997765</v>
      </c>
      <c r="H25" s="42">
        <f>Feb!AE26</f>
        <v>6300.0000000001819</v>
      </c>
      <c r="I25" s="42">
        <f>Feb!AI26</f>
        <v>12644.879999999635</v>
      </c>
      <c r="J25" s="42">
        <f>Feb!AN26</f>
        <v>7684.8799999999319</v>
      </c>
      <c r="K25" s="42">
        <f>Feb!AR26</f>
        <v>14199.999999999818</v>
      </c>
      <c r="L25" s="42">
        <f>Feb!AZ26</f>
        <v>490</v>
      </c>
      <c r="M25" s="42">
        <f>Feb!BC26</f>
        <v>700</v>
      </c>
      <c r="N25" s="125">
        <f t="shared" si="15"/>
        <v>61019.759999999565</v>
      </c>
      <c r="O25" s="125">
        <f>Feb!CA26</f>
        <v>759.50000000000273</v>
      </c>
      <c r="P25" s="125">
        <f>Feb!CD26</f>
        <v>0</v>
      </c>
      <c r="Q25" s="125">
        <f>Feb!CF26</f>
        <v>0</v>
      </c>
      <c r="R25" s="125">
        <f>Feb!CH26</f>
        <v>36.799999999995634</v>
      </c>
      <c r="S25" s="125">
        <f>Feb!CK26</f>
        <v>14875.380000001234</v>
      </c>
      <c r="T25" s="125">
        <f>Feb!CO26</f>
        <v>6070.8800000000219</v>
      </c>
      <c r="U25" s="125">
        <f>Feb!CS26</f>
        <v>5896.8800000000438</v>
      </c>
      <c r="V25" s="126">
        <f t="shared" si="16"/>
        <v>27639.440000001301</v>
      </c>
      <c r="W25" s="126">
        <f>Feb!CW26</f>
        <v>746</v>
      </c>
      <c r="X25" s="126">
        <f>Feb!DA26</f>
        <v>566</v>
      </c>
      <c r="Y25" s="126">
        <f t="shared" si="1"/>
        <v>1312</v>
      </c>
      <c r="Z25" s="42">
        <f>Feb!BR26</f>
        <v>900.00000000009095</v>
      </c>
      <c r="AA25" s="126">
        <f>Feb!BG26</f>
        <v>2000</v>
      </c>
      <c r="AB25" s="126">
        <f>Feb!BJ26</f>
        <v>8500</v>
      </c>
      <c r="AC25" s="126">
        <f>Feb!BL26+Feb!BN26+Feb!BP26</f>
        <v>4659.9999999999773</v>
      </c>
      <c r="AD25" s="126">
        <f>Feb!DR26</f>
        <v>8900</v>
      </c>
      <c r="AE25" s="127">
        <f>Feb!DT26-Feb!DR66-Feb!DT66</f>
        <v>16030.000000000004</v>
      </c>
      <c r="AF25" s="127">
        <f>Feb!DR66+Feb!DT66</f>
        <v>269.99999999999602</v>
      </c>
      <c r="AG25" s="127">
        <f>Feb!HE26-AE25</f>
        <v>69069.999999999913</v>
      </c>
      <c r="AH25" s="127">
        <f>Feb!DW26</f>
        <v>4300.0000000001819</v>
      </c>
      <c r="AI25" s="127">
        <f>Feb!DZ26</f>
        <v>6244.88</v>
      </c>
      <c r="AJ25" s="127">
        <f>Feb!EC26</f>
        <v>23404.880000000001</v>
      </c>
      <c r="AK25" s="127">
        <f t="shared" si="4"/>
        <v>33949.760000000184</v>
      </c>
      <c r="AL25" s="127">
        <f>Feb!EG26</f>
        <v>31404.880000000001</v>
      </c>
      <c r="AM25" s="127">
        <f>Feb!EJ26</f>
        <v>10244.879999999999</v>
      </c>
      <c r="AN25" s="127">
        <f>Feb!EM26</f>
        <v>699.99999999993179</v>
      </c>
      <c r="AO25" s="127">
        <f t="shared" si="5"/>
        <v>42349.759999999937</v>
      </c>
      <c r="AP25" s="127">
        <f>Feb!FX26</f>
        <v>29800</v>
      </c>
      <c r="AQ25" s="127">
        <f>Feb!GA26</f>
        <v>7760.0000000002728</v>
      </c>
      <c r="AR25" s="127">
        <f>Feb!GG26+(Feb!GP26+Feb!GS26)</f>
        <v>8049.9999999992269</v>
      </c>
      <c r="AS25" s="127">
        <f t="shared" si="6"/>
        <v>45609.999999999505</v>
      </c>
      <c r="AT25" s="127">
        <f>Feb!EQ26</f>
        <v>10244.879999999999</v>
      </c>
      <c r="AU25" s="127">
        <f>Feb!ET26</f>
        <v>19200.000000000728</v>
      </c>
      <c r="AV25" s="127">
        <f>Feb!EW26</f>
        <v>8144.8800000000911</v>
      </c>
      <c r="AW25" s="127">
        <f>Feb!FL63</f>
        <v>6954.3731299773572</v>
      </c>
      <c r="AX25" s="127">
        <f>Feb!GJ26</f>
        <v>1700.0000000000455</v>
      </c>
      <c r="AY25" s="127">
        <f t="shared" si="7"/>
        <v>46244.133129978218</v>
      </c>
      <c r="AZ25" s="127">
        <f>Feb!FG26</f>
        <v>1044.8800000000001</v>
      </c>
      <c r="BA25" s="127">
        <f>Feb!FJ26</f>
        <v>644.8799999994543</v>
      </c>
      <c r="BB25" s="127">
        <f>Feb!FM63</f>
        <v>5335.3868700226394</v>
      </c>
      <c r="BC25" s="127">
        <f>Feb!GM26</f>
        <v>0</v>
      </c>
      <c r="BD25" s="127">
        <f t="shared" si="8"/>
        <v>7025.1468700220939</v>
      </c>
      <c r="BE25" s="127">
        <f t="shared" si="11"/>
        <v>1312</v>
      </c>
      <c r="BF25" s="127"/>
      <c r="BG25" s="127"/>
      <c r="BH25" s="127"/>
      <c r="BI25" s="128">
        <f t="shared" si="17"/>
        <v>25085.499999999731</v>
      </c>
      <c r="BJ25" s="128">
        <f t="shared" si="19"/>
        <v>20524.499999999778</v>
      </c>
      <c r="BK25" s="128"/>
      <c r="BL25" s="128">
        <v>0</v>
      </c>
      <c r="BM25" s="128"/>
      <c r="BN25" s="128"/>
      <c r="BO25" s="128"/>
      <c r="BP25" s="128"/>
      <c r="BQ25" s="128"/>
      <c r="BR25" s="42">
        <f>Feb!D64</f>
        <v>0</v>
      </c>
      <c r="BS25" s="42">
        <f>Feb!G64</f>
        <v>83000</v>
      </c>
      <c r="BT25" s="151"/>
      <c r="BV25" s="42">
        <f>Feb!HJ26</f>
        <v>85099.999999999913</v>
      </c>
      <c r="BW25" s="42">
        <f>Feb!HM26</f>
        <v>0</v>
      </c>
      <c r="BX25" s="42">
        <f>Feb!HP26</f>
        <v>27823.333299999955</v>
      </c>
      <c r="BY25" s="42">
        <f>Feb!HS26</f>
        <v>21613.333299999973</v>
      </c>
      <c r="BZ25" s="42">
        <f>Feb!HV26</f>
        <v>19363.333300000002</v>
      </c>
      <c r="CA25" s="42">
        <f>Feb!HY26</f>
        <v>16300</v>
      </c>
    </row>
    <row r="26" spans="1:79" x14ac:dyDescent="0.25">
      <c r="A26" s="26">
        <f t="shared" si="10"/>
        <v>20</v>
      </c>
      <c r="B26" s="42">
        <f>Feb!G27</f>
        <v>301760.00000000931</v>
      </c>
      <c r="C26" s="42">
        <f>Feb!N27</f>
        <v>303000</v>
      </c>
      <c r="D26" s="42">
        <f>Feb!T27</f>
        <v>10023.36999999918</v>
      </c>
      <c r="E26" s="42">
        <f>Feb!V27</f>
        <v>48.330000000074506</v>
      </c>
      <c r="F26" s="42">
        <f>Feb!AB27</f>
        <v>50</v>
      </c>
      <c r="G26" s="42">
        <f>Feb!X27</f>
        <v>8678.3000000000175</v>
      </c>
      <c r="H26" s="42">
        <f>Feb!AE27</f>
        <v>4699.9999999998181</v>
      </c>
      <c r="I26" s="42">
        <f>Feb!AI27</f>
        <v>12693.639999999636</v>
      </c>
      <c r="J26" s="42">
        <f>Feb!AN27</f>
        <v>8893.6400000003541</v>
      </c>
      <c r="K26" s="42">
        <f>Feb!AR27</f>
        <v>13000</v>
      </c>
      <c r="L26" s="42">
        <f>Feb!AZ27</f>
        <v>411.03999999997905</v>
      </c>
      <c r="M26" s="42">
        <f>Feb!BC27</f>
        <v>603.78399999999965</v>
      </c>
      <c r="N26" s="125">
        <f t="shared" si="15"/>
        <v>59102.103999999061</v>
      </c>
      <c r="O26" s="125">
        <f>Feb!CA27</f>
        <v>848.50000000000136</v>
      </c>
      <c r="P26" s="125">
        <f>Feb!CD27</f>
        <v>310.70000000001164</v>
      </c>
      <c r="Q26" s="125">
        <f>Feb!CF27</f>
        <v>0</v>
      </c>
      <c r="R26" s="125">
        <f>Feb!CH27</f>
        <v>70.900000000001455</v>
      </c>
      <c r="S26" s="125">
        <f>Feb!CK27</f>
        <v>16095.139999999634</v>
      </c>
      <c r="T26" s="125">
        <f>Feb!CO27</f>
        <v>8983.6399999995992</v>
      </c>
      <c r="U26" s="125">
        <f>Feb!CS27</f>
        <v>7676.6399999998112</v>
      </c>
      <c r="V26" s="126">
        <f t="shared" si="16"/>
        <v>33985.519999999058</v>
      </c>
      <c r="W26" s="126">
        <f>Feb!CW27</f>
        <v>678</v>
      </c>
      <c r="X26" s="126">
        <f>Feb!DA27</f>
        <v>566</v>
      </c>
      <c r="Y26" s="126">
        <f t="shared" si="1"/>
        <v>1244</v>
      </c>
      <c r="Z26" s="42">
        <f>Feb!BR27</f>
        <v>819.99999999993634</v>
      </c>
      <c r="AA26" s="126">
        <f>Feb!BG27</f>
        <v>2400.0000000000909</v>
      </c>
      <c r="AB26" s="126">
        <f>Feb!BJ27</f>
        <v>8899.9999999996362</v>
      </c>
      <c r="AC26" s="126">
        <f>Feb!BL27+Feb!BN27+Feb!BP27</f>
        <v>4680.0000000000728</v>
      </c>
      <c r="AD26" s="126">
        <f>Feb!DR27</f>
        <v>9400</v>
      </c>
      <c r="AE26" s="127">
        <f>Feb!DT27-Feb!DR67-Feb!DT67</f>
        <v>14937.999999999998</v>
      </c>
      <c r="AF26" s="127">
        <f>Feb!DR67+Feb!DT67</f>
        <v>262.00000000000222</v>
      </c>
      <c r="AG26" s="127">
        <f>Feb!HE27-AE26</f>
        <v>68762.000000000044</v>
      </c>
      <c r="AH26" s="127">
        <f>Feb!DW27</f>
        <v>4100.0000000003638</v>
      </c>
      <c r="AI26" s="127">
        <f>Feb!DZ27</f>
        <v>8793.64</v>
      </c>
      <c r="AJ26" s="127">
        <f>Feb!EC27</f>
        <v>24953.64</v>
      </c>
      <c r="AK26" s="127">
        <f t="shared" si="4"/>
        <v>37847.280000000363</v>
      </c>
      <c r="AL26" s="127">
        <f>Feb!EG27</f>
        <v>31953.64</v>
      </c>
      <c r="AM26" s="127">
        <f>Feb!EJ27</f>
        <v>11793.64</v>
      </c>
      <c r="AN26" s="127">
        <f>Feb!EM27</f>
        <v>710.00000000003638</v>
      </c>
      <c r="AO26" s="127">
        <f t="shared" si="5"/>
        <v>44457.280000000035</v>
      </c>
      <c r="AP26" s="127">
        <f>Feb!FX27</f>
        <v>34200</v>
      </c>
      <c r="AQ26" s="127">
        <f>Feb!GA27</f>
        <v>8299.9999999997272</v>
      </c>
      <c r="AR26" s="127">
        <f>Feb!GG27+(Feb!GP27+Feb!GS27)</f>
        <v>9200.0000000000455</v>
      </c>
      <c r="AS26" s="127">
        <f t="shared" si="6"/>
        <v>51699.999999999767</v>
      </c>
      <c r="AT26" s="127">
        <f>Feb!EQ27</f>
        <v>10793.64</v>
      </c>
      <c r="AU26" s="127">
        <f>Feb!ET27</f>
        <v>12899.999999999636</v>
      </c>
      <c r="AV26" s="127">
        <f>Feb!EW27</f>
        <v>9593.6400000001813</v>
      </c>
      <c r="AW26" s="127">
        <f>Feb!FL64</f>
        <v>6516.2640395688159</v>
      </c>
      <c r="AX26" s="127">
        <f>Feb!GJ27</f>
        <v>1799.9999999999545</v>
      </c>
      <c r="AY26" s="127">
        <f t="shared" si="7"/>
        <v>41603.544039568587</v>
      </c>
      <c r="AZ26" s="127">
        <f>Feb!FG27</f>
        <v>2126.9699999999998</v>
      </c>
      <c r="BA26" s="127">
        <f>Feb!FJ27</f>
        <v>1126.97</v>
      </c>
      <c r="BB26" s="127">
        <f>Feb!FM64</f>
        <v>6404.3459604311829</v>
      </c>
      <c r="BC26" s="127">
        <f>Feb!GM27</f>
        <v>0</v>
      </c>
      <c r="BD26" s="127">
        <f t="shared" si="8"/>
        <v>9658.2859604311816</v>
      </c>
      <c r="BE26" s="127">
        <f t="shared" si="11"/>
        <v>1244</v>
      </c>
      <c r="BF26" s="127"/>
      <c r="BG26" s="127"/>
      <c r="BH26" s="127"/>
      <c r="BI26" s="128">
        <f t="shared" si="17"/>
        <v>28434.999999999869</v>
      </c>
      <c r="BJ26" s="128">
        <f t="shared" si="19"/>
        <v>23264.999999999898</v>
      </c>
      <c r="BK26" s="128"/>
      <c r="BL26" s="128">
        <v>0</v>
      </c>
      <c r="BM26" s="128"/>
      <c r="BN26" s="128"/>
      <c r="BO26" s="128"/>
      <c r="BP26" s="128"/>
      <c r="BQ26" s="128"/>
      <c r="BR26" s="42">
        <f>Feb!D65</f>
        <v>0</v>
      </c>
      <c r="BS26" s="42">
        <f>Feb!G65</f>
        <v>88000</v>
      </c>
      <c r="BT26" s="151"/>
      <c r="BV26" s="42">
        <f>Feb!HJ27</f>
        <v>83700.000000000044</v>
      </c>
      <c r="BW26" s="42">
        <f>Feb!HM27</f>
        <v>0</v>
      </c>
      <c r="BX26" s="42">
        <f>Feb!HP27</f>
        <v>29633.333000000057</v>
      </c>
      <c r="BY26" s="42">
        <f>Feb!HS27</f>
        <v>21863.333000000017</v>
      </c>
      <c r="BZ26" s="42">
        <f>Feb!HV27</f>
        <v>17003.333000000002</v>
      </c>
      <c r="CA26" s="42">
        <f>Feb!HY27</f>
        <v>15200</v>
      </c>
    </row>
    <row r="27" spans="1:79" x14ac:dyDescent="0.25">
      <c r="A27" s="26">
        <f t="shared" si="10"/>
        <v>21</v>
      </c>
      <c r="B27" s="42">
        <f>Feb!G28</f>
        <v>304639.99999999581</v>
      </c>
      <c r="C27" s="42">
        <f>Feb!N28</f>
        <v>298000</v>
      </c>
      <c r="D27" s="42">
        <f>Feb!T28</f>
        <v>10083.770000001416</v>
      </c>
      <c r="E27" s="42">
        <f>Feb!V28</f>
        <v>0</v>
      </c>
      <c r="F27" s="42">
        <f>Feb!AB28</f>
        <v>50</v>
      </c>
      <c r="G27" s="42">
        <f>Feb!X28</f>
        <v>7566.229999999312</v>
      </c>
      <c r="H27" s="42">
        <f>Feb!AE28</f>
        <v>4599.9999999999091</v>
      </c>
      <c r="I27" s="42">
        <f>Feb!AI28</f>
        <v>10714.99</v>
      </c>
      <c r="J27" s="42">
        <f>Feb!AN28</f>
        <v>7034.989999999686</v>
      </c>
      <c r="K27" s="42">
        <f>Feb!AR28</f>
        <v>12199.999999999818</v>
      </c>
      <c r="L27" s="42">
        <f>Feb!AZ28</f>
        <v>378.96000000002095</v>
      </c>
      <c r="M27" s="42">
        <f>Feb!BC28</f>
        <v>536.21600000000035</v>
      </c>
      <c r="N27" s="125">
        <f t="shared" si="15"/>
        <v>53165.156000000163</v>
      </c>
      <c r="O27" s="125">
        <f>Feb!CA28</f>
        <v>794.29999999996426</v>
      </c>
      <c r="P27" s="125">
        <f>Feb!CD28</f>
        <v>500.59999999997672</v>
      </c>
      <c r="Q27" s="125">
        <f>Feb!CF28</f>
        <v>0</v>
      </c>
      <c r="R27" s="125">
        <f>Feb!CH28</f>
        <v>0.40000000000145519</v>
      </c>
      <c r="S27" s="125">
        <f>Feb!CK28</f>
        <v>15720.689999999309</v>
      </c>
      <c r="T27" s="125">
        <f>Feb!CO28</f>
        <v>8195.9900000002217</v>
      </c>
      <c r="U27" s="125">
        <f>Feb!CS28</f>
        <v>6480.9900000000762</v>
      </c>
      <c r="V27" s="126">
        <f t="shared" si="16"/>
        <v>31692.96999999955</v>
      </c>
      <c r="W27" s="126">
        <f>Feb!CW28</f>
        <v>4350</v>
      </c>
      <c r="X27" s="126">
        <f>Feb!DA28</f>
        <v>3867</v>
      </c>
      <c r="Y27" s="126">
        <f t="shared" si="1"/>
        <v>8217</v>
      </c>
      <c r="Z27" s="42">
        <f>Feb!BR28</f>
        <v>779.99999999997272</v>
      </c>
      <c r="AA27" s="126">
        <f>Feb!BG28</f>
        <v>2200.0000000000455</v>
      </c>
      <c r="AB27" s="126">
        <f>Feb!BJ28</f>
        <v>8600.0000000003638</v>
      </c>
      <c r="AC27" s="126">
        <f>Feb!BL28+Feb!BN28+Feb!BP28</f>
        <v>5299.9999999999773</v>
      </c>
      <c r="AD27" s="126">
        <f>Feb!DR28</f>
        <v>9300</v>
      </c>
      <c r="AE27" s="127">
        <f>Feb!DT28-Feb!DR68-Feb!DT68</f>
        <v>16065.000000000004</v>
      </c>
      <c r="AF27" s="127">
        <f>Feb!DR68+Feb!DT68</f>
        <v>234.99999999999767</v>
      </c>
      <c r="AG27" s="127">
        <f>Feb!HE28-AE27</f>
        <v>72335.000000000087</v>
      </c>
      <c r="AH27" s="127">
        <f>Feb!DW28</f>
        <v>4099.9999999994543</v>
      </c>
      <c r="AI27" s="127">
        <f>Feb!DZ28</f>
        <v>7214.99</v>
      </c>
      <c r="AJ27" s="127">
        <f>Feb!EC28</f>
        <v>24374.99</v>
      </c>
      <c r="AK27" s="127">
        <f t="shared" si="4"/>
        <v>35689.979999999458</v>
      </c>
      <c r="AL27" s="127">
        <f>Feb!EG28</f>
        <v>30374.99</v>
      </c>
      <c r="AM27" s="127">
        <f>Feb!EJ28</f>
        <v>11214.99</v>
      </c>
      <c r="AN27" s="127">
        <f>Feb!EM28</f>
        <v>679.99999999994998</v>
      </c>
      <c r="AO27" s="127">
        <f t="shared" si="5"/>
        <v>42269.979999999952</v>
      </c>
      <c r="AP27" s="127">
        <f>Feb!FX28</f>
        <v>33300</v>
      </c>
      <c r="AQ27" s="127">
        <f>Feb!GA28</f>
        <v>7300.0000000001819</v>
      </c>
      <c r="AR27" s="127">
        <f>Feb!GG28+(Feb!GP28+Feb!GS28)</f>
        <v>8200.0000000002728</v>
      </c>
      <c r="AS27" s="127">
        <f t="shared" si="6"/>
        <v>48800.000000000451</v>
      </c>
      <c r="AT27" s="127">
        <f>Feb!EQ28</f>
        <v>10214.99</v>
      </c>
      <c r="AU27" s="127">
        <f>Feb!ET28</f>
        <v>18300.000000000182</v>
      </c>
      <c r="AV27" s="127">
        <f>Feb!EW28</f>
        <v>8714.99</v>
      </c>
      <c r="AW27" s="127">
        <f>Feb!FL65</f>
        <v>5961.4305702984457</v>
      </c>
      <c r="AX27" s="127">
        <f>Feb!GJ28</f>
        <v>1900.0000000000909</v>
      </c>
      <c r="AY27" s="127">
        <f t="shared" si="7"/>
        <v>45091.410570298714</v>
      </c>
      <c r="AZ27" s="127">
        <f>Feb!FG28</f>
        <v>1148.3200000000002</v>
      </c>
      <c r="BA27" s="127">
        <f>Feb!FJ28</f>
        <v>348.31999999981809</v>
      </c>
      <c r="BB27" s="127">
        <f>Feb!FM65</f>
        <v>7401.8794297015538</v>
      </c>
      <c r="BC27" s="127">
        <f>Feb!GM28</f>
        <v>0</v>
      </c>
      <c r="BD27" s="127">
        <f t="shared" si="8"/>
        <v>8898.5194297013713</v>
      </c>
      <c r="BE27" s="127">
        <f t="shared" si="11"/>
        <v>8217</v>
      </c>
      <c r="BF27" s="127"/>
      <c r="BG27" s="127"/>
      <c r="BH27" s="127"/>
      <c r="BI27" s="128">
        <f t="shared" si="17"/>
        <v>26840.000000000247</v>
      </c>
      <c r="BJ27" s="128">
        <f t="shared" si="19"/>
        <v>21960.000000000204</v>
      </c>
      <c r="BK27" s="128"/>
      <c r="BL27" s="128">
        <v>0</v>
      </c>
      <c r="BM27" s="128"/>
      <c r="BN27" s="128"/>
      <c r="BO27" s="128"/>
      <c r="BP27" s="128"/>
      <c r="BQ27" s="128"/>
      <c r="BR27" s="42">
        <f>Feb!D66</f>
        <v>0</v>
      </c>
      <c r="BS27" s="42">
        <f>Feb!G66</f>
        <v>84000</v>
      </c>
      <c r="BT27" s="151"/>
      <c r="BV27" s="42">
        <f>Feb!HJ28</f>
        <v>88400.000000000087</v>
      </c>
      <c r="BW27" s="42">
        <f>Feb!HM28</f>
        <v>0</v>
      </c>
      <c r="BX27" s="42">
        <f>Feb!HP28</f>
        <v>30756.666699999969</v>
      </c>
      <c r="BY27" s="42">
        <f>Feb!HS28</f>
        <v>22116.666699999983</v>
      </c>
      <c r="BZ27" s="42">
        <f>Feb!HV28</f>
        <v>19226.666699999998</v>
      </c>
      <c r="CA27" s="42">
        <f>Feb!HY28</f>
        <v>16300</v>
      </c>
    </row>
    <row r="28" spans="1:79" x14ac:dyDescent="0.25">
      <c r="A28" s="26">
        <f t="shared" si="10"/>
        <v>22</v>
      </c>
      <c r="B28" s="42">
        <f>Feb!G29</f>
        <v>311359.99999999697</v>
      </c>
      <c r="C28" s="42">
        <f>Feb!N29</f>
        <v>310000</v>
      </c>
      <c r="D28" s="42">
        <f>Feb!T29</f>
        <v>10160.089999999851</v>
      </c>
      <c r="E28" s="42">
        <f>Feb!V29</f>
        <v>0</v>
      </c>
      <c r="F28" s="42">
        <f>Feb!AB29</f>
        <v>0</v>
      </c>
      <c r="G28" s="42">
        <f>Feb!X29</f>
        <v>7839.910000000149</v>
      </c>
      <c r="H28" s="42">
        <f>Feb!AE29</f>
        <v>5500</v>
      </c>
      <c r="I28" s="42">
        <f>Feb!AI29</f>
        <v>12643.570000000182</v>
      </c>
      <c r="J28" s="42">
        <f>Feb!AN29</f>
        <v>7963.5700000007782</v>
      </c>
      <c r="K28" s="42">
        <f>Feb!AR29</f>
        <v>12199.999999999818</v>
      </c>
      <c r="L28" s="42">
        <f>Feb!AZ29</f>
        <v>500</v>
      </c>
      <c r="M28" s="42">
        <f>Feb!BC29</f>
        <v>286</v>
      </c>
      <c r="N28" s="125">
        <f t="shared" si="15"/>
        <v>57093.140000000778</v>
      </c>
      <c r="O28" s="125">
        <f>Feb!CA29</f>
        <v>904.90000000005466</v>
      </c>
      <c r="P28" s="125">
        <f>Feb!CD29</f>
        <v>29.200000000011642</v>
      </c>
      <c r="Q28" s="125">
        <f>Feb!CF29</f>
        <v>0</v>
      </c>
      <c r="R28" s="125">
        <f>Feb!CH29</f>
        <v>689.29999999999563</v>
      </c>
      <c r="S28" s="125">
        <f>Feb!CK29</f>
        <v>16088.670000001401</v>
      </c>
      <c r="T28" s="125">
        <f>Feb!CO29</f>
        <v>9028.5699999999451</v>
      </c>
      <c r="U28" s="125">
        <f>Feb!CS29</f>
        <v>6884.5700000001671</v>
      </c>
      <c r="V28" s="126">
        <f t="shared" si="16"/>
        <v>33625.210000001578</v>
      </c>
      <c r="W28" s="126">
        <f>Feb!CW29</f>
        <v>18915</v>
      </c>
      <c r="X28" s="126">
        <f>Feb!DA29</f>
        <v>9393</v>
      </c>
      <c r="Y28" s="126">
        <f t="shared" si="1"/>
        <v>28308</v>
      </c>
      <c r="Z28" s="42">
        <f>Feb!BR29</f>
        <v>500</v>
      </c>
      <c r="AA28" s="126">
        <f>Feb!BG29</f>
        <v>2200.0000000000455</v>
      </c>
      <c r="AB28" s="126">
        <f>Feb!BJ29</f>
        <v>8500</v>
      </c>
      <c r="AC28" s="126">
        <f>Feb!BL29+Feb!BN29+Feb!BP29</f>
        <v>5079.99999999995</v>
      </c>
      <c r="AD28" s="126">
        <f>Feb!DR29</f>
        <v>8400</v>
      </c>
      <c r="AE28" s="127">
        <f>Feb!DT29-Feb!DR69-Feb!DT69</f>
        <v>17071.999999999996</v>
      </c>
      <c r="AF28" s="127">
        <f>Feb!DR69+Feb!DT69</f>
        <v>128.00000000000188</v>
      </c>
      <c r="AG28" s="127">
        <f>Feb!HE29-AE28</f>
        <v>66827.999999999869</v>
      </c>
      <c r="AH28" s="127">
        <f>Feb!DW29</f>
        <v>4900.0000000005457</v>
      </c>
      <c r="AI28" s="127">
        <f>Feb!DZ29</f>
        <v>8343.57</v>
      </c>
      <c r="AJ28" s="127">
        <f>Feb!EC29</f>
        <v>25503.57</v>
      </c>
      <c r="AK28" s="127">
        <f t="shared" si="4"/>
        <v>38747.140000000545</v>
      </c>
      <c r="AL28" s="127">
        <f>Feb!EG29</f>
        <v>32503.57</v>
      </c>
      <c r="AM28" s="127">
        <f>Feb!EJ29</f>
        <v>10343.57</v>
      </c>
      <c r="AN28" s="127">
        <f>Feb!EM29</f>
        <v>860.00000000001364</v>
      </c>
      <c r="AO28" s="127">
        <f t="shared" si="5"/>
        <v>43707.140000000014</v>
      </c>
      <c r="AP28" s="127">
        <f>Feb!FX29</f>
        <v>19600</v>
      </c>
      <c r="AQ28" s="127">
        <f>Feb!GA29</f>
        <v>5159.9999999998181</v>
      </c>
      <c r="AR28" s="127">
        <f>Feb!GG29+(Feb!GP29+Feb!GS29)</f>
        <v>6349.9999999992724</v>
      </c>
      <c r="AS28" s="127">
        <f t="shared" si="6"/>
        <v>31109.999999999091</v>
      </c>
      <c r="AT28" s="127">
        <f>Feb!EQ29</f>
        <v>11343.57</v>
      </c>
      <c r="AU28" s="127">
        <f>Feb!ET29</f>
        <v>19699.999999999818</v>
      </c>
      <c r="AV28" s="127">
        <f>Feb!EW29</f>
        <v>7643.5699999997269</v>
      </c>
      <c r="AW28" s="127">
        <f>Feb!FL66</f>
        <v>8420.8387660468361</v>
      </c>
      <c r="AX28" s="127">
        <f>Feb!GJ29</f>
        <v>1700.0000000000455</v>
      </c>
      <c r="AY28" s="127">
        <f t="shared" si="7"/>
        <v>48807.978766046428</v>
      </c>
      <c r="AZ28" s="127">
        <f>Feb!FG29</f>
        <v>1310.24</v>
      </c>
      <c r="BA28" s="127">
        <f>Feb!FJ29</f>
        <v>410.24000000036381</v>
      </c>
      <c r="BB28" s="127">
        <f>Feb!FM66</f>
        <v>6232.9712339531634</v>
      </c>
      <c r="BC28" s="127">
        <f>Feb!GM29</f>
        <v>299.99999999995453</v>
      </c>
      <c r="BD28" s="127">
        <f t="shared" si="8"/>
        <v>8253.4512339534813</v>
      </c>
      <c r="BE28" s="127">
        <f t="shared" si="11"/>
        <v>28308</v>
      </c>
      <c r="BF28" s="127"/>
      <c r="BG28" s="127"/>
      <c r="BH28" s="127"/>
      <c r="BI28" s="128">
        <v>0</v>
      </c>
      <c r="BJ28" s="128">
        <f t="shared" ref="BJ28:BJ34" si="20">AS28</f>
        <v>31109.999999999091</v>
      </c>
      <c r="BK28" s="128"/>
      <c r="BL28" s="128">
        <v>0</v>
      </c>
      <c r="BM28" s="128"/>
      <c r="BN28" s="128"/>
      <c r="BO28" s="128"/>
      <c r="BP28" s="128"/>
      <c r="BQ28" s="128"/>
      <c r="BR28" s="42">
        <f>Feb!D67</f>
        <v>0</v>
      </c>
      <c r="BS28" s="42">
        <f>Feb!G67</f>
        <v>87000</v>
      </c>
      <c r="BV28" s="42">
        <f>Feb!HJ29</f>
        <v>83899.999999999869</v>
      </c>
      <c r="BW28" s="42">
        <f>Feb!HM29</f>
        <v>0</v>
      </c>
      <c r="BX28" s="42">
        <f>Feb!HP29</f>
        <v>29243.333330000009</v>
      </c>
      <c r="BY28" s="42">
        <f>Feb!HS29</f>
        <v>20103.333330000023</v>
      </c>
      <c r="BZ28" s="42">
        <f>Feb!HV29</f>
        <v>17353.333329999969</v>
      </c>
      <c r="CA28" s="42">
        <f>Feb!HY29</f>
        <v>17200</v>
      </c>
    </row>
    <row r="29" spans="1:79" x14ac:dyDescent="0.25">
      <c r="A29" s="26">
        <f t="shared" si="10"/>
        <v>23</v>
      </c>
      <c r="B29" s="42">
        <f>Feb!G30</f>
        <v>296960.0000000064</v>
      </c>
      <c r="C29" s="42">
        <f>Feb!N30</f>
        <v>297000</v>
      </c>
      <c r="D29" s="42">
        <f>Feb!T30</f>
        <v>10218.199999999255</v>
      </c>
      <c r="E29" s="42">
        <f>Feb!V30</f>
        <v>0</v>
      </c>
      <c r="F29" s="42">
        <f>Feb!AB30</f>
        <v>0</v>
      </c>
      <c r="G29" s="42">
        <f>Feb!X30</f>
        <v>8081.8000000000175</v>
      </c>
      <c r="H29" s="42">
        <f>Feb!AE30</f>
        <v>5700.0000000002728</v>
      </c>
      <c r="I29" s="42">
        <f>Feb!AI30</f>
        <v>12971.180000000364</v>
      </c>
      <c r="J29" s="42">
        <f>Feb!AN30</f>
        <v>7681.1799999987588</v>
      </c>
      <c r="K29" s="42">
        <f>Feb!AR30</f>
        <v>12500</v>
      </c>
      <c r="L29" s="42">
        <f>Feb!AZ30</f>
        <v>480</v>
      </c>
      <c r="M29" s="42">
        <f>Feb!BC30</f>
        <v>1084</v>
      </c>
      <c r="N29" s="125">
        <f t="shared" si="13"/>
        <v>58716.359999998662</v>
      </c>
      <c r="O29" s="125">
        <f>Feb!CA30</f>
        <v>915.29999999994516</v>
      </c>
      <c r="P29" s="125">
        <f>Feb!CD30</f>
        <v>0</v>
      </c>
      <c r="Q29" s="125">
        <f>Feb!CF30</f>
        <v>0</v>
      </c>
      <c r="R29" s="125">
        <f>Feb!CH30</f>
        <v>145.30000000000291</v>
      </c>
      <c r="S29" s="125">
        <f>Feb!CK30</f>
        <v>16105.879999999692</v>
      </c>
      <c r="T29" s="125">
        <f>Feb!CO30</f>
        <v>9304.179999999993</v>
      </c>
      <c r="U29" s="125">
        <f>Feb!CS30</f>
        <v>6981.1799999996729</v>
      </c>
      <c r="V29" s="126">
        <f t="shared" si="14"/>
        <v>33451.839999999305</v>
      </c>
      <c r="W29" s="126">
        <f>Feb!CW30</f>
        <v>19852</v>
      </c>
      <c r="X29" s="126">
        <f>Feb!DA30</f>
        <v>10579</v>
      </c>
      <c r="Y29" s="126">
        <f t="shared" si="1"/>
        <v>30431</v>
      </c>
      <c r="Z29" s="42">
        <f>Feb!BR30</f>
        <v>300.00000000006821</v>
      </c>
      <c r="AA29" s="126">
        <f>Feb!BG30</f>
        <v>2199.9999999998181</v>
      </c>
      <c r="AB29" s="126">
        <f>Feb!BJ30</f>
        <v>8600.0000000003638</v>
      </c>
      <c r="AC29" s="126">
        <f>Feb!BL30+Feb!BN30+Feb!BP30</f>
        <v>5090.0000000000819</v>
      </c>
      <c r="AD29" s="126">
        <f>Feb!DR30</f>
        <v>6200</v>
      </c>
      <c r="AE29" s="127">
        <f>Feb!DT30-Feb!DR70-Feb!DT70</f>
        <v>15790.999999999996</v>
      </c>
      <c r="AF29" s="127">
        <f>Feb!DR70+Feb!DT70</f>
        <v>109.00000000000354</v>
      </c>
      <c r="AG29" s="127">
        <f>Feb!HE30-AE29</f>
        <v>60709</v>
      </c>
      <c r="AH29" s="127">
        <f>Feb!DW30</f>
        <v>4000</v>
      </c>
      <c r="AI29" s="127">
        <f>Feb!DZ30</f>
        <v>7371.18</v>
      </c>
      <c r="AJ29" s="127">
        <f>Feb!EC30</f>
        <v>24531.18</v>
      </c>
      <c r="AK29" s="127">
        <f t="shared" si="4"/>
        <v>35902.36</v>
      </c>
      <c r="AL29" s="127">
        <f>Feb!EG30</f>
        <v>30531.18</v>
      </c>
      <c r="AM29" s="127">
        <f>Feb!EJ30</f>
        <v>11371.18</v>
      </c>
      <c r="AN29" s="127">
        <f>Feb!EM30</f>
        <v>730.00000000001819</v>
      </c>
      <c r="AO29" s="127">
        <f t="shared" ref="AO29:AO37" si="21">SUM(AL29:AN29)</f>
        <v>42632.360000000015</v>
      </c>
      <c r="AP29" s="127">
        <f>Feb!FX30</f>
        <v>17300</v>
      </c>
      <c r="AQ29" s="127">
        <f>Feb!GA30</f>
        <v>4620.0000000001819</v>
      </c>
      <c r="AR29" s="127">
        <f>Feb!GG30+(Feb!GP30+Feb!GS30)</f>
        <v>5380.0000000007276</v>
      </c>
      <c r="AS29" s="127">
        <f t="shared" si="6"/>
        <v>27300.000000000909</v>
      </c>
      <c r="AT29" s="127">
        <f>Feb!EQ30</f>
        <v>10371.18</v>
      </c>
      <c r="AU29" s="127">
        <f>Feb!ET30</f>
        <v>19500</v>
      </c>
      <c r="AV29" s="127">
        <f>Feb!EW30</f>
        <v>8171.1800000001822</v>
      </c>
      <c r="AW29" s="127">
        <f>Feb!FL67</f>
        <v>9115.1748225853225</v>
      </c>
      <c r="AX29" s="127">
        <f>Feb!GJ30</f>
        <v>1700.0000000000455</v>
      </c>
      <c r="AY29" s="127">
        <f t="shared" si="7"/>
        <v>48857.534822585549</v>
      </c>
      <c r="AZ29" s="127">
        <f>Feb!FG30</f>
        <v>2304.5099999999998</v>
      </c>
      <c r="BA29" s="127">
        <f>Feb!FJ30</f>
        <v>504.50999999981809</v>
      </c>
      <c r="BB29" s="127">
        <f>Feb!FM67</f>
        <v>4560.5151774146761</v>
      </c>
      <c r="BC29" s="127">
        <f>Feb!GM30</f>
        <v>299.99999999995453</v>
      </c>
      <c r="BD29" s="127">
        <f t="shared" si="8"/>
        <v>7669.5351774144483</v>
      </c>
      <c r="BE29" s="127">
        <f t="shared" si="11"/>
        <v>30431</v>
      </c>
      <c r="BF29" s="127"/>
      <c r="BG29" s="127"/>
      <c r="BH29" s="127"/>
      <c r="BI29" s="128">
        <v>0</v>
      </c>
      <c r="BJ29" s="128">
        <f t="shared" si="20"/>
        <v>27300.000000000909</v>
      </c>
      <c r="BK29" s="128"/>
      <c r="BL29" s="128">
        <v>0</v>
      </c>
      <c r="BM29" s="128"/>
      <c r="BN29" s="128"/>
      <c r="BO29" s="128"/>
      <c r="BP29" s="128"/>
      <c r="BQ29" s="128"/>
      <c r="BR29" s="42">
        <f>Feb!D68</f>
        <v>0</v>
      </c>
      <c r="BS29" s="42">
        <f>Feb!G68</f>
        <v>87000</v>
      </c>
      <c r="BV29" s="42">
        <f>Feb!HJ30</f>
        <v>76500</v>
      </c>
      <c r="BW29" s="42">
        <f>Feb!HM30</f>
        <v>0</v>
      </c>
      <c r="BX29" s="42">
        <f>Feb!HP30</f>
        <v>27466.667000000034</v>
      </c>
      <c r="BY29" s="42">
        <f>Feb!HS30</f>
        <v>17756.666999999998</v>
      </c>
      <c r="BZ29" s="42">
        <f>Feb!HV30</f>
        <v>15376.666999999999</v>
      </c>
      <c r="CA29" s="42">
        <f>Feb!HY30</f>
        <v>15900</v>
      </c>
    </row>
    <row r="30" spans="1:79" x14ac:dyDescent="0.25">
      <c r="A30" s="26">
        <f t="shared" si="10"/>
        <v>24</v>
      </c>
      <c r="B30" s="42">
        <f>Feb!G31</f>
        <v>288639.99999999214</v>
      </c>
      <c r="C30" s="42">
        <f>Feb!N31</f>
        <v>285000</v>
      </c>
      <c r="D30" s="42">
        <f>Feb!T31</f>
        <v>10292.910000000149</v>
      </c>
      <c r="E30" s="42">
        <f>Feb!V31</f>
        <v>0</v>
      </c>
      <c r="F30" s="42">
        <f>Feb!AB31</f>
        <v>0</v>
      </c>
      <c r="G30" s="42">
        <f>Feb!X31</f>
        <v>8007.0900000009424</v>
      </c>
      <c r="H30" s="42">
        <f>Feb!AE31</f>
        <v>5599.9999999999091</v>
      </c>
      <c r="I30" s="42">
        <f>Feb!AI31</f>
        <v>13226.669999999454</v>
      </c>
      <c r="J30" s="42">
        <f>Feb!AN31</f>
        <v>8066.6700000003721</v>
      </c>
      <c r="K30" s="42">
        <f>Feb!AR31</f>
        <v>12800.000000000182</v>
      </c>
      <c r="L30" s="42">
        <f>Feb!AZ31</f>
        <v>470</v>
      </c>
      <c r="M30" s="42">
        <f>Feb!BC31</f>
        <v>690</v>
      </c>
      <c r="N30" s="125">
        <f t="shared" si="13"/>
        <v>59153.340000001008</v>
      </c>
      <c r="O30" s="125">
        <f>Feb!CA31</f>
        <v>900.50000000002228</v>
      </c>
      <c r="P30" s="125">
        <f>Feb!CD31</f>
        <v>0</v>
      </c>
      <c r="Q30" s="125">
        <f>Feb!CF31</f>
        <v>0</v>
      </c>
      <c r="R30" s="125">
        <f>Feb!CH31</f>
        <v>0</v>
      </c>
      <c r="S30" s="125">
        <f>Feb!CK31</f>
        <v>16116.169999999394</v>
      </c>
      <c r="T30" s="125">
        <f>Feb!CO31</f>
        <v>9684.6699999999928</v>
      </c>
      <c r="U30" s="125">
        <f>Feb!CS31</f>
        <v>7177.669999999931</v>
      </c>
      <c r="V30" s="126">
        <f t="shared" si="14"/>
        <v>33879.00999999934</v>
      </c>
      <c r="W30" s="126">
        <f>Feb!CW31</f>
        <v>19764</v>
      </c>
      <c r="X30" s="126">
        <f>Feb!DA31</f>
        <v>10857</v>
      </c>
      <c r="Y30" s="126">
        <f t="shared" si="1"/>
        <v>30621</v>
      </c>
      <c r="Z30" s="42">
        <f>Feb!BR31</f>
        <v>600.00000000002274</v>
      </c>
      <c r="AA30" s="126">
        <f>Feb!BG31</f>
        <v>2500</v>
      </c>
      <c r="AB30" s="126">
        <f>Feb!BJ31</f>
        <v>8399.9999999996362</v>
      </c>
      <c r="AC30" s="126">
        <f>Feb!BL31+Feb!BN31+Feb!BP31</f>
        <v>5059.9999999999682</v>
      </c>
      <c r="AD30" s="126">
        <f>Feb!DR31</f>
        <v>9300</v>
      </c>
      <c r="AE30" s="127">
        <f>Feb!DT31-Feb!DR71-Feb!DT71</f>
        <v>15740</v>
      </c>
      <c r="AF30" s="127">
        <f>Feb!DR71+Feb!DT71</f>
        <v>160.00000000000014</v>
      </c>
      <c r="AG30" s="127">
        <f>Feb!HE31-AE30</f>
        <v>44360.000000000138</v>
      </c>
      <c r="AH30" s="127">
        <f>Feb!DW31</f>
        <v>4399.9999999996362</v>
      </c>
      <c r="AI30" s="127">
        <f>Feb!DZ31</f>
        <v>7626.67</v>
      </c>
      <c r="AJ30" s="127">
        <f>Feb!EC31</f>
        <v>23786.67</v>
      </c>
      <c r="AK30" s="127">
        <f t="shared" si="4"/>
        <v>35813.339999999633</v>
      </c>
      <c r="AL30" s="127">
        <f>Feb!EG31</f>
        <v>32786.67</v>
      </c>
      <c r="AM30" s="127">
        <f>Feb!EJ31</f>
        <v>10626.67</v>
      </c>
      <c r="AN30" s="127">
        <f>Feb!EM31</f>
        <v>779.99999999997272</v>
      </c>
      <c r="AO30" s="127">
        <f t="shared" si="21"/>
        <v>44193.339999999967</v>
      </c>
      <c r="AP30" s="127">
        <f>Feb!FX31</f>
        <v>16200</v>
      </c>
      <c r="AQ30" s="127">
        <f>Feb!GA31</f>
        <v>4669.9999999997272</v>
      </c>
      <c r="AR30" s="127">
        <f>Feb!GG31+(Feb!GP31+Feb!GS31)</f>
        <v>5130.0000000004547</v>
      </c>
      <c r="AS30" s="127">
        <f t="shared" si="6"/>
        <v>26000.000000000182</v>
      </c>
      <c r="AT30" s="127">
        <f>Feb!EQ31</f>
        <v>10626.67</v>
      </c>
      <c r="AU30" s="127">
        <f>Feb!ET31</f>
        <v>19800.000000000182</v>
      </c>
      <c r="AV30" s="127">
        <f>Feb!EW31</f>
        <v>8826.6699999998182</v>
      </c>
      <c r="AW30" s="127">
        <f>Feb!FL68</f>
        <v>7958.9073476234053</v>
      </c>
      <c r="AX30" s="127">
        <f>Feb!GJ31</f>
        <v>1699.9999999998181</v>
      </c>
      <c r="AY30" s="127">
        <f t="shared" si="7"/>
        <v>48912.247347623219</v>
      </c>
      <c r="AZ30" s="127">
        <f>Feb!FG31</f>
        <v>1926.67</v>
      </c>
      <c r="BA30" s="127">
        <f>Feb!FJ31</f>
        <v>1026.6699999994544</v>
      </c>
      <c r="BB30" s="127">
        <f>Feb!FM68</f>
        <v>6594.4326523765949</v>
      </c>
      <c r="BC30" s="127">
        <f>Feb!GM31</f>
        <v>400.00000000009095</v>
      </c>
      <c r="BD30" s="127">
        <f t="shared" si="8"/>
        <v>9947.7726523761412</v>
      </c>
      <c r="BE30" s="127">
        <f t="shared" si="11"/>
        <v>30621</v>
      </c>
      <c r="BF30" s="127"/>
      <c r="BG30" s="127"/>
      <c r="BH30" s="127"/>
      <c r="BI30" s="128">
        <v>0</v>
      </c>
      <c r="BJ30" s="128">
        <f t="shared" si="20"/>
        <v>26000.000000000182</v>
      </c>
      <c r="BK30" s="128"/>
      <c r="BL30" s="128">
        <v>0</v>
      </c>
      <c r="BM30" s="128"/>
      <c r="BN30" s="128"/>
      <c r="BO30" s="128"/>
      <c r="BP30" s="128"/>
      <c r="BQ30" s="128"/>
      <c r="BR30" s="42">
        <f>Feb!D69</f>
        <v>0</v>
      </c>
      <c r="BS30" s="42">
        <f>Feb!G69</f>
        <v>86000</v>
      </c>
      <c r="BV30" s="42">
        <f>Feb!HJ31</f>
        <v>60100.000000000138</v>
      </c>
      <c r="BW30" s="42">
        <f>Feb!HM31</f>
        <v>0</v>
      </c>
      <c r="BX30" s="42">
        <f>Feb!HP31</f>
        <v>17970.000000000015</v>
      </c>
      <c r="BY30" s="42">
        <f>Feb!HS31</f>
        <v>14160.000000000011</v>
      </c>
      <c r="BZ30" s="42">
        <f>Feb!HV31</f>
        <v>12070.000000000036</v>
      </c>
      <c r="CA30" s="42">
        <f>Feb!HY31</f>
        <v>15900</v>
      </c>
    </row>
    <row r="31" spans="1:79" x14ac:dyDescent="0.25">
      <c r="A31" s="26">
        <f t="shared" si="10"/>
        <v>25</v>
      </c>
      <c r="B31" s="42">
        <f>Feb!G32</f>
        <v>310079.99999999814</v>
      </c>
      <c r="C31" s="42">
        <f>Feb!N32</f>
        <v>310000</v>
      </c>
      <c r="D31" s="42">
        <f>Feb!T32</f>
        <v>10105.86999999918</v>
      </c>
      <c r="E31" s="42">
        <f>Feb!V32</f>
        <v>0</v>
      </c>
      <c r="F31" s="42">
        <f>Feb!AB32</f>
        <v>40</v>
      </c>
      <c r="G31" s="42">
        <f>Feb!X32</f>
        <v>7854.1300000008196</v>
      </c>
      <c r="H31" s="42">
        <f>Feb!AE32</f>
        <v>5400.0000000000909</v>
      </c>
      <c r="I31" s="42">
        <f>Feb!AI32</f>
        <v>13090.77</v>
      </c>
      <c r="J31" s="42">
        <f>Feb!AN32</f>
        <v>8710.7700000007826</v>
      </c>
      <c r="K31" s="42">
        <f>Feb!AR32</f>
        <v>12699.999999999818</v>
      </c>
      <c r="L31" s="42">
        <f>Feb!AZ32</f>
        <v>515.35999999998603</v>
      </c>
      <c r="M31" s="42">
        <f>Feb!BC32</f>
        <v>701.10000000000582</v>
      </c>
      <c r="N31" s="125">
        <f t="shared" si="13"/>
        <v>59118.000000000684</v>
      </c>
      <c r="O31" s="125">
        <f>Feb!CA32</f>
        <v>785.00000000002501</v>
      </c>
      <c r="P31" s="125">
        <f>Feb!CD32</f>
        <v>0</v>
      </c>
      <c r="Q31" s="125">
        <f>Feb!CF32</f>
        <v>0</v>
      </c>
      <c r="R31" s="125">
        <f>Feb!CH32</f>
        <v>0</v>
      </c>
      <c r="S31" s="125">
        <f>Feb!CK32</f>
        <v>16815.770000000193</v>
      </c>
      <c r="T31" s="125">
        <f>Feb!CO32</f>
        <v>9505.7699999999641</v>
      </c>
      <c r="U31" s="125">
        <f>Feb!CS32</f>
        <v>7283.7700000002114</v>
      </c>
      <c r="V31" s="126">
        <f t="shared" si="14"/>
        <v>34390.310000000391</v>
      </c>
      <c r="W31" s="126">
        <f>Feb!CW32</f>
        <v>20019</v>
      </c>
      <c r="X31" s="126">
        <f>Feb!DA32</f>
        <v>11052</v>
      </c>
      <c r="Y31" s="126">
        <f t="shared" si="1"/>
        <v>31071</v>
      </c>
      <c r="Z31" s="42">
        <f>Feb!BR32</f>
        <v>649.99999999997726</v>
      </c>
      <c r="AA31" s="126">
        <f>Feb!BG32</f>
        <v>2500</v>
      </c>
      <c r="AB31" s="126">
        <f>Feb!BJ32</f>
        <v>9100.0000000003638</v>
      </c>
      <c r="AC31" s="126">
        <f>Feb!BL32+Feb!BN32+Feb!BP32</f>
        <v>4929.9999999999682</v>
      </c>
      <c r="AD31" s="126">
        <f>Feb!DR32</f>
        <v>8600</v>
      </c>
      <c r="AE31" s="127">
        <f>Feb!DT32-Feb!DR72-Feb!DT72</f>
        <v>15157.000000000005</v>
      </c>
      <c r="AF31" s="127">
        <f>Feb!DR72+Feb!DT72</f>
        <v>142.99999999999534</v>
      </c>
      <c r="AG31" s="127">
        <f>Feb!HE32-AE31</f>
        <v>66843</v>
      </c>
      <c r="AH31" s="127">
        <f>Feb!DW32</f>
        <v>4600.0000000003638</v>
      </c>
      <c r="AI31" s="127">
        <f>Feb!DZ32</f>
        <v>7590.77</v>
      </c>
      <c r="AJ31" s="127">
        <f>Feb!EC32</f>
        <v>25750.77</v>
      </c>
      <c r="AK31" s="127">
        <f t="shared" si="4"/>
        <v>37941.540000000365</v>
      </c>
      <c r="AL31" s="127">
        <f>Feb!EG32</f>
        <v>31750.77</v>
      </c>
      <c r="AM31" s="127">
        <f>Feb!EJ32</f>
        <v>11590.77</v>
      </c>
      <c r="AN31" s="127">
        <f>Feb!EM32</f>
        <v>750</v>
      </c>
      <c r="AO31" s="127">
        <f t="shared" si="21"/>
        <v>44091.54</v>
      </c>
      <c r="AP31" s="127">
        <f>Feb!FX32</f>
        <v>16900</v>
      </c>
      <c r="AQ31" s="127">
        <f>Feb!GA32</f>
        <v>4670.0000000001819</v>
      </c>
      <c r="AR31" s="127">
        <f>Feb!GG32+(Feb!GP32+Feb!GS32)</f>
        <v>5429.999999999045</v>
      </c>
      <c r="AS31" s="127">
        <f t="shared" si="6"/>
        <v>26999.999999999229</v>
      </c>
      <c r="AT31" s="127">
        <f>Feb!EQ32</f>
        <v>11590.77</v>
      </c>
      <c r="AU31" s="127">
        <f>Feb!ET32</f>
        <v>19099.999999999454</v>
      </c>
      <c r="AV31" s="127">
        <f>Feb!EW32</f>
        <v>8590.77</v>
      </c>
      <c r="AW31" s="127">
        <f>Feb!FL69</f>
        <v>10192.289321112185</v>
      </c>
      <c r="AX31" s="127">
        <f>Feb!GJ32</f>
        <v>1500</v>
      </c>
      <c r="AY31" s="127">
        <f t="shared" si="7"/>
        <v>50973.82932111164</v>
      </c>
      <c r="AZ31" s="127">
        <f>Feb!FG32</f>
        <v>890.77</v>
      </c>
      <c r="BA31" s="127">
        <f>Feb!FJ32</f>
        <v>990.77000000036378</v>
      </c>
      <c r="BB31" s="127">
        <f>Feb!FM69</f>
        <v>4289.2506788878172</v>
      </c>
      <c r="BC31" s="127">
        <f>Feb!GM32</f>
        <v>399.99999999986358</v>
      </c>
      <c r="BD31" s="127">
        <f t="shared" si="8"/>
        <v>6570.7906788880446</v>
      </c>
      <c r="BE31" s="127">
        <f t="shared" si="11"/>
        <v>31071</v>
      </c>
      <c r="BF31" s="127"/>
      <c r="BG31" s="127"/>
      <c r="BH31" s="127"/>
      <c r="BI31" s="128">
        <v>0</v>
      </c>
      <c r="BJ31" s="128">
        <f t="shared" si="20"/>
        <v>26999.999999999229</v>
      </c>
      <c r="BK31" s="128"/>
      <c r="BL31" s="128">
        <v>0</v>
      </c>
      <c r="BM31" s="128"/>
      <c r="BN31" s="128"/>
      <c r="BO31" s="128"/>
      <c r="BP31" s="128"/>
      <c r="BQ31" s="128"/>
      <c r="BR31" s="42">
        <f>Feb!D70</f>
        <v>0</v>
      </c>
      <c r="BS31" s="42">
        <f>Feb!G70</f>
        <v>89000</v>
      </c>
      <c r="BV31" s="42">
        <f>Feb!HJ32</f>
        <v>82000</v>
      </c>
      <c r="BW31" s="42">
        <f>Feb!HM32</f>
        <v>0</v>
      </c>
      <c r="BX31" s="42">
        <f>Feb!HP32</f>
        <v>28093.329999999933</v>
      </c>
      <c r="BY31" s="42">
        <f>Feb!HS32</f>
        <v>20923.329999999973</v>
      </c>
      <c r="BZ31" s="42">
        <f>Feb!HV32</f>
        <v>17683.329999999965</v>
      </c>
      <c r="CA31" s="42">
        <f>Feb!HY32</f>
        <v>15300</v>
      </c>
    </row>
    <row r="32" spans="1:79" x14ac:dyDescent="0.25">
      <c r="A32" s="26">
        <f t="shared" si="10"/>
        <v>26</v>
      </c>
      <c r="B32" s="42">
        <f>Feb!G33</f>
        <v>308160.00000001444</v>
      </c>
      <c r="C32" s="42">
        <f>Feb!N33</f>
        <v>303000</v>
      </c>
      <c r="D32" s="42">
        <f>Feb!T33</f>
        <v>7680.7600000016391</v>
      </c>
      <c r="E32" s="42">
        <f>Feb!V33</f>
        <v>0</v>
      </c>
      <c r="F32" s="42">
        <f>Feb!AB33</f>
        <v>1260</v>
      </c>
      <c r="G32" s="42">
        <f>Feb!X33</f>
        <v>7559.2399999983609</v>
      </c>
      <c r="H32" s="42">
        <f>Feb!AE33</f>
        <v>5000</v>
      </c>
      <c r="I32" s="42">
        <f>Feb!AI33</f>
        <v>12372.720000000363</v>
      </c>
      <c r="J32" s="42">
        <f>Feb!AN33</f>
        <v>8152.7199999999266</v>
      </c>
      <c r="K32" s="42">
        <f>Feb!AR33</f>
        <v>11500</v>
      </c>
      <c r="L32" s="42">
        <f>Feb!AZ33</f>
        <v>484.64000000001397</v>
      </c>
      <c r="M32" s="42">
        <f>Feb!BC33</f>
        <v>668.89999999999418</v>
      </c>
      <c r="N32" s="125">
        <f t="shared" si="13"/>
        <v>54678.980000000302</v>
      </c>
      <c r="O32" s="125">
        <f>Feb!CA33</f>
        <v>680.99999999998317</v>
      </c>
      <c r="P32" s="125">
        <f>Feb!CD33</f>
        <v>810</v>
      </c>
      <c r="Q32" s="125">
        <f>Feb!CF33</f>
        <v>0</v>
      </c>
      <c r="R32" s="125">
        <f>Feb!CH33</f>
        <v>0</v>
      </c>
      <c r="S32" s="125">
        <f>Feb!CK33</f>
        <v>15871.720000000672</v>
      </c>
      <c r="T32" s="125">
        <f>Feb!CO33</f>
        <v>9467.7200000001631</v>
      </c>
      <c r="U32" s="125">
        <f>Feb!CS33</f>
        <v>7096.7200000000694</v>
      </c>
      <c r="V32" s="126">
        <f t="shared" si="14"/>
        <v>33927.160000000884</v>
      </c>
      <c r="W32" s="126">
        <f>Feb!CW33</f>
        <v>17166</v>
      </c>
      <c r="X32" s="126">
        <f>Feb!DA33</f>
        <v>9721</v>
      </c>
      <c r="Y32" s="126">
        <f t="shared" si="1"/>
        <v>26887</v>
      </c>
      <c r="Z32" s="42">
        <f>Feb!BR33</f>
        <v>750</v>
      </c>
      <c r="AA32" s="126">
        <f>Feb!BG33</f>
        <v>2400.0000000000909</v>
      </c>
      <c r="AB32" s="126">
        <f>Feb!BJ33</f>
        <v>8599.9999999994543</v>
      </c>
      <c r="AC32" s="126">
        <f>Feb!BL33+Feb!BN33+Feb!BP33</f>
        <v>4870.0000000000728</v>
      </c>
      <c r="AD32" s="126">
        <f>Feb!DR33</f>
        <v>9400</v>
      </c>
      <c r="AE32" s="127">
        <f>Feb!DT33-Feb!DR73-Feb!DT73</f>
        <v>18577.000000000004</v>
      </c>
      <c r="AF32" s="127">
        <f>Feb!DR73+Feb!DT73</f>
        <v>122.99999999999756</v>
      </c>
      <c r="AG32" s="127">
        <f>Feb!HE33-AE32</f>
        <v>71923</v>
      </c>
      <c r="AH32" s="127">
        <f>Feb!DW33</f>
        <v>4599.9999999994543</v>
      </c>
      <c r="AI32" s="127">
        <f>Feb!DZ33</f>
        <v>7772.72</v>
      </c>
      <c r="AJ32" s="127">
        <f>Feb!EC33</f>
        <v>23932.720000000001</v>
      </c>
      <c r="AK32" s="127">
        <f t="shared" si="4"/>
        <v>36305.439999999457</v>
      </c>
      <c r="AL32" s="127">
        <f>Feb!EG33</f>
        <v>29932.720000000001</v>
      </c>
      <c r="AM32" s="127">
        <f>Feb!EJ33</f>
        <v>10772.72</v>
      </c>
      <c r="AN32" s="127">
        <f>Feb!EM33</f>
        <v>800.00000000006821</v>
      </c>
      <c r="AO32" s="127">
        <f t="shared" si="21"/>
        <v>41505.440000000068</v>
      </c>
      <c r="AP32" s="127">
        <f>Feb!FX33</f>
        <v>17600</v>
      </c>
      <c r="AQ32" s="127">
        <f>Feb!GA33</f>
        <v>4490</v>
      </c>
      <c r="AR32" s="127">
        <f>Feb!GG33+(Feb!GP33+Feb!GS33)</f>
        <v>5319.9999999999545</v>
      </c>
      <c r="AS32" s="127">
        <f t="shared" si="6"/>
        <v>27409.999999999956</v>
      </c>
      <c r="AT32" s="127">
        <f>Feb!EQ33</f>
        <v>9772.7199999999993</v>
      </c>
      <c r="AU32" s="127">
        <f>Feb!ET33</f>
        <v>16400.000000000546</v>
      </c>
      <c r="AV32" s="127">
        <f>Feb!EW33</f>
        <v>8472.7200000002722</v>
      </c>
      <c r="AW32" s="127">
        <f>Feb!FL70</f>
        <v>8523.4503898627318</v>
      </c>
      <c r="AX32" s="127">
        <f>Feb!GJ33</f>
        <v>700.00000000004547</v>
      </c>
      <c r="AY32" s="127">
        <f t="shared" si="7"/>
        <v>43868.890389863591</v>
      </c>
      <c r="AZ32" s="127">
        <f>Feb!FG33</f>
        <v>1406.05</v>
      </c>
      <c r="BA32" s="127">
        <f>Feb!FJ33</f>
        <v>872.72000000036383</v>
      </c>
      <c r="BB32" s="127">
        <f>Feb!FM70</f>
        <v>7655.3196101372714</v>
      </c>
      <c r="BC32" s="127">
        <f>Feb!GM33</f>
        <v>1000</v>
      </c>
      <c r="BD32" s="127">
        <f t="shared" si="8"/>
        <v>10934.089610137635</v>
      </c>
      <c r="BE32" s="127">
        <f t="shared" si="11"/>
        <v>26887</v>
      </c>
      <c r="BF32" s="127"/>
      <c r="BG32" s="127"/>
      <c r="BH32" s="127"/>
      <c r="BI32" s="128">
        <v>0</v>
      </c>
      <c r="BJ32" s="128">
        <f t="shared" si="20"/>
        <v>27409.999999999956</v>
      </c>
      <c r="BK32" s="128"/>
      <c r="BL32" s="128">
        <v>0</v>
      </c>
      <c r="BM32" s="128"/>
      <c r="BN32" s="128"/>
      <c r="BO32" s="128"/>
      <c r="BP32" s="128"/>
      <c r="BQ32" s="128"/>
      <c r="BR32" s="42">
        <f>Feb!D71</f>
        <v>0</v>
      </c>
      <c r="BS32" s="42">
        <f>Feb!G71</f>
        <v>84000</v>
      </c>
      <c r="BV32" s="42">
        <f>Feb!HJ33</f>
        <v>90500</v>
      </c>
      <c r="BW32" s="42">
        <f>Feb!HM33</f>
        <v>0</v>
      </c>
      <c r="BX32" s="42">
        <f>Feb!HP33</f>
        <v>26553.32999999998</v>
      </c>
      <c r="BY32" s="42">
        <f>Feb!HS33</f>
        <v>23873.330000000031</v>
      </c>
      <c r="BZ32" s="42">
        <f>Feb!HV33</f>
        <v>21373.330000000031</v>
      </c>
      <c r="CA32" s="42">
        <f>Feb!HY33</f>
        <v>18700</v>
      </c>
    </row>
    <row r="33" spans="1:79" x14ac:dyDescent="0.25">
      <c r="A33" s="26">
        <f t="shared" si="10"/>
        <v>27</v>
      </c>
      <c r="B33" s="42">
        <f>Feb!G34</f>
        <v>257279.99999999884</v>
      </c>
      <c r="C33" s="42">
        <f>Feb!N34</f>
        <v>257000</v>
      </c>
      <c r="D33" s="42">
        <f>Feb!T34</f>
        <v>7879.9399999994785</v>
      </c>
      <c r="E33" s="42">
        <f>Feb!V34</f>
        <v>0</v>
      </c>
      <c r="F33" s="42">
        <f>Feb!AB34</f>
        <v>0</v>
      </c>
      <c r="G33" s="42">
        <f>Feb!X34</f>
        <v>6220.0599999990663</v>
      </c>
      <c r="H33" s="42">
        <f>Feb!AE34</f>
        <v>3000</v>
      </c>
      <c r="I33" s="42">
        <f>Feb!AI34</f>
        <v>8573.6900000003643</v>
      </c>
      <c r="J33" s="42">
        <f>Feb!AN34</f>
        <v>5923.6899999993184</v>
      </c>
      <c r="K33" s="42">
        <f>Feb!AR34</f>
        <v>10500</v>
      </c>
      <c r="L33" s="42">
        <f>Feb!AZ34</f>
        <v>350</v>
      </c>
      <c r="M33" s="42">
        <f>Feb!BC34</f>
        <v>470</v>
      </c>
      <c r="N33" s="125">
        <f t="shared" si="13"/>
        <v>42917.379999998229</v>
      </c>
      <c r="O33" s="125">
        <f>Feb!CA34</f>
        <v>613.49999999998772</v>
      </c>
      <c r="P33" s="125">
        <f>Feb!CD34</f>
        <v>907.60000000003492</v>
      </c>
      <c r="Q33" s="125">
        <f>Feb!CF34</f>
        <v>0</v>
      </c>
      <c r="R33" s="125">
        <f>Feb!CH34</f>
        <v>0</v>
      </c>
      <c r="S33" s="125">
        <f>Feb!CK34</f>
        <v>14880.189999998631</v>
      </c>
      <c r="T33" s="125">
        <f>Feb!CO34</f>
        <v>8459.6899999998768</v>
      </c>
      <c r="U33" s="125">
        <f>Feb!CS34</f>
        <v>6282.6899999997413</v>
      </c>
      <c r="V33" s="126">
        <f t="shared" si="14"/>
        <v>31143.669999998274</v>
      </c>
      <c r="W33" s="126">
        <f>Feb!CW34</f>
        <v>16104</v>
      </c>
      <c r="X33" s="126">
        <f>Feb!DA34</f>
        <v>9271</v>
      </c>
      <c r="Y33" s="126">
        <f t="shared" si="1"/>
        <v>25375</v>
      </c>
      <c r="Z33" s="42">
        <f>Feb!BR34</f>
        <v>799.99999999995453</v>
      </c>
      <c r="AA33" s="126">
        <f>Feb!BG34</f>
        <v>2400.0000000000909</v>
      </c>
      <c r="AB33" s="126">
        <f>Feb!BJ34</f>
        <v>8600.0000000003638</v>
      </c>
      <c r="AC33" s="126">
        <f>Feb!BL34+Feb!BN34+Feb!BP34</f>
        <v>4550</v>
      </c>
      <c r="AD33" s="126">
        <f>Feb!DR34</f>
        <v>8400</v>
      </c>
      <c r="AE33" s="127">
        <f>Feb!DT34-Feb!DR74-Feb!DT74</f>
        <v>17793</v>
      </c>
      <c r="AF33" s="127">
        <f>Feb!DR74+Feb!DT74</f>
        <v>106.99999999999932</v>
      </c>
      <c r="AG33" s="127">
        <f>Feb!HE34-AE33</f>
        <v>62306.999999999913</v>
      </c>
      <c r="AH33" s="127">
        <f>Feb!DW34</f>
        <v>4800.0000000001819</v>
      </c>
      <c r="AI33" s="127">
        <f>Feb!DZ34</f>
        <v>7473.69</v>
      </c>
      <c r="AJ33" s="127">
        <f>Feb!EC34</f>
        <v>25633.69</v>
      </c>
      <c r="AK33" s="127">
        <f t="shared" si="4"/>
        <v>37907.380000000179</v>
      </c>
      <c r="AL33" s="127">
        <f>Feb!EG34</f>
        <v>24633.69</v>
      </c>
      <c r="AM33" s="127">
        <f>Feb!EJ34</f>
        <v>9473.69</v>
      </c>
      <c r="AN33" s="127">
        <f>Feb!EM34</f>
        <v>750</v>
      </c>
      <c r="AO33" s="127">
        <f t="shared" si="21"/>
        <v>34857.379999999997</v>
      </c>
      <c r="AP33" s="127">
        <f>Feb!FX34</f>
        <v>13400</v>
      </c>
      <c r="AQ33" s="127">
        <f>Feb!GA34</f>
        <v>3119.9999999998181</v>
      </c>
      <c r="AR33" s="127">
        <f>Feb!GG34+(Feb!GP34+Feb!GS34)</f>
        <v>3680.0000000008185</v>
      </c>
      <c r="AS33" s="127">
        <f t="shared" si="6"/>
        <v>20200.000000000637</v>
      </c>
      <c r="AT33" s="127">
        <f>Feb!EQ34</f>
        <v>8473.69</v>
      </c>
      <c r="AU33" s="127">
        <f>Feb!ET34</f>
        <v>11500</v>
      </c>
      <c r="AV33" s="127">
        <f>Feb!EW34</f>
        <v>6273.6899999997268</v>
      </c>
      <c r="AW33" s="127">
        <f>Feb!FL71</f>
        <v>5748.789540700318</v>
      </c>
      <c r="AX33" s="127">
        <f>Feb!GJ34+((Feb!GP34+Feb!GS34)*50/100)</f>
        <v>1190.0000000000909</v>
      </c>
      <c r="AY33" s="127">
        <f t="shared" si="7"/>
        <v>33186.169540700139</v>
      </c>
      <c r="AZ33" s="127">
        <f>Feb!FG34</f>
        <v>1440.36</v>
      </c>
      <c r="BA33" s="127">
        <f>Feb!FJ34</f>
        <v>540.35999999945432</v>
      </c>
      <c r="BB33" s="127">
        <f>Feb!FM71</f>
        <v>5165.2604592996822</v>
      </c>
      <c r="BC33" s="127">
        <f>Feb!GM34+((Feb!GP34+Feb!GS34)*50/100)</f>
        <v>590.0000000001819</v>
      </c>
      <c r="BD33" s="127">
        <f t="shared" si="8"/>
        <v>7735.9804592993187</v>
      </c>
      <c r="BE33" s="127">
        <f t="shared" si="11"/>
        <v>25375</v>
      </c>
      <c r="BF33" s="127"/>
      <c r="BG33" s="127"/>
      <c r="BH33" s="127"/>
      <c r="BI33" s="128">
        <v>0</v>
      </c>
      <c r="BJ33" s="128">
        <f t="shared" si="20"/>
        <v>20200.000000000637</v>
      </c>
      <c r="BK33" s="128"/>
      <c r="BL33" s="128">
        <v>0</v>
      </c>
      <c r="BM33" s="128"/>
      <c r="BN33" s="128"/>
      <c r="BO33" s="128"/>
      <c r="BP33" s="128"/>
      <c r="BQ33" s="128"/>
      <c r="BR33" s="42">
        <f>Feb!D72</f>
        <v>0</v>
      </c>
      <c r="BS33" s="42">
        <f>Feb!G72</f>
        <v>81000</v>
      </c>
      <c r="BV33" s="42">
        <f>Feb!HJ34</f>
        <v>80099.999999999913</v>
      </c>
      <c r="BW33" s="42">
        <f>Feb!HM34</f>
        <v>0</v>
      </c>
      <c r="BX33" s="42">
        <f>Feb!HP34</f>
        <v>25813.330000000049</v>
      </c>
      <c r="BY33" s="42">
        <f>Feb!HS34</f>
        <v>20973.329999999962</v>
      </c>
      <c r="BZ33" s="42">
        <f>Feb!HV34</f>
        <v>15413.330000000014</v>
      </c>
      <c r="CA33" s="42">
        <f>Feb!HY34</f>
        <v>17900</v>
      </c>
    </row>
    <row r="34" spans="1:79" x14ac:dyDescent="0.25">
      <c r="A34" s="26">
        <f t="shared" si="10"/>
        <v>28</v>
      </c>
      <c r="B34" s="42">
        <f>Feb!G35</f>
        <v>317439.99999999139</v>
      </c>
      <c r="C34" s="42">
        <f>Feb!N35</f>
        <v>314000</v>
      </c>
      <c r="D34" s="42">
        <f>Feb!T35</f>
        <v>9761.6999999992549</v>
      </c>
      <c r="E34" s="42">
        <f>Feb!V35</f>
        <v>0</v>
      </c>
      <c r="F34" s="42">
        <f>Feb!AB35</f>
        <v>100</v>
      </c>
      <c r="G34" s="42">
        <f>Feb!X35</f>
        <v>7538.3000000022002</v>
      </c>
      <c r="H34" s="42">
        <f>Feb!AE35</f>
        <v>3500</v>
      </c>
      <c r="I34" s="42">
        <f>Feb!AI35</f>
        <v>10434.169999999272</v>
      </c>
      <c r="J34" s="42">
        <f>Feb!AN35</f>
        <v>8184.1700000011278</v>
      </c>
      <c r="K34" s="42">
        <f>Feb!AR35</f>
        <v>10400.000000000546</v>
      </c>
      <c r="L34" s="42">
        <f>Feb!AZ35</f>
        <v>400</v>
      </c>
      <c r="M34" s="42">
        <f>Feb!BC35</f>
        <v>620</v>
      </c>
      <c r="N34" s="125">
        <f t="shared" si="13"/>
        <v>50938.340000002398</v>
      </c>
      <c r="O34" s="125">
        <f>Feb!CA35</f>
        <v>665.00000000002046</v>
      </c>
      <c r="P34" s="125">
        <f>Feb!CD35</f>
        <v>382.5</v>
      </c>
      <c r="Q34" s="125">
        <f>Feb!CF35</f>
        <v>0</v>
      </c>
      <c r="R34" s="125">
        <f>Feb!CH35</f>
        <v>0</v>
      </c>
      <c r="S34" s="125">
        <f>Feb!CK35</f>
        <v>16099.170000000997</v>
      </c>
      <c r="T34" s="125">
        <f>Feb!CO35</f>
        <v>9538.1699999999964</v>
      </c>
      <c r="U34" s="125">
        <f>Feb!CS35</f>
        <v>7056.1700000000255</v>
      </c>
      <c r="V34" s="126">
        <f t="shared" si="14"/>
        <v>33741.010000001042</v>
      </c>
      <c r="W34" s="126">
        <f>Feb!CW35</f>
        <v>19407</v>
      </c>
      <c r="X34" s="126">
        <f>Feb!DA35</f>
        <v>10093</v>
      </c>
      <c r="Y34" s="126">
        <f t="shared" si="1"/>
        <v>29500</v>
      </c>
      <c r="Z34" s="42">
        <f>Feb!BR35</f>
        <v>700.00000000004547</v>
      </c>
      <c r="AA34" s="126">
        <f>Feb!BG35</f>
        <v>2500</v>
      </c>
      <c r="AB34" s="126">
        <f>Feb!BJ35</f>
        <v>8599.9999999994543</v>
      </c>
      <c r="AC34" s="126">
        <f>Feb!BL35+Feb!BN35+Feb!BP35</f>
        <v>5049.9999999999181</v>
      </c>
      <c r="AD34" s="126">
        <f>Feb!DR35</f>
        <v>9000</v>
      </c>
      <c r="AE34" s="127">
        <f>Feb!DT35-Feb!DR75-Feb!DT75</f>
        <v>18501</v>
      </c>
      <c r="AF34" s="127">
        <f>Feb!DR75+Feb!DT75</f>
        <v>99.000000000000199</v>
      </c>
      <c r="AG34" s="127">
        <f>Feb!HE35-AE34</f>
        <v>73359.000000000131</v>
      </c>
      <c r="AH34" s="127">
        <f>Feb!DW35</f>
        <v>4699.9999999998181</v>
      </c>
      <c r="AI34" s="127">
        <f>Feb!DZ35</f>
        <v>8634.17</v>
      </c>
      <c r="AJ34" s="127">
        <f>Feb!EC35</f>
        <v>24794.17</v>
      </c>
      <c r="AK34" s="127">
        <f t="shared" si="4"/>
        <v>38128.339999999815</v>
      </c>
      <c r="AL34" s="127">
        <f>Feb!EG35</f>
        <v>29794.17</v>
      </c>
      <c r="AM34" s="127">
        <f>Feb!EJ35</f>
        <v>11634.17</v>
      </c>
      <c r="AN34" s="127">
        <f>Feb!EM35</f>
        <v>839.99999999991815</v>
      </c>
      <c r="AO34" s="127">
        <f t="shared" si="21"/>
        <v>42268.339999999916</v>
      </c>
      <c r="AP34" s="127">
        <f>Feb!FX35</f>
        <v>11700</v>
      </c>
      <c r="AQ34" s="127">
        <f>Feb!GA35</f>
        <v>3050.0000000003638</v>
      </c>
      <c r="AR34" s="127">
        <f>Feb!GG35+(Feb!GP35+Feb!GS35)</f>
        <v>3249.9999999986812</v>
      </c>
      <c r="AS34" s="127">
        <f t="shared" ref="AS34:AS35" si="22">SUM(AP34:AR34)</f>
        <v>17999.999999999047</v>
      </c>
      <c r="AT34" s="127">
        <f>Feb!EQ35</f>
        <v>9634.17</v>
      </c>
      <c r="AU34" s="127">
        <f>Feb!ET35</f>
        <v>17300.000000000182</v>
      </c>
      <c r="AV34" s="127">
        <f>Feb!EW35</f>
        <v>8734.1700000003639</v>
      </c>
      <c r="AW34" s="127">
        <f>Feb!FL72</f>
        <v>10710.807639102966</v>
      </c>
      <c r="AX34" s="127">
        <f>Feb!GJ35+((Feb!GP35+Feb!GS35)*50/100)</f>
        <v>2525</v>
      </c>
      <c r="AY34" s="127">
        <f t="shared" si="7"/>
        <v>48904.14763910351</v>
      </c>
      <c r="AZ34" s="127">
        <f>Feb!FG35</f>
        <v>5634.17</v>
      </c>
      <c r="BA34" s="127">
        <f>Feb!FJ35</f>
        <v>6534.1700000005458</v>
      </c>
      <c r="BB34" s="127">
        <f>Feb!FM72</f>
        <v>9557.5323608970302</v>
      </c>
      <c r="BC34" s="127">
        <f>Feb!GM35+((Feb!GP35+Feb!GS35)*50/100)</f>
        <v>1424.9999999998636</v>
      </c>
      <c r="BD34" s="127">
        <f t="shared" si="8"/>
        <v>23150.87236089744</v>
      </c>
      <c r="BE34" s="127">
        <f t="shared" si="11"/>
        <v>29500</v>
      </c>
      <c r="BF34" s="127"/>
      <c r="BG34" s="127"/>
      <c r="BH34" s="127"/>
      <c r="BI34" s="128">
        <v>0</v>
      </c>
      <c r="BJ34" s="128">
        <f t="shared" si="20"/>
        <v>17999.999999999047</v>
      </c>
      <c r="BK34" s="128"/>
      <c r="BL34" s="128">
        <v>0</v>
      </c>
      <c r="BM34" s="128"/>
      <c r="BN34" s="128"/>
      <c r="BO34" s="128"/>
      <c r="BP34" s="128"/>
      <c r="BQ34" s="128"/>
      <c r="BR34" s="42">
        <f>Feb!D73</f>
        <v>0</v>
      </c>
      <c r="BS34" s="42">
        <f>Feb!G73</f>
        <v>85000</v>
      </c>
      <c r="BV34" s="42">
        <f>Feb!HJ35</f>
        <v>91860.000000000131</v>
      </c>
      <c r="BW34" s="42">
        <f>Feb!HM35</f>
        <v>0</v>
      </c>
      <c r="BX34" s="42">
        <f>Feb!HP35</f>
        <v>26633.329999999994</v>
      </c>
      <c r="BY34" s="42">
        <f>Feb!HS35</f>
        <v>24593.329999999973</v>
      </c>
      <c r="BZ34" s="42">
        <f>Feb!HV35</f>
        <v>22033.329999999973</v>
      </c>
      <c r="CA34" s="42">
        <f>Feb!HY35</f>
        <v>18600</v>
      </c>
    </row>
    <row r="35" spans="1:79" hidden="1" x14ac:dyDescent="0.25">
      <c r="A35" s="26">
        <f t="shared" si="10"/>
        <v>29</v>
      </c>
      <c r="B35" s="42">
        <f>Feb!G36</f>
        <v>0</v>
      </c>
      <c r="C35" s="42">
        <f>Feb!N36</f>
        <v>0</v>
      </c>
      <c r="D35" s="42">
        <f>Feb!T36</f>
        <v>0</v>
      </c>
      <c r="E35" s="42">
        <f>Feb!V36</f>
        <v>0</v>
      </c>
      <c r="F35" s="42">
        <f>Feb!AB36</f>
        <v>0</v>
      </c>
      <c r="G35" s="42">
        <f>Feb!X36</f>
        <v>0</v>
      </c>
      <c r="H35" s="42">
        <f>Feb!AE36</f>
        <v>0</v>
      </c>
      <c r="I35" s="42">
        <f>Feb!AI36</f>
        <v>0</v>
      </c>
      <c r="J35" s="42">
        <f>Feb!AN36</f>
        <v>0</v>
      </c>
      <c r="K35" s="42">
        <f>Feb!AR36</f>
        <v>0</v>
      </c>
      <c r="L35" s="42">
        <f>Feb!AZ36</f>
        <v>0</v>
      </c>
      <c r="M35" s="42">
        <f>Feb!BC36</f>
        <v>0</v>
      </c>
      <c r="N35" s="125">
        <f t="shared" si="13"/>
        <v>0</v>
      </c>
      <c r="O35" s="125">
        <f>Feb!CA36</f>
        <v>0</v>
      </c>
      <c r="P35" s="125">
        <f>Feb!CD36</f>
        <v>0</v>
      </c>
      <c r="Q35" s="125">
        <f>Feb!CF36</f>
        <v>0</v>
      </c>
      <c r="R35" s="125">
        <f>Feb!CH36</f>
        <v>0</v>
      </c>
      <c r="S35" s="125">
        <f>Feb!CK36</f>
        <v>0</v>
      </c>
      <c r="T35" s="125">
        <f>Feb!CO36</f>
        <v>0</v>
      </c>
      <c r="U35" s="125">
        <f>Feb!CS36</f>
        <v>0</v>
      </c>
      <c r="V35" s="126">
        <f t="shared" si="14"/>
        <v>0</v>
      </c>
      <c r="W35" s="126">
        <f>Feb!CW36</f>
        <v>0</v>
      </c>
      <c r="X35" s="126">
        <f>Feb!DA36</f>
        <v>0</v>
      </c>
      <c r="Y35" s="126">
        <f t="shared" si="1"/>
        <v>0</v>
      </c>
      <c r="Z35" s="42">
        <f>Feb!BR36</f>
        <v>0</v>
      </c>
      <c r="AA35" s="126">
        <f>Feb!BG36</f>
        <v>0</v>
      </c>
      <c r="AB35" s="126">
        <f>Feb!BJ36</f>
        <v>0</v>
      </c>
      <c r="AC35" s="126">
        <f>Feb!BL36+Feb!BN36+Feb!BP36</f>
        <v>0</v>
      </c>
      <c r="AD35" s="126">
        <f>Feb!DR36</f>
        <v>0</v>
      </c>
      <c r="AE35" s="127">
        <f>Feb!DT36-Feb!DR76-Feb!DT76</f>
        <v>0</v>
      </c>
      <c r="AF35" s="127">
        <f>Feb!DR76+Feb!DT76</f>
        <v>0</v>
      </c>
      <c r="AG35" s="127">
        <f>Feb!HE36</f>
        <v>0</v>
      </c>
      <c r="AH35" s="127">
        <f>Feb!DW36</f>
        <v>0</v>
      </c>
      <c r="AI35" s="127">
        <f>Feb!DZ36</f>
        <v>0</v>
      </c>
      <c r="AJ35" s="127">
        <f>Feb!EC36</f>
        <v>0</v>
      </c>
      <c r="AK35" s="127">
        <f t="shared" si="4"/>
        <v>0</v>
      </c>
      <c r="AL35" s="127">
        <f>Feb!EG36</f>
        <v>0</v>
      </c>
      <c r="AM35" s="127">
        <f>Feb!EJ36</f>
        <v>0</v>
      </c>
      <c r="AN35" s="127">
        <f>Feb!EM36</f>
        <v>0</v>
      </c>
      <c r="AO35" s="127">
        <f t="shared" si="21"/>
        <v>0</v>
      </c>
      <c r="AP35" s="127">
        <f>Feb!FX36</f>
        <v>0</v>
      </c>
      <c r="AQ35" s="127">
        <f>Feb!GA36</f>
        <v>0</v>
      </c>
      <c r="AR35" s="127">
        <f>Feb!GG36+(Feb!GP36+Feb!GS36)</f>
        <v>0</v>
      </c>
      <c r="AS35" s="127">
        <f t="shared" si="22"/>
        <v>0</v>
      </c>
      <c r="AT35" s="127">
        <f>Feb!EQ36</f>
        <v>0</v>
      </c>
      <c r="AU35" s="127">
        <f>Feb!ET36</f>
        <v>0</v>
      </c>
      <c r="AV35" s="127">
        <f>Feb!EW36</f>
        <v>0</v>
      </c>
      <c r="AW35" s="127">
        <f>Feb!FL73</f>
        <v>0</v>
      </c>
      <c r="AX35" s="127">
        <f>Feb!GJ36+((Feb!GP36+Feb!GS36)*50/100)</f>
        <v>0</v>
      </c>
      <c r="AY35" s="127">
        <f t="shared" si="7"/>
        <v>0</v>
      </c>
      <c r="AZ35" s="127">
        <f>Feb!FG36</f>
        <v>0</v>
      </c>
      <c r="BA35" s="127">
        <f>Feb!FJ36</f>
        <v>0</v>
      </c>
      <c r="BB35" s="127">
        <f>Feb!FM73</f>
        <v>0</v>
      </c>
      <c r="BC35" s="127">
        <f>Feb!GM36+((Feb!GP36+Feb!GS36)*50/100)</f>
        <v>0</v>
      </c>
      <c r="BD35" s="127">
        <f t="shared" si="8"/>
        <v>0</v>
      </c>
      <c r="BE35" s="127">
        <f t="shared" ref="BE35:BE37" si="23">Y35</f>
        <v>0</v>
      </c>
      <c r="BF35" s="127"/>
      <c r="BG35" s="127"/>
      <c r="BH35" s="127"/>
      <c r="BI35" s="128"/>
      <c r="BJ35" s="128"/>
      <c r="BK35" s="128"/>
      <c r="BL35" s="128"/>
      <c r="BM35" s="128"/>
      <c r="BN35" s="128"/>
      <c r="BO35" s="128"/>
      <c r="BP35" s="128"/>
      <c r="BQ35" s="128"/>
      <c r="BR35" s="42">
        <f>Feb!D74</f>
        <v>0</v>
      </c>
      <c r="BS35" s="42">
        <f>Feb!G74</f>
        <v>0</v>
      </c>
      <c r="BV35" s="42">
        <f>Feb!HJ36</f>
        <v>0</v>
      </c>
      <c r="BW35" s="42">
        <f>Feb!HM36</f>
        <v>0</v>
      </c>
      <c r="BX35" s="42">
        <f>Feb!HP36</f>
        <v>0</v>
      </c>
      <c r="BY35" s="42">
        <f>Feb!HS36</f>
        <v>0</v>
      </c>
      <c r="BZ35" s="42">
        <f>Feb!HV36</f>
        <v>0</v>
      </c>
      <c r="CA35" s="42">
        <f>Feb!HY36</f>
        <v>0</v>
      </c>
    </row>
    <row r="36" spans="1:79" hidden="1" x14ac:dyDescent="0.25">
      <c r="A36" s="26">
        <f t="shared" si="10"/>
        <v>30</v>
      </c>
      <c r="B36" s="42">
        <f>Feb!G37</f>
        <v>0</v>
      </c>
      <c r="C36" s="42">
        <f>Feb!N37</f>
        <v>0</v>
      </c>
      <c r="D36" s="42">
        <f>Feb!T37</f>
        <v>0</v>
      </c>
      <c r="E36" s="42">
        <f>Feb!V37</f>
        <v>0</v>
      </c>
      <c r="F36" s="42">
        <f>Feb!AB37</f>
        <v>0</v>
      </c>
      <c r="G36" s="42">
        <f>Feb!X37</f>
        <v>0</v>
      </c>
      <c r="H36" s="42">
        <f>Feb!AE37</f>
        <v>0</v>
      </c>
      <c r="I36" s="42">
        <f>Feb!AI37</f>
        <v>0</v>
      </c>
      <c r="J36" s="42">
        <f>Feb!AN37</f>
        <v>0</v>
      </c>
      <c r="K36" s="42">
        <f>Feb!AR37</f>
        <v>0</v>
      </c>
      <c r="L36" s="42">
        <f>Feb!AZ37</f>
        <v>0</v>
      </c>
      <c r="M36" s="42">
        <f>Feb!BC37</f>
        <v>0</v>
      </c>
      <c r="N36" s="125">
        <f t="shared" si="13"/>
        <v>0</v>
      </c>
      <c r="O36" s="125">
        <f>Feb!CA37</f>
        <v>0</v>
      </c>
      <c r="P36" s="125">
        <f>Feb!CD37</f>
        <v>0</v>
      </c>
      <c r="Q36" s="125">
        <f>Feb!CF37</f>
        <v>0</v>
      </c>
      <c r="R36" s="125">
        <f>Feb!CH37</f>
        <v>0</v>
      </c>
      <c r="S36" s="125">
        <f>Feb!CK37</f>
        <v>0</v>
      </c>
      <c r="T36" s="125">
        <f>Feb!CO37</f>
        <v>0</v>
      </c>
      <c r="U36" s="125">
        <f>Feb!CS37</f>
        <v>0</v>
      </c>
      <c r="V36" s="126">
        <f t="shared" si="14"/>
        <v>0</v>
      </c>
      <c r="W36" s="126">
        <f>Feb!CW37</f>
        <v>0</v>
      </c>
      <c r="X36" s="126">
        <f>Feb!DA37</f>
        <v>0</v>
      </c>
      <c r="Y36" s="126">
        <f t="shared" si="1"/>
        <v>0</v>
      </c>
      <c r="Z36" s="42">
        <f>Feb!BR37</f>
        <v>0</v>
      </c>
      <c r="AA36" s="126">
        <f>Feb!BG37</f>
        <v>0</v>
      </c>
      <c r="AB36" s="126">
        <f>Feb!BJ37</f>
        <v>0</v>
      </c>
      <c r="AC36" s="126">
        <f>Feb!BL37+Feb!BN37+Feb!BP37</f>
        <v>0</v>
      </c>
      <c r="AD36" s="126">
        <f>Feb!DR37</f>
        <v>0</v>
      </c>
      <c r="AE36" s="127">
        <f>Feb!DT37-Feb!DR77-Feb!DT77</f>
        <v>0</v>
      </c>
      <c r="AF36" s="127">
        <f>Feb!DR77+Feb!DT77</f>
        <v>0</v>
      </c>
      <c r="AG36" s="127">
        <f>Feb!HE37</f>
        <v>0</v>
      </c>
      <c r="AH36" s="127">
        <f>Feb!DW37</f>
        <v>0</v>
      </c>
      <c r="AI36" s="127">
        <f>Feb!DZ37</f>
        <v>0</v>
      </c>
      <c r="AJ36" s="127">
        <f>Feb!EC37</f>
        <v>0</v>
      </c>
      <c r="AK36" s="127">
        <f t="shared" si="4"/>
        <v>0</v>
      </c>
      <c r="AL36" s="127">
        <f>Feb!EG37</f>
        <v>0</v>
      </c>
      <c r="AM36" s="127">
        <f>Feb!EJ37</f>
        <v>0</v>
      </c>
      <c r="AN36" s="127">
        <f>Feb!EM37</f>
        <v>0</v>
      </c>
      <c r="AO36" s="127">
        <f t="shared" si="21"/>
        <v>0</v>
      </c>
      <c r="AP36" s="127">
        <f>Feb!FX37</f>
        <v>0</v>
      </c>
      <c r="AQ36" s="127">
        <f>Feb!GA37</f>
        <v>0</v>
      </c>
      <c r="AR36" s="127">
        <f>Feb!GG37+(Feb!GP37+Feb!GS37)</f>
        <v>0</v>
      </c>
      <c r="AS36" s="127">
        <f t="shared" si="6"/>
        <v>0</v>
      </c>
      <c r="AT36" s="127">
        <f>Feb!EQ37</f>
        <v>0</v>
      </c>
      <c r="AU36" s="127">
        <f>Feb!ET37</f>
        <v>0</v>
      </c>
      <c r="AV36" s="127">
        <f>Feb!EW37</f>
        <v>0</v>
      </c>
      <c r="AW36" s="127">
        <f>Feb!EZ37</f>
        <v>0</v>
      </c>
      <c r="AX36" s="127">
        <f>Feb!GJ37+((Feb!GP37+Feb!GS37)*50/100)</f>
        <v>0</v>
      </c>
      <c r="AY36" s="127">
        <f t="shared" si="7"/>
        <v>0</v>
      </c>
      <c r="AZ36" s="127">
        <f>Feb!FG37</f>
        <v>0</v>
      </c>
      <c r="BA36" s="127">
        <f>Feb!FJ37</f>
        <v>0</v>
      </c>
      <c r="BB36" s="127">
        <f>Feb!FP37</f>
        <v>0</v>
      </c>
      <c r="BC36" s="127">
        <f>Feb!GM37+((Feb!GP37+Feb!GS37)*50/100)</f>
        <v>0</v>
      </c>
      <c r="BD36" s="127">
        <f t="shared" si="8"/>
        <v>0</v>
      </c>
      <c r="BE36" s="127">
        <f t="shared" si="23"/>
        <v>0</v>
      </c>
      <c r="BF36" s="127"/>
      <c r="BG36" s="127"/>
      <c r="BH36" s="127"/>
      <c r="BI36" s="128"/>
      <c r="BJ36" s="128"/>
      <c r="BK36" s="128"/>
      <c r="BL36" s="128"/>
      <c r="BM36" s="128"/>
      <c r="BN36" s="128"/>
      <c r="BO36" s="128"/>
      <c r="BP36" s="128"/>
      <c r="BQ36" s="128"/>
      <c r="BR36" s="42">
        <f>Feb!D75</f>
        <v>0</v>
      </c>
      <c r="BS36" s="42">
        <f>Feb!G75</f>
        <v>0</v>
      </c>
      <c r="BV36" s="42">
        <f>Feb!HJ37</f>
        <v>0</v>
      </c>
      <c r="BW36" s="42">
        <f>Feb!HM37</f>
        <v>0</v>
      </c>
      <c r="BX36" s="42">
        <f>Feb!HP37</f>
        <v>0</v>
      </c>
      <c r="BY36" s="42">
        <f>Feb!HS37</f>
        <v>0</v>
      </c>
      <c r="BZ36" s="42">
        <f>Feb!HV37</f>
        <v>0</v>
      </c>
      <c r="CA36" s="42">
        <f>Feb!HY37</f>
        <v>0</v>
      </c>
    </row>
    <row r="37" spans="1:79" hidden="1" x14ac:dyDescent="0.25">
      <c r="A37" s="26">
        <f t="shared" si="10"/>
        <v>31</v>
      </c>
      <c r="B37" s="42">
        <f>Feb!G38</f>
        <v>0</v>
      </c>
      <c r="C37" s="42">
        <f>Feb!N38</f>
        <v>0</v>
      </c>
      <c r="D37" s="42">
        <f>Feb!T38</f>
        <v>0</v>
      </c>
      <c r="E37" s="42">
        <f>Feb!V38</f>
        <v>0</v>
      </c>
      <c r="F37" s="42">
        <f>Feb!AB38</f>
        <v>0</v>
      </c>
      <c r="G37" s="42">
        <f>Feb!X38</f>
        <v>0</v>
      </c>
      <c r="H37" s="42">
        <f>Feb!AE38</f>
        <v>0</v>
      </c>
      <c r="I37" s="42">
        <f>Feb!AI38</f>
        <v>0</v>
      </c>
      <c r="J37" s="42">
        <f>Feb!AN38</f>
        <v>0</v>
      </c>
      <c r="K37" s="42">
        <f>Feb!AR38</f>
        <v>0</v>
      </c>
      <c r="L37" s="42">
        <f>Feb!AZ38</f>
        <v>0</v>
      </c>
      <c r="M37" s="42">
        <f>Feb!BC38</f>
        <v>0</v>
      </c>
      <c r="N37" s="125">
        <f t="shared" si="13"/>
        <v>0</v>
      </c>
      <c r="O37" s="125">
        <f>Feb!CA38</f>
        <v>0</v>
      </c>
      <c r="P37" s="125">
        <f>Feb!CD38</f>
        <v>0</v>
      </c>
      <c r="Q37" s="125">
        <f>Feb!CF38</f>
        <v>0</v>
      </c>
      <c r="R37" s="125">
        <f>Feb!CH38</f>
        <v>0</v>
      </c>
      <c r="S37" s="125">
        <f>Feb!CK38</f>
        <v>0</v>
      </c>
      <c r="T37" s="125">
        <f>Feb!CO38</f>
        <v>0</v>
      </c>
      <c r="U37" s="125">
        <f>Feb!CS38</f>
        <v>0</v>
      </c>
      <c r="V37" s="126">
        <f t="shared" si="14"/>
        <v>0</v>
      </c>
      <c r="W37" s="126">
        <f>Feb!CW38</f>
        <v>0</v>
      </c>
      <c r="X37" s="126">
        <f>Feb!DA38</f>
        <v>0</v>
      </c>
      <c r="Y37" s="126">
        <f>W37+X37+(10*(AP37+AQ37+AR37)/100)</f>
        <v>0</v>
      </c>
      <c r="Z37" s="42">
        <f>Feb!BR38</f>
        <v>0</v>
      </c>
      <c r="AA37" s="126">
        <f>Feb!BG38</f>
        <v>0</v>
      </c>
      <c r="AB37" s="126">
        <f>Feb!BJ38</f>
        <v>0</v>
      </c>
      <c r="AC37" s="126">
        <f>Feb!BL38+Feb!BN38+Feb!BP38</f>
        <v>0</v>
      </c>
      <c r="AD37" s="126">
        <f>Feb!DR38</f>
        <v>0</v>
      </c>
      <c r="AE37" s="127">
        <f>Feb!DT38-Feb!DR78-Feb!DT78</f>
        <v>0</v>
      </c>
      <c r="AF37" s="127">
        <f>Feb!DR78+Feb!DT78</f>
        <v>0</v>
      </c>
      <c r="AG37" s="127">
        <f>Feb!HE38</f>
        <v>0</v>
      </c>
      <c r="AH37" s="127">
        <f>Feb!DW38</f>
        <v>0</v>
      </c>
      <c r="AI37" s="127">
        <f>Feb!DZ38</f>
        <v>0</v>
      </c>
      <c r="AJ37" s="127">
        <f>Feb!EC38</f>
        <v>0</v>
      </c>
      <c r="AK37" s="127">
        <f t="shared" si="4"/>
        <v>0</v>
      </c>
      <c r="AL37" s="127">
        <f>Feb!EG38</f>
        <v>0</v>
      </c>
      <c r="AM37" s="127">
        <f>Feb!EJ38</f>
        <v>0</v>
      </c>
      <c r="AN37" s="127">
        <f>Feb!EM38</f>
        <v>0</v>
      </c>
      <c r="AO37" s="127">
        <f t="shared" si="21"/>
        <v>0</v>
      </c>
      <c r="AP37" s="127">
        <f>Feb!FX38</f>
        <v>0</v>
      </c>
      <c r="AQ37" s="127">
        <f>Feb!GA38</f>
        <v>0</v>
      </c>
      <c r="AR37" s="127">
        <f>Feb!GG38+(Feb!GP38+Feb!GS38)</f>
        <v>0</v>
      </c>
      <c r="AS37" s="127">
        <f t="shared" si="6"/>
        <v>0</v>
      </c>
      <c r="AT37" s="127">
        <f>Feb!EQ38</f>
        <v>0</v>
      </c>
      <c r="AU37" s="127">
        <f>Feb!ET38</f>
        <v>0</v>
      </c>
      <c r="AV37" s="127">
        <f>Feb!EW38</f>
        <v>0</v>
      </c>
      <c r="AW37" s="127">
        <f>Feb!EZ38</f>
        <v>0</v>
      </c>
      <c r="AX37" s="127">
        <f>Feb!GJ38</f>
        <v>0</v>
      </c>
      <c r="AY37" s="127">
        <f t="shared" si="7"/>
        <v>0</v>
      </c>
      <c r="AZ37" s="127">
        <f>Feb!FG38</f>
        <v>0</v>
      </c>
      <c r="BA37" s="127">
        <f>Feb!FJ38</f>
        <v>0</v>
      </c>
      <c r="BB37" s="127">
        <f>Feb!FP38</f>
        <v>0</v>
      </c>
      <c r="BC37" s="127">
        <f>Feb!GM38</f>
        <v>0</v>
      </c>
      <c r="BD37" s="127">
        <f t="shared" si="8"/>
        <v>0</v>
      </c>
      <c r="BE37" s="127">
        <f t="shared" si="23"/>
        <v>0</v>
      </c>
      <c r="BF37" s="127"/>
      <c r="BG37" s="127"/>
      <c r="BH37" s="127"/>
      <c r="BI37" s="128"/>
      <c r="BJ37" s="128"/>
      <c r="BK37" s="128"/>
      <c r="BL37" s="128"/>
      <c r="BM37" s="128"/>
      <c r="BN37" s="128"/>
      <c r="BO37" s="128"/>
      <c r="BP37" s="128"/>
      <c r="BQ37" s="128"/>
      <c r="BR37" s="42">
        <f>Feb!D76</f>
        <v>0</v>
      </c>
      <c r="BS37" s="42">
        <f>Feb!G76</f>
        <v>0</v>
      </c>
      <c r="BV37" s="42">
        <f>Feb!HJ38</f>
        <v>0</v>
      </c>
      <c r="BW37" s="42">
        <f>Feb!HM38</f>
        <v>0</v>
      </c>
      <c r="BX37" s="42">
        <f>Feb!HP38</f>
        <v>0</v>
      </c>
      <c r="BY37" s="42">
        <f>Feb!HS38</f>
        <v>0</v>
      </c>
      <c r="BZ37" s="42">
        <f>Feb!HV38</f>
        <v>0</v>
      </c>
      <c r="CA37" s="42">
        <f>Feb!HY38</f>
        <v>0</v>
      </c>
    </row>
    <row r="38" spans="1:79" x14ac:dyDescent="0.25">
      <c r="A38" s="129" t="s">
        <v>37</v>
      </c>
      <c r="B38" s="130">
        <f t="shared" ref="B38:AJ38" si="24">SUM(B7:B37)</f>
        <v>8355200</v>
      </c>
      <c r="C38" s="130">
        <f t="shared" si="24"/>
        <v>8296000</v>
      </c>
      <c r="D38" s="130">
        <f t="shared" si="24"/>
        <v>165440.33999999985</v>
      </c>
      <c r="E38" s="130">
        <f t="shared" si="24"/>
        <v>48.330000000074506</v>
      </c>
      <c r="F38" s="130">
        <f t="shared" si="24"/>
        <v>52460</v>
      </c>
      <c r="G38" s="130">
        <f t="shared" si="24"/>
        <v>223651.33000000042</v>
      </c>
      <c r="H38" s="130">
        <f t="shared" si="24"/>
        <v>162900.00000000009</v>
      </c>
      <c r="I38" s="130">
        <f t="shared" si="24"/>
        <v>375054.49999999965</v>
      </c>
      <c r="J38" s="130">
        <f t="shared" si="24"/>
        <v>190874.50000000073</v>
      </c>
      <c r="K38" s="130">
        <f t="shared" si="24"/>
        <v>316800.00000000012</v>
      </c>
      <c r="L38" s="130">
        <f t="shared" si="24"/>
        <v>10580.239999999991</v>
      </c>
      <c r="M38" s="130">
        <f t="shared" si="24"/>
        <v>14678.368000000002</v>
      </c>
      <c r="N38" s="130">
        <f t="shared" si="24"/>
        <v>1512487.6080000009</v>
      </c>
      <c r="O38" s="130">
        <f t="shared" si="24"/>
        <v>21469.50000000004</v>
      </c>
      <c r="P38" s="130">
        <f t="shared" si="24"/>
        <v>24199.900000000023</v>
      </c>
      <c r="Q38" s="130">
        <f t="shared" si="24"/>
        <v>1</v>
      </c>
      <c r="R38" s="130">
        <f t="shared" si="24"/>
        <v>4616</v>
      </c>
      <c r="S38" s="130">
        <f t="shared" si="24"/>
        <v>425115.00000000017</v>
      </c>
      <c r="T38" s="130">
        <f t="shared" si="24"/>
        <v>206039.49999999977</v>
      </c>
      <c r="U38" s="130">
        <f t="shared" si="24"/>
        <v>178609.49999999991</v>
      </c>
      <c r="V38" s="130">
        <f t="shared" si="24"/>
        <v>860050.4</v>
      </c>
      <c r="W38" s="130">
        <f t="shared" si="24"/>
        <v>243777</v>
      </c>
      <c r="X38" s="130">
        <f t="shared" si="24"/>
        <v>123985</v>
      </c>
      <c r="Y38" s="130">
        <f t="shared" si="24"/>
        <v>367762</v>
      </c>
      <c r="Z38" s="130">
        <f t="shared" si="24"/>
        <v>18019.999999999978</v>
      </c>
      <c r="AA38" s="130">
        <f t="shared" si="24"/>
        <v>63600.000000000131</v>
      </c>
      <c r="AB38" s="130">
        <f t="shared" si="24"/>
        <v>246499.99999999997</v>
      </c>
      <c r="AC38" s="130">
        <f t="shared" si="24"/>
        <v>129460.00000000001</v>
      </c>
      <c r="AD38" s="130">
        <f t="shared" si="24"/>
        <v>231100</v>
      </c>
      <c r="AE38" s="130">
        <f t="shared" si="24"/>
        <v>440440</v>
      </c>
      <c r="AF38" s="130">
        <f t="shared" si="24"/>
        <v>5959.9999999999918</v>
      </c>
      <c r="AG38" s="130">
        <f t="shared" si="24"/>
        <v>1690986.5203999944</v>
      </c>
      <c r="AH38" s="130">
        <f t="shared" si="24"/>
        <v>117399.99999999962</v>
      </c>
      <c r="AI38" s="130">
        <f t="shared" si="24"/>
        <v>198654.5</v>
      </c>
      <c r="AJ38" s="130">
        <f t="shared" si="24"/>
        <v>660134.50000000012</v>
      </c>
      <c r="AK38" s="130">
        <f t="shared" ref="AK38:BS38" si="25">SUM(AK7:AK37)</f>
        <v>976188.99999999977</v>
      </c>
      <c r="AL38" s="130">
        <f t="shared" si="25"/>
        <v>906134.5</v>
      </c>
      <c r="AM38" s="130">
        <f t="shared" si="25"/>
        <v>296654.49999999994</v>
      </c>
      <c r="AN38" s="130">
        <f t="shared" si="25"/>
        <v>19569.999999999935</v>
      </c>
      <c r="AO38" s="130">
        <f t="shared" si="25"/>
        <v>1222358.9999999998</v>
      </c>
      <c r="AP38" s="130">
        <f t="shared" si="25"/>
        <v>544600</v>
      </c>
      <c r="AQ38" s="130">
        <f t="shared" si="25"/>
        <v>127480.00000000019</v>
      </c>
      <c r="AR38" s="130">
        <f t="shared" si="25"/>
        <v>172399.9999999993</v>
      </c>
      <c r="AS38" s="130">
        <f t="shared" si="25"/>
        <v>844479.99999999953</v>
      </c>
      <c r="AT38" s="130">
        <f t="shared" si="25"/>
        <v>274654.49999999994</v>
      </c>
      <c r="AU38" s="130">
        <f t="shared" si="25"/>
        <v>502500</v>
      </c>
      <c r="AV38" s="130">
        <f t="shared" si="25"/>
        <v>232054.50000000009</v>
      </c>
      <c r="AW38" s="130">
        <f t="shared" si="25"/>
        <v>277647.02130810072</v>
      </c>
      <c r="AX38" s="130">
        <f t="shared" si="25"/>
        <v>47715.000000000087</v>
      </c>
      <c r="AY38" s="130">
        <f t="shared" si="25"/>
        <v>1334571.0213081005</v>
      </c>
      <c r="AZ38" s="130">
        <f t="shared" si="25"/>
        <v>185681.89000000004</v>
      </c>
      <c r="BA38" s="130">
        <f t="shared" si="25"/>
        <v>335648.56000000035</v>
      </c>
      <c r="BB38" s="130">
        <f t="shared" si="25"/>
        <v>251689.36869189923</v>
      </c>
      <c r="BC38" s="130">
        <f t="shared" si="25"/>
        <v>13214.999999999864</v>
      </c>
      <c r="BD38" s="130">
        <f t="shared" si="25"/>
        <v>786234.81869189953</v>
      </c>
      <c r="BE38" s="130">
        <f t="shared" si="25"/>
        <v>371472.0000000007</v>
      </c>
      <c r="BF38" s="130">
        <f t="shared" si="25"/>
        <v>0</v>
      </c>
      <c r="BG38" s="130">
        <f t="shared" si="25"/>
        <v>0</v>
      </c>
      <c r="BH38" s="130">
        <f t="shared" si="25"/>
        <v>0</v>
      </c>
      <c r="BI38" s="130">
        <f t="shared" si="25"/>
        <v>413046.49999999971</v>
      </c>
      <c r="BJ38" s="130">
        <f t="shared" si="25"/>
        <v>265539.49999999907</v>
      </c>
      <c r="BK38" s="130">
        <f t="shared" si="25"/>
        <v>0</v>
      </c>
      <c r="BL38" s="130">
        <f t="shared" si="25"/>
        <v>162184.00000000003</v>
      </c>
      <c r="BM38" s="130">
        <f t="shared" si="25"/>
        <v>0</v>
      </c>
      <c r="BN38" s="130">
        <f t="shared" si="25"/>
        <v>0</v>
      </c>
      <c r="BO38" s="130">
        <f t="shared" si="25"/>
        <v>0</v>
      </c>
      <c r="BP38" s="130">
        <f t="shared" si="25"/>
        <v>0</v>
      </c>
      <c r="BQ38" s="130">
        <f t="shared" si="25"/>
        <v>0</v>
      </c>
      <c r="BR38" s="130">
        <f t="shared" si="25"/>
        <v>0</v>
      </c>
      <c r="BS38" s="130">
        <f t="shared" si="25"/>
        <v>2375000</v>
      </c>
      <c r="BT38" s="164"/>
      <c r="BV38" s="130">
        <f t="shared" ref="BV38:BW38" si="26">SUM(BV7:BV37)</f>
        <v>2011607.5203999944</v>
      </c>
      <c r="BW38" s="130">
        <f t="shared" si="26"/>
        <v>0</v>
      </c>
      <c r="BX38" s="130">
        <f t="shared" ref="BX38:BY38" si="27">SUM(BX7:BX37)</f>
        <v>724045.746899997</v>
      </c>
      <c r="BY38" s="130">
        <f t="shared" si="27"/>
        <v>583764.74689999712</v>
      </c>
      <c r="BZ38" s="130">
        <f t="shared" ref="BZ38:CA38" si="28">SUM(BZ7:BZ37)</f>
        <v>379096.98670000001</v>
      </c>
      <c r="CA38" s="130">
        <f t="shared" si="28"/>
        <v>324700</v>
      </c>
    </row>
    <row r="39" spans="1:79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I39" s="91"/>
      <c r="BJ39" s="91"/>
      <c r="BK39" s="91"/>
      <c r="BL39" s="91"/>
      <c r="BM39" s="91"/>
      <c r="BN39" s="91"/>
      <c r="BO39" s="91"/>
      <c r="BP39" s="91"/>
      <c r="BQ39" s="91"/>
      <c r="BR39" s="165"/>
      <c r="BS39" s="165"/>
    </row>
    <row r="40" spans="1:79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F40" s="402" t="s">
        <v>252</v>
      </c>
      <c r="BG40" s="402"/>
      <c r="BH40" s="498" t="s">
        <v>299</v>
      </c>
      <c r="BI40" s="498"/>
      <c r="BJ40" s="498"/>
      <c r="BK40" s="498"/>
      <c r="BL40" s="498"/>
      <c r="BM40" s="498"/>
      <c r="BN40" s="498"/>
      <c r="BO40" s="498"/>
      <c r="BT40" s="91"/>
    </row>
    <row r="41" spans="1:79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BF41" s="402">
        <v>1</v>
      </c>
      <c r="BG41" s="402"/>
      <c r="BH41" s="498" t="s">
        <v>301</v>
      </c>
      <c r="BI41" s="498"/>
      <c r="BJ41" s="498"/>
      <c r="BK41" s="498"/>
      <c r="BL41" s="498"/>
      <c r="BM41" s="498"/>
      <c r="BN41" s="498"/>
      <c r="BO41" s="498"/>
      <c r="BP41" s="91"/>
      <c r="BT41" s="91"/>
      <c r="BU41" t="s">
        <v>281</v>
      </c>
      <c r="BV41" s="91">
        <f>BV38</f>
        <v>2011607.5203999944</v>
      </c>
    </row>
    <row r="42" spans="1:79" x14ac:dyDescent="0.25">
      <c r="B42" t="s">
        <v>106</v>
      </c>
      <c r="C42" s="24">
        <f>B38</f>
        <v>8355200</v>
      </c>
      <c r="D42" s="91"/>
      <c r="N42" s="132"/>
      <c r="O42" s="132"/>
      <c r="P42" s="132"/>
      <c r="Q42" s="132"/>
      <c r="R42" s="132"/>
      <c r="S42" s="132"/>
      <c r="T42" s="132"/>
      <c r="U42" s="132"/>
      <c r="V42" s="216"/>
      <c r="W42" s="216"/>
      <c r="X42" s="216"/>
      <c r="Y42" s="497">
        <v>45717</v>
      </c>
      <c r="Z42" s="497"/>
      <c r="AA42" s="497"/>
      <c r="AB42" s="497"/>
      <c r="AC42" s="497"/>
      <c r="AD42" s="497"/>
      <c r="AE42" s="497"/>
      <c r="AF42" s="216"/>
      <c r="AG42" s="216"/>
      <c r="AK42" s="3"/>
      <c r="AL42" s="3"/>
      <c r="AM42" s="3"/>
      <c r="AN42" s="3"/>
      <c r="AO42" s="3"/>
      <c r="AP42" s="3"/>
      <c r="AQ42" s="3"/>
      <c r="AR42" s="3"/>
      <c r="BF42" s="402">
        <v>2</v>
      </c>
      <c r="BG42" s="402"/>
      <c r="BH42" s="498" t="s">
        <v>301</v>
      </c>
      <c r="BI42" s="498"/>
      <c r="BJ42" s="498"/>
      <c r="BK42" s="498"/>
      <c r="BL42" s="498"/>
      <c r="BM42" s="498"/>
      <c r="BN42" s="498"/>
      <c r="BO42" s="498"/>
      <c r="BU42" t="s">
        <v>258</v>
      </c>
      <c r="BV42" s="91">
        <f>BW38</f>
        <v>0</v>
      </c>
    </row>
    <row r="43" spans="1:79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Y43" s="406" t="s">
        <v>158</v>
      </c>
      <c r="Z43" s="406"/>
      <c r="AA43" s="406"/>
      <c r="AB43" s="406" t="s">
        <v>159</v>
      </c>
      <c r="AC43" s="406"/>
      <c r="AD43" s="406"/>
      <c r="AE43" s="406"/>
      <c r="AK43" s="169"/>
      <c r="AL43" s="134"/>
      <c r="AM43" s="134"/>
      <c r="AN43" s="170"/>
      <c r="AO43" s="169"/>
      <c r="AP43" s="134"/>
      <c r="AQ43" s="134"/>
      <c r="AR43" s="134"/>
      <c r="BF43" s="402">
        <v>3</v>
      </c>
      <c r="BG43" s="402"/>
      <c r="BH43" s="498" t="s">
        <v>302</v>
      </c>
      <c r="BI43" s="498"/>
      <c r="BJ43" s="498"/>
      <c r="BK43" s="498"/>
      <c r="BL43" s="498"/>
      <c r="BM43" s="498"/>
      <c r="BN43" s="498"/>
      <c r="BO43" s="498"/>
      <c r="BT43" s="91"/>
      <c r="BU43" t="s">
        <v>204</v>
      </c>
      <c r="BV43" s="91">
        <f>BX38</f>
        <v>724045.746899997</v>
      </c>
    </row>
    <row r="44" spans="1:79" x14ac:dyDescent="0.25">
      <c r="B44" t="s">
        <v>120</v>
      </c>
      <c r="C44" s="24">
        <f>N38</f>
        <v>1512487.6080000009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C44" s="133"/>
      <c r="AK44" s="3"/>
      <c r="AL44" s="3"/>
      <c r="AM44" s="3"/>
      <c r="AN44" s="3"/>
      <c r="AO44" s="3"/>
      <c r="AP44" s="3"/>
      <c r="AQ44" s="3"/>
      <c r="AR44" s="3"/>
      <c r="BF44" s="402">
        <v>4</v>
      </c>
      <c r="BG44" s="402"/>
      <c r="BH44" s="498" t="s">
        <v>254</v>
      </c>
      <c r="BI44" s="498"/>
      <c r="BJ44" s="498"/>
      <c r="BK44" s="498"/>
      <c r="BL44" s="498"/>
      <c r="BM44" s="498"/>
      <c r="BN44" s="498"/>
      <c r="BO44" s="498"/>
      <c r="BT44" s="91"/>
      <c r="BU44" t="s">
        <v>260</v>
      </c>
      <c r="BV44" s="91">
        <f>BY38</f>
        <v>583764.74689999712</v>
      </c>
    </row>
    <row r="45" spans="1:79" x14ac:dyDescent="0.25">
      <c r="B45" t="s">
        <v>157</v>
      </c>
      <c r="C45" s="24">
        <f>V38</f>
        <v>860050.4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C45" s="133"/>
      <c r="AK45" s="3"/>
      <c r="AL45" s="3"/>
      <c r="AM45" s="3"/>
      <c r="AN45" s="3"/>
      <c r="AO45" s="3"/>
      <c r="AP45" s="3"/>
      <c r="AQ45" s="3"/>
      <c r="AR45" s="3"/>
      <c r="BF45" s="402">
        <v>5</v>
      </c>
      <c r="BG45" s="402"/>
      <c r="BH45" s="498" t="s">
        <v>254</v>
      </c>
      <c r="BI45" s="498"/>
      <c r="BJ45" s="498"/>
      <c r="BK45" s="498"/>
      <c r="BL45" s="498"/>
      <c r="BM45" s="498"/>
      <c r="BN45" s="498"/>
      <c r="BO45" s="498"/>
      <c r="BU45" t="s">
        <v>261</v>
      </c>
      <c r="BV45" s="91">
        <f>BZ38</f>
        <v>379096.98670000001</v>
      </c>
    </row>
    <row r="46" spans="1:79" x14ac:dyDescent="0.25">
      <c r="B46" t="s">
        <v>160</v>
      </c>
      <c r="C46" s="24">
        <f>Y38</f>
        <v>367762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C46" s="133"/>
      <c r="AK46" s="151"/>
      <c r="AO46" s="3"/>
      <c r="AP46" s="3"/>
      <c r="AQ46" s="3"/>
      <c r="AR46" s="3"/>
      <c r="BF46" s="402">
        <v>6</v>
      </c>
      <c r="BG46" s="402"/>
      <c r="BH46" s="498" t="s">
        <v>254</v>
      </c>
      <c r="BI46" s="498"/>
      <c r="BJ46" s="498"/>
      <c r="BK46" s="498"/>
      <c r="BL46" s="498"/>
      <c r="BM46" s="498"/>
      <c r="BN46" s="498"/>
      <c r="BO46" s="498"/>
      <c r="BU46" t="s">
        <v>282</v>
      </c>
      <c r="BV46" s="91">
        <f>CA38</f>
        <v>324700</v>
      </c>
    </row>
    <row r="47" spans="1:79" x14ac:dyDescent="0.25">
      <c r="B47" t="s">
        <v>128</v>
      </c>
      <c r="C47" s="24">
        <f>AK38</f>
        <v>976188.99999999977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AC47" s="133"/>
      <c r="BF47" s="402">
        <v>7</v>
      </c>
      <c r="BG47" s="402"/>
      <c r="BH47" s="498" t="s">
        <v>254</v>
      </c>
      <c r="BI47" s="498"/>
      <c r="BJ47" s="498"/>
      <c r="BK47" s="498"/>
      <c r="BL47" s="498"/>
      <c r="BM47" s="498"/>
      <c r="BN47" s="498"/>
      <c r="BO47" s="498"/>
    </row>
    <row r="48" spans="1:79" x14ac:dyDescent="0.25">
      <c r="B48" t="s">
        <v>130</v>
      </c>
      <c r="C48" s="24">
        <f>AO38</f>
        <v>1222358.9999999998</v>
      </c>
      <c r="D48" s="91"/>
      <c r="N48" s="132"/>
      <c r="O48" s="132"/>
      <c r="P48" s="132"/>
      <c r="Q48" s="132"/>
      <c r="R48" s="132"/>
      <c r="S48" s="132"/>
      <c r="T48" s="132"/>
      <c r="U48" s="132"/>
      <c r="Y48" s="406" t="s">
        <v>178</v>
      </c>
      <c r="Z48" s="406"/>
      <c r="AA48" s="406"/>
      <c r="AB48" s="406" t="s">
        <v>161</v>
      </c>
      <c r="AC48" s="406"/>
      <c r="AD48" s="406" t="s">
        <v>162</v>
      </c>
      <c r="AE48" s="406"/>
      <c r="BF48" s="402">
        <v>8</v>
      </c>
      <c r="BG48" s="402"/>
      <c r="BH48" s="498" t="s">
        <v>254</v>
      </c>
      <c r="BI48" s="498"/>
      <c r="BJ48" s="498"/>
      <c r="BK48" s="498"/>
      <c r="BL48" s="498"/>
      <c r="BM48" s="498"/>
      <c r="BN48" s="498"/>
      <c r="BO48" s="498"/>
      <c r="BU48" t="s">
        <v>98</v>
      </c>
      <c r="BV48" s="91">
        <f>BV41+BV42-BV43-BV44-BV45-BV46</f>
        <v>3.9900000207126141E-2</v>
      </c>
    </row>
    <row r="49" spans="2:67" x14ac:dyDescent="0.25">
      <c r="B49" t="s">
        <v>132</v>
      </c>
      <c r="C49" s="24">
        <f>AY38</f>
        <v>1334571.0213081005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F49" s="402">
        <v>9</v>
      </c>
      <c r="BG49" s="402"/>
      <c r="BH49" s="498" t="s">
        <v>254</v>
      </c>
      <c r="BI49" s="498"/>
      <c r="BJ49" s="498"/>
      <c r="BK49" s="498"/>
      <c r="BL49" s="498"/>
      <c r="BM49" s="498"/>
      <c r="BN49" s="498"/>
      <c r="BO49" s="498"/>
    </row>
    <row r="50" spans="2:67" x14ac:dyDescent="0.25">
      <c r="B50" t="s">
        <v>133</v>
      </c>
      <c r="C50" s="69">
        <f>BD38</f>
        <v>786234.81869189953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F50" s="402">
        <v>10</v>
      </c>
      <c r="BG50" s="402"/>
      <c r="BH50" s="498" t="s">
        <v>254</v>
      </c>
      <c r="BI50" s="498"/>
      <c r="BJ50" s="498"/>
      <c r="BK50" s="498"/>
      <c r="BL50" s="498"/>
      <c r="BM50" s="498"/>
      <c r="BN50" s="498"/>
      <c r="BO50" s="498"/>
    </row>
    <row r="51" spans="2:67" x14ac:dyDescent="0.25">
      <c r="B51" t="s">
        <v>131</v>
      </c>
      <c r="C51" s="24">
        <f>AS38</f>
        <v>844479.99999999953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F51" s="402">
        <v>11</v>
      </c>
      <c r="BG51" s="402"/>
      <c r="BH51" s="498" t="s">
        <v>255</v>
      </c>
      <c r="BI51" s="498"/>
      <c r="BJ51" s="498"/>
      <c r="BK51" s="498"/>
      <c r="BL51" s="498"/>
      <c r="BM51" s="498"/>
      <c r="BN51" s="498"/>
      <c r="BO51" s="498"/>
    </row>
    <row r="52" spans="2:67" x14ac:dyDescent="0.25">
      <c r="B52" t="s">
        <v>19</v>
      </c>
      <c r="C52" s="24">
        <f>SUM(BM38:BQ38)</f>
        <v>0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F52" s="402">
        <v>12</v>
      </c>
      <c r="BG52" s="402"/>
      <c r="BH52" s="498" t="s">
        <v>255</v>
      </c>
      <c r="BI52" s="498"/>
      <c r="BJ52" s="498"/>
      <c r="BK52" s="498"/>
      <c r="BL52" s="498"/>
      <c r="BM52" s="498"/>
      <c r="BN52" s="498"/>
      <c r="BO52" s="498"/>
    </row>
    <row r="53" spans="2:67" x14ac:dyDescent="0.25">
      <c r="B53" t="s">
        <v>163</v>
      </c>
      <c r="C53" s="24">
        <f>AA38</f>
        <v>63600.000000000131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F53" s="402">
        <v>13</v>
      </c>
      <c r="BG53" s="402"/>
      <c r="BH53" s="498" t="s">
        <v>277</v>
      </c>
      <c r="BI53" s="498"/>
      <c r="BJ53" s="498"/>
      <c r="BK53" s="498"/>
      <c r="BL53" s="498"/>
      <c r="BM53" s="498"/>
      <c r="BN53" s="498"/>
      <c r="BO53" s="498"/>
    </row>
    <row r="54" spans="2:67" x14ac:dyDescent="0.25">
      <c r="B54" t="s">
        <v>6</v>
      </c>
      <c r="C54" s="24">
        <f>AB38</f>
        <v>246499.99999999997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F54" s="402">
        <v>14</v>
      </c>
      <c r="BG54" s="402"/>
      <c r="BH54" s="498" t="s">
        <v>255</v>
      </c>
      <c r="BI54" s="498"/>
      <c r="BJ54" s="498"/>
      <c r="BK54" s="498"/>
      <c r="BL54" s="498"/>
      <c r="BM54" s="498"/>
      <c r="BN54" s="498"/>
      <c r="BO54" s="498"/>
    </row>
    <row r="55" spans="2:67" x14ac:dyDescent="0.25">
      <c r="B55" t="s">
        <v>164</v>
      </c>
      <c r="C55" s="24">
        <f>Z38</f>
        <v>18019.999999999978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F55" s="402">
        <v>15</v>
      </c>
      <c r="BG55" s="402"/>
      <c r="BH55" s="498" t="s">
        <v>255</v>
      </c>
      <c r="BI55" s="498"/>
      <c r="BJ55" s="498"/>
      <c r="BK55" s="498"/>
      <c r="BL55" s="498"/>
      <c r="BM55" s="498"/>
      <c r="BN55" s="498"/>
      <c r="BO55" s="498"/>
    </row>
    <row r="56" spans="2:67" x14ac:dyDescent="0.25">
      <c r="B56" t="s">
        <v>165</v>
      </c>
      <c r="C56" s="24">
        <f>AC38</f>
        <v>129460.00000000001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F56" s="402">
        <v>16</v>
      </c>
      <c r="BG56" s="402"/>
      <c r="BH56" s="498" t="s">
        <v>255</v>
      </c>
      <c r="BI56" s="498"/>
      <c r="BJ56" s="498"/>
      <c r="BK56" s="498"/>
      <c r="BL56" s="498"/>
      <c r="BM56" s="498"/>
      <c r="BN56" s="498"/>
      <c r="BO56" s="498"/>
    </row>
    <row r="57" spans="2:67" x14ac:dyDescent="0.25">
      <c r="B57" t="s">
        <v>303</v>
      </c>
      <c r="C57" s="24">
        <f>AD38</f>
        <v>231100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F57" s="402">
        <v>17</v>
      </c>
      <c r="BG57" s="402"/>
      <c r="BH57" s="498" t="s">
        <v>255</v>
      </c>
      <c r="BI57" s="498"/>
      <c r="BJ57" s="498"/>
      <c r="BK57" s="498"/>
      <c r="BL57" s="498"/>
      <c r="BM57" s="498"/>
      <c r="BN57" s="498"/>
      <c r="BO57" s="498"/>
    </row>
    <row r="58" spans="2:67" x14ac:dyDescent="0.25">
      <c r="B58" t="s">
        <v>304</v>
      </c>
      <c r="C58" s="24">
        <f>AE38</f>
        <v>440440</v>
      </c>
      <c r="D58" s="91"/>
      <c r="N58" s="91"/>
      <c r="O58" s="91"/>
      <c r="P58" s="91"/>
      <c r="Q58" s="91"/>
      <c r="R58" s="91"/>
      <c r="S58" s="91"/>
      <c r="T58" s="91"/>
      <c r="U58" s="91"/>
      <c r="BF58" s="402">
        <v>18</v>
      </c>
      <c r="BG58" s="402"/>
      <c r="BH58" s="498" t="s">
        <v>285</v>
      </c>
      <c r="BI58" s="498"/>
      <c r="BJ58" s="498"/>
      <c r="BK58" s="498"/>
      <c r="BL58" s="498"/>
      <c r="BM58" s="498"/>
      <c r="BN58" s="498"/>
      <c r="BO58" s="498"/>
    </row>
    <row r="59" spans="2:67" x14ac:dyDescent="0.25">
      <c r="B59" t="s">
        <v>250</v>
      </c>
      <c r="C59" s="24">
        <f>AF38</f>
        <v>5959.9999999999918</v>
      </c>
      <c r="D59" s="91"/>
      <c r="N59" s="91"/>
      <c r="O59" s="91"/>
      <c r="P59" s="91"/>
      <c r="Q59" s="91"/>
      <c r="R59" s="91"/>
      <c r="S59" s="91"/>
      <c r="T59" s="91"/>
      <c r="U59" s="91"/>
      <c r="BF59" s="402">
        <v>19</v>
      </c>
      <c r="BG59" s="402"/>
      <c r="BH59" s="498" t="s">
        <v>285</v>
      </c>
      <c r="BI59" s="498"/>
      <c r="BJ59" s="498"/>
      <c r="BK59" s="498"/>
      <c r="BL59" s="498"/>
      <c r="BM59" s="498"/>
      <c r="BN59" s="498"/>
      <c r="BO59" s="498"/>
    </row>
    <row r="60" spans="2:67" x14ac:dyDescent="0.25">
      <c r="B60" t="s">
        <v>251</v>
      </c>
      <c r="C60" s="24">
        <f>AG38</f>
        <v>1690986.5203999944</v>
      </c>
      <c r="D60" s="91"/>
      <c r="N60" s="91"/>
      <c r="O60" s="91"/>
      <c r="P60" s="91"/>
      <c r="Q60" s="91"/>
      <c r="R60" s="91"/>
      <c r="S60" s="91"/>
      <c r="T60" s="91"/>
      <c r="U60" s="91"/>
      <c r="BF60" s="402">
        <v>20</v>
      </c>
      <c r="BG60" s="402"/>
      <c r="BH60" s="498" t="s">
        <v>285</v>
      </c>
      <c r="BI60" s="498"/>
      <c r="BJ60" s="498"/>
      <c r="BK60" s="498"/>
      <c r="BL60" s="498"/>
      <c r="BM60" s="498"/>
      <c r="BN60" s="498"/>
      <c r="BO60" s="498"/>
    </row>
    <row r="61" spans="2:67" x14ac:dyDescent="0.25">
      <c r="B61" t="s">
        <v>191</v>
      </c>
      <c r="C61" s="24">
        <f>BR38</f>
        <v>0</v>
      </c>
      <c r="D61" s="91"/>
      <c r="N61" s="3"/>
      <c r="O61" s="3"/>
      <c r="P61" s="3"/>
      <c r="Q61" s="3"/>
      <c r="R61" s="3"/>
      <c r="S61" s="3"/>
      <c r="T61" s="3"/>
      <c r="U61" s="3"/>
      <c r="BF61" s="402">
        <v>21</v>
      </c>
      <c r="BG61" s="402"/>
      <c r="BH61" s="498" t="s">
        <v>286</v>
      </c>
      <c r="BI61" s="498"/>
      <c r="BJ61" s="498"/>
      <c r="BK61" s="498"/>
      <c r="BL61" s="498"/>
      <c r="BM61" s="498"/>
      <c r="BN61" s="498"/>
      <c r="BO61" s="498"/>
    </row>
    <row r="62" spans="2:67" x14ac:dyDescent="0.25">
      <c r="B62" t="s">
        <v>192</v>
      </c>
      <c r="C62" s="24">
        <f>BS38</f>
        <v>2375000</v>
      </c>
      <c r="D62" s="91"/>
      <c r="N62" s="3"/>
      <c r="O62" s="3"/>
      <c r="P62" s="3"/>
      <c r="Q62" s="3"/>
      <c r="R62" s="3"/>
      <c r="S62" s="3"/>
      <c r="T62" s="3"/>
      <c r="U62" s="3"/>
      <c r="BF62" s="402">
        <v>22</v>
      </c>
      <c r="BG62" s="402"/>
      <c r="BH62" s="498" t="s">
        <v>287</v>
      </c>
      <c r="BI62" s="498"/>
      <c r="BJ62" s="498"/>
      <c r="BK62" s="498"/>
      <c r="BL62" s="498"/>
      <c r="BM62" s="498"/>
      <c r="BN62" s="498"/>
      <c r="BO62" s="498"/>
    </row>
    <row r="63" spans="2:67" x14ac:dyDescent="0.25">
      <c r="B63" t="s">
        <v>167</v>
      </c>
      <c r="C63" s="24">
        <f>C42-C44-C45-C46-C47-C48-C49-C50-C51-C52-C53-C54-C55-C56-C57-C58-C61+C62-C59-C60</f>
        <v>-0.36839999537914991</v>
      </c>
      <c r="D63" s="3"/>
      <c r="N63" s="3"/>
      <c r="O63" s="3"/>
      <c r="P63" s="3"/>
      <c r="Q63" s="3"/>
      <c r="R63" s="3"/>
      <c r="S63" s="3"/>
      <c r="T63" s="3"/>
      <c r="U63" s="3"/>
      <c r="BF63" s="402">
        <v>23</v>
      </c>
      <c r="BG63" s="402"/>
      <c r="BH63" s="498" t="s">
        <v>287</v>
      </c>
      <c r="BI63" s="498"/>
      <c r="BJ63" s="498"/>
      <c r="BK63" s="498"/>
      <c r="BL63" s="498"/>
      <c r="BM63" s="498"/>
      <c r="BN63" s="498"/>
      <c r="BO63" s="498"/>
    </row>
    <row r="64" spans="2:67" x14ac:dyDescent="0.25">
      <c r="BF64" s="402">
        <v>24</v>
      </c>
      <c r="BG64" s="402"/>
      <c r="BH64" s="498" t="s">
        <v>287</v>
      </c>
      <c r="BI64" s="498"/>
      <c r="BJ64" s="498"/>
      <c r="BK64" s="498"/>
      <c r="BL64" s="498"/>
      <c r="BM64" s="498"/>
      <c r="BN64" s="498"/>
      <c r="BO64" s="498"/>
    </row>
    <row r="65" spans="2:67" x14ac:dyDescent="0.25">
      <c r="BF65" s="402">
        <v>25</v>
      </c>
      <c r="BG65" s="402"/>
      <c r="BH65" s="498" t="s">
        <v>287</v>
      </c>
      <c r="BI65" s="498"/>
      <c r="BJ65" s="498"/>
      <c r="BK65" s="498"/>
      <c r="BL65" s="498"/>
      <c r="BM65" s="498"/>
      <c r="BN65" s="498"/>
      <c r="BO65" s="498"/>
    </row>
    <row r="66" spans="2:67" x14ac:dyDescent="0.25">
      <c r="B66" s="3"/>
      <c r="C66" s="3"/>
      <c r="D66" s="151"/>
      <c r="BF66" s="402">
        <v>26</v>
      </c>
      <c r="BG66" s="402"/>
      <c r="BH66" s="498" t="s">
        <v>287</v>
      </c>
      <c r="BI66" s="498"/>
      <c r="BJ66" s="498"/>
      <c r="BK66" s="498"/>
      <c r="BL66" s="498"/>
      <c r="BM66" s="498"/>
      <c r="BN66" s="498"/>
      <c r="BO66" s="498"/>
    </row>
    <row r="67" spans="2:67" x14ac:dyDescent="0.25">
      <c r="BF67" s="402">
        <v>27</v>
      </c>
      <c r="BG67" s="402"/>
      <c r="BH67" s="498" t="s">
        <v>287</v>
      </c>
      <c r="BI67" s="498"/>
      <c r="BJ67" s="498"/>
      <c r="BK67" s="498"/>
      <c r="BL67" s="498"/>
      <c r="BM67" s="498"/>
      <c r="BN67" s="498"/>
      <c r="BO67" s="498"/>
    </row>
    <row r="68" spans="2:67" x14ac:dyDescent="0.25">
      <c r="BF68" s="402">
        <v>28</v>
      </c>
      <c r="BG68" s="402"/>
      <c r="BH68" s="498" t="s">
        <v>287</v>
      </c>
      <c r="BI68" s="498"/>
      <c r="BJ68" s="498"/>
      <c r="BK68" s="498"/>
      <c r="BL68" s="498"/>
      <c r="BM68" s="498"/>
      <c r="BN68" s="498"/>
      <c r="BO68" s="498"/>
    </row>
  </sheetData>
  <customSheetViews>
    <customSheetView guid="{48545DB9-4D9D-4699-ACEC-DA6E2D3586A8}" scale="85" fitToPage="1" hiddenRows="1" hiddenColumns="1">
      <pane xSplit="1" ySplit="6" topLeftCell="BA10" activePane="bottomRight" state="frozen"/>
      <selection pane="bottomRight" activeCell="BV27" sqref="BV27"/>
      <pageMargins left="0.11811023622047245" right="0" top="0.74803149606299213" bottom="0.35433070866141736" header="0.31496062992125984" footer="0.31496062992125984"/>
      <pageSetup paperSize="9" scale="46" orientation="landscape" r:id="rId1"/>
    </customSheetView>
    <customSheetView guid="{32ABFE17-599B-4D0B-A1DB-D95B181877FC}" scale="85" fitToPage="1" hiddenRows="1" hiddenColumns="1">
      <pane xSplit="1" ySplit="6" topLeftCell="BA10" activePane="bottomRight" state="frozen"/>
      <selection pane="bottomRight" activeCell="BV27" sqref="BV27"/>
      <pageMargins left="0.11811023622047245" right="0" top="0.74803149606299213" bottom="0.35433070866141736" header="0.31496062992125984" footer="0.31496062992125984"/>
      <pageSetup paperSize="9" scale="46" orientation="landscape" r:id="rId2"/>
    </customSheetView>
  </customSheetViews>
  <mergeCells count="105">
    <mergeCell ref="BF65:BG65"/>
    <mergeCell ref="BF66:BG66"/>
    <mergeCell ref="BF67:BG67"/>
    <mergeCell ref="BF68:BG68"/>
    <mergeCell ref="BH40:BO40"/>
    <mergeCell ref="BH41:BO41"/>
    <mergeCell ref="BH45:BO45"/>
    <mergeCell ref="BH46:BO46"/>
    <mergeCell ref="BH47:BO47"/>
    <mergeCell ref="BH48:BO48"/>
    <mergeCell ref="BH49:BO49"/>
    <mergeCell ref="BH50:BO50"/>
    <mergeCell ref="BF55:BG55"/>
    <mergeCell ref="BF56:BG56"/>
    <mergeCell ref="BF57:BG57"/>
    <mergeCell ref="BF58:BG58"/>
    <mergeCell ref="BF59:BG59"/>
    <mergeCell ref="BF50:BG50"/>
    <mergeCell ref="BF51:BG51"/>
    <mergeCell ref="BF52:BG52"/>
    <mergeCell ref="BF53:BG53"/>
    <mergeCell ref="BF54:BG54"/>
    <mergeCell ref="BF45:BG45"/>
    <mergeCell ref="BF46:BG46"/>
    <mergeCell ref="A2:BS2"/>
    <mergeCell ref="BH67:BO67"/>
    <mergeCell ref="BH68:BO68"/>
    <mergeCell ref="BH62:BO62"/>
    <mergeCell ref="BH63:BO63"/>
    <mergeCell ref="BH64:BO64"/>
    <mergeCell ref="BH65:BO65"/>
    <mergeCell ref="BH66:BO66"/>
    <mergeCell ref="BH57:BO57"/>
    <mergeCell ref="BH58:BO58"/>
    <mergeCell ref="BH59:BO59"/>
    <mergeCell ref="BH60:BO60"/>
    <mergeCell ref="BH61:BO61"/>
    <mergeCell ref="BH52:BO52"/>
    <mergeCell ref="BH53:BO53"/>
    <mergeCell ref="BH54:BO54"/>
    <mergeCell ref="BH55:BO55"/>
    <mergeCell ref="BH56:BO56"/>
    <mergeCell ref="BH51:BO51"/>
    <mergeCell ref="BF60:BG60"/>
    <mergeCell ref="BF61:BG61"/>
    <mergeCell ref="BF62:BG62"/>
    <mergeCell ref="BF63:BG63"/>
    <mergeCell ref="BF64:BG64"/>
    <mergeCell ref="BF47:BG47"/>
    <mergeCell ref="BF48:BG48"/>
    <mergeCell ref="BF49:BG49"/>
    <mergeCell ref="BF40:BG40"/>
    <mergeCell ref="BF41:BG41"/>
    <mergeCell ref="BF42:BG42"/>
    <mergeCell ref="BF43:BG43"/>
    <mergeCell ref="BF44:BG44"/>
    <mergeCell ref="CA4:CA6"/>
    <mergeCell ref="BV4:BV6"/>
    <mergeCell ref="BW4:BW6"/>
    <mergeCell ref="BX4:BX6"/>
    <mergeCell ref="BY4:BY6"/>
    <mergeCell ref="BZ4:BZ6"/>
    <mergeCell ref="BS4:BS6"/>
    <mergeCell ref="BE4:BH5"/>
    <mergeCell ref="BI4:BL5"/>
    <mergeCell ref="BM4:BQ5"/>
    <mergeCell ref="BR4:BR6"/>
    <mergeCell ref="BH42:BO42"/>
    <mergeCell ref="BH43:BO43"/>
    <mergeCell ref="BH44:BO44"/>
    <mergeCell ref="W4:X5"/>
    <mergeCell ref="Y4:Y6"/>
    <mergeCell ref="Z4:Z6"/>
    <mergeCell ref="AA4:AA6"/>
    <mergeCell ref="AB4:AB6"/>
    <mergeCell ref="AC4:AC6"/>
    <mergeCell ref="AD4:AD6"/>
    <mergeCell ref="AE4:AE6"/>
    <mergeCell ref="AF4:AF6"/>
    <mergeCell ref="V4:V6"/>
    <mergeCell ref="A4:A6"/>
    <mergeCell ref="B4:B6"/>
    <mergeCell ref="C4:C6"/>
    <mergeCell ref="D4:M4"/>
    <mergeCell ref="N4:N6"/>
    <mergeCell ref="D5:I5"/>
    <mergeCell ref="J5:K5"/>
    <mergeCell ref="L5:M5"/>
    <mergeCell ref="AD48:AE48"/>
    <mergeCell ref="Y48:AA48"/>
    <mergeCell ref="Y43:AA43"/>
    <mergeCell ref="AB48:AC48"/>
    <mergeCell ref="AB43:AE43"/>
    <mergeCell ref="Y42:AE42"/>
    <mergeCell ref="AZ4:BB4"/>
    <mergeCell ref="BD4:BD6"/>
    <mergeCell ref="AL4:AN4"/>
    <mergeCell ref="AO4:AO6"/>
    <mergeCell ref="AP4:AR4"/>
    <mergeCell ref="AS4:AS6"/>
    <mergeCell ref="AT4:AW4"/>
    <mergeCell ref="AY4:AY6"/>
    <mergeCell ref="AK4:AK6"/>
    <mergeCell ref="AG4:AG6"/>
    <mergeCell ref="AH4:AJ4"/>
  </mergeCells>
  <pageMargins left="0.11811023622047245" right="0" top="0.74803149606299213" bottom="0.35433070866141736" header="0.31496062992125984" footer="0.31496062992125984"/>
  <pageSetup paperSize="9" scale="46" orientation="landscape" r:id="rId3"/>
  <ignoredErrors>
    <ignoredError sqref="BI19 BL19" formula="1"/>
  </ignoredError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XAL88"/>
  <sheetViews>
    <sheetView zoomScale="82" zoomScaleNormal="82" workbookViewId="0">
      <pane xSplit="1" ySplit="6" topLeftCell="GI7" activePane="bottomRight" state="frozen"/>
      <selection pane="topRight" activeCell="B1" sqref="B1"/>
      <selection pane="bottomLeft" activeCell="A7" sqref="A7"/>
      <selection pane="bottomRight" activeCell="GV8" sqref="GV8:GV36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4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1406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8.5703125" bestFit="1" customWidth="1"/>
    <col min="183" max="183" width="11.7109375" customWidth="1"/>
    <col min="184" max="185" width="10.7109375" bestFit="1" customWidth="1"/>
    <col min="186" max="186" width="8.42578125" customWidth="1"/>
    <col min="187" max="187" width="13.85546875" customWidth="1"/>
    <col min="188" max="188" width="12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3" width="7.42578125" bestFit="1" customWidth="1"/>
    <col min="224" max="224" width="11" bestFit="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1" width="5.5703125" bestFit="1" customWidth="1"/>
    <col min="232" max="232" width="7.28515625" bestFit="1" customWidth="1"/>
    <col min="233" max="233" width="11" bestFit="1" customWidth="1"/>
    <col min="234" max="234" width="24.140625" bestFit="1" customWidth="1"/>
    <col min="235" max="235" width="9.5703125" bestFit="1" customWidth="1"/>
    <col min="236" max="236" width="8.5703125" bestFit="1" customWidth="1"/>
    <col min="237" max="237" width="11" bestFit="1" customWidth="1"/>
    <col min="238" max="239" width="7.42578125" bestFit="1" customWidth="1"/>
    <col min="240" max="240" width="11" bestFit="1" customWidth="1"/>
    <col min="241" max="242" width="8.5703125" bestFit="1" customWidth="1"/>
    <col min="243" max="243" width="11" bestFit="1" customWidth="1"/>
    <col min="244" max="245" width="8.5703125" bestFit="1" customWidth="1"/>
    <col min="246" max="246" width="11" bestFit="1" customWidth="1"/>
    <col min="247" max="248" width="9.5703125" bestFit="1" customWidth="1"/>
    <col min="249" max="249" width="11" bestFit="1" customWidth="1"/>
    <col min="250" max="250" width="9.5703125" bestFit="1" customWidth="1"/>
    <col min="251" max="251" width="8.5703125" bestFit="1" customWidth="1"/>
    <col min="252" max="252" width="11" bestFit="1" customWidth="1"/>
    <col min="253" max="253" width="8.5703125" bestFit="1" customWidth="1"/>
    <col min="254" max="254" width="7.42578125" bestFit="1" customWidth="1"/>
    <col min="255" max="255" width="11" bestFit="1" customWidth="1"/>
    <col min="256" max="256" width="9.5703125" bestFit="1" customWidth="1"/>
    <col min="257" max="257" width="8.5703125" bestFit="1" customWidth="1"/>
    <col min="258" max="258" width="11" bestFit="1" customWidth="1"/>
    <col min="259" max="259" width="9.5703125" bestFit="1" customWidth="1"/>
    <col min="260" max="260" width="7.42578125" bestFit="1" customWidth="1"/>
    <col min="261" max="261" width="11" bestFit="1" customWidth="1"/>
    <col min="262" max="263" width="8.5703125" bestFit="1" customWidth="1"/>
    <col min="264" max="264" width="11" bestFit="1" customWidth="1"/>
    <col min="265" max="266" width="9.5703125" bestFit="1" customWidth="1"/>
    <col min="267" max="267" width="11" bestFit="1" customWidth="1"/>
    <col min="268" max="268" width="9.5703125" bestFit="1" customWidth="1"/>
    <col min="269" max="269" width="8.5703125" bestFit="1" customWidth="1"/>
    <col min="270" max="270" width="11" bestFit="1" customWidth="1"/>
    <col min="271" max="272" width="8.5703125" bestFit="1" customWidth="1"/>
    <col min="273" max="273" width="11" bestFit="1" customWidth="1"/>
    <col min="274" max="274" width="9.5703125" bestFit="1" customWidth="1"/>
    <col min="275" max="275" width="10.5703125" bestFit="1" customWidth="1"/>
    <col min="276" max="276" width="11" bestFit="1" customWidth="1"/>
    <col min="277" max="277" width="7.42578125" bestFit="1" customWidth="1"/>
    <col min="278" max="278" width="7.28515625" bestFit="1" customWidth="1"/>
    <col min="279" max="279" width="11" bestFit="1" customWidth="1"/>
    <col min="280" max="280" width="8.5703125" bestFit="1" customWidth="1"/>
    <col min="281" max="281" width="7.42578125" bestFit="1" customWidth="1"/>
    <col min="282" max="282" width="11" bestFit="1" customWidth="1"/>
    <col min="283" max="283" width="12.140625" bestFit="1" customWidth="1"/>
    <col min="284" max="284" width="14.42578125" bestFit="1" customWidth="1"/>
    <col min="285" max="285" width="13.28515625" bestFit="1" customWidth="1"/>
    <col min="286" max="286" width="11.5703125" bestFit="1" customWidth="1"/>
    <col min="287" max="287" width="7.7109375" bestFit="1" customWidth="1"/>
    <col min="288" max="289" width="14.42578125" bestFit="1" customWidth="1"/>
    <col min="290" max="290" width="11.5703125" bestFit="1" customWidth="1"/>
    <col min="291" max="291" width="7.7109375" bestFit="1" customWidth="1"/>
    <col min="292" max="292" width="13.5703125" customWidth="1"/>
    <col min="293" max="293" width="15.28515625" customWidth="1"/>
    <col min="294" max="294" width="14.5703125" customWidth="1"/>
    <col min="295" max="295" width="13.28515625" bestFit="1" customWidth="1"/>
    <col min="296" max="296" width="7.7109375" bestFit="1" customWidth="1"/>
    <col min="297" max="297" width="12.7109375" bestFit="1" customWidth="1"/>
    <col min="298" max="298" width="11.7109375" bestFit="1" customWidth="1"/>
    <col min="299" max="299" width="11.5703125" bestFit="1" customWidth="1"/>
    <col min="300" max="300" width="5.28515625" bestFit="1" customWidth="1"/>
    <col min="301" max="301" width="13.28515625" bestFit="1" customWidth="1"/>
    <col min="302" max="302" width="13.5703125" bestFit="1" customWidth="1"/>
    <col min="303" max="303" width="10.5703125" bestFit="1" customWidth="1"/>
    <col min="304" max="304" width="13.28515625" bestFit="1" customWidth="1"/>
    <col min="305" max="305" width="11.5703125" bestFit="1" customWidth="1"/>
    <col min="306" max="306" width="10.5703125" bestFit="1" customWidth="1"/>
    <col min="307" max="307" width="16.140625" bestFit="1" customWidth="1"/>
    <col min="308" max="309" width="11.28515625" bestFit="1" customWidth="1"/>
    <col min="310" max="310" width="13.28515625" bestFit="1" customWidth="1"/>
    <col min="311" max="311" width="7.7109375" bestFit="1" customWidth="1"/>
    <col min="312" max="315" width="9.140625" hidden="1" customWidth="1"/>
    <col min="316" max="316" width="10.42578125" bestFit="1" customWidth="1"/>
    <col min="317" max="317" width="10.5703125" bestFit="1" customWidth="1"/>
    <col min="318" max="318" width="10.42578125" bestFit="1" customWidth="1"/>
    <col min="319" max="319" width="10.5703125" bestFit="1" customWidth="1"/>
    <col min="320" max="320" width="9.5703125" bestFit="1" customWidth="1"/>
    <col min="321" max="321" width="11.5703125" bestFit="1" customWidth="1"/>
    <col min="322" max="322" width="10.42578125" bestFit="1" customWidth="1"/>
    <col min="323" max="323" width="10.85546875" customWidth="1"/>
    <col min="324" max="325" width="9.85546875" bestFit="1" customWidth="1"/>
    <col min="326" max="326" width="13.5703125" bestFit="1" customWidth="1"/>
    <col min="327" max="327" width="7.7109375" bestFit="1" customWidth="1"/>
    <col min="328" max="328" width="13.28515625" bestFit="1" customWidth="1"/>
    <col min="329" max="329" width="11.5703125" bestFit="1" customWidth="1"/>
    <col min="330" max="330" width="10.42578125" bestFit="1" customWidth="1"/>
    <col min="331" max="331" width="7.7109375" bestFit="1" customWidth="1"/>
    <col min="332" max="332" width="11.5703125" bestFit="1" customWidth="1"/>
    <col min="333" max="333" width="10.85546875" bestFit="1" customWidth="1"/>
    <col min="334" max="334" width="13.28515625" bestFit="1" customWidth="1"/>
    <col min="335" max="335" width="10.85546875" bestFit="1" customWidth="1"/>
    <col min="336" max="337" width="7.5703125" bestFit="1" customWidth="1"/>
    <col min="338" max="339" width="10.42578125" bestFit="1" customWidth="1"/>
    <col min="340" max="340" width="11.5703125" bestFit="1" customWidth="1"/>
    <col min="341" max="341" width="5.28515625" bestFit="1" customWidth="1"/>
    <col min="342" max="342" width="10.28515625" bestFit="1" customWidth="1"/>
    <col min="343" max="343" width="10.42578125" bestFit="1" customWidth="1"/>
    <col min="344" max="344" width="11.5703125" bestFit="1" customWidth="1"/>
    <col min="345" max="345" width="5.28515625" bestFit="1" customWidth="1"/>
    <col min="346" max="348" width="11.5703125" bestFit="1" customWidth="1"/>
    <col min="349" max="349" width="5.28515625" bestFit="1" customWidth="1"/>
    <col min="350" max="351" width="10.42578125" bestFit="1" customWidth="1"/>
    <col min="352" max="352" width="11.5703125" bestFit="1" customWidth="1"/>
    <col min="353" max="353" width="5.28515625" bestFit="1" customWidth="1"/>
    <col min="354" max="354" width="14.28515625" bestFit="1" customWidth="1"/>
    <col min="355" max="355" width="13" bestFit="1" customWidth="1"/>
    <col min="356" max="356" width="11.5703125" bestFit="1" customWidth="1"/>
    <col min="357" max="357" width="8.85546875" bestFit="1" customWidth="1"/>
    <col min="358" max="358" width="14.42578125" bestFit="1" customWidth="1"/>
    <col min="359" max="359" width="10.42578125" bestFit="1" customWidth="1"/>
    <col min="360" max="360" width="12.28515625" bestFit="1" customWidth="1"/>
    <col min="361" max="361" width="13.85546875" bestFit="1" customWidth="1"/>
    <col min="362" max="362" width="11.28515625" customWidth="1"/>
    <col min="363" max="363" width="11.5703125" customWidth="1"/>
    <col min="364" max="364" width="13.42578125" bestFit="1" customWidth="1"/>
    <col min="365" max="365" width="10.42578125" customWidth="1"/>
    <col min="366" max="366" width="13.85546875" bestFit="1" customWidth="1"/>
    <col min="367" max="367" width="15.42578125" bestFit="1" customWidth="1"/>
    <col min="368" max="368" width="12.28515625" bestFit="1" customWidth="1"/>
    <col min="369" max="369" width="12.7109375" customWidth="1"/>
    <col min="370" max="370" width="10.7109375" bestFit="1" customWidth="1"/>
    <col min="371" max="371" width="9.85546875" customWidth="1"/>
    <col min="372" max="373" width="10.140625" bestFit="1" customWidth="1"/>
    <col min="374" max="374" width="7.5703125" bestFit="1" customWidth="1"/>
    <col min="375" max="375" width="9.42578125" bestFit="1" customWidth="1"/>
    <col min="376" max="376" width="14.5703125" bestFit="1" customWidth="1"/>
    <col min="377" max="377" width="14.85546875" customWidth="1"/>
    <col min="378" max="378" width="15.140625" bestFit="1" customWidth="1"/>
    <col min="379" max="379" width="12.140625" bestFit="1" customWidth="1"/>
    <col min="380" max="380" width="14.85546875" bestFit="1" customWidth="1"/>
    <col min="381" max="381" width="12.28515625" bestFit="1" customWidth="1"/>
    <col min="382" max="390" width="9.140625" hidden="1" customWidth="1"/>
    <col min="391" max="391" width="5.28515625" bestFit="1" customWidth="1"/>
    <col min="392" max="397" width="11.5703125" bestFit="1" customWidth="1"/>
    <col min="398" max="398" width="11.28515625" bestFit="1" customWidth="1"/>
    <col min="399" max="399" width="10.140625" bestFit="1" customWidth="1"/>
    <col min="400" max="400" width="11.5703125" bestFit="1" customWidth="1"/>
    <col min="401" max="401" width="16.140625" customWidth="1"/>
    <col min="402" max="402" width="13.42578125" customWidth="1"/>
    <col min="403" max="403" width="10.140625" bestFit="1" customWidth="1"/>
    <col min="404" max="404" width="12.85546875" bestFit="1" customWidth="1"/>
    <col min="405" max="405" width="12.28515625" bestFit="1" customWidth="1"/>
    <col min="406" max="406" width="11.28515625" bestFit="1" customWidth="1"/>
    <col min="407" max="407" width="11.5703125" bestFit="1" customWidth="1"/>
    <col min="408" max="408" width="10.85546875" bestFit="1" customWidth="1"/>
    <col min="409" max="409" width="11.28515625" bestFit="1" customWidth="1"/>
    <col min="410" max="410" width="10.140625" bestFit="1" customWidth="1"/>
    <col min="411" max="411" width="13.28515625" bestFit="1" customWidth="1"/>
    <col min="412" max="413" width="12.7109375" bestFit="1" customWidth="1"/>
    <col min="414" max="414" width="11" bestFit="1" customWidth="1"/>
    <col min="415" max="415" width="11.28515625" bestFit="1" customWidth="1"/>
    <col min="416" max="416" width="11.5703125" bestFit="1" customWidth="1"/>
    <col min="417" max="417" width="12.28515625" bestFit="1" customWidth="1"/>
    <col min="418" max="418" width="15.140625" bestFit="1" customWidth="1"/>
    <col min="419" max="419" width="14.42578125" bestFit="1" customWidth="1"/>
    <col min="420" max="420" width="12.28515625" bestFit="1" customWidth="1"/>
    <col min="421" max="421" width="15.140625" bestFit="1" customWidth="1"/>
    <col min="422" max="422" width="14.42578125" bestFit="1" customWidth="1"/>
    <col min="423" max="423" width="12.28515625" bestFit="1" customWidth="1"/>
    <col min="424" max="424" width="14.42578125" bestFit="1" customWidth="1"/>
    <col min="425" max="425" width="11.28515625" bestFit="1" customWidth="1"/>
    <col min="426" max="426" width="12.28515625" bestFit="1" customWidth="1"/>
    <col min="427" max="427" width="13" bestFit="1" customWidth="1"/>
    <col min="428" max="428" width="15.140625" bestFit="1" customWidth="1"/>
    <col min="429" max="429" width="12.28515625" bestFit="1" customWidth="1"/>
    <col min="430" max="430" width="13.85546875" bestFit="1" customWidth="1"/>
    <col min="431" max="431" width="11.28515625" bestFit="1" customWidth="1"/>
    <col min="432" max="432" width="12.28515625" bestFit="1" customWidth="1"/>
    <col min="433" max="433" width="13.85546875" bestFit="1" customWidth="1"/>
    <col min="434" max="435" width="15.140625" bestFit="1" customWidth="1"/>
    <col min="436" max="436" width="12.28515625" bestFit="1" customWidth="1"/>
    <col min="437" max="437" width="5.7109375" bestFit="1" customWidth="1"/>
    <col min="438" max="438" width="8.5703125" bestFit="1" customWidth="1"/>
    <col min="439" max="439" width="5.5703125" bestFit="1" customWidth="1"/>
    <col min="440" max="440" width="14.42578125" bestFit="1" customWidth="1"/>
    <col min="441" max="441" width="11.28515625" bestFit="1" customWidth="1"/>
    <col min="442" max="443" width="12.28515625" bestFit="1" customWidth="1"/>
    <col min="444" max="444" width="11.28515625" bestFit="1" customWidth="1"/>
    <col min="445" max="445" width="13.85546875" bestFit="1" customWidth="1"/>
    <col min="446" max="446" width="12" bestFit="1" customWidth="1"/>
    <col min="447" max="447" width="13.85546875" bestFit="1" customWidth="1"/>
    <col min="448" max="449" width="14.42578125" customWidth="1"/>
    <col min="450" max="450" width="10.140625" bestFit="1" customWidth="1"/>
    <col min="451" max="451" width="12.28515625" bestFit="1" customWidth="1"/>
    <col min="452" max="452" width="7.42578125" bestFit="1" customWidth="1"/>
    <col min="453" max="453" width="8.5703125" bestFit="1" customWidth="1"/>
    <col min="454" max="454" width="11.5703125" bestFit="1" customWidth="1"/>
    <col min="455" max="455" width="13.28515625" bestFit="1" customWidth="1"/>
    <col min="456" max="456" width="13.28515625" customWidth="1"/>
    <col min="457" max="457" width="13.140625" customWidth="1"/>
    <col min="458" max="458" width="12.7109375" bestFit="1" customWidth="1"/>
    <col min="459" max="459" width="13.28515625" bestFit="1" customWidth="1"/>
    <col min="460" max="462" width="13.28515625" customWidth="1"/>
    <col min="463" max="463" width="12.140625" bestFit="1" customWidth="1"/>
    <col min="464" max="464" width="12.7109375" bestFit="1" customWidth="1"/>
    <col min="465" max="465" width="11" customWidth="1"/>
    <col min="466" max="466" width="16.7109375" customWidth="1"/>
    <col min="467" max="467" width="17" customWidth="1"/>
    <col min="468" max="468" width="10.42578125" bestFit="1" customWidth="1"/>
    <col min="512" max="512" width="3.85546875" customWidth="1"/>
    <col min="513" max="513" width="15.28515625" bestFit="1" customWidth="1"/>
    <col min="514" max="514" width="12.28515625" customWidth="1"/>
    <col min="515" max="515" width="16.28515625" bestFit="1" customWidth="1"/>
    <col min="516" max="516" width="6.42578125" bestFit="1" customWidth="1"/>
    <col min="517" max="517" width="9.28515625" bestFit="1" customWidth="1"/>
    <col min="518" max="518" width="7.5703125" bestFit="1" customWidth="1"/>
    <col min="519" max="519" width="13.28515625" bestFit="1" customWidth="1"/>
    <col min="520" max="520" width="9.28515625" bestFit="1" customWidth="1"/>
    <col min="521" max="521" width="11.5703125" bestFit="1" customWidth="1"/>
    <col min="522" max="522" width="13.28515625" bestFit="1" customWidth="1"/>
    <col min="523" max="523" width="7.140625" bestFit="1" customWidth="1"/>
    <col min="524" max="524" width="12" bestFit="1" customWidth="1"/>
    <col min="525" max="525" width="13.28515625" bestFit="1" customWidth="1"/>
    <col min="526" max="526" width="7" bestFit="1" customWidth="1"/>
    <col min="527" max="527" width="12.7109375" bestFit="1" customWidth="1"/>
    <col min="528" max="528" width="11.5703125" bestFit="1" customWidth="1"/>
    <col min="529" max="529" width="10.5703125" bestFit="1" customWidth="1"/>
    <col min="530" max="531" width="15.7109375" bestFit="1" customWidth="1"/>
    <col min="532" max="532" width="11.5703125" bestFit="1" customWidth="1"/>
    <col min="533" max="533" width="7.7109375" bestFit="1" customWidth="1"/>
    <col min="534" max="534" width="15.140625" bestFit="1" customWidth="1"/>
    <col min="535" max="535" width="11.5703125" bestFit="1" customWidth="1"/>
    <col min="536" max="536" width="13.28515625" bestFit="1" customWidth="1"/>
    <col min="537" max="537" width="10.42578125" bestFit="1" customWidth="1"/>
    <col min="538" max="538" width="13.28515625" bestFit="1" customWidth="1"/>
    <col min="539" max="539" width="12.140625" bestFit="1" customWidth="1"/>
    <col min="540" max="540" width="14.42578125" bestFit="1" customWidth="1"/>
    <col min="541" max="541" width="13.28515625" bestFit="1" customWidth="1"/>
    <col min="542" max="542" width="11.5703125" bestFit="1" customWidth="1"/>
    <col min="543" max="543" width="7.7109375" bestFit="1" customWidth="1"/>
    <col min="544" max="545" width="14.42578125" bestFit="1" customWidth="1"/>
    <col min="546" max="546" width="11.5703125" bestFit="1" customWidth="1"/>
    <col min="547" max="547" width="7.7109375" bestFit="1" customWidth="1"/>
    <col min="548" max="548" width="13.5703125" customWidth="1"/>
    <col min="549" max="549" width="15.28515625" customWidth="1"/>
    <col min="550" max="550" width="14.5703125" customWidth="1"/>
    <col min="551" max="551" width="13.28515625" bestFit="1" customWidth="1"/>
    <col min="552" max="552" width="7.7109375" bestFit="1" customWidth="1"/>
    <col min="553" max="553" width="12.7109375" bestFit="1" customWidth="1"/>
    <col min="554" max="554" width="11.7109375" bestFit="1" customWidth="1"/>
    <col min="555" max="555" width="11.5703125" bestFit="1" customWidth="1"/>
    <col min="556" max="556" width="5.28515625" bestFit="1" customWidth="1"/>
    <col min="557" max="557" width="13.28515625" bestFit="1" customWidth="1"/>
    <col min="558" max="558" width="13.5703125" bestFit="1" customWidth="1"/>
    <col min="559" max="559" width="10.5703125" bestFit="1" customWidth="1"/>
    <col min="560" max="560" width="13.28515625" bestFit="1" customWidth="1"/>
    <col min="561" max="561" width="11.5703125" bestFit="1" customWidth="1"/>
    <col min="562" max="562" width="10.5703125" bestFit="1" customWidth="1"/>
    <col min="563" max="563" width="16.140625" bestFit="1" customWidth="1"/>
    <col min="564" max="565" width="11.28515625" bestFit="1" customWidth="1"/>
    <col min="566" max="566" width="13.28515625" bestFit="1" customWidth="1"/>
    <col min="567" max="567" width="7.7109375" bestFit="1" customWidth="1"/>
    <col min="568" max="571" width="9.140625" hidden="1" customWidth="1"/>
    <col min="572" max="572" width="10.42578125" bestFit="1" customWidth="1"/>
    <col min="573" max="573" width="10.5703125" bestFit="1" customWidth="1"/>
    <col min="574" max="574" width="10.42578125" bestFit="1" customWidth="1"/>
    <col min="575" max="575" width="10.5703125" bestFit="1" customWidth="1"/>
    <col min="576" max="576" width="9.5703125" bestFit="1" customWidth="1"/>
    <col min="577" max="577" width="11.5703125" bestFit="1" customWidth="1"/>
    <col min="578" max="578" width="10.42578125" bestFit="1" customWidth="1"/>
    <col min="579" max="579" width="10.85546875" customWidth="1"/>
    <col min="580" max="581" width="9.85546875" bestFit="1" customWidth="1"/>
    <col min="582" max="582" width="13.5703125" bestFit="1" customWidth="1"/>
    <col min="583" max="583" width="7.7109375" bestFit="1" customWidth="1"/>
    <col min="584" max="584" width="13.28515625" bestFit="1" customWidth="1"/>
    <col min="585" max="585" width="11.5703125" bestFit="1" customWidth="1"/>
    <col min="586" max="586" width="10.42578125" bestFit="1" customWidth="1"/>
    <col min="587" max="587" width="7.7109375" bestFit="1" customWidth="1"/>
    <col min="588" max="588" width="11.5703125" bestFit="1" customWidth="1"/>
    <col min="589" max="589" width="10.85546875" bestFit="1" customWidth="1"/>
    <col min="590" max="590" width="13.28515625" bestFit="1" customWidth="1"/>
    <col min="591" max="591" width="10.85546875" bestFit="1" customWidth="1"/>
    <col min="592" max="593" width="7.5703125" bestFit="1" customWidth="1"/>
    <col min="594" max="595" width="10.42578125" bestFit="1" customWidth="1"/>
    <col min="596" max="596" width="11.5703125" bestFit="1" customWidth="1"/>
    <col min="597" max="597" width="5.28515625" bestFit="1" customWidth="1"/>
    <col min="598" max="598" width="10.28515625" bestFit="1" customWidth="1"/>
    <col min="599" max="599" width="10.42578125" bestFit="1" customWidth="1"/>
    <col min="600" max="600" width="11.5703125" bestFit="1" customWidth="1"/>
    <col min="601" max="601" width="5.28515625" bestFit="1" customWidth="1"/>
    <col min="602" max="604" width="11.5703125" bestFit="1" customWidth="1"/>
    <col min="605" max="605" width="5.28515625" bestFit="1" customWidth="1"/>
    <col min="606" max="607" width="10.42578125" bestFit="1" customWidth="1"/>
    <col min="608" max="608" width="11.5703125" bestFit="1" customWidth="1"/>
    <col min="609" max="609" width="5.28515625" bestFit="1" customWidth="1"/>
    <col min="610" max="610" width="14.28515625" bestFit="1" customWidth="1"/>
    <col min="611" max="611" width="13" bestFit="1" customWidth="1"/>
    <col min="612" max="612" width="11.5703125" bestFit="1" customWidth="1"/>
    <col min="613" max="613" width="8.85546875" bestFit="1" customWidth="1"/>
    <col min="614" max="614" width="14.42578125" bestFit="1" customWidth="1"/>
    <col min="615" max="615" width="10.42578125" bestFit="1" customWidth="1"/>
    <col min="616" max="616" width="12.28515625" bestFit="1" customWidth="1"/>
    <col min="617" max="617" width="13.85546875" bestFit="1" customWidth="1"/>
    <col min="618" max="618" width="11.28515625" customWidth="1"/>
    <col min="619" max="619" width="11.5703125" customWidth="1"/>
    <col min="620" max="620" width="13.42578125" bestFit="1" customWidth="1"/>
    <col min="621" max="621" width="10.42578125" customWidth="1"/>
    <col min="622" max="622" width="13.85546875" bestFit="1" customWidth="1"/>
    <col min="623" max="623" width="15.42578125" bestFit="1" customWidth="1"/>
    <col min="624" max="624" width="12.28515625" bestFit="1" customWidth="1"/>
    <col min="625" max="625" width="12.7109375" customWidth="1"/>
    <col min="626" max="626" width="10.7109375" bestFit="1" customWidth="1"/>
    <col min="627" max="627" width="9.85546875" customWidth="1"/>
    <col min="628" max="629" width="10.140625" bestFit="1" customWidth="1"/>
    <col min="630" max="630" width="7.5703125" bestFit="1" customWidth="1"/>
    <col min="631" max="631" width="9.42578125" bestFit="1" customWidth="1"/>
    <col min="632" max="632" width="14.5703125" bestFit="1" customWidth="1"/>
    <col min="633" max="633" width="14.85546875" customWidth="1"/>
    <col min="634" max="634" width="15.140625" bestFit="1" customWidth="1"/>
    <col min="635" max="635" width="12.140625" bestFit="1" customWidth="1"/>
    <col min="636" max="636" width="14.85546875" bestFit="1" customWidth="1"/>
    <col min="637" max="637" width="12.28515625" bestFit="1" customWidth="1"/>
    <col min="638" max="646" width="9.140625" hidden="1" customWidth="1"/>
    <col min="647" max="647" width="5.28515625" bestFit="1" customWidth="1"/>
    <col min="648" max="653" width="11.5703125" bestFit="1" customWidth="1"/>
    <col min="654" max="654" width="11.28515625" bestFit="1" customWidth="1"/>
    <col min="655" max="655" width="10.140625" bestFit="1" customWidth="1"/>
    <col min="656" max="656" width="11.5703125" bestFit="1" customWidth="1"/>
    <col min="657" max="657" width="16.140625" customWidth="1"/>
    <col min="658" max="658" width="13.42578125" customWidth="1"/>
    <col min="659" max="659" width="10.140625" bestFit="1" customWidth="1"/>
    <col min="660" max="660" width="12.85546875" bestFit="1" customWidth="1"/>
    <col min="661" max="661" width="12.28515625" bestFit="1" customWidth="1"/>
    <col min="662" max="662" width="11.28515625" bestFit="1" customWidth="1"/>
    <col min="663" max="663" width="11.5703125" bestFit="1" customWidth="1"/>
    <col min="664" max="664" width="10.85546875" bestFit="1" customWidth="1"/>
    <col min="665" max="665" width="11.28515625" bestFit="1" customWidth="1"/>
    <col min="666" max="666" width="10.140625" bestFit="1" customWidth="1"/>
    <col min="667" max="667" width="13.28515625" bestFit="1" customWidth="1"/>
    <col min="668" max="669" width="12.7109375" bestFit="1" customWidth="1"/>
    <col min="670" max="670" width="11" bestFit="1" customWidth="1"/>
    <col min="671" max="671" width="11.28515625" bestFit="1" customWidth="1"/>
    <col min="672" max="672" width="11.5703125" bestFit="1" customWidth="1"/>
    <col min="673" max="673" width="12.28515625" bestFit="1" customWidth="1"/>
    <col min="674" max="674" width="15.140625" bestFit="1" customWidth="1"/>
    <col min="675" max="675" width="14.42578125" bestFit="1" customWidth="1"/>
    <col min="676" max="676" width="12.28515625" bestFit="1" customWidth="1"/>
    <col min="677" max="677" width="15.140625" bestFit="1" customWidth="1"/>
    <col min="678" max="678" width="14.42578125" bestFit="1" customWidth="1"/>
    <col min="679" max="679" width="12.28515625" bestFit="1" customWidth="1"/>
    <col min="680" max="680" width="14.42578125" bestFit="1" customWidth="1"/>
    <col min="681" max="681" width="11.28515625" bestFit="1" customWidth="1"/>
    <col min="682" max="682" width="12.28515625" bestFit="1" customWidth="1"/>
    <col min="683" max="683" width="13" bestFit="1" customWidth="1"/>
    <col min="684" max="684" width="15.140625" bestFit="1" customWidth="1"/>
    <col min="685" max="685" width="12.28515625" bestFit="1" customWidth="1"/>
    <col min="686" max="686" width="13.85546875" bestFit="1" customWidth="1"/>
    <col min="687" max="687" width="11.28515625" bestFit="1" customWidth="1"/>
    <col min="688" max="688" width="12.28515625" bestFit="1" customWidth="1"/>
    <col min="689" max="689" width="13.85546875" bestFit="1" customWidth="1"/>
    <col min="690" max="691" width="15.140625" bestFit="1" customWidth="1"/>
    <col min="692" max="692" width="12.28515625" bestFit="1" customWidth="1"/>
    <col min="693" max="693" width="5.7109375" bestFit="1" customWidth="1"/>
    <col min="694" max="694" width="8.5703125" bestFit="1" customWidth="1"/>
    <col min="695" max="695" width="5.5703125" bestFit="1" customWidth="1"/>
    <col min="696" max="696" width="14.42578125" bestFit="1" customWidth="1"/>
    <col min="697" max="697" width="11.28515625" bestFit="1" customWidth="1"/>
    <col min="698" max="699" width="12.28515625" bestFit="1" customWidth="1"/>
    <col min="700" max="700" width="11.28515625" bestFit="1" customWidth="1"/>
    <col min="701" max="701" width="13.85546875" bestFit="1" customWidth="1"/>
    <col min="702" max="702" width="12" bestFit="1" customWidth="1"/>
    <col min="703" max="703" width="13.85546875" bestFit="1" customWidth="1"/>
    <col min="704" max="705" width="14.42578125" customWidth="1"/>
    <col min="706" max="706" width="10.140625" bestFit="1" customWidth="1"/>
    <col min="707" max="707" width="12.28515625" bestFit="1" customWidth="1"/>
    <col min="708" max="708" width="7.42578125" bestFit="1" customWidth="1"/>
    <col min="709" max="709" width="8.5703125" bestFit="1" customWidth="1"/>
    <col min="710" max="710" width="11.5703125" bestFit="1" customWidth="1"/>
    <col min="711" max="711" width="13.28515625" bestFit="1" customWidth="1"/>
    <col min="712" max="712" width="13.28515625" customWidth="1"/>
    <col min="713" max="713" width="13.140625" customWidth="1"/>
    <col min="714" max="714" width="12.7109375" bestFit="1" customWidth="1"/>
    <col min="715" max="715" width="13.28515625" bestFit="1" customWidth="1"/>
    <col min="716" max="718" width="13.28515625" customWidth="1"/>
    <col min="719" max="719" width="12.140625" bestFit="1" customWidth="1"/>
    <col min="720" max="720" width="12.7109375" bestFit="1" customWidth="1"/>
    <col min="721" max="721" width="11" customWidth="1"/>
    <col min="722" max="722" width="16.7109375" customWidth="1"/>
    <col min="723" max="723" width="17" customWidth="1"/>
    <col min="724" max="724" width="10.42578125" bestFit="1" customWidth="1"/>
    <col min="768" max="768" width="3.85546875" customWidth="1"/>
    <col min="769" max="769" width="15.28515625" bestFit="1" customWidth="1"/>
    <col min="770" max="770" width="12.28515625" customWidth="1"/>
    <col min="771" max="771" width="16.28515625" bestFit="1" customWidth="1"/>
    <col min="772" max="772" width="6.42578125" bestFit="1" customWidth="1"/>
    <col min="773" max="773" width="9.28515625" bestFit="1" customWidth="1"/>
    <col min="774" max="774" width="7.5703125" bestFit="1" customWidth="1"/>
    <col min="775" max="775" width="13.28515625" bestFit="1" customWidth="1"/>
    <col min="776" max="776" width="9.28515625" bestFit="1" customWidth="1"/>
    <col min="777" max="777" width="11.5703125" bestFit="1" customWidth="1"/>
    <col min="778" max="778" width="13.28515625" bestFit="1" customWidth="1"/>
    <col min="779" max="779" width="7.140625" bestFit="1" customWidth="1"/>
    <col min="780" max="780" width="12" bestFit="1" customWidth="1"/>
    <col min="781" max="781" width="13.28515625" bestFit="1" customWidth="1"/>
    <col min="782" max="782" width="7" bestFit="1" customWidth="1"/>
    <col min="783" max="783" width="12.7109375" bestFit="1" customWidth="1"/>
    <col min="784" max="784" width="11.5703125" bestFit="1" customWidth="1"/>
    <col min="785" max="785" width="10.5703125" bestFit="1" customWidth="1"/>
    <col min="786" max="787" width="15.7109375" bestFit="1" customWidth="1"/>
    <col min="788" max="788" width="11.5703125" bestFit="1" customWidth="1"/>
    <col min="789" max="789" width="7.7109375" bestFit="1" customWidth="1"/>
    <col min="790" max="790" width="15.140625" bestFit="1" customWidth="1"/>
    <col min="791" max="791" width="11.5703125" bestFit="1" customWidth="1"/>
    <col min="792" max="792" width="13.28515625" bestFit="1" customWidth="1"/>
    <col min="793" max="793" width="10.42578125" bestFit="1" customWidth="1"/>
    <col min="794" max="794" width="13.28515625" bestFit="1" customWidth="1"/>
    <col min="795" max="795" width="12.140625" bestFit="1" customWidth="1"/>
    <col min="796" max="796" width="14.42578125" bestFit="1" customWidth="1"/>
    <col min="797" max="797" width="13.28515625" bestFit="1" customWidth="1"/>
    <col min="798" max="798" width="11.5703125" bestFit="1" customWidth="1"/>
    <col min="799" max="799" width="7.7109375" bestFit="1" customWidth="1"/>
    <col min="800" max="801" width="14.42578125" bestFit="1" customWidth="1"/>
    <col min="802" max="802" width="11.5703125" bestFit="1" customWidth="1"/>
    <col min="803" max="803" width="7.7109375" bestFit="1" customWidth="1"/>
    <col min="804" max="804" width="13.5703125" customWidth="1"/>
    <col min="805" max="805" width="15.28515625" customWidth="1"/>
    <col min="806" max="806" width="14.5703125" customWidth="1"/>
    <col min="807" max="807" width="13.28515625" bestFit="1" customWidth="1"/>
    <col min="808" max="808" width="7.7109375" bestFit="1" customWidth="1"/>
    <col min="809" max="809" width="12.7109375" bestFit="1" customWidth="1"/>
    <col min="810" max="810" width="11.7109375" bestFit="1" customWidth="1"/>
    <col min="811" max="811" width="11.5703125" bestFit="1" customWidth="1"/>
    <col min="812" max="812" width="5.28515625" bestFit="1" customWidth="1"/>
    <col min="813" max="813" width="13.28515625" bestFit="1" customWidth="1"/>
    <col min="814" max="814" width="13.5703125" bestFit="1" customWidth="1"/>
    <col min="815" max="815" width="10.5703125" bestFit="1" customWidth="1"/>
    <col min="816" max="816" width="13.28515625" bestFit="1" customWidth="1"/>
    <col min="817" max="817" width="11.5703125" bestFit="1" customWidth="1"/>
    <col min="818" max="818" width="10.5703125" bestFit="1" customWidth="1"/>
    <col min="819" max="819" width="16.140625" bestFit="1" customWidth="1"/>
    <col min="820" max="821" width="11.28515625" bestFit="1" customWidth="1"/>
    <col min="822" max="822" width="13.28515625" bestFit="1" customWidth="1"/>
    <col min="823" max="823" width="7.7109375" bestFit="1" customWidth="1"/>
    <col min="824" max="827" width="9.140625" hidden="1" customWidth="1"/>
    <col min="828" max="828" width="10.42578125" bestFit="1" customWidth="1"/>
    <col min="829" max="829" width="10.5703125" bestFit="1" customWidth="1"/>
    <col min="830" max="830" width="10.42578125" bestFit="1" customWidth="1"/>
    <col min="831" max="831" width="10.5703125" bestFit="1" customWidth="1"/>
    <col min="832" max="832" width="9.5703125" bestFit="1" customWidth="1"/>
    <col min="833" max="833" width="11.5703125" bestFit="1" customWidth="1"/>
    <col min="834" max="834" width="10.42578125" bestFit="1" customWidth="1"/>
    <col min="835" max="835" width="10.85546875" customWidth="1"/>
    <col min="836" max="837" width="9.85546875" bestFit="1" customWidth="1"/>
    <col min="838" max="838" width="13.5703125" bestFit="1" customWidth="1"/>
    <col min="839" max="839" width="7.7109375" bestFit="1" customWidth="1"/>
    <col min="840" max="840" width="13.28515625" bestFit="1" customWidth="1"/>
    <col min="841" max="841" width="11.5703125" bestFit="1" customWidth="1"/>
    <col min="842" max="842" width="10.42578125" bestFit="1" customWidth="1"/>
    <col min="843" max="843" width="7.7109375" bestFit="1" customWidth="1"/>
    <col min="844" max="844" width="11.5703125" bestFit="1" customWidth="1"/>
    <col min="845" max="845" width="10.85546875" bestFit="1" customWidth="1"/>
    <col min="846" max="846" width="13.28515625" bestFit="1" customWidth="1"/>
    <col min="847" max="847" width="10.85546875" bestFit="1" customWidth="1"/>
    <col min="848" max="849" width="7.5703125" bestFit="1" customWidth="1"/>
    <col min="850" max="851" width="10.42578125" bestFit="1" customWidth="1"/>
    <col min="852" max="852" width="11.5703125" bestFit="1" customWidth="1"/>
    <col min="853" max="853" width="5.28515625" bestFit="1" customWidth="1"/>
    <col min="854" max="854" width="10.28515625" bestFit="1" customWidth="1"/>
    <col min="855" max="855" width="10.42578125" bestFit="1" customWidth="1"/>
    <col min="856" max="856" width="11.5703125" bestFit="1" customWidth="1"/>
    <col min="857" max="857" width="5.28515625" bestFit="1" customWidth="1"/>
    <col min="858" max="860" width="11.5703125" bestFit="1" customWidth="1"/>
    <col min="861" max="861" width="5.28515625" bestFit="1" customWidth="1"/>
    <col min="862" max="863" width="10.42578125" bestFit="1" customWidth="1"/>
    <col min="864" max="864" width="11.5703125" bestFit="1" customWidth="1"/>
    <col min="865" max="865" width="5.28515625" bestFit="1" customWidth="1"/>
    <col min="866" max="866" width="14.28515625" bestFit="1" customWidth="1"/>
    <col min="867" max="867" width="13" bestFit="1" customWidth="1"/>
    <col min="868" max="868" width="11.5703125" bestFit="1" customWidth="1"/>
    <col min="869" max="869" width="8.85546875" bestFit="1" customWidth="1"/>
    <col min="870" max="870" width="14.42578125" bestFit="1" customWidth="1"/>
    <col min="871" max="871" width="10.42578125" bestFit="1" customWidth="1"/>
    <col min="872" max="872" width="12.28515625" bestFit="1" customWidth="1"/>
    <col min="873" max="873" width="13.85546875" bestFit="1" customWidth="1"/>
    <col min="874" max="874" width="11.28515625" customWidth="1"/>
    <col min="875" max="875" width="11.5703125" customWidth="1"/>
    <col min="876" max="876" width="13.42578125" bestFit="1" customWidth="1"/>
    <col min="877" max="877" width="10.42578125" customWidth="1"/>
    <col min="878" max="878" width="13.85546875" bestFit="1" customWidth="1"/>
    <col min="879" max="879" width="15.42578125" bestFit="1" customWidth="1"/>
    <col min="880" max="880" width="12.28515625" bestFit="1" customWidth="1"/>
    <col min="881" max="881" width="12.7109375" customWidth="1"/>
    <col min="882" max="882" width="10.7109375" bestFit="1" customWidth="1"/>
    <col min="883" max="883" width="9.85546875" customWidth="1"/>
    <col min="884" max="885" width="10.140625" bestFit="1" customWidth="1"/>
    <col min="886" max="886" width="7.5703125" bestFit="1" customWidth="1"/>
    <col min="887" max="887" width="9.42578125" bestFit="1" customWidth="1"/>
    <col min="888" max="888" width="14.5703125" bestFit="1" customWidth="1"/>
    <col min="889" max="889" width="14.85546875" customWidth="1"/>
    <col min="890" max="890" width="15.140625" bestFit="1" customWidth="1"/>
    <col min="891" max="891" width="12.140625" bestFit="1" customWidth="1"/>
    <col min="892" max="892" width="14.85546875" bestFit="1" customWidth="1"/>
    <col min="893" max="893" width="12.28515625" bestFit="1" customWidth="1"/>
    <col min="894" max="902" width="9.140625" hidden="1" customWidth="1"/>
    <col min="903" max="903" width="5.28515625" bestFit="1" customWidth="1"/>
    <col min="904" max="909" width="11.5703125" bestFit="1" customWidth="1"/>
    <col min="910" max="910" width="11.28515625" bestFit="1" customWidth="1"/>
    <col min="911" max="911" width="10.140625" bestFit="1" customWidth="1"/>
    <col min="912" max="912" width="11.5703125" bestFit="1" customWidth="1"/>
    <col min="913" max="913" width="16.140625" customWidth="1"/>
    <col min="914" max="914" width="13.42578125" customWidth="1"/>
    <col min="915" max="915" width="10.140625" bestFit="1" customWidth="1"/>
    <col min="916" max="916" width="12.85546875" bestFit="1" customWidth="1"/>
    <col min="917" max="917" width="12.28515625" bestFit="1" customWidth="1"/>
    <col min="918" max="918" width="11.28515625" bestFit="1" customWidth="1"/>
    <col min="919" max="919" width="11.5703125" bestFit="1" customWidth="1"/>
    <col min="920" max="920" width="10.85546875" bestFit="1" customWidth="1"/>
    <col min="921" max="921" width="11.28515625" bestFit="1" customWidth="1"/>
    <col min="922" max="922" width="10.140625" bestFit="1" customWidth="1"/>
    <col min="923" max="923" width="13.28515625" bestFit="1" customWidth="1"/>
    <col min="924" max="925" width="12.7109375" bestFit="1" customWidth="1"/>
    <col min="926" max="926" width="11" bestFit="1" customWidth="1"/>
    <col min="927" max="927" width="11.28515625" bestFit="1" customWidth="1"/>
    <col min="928" max="928" width="11.5703125" bestFit="1" customWidth="1"/>
    <col min="929" max="929" width="12.28515625" bestFit="1" customWidth="1"/>
    <col min="930" max="930" width="15.140625" bestFit="1" customWidth="1"/>
    <col min="931" max="931" width="14.42578125" bestFit="1" customWidth="1"/>
    <col min="932" max="932" width="12.28515625" bestFit="1" customWidth="1"/>
    <col min="933" max="933" width="15.140625" bestFit="1" customWidth="1"/>
    <col min="934" max="934" width="14.42578125" bestFit="1" customWidth="1"/>
    <col min="935" max="935" width="12.28515625" bestFit="1" customWidth="1"/>
    <col min="936" max="936" width="14.42578125" bestFit="1" customWidth="1"/>
    <col min="937" max="937" width="11.28515625" bestFit="1" customWidth="1"/>
    <col min="938" max="938" width="12.28515625" bestFit="1" customWidth="1"/>
    <col min="939" max="939" width="13" bestFit="1" customWidth="1"/>
    <col min="940" max="940" width="15.140625" bestFit="1" customWidth="1"/>
    <col min="941" max="941" width="12.28515625" bestFit="1" customWidth="1"/>
    <col min="942" max="942" width="13.85546875" bestFit="1" customWidth="1"/>
    <col min="943" max="943" width="11.28515625" bestFit="1" customWidth="1"/>
    <col min="944" max="944" width="12.28515625" bestFit="1" customWidth="1"/>
    <col min="945" max="945" width="13.85546875" bestFit="1" customWidth="1"/>
    <col min="946" max="947" width="15.140625" bestFit="1" customWidth="1"/>
    <col min="948" max="948" width="12.28515625" bestFit="1" customWidth="1"/>
    <col min="949" max="949" width="5.7109375" bestFit="1" customWidth="1"/>
    <col min="950" max="950" width="8.5703125" bestFit="1" customWidth="1"/>
    <col min="951" max="951" width="5.5703125" bestFit="1" customWidth="1"/>
    <col min="952" max="952" width="14.42578125" bestFit="1" customWidth="1"/>
    <col min="953" max="953" width="11.28515625" bestFit="1" customWidth="1"/>
    <col min="954" max="955" width="12.28515625" bestFit="1" customWidth="1"/>
    <col min="956" max="956" width="11.28515625" bestFit="1" customWidth="1"/>
    <col min="957" max="957" width="13.85546875" bestFit="1" customWidth="1"/>
    <col min="958" max="958" width="12" bestFit="1" customWidth="1"/>
    <col min="959" max="959" width="13.85546875" bestFit="1" customWidth="1"/>
    <col min="960" max="961" width="14.42578125" customWidth="1"/>
    <col min="962" max="962" width="10.140625" bestFit="1" customWidth="1"/>
    <col min="963" max="963" width="12.28515625" bestFit="1" customWidth="1"/>
    <col min="964" max="964" width="7.42578125" bestFit="1" customWidth="1"/>
    <col min="965" max="965" width="8.5703125" bestFit="1" customWidth="1"/>
    <col min="966" max="966" width="11.5703125" bestFit="1" customWidth="1"/>
    <col min="967" max="967" width="13.28515625" bestFit="1" customWidth="1"/>
    <col min="968" max="968" width="13.28515625" customWidth="1"/>
    <col min="969" max="969" width="13.140625" customWidth="1"/>
    <col min="970" max="970" width="12.7109375" bestFit="1" customWidth="1"/>
    <col min="971" max="971" width="13.28515625" bestFit="1" customWidth="1"/>
    <col min="972" max="974" width="13.28515625" customWidth="1"/>
    <col min="975" max="975" width="12.140625" bestFit="1" customWidth="1"/>
    <col min="976" max="976" width="12.7109375" bestFit="1" customWidth="1"/>
    <col min="977" max="977" width="11" customWidth="1"/>
    <col min="978" max="978" width="16.7109375" customWidth="1"/>
    <col min="979" max="979" width="17" customWidth="1"/>
    <col min="980" max="980" width="10.42578125" bestFit="1" customWidth="1"/>
    <col min="1024" max="1024" width="3.85546875" customWidth="1"/>
    <col min="1025" max="1025" width="15.28515625" bestFit="1" customWidth="1"/>
    <col min="1026" max="1026" width="12.28515625" customWidth="1"/>
    <col min="1027" max="1027" width="16.28515625" bestFit="1" customWidth="1"/>
    <col min="1028" max="1028" width="6.42578125" bestFit="1" customWidth="1"/>
    <col min="1029" max="1029" width="9.28515625" bestFit="1" customWidth="1"/>
    <col min="1030" max="1030" width="7.5703125" bestFit="1" customWidth="1"/>
    <col min="1031" max="1031" width="13.28515625" bestFit="1" customWidth="1"/>
    <col min="1032" max="1032" width="9.28515625" bestFit="1" customWidth="1"/>
    <col min="1033" max="1033" width="11.5703125" bestFit="1" customWidth="1"/>
    <col min="1034" max="1034" width="13.28515625" bestFit="1" customWidth="1"/>
    <col min="1035" max="1035" width="7.140625" bestFit="1" customWidth="1"/>
    <col min="1036" max="1036" width="12" bestFit="1" customWidth="1"/>
    <col min="1037" max="1037" width="13.28515625" bestFit="1" customWidth="1"/>
    <col min="1038" max="1038" width="7" bestFit="1" customWidth="1"/>
    <col min="1039" max="1039" width="12.7109375" bestFit="1" customWidth="1"/>
    <col min="1040" max="1040" width="11.5703125" bestFit="1" customWidth="1"/>
    <col min="1041" max="1041" width="10.5703125" bestFit="1" customWidth="1"/>
    <col min="1042" max="1043" width="15.7109375" bestFit="1" customWidth="1"/>
    <col min="1044" max="1044" width="11.5703125" bestFit="1" customWidth="1"/>
    <col min="1045" max="1045" width="7.7109375" bestFit="1" customWidth="1"/>
    <col min="1046" max="1046" width="15.140625" bestFit="1" customWidth="1"/>
    <col min="1047" max="1047" width="11.5703125" bestFit="1" customWidth="1"/>
    <col min="1048" max="1048" width="13.28515625" bestFit="1" customWidth="1"/>
    <col min="1049" max="1049" width="10.42578125" bestFit="1" customWidth="1"/>
    <col min="1050" max="1050" width="13.28515625" bestFit="1" customWidth="1"/>
    <col min="1051" max="1051" width="12.140625" bestFit="1" customWidth="1"/>
    <col min="1052" max="1052" width="14.42578125" bestFit="1" customWidth="1"/>
    <col min="1053" max="1053" width="13.28515625" bestFit="1" customWidth="1"/>
    <col min="1054" max="1054" width="11.5703125" bestFit="1" customWidth="1"/>
    <col min="1055" max="1055" width="7.7109375" bestFit="1" customWidth="1"/>
    <col min="1056" max="1057" width="14.42578125" bestFit="1" customWidth="1"/>
    <col min="1058" max="1058" width="11.5703125" bestFit="1" customWidth="1"/>
    <col min="1059" max="1059" width="7.7109375" bestFit="1" customWidth="1"/>
    <col min="1060" max="1060" width="13.5703125" customWidth="1"/>
    <col min="1061" max="1061" width="15.28515625" customWidth="1"/>
    <col min="1062" max="1062" width="14.5703125" customWidth="1"/>
    <col min="1063" max="1063" width="13.28515625" bestFit="1" customWidth="1"/>
    <col min="1064" max="1064" width="7.7109375" bestFit="1" customWidth="1"/>
    <col min="1065" max="1065" width="12.7109375" bestFit="1" customWidth="1"/>
    <col min="1066" max="1066" width="11.7109375" bestFit="1" customWidth="1"/>
    <col min="1067" max="1067" width="11.5703125" bestFit="1" customWidth="1"/>
    <col min="1068" max="1068" width="5.28515625" bestFit="1" customWidth="1"/>
    <col min="1069" max="1069" width="13.28515625" bestFit="1" customWidth="1"/>
    <col min="1070" max="1070" width="13.5703125" bestFit="1" customWidth="1"/>
    <col min="1071" max="1071" width="10.5703125" bestFit="1" customWidth="1"/>
    <col min="1072" max="1072" width="13.28515625" bestFit="1" customWidth="1"/>
    <col min="1073" max="1073" width="11.5703125" bestFit="1" customWidth="1"/>
    <col min="1074" max="1074" width="10.5703125" bestFit="1" customWidth="1"/>
    <col min="1075" max="1075" width="16.140625" bestFit="1" customWidth="1"/>
    <col min="1076" max="1077" width="11.28515625" bestFit="1" customWidth="1"/>
    <col min="1078" max="1078" width="13.28515625" bestFit="1" customWidth="1"/>
    <col min="1079" max="1079" width="7.7109375" bestFit="1" customWidth="1"/>
    <col min="1080" max="1083" width="9.140625" hidden="1" customWidth="1"/>
    <col min="1084" max="1084" width="10.42578125" bestFit="1" customWidth="1"/>
    <col min="1085" max="1085" width="10.5703125" bestFit="1" customWidth="1"/>
    <col min="1086" max="1086" width="10.42578125" bestFit="1" customWidth="1"/>
    <col min="1087" max="1087" width="10.5703125" bestFit="1" customWidth="1"/>
    <col min="1088" max="1088" width="9.5703125" bestFit="1" customWidth="1"/>
    <col min="1089" max="1089" width="11.5703125" bestFit="1" customWidth="1"/>
    <col min="1090" max="1090" width="10.42578125" bestFit="1" customWidth="1"/>
    <col min="1091" max="1091" width="10.85546875" customWidth="1"/>
    <col min="1092" max="1093" width="9.85546875" bestFit="1" customWidth="1"/>
    <col min="1094" max="1094" width="13.5703125" bestFit="1" customWidth="1"/>
    <col min="1095" max="1095" width="7.7109375" bestFit="1" customWidth="1"/>
    <col min="1096" max="1096" width="13.28515625" bestFit="1" customWidth="1"/>
    <col min="1097" max="1097" width="11.5703125" bestFit="1" customWidth="1"/>
    <col min="1098" max="1098" width="10.42578125" bestFit="1" customWidth="1"/>
    <col min="1099" max="1099" width="7.7109375" bestFit="1" customWidth="1"/>
    <col min="1100" max="1100" width="11.5703125" bestFit="1" customWidth="1"/>
    <col min="1101" max="1101" width="10.85546875" bestFit="1" customWidth="1"/>
    <col min="1102" max="1102" width="13.28515625" bestFit="1" customWidth="1"/>
    <col min="1103" max="1103" width="10.85546875" bestFit="1" customWidth="1"/>
    <col min="1104" max="1105" width="7.5703125" bestFit="1" customWidth="1"/>
    <col min="1106" max="1107" width="10.42578125" bestFit="1" customWidth="1"/>
    <col min="1108" max="1108" width="11.5703125" bestFit="1" customWidth="1"/>
    <col min="1109" max="1109" width="5.28515625" bestFit="1" customWidth="1"/>
    <col min="1110" max="1110" width="10.28515625" bestFit="1" customWidth="1"/>
    <col min="1111" max="1111" width="10.42578125" bestFit="1" customWidth="1"/>
    <col min="1112" max="1112" width="11.5703125" bestFit="1" customWidth="1"/>
    <col min="1113" max="1113" width="5.28515625" bestFit="1" customWidth="1"/>
    <col min="1114" max="1116" width="11.5703125" bestFit="1" customWidth="1"/>
    <col min="1117" max="1117" width="5.28515625" bestFit="1" customWidth="1"/>
    <col min="1118" max="1119" width="10.42578125" bestFit="1" customWidth="1"/>
    <col min="1120" max="1120" width="11.5703125" bestFit="1" customWidth="1"/>
    <col min="1121" max="1121" width="5.28515625" bestFit="1" customWidth="1"/>
    <col min="1122" max="1122" width="14.28515625" bestFit="1" customWidth="1"/>
    <col min="1123" max="1123" width="13" bestFit="1" customWidth="1"/>
    <col min="1124" max="1124" width="11.5703125" bestFit="1" customWidth="1"/>
    <col min="1125" max="1125" width="8.85546875" bestFit="1" customWidth="1"/>
    <col min="1126" max="1126" width="14.42578125" bestFit="1" customWidth="1"/>
    <col min="1127" max="1127" width="10.42578125" bestFit="1" customWidth="1"/>
    <col min="1128" max="1128" width="12.28515625" bestFit="1" customWidth="1"/>
    <col min="1129" max="1129" width="13.85546875" bestFit="1" customWidth="1"/>
    <col min="1130" max="1130" width="11.28515625" customWidth="1"/>
    <col min="1131" max="1131" width="11.5703125" customWidth="1"/>
    <col min="1132" max="1132" width="13.42578125" bestFit="1" customWidth="1"/>
    <col min="1133" max="1133" width="10.42578125" customWidth="1"/>
    <col min="1134" max="1134" width="13.85546875" bestFit="1" customWidth="1"/>
    <col min="1135" max="1135" width="15.42578125" bestFit="1" customWidth="1"/>
    <col min="1136" max="1136" width="12.28515625" bestFit="1" customWidth="1"/>
    <col min="1137" max="1137" width="12.7109375" customWidth="1"/>
    <col min="1138" max="1138" width="10.7109375" bestFit="1" customWidth="1"/>
    <col min="1139" max="1139" width="9.85546875" customWidth="1"/>
    <col min="1140" max="1141" width="10.140625" bestFit="1" customWidth="1"/>
    <col min="1142" max="1142" width="7.5703125" bestFit="1" customWidth="1"/>
    <col min="1143" max="1143" width="9.42578125" bestFit="1" customWidth="1"/>
    <col min="1144" max="1144" width="14.5703125" bestFit="1" customWidth="1"/>
    <col min="1145" max="1145" width="14.85546875" customWidth="1"/>
    <col min="1146" max="1146" width="15.140625" bestFit="1" customWidth="1"/>
    <col min="1147" max="1147" width="12.140625" bestFit="1" customWidth="1"/>
    <col min="1148" max="1148" width="14.85546875" bestFit="1" customWidth="1"/>
    <col min="1149" max="1149" width="12.28515625" bestFit="1" customWidth="1"/>
    <col min="1150" max="1158" width="9.140625" hidden="1" customWidth="1"/>
    <col min="1159" max="1159" width="5.28515625" bestFit="1" customWidth="1"/>
    <col min="1160" max="1165" width="11.5703125" bestFit="1" customWidth="1"/>
    <col min="1166" max="1166" width="11.28515625" bestFit="1" customWidth="1"/>
    <col min="1167" max="1167" width="10.140625" bestFit="1" customWidth="1"/>
    <col min="1168" max="1168" width="11.5703125" bestFit="1" customWidth="1"/>
    <col min="1169" max="1169" width="16.140625" customWidth="1"/>
    <col min="1170" max="1170" width="13.42578125" customWidth="1"/>
    <col min="1171" max="1171" width="10.140625" bestFit="1" customWidth="1"/>
    <col min="1172" max="1172" width="12.85546875" bestFit="1" customWidth="1"/>
    <col min="1173" max="1173" width="12.28515625" bestFit="1" customWidth="1"/>
    <col min="1174" max="1174" width="11.28515625" bestFit="1" customWidth="1"/>
    <col min="1175" max="1175" width="11.5703125" bestFit="1" customWidth="1"/>
    <col min="1176" max="1176" width="10.85546875" bestFit="1" customWidth="1"/>
    <col min="1177" max="1177" width="11.28515625" bestFit="1" customWidth="1"/>
    <col min="1178" max="1178" width="10.140625" bestFit="1" customWidth="1"/>
    <col min="1179" max="1179" width="13.28515625" bestFit="1" customWidth="1"/>
    <col min="1180" max="1181" width="12.7109375" bestFit="1" customWidth="1"/>
    <col min="1182" max="1182" width="11" bestFit="1" customWidth="1"/>
    <col min="1183" max="1183" width="11.28515625" bestFit="1" customWidth="1"/>
    <col min="1184" max="1184" width="11.5703125" bestFit="1" customWidth="1"/>
    <col min="1185" max="1185" width="12.28515625" bestFit="1" customWidth="1"/>
    <col min="1186" max="1186" width="15.140625" bestFit="1" customWidth="1"/>
    <col min="1187" max="1187" width="14.42578125" bestFit="1" customWidth="1"/>
    <col min="1188" max="1188" width="12.28515625" bestFit="1" customWidth="1"/>
    <col min="1189" max="1189" width="15.140625" bestFit="1" customWidth="1"/>
    <col min="1190" max="1190" width="14.42578125" bestFit="1" customWidth="1"/>
    <col min="1191" max="1191" width="12.28515625" bestFit="1" customWidth="1"/>
    <col min="1192" max="1192" width="14.42578125" bestFit="1" customWidth="1"/>
    <col min="1193" max="1193" width="11.28515625" bestFit="1" customWidth="1"/>
    <col min="1194" max="1194" width="12.28515625" bestFit="1" customWidth="1"/>
    <col min="1195" max="1195" width="13" bestFit="1" customWidth="1"/>
    <col min="1196" max="1196" width="15.140625" bestFit="1" customWidth="1"/>
    <col min="1197" max="1197" width="12.28515625" bestFit="1" customWidth="1"/>
    <col min="1198" max="1198" width="13.85546875" bestFit="1" customWidth="1"/>
    <col min="1199" max="1199" width="11.28515625" bestFit="1" customWidth="1"/>
    <col min="1200" max="1200" width="12.28515625" bestFit="1" customWidth="1"/>
    <col min="1201" max="1201" width="13.85546875" bestFit="1" customWidth="1"/>
    <col min="1202" max="1203" width="15.140625" bestFit="1" customWidth="1"/>
    <col min="1204" max="1204" width="12.28515625" bestFit="1" customWidth="1"/>
    <col min="1205" max="1205" width="5.7109375" bestFit="1" customWidth="1"/>
    <col min="1206" max="1206" width="8.5703125" bestFit="1" customWidth="1"/>
    <col min="1207" max="1207" width="5.5703125" bestFit="1" customWidth="1"/>
    <col min="1208" max="1208" width="14.42578125" bestFit="1" customWidth="1"/>
    <col min="1209" max="1209" width="11.28515625" bestFit="1" customWidth="1"/>
    <col min="1210" max="1211" width="12.28515625" bestFit="1" customWidth="1"/>
    <col min="1212" max="1212" width="11.28515625" bestFit="1" customWidth="1"/>
    <col min="1213" max="1213" width="13.85546875" bestFit="1" customWidth="1"/>
    <col min="1214" max="1214" width="12" bestFit="1" customWidth="1"/>
    <col min="1215" max="1215" width="13.85546875" bestFit="1" customWidth="1"/>
    <col min="1216" max="1217" width="14.42578125" customWidth="1"/>
    <col min="1218" max="1218" width="10.140625" bestFit="1" customWidth="1"/>
    <col min="1219" max="1219" width="12.28515625" bestFit="1" customWidth="1"/>
    <col min="1220" max="1220" width="7.42578125" bestFit="1" customWidth="1"/>
    <col min="1221" max="1221" width="8.5703125" bestFit="1" customWidth="1"/>
    <col min="1222" max="1222" width="11.5703125" bestFit="1" customWidth="1"/>
    <col min="1223" max="1223" width="13.28515625" bestFit="1" customWidth="1"/>
    <col min="1224" max="1224" width="13.28515625" customWidth="1"/>
    <col min="1225" max="1225" width="13.140625" customWidth="1"/>
    <col min="1226" max="1226" width="12.7109375" bestFit="1" customWidth="1"/>
    <col min="1227" max="1227" width="13.28515625" bestFit="1" customWidth="1"/>
    <col min="1228" max="1230" width="13.28515625" customWidth="1"/>
    <col min="1231" max="1231" width="12.140625" bestFit="1" customWidth="1"/>
    <col min="1232" max="1232" width="12.7109375" bestFit="1" customWidth="1"/>
    <col min="1233" max="1233" width="11" customWidth="1"/>
    <col min="1234" max="1234" width="16.7109375" customWidth="1"/>
    <col min="1235" max="1235" width="17" customWidth="1"/>
    <col min="1236" max="1236" width="10.42578125" bestFit="1" customWidth="1"/>
    <col min="1280" max="1280" width="3.85546875" customWidth="1"/>
    <col min="1281" max="1281" width="15.28515625" bestFit="1" customWidth="1"/>
    <col min="1282" max="1282" width="12.28515625" customWidth="1"/>
    <col min="1283" max="1283" width="16.28515625" bestFit="1" customWidth="1"/>
    <col min="1284" max="1284" width="6.42578125" bestFit="1" customWidth="1"/>
    <col min="1285" max="1285" width="9.28515625" bestFit="1" customWidth="1"/>
    <col min="1286" max="1286" width="7.5703125" bestFit="1" customWidth="1"/>
    <col min="1287" max="1287" width="13.28515625" bestFit="1" customWidth="1"/>
    <col min="1288" max="1288" width="9.28515625" bestFit="1" customWidth="1"/>
    <col min="1289" max="1289" width="11.5703125" bestFit="1" customWidth="1"/>
    <col min="1290" max="1290" width="13.28515625" bestFit="1" customWidth="1"/>
    <col min="1291" max="1291" width="7.140625" bestFit="1" customWidth="1"/>
    <col min="1292" max="1292" width="12" bestFit="1" customWidth="1"/>
    <col min="1293" max="1293" width="13.28515625" bestFit="1" customWidth="1"/>
    <col min="1294" max="1294" width="7" bestFit="1" customWidth="1"/>
    <col min="1295" max="1295" width="12.7109375" bestFit="1" customWidth="1"/>
    <col min="1296" max="1296" width="11.5703125" bestFit="1" customWidth="1"/>
    <col min="1297" max="1297" width="10.5703125" bestFit="1" customWidth="1"/>
    <col min="1298" max="1299" width="15.7109375" bestFit="1" customWidth="1"/>
    <col min="1300" max="1300" width="11.5703125" bestFit="1" customWidth="1"/>
    <col min="1301" max="1301" width="7.7109375" bestFit="1" customWidth="1"/>
    <col min="1302" max="1302" width="15.140625" bestFit="1" customWidth="1"/>
    <col min="1303" max="1303" width="11.5703125" bestFit="1" customWidth="1"/>
    <col min="1304" max="1304" width="13.28515625" bestFit="1" customWidth="1"/>
    <col min="1305" max="1305" width="10.42578125" bestFit="1" customWidth="1"/>
    <col min="1306" max="1306" width="13.28515625" bestFit="1" customWidth="1"/>
    <col min="1307" max="1307" width="12.140625" bestFit="1" customWidth="1"/>
    <col min="1308" max="1308" width="14.42578125" bestFit="1" customWidth="1"/>
    <col min="1309" max="1309" width="13.28515625" bestFit="1" customWidth="1"/>
    <col min="1310" max="1310" width="11.5703125" bestFit="1" customWidth="1"/>
    <col min="1311" max="1311" width="7.7109375" bestFit="1" customWidth="1"/>
    <col min="1312" max="1313" width="14.42578125" bestFit="1" customWidth="1"/>
    <col min="1314" max="1314" width="11.5703125" bestFit="1" customWidth="1"/>
    <col min="1315" max="1315" width="7.7109375" bestFit="1" customWidth="1"/>
    <col min="1316" max="1316" width="13.5703125" customWidth="1"/>
    <col min="1317" max="1317" width="15.28515625" customWidth="1"/>
    <col min="1318" max="1318" width="14.5703125" customWidth="1"/>
    <col min="1319" max="1319" width="13.28515625" bestFit="1" customWidth="1"/>
    <col min="1320" max="1320" width="7.7109375" bestFit="1" customWidth="1"/>
    <col min="1321" max="1321" width="12.7109375" bestFit="1" customWidth="1"/>
    <col min="1322" max="1322" width="11.7109375" bestFit="1" customWidth="1"/>
    <col min="1323" max="1323" width="11.5703125" bestFit="1" customWidth="1"/>
    <col min="1324" max="1324" width="5.28515625" bestFit="1" customWidth="1"/>
    <col min="1325" max="1325" width="13.28515625" bestFit="1" customWidth="1"/>
    <col min="1326" max="1326" width="13.5703125" bestFit="1" customWidth="1"/>
    <col min="1327" max="1327" width="10.5703125" bestFit="1" customWidth="1"/>
    <col min="1328" max="1328" width="13.28515625" bestFit="1" customWidth="1"/>
    <col min="1329" max="1329" width="11.5703125" bestFit="1" customWidth="1"/>
    <col min="1330" max="1330" width="10.5703125" bestFit="1" customWidth="1"/>
    <col min="1331" max="1331" width="16.140625" bestFit="1" customWidth="1"/>
    <col min="1332" max="1333" width="11.28515625" bestFit="1" customWidth="1"/>
    <col min="1334" max="1334" width="13.28515625" bestFit="1" customWidth="1"/>
    <col min="1335" max="1335" width="7.7109375" bestFit="1" customWidth="1"/>
    <col min="1336" max="1339" width="9.140625" hidden="1" customWidth="1"/>
    <col min="1340" max="1340" width="10.42578125" bestFit="1" customWidth="1"/>
    <col min="1341" max="1341" width="10.5703125" bestFit="1" customWidth="1"/>
    <col min="1342" max="1342" width="10.42578125" bestFit="1" customWidth="1"/>
    <col min="1343" max="1343" width="10.5703125" bestFit="1" customWidth="1"/>
    <col min="1344" max="1344" width="9.5703125" bestFit="1" customWidth="1"/>
    <col min="1345" max="1345" width="11.5703125" bestFit="1" customWidth="1"/>
    <col min="1346" max="1346" width="10.42578125" bestFit="1" customWidth="1"/>
    <col min="1347" max="1347" width="10.85546875" customWidth="1"/>
    <col min="1348" max="1349" width="9.85546875" bestFit="1" customWidth="1"/>
    <col min="1350" max="1350" width="13.5703125" bestFit="1" customWidth="1"/>
    <col min="1351" max="1351" width="7.7109375" bestFit="1" customWidth="1"/>
    <col min="1352" max="1352" width="13.28515625" bestFit="1" customWidth="1"/>
    <col min="1353" max="1353" width="11.5703125" bestFit="1" customWidth="1"/>
    <col min="1354" max="1354" width="10.42578125" bestFit="1" customWidth="1"/>
    <col min="1355" max="1355" width="7.7109375" bestFit="1" customWidth="1"/>
    <col min="1356" max="1356" width="11.5703125" bestFit="1" customWidth="1"/>
    <col min="1357" max="1357" width="10.85546875" bestFit="1" customWidth="1"/>
    <col min="1358" max="1358" width="13.28515625" bestFit="1" customWidth="1"/>
    <col min="1359" max="1359" width="10.85546875" bestFit="1" customWidth="1"/>
    <col min="1360" max="1361" width="7.5703125" bestFit="1" customWidth="1"/>
    <col min="1362" max="1363" width="10.42578125" bestFit="1" customWidth="1"/>
    <col min="1364" max="1364" width="11.5703125" bestFit="1" customWidth="1"/>
    <col min="1365" max="1365" width="5.28515625" bestFit="1" customWidth="1"/>
    <col min="1366" max="1366" width="10.28515625" bestFit="1" customWidth="1"/>
    <col min="1367" max="1367" width="10.42578125" bestFit="1" customWidth="1"/>
    <col min="1368" max="1368" width="11.5703125" bestFit="1" customWidth="1"/>
    <col min="1369" max="1369" width="5.28515625" bestFit="1" customWidth="1"/>
    <col min="1370" max="1372" width="11.5703125" bestFit="1" customWidth="1"/>
    <col min="1373" max="1373" width="5.28515625" bestFit="1" customWidth="1"/>
    <col min="1374" max="1375" width="10.42578125" bestFit="1" customWidth="1"/>
    <col min="1376" max="1376" width="11.5703125" bestFit="1" customWidth="1"/>
    <col min="1377" max="1377" width="5.28515625" bestFit="1" customWidth="1"/>
    <col min="1378" max="1378" width="14.28515625" bestFit="1" customWidth="1"/>
    <col min="1379" max="1379" width="13" bestFit="1" customWidth="1"/>
    <col min="1380" max="1380" width="11.5703125" bestFit="1" customWidth="1"/>
    <col min="1381" max="1381" width="8.85546875" bestFit="1" customWidth="1"/>
    <col min="1382" max="1382" width="14.42578125" bestFit="1" customWidth="1"/>
    <col min="1383" max="1383" width="10.42578125" bestFit="1" customWidth="1"/>
    <col min="1384" max="1384" width="12.28515625" bestFit="1" customWidth="1"/>
    <col min="1385" max="1385" width="13.85546875" bestFit="1" customWidth="1"/>
    <col min="1386" max="1386" width="11.28515625" customWidth="1"/>
    <col min="1387" max="1387" width="11.5703125" customWidth="1"/>
    <col min="1388" max="1388" width="13.42578125" bestFit="1" customWidth="1"/>
    <col min="1389" max="1389" width="10.42578125" customWidth="1"/>
    <col min="1390" max="1390" width="13.85546875" bestFit="1" customWidth="1"/>
    <col min="1391" max="1391" width="15.42578125" bestFit="1" customWidth="1"/>
    <col min="1392" max="1392" width="12.28515625" bestFit="1" customWidth="1"/>
    <col min="1393" max="1393" width="12.7109375" customWidth="1"/>
    <col min="1394" max="1394" width="10.7109375" bestFit="1" customWidth="1"/>
    <col min="1395" max="1395" width="9.85546875" customWidth="1"/>
    <col min="1396" max="1397" width="10.140625" bestFit="1" customWidth="1"/>
    <col min="1398" max="1398" width="7.5703125" bestFit="1" customWidth="1"/>
    <col min="1399" max="1399" width="9.42578125" bestFit="1" customWidth="1"/>
    <col min="1400" max="1400" width="14.5703125" bestFit="1" customWidth="1"/>
    <col min="1401" max="1401" width="14.85546875" customWidth="1"/>
    <col min="1402" max="1402" width="15.140625" bestFit="1" customWidth="1"/>
    <col min="1403" max="1403" width="12.140625" bestFit="1" customWidth="1"/>
    <col min="1404" max="1404" width="14.85546875" bestFit="1" customWidth="1"/>
    <col min="1405" max="1405" width="12.28515625" bestFit="1" customWidth="1"/>
    <col min="1406" max="1414" width="9.140625" hidden="1" customWidth="1"/>
    <col min="1415" max="1415" width="5.28515625" bestFit="1" customWidth="1"/>
    <col min="1416" max="1421" width="11.5703125" bestFit="1" customWidth="1"/>
    <col min="1422" max="1422" width="11.28515625" bestFit="1" customWidth="1"/>
    <col min="1423" max="1423" width="10.140625" bestFit="1" customWidth="1"/>
    <col min="1424" max="1424" width="11.5703125" bestFit="1" customWidth="1"/>
    <col min="1425" max="1425" width="16.140625" customWidth="1"/>
    <col min="1426" max="1426" width="13.42578125" customWidth="1"/>
    <col min="1427" max="1427" width="10.140625" bestFit="1" customWidth="1"/>
    <col min="1428" max="1428" width="12.85546875" bestFit="1" customWidth="1"/>
    <col min="1429" max="1429" width="12.28515625" bestFit="1" customWidth="1"/>
    <col min="1430" max="1430" width="11.28515625" bestFit="1" customWidth="1"/>
    <col min="1431" max="1431" width="11.5703125" bestFit="1" customWidth="1"/>
    <col min="1432" max="1432" width="10.85546875" bestFit="1" customWidth="1"/>
    <col min="1433" max="1433" width="11.28515625" bestFit="1" customWidth="1"/>
    <col min="1434" max="1434" width="10.140625" bestFit="1" customWidth="1"/>
    <col min="1435" max="1435" width="13.28515625" bestFit="1" customWidth="1"/>
    <col min="1436" max="1437" width="12.7109375" bestFit="1" customWidth="1"/>
    <col min="1438" max="1438" width="11" bestFit="1" customWidth="1"/>
    <col min="1439" max="1439" width="11.28515625" bestFit="1" customWidth="1"/>
    <col min="1440" max="1440" width="11.5703125" bestFit="1" customWidth="1"/>
    <col min="1441" max="1441" width="12.28515625" bestFit="1" customWidth="1"/>
    <col min="1442" max="1442" width="15.140625" bestFit="1" customWidth="1"/>
    <col min="1443" max="1443" width="14.42578125" bestFit="1" customWidth="1"/>
    <col min="1444" max="1444" width="12.28515625" bestFit="1" customWidth="1"/>
    <col min="1445" max="1445" width="15.140625" bestFit="1" customWidth="1"/>
    <col min="1446" max="1446" width="14.42578125" bestFit="1" customWidth="1"/>
    <col min="1447" max="1447" width="12.28515625" bestFit="1" customWidth="1"/>
    <col min="1448" max="1448" width="14.42578125" bestFit="1" customWidth="1"/>
    <col min="1449" max="1449" width="11.28515625" bestFit="1" customWidth="1"/>
    <col min="1450" max="1450" width="12.28515625" bestFit="1" customWidth="1"/>
    <col min="1451" max="1451" width="13" bestFit="1" customWidth="1"/>
    <col min="1452" max="1452" width="15.140625" bestFit="1" customWidth="1"/>
    <col min="1453" max="1453" width="12.28515625" bestFit="1" customWidth="1"/>
    <col min="1454" max="1454" width="13.85546875" bestFit="1" customWidth="1"/>
    <col min="1455" max="1455" width="11.28515625" bestFit="1" customWidth="1"/>
    <col min="1456" max="1456" width="12.28515625" bestFit="1" customWidth="1"/>
    <col min="1457" max="1457" width="13.85546875" bestFit="1" customWidth="1"/>
    <col min="1458" max="1459" width="15.140625" bestFit="1" customWidth="1"/>
    <col min="1460" max="1460" width="12.28515625" bestFit="1" customWidth="1"/>
    <col min="1461" max="1461" width="5.7109375" bestFit="1" customWidth="1"/>
    <col min="1462" max="1462" width="8.5703125" bestFit="1" customWidth="1"/>
    <col min="1463" max="1463" width="5.5703125" bestFit="1" customWidth="1"/>
    <col min="1464" max="1464" width="14.42578125" bestFit="1" customWidth="1"/>
    <col min="1465" max="1465" width="11.28515625" bestFit="1" customWidth="1"/>
    <col min="1466" max="1467" width="12.28515625" bestFit="1" customWidth="1"/>
    <col min="1468" max="1468" width="11.28515625" bestFit="1" customWidth="1"/>
    <col min="1469" max="1469" width="13.85546875" bestFit="1" customWidth="1"/>
    <col min="1470" max="1470" width="12" bestFit="1" customWidth="1"/>
    <col min="1471" max="1471" width="13.85546875" bestFit="1" customWidth="1"/>
    <col min="1472" max="1473" width="14.42578125" customWidth="1"/>
    <col min="1474" max="1474" width="10.140625" bestFit="1" customWidth="1"/>
    <col min="1475" max="1475" width="12.28515625" bestFit="1" customWidth="1"/>
    <col min="1476" max="1476" width="7.42578125" bestFit="1" customWidth="1"/>
    <col min="1477" max="1477" width="8.5703125" bestFit="1" customWidth="1"/>
    <col min="1478" max="1478" width="11.5703125" bestFit="1" customWidth="1"/>
    <col min="1479" max="1479" width="13.28515625" bestFit="1" customWidth="1"/>
    <col min="1480" max="1480" width="13.28515625" customWidth="1"/>
    <col min="1481" max="1481" width="13.140625" customWidth="1"/>
    <col min="1482" max="1482" width="12.7109375" bestFit="1" customWidth="1"/>
    <col min="1483" max="1483" width="13.28515625" bestFit="1" customWidth="1"/>
    <col min="1484" max="1486" width="13.28515625" customWidth="1"/>
    <col min="1487" max="1487" width="12.140625" bestFit="1" customWidth="1"/>
    <col min="1488" max="1488" width="12.7109375" bestFit="1" customWidth="1"/>
    <col min="1489" max="1489" width="11" customWidth="1"/>
    <col min="1490" max="1490" width="16.7109375" customWidth="1"/>
    <col min="1491" max="1491" width="17" customWidth="1"/>
    <col min="1492" max="1492" width="10.42578125" bestFit="1" customWidth="1"/>
    <col min="1536" max="1536" width="3.85546875" customWidth="1"/>
    <col min="1537" max="1537" width="15.28515625" bestFit="1" customWidth="1"/>
    <col min="1538" max="1538" width="12.28515625" customWidth="1"/>
    <col min="1539" max="1539" width="16.28515625" bestFit="1" customWidth="1"/>
    <col min="1540" max="1540" width="6.42578125" bestFit="1" customWidth="1"/>
    <col min="1541" max="1541" width="9.28515625" bestFit="1" customWidth="1"/>
    <col min="1542" max="1542" width="7.5703125" bestFit="1" customWidth="1"/>
    <col min="1543" max="1543" width="13.28515625" bestFit="1" customWidth="1"/>
    <col min="1544" max="1544" width="9.28515625" bestFit="1" customWidth="1"/>
    <col min="1545" max="1545" width="11.5703125" bestFit="1" customWidth="1"/>
    <col min="1546" max="1546" width="13.28515625" bestFit="1" customWidth="1"/>
    <col min="1547" max="1547" width="7.140625" bestFit="1" customWidth="1"/>
    <col min="1548" max="1548" width="12" bestFit="1" customWidth="1"/>
    <col min="1549" max="1549" width="13.28515625" bestFit="1" customWidth="1"/>
    <col min="1550" max="1550" width="7" bestFit="1" customWidth="1"/>
    <col min="1551" max="1551" width="12.7109375" bestFit="1" customWidth="1"/>
    <col min="1552" max="1552" width="11.5703125" bestFit="1" customWidth="1"/>
    <col min="1553" max="1553" width="10.5703125" bestFit="1" customWidth="1"/>
    <col min="1554" max="1555" width="15.7109375" bestFit="1" customWidth="1"/>
    <col min="1556" max="1556" width="11.5703125" bestFit="1" customWidth="1"/>
    <col min="1557" max="1557" width="7.7109375" bestFit="1" customWidth="1"/>
    <col min="1558" max="1558" width="15.140625" bestFit="1" customWidth="1"/>
    <col min="1559" max="1559" width="11.5703125" bestFit="1" customWidth="1"/>
    <col min="1560" max="1560" width="13.28515625" bestFit="1" customWidth="1"/>
    <col min="1561" max="1561" width="10.42578125" bestFit="1" customWidth="1"/>
    <col min="1562" max="1562" width="13.28515625" bestFit="1" customWidth="1"/>
    <col min="1563" max="1563" width="12.140625" bestFit="1" customWidth="1"/>
    <col min="1564" max="1564" width="14.42578125" bestFit="1" customWidth="1"/>
    <col min="1565" max="1565" width="13.28515625" bestFit="1" customWidth="1"/>
    <col min="1566" max="1566" width="11.5703125" bestFit="1" customWidth="1"/>
    <col min="1567" max="1567" width="7.7109375" bestFit="1" customWidth="1"/>
    <col min="1568" max="1569" width="14.42578125" bestFit="1" customWidth="1"/>
    <col min="1570" max="1570" width="11.5703125" bestFit="1" customWidth="1"/>
    <col min="1571" max="1571" width="7.7109375" bestFit="1" customWidth="1"/>
    <col min="1572" max="1572" width="13.5703125" customWidth="1"/>
    <col min="1573" max="1573" width="15.28515625" customWidth="1"/>
    <col min="1574" max="1574" width="14.5703125" customWidth="1"/>
    <col min="1575" max="1575" width="13.28515625" bestFit="1" customWidth="1"/>
    <col min="1576" max="1576" width="7.7109375" bestFit="1" customWidth="1"/>
    <col min="1577" max="1577" width="12.7109375" bestFit="1" customWidth="1"/>
    <col min="1578" max="1578" width="11.7109375" bestFit="1" customWidth="1"/>
    <col min="1579" max="1579" width="11.5703125" bestFit="1" customWidth="1"/>
    <col min="1580" max="1580" width="5.28515625" bestFit="1" customWidth="1"/>
    <col min="1581" max="1581" width="13.28515625" bestFit="1" customWidth="1"/>
    <col min="1582" max="1582" width="13.5703125" bestFit="1" customWidth="1"/>
    <col min="1583" max="1583" width="10.5703125" bestFit="1" customWidth="1"/>
    <col min="1584" max="1584" width="13.28515625" bestFit="1" customWidth="1"/>
    <col min="1585" max="1585" width="11.5703125" bestFit="1" customWidth="1"/>
    <col min="1586" max="1586" width="10.5703125" bestFit="1" customWidth="1"/>
    <col min="1587" max="1587" width="16.140625" bestFit="1" customWidth="1"/>
    <col min="1588" max="1589" width="11.28515625" bestFit="1" customWidth="1"/>
    <col min="1590" max="1590" width="13.28515625" bestFit="1" customWidth="1"/>
    <col min="1591" max="1591" width="7.7109375" bestFit="1" customWidth="1"/>
    <col min="1592" max="1595" width="9.140625" hidden="1" customWidth="1"/>
    <col min="1596" max="1596" width="10.42578125" bestFit="1" customWidth="1"/>
    <col min="1597" max="1597" width="10.5703125" bestFit="1" customWidth="1"/>
    <col min="1598" max="1598" width="10.42578125" bestFit="1" customWidth="1"/>
    <col min="1599" max="1599" width="10.5703125" bestFit="1" customWidth="1"/>
    <col min="1600" max="1600" width="9.5703125" bestFit="1" customWidth="1"/>
    <col min="1601" max="1601" width="11.5703125" bestFit="1" customWidth="1"/>
    <col min="1602" max="1602" width="10.42578125" bestFit="1" customWidth="1"/>
    <col min="1603" max="1603" width="10.85546875" customWidth="1"/>
    <col min="1604" max="1605" width="9.85546875" bestFit="1" customWidth="1"/>
    <col min="1606" max="1606" width="13.5703125" bestFit="1" customWidth="1"/>
    <col min="1607" max="1607" width="7.7109375" bestFit="1" customWidth="1"/>
    <col min="1608" max="1608" width="13.28515625" bestFit="1" customWidth="1"/>
    <col min="1609" max="1609" width="11.5703125" bestFit="1" customWidth="1"/>
    <col min="1610" max="1610" width="10.42578125" bestFit="1" customWidth="1"/>
    <col min="1611" max="1611" width="7.7109375" bestFit="1" customWidth="1"/>
    <col min="1612" max="1612" width="11.5703125" bestFit="1" customWidth="1"/>
    <col min="1613" max="1613" width="10.85546875" bestFit="1" customWidth="1"/>
    <col min="1614" max="1614" width="13.28515625" bestFit="1" customWidth="1"/>
    <col min="1615" max="1615" width="10.85546875" bestFit="1" customWidth="1"/>
    <col min="1616" max="1617" width="7.5703125" bestFit="1" customWidth="1"/>
    <col min="1618" max="1619" width="10.42578125" bestFit="1" customWidth="1"/>
    <col min="1620" max="1620" width="11.5703125" bestFit="1" customWidth="1"/>
    <col min="1621" max="1621" width="5.28515625" bestFit="1" customWidth="1"/>
    <col min="1622" max="1622" width="10.28515625" bestFit="1" customWidth="1"/>
    <col min="1623" max="1623" width="10.42578125" bestFit="1" customWidth="1"/>
    <col min="1624" max="1624" width="11.5703125" bestFit="1" customWidth="1"/>
    <col min="1625" max="1625" width="5.28515625" bestFit="1" customWidth="1"/>
    <col min="1626" max="1628" width="11.5703125" bestFit="1" customWidth="1"/>
    <col min="1629" max="1629" width="5.28515625" bestFit="1" customWidth="1"/>
    <col min="1630" max="1631" width="10.42578125" bestFit="1" customWidth="1"/>
    <col min="1632" max="1632" width="11.5703125" bestFit="1" customWidth="1"/>
    <col min="1633" max="1633" width="5.28515625" bestFit="1" customWidth="1"/>
    <col min="1634" max="1634" width="14.28515625" bestFit="1" customWidth="1"/>
    <col min="1635" max="1635" width="13" bestFit="1" customWidth="1"/>
    <col min="1636" max="1636" width="11.5703125" bestFit="1" customWidth="1"/>
    <col min="1637" max="1637" width="8.85546875" bestFit="1" customWidth="1"/>
    <col min="1638" max="1638" width="14.42578125" bestFit="1" customWidth="1"/>
    <col min="1639" max="1639" width="10.42578125" bestFit="1" customWidth="1"/>
    <col min="1640" max="1640" width="12.28515625" bestFit="1" customWidth="1"/>
    <col min="1641" max="1641" width="13.85546875" bestFit="1" customWidth="1"/>
    <col min="1642" max="1642" width="11.28515625" customWidth="1"/>
    <col min="1643" max="1643" width="11.5703125" customWidth="1"/>
    <col min="1644" max="1644" width="13.42578125" bestFit="1" customWidth="1"/>
    <col min="1645" max="1645" width="10.42578125" customWidth="1"/>
    <col min="1646" max="1646" width="13.85546875" bestFit="1" customWidth="1"/>
    <col min="1647" max="1647" width="15.42578125" bestFit="1" customWidth="1"/>
    <col min="1648" max="1648" width="12.28515625" bestFit="1" customWidth="1"/>
    <col min="1649" max="1649" width="12.7109375" customWidth="1"/>
    <col min="1650" max="1650" width="10.7109375" bestFit="1" customWidth="1"/>
    <col min="1651" max="1651" width="9.85546875" customWidth="1"/>
    <col min="1652" max="1653" width="10.140625" bestFit="1" customWidth="1"/>
    <col min="1654" max="1654" width="7.5703125" bestFit="1" customWidth="1"/>
    <col min="1655" max="1655" width="9.42578125" bestFit="1" customWidth="1"/>
    <col min="1656" max="1656" width="14.5703125" bestFit="1" customWidth="1"/>
    <col min="1657" max="1657" width="14.85546875" customWidth="1"/>
    <col min="1658" max="1658" width="15.140625" bestFit="1" customWidth="1"/>
    <col min="1659" max="1659" width="12.140625" bestFit="1" customWidth="1"/>
    <col min="1660" max="1660" width="14.85546875" bestFit="1" customWidth="1"/>
    <col min="1661" max="1661" width="12.28515625" bestFit="1" customWidth="1"/>
    <col min="1662" max="1670" width="9.140625" hidden="1" customWidth="1"/>
    <col min="1671" max="1671" width="5.28515625" bestFit="1" customWidth="1"/>
    <col min="1672" max="1677" width="11.5703125" bestFit="1" customWidth="1"/>
    <col min="1678" max="1678" width="11.28515625" bestFit="1" customWidth="1"/>
    <col min="1679" max="1679" width="10.140625" bestFit="1" customWidth="1"/>
    <col min="1680" max="1680" width="11.5703125" bestFit="1" customWidth="1"/>
    <col min="1681" max="1681" width="16.140625" customWidth="1"/>
    <col min="1682" max="1682" width="13.42578125" customWidth="1"/>
    <col min="1683" max="1683" width="10.140625" bestFit="1" customWidth="1"/>
    <col min="1684" max="1684" width="12.85546875" bestFit="1" customWidth="1"/>
    <col min="1685" max="1685" width="12.28515625" bestFit="1" customWidth="1"/>
    <col min="1686" max="1686" width="11.28515625" bestFit="1" customWidth="1"/>
    <col min="1687" max="1687" width="11.5703125" bestFit="1" customWidth="1"/>
    <col min="1688" max="1688" width="10.85546875" bestFit="1" customWidth="1"/>
    <col min="1689" max="1689" width="11.28515625" bestFit="1" customWidth="1"/>
    <col min="1690" max="1690" width="10.140625" bestFit="1" customWidth="1"/>
    <col min="1691" max="1691" width="13.28515625" bestFit="1" customWidth="1"/>
    <col min="1692" max="1693" width="12.7109375" bestFit="1" customWidth="1"/>
    <col min="1694" max="1694" width="11" bestFit="1" customWidth="1"/>
    <col min="1695" max="1695" width="11.28515625" bestFit="1" customWidth="1"/>
    <col min="1696" max="1696" width="11.5703125" bestFit="1" customWidth="1"/>
    <col min="1697" max="1697" width="12.28515625" bestFit="1" customWidth="1"/>
    <col min="1698" max="1698" width="15.140625" bestFit="1" customWidth="1"/>
    <col min="1699" max="1699" width="14.42578125" bestFit="1" customWidth="1"/>
    <col min="1700" max="1700" width="12.28515625" bestFit="1" customWidth="1"/>
    <col min="1701" max="1701" width="15.140625" bestFit="1" customWidth="1"/>
    <col min="1702" max="1702" width="14.42578125" bestFit="1" customWidth="1"/>
    <col min="1703" max="1703" width="12.28515625" bestFit="1" customWidth="1"/>
    <col min="1704" max="1704" width="14.42578125" bestFit="1" customWidth="1"/>
    <col min="1705" max="1705" width="11.28515625" bestFit="1" customWidth="1"/>
    <col min="1706" max="1706" width="12.28515625" bestFit="1" customWidth="1"/>
    <col min="1707" max="1707" width="13" bestFit="1" customWidth="1"/>
    <col min="1708" max="1708" width="15.140625" bestFit="1" customWidth="1"/>
    <col min="1709" max="1709" width="12.28515625" bestFit="1" customWidth="1"/>
    <col min="1710" max="1710" width="13.85546875" bestFit="1" customWidth="1"/>
    <col min="1711" max="1711" width="11.28515625" bestFit="1" customWidth="1"/>
    <col min="1712" max="1712" width="12.28515625" bestFit="1" customWidth="1"/>
    <col min="1713" max="1713" width="13.85546875" bestFit="1" customWidth="1"/>
    <col min="1714" max="1715" width="15.140625" bestFit="1" customWidth="1"/>
    <col min="1716" max="1716" width="12.28515625" bestFit="1" customWidth="1"/>
    <col min="1717" max="1717" width="5.7109375" bestFit="1" customWidth="1"/>
    <col min="1718" max="1718" width="8.5703125" bestFit="1" customWidth="1"/>
    <col min="1719" max="1719" width="5.5703125" bestFit="1" customWidth="1"/>
    <col min="1720" max="1720" width="14.42578125" bestFit="1" customWidth="1"/>
    <col min="1721" max="1721" width="11.28515625" bestFit="1" customWidth="1"/>
    <col min="1722" max="1723" width="12.28515625" bestFit="1" customWidth="1"/>
    <col min="1724" max="1724" width="11.28515625" bestFit="1" customWidth="1"/>
    <col min="1725" max="1725" width="13.85546875" bestFit="1" customWidth="1"/>
    <col min="1726" max="1726" width="12" bestFit="1" customWidth="1"/>
    <col min="1727" max="1727" width="13.85546875" bestFit="1" customWidth="1"/>
    <col min="1728" max="1729" width="14.42578125" customWidth="1"/>
    <col min="1730" max="1730" width="10.140625" bestFit="1" customWidth="1"/>
    <col min="1731" max="1731" width="12.28515625" bestFit="1" customWidth="1"/>
    <col min="1732" max="1732" width="7.42578125" bestFit="1" customWidth="1"/>
    <col min="1733" max="1733" width="8.5703125" bestFit="1" customWidth="1"/>
    <col min="1734" max="1734" width="11.5703125" bestFit="1" customWidth="1"/>
    <col min="1735" max="1735" width="13.28515625" bestFit="1" customWidth="1"/>
    <col min="1736" max="1736" width="13.28515625" customWidth="1"/>
    <col min="1737" max="1737" width="13.140625" customWidth="1"/>
    <col min="1738" max="1738" width="12.7109375" bestFit="1" customWidth="1"/>
    <col min="1739" max="1739" width="13.28515625" bestFit="1" customWidth="1"/>
    <col min="1740" max="1742" width="13.28515625" customWidth="1"/>
    <col min="1743" max="1743" width="12.140625" bestFit="1" customWidth="1"/>
    <col min="1744" max="1744" width="12.7109375" bestFit="1" customWidth="1"/>
    <col min="1745" max="1745" width="11" customWidth="1"/>
    <col min="1746" max="1746" width="16.7109375" customWidth="1"/>
    <col min="1747" max="1747" width="17" customWidth="1"/>
    <col min="1748" max="1748" width="10.42578125" bestFit="1" customWidth="1"/>
    <col min="1792" max="1792" width="3.85546875" customWidth="1"/>
    <col min="1793" max="1793" width="15.28515625" bestFit="1" customWidth="1"/>
    <col min="1794" max="1794" width="12.28515625" customWidth="1"/>
    <col min="1795" max="1795" width="16.28515625" bestFit="1" customWidth="1"/>
    <col min="1796" max="1796" width="6.42578125" bestFit="1" customWidth="1"/>
    <col min="1797" max="1797" width="9.28515625" bestFit="1" customWidth="1"/>
    <col min="1798" max="1798" width="7.5703125" bestFit="1" customWidth="1"/>
    <col min="1799" max="1799" width="13.28515625" bestFit="1" customWidth="1"/>
    <col min="1800" max="1800" width="9.28515625" bestFit="1" customWidth="1"/>
    <col min="1801" max="1801" width="11.5703125" bestFit="1" customWidth="1"/>
    <col min="1802" max="1802" width="13.28515625" bestFit="1" customWidth="1"/>
    <col min="1803" max="1803" width="7.140625" bestFit="1" customWidth="1"/>
    <col min="1804" max="1804" width="12" bestFit="1" customWidth="1"/>
    <col min="1805" max="1805" width="13.28515625" bestFit="1" customWidth="1"/>
    <col min="1806" max="1806" width="7" bestFit="1" customWidth="1"/>
    <col min="1807" max="1807" width="12.7109375" bestFit="1" customWidth="1"/>
    <col min="1808" max="1808" width="11.5703125" bestFit="1" customWidth="1"/>
    <col min="1809" max="1809" width="10.5703125" bestFit="1" customWidth="1"/>
    <col min="1810" max="1811" width="15.7109375" bestFit="1" customWidth="1"/>
    <col min="1812" max="1812" width="11.5703125" bestFit="1" customWidth="1"/>
    <col min="1813" max="1813" width="7.7109375" bestFit="1" customWidth="1"/>
    <col min="1814" max="1814" width="15.140625" bestFit="1" customWidth="1"/>
    <col min="1815" max="1815" width="11.5703125" bestFit="1" customWidth="1"/>
    <col min="1816" max="1816" width="13.28515625" bestFit="1" customWidth="1"/>
    <col min="1817" max="1817" width="10.42578125" bestFit="1" customWidth="1"/>
    <col min="1818" max="1818" width="13.28515625" bestFit="1" customWidth="1"/>
    <col min="1819" max="1819" width="12.140625" bestFit="1" customWidth="1"/>
    <col min="1820" max="1820" width="14.42578125" bestFit="1" customWidth="1"/>
    <col min="1821" max="1821" width="13.28515625" bestFit="1" customWidth="1"/>
    <col min="1822" max="1822" width="11.5703125" bestFit="1" customWidth="1"/>
    <col min="1823" max="1823" width="7.7109375" bestFit="1" customWidth="1"/>
    <col min="1824" max="1825" width="14.42578125" bestFit="1" customWidth="1"/>
    <col min="1826" max="1826" width="11.5703125" bestFit="1" customWidth="1"/>
    <col min="1827" max="1827" width="7.7109375" bestFit="1" customWidth="1"/>
    <col min="1828" max="1828" width="13.5703125" customWidth="1"/>
    <col min="1829" max="1829" width="15.28515625" customWidth="1"/>
    <col min="1830" max="1830" width="14.5703125" customWidth="1"/>
    <col min="1831" max="1831" width="13.28515625" bestFit="1" customWidth="1"/>
    <col min="1832" max="1832" width="7.7109375" bestFit="1" customWidth="1"/>
    <col min="1833" max="1833" width="12.7109375" bestFit="1" customWidth="1"/>
    <col min="1834" max="1834" width="11.7109375" bestFit="1" customWidth="1"/>
    <col min="1835" max="1835" width="11.5703125" bestFit="1" customWidth="1"/>
    <col min="1836" max="1836" width="5.28515625" bestFit="1" customWidth="1"/>
    <col min="1837" max="1837" width="13.28515625" bestFit="1" customWidth="1"/>
    <col min="1838" max="1838" width="13.5703125" bestFit="1" customWidth="1"/>
    <col min="1839" max="1839" width="10.5703125" bestFit="1" customWidth="1"/>
    <col min="1840" max="1840" width="13.28515625" bestFit="1" customWidth="1"/>
    <col min="1841" max="1841" width="11.5703125" bestFit="1" customWidth="1"/>
    <col min="1842" max="1842" width="10.5703125" bestFit="1" customWidth="1"/>
    <col min="1843" max="1843" width="16.140625" bestFit="1" customWidth="1"/>
    <col min="1844" max="1845" width="11.28515625" bestFit="1" customWidth="1"/>
    <col min="1846" max="1846" width="13.28515625" bestFit="1" customWidth="1"/>
    <col min="1847" max="1847" width="7.7109375" bestFit="1" customWidth="1"/>
    <col min="1848" max="1851" width="9.140625" hidden="1" customWidth="1"/>
    <col min="1852" max="1852" width="10.42578125" bestFit="1" customWidth="1"/>
    <col min="1853" max="1853" width="10.5703125" bestFit="1" customWidth="1"/>
    <col min="1854" max="1854" width="10.42578125" bestFit="1" customWidth="1"/>
    <col min="1855" max="1855" width="10.5703125" bestFit="1" customWidth="1"/>
    <col min="1856" max="1856" width="9.5703125" bestFit="1" customWidth="1"/>
    <col min="1857" max="1857" width="11.5703125" bestFit="1" customWidth="1"/>
    <col min="1858" max="1858" width="10.42578125" bestFit="1" customWidth="1"/>
    <col min="1859" max="1859" width="10.85546875" customWidth="1"/>
    <col min="1860" max="1861" width="9.85546875" bestFit="1" customWidth="1"/>
    <col min="1862" max="1862" width="13.5703125" bestFit="1" customWidth="1"/>
    <col min="1863" max="1863" width="7.7109375" bestFit="1" customWidth="1"/>
    <col min="1864" max="1864" width="13.28515625" bestFit="1" customWidth="1"/>
    <col min="1865" max="1865" width="11.5703125" bestFit="1" customWidth="1"/>
    <col min="1866" max="1866" width="10.42578125" bestFit="1" customWidth="1"/>
    <col min="1867" max="1867" width="7.7109375" bestFit="1" customWidth="1"/>
    <col min="1868" max="1868" width="11.5703125" bestFit="1" customWidth="1"/>
    <col min="1869" max="1869" width="10.85546875" bestFit="1" customWidth="1"/>
    <col min="1870" max="1870" width="13.28515625" bestFit="1" customWidth="1"/>
    <col min="1871" max="1871" width="10.85546875" bestFit="1" customWidth="1"/>
    <col min="1872" max="1873" width="7.5703125" bestFit="1" customWidth="1"/>
    <col min="1874" max="1875" width="10.42578125" bestFit="1" customWidth="1"/>
    <col min="1876" max="1876" width="11.5703125" bestFit="1" customWidth="1"/>
    <col min="1877" max="1877" width="5.28515625" bestFit="1" customWidth="1"/>
    <col min="1878" max="1878" width="10.28515625" bestFit="1" customWidth="1"/>
    <col min="1879" max="1879" width="10.42578125" bestFit="1" customWidth="1"/>
    <col min="1880" max="1880" width="11.5703125" bestFit="1" customWidth="1"/>
    <col min="1881" max="1881" width="5.28515625" bestFit="1" customWidth="1"/>
    <col min="1882" max="1884" width="11.5703125" bestFit="1" customWidth="1"/>
    <col min="1885" max="1885" width="5.28515625" bestFit="1" customWidth="1"/>
    <col min="1886" max="1887" width="10.42578125" bestFit="1" customWidth="1"/>
    <col min="1888" max="1888" width="11.5703125" bestFit="1" customWidth="1"/>
    <col min="1889" max="1889" width="5.28515625" bestFit="1" customWidth="1"/>
    <col min="1890" max="1890" width="14.28515625" bestFit="1" customWidth="1"/>
    <col min="1891" max="1891" width="13" bestFit="1" customWidth="1"/>
    <col min="1892" max="1892" width="11.5703125" bestFit="1" customWidth="1"/>
    <col min="1893" max="1893" width="8.85546875" bestFit="1" customWidth="1"/>
    <col min="1894" max="1894" width="14.42578125" bestFit="1" customWidth="1"/>
    <col min="1895" max="1895" width="10.42578125" bestFit="1" customWidth="1"/>
    <col min="1896" max="1896" width="12.28515625" bestFit="1" customWidth="1"/>
    <col min="1897" max="1897" width="13.85546875" bestFit="1" customWidth="1"/>
    <col min="1898" max="1898" width="11.28515625" customWidth="1"/>
    <col min="1899" max="1899" width="11.5703125" customWidth="1"/>
    <col min="1900" max="1900" width="13.42578125" bestFit="1" customWidth="1"/>
    <col min="1901" max="1901" width="10.42578125" customWidth="1"/>
    <col min="1902" max="1902" width="13.85546875" bestFit="1" customWidth="1"/>
    <col min="1903" max="1903" width="15.42578125" bestFit="1" customWidth="1"/>
    <col min="1904" max="1904" width="12.28515625" bestFit="1" customWidth="1"/>
    <col min="1905" max="1905" width="12.7109375" customWidth="1"/>
    <col min="1906" max="1906" width="10.7109375" bestFit="1" customWidth="1"/>
    <col min="1907" max="1907" width="9.85546875" customWidth="1"/>
    <col min="1908" max="1909" width="10.140625" bestFit="1" customWidth="1"/>
    <col min="1910" max="1910" width="7.5703125" bestFit="1" customWidth="1"/>
    <col min="1911" max="1911" width="9.42578125" bestFit="1" customWidth="1"/>
    <col min="1912" max="1912" width="14.5703125" bestFit="1" customWidth="1"/>
    <col min="1913" max="1913" width="14.85546875" customWidth="1"/>
    <col min="1914" max="1914" width="15.140625" bestFit="1" customWidth="1"/>
    <col min="1915" max="1915" width="12.140625" bestFit="1" customWidth="1"/>
    <col min="1916" max="1916" width="14.85546875" bestFit="1" customWidth="1"/>
    <col min="1917" max="1917" width="12.28515625" bestFit="1" customWidth="1"/>
    <col min="1918" max="1926" width="9.140625" hidden="1" customWidth="1"/>
    <col min="1927" max="1927" width="5.28515625" bestFit="1" customWidth="1"/>
    <col min="1928" max="1933" width="11.5703125" bestFit="1" customWidth="1"/>
    <col min="1934" max="1934" width="11.28515625" bestFit="1" customWidth="1"/>
    <col min="1935" max="1935" width="10.140625" bestFit="1" customWidth="1"/>
    <col min="1936" max="1936" width="11.5703125" bestFit="1" customWidth="1"/>
    <col min="1937" max="1937" width="16.140625" customWidth="1"/>
    <col min="1938" max="1938" width="13.42578125" customWidth="1"/>
    <col min="1939" max="1939" width="10.140625" bestFit="1" customWidth="1"/>
    <col min="1940" max="1940" width="12.85546875" bestFit="1" customWidth="1"/>
    <col min="1941" max="1941" width="12.28515625" bestFit="1" customWidth="1"/>
    <col min="1942" max="1942" width="11.28515625" bestFit="1" customWidth="1"/>
    <col min="1943" max="1943" width="11.5703125" bestFit="1" customWidth="1"/>
    <col min="1944" max="1944" width="10.85546875" bestFit="1" customWidth="1"/>
    <col min="1945" max="1945" width="11.28515625" bestFit="1" customWidth="1"/>
    <col min="1946" max="1946" width="10.140625" bestFit="1" customWidth="1"/>
    <col min="1947" max="1947" width="13.28515625" bestFit="1" customWidth="1"/>
    <col min="1948" max="1949" width="12.7109375" bestFit="1" customWidth="1"/>
    <col min="1950" max="1950" width="11" bestFit="1" customWidth="1"/>
    <col min="1951" max="1951" width="11.28515625" bestFit="1" customWidth="1"/>
    <col min="1952" max="1952" width="11.5703125" bestFit="1" customWidth="1"/>
    <col min="1953" max="1953" width="12.28515625" bestFit="1" customWidth="1"/>
    <col min="1954" max="1954" width="15.140625" bestFit="1" customWidth="1"/>
    <col min="1955" max="1955" width="14.42578125" bestFit="1" customWidth="1"/>
    <col min="1956" max="1956" width="12.28515625" bestFit="1" customWidth="1"/>
    <col min="1957" max="1957" width="15.140625" bestFit="1" customWidth="1"/>
    <col min="1958" max="1958" width="14.42578125" bestFit="1" customWidth="1"/>
    <col min="1959" max="1959" width="12.28515625" bestFit="1" customWidth="1"/>
    <col min="1960" max="1960" width="14.42578125" bestFit="1" customWidth="1"/>
    <col min="1961" max="1961" width="11.28515625" bestFit="1" customWidth="1"/>
    <col min="1962" max="1962" width="12.28515625" bestFit="1" customWidth="1"/>
    <col min="1963" max="1963" width="13" bestFit="1" customWidth="1"/>
    <col min="1964" max="1964" width="15.140625" bestFit="1" customWidth="1"/>
    <col min="1965" max="1965" width="12.28515625" bestFit="1" customWidth="1"/>
    <col min="1966" max="1966" width="13.85546875" bestFit="1" customWidth="1"/>
    <col min="1967" max="1967" width="11.28515625" bestFit="1" customWidth="1"/>
    <col min="1968" max="1968" width="12.28515625" bestFit="1" customWidth="1"/>
    <col min="1969" max="1969" width="13.85546875" bestFit="1" customWidth="1"/>
    <col min="1970" max="1971" width="15.140625" bestFit="1" customWidth="1"/>
    <col min="1972" max="1972" width="12.28515625" bestFit="1" customWidth="1"/>
    <col min="1973" max="1973" width="5.7109375" bestFit="1" customWidth="1"/>
    <col min="1974" max="1974" width="8.5703125" bestFit="1" customWidth="1"/>
    <col min="1975" max="1975" width="5.5703125" bestFit="1" customWidth="1"/>
    <col min="1976" max="1976" width="14.42578125" bestFit="1" customWidth="1"/>
    <col min="1977" max="1977" width="11.28515625" bestFit="1" customWidth="1"/>
    <col min="1978" max="1979" width="12.28515625" bestFit="1" customWidth="1"/>
    <col min="1980" max="1980" width="11.28515625" bestFit="1" customWidth="1"/>
    <col min="1981" max="1981" width="13.85546875" bestFit="1" customWidth="1"/>
    <col min="1982" max="1982" width="12" bestFit="1" customWidth="1"/>
    <col min="1983" max="1983" width="13.85546875" bestFit="1" customWidth="1"/>
    <col min="1984" max="1985" width="14.42578125" customWidth="1"/>
    <col min="1986" max="1986" width="10.140625" bestFit="1" customWidth="1"/>
    <col min="1987" max="1987" width="12.28515625" bestFit="1" customWidth="1"/>
    <col min="1988" max="1988" width="7.42578125" bestFit="1" customWidth="1"/>
    <col min="1989" max="1989" width="8.5703125" bestFit="1" customWidth="1"/>
    <col min="1990" max="1990" width="11.5703125" bestFit="1" customWidth="1"/>
    <col min="1991" max="1991" width="13.28515625" bestFit="1" customWidth="1"/>
    <col min="1992" max="1992" width="13.28515625" customWidth="1"/>
    <col min="1993" max="1993" width="13.140625" customWidth="1"/>
    <col min="1994" max="1994" width="12.7109375" bestFit="1" customWidth="1"/>
    <col min="1995" max="1995" width="13.28515625" bestFit="1" customWidth="1"/>
    <col min="1996" max="1998" width="13.28515625" customWidth="1"/>
    <col min="1999" max="1999" width="12.140625" bestFit="1" customWidth="1"/>
    <col min="2000" max="2000" width="12.7109375" bestFit="1" customWidth="1"/>
    <col min="2001" max="2001" width="11" customWidth="1"/>
    <col min="2002" max="2002" width="16.7109375" customWidth="1"/>
    <col min="2003" max="2003" width="17" customWidth="1"/>
    <col min="2004" max="2004" width="10.42578125" bestFit="1" customWidth="1"/>
    <col min="2048" max="2048" width="3.85546875" customWidth="1"/>
    <col min="2049" max="2049" width="15.28515625" bestFit="1" customWidth="1"/>
    <col min="2050" max="2050" width="12.28515625" customWidth="1"/>
    <col min="2051" max="2051" width="16.28515625" bestFit="1" customWidth="1"/>
    <col min="2052" max="2052" width="6.42578125" bestFit="1" customWidth="1"/>
    <col min="2053" max="2053" width="9.28515625" bestFit="1" customWidth="1"/>
    <col min="2054" max="2054" width="7.5703125" bestFit="1" customWidth="1"/>
    <col min="2055" max="2055" width="13.28515625" bestFit="1" customWidth="1"/>
    <col min="2056" max="2056" width="9.28515625" bestFit="1" customWidth="1"/>
    <col min="2057" max="2057" width="11.5703125" bestFit="1" customWidth="1"/>
    <col min="2058" max="2058" width="13.28515625" bestFit="1" customWidth="1"/>
    <col min="2059" max="2059" width="7.140625" bestFit="1" customWidth="1"/>
    <col min="2060" max="2060" width="12" bestFit="1" customWidth="1"/>
    <col min="2061" max="2061" width="13.28515625" bestFit="1" customWidth="1"/>
    <col min="2062" max="2062" width="7" bestFit="1" customWidth="1"/>
    <col min="2063" max="2063" width="12.7109375" bestFit="1" customWidth="1"/>
    <col min="2064" max="2064" width="11.5703125" bestFit="1" customWidth="1"/>
    <col min="2065" max="2065" width="10.5703125" bestFit="1" customWidth="1"/>
    <col min="2066" max="2067" width="15.7109375" bestFit="1" customWidth="1"/>
    <col min="2068" max="2068" width="11.5703125" bestFit="1" customWidth="1"/>
    <col min="2069" max="2069" width="7.7109375" bestFit="1" customWidth="1"/>
    <col min="2070" max="2070" width="15.140625" bestFit="1" customWidth="1"/>
    <col min="2071" max="2071" width="11.5703125" bestFit="1" customWidth="1"/>
    <col min="2072" max="2072" width="13.28515625" bestFit="1" customWidth="1"/>
    <col min="2073" max="2073" width="10.42578125" bestFit="1" customWidth="1"/>
    <col min="2074" max="2074" width="13.28515625" bestFit="1" customWidth="1"/>
    <col min="2075" max="2075" width="12.140625" bestFit="1" customWidth="1"/>
    <col min="2076" max="2076" width="14.42578125" bestFit="1" customWidth="1"/>
    <col min="2077" max="2077" width="13.28515625" bestFit="1" customWidth="1"/>
    <col min="2078" max="2078" width="11.5703125" bestFit="1" customWidth="1"/>
    <col min="2079" max="2079" width="7.7109375" bestFit="1" customWidth="1"/>
    <col min="2080" max="2081" width="14.42578125" bestFit="1" customWidth="1"/>
    <col min="2082" max="2082" width="11.5703125" bestFit="1" customWidth="1"/>
    <col min="2083" max="2083" width="7.7109375" bestFit="1" customWidth="1"/>
    <col min="2084" max="2084" width="13.5703125" customWidth="1"/>
    <col min="2085" max="2085" width="15.28515625" customWidth="1"/>
    <col min="2086" max="2086" width="14.5703125" customWidth="1"/>
    <col min="2087" max="2087" width="13.28515625" bestFit="1" customWidth="1"/>
    <col min="2088" max="2088" width="7.7109375" bestFit="1" customWidth="1"/>
    <col min="2089" max="2089" width="12.7109375" bestFit="1" customWidth="1"/>
    <col min="2090" max="2090" width="11.7109375" bestFit="1" customWidth="1"/>
    <col min="2091" max="2091" width="11.5703125" bestFit="1" customWidth="1"/>
    <col min="2092" max="2092" width="5.28515625" bestFit="1" customWidth="1"/>
    <col min="2093" max="2093" width="13.28515625" bestFit="1" customWidth="1"/>
    <col min="2094" max="2094" width="13.5703125" bestFit="1" customWidth="1"/>
    <col min="2095" max="2095" width="10.5703125" bestFit="1" customWidth="1"/>
    <col min="2096" max="2096" width="13.28515625" bestFit="1" customWidth="1"/>
    <col min="2097" max="2097" width="11.5703125" bestFit="1" customWidth="1"/>
    <col min="2098" max="2098" width="10.5703125" bestFit="1" customWidth="1"/>
    <col min="2099" max="2099" width="16.140625" bestFit="1" customWidth="1"/>
    <col min="2100" max="2101" width="11.28515625" bestFit="1" customWidth="1"/>
    <col min="2102" max="2102" width="13.28515625" bestFit="1" customWidth="1"/>
    <col min="2103" max="2103" width="7.7109375" bestFit="1" customWidth="1"/>
    <col min="2104" max="2107" width="9.140625" hidden="1" customWidth="1"/>
    <col min="2108" max="2108" width="10.42578125" bestFit="1" customWidth="1"/>
    <col min="2109" max="2109" width="10.5703125" bestFit="1" customWidth="1"/>
    <col min="2110" max="2110" width="10.42578125" bestFit="1" customWidth="1"/>
    <col min="2111" max="2111" width="10.5703125" bestFit="1" customWidth="1"/>
    <col min="2112" max="2112" width="9.5703125" bestFit="1" customWidth="1"/>
    <col min="2113" max="2113" width="11.5703125" bestFit="1" customWidth="1"/>
    <col min="2114" max="2114" width="10.42578125" bestFit="1" customWidth="1"/>
    <col min="2115" max="2115" width="10.85546875" customWidth="1"/>
    <col min="2116" max="2117" width="9.85546875" bestFit="1" customWidth="1"/>
    <col min="2118" max="2118" width="13.5703125" bestFit="1" customWidth="1"/>
    <col min="2119" max="2119" width="7.7109375" bestFit="1" customWidth="1"/>
    <col min="2120" max="2120" width="13.28515625" bestFit="1" customWidth="1"/>
    <col min="2121" max="2121" width="11.5703125" bestFit="1" customWidth="1"/>
    <col min="2122" max="2122" width="10.42578125" bestFit="1" customWidth="1"/>
    <col min="2123" max="2123" width="7.7109375" bestFit="1" customWidth="1"/>
    <col min="2124" max="2124" width="11.5703125" bestFit="1" customWidth="1"/>
    <col min="2125" max="2125" width="10.85546875" bestFit="1" customWidth="1"/>
    <col min="2126" max="2126" width="13.28515625" bestFit="1" customWidth="1"/>
    <col min="2127" max="2127" width="10.85546875" bestFit="1" customWidth="1"/>
    <col min="2128" max="2129" width="7.5703125" bestFit="1" customWidth="1"/>
    <col min="2130" max="2131" width="10.42578125" bestFit="1" customWidth="1"/>
    <col min="2132" max="2132" width="11.5703125" bestFit="1" customWidth="1"/>
    <col min="2133" max="2133" width="5.28515625" bestFit="1" customWidth="1"/>
    <col min="2134" max="2134" width="10.28515625" bestFit="1" customWidth="1"/>
    <col min="2135" max="2135" width="10.42578125" bestFit="1" customWidth="1"/>
    <col min="2136" max="2136" width="11.5703125" bestFit="1" customWidth="1"/>
    <col min="2137" max="2137" width="5.28515625" bestFit="1" customWidth="1"/>
    <col min="2138" max="2140" width="11.5703125" bestFit="1" customWidth="1"/>
    <col min="2141" max="2141" width="5.28515625" bestFit="1" customWidth="1"/>
    <col min="2142" max="2143" width="10.42578125" bestFit="1" customWidth="1"/>
    <col min="2144" max="2144" width="11.5703125" bestFit="1" customWidth="1"/>
    <col min="2145" max="2145" width="5.28515625" bestFit="1" customWidth="1"/>
    <col min="2146" max="2146" width="14.28515625" bestFit="1" customWidth="1"/>
    <col min="2147" max="2147" width="13" bestFit="1" customWidth="1"/>
    <col min="2148" max="2148" width="11.5703125" bestFit="1" customWidth="1"/>
    <col min="2149" max="2149" width="8.85546875" bestFit="1" customWidth="1"/>
    <col min="2150" max="2150" width="14.42578125" bestFit="1" customWidth="1"/>
    <col min="2151" max="2151" width="10.42578125" bestFit="1" customWidth="1"/>
    <col min="2152" max="2152" width="12.28515625" bestFit="1" customWidth="1"/>
    <col min="2153" max="2153" width="13.85546875" bestFit="1" customWidth="1"/>
    <col min="2154" max="2154" width="11.28515625" customWidth="1"/>
    <col min="2155" max="2155" width="11.5703125" customWidth="1"/>
    <col min="2156" max="2156" width="13.42578125" bestFit="1" customWidth="1"/>
    <col min="2157" max="2157" width="10.42578125" customWidth="1"/>
    <col min="2158" max="2158" width="13.85546875" bestFit="1" customWidth="1"/>
    <col min="2159" max="2159" width="15.42578125" bestFit="1" customWidth="1"/>
    <col min="2160" max="2160" width="12.28515625" bestFit="1" customWidth="1"/>
    <col min="2161" max="2161" width="12.7109375" customWidth="1"/>
    <col min="2162" max="2162" width="10.7109375" bestFit="1" customWidth="1"/>
    <col min="2163" max="2163" width="9.85546875" customWidth="1"/>
    <col min="2164" max="2165" width="10.140625" bestFit="1" customWidth="1"/>
    <col min="2166" max="2166" width="7.5703125" bestFit="1" customWidth="1"/>
    <col min="2167" max="2167" width="9.42578125" bestFit="1" customWidth="1"/>
    <col min="2168" max="2168" width="14.5703125" bestFit="1" customWidth="1"/>
    <col min="2169" max="2169" width="14.85546875" customWidth="1"/>
    <col min="2170" max="2170" width="15.140625" bestFit="1" customWidth="1"/>
    <col min="2171" max="2171" width="12.140625" bestFit="1" customWidth="1"/>
    <col min="2172" max="2172" width="14.85546875" bestFit="1" customWidth="1"/>
    <col min="2173" max="2173" width="12.28515625" bestFit="1" customWidth="1"/>
    <col min="2174" max="2182" width="9.140625" hidden="1" customWidth="1"/>
    <col min="2183" max="2183" width="5.28515625" bestFit="1" customWidth="1"/>
    <col min="2184" max="2189" width="11.5703125" bestFit="1" customWidth="1"/>
    <col min="2190" max="2190" width="11.28515625" bestFit="1" customWidth="1"/>
    <col min="2191" max="2191" width="10.140625" bestFit="1" customWidth="1"/>
    <col min="2192" max="2192" width="11.5703125" bestFit="1" customWidth="1"/>
    <col min="2193" max="2193" width="16.140625" customWidth="1"/>
    <col min="2194" max="2194" width="13.42578125" customWidth="1"/>
    <col min="2195" max="2195" width="10.140625" bestFit="1" customWidth="1"/>
    <col min="2196" max="2196" width="12.85546875" bestFit="1" customWidth="1"/>
    <col min="2197" max="2197" width="12.28515625" bestFit="1" customWidth="1"/>
    <col min="2198" max="2198" width="11.28515625" bestFit="1" customWidth="1"/>
    <col min="2199" max="2199" width="11.5703125" bestFit="1" customWidth="1"/>
    <col min="2200" max="2200" width="10.85546875" bestFit="1" customWidth="1"/>
    <col min="2201" max="2201" width="11.28515625" bestFit="1" customWidth="1"/>
    <col min="2202" max="2202" width="10.140625" bestFit="1" customWidth="1"/>
    <col min="2203" max="2203" width="13.28515625" bestFit="1" customWidth="1"/>
    <col min="2204" max="2205" width="12.7109375" bestFit="1" customWidth="1"/>
    <col min="2206" max="2206" width="11" bestFit="1" customWidth="1"/>
    <col min="2207" max="2207" width="11.28515625" bestFit="1" customWidth="1"/>
    <col min="2208" max="2208" width="11.5703125" bestFit="1" customWidth="1"/>
    <col min="2209" max="2209" width="12.28515625" bestFit="1" customWidth="1"/>
    <col min="2210" max="2210" width="15.140625" bestFit="1" customWidth="1"/>
    <col min="2211" max="2211" width="14.42578125" bestFit="1" customWidth="1"/>
    <col min="2212" max="2212" width="12.28515625" bestFit="1" customWidth="1"/>
    <col min="2213" max="2213" width="15.140625" bestFit="1" customWidth="1"/>
    <col min="2214" max="2214" width="14.42578125" bestFit="1" customWidth="1"/>
    <col min="2215" max="2215" width="12.28515625" bestFit="1" customWidth="1"/>
    <col min="2216" max="2216" width="14.42578125" bestFit="1" customWidth="1"/>
    <col min="2217" max="2217" width="11.28515625" bestFit="1" customWidth="1"/>
    <col min="2218" max="2218" width="12.28515625" bestFit="1" customWidth="1"/>
    <col min="2219" max="2219" width="13" bestFit="1" customWidth="1"/>
    <col min="2220" max="2220" width="15.140625" bestFit="1" customWidth="1"/>
    <col min="2221" max="2221" width="12.28515625" bestFit="1" customWidth="1"/>
    <col min="2222" max="2222" width="13.85546875" bestFit="1" customWidth="1"/>
    <col min="2223" max="2223" width="11.28515625" bestFit="1" customWidth="1"/>
    <col min="2224" max="2224" width="12.28515625" bestFit="1" customWidth="1"/>
    <col min="2225" max="2225" width="13.85546875" bestFit="1" customWidth="1"/>
    <col min="2226" max="2227" width="15.140625" bestFit="1" customWidth="1"/>
    <col min="2228" max="2228" width="12.28515625" bestFit="1" customWidth="1"/>
    <col min="2229" max="2229" width="5.7109375" bestFit="1" customWidth="1"/>
    <col min="2230" max="2230" width="8.5703125" bestFit="1" customWidth="1"/>
    <col min="2231" max="2231" width="5.5703125" bestFit="1" customWidth="1"/>
    <col min="2232" max="2232" width="14.42578125" bestFit="1" customWidth="1"/>
    <col min="2233" max="2233" width="11.28515625" bestFit="1" customWidth="1"/>
    <col min="2234" max="2235" width="12.28515625" bestFit="1" customWidth="1"/>
    <col min="2236" max="2236" width="11.28515625" bestFit="1" customWidth="1"/>
    <col min="2237" max="2237" width="13.85546875" bestFit="1" customWidth="1"/>
    <col min="2238" max="2238" width="12" bestFit="1" customWidth="1"/>
    <col min="2239" max="2239" width="13.85546875" bestFit="1" customWidth="1"/>
    <col min="2240" max="2241" width="14.42578125" customWidth="1"/>
    <col min="2242" max="2242" width="10.140625" bestFit="1" customWidth="1"/>
    <col min="2243" max="2243" width="12.28515625" bestFit="1" customWidth="1"/>
    <col min="2244" max="2244" width="7.42578125" bestFit="1" customWidth="1"/>
    <col min="2245" max="2245" width="8.5703125" bestFit="1" customWidth="1"/>
    <col min="2246" max="2246" width="11.5703125" bestFit="1" customWidth="1"/>
    <col min="2247" max="2247" width="13.28515625" bestFit="1" customWidth="1"/>
    <col min="2248" max="2248" width="13.28515625" customWidth="1"/>
    <col min="2249" max="2249" width="13.140625" customWidth="1"/>
    <col min="2250" max="2250" width="12.7109375" bestFit="1" customWidth="1"/>
    <col min="2251" max="2251" width="13.28515625" bestFit="1" customWidth="1"/>
    <col min="2252" max="2254" width="13.28515625" customWidth="1"/>
    <col min="2255" max="2255" width="12.140625" bestFit="1" customWidth="1"/>
    <col min="2256" max="2256" width="12.7109375" bestFit="1" customWidth="1"/>
    <col min="2257" max="2257" width="11" customWidth="1"/>
    <col min="2258" max="2258" width="16.7109375" customWidth="1"/>
    <col min="2259" max="2259" width="17" customWidth="1"/>
    <col min="2260" max="2260" width="10.42578125" bestFit="1" customWidth="1"/>
    <col min="2304" max="2304" width="3.85546875" customWidth="1"/>
    <col min="2305" max="2305" width="15.28515625" bestFit="1" customWidth="1"/>
    <col min="2306" max="2306" width="12.28515625" customWidth="1"/>
    <col min="2307" max="2307" width="16.28515625" bestFit="1" customWidth="1"/>
    <col min="2308" max="2308" width="6.42578125" bestFit="1" customWidth="1"/>
    <col min="2309" max="2309" width="9.28515625" bestFit="1" customWidth="1"/>
    <col min="2310" max="2310" width="7.5703125" bestFit="1" customWidth="1"/>
    <col min="2311" max="2311" width="13.28515625" bestFit="1" customWidth="1"/>
    <col min="2312" max="2312" width="9.28515625" bestFit="1" customWidth="1"/>
    <col min="2313" max="2313" width="11.5703125" bestFit="1" customWidth="1"/>
    <col min="2314" max="2314" width="13.28515625" bestFit="1" customWidth="1"/>
    <col min="2315" max="2315" width="7.140625" bestFit="1" customWidth="1"/>
    <col min="2316" max="2316" width="12" bestFit="1" customWidth="1"/>
    <col min="2317" max="2317" width="13.28515625" bestFit="1" customWidth="1"/>
    <col min="2318" max="2318" width="7" bestFit="1" customWidth="1"/>
    <col min="2319" max="2319" width="12.7109375" bestFit="1" customWidth="1"/>
    <col min="2320" max="2320" width="11.5703125" bestFit="1" customWidth="1"/>
    <col min="2321" max="2321" width="10.5703125" bestFit="1" customWidth="1"/>
    <col min="2322" max="2323" width="15.7109375" bestFit="1" customWidth="1"/>
    <col min="2324" max="2324" width="11.5703125" bestFit="1" customWidth="1"/>
    <col min="2325" max="2325" width="7.7109375" bestFit="1" customWidth="1"/>
    <col min="2326" max="2326" width="15.140625" bestFit="1" customWidth="1"/>
    <col min="2327" max="2327" width="11.5703125" bestFit="1" customWidth="1"/>
    <col min="2328" max="2328" width="13.28515625" bestFit="1" customWidth="1"/>
    <col min="2329" max="2329" width="10.42578125" bestFit="1" customWidth="1"/>
    <col min="2330" max="2330" width="13.28515625" bestFit="1" customWidth="1"/>
    <col min="2331" max="2331" width="12.140625" bestFit="1" customWidth="1"/>
    <col min="2332" max="2332" width="14.42578125" bestFit="1" customWidth="1"/>
    <col min="2333" max="2333" width="13.28515625" bestFit="1" customWidth="1"/>
    <col min="2334" max="2334" width="11.5703125" bestFit="1" customWidth="1"/>
    <col min="2335" max="2335" width="7.7109375" bestFit="1" customWidth="1"/>
    <col min="2336" max="2337" width="14.42578125" bestFit="1" customWidth="1"/>
    <col min="2338" max="2338" width="11.5703125" bestFit="1" customWidth="1"/>
    <col min="2339" max="2339" width="7.7109375" bestFit="1" customWidth="1"/>
    <col min="2340" max="2340" width="13.5703125" customWidth="1"/>
    <col min="2341" max="2341" width="15.28515625" customWidth="1"/>
    <col min="2342" max="2342" width="14.5703125" customWidth="1"/>
    <col min="2343" max="2343" width="13.28515625" bestFit="1" customWidth="1"/>
    <col min="2344" max="2344" width="7.7109375" bestFit="1" customWidth="1"/>
    <col min="2345" max="2345" width="12.7109375" bestFit="1" customWidth="1"/>
    <col min="2346" max="2346" width="11.7109375" bestFit="1" customWidth="1"/>
    <col min="2347" max="2347" width="11.5703125" bestFit="1" customWidth="1"/>
    <col min="2348" max="2348" width="5.28515625" bestFit="1" customWidth="1"/>
    <col min="2349" max="2349" width="13.28515625" bestFit="1" customWidth="1"/>
    <col min="2350" max="2350" width="13.5703125" bestFit="1" customWidth="1"/>
    <col min="2351" max="2351" width="10.5703125" bestFit="1" customWidth="1"/>
    <col min="2352" max="2352" width="13.28515625" bestFit="1" customWidth="1"/>
    <col min="2353" max="2353" width="11.5703125" bestFit="1" customWidth="1"/>
    <col min="2354" max="2354" width="10.5703125" bestFit="1" customWidth="1"/>
    <col min="2355" max="2355" width="16.140625" bestFit="1" customWidth="1"/>
    <col min="2356" max="2357" width="11.28515625" bestFit="1" customWidth="1"/>
    <col min="2358" max="2358" width="13.28515625" bestFit="1" customWidth="1"/>
    <col min="2359" max="2359" width="7.7109375" bestFit="1" customWidth="1"/>
    <col min="2360" max="2363" width="9.140625" hidden="1" customWidth="1"/>
    <col min="2364" max="2364" width="10.42578125" bestFit="1" customWidth="1"/>
    <col min="2365" max="2365" width="10.5703125" bestFit="1" customWidth="1"/>
    <col min="2366" max="2366" width="10.42578125" bestFit="1" customWidth="1"/>
    <col min="2367" max="2367" width="10.5703125" bestFit="1" customWidth="1"/>
    <col min="2368" max="2368" width="9.5703125" bestFit="1" customWidth="1"/>
    <col min="2369" max="2369" width="11.5703125" bestFit="1" customWidth="1"/>
    <col min="2370" max="2370" width="10.42578125" bestFit="1" customWidth="1"/>
    <col min="2371" max="2371" width="10.85546875" customWidth="1"/>
    <col min="2372" max="2373" width="9.85546875" bestFit="1" customWidth="1"/>
    <col min="2374" max="2374" width="13.5703125" bestFit="1" customWidth="1"/>
    <col min="2375" max="2375" width="7.7109375" bestFit="1" customWidth="1"/>
    <col min="2376" max="2376" width="13.28515625" bestFit="1" customWidth="1"/>
    <col min="2377" max="2377" width="11.5703125" bestFit="1" customWidth="1"/>
    <col min="2378" max="2378" width="10.42578125" bestFit="1" customWidth="1"/>
    <col min="2379" max="2379" width="7.7109375" bestFit="1" customWidth="1"/>
    <col min="2380" max="2380" width="11.5703125" bestFit="1" customWidth="1"/>
    <col min="2381" max="2381" width="10.85546875" bestFit="1" customWidth="1"/>
    <col min="2382" max="2382" width="13.28515625" bestFit="1" customWidth="1"/>
    <col min="2383" max="2383" width="10.85546875" bestFit="1" customWidth="1"/>
    <col min="2384" max="2385" width="7.5703125" bestFit="1" customWidth="1"/>
    <col min="2386" max="2387" width="10.42578125" bestFit="1" customWidth="1"/>
    <col min="2388" max="2388" width="11.5703125" bestFit="1" customWidth="1"/>
    <col min="2389" max="2389" width="5.28515625" bestFit="1" customWidth="1"/>
    <col min="2390" max="2390" width="10.28515625" bestFit="1" customWidth="1"/>
    <col min="2391" max="2391" width="10.42578125" bestFit="1" customWidth="1"/>
    <col min="2392" max="2392" width="11.5703125" bestFit="1" customWidth="1"/>
    <col min="2393" max="2393" width="5.28515625" bestFit="1" customWidth="1"/>
    <col min="2394" max="2396" width="11.5703125" bestFit="1" customWidth="1"/>
    <col min="2397" max="2397" width="5.28515625" bestFit="1" customWidth="1"/>
    <col min="2398" max="2399" width="10.42578125" bestFit="1" customWidth="1"/>
    <col min="2400" max="2400" width="11.5703125" bestFit="1" customWidth="1"/>
    <col min="2401" max="2401" width="5.28515625" bestFit="1" customWidth="1"/>
    <col min="2402" max="2402" width="14.28515625" bestFit="1" customWidth="1"/>
    <col min="2403" max="2403" width="13" bestFit="1" customWidth="1"/>
    <col min="2404" max="2404" width="11.5703125" bestFit="1" customWidth="1"/>
    <col min="2405" max="2405" width="8.85546875" bestFit="1" customWidth="1"/>
    <col min="2406" max="2406" width="14.42578125" bestFit="1" customWidth="1"/>
    <col min="2407" max="2407" width="10.42578125" bestFit="1" customWidth="1"/>
    <col min="2408" max="2408" width="12.28515625" bestFit="1" customWidth="1"/>
    <col min="2409" max="2409" width="13.85546875" bestFit="1" customWidth="1"/>
    <col min="2410" max="2410" width="11.28515625" customWidth="1"/>
    <col min="2411" max="2411" width="11.5703125" customWidth="1"/>
    <col min="2412" max="2412" width="13.42578125" bestFit="1" customWidth="1"/>
    <col min="2413" max="2413" width="10.42578125" customWidth="1"/>
    <col min="2414" max="2414" width="13.85546875" bestFit="1" customWidth="1"/>
    <col min="2415" max="2415" width="15.42578125" bestFit="1" customWidth="1"/>
    <col min="2416" max="2416" width="12.28515625" bestFit="1" customWidth="1"/>
    <col min="2417" max="2417" width="12.7109375" customWidth="1"/>
    <col min="2418" max="2418" width="10.7109375" bestFit="1" customWidth="1"/>
    <col min="2419" max="2419" width="9.85546875" customWidth="1"/>
    <col min="2420" max="2421" width="10.140625" bestFit="1" customWidth="1"/>
    <col min="2422" max="2422" width="7.5703125" bestFit="1" customWidth="1"/>
    <col min="2423" max="2423" width="9.42578125" bestFit="1" customWidth="1"/>
    <col min="2424" max="2424" width="14.5703125" bestFit="1" customWidth="1"/>
    <col min="2425" max="2425" width="14.85546875" customWidth="1"/>
    <col min="2426" max="2426" width="15.140625" bestFit="1" customWidth="1"/>
    <col min="2427" max="2427" width="12.140625" bestFit="1" customWidth="1"/>
    <col min="2428" max="2428" width="14.85546875" bestFit="1" customWidth="1"/>
    <col min="2429" max="2429" width="12.28515625" bestFit="1" customWidth="1"/>
    <col min="2430" max="2438" width="9.140625" hidden="1" customWidth="1"/>
    <col min="2439" max="2439" width="5.28515625" bestFit="1" customWidth="1"/>
    <col min="2440" max="2445" width="11.5703125" bestFit="1" customWidth="1"/>
    <col min="2446" max="2446" width="11.28515625" bestFit="1" customWidth="1"/>
    <col min="2447" max="2447" width="10.140625" bestFit="1" customWidth="1"/>
    <col min="2448" max="2448" width="11.5703125" bestFit="1" customWidth="1"/>
    <col min="2449" max="2449" width="16.140625" customWidth="1"/>
    <col min="2450" max="2450" width="13.42578125" customWidth="1"/>
    <col min="2451" max="2451" width="10.140625" bestFit="1" customWidth="1"/>
    <col min="2452" max="2452" width="12.85546875" bestFit="1" customWidth="1"/>
    <col min="2453" max="2453" width="12.28515625" bestFit="1" customWidth="1"/>
    <col min="2454" max="2454" width="11.28515625" bestFit="1" customWidth="1"/>
    <col min="2455" max="2455" width="11.5703125" bestFit="1" customWidth="1"/>
    <col min="2456" max="2456" width="10.85546875" bestFit="1" customWidth="1"/>
    <col min="2457" max="2457" width="11.28515625" bestFit="1" customWidth="1"/>
    <col min="2458" max="2458" width="10.140625" bestFit="1" customWidth="1"/>
    <col min="2459" max="2459" width="13.28515625" bestFit="1" customWidth="1"/>
    <col min="2460" max="2461" width="12.7109375" bestFit="1" customWidth="1"/>
    <col min="2462" max="2462" width="11" bestFit="1" customWidth="1"/>
    <col min="2463" max="2463" width="11.28515625" bestFit="1" customWidth="1"/>
    <col min="2464" max="2464" width="11.5703125" bestFit="1" customWidth="1"/>
    <col min="2465" max="2465" width="12.28515625" bestFit="1" customWidth="1"/>
    <col min="2466" max="2466" width="15.140625" bestFit="1" customWidth="1"/>
    <col min="2467" max="2467" width="14.42578125" bestFit="1" customWidth="1"/>
    <col min="2468" max="2468" width="12.28515625" bestFit="1" customWidth="1"/>
    <col min="2469" max="2469" width="15.140625" bestFit="1" customWidth="1"/>
    <col min="2470" max="2470" width="14.42578125" bestFit="1" customWidth="1"/>
    <col min="2471" max="2471" width="12.28515625" bestFit="1" customWidth="1"/>
    <col min="2472" max="2472" width="14.42578125" bestFit="1" customWidth="1"/>
    <col min="2473" max="2473" width="11.28515625" bestFit="1" customWidth="1"/>
    <col min="2474" max="2474" width="12.28515625" bestFit="1" customWidth="1"/>
    <col min="2475" max="2475" width="13" bestFit="1" customWidth="1"/>
    <col min="2476" max="2476" width="15.140625" bestFit="1" customWidth="1"/>
    <col min="2477" max="2477" width="12.28515625" bestFit="1" customWidth="1"/>
    <col min="2478" max="2478" width="13.85546875" bestFit="1" customWidth="1"/>
    <col min="2479" max="2479" width="11.28515625" bestFit="1" customWidth="1"/>
    <col min="2480" max="2480" width="12.28515625" bestFit="1" customWidth="1"/>
    <col min="2481" max="2481" width="13.85546875" bestFit="1" customWidth="1"/>
    <col min="2482" max="2483" width="15.140625" bestFit="1" customWidth="1"/>
    <col min="2484" max="2484" width="12.28515625" bestFit="1" customWidth="1"/>
    <col min="2485" max="2485" width="5.7109375" bestFit="1" customWidth="1"/>
    <col min="2486" max="2486" width="8.5703125" bestFit="1" customWidth="1"/>
    <col min="2487" max="2487" width="5.5703125" bestFit="1" customWidth="1"/>
    <col min="2488" max="2488" width="14.42578125" bestFit="1" customWidth="1"/>
    <col min="2489" max="2489" width="11.28515625" bestFit="1" customWidth="1"/>
    <col min="2490" max="2491" width="12.28515625" bestFit="1" customWidth="1"/>
    <col min="2492" max="2492" width="11.28515625" bestFit="1" customWidth="1"/>
    <col min="2493" max="2493" width="13.85546875" bestFit="1" customWidth="1"/>
    <col min="2494" max="2494" width="12" bestFit="1" customWidth="1"/>
    <col min="2495" max="2495" width="13.85546875" bestFit="1" customWidth="1"/>
    <col min="2496" max="2497" width="14.42578125" customWidth="1"/>
    <col min="2498" max="2498" width="10.140625" bestFit="1" customWidth="1"/>
    <col min="2499" max="2499" width="12.28515625" bestFit="1" customWidth="1"/>
    <col min="2500" max="2500" width="7.42578125" bestFit="1" customWidth="1"/>
    <col min="2501" max="2501" width="8.5703125" bestFit="1" customWidth="1"/>
    <col min="2502" max="2502" width="11.5703125" bestFit="1" customWidth="1"/>
    <col min="2503" max="2503" width="13.28515625" bestFit="1" customWidth="1"/>
    <col min="2504" max="2504" width="13.28515625" customWidth="1"/>
    <col min="2505" max="2505" width="13.140625" customWidth="1"/>
    <col min="2506" max="2506" width="12.7109375" bestFit="1" customWidth="1"/>
    <col min="2507" max="2507" width="13.28515625" bestFit="1" customWidth="1"/>
    <col min="2508" max="2510" width="13.28515625" customWidth="1"/>
    <col min="2511" max="2511" width="12.140625" bestFit="1" customWidth="1"/>
    <col min="2512" max="2512" width="12.7109375" bestFit="1" customWidth="1"/>
    <col min="2513" max="2513" width="11" customWidth="1"/>
    <col min="2514" max="2514" width="16.7109375" customWidth="1"/>
    <col min="2515" max="2515" width="17" customWidth="1"/>
    <col min="2516" max="2516" width="10.42578125" bestFit="1" customWidth="1"/>
    <col min="2560" max="2560" width="3.85546875" customWidth="1"/>
    <col min="2561" max="2561" width="15.28515625" bestFit="1" customWidth="1"/>
    <col min="2562" max="2562" width="12.28515625" customWidth="1"/>
    <col min="2563" max="2563" width="16.28515625" bestFit="1" customWidth="1"/>
    <col min="2564" max="2564" width="6.42578125" bestFit="1" customWidth="1"/>
    <col min="2565" max="2565" width="9.28515625" bestFit="1" customWidth="1"/>
    <col min="2566" max="2566" width="7.5703125" bestFit="1" customWidth="1"/>
    <col min="2567" max="2567" width="13.28515625" bestFit="1" customWidth="1"/>
    <col min="2568" max="2568" width="9.28515625" bestFit="1" customWidth="1"/>
    <col min="2569" max="2569" width="11.5703125" bestFit="1" customWidth="1"/>
    <col min="2570" max="2570" width="13.28515625" bestFit="1" customWidth="1"/>
    <col min="2571" max="2571" width="7.140625" bestFit="1" customWidth="1"/>
    <col min="2572" max="2572" width="12" bestFit="1" customWidth="1"/>
    <col min="2573" max="2573" width="13.28515625" bestFit="1" customWidth="1"/>
    <col min="2574" max="2574" width="7" bestFit="1" customWidth="1"/>
    <col min="2575" max="2575" width="12.7109375" bestFit="1" customWidth="1"/>
    <col min="2576" max="2576" width="11.5703125" bestFit="1" customWidth="1"/>
    <col min="2577" max="2577" width="10.5703125" bestFit="1" customWidth="1"/>
    <col min="2578" max="2579" width="15.7109375" bestFit="1" customWidth="1"/>
    <col min="2580" max="2580" width="11.5703125" bestFit="1" customWidth="1"/>
    <col min="2581" max="2581" width="7.7109375" bestFit="1" customWidth="1"/>
    <col min="2582" max="2582" width="15.140625" bestFit="1" customWidth="1"/>
    <col min="2583" max="2583" width="11.5703125" bestFit="1" customWidth="1"/>
    <col min="2584" max="2584" width="13.28515625" bestFit="1" customWidth="1"/>
    <col min="2585" max="2585" width="10.42578125" bestFit="1" customWidth="1"/>
    <col min="2586" max="2586" width="13.28515625" bestFit="1" customWidth="1"/>
    <col min="2587" max="2587" width="12.140625" bestFit="1" customWidth="1"/>
    <col min="2588" max="2588" width="14.42578125" bestFit="1" customWidth="1"/>
    <col min="2589" max="2589" width="13.28515625" bestFit="1" customWidth="1"/>
    <col min="2590" max="2590" width="11.5703125" bestFit="1" customWidth="1"/>
    <col min="2591" max="2591" width="7.7109375" bestFit="1" customWidth="1"/>
    <col min="2592" max="2593" width="14.42578125" bestFit="1" customWidth="1"/>
    <col min="2594" max="2594" width="11.5703125" bestFit="1" customWidth="1"/>
    <col min="2595" max="2595" width="7.7109375" bestFit="1" customWidth="1"/>
    <col min="2596" max="2596" width="13.5703125" customWidth="1"/>
    <col min="2597" max="2597" width="15.28515625" customWidth="1"/>
    <col min="2598" max="2598" width="14.5703125" customWidth="1"/>
    <col min="2599" max="2599" width="13.28515625" bestFit="1" customWidth="1"/>
    <col min="2600" max="2600" width="7.7109375" bestFit="1" customWidth="1"/>
    <col min="2601" max="2601" width="12.7109375" bestFit="1" customWidth="1"/>
    <col min="2602" max="2602" width="11.7109375" bestFit="1" customWidth="1"/>
    <col min="2603" max="2603" width="11.5703125" bestFit="1" customWidth="1"/>
    <col min="2604" max="2604" width="5.28515625" bestFit="1" customWidth="1"/>
    <col min="2605" max="2605" width="13.28515625" bestFit="1" customWidth="1"/>
    <col min="2606" max="2606" width="13.5703125" bestFit="1" customWidth="1"/>
    <col min="2607" max="2607" width="10.5703125" bestFit="1" customWidth="1"/>
    <col min="2608" max="2608" width="13.28515625" bestFit="1" customWidth="1"/>
    <col min="2609" max="2609" width="11.5703125" bestFit="1" customWidth="1"/>
    <col min="2610" max="2610" width="10.5703125" bestFit="1" customWidth="1"/>
    <col min="2611" max="2611" width="16.140625" bestFit="1" customWidth="1"/>
    <col min="2612" max="2613" width="11.28515625" bestFit="1" customWidth="1"/>
    <col min="2614" max="2614" width="13.28515625" bestFit="1" customWidth="1"/>
    <col min="2615" max="2615" width="7.7109375" bestFit="1" customWidth="1"/>
    <col min="2616" max="2619" width="9.140625" hidden="1" customWidth="1"/>
    <col min="2620" max="2620" width="10.42578125" bestFit="1" customWidth="1"/>
    <col min="2621" max="2621" width="10.5703125" bestFit="1" customWidth="1"/>
    <col min="2622" max="2622" width="10.42578125" bestFit="1" customWidth="1"/>
    <col min="2623" max="2623" width="10.5703125" bestFit="1" customWidth="1"/>
    <col min="2624" max="2624" width="9.5703125" bestFit="1" customWidth="1"/>
    <col min="2625" max="2625" width="11.5703125" bestFit="1" customWidth="1"/>
    <col min="2626" max="2626" width="10.42578125" bestFit="1" customWidth="1"/>
    <col min="2627" max="2627" width="10.85546875" customWidth="1"/>
    <col min="2628" max="2629" width="9.85546875" bestFit="1" customWidth="1"/>
    <col min="2630" max="2630" width="13.5703125" bestFit="1" customWidth="1"/>
    <col min="2631" max="2631" width="7.7109375" bestFit="1" customWidth="1"/>
    <col min="2632" max="2632" width="13.28515625" bestFit="1" customWidth="1"/>
    <col min="2633" max="2633" width="11.5703125" bestFit="1" customWidth="1"/>
    <col min="2634" max="2634" width="10.42578125" bestFit="1" customWidth="1"/>
    <col min="2635" max="2635" width="7.7109375" bestFit="1" customWidth="1"/>
    <col min="2636" max="2636" width="11.5703125" bestFit="1" customWidth="1"/>
    <col min="2637" max="2637" width="10.85546875" bestFit="1" customWidth="1"/>
    <col min="2638" max="2638" width="13.28515625" bestFit="1" customWidth="1"/>
    <col min="2639" max="2639" width="10.85546875" bestFit="1" customWidth="1"/>
    <col min="2640" max="2641" width="7.5703125" bestFit="1" customWidth="1"/>
    <col min="2642" max="2643" width="10.42578125" bestFit="1" customWidth="1"/>
    <col min="2644" max="2644" width="11.5703125" bestFit="1" customWidth="1"/>
    <col min="2645" max="2645" width="5.28515625" bestFit="1" customWidth="1"/>
    <col min="2646" max="2646" width="10.28515625" bestFit="1" customWidth="1"/>
    <col min="2647" max="2647" width="10.42578125" bestFit="1" customWidth="1"/>
    <col min="2648" max="2648" width="11.5703125" bestFit="1" customWidth="1"/>
    <col min="2649" max="2649" width="5.28515625" bestFit="1" customWidth="1"/>
    <col min="2650" max="2652" width="11.5703125" bestFit="1" customWidth="1"/>
    <col min="2653" max="2653" width="5.28515625" bestFit="1" customWidth="1"/>
    <col min="2654" max="2655" width="10.42578125" bestFit="1" customWidth="1"/>
    <col min="2656" max="2656" width="11.5703125" bestFit="1" customWidth="1"/>
    <col min="2657" max="2657" width="5.28515625" bestFit="1" customWidth="1"/>
    <col min="2658" max="2658" width="14.28515625" bestFit="1" customWidth="1"/>
    <col min="2659" max="2659" width="13" bestFit="1" customWidth="1"/>
    <col min="2660" max="2660" width="11.5703125" bestFit="1" customWidth="1"/>
    <col min="2661" max="2661" width="8.85546875" bestFit="1" customWidth="1"/>
    <col min="2662" max="2662" width="14.42578125" bestFit="1" customWidth="1"/>
    <col min="2663" max="2663" width="10.42578125" bestFit="1" customWidth="1"/>
    <col min="2664" max="2664" width="12.28515625" bestFit="1" customWidth="1"/>
    <col min="2665" max="2665" width="13.85546875" bestFit="1" customWidth="1"/>
    <col min="2666" max="2666" width="11.28515625" customWidth="1"/>
    <col min="2667" max="2667" width="11.5703125" customWidth="1"/>
    <col min="2668" max="2668" width="13.42578125" bestFit="1" customWidth="1"/>
    <col min="2669" max="2669" width="10.42578125" customWidth="1"/>
    <col min="2670" max="2670" width="13.85546875" bestFit="1" customWidth="1"/>
    <col min="2671" max="2671" width="15.42578125" bestFit="1" customWidth="1"/>
    <col min="2672" max="2672" width="12.28515625" bestFit="1" customWidth="1"/>
    <col min="2673" max="2673" width="12.7109375" customWidth="1"/>
    <col min="2674" max="2674" width="10.7109375" bestFit="1" customWidth="1"/>
    <col min="2675" max="2675" width="9.85546875" customWidth="1"/>
    <col min="2676" max="2677" width="10.140625" bestFit="1" customWidth="1"/>
    <col min="2678" max="2678" width="7.5703125" bestFit="1" customWidth="1"/>
    <col min="2679" max="2679" width="9.42578125" bestFit="1" customWidth="1"/>
    <col min="2680" max="2680" width="14.5703125" bestFit="1" customWidth="1"/>
    <col min="2681" max="2681" width="14.85546875" customWidth="1"/>
    <col min="2682" max="2682" width="15.140625" bestFit="1" customWidth="1"/>
    <col min="2683" max="2683" width="12.140625" bestFit="1" customWidth="1"/>
    <col min="2684" max="2684" width="14.85546875" bestFit="1" customWidth="1"/>
    <col min="2685" max="2685" width="12.28515625" bestFit="1" customWidth="1"/>
    <col min="2686" max="2694" width="9.140625" hidden="1" customWidth="1"/>
    <col min="2695" max="2695" width="5.28515625" bestFit="1" customWidth="1"/>
    <col min="2696" max="2701" width="11.5703125" bestFit="1" customWidth="1"/>
    <col min="2702" max="2702" width="11.28515625" bestFit="1" customWidth="1"/>
    <col min="2703" max="2703" width="10.140625" bestFit="1" customWidth="1"/>
    <col min="2704" max="2704" width="11.5703125" bestFit="1" customWidth="1"/>
    <col min="2705" max="2705" width="16.140625" customWidth="1"/>
    <col min="2706" max="2706" width="13.42578125" customWidth="1"/>
    <col min="2707" max="2707" width="10.140625" bestFit="1" customWidth="1"/>
    <col min="2708" max="2708" width="12.85546875" bestFit="1" customWidth="1"/>
    <col min="2709" max="2709" width="12.28515625" bestFit="1" customWidth="1"/>
    <col min="2710" max="2710" width="11.28515625" bestFit="1" customWidth="1"/>
    <col min="2711" max="2711" width="11.5703125" bestFit="1" customWidth="1"/>
    <col min="2712" max="2712" width="10.85546875" bestFit="1" customWidth="1"/>
    <col min="2713" max="2713" width="11.28515625" bestFit="1" customWidth="1"/>
    <col min="2714" max="2714" width="10.140625" bestFit="1" customWidth="1"/>
    <col min="2715" max="2715" width="13.28515625" bestFit="1" customWidth="1"/>
    <col min="2716" max="2717" width="12.7109375" bestFit="1" customWidth="1"/>
    <col min="2718" max="2718" width="11" bestFit="1" customWidth="1"/>
    <col min="2719" max="2719" width="11.28515625" bestFit="1" customWidth="1"/>
    <col min="2720" max="2720" width="11.5703125" bestFit="1" customWidth="1"/>
    <col min="2721" max="2721" width="12.28515625" bestFit="1" customWidth="1"/>
    <col min="2722" max="2722" width="15.140625" bestFit="1" customWidth="1"/>
    <col min="2723" max="2723" width="14.42578125" bestFit="1" customWidth="1"/>
    <col min="2724" max="2724" width="12.28515625" bestFit="1" customWidth="1"/>
    <col min="2725" max="2725" width="15.140625" bestFit="1" customWidth="1"/>
    <col min="2726" max="2726" width="14.42578125" bestFit="1" customWidth="1"/>
    <col min="2727" max="2727" width="12.28515625" bestFit="1" customWidth="1"/>
    <col min="2728" max="2728" width="14.42578125" bestFit="1" customWidth="1"/>
    <col min="2729" max="2729" width="11.28515625" bestFit="1" customWidth="1"/>
    <col min="2730" max="2730" width="12.28515625" bestFit="1" customWidth="1"/>
    <col min="2731" max="2731" width="13" bestFit="1" customWidth="1"/>
    <col min="2732" max="2732" width="15.140625" bestFit="1" customWidth="1"/>
    <col min="2733" max="2733" width="12.28515625" bestFit="1" customWidth="1"/>
    <col min="2734" max="2734" width="13.85546875" bestFit="1" customWidth="1"/>
    <col min="2735" max="2735" width="11.28515625" bestFit="1" customWidth="1"/>
    <col min="2736" max="2736" width="12.28515625" bestFit="1" customWidth="1"/>
    <col min="2737" max="2737" width="13.85546875" bestFit="1" customWidth="1"/>
    <col min="2738" max="2739" width="15.140625" bestFit="1" customWidth="1"/>
    <col min="2740" max="2740" width="12.28515625" bestFit="1" customWidth="1"/>
    <col min="2741" max="2741" width="5.7109375" bestFit="1" customWidth="1"/>
    <col min="2742" max="2742" width="8.5703125" bestFit="1" customWidth="1"/>
    <col min="2743" max="2743" width="5.5703125" bestFit="1" customWidth="1"/>
    <col min="2744" max="2744" width="14.42578125" bestFit="1" customWidth="1"/>
    <col min="2745" max="2745" width="11.28515625" bestFit="1" customWidth="1"/>
    <col min="2746" max="2747" width="12.28515625" bestFit="1" customWidth="1"/>
    <col min="2748" max="2748" width="11.28515625" bestFit="1" customWidth="1"/>
    <col min="2749" max="2749" width="13.85546875" bestFit="1" customWidth="1"/>
    <col min="2750" max="2750" width="12" bestFit="1" customWidth="1"/>
    <col min="2751" max="2751" width="13.85546875" bestFit="1" customWidth="1"/>
    <col min="2752" max="2753" width="14.42578125" customWidth="1"/>
    <col min="2754" max="2754" width="10.140625" bestFit="1" customWidth="1"/>
    <col min="2755" max="2755" width="12.28515625" bestFit="1" customWidth="1"/>
    <col min="2756" max="2756" width="7.42578125" bestFit="1" customWidth="1"/>
    <col min="2757" max="2757" width="8.5703125" bestFit="1" customWidth="1"/>
    <col min="2758" max="2758" width="11.5703125" bestFit="1" customWidth="1"/>
    <col min="2759" max="2759" width="13.28515625" bestFit="1" customWidth="1"/>
    <col min="2760" max="2760" width="13.28515625" customWidth="1"/>
    <col min="2761" max="2761" width="13.140625" customWidth="1"/>
    <col min="2762" max="2762" width="12.7109375" bestFit="1" customWidth="1"/>
    <col min="2763" max="2763" width="13.28515625" bestFit="1" customWidth="1"/>
    <col min="2764" max="2766" width="13.28515625" customWidth="1"/>
    <col min="2767" max="2767" width="12.140625" bestFit="1" customWidth="1"/>
    <col min="2768" max="2768" width="12.7109375" bestFit="1" customWidth="1"/>
    <col min="2769" max="2769" width="11" customWidth="1"/>
    <col min="2770" max="2770" width="16.7109375" customWidth="1"/>
    <col min="2771" max="2771" width="17" customWidth="1"/>
    <col min="2772" max="2772" width="10.42578125" bestFit="1" customWidth="1"/>
    <col min="2816" max="2816" width="3.85546875" customWidth="1"/>
    <col min="2817" max="2817" width="15.28515625" bestFit="1" customWidth="1"/>
    <col min="2818" max="2818" width="12.28515625" customWidth="1"/>
    <col min="2819" max="2819" width="16.28515625" bestFit="1" customWidth="1"/>
    <col min="2820" max="2820" width="6.42578125" bestFit="1" customWidth="1"/>
    <col min="2821" max="2821" width="9.28515625" bestFit="1" customWidth="1"/>
    <col min="2822" max="2822" width="7.5703125" bestFit="1" customWidth="1"/>
    <col min="2823" max="2823" width="13.28515625" bestFit="1" customWidth="1"/>
    <col min="2824" max="2824" width="9.28515625" bestFit="1" customWidth="1"/>
    <col min="2825" max="2825" width="11.5703125" bestFit="1" customWidth="1"/>
    <col min="2826" max="2826" width="13.28515625" bestFit="1" customWidth="1"/>
    <col min="2827" max="2827" width="7.140625" bestFit="1" customWidth="1"/>
    <col min="2828" max="2828" width="12" bestFit="1" customWidth="1"/>
    <col min="2829" max="2829" width="13.28515625" bestFit="1" customWidth="1"/>
    <col min="2830" max="2830" width="7" bestFit="1" customWidth="1"/>
    <col min="2831" max="2831" width="12.7109375" bestFit="1" customWidth="1"/>
    <col min="2832" max="2832" width="11.5703125" bestFit="1" customWidth="1"/>
    <col min="2833" max="2833" width="10.5703125" bestFit="1" customWidth="1"/>
    <col min="2834" max="2835" width="15.7109375" bestFit="1" customWidth="1"/>
    <col min="2836" max="2836" width="11.5703125" bestFit="1" customWidth="1"/>
    <col min="2837" max="2837" width="7.7109375" bestFit="1" customWidth="1"/>
    <col min="2838" max="2838" width="15.140625" bestFit="1" customWidth="1"/>
    <col min="2839" max="2839" width="11.5703125" bestFit="1" customWidth="1"/>
    <col min="2840" max="2840" width="13.28515625" bestFit="1" customWidth="1"/>
    <col min="2841" max="2841" width="10.42578125" bestFit="1" customWidth="1"/>
    <col min="2842" max="2842" width="13.28515625" bestFit="1" customWidth="1"/>
    <col min="2843" max="2843" width="12.140625" bestFit="1" customWidth="1"/>
    <col min="2844" max="2844" width="14.42578125" bestFit="1" customWidth="1"/>
    <col min="2845" max="2845" width="13.28515625" bestFit="1" customWidth="1"/>
    <col min="2846" max="2846" width="11.5703125" bestFit="1" customWidth="1"/>
    <col min="2847" max="2847" width="7.7109375" bestFit="1" customWidth="1"/>
    <col min="2848" max="2849" width="14.42578125" bestFit="1" customWidth="1"/>
    <col min="2850" max="2850" width="11.5703125" bestFit="1" customWidth="1"/>
    <col min="2851" max="2851" width="7.7109375" bestFit="1" customWidth="1"/>
    <col min="2852" max="2852" width="13.5703125" customWidth="1"/>
    <col min="2853" max="2853" width="15.28515625" customWidth="1"/>
    <col min="2854" max="2854" width="14.5703125" customWidth="1"/>
    <col min="2855" max="2855" width="13.28515625" bestFit="1" customWidth="1"/>
    <col min="2856" max="2856" width="7.7109375" bestFit="1" customWidth="1"/>
    <col min="2857" max="2857" width="12.7109375" bestFit="1" customWidth="1"/>
    <col min="2858" max="2858" width="11.7109375" bestFit="1" customWidth="1"/>
    <col min="2859" max="2859" width="11.5703125" bestFit="1" customWidth="1"/>
    <col min="2860" max="2860" width="5.28515625" bestFit="1" customWidth="1"/>
    <col min="2861" max="2861" width="13.28515625" bestFit="1" customWidth="1"/>
    <col min="2862" max="2862" width="13.5703125" bestFit="1" customWidth="1"/>
    <col min="2863" max="2863" width="10.5703125" bestFit="1" customWidth="1"/>
    <col min="2864" max="2864" width="13.28515625" bestFit="1" customWidth="1"/>
    <col min="2865" max="2865" width="11.5703125" bestFit="1" customWidth="1"/>
    <col min="2866" max="2866" width="10.5703125" bestFit="1" customWidth="1"/>
    <col min="2867" max="2867" width="16.140625" bestFit="1" customWidth="1"/>
    <col min="2868" max="2869" width="11.28515625" bestFit="1" customWidth="1"/>
    <col min="2870" max="2870" width="13.28515625" bestFit="1" customWidth="1"/>
    <col min="2871" max="2871" width="7.7109375" bestFit="1" customWidth="1"/>
    <col min="2872" max="2875" width="9.140625" hidden="1" customWidth="1"/>
    <col min="2876" max="2876" width="10.42578125" bestFit="1" customWidth="1"/>
    <col min="2877" max="2877" width="10.5703125" bestFit="1" customWidth="1"/>
    <col min="2878" max="2878" width="10.42578125" bestFit="1" customWidth="1"/>
    <col min="2879" max="2879" width="10.5703125" bestFit="1" customWidth="1"/>
    <col min="2880" max="2880" width="9.5703125" bestFit="1" customWidth="1"/>
    <col min="2881" max="2881" width="11.5703125" bestFit="1" customWidth="1"/>
    <col min="2882" max="2882" width="10.42578125" bestFit="1" customWidth="1"/>
    <col min="2883" max="2883" width="10.85546875" customWidth="1"/>
    <col min="2884" max="2885" width="9.85546875" bestFit="1" customWidth="1"/>
    <col min="2886" max="2886" width="13.5703125" bestFit="1" customWidth="1"/>
    <col min="2887" max="2887" width="7.7109375" bestFit="1" customWidth="1"/>
    <col min="2888" max="2888" width="13.28515625" bestFit="1" customWidth="1"/>
    <col min="2889" max="2889" width="11.5703125" bestFit="1" customWidth="1"/>
    <col min="2890" max="2890" width="10.42578125" bestFit="1" customWidth="1"/>
    <col min="2891" max="2891" width="7.7109375" bestFit="1" customWidth="1"/>
    <col min="2892" max="2892" width="11.5703125" bestFit="1" customWidth="1"/>
    <col min="2893" max="2893" width="10.85546875" bestFit="1" customWidth="1"/>
    <col min="2894" max="2894" width="13.28515625" bestFit="1" customWidth="1"/>
    <col min="2895" max="2895" width="10.85546875" bestFit="1" customWidth="1"/>
    <col min="2896" max="2897" width="7.5703125" bestFit="1" customWidth="1"/>
    <col min="2898" max="2899" width="10.42578125" bestFit="1" customWidth="1"/>
    <col min="2900" max="2900" width="11.5703125" bestFit="1" customWidth="1"/>
    <col min="2901" max="2901" width="5.28515625" bestFit="1" customWidth="1"/>
    <col min="2902" max="2902" width="10.28515625" bestFit="1" customWidth="1"/>
    <col min="2903" max="2903" width="10.42578125" bestFit="1" customWidth="1"/>
    <col min="2904" max="2904" width="11.5703125" bestFit="1" customWidth="1"/>
    <col min="2905" max="2905" width="5.28515625" bestFit="1" customWidth="1"/>
    <col min="2906" max="2908" width="11.5703125" bestFit="1" customWidth="1"/>
    <col min="2909" max="2909" width="5.28515625" bestFit="1" customWidth="1"/>
    <col min="2910" max="2911" width="10.42578125" bestFit="1" customWidth="1"/>
    <col min="2912" max="2912" width="11.5703125" bestFit="1" customWidth="1"/>
    <col min="2913" max="2913" width="5.28515625" bestFit="1" customWidth="1"/>
    <col min="2914" max="2914" width="14.28515625" bestFit="1" customWidth="1"/>
    <col min="2915" max="2915" width="13" bestFit="1" customWidth="1"/>
    <col min="2916" max="2916" width="11.5703125" bestFit="1" customWidth="1"/>
    <col min="2917" max="2917" width="8.85546875" bestFit="1" customWidth="1"/>
    <col min="2918" max="2918" width="14.42578125" bestFit="1" customWidth="1"/>
    <col min="2919" max="2919" width="10.42578125" bestFit="1" customWidth="1"/>
    <col min="2920" max="2920" width="12.28515625" bestFit="1" customWidth="1"/>
    <col min="2921" max="2921" width="13.85546875" bestFit="1" customWidth="1"/>
    <col min="2922" max="2922" width="11.28515625" customWidth="1"/>
    <col min="2923" max="2923" width="11.5703125" customWidth="1"/>
    <col min="2924" max="2924" width="13.42578125" bestFit="1" customWidth="1"/>
    <col min="2925" max="2925" width="10.42578125" customWidth="1"/>
    <col min="2926" max="2926" width="13.85546875" bestFit="1" customWidth="1"/>
    <col min="2927" max="2927" width="15.42578125" bestFit="1" customWidth="1"/>
    <col min="2928" max="2928" width="12.28515625" bestFit="1" customWidth="1"/>
    <col min="2929" max="2929" width="12.7109375" customWidth="1"/>
    <col min="2930" max="2930" width="10.7109375" bestFit="1" customWidth="1"/>
    <col min="2931" max="2931" width="9.85546875" customWidth="1"/>
    <col min="2932" max="2933" width="10.140625" bestFit="1" customWidth="1"/>
    <col min="2934" max="2934" width="7.5703125" bestFit="1" customWidth="1"/>
    <col min="2935" max="2935" width="9.42578125" bestFit="1" customWidth="1"/>
    <col min="2936" max="2936" width="14.5703125" bestFit="1" customWidth="1"/>
    <col min="2937" max="2937" width="14.85546875" customWidth="1"/>
    <col min="2938" max="2938" width="15.140625" bestFit="1" customWidth="1"/>
    <col min="2939" max="2939" width="12.140625" bestFit="1" customWidth="1"/>
    <col min="2940" max="2940" width="14.85546875" bestFit="1" customWidth="1"/>
    <col min="2941" max="2941" width="12.28515625" bestFit="1" customWidth="1"/>
    <col min="2942" max="2950" width="9.140625" hidden="1" customWidth="1"/>
    <col min="2951" max="2951" width="5.28515625" bestFit="1" customWidth="1"/>
    <col min="2952" max="2957" width="11.5703125" bestFit="1" customWidth="1"/>
    <col min="2958" max="2958" width="11.28515625" bestFit="1" customWidth="1"/>
    <col min="2959" max="2959" width="10.140625" bestFit="1" customWidth="1"/>
    <col min="2960" max="2960" width="11.5703125" bestFit="1" customWidth="1"/>
    <col min="2961" max="2961" width="16.140625" customWidth="1"/>
    <col min="2962" max="2962" width="13.42578125" customWidth="1"/>
    <col min="2963" max="2963" width="10.140625" bestFit="1" customWidth="1"/>
    <col min="2964" max="2964" width="12.85546875" bestFit="1" customWidth="1"/>
    <col min="2965" max="2965" width="12.28515625" bestFit="1" customWidth="1"/>
    <col min="2966" max="2966" width="11.28515625" bestFit="1" customWidth="1"/>
    <col min="2967" max="2967" width="11.5703125" bestFit="1" customWidth="1"/>
    <col min="2968" max="2968" width="10.85546875" bestFit="1" customWidth="1"/>
    <col min="2969" max="2969" width="11.28515625" bestFit="1" customWidth="1"/>
    <col min="2970" max="2970" width="10.140625" bestFit="1" customWidth="1"/>
    <col min="2971" max="2971" width="13.28515625" bestFit="1" customWidth="1"/>
    <col min="2972" max="2973" width="12.7109375" bestFit="1" customWidth="1"/>
    <col min="2974" max="2974" width="11" bestFit="1" customWidth="1"/>
    <col min="2975" max="2975" width="11.28515625" bestFit="1" customWidth="1"/>
    <col min="2976" max="2976" width="11.5703125" bestFit="1" customWidth="1"/>
    <col min="2977" max="2977" width="12.28515625" bestFit="1" customWidth="1"/>
    <col min="2978" max="2978" width="15.140625" bestFit="1" customWidth="1"/>
    <col min="2979" max="2979" width="14.42578125" bestFit="1" customWidth="1"/>
    <col min="2980" max="2980" width="12.28515625" bestFit="1" customWidth="1"/>
    <col min="2981" max="2981" width="15.140625" bestFit="1" customWidth="1"/>
    <col min="2982" max="2982" width="14.42578125" bestFit="1" customWidth="1"/>
    <col min="2983" max="2983" width="12.28515625" bestFit="1" customWidth="1"/>
    <col min="2984" max="2984" width="14.42578125" bestFit="1" customWidth="1"/>
    <col min="2985" max="2985" width="11.28515625" bestFit="1" customWidth="1"/>
    <col min="2986" max="2986" width="12.28515625" bestFit="1" customWidth="1"/>
    <col min="2987" max="2987" width="13" bestFit="1" customWidth="1"/>
    <col min="2988" max="2988" width="15.140625" bestFit="1" customWidth="1"/>
    <col min="2989" max="2989" width="12.28515625" bestFit="1" customWidth="1"/>
    <col min="2990" max="2990" width="13.85546875" bestFit="1" customWidth="1"/>
    <col min="2991" max="2991" width="11.28515625" bestFit="1" customWidth="1"/>
    <col min="2992" max="2992" width="12.28515625" bestFit="1" customWidth="1"/>
    <col min="2993" max="2993" width="13.85546875" bestFit="1" customWidth="1"/>
    <col min="2994" max="2995" width="15.140625" bestFit="1" customWidth="1"/>
    <col min="2996" max="2996" width="12.28515625" bestFit="1" customWidth="1"/>
    <col min="2997" max="2997" width="5.7109375" bestFit="1" customWidth="1"/>
    <col min="2998" max="2998" width="8.5703125" bestFit="1" customWidth="1"/>
    <col min="2999" max="2999" width="5.5703125" bestFit="1" customWidth="1"/>
    <col min="3000" max="3000" width="14.42578125" bestFit="1" customWidth="1"/>
    <col min="3001" max="3001" width="11.28515625" bestFit="1" customWidth="1"/>
    <col min="3002" max="3003" width="12.28515625" bestFit="1" customWidth="1"/>
    <col min="3004" max="3004" width="11.28515625" bestFit="1" customWidth="1"/>
    <col min="3005" max="3005" width="13.85546875" bestFit="1" customWidth="1"/>
    <col min="3006" max="3006" width="12" bestFit="1" customWidth="1"/>
    <col min="3007" max="3007" width="13.85546875" bestFit="1" customWidth="1"/>
    <col min="3008" max="3009" width="14.42578125" customWidth="1"/>
    <col min="3010" max="3010" width="10.140625" bestFit="1" customWidth="1"/>
    <col min="3011" max="3011" width="12.28515625" bestFit="1" customWidth="1"/>
    <col min="3012" max="3012" width="7.42578125" bestFit="1" customWidth="1"/>
    <col min="3013" max="3013" width="8.5703125" bestFit="1" customWidth="1"/>
    <col min="3014" max="3014" width="11.5703125" bestFit="1" customWidth="1"/>
    <col min="3015" max="3015" width="13.28515625" bestFit="1" customWidth="1"/>
    <col min="3016" max="3016" width="13.28515625" customWidth="1"/>
    <col min="3017" max="3017" width="13.140625" customWidth="1"/>
    <col min="3018" max="3018" width="12.7109375" bestFit="1" customWidth="1"/>
    <col min="3019" max="3019" width="13.28515625" bestFit="1" customWidth="1"/>
    <col min="3020" max="3022" width="13.28515625" customWidth="1"/>
    <col min="3023" max="3023" width="12.140625" bestFit="1" customWidth="1"/>
    <col min="3024" max="3024" width="12.7109375" bestFit="1" customWidth="1"/>
    <col min="3025" max="3025" width="11" customWidth="1"/>
    <col min="3026" max="3026" width="16.7109375" customWidth="1"/>
    <col min="3027" max="3027" width="17" customWidth="1"/>
    <col min="3028" max="3028" width="10.42578125" bestFit="1" customWidth="1"/>
    <col min="3072" max="3072" width="3.85546875" customWidth="1"/>
    <col min="3073" max="3073" width="15.28515625" bestFit="1" customWidth="1"/>
    <col min="3074" max="3074" width="12.28515625" customWidth="1"/>
    <col min="3075" max="3075" width="16.28515625" bestFit="1" customWidth="1"/>
    <col min="3076" max="3076" width="6.42578125" bestFit="1" customWidth="1"/>
    <col min="3077" max="3077" width="9.28515625" bestFit="1" customWidth="1"/>
    <col min="3078" max="3078" width="7.5703125" bestFit="1" customWidth="1"/>
    <col min="3079" max="3079" width="13.28515625" bestFit="1" customWidth="1"/>
    <col min="3080" max="3080" width="9.28515625" bestFit="1" customWidth="1"/>
    <col min="3081" max="3081" width="11.5703125" bestFit="1" customWidth="1"/>
    <col min="3082" max="3082" width="13.28515625" bestFit="1" customWidth="1"/>
    <col min="3083" max="3083" width="7.140625" bestFit="1" customWidth="1"/>
    <col min="3084" max="3084" width="12" bestFit="1" customWidth="1"/>
    <col min="3085" max="3085" width="13.28515625" bestFit="1" customWidth="1"/>
    <col min="3086" max="3086" width="7" bestFit="1" customWidth="1"/>
    <col min="3087" max="3087" width="12.7109375" bestFit="1" customWidth="1"/>
    <col min="3088" max="3088" width="11.5703125" bestFit="1" customWidth="1"/>
    <col min="3089" max="3089" width="10.5703125" bestFit="1" customWidth="1"/>
    <col min="3090" max="3091" width="15.7109375" bestFit="1" customWidth="1"/>
    <col min="3092" max="3092" width="11.5703125" bestFit="1" customWidth="1"/>
    <col min="3093" max="3093" width="7.7109375" bestFit="1" customWidth="1"/>
    <col min="3094" max="3094" width="15.140625" bestFit="1" customWidth="1"/>
    <col min="3095" max="3095" width="11.5703125" bestFit="1" customWidth="1"/>
    <col min="3096" max="3096" width="13.28515625" bestFit="1" customWidth="1"/>
    <col min="3097" max="3097" width="10.42578125" bestFit="1" customWidth="1"/>
    <col min="3098" max="3098" width="13.28515625" bestFit="1" customWidth="1"/>
    <col min="3099" max="3099" width="12.140625" bestFit="1" customWidth="1"/>
    <col min="3100" max="3100" width="14.42578125" bestFit="1" customWidth="1"/>
    <col min="3101" max="3101" width="13.28515625" bestFit="1" customWidth="1"/>
    <col min="3102" max="3102" width="11.5703125" bestFit="1" customWidth="1"/>
    <col min="3103" max="3103" width="7.7109375" bestFit="1" customWidth="1"/>
    <col min="3104" max="3105" width="14.42578125" bestFit="1" customWidth="1"/>
    <col min="3106" max="3106" width="11.5703125" bestFit="1" customWidth="1"/>
    <col min="3107" max="3107" width="7.7109375" bestFit="1" customWidth="1"/>
    <col min="3108" max="3108" width="13.5703125" customWidth="1"/>
    <col min="3109" max="3109" width="15.28515625" customWidth="1"/>
    <col min="3110" max="3110" width="14.5703125" customWidth="1"/>
    <col min="3111" max="3111" width="13.28515625" bestFit="1" customWidth="1"/>
    <col min="3112" max="3112" width="7.7109375" bestFit="1" customWidth="1"/>
    <col min="3113" max="3113" width="12.7109375" bestFit="1" customWidth="1"/>
    <col min="3114" max="3114" width="11.7109375" bestFit="1" customWidth="1"/>
    <col min="3115" max="3115" width="11.5703125" bestFit="1" customWidth="1"/>
    <col min="3116" max="3116" width="5.28515625" bestFit="1" customWidth="1"/>
    <col min="3117" max="3117" width="13.28515625" bestFit="1" customWidth="1"/>
    <col min="3118" max="3118" width="13.5703125" bestFit="1" customWidth="1"/>
    <col min="3119" max="3119" width="10.5703125" bestFit="1" customWidth="1"/>
    <col min="3120" max="3120" width="13.28515625" bestFit="1" customWidth="1"/>
    <col min="3121" max="3121" width="11.5703125" bestFit="1" customWidth="1"/>
    <col min="3122" max="3122" width="10.5703125" bestFit="1" customWidth="1"/>
    <col min="3123" max="3123" width="16.140625" bestFit="1" customWidth="1"/>
    <col min="3124" max="3125" width="11.28515625" bestFit="1" customWidth="1"/>
    <col min="3126" max="3126" width="13.28515625" bestFit="1" customWidth="1"/>
    <col min="3127" max="3127" width="7.7109375" bestFit="1" customWidth="1"/>
    <col min="3128" max="3131" width="9.140625" hidden="1" customWidth="1"/>
    <col min="3132" max="3132" width="10.42578125" bestFit="1" customWidth="1"/>
    <col min="3133" max="3133" width="10.5703125" bestFit="1" customWidth="1"/>
    <col min="3134" max="3134" width="10.42578125" bestFit="1" customWidth="1"/>
    <col min="3135" max="3135" width="10.5703125" bestFit="1" customWidth="1"/>
    <col min="3136" max="3136" width="9.5703125" bestFit="1" customWidth="1"/>
    <col min="3137" max="3137" width="11.5703125" bestFit="1" customWidth="1"/>
    <col min="3138" max="3138" width="10.42578125" bestFit="1" customWidth="1"/>
    <col min="3139" max="3139" width="10.85546875" customWidth="1"/>
    <col min="3140" max="3141" width="9.85546875" bestFit="1" customWidth="1"/>
    <col min="3142" max="3142" width="13.5703125" bestFit="1" customWidth="1"/>
    <col min="3143" max="3143" width="7.7109375" bestFit="1" customWidth="1"/>
    <col min="3144" max="3144" width="13.28515625" bestFit="1" customWidth="1"/>
    <col min="3145" max="3145" width="11.5703125" bestFit="1" customWidth="1"/>
    <col min="3146" max="3146" width="10.42578125" bestFit="1" customWidth="1"/>
    <col min="3147" max="3147" width="7.7109375" bestFit="1" customWidth="1"/>
    <col min="3148" max="3148" width="11.5703125" bestFit="1" customWidth="1"/>
    <col min="3149" max="3149" width="10.85546875" bestFit="1" customWidth="1"/>
    <col min="3150" max="3150" width="13.28515625" bestFit="1" customWidth="1"/>
    <col min="3151" max="3151" width="10.85546875" bestFit="1" customWidth="1"/>
    <col min="3152" max="3153" width="7.5703125" bestFit="1" customWidth="1"/>
    <col min="3154" max="3155" width="10.42578125" bestFit="1" customWidth="1"/>
    <col min="3156" max="3156" width="11.5703125" bestFit="1" customWidth="1"/>
    <col min="3157" max="3157" width="5.28515625" bestFit="1" customWidth="1"/>
    <col min="3158" max="3158" width="10.28515625" bestFit="1" customWidth="1"/>
    <col min="3159" max="3159" width="10.42578125" bestFit="1" customWidth="1"/>
    <col min="3160" max="3160" width="11.5703125" bestFit="1" customWidth="1"/>
    <col min="3161" max="3161" width="5.28515625" bestFit="1" customWidth="1"/>
    <col min="3162" max="3164" width="11.5703125" bestFit="1" customWidth="1"/>
    <col min="3165" max="3165" width="5.28515625" bestFit="1" customWidth="1"/>
    <col min="3166" max="3167" width="10.42578125" bestFit="1" customWidth="1"/>
    <col min="3168" max="3168" width="11.5703125" bestFit="1" customWidth="1"/>
    <col min="3169" max="3169" width="5.28515625" bestFit="1" customWidth="1"/>
    <col min="3170" max="3170" width="14.28515625" bestFit="1" customWidth="1"/>
    <col min="3171" max="3171" width="13" bestFit="1" customWidth="1"/>
    <col min="3172" max="3172" width="11.5703125" bestFit="1" customWidth="1"/>
    <col min="3173" max="3173" width="8.85546875" bestFit="1" customWidth="1"/>
    <col min="3174" max="3174" width="14.42578125" bestFit="1" customWidth="1"/>
    <col min="3175" max="3175" width="10.42578125" bestFit="1" customWidth="1"/>
    <col min="3176" max="3176" width="12.28515625" bestFit="1" customWidth="1"/>
    <col min="3177" max="3177" width="13.85546875" bestFit="1" customWidth="1"/>
    <col min="3178" max="3178" width="11.28515625" customWidth="1"/>
    <col min="3179" max="3179" width="11.5703125" customWidth="1"/>
    <col min="3180" max="3180" width="13.42578125" bestFit="1" customWidth="1"/>
    <col min="3181" max="3181" width="10.42578125" customWidth="1"/>
    <col min="3182" max="3182" width="13.85546875" bestFit="1" customWidth="1"/>
    <col min="3183" max="3183" width="15.42578125" bestFit="1" customWidth="1"/>
    <col min="3184" max="3184" width="12.28515625" bestFit="1" customWidth="1"/>
    <col min="3185" max="3185" width="12.7109375" customWidth="1"/>
    <col min="3186" max="3186" width="10.7109375" bestFit="1" customWidth="1"/>
    <col min="3187" max="3187" width="9.85546875" customWidth="1"/>
    <col min="3188" max="3189" width="10.140625" bestFit="1" customWidth="1"/>
    <col min="3190" max="3190" width="7.5703125" bestFit="1" customWidth="1"/>
    <col min="3191" max="3191" width="9.42578125" bestFit="1" customWidth="1"/>
    <col min="3192" max="3192" width="14.5703125" bestFit="1" customWidth="1"/>
    <col min="3193" max="3193" width="14.85546875" customWidth="1"/>
    <col min="3194" max="3194" width="15.140625" bestFit="1" customWidth="1"/>
    <col min="3195" max="3195" width="12.140625" bestFit="1" customWidth="1"/>
    <col min="3196" max="3196" width="14.85546875" bestFit="1" customWidth="1"/>
    <col min="3197" max="3197" width="12.28515625" bestFit="1" customWidth="1"/>
    <col min="3198" max="3206" width="9.140625" hidden="1" customWidth="1"/>
    <col min="3207" max="3207" width="5.28515625" bestFit="1" customWidth="1"/>
    <col min="3208" max="3213" width="11.5703125" bestFit="1" customWidth="1"/>
    <col min="3214" max="3214" width="11.28515625" bestFit="1" customWidth="1"/>
    <col min="3215" max="3215" width="10.140625" bestFit="1" customWidth="1"/>
    <col min="3216" max="3216" width="11.5703125" bestFit="1" customWidth="1"/>
    <col min="3217" max="3217" width="16.140625" customWidth="1"/>
    <col min="3218" max="3218" width="13.42578125" customWidth="1"/>
    <col min="3219" max="3219" width="10.140625" bestFit="1" customWidth="1"/>
    <col min="3220" max="3220" width="12.85546875" bestFit="1" customWidth="1"/>
    <col min="3221" max="3221" width="12.28515625" bestFit="1" customWidth="1"/>
    <col min="3222" max="3222" width="11.28515625" bestFit="1" customWidth="1"/>
    <col min="3223" max="3223" width="11.5703125" bestFit="1" customWidth="1"/>
    <col min="3224" max="3224" width="10.85546875" bestFit="1" customWidth="1"/>
    <col min="3225" max="3225" width="11.28515625" bestFit="1" customWidth="1"/>
    <col min="3226" max="3226" width="10.140625" bestFit="1" customWidth="1"/>
    <col min="3227" max="3227" width="13.28515625" bestFit="1" customWidth="1"/>
    <col min="3228" max="3229" width="12.7109375" bestFit="1" customWidth="1"/>
    <col min="3230" max="3230" width="11" bestFit="1" customWidth="1"/>
    <col min="3231" max="3231" width="11.28515625" bestFit="1" customWidth="1"/>
    <col min="3232" max="3232" width="11.5703125" bestFit="1" customWidth="1"/>
    <col min="3233" max="3233" width="12.28515625" bestFit="1" customWidth="1"/>
    <col min="3234" max="3234" width="15.140625" bestFit="1" customWidth="1"/>
    <col min="3235" max="3235" width="14.42578125" bestFit="1" customWidth="1"/>
    <col min="3236" max="3236" width="12.28515625" bestFit="1" customWidth="1"/>
    <col min="3237" max="3237" width="15.140625" bestFit="1" customWidth="1"/>
    <col min="3238" max="3238" width="14.42578125" bestFit="1" customWidth="1"/>
    <col min="3239" max="3239" width="12.28515625" bestFit="1" customWidth="1"/>
    <col min="3240" max="3240" width="14.42578125" bestFit="1" customWidth="1"/>
    <col min="3241" max="3241" width="11.28515625" bestFit="1" customWidth="1"/>
    <col min="3242" max="3242" width="12.28515625" bestFit="1" customWidth="1"/>
    <col min="3243" max="3243" width="13" bestFit="1" customWidth="1"/>
    <col min="3244" max="3244" width="15.140625" bestFit="1" customWidth="1"/>
    <col min="3245" max="3245" width="12.28515625" bestFit="1" customWidth="1"/>
    <col min="3246" max="3246" width="13.85546875" bestFit="1" customWidth="1"/>
    <col min="3247" max="3247" width="11.28515625" bestFit="1" customWidth="1"/>
    <col min="3248" max="3248" width="12.28515625" bestFit="1" customWidth="1"/>
    <col min="3249" max="3249" width="13.85546875" bestFit="1" customWidth="1"/>
    <col min="3250" max="3251" width="15.140625" bestFit="1" customWidth="1"/>
    <col min="3252" max="3252" width="12.28515625" bestFit="1" customWidth="1"/>
    <col min="3253" max="3253" width="5.7109375" bestFit="1" customWidth="1"/>
    <col min="3254" max="3254" width="8.5703125" bestFit="1" customWidth="1"/>
    <col min="3255" max="3255" width="5.5703125" bestFit="1" customWidth="1"/>
    <col min="3256" max="3256" width="14.42578125" bestFit="1" customWidth="1"/>
    <col min="3257" max="3257" width="11.28515625" bestFit="1" customWidth="1"/>
    <col min="3258" max="3259" width="12.28515625" bestFit="1" customWidth="1"/>
    <col min="3260" max="3260" width="11.28515625" bestFit="1" customWidth="1"/>
    <col min="3261" max="3261" width="13.85546875" bestFit="1" customWidth="1"/>
    <col min="3262" max="3262" width="12" bestFit="1" customWidth="1"/>
    <col min="3263" max="3263" width="13.85546875" bestFit="1" customWidth="1"/>
    <col min="3264" max="3265" width="14.42578125" customWidth="1"/>
    <col min="3266" max="3266" width="10.140625" bestFit="1" customWidth="1"/>
    <col min="3267" max="3267" width="12.28515625" bestFit="1" customWidth="1"/>
    <col min="3268" max="3268" width="7.42578125" bestFit="1" customWidth="1"/>
    <col min="3269" max="3269" width="8.5703125" bestFit="1" customWidth="1"/>
    <col min="3270" max="3270" width="11.5703125" bestFit="1" customWidth="1"/>
    <col min="3271" max="3271" width="13.28515625" bestFit="1" customWidth="1"/>
    <col min="3272" max="3272" width="13.28515625" customWidth="1"/>
    <col min="3273" max="3273" width="13.140625" customWidth="1"/>
    <col min="3274" max="3274" width="12.7109375" bestFit="1" customWidth="1"/>
    <col min="3275" max="3275" width="13.28515625" bestFit="1" customWidth="1"/>
    <col min="3276" max="3278" width="13.28515625" customWidth="1"/>
    <col min="3279" max="3279" width="12.140625" bestFit="1" customWidth="1"/>
    <col min="3280" max="3280" width="12.7109375" bestFit="1" customWidth="1"/>
    <col min="3281" max="3281" width="11" customWidth="1"/>
    <col min="3282" max="3282" width="16.7109375" customWidth="1"/>
    <col min="3283" max="3283" width="17" customWidth="1"/>
    <col min="3284" max="3284" width="10.42578125" bestFit="1" customWidth="1"/>
    <col min="3328" max="3328" width="3.85546875" customWidth="1"/>
    <col min="3329" max="3329" width="15.28515625" bestFit="1" customWidth="1"/>
    <col min="3330" max="3330" width="12.28515625" customWidth="1"/>
    <col min="3331" max="3331" width="16.28515625" bestFit="1" customWidth="1"/>
    <col min="3332" max="3332" width="6.42578125" bestFit="1" customWidth="1"/>
    <col min="3333" max="3333" width="9.28515625" bestFit="1" customWidth="1"/>
    <col min="3334" max="3334" width="7.5703125" bestFit="1" customWidth="1"/>
    <col min="3335" max="3335" width="13.28515625" bestFit="1" customWidth="1"/>
    <col min="3336" max="3336" width="9.28515625" bestFit="1" customWidth="1"/>
    <col min="3337" max="3337" width="11.5703125" bestFit="1" customWidth="1"/>
    <col min="3338" max="3338" width="13.28515625" bestFit="1" customWidth="1"/>
    <col min="3339" max="3339" width="7.140625" bestFit="1" customWidth="1"/>
    <col min="3340" max="3340" width="12" bestFit="1" customWidth="1"/>
    <col min="3341" max="3341" width="13.28515625" bestFit="1" customWidth="1"/>
    <col min="3342" max="3342" width="7" bestFit="1" customWidth="1"/>
    <col min="3343" max="3343" width="12.7109375" bestFit="1" customWidth="1"/>
    <col min="3344" max="3344" width="11.5703125" bestFit="1" customWidth="1"/>
    <col min="3345" max="3345" width="10.5703125" bestFit="1" customWidth="1"/>
    <col min="3346" max="3347" width="15.7109375" bestFit="1" customWidth="1"/>
    <col min="3348" max="3348" width="11.5703125" bestFit="1" customWidth="1"/>
    <col min="3349" max="3349" width="7.7109375" bestFit="1" customWidth="1"/>
    <col min="3350" max="3350" width="15.140625" bestFit="1" customWidth="1"/>
    <col min="3351" max="3351" width="11.5703125" bestFit="1" customWidth="1"/>
    <col min="3352" max="3352" width="13.28515625" bestFit="1" customWidth="1"/>
    <col min="3353" max="3353" width="10.42578125" bestFit="1" customWidth="1"/>
    <col min="3354" max="3354" width="13.28515625" bestFit="1" customWidth="1"/>
    <col min="3355" max="3355" width="12.140625" bestFit="1" customWidth="1"/>
    <col min="3356" max="3356" width="14.42578125" bestFit="1" customWidth="1"/>
    <col min="3357" max="3357" width="13.28515625" bestFit="1" customWidth="1"/>
    <col min="3358" max="3358" width="11.5703125" bestFit="1" customWidth="1"/>
    <col min="3359" max="3359" width="7.7109375" bestFit="1" customWidth="1"/>
    <col min="3360" max="3361" width="14.42578125" bestFit="1" customWidth="1"/>
    <col min="3362" max="3362" width="11.5703125" bestFit="1" customWidth="1"/>
    <col min="3363" max="3363" width="7.7109375" bestFit="1" customWidth="1"/>
    <col min="3364" max="3364" width="13.5703125" customWidth="1"/>
    <col min="3365" max="3365" width="15.28515625" customWidth="1"/>
    <col min="3366" max="3366" width="14.5703125" customWidth="1"/>
    <col min="3367" max="3367" width="13.28515625" bestFit="1" customWidth="1"/>
    <col min="3368" max="3368" width="7.7109375" bestFit="1" customWidth="1"/>
    <col min="3369" max="3369" width="12.7109375" bestFit="1" customWidth="1"/>
    <col min="3370" max="3370" width="11.7109375" bestFit="1" customWidth="1"/>
    <col min="3371" max="3371" width="11.5703125" bestFit="1" customWidth="1"/>
    <col min="3372" max="3372" width="5.28515625" bestFit="1" customWidth="1"/>
    <col min="3373" max="3373" width="13.28515625" bestFit="1" customWidth="1"/>
    <col min="3374" max="3374" width="13.5703125" bestFit="1" customWidth="1"/>
    <col min="3375" max="3375" width="10.5703125" bestFit="1" customWidth="1"/>
    <col min="3376" max="3376" width="13.28515625" bestFit="1" customWidth="1"/>
    <col min="3377" max="3377" width="11.5703125" bestFit="1" customWidth="1"/>
    <col min="3378" max="3378" width="10.5703125" bestFit="1" customWidth="1"/>
    <col min="3379" max="3379" width="16.140625" bestFit="1" customWidth="1"/>
    <col min="3380" max="3381" width="11.28515625" bestFit="1" customWidth="1"/>
    <col min="3382" max="3382" width="13.28515625" bestFit="1" customWidth="1"/>
    <col min="3383" max="3383" width="7.7109375" bestFit="1" customWidth="1"/>
    <col min="3384" max="3387" width="9.140625" hidden="1" customWidth="1"/>
    <col min="3388" max="3388" width="10.42578125" bestFit="1" customWidth="1"/>
    <col min="3389" max="3389" width="10.5703125" bestFit="1" customWidth="1"/>
    <col min="3390" max="3390" width="10.42578125" bestFit="1" customWidth="1"/>
    <col min="3391" max="3391" width="10.5703125" bestFit="1" customWidth="1"/>
    <col min="3392" max="3392" width="9.5703125" bestFit="1" customWidth="1"/>
    <col min="3393" max="3393" width="11.5703125" bestFit="1" customWidth="1"/>
    <col min="3394" max="3394" width="10.42578125" bestFit="1" customWidth="1"/>
    <col min="3395" max="3395" width="10.85546875" customWidth="1"/>
    <col min="3396" max="3397" width="9.85546875" bestFit="1" customWidth="1"/>
    <col min="3398" max="3398" width="13.5703125" bestFit="1" customWidth="1"/>
    <col min="3399" max="3399" width="7.7109375" bestFit="1" customWidth="1"/>
    <col min="3400" max="3400" width="13.28515625" bestFit="1" customWidth="1"/>
    <col min="3401" max="3401" width="11.5703125" bestFit="1" customWidth="1"/>
    <col min="3402" max="3402" width="10.42578125" bestFit="1" customWidth="1"/>
    <col min="3403" max="3403" width="7.7109375" bestFit="1" customWidth="1"/>
    <col min="3404" max="3404" width="11.5703125" bestFit="1" customWidth="1"/>
    <col min="3405" max="3405" width="10.85546875" bestFit="1" customWidth="1"/>
    <col min="3406" max="3406" width="13.28515625" bestFit="1" customWidth="1"/>
    <col min="3407" max="3407" width="10.85546875" bestFit="1" customWidth="1"/>
    <col min="3408" max="3409" width="7.5703125" bestFit="1" customWidth="1"/>
    <col min="3410" max="3411" width="10.42578125" bestFit="1" customWidth="1"/>
    <col min="3412" max="3412" width="11.5703125" bestFit="1" customWidth="1"/>
    <col min="3413" max="3413" width="5.28515625" bestFit="1" customWidth="1"/>
    <col min="3414" max="3414" width="10.28515625" bestFit="1" customWidth="1"/>
    <col min="3415" max="3415" width="10.42578125" bestFit="1" customWidth="1"/>
    <col min="3416" max="3416" width="11.5703125" bestFit="1" customWidth="1"/>
    <col min="3417" max="3417" width="5.28515625" bestFit="1" customWidth="1"/>
    <col min="3418" max="3420" width="11.5703125" bestFit="1" customWidth="1"/>
    <col min="3421" max="3421" width="5.28515625" bestFit="1" customWidth="1"/>
    <col min="3422" max="3423" width="10.42578125" bestFit="1" customWidth="1"/>
    <col min="3424" max="3424" width="11.5703125" bestFit="1" customWidth="1"/>
    <col min="3425" max="3425" width="5.28515625" bestFit="1" customWidth="1"/>
    <col min="3426" max="3426" width="14.28515625" bestFit="1" customWidth="1"/>
    <col min="3427" max="3427" width="13" bestFit="1" customWidth="1"/>
    <col min="3428" max="3428" width="11.5703125" bestFit="1" customWidth="1"/>
    <col min="3429" max="3429" width="8.85546875" bestFit="1" customWidth="1"/>
    <col min="3430" max="3430" width="14.42578125" bestFit="1" customWidth="1"/>
    <col min="3431" max="3431" width="10.42578125" bestFit="1" customWidth="1"/>
    <col min="3432" max="3432" width="12.28515625" bestFit="1" customWidth="1"/>
    <col min="3433" max="3433" width="13.85546875" bestFit="1" customWidth="1"/>
    <col min="3434" max="3434" width="11.28515625" customWidth="1"/>
    <col min="3435" max="3435" width="11.5703125" customWidth="1"/>
    <col min="3436" max="3436" width="13.42578125" bestFit="1" customWidth="1"/>
    <col min="3437" max="3437" width="10.42578125" customWidth="1"/>
    <col min="3438" max="3438" width="13.85546875" bestFit="1" customWidth="1"/>
    <col min="3439" max="3439" width="15.42578125" bestFit="1" customWidth="1"/>
    <col min="3440" max="3440" width="12.28515625" bestFit="1" customWidth="1"/>
    <col min="3441" max="3441" width="12.7109375" customWidth="1"/>
    <col min="3442" max="3442" width="10.7109375" bestFit="1" customWidth="1"/>
    <col min="3443" max="3443" width="9.85546875" customWidth="1"/>
    <col min="3444" max="3445" width="10.140625" bestFit="1" customWidth="1"/>
    <col min="3446" max="3446" width="7.5703125" bestFit="1" customWidth="1"/>
    <col min="3447" max="3447" width="9.42578125" bestFit="1" customWidth="1"/>
    <col min="3448" max="3448" width="14.5703125" bestFit="1" customWidth="1"/>
    <col min="3449" max="3449" width="14.85546875" customWidth="1"/>
    <col min="3450" max="3450" width="15.140625" bestFit="1" customWidth="1"/>
    <col min="3451" max="3451" width="12.140625" bestFit="1" customWidth="1"/>
    <col min="3452" max="3452" width="14.85546875" bestFit="1" customWidth="1"/>
    <col min="3453" max="3453" width="12.28515625" bestFit="1" customWidth="1"/>
    <col min="3454" max="3462" width="9.140625" hidden="1" customWidth="1"/>
    <col min="3463" max="3463" width="5.28515625" bestFit="1" customWidth="1"/>
    <col min="3464" max="3469" width="11.5703125" bestFit="1" customWidth="1"/>
    <col min="3470" max="3470" width="11.28515625" bestFit="1" customWidth="1"/>
    <col min="3471" max="3471" width="10.140625" bestFit="1" customWidth="1"/>
    <col min="3472" max="3472" width="11.5703125" bestFit="1" customWidth="1"/>
    <col min="3473" max="3473" width="16.140625" customWidth="1"/>
    <col min="3474" max="3474" width="13.42578125" customWidth="1"/>
    <col min="3475" max="3475" width="10.140625" bestFit="1" customWidth="1"/>
    <col min="3476" max="3476" width="12.85546875" bestFit="1" customWidth="1"/>
    <col min="3477" max="3477" width="12.28515625" bestFit="1" customWidth="1"/>
    <col min="3478" max="3478" width="11.28515625" bestFit="1" customWidth="1"/>
    <col min="3479" max="3479" width="11.5703125" bestFit="1" customWidth="1"/>
    <col min="3480" max="3480" width="10.85546875" bestFit="1" customWidth="1"/>
    <col min="3481" max="3481" width="11.28515625" bestFit="1" customWidth="1"/>
    <col min="3482" max="3482" width="10.140625" bestFit="1" customWidth="1"/>
    <col min="3483" max="3483" width="13.28515625" bestFit="1" customWidth="1"/>
    <col min="3484" max="3485" width="12.7109375" bestFit="1" customWidth="1"/>
    <col min="3486" max="3486" width="11" bestFit="1" customWidth="1"/>
    <col min="3487" max="3487" width="11.28515625" bestFit="1" customWidth="1"/>
    <col min="3488" max="3488" width="11.5703125" bestFit="1" customWidth="1"/>
    <col min="3489" max="3489" width="12.28515625" bestFit="1" customWidth="1"/>
    <col min="3490" max="3490" width="15.140625" bestFit="1" customWidth="1"/>
    <col min="3491" max="3491" width="14.42578125" bestFit="1" customWidth="1"/>
    <col min="3492" max="3492" width="12.28515625" bestFit="1" customWidth="1"/>
    <col min="3493" max="3493" width="15.140625" bestFit="1" customWidth="1"/>
    <col min="3494" max="3494" width="14.42578125" bestFit="1" customWidth="1"/>
    <col min="3495" max="3495" width="12.28515625" bestFit="1" customWidth="1"/>
    <col min="3496" max="3496" width="14.42578125" bestFit="1" customWidth="1"/>
    <col min="3497" max="3497" width="11.28515625" bestFit="1" customWidth="1"/>
    <col min="3498" max="3498" width="12.28515625" bestFit="1" customWidth="1"/>
    <col min="3499" max="3499" width="13" bestFit="1" customWidth="1"/>
    <col min="3500" max="3500" width="15.140625" bestFit="1" customWidth="1"/>
    <col min="3501" max="3501" width="12.28515625" bestFit="1" customWidth="1"/>
    <col min="3502" max="3502" width="13.85546875" bestFit="1" customWidth="1"/>
    <col min="3503" max="3503" width="11.28515625" bestFit="1" customWidth="1"/>
    <col min="3504" max="3504" width="12.28515625" bestFit="1" customWidth="1"/>
    <col min="3505" max="3505" width="13.85546875" bestFit="1" customWidth="1"/>
    <col min="3506" max="3507" width="15.140625" bestFit="1" customWidth="1"/>
    <col min="3508" max="3508" width="12.28515625" bestFit="1" customWidth="1"/>
    <col min="3509" max="3509" width="5.7109375" bestFit="1" customWidth="1"/>
    <col min="3510" max="3510" width="8.5703125" bestFit="1" customWidth="1"/>
    <col min="3511" max="3511" width="5.5703125" bestFit="1" customWidth="1"/>
    <col min="3512" max="3512" width="14.42578125" bestFit="1" customWidth="1"/>
    <col min="3513" max="3513" width="11.28515625" bestFit="1" customWidth="1"/>
    <col min="3514" max="3515" width="12.28515625" bestFit="1" customWidth="1"/>
    <col min="3516" max="3516" width="11.28515625" bestFit="1" customWidth="1"/>
    <col min="3517" max="3517" width="13.85546875" bestFit="1" customWidth="1"/>
    <col min="3518" max="3518" width="12" bestFit="1" customWidth="1"/>
    <col min="3519" max="3519" width="13.85546875" bestFit="1" customWidth="1"/>
    <col min="3520" max="3521" width="14.42578125" customWidth="1"/>
    <col min="3522" max="3522" width="10.140625" bestFit="1" customWidth="1"/>
    <col min="3523" max="3523" width="12.28515625" bestFit="1" customWidth="1"/>
    <col min="3524" max="3524" width="7.42578125" bestFit="1" customWidth="1"/>
    <col min="3525" max="3525" width="8.5703125" bestFit="1" customWidth="1"/>
    <col min="3526" max="3526" width="11.5703125" bestFit="1" customWidth="1"/>
    <col min="3527" max="3527" width="13.28515625" bestFit="1" customWidth="1"/>
    <col min="3528" max="3528" width="13.28515625" customWidth="1"/>
    <col min="3529" max="3529" width="13.140625" customWidth="1"/>
    <col min="3530" max="3530" width="12.7109375" bestFit="1" customWidth="1"/>
    <col min="3531" max="3531" width="13.28515625" bestFit="1" customWidth="1"/>
    <col min="3532" max="3534" width="13.28515625" customWidth="1"/>
    <col min="3535" max="3535" width="12.140625" bestFit="1" customWidth="1"/>
    <col min="3536" max="3536" width="12.7109375" bestFit="1" customWidth="1"/>
    <col min="3537" max="3537" width="11" customWidth="1"/>
    <col min="3538" max="3538" width="16.7109375" customWidth="1"/>
    <col min="3539" max="3539" width="17" customWidth="1"/>
    <col min="3540" max="3540" width="10.42578125" bestFit="1" customWidth="1"/>
    <col min="3584" max="3584" width="3.85546875" customWidth="1"/>
    <col min="3585" max="3585" width="15.28515625" bestFit="1" customWidth="1"/>
    <col min="3586" max="3586" width="12.28515625" customWidth="1"/>
    <col min="3587" max="3587" width="16.28515625" bestFit="1" customWidth="1"/>
    <col min="3588" max="3588" width="6.42578125" bestFit="1" customWidth="1"/>
    <col min="3589" max="3589" width="9.28515625" bestFit="1" customWidth="1"/>
    <col min="3590" max="3590" width="7.5703125" bestFit="1" customWidth="1"/>
    <col min="3591" max="3591" width="13.28515625" bestFit="1" customWidth="1"/>
    <col min="3592" max="3592" width="9.28515625" bestFit="1" customWidth="1"/>
    <col min="3593" max="3593" width="11.5703125" bestFit="1" customWidth="1"/>
    <col min="3594" max="3594" width="13.28515625" bestFit="1" customWidth="1"/>
    <col min="3595" max="3595" width="7.140625" bestFit="1" customWidth="1"/>
    <col min="3596" max="3596" width="12" bestFit="1" customWidth="1"/>
    <col min="3597" max="3597" width="13.28515625" bestFit="1" customWidth="1"/>
    <col min="3598" max="3598" width="7" bestFit="1" customWidth="1"/>
    <col min="3599" max="3599" width="12.7109375" bestFit="1" customWidth="1"/>
    <col min="3600" max="3600" width="11.5703125" bestFit="1" customWidth="1"/>
    <col min="3601" max="3601" width="10.5703125" bestFit="1" customWidth="1"/>
    <col min="3602" max="3603" width="15.7109375" bestFit="1" customWidth="1"/>
    <col min="3604" max="3604" width="11.5703125" bestFit="1" customWidth="1"/>
    <col min="3605" max="3605" width="7.7109375" bestFit="1" customWidth="1"/>
    <col min="3606" max="3606" width="15.140625" bestFit="1" customWidth="1"/>
    <col min="3607" max="3607" width="11.5703125" bestFit="1" customWidth="1"/>
    <col min="3608" max="3608" width="13.28515625" bestFit="1" customWidth="1"/>
    <col min="3609" max="3609" width="10.42578125" bestFit="1" customWidth="1"/>
    <col min="3610" max="3610" width="13.28515625" bestFit="1" customWidth="1"/>
    <col min="3611" max="3611" width="12.140625" bestFit="1" customWidth="1"/>
    <col min="3612" max="3612" width="14.42578125" bestFit="1" customWidth="1"/>
    <col min="3613" max="3613" width="13.28515625" bestFit="1" customWidth="1"/>
    <col min="3614" max="3614" width="11.5703125" bestFit="1" customWidth="1"/>
    <col min="3615" max="3615" width="7.7109375" bestFit="1" customWidth="1"/>
    <col min="3616" max="3617" width="14.42578125" bestFit="1" customWidth="1"/>
    <col min="3618" max="3618" width="11.5703125" bestFit="1" customWidth="1"/>
    <col min="3619" max="3619" width="7.7109375" bestFit="1" customWidth="1"/>
    <col min="3620" max="3620" width="13.5703125" customWidth="1"/>
    <col min="3621" max="3621" width="15.28515625" customWidth="1"/>
    <col min="3622" max="3622" width="14.5703125" customWidth="1"/>
    <col min="3623" max="3623" width="13.28515625" bestFit="1" customWidth="1"/>
    <col min="3624" max="3624" width="7.7109375" bestFit="1" customWidth="1"/>
    <col min="3625" max="3625" width="12.7109375" bestFit="1" customWidth="1"/>
    <col min="3626" max="3626" width="11.7109375" bestFit="1" customWidth="1"/>
    <col min="3627" max="3627" width="11.5703125" bestFit="1" customWidth="1"/>
    <col min="3628" max="3628" width="5.28515625" bestFit="1" customWidth="1"/>
    <col min="3629" max="3629" width="13.28515625" bestFit="1" customWidth="1"/>
    <col min="3630" max="3630" width="13.5703125" bestFit="1" customWidth="1"/>
    <col min="3631" max="3631" width="10.5703125" bestFit="1" customWidth="1"/>
    <col min="3632" max="3632" width="13.28515625" bestFit="1" customWidth="1"/>
    <col min="3633" max="3633" width="11.5703125" bestFit="1" customWidth="1"/>
    <col min="3634" max="3634" width="10.5703125" bestFit="1" customWidth="1"/>
    <col min="3635" max="3635" width="16.140625" bestFit="1" customWidth="1"/>
    <col min="3636" max="3637" width="11.28515625" bestFit="1" customWidth="1"/>
    <col min="3638" max="3638" width="13.28515625" bestFit="1" customWidth="1"/>
    <col min="3639" max="3639" width="7.7109375" bestFit="1" customWidth="1"/>
    <col min="3640" max="3643" width="9.140625" hidden="1" customWidth="1"/>
    <col min="3644" max="3644" width="10.42578125" bestFit="1" customWidth="1"/>
    <col min="3645" max="3645" width="10.5703125" bestFit="1" customWidth="1"/>
    <col min="3646" max="3646" width="10.42578125" bestFit="1" customWidth="1"/>
    <col min="3647" max="3647" width="10.5703125" bestFit="1" customWidth="1"/>
    <col min="3648" max="3648" width="9.5703125" bestFit="1" customWidth="1"/>
    <col min="3649" max="3649" width="11.5703125" bestFit="1" customWidth="1"/>
    <col min="3650" max="3650" width="10.42578125" bestFit="1" customWidth="1"/>
    <col min="3651" max="3651" width="10.85546875" customWidth="1"/>
    <col min="3652" max="3653" width="9.85546875" bestFit="1" customWidth="1"/>
    <col min="3654" max="3654" width="13.5703125" bestFit="1" customWidth="1"/>
    <col min="3655" max="3655" width="7.7109375" bestFit="1" customWidth="1"/>
    <col min="3656" max="3656" width="13.28515625" bestFit="1" customWidth="1"/>
    <col min="3657" max="3657" width="11.5703125" bestFit="1" customWidth="1"/>
    <col min="3658" max="3658" width="10.42578125" bestFit="1" customWidth="1"/>
    <col min="3659" max="3659" width="7.7109375" bestFit="1" customWidth="1"/>
    <col min="3660" max="3660" width="11.5703125" bestFit="1" customWidth="1"/>
    <col min="3661" max="3661" width="10.85546875" bestFit="1" customWidth="1"/>
    <col min="3662" max="3662" width="13.28515625" bestFit="1" customWidth="1"/>
    <col min="3663" max="3663" width="10.85546875" bestFit="1" customWidth="1"/>
    <col min="3664" max="3665" width="7.5703125" bestFit="1" customWidth="1"/>
    <col min="3666" max="3667" width="10.42578125" bestFit="1" customWidth="1"/>
    <col min="3668" max="3668" width="11.5703125" bestFit="1" customWidth="1"/>
    <col min="3669" max="3669" width="5.28515625" bestFit="1" customWidth="1"/>
    <col min="3670" max="3670" width="10.28515625" bestFit="1" customWidth="1"/>
    <col min="3671" max="3671" width="10.42578125" bestFit="1" customWidth="1"/>
    <col min="3672" max="3672" width="11.5703125" bestFit="1" customWidth="1"/>
    <col min="3673" max="3673" width="5.28515625" bestFit="1" customWidth="1"/>
    <col min="3674" max="3676" width="11.5703125" bestFit="1" customWidth="1"/>
    <col min="3677" max="3677" width="5.28515625" bestFit="1" customWidth="1"/>
    <col min="3678" max="3679" width="10.42578125" bestFit="1" customWidth="1"/>
    <col min="3680" max="3680" width="11.5703125" bestFit="1" customWidth="1"/>
    <col min="3681" max="3681" width="5.28515625" bestFit="1" customWidth="1"/>
    <col min="3682" max="3682" width="14.28515625" bestFit="1" customWidth="1"/>
    <col min="3683" max="3683" width="13" bestFit="1" customWidth="1"/>
    <col min="3684" max="3684" width="11.5703125" bestFit="1" customWidth="1"/>
    <col min="3685" max="3685" width="8.85546875" bestFit="1" customWidth="1"/>
    <col min="3686" max="3686" width="14.42578125" bestFit="1" customWidth="1"/>
    <col min="3687" max="3687" width="10.42578125" bestFit="1" customWidth="1"/>
    <col min="3688" max="3688" width="12.28515625" bestFit="1" customWidth="1"/>
    <col min="3689" max="3689" width="13.85546875" bestFit="1" customWidth="1"/>
    <col min="3690" max="3690" width="11.28515625" customWidth="1"/>
    <col min="3691" max="3691" width="11.5703125" customWidth="1"/>
    <col min="3692" max="3692" width="13.42578125" bestFit="1" customWidth="1"/>
    <col min="3693" max="3693" width="10.42578125" customWidth="1"/>
    <col min="3694" max="3694" width="13.85546875" bestFit="1" customWidth="1"/>
    <col min="3695" max="3695" width="15.42578125" bestFit="1" customWidth="1"/>
    <col min="3696" max="3696" width="12.28515625" bestFit="1" customWidth="1"/>
    <col min="3697" max="3697" width="12.7109375" customWidth="1"/>
    <col min="3698" max="3698" width="10.7109375" bestFit="1" customWidth="1"/>
    <col min="3699" max="3699" width="9.85546875" customWidth="1"/>
    <col min="3700" max="3701" width="10.140625" bestFit="1" customWidth="1"/>
    <col min="3702" max="3702" width="7.5703125" bestFit="1" customWidth="1"/>
    <col min="3703" max="3703" width="9.42578125" bestFit="1" customWidth="1"/>
    <col min="3704" max="3704" width="14.5703125" bestFit="1" customWidth="1"/>
    <col min="3705" max="3705" width="14.85546875" customWidth="1"/>
    <col min="3706" max="3706" width="15.140625" bestFit="1" customWidth="1"/>
    <col min="3707" max="3707" width="12.140625" bestFit="1" customWidth="1"/>
    <col min="3708" max="3708" width="14.85546875" bestFit="1" customWidth="1"/>
    <col min="3709" max="3709" width="12.28515625" bestFit="1" customWidth="1"/>
    <col min="3710" max="3718" width="9.140625" hidden="1" customWidth="1"/>
    <col min="3719" max="3719" width="5.28515625" bestFit="1" customWidth="1"/>
    <col min="3720" max="3725" width="11.5703125" bestFit="1" customWidth="1"/>
    <col min="3726" max="3726" width="11.28515625" bestFit="1" customWidth="1"/>
    <col min="3727" max="3727" width="10.140625" bestFit="1" customWidth="1"/>
    <col min="3728" max="3728" width="11.5703125" bestFit="1" customWidth="1"/>
    <col min="3729" max="3729" width="16.140625" customWidth="1"/>
    <col min="3730" max="3730" width="13.42578125" customWidth="1"/>
    <col min="3731" max="3731" width="10.140625" bestFit="1" customWidth="1"/>
    <col min="3732" max="3732" width="12.85546875" bestFit="1" customWidth="1"/>
    <col min="3733" max="3733" width="12.28515625" bestFit="1" customWidth="1"/>
    <col min="3734" max="3734" width="11.28515625" bestFit="1" customWidth="1"/>
    <col min="3735" max="3735" width="11.5703125" bestFit="1" customWidth="1"/>
    <col min="3736" max="3736" width="10.85546875" bestFit="1" customWidth="1"/>
    <col min="3737" max="3737" width="11.28515625" bestFit="1" customWidth="1"/>
    <col min="3738" max="3738" width="10.140625" bestFit="1" customWidth="1"/>
    <col min="3739" max="3739" width="13.28515625" bestFit="1" customWidth="1"/>
    <col min="3740" max="3741" width="12.7109375" bestFit="1" customWidth="1"/>
    <col min="3742" max="3742" width="11" bestFit="1" customWidth="1"/>
    <col min="3743" max="3743" width="11.28515625" bestFit="1" customWidth="1"/>
    <col min="3744" max="3744" width="11.5703125" bestFit="1" customWidth="1"/>
    <col min="3745" max="3745" width="12.28515625" bestFit="1" customWidth="1"/>
    <col min="3746" max="3746" width="15.140625" bestFit="1" customWidth="1"/>
    <col min="3747" max="3747" width="14.42578125" bestFit="1" customWidth="1"/>
    <col min="3748" max="3748" width="12.28515625" bestFit="1" customWidth="1"/>
    <col min="3749" max="3749" width="15.140625" bestFit="1" customWidth="1"/>
    <col min="3750" max="3750" width="14.42578125" bestFit="1" customWidth="1"/>
    <col min="3751" max="3751" width="12.28515625" bestFit="1" customWidth="1"/>
    <col min="3752" max="3752" width="14.42578125" bestFit="1" customWidth="1"/>
    <col min="3753" max="3753" width="11.28515625" bestFit="1" customWidth="1"/>
    <col min="3754" max="3754" width="12.28515625" bestFit="1" customWidth="1"/>
    <col min="3755" max="3755" width="13" bestFit="1" customWidth="1"/>
    <col min="3756" max="3756" width="15.140625" bestFit="1" customWidth="1"/>
    <col min="3757" max="3757" width="12.28515625" bestFit="1" customWidth="1"/>
    <col min="3758" max="3758" width="13.85546875" bestFit="1" customWidth="1"/>
    <col min="3759" max="3759" width="11.28515625" bestFit="1" customWidth="1"/>
    <col min="3760" max="3760" width="12.28515625" bestFit="1" customWidth="1"/>
    <col min="3761" max="3761" width="13.85546875" bestFit="1" customWidth="1"/>
    <col min="3762" max="3763" width="15.140625" bestFit="1" customWidth="1"/>
    <col min="3764" max="3764" width="12.28515625" bestFit="1" customWidth="1"/>
    <col min="3765" max="3765" width="5.7109375" bestFit="1" customWidth="1"/>
    <col min="3766" max="3766" width="8.5703125" bestFit="1" customWidth="1"/>
    <col min="3767" max="3767" width="5.5703125" bestFit="1" customWidth="1"/>
    <col min="3768" max="3768" width="14.42578125" bestFit="1" customWidth="1"/>
    <col min="3769" max="3769" width="11.28515625" bestFit="1" customWidth="1"/>
    <col min="3770" max="3771" width="12.28515625" bestFit="1" customWidth="1"/>
    <col min="3772" max="3772" width="11.28515625" bestFit="1" customWidth="1"/>
    <col min="3773" max="3773" width="13.85546875" bestFit="1" customWidth="1"/>
    <col min="3774" max="3774" width="12" bestFit="1" customWidth="1"/>
    <col min="3775" max="3775" width="13.85546875" bestFit="1" customWidth="1"/>
    <col min="3776" max="3777" width="14.42578125" customWidth="1"/>
    <col min="3778" max="3778" width="10.140625" bestFit="1" customWidth="1"/>
    <col min="3779" max="3779" width="12.28515625" bestFit="1" customWidth="1"/>
    <col min="3780" max="3780" width="7.42578125" bestFit="1" customWidth="1"/>
    <col min="3781" max="3781" width="8.5703125" bestFit="1" customWidth="1"/>
    <col min="3782" max="3782" width="11.5703125" bestFit="1" customWidth="1"/>
    <col min="3783" max="3783" width="13.28515625" bestFit="1" customWidth="1"/>
    <col min="3784" max="3784" width="13.28515625" customWidth="1"/>
    <col min="3785" max="3785" width="13.140625" customWidth="1"/>
    <col min="3786" max="3786" width="12.7109375" bestFit="1" customWidth="1"/>
    <col min="3787" max="3787" width="13.28515625" bestFit="1" customWidth="1"/>
    <col min="3788" max="3790" width="13.28515625" customWidth="1"/>
    <col min="3791" max="3791" width="12.140625" bestFit="1" customWidth="1"/>
    <col min="3792" max="3792" width="12.7109375" bestFit="1" customWidth="1"/>
    <col min="3793" max="3793" width="11" customWidth="1"/>
    <col min="3794" max="3794" width="16.7109375" customWidth="1"/>
    <col min="3795" max="3795" width="17" customWidth="1"/>
    <col min="3796" max="3796" width="10.42578125" bestFit="1" customWidth="1"/>
    <col min="3840" max="3840" width="3.85546875" customWidth="1"/>
    <col min="3841" max="3841" width="15.28515625" bestFit="1" customWidth="1"/>
    <col min="3842" max="3842" width="12.28515625" customWidth="1"/>
    <col min="3843" max="3843" width="16.28515625" bestFit="1" customWidth="1"/>
    <col min="3844" max="3844" width="6.42578125" bestFit="1" customWidth="1"/>
    <col min="3845" max="3845" width="9.28515625" bestFit="1" customWidth="1"/>
    <col min="3846" max="3846" width="7.5703125" bestFit="1" customWidth="1"/>
    <col min="3847" max="3847" width="13.28515625" bestFit="1" customWidth="1"/>
    <col min="3848" max="3848" width="9.28515625" bestFit="1" customWidth="1"/>
    <col min="3849" max="3849" width="11.5703125" bestFit="1" customWidth="1"/>
    <col min="3850" max="3850" width="13.28515625" bestFit="1" customWidth="1"/>
    <col min="3851" max="3851" width="7.140625" bestFit="1" customWidth="1"/>
    <col min="3852" max="3852" width="12" bestFit="1" customWidth="1"/>
    <col min="3853" max="3853" width="13.28515625" bestFit="1" customWidth="1"/>
    <col min="3854" max="3854" width="7" bestFit="1" customWidth="1"/>
    <col min="3855" max="3855" width="12.7109375" bestFit="1" customWidth="1"/>
    <col min="3856" max="3856" width="11.5703125" bestFit="1" customWidth="1"/>
    <col min="3857" max="3857" width="10.5703125" bestFit="1" customWidth="1"/>
    <col min="3858" max="3859" width="15.7109375" bestFit="1" customWidth="1"/>
    <col min="3860" max="3860" width="11.5703125" bestFit="1" customWidth="1"/>
    <col min="3861" max="3861" width="7.7109375" bestFit="1" customWidth="1"/>
    <col min="3862" max="3862" width="15.140625" bestFit="1" customWidth="1"/>
    <col min="3863" max="3863" width="11.5703125" bestFit="1" customWidth="1"/>
    <col min="3864" max="3864" width="13.28515625" bestFit="1" customWidth="1"/>
    <col min="3865" max="3865" width="10.42578125" bestFit="1" customWidth="1"/>
    <col min="3866" max="3866" width="13.28515625" bestFit="1" customWidth="1"/>
    <col min="3867" max="3867" width="12.140625" bestFit="1" customWidth="1"/>
    <col min="3868" max="3868" width="14.42578125" bestFit="1" customWidth="1"/>
    <col min="3869" max="3869" width="13.28515625" bestFit="1" customWidth="1"/>
    <col min="3870" max="3870" width="11.5703125" bestFit="1" customWidth="1"/>
    <col min="3871" max="3871" width="7.7109375" bestFit="1" customWidth="1"/>
    <col min="3872" max="3873" width="14.42578125" bestFit="1" customWidth="1"/>
    <col min="3874" max="3874" width="11.5703125" bestFit="1" customWidth="1"/>
    <col min="3875" max="3875" width="7.7109375" bestFit="1" customWidth="1"/>
    <col min="3876" max="3876" width="13.5703125" customWidth="1"/>
    <col min="3877" max="3877" width="15.28515625" customWidth="1"/>
    <col min="3878" max="3878" width="14.5703125" customWidth="1"/>
    <col min="3879" max="3879" width="13.28515625" bestFit="1" customWidth="1"/>
    <col min="3880" max="3880" width="7.7109375" bestFit="1" customWidth="1"/>
    <col min="3881" max="3881" width="12.7109375" bestFit="1" customWidth="1"/>
    <col min="3882" max="3882" width="11.7109375" bestFit="1" customWidth="1"/>
    <col min="3883" max="3883" width="11.5703125" bestFit="1" customWidth="1"/>
    <col min="3884" max="3884" width="5.28515625" bestFit="1" customWidth="1"/>
    <col min="3885" max="3885" width="13.28515625" bestFit="1" customWidth="1"/>
    <col min="3886" max="3886" width="13.5703125" bestFit="1" customWidth="1"/>
    <col min="3887" max="3887" width="10.5703125" bestFit="1" customWidth="1"/>
    <col min="3888" max="3888" width="13.28515625" bestFit="1" customWidth="1"/>
    <col min="3889" max="3889" width="11.5703125" bestFit="1" customWidth="1"/>
    <col min="3890" max="3890" width="10.5703125" bestFit="1" customWidth="1"/>
    <col min="3891" max="3891" width="16.140625" bestFit="1" customWidth="1"/>
    <col min="3892" max="3893" width="11.28515625" bestFit="1" customWidth="1"/>
    <col min="3894" max="3894" width="13.28515625" bestFit="1" customWidth="1"/>
    <col min="3895" max="3895" width="7.7109375" bestFit="1" customWidth="1"/>
    <col min="3896" max="3899" width="9.140625" hidden="1" customWidth="1"/>
    <col min="3900" max="3900" width="10.42578125" bestFit="1" customWidth="1"/>
    <col min="3901" max="3901" width="10.5703125" bestFit="1" customWidth="1"/>
    <col min="3902" max="3902" width="10.42578125" bestFit="1" customWidth="1"/>
    <col min="3903" max="3903" width="10.5703125" bestFit="1" customWidth="1"/>
    <col min="3904" max="3904" width="9.5703125" bestFit="1" customWidth="1"/>
    <col min="3905" max="3905" width="11.5703125" bestFit="1" customWidth="1"/>
    <col min="3906" max="3906" width="10.42578125" bestFit="1" customWidth="1"/>
    <col min="3907" max="3907" width="10.85546875" customWidth="1"/>
    <col min="3908" max="3909" width="9.85546875" bestFit="1" customWidth="1"/>
    <col min="3910" max="3910" width="13.5703125" bestFit="1" customWidth="1"/>
    <col min="3911" max="3911" width="7.7109375" bestFit="1" customWidth="1"/>
    <col min="3912" max="3912" width="13.28515625" bestFit="1" customWidth="1"/>
    <col min="3913" max="3913" width="11.5703125" bestFit="1" customWidth="1"/>
    <col min="3914" max="3914" width="10.42578125" bestFit="1" customWidth="1"/>
    <col min="3915" max="3915" width="7.7109375" bestFit="1" customWidth="1"/>
    <col min="3916" max="3916" width="11.5703125" bestFit="1" customWidth="1"/>
    <col min="3917" max="3917" width="10.85546875" bestFit="1" customWidth="1"/>
    <col min="3918" max="3918" width="13.28515625" bestFit="1" customWidth="1"/>
    <col min="3919" max="3919" width="10.85546875" bestFit="1" customWidth="1"/>
    <col min="3920" max="3921" width="7.5703125" bestFit="1" customWidth="1"/>
    <col min="3922" max="3923" width="10.42578125" bestFit="1" customWidth="1"/>
    <col min="3924" max="3924" width="11.5703125" bestFit="1" customWidth="1"/>
    <col min="3925" max="3925" width="5.28515625" bestFit="1" customWidth="1"/>
    <col min="3926" max="3926" width="10.28515625" bestFit="1" customWidth="1"/>
    <col min="3927" max="3927" width="10.42578125" bestFit="1" customWidth="1"/>
    <col min="3928" max="3928" width="11.5703125" bestFit="1" customWidth="1"/>
    <col min="3929" max="3929" width="5.28515625" bestFit="1" customWidth="1"/>
    <col min="3930" max="3932" width="11.5703125" bestFit="1" customWidth="1"/>
    <col min="3933" max="3933" width="5.28515625" bestFit="1" customWidth="1"/>
    <col min="3934" max="3935" width="10.42578125" bestFit="1" customWidth="1"/>
    <col min="3936" max="3936" width="11.5703125" bestFit="1" customWidth="1"/>
    <col min="3937" max="3937" width="5.28515625" bestFit="1" customWidth="1"/>
    <col min="3938" max="3938" width="14.28515625" bestFit="1" customWidth="1"/>
    <col min="3939" max="3939" width="13" bestFit="1" customWidth="1"/>
    <col min="3940" max="3940" width="11.5703125" bestFit="1" customWidth="1"/>
    <col min="3941" max="3941" width="8.85546875" bestFit="1" customWidth="1"/>
    <col min="3942" max="3942" width="14.42578125" bestFit="1" customWidth="1"/>
    <col min="3943" max="3943" width="10.42578125" bestFit="1" customWidth="1"/>
    <col min="3944" max="3944" width="12.28515625" bestFit="1" customWidth="1"/>
    <col min="3945" max="3945" width="13.85546875" bestFit="1" customWidth="1"/>
    <col min="3946" max="3946" width="11.28515625" customWidth="1"/>
    <col min="3947" max="3947" width="11.5703125" customWidth="1"/>
    <col min="3948" max="3948" width="13.42578125" bestFit="1" customWidth="1"/>
    <col min="3949" max="3949" width="10.42578125" customWidth="1"/>
    <col min="3950" max="3950" width="13.85546875" bestFit="1" customWidth="1"/>
    <col min="3951" max="3951" width="15.42578125" bestFit="1" customWidth="1"/>
    <col min="3952" max="3952" width="12.28515625" bestFit="1" customWidth="1"/>
    <col min="3953" max="3953" width="12.7109375" customWidth="1"/>
    <col min="3954" max="3954" width="10.7109375" bestFit="1" customWidth="1"/>
    <col min="3955" max="3955" width="9.85546875" customWidth="1"/>
    <col min="3956" max="3957" width="10.140625" bestFit="1" customWidth="1"/>
    <col min="3958" max="3958" width="7.5703125" bestFit="1" customWidth="1"/>
    <col min="3959" max="3959" width="9.42578125" bestFit="1" customWidth="1"/>
    <col min="3960" max="3960" width="14.5703125" bestFit="1" customWidth="1"/>
    <col min="3961" max="3961" width="14.85546875" customWidth="1"/>
    <col min="3962" max="3962" width="15.140625" bestFit="1" customWidth="1"/>
    <col min="3963" max="3963" width="12.140625" bestFit="1" customWidth="1"/>
    <col min="3964" max="3964" width="14.85546875" bestFit="1" customWidth="1"/>
    <col min="3965" max="3965" width="12.28515625" bestFit="1" customWidth="1"/>
    <col min="3966" max="3974" width="9.140625" hidden="1" customWidth="1"/>
    <col min="3975" max="3975" width="5.28515625" bestFit="1" customWidth="1"/>
    <col min="3976" max="3981" width="11.5703125" bestFit="1" customWidth="1"/>
    <col min="3982" max="3982" width="11.28515625" bestFit="1" customWidth="1"/>
    <col min="3983" max="3983" width="10.140625" bestFit="1" customWidth="1"/>
    <col min="3984" max="3984" width="11.5703125" bestFit="1" customWidth="1"/>
    <col min="3985" max="3985" width="16.140625" customWidth="1"/>
    <col min="3986" max="3986" width="13.42578125" customWidth="1"/>
    <col min="3987" max="3987" width="10.140625" bestFit="1" customWidth="1"/>
    <col min="3988" max="3988" width="12.85546875" bestFit="1" customWidth="1"/>
    <col min="3989" max="3989" width="12.28515625" bestFit="1" customWidth="1"/>
    <col min="3990" max="3990" width="11.28515625" bestFit="1" customWidth="1"/>
    <col min="3991" max="3991" width="11.5703125" bestFit="1" customWidth="1"/>
    <col min="3992" max="3992" width="10.85546875" bestFit="1" customWidth="1"/>
    <col min="3993" max="3993" width="11.28515625" bestFit="1" customWidth="1"/>
    <col min="3994" max="3994" width="10.140625" bestFit="1" customWidth="1"/>
    <col min="3995" max="3995" width="13.28515625" bestFit="1" customWidth="1"/>
    <col min="3996" max="3997" width="12.7109375" bestFit="1" customWidth="1"/>
    <col min="3998" max="3998" width="11" bestFit="1" customWidth="1"/>
    <col min="3999" max="3999" width="11.28515625" bestFit="1" customWidth="1"/>
    <col min="4000" max="4000" width="11.5703125" bestFit="1" customWidth="1"/>
    <col min="4001" max="4001" width="12.28515625" bestFit="1" customWidth="1"/>
    <col min="4002" max="4002" width="15.140625" bestFit="1" customWidth="1"/>
    <col min="4003" max="4003" width="14.42578125" bestFit="1" customWidth="1"/>
    <col min="4004" max="4004" width="12.28515625" bestFit="1" customWidth="1"/>
    <col min="4005" max="4005" width="15.140625" bestFit="1" customWidth="1"/>
    <col min="4006" max="4006" width="14.42578125" bestFit="1" customWidth="1"/>
    <col min="4007" max="4007" width="12.28515625" bestFit="1" customWidth="1"/>
    <col min="4008" max="4008" width="14.42578125" bestFit="1" customWidth="1"/>
    <col min="4009" max="4009" width="11.28515625" bestFit="1" customWidth="1"/>
    <col min="4010" max="4010" width="12.28515625" bestFit="1" customWidth="1"/>
    <col min="4011" max="4011" width="13" bestFit="1" customWidth="1"/>
    <col min="4012" max="4012" width="15.140625" bestFit="1" customWidth="1"/>
    <col min="4013" max="4013" width="12.28515625" bestFit="1" customWidth="1"/>
    <col min="4014" max="4014" width="13.85546875" bestFit="1" customWidth="1"/>
    <col min="4015" max="4015" width="11.28515625" bestFit="1" customWidth="1"/>
    <col min="4016" max="4016" width="12.28515625" bestFit="1" customWidth="1"/>
    <col min="4017" max="4017" width="13.85546875" bestFit="1" customWidth="1"/>
    <col min="4018" max="4019" width="15.140625" bestFit="1" customWidth="1"/>
    <col min="4020" max="4020" width="12.28515625" bestFit="1" customWidth="1"/>
    <col min="4021" max="4021" width="5.7109375" bestFit="1" customWidth="1"/>
    <col min="4022" max="4022" width="8.5703125" bestFit="1" customWidth="1"/>
    <col min="4023" max="4023" width="5.5703125" bestFit="1" customWidth="1"/>
    <col min="4024" max="4024" width="14.42578125" bestFit="1" customWidth="1"/>
    <col min="4025" max="4025" width="11.28515625" bestFit="1" customWidth="1"/>
    <col min="4026" max="4027" width="12.28515625" bestFit="1" customWidth="1"/>
    <col min="4028" max="4028" width="11.28515625" bestFit="1" customWidth="1"/>
    <col min="4029" max="4029" width="13.85546875" bestFit="1" customWidth="1"/>
    <col min="4030" max="4030" width="12" bestFit="1" customWidth="1"/>
    <col min="4031" max="4031" width="13.85546875" bestFit="1" customWidth="1"/>
    <col min="4032" max="4033" width="14.42578125" customWidth="1"/>
    <col min="4034" max="4034" width="10.140625" bestFit="1" customWidth="1"/>
    <col min="4035" max="4035" width="12.28515625" bestFit="1" customWidth="1"/>
    <col min="4036" max="4036" width="7.42578125" bestFit="1" customWidth="1"/>
    <col min="4037" max="4037" width="8.5703125" bestFit="1" customWidth="1"/>
    <col min="4038" max="4038" width="11.5703125" bestFit="1" customWidth="1"/>
    <col min="4039" max="4039" width="13.28515625" bestFit="1" customWidth="1"/>
    <col min="4040" max="4040" width="13.28515625" customWidth="1"/>
    <col min="4041" max="4041" width="13.140625" customWidth="1"/>
    <col min="4042" max="4042" width="12.7109375" bestFit="1" customWidth="1"/>
    <col min="4043" max="4043" width="13.28515625" bestFit="1" customWidth="1"/>
    <col min="4044" max="4046" width="13.28515625" customWidth="1"/>
    <col min="4047" max="4047" width="12.140625" bestFit="1" customWidth="1"/>
    <col min="4048" max="4048" width="12.7109375" bestFit="1" customWidth="1"/>
    <col min="4049" max="4049" width="11" customWidth="1"/>
    <col min="4050" max="4050" width="16.7109375" customWidth="1"/>
    <col min="4051" max="4051" width="17" customWidth="1"/>
    <col min="4052" max="4052" width="10.42578125" bestFit="1" customWidth="1"/>
    <col min="4096" max="4096" width="3.85546875" customWidth="1"/>
    <col min="4097" max="4097" width="15.28515625" bestFit="1" customWidth="1"/>
    <col min="4098" max="4098" width="12.28515625" customWidth="1"/>
    <col min="4099" max="4099" width="16.28515625" bestFit="1" customWidth="1"/>
    <col min="4100" max="4100" width="6.42578125" bestFit="1" customWidth="1"/>
    <col min="4101" max="4101" width="9.28515625" bestFit="1" customWidth="1"/>
    <col min="4102" max="4102" width="7.5703125" bestFit="1" customWidth="1"/>
    <col min="4103" max="4103" width="13.28515625" bestFit="1" customWidth="1"/>
    <col min="4104" max="4104" width="9.28515625" bestFit="1" customWidth="1"/>
    <col min="4105" max="4105" width="11.5703125" bestFit="1" customWidth="1"/>
    <col min="4106" max="4106" width="13.28515625" bestFit="1" customWidth="1"/>
    <col min="4107" max="4107" width="7.140625" bestFit="1" customWidth="1"/>
    <col min="4108" max="4108" width="12" bestFit="1" customWidth="1"/>
    <col min="4109" max="4109" width="13.28515625" bestFit="1" customWidth="1"/>
    <col min="4110" max="4110" width="7" bestFit="1" customWidth="1"/>
    <col min="4111" max="4111" width="12.7109375" bestFit="1" customWidth="1"/>
    <col min="4112" max="4112" width="11.5703125" bestFit="1" customWidth="1"/>
    <col min="4113" max="4113" width="10.5703125" bestFit="1" customWidth="1"/>
    <col min="4114" max="4115" width="15.7109375" bestFit="1" customWidth="1"/>
    <col min="4116" max="4116" width="11.5703125" bestFit="1" customWidth="1"/>
    <col min="4117" max="4117" width="7.7109375" bestFit="1" customWidth="1"/>
    <col min="4118" max="4118" width="15.140625" bestFit="1" customWidth="1"/>
    <col min="4119" max="4119" width="11.5703125" bestFit="1" customWidth="1"/>
    <col min="4120" max="4120" width="13.28515625" bestFit="1" customWidth="1"/>
    <col min="4121" max="4121" width="10.42578125" bestFit="1" customWidth="1"/>
    <col min="4122" max="4122" width="13.28515625" bestFit="1" customWidth="1"/>
    <col min="4123" max="4123" width="12.140625" bestFit="1" customWidth="1"/>
    <col min="4124" max="4124" width="14.42578125" bestFit="1" customWidth="1"/>
    <col min="4125" max="4125" width="13.28515625" bestFit="1" customWidth="1"/>
    <col min="4126" max="4126" width="11.5703125" bestFit="1" customWidth="1"/>
    <col min="4127" max="4127" width="7.7109375" bestFit="1" customWidth="1"/>
    <col min="4128" max="4129" width="14.42578125" bestFit="1" customWidth="1"/>
    <col min="4130" max="4130" width="11.5703125" bestFit="1" customWidth="1"/>
    <col min="4131" max="4131" width="7.7109375" bestFit="1" customWidth="1"/>
    <col min="4132" max="4132" width="13.5703125" customWidth="1"/>
    <col min="4133" max="4133" width="15.28515625" customWidth="1"/>
    <col min="4134" max="4134" width="14.5703125" customWidth="1"/>
    <col min="4135" max="4135" width="13.28515625" bestFit="1" customWidth="1"/>
    <col min="4136" max="4136" width="7.7109375" bestFit="1" customWidth="1"/>
    <col min="4137" max="4137" width="12.7109375" bestFit="1" customWidth="1"/>
    <col min="4138" max="4138" width="11.7109375" bestFit="1" customWidth="1"/>
    <col min="4139" max="4139" width="11.5703125" bestFit="1" customWidth="1"/>
    <col min="4140" max="4140" width="5.28515625" bestFit="1" customWidth="1"/>
    <col min="4141" max="4141" width="13.28515625" bestFit="1" customWidth="1"/>
    <col min="4142" max="4142" width="13.5703125" bestFit="1" customWidth="1"/>
    <col min="4143" max="4143" width="10.5703125" bestFit="1" customWidth="1"/>
    <col min="4144" max="4144" width="13.28515625" bestFit="1" customWidth="1"/>
    <col min="4145" max="4145" width="11.5703125" bestFit="1" customWidth="1"/>
    <col min="4146" max="4146" width="10.5703125" bestFit="1" customWidth="1"/>
    <col min="4147" max="4147" width="16.140625" bestFit="1" customWidth="1"/>
    <col min="4148" max="4149" width="11.28515625" bestFit="1" customWidth="1"/>
    <col min="4150" max="4150" width="13.28515625" bestFit="1" customWidth="1"/>
    <col min="4151" max="4151" width="7.7109375" bestFit="1" customWidth="1"/>
    <col min="4152" max="4155" width="9.140625" hidden="1" customWidth="1"/>
    <col min="4156" max="4156" width="10.42578125" bestFit="1" customWidth="1"/>
    <col min="4157" max="4157" width="10.5703125" bestFit="1" customWidth="1"/>
    <col min="4158" max="4158" width="10.42578125" bestFit="1" customWidth="1"/>
    <col min="4159" max="4159" width="10.5703125" bestFit="1" customWidth="1"/>
    <col min="4160" max="4160" width="9.5703125" bestFit="1" customWidth="1"/>
    <col min="4161" max="4161" width="11.5703125" bestFit="1" customWidth="1"/>
    <col min="4162" max="4162" width="10.42578125" bestFit="1" customWidth="1"/>
    <col min="4163" max="4163" width="10.85546875" customWidth="1"/>
    <col min="4164" max="4165" width="9.85546875" bestFit="1" customWidth="1"/>
    <col min="4166" max="4166" width="13.5703125" bestFit="1" customWidth="1"/>
    <col min="4167" max="4167" width="7.7109375" bestFit="1" customWidth="1"/>
    <col min="4168" max="4168" width="13.28515625" bestFit="1" customWidth="1"/>
    <col min="4169" max="4169" width="11.5703125" bestFit="1" customWidth="1"/>
    <col min="4170" max="4170" width="10.42578125" bestFit="1" customWidth="1"/>
    <col min="4171" max="4171" width="7.7109375" bestFit="1" customWidth="1"/>
    <col min="4172" max="4172" width="11.5703125" bestFit="1" customWidth="1"/>
    <col min="4173" max="4173" width="10.85546875" bestFit="1" customWidth="1"/>
    <col min="4174" max="4174" width="13.28515625" bestFit="1" customWidth="1"/>
    <col min="4175" max="4175" width="10.85546875" bestFit="1" customWidth="1"/>
    <col min="4176" max="4177" width="7.5703125" bestFit="1" customWidth="1"/>
    <col min="4178" max="4179" width="10.42578125" bestFit="1" customWidth="1"/>
    <col min="4180" max="4180" width="11.5703125" bestFit="1" customWidth="1"/>
    <col min="4181" max="4181" width="5.28515625" bestFit="1" customWidth="1"/>
    <col min="4182" max="4182" width="10.28515625" bestFit="1" customWidth="1"/>
    <col min="4183" max="4183" width="10.42578125" bestFit="1" customWidth="1"/>
    <col min="4184" max="4184" width="11.5703125" bestFit="1" customWidth="1"/>
    <col min="4185" max="4185" width="5.28515625" bestFit="1" customWidth="1"/>
    <col min="4186" max="4188" width="11.5703125" bestFit="1" customWidth="1"/>
    <col min="4189" max="4189" width="5.28515625" bestFit="1" customWidth="1"/>
    <col min="4190" max="4191" width="10.42578125" bestFit="1" customWidth="1"/>
    <col min="4192" max="4192" width="11.5703125" bestFit="1" customWidth="1"/>
    <col min="4193" max="4193" width="5.28515625" bestFit="1" customWidth="1"/>
    <col min="4194" max="4194" width="14.28515625" bestFit="1" customWidth="1"/>
    <col min="4195" max="4195" width="13" bestFit="1" customWidth="1"/>
    <col min="4196" max="4196" width="11.5703125" bestFit="1" customWidth="1"/>
    <col min="4197" max="4197" width="8.85546875" bestFit="1" customWidth="1"/>
    <col min="4198" max="4198" width="14.42578125" bestFit="1" customWidth="1"/>
    <col min="4199" max="4199" width="10.42578125" bestFit="1" customWidth="1"/>
    <col min="4200" max="4200" width="12.28515625" bestFit="1" customWidth="1"/>
    <col min="4201" max="4201" width="13.85546875" bestFit="1" customWidth="1"/>
    <col min="4202" max="4202" width="11.28515625" customWidth="1"/>
    <col min="4203" max="4203" width="11.5703125" customWidth="1"/>
    <col min="4204" max="4204" width="13.42578125" bestFit="1" customWidth="1"/>
    <col min="4205" max="4205" width="10.42578125" customWidth="1"/>
    <col min="4206" max="4206" width="13.85546875" bestFit="1" customWidth="1"/>
    <col min="4207" max="4207" width="15.42578125" bestFit="1" customWidth="1"/>
    <col min="4208" max="4208" width="12.28515625" bestFit="1" customWidth="1"/>
    <col min="4209" max="4209" width="12.7109375" customWidth="1"/>
    <col min="4210" max="4210" width="10.7109375" bestFit="1" customWidth="1"/>
    <col min="4211" max="4211" width="9.85546875" customWidth="1"/>
    <col min="4212" max="4213" width="10.140625" bestFit="1" customWidth="1"/>
    <col min="4214" max="4214" width="7.5703125" bestFit="1" customWidth="1"/>
    <col min="4215" max="4215" width="9.42578125" bestFit="1" customWidth="1"/>
    <col min="4216" max="4216" width="14.5703125" bestFit="1" customWidth="1"/>
    <col min="4217" max="4217" width="14.85546875" customWidth="1"/>
    <col min="4218" max="4218" width="15.140625" bestFit="1" customWidth="1"/>
    <col min="4219" max="4219" width="12.140625" bestFit="1" customWidth="1"/>
    <col min="4220" max="4220" width="14.85546875" bestFit="1" customWidth="1"/>
    <col min="4221" max="4221" width="12.28515625" bestFit="1" customWidth="1"/>
    <col min="4222" max="4230" width="9.140625" hidden="1" customWidth="1"/>
    <col min="4231" max="4231" width="5.28515625" bestFit="1" customWidth="1"/>
    <col min="4232" max="4237" width="11.5703125" bestFit="1" customWidth="1"/>
    <col min="4238" max="4238" width="11.28515625" bestFit="1" customWidth="1"/>
    <col min="4239" max="4239" width="10.140625" bestFit="1" customWidth="1"/>
    <col min="4240" max="4240" width="11.5703125" bestFit="1" customWidth="1"/>
    <col min="4241" max="4241" width="16.140625" customWidth="1"/>
    <col min="4242" max="4242" width="13.42578125" customWidth="1"/>
    <col min="4243" max="4243" width="10.140625" bestFit="1" customWidth="1"/>
    <col min="4244" max="4244" width="12.85546875" bestFit="1" customWidth="1"/>
    <col min="4245" max="4245" width="12.28515625" bestFit="1" customWidth="1"/>
    <col min="4246" max="4246" width="11.28515625" bestFit="1" customWidth="1"/>
    <col min="4247" max="4247" width="11.5703125" bestFit="1" customWidth="1"/>
    <col min="4248" max="4248" width="10.85546875" bestFit="1" customWidth="1"/>
    <col min="4249" max="4249" width="11.28515625" bestFit="1" customWidth="1"/>
    <col min="4250" max="4250" width="10.140625" bestFit="1" customWidth="1"/>
    <col min="4251" max="4251" width="13.28515625" bestFit="1" customWidth="1"/>
    <col min="4252" max="4253" width="12.7109375" bestFit="1" customWidth="1"/>
    <col min="4254" max="4254" width="11" bestFit="1" customWidth="1"/>
    <col min="4255" max="4255" width="11.28515625" bestFit="1" customWidth="1"/>
    <col min="4256" max="4256" width="11.5703125" bestFit="1" customWidth="1"/>
    <col min="4257" max="4257" width="12.28515625" bestFit="1" customWidth="1"/>
    <col min="4258" max="4258" width="15.140625" bestFit="1" customWidth="1"/>
    <col min="4259" max="4259" width="14.42578125" bestFit="1" customWidth="1"/>
    <col min="4260" max="4260" width="12.28515625" bestFit="1" customWidth="1"/>
    <col min="4261" max="4261" width="15.140625" bestFit="1" customWidth="1"/>
    <col min="4262" max="4262" width="14.42578125" bestFit="1" customWidth="1"/>
    <col min="4263" max="4263" width="12.28515625" bestFit="1" customWidth="1"/>
    <col min="4264" max="4264" width="14.42578125" bestFit="1" customWidth="1"/>
    <col min="4265" max="4265" width="11.28515625" bestFit="1" customWidth="1"/>
    <col min="4266" max="4266" width="12.28515625" bestFit="1" customWidth="1"/>
    <col min="4267" max="4267" width="13" bestFit="1" customWidth="1"/>
    <col min="4268" max="4268" width="15.140625" bestFit="1" customWidth="1"/>
    <col min="4269" max="4269" width="12.28515625" bestFit="1" customWidth="1"/>
    <col min="4270" max="4270" width="13.85546875" bestFit="1" customWidth="1"/>
    <col min="4271" max="4271" width="11.28515625" bestFit="1" customWidth="1"/>
    <col min="4272" max="4272" width="12.28515625" bestFit="1" customWidth="1"/>
    <col min="4273" max="4273" width="13.85546875" bestFit="1" customWidth="1"/>
    <col min="4274" max="4275" width="15.140625" bestFit="1" customWidth="1"/>
    <col min="4276" max="4276" width="12.28515625" bestFit="1" customWidth="1"/>
    <col min="4277" max="4277" width="5.7109375" bestFit="1" customWidth="1"/>
    <col min="4278" max="4278" width="8.5703125" bestFit="1" customWidth="1"/>
    <col min="4279" max="4279" width="5.5703125" bestFit="1" customWidth="1"/>
    <col min="4280" max="4280" width="14.42578125" bestFit="1" customWidth="1"/>
    <col min="4281" max="4281" width="11.28515625" bestFit="1" customWidth="1"/>
    <col min="4282" max="4283" width="12.28515625" bestFit="1" customWidth="1"/>
    <col min="4284" max="4284" width="11.28515625" bestFit="1" customWidth="1"/>
    <col min="4285" max="4285" width="13.85546875" bestFit="1" customWidth="1"/>
    <col min="4286" max="4286" width="12" bestFit="1" customWidth="1"/>
    <col min="4287" max="4287" width="13.85546875" bestFit="1" customWidth="1"/>
    <col min="4288" max="4289" width="14.42578125" customWidth="1"/>
    <col min="4290" max="4290" width="10.140625" bestFit="1" customWidth="1"/>
    <col min="4291" max="4291" width="12.28515625" bestFit="1" customWidth="1"/>
    <col min="4292" max="4292" width="7.42578125" bestFit="1" customWidth="1"/>
    <col min="4293" max="4293" width="8.5703125" bestFit="1" customWidth="1"/>
    <col min="4294" max="4294" width="11.5703125" bestFit="1" customWidth="1"/>
    <col min="4295" max="4295" width="13.28515625" bestFit="1" customWidth="1"/>
    <col min="4296" max="4296" width="13.28515625" customWidth="1"/>
    <col min="4297" max="4297" width="13.140625" customWidth="1"/>
    <col min="4298" max="4298" width="12.7109375" bestFit="1" customWidth="1"/>
    <col min="4299" max="4299" width="13.28515625" bestFit="1" customWidth="1"/>
    <col min="4300" max="4302" width="13.28515625" customWidth="1"/>
    <col min="4303" max="4303" width="12.140625" bestFit="1" customWidth="1"/>
    <col min="4304" max="4304" width="12.7109375" bestFit="1" customWidth="1"/>
    <col min="4305" max="4305" width="11" customWidth="1"/>
    <col min="4306" max="4306" width="16.7109375" customWidth="1"/>
    <col min="4307" max="4307" width="17" customWidth="1"/>
    <col min="4308" max="4308" width="10.42578125" bestFit="1" customWidth="1"/>
    <col min="4352" max="4352" width="3.85546875" customWidth="1"/>
    <col min="4353" max="4353" width="15.28515625" bestFit="1" customWidth="1"/>
    <col min="4354" max="4354" width="12.28515625" customWidth="1"/>
    <col min="4355" max="4355" width="16.28515625" bestFit="1" customWidth="1"/>
    <col min="4356" max="4356" width="6.42578125" bestFit="1" customWidth="1"/>
    <col min="4357" max="4357" width="9.28515625" bestFit="1" customWidth="1"/>
    <col min="4358" max="4358" width="7.5703125" bestFit="1" customWidth="1"/>
    <col min="4359" max="4359" width="13.28515625" bestFit="1" customWidth="1"/>
    <col min="4360" max="4360" width="9.28515625" bestFit="1" customWidth="1"/>
    <col min="4361" max="4361" width="11.5703125" bestFit="1" customWidth="1"/>
    <col min="4362" max="4362" width="13.28515625" bestFit="1" customWidth="1"/>
    <col min="4363" max="4363" width="7.140625" bestFit="1" customWidth="1"/>
    <col min="4364" max="4364" width="12" bestFit="1" customWidth="1"/>
    <col min="4365" max="4365" width="13.28515625" bestFit="1" customWidth="1"/>
    <col min="4366" max="4366" width="7" bestFit="1" customWidth="1"/>
    <col min="4367" max="4367" width="12.7109375" bestFit="1" customWidth="1"/>
    <col min="4368" max="4368" width="11.5703125" bestFit="1" customWidth="1"/>
    <col min="4369" max="4369" width="10.5703125" bestFit="1" customWidth="1"/>
    <col min="4370" max="4371" width="15.7109375" bestFit="1" customWidth="1"/>
    <col min="4372" max="4372" width="11.5703125" bestFit="1" customWidth="1"/>
    <col min="4373" max="4373" width="7.7109375" bestFit="1" customWidth="1"/>
    <col min="4374" max="4374" width="15.140625" bestFit="1" customWidth="1"/>
    <col min="4375" max="4375" width="11.5703125" bestFit="1" customWidth="1"/>
    <col min="4376" max="4376" width="13.28515625" bestFit="1" customWidth="1"/>
    <col min="4377" max="4377" width="10.42578125" bestFit="1" customWidth="1"/>
    <col min="4378" max="4378" width="13.28515625" bestFit="1" customWidth="1"/>
    <col min="4379" max="4379" width="12.140625" bestFit="1" customWidth="1"/>
    <col min="4380" max="4380" width="14.42578125" bestFit="1" customWidth="1"/>
    <col min="4381" max="4381" width="13.28515625" bestFit="1" customWidth="1"/>
    <col min="4382" max="4382" width="11.5703125" bestFit="1" customWidth="1"/>
    <col min="4383" max="4383" width="7.7109375" bestFit="1" customWidth="1"/>
    <col min="4384" max="4385" width="14.42578125" bestFit="1" customWidth="1"/>
    <col min="4386" max="4386" width="11.5703125" bestFit="1" customWidth="1"/>
    <col min="4387" max="4387" width="7.7109375" bestFit="1" customWidth="1"/>
    <col min="4388" max="4388" width="13.5703125" customWidth="1"/>
    <col min="4389" max="4389" width="15.28515625" customWidth="1"/>
    <col min="4390" max="4390" width="14.5703125" customWidth="1"/>
    <col min="4391" max="4391" width="13.28515625" bestFit="1" customWidth="1"/>
    <col min="4392" max="4392" width="7.7109375" bestFit="1" customWidth="1"/>
    <col min="4393" max="4393" width="12.7109375" bestFit="1" customWidth="1"/>
    <col min="4394" max="4394" width="11.7109375" bestFit="1" customWidth="1"/>
    <col min="4395" max="4395" width="11.5703125" bestFit="1" customWidth="1"/>
    <col min="4396" max="4396" width="5.28515625" bestFit="1" customWidth="1"/>
    <col min="4397" max="4397" width="13.28515625" bestFit="1" customWidth="1"/>
    <col min="4398" max="4398" width="13.5703125" bestFit="1" customWidth="1"/>
    <col min="4399" max="4399" width="10.5703125" bestFit="1" customWidth="1"/>
    <col min="4400" max="4400" width="13.28515625" bestFit="1" customWidth="1"/>
    <col min="4401" max="4401" width="11.5703125" bestFit="1" customWidth="1"/>
    <col min="4402" max="4402" width="10.5703125" bestFit="1" customWidth="1"/>
    <col min="4403" max="4403" width="16.140625" bestFit="1" customWidth="1"/>
    <col min="4404" max="4405" width="11.28515625" bestFit="1" customWidth="1"/>
    <col min="4406" max="4406" width="13.28515625" bestFit="1" customWidth="1"/>
    <col min="4407" max="4407" width="7.7109375" bestFit="1" customWidth="1"/>
    <col min="4408" max="4411" width="9.140625" hidden="1" customWidth="1"/>
    <col min="4412" max="4412" width="10.42578125" bestFit="1" customWidth="1"/>
    <col min="4413" max="4413" width="10.5703125" bestFit="1" customWidth="1"/>
    <col min="4414" max="4414" width="10.42578125" bestFit="1" customWidth="1"/>
    <col min="4415" max="4415" width="10.5703125" bestFit="1" customWidth="1"/>
    <col min="4416" max="4416" width="9.5703125" bestFit="1" customWidth="1"/>
    <col min="4417" max="4417" width="11.5703125" bestFit="1" customWidth="1"/>
    <col min="4418" max="4418" width="10.42578125" bestFit="1" customWidth="1"/>
    <col min="4419" max="4419" width="10.85546875" customWidth="1"/>
    <col min="4420" max="4421" width="9.85546875" bestFit="1" customWidth="1"/>
    <col min="4422" max="4422" width="13.5703125" bestFit="1" customWidth="1"/>
    <col min="4423" max="4423" width="7.7109375" bestFit="1" customWidth="1"/>
    <col min="4424" max="4424" width="13.28515625" bestFit="1" customWidth="1"/>
    <col min="4425" max="4425" width="11.5703125" bestFit="1" customWidth="1"/>
    <col min="4426" max="4426" width="10.42578125" bestFit="1" customWidth="1"/>
    <col min="4427" max="4427" width="7.7109375" bestFit="1" customWidth="1"/>
    <col min="4428" max="4428" width="11.5703125" bestFit="1" customWidth="1"/>
    <col min="4429" max="4429" width="10.85546875" bestFit="1" customWidth="1"/>
    <col min="4430" max="4430" width="13.28515625" bestFit="1" customWidth="1"/>
    <col min="4431" max="4431" width="10.85546875" bestFit="1" customWidth="1"/>
    <col min="4432" max="4433" width="7.5703125" bestFit="1" customWidth="1"/>
    <col min="4434" max="4435" width="10.42578125" bestFit="1" customWidth="1"/>
    <col min="4436" max="4436" width="11.5703125" bestFit="1" customWidth="1"/>
    <col min="4437" max="4437" width="5.28515625" bestFit="1" customWidth="1"/>
    <col min="4438" max="4438" width="10.28515625" bestFit="1" customWidth="1"/>
    <col min="4439" max="4439" width="10.42578125" bestFit="1" customWidth="1"/>
    <col min="4440" max="4440" width="11.5703125" bestFit="1" customWidth="1"/>
    <col min="4441" max="4441" width="5.28515625" bestFit="1" customWidth="1"/>
    <col min="4442" max="4444" width="11.5703125" bestFit="1" customWidth="1"/>
    <col min="4445" max="4445" width="5.28515625" bestFit="1" customWidth="1"/>
    <col min="4446" max="4447" width="10.42578125" bestFit="1" customWidth="1"/>
    <col min="4448" max="4448" width="11.5703125" bestFit="1" customWidth="1"/>
    <col min="4449" max="4449" width="5.28515625" bestFit="1" customWidth="1"/>
    <col min="4450" max="4450" width="14.28515625" bestFit="1" customWidth="1"/>
    <col min="4451" max="4451" width="13" bestFit="1" customWidth="1"/>
    <col min="4452" max="4452" width="11.5703125" bestFit="1" customWidth="1"/>
    <col min="4453" max="4453" width="8.85546875" bestFit="1" customWidth="1"/>
    <col min="4454" max="4454" width="14.42578125" bestFit="1" customWidth="1"/>
    <col min="4455" max="4455" width="10.42578125" bestFit="1" customWidth="1"/>
    <col min="4456" max="4456" width="12.28515625" bestFit="1" customWidth="1"/>
    <col min="4457" max="4457" width="13.85546875" bestFit="1" customWidth="1"/>
    <col min="4458" max="4458" width="11.28515625" customWidth="1"/>
    <col min="4459" max="4459" width="11.5703125" customWidth="1"/>
    <col min="4460" max="4460" width="13.42578125" bestFit="1" customWidth="1"/>
    <col min="4461" max="4461" width="10.42578125" customWidth="1"/>
    <col min="4462" max="4462" width="13.85546875" bestFit="1" customWidth="1"/>
    <col min="4463" max="4463" width="15.42578125" bestFit="1" customWidth="1"/>
    <col min="4464" max="4464" width="12.28515625" bestFit="1" customWidth="1"/>
    <col min="4465" max="4465" width="12.7109375" customWidth="1"/>
    <col min="4466" max="4466" width="10.7109375" bestFit="1" customWidth="1"/>
    <col min="4467" max="4467" width="9.85546875" customWidth="1"/>
    <col min="4468" max="4469" width="10.140625" bestFit="1" customWidth="1"/>
    <col min="4470" max="4470" width="7.5703125" bestFit="1" customWidth="1"/>
    <col min="4471" max="4471" width="9.42578125" bestFit="1" customWidth="1"/>
    <col min="4472" max="4472" width="14.5703125" bestFit="1" customWidth="1"/>
    <col min="4473" max="4473" width="14.85546875" customWidth="1"/>
    <col min="4474" max="4474" width="15.140625" bestFit="1" customWidth="1"/>
    <col min="4475" max="4475" width="12.140625" bestFit="1" customWidth="1"/>
    <col min="4476" max="4476" width="14.85546875" bestFit="1" customWidth="1"/>
    <col min="4477" max="4477" width="12.28515625" bestFit="1" customWidth="1"/>
    <col min="4478" max="4486" width="9.140625" hidden="1" customWidth="1"/>
    <col min="4487" max="4487" width="5.28515625" bestFit="1" customWidth="1"/>
    <col min="4488" max="4493" width="11.5703125" bestFit="1" customWidth="1"/>
    <col min="4494" max="4494" width="11.28515625" bestFit="1" customWidth="1"/>
    <col min="4495" max="4495" width="10.140625" bestFit="1" customWidth="1"/>
    <col min="4496" max="4496" width="11.5703125" bestFit="1" customWidth="1"/>
    <col min="4497" max="4497" width="16.140625" customWidth="1"/>
    <col min="4498" max="4498" width="13.42578125" customWidth="1"/>
    <col min="4499" max="4499" width="10.140625" bestFit="1" customWidth="1"/>
    <col min="4500" max="4500" width="12.85546875" bestFit="1" customWidth="1"/>
    <col min="4501" max="4501" width="12.28515625" bestFit="1" customWidth="1"/>
    <col min="4502" max="4502" width="11.28515625" bestFit="1" customWidth="1"/>
    <col min="4503" max="4503" width="11.5703125" bestFit="1" customWidth="1"/>
    <col min="4504" max="4504" width="10.85546875" bestFit="1" customWidth="1"/>
    <col min="4505" max="4505" width="11.28515625" bestFit="1" customWidth="1"/>
    <col min="4506" max="4506" width="10.140625" bestFit="1" customWidth="1"/>
    <col min="4507" max="4507" width="13.28515625" bestFit="1" customWidth="1"/>
    <col min="4508" max="4509" width="12.7109375" bestFit="1" customWidth="1"/>
    <col min="4510" max="4510" width="11" bestFit="1" customWidth="1"/>
    <col min="4511" max="4511" width="11.28515625" bestFit="1" customWidth="1"/>
    <col min="4512" max="4512" width="11.5703125" bestFit="1" customWidth="1"/>
    <col min="4513" max="4513" width="12.28515625" bestFit="1" customWidth="1"/>
    <col min="4514" max="4514" width="15.140625" bestFit="1" customWidth="1"/>
    <col min="4515" max="4515" width="14.42578125" bestFit="1" customWidth="1"/>
    <col min="4516" max="4516" width="12.28515625" bestFit="1" customWidth="1"/>
    <col min="4517" max="4517" width="15.140625" bestFit="1" customWidth="1"/>
    <col min="4518" max="4518" width="14.42578125" bestFit="1" customWidth="1"/>
    <col min="4519" max="4519" width="12.28515625" bestFit="1" customWidth="1"/>
    <col min="4520" max="4520" width="14.42578125" bestFit="1" customWidth="1"/>
    <col min="4521" max="4521" width="11.28515625" bestFit="1" customWidth="1"/>
    <col min="4522" max="4522" width="12.28515625" bestFit="1" customWidth="1"/>
    <col min="4523" max="4523" width="13" bestFit="1" customWidth="1"/>
    <col min="4524" max="4524" width="15.140625" bestFit="1" customWidth="1"/>
    <col min="4525" max="4525" width="12.28515625" bestFit="1" customWidth="1"/>
    <col min="4526" max="4526" width="13.85546875" bestFit="1" customWidth="1"/>
    <col min="4527" max="4527" width="11.28515625" bestFit="1" customWidth="1"/>
    <col min="4528" max="4528" width="12.28515625" bestFit="1" customWidth="1"/>
    <col min="4529" max="4529" width="13.85546875" bestFit="1" customWidth="1"/>
    <col min="4530" max="4531" width="15.140625" bestFit="1" customWidth="1"/>
    <col min="4532" max="4532" width="12.28515625" bestFit="1" customWidth="1"/>
    <col min="4533" max="4533" width="5.7109375" bestFit="1" customWidth="1"/>
    <col min="4534" max="4534" width="8.5703125" bestFit="1" customWidth="1"/>
    <col min="4535" max="4535" width="5.5703125" bestFit="1" customWidth="1"/>
    <col min="4536" max="4536" width="14.42578125" bestFit="1" customWidth="1"/>
    <col min="4537" max="4537" width="11.28515625" bestFit="1" customWidth="1"/>
    <col min="4538" max="4539" width="12.28515625" bestFit="1" customWidth="1"/>
    <col min="4540" max="4540" width="11.28515625" bestFit="1" customWidth="1"/>
    <col min="4541" max="4541" width="13.85546875" bestFit="1" customWidth="1"/>
    <col min="4542" max="4542" width="12" bestFit="1" customWidth="1"/>
    <col min="4543" max="4543" width="13.85546875" bestFit="1" customWidth="1"/>
    <col min="4544" max="4545" width="14.42578125" customWidth="1"/>
    <col min="4546" max="4546" width="10.140625" bestFit="1" customWidth="1"/>
    <col min="4547" max="4547" width="12.28515625" bestFit="1" customWidth="1"/>
    <col min="4548" max="4548" width="7.42578125" bestFit="1" customWidth="1"/>
    <col min="4549" max="4549" width="8.5703125" bestFit="1" customWidth="1"/>
    <col min="4550" max="4550" width="11.5703125" bestFit="1" customWidth="1"/>
    <col min="4551" max="4551" width="13.28515625" bestFit="1" customWidth="1"/>
    <col min="4552" max="4552" width="13.28515625" customWidth="1"/>
    <col min="4553" max="4553" width="13.140625" customWidth="1"/>
    <col min="4554" max="4554" width="12.7109375" bestFit="1" customWidth="1"/>
    <col min="4555" max="4555" width="13.28515625" bestFit="1" customWidth="1"/>
    <col min="4556" max="4558" width="13.28515625" customWidth="1"/>
    <col min="4559" max="4559" width="12.140625" bestFit="1" customWidth="1"/>
    <col min="4560" max="4560" width="12.7109375" bestFit="1" customWidth="1"/>
    <col min="4561" max="4561" width="11" customWidth="1"/>
    <col min="4562" max="4562" width="16.7109375" customWidth="1"/>
    <col min="4563" max="4563" width="17" customWidth="1"/>
    <col min="4564" max="4564" width="10.42578125" bestFit="1" customWidth="1"/>
    <col min="4608" max="4608" width="3.85546875" customWidth="1"/>
    <col min="4609" max="4609" width="15.28515625" bestFit="1" customWidth="1"/>
    <col min="4610" max="4610" width="12.28515625" customWidth="1"/>
    <col min="4611" max="4611" width="16.28515625" bestFit="1" customWidth="1"/>
    <col min="4612" max="4612" width="6.42578125" bestFit="1" customWidth="1"/>
    <col min="4613" max="4613" width="9.28515625" bestFit="1" customWidth="1"/>
    <col min="4614" max="4614" width="7.5703125" bestFit="1" customWidth="1"/>
    <col min="4615" max="4615" width="13.28515625" bestFit="1" customWidth="1"/>
    <col min="4616" max="4616" width="9.28515625" bestFit="1" customWidth="1"/>
    <col min="4617" max="4617" width="11.5703125" bestFit="1" customWidth="1"/>
    <col min="4618" max="4618" width="13.28515625" bestFit="1" customWidth="1"/>
    <col min="4619" max="4619" width="7.140625" bestFit="1" customWidth="1"/>
    <col min="4620" max="4620" width="12" bestFit="1" customWidth="1"/>
    <col min="4621" max="4621" width="13.28515625" bestFit="1" customWidth="1"/>
    <col min="4622" max="4622" width="7" bestFit="1" customWidth="1"/>
    <col min="4623" max="4623" width="12.7109375" bestFit="1" customWidth="1"/>
    <col min="4624" max="4624" width="11.5703125" bestFit="1" customWidth="1"/>
    <col min="4625" max="4625" width="10.5703125" bestFit="1" customWidth="1"/>
    <col min="4626" max="4627" width="15.7109375" bestFit="1" customWidth="1"/>
    <col min="4628" max="4628" width="11.5703125" bestFit="1" customWidth="1"/>
    <col min="4629" max="4629" width="7.7109375" bestFit="1" customWidth="1"/>
    <col min="4630" max="4630" width="15.140625" bestFit="1" customWidth="1"/>
    <col min="4631" max="4631" width="11.5703125" bestFit="1" customWidth="1"/>
    <col min="4632" max="4632" width="13.28515625" bestFit="1" customWidth="1"/>
    <col min="4633" max="4633" width="10.42578125" bestFit="1" customWidth="1"/>
    <col min="4634" max="4634" width="13.28515625" bestFit="1" customWidth="1"/>
    <col min="4635" max="4635" width="12.140625" bestFit="1" customWidth="1"/>
    <col min="4636" max="4636" width="14.42578125" bestFit="1" customWidth="1"/>
    <col min="4637" max="4637" width="13.28515625" bestFit="1" customWidth="1"/>
    <col min="4638" max="4638" width="11.5703125" bestFit="1" customWidth="1"/>
    <col min="4639" max="4639" width="7.7109375" bestFit="1" customWidth="1"/>
    <col min="4640" max="4641" width="14.42578125" bestFit="1" customWidth="1"/>
    <col min="4642" max="4642" width="11.5703125" bestFit="1" customWidth="1"/>
    <col min="4643" max="4643" width="7.7109375" bestFit="1" customWidth="1"/>
    <col min="4644" max="4644" width="13.5703125" customWidth="1"/>
    <col min="4645" max="4645" width="15.28515625" customWidth="1"/>
    <col min="4646" max="4646" width="14.5703125" customWidth="1"/>
    <col min="4647" max="4647" width="13.28515625" bestFit="1" customWidth="1"/>
    <col min="4648" max="4648" width="7.7109375" bestFit="1" customWidth="1"/>
    <col min="4649" max="4649" width="12.7109375" bestFit="1" customWidth="1"/>
    <col min="4650" max="4650" width="11.7109375" bestFit="1" customWidth="1"/>
    <col min="4651" max="4651" width="11.5703125" bestFit="1" customWidth="1"/>
    <col min="4652" max="4652" width="5.28515625" bestFit="1" customWidth="1"/>
    <col min="4653" max="4653" width="13.28515625" bestFit="1" customWidth="1"/>
    <col min="4654" max="4654" width="13.5703125" bestFit="1" customWidth="1"/>
    <col min="4655" max="4655" width="10.5703125" bestFit="1" customWidth="1"/>
    <col min="4656" max="4656" width="13.28515625" bestFit="1" customWidth="1"/>
    <col min="4657" max="4657" width="11.5703125" bestFit="1" customWidth="1"/>
    <col min="4658" max="4658" width="10.5703125" bestFit="1" customWidth="1"/>
    <col min="4659" max="4659" width="16.140625" bestFit="1" customWidth="1"/>
    <col min="4660" max="4661" width="11.28515625" bestFit="1" customWidth="1"/>
    <col min="4662" max="4662" width="13.28515625" bestFit="1" customWidth="1"/>
    <col min="4663" max="4663" width="7.7109375" bestFit="1" customWidth="1"/>
    <col min="4664" max="4667" width="9.140625" hidden="1" customWidth="1"/>
    <col min="4668" max="4668" width="10.42578125" bestFit="1" customWidth="1"/>
    <col min="4669" max="4669" width="10.5703125" bestFit="1" customWidth="1"/>
    <col min="4670" max="4670" width="10.42578125" bestFit="1" customWidth="1"/>
    <col min="4671" max="4671" width="10.5703125" bestFit="1" customWidth="1"/>
    <col min="4672" max="4672" width="9.5703125" bestFit="1" customWidth="1"/>
    <col min="4673" max="4673" width="11.5703125" bestFit="1" customWidth="1"/>
    <col min="4674" max="4674" width="10.42578125" bestFit="1" customWidth="1"/>
    <col min="4675" max="4675" width="10.85546875" customWidth="1"/>
    <col min="4676" max="4677" width="9.85546875" bestFit="1" customWidth="1"/>
    <col min="4678" max="4678" width="13.5703125" bestFit="1" customWidth="1"/>
    <col min="4679" max="4679" width="7.7109375" bestFit="1" customWidth="1"/>
    <col min="4680" max="4680" width="13.28515625" bestFit="1" customWidth="1"/>
    <col min="4681" max="4681" width="11.5703125" bestFit="1" customWidth="1"/>
    <col min="4682" max="4682" width="10.42578125" bestFit="1" customWidth="1"/>
    <col min="4683" max="4683" width="7.7109375" bestFit="1" customWidth="1"/>
    <col min="4684" max="4684" width="11.5703125" bestFit="1" customWidth="1"/>
    <col min="4685" max="4685" width="10.85546875" bestFit="1" customWidth="1"/>
    <col min="4686" max="4686" width="13.28515625" bestFit="1" customWidth="1"/>
    <col min="4687" max="4687" width="10.85546875" bestFit="1" customWidth="1"/>
    <col min="4688" max="4689" width="7.5703125" bestFit="1" customWidth="1"/>
    <col min="4690" max="4691" width="10.42578125" bestFit="1" customWidth="1"/>
    <col min="4692" max="4692" width="11.5703125" bestFit="1" customWidth="1"/>
    <col min="4693" max="4693" width="5.28515625" bestFit="1" customWidth="1"/>
    <col min="4694" max="4694" width="10.28515625" bestFit="1" customWidth="1"/>
    <col min="4695" max="4695" width="10.42578125" bestFit="1" customWidth="1"/>
    <col min="4696" max="4696" width="11.5703125" bestFit="1" customWidth="1"/>
    <col min="4697" max="4697" width="5.28515625" bestFit="1" customWidth="1"/>
    <col min="4698" max="4700" width="11.5703125" bestFit="1" customWidth="1"/>
    <col min="4701" max="4701" width="5.28515625" bestFit="1" customWidth="1"/>
    <col min="4702" max="4703" width="10.42578125" bestFit="1" customWidth="1"/>
    <col min="4704" max="4704" width="11.5703125" bestFit="1" customWidth="1"/>
    <col min="4705" max="4705" width="5.28515625" bestFit="1" customWidth="1"/>
    <col min="4706" max="4706" width="14.28515625" bestFit="1" customWidth="1"/>
    <col min="4707" max="4707" width="13" bestFit="1" customWidth="1"/>
    <col min="4708" max="4708" width="11.5703125" bestFit="1" customWidth="1"/>
    <col min="4709" max="4709" width="8.85546875" bestFit="1" customWidth="1"/>
    <col min="4710" max="4710" width="14.42578125" bestFit="1" customWidth="1"/>
    <col min="4711" max="4711" width="10.42578125" bestFit="1" customWidth="1"/>
    <col min="4712" max="4712" width="12.28515625" bestFit="1" customWidth="1"/>
    <col min="4713" max="4713" width="13.85546875" bestFit="1" customWidth="1"/>
    <col min="4714" max="4714" width="11.28515625" customWidth="1"/>
    <col min="4715" max="4715" width="11.5703125" customWidth="1"/>
    <col min="4716" max="4716" width="13.42578125" bestFit="1" customWidth="1"/>
    <col min="4717" max="4717" width="10.42578125" customWidth="1"/>
    <col min="4718" max="4718" width="13.85546875" bestFit="1" customWidth="1"/>
    <col min="4719" max="4719" width="15.42578125" bestFit="1" customWidth="1"/>
    <col min="4720" max="4720" width="12.28515625" bestFit="1" customWidth="1"/>
    <col min="4721" max="4721" width="12.7109375" customWidth="1"/>
    <col min="4722" max="4722" width="10.7109375" bestFit="1" customWidth="1"/>
    <col min="4723" max="4723" width="9.85546875" customWidth="1"/>
    <col min="4724" max="4725" width="10.140625" bestFit="1" customWidth="1"/>
    <col min="4726" max="4726" width="7.5703125" bestFit="1" customWidth="1"/>
    <col min="4727" max="4727" width="9.42578125" bestFit="1" customWidth="1"/>
    <col min="4728" max="4728" width="14.5703125" bestFit="1" customWidth="1"/>
    <col min="4729" max="4729" width="14.85546875" customWidth="1"/>
    <col min="4730" max="4730" width="15.140625" bestFit="1" customWidth="1"/>
    <col min="4731" max="4731" width="12.140625" bestFit="1" customWidth="1"/>
    <col min="4732" max="4732" width="14.85546875" bestFit="1" customWidth="1"/>
    <col min="4733" max="4733" width="12.28515625" bestFit="1" customWidth="1"/>
    <col min="4734" max="4742" width="9.140625" hidden="1" customWidth="1"/>
    <col min="4743" max="4743" width="5.28515625" bestFit="1" customWidth="1"/>
    <col min="4744" max="4749" width="11.5703125" bestFit="1" customWidth="1"/>
    <col min="4750" max="4750" width="11.28515625" bestFit="1" customWidth="1"/>
    <col min="4751" max="4751" width="10.140625" bestFit="1" customWidth="1"/>
    <col min="4752" max="4752" width="11.5703125" bestFit="1" customWidth="1"/>
    <col min="4753" max="4753" width="16.140625" customWidth="1"/>
    <col min="4754" max="4754" width="13.42578125" customWidth="1"/>
    <col min="4755" max="4755" width="10.140625" bestFit="1" customWidth="1"/>
    <col min="4756" max="4756" width="12.85546875" bestFit="1" customWidth="1"/>
    <col min="4757" max="4757" width="12.28515625" bestFit="1" customWidth="1"/>
    <col min="4758" max="4758" width="11.28515625" bestFit="1" customWidth="1"/>
    <col min="4759" max="4759" width="11.5703125" bestFit="1" customWidth="1"/>
    <col min="4760" max="4760" width="10.85546875" bestFit="1" customWidth="1"/>
    <col min="4761" max="4761" width="11.28515625" bestFit="1" customWidth="1"/>
    <col min="4762" max="4762" width="10.140625" bestFit="1" customWidth="1"/>
    <col min="4763" max="4763" width="13.28515625" bestFit="1" customWidth="1"/>
    <col min="4764" max="4765" width="12.7109375" bestFit="1" customWidth="1"/>
    <col min="4766" max="4766" width="11" bestFit="1" customWidth="1"/>
    <col min="4767" max="4767" width="11.28515625" bestFit="1" customWidth="1"/>
    <col min="4768" max="4768" width="11.5703125" bestFit="1" customWidth="1"/>
    <col min="4769" max="4769" width="12.28515625" bestFit="1" customWidth="1"/>
    <col min="4770" max="4770" width="15.140625" bestFit="1" customWidth="1"/>
    <col min="4771" max="4771" width="14.42578125" bestFit="1" customWidth="1"/>
    <col min="4772" max="4772" width="12.28515625" bestFit="1" customWidth="1"/>
    <col min="4773" max="4773" width="15.140625" bestFit="1" customWidth="1"/>
    <col min="4774" max="4774" width="14.42578125" bestFit="1" customWidth="1"/>
    <col min="4775" max="4775" width="12.28515625" bestFit="1" customWidth="1"/>
    <col min="4776" max="4776" width="14.42578125" bestFit="1" customWidth="1"/>
    <col min="4777" max="4777" width="11.28515625" bestFit="1" customWidth="1"/>
    <col min="4778" max="4778" width="12.28515625" bestFit="1" customWidth="1"/>
    <col min="4779" max="4779" width="13" bestFit="1" customWidth="1"/>
    <col min="4780" max="4780" width="15.140625" bestFit="1" customWidth="1"/>
    <col min="4781" max="4781" width="12.28515625" bestFit="1" customWidth="1"/>
    <col min="4782" max="4782" width="13.85546875" bestFit="1" customWidth="1"/>
    <col min="4783" max="4783" width="11.28515625" bestFit="1" customWidth="1"/>
    <col min="4784" max="4784" width="12.28515625" bestFit="1" customWidth="1"/>
    <col min="4785" max="4785" width="13.85546875" bestFit="1" customWidth="1"/>
    <col min="4786" max="4787" width="15.140625" bestFit="1" customWidth="1"/>
    <col min="4788" max="4788" width="12.28515625" bestFit="1" customWidth="1"/>
    <col min="4789" max="4789" width="5.7109375" bestFit="1" customWidth="1"/>
    <col min="4790" max="4790" width="8.5703125" bestFit="1" customWidth="1"/>
    <col min="4791" max="4791" width="5.5703125" bestFit="1" customWidth="1"/>
    <col min="4792" max="4792" width="14.42578125" bestFit="1" customWidth="1"/>
    <col min="4793" max="4793" width="11.28515625" bestFit="1" customWidth="1"/>
    <col min="4794" max="4795" width="12.28515625" bestFit="1" customWidth="1"/>
    <col min="4796" max="4796" width="11.28515625" bestFit="1" customWidth="1"/>
    <col min="4797" max="4797" width="13.85546875" bestFit="1" customWidth="1"/>
    <col min="4798" max="4798" width="12" bestFit="1" customWidth="1"/>
    <col min="4799" max="4799" width="13.85546875" bestFit="1" customWidth="1"/>
    <col min="4800" max="4801" width="14.42578125" customWidth="1"/>
    <col min="4802" max="4802" width="10.140625" bestFit="1" customWidth="1"/>
    <col min="4803" max="4803" width="12.28515625" bestFit="1" customWidth="1"/>
    <col min="4804" max="4804" width="7.42578125" bestFit="1" customWidth="1"/>
    <col min="4805" max="4805" width="8.5703125" bestFit="1" customWidth="1"/>
    <col min="4806" max="4806" width="11.5703125" bestFit="1" customWidth="1"/>
    <col min="4807" max="4807" width="13.28515625" bestFit="1" customWidth="1"/>
    <col min="4808" max="4808" width="13.28515625" customWidth="1"/>
    <col min="4809" max="4809" width="13.140625" customWidth="1"/>
    <col min="4810" max="4810" width="12.7109375" bestFit="1" customWidth="1"/>
    <col min="4811" max="4811" width="13.28515625" bestFit="1" customWidth="1"/>
    <col min="4812" max="4814" width="13.28515625" customWidth="1"/>
    <col min="4815" max="4815" width="12.140625" bestFit="1" customWidth="1"/>
    <col min="4816" max="4816" width="12.7109375" bestFit="1" customWidth="1"/>
    <col min="4817" max="4817" width="11" customWidth="1"/>
    <col min="4818" max="4818" width="16.7109375" customWidth="1"/>
    <col min="4819" max="4819" width="17" customWidth="1"/>
    <col min="4820" max="4820" width="10.42578125" bestFit="1" customWidth="1"/>
    <col min="4864" max="4864" width="3.85546875" customWidth="1"/>
    <col min="4865" max="4865" width="15.28515625" bestFit="1" customWidth="1"/>
    <col min="4866" max="4866" width="12.28515625" customWidth="1"/>
    <col min="4867" max="4867" width="16.28515625" bestFit="1" customWidth="1"/>
    <col min="4868" max="4868" width="6.42578125" bestFit="1" customWidth="1"/>
    <col min="4869" max="4869" width="9.28515625" bestFit="1" customWidth="1"/>
    <col min="4870" max="4870" width="7.5703125" bestFit="1" customWidth="1"/>
    <col min="4871" max="4871" width="13.28515625" bestFit="1" customWidth="1"/>
    <col min="4872" max="4872" width="9.28515625" bestFit="1" customWidth="1"/>
    <col min="4873" max="4873" width="11.5703125" bestFit="1" customWidth="1"/>
    <col min="4874" max="4874" width="13.28515625" bestFit="1" customWidth="1"/>
    <col min="4875" max="4875" width="7.140625" bestFit="1" customWidth="1"/>
    <col min="4876" max="4876" width="12" bestFit="1" customWidth="1"/>
    <col min="4877" max="4877" width="13.28515625" bestFit="1" customWidth="1"/>
    <col min="4878" max="4878" width="7" bestFit="1" customWidth="1"/>
    <col min="4879" max="4879" width="12.7109375" bestFit="1" customWidth="1"/>
    <col min="4880" max="4880" width="11.5703125" bestFit="1" customWidth="1"/>
    <col min="4881" max="4881" width="10.5703125" bestFit="1" customWidth="1"/>
    <col min="4882" max="4883" width="15.7109375" bestFit="1" customWidth="1"/>
    <col min="4884" max="4884" width="11.5703125" bestFit="1" customWidth="1"/>
    <col min="4885" max="4885" width="7.7109375" bestFit="1" customWidth="1"/>
    <col min="4886" max="4886" width="15.140625" bestFit="1" customWidth="1"/>
    <col min="4887" max="4887" width="11.5703125" bestFit="1" customWidth="1"/>
    <col min="4888" max="4888" width="13.28515625" bestFit="1" customWidth="1"/>
    <col min="4889" max="4889" width="10.42578125" bestFit="1" customWidth="1"/>
    <col min="4890" max="4890" width="13.28515625" bestFit="1" customWidth="1"/>
    <col min="4891" max="4891" width="12.140625" bestFit="1" customWidth="1"/>
    <col min="4892" max="4892" width="14.42578125" bestFit="1" customWidth="1"/>
    <col min="4893" max="4893" width="13.28515625" bestFit="1" customWidth="1"/>
    <col min="4894" max="4894" width="11.5703125" bestFit="1" customWidth="1"/>
    <col min="4895" max="4895" width="7.7109375" bestFit="1" customWidth="1"/>
    <col min="4896" max="4897" width="14.42578125" bestFit="1" customWidth="1"/>
    <col min="4898" max="4898" width="11.5703125" bestFit="1" customWidth="1"/>
    <col min="4899" max="4899" width="7.7109375" bestFit="1" customWidth="1"/>
    <col min="4900" max="4900" width="13.5703125" customWidth="1"/>
    <col min="4901" max="4901" width="15.28515625" customWidth="1"/>
    <col min="4902" max="4902" width="14.5703125" customWidth="1"/>
    <col min="4903" max="4903" width="13.28515625" bestFit="1" customWidth="1"/>
    <col min="4904" max="4904" width="7.7109375" bestFit="1" customWidth="1"/>
    <col min="4905" max="4905" width="12.7109375" bestFit="1" customWidth="1"/>
    <col min="4906" max="4906" width="11.7109375" bestFit="1" customWidth="1"/>
    <col min="4907" max="4907" width="11.5703125" bestFit="1" customWidth="1"/>
    <col min="4908" max="4908" width="5.28515625" bestFit="1" customWidth="1"/>
    <col min="4909" max="4909" width="13.28515625" bestFit="1" customWidth="1"/>
    <col min="4910" max="4910" width="13.5703125" bestFit="1" customWidth="1"/>
    <col min="4911" max="4911" width="10.5703125" bestFit="1" customWidth="1"/>
    <col min="4912" max="4912" width="13.28515625" bestFit="1" customWidth="1"/>
    <col min="4913" max="4913" width="11.5703125" bestFit="1" customWidth="1"/>
    <col min="4914" max="4914" width="10.5703125" bestFit="1" customWidth="1"/>
    <col min="4915" max="4915" width="16.140625" bestFit="1" customWidth="1"/>
    <col min="4916" max="4917" width="11.28515625" bestFit="1" customWidth="1"/>
    <col min="4918" max="4918" width="13.28515625" bestFit="1" customWidth="1"/>
    <col min="4919" max="4919" width="7.7109375" bestFit="1" customWidth="1"/>
    <col min="4920" max="4923" width="9.140625" hidden="1" customWidth="1"/>
    <col min="4924" max="4924" width="10.42578125" bestFit="1" customWidth="1"/>
    <col min="4925" max="4925" width="10.5703125" bestFit="1" customWidth="1"/>
    <col min="4926" max="4926" width="10.42578125" bestFit="1" customWidth="1"/>
    <col min="4927" max="4927" width="10.5703125" bestFit="1" customWidth="1"/>
    <col min="4928" max="4928" width="9.5703125" bestFit="1" customWidth="1"/>
    <col min="4929" max="4929" width="11.5703125" bestFit="1" customWidth="1"/>
    <col min="4930" max="4930" width="10.42578125" bestFit="1" customWidth="1"/>
    <col min="4931" max="4931" width="10.85546875" customWidth="1"/>
    <col min="4932" max="4933" width="9.85546875" bestFit="1" customWidth="1"/>
    <col min="4934" max="4934" width="13.5703125" bestFit="1" customWidth="1"/>
    <col min="4935" max="4935" width="7.7109375" bestFit="1" customWidth="1"/>
    <col min="4936" max="4936" width="13.28515625" bestFit="1" customWidth="1"/>
    <col min="4937" max="4937" width="11.5703125" bestFit="1" customWidth="1"/>
    <col min="4938" max="4938" width="10.42578125" bestFit="1" customWidth="1"/>
    <col min="4939" max="4939" width="7.7109375" bestFit="1" customWidth="1"/>
    <col min="4940" max="4940" width="11.5703125" bestFit="1" customWidth="1"/>
    <col min="4941" max="4941" width="10.85546875" bestFit="1" customWidth="1"/>
    <col min="4942" max="4942" width="13.28515625" bestFit="1" customWidth="1"/>
    <col min="4943" max="4943" width="10.85546875" bestFit="1" customWidth="1"/>
    <col min="4944" max="4945" width="7.5703125" bestFit="1" customWidth="1"/>
    <col min="4946" max="4947" width="10.42578125" bestFit="1" customWidth="1"/>
    <col min="4948" max="4948" width="11.5703125" bestFit="1" customWidth="1"/>
    <col min="4949" max="4949" width="5.28515625" bestFit="1" customWidth="1"/>
    <col min="4950" max="4950" width="10.28515625" bestFit="1" customWidth="1"/>
    <col min="4951" max="4951" width="10.42578125" bestFit="1" customWidth="1"/>
    <col min="4952" max="4952" width="11.5703125" bestFit="1" customWidth="1"/>
    <col min="4953" max="4953" width="5.28515625" bestFit="1" customWidth="1"/>
    <col min="4954" max="4956" width="11.5703125" bestFit="1" customWidth="1"/>
    <col min="4957" max="4957" width="5.28515625" bestFit="1" customWidth="1"/>
    <col min="4958" max="4959" width="10.42578125" bestFit="1" customWidth="1"/>
    <col min="4960" max="4960" width="11.5703125" bestFit="1" customWidth="1"/>
    <col min="4961" max="4961" width="5.28515625" bestFit="1" customWidth="1"/>
    <col min="4962" max="4962" width="14.28515625" bestFit="1" customWidth="1"/>
    <col min="4963" max="4963" width="13" bestFit="1" customWidth="1"/>
    <col min="4964" max="4964" width="11.5703125" bestFit="1" customWidth="1"/>
    <col min="4965" max="4965" width="8.85546875" bestFit="1" customWidth="1"/>
    <col min="4966" max="4966" width="14.42578125" bestFit="1" customWidth="1"/>
    <col min="4967" max="4967" width="10.42578125" bestFit="1" customWidth="1"/>
    <col min="4968" max="4968" width="12.28515625" bestFit="1" customWidth="1"/>
    <col min="4969" max="4969" width="13.85546875" bestFit="1" customWidth="1"/>
    <col min="4970" max="4970" width="11.28515625" customWidth="1"/>
    <col min="4971" max="4971" width="11.5703125" customWidth="1"/>
    <col min="4972" max="4972" width="13.42578125" bestFit="1" customWidth="1"/>
    <col min="4973" max="4973" width="10.42578125" customWidth="1"/>
    <col min="4974" max="4974" width="13.85546875" bestFit="1" customWidth="1"/>
    <col min="4975" max="4975" width="15.42578125" bestFit="1" customWidth="1"/>
    <col min="4976" max="4976" width="12.28515625" bestFit="1" customWidth="1"/>
    <col min="4977" max="4977" width="12.7109375" customWidth="1"/>
    <col min="4978" max="4978" width="10.7109375" bestFit="1" customWidth="1"/>
    <col min="4979" max="4979" width="9.85546875" customWidth="1"/>
    <col min="4980" max="4981" width="10.140625" bestFit="1" customWidth="1"/>
    <col min="4982" max="4982" width="7.5703125" bestFit="1" customWidth="1"/>
    <col min="4983" max="4983" width="9.42578125" bestFit="1" customWidth="1"/>
    <col min="4984" max="4984" width="14.5703125" bestFit="1" customWidth="1"/>
    <col min="4985" max="4985" width="14.85546875" customWidth="1"/>
    <col min="4986" max="4986" width="15.140625" bestFit="1" customWidth="1"/>
    <col min="4987" max="4987" width="12.140625" bestFit="1" customWidth="1"/>
    <col min="4988" max="4988" width="14.85546875" bestFit="1" customWidth="1"/>
    <col min="4989" max="4989" width="12.28515625" bestFit="1" customWidth="1"/>
    <col min="4990" max="4998" width="9.140625" hidden="1" customWidth="1"/>
    <col min="4999" max="4999" width="5.28515625" bestFit="1" customWidth="1"/>
    <col min="5000" max="5005" width="11.5703125" bestFit="1" customWidth="1"/>
    <col min="5006" max="5006" width="11.28515625" bestFit="1" customWidth="1"/>
    <col min="5007" max="5007" width="10.140625" bestFit="1" customWidth="1"/>
    <col min="5008" max="5008" width="11.5703125" bestFit="1" customWidth="1"/>
    <col min="5009" max="5009" width="16.140625" customWidth="1"/>
    <col min="5010" max="5010" width="13.42578125" customWidth="1"/>
    <col min="5011" max="5011" width="10.140625" bestFit="1" customWidth="1"/>
    <col min="5012" max="5012" width="12.85546875" bestFit="1" customWidth="1"/>
    <col min="5013" max="5013" width="12.28515625" bestFit="1" customWidth="1"/>
    <col min="5014" max="5014" width="11.28515625" bestFit="1" customWidth="1"/>
    <col min="5015" max="5015" width="11.5703125" bestFit="1" customWidth="1"/>
    <col min="5016" max="5016" width="10.85546875" bestFit="1" customWidth="1"/>
    <col min="5017" max="5017" width="11.28515625" bestFit="1" customWidth="1"/>
    <col min="5018" max="5018" width="10.140625" bestFit="1" customWidth="1"/>
    <col min="5019" max="5019" width="13.28515625" bestFit="1" customWidth="1"/>
    <col min="5020" max="5021" width="12.7109375" bestFit="1" customWidth="1"/>
    <col min="5022" max="5022" width="11" bestFit="1" customWidth="1"/>
    <col min="5023" max="5023" width="11.28515625" bestFit="1" customWidth="1"/>
    <col min="5024" max="5024" width="11.5703125" bestFit="1" customWidth="1"/>
    <col min="5025" max="5025" width="12.28515625" bestFit="1" customWidth="1"/>
    <col min="5026" max="5026" width="15.140625" bestFit="1" customWidth="1"/>
    <col min="5027" max="5027" width="14.42578125" bestFit="1" customWidth="1"/>
    <col min="5028" max="5028" width="12.28515625" bestFit="1" customWidth="1"/>
    <col min="5029" max="5029" width="15.140625" bestFit="1" customWidth="1"/>
    <col min="5030" max="5030" width="14.42578125" bestFit="1" customWidth="1"/>
    <col min="5031" max="5031" width="12.28515625" bestFit="1" customWidth="1"/>
    <col min="5032" max="5032" width="14.42578125" bestFit="1" customWidth="1"/>
    <col min="5033" max="5033" width="11.28515625" bestFit="1" customWidth="1"/>
    <col min="5034" max="5034" width="12.28515625" bestFit="1" customWidth="1"/>
    <col min="5035" max="5035" width="13" bestFit="1" customWidth="1"/>
    <col min="5036" max="5036" width="15.140625" bestFit="1" customWidth="1"/>
    <col min="5037" max="5037" width="12.28515625" bestFit="1" customWidth="1"/>
    <col min="5038" max="5038" width="13.85546875" bestFit="1" customWidth="1"/>
    <col min="5039" max="5039" width="11.28515625" bestFit="1" customWidth="1"/>
    <col min="5040" max="5040" width="12.28515625" bestFit="1" customWidth="1"/>
    <col min="5041" max="5041" width="13.85546875" bestFit="1" customWidth="1"/>
    <col min="5042" max="5043" width="15.140625" bestFit="1" customWidth="1"/>
    <col min="5044" max="5044" width="12.28515625" bestFit="1" customWidth="1"/>
    <col min="5045" max="5045" width="5.7109375" bestFit="1" customWidth="1"/>
    <col min="5046" max="5046" width="8.5703125" bestFit="1" customWidth="1"/>
    <col min="5047" max="5047" width="5.5703125" bestFit="1" customWidth="1"/>
    <col min="5048" max="5048" width="14.42578125" bestFit="1" customWidth="1"/>
    <col min="5049" max="5049" width="11.28515625" bestFit="1" customWidth="1"/>
    <col min="5050" max="5051" width="12.28515625" bestFit="1" customWidth="1"/>
    <col min="5052" max="5052" width="11.28515625" bestFit="1" customWidth="1"/>
    <col min="5053" max="5053" width="13.85546875" bestFit="1" customWidth="1"/>
    <col min="5054" max="5054" width="12" bestFit="1" customWidth="1"/>
    <col min="5055" max="5055" width="13.85546875" bestFit="1" customWidth="1"/>
    <col min="5056" max="5057" width="14.42578125" customWidth="1"/>
    <col min="5058" max="5058" width="10.140625" bestFit="1" customWidth="1"/>
    <col min="5059" max="5059" width="12.28515625" bestFit="1" customWidth="1"/>
    <col min="5060" max="5060" width="7.42578125" bestFit="1" customWidth="1"/>
    <col min="5061" max="5061" width="8.5703125" bestFit="1" customWidth="1"/>
    <col min="5062" max="5062" width="11.5703125" bestFit="1" customWidth="1"/>
    <col min="5063" max="5063" width="13.28515625" bestFit="1" customWidth="1"/>
    <col min="5064" max="5064" width="13.28515625" customWidth="1"/>
    <col min="5065" max="5065" width="13.140625" customWidth="1"/>
    <col min="5066" max="5066" width="12.7109375" bestFit="1" customWidth="1"/>
    <col min="5067" max="5067" width="13.28515625" bestFit="1" customWidth="1"/>
    <col min="5068" max="5070" width="13.28515625" customWidth="1"/>
    <col min="5071" max="5071" width="12.140625" bestFit="1" customWidth="1"/>
    <col min="5072" max="5072" width="12.7109375" bestFit="1" customWidth="1"/>
    <col min="5073" max="5073" width="11" customWidth="1"/>
    <col min="5074" max="5074" width="16.7109375" customWidth="1"/>
    <col min="5075" max="5075" width="17" customWidth="1"/>
    <col min="5076" max="5076" width="10.42578125" bestFit="1" customWidth="1"/>
    <col min="5120" max="5120" width="3.85546875" customWidth="1"/>
    <col min="5121" max="5121" width="15.28515625" bestFit="1" customWidth="1"/>
    <col min="5122" max="5122" width="12.28515625" customWidth="1"/>
    <col min="5123" max="5123" width="16.28515625" bestFit="1" customWidth="1"/>
    <col min="5124" max="5124" width="6.42578125" bestFit="1" customWidth="1"/>
    <col min="5125" max="5125" width="9.28515625" bestFit="1" customWidth="1"/>
    <col min="5126" max="5126" width="7.5703125" bestFit="1" customWidth="1"/>
    <col min="5127" max="5127" width="13.28515625" bestFit="1" customWidth="1"/>
    <col min="5128" max="5128" width="9.28515625" bestFit="1" customWidth="1"/>
    <col min="5129" max="5129" width="11.5703125" bestFit="1" customWidth="1"/>
    <col min="5130" max="5130" width="13.28515625" bestFit="1" customWidth="1"/>
    <col min="5131" max="5131" width="7.140625" bestFit="1" customWidth="1"/>
    <col min="5132" max="5132" width="12" bestFit="1" customWidth="1"/>
    <col min="5133" max="5133" width="13.28515625" bestFit="1" customWidth="1"/>
    <col min="5134" max="5134" width="7" bestFit="1" customWidth="1"/>
    <col min="5135" max="5135" width="12.7109375" bestFit="1" customWidth="1"/>
    <col min="5136" max="5136" width="11.5703125" bestFit="1" customWidth="1"/>
    <col min="5137" max="5137" width="10.5703125" bestFit="1" customWidth="1"/>
    <col min="5138" max="5139" width="15.7109375" bestFit="1" customWidth="1"/>
    <col min="5140" max="5140" width="11.5703125" bestFit="1" customWidth="1"/>
    <col min="5141" max="5141" width="7.7109375" bestFit="1" customWidth="1"/>
    <col min="5142" max="5142" width="15.140625" bestFit="1" customWidth="1"/>
    <col min="5143" max="5143" width="11.5703125" bestFit="1" customWidth="1"/>
    <col min="5144" max="5144" width="13.28515625" bestFit="1" customWidth="1"/>
    <col min="5145" max="5145" width="10.42578125" bestFit="1" customWidth="1"/>
    <col min="5146" max="5146" width="13.28515625" bestFit="1" customWidth="1"/>
    <col min="5147" max="5147" width="12.140625" bestFit="1" customWidth="1"/>
    <col min="5148" max="5148" width="14.42578125" bestFit="1" customWidth="1"/>
    <col min="5149" max="5149" width="13.28515625" bestFit="1" customWidth="1"/>
    <col min="5150" max="5150" width="11.5703125" bestFit="1" customWidth="1"/>
    <col min="5151" max="5151" width="7.7109375" bestFit="1" customWidth="1"/>
    <col min="5152" max="5153" width="14.42578125" bestFit="1" customWidth="1"/>
    <col min="5154" max="5154" width="11.5703125" bestFit="1" customWidth="1"/>
    <col min="5155" max="5155" width="7.7109375" bestFit="1" customWidth="1"/>
    <col min="5156" max="5156" width="13.5703125" customWidth="1"/>
    <col min="5157" max="5157" width="15.28515625" customWidth="1"/>
    <col min="5158" max="5158" width="14.5703125" customWidth="1"/>
    <col min="5159" max="5159" width="13.28515625" bestFit="1" customWidth="1"/>
    <col min="5160" max="5160" width="7.7109375" bestFit="1" customWidth="1"/>
    <col min="5161" max="5161" width="12.7109375" bestFit="1" customWidth="1"/>
    <col min="5162" max="5162" width="11.7109375" bestFit="1" customWidth="1"/>
    <col min="5163" max="5163" width="11.5703125" bestFit="1" customWidth="1"/>
    <col min="5164" max="5164" width="5.28515625" bestFit="1" customWidth="1"/>
    <col min="5165" max="5165" width="13.28515625" bestFit="1" customWidth="1"/>
    <col min="5166" max="5166" width="13.5703125" bestFit="1" customWidth="1"/>
    <col min="5167" max="5167" width="10.5703125" bestFit="1" customWidth="1"/>
    <col min="5168" max="5168" width="13.28515625" bestFit="1" customWidth="1"/>
    <col min="5169" max="5169" width="11.5703125" bestFit="1" customWidth="1"/>
    <col min="5170" max="5170" width="10.5703125" bestFit="1" customWidth="1"/>
    <col min="5171" max="5171" width="16.140625" bestFit="1" customWidth="1"/>
    <col min="5172" max="5173" width="11.28515625" bestFit="1" customWidth="1"/>
    <col min="5174" max="5174" width="13.28515625" bestFit="1" customWidth="1"/>
    <col min="5175" max="5175" width="7.7109375" bestFit="1" customWidth="1"/>
    <col min="5176" max="5179" width="9.140625" hidden="1" customWidth="1"/>
    <col min="5180" max="5180" width="10.42578125" bestFit="1" customWidth="1"/>
    <col min="5181" max="5181" width="10.5703125" bestFit="1" customWidth="1"/>
    <col min="5182" max="5182" width="10.42578125" bestFit="1" customWidth="1"/>
    <col min="5183" max="5183" width="10.5703125" bestFit="1" customWidth="1"/>
    <col min="5184" max="5184" width="9.5703125" bestFit="1" customWidth="1"/>
    <col min="5185" max="5185" width="11.5703125" bestFit="1" customWidth="1"/>
    <col min="5186" max="5186" width="10.42578125" bestFit="1" customWidth="1"/>
    <col min="5187" max="5187" width="10.85546875" customWidth="1"/>
    <col min="5188" max="5189" width="9.85546875" bestFit="1" customWidth="1"/>
    <col min="5190" max="5190" width="13.5703125" bestFit="1" customWidth="1"/>
    <col min="5191" max="5191" width="7.7109375" bestFit="1" customWidth="1"/>
    <col min="5192" max="5192" width="13.28515625" bestFit="1" customWidth="1"/>
    <col min="5193" max="5193" width="11.5703125" bestFit="1" customWidth="1"/>
    <col min="5194" max="5194" width="10.42578125" bestFit="1" customWidth="1"/>
    <col min="5195" max="5195" width="7.7109375" bestFit="1" customWidth="1"/>
    <col min="5196" max="5196" width="11.5703125" bestFit="1" customWidth="1"/>
    <col min="5197" max="5197" width="10.85546875" bestFit="1" customWidth="1"/>
    <col min="5198" max="5198" width="13.28515625" bestFit="1" customWidth="1"/>
    <col min="5199" max="5199" width="10.85546875" bestFit="1" customWidth="1"/>
    <col min="5200" max="5201" width="7.5703125" bestFit="1" customWidth="1"/>
    <col min="5202" max="5203" width="10.42578125" bestFit="1" customWidth="1"/>
    <col min="5204" max="5204" width="11.5703125" bestFit="1" customWidth="1"/>
    <col min="5205" max="5205" width="5.28515625" bestFit="1" customWidth="1"/>
    <col min="5206" max="5206" width="10.28515625" bestFit="1" customWidth="1"/>
    <col min="5207" max="5207" width="10.42578125" bestFit="1" customWidth="1"/>
    <col min="5208" max="5208" width="11.5703125" bestFit="1" customWidth="1"/>
    <col min="5209" max="5209" width="5.28515625" bestFit="1" customWidth="1"/>
    <col min="5210" max="5212" width="11.5703125" bestFit="1" customWidth="1"/>
    <col min="5213" max="5213" width="5.28515625" bestFit="1" customWidth="1"/>
    <col min="5214" max="5215" width="10.42578125" bestFit="1" customWidth="1"/>
    <col min="5216" max="5216" width="11.5703125" bestFit="1" customWidth="1"/>
    <col min="5217" max="5217" width="5.28515625" bestFit="1" customWidth="1"/>
    <col min="5218" max="5218" width="14.28515625" bestFit="1" customWidth="1"/>
    <col min="5219" max="5219" width="13" bestFit="1" customWidth="1"/>
    <col min="5220" max="5220" width="11.5703125" bestFit="1" customWidth="1"/>
    <col min="5221" max="5221" width="8.85546875" bestFit="1" customWidth="1"/>
    <col min="5222" max="5222" width="14.42578125" bestFit="1" customWidth="1"/>
    <col min="5223" max="5223" width="10.42578125" bestFit="1" customWidth="1"/>
    <col min="5224" max="5224" width="12.28515625" bestFit="1" customWidth="1"/>
    <col min="5225" max="5225" width="13.85546875" bestFit="1" customWidth="1"/>
    <col min="5226" max="5226" width="11.28515625" customWidth="1"/>
    <col min="5227" max="5227" width="11.5703125" customWidth="1"/>
    <col min="5228" max="5228" width="13.42578125" bestFit="1" customWidth="1"/>
    <col min="5229" max="5229" width="10.42578125" customWidth="1"/>
    <col min="5230" max="5230" width="13.85546875" bestFit="1" customWidth="1"/>
    <col min="5231" max="5231" width="15.42578125" bestFit="1" customWidth="1"/>
    <col min="5232" max="5232" width="12.28515625" bestFit="1" customWidth="1"/>
    <col min="5233" max="5233" width="12.7109375" customWidth="1"/>
    <col min="5234" max="5234" width="10.7109375" bestFit="1" customWidth="1"/>
    <col min="5235" max="5235" width="9.85546875" customWidth="1"/>
    <col min="5236" max="5237" width="10.140625" bestFit="1" customWidth="1"/>
    <col min="5238" max="5238" width="7.5703125" bestFit="1" customWidth="1"/>
    <col min="5239" max="5239" width="9.42578125" bestFit="1" customWidth="1"/>
    <col min="5240" max="5240" width="14.5703125" bestFit="1" customWidth="1"/>
    <col min="5241" max="5241" width="14.85546875" customWidth="1"/>
    <col min="5242" max="5242" width="15.140625" bestFit="1" customWidth="1"/>
    <col min="5243" max="5243" width="12.140625" bestFit="1" customWidth="1"/>
    <col min="5244" max="5244" width="14.85546875" bestFit="1" customWidth="1"/>
    <col min="5245" max="5245" width="12.28515625" bestFit="1" customWidth="1"/>
    <col min="5246" max="5254" width="9.140625" hidden="1" customWidth="1"/>
    <col min="5255" max="5255" width="5.28515625" bestFit="1" customWidth="1"/>
    <col min="5256" max="5261" width="11.5703125" bestFit="1" customWidth="1"/>
    <col min="5262" max="5262" width="11.28515625" bestFit="1" customWidth="1"/>
    <col min="5263" max="5263" width="10.140625" bestFit="1" customWidth="1"/>
    <col min="5264" max="5264" width="11.5703125" bestFit="1" customWidth="1"/>
    <col min="5265" max="5265" width="16.140625" customWidth="1"/>
    <col min="5266" max="5266" width="13.42578125" customWidth="1"/>
    <col min="5267" max="5267" width="10.140625" bestFit="1" customWidth="1"/>
    <col min="5268" max="5268" width="12.85546875" bestFit="1" customWidth="1"/>
    <col min="5269" max="5269" width="12.28515625" bestFit="1" customWidth="1"/>
    <col min="5270" max="5270" width="11.28515625" bestFit="1" customWidth="1"/>
    <col min="5271" max="5271" width="11.5703125" bestFit="1" customWidth="1"/>
    <col min="5272" max="5272" width="10.85546875" bestFit="1" customWidth="1"/>
    <col min="5273" max="5273" width="11.28515625" bestFit="1" customWidth="1"/>
    <col min="5274" max="5274" width="10.140625" bestFit="1" customWidth="1"/>
    <col min="5275" max="5275" width="13.28515625" bestFit="1" customWidth="1"/>
    <col min="5276" max="5277" width="12.7109375" bestFit="1" customWidth="1"/>
    <col min="5278" max="5278" width="11" bestFit="1" customWidth="1"/>
    <col min="5279" max="5279" width="11.28515625" bestFit="1" customWidth="1"/>
    <col min="5280" max="5280" width="11.5703125" bestFit="1" customWidth="1"/>
    <col min="5281" max="5281" width="12.28515625" bestFit="1" customWidth="1"/>
    <col min="5282" max="5282" width="15.140625" bestFit="1" customWidth="1"/>
    <col min="5283" max="5283" width="14.42578125" bestFit="1" customWidth="1"/>
    <col min="5284" max="5284" width="12.28515625" bestFit="1" customWidth="1"/>
    <col min="5285" max="5285" width="15.140625" bestFit="1" customWidth="1"/>
    <col min="5286" max="5286" width="14.42578125" bestFit="1" customWidth="1"/>
    <col min="5287" max="5287" width="12.28515625" bestFit="1" customWidth="1"/>
    <col min="5288" max="5288" width="14.42578125" bestFit="1" customWidth="1"/>
    <col min="5289" max="5289" width="11.28515625" bestFit="1" customWidth="1"/>
    <col min="5290" max="5290" width="12.28515625" bestFit="1" customWidth="1"/>
    <col min="5291" max="5291" width="13" bestFit="1" customWidth="1"/>
    <col min="5292" max="5292" width="15.140625" bestFit="1" customWidth="1"/>
    <col min="5293" max="5293" width="12.28515625" bestFit="1" customWidth="1"/>
    <col min="5294" max="5294" width="13.85546875" bestFit="1" customWidth="1"/>
    <col min="5295" max="5295" width="11.28515625" bestFit="1" customWidth="1"/>
    <col min="5296" max="5296" width="12.28515625" bestFit="1" customWidth="1"/>
    <col min="5297" max="5297" width="13.85546875" bestFit="1" customWidth="1"/>
    <col min="5298" max="5299" width="15.140625" bestFit="1" customWidth="1"/>
    <col min="5300" max="5300" width="12.28515625" bestFit="1" customWidth="1"/>
    <col min="5301" max="5301" width="5.7109375" bestFit="1" customWidth="1"/>
    <col min="5302" max="5302" width="8.5703125" bestFit="1" customWidth="1"/>
    <col min="5303" max="5303" width="5.5703125" bestFit="1" customWidth="1"/>
    <col min="5304" max="5304" width="14.42578125" bestFit="1" customWidth="1"/>
    <col min="5305" max="5305" width="11.28515625" bestFit="1" customWidth="1"/>
    <col min="5306" max="5307" width="12.28515625" bestFit="1" customWidth="1"/>
    <col min="5308" max="5308" width="11.28515625" bestFit="1" customWidth="1"/>
    <col min="5309" max="5309" width="13.85546875" bestFit="1" customWidth="1"/>
    <col min="5310" max="5310" width="12" bestFit="1" customWidth="1"/>
    <col min="5311" max="5311" width="13.85546875" bestFit="1" customWidth="1"/>
    <col min="5312" max="5313" width="14.42578125" customWidth="1"/>
    <col min="5314" max="5314" width="10.140625" bestFit="1" customWidth="1"/>
    <col min="5315" max="5315" width="12.28515625" bestFit="1" customWidth="1"/>
    <col min="5316" max="5316" width="7.42578125" bestFit="1" customWidth="1"/>
    <col min="5317" max="5317" width="8.5703125" bestFit="1" customWidth="1"/>
    <col min="5318" max="5318" width="11.5703125" bestFit="1" customWidth="1"/>
    <col min="5319" max="5319" width="13.28515625" bestFit="1" customWidth="1"/>
    <col min="5320" max="5320" width="13.28515625" customWidth="1"/>
    <col min="5321" max="5321" width="13.140625" customWidth="1"/>
    <col min="5322" max="5322" width="12.7109375" bestFit="1" customWidth="1"/>
    <col min="5323" max="5323" width="13.28515625" bestFit="1" customWidth="1"/>
    <col min="5324" max="5326" width="13.28515625" customWidth="1"/>
    <col min="5327" max="5327" width="12.140625" bestFit="1" customWidth="1"/>
    <col min="5328" max="5328" width="12.7109375" bestFit="1" customWidth="1"/>
    <col min="5329" max="5329" width="11" customWidth="1"/>
    <col min="5330" max="5330" width="16.7109375" customWidth="1"/>
    <col min="5331" max="5331" width="17" customWidth="1"/>
    <col min="5332" max="5332" width="10.42578125" bestFit="1" customWidth="1"/>
    <col min="5376" max="5376" width="3.85546875" customWidth="1"/>
    <col min="5377" max="5377" width="15.28515625" bestFit="1" customWidth="1"/>
    <col min="5378" max="5378" width="12.28515625" customWidth="1"/>
    <col min="5379" max="5379" width="16.28515625" bestFit="1" customWidth="1"/>
    <col min="5380" max="5380" width="6.42578125" bestFit="1" customWidth="1"/>
    <col min="5381" max="5381" width="9.28515625" bestFit="1" customWidth="1"/>
    <col min="5382" max="5382" width="7.5703125" bestFit="1" customWidth="1"/>
    <col min="5383" max="5383" width="13.28515625" bestFit="1" customWidth="1"/>
    <col min="5384" max="5384" width="9.28515625" bestFit="1" customWidth="1"/>
    <col min="5385" max="5385" width="11.5703125" bestFit="1" customWidth="1"/>
    <col min="5386" max="5386" width="13.28515625" bestFit="1" customWidth="1"/>
    <col min="5387" max="5387" width="7.140625" bestFit="1" customWidth="1"/>
    <col min="5388" max="5388" width="12" bestFit="1" customWidth="1"/>
    <col min="5389" max="5389" width="13.28515625" bestFit="1" customWidth="1"/>
    <col min="5390" max="5390" width="7" bestFit="1" customWidth="1"/>
    <col min="5391" max="5391" width="12.7109375" bestFit="1" customWidth="1"/>
    <col min="5392" max="5392" width="11.5703125" bestFit="1" customWidth="1"/>
    <col min="5393" max="5393" width="10.5703125" bestFit="1" customWidth="1"/>
    <col min="5394" max="5395" width="15.7109375" bestFit="1" customWidth="1"/>
    <col min="5396" max="5396" width="11.5703125" bestFit="1" customWidth="1"/>
    <col min="5397" max="5397" width="7.7109375" bestFit="1" customWidth="1"/>
    <col min="5398" max="5398" width="15.140625" bestFit="1" customWidth="1"/>
    <col min="5399" max="5399" width="11.5703125" bestFit="1" customWidth="1"/>
    <col min="5400" max="5400" width="13.28515625" bestFit="1" customWidth="1"/>
    <col min="5401" max="5401" width="10.42578125" bestFit="1" customWidth="1"/>
    <col min="5402" max="5402" width="13.28515625" bestFit="1" customWidth="1"/>
    <col min="5403" max="5403" width="12.140625" bestFit="1" customWidth="1"/>
    <col min="5404" max="5404" width="14.42578125" bestFit="1" customWidth="1"/>
    <col min="5405" max="5405" width="13.28515625" bestFit="1" customWidth="1"/>
    <col min="5406" max="5406" width="11.5703125" bestFit="1" customWidth="1"/>
    <col min="5407" max="5407" width="7.7109375" bestFit="1" customWidth="1"/>
    <col min="5408" max="5409" width="14.42578125" bestFit="1" customWidth="1"/>
    <col min="5410" max="5410" width="11.5703125" bestFit="1" customWidth="1"/>
    <col min="5411" max="5411" width="7.7109375" bestFit="1" customWidth="1"/>
    <col min="5412" max="5412" width="13.5703125" customWidth="1"/>
    <col min="5413" max="5413" width="15.28515625" customWidth="1"/>
    <col min="5414" max="5414" width="14.5703125" customWidth="1"/>
    <col min="5415" max="5415" width="13.28515625" bestFit="1" customWidth="1"/>
    <col min="5416" max="5416" width="7.7109375" bestFit="1" customWidth="1"/>
    <col min="5417" max="5417" width="12.7109375" bestFit="1" customWidth="1"/>
    <col min="5418" max="5418" width="11.7109375" bestFit="1" customWidth="1"/>
    <col min="5419" max="5419" width="11.5703125" bestFit="1" customWidth="1"/>
    <col min="5420" max="5420" width="5.28515625" bestFit="1" customWidth="1"/>
    <col min="5421" max="5421" width="13.28515625" bestFit="1" customWidth="1"/>
    <col min="5422" max="5422" width="13.5703125" bestFit="1" customWidth="1"/>
    <col min="5423" max="5423" width="10.5703125" bestFit="1" customWidth="1"/>
    <col min="5424" max="5424" width="13.28515625" bestFit="1" customWidth="1"/>
    <col min="5425" max="5425" width="11.5703125" bestFit="1" customWidth="1"/>
    <col min="5426" max="5426" width="10.5703125" bestFit="1" customWidth="1"/>
    <col min="5427" max="5427" width="16.140625" bestFit="1" customWidth="1"/>
    <col min="5428" max="5429" width="11.28515625" bestFit="1" customWidth="1"/>
    <col min="5430" max="5430" width="13.28515625" bestFit="1" customWidth="1"/>
    <col min="5431" max="5431" width="7.7109375" bestFit="1" customWidth="1"/>
    <col min="5432" max="5435" width="9.140625" hidden="1" customWidth="1"/>
    <col min="5436" max="5436" width="10.42578125" bestFit="1" customWidth="1"/>
    <col min="5437" max="5437" width="10.5703125" bestFit="1" customWidth="1"/>
    <col min="5438" max="5438" width="10.42578125" bestFit="1" customWidth="1"/>
    <col min="5439" max="5439" width="10.5703125" bestFit="1" customWidth="1"/>
    <col min="5440" max="5440" width="9.5703125" bestFit="1" customWidth="1"/>
    <col min="5441" max="5441" width="11.5703125" bestFit="1" customWidth="1"/>
    <col min="5442" max="5442" width="10.42578125" bestFit="1" customWidth="1"/>
    <col min="5443" max="5443" width="10.85546875" customWidth="1"/>
    <col min="5444" max="5445" width="9.85546875" bestFit="1" customWidth="1"/>
    <col min="5446" max="5446" width="13.5703125" bestFit="1" customWidth="1"/>
    <col min="5447" max="5447" width="7.7109375" bestFit="1" customWidth="1"/>
    <col min="5448" max="5448" width="13.28515625" bestFit="1" customWidth="1"/>
    <col min="5449" max="5449" width="11.5703125" bestFit="1" customWidth="1"/>
    <col min="5450" max="5450" width="10.42578125" bestFit="1" customWidth="1"/>
    <col min="5451" max="5451" width="7.7109375" bestFit="1" customWidth="1"/>
    <col min="5452" max="5452" width="11.5703125" bestFit="1" customWidth="1"/>
    <col min="5453" max="5453" width="10.85546875" bestFit="1" customWidth="1"/>
    <col min="5454" max="5454" width="13.28515625" bestFit="1" customWidth="1"/>
    <col min="5455" max="5455" width="10.85546875" bestFit="1" customWidth="1"/>
    <col min="5456" max="5457" width="7.5703125" bestFit="1" customWidth="1"/>
    <col min="5458" max="5459" width="10.42578125" bestFit="1" customWidth="1"/>
    <col min="5460" max="5460" width="11.5703125" bestFit="1" customWidth="1"/>
    <col min="5461" max="5461" width="5.28515625" bestFit="1" customWidth="1"/>
    <col min="5462" max="5462" width="10.28515625" bestFit="1" customWidth="1"/>
    <col min="5463" max="5463" width="10.42578125" bestFit="1" customWidth="1"/>
    <col min="5464" max="5464" width="11.5703125" bestFit="1" customWidth="1"/>
    <col min="5465" max="5465" width="5.28515625" bestFit="1" customWidth="1"/>
    <col min="5466" max="5468" width="11.5703125" bestFit="1" customWidth="1"/>
    <col min="5469" max="5469" width="5.28515625" bestFit="1" customWidth="1"/>
    <col min="5470" max="5471" width="10.42578125" bestFit="1" customWidth="1"/>
    <col min="5472" max="5472" width="11.5703125" bestFit="1" customWidth="1"/>
    <col min="5473" max="5473" width="5.28515625" bestFit="1" customWidth="1"/>
    <col min="5474" max="5474" width="14.28515625" bestFit="1" customWidth="1"/>
    <col min="5475" max="5475" width="13" bestFit="1" customWidth="1"/>
    <col min="5476" max="5476" width="11.5703125" bestFit="1" customWidth="1"/>
    <col min="5477" max="5477" width="8.85546875" bestFit="1" customWidth="1"/>
    <col min="5478" max="5478" width="14.42578125" bestFit="1" customWidth="1"/>
    <col min="5479" max="5479" width="10.42578125" bestFit="1" customWidth="1"/>
    <col min="5480" max="5480" width="12.28515625" bestFit="1" customWidth="1"/>
    <col min="5481" max="5481" width="13.85546875" bestFit="1" customWidth="1"/>
    <col min="5482" max="5482" width="11.28515625" customWidth="1"/>
    <col min="5483" max="5483" width="11.5703125" customWidth="1"/>
    <col min="5484" max="5484" width="13.42578125" bestFit="1" customWidth="1"/>
    <col min="5485" max="5485" width="10.42578125" customWidth="1"/>
    <col min="5486" max="5486" width="13.85546875" bestFit="1" customWidth="1"/>
    <col min="5487" max="5487" width="15.42578125" bestFit="1" customWidth="1"/>
    <col min="5488" max="5488" width="12.28515625" bestFit="1" customWidth="1"/>
    <col min="5489" max="5489" width="12.7109375" customWidth="1"/>
    <col min="5490" max="5490" width="10.7109375" bestFit="1" customWidth="1"/>
    <col min="5491" max="5491" width="9.85546875" customWidth="1"/>
    <col min="5492" max="5493" width="10.140625" bestFit="1" customWidth="1"/>
    <col min="5494" max="5494" width="7.5703125" bestFit="1" customWidth="1"/>
    <col min="5495" max="5495" width="9.42578125" bestFit="1" customWidth="1"/>
    <col min="5496" max="5496" width="14.5703125" bestFit="1" customWidth="1"/>
    <col min="5497" max="5497" width="14.85546875" customWidth="1"/>
    <col min="5498" max="5498" width="15.140625" bestFit="1" customWidth="1"/>
    <col min="5499" max="5499" width="12.140625" bestFit="1" customWidth="1"/>
    <col min="5500" max="5500" width="14.85546875" bestFit="1" customWidth="1"/>
    <col min="5501" max="5501" width="12.28515625" bestFit="1" customWidth="1"/>
    <col min="5502" max="5510" width="9.140625" hidden="1" customWidth="1"/>
    <col min="5511" max="5511" width="5.28515625" bestFit="1" customWidth="1"/>
    <col min="5512" max="5517" width="11.5703125" bestFit="1" customWidth="1"/>
    <col min="5518" max="5518" width="11.28515625" bestFit="1" customWidth="1"/>
    <col min="5519" max="5519" width="10.140625" bestFit="1" customWidth="1"/>
    <col min="5520" max="5520" width="11.5703125" bestFit="1" customWidth="1"/>
    <col min="5521" max="5521" width="16.140625" customWidth="1"/>
    <col min="5522" max="5522" width="13.42578125" customWidth="1"/>
    <col min="5523" max="5523" width="10.140625" bestFit="1" customWidth="1"/>
    <col min="5524" max="5524" width="12.85546875" bestFit="1" customWidth="1"/>
    <col min="5525" max="5525" width="12.28515625" bestFit="1" customWidth="1"/>
    <col min="5526" max="5526" width="11.28515625" bestFit="1" customWidth="1"/>
    <col min="5527" max="5527" width="11.5703125" bestFit="1" customWidth="1"/>
    <col min="5528" max="5528" width="10.85546875" bestFit="1" customWidth="1"/>
    <col min="5529" max="5529" width="11.28515625" bestFit="1" customWidth="1"/>
    <col min="5530" max="5530" width="10.140625" bestFit="1" customWidth="1"/>
    <col min="5531" max="5531" width="13.28515625" bestFit="1" customWidth="1"/>
    <col min="5532" max="5533" width="12.7109375" bestFit="1" customWidth="1"/>
    <col min="5534" max="5534" width="11" bestFit="1" customWidth="1"/>
    <col min="5535" max="5535" width="11.28515625" bestFit="1" customWidth="1"/>
    <col min="5536" max="5536" width="11.5703125" bestFit="1" customWidth="1"/>
    <col min="5537" max="5537" width="12.28515625" bestFit="1" customWidth="1"/>
    <col min="5538" max="5538" width="15.140625" bestFit="1" customWidth="1"/>
    <col min="5539" max="5539" width="14.42578125" bestFit="1" customWidth="1"/>
    <col min="5540" max="5540" width="12.28515625" bestFit="1" customWidth="1"/>
    <col min="5541" max="5541" width="15.140625" bestFit="1" customWidth="1"/>
    <col min="5542" max="5542" width="14.42578125" bestFit="1" customWidth="1"/>
    <col min="5543" max="5543" width="12.28515625" bestFit="1" customWidth="1"/>
    <col min="5544" max="5544" width="14.42578125" bestFit="1" customWidth="1"/>
    <col min="5545" max="5545" width="11.28515625" bestFit="1" customWidth="1"/>
    <col min="5546" max="5546" width="12.28515625" bestFit="1" customWidth="1"/>
    <col min="5547" max="5547" width="13" bestFit="1" customWidth="1"/>
    <col min="5548" max="5548" width="15.140625" bestFit="1" customWidth="1"/>
    <col min="5549" max="5549" width="12.28515625" bestFit="1" customWidth="1"/>
    <col min="5550" max="5550" width="13.85546875" bestFit="1" customWidth="1"/>
    <col min="5551" max="5551" width="11.28515625" bestFit="1" customWidth="1"/>
    <col min="5552" max="5552" width="12.28515625" bestFit="1" customWidth="1"/>
    <col min="5553" max="5553" width="13.85546875" bestFit="1" customWidth="1"/>
    <col min="5554" max="5555" width="15.140625" bestFit="1" customWidth="1"/>
    <col min="5556" max="5556" width="12.28515625" bestFit="1" customWidth="1"/>
    <col min="5557" max="5557" width="5.7109375" bestFit="1" customWidth="1"/>
    <col min="5558" max="5558" width="8.5703125" bestFit="1" customWidth="1"/>
    <col min="5559" max="5559" width="5.5703125" bestFit="1" customWidth="1"/>
    <col min="5560" max="5560" width="14.42578125" bestFit="1" customWidth="1"/>
    <col min="5561" max="5561" width="11.28515625" bestFit="1" customWidth="1"/>
    <col min="5562" max="5563" width="12.28515625" bestFit="1" customWidth="1"/>
    <col min="5564" max="5564" width="11.28515625" bestFit="1" customWidth="1"/>
    <col min="5565" max="5565" width="13.85546875" bestFit="1" customWidth="1"/>
    <col min="5566" max="5566" width="12" bestFit="1" customWidth="1"/>
    <col min="5567" max="5567" width="13.85546875" bestFit="1" customWidth="1"/>
    <col min="5568" max="5569" width="14.42578125" customWidth="1"/>
    <col min="5570" max="5570" width="10.140625" bestFit="1" customWidth="1"/>
    <col min="5571" max="5571" width="12.28515625" bestFit="1" customWidth="1"/>
    <col min="5572" max="5572" width="7.42578125" bestFit="1" customWidth="1"/>
    <col min="5573" max="5573" width="8.5703125" bestFit="1" customWidth="1"/>
    <col min="5574" max="5574" width="11.5703125" bestFit="1" customWidth="1"/>
    <col min="5575" max="5575" width="13.28515625" bestFit="1" customWidth="1"/>
    <col min="5576" max="5576" width="13.28515625" customWidth="1"/>
    <col min="5577" max="5577" width="13.140625" customWidth="1"/>
    <col min="5578" max="5578" width="12.7109375" bestFit="1" customWidth="1"/>
    <col min="5579" max="5579" width="13.28515625" bestFit="1" customWidth="1"/>
    <col min="5580" max="5582" width="13.28515625" customWidth="1"/>
    <col min="5583" max="5583" width="12.140625" bestFit="1" customWidth="1"/>
    <col min="5584" max="5584" width="12.7109375" bestFit="1" customWidth="1"/>
    <col min="5585" max="5585" width="11" customWidth="1"/>
    <col min="5586" max="5586" width="16.7109375" customWidth="1"/>
    <col min="5587" max="5587" width="17" customWidth="1"/>
    <col min="5588" max="5588" width="10.42578125" bestFit="1" customWidth="1"/>
    <col min="5632" max="5632" width="3.85546875" customWidth="1"/>
    <col min="5633" max="5633" width="15.28515625" bestFit="1" customWidth="1"/>
    <col min="5634" max="5634" width="12.28515625" customWidth="1"/>
    <col min="5635" max="5635" width="16.28515625" bestFit="1" customWidth="1"/>
    <col min="5636" max="5636" width="6.42578125" bestFit="1" customWidth="1"/>
    <col min="5637" max="5637" width="9.28515625" bestFit="1" customWidth="1"/>
    <col min="5638" max="5638" width="7.5703125" bestFit="1" customWidth="1"/>
    <col min="5639" max="5639" width="13.28515625" bestFit="1" customWidth="1"/>
    <col min="5640" max="5640" width="9.28515625" bestFit="1" customWidth="1"/>
    <col min="5641" max="5641" width="11.5703125" bestFit="1" customWidth="1"/>
    <col min="5642" max="5642" width="13.28515625" bestFit="1" customWidth="1"/>
    <col min="5643" max="5643" width="7.140625" bestFit="1" customWidth="1"/>
    <col min="5644" max="5644" width="12" bestFit="1" customWidth="1"/>
    <col min="5645" max="5645" width="13.28515625" bestFit="1" customWidth="1"/>
    <col min="5646" max="5646" width="7" bestFit="1" customWidth="1"/>
    <col min="5647" max="5647" width="12.7109375" bestFit="1" customWidth="1"/>
    <col min="5648" max="5648" width="11.5703125" bestFit="1" customWidth="1"/>
    <col min="5649" max="5649" width="10.5703125" bestFit="1" customWidth="1"/>
    <col min="5650" max="5651" width="15.7109375" bestFit="1" customWidth="1"/>
    <col min="5652" max="5652" width="11.5703125" bestFit="1" customWidth="1"/>
    <col min="5653" max="5653" width="7.7109375" bestFit="1" customWidth="1"/>
    <col min="5654" max="5654" width="15.140625" bestFit="1" customWidth="1"/>
    <col min="5655" max="5655" width="11.5703125" bestFit="1" customWidth="1"/>
    <col min="5656" max="5656" width="13.28515625" bestFit="1" customWidth="1"/>
    <col min="5657" max="5657" width="10.42578125" bestFit="1" customWidth="1"/>
    <col min="5658" max="5658" width="13.28515625" bestFit="1" customWidth="1"/>
    <col min="5659" max="5659" width="12.140625" bestFit="1" customWidth="1"/>
    <col min="5660" max="5660" width="14.42578125" bestFit="1" customWidth="1"/>
    <col min="5661" max="5661" width="13.28515625" bestFit="1" customWidth="1"/>
    <col min="5662" max="5662" width="11.5703125" bestFit="1" customWidth="1"/>
    <col min="5663" max="5663" width="7.7109375" bestFit="1" customWidth="1"/>
    <col min="5664" max="5665" width="14.42578125" bestFit="1" customWidth="1"/>
    <col min="5666" max="5666" width="11.5703125" bestFit="1" customWidth="1"/>
    <col min="5667" max="5667" width="7.7109375" bestFit="1" customWidth="1"/>
    <col min="5668" max="5668" width="13.5703125" customWidth="1"/>
    <col min="5669" max="5669" width="15.28515625" customWidth="1"/>
    <col min="5670" max="5670" width="14.5703125" customWidth="1"/>
    <col min="5671" max="5671" width="13.28515625" bestFit="1" customWidth="1"/>
    <col min="5672" max="5672" width="7.7109375" bestFit="1" customWidth="1"/>
    <col min="5673" max="5673" width="12.7109375" bestFit="1" customWidth="1"/>
    <col min="5674" max="5674" width="11.7109375" bestFit="1" customWidth="1"/>
    <col min="5675" max="5675" width="11.5703125" bestFit="1" customWidth="1"/>
    <col min="5676" max="5676" width="5.28515625" bestFit="1" customWidth="1"/>
    <col min="5677" max="5677" width="13.28515625" bestFit="1" customWidth="1"/>
    <col min="5678" max="5678" width="13.5703125" bestFit="1" customWidth="1"/>
    <col min="5679" max="5679" width="10.5703125" bestFit="1" customWidth="1"/>
    <col min="5680" max="5680" width="13.28515625" bestFit="1" customWidth="1"/>
    <col min="5681" max="5681" width="11.5703125" bestFit="1" customWidth="1"/>
    <col min="5682" max="5682" width="10.5703125" bestFit="1" customWidth="1"/>
    <col min="5683" max="5683" width="16.140625" bestFit="1" customWidth="1"/>
    <col min="5684" max="5685" width="11.28515625" bestFit="1" customWidth="1"/>
    <col min="5686" max="5686" width="13.28515625" bestFit="1" customWidth="1"/>
    <col min="5687" max="5687" width="7.7109375" bestFit="1" customWidth="1"/>
    <col min="5688" max="5691" width="9.140625" hidden="1" customWidth="1"/>
    <col min="5692" max="5692" width="10.42578125" bestFit="1" customWidth="1"/>
    <col min="5693" max="5693" width="10.5703125" bestFit="1" customWidth="1"/>
    <col min="5694" max="5694" width="10.42578125" bestFit="1" customWidth="1"/>
    <col min="5695" max="5695" width="10.5703125" bestFit="1" customWidth="1"/>
    <col min="5696" max="5696" width="9.5703125" bestFit="1" customWidth="1"/>
    <col min="5697" max="5697" width="11.5703125" bestFit="1" customWidth="1"/>
    <col min="5698" max="5698" width="10.42578125" bestFit="1" customWidth="1"/>
    <col min="5699" max="5699" width="10.85546875" customWidth="1"/>
    <col min="5700" max="5701" width="9.85546875" bestFit="1" customWidth="1"/>
    <col min="5702" max="5702" width="13.5703125" bestFit="1" customWidth="1"/>
    <col min="5703" max="5703" width="7.7109375" bestFit="1" customWidth="1"/>
    <col min="5704" max="5704" width="13.28515625" bestFit="1" customWidth="1"/>
    <col min="5705" max="5705" width="11.5703125" bestFit="1" customWidth="1"/>
    <col min="5706" max="5706" width="10.42578125" bestFit="1" customWidth="1"/>
    <col min="5707" max="5707" width="7.7109375" bestFit="1" customWidth="1"/>
    <col min="5708" max="5708" width="11.5703125" bestFit="1" customWidth="1"/>
    <col min="5709" max="5709" width="10.85546875" bestFit="1" customWidth="1"/>
    <col min="5710" max="5710" width="13.28515625" bestFit="1" customWidth="1"/>
    <col min="5711" max="5711" width="10.85546875" bestFit="1" customWidth="1"/>
    <col min="5712" max="5713" width="7.5703125" bestFit="1" customWidth="1"/>
    <col min="5714" max="5715" width="10.42578125" bestFit="1" customWidth="1"/>
    <col min="5716" max="5716" width="11.5703125" bestFit="1" customWidth="1"/>
    <col min="5717" max="5717" width="5.28515625" bestFit="1" customWidth="1"/>
    <col min="5718" max="5718" width="10.28515625" bestFit="1" customWidth="1"/>
    <col min="5719" max="5719" width="10.42578125" bestFit="1" customWidth="1"/>
    <col min="5720" max="5720" width="11.5703125" bestFit="1" customWidth="1"/>
    <col min="5721" max="5721" width="5.28515625" bestFit="1" customWidth="1"/>
    <col min="5722" max="5724" width="11.5703125" bestFit="1" customWidth="1"/>
    <col min="5725" max="5725" width="5.28515625" bestFit="1" customWidth="1"/>
    <col min="5726" max="5727" width="10.42578125" bestFit="1" customWidth="1"/>
    <col min="5728" max="5728" width="11.5703125" bestFit="1" customWidth="1"/>
    <col min="5729" max="5729" width="5.28515625" bestFit="1" customWidth="1"/>
    <col min="5730" max="5730" width="14.28515625" bestFit="1" customWidth="1"/>
    <col min="5731" max="5731" width="13" bestFit="1" customWidth="1"/>
    <col min="5732" max="5732" width="11.5703125" bestFit="1" customWidth="1"/>
    <col min="5733" max="5733" width="8.85546875" bestFit="1" customWidth="1"/>
    <col min="5734" max="5734" width="14.42578125" bestFit="1" customWidth="1"/>
    <col min="5735" max="5735" width="10.42578125" bestFit="1" customWidth="1"/>
    <col min="5736" max="5736" width="12.28515625" bestFit="1" customWidth="1"/>
    <col min="5737" max="5737" width="13.85546875" bestFit="1" customWidth="1"/>
    <col min="5738" max="5738" width="11.28515625" customWidth="1"/>
    <col min="5739" max="5739" width="11.5703125" customWidth="1"/>
    <col min="5740" max="5740" width="13.42578125" bestFit="1" customWidth="1"/>
    <col min="5741" max="5741" width="10.42578125" customWidth="1"/>
    <col min="5742" max="5742" width="13.85546875" bestFit="1" customWidth="1"/>
    <col min="5743" max="5743" width="15.42578125" bestFit="1" customWidth="1"/>
    <col min="5744" max="5744" width="12.28515625" bestFit="1" customWidth="1"/>
    <col min="5745" max="5745" width="12.7109375" customWidth="1"/>
    <col min="5746" max="5746" width="10.7109375" bestFit="1" customWidth="1"/>
    <col min="5747" max="5747" width="9.85546875" customWidth="1"/>
    <col min="5748" max="5749" width="10.140625" bestFit="1" customWidth="1"/>
    <col min="5750" max="5750" width="7.5703125" bestFit="1" customWidth="1"/>
    <col min="5751" max="5751" width="9.42578125" bestFit="1" customWidth="1"/>
    <col min="5752" max="5752" width="14.5703125" bestFit="1" customWidth="1"/>
    <col min="5753" max="5753" width="14.85546875" customWidth="1"/>
    <col min="5754" max="5754" width="15.140625" bestFit="1" customWidth="1"/>
    <col min="5755" max="5755" width="12.140625" bestFit="1" customWidth="1"/>
    <col min="5756" max="5756" width="14.85546875" bestFit="1" customWidth="1"/>
    <col min="5757" max="5757" width="12.28515625" bestFit="1" customWidth="1"/>
    <col min="5758" max="5766" width="9.140625" hidden="1" customWidth="1"/>
    <col min="5767" max="5767" width="5.28515625" bestFit="1" customWidth="1"/>
    <col min="5768" max="5773" width="11.5703125" bestFit="1" customWidth="1"/>
    <col min="5774" max="5774" width="11.28515625" bestFit="1" customWidth="1"/>
    <col min="5775" max="5775" width="10.140625" bestFit="1" customWidth="1"/>
    <col min="5776" max="5776" width="11.5703125" bestFit="1" customWidth="1"/>
    <col min="5777" max="5777" width="16.140625" customWidth="1"/>
    <col min="5778" max="5778" width="13.42578125" customWidth="1"/>
    <col min="5779" max="5779" width="10.140625" bestFit="1" customWidth="1"/>
    <col min="5780" max="5780" width="12.85546875" bestFit="1" customWidth="1"/>
    <col min="5781" max="5781" width="12.28515625" bestFit="1" customWidth="1"/>
    <col min="5782" max="5782" width="11.28515625" bestFit="1" customWidth="1"/>
    <col min="5783" max="5783" width="11.5703125" bestFit="1" customWidth="1"/>
    <col min="5784" max="5784" width="10.85546875" bestFit="1" customWidth="1"/>
    <col min="5785" max="5785" width="11.28515625" bestFit="1" customWidth="1"/>
    <col min="5786" max="5786" width="10.140625" bestFit="1" customWidth="1"/>
    <col min="5787" max="5787" width="13.28515625" bestFit="1" customWidth="1"/>
    <col min="5788" max="5789" width="12.7109375" bestFit="1" customWidth="1"/>
    <col min="5790" max="5790" width="11" bestFit="1" customWidth="1"/>
    <col min="5791" max="5791" width="11.28515625" bestFit="1" customWidth="1"/>
    <col min="5792" max="5792" width="11.5703125" bestFit="1" customWidth="1"/>
    <col min="5793" max="5793" width="12.28515625" bestFit="1" customWidth="1"/>
    <col min="5794" max="5794" width="15.140625" bestFit="1" customWidth="1"/>
    <col min="5795" max="5795" width="14.42578125" bestFit="1" customWidth="1"/>
    <col min="5796" max="5796" width="12.28515625" bestFit="1" customWidth="1"/>
    <col min="5797" max="5797" width="15.140625" bestFit="1" customWidth="1"/>
    <col min="5798" max="5798" width="14.42578125" bestFit="1" customWidth="1"/>
    <col min="5799" max="5799" width="12.28515625" bestFit="1" customWidth="1"/>
    <col min="5800" max="5800" width="14.42578125" bestFit="1" customWidth="1"/>
    <col min="5801" max="5801" width="11.28515625" bestFit="1" customWidth="1"/>
    <col min="5802" max="5802" width="12.28515625" bestFit="1" customWidth="1"/>
    <col min="5803" max="5803" width="13" bestFit="1" customWidth="1"/>
    <col min="5804" max="5804" width="15.140625" bestFit="1" customWidth="1"/>
    <col min="5805" max="5805" width="12.28515625" bestFit="1" customWidth="1"/>
    <col min="5806" max="5806" width="13.85546875" bestFit="1" customWidth="1"/>
    <col min="5807" max="5807" width="11.28515625" bestFit="1" customWidth="1"/>
    <col min="5808" max="5808" width="12.28515625" bestFit="1" customWidth="1"/>
    <col min="5809" max="5809" width="13.85546875" bestFit="1" customWidth="1"/>
    <col min="5810" max="5811" width="15.140625" bestFit="1" customWidth="1"/>
    <col min="5812" max="5812" width="12.28515625" bestFit="1" customWidth="1"/>
    <col min="5813" max="5813" width="5.7109375" bestFit="1" customWidth="1"/>
    <col min="5814" max="5814" width="8.5703125" bestFit="1" customWidth="1"/>
    <col min="5815" max="5815" width="5.5703125" bestFit="1" customWidth="1"/>
    <col min="5816" max="5816" width="14.42578125" bestFit="1" customWidth="1"/>
    <col min="5817" max="5817" width="11.28515625" bestFit="1" customWidth="1"/>
    <col min="5818" max="5819" width="12.28515625" bestFit="1" customWidth="1"/>
    <col min="5820" max="5820" width="11.28515625" bestFit="1" customWidth="1"/>
    <col min="5821" max="5821" width="13.85546875" bestFit="1" customWidth="1"/>
    <col min="5822" max="5822" width="12" bestFit="1" customWidth="1"/>
    <col min="5823" max="5823" width="13.85546875" bestFit="1" customWidth="1"/>
    <col min="5824" max="5825" width="14.42578125" customWidth="1"/>
    <col min="5826" max="5826" width="10.140625" bestFit="1" customWidth="1"/>
    <col min="5827" max="5827" width="12.28515625" bestFit="1" customWidth="1"/>
    <col min="5828" max="5828" width="7.42578125" bestFit="1" customWidth="1"/>
    <col min="5829" max="5829" width="8.5703125" bestFit="1" customWidth="1"/>
    <col min="5830" max="5830" width="11.5703125" bestFit="1" customWidth="1"/>
    <col min="5831" max="5831" width="13.28515625" bestFit="1" customWidth="1"/>
    <col min="5832" max="5832" width="13.28515625" customWidth="1"/>
    <col min="5833" max="5833" width="13.140625" customWidth="1"/>
    <col min="5834" max="5834" width="12.7109375" bestFit="1" customWidth="1"/>
    <col min="5835" max="5835" width="13.28515625" bestFit="1" customWidth="1"/>
    <col min="5836" max="5838" width="13.28515625" customWidth="1"/>
    <col min="5839" max="5839" width="12.140625" bestFit="1" customWidth="1"/>
    <col min="5840" max="5840" width="12.7109375" bestFit="1" customWidth="1"/>
    <col min="5841" max="5841" width="11" customWidth="1"/>
    <col min="5842" max="5842" width="16.7109375" customWidth="1"/>
    <col min="5843" max="5843" width="17" customWidth="1"/>
    <col min="5844" max="5844" width="10.42578125" bestFit="1" customWidth="1"/>
    <col min="5888" max="5888" width="3.85546875" customWidth="1"/>
    <col min="5889" max="5889" width="15.28515625" bestFit="1" customWidth="1"/>
    <col min="5890" max="5890" width="12.28515625" customWidth="1"/>
    <col min="5891" max="5891" width="16.28515625" bestFit="1" customWidth="1"/>
    <col min="5892" max="5892" width="6.42578125" bestFit="1" customWidth="1"/>
    <col min="5893" max="5893" width="9.28515625" bestFit="1" customWidth="1"/>
    <col min="5894" max="5894" width="7.5703125" bestFit="1" customWidth="1"/>
    <col min="5895" max="5895" width="13.28515625" bestFit="1" customWidth="1"/>
    <col min="5896" max="5896" width="9.28515625" bestFit="1" customWidth="1"/>
    <col min="5897" max="5897" width="11.5703125" bestFit="1" customWidth="1"/>
    <col min="5898" max="5898" width="13.28515625" bestFit="1" customWidth="1"/>
    <col min="5899" max="5899" width="7.140625" bestFit="1" customWidth="1"/>
    <col min="5900" max="5900" width="12" bestFit="1" customWidth="1"/>
    <col min="5901" max="5901" width="13.28515625" bestFit="1" customWidth="1"/>
    <col min="5902" max="5902" width="7" bestFit="1" customWidth="1"/>
    <col min="5903" max="5903" width="12.7109375" bestFit="1" customWidth="1"/>
    <col min="5904" max="5904" width="11.5703125" bestFit="1" customWidth="1"/>
    <col min="5905" max="5905" width="10.5703125" bestFit="1" customWidth="1"/>
    <col min="5906" max="5907" width="15.7109375" bestFit="1" customWidth="1"/>
    <col min="5908" max="5908" width="11.5703125" bestFit="1" customWidth="1"/>
    <col min="5909" max="5909" width="7.7109375" bestFit="1" customWidth="1"/>
    <col min="5910" max="5910" width="15.140625" bestFit="1" customWidth="1"/>
    <col min="5911" max="5911" width="11.5703125" bestFit="1" customWidth="1"/>
    <col min="5912" max="5912" width="13.28515625" bestFit="1" customWidth="1"/>
    <col min="5913" max="5913" width="10.42578125" bestFit="1" customWidth="1"/>
    <col min="5914" max="5914" width="13.28515625" bestFit="1" customWidth="1"/>
    <col min="5915" max="5915" width="12.140625" bestFit="1" customWidth="1"/>
    <col min="5916" max="5916" width="14.42578125" bestFit="1" customWidth="1"/>
    <col min="5917" max="5917" width="13.28515625" bestFit="1" customWidth="1"/>
    <col min="5918" max="5918" width="11.5703125" bestFit="1" customWidth="1"/>
    <col min="5919" max="5919" width="7.7109375" bestFit="1" customWidth="1"/>
    <col min="5920" max="5921" width="14.42578125" bestFit="1" customWidth="1"/>
    <col min="5922" max="5922" width="11.5703125" bestFit="1" customWidth="1"/>
    <col min="5923" max="5923" width="7.7109375" bestFit="1" customWidth="1"/>
    <col min="5924" max="5924" width="13.5703125" customWidth="1"/>
    <col min="5925" max="5925" width="15.28515625" customWidth="1"/>
    <col min="5926" max="5926" width="14.5703125" customWidth="1"/>
    <col min="5927" max="5927" width="13.28515625" bestFit="1" customWidth="1"/>
    <col min="5928" max="5928" width="7.7109375" bestFit="1" customWidth="1"/>
    <col min="5929" max="5929" width="12.7109375" bestFit="1" customWidth="1"/>
    <col min="5930" max="5930" width="11.7109375" bestFit="1" customWidth="1"/>
    <col min="5931" max="5931" width="11.5703125" bestFit="1" customWidth="1"/>
    <col min="5932" max="5932" width="5.28515625" bestFit="1" customWidth="1"/>
    <col min="5933" max="5933" width="13.28515625" bestFit="1" customWidth="1"/>
    <col min="5934" max="5934" width="13.5703125" bestFit="1" customWidth="1"/>
    <col min="5935" max="5935" width="10.5703125" bestFit="1" customWidth="1"/>
    <col min="5936" max="5936" width="13.28515625" bestFit="1" customWidth="1"/>
    <col min="5937" max="5937" width="11.5703125" bestFit="1" customWidth="1"/>
    <col min="5938" max="5938" width="10.5703125" bestFit="1" customWidth="1"/>
    <col min="5939" max="5939" width="16.140625" bestFit="1" customWidth="1"/>
    <col min="5940" max="5941" width="11.28515625" bestFit="1" customWidth="1"/>
    <col min="5942" max="5942" width="13.28515625" bestFit="1" customWidth="1"/>
    <col min="5943" max="5943" width="7.7109375" bestFit="1" customWidth="1"/>
    <col min="5944" max="5947" width="9.140625" hidden="1" customWidth="1"/>
    <col min="5948" max="5948" width="10.42578125" bestFit="1" customWidth="1"/>
    <col min="5949" max="5949" width="10.5703125" bestFit="1" customWidth="1"/>
    <col min="5950" max="5950" width="10.42578125" bestFit="1" customWidth="1"/>
    <col min="5951" max="5951" width="10.5703125" bestFit="1" customWidth="1"/>
    <col min="5952" max="5952" width="9.5703125" bestFit="1" customWidth="1"/>
    <col min="5953" max="5953" width="11.5703125" bestFit="1" customWidth="1"/>
    <col min="5954" max="5954" width="10.42578125" bestFit="1" customWidth="1"/>
    <col min="5955" max="5955" width="10.85546875" customWidth="1"/>
    <col min="5956" max="5957" width="9.85546875" bestFit="1" customWidth="1"/>
    <col min="5958" max="5958" width="13.5703125" bestFit="1" customWidth="1"/>
    <col min="5959" max="5959" width="7.7109375" bestFit="1" customWidth="1"/>
    <col min="5960" max="5960" width="13.28515625" bestFit="1" customWidth="1"/>
    <col min="5961" max="5961" width="11.5703125" bestFit="1" customWidth="1"/>
    <col min="5962" max="5962" width="10.42578125" bestFit="1" customWidth="1"/>
    <col min="5963" max="5963" width="7.7109375" bestFit="1" customWidth="1"/>
    <col min="5964" max="5964" width="11.5703125" bestFit="1" customWidth="1"/>
    <col min="5965" max="5965" width="10.85546875" bestFit="1" customWidth="1"/>
    <col min="5966" max="5966" width="13.28515625" bestFit="1" customWidth="1"/>
    <col min="5967" max="5967" width="10.85546875" bestFit="1" customWidth="1"/>
    <col min="5968" max="5969" width="7.5703125" bestFit="1" customWidth="1"/>
    <col min="5970" max="5971" width="10.42578125" bestFit="1" customWidth="1"/>
    <col min="5972" max="5972" width="11.5703125" bestFit="1" customWidth="1"/>
    <col min="5973" max="5973" width="5.28515625" bestFit="1" customWidth="1"/>
    <col min="5974" max="5974" width="10.28515625" bestFit="1" customWidth="1"/>
    <col min="5975" max="5975" width="10.42578125" bestFit="1" customWidth="1"/>
    <col min="5976" max="5976" width="11.5703125" bestFit="1" customWidth="1"/>
    <col min="5977" max="5977" width="5.28515625" bestFit="1" customWidth="1"/>
    <col min="5978" max="5980" width="11.5703125" bestFit="1" customWidth="1"/>
    <col min="5981" max="5981" width="5.28515625" bestFit="1" customWidth="1"/>
    <col min="5982" max="5983" width="10.42578125" bestFit="1" customWidth="1"/>
    <col min="5984" max="5984" width="11.5703125" bestFit="1" customWidth="1"/>
    <col min="5985" max="5985" width="5.28515625" bestFit="1" customWidth="1"/>
    <col min="5986" max="5986" width="14.28515625" bestFit="1" customWidth="1"/>
    <col min="5987" max="5987" width="13" bestFit="1" customWidth="1"/>
    <col min="5988" max="5988" width="11.5703125" bestFit="1" customWidth="1"/>
    <col min="5989" max="5989" width="8.85546875" bestFit="1" customWidth="1"/>
    <col min="5990" max="5990" width="14.42578125" bestFit="1" customWidth="1"/>
    <col min="5991" max="5991" width="10.42578125" bestFit="1" customWidth="1"/>
    <col min="5992" max="5992" width="12.28515625" bestFit="1" customWidth="1"/>
    <col min="5993" max="5993" width="13.85546875" bestFit="1" customWidth="1"/>
    <col min="5994" max="5994" width="11.28515625" customWidth="1"/>
    <col min="5995" max="5995" width="11.5703125" customWidth="1"/>
    <col min="5996" max="5996" width="13.42578125" bestFit="1" customWidth="1"/>
    <col min="5997" max="5997" width="10.42578125" customWidth="1"/>
    <col min="5998" max="5998" width="13.85546875" bestFit="1" customWidth="1"/>
    <col min="5999" max="5999" width="15.42578125" bestFit="1" customWidth="1"/>
    <col min="6000" max="6000" width="12.28515625" bestFit="1" customWidth="1"/>
    <col min="6001" max="6001" width="12.7109375" customWidth="1"/>
    <col min="6002" max="6002" width="10.7109375" bestFit="1" customWidth="1"/>
    <col min="6003" max="6003" width="9.85546875" customWidth="1"/>
    <col min="6004" max="6005" width="10.140625" bestFit="1" customWidth="1"/>
    <col min="6006" max="6006" width="7.5703125" bestFit="1" customWidth="1"/>
    <col min="6007" max="6007" width="9.42578125" bestFit="1" customWidth="1"/>
    <col min="6008" max="6008" width="14.5703125" bestFit="1" customWidth="1"/>
    <col min="6009" max="6009" width="14.85546875" customWidth="1"/>
    <col min="6010" max="6010" width="15.140625" bestFit="1" customWidth="1"/>
    <col min="6011" max="6011" width="12.140625" bestFit="1" customWidth="1"/>
    <col min="6012" max="6012" width="14.85546875" bestFit="1" customWidth="1"/>
    <col min="6013" max="6013" width="12.28515625" bestFit="1" customWidth="1"/>
    <col min="6014" max="6022" width="9.140625" hidden="1" customWidth="1"/>
    <col min="6023" max="6023" width="5.28515625" bestFit="1" customWidth="1"/>
    <col min="6024" max="6029" width="11.5703125" bestFit="1" customWidth="1"/>
    <col min="6030" max="6030" width="11.28515625" bestFit="1" customWidth="1"/>
    <col min="6031" max="6031" width="10.140625" bestFit="1" customWidth="1"/>
    <col min="6032" max="6032" width="11.5703125" bestFit="1" customWidth="1"/>
    <col min="6033" max="6033" width="16.140625" customWidth="1"/>
    <col min="6034" max="6034" width="13.42578125" customWidth="1"/>
    <col min="6035" max="6035" width="10.140625" bestFit="1" customWidth="1"/>
    <col min="6036" max="6036" width="12.85546875" bestFit="1" customWidth="1"/>
    <col min="6037" max="6037" width="12.28515625" bestFit="1" customWidth="1"/>
    <col min="6038" max="6038" width="11.28515625" bestFit="1" customWidth="1"/>
    <col min="6039" max="6039" width="11.5703125" bestFit="1" customWidth="1"/>
    <col min="6040" max="6040" width="10.85546875" bestFit="1" customWidth="1"/>
    <col min="6041" max="6041" width="11.28515625" bestFit="1" customWidth="1"/>
    <col min="6042" max="6042" width="10.140625" bestFit="1" customWidth="1"/>
    <col min="6043" max="6043" width="13.28515625" bestFit="1" customWidth="1"/>
    <col min="6044" max="6045" width="12.7109375" bestFit="1" customWidth="1"/>
    <col min="6046" max="6046" width="11" bestFit="1" customWidth="1"/>
    <col min="6047" max="6047" width="11.28515625" bestFit="1" customWidth="1"/>
    <col min="6048" max="6048" width="11.5703125" bestFit="1" customWidth="1"/>
    <col min="6049" max="6049" width="12.28515625" bestFit="1" customWidth="1"/>
    <col min="6050" max="6050" width="15.140625" bestFit="1" customWidth="1"/>
    <col min="6051" max="6051" width="14.42578125" bestFit="1" customWidth="1"/>
    <col min="6052" max="6052" width="12.28515625" bestFit="1" customWidth="1"/>
    <col min="6053" max="6053" width="15.140625" bestFit="1" customWidth="1"/>
    <col min="6054" max="6054" width="14.42578125" bestFit="1" customWidth="1"/>
    <col min="6055" max="6055" width="12.28515625" bestFit="1" customWidth="1"/>
    <col min="6056" max="6056" width="14.42578125" bestFit="1" customWidth="1"/>
    <col min="6057" max="6057" width="11.28515625" bestFit="1" customWidth="1"/>
    <col min="6058" max="6058" width="12.28515625" bestFit="1" customWidth="1"/>
    <col min="6059" max="6059" width="13" bestFit="1" customWidth="1"/>
    <col min="6060" max="6060" width="15.140625" bestFit="1" customWidth="1"/>
    <col min="6061" max="6061" width="12.28515625" bestFit="1" customWidth="1"/>
    <col min="6062" max="6062" width="13.85546875" bestFit="1" customWidth="1"/>
    <col min="6063" max="6063" width="11.28515625" bestFit="1" customWidth="1"/>
    <col min="6064" max="6064" width="12.28515625" bestFit="1" customWidth="1"/>
    <col min="6065" max="6065" width="13.85546875" bestFit="1" customWidth="1"/>
    <col min="6066" max="6067" width="15.140625" bestFit="1" customWidth="1"/>
    <col min="6068" max="6068" width="12.28515625" bestFit="1" customWidth="1"/>
    <col min="6069" max="6069" width="5.7109375" bestFit="1" customWidth="1"/>
    <col min="6070" max="6070" width="8.5703125" bestFit="1" customWidth="1"/>
    <col min="6071" max="6071" width="5.5703125" bestFit="1" customWidth="1"/>
    <col min="6072" max="6072" width="14.42578125" bestFit="1" customWidth="1"/>
    <col min="6073" max="6073" width="11.28515625" bestFit="1" customWidth="1"/>
    <col min="6074" max="6075" width="12.28515625" bestFit="1" customWidth="1"/>
    <col min="6076" max="6076" width="11.28515625" bestFit="1" customWidth="1"/>
    <col min="6077" max="6077" width="13.85546875" bestFit="1" customWidth="1"/>
    <col min="6078" max="6078" width="12" bestFit="1" customWidth="1"/>
    <col min="6079" max="6079" width="13.85546875" bestFit="1" customWidth="1"/>
    <col min="6080" max="6081" width="14.42578125" customWidth="1"/>
    <col min="6082" max="6082" width="10.140625" bestFit="1" customWidth="1"/>
    <col min="6083" max="6083" width="12.28515625" bestFit="1" customWidth="1"/>
    <col min="6084" max="6084" width="7.42578125" bestFit="1" customWidth="1"/>
    <col min="6085" max="6085" width="8.5703125" bestFit="1" customWidth="1"/>
    <col min="6086" max="6086" width="11.5703125" bestFit="1" customWidth="1"/>
    <col min="6087" max="6087" width="13.28515625" bestFit="1" customWidth="1"/>
    <col min="6088" max="6088" width="13.28515625" customWidth="1"/>
    <col min="6089" max="6089" width="13.140625" customWidth="1"/>
    <col min="6090" max="6090" width="12.7109375" bestFit="1" customWidth="1"/>
    <col min="6091" max="6091" width="13.28515625" bestFit="1" customWidth="1"/>
    <col min="6092" max="6094" width="13.28515625" customWidth="1"/>
    <col min="6095" max="6095" width="12.140625" bestFit="1" customWidth="1"/>
    <col min="6096" max="6096" width="12.7109375" bestFit="1" customWidth="1"/>
    <col min="6097" max="6097" width="11" customWidth="1"/>
    <col min="6098" max="6098" width="16.7109375" customWidth="1"/>
    <col min="6099" max="6099" width="17" customWidth="1"/>
    <col min="6100" max="6100" width="10.42578125" bestFit="1" customWidth="1"/>
    <col min="6144" max="6144" width="3.85546875" customWidth="1"/>
    <col min="6145" max="6145" width="15.28515625" bestFit="1" customWidth="1"/>
    <col min="6146" max="6146" width="12.28515625" customWidth="1"/>
    <col min="6147" max="6147" width="16.28515625" bestFit="1" customWidth="1"/>
    <col min="6148" max="6148" width="6.42578125" bestFit="1" customWidth="1"/>
    <col min="6149" max="6149" width="9.28515625" bestFit="1" customWidth="1"/>
    <col min="6150" max="6150" width="7.5703125" bestFit="1" customWidth="1"/>
    <col min="6151" max="6151" width="13.28515625" bestFit="1" customWidth="1"/>
    <col min="6152" max="6152" width="9.28515625" bestFit="1" customWidth="1"/>
    <col min="6153" max="6153" width="11.5703125" bestFit="1" customWidth="1"/>
    <col min="6154" max="6154" width="13.28515625" bestFit="1" customWidth="1"/>
    <col min="6155" max="6155" width="7.140625" bestFit="1" customWidth="1"/>
    <col min="6156" max="6156" width="12" bestFit="1" customWidth="1"/>
    <col min="6157" max="6157" width="13.28515625" bestFit="1" customWidth="1"/>
    <col min="6158" max="6158" width="7" bestFit="1" customWidth="1"/>
    <col min="6159" max="6159" width="12.7109375" bestFit="1" customWidth="1"/>
    <col min="6160" max="6160" width="11.5703125" bestFit="1" customWidth="1"/>
    <col min="6161" max="6161" width="10.5703125" bestFit="1" customWidth="1"/>
    <col min="6162" max="6163" width="15.7109375" bestFit="1" customWidth="1"/>
    <col min="6164" max="6164" width="11.5703125" bestFit="1" customWidth="1"/>
    <col min="6165" max="6165" width="7.7109375" bestFit="1" customWidth="1"/>
    <col min="6166" max="6166" width="15.140625" bestFit="1" customWidth="1"/>
    <col min="6167" max="6167" width="11.5703125" bestFit="1" customWidth="1"/>
    <col min="6168" max="6168" width="13.28515625" bestFit="1" customWidth="1"/>
    <col min="6169" max="6169" width="10.42578125" bestFit="1" customWidth="1"/>
    <col min="6170" max="6170" width="13.28515625" bestFit="1" customWidth="1"/>
    <col min="6171" max="6171" width="12.140625" bestFit="1" customWidth="1"/>
    <col min="6172" max="6172" width="14.42578125" bestFit="1" customWidth="1"/>
    <col min="6173" max="6173" width="13.28515625" bestFit="1" customWidth="1"/>
    <col min="6174" max="6174" width="11.5703125" bestFit="1" customWidth="1"/>
    <col min="6175" max="6175" width="7.7109375" bestFit="1" customWidth="1"/>
    <col min="6176" max="6177" width="14.42578125" bestFit="1" customWidth="1"/>
    <col min="6178" max="6178" width="11.5703125" bestFit="1" customWidth="1"/>
    <col min="6179" max="6179" width="7.7109375" bestFit="1" customWidth="1"/>
    <col min="6180" max="6180" width="13.5703125" customWidth="1"/>
    <col min="6181" max="6181" width="15.28515625" customWidth="1"/>
    <col min="6182" max="6182" width="14.5703125" customWidth="1"/>
    <col min="6183" max="6183" width="13.28515625" bestFit="1" customWidth="1"/>
    <col min="6184" max="6184" width="7.7109375" bestFit="1" customWidth="1"/>
    <col min="6185" max="6185" width="12.7109375" bestFit="1" customWidth="1"/>
    <col min="6186" max="6186" width="11.7109375" bestFit="1" customWidth="1"/>
    <col min="6187" max="6187" width="11.5703125" bestFit="1" customWidth="1"/>
    <col min="6188" max="6188" width="5.28515625" bestFit="1" customWidth="1"/>
    <col min="6189" max="6189" width="13.28515625" bestFit="1" customWidth="1"/>
    <col min="6190" max="6190" width="13.5703125" bestFit="1" customWidth="1"/>
    <col min="6191" max="6191" width="10.5703125" bestFit="1" customWidth="1"/>
    <col min="6192" max="6192" width="13.28515625" bestFit="1" customWidth="1"/>
    <col min="6193" max="6193" width="11.5703125" bestFit="1" customWidth="1"/>
    <col min="6194" max="6194" width="10.5703125" bestFit="1" customWidth="1"/>
    <col min="6195" max="6195" width="16.140625" bestFit="1" customWidth="1"/>
    <col min="6196" max="6197" width="11.28515625" bestFit="1" customWidth="1"/>
    <col min="6198" max="6198" width="13.28515625" bestFit="1" customWidth="1"/>
    <col min="6199" max="6199" width="7.7109375" bestFit="1" customWidth="1"/>
    <col min="6200" max="6203" width="9.140625" hidden="1" customWidth="1"/>
    <col min="6204" max="6204" width="10.42578125" bestFit="1" customWidth="1"/>
    <col min="6205" max="6205" width="10.5703125" bestFit="1" customWidth="1"/>
    <col min="6206" max="6206" width="10.42578125" bestFit="1" customWidth="1"/>
    <col min="6207" max="6207" width="10.5703125" bestFit="1" customWidth="1"/>
    <col min="6208" max="6208" width="9.5703125" bestFit="1" customWidth="1"/>
    <col min="6209" max="6209" width="11.5703125" bestFit="1" customWidth="1"/>
    <col min="6210" max="6210" width="10.42578125" bestFit="1" customWidth="1"/>
    <col min="6211" max="6211" width="10.85546875" customWidth="1"/>
    <col min="6212" max="6213" width="9.85546875" bestFit="1" customWidth="1"/>
    <col min="6214" max="6214" width="13.5703125" bestFit="1" customWidth="1"/>
    <col min="6215" max="6215" width="7.7109375" bestFit="1" customWidth="1"/>
    <col min="6216" max="6216" width="13.28515625" bestFit="1" customWidth="1"/>
    <col min="6217" max="6217" width="11.5703125" bestFit="1" customWidth="1"/>
    <col min="6218" max="6218" width="10.42578125" bestFit="1" customWidth="1"/>
    <col min="6219" max="6219" width="7.7109375" bestFit="1" customWidth="1"/>
    <col min="6220" max="6220" width="11.5703125" bestFit="1" customWidth="1"/>
    <col min="6221" max="6221" width="10.85546875" bestFit="1" customWidth="1"/>
    <col min="6222" max="6222" width="13.28515625" bestFit="1" customWidth="1"/>
    <col min="6223" max="6223" width="10.85546875" bestFit="1" customWidth="1"/>
    <col min="6224" max="6225" width="7.5703125" bestFit="1" customWidth="1"/>
    <col min="6226" max="6227" width="10.42578125" bestFit="1" customWidth="1"/>
    <col min="6228" max="6228" width="11.5703125" bestFit="1" customWidth="1"/>
    <col min="6229" max="6229" width="5.28515625" bestFit="1" customWidth="1"/>
    <col min="6230" max="6230" width="10.28515625" bestFit="1" customWidth="1"/>
    <col min="6231" max="6231" width="10.42578125" bestFit="1" customWidth="1"/>
    <col min="6232" max="6232" width="11.5703125" bestFit="1" customWidth="1"/>
    <col min="6233" max="6233" width="5.28515625" bestFit="1" customWidth="1"/>
    <col min="6234" max="6236" width="11.5703125" bestFit="1" customWidth="1"/>
    <col min="6237" max="6237" width="5.28515625" bestFit="1" customWidth="1"/>
    <col min="6238" max="6239" width="10.42578125" bestFit="1" customWidth="1"/>
    <col min="6240" max="6240" width="11.5703125" bestFit="1" customWidth="1"/>
    <col min="6241" max="6241" width="5.28515625" bestFit="1" customWidth="1"/>
    <col min="6242" max="6242" width="14.28515625" bestFit="1" customWidth="1"/>
    <col min="6243" max="6243" width="13" bestFit="1" customWidth="1"/>
    <col min="6244" max="6244" width="11.5703125" bestFit="1" customWidth="1"/>
    <col min="6245" max="6245" width="8.85546875" bestFit="1" customWidth="1"/>
    <col min="6246" max="6246" width="14.42578125" bestFit="1" customWidth="1"/>
    <col min="6247" max="6247" width="10.42578125" bestFit="1" customWidth="1"/>
    <col min="6248" max="6248" width="12.28515625" bestFit="1" customWidth="1"/>
    <col min="6249" max="6249" width="13.85546875" bestFit="1" customWidth="1"/>
    <col min="6250" max="6250" width="11.28515625" customWidth="1"/>
    <col min="6251" max="6251" width="11.5703125" customWidth="1"/>
    <col min="6252" max="6252" width="13.42578125" bestFit="1" customWidth="1"/>
    <col min="6253" max="6253" width="10.42578125" customWidth="1"/>
    <col min="6254" max="6254" width="13.85546875" bestFit="1" customWidth="1"/>
    <col min="6255" max="6255" width="15.42578125" bestFit="1" customWidth="1"/>
    <col min="6256" max="6256" width="12.28515625" bestFit="1" customWidth="1"/>
    <col min="6257" max="6257" width="12.7109375" customWidth="1"/>
    <col min="6258" max="6258" width="10.7109375" bestFit="1" customWidth="1"/>
    <col min="6259" max="6259" width="9.85546875" customWidth="1"/>
    <col min="6260" max="6261" width="10.140625" bestFit="1" customWidth="1"/>
    <col min="6262" max="6262" width="7.5703125" bestFit="1" customWidth="1"/>
    <col min="6263" max="6263" width="9.42578125" bestFit="1" customWidth="1"/>
    <col min="6264" max="6264" width="14.5703125" bestFit="1" customWidth="1"/>
    <col min="6265" max="6265" width="14.85546875" customWidth="1"/>
    <col min="6266" max="6266" width="15.140625" bestFit="1" customWidth="1"/>
    <col min="6267" max="6267" width="12.140625" bestFit="1" customWidth="1"/>
    <col min="6268" max="6268" width="14.85546875" bestFit="1" customWidth="1"/>
    <col min="6269" max="6269" width="12.28515625" bestFit="1" customWidth="1"/>
    <col min="6270" max="6278" width="9.140625" hidden="1" customWidth="1"/>
    <col min="6279" max="6279" width="5.28515625" bestFit="1" customWidth="1"/>
    <col min="6280" max="6285" width="11.5703125" bestFit="1" customWidth="1"/>
    <col min="6286" max="6286" width="11.28515625" bestFit="1" customWidth="1"/>
    <col min="6287" max="6287" width="10.140625" bestFit="1" customWidth="1"/>
    <col min="6288" max="6288" width="11.5703125" bestFit="1" customWidth="1"/>
    <col min="6289" max="6289" width="16.140625" customWidth="1"/>
    <col min="6290" max="6290" width="13.42578125" customWidth="1"/>
    <col min="6291" max="6291" width="10.140625" bestFit="1" customWidth="1"/>
    <col min="6292" max="6292" width="12.85546875" bestFit="1" customWidth="1"/>
    <col min="6293" max="6293" width="12.28515625" bestFit="1" customWidth="1"/>
    <col min="6294" max="6294" width="11.28515625" bestFit="1" customWidth="1"/>
    <col min="6295" max="6295" width="11.5703125" bestFit="1" customWidth="1"/>
    <col min="6296" max="6296" width="10.85546875" bestFit="1" customWidth="1"/>
    <col min="6297" max="6297" width="11.28515625" bestFit="1" customWidth="1"/>
    <col min="6298" max="6298" width="10.140625" bestFit="1" customWidth="1"/>
    <col min="6299" max="6299" width="13.28515625" bestFit="1" customWidth="1"/>
    <col min="6300" max="6301" width="12.7109375" bestFit="1" customWidth="1"/>
    <col min="6302" max="6302" width="11" bestFit="1" customWidth="1"/>
    <col min="6303" max="6303" width="11.28515625" bestFit="1" customWidth="1"/>
    <col min="6304" max="6304" width="11.5703125" bestFit="1" customWidth="1"/>
    <col min="6305" max="6305" width="12.28515625" bestFit="1" customWidth="1"/>
    <col min="6306" max="6306" width="15.140625" bestFit="1" customWidth="1"/>
    <col min="6307" max="6307" width="14.42578125" bestFit="1" customWidth="1"/>
    <col min="6308" max="6308" width="12.28515625" bestFit="1" customWidth="1"/>
    <col min="6309" max="6309" width="15.140625" bestFit="1" customWidth="1"/>
    <col min="6310" max="6310" width="14.42578125" bestFit="1" customWidth="1"/>
    <col min="6311" max="6311" width="12.28515625" bestFit="1" customWidth="1"/>
    <col min="6312" max="6312" width="14.42578125" bestFit="1" customWidth="1"/>
    <col min="6313" max="6313" width="11.28515625" bestFit="1" customWidth="1"/>
    <col min="6314" max="6314" width="12.28515625" bestFit="1" customWidth="1"/>
    <col min="6315" max="6315" width="13" bestFit="1" customWidth="1"/>
    <col min="6316" max="6316" width="15.140625" bestFit="1" customWidth="1"/>
    <col min="6317" max="6317" width="12.28515625" bestFit="1" customWidth="1"/>
    <col min="6318" max="6318" width="13.85546875" bestFit="1" customWidth="1"/>
    <col min="6319" max="6319" width="11.28515625" bestFit="1" customWidth="1"/>
    <col min="6320" max="6320" width="12.28515625" bestFit="1" customWidth="1"/>
    <col min="6321" max="6321" width="13.85546875" bestFit="1" customWidth="1"/>
    <col min="6322" max="6323" width="15.140625" bestFit="1" customWidth="1"/>
    <col min="6324" max="6324" width="12.28515625" bestFit="1" customWidth="1"/>
    <col min="6325" max="6325" width="5.7109375" bestFit="1" customWidth="1"/>
    <col min="6326" max="6326" width="8.5703125" bestFit="1" customWidth="1"/>
    <col min="6327" max="6327" width="5.5703125" bestFit="1" customWidth="1"/>
    <col min="6328" max="6328" width="14.42578125" bestFit="1" customWidth="1"/>
    <col min="6329" max="6329" width="11.28515625" bestFit="1" customWidth="1"/>
    <col min="6330" max="6331" width="12.28515625" bestFit="1" customWidth="1"/>
    <col min="6332" max="6332" width="11.28515625" bestFit="1" customWidth="1"/>
    <col min="6333" max="6333" width="13.85546875" bestFit="1" customWidth="1"/>
    <col min="6334" max="6334" width="12" bestFit="1" customWidth="1"/>
    <col min="6335" max="6335" width="13.85546875" bestFit="1" customWidth="1"/>
    <col min="6336" max="6337" width="14.42578125" customWidth="1"/>
    <col min="6338" max="6338" width="10.140625" bestFit="1" customWidth="1"/>
    <col min="6339" max="6339" width="12.28515625" bestFit="1" customWidth="1"/>
    <col min="6340" max="6340" width="7.42578125" bestFit="1" customWidth="1"/>
    <col min="6341" max="6341" width="8.5703125" bestFit="1" customWidth="1"/>
    <col min="6342" max="6342" width="11.5703125" bestFit="1" customWidth="1"/>
    <col min="6343" max="6343" width="13.28515625" bestFit="1" customWidth="1"/>
    <col min="6344" max="6344" width="13.28515625" customWidth="1"/>
    <col min="6345" max="6345" width="13.140625" customWidth="1"/>
    <col min="6346" max="6346" width="12.7109375" bestFit="1" customWidth="1"/>
    <col min="6347" max="6347" width="13.28515625" bestFit="1" customWidth="1"/>
    <col min="6348" max="6350" width="13.28515625" customWidth="1"/>
    <col min="6351" max="6351" width="12.140625" bestFit="1" customWidth="1"/>
    <col min="6352" max="6352" width="12.7109375" bestFit="1" customWidth="1"/>
    <col min="6353" max="6353" width="11" customWidth="1"/>
    <col min="6354" max="6354" width="16.7109375" customWidth="1"/>
    <col min="6355" max="6355" width="17" customWidth="1"/>
    <col min="6356" max="6356" width="10.42578125" bestFit="1" customWidth="1"/>
    <col min="6400" max="6400" width="3.85546875" customWidth="1"/>
    <col min="6401" max="6401" width="15.28515625" bestFit="1" customWidth="1"/>
    <col min="6402" max="6402" width="12.28515625" customWidth="1"/>
    <col min="6403" max="6403" width="16.28515625" bestFit="1" customWidth="1"/>
    <col min="6404" max="6404" width="6.42578125" bestFit="1" customWidth="1"/>
    <col min="6405" max="6405" width="9.28515625" bestFit="1" customWidth="1"/>
    <col min="6406" max="6406" width="7.5703125" bestFit="1" customWidth="1"/>
    <col min="6407" max="6407" width="13.28515625" bestFit="1" customWidth="1"/>
    <col min="6408" max="6408" width="9.28515625" bestFit="1" customWidth="1"/>
    <col min="6409" max="6409" width="11.5703125" bestFit="1" customWidth="1"/>
    <col min="6410" max="6410" width="13.28515625" bestFit="1" customWidth="1"/>
    <col min="6411" max="6411" width="7.140625" bestFit="1" customWidth="1"/>
    <col min="6412" max="6412" width="12" bestFit="1" customWidth="1"/>
    <col min="6413" max="6413" width="13.28515625" bestFit="1" customWidth="1"/>
    <col min="6414" max="6414" width="7" bestFit="1" customWidth="1"/>
    <col min="6415" max="6415" width="12.7109375" bestFit="1" customWidth="1"/>
    <col min="6416" max="6416" width="11.5703125" bestFit="1" customWidth="1"/>
    <col min="6417" max="6417" width="10.5703125" bestFit="1" customWidth="1"/>
    <col min="6418" max="6419" width="15.7109375" bestFit="1" customWidth="1"/>
    <col min="6420" max="6420" width="11.5703125" bestFit="1" customWidth="1"/>
    <col min="6421" max="6421" width="7.7109375" bestFit="1" customWidth="1"/>
    <col min="6422" max="6422" width="15.140625" bestFit="1" customWidth="1"/>
    <col min="6423" max="6423" width="11.5703125" bestFit="1" customWidth="1"/>
    <col min="6424" max="6424" width="13.28515625" bestFit="1" customWidth="1"/>
    <col min="6425" max="6425" width="10.42578125" bestFit="1" customWidth="1"/>
    <col min="6426" max="6426" width="13.28515625" bestFit="1" customWidth="1"/>
    <col min="6427" max="6427" width="12.140625" bestFit="1" customWidth="1"/>
    <col min="6428" max="6428" width="14.42578125" bestFit="1" customWidth="1"/>
    <col min="6429" max="6429" width="13.28515625" bestFit="1" customWidth="1"/>
    <col min="6430" max="6430" width="11.5703125" bestFit="1" customWidth="1"/>
    <col min="6431" max="6431" width="7.7109375" bestFit="1" customWidth="1"/>
    <col min="6432" max="6433" width="14.42578125" bestFit="1" customWidth="1"/>
    <col min="6434" max="6434" width="11.5703125" bestFit="1" customWidth="1"/>
    <col min="6435" max="6435" width="7.7109375" bestFit="1" customWidth="1"/>
    <col min="6436" max="6436" width="13.5703125" customWidth="1"/>
    <col min="6437" max="6437" width="15.28515625" customWidth="1"/>
    <col min="6438" max="6438" width="14.5703125" customWidth="1"/>
    <col min="6439" max="6439" width="13.28515625" bestFit="1" customWidth="1"/>
    <col min="6440" max="6440" width="7.7109375" bestFit="1" customWidth="1"/>
    <col min="6441" max="6441" width="12.7109375" bestFit="1" customWidth="1"/>
    <col min="6442" max="6442" width="11.7109375" bestFit="1" customWidth="1"/>
    <col min="6443" max="6443" width="11.5703125" bestFit="1" customWidth="1"/>
    <col min="6444" max="6444" width="5.28515625" bestFit="1" customWidth="1"/>
    <col min="6445" max="6445" width="13.28515625" bestFit="1" customWidth="1"/>
    <col min="6446" max="6446" width="13.5703125" bestFit="1" customWidth="1"/>
    <col min="6447" max="6447" width="10.5703125" bestFit="1" customWidth="1"/>
    <col min="6448" max="6448" width="13.28515625" bestFit="1" customWidth="1"/>
    <col min="6449" max="6449" width="11.5703125" bestFit="1" customWidth="1"/>
    <col min="6450" max="6450" width="10.5703125" bestFit="1" customWidth="1"/>
    <col min="6451" max="6451" width="16.140625" bestFit="1" customWidth="1"/>
    <col min="6452" max="6453" width="11.28515625" bestFit="1" customWidth="1"/>
    <col min="6454" max="6454" width="13.28515625" bestFit="1" customWidth="1"/>
    <col min="6455" max="6455" width="7.7109375" bestFit="1" customWidth="1"/>
    <col min="6456" max="6459" width="9.140625" hidden="1" customWidth="1"/>
    <col min="6460" max="6460" width="10.42578125" bestFit="1" customWidth="1"/>
    <col min="6461" max="6461" width="10.5703125" bestFit="1" customWidth="1"/>
    <col min="6462" max="6462" width="10.42578125" bestFit="1" customWidth="1"/>
    <col min="6463" max="6463" width="10.5703125" bestFit="1" customWidth="1"/>
    <col min="6464" max="6464" width="9.5703125" bestFit="1" customWidth="1"/>
    <col min="6465" max="6465" width="11.5703125" bestFit="1" customWidth="1"/>
    <col min="6466" max="6466" width="10.42578125" bestFit="1" customWidth="1"/>
    <col min="6467" max="6467" width="10.85546875" customWidth="1"/>
    <col min="6468" max="6469" width="9.85546875" bestFit="1" customWidth="1"/>
    <col min="6470" max="6470" width="13.5703125" bestFit="1" customWidth="1"/>
    <col min="6471" max="6471" width="7.7109375" bestFit="1" customWidth="1"/>
    <col min="6472" max="6472" width="13.28515625" bestFit="1" customWidth="1"/>
    <col min="6473" max="6473" width="11.5703125" bestFit="1" customWidth="1"/>
    <col min="6474" max="6474" width="10.42578125" bestFit="1" customWidth="1"/>
    <col min="6475" max="6475" width="7.7109375" bestFit="1" customWidth="1"/>
    <col min="6476" max="6476" width="11.5703125" bestFit="1" customWidth="1"/>
    <col min="6477" max="6477" width="10.85546875" bestFit="1" customWidth="1"/>
    <col min="6478" max="6478" width="13.28515625" bestFit="1" customWidth="1"/>
    <col min="6479" max="6479" width="10.85546875" bestFit="1" customWidth="1"/>
    <col min="6480" max="6481" width="7.5703125" bestFit="1" customWidth="1"/>
    <col min="6482" max="6483" width="10.42578125" bestFit="1" customWidth="1"/>
    <col min="6484" max="6484" width="11.5703125" bestFit="1" customWidth="1"/>
    <col min="6485" max="6485" width="5.28515625" bestFit="1" customWidth="1"/>
    <col min="6486" max="6486" width="10.28515625" bestFit="1" customWidth="1"/>
    <col min="6487" max="6487" width="10.42578125" bestFit="1" customWidth="1"/>
    <col min="6488" max="6488" width="11.5703125" bestFit="1" customWidth="1"/>
    <col min="6489" max="6489" width="5.28515625" bestFit="1" customWidth="1"/>
    <col min="6490" max="6492" width="11.5703125" bestFit="1" customWidth="1"/>
    <col min="6493" max="6493" width="5.28515625" bestFit="1" customWidth="1"/>
    <col min="6494" max="6495" width="10.42578125" bestFit="1" customWidth="1"/>
    <col min="6496" max="6496" width="11.5703125" bestFit="1" customWidth="1"/>
    <col min="6497" max="6497" width="5.28515625" bestFit="1" customWidth="1"/>
    <col min="6498" max="6498" width="14.28515625" bestFit="1" customWidth="1"/>
    <col min="6499" max="6499" width="13" bestFit="1" customWidth="1"/>
    <col min="6500" max="6500" width="11.5703125" bestFit="1" customWidth="1"/>
    <col min="6501" max="6501" width="8.85546875" bestFit="1" customWidth="1"/>
    <col min="6502" max="6502" width="14.42578125" bestFit="1" customWidth="1"/>
    <col min="6503" max="6503" width="10.42578125" bestFit="1" customWidth="1"/>
    <col min="6504" max="6504" width="12.28515625" bestFit="1" customWidth="1"/>
    <col min="6505" max="6505" width="13.85546875" bestFit="1" customWidth="1"/>
    <col min="6506" max="6506" width="11.28515625" customWidth="1"/>
    <col min="6507" max="6507" width="11.5703125" customWidth="1"/>
    <col min="6508" max="6508" width="13.42578125" bestFit="1" customWidth="1"/>
    <col min="6509" max="6509" width="10.42578125" customWidth="1"/>
    <col min="6510" max="6510" width="13.85546875" bestFit="1" customWidth="1"/>
    <col min="6511" max="6511" width="15.42578125" bestFit="1" customWidth="1"/>
    <col min="6512" max="6512" width="12.28515625" bestFit="1" customWidth="1"/>
    <col min="6513" max="6513" width="12.7109375" customWidth="1"/>
    <col min="6514" max="6514" width="10.7109375" bestFit="1" customWidth="1"/>
    <col min="6515" max="6515" width="9.85546875" customWidth="1"/>
    <col min="6516" max="6517" width="10.140625" bestFit="1" customWidth="1"/>
    <col min="6518" max="6518" width="7.5703125" bestFit="1" customWidth="1"/>
    <col min="6519" max="6519" width="9.42578125" bestFit="1" customWidth="1"/>
    <col min="6520" max="6520" width="14.5703125" bestFit="1" customWidth="1"/>
    <col min="6521" max="6521" width="14.85546875" customWidth="1"/>
    <col min="6522" max="6522" width="15.140625" bestFit="1" customWidth="1"/>
    <col min="6523" max="6523" width="12.140625" bestFit="1" customWidth="1"/>
    <col min="6524" max="6524" width="14.85546875" bestFit="1" customWidth="1"/>
    <col min="6525" max="6525" width="12.28515625" bestFit="1" customWidth="1"/>
    <col min="6526" max="6534" width="9.140625" hidden="1" customWidth="1"/>
    <col min="6535" max="6535" width="5.28515625" bestFit="1" customWidth="1"/>
    <col min="6536" max="6541" width="11.5703125" bestFit="1" customWidth="1"/>
    <col min="6542" max="6542" width="11.28515625" bestFit="1" customWidth="1"/>
    <col min="6543" max="6543" width="10.140625" bestFit="1" customWidth="1"/>
    <col min="6544" max="6544" width="11.5703125" bestFit="1" customWidth="1"/>
    <col min="6545" max="6545" width="16.140625" customWidth="1"/>
    <col min="6546" max="6546" width="13.42578125" customWidth="1"/>
    <col min="6547" max="6547" width="10.140625" bestFit="1" customWidth="1"/>
    <col min="6548" max="6548" width="12.85546875" bestFit="1" customWidth="1"/>
    <col min="6549" max="6549" width="12.28515625" bestFit="1" customWidth="1"/>
    <col min="6550" max="6550" width="11.28515625" bestFit="1" customWidth="1"/>
    <col min="6551" max="6551" width="11.5703125" bestFit="1" customWidth="1"/>
    <col min="6552" max="6552" width="10.85546875" bestFit="1" customWidth="1"/>
    <col min="6553" max="6553" width="11.28515625" bestFit="1" customWidth="1"/>
    <col min="6554" max="6554" width="10.140625" bestFit="1" customWidth="1"/>
    <col min="6555" max="6555" width="13.28515625" bestFit="1" customWidth="1"/>
    <col min="6556" max="6557" width="12.7109375" bestFit="1" customWidth="1"/>
    <col min="6558" max="6558" width="11" bestFit="1" customWidth="1"/>
    <col min="6559" max="6559" width="11.28515625" bestFit="1" customWidth="1"/>
    <col min="6560" max="6560" width="11.5703125" bestFit="1" customWidth="1"/>
    <col min="6561" max="6561" width="12.28515625" bestFit="1" customWidth="1"/>
    <col min="6562" max="6562" width="15.140625" bestFit="1" customWidth="1"/>
    <col min="6563" max="6563" width="14.42578125" bestFit="1" customWidth="1"/>
    <col min="6564" max="6564" width="12.28515625" bestFit="1" customWidth="1"/>
    <col min="6565" max="6565" width="15.140625" bestFit="1" customWidth="1"/>
    <col min="6566" max="6566" width="14.42578125" bestFit="1" customWidth="1"/>
    <col min="6567" max="6567" width="12.28515625" bestFit="1" customWidth="1"/>
    <col min="6568" max="6568" width="14.42578125" bestFit="1" customWidth="1"/>
    <col min="6569" max="6569" width="11.28515625" bestFit="1" customWidth="1"/>
    <col min="6570" max="6570" width="12.28515625" bestFit="1" customWidth="1"/>
    <col min="6571" max="6571" width="13" bestFit="1" customWidth="1"/>
    <col min="6572" max="6572" width="15.140625" bestFit="1" customWidth="1"/>
    <col min="6573" max="6573" width="12.28515625" bestFit="1" customWidth="1"/>
    <col min="6574" max="6574" width="13.85546875" bestFit="1" customWidth="1"/>
    <col min="6575" max="6575" width="11.28515625" bestFit="1" customWidth="1"/>
    <col min="6576" max="6576" width="12.28515625" bestFit="1" customWidth="1"/>
    <col min="6577" max="6577" width="13.85546875" bestFit="1" customWidth="1"/>
    <col min="6578" max="6579" width="15.140625" bestFit="1" customWidth="1"/>
    <col min="6580" max="6580" width="12.28515625" bestFit="1" customWidth="1"/>
    <col min="6581" max="6581" width="5.7109375" bestFit="1" customWidth="1"/>
    <col min="6582" max="6582" width="8.5703125" bestFit="1" customWidth="1"/>
    <col min="6583" max="6583" width="5.5703125" bestFit="1" customWidth="1"/>
    <col min="6584" max="6584" width="14.42578125" bestFit="1" customWidth="1"/>
    <col min="6585" max="6585" width="11.28515625" bestFit="1" customWidth="1"/>
    <col min="6586" max="6587" width="12.28515625" bestFit="1" customWidth="1"/>
    <col min="6588" max="6588" width="11.28515625" bestFit="1" customWidth="1"/>
    <col min="6589" max="6589" width="13.85546875" bestFit="1" customWidth="1"/>
    <col min="6590" max="6590" width="12" bestFit="1" customWidth="1"/>
    <col min="6591" max="6591" width="13.85546875" bestFit="1" customWidth="1"/>
    <col min="6592" max="6593" width="14.42578125" customWidth="1"/>
    <col min="6594" max="6594" width="10.140625" bestFit="1" customWidth="1"/>
    <col min="6595" max="6595" width="12.28515625" bestFit="1" customWidth="1"/>
    <col min="6596" max="6596" width="7.42578125" bestFit="1" customWidth="1"/>
    <col min="6597" max="6597" width="8.5703125" bestFit="1" customWidth="1"/>
    <col min="6598" max="6598" width="11.5703125" bestFit="1" customWidth="1"/>
    <col min="6599" max="6599" width="13.28515625" bestFit="1" customWidth="1"/>
    <col min="6600" max="6600" width="13.28515625" customWidth="1"/>
    <col min="6601" max="6601" width="13.140625" customWidth="1"/>
    <col min="6602" max="6602" width="12.7109375" bestFit="1" customWidth="1"/>
    <col min="6603" max="6603" width="13.28515625" bestFit="1" customWidth="1"/>
    <col min="6604" max="6606" width="13.28515625" customWidth="1"/>
    <col min="6607" max="6607" width="12.140625" bestFit="1" customWidth="1"/>
    <col min="6608" max="6608" width="12.7109375" bestFit="1" customWidth="1"/>
    <col min="6609" max="6609" width="11" customWidth="1"/>
    <col min="6610" max="6610" width="16.7109375" customWidth="1"/>
    <col min="6611" max="6611" width="17" customWidth="1"/>
    <col min="6612" max="6612" width="10.42578125" bestFit="1" customWidth="1"/>
    <col min="6656" max="6656" width="3.85546875" customWidth="1"/>
    <col min="6657" max="6657" width="15.28515625" bestFit="1" customWidth="1"/>
    <col min="6658" max="6658" width="12.28515625" customWidth="1"/>
    <col min="6659" max="6659" width="16.28515625" bestFit="1" customWidth="1"/>
    <col min="6660" max="6660" width="6.42578125" bestFit="1" customWidth="1"/>
    <col min="6661" max="6661" width="9.28515625" bestFit="1" customWidth="1"/>
    <col min="6662" max="6662" width="7.5703125" bestFit="1" customWidth="1"/>
    <col min="6663" max="6663" width="13.28515625" bestFit="1" customWidth="1"/>
    <col min="6664" max="6664" width="9.28515625" bestFit="1" customWidth="1"/>
    <col min="6665" max="6665" width="11.5703125" bestFit="1" customWidth="1"/>
    <col min="6666" max="6666" width="13.28515625" bestFit="1" customWidth="1"/>
    <col min="6667" max="6667" width="7.140625" bestFit="1" customWidth="1"/>
    <col min="6668" max="6668" width="12" bestFit="1" customWidth="1"/>
    <col min="6669" max="6669" width="13.28515625" bestFit="1" customWidth="1"/>
    <col min="6670" max="6670" width="7" bestFit="1" customWidth="1"/>
    <col min="6671" max="6671" width="12.7109375" bestFit="1" customWidth="1"/>
    <col min="6672" max="6672" width="11.5703125" bestFit="1" customWidth="1"/>
    <col min="6673" max="6673" width="10.5703125" bestFit="1" customWidth="1"/>
    <col min="6674" max="6675" width="15.7109375" bestFit="1" customWidth="1"/>
    <col min="6676" max="6676" width="11.5703125" bestFit="1" customWidth="1"/>
    <col min="6677" max="6677" width="7.7109375" bestFit="1" customWidth="1"/>
    <col min="6678" max="6678" width="15.140625" bestFit="1" customWidth="1"/>
    <col min="6679" max="6679" width="11.5703125" bestFit="1" customWidth="1"/>
    <col min="6680" max="6680" width="13.28515625" bestFit="1" customWidth="1"/>
    <col min="6681" max="6681" width="10.42578125" bestFit="1" customWidth="1"/>
    <col min="6682" max="6682" width="13.28515625" bestFit="1" customWidth="1"/>
    <col min="6683" max="6683" width="12.140625" bestFit="1" customWidth="1"/>
    <col min="6684" max="6684" width="14.42578125" bestFit="1" customWidth="1"/>
    <col min="6685" max="6685" width="13.28515625" bestFit="1" customWidth="1"/>
    <col min="6686" max="6686" width="11.5703125" bestFit="1" customWidth="1"/>
    <col min="6687" max="6687" width="7.7109375" bestFit="1" customWidth="1"/>
    <col min="6688" max="6689" width="14.42578125" bestFit="1" customWidth="1"/>
    <col min="6690" max="6690" width="11.5703125" bestFit="1" customWidth="1"/>
    <col min="6691" max="6691" width="7.7109375" bestFit="1" customWidth="1"/>
    <col min="6692" max="6692" width="13.5703125" customWidth="1"/>
    <col min="6693" max="6693" width="15.28515625" customWidth="1"/>
    <col min="6694" max="6694" width="14.5703125" customWidth="1"/>
    <col min="6695" max="6695" width="13.28515625" bestFit="1" customWidth="1"/>
    <col min="6696" max="6696" width="7.7109375" bestFit="1" customWidth="1"/>
    <col min="6697" max="6697" width="12.7109375" bestFit="1" customWidth="1"/>
    <col min="6698" max="6698" width="11.7109375" bestFit="1" customWidth="1"/>
    <col min="6699" max="6699" width="11.5703125" bestFit="1" customWidth="1"/>
    <col min="6700" max="6700" width="5.28515625" bestFit="1" customWidth="1"/>
    <col min="6701" max="6701" width="13.28515625" bestFit="1" customWidth="1"/>
    <col min="6702" max="6702" width="13.5703125" bestFit="1" customWidth="1"/>
    <col min="6703" max="6703" width="10.5703125" bestFit="1" customWidth="1"/>
    <col min="6704" max="6704" width="13.28515625" bestFit="1" customWidth="1"/>
    <col min="6705" max="6705" width="11.5703125" bestFit="1" customWidth="1"/>
    <col min="6706" max="6706" width="10.5703125" bestFit="1" customWidth="1"/>
    <col min="6707" max="6707" width="16.140625" bestFit="1" customWidth="1"/>
    <col min="6708" max="6709" width="11.28515625" bestFit="1" customWidth="1"/>
    <col min="6710" max="6710" width="13.28515625" bestFit="1" customWidth="1"/>
    <col min="6711" max="6711" width="7.7109375" bestFit="1" customWidth="1"/>
    <col min="6712" max="6715" width="9.140625" hidden="1" customWidth="1"/>
    <col min="6716" max="6716" width="10.42578125" bestFit="1" customWidth="1"/>
    <col min="6717" max="6717" width="10.5703125" bestFit="1" customWidth="1"/>
    <col min="6718" max="6718" width="10.42578125" bestFit="1" customWidth="1"/>
    <col min="6719" max="6719" width="10.5703125" bestFit="1" customWidth="1"/>
    <col min="6720" max="6720" width="9.5703125" bestFit="1" customWidth="1"/>
    <col min="6721" max="6721" width="11.5703125" bestFit="1" customWidth="1"/>
    <col min="6722" max="6722" width="10.42578125" bestFit="1" customWidth="1"/>
    <col min="6723" max="6723" width="10.85546875" customWidth="1"/>
    <col min="6724" max="6725" width="9.85546875" bestFit="1" customWidth="1"/>
    <col min="6726" max="6726" width="13.5703125" bestFit="1" customWidth="1"/>
    <col min="6727" max="6727" width="7.7109375" bestFit="1" customWidth="1"/>
    <col min="6728" max="6728" width="13.28515625" bestFit="1" customWidth="1"/>
    <col min="6729" max="6729" width="11.5703125" bestFit="1" customWidth="1"/>
    <col min="6730" max="6730" width="10.42578125" bestFit="1" customWidth="1"/>
    <col min="6731" max="6731" width="7.7109375" bestFit="1" customWidth="1"/>
    <col min="6732" max="6732" width="11.5703125" bestFit="1" customWidth="1"/>
    <col min="6733" max="6733" width="10.85546875" bestFit="1" customWidth="1"/>
    <col min="6734" max="6734" width="13.28515625" bestFit="1" customWidth="1"/>
    <col min="6735" max="6735" width="10.85546875" bestFit="1" customWidth="1"/>
    <col min="6736" max="6737" width="7.5703125" bestFit="1" customWidth="1"/>
    <col min="6738" max="6739" width="10.42578125" bestFit="1" customWidth="1"/>
    <col min="6740" max="6740" width="11.5703125" bestFit="1" customWidth="1"/>
    <col min="6741" max="6741" width="5.28515625" bestFit="1" customWidth="1"/>
    <col min="6742" max="6742" width="10.28515625" bestFit="1" customWidth="1"/>
    <col min="6743" max="6743" width="10.42578125" bestFit="1" customWidth="1"/>
    <col min="6744" max="6744" width="11.5703125" bestFit="1" customWidth="1"/>
    <col min="6745" max="6745" width="5.28515625" bestFit="1" customWidth="1"/>
    <col min="6746" max="6748" width="11.5703125" bestFit="1" customWidth="1"/>
    <col min="6749" max="6749" width="5.28515625" bestFit="1" customWidth="1"/>
    <col min="6750" max="6751" width="10.42578125" bestFit="1" customWidth="1"/>
    <col min="6752" max="6752" width="11.5703125" bestFit="1" customWidth="1"/>
    <col min="6753" max="6753" width="5.28515625" bestFit="1" customWidth="1"/>
    <col min="6754" max="6754" width="14.28515625" bestFit="1" customWidth="1"/>
    <col min="6755" max="6755" width="13" bestFit="1" customWidth="1"/>
    <col min="6756" max="6756" width="11.5703125" bestFit="1" customWidth="1"/>
    <col min="6757" max="6757" width="8.85546875" bestFit="1" customWidth="1"/>
    <col min="6758" max="6758" width="14.42578125" bestFit="1" customWidth="1"/>
    <col min="6759" max="6759" width="10.42578125" bestFit="1" customWidth="1"/>
    <col min="6760" max="6760" width="12.28515625" bestFit="1" customWidth="1"/>
    <col min="6761" max="6761" width="13.85546875" bestFit="1" customWidth="1"/>
    <col min="6762" max="6762" width="11.28515625" customWidth="1"/>
    <col min="6763" max="6763" width="11.5703125" customWidth="1"/>
    <col min="6764" max="6764" width="13.42578125" bestFit="1" customWidth="1"/>
    <col min="6765" max="6765" width="10.42578125" customWidth="1"/>
    <col min="6766" max="6766" width="13.85546875" bestFit="1" customWidth="1"/>
    <col min="6767" max="6767" width="15.42578125" bestFit="1" customWidth="1"/>
    <col min="6768" max="6768" width="12.28515625" bestFit="1" customWidth="1"/>
    <col min="6769" max="6769" width="12.7109375" customWidth="1"/>
    <col min="6770" max="6770" width="10.7109375" bestFit="1" customWidth="1"/>
    <col min="6771" max="6771" width="9.85546875" customWidth="1"/>
    <col min="6772" max="6773" width="10.140625" bestFit="1" customWidth="1"/>
    <col min="6774" max="6774" width="7.5703125" bestFit="1" customWidth="1"/>
    <col min="6775" max="6775" width="9.42578125" bestFit="1" customWidth="1"/>
    <col min="6776" max="6776" width="14.5703125" bestFit="1" customWidth="1"/>
    <col min="6777" max="6777" width="14.85546875" customWidth="1"/>
    <col min="6778" max="6778" width="15.140625" bestFit="1" customWidth="1"/>
    <col min="6779" max="6779" width="12.140625" bestFit="1" customWidth="1"/>
    <col min="6780" max="6780" width="14.85546875" bestFit="1" customWidth="1"/>
    <col min="6781" max="6781" width="12.28515625" bestFit="1" customWidth="1"/>
    <col min="6782" max="6790" width="9.140625" hidden="1" customWidth="1"/>
    <col min="6791" max="6791" width="5.28515625" bestFit="1" customWidth="1"/>
    <col min="6792" max="6797" width="11.5703125" bestFit="1" customWidth="1"/>
    <col min="6798" max="6798" width="11.28515625" bestFit="1" customWidth="1"/>
    <col min="6799" max="6799" width="10.140625" bestFit="1" customWidth="1"/>
    <col min="6800" max="6800" width="11.5703125" bestFit="1" customWidth="1"/>
    <col min="6801" max="6801" width="16.140625" customWidth="1"/>
    <col min="6802" max="6802" width="13.42578125" customWidth="1"/>
    <col min="6803" max="6803" width="10.140625" bestFit="1" customWidth="1"/>
    <col min="6804" max="6804" width="12.85546875" bestFit="1" customWidth="1"/>
    <col min="6805" max="6805" width="12.28515625" bestFit="1" customWidth="1"/>
    <col min="6806" max="6806" width="11.28515625" bestFit="1" customWidth="1"/>
    <col min="6807" max="6807" width="11.5703125" bestFit="1" customWidth="1"/>
    <col min="6808" max="6808" width="10.85546875" bestFit="1" customWidth="1"/>
    <col min="6809" max="6809" width="11.28515625" bestFit="1" customWidth="1"/>
    <col min="6810" max="6810" width="10.140625" bestFit="1" customWidth="1"/>
    <col min="6811" max="6811" width="13.28515625" bestFit="1" customWidth="1"/>
    <col min="6812" max="6813" width="12.7109375" bestFit="1" customWidth="1"/>
    <col min="6814" max="6814" width="11" bestFit="1" customWidth="1"/>
    <col min="6815" max="6815" width="11.28515625" bestFit="1" customWidth="1"/>
    <col min="6816" max="6816" width="11.5703125" bestFit="1" customWidth="1"/>
    <col min="6817" max="6817" width="12.28515625" bestFit="1" customWidth="1"/>
    <col min="6818" max="6818" width="15.140625" bestFit="1" customWidth="1"/>
    <col min="6819" max="6819" width="14.42578125" bestFit="1" customWidth="1"/>
    <col min="6820" max="6820" width="12.28515625" bestFit="1" customWidth="1"/>
    <col min="6821" max="6821" width="15.140625" bestFit="1" customWidth="1"/>
    <col min="6822" max="6822" width="14.42578125" bestFit="1" customWidth="1"/>
    <col min="6823" max="6823" width="12.28515625" bestFit="1" customWidth="1"/>
    <col min="6824" max="6824" width="14.42578125" bestFit="1" customWidth="1"/>
    <col min="6825" max="6825" width="11.28515625" bestFit="1" customWidth="1"/>
    <col min="6826" max="6826" width="12.28515625" bestFit="1" customWidth="1"/>
    <col min="6827" max="6827" width="13" bestFit="1" customWidth="1"/>
    <col min="6828" max="6828" width="15.140625" bestFit="1" customWidth="1"/>
    <col min="6829" max="6829" width="12.28515625" bestFit="1" customWidth="1"/>
    <col min="6830" max="6830" width="13.85546875" bestFit="1" customWidth="1"/>
    <col min="6831" max="6831" width="11.28515625" bestFit="1" customWidth="1"/>
    <col min="6832" max="6832" width="12.28515625" bestFit="1" customWidth="1"/>
    <col min="6833" max="6833" width="13.85546875" bestFit="1" customWidth="1"/>
    <col min="6834" max="6835" width="15.140625" bestFit="1" customWidth="1"/>
    <col min="6836" max="6836" width="12.28515625" bestFit="1" customWidth="1"/>
    <col min="6837" max="6837" width="5.7109375" bestFit="1" customWidth="1"/>
    <col min="6838" max="6838" width="8.5703125" bestFit="1" customWidth="1"/>
    <col min="6839" max="6839" width="5.5703125" bestFit="1" customWidth="1"/>
    <col min="6840" max="6840" width="14.42578125" bestFit="1" customWidth="1"/>
    <col min="6841" max="6841" width="11.28515625" bestFit="1" customWidth="1"/>
    <col min="6842" max="6843" width="12.28515625" bestFit="1" customWidth="1"/>
    <col min="6844" max="6844" width="11.28515625" bestFit="1" customWidth="1"/>
    <col min="6845" max="6845" width="13.85546875" bestFit="1" customWidth="1"/>
    <col min="6846" max="6846" width="12" bestFit="1" customWidth="1"/>
    <col min="6847" max="6847" width="13.85546875" bestFit="1" customWidth="1"/>
    <col min="6848" max="6849" width="14.42578125" customWidth="1"/>
    <col min="6850" max="6850" width="10.140625" bestFit="1" customWidth="1"/>
    <col min="6851" max="6851" width="12.28515625" bestFit="1" customWidth="1"/>
    <col min="6852" max="6852" width="7.42578125" bestFit="1" customWidth="1"/>
    <col min="6853" max="6853" width="8.5703125" bestFit="1" customWidth="1"/>
    <col min="6854" max="6854" width="11.5703125" bestFit="1" customWidth="1"/>
    <col min="6855" max="6855" width="13.28515625" bestFit="1" customWidth="1"/>
    <col min="6856" max="6856" width="13.28515625" customWidth="1"/>
    <col min="6857" max="6857" width="13.140625" customWidth="1"/>
    <col min="6858" max="6858" width="12.7109375" bestFit="1" customWidth="1"/>
    <col min="6859" max="6859" width="13.28515625" bestFit="1" customWidth="1"/>
    <col min="6860" max="6862" width="13.28515625" customWidth="1"/>
    <col min="6863" max="6863" width="12.140625" bestFit="1" customWidth="1"/>
    <col min="6864" max="6864" width="12.7109375" bestFit="1" customWidth="1"/>
    <col min="6865" max="6865" width="11" customWidth="1"/>
    <col min="6866" max="6866" width="16.7109375" customWidth="1"/>
    <col min="6867" max="6867" width="17" customWidth="1"/>
    <col min="6868" max="6868" width="10.42578125" bestFit="1" customWidth="1"/>
    <col min="6912" max="6912" width="3.85546875" customWidth="1"/>
    <col min="6913" max="6913" width="15.28515625" bestFit="1" customWidth="1"/>
    <col min="6914" max="6914" width="12.28515625" customWidth="1"/>
    <col min="6915" max="6915" width="16.28515625" bestFit="1" customWidth="1"/>
    <col min="6916" max="6916" width="6.42578125" bestFit="1" customWidth="1"/>
    <col min="6917" max="6917" width="9.28515625" bestFit="1" customWidth="1"/>
    <col min="6918" max="6918" width="7.5703125" bestFit="1" customWidth="1"/>
    <col min="6919" max="6919" width="13.28515625" bestFit="1" customWidth="1"/>
    <col min="6920" max="6920" width="9.28515625" bestFit="1" customWidth="1"/>
    <col min="6921" max="6921" width="11.5703125" bestFit="1" customWidth="1"/>
    <col min="6922" max="6922" width="13.28515625" bestFit="1" customWidth="1"/>
    <col min="6923" max="6923" width="7.140625" bestFit="1" customWidth="1"/>
    <col min="6924" max="6924" width="12" bestFit="1" customWidth="1"/>
    <col min="6925" max="6925" width="13.28515625" bestFit="1" customWidth="1"/>
    <col min="6926" max="6926" width="7" bestFit="1" customWidth="1"/>
    <col min="6927" max="6927" width="12.7109375" bestFit="1" customWidth="1"/>
    <col min="6928" max="6928" width="11.5703125" bestFit="1" customWidth="1"/>
    <col min="6929" max="6929" width="10.5703125" bestFit="1" customWidth="1"/>
    <col min="6930" max="6931" width="15.7109375" bestFit="1" customWidth="1"/>
    <col min="6932" max="6932" width="11.5703125" bestFit="1" customWidth="1"/>
    <col min="6933" max="6933" width="7.7109375" bestFit="1" customWidth="1"/>
    <col min="6934" max="6934" width="15.140625" bestFit="1" customWidth="1"/>
    <col min="6935" max="6935" width="11.5703125" bestFit="1" customWidth="1"/>
    <col min="6936" max="6936" width="13.28515625" bestFit="1" customWidth="1"/>
    <col min="6937" max="6937" width="10.42578125" bestFit="1" customWidth="1"/>
    <col min="6938" max="6938" width="13.28515625" bestFit="1" customWidth="1"/>
    <col min="6939" max="6939" width="12.140625" bestFit="1" customWidth="1"/>
    <col min="6940" max="6940" width="14.42578125" bestFit="1" customWidth="1"/>
    <col min="6941" max="6941" width="13.28515625" bestFit="1" customWidth="1"/>
    <col min="6942" max="6942" width="11.5703125" bestFit="1" customWidth="1"/>
    <col min="6943" max="6943" width="7.7109375" bestFit="1" customWidth="1"/>
    <col min="6944" max="6945" width="14.42578125" bestFit="1" customWidth="1"/>
    <col min="6946" max="6946" width="11.5703125" bestFit="1" customWidth="1"/>
    <col min="6947" max="6947" width="7.7109375" bestFit="1" customWidth="1"/>
    <col min="6948" max="6948" width="13.5703125" customWidth="1"/>
    <col min="6949" max="6949" width="15.28515625" customWidth="1"/>
    <col min="6950" max="6950" width="14.5703125" customWidth="1"/>
    <col min="6951" max="6951" width="13.28515625" bestFit="1" customWidth="1"/>
    <col min="6952" max="6952" width="7.7109375" bestFit="1" customWidth="1"/>
    <col min="6953" max="6953" width="12.7109375" bestFit="1" customWidth="1"/>
    <col min="6954" max="6954" width="11.7109375" bestFit="1" customWidth="1"/>
    <col min="6955" max="6955" width="11.5703125" bestFit="1" customWidth="1"/>
    <col min="6956" max="6956" width="5.28515625" bestFit="1" customWidth="1"/>
    <col min="6957" max="6957" width="13.28515625" bestFit="1" customWidth="1"/>
    <col min="6958" max="6958" width="13.5703125" bestFit="1" customWidth="1"/>
    <col min="6959" max="6959" width="10.5703125" bestFit="1" customWidth="1"/>
    <col min="6960" max="6960" width="13.28515625" bestFit="1" customWidth="1"/>
    <col min="6961" max="6961" width="11.5703125" bestFit="1" customWidth="1"/>
    <col min="6962" max="6962" width="10.5703125" bestFit="1" customWidth="1"/>
    <col min="6963" max="6963" width="16.140625" bestFit="1" customWidth="1"/>
    <col min="6964" max="6965" width="11.28515625" bestFit="1" customWidth="1"/>
    <col min="6966" max="6966" width="13.28515625" bestFit="1" customWidth="1"/>
    <col min="6967" max="6967" width="7.7109375" bestFit="1" customWidth="1"/>
    <col min="6968" max="6971" width="9.140625" hidden="1" customWidth="1"/>
    <col min="6972" max="6972" width="10.42578125" bestFit="1" customWidth="1"/>
    <col min="6973" max="6973" width="10.5703125" bestFit="1" customWidth="1"/>
    <col min="6974" max="6974" width="10.42578125" bestFit="1" customWidth="1"/>
    <col min="6975" max="6975" width="10.5703125" bestFit="1" customWidth="1"/>
    <col min="6976" max="6976" width="9.5703125" bestFit="1" customWidth="1"/>
    <col min="6977" max="6977" width="11.5703125" bestFit="1" customWidth="1"/>
    <col min="6978" max="6978" width="10.42578125" bestFit="1" customWidth="1"/>
    <col min="6979" max="6979" width="10.85546875" customWidth="1"/>
    <col min="6980" max="6981" width="9.85546875" bestFit="1" customWidth="1"/>
    <col min="6982" max="6982" width="13.5703125" bestFit="1" customWidth="1"/>
    <col min="6983" max="6983" width="7.7109375" bestFit="1" customWidth="1"/>
    <col min="6984" max="6984" width="13.28515625" bestFit="1" customWidth="1"/>
    <col min="6985" max="6985" width="11.5703125" bestFit="1" customWidth="1"/>
    <col min="6986" max="6986" width="10.42578125" bestFit="1" customWidth="1"/>
    <col min="6987" max="6987" width="7.7109375" bestFit="1" customWidth="1"/>
    <col min="6988" max="6988" width="11.5703125" bestFit="1" customWidth="1"/>
    <col min="6989" max="6989" width="10.85546875" bestFit="1" customWidth="1"/>
    <col min="6990" max="6990" width="13.28515625" bestFit="1" customWidth="1"/>
    <col min="6991" max="6991" width="10.85546875" bestFit="1" customWidth="1"/>
    <col min="6992" max="6993" width="7.5703125" bestFit="1" customWidth="1"/>
    <col min="6994" max="6995" width="10.42578125" bestFit="1" customWidth="1"/>
    <col min="6996" max="6996" width="11.5703125" bestFit="1" customWidth="1"/>
    <col min="6997" max="6997" width="5.28515625" bestFit="1" customWidth="1"/>
    <col min="6998" max="6998" width="10.28515625" bestFit="1" customWidth="1"/>
    <col min="6999" max="6999" width="10.42578125" bestFit="1" customWidth="1"/>
    <col min="7000" max="7000" width="11.5703125" bestFit="1" customWidth="1"/>
    <col min="7001" max="7001" width="5.28515625" bestFit="1" customWidth="1"/>
    <col min="7002" max="7004" width="11.5703125" bestFit="1" customWidth="1"/>
    <col min="7005" max="7005" width="5.28515625" bestFit="1" customWidth="1"/>
    <col min="7006" max="7007" width="10.42578125" bestFit="1" customWidth="1"/>
    <col min="7008" max="7008" width="11.5703125" bestFit="1" customWidth="1"/>
    <col min="7009" max="7009" width="5.28515625" bestFit="1" customWidth="1"/>
    <col min="7010" max="7010" width="14.28515625" bestFit="1" customWidth="1"/>
    <col min="7011" max="7011" width="13" bestFit="1" customWidth="1"/>
    <col min="7012" max="7012" width="11.5703125" bestFit="1" customWidth="1"/>
    <col min="7013" max="7013" width="8.85546875" bestFit="1" customWidth="1"/>
    <col min="7014" max="7014" width="14.42578125" bestFit="1" customWidth="1"/>
    <col min="7015" max="7015" width="10.42578125" bestFit="1" customWidth="1"/>
    <col min="7016" max="7016" width="12.28515625" bestFit="1" customWidth="1"/>
    <col min="7017" max="7017" width="13.85546875" bestFit="1" customWidth="1"/>
    <col min="7018" max="7018" width="11.28515625" customWidth="1"/>
    <col min="7019" max="7019" width="11.5703125" customWidth="1"/>
    <col min="7020" max="7020" width="13.42578125" bestFit="1" customWidth="1"/>
    <col min="7021" max="7021" width="10.42578125" customWidth="1"/>
    <col min="7022" max="7022" width="13.85546875" bestFit="1" customWidth="1"/>
    <col min="7023" max="7023" width="15.42578125" bestFit="1" customWidth="1"/>
    <col min="7024" max="7024" width="12.28515625" bestFit="1" customWidth="1"/>
    <col min="7025" max="7025" width="12.7109375" customWidth="1"/>
    <col min="7026" max="7026" width="10.7109375" bestFit="1" customWidth="1"/>
    <col min="7027" max="7027" width="9.85546875" customWidth="1"/>
    <col min="7028" max="7029" width="10.140625" bestFit="1" customWidth="1"/>
    <col min="7030" max="7030" width="7.5703125" bestFit="1" customWidth="1"/>
    <col min="7031" max="7031" width="9.42578125" bestFit="1" customWidth="1"/>
    <col min="7032" max="7032" width="14.5703125" bestFit="1" customWidth="1"/>
    <col min="7033" max="7033" width="14.85546875" customWidth="1"/>
    <col min="7034" max="7034" width="15.140625" bestFit="1" customWidth="1"/>
    <col min="7035" max="7035" width="12.140625" bestFit="1" customWidth="1"/>
    <col min="7036" max="7036" width="14.85546875" bestFit="1" customWidth="1"/>
    <col min="7037" max="7037" width="12.28515625" bestFit="1" customWidth="1"/>
    <col min="7038" max="7046" width="9.140625" hidden="1" customWidth="1"/>
    <col min="7047" max="7047" width="5.28515625" bestFit="1" customWidth="1"/>
    <col min="7048" max="7053" width="11.5703125" bestFit="1" customWidth="1"/>
    <col min="7054" max="7054" width="11.28515625" bestFit="1" customWidth="1"/>
    <col min="7055" max="7055" width="10.140625" bestFit="1" customWidth="1"/>
    <col min="7056" max="7056" width="11.5703125" bestFit="1" customWidth="1"/>
    <col min="7057" max="7057" width="16.140625" customWidth="1"/>
    <col min="7058" max="7058" width="13.42578125" customWidth="1"/>
    <col min="7059" max="7059" width="10.140625" bestFit="1" customWidth="1"/>
    <col min="7060" max="7060" width="12.85546875" bestFit="1" customWidth="1"/>
    <col min="7061" max="7061" width="12.28515625" bestFit="1" customWidth="1"/>
    <col min="7062" max="7062" width="11.28515625" bestFit="1" customWidth="1"/>
    <col min="7063" max="7063" width="11.5703125" bestFit="1" customWidth="1"/>
    <col min="7064" max="7064" width="10.85546875" bestFit="1" customWidth="1"/>
    <col min="7065" max="7065" width="11.28515625" bestFit="1" customWidth="1"/>
    <col min="7066" max="7066" width="10.140625" bestFit="1" customWidth="1"/>
    <col min="7067" max="7067" width="13.28515625" bestFit="1" customWidth="1"/>
    <col min="7068" max="7069" width="12.7109375" bestFit="1" customWidth="1"/>
    <col min="7070" max="7070" width="11" bestFit="1" customWidth="1"/>
    <col min="7071" max="7071" width="11.28515625" bestFit="1" customWidth="1"/>
    <col min="7072" max="7072" width="11.5703125" bestFit="1" customWidth="1"/>
    <col min="7073" max="7073" width="12.28515625" bestFit="1" customWidth="1"/>
    <col min="7074" max="7074" width="15.140625" bestFit="1" customWidth="1"/>
    <col min="7075" max="7075" width="14.42578125" bestFit="1" customWidth="1"/>
    <col min="7076" max="7076" width="12.28515625" bestFit="1" customWidth="1"/>
    <col min="7077" max="7077" width="15.140625" bestFit="1" customWidth="1"/>
    <col min="7078" max="7078" width="14.42578125" bestFit="1" customWidth="1"/>
    <col min="7079" max="7079" width="12.28515625" bestFit="1" customWidth="1"/>
    <col min="7080" max="7080" width="14.42578125" bestFit="1" customWidth="1"/>
    <col min="7081" max="7081" width="11.28515625" bestFit="1" customWidth="1"/>
    <col min="7082" max="7082" width="12.28515625" bestFit="1" customWidth="1"/>
    <col min="7083" max="7083" width="13" bestFit="1" customWidth="1"/>
    <col min="7084" max="7084" width="15.140625" bestFit="1" customWidth="1"/>
    <col min="7085" max="7085" width="12.28515625" bestFit="1" customWidth="1"/>
    <col min="7086" max="7086" width="13.85546875" bestFit="1" customWidth="1"/>
    <col min="7087" max="7087" width="11.28515625" bestFit="1" customWidth="1"/>
    <col min="7088" max="7088" width="12.28515625" bestFit="1" customWidth="1"/>
    <col min="7089" max="7089" width="13.85546875" bestFit="1" customWidth="1"/>
    <col min="7090" max="7091" width="15.140625" bestFit="1" customWidth="1"/>
    <col min="7092" max="7092" width="12.28515625" bestFit="1" customWidth="1"/>
    <col min="7093" max="7093" width="5.7109375" bestFit="1" customWidth="1"/>
    <col min="7094" max="7094" width="8.5703125" bestFit="1" customWidth="1"/>
    <col min="7095" max="7095" width="5.5703125" bestFit="1" customWidth="1"/>
    <col min="7096" max="7096" width="14.42578125" bestFit="1" customWidth="1"/>
    <col min="7097" max="7097" width="11.28515625" bestFit="1" customWidth="1"/>
    <col min="7098" max="7099" width="12.28515625" bestFit="1" customWidth="1"/>
    <col min="7100" max="7100" width="11.28515625" bestFit="1" customWidth="1"/>
    <col min="7101" max="7101" width="13.85546875" bestFit="1" customWidth="1"/>
    <col min="7102" max="7102" width="12" bestFit="1" customWidth="1"/>
    <col min="7103" max="7103" width="13.85546875" bestFit="1" customWidth="1"/>
    <col min="7104" max="7105" width="14.42578125" customWidth="1"/>
    <col min="7106" max="7106" width="10.140625" bestFit="1" customWidth="1"/>
    <col min="7107" max="7107" width="12.28515625" bestFit="1" customWidth="1"/>
    <col min="7108" max="7108" width="7.42578125" bestFit="1" customWidth="1"/>
    <col min="7109" max="7109" width="8.5703125" bestFit="1" customWidth="1"/>
    <col min="7110" max="7110" width="11.5703125" bestFit="1" customWidth="1"/>
    <col min="7111" max="7111" width="13.28515625" bestFit="1" customWidth="1"/>
    <col min="7112" max="7112" width="13.28515625" customWidth="1"/>
    <col min="7113" max="7113" width="13.140625" customWidth="1"/>
    <col min="7114" max="7114" width="12.7109375" bestFit="1" customWidth="1"/>
    <col min="7115" max="7115" width="13.28515625" bestFit="1" customWidth="1"/>
    <col min="7116" max="7118" width="13.28515625" customWidth="1"/>
    <col min="7119" max="7119" width="12.140625" bestFit="1" customWidth="1"/>
    <col min="7120" max="7120" width="12.7109375" bestFit="1" customWidth="1"/>
    <col min="7121" max="7121" width="11" customWidth="1"/>
    <col min="7122" max="7122" width="16.7109375" customWidth="1"/>
    <col min="7123" max="7123" width="17" customWidth="1"/>
    <col min="7124" max="7124" width="10.42578125" bestFit="1" customWidth="1"/>
    <col min="7168" max="7168" width="3.85546875" customWidth="1"/>
    <col min="7169" max="7169" width="15.28515625" bestFit="1" customWidth="1"/>
    <col min="7170" max="7170" width="12.28515625" customWidth="1"/>
    <col min="7171" max="7171" width="16.28515625" bestFit="1" customWidth="1"/>
    <col min="7172" max="7172" width="6.42578125" bestFit="1" customWidth="1"/>
    <col min="7173" max="7173" width="9.28515625" bestFit="1" customWidth="1"/>
    <col min="7174" max="7174" width="7.5703125" bestFit="1" customWidth="1"/>
    <col min="7175" max="7175" width="13.28515625" bestFit="1" customWidth="1"/>
    <col min="7176" max="7176" width="9.28515625" bestFit="1" customWidth="1"/>
    <col min="7177" max="7177" width="11.5703125" bestFit="1" customWidth="1"/>
    <col min="7178" max="7178" width="13.28515625" bestFit="1" customWidth="1"/>
    <col min="7179" max="7179" width="7.140625" bestFit="1" customWidth="1"/>
    <col min="7180" max="7180" width="12" bestFit="1" customWidth="1"/>
    <col min="7181" max="7181" width="13.28515625" bestFit="1" customWidth="1"/>
    <col min="7182" max="7182" width="7" bestFit="1" customWidth="1"/>
    <col min="7183" max="7183" width="12.7109375" bestFit="1" customWidth="1"/>
    <col min="7184" max="7184" width="11.5703125" bestFit="1" customWidth="1"/>
    <col min="7185" max="7185" width="10.5703125" bestFit="1" customWidth="1"/>
    <col min="7186" max="7187" width="15.7109375" bestFit="1" customWidth="1"/>
    <col min="7188" max="7188" width="11.5703125" bestFit="1" customWidth="1"/>
    <col min="7189" max="7189" width="7.7109375" bestFit="1" customWidth="1"/>
    <col min="7190" max="7190" width="15.140625" bestFit="1" customWidth="1"/>
    <col min="7191" max="7191" width="11.5703125" bestFit="1" customWidth="1"/>
    <col min="7192" max="7192" width="13.28515625" bestFit="1" customWidth="1"/>
    <col min="7193" max="7193" width="10.42578125" bestFit="1" customWidth="1"/>
    <col min="7194" max="7194" width="13.28515625" bestFit="1" customWidth="1"/>
    <col min="7195" max="7195" width="12.140625" bestFit="1" customWidth="1"/>
    <col min="7196" max="7196" width="14.42578125" bestFit="1" customWidth="1"/>
    <col min="7197" max="7197" width="13.28515625" bestFit="1" customWidth="1"/>
    <col min="7198" max="7198" width="11.5703125" bestFit="1" customWidth="1"/>
    <col min="7199" max="7199" width="7.7109375" bestFit="1" customWidth="1"/>
    <col min="7200" max="7201" width="14.42578125" bestFit="1" customWidth="1"/>
    <col min="7202" max="7202" width="11.5703125" bestFit="1" customWidth="1"/>
    <col min="7203" max="7203" width="7.7109375" bestFit="1" customWidth="1"/>
    <col min="7204" max="7204" width="13.5703125" customWidth="1"/>
    <col min="7205" max="7205" width="15.28515625" customWidth="1"/>
    <col min="7206" max="7206" width="14.5703125" customWidth="1"/>
    <col min="7207" max="7207" width="13.28515625" bestFit="1" customWidth="1"/>
    <col min="7208" max="7208" width="7.7109375" bestFit="1" customWidth="1"/>
    <col min="7209" max="7209" width="12.7109375" bestFit="1" customWidth="1"/>
    <col min="7210" max="7210" width="11.7109375" bestFit="1" customWidth="1"/>
    <col min="7211" max="7211" width="11.5703125" bestFit="1" customWidth="1"/>
    <col min="7212" max="7212" width="5.28515625" bestFit="1" customWidth="1"/>
    <col min="7213" max="7213" width="13.28515625" bestFit="1" customWidth="1"/>
    <col min="7214" max="7214" width="13.5703125" bestFit="1" customWidth="1"/>
    <col min="7215" max="7215" width="10.5703125" bestFit="1" customWidth="1"/>
    <col min="7216" max="7216" width="13.28515625" bestFit="1" customWidth="1"/>
    <col min="7217" max="7217" width="11.5703125" bestFit="1" customWidth="1"/>
    <col min="7218" max="7218" width="10.5703125" bestFit="1" customWidth="1"/>
    <col min="7219" max="7219" width="16.140625" bestFit="1" customWidth="1"/>
    <col min="7220" max="7221" width="11.28515625" bestFit="1" customWidth="1"/>
    <col min="7222" max="7222" width="13.28515625" bestFit="1" customWidth="1"/>
    <col min="7223" max="7223" width="7.7109375" bestFit="1" customWidth="1"/>
    <col min="7224" max="7227" width="9.140625" hidden="1" customWidth="1"/>
    <col min="7228" max="7228" width="10.42578125" bestFit="1" customWidth="1"/>
    <col min="7229" max="7229" width="10.5703125" bestFit="1" customWidth="1"/>
    <col min="7230" max="7230" width="10.42578125" bestFit="1" customWidth="1"/>
    <col min="7231" max="7231" width="10.5703125" bestFit="1" customWidth="1"/>
    <col min="7232" max="7232" width="9.5703125" bestFit="1" customWidth="1"/>
    <col min="7233" max="7233" width="11.5703125" bestFit="1" customWidth="1"/>
    <col min="7234" max="7234" width="10.42578125" bestFit="1" customWidth="1"/>
    <col min="7235" max="7235" width="10.85546875" customWidth="1"/>
    <col min="7236" max="7237" width="9.85546875" bestFit="1" customWidth="1"/>
    <col min="7238" max="7238" width="13.5703125" bestFit="1" customWidth="1"/>
    <col min="7239" max="7239" width="7.7109375" bestFit="1" customWidth="1"/>
    <col min="7240" max="7240" width="13.28515625" bestFit="1" customWidth="1"/>
    <col min="7241" max="7241" width="11.5703125" bestFit="1" customWidth="1"/>
    <col min="7242" max="7242" width="10.42578125" bestFit="1" customWidth="1"/>
    <col min="7243" max="7243" width="7.7109375" bestFit="1" customWidth="1"/>
    <col min="7244" max="7244" width="11.5703125" bestFit="1" customWidth="1"/>
    <col min="7245" max="7245" width="10.85546875" bestFit="1" customWidth="1"/>
    <col min="7246" max="7246" width="13.28515625" bestFit="1" customWidth="1"/>
    <col min="7247" max="7247" width="10.85546875" bestFit="1" customWidth="1"/>
    <col min="7248" max="7249" width="7.5703125" bestFit="1" customWidth="1"/>
    <col min="7250" max="7251" width="10.42578125" bestFit="1" customWidth="1"/>
    <col min="7252" max="7252" width="11.5703125" bestFit="1" customWidth="1"/>
    <col min="7253" max="7253" width="5.28515625" bestFit="1" customWidth="1"/>
    <col min="7254" max="7254" width="10.28515625" bestFit="1" customWidth="1"/>
    <col min="7255" max="7255" width="10.42578125" bestFit="1" customWidth="1"/>
    <col min="7256" max="7256" width="11.5703125" bestFit="1" customWidth="1"/>
    <col min="7257" max="7257" width="5.28515625" bestFit="1" customWidth="1"/>
    <col min="7258" max="7260" width="11.5703125" bestFit="1" customWidth="1"/>
    <col min="7261" max="7261" width="5.28515625" bestFit="1" customWidth="1"/>
    <col min="7262" max="7263" width="10.42578125" bestFit="1" customWidth="1"/>
    <col min="7264" max="7264" width="11.5703125" bestFit="1" customWidth="1"/>
    <col min="7265" max="7265" width="5.28515625" bestFit="1" customWidth="1"/>
    <col min="7266" max="7266" width="14.28515625" bestFit="1" customWidth="1"/>
    <col min="7267" max="7267" width="13" bestFit="1" customWidth="1"/>
    <col min="7268" max="7268" width="11.5703125" bestFit="1" customWidth="1"/>
    <col min="7269" max="7269" width="8.85546875" bestFit="1" customWidth="1"/>
    <col min="7270" max="7270" width="14.42578125" bestFit="1" customWidth="1"/>
    <col min="7271" max="7271" width="10.42578125" bestFit="1" customWidth="1"/>
    <col min="7272" max="7272" width="12.28515625" bestFit="1" customWidth="1"/>
    <col min="7273" max="7273" width="13.85546875" bestFit="1" customWidth="1"/>
    <col min="7274" max="7274" width="11.28515625" customWidth="1"/>
    <col min="7275" max="7275" width="11.5703125" customWidth="1"/>
    <col min="7276" max="7276" width="13.42578125" bestFit="1" customWidth="1"/>
    <col min="7277" max="7277" width="10.42578125" customWidth="1"/>
    <col min="7278" max="7278" width="13.85546875" bestFit="1" customWidth="1"/>
    <col min="7279" max="7279" width="15.42578125" bestFit="1" customWidth="1"/>
    <col min="7280" max="7280" width="12.28515625" bestFit="1" customWidth="1"/>
    <col min="7281" max="7281" width="12.7109375" customWidth="1"/>
    <col min="7282" max="7282" width="10.7109375" bestFit="1" customWidth="1"/>
    <col min="7283" max="7283" width="9.85546875" customWidth="1"/>
    <col min="7284" max="7285" width="10.140625" bestFit="1" customWidth="1"/>
    <col min="7286" max="7286" width="7.5703125" bestFit="1" customWidth="1"/>
    <col min="7287" max="7287" width="9.42578125" bestFit="1" customWidth="1"/>
    <col min="7288" max="7288" width="14.5703125" bestFit="1" customWidth="1"/>
    <col min="7289" max="7289" width="14.85546875" customWidth="1"/>
    <col min="7290" max="7290" width="15.140625" bestFit="1" customWidth="1"/>
    <col min="7291" max="7291" width="12.140625" bestFit="1" customWidth="1"/>
    <col min="7292" max="7292" width="14.85546875" bestFit="1" customWidth="1"/>
    <col min="7293" max="7293" width="12.28515625" bestFit="1" customWidth="1"/>
    <col min="7294" max="7302" width="9.140625" hidden="1" customWidth="1"/>
    <col min="7303" max="7303" width="5.28515625" bestFit="1" customWidth="1"/>
    <col min="7304" max="7309" width="11.5703125" bestFit="1" customWidth="1"/>
    <col min="7310" max="7310" width="11.28515625" bestFit="1" customWidth="1"/>
    <col min="7311" max="7311" width="10.140625" bestFit="1" customWidth="1"/>
    <col min="7312" max="7312" width="11.5703125" bestFit="1" customWidth="1"/>
    <col min="7313" max="7313" width="16.140625" customWidth="1"/>
    <col min="7314" max="7314" width="13.42578125" customWidth="1"/>
    <col min="7315" max="7315" width="10.140625" bestFit="1" customWidth="1"/>
    <col min="7316" max="7316" width="12.85546875" bestFit="1" customWidth="1"/>
    <col min="7317" max="7317" width="12.28515625" bestFit="1" customWidth="1"/>
    <col min="7318" max="7318" width="11.28515625" bestFit="1" customWidth="1"/>
    <col min="7319" max="7319" width="11.5703125" bestFit="1" customWidth="1"/>
    <col min="7320" max="7320" width="10.85546875" bestFit="1" customWidth="1"/>
    <col min="7321" max="7321" width="11.28515625" bestFit="1" customWidth="1"/>
    <col min="7322" max="7322" width="10.140625" bestFit="1" customWidth="1"/>
    <col min="7323" max="7323" width="13.28515625" bestFit="1" customWidth="1"/>
    <col min="7324" max="7325" width="12.7109375" bestFit="1" customWidth="1"/>
    <col min="7326" max="7326" width="11" bestFit="1" customWidth="1"/>
    <col min="7327" max="7327" width="11.28515625" bestFit="1" customWidth="1"/>
    <col min="7328" max="7328" width="11.5703125" bestFit="1" customWidth="1"/>
    <col min="7329" max="7329" width="12.28515625" bestFit="1" customWidth="1"/>
    <col min="7330" max="7330" width="15.140625" bestFit="1" customWidth="1"/>
    <col min="7331" max="7331" width="14.42578125" bestFit="1" customWidth="1"/>
    <col min="7332" max="7332" width="12.28515625" bestFit="1" customWidth="1"/>
    <col min="7333" max="7333" width="15.140625" bestFit="1" customWidth="1"/>
    <col min="7334" max="7334" width="14.42578125" bestFit="1" customWidth="1"/>
    <col min="7335" max="7335" width="12.28515625" bestFit="1" customWidth="1"/>
    <col min="7336" max="7336" width="14.42578125" bestFit="1" customWidth="1"/>
    <col min="7337" max="7337" width="11.28515625" bestFit="1" customWidth="1"/>
    <col min="7338" max="7338" width="12.28515625" bestFit="1" customWidth="1"/>
    <col min="7339" max="7339" width="13" bestFit="1" customWidth="1"/>
    <col min="7340" max="7340" width="15.140625" bestFit="1" customWidth="1"/>
    <col min="7341" max="7341" width="12.28515625" bestFit="1" customWidth="1"/>
    <col min="7342" max="7342" width="13.85546875" bestFit="1" customWidth="1"/>
    <col min="7343" max="7343" width="11.28515625" bestFit="1" customWidth="1"/>
    <col min="7344" max="7344" width="12.28515625" bestFit="1" customWidth="1"/>
    <col min="7345" max="7345" width="13.85546875" bestFit="1" customWidth="1"/>
    <col min="7346" max="7347" width="15.140625" bestFit="1" customWidth="1"/>
    <col min="7348" max="7348" width="12.28515625" bestFit="1" customWidth="1"/>
    <col min="7349" max="7349" width="5.7109375" bestFit="1" customWidth="1"/>
    <col min="7350" max="7350" width="8.5703125" bestFit="1" customWidth="1"/>
    <col min="7351" max="7351" width="5.5703125" bestFit="1" customWidth="1"/>
    <col min="7352" max="7352" width="14.42578125" bestFit="1" customWidth="1"/>
    <col min="7353" max="7353" width="11.28515625" bestFit="1" customWidth="1"/>
    <col min="7354" max="7355" width="12.28515625" bestFit="1" customWidth="1"/>
    <col min="7356" max="7356" width="11.28515625" bestFit="1" customWidth="1"/>
    <col min="7357" max="7357" width="13.85546875" bestFit="1" customWidth="1"/>
    <col min="7358" max="7358" width="12" bestFit="1" customWidth="1"/>
    <col min="7359" max="7359" width="13.85546875" bestFit="1" customWidth="1"/>
    <col min="7360" max="7361" width="14.42578125" customWidth="1"/>
    <col min="7362" max="7362" width="10.140625" bestFit="1" customWidth="1"/>
    <col min="7363" max="7363" width="12.28515625" bestFit="1" customWidth="1"/>
    <col min="7364" max="7364" width="7.42578125" bestFit="1" customWidth="1"/>
    <col min="7365" max="7365" width="8.5703125" bestFit="1" customWidth="1"/>
    <col min="7366" max="7366" width="11.5703125" bestFit="1" customWidth="1"/>
    <col min="7367" max="7367" width="13.28515625" bestFit="1" customWidth="1"/>
    <col min="7368" max="7368" width="13.28515625" customWidth="1"/>
    <col min="7369" max="7369" width="13.140625" customWidth="1"/>
    <col min="7370" max="7370" width="12.7109375" bestFit="1" customWidth="1"/>
    <col min="7371" max="7371" width="13.28515625" bestFit="1" customWidth="1"/>
    <col min="7372" max="7374" width="13.28515625" customWidth="1"/>
    <col min="7375" max="7375" width="12.140625" bestFit="1" customWidth="1"/>
    <col min="7376" max="7376" width="12.7109375" bestFit="1" customWidth="1"/>
    <col min="7377" max="7377" width="11" customWidth="1"/>
    <col min="7378" max="7378" width="16.7109375" customWidth="1"/>
    <col min="7379" max="7379" width="17" customWidth="1"/>
    <col min="7380" max="7380" width="10.42578125" bestFit="1" customWidth="1"/>
    <col min="7424" max="7424" width="3.85546875" customWidth="1"/>
    <col min="7425" max="7425" width="15.28515625" bestFit="1" customWidth="1"/>
    <col min="7426" max="7426" width="12.28515625" customWidth="1"/>
    <col min="7427" max="7427" width="16.28515625" bestFit="1" customWidth="1"/>
    <col min="7428" max="7428" width="6.42578125" bestFit="1" customWidth="1"/>
    <col min="7429" max="7429" width="9.28515625" bestFit="1" customWidth="1"/>
    <col min="7430" max="7430" width="7.5703125" bestFit="1" customWidth="1"/>
    <col min="7431" max="7431" width="13.28515625" bestFit="1" customWidth="1"/>
    <col min="7432" max="7432" width="9.28515625" bestFit="1" customWidth="1"/>
    <col min="7433" max="7433" width="11.5703125" bestFit="1" customWidth="1"/>
    <col min="7434" max="7434" width="13.28515625" bestFit="1" customWidth="1"/>
    <col min="7435" max="7435" width="7.140625" bestFit="1" customWidth="1"/>
    <col min="7436" max="7436" width="12" bestFit="1" customWidth="1"/>
    <col min="7437" max="7437" width="13.28515625" bestFit="1" customWidth="1"/>
    <col min="7438" max="7438" width="7" bestFit="1" customWidth="1"/>
    <col min="7439" max="7439" width="12.7109375" bestFit="1" customWidth="1"/>
    <col min="7440" max="7440" width="11.5703125" bestFit="1" customWidth="1"/>
    <col min="7441" max="7441" width="10.5703125" bestFit="1" customWidth="1"/>
    <col min="7442" max="7443" width="15.7109375" bestFit="1" customWidth="1"/>
    <col min="7444" max="7444" width="11.5703125" bestFit="1" customWidth="1"/>
    <col min="7445" max="7445" width="7.7109375" bestFit="1" customWidth="1"/>
    <col min="7446" max="7446" width="15.140625" bestFit="1" customWidth="1"/>
    <col min="7447" max="7447" width="11.5703125" bestFit="1" customWidth="1"/>
    <col min="7448" max="7448" width="13.28515625" bestFit="1" customWidth="1"/>
    <col min="7449" max="7449" width="10.42578125" bestFit="1" customWidth="1"/>
    <col min="7450" max="7450" width="13.28515625" bestFit="1" customWidth="1"/>
    <col min="7451" max="7451" width="12.140625" bestFit="1" customWidth="1"/>
    <col min="7452" max="7452" width="14.42578125" bestFit="1" customWidth="1"/>
    <col min="7453" max="7453" width="13.28515625" bestFit="1" customWidth="1"/>
    <col min="7454" max="7454" width="11.5703125" bestFit="1" customWidth="1"/>
    <col min="7455" max="7455" width="7.7109375" bestFit="1" customWidth="1"/>
    <col min="7456" max="7457" width="14.42578125" bestFit="1" customWidth="1"/>
    <col min="7458" max="7458" width="11.5703125" bestFit="1" customWidth="1"/>
    <col min="7459" max="7459" width="7.7109375" bestFit="1" customWidth="1"/>
    <col min="7460" max="7460" width="13.5703125" customWidth="1"/>
    <col min="7461" max="7461" width="15.28515625" customWidth="1"/>
    <col min="7462" max="7462" width="14.5703125" customWidth="1"/>
    <col min="7463" max="7463" width="13.28515625" bestFit="1" customWidth="1"/>
    <col min="7464" max="7464" width="7.7109375" bestFit="1" customWidth="1"/>
    <col min="7465" max="7465" width="12.7109375" bestFit="1" customWidth="1"/>
    <col min="7466" max="7466" width="11.7109375" bestFit="1" customWidth="1"/>
    <col min="7467" max="7467" width="11.5703125" bestFit="1" customWidth="1"/>
    <col min="7468" max="7468" width="5.28515625" bestFit="1" customWidth="1"/>
    <col min="7469" max="7469" width="13.28515625" bestFit="1" customWidth="1"/>
    <col min="7470" max="7470" width="13.5703125" bestFit="1" customWidth="1"/>
    <col min="7471" max="7471" width="10.5703125" bestFit="1" customWidth="1"/>
    <col min="7472" max="7472" width="13.28515625" bestFit="1" customWidth="1"/>
    <col min="7473" max="7473" width="11.5703125" bestFit="1" customWidth="1"/>
    <col min="7474" max="7474" width="10.5703125" bestFit="1" customWidth="1"/>
    <col min="7475" max="7475" width="16.140625" bestFit="1" customWidth="1"/>
    <col min="7476" max="7477" width="11.28515625" bestFit="1" customWidth="1"/>
    <col min="7478" max="7478" width="13.28515625" bestFit="1" customWidth="1"/>
    <col min="7479" max="7479" width="7.7109375" bestFit="1" customWidth="1"/>
    <col min="7480" max="7483" width="9.140625" hidden="1" customWidth="1"/>
    <col min="7484" max="7484" width="10.42578125" bestFit="1" customWidth="1"/>
    <col min="7485" max="7485" width="10.5703125" bestFit="1" customWidth="1"/>
    <col min="7486" max="7486" width="10.42578125" bestFit="1" customWidth="1"/>
    <col min="7487" max="7487" width="10.5703125" bestFit="1" customWidth="1"/>
    <col min="7488" max="7488" width="9.5703125" bestFit="1" customWidth="1"/>
    <col min="7489" max="7489" width="11.5703125" bestFit="1" customWidth="1"/>
    <col min="7490" max="7490" width="10.42578125" bestFit="1" customWidth="1"/>
    <col min="7491" max="7491" width="10.85546875" customWidth="1"/>
    <col min="7492" max="7493" width="9.85546875" bestFit="1" customWidth="1"/>
    <col min="7494" max="7494" width="13.5703125" bestFit="1" customWidth="1"/>
    <col min="7495" max="7495" width="7.7109375" bestFit="1" customWidth="1"/>
    <col min="7496" max="7496" width="13.28515625" bestFit="1" customWidth="1"/>
    <col min="7497" max="7497" width="11.5703125" bestFit="1" customWidth="1"/>
    <col min="7498" max="7498" width="10.42578125" bestFit="1" customWidth="1"/>
    <col min="7499" max="7499" width="7.7109375" bestFit="1" customWidth="1"/>
    <col min="7500" max="7500" width="11.5703125" bestFit="1" customWidth="1"/>
    <col min="7501" max="7501" width="10.85546875" bestFit="1" customWidth="1"/>
    <col min="7502" max="7502" width="13.28515625" bestFit="1" customWidth="1"/>
    <col min="7503" max="7503" width="10.85546875" bestFit="1" customWidth="1"/>
    <col min="7504" max="7505" width="7.5703125" bestFit="1" customWidth="1"/>
    <col min="7506" max="7507" width="10.42578125" bestFit="1" customWidth="1"/>
    <col min="7508" max="7508" width="11.5703125" bestFit="1" customWidth="1"/>
    <col min="7509" max="7509" width="5.28515625" bestFit="1" customWidth="1"/>
    <col min="7510" max="7510" width="10.28515625" bestFit="1" customWidth="1"/>
    <col min="7511" max="7511" width="10.42578125" bestFit="1" customWidth="1"/>
    <col min="7512" max="7512" width="11.5703125" bestFit="1" customWidth="1"/>
    <col min="7513" max="7513" width="5.28515625" bestFit="1" customWidth="1"/>
    <col min="7514" max="7516" width="11.5703125" bestFit="1" customWidth="1"/>
    <col min="7517" max="7517" width="5.28515625" bestFit="1" customWidth="1"/>
    <col min="7518" max="7519" width="10.42578125" bestFit="1" customWidth="1"/>
    <col min="7520" max="7520" width="11.5703125" bestFit="1" customWidth="1"/>
    <col min="7521" max="7521" width="5.28515625" bestFit="1" customWidth="1"/>
    <col min="7522" max="7522" width="14.28515625" bestFit="1" customWidth="1"/>
    <col min="7523" max="7523" width="13" bestFit="1" customWidth="1"/>
    <col min="7524" max="7524" width="11.5703125" bestFit="1" customWidth="1"/>
    <col min="7525" max="7525" width="8.85546875" bestFit="1" customWidth="1"/>
    <col min="7526" max="7526" width="14.42578125" bestFit="1" customWidth="1"/>
    <col min="7527" max="7527" width="10.42578125" bestFit="1" customWidth="1"/>
    <col min="7528" max="7528" width="12.28515625" bestFit="1" customWidth="1"/>
    <col min="7529" max="7529" width="13.85546875" bestFit="1" customWidth="1"/>
    <col min="7530" max="7530" width="11.28515625" customWidth="1"/>
    <col min="7531" max="7531" width="11.5703125" customWidth="1"/>
    <col min="7532" max="7532" width="13.42578125" bestFit="1" customWidth="1"/>
    <col min="7533" max="7533" width="10.42578125" customWidth="1"/>
    <col min="7534" max="7534" width="13.85546875" bestFit="1" customWidth="1"/>
    <col min="7535" max="7535" width="15.42578125" bestFit="1" customWidth="1"/>
    <col min="7536" max="7536" width="12.28515625" bestFit="1" customWidth="1"/>
    <col min="7537" max="7537" width="12.7109375" customWidth="1"/>
    <col min="7538" max="7538" width="10.7109375" bestFit="1" customWidth="1"/>
    <col min="7539" max="7539" width="9.85546875" customWidth="1"/>
    <col min="7540" max="7541" width="10.140625" bestFit="1" customWidth="1"/>
    <col min="7542" max="7542" width="7.5703125" bestFit="1" customWidth="1"/>
    <col min="7543" max="7543" width="9.42578125" bestFit="1" customWidth="1"/>
    <col min="7544" max="7544" width="14.5703125" bestFit="1" customWidth="1"/>
    <col min="7545" max="7545" width="14.85546875" customWidth="1"/>
    <col min="7546" max="7546" width="15.140625" bestFit="1" customWidth="1"/>
    <col min="7547" max="7547" width="12.140625" bestFit="1" customWidth="1"/>
    <col min="7548" max="7548" width="14.85546875" bestFit="1" customWidth="1"/>
    <col min="7549" max="7549" width="12.28515625" bestFit="1" customWidth="1"/>
    <col min="7550" max="7558" width="9.140625" hidden="1" customWidth="1"/>
    <col min="7559" max="7559" width="5.28515625" bestFit="1" customWidth="1"/>
    <col min="7560" max="7565" width="11.5703125" bestFit="1" customWidth="1"/>
    <col min="7566" max="7566" width="11.28515625" bestFit="1" customWidth="1"/>
    <col min="7567" max="7567" width="10.140625" bestFit="1" customWidth="1"/>
    <col min="7568" max="7568" width="11.5703125" bestFit="1" customWidth="1"/>
    <col min="7569" max="7569" width="16.140625" customWidth="1"/>
    <col min="7570" max="7570" width="13.42578125" customWidth="1"/>
    <col min="7571" max="7571" width="10.140625" bestFit="1" customWidth="1"/>
    <col min="7572" max="7572" width="12.85546875" bestFit="1" customWidth="1"/>
    <col min="7573" max="7573" width="12.28515625" bestFit="1" customWidth="1"/>
    <col min="7574" max="7574" width="11.28515625" bestFit="1" customWidth="1"/>
    <col min="7575" max="7575" width="11.5703125" bestFit="1" customWidth="1"/>
    <col min="7576" max="7576" width="10.85546875" bestFit="1" customWidth="1"/>
    <col min="7577" max="7577" width="11.28515625" bestFit="1" customWidth="1"/>
    <col min="7578" max="7578" width="10.140625" bestFit="1" customWidth="1"/>
    <col min="7579" max="7579" width="13.28515625" bestFit="1" customWidth="1"/>
    <col min="7580" max="7581" width="12.7109375" bestFit="1" customWidth="1"/>
    <col min="7582" max="7582" width="11" bestFit="1" customWidth="1"/>
    <col min="7583" max="7583" width="11.28515625" bestFit="1" customWidth="1"/>
    <col min="7584" max="7584" width="11.5703125" bestFit="1" customWidth="1"/>
    <col min="7585" max="7585" width="12.28515625" bestFit="1" customWidth="1"/>
    <col min="7586" max="7586" width="15.140625" bestFit="1" customWidth="1"/>
    <col min="7587" max="7587" width="14.42578125" bestFit="1" customWidth="1"/>
    <col min="7588" max="7588" width="12.28515625" bestFit="1" customWidth="1"/>
    <col min="7589" max="7589" width="15.140625" bestFit="1" customWidth="1"/>
    <col min="7590" max="7590" width="14.42578125" bestFit="1" customWidth="1"/>
    <col min="7591" max="7591" width="12.28515625" bestFit="1" customWidth="1"/>
    <col min="7592" max="7592" width="14.42578125" bestFit="1" customWidth="1"/>
    <col min="7593" max="7593" width="11.28515625" bestFit="1" customWidth="1"/>
    <col min="7594" max="7594" width="12.28515625" bestFit="1" customWidth="1"/>
    <col min="7595" max="7595" width="13" bestFit="1" customWidth="1"/>
    <col min="7596" max="7596" width="15.140625" bestFit="1" customWidth="1"/>
    <col min="7597" max="7597" width="12.28515625" bestFit="1" customWidth="1"/>
    <col min="7598" max="7598" width="13.85546875" bestFit="1" customWidth="1"/>
    <col min="7599" max="7599" width="11.28515625" bestFit="1" customWidth="1"/>
    <col min="7600" max="7600" width="12.28515625" bestFit="1" customWidth="1"/>
    <col min="7601" max="7601" width="13.85546875" bestFit="1" customWidth="1"/>
    <col min="7602" max="7603" width="15.140625" bestFit="1" customWidth="1"/>
    <col min="7604" max="7604" width="12.28515625" bestFit="1" customWidth="1"/>
    <col min="7605" max="7605" width="5.7109375" bestFit="1" customWidth="1"/>
    <col min="7606" max="7606" width="8.5703125" bestFit="1" customWidth="1"/>
    <col min="7607" max="7607" width="5.5703125" bestFit="1" customWidth="1"/>
    <col min="7608" max="7608" width="14.42578125" bestFit="1" customWidth="1"/>
    <col min="7609" max="7609" width="11.28515625" bestFit="1" customWidth="1"/>
    <col min="7610" max="7611" width="12.28515625" bestFit="1" customWidth="1"/>
    <col min="7612" max="7612" width="11.28515625" bestFit="1" customWidth="1"/>
    <col min="7613" max="7613" width="13.85546875" bestFit="1" customWidth="1"/>
    <col min="7614" max="7614" width="12" bestFit="1" customWidth="1"/>
    <col min="7615" max="7615" width="13.85546875" bestFit="1" customWidth="1"/>
    <col min="7616" max="7617" width="14.42578125" customWidth="1"/>
    <col min="7618" max="7618" width="10.140625" bestFit="1" customWidth="1"/>
    <col min="7619" max="7619" width="12.28515625" bestFit="1" customWidth="1"/>
    <col min="7620" max="7620" width="7.42578125" bestFit="1" customWidth="1"/>
    <col min="7621" max="7621" width="8.5703125" bestFit="1" customWidth="1"/>
    <col min="7622" max="7622" width="11.5703125" bestFit="1" customWidth="1"/>
    <col min="7623" max="7623" width="13.28515625" bestFit="1" customWidth="1"/>
    <col min="7624" max="7624" width="13.28515625" customWidth="1"/>
    <col min="7625" max="7625" width="13.140625" customWidth="1"/>
    <col min="7626" max="7626" width="12.7109375" bestFit="1" customWidth="1"/>
    <col min="7627" max="7627" width="13.28515625" bestFit="1" customWidth="1"/>
    <col min="7628" max="7630" width="13.28515625" customWidth="1"/>
    <col min="7631" max="7631" width="12.140625" bestFit="1" customWidth="1"/>
    <col min="7632" max="7632" width="12.7109375" bestFit="1" customWidth="1"/>
    <col min="7633" max="7633" width="11" customWidth="1"/>
    <col min="7634" max="7634" width="16.7109375" customWidth="1"/>
    <col min="7635" max="7635" width="17" customWidth="1"/>
    <col min="7636" max="7636" width="10.42578125" bestFit="1" customWidth="1"/>
    <col min="7680" max="7680" width="3.85546875" customWidth="1"/>
    <col min="7681" max="7681" width="15.28515625" bestFit="1" customWidth="1"/>
    <col min="7682" max="7682" width="12.28515625" customWidth="1"/>
    <col min="7683" max="7683" width="16.28515625" bestFit="1" customWidth="1"/>
    <col min="7684" max="7684" width="6.42578125" bestFit="1" customWidth="1"/>
    <col min="7685" max="7685" width="9.28515625" bestFit="1" customWidth="1"/>
    <col min="7686" max="7686" width="7.5703125" bestFit="1" customWidth="1"/>
    <col min="7687" max="7687" width="13.28515625" bestFit="1" customWidth="1"/>
    <col min="7688" max="7688" width="9.28515625" bestFit="1" customWidth="1"/>
    <col min="7689" max="7689" width="11.5703125" bestFit="1" customWidth="1"/>
    <col min="7690" max="7690" width="13.28515625" bestFit="1" customWidth="1"/>
    <col min="7691" max="7691" width="7.140625" bestFit="1" customWidth="1"/>
    <col min="7692" max="7692" width="12" bestFit="1" customWidth="1"/>
    <col min="7693" max="7693" width="13.28515625" bestFit="1" customWidth="1"/>
    <col min="7694" max="7694" width="7" bestFit="1" customWidth="1"/>
    <col min="7695" max="7695" width="12.7109375" bestFit="1" customWidth="1"/>
    <col min="7696" max="7696" width="11.5703125" bestFit="1" customWidth="1"/>
    <col min="7697" max="7697" width="10.5703125" bestFit="1" customWidth="1"/>
    <col min="7698" max="7699" width="15.7109375" bestFit="1" customWidth="1"/>
    <col min="7700" max="7700" width="11.5703125" bestFit="1" customWidth="1"/>
    <col min="7701" max="7701" width="7.7109375" bestFit="1" customWidth="1"/>
    <col min="7702" max="7702" width="15.140625" bestFit="1" customWidth="1"/>
    <col min="7703" max="7703" width="11.5703125" bestFit="1" customWidth="1"/>
    <col min="7704" max="7704" width="13.28515625" bestFit="1" customWidth="1"/>
    <col min="7705" max="7705" width="10.42578125" bestFit="1" customWidth="1"/>
    <col min="7706" max="7706" width="13.28515625" bestFit="1" customWidth="1"/>
    <col min="7707" max="7707" width="12.140625" bestFit="1" customWidth="1"/>
    <col min="7708" max="7708" width="14.42578125" bestFit="1" customWidth="1"/>
    <col min="7709" max="7709" width="13.28515625" bestFit="1" customWidth="1"/>
    <col min="7710" max="7710" width="11.5703125" bestFit="1" customWidth="1"/>
    <col min="7711" max="7711" width="7.7109375" bestFit="1" customWidth="1"/>
    <col min="7712" max="7713" width="14.42578125" bestFit="1" customWidth="1"/>
    <col min="7714" max="7714" width="11.5703125" bestFit="1" customWidth="1"/>
    <col min="7715" max="7715" width="7.7109375" bestFit="1" customWidth="1"/>
    <col min="7716" max="7716" width="13.5703125" customWidth="1"/>
    <col min="7717" max="7717" width="15.28515625" customWidth="1"/>
    <col min="7718" max="7718" width="14.5703125" customWidth="1"/>
    <col min="7719" max="7719" width="13.28515625" bestFit="1" customWidth="1"/>
    <col min="7720" max="7720" width="7.7109375" bestFit="1" customWidth="1"/>
    <col min="7721" max="7721" width="12.7109375" bestFit="1" customWidth="1"/>
    <col min="7722" max="7722" width="11.7109375" bestFit="1" customWidth="1"/>
    <col min="7723" max="7723" width="11.5703125" bestFit="1" customWidth="1"/>
    <col min="7724" max="7724" width="5.28515625" bestFit="1" customWidth="1"/>
    <col min="7725" max="7725" width="13.28515625" bestFit="1" customWidth="1"/>
    <col min="7726" max="7726" width="13.5703125" bestFit="1" customWidth="1"/>
    <col min="7727" max="7727" width="10.5703125" bestFit="1" customWidth="1"/>
    <col min="7728" max="7728" width="13.28515625" bestFit="1" customWidth="1"/>
    <col min="7729" max="7729" width="11.5703125" bestFit="1" customWidth="1"/>
    <col min="7730" max="7730" width="10.5703125" bestFit="1" customWidth="1"/>
    <col min="7731" max="7731" width="16.140625" bestFit="1" customWidth="1"/>
    <col min="7732" max="7733" width="11.28515625" bestFit="1" customWidth="1"/>
    <col min="7734" max="7734" width="13.28515625" bestFit="1" customWidth="1"/>
    <col min="7735" max="7735" width="7.7109375" bestFit="1" customWidth="1"/>
    <col min="7736" max="7739" width="9.140625" hidden="1" customWidth="1"/>
    <col min="7740" max="7740" width="10.42578125" bestFit="1" customWidth="1"/>
    <col min="7741" max="7741" width="10.5703125" bestFit="1" customWidth="1"/>
    <col min="7742" max="7742" width="10.42578125" bestFit="1" customWidth="1"/>
    <col min="7743" max="7743" width="10.5703125" bestFit="1" customWidth="1"/>
    <col min="7744" max="7744" width="9.5703125" bestFit="1" customWidth="1"/>
    <col min="7745" max="7745" width="11.5703125" bestFit="1" customWidth="1"/>
    <col min="7746" max="7746" width="10.42578125" bestFit="1" customWidth="1"/>
    <col min="7747" max="7747" width="10.85546875" customWidth="1"/>
    <col min="7748" max="7749" width="9.85546875" bestFit="1" customWidth="1"/>
    <col min="7750" max="7750" width="13.5703125" bestFit="1" customWidth="1"/>
    <col min="7751" max="7751" width="7.7109375" bestFit="1" customWidth="1"/>
    <col min="7752" max="7752" width="13.28515625" bestFit="1" customWidth="1"/>
    <col min="7753" max="7753" width="11.5703125" bestFit="1" customWidth="1"/>
    <col min="7754" max="7754" width="10.42578125" bestFit="1" customWidth="1"/>
    <col min="7755" max="7755" width="7.7109375" bestFit="1" customWidth="1"/>
    <col min="7756" max="7756" width="11.5703125" bestFit="1" customWidth="1"/>
    <col min="7757" max="7757" width="10.85546875" bestFit="1" customWidth="1"/>
    <col min="7758" max="7758" width="13.28515625" bestFit="1" customWidth="1"/>
    <col min="7759" max="7759" width="10.85546875" bestFit="1" customWidth="1"/>
    <col min="7760" max="7761" width="7.5703125" bestFit="1" customWidth="1"/>
    <col min="7762" max="7763" width="10.42578125" bestFit="1" customWidth="1"/>
    <col min="7764" max="7764" width="11.5703125" bestFit="1" customWidth="1"/>
    <col min="7765" max="7765" width="5.28515625" bestFit="1" customWidth="1"/>
    <col min="7766" max="7766" width="10.28515625" bestFit="1" customWidth="1"/>
    <col min="7767" max="7767" width="10.42578125" bestFit="1" customWidth="1"/>
    <col min="7768" max="7768" width="11.5703125" bestFit="1" customWidth="1"/>
    <col min="7769" max="7769" width="5.28515625" bestFit="1" customWidth="1"/>
    <col min="7770" max="7772" width="11.5703125" bestFit="1" customWidth="1"/>
    <col min="7773" max="7773" width="5.28515625" bestFit="1" customWidth="1"/>
    <col min="7774" max="7775" width="10.42578125" bestFit="1" customWidth="1"/>
    <col min="7776" max="7776" width="11.5703125" bestFit="1" customWidth="1"/>
    <col min="7777" max="7777" width="5.28515625" bestFit="1" customWidth="1"/>
    <col min="7778" max="7778" width="14.28515625" bestFit="1" customWidth="1"/>
    <col min="7779" max="7779" width="13" bestFit="1" customWidth="1"/>
    <col min="7780" max="7780" width="11.5703125" bestFit="1" customWidth="1"/>
    <col min="7781" max="7781" width="8.85546875" bestFit="1" customWidth="1"/>
    <col min="7782" max="7782" width="14.42578125" bestFit="1" customWidth="1"/>
    <col min="7783" max="7783" width="10.42578125" bestFit="1" customWidth="1"/>
    <col min="7784" max="7784" width="12.28515625" bestFit="1" customWidth="1"/>
    <col min="7785" max="7785" width="13.85546875" bestFit="1" customWidth="1"/>
    <col min="7786" max="7786" width="11.28515625" customWidth="1"/>
    <col min="7787" max="7787" width="11.5703125" customWidth="1"/>
    <col min="7788" max="7788" width="13.42578125" bestFit="1" customWidth="1"/>
    <col min="7789" max="7789" width="10.42578125" customWidth="1"/>
    <col min="7790" max="7790" width="13.85546875" bestFit="1" customWidth="1"/>
    <col min="7791" max="7791" width="15.42578125" bestFit="1" customWidth="1"/>
    <col min="7792" max="7792" width="12.28515625" bestFit="1" customWidth="1"/>
    <col min="7793" max="7793" width="12.7109375" customWidth="1"/>
    <col min="7794" max="7794" width="10.7109375" bestFit="1" customWidth="1"/>
    <col min="7795" max="7795" width="9.85546875" customWidth="1"/>
    <col min="7796" max="7797" width="10.140625" bestFit="1" customWidth="1"/>
    <col min="7798" max="7798" width="7.5703125" bestFit="1" customWidth="1"/>
    <col min="7799" max="7799" width="9.42578125" bestFit="1" customWidth="1"/>
    <col min="7800" max="7800" width="14.5703125" bestFit="1" customWidth="1"/>
    <col min="7801" max="7801" width="14.85546875" customWidth="1"/>
    <col min="7802" max="7802" width="15.140625" bestFit="1" customWidth="1"/>
    <col min="7803" max="7803" width="12.140625" bestFit="1" customWidth="1"/>
    <col min="7804" max="7804" width="14.85546875" bestFit="1" customWidth="1"/>
    <col min="7805" max="7805" width="12.28515625" bestFit="1" customWidth="1"/>
    <col min="7806" max="7814" width="9.140625" hidden="1" customWidth="1"/>
    <col min="7815" max="7815" width="5.28515625" bestFit="1" customWidth="1"/>
    <col min="7816" max="7821" width="11.5703125" bestFit="1" customWidth="1"/>
    <col min="7822" max="7822" width="11.28515625" bestFit="1" customWidth="1"/>
    <col min="7823" max="7823" width="10.140625" bestFit="1" customWidth="1"/>
    <col min="7824" max="7824" width="11.5703125" bestFit="1" customWidth="1"/>
    <col min="7825" max="7825" width="16.140625" customWidth="1"/>
    <col min="7826" max="7826" width="13.42578125" customWidth="1"/>
    <col min="7827" max="7827" width="10.140625" bestFit="1" customWidth="1"/>
    <col min="7828" max="7828" width="12.85546875" bestFit="1" customWidth="1"/>
    <col min="7829" max="7829" width="12.28515625" bestFit="1" customWidth="1"/>
    <col min="7830" max="7830" width="11.28515625" bestFit="1" customWidth="1"/>
    <col min="7831" max="7831" width="11.5703125" bestFit="1" customWidth="1"/>
    <col min="7832" max="7832" width="10.85546875" bestFit="1" customWidth="1"/>
    <col min="7833" max="7833" width="11.28515625" bestFit="1" customWidth="1"/>
    <col min="7834" max="7834" width="10.140625" bestFit="1" customWidth="1"/>
    <col min="7835" max="7835" width="13.28515625" bestFit="1" customWidth="1"/>
    <col min="7836" max="7837" width="12.7109375" bestFit="1" customWidth="1"/>
    <col min="7838" max="7838" width="11" bestFit="1" customWidth="1"/>
    <col min="7839" max="7839" width="11.28515625" bestFit="1" customWidth="1"/>
    <col min="7840" max="7840" width="11.5703125" bestFit="1" customWidth="1"/>
    <col min="7841" max="7841" width="12.28515625" bestFit="1" customWidth="1"/>
    <col min="7842" max="7842" width="15.140625" bestFit="1" customWidth="1"/>
    <col min="7843" max="7843" width="14.42578125" bestFit="1" customWidth="1"/>
    <col min="7844" max="7844" width="12.28515625" bestFit="1" customWidth="1"/>
    <col min="7845" max="7845" width="15.140625" bestFit="1" customWidth="1"/>
    <col min="7846" max="7846" width="14.42578125" bestFit="1" customWidth="1"/>
    <col min="7847" max="7847" width="12.28515625" bestFit="1" customWidth="1"/>
    <col min="7848" max="7848" width="14.42578125" bestFit="1" customWidth="1"/>
    <col min="7849" max="7849" width="11.28515625" bestFit="1" customWidth="1"/>
    <col min="7850" max="7850" width="12.28515625" bestFit="1" customWidth="1"/>
    <col min="7851" max="7851" width="13" bestFit="1" customWidth="1"/>
    <col min="7852" max="7852" width="15.140625" bestFit="1" customWidth="1"/>
    <col min="7853" max="7853" width="12.28515625" bestFit="1" customWidth="1"/>
    <col min="7854" max="7854" width="13.85546875" bestFit="1" customWidth="1"/>
    <col min="7855" max="7855" width="11.28515625" bestFit="1" customWidth="1"/>
    <col min="7856" max="7856" width="12.28515625" bestFit="1" customWidth="1"/>
    <col min="7857" max="7857" width="13.85546875" bestFit="1" customWidth="1"/>
    <col min="7858" max="7859" width="15.140625" bestFit="1" customWidth="1"/>
    <col min="7860" max="7860" width="12.28515625" bestFit="1" customWidth="1"/>
    <col min="7861" max="7861" width="5.7109375" bestFit="1" customWidth="1"/>
    <col min="7862" max="7862" width="8.5703125" bestFit="1" customWidth="1"/>
    <col min="7863" max="7863" width="5.5703125" bestFit="1" customWidth="1"/>
    <col min="7864" max="7864" width="14.42578125" bestFit="1" customWidth="1"/>
    <col min="7865" max="7865" width="11.28515625" bestFit="1" customWidth="1"/>
    <col min="7866" max="7867" width="12.28515625" bestFit="1" customWidth="1"/>
    <col min="7868" max="7868" width="11.28515625" bestFit="1" customWidth="1"/>
    <col min="7869" max="7869" width="13.85546875" bestFit="1" customWidth="1"/>
    <col min="7870" max="7870" width="12" bestFit="1" customWidth="1"/>
    <col min="7871" max="7871" width="13.85546875" bestFit="1" customWidth="1"/>
    <col min="7872" max="7873" width="14.42578125" customWidth="1"/>
    <col min="7874" max="7874" width="10.140625" bestFit="1" customWidth="1"/>
    <col min="7875" max="7875" width="12.28515625" bestFit="1" customWidth="1"/>
    <col min="7876" max="7876" width="7.42578125" bestFit="1" customWidth="1"/>
    <col min="7877" max="7877" width="8.5703125" bestFit="1" customWidth="1"/>
    <col min="7878" max="7878" width="11.5703125" bestFit="1" customWidth="1"/>
    <col min="7879" max="7879" width="13.28515625" bestFit="1" customWidth="1"/>
    <col min="7880" max="7880" width="13.28515625" customWidth="1"/>
    <col min="7881" max="7881" width="13.140625" customWidth="1"/>
    <col min="7882" max="7882" width="12.7109375" bestFit="1" customWidth="1"/>
    <col min="7883" max="7883" width="13.28515625" bestFit="1" customWidth="1"/>
    <col min="7884" max="7886" width="13.28515625" customWidth="1"/>
    <col min="7887" max="7887" width="12.140625" bestFit="1" customWidth="1"/>
    <col min="7888" max="7888" width="12.7109375" bestFit="1" customWidth="1"/>
    <col min="7889" max="7889" width="11" customWidth="1"/>
    <col min="7890" max="7890" width="16.7109375" customWidth="1"/>
    <col min="7891" max="7891" width="17" customWidth="1"/>
    <col min="7892" max="7892" width="10.42578125" bestFit="1" customWidth="1"/>
    <col min="7936" max="7936" width="3.85546875" customWidth="1"/>
    <col min="7937" max="7937" width="15.28515625" bestFit="1" customWidth="1"/>
    <col min="7938" max="7938" width="12.28515625" customWidth="1"/>
    <col min="7939" max="7939" width="16.28515625" bestFit="1" customWidth="1"/>
    <col min="7940" max="7940" width="6.42578125" bestFit="1" customWidth="1"/>
    <col min="7941" max="7941" width="9.28515625" bestFit="1" customWidth="1"/>
    <col min="7942" max="7942" width="7.5703125" bestFit="1" customWidth="1"/>
    <col min="7943" max="7943" width="13.28515625" bestFit="1" customWidth="1"/>
    <col min="7944" max="7944" width="9.28515625" bestFit="1" customWidth="1"/>
    <col min="7945" max="7945" width="11.5703125" bestFit="1" customWidth="1"/>
    <col min="7946" max="7946" width="13.28515625" bestFit="1" customWidth="1"/>
    <col min="7947" max="7947" width="7.140625" bestFit="1" customWidth="1"/>
    <col min="7948" max="7948" width="12" bestFit="1" customWidth="1"/>
    <col min="7949" max="7949" width="13.28515625" bestFit="1" customWidth="1"/>
    <col min="7950" max="7950" width="7" bestFit="1" customWidth="1"/>
    <col min="7951" max="7951" width="12.7109375" bestFit="1" customWidth="1"/>
    <col min="7952" max="7952" width="11.5703125" bestFit="1" customWidth="1"/>
    <col min="7953" max="7953" width="10.5703125" bestFit="1" customWidth="1"/>
    <col min="7954" max="7955" width="15.7109375" bestFit="1" customWidth="1"/>
    <col min="7956" max="7956" width="11.5703125" bestFit="1" customWidth="1"/>
    <col min="7957" max="7957" width="7.7109375" bestFit="1" customWidth="1"/>
    <col min="7958" max="7958" width="15.140625" bestFit="1" customWidth="1"/>
    <col min="7959" max="7959" width="11.5703125" bestFit="1" customWidth="1"/>
    <col min="7960" max="7960" width="13.28515625" bestFit="1" customWidth="1"/>
    <col min="7961" max="7961" width="10.42578125" bestFit="1" customWidth="1"/>
    <col min="7962" max="7962" width="13.28515625" bestFit="1" customWidth="1"/>
    <col min="7963" max="7963" width="12.140625" bestFit="1" customWidth="1"/>
    <col min="7964" max="7964" width="14.42578125" bestFit="1" customWidth="1"/>
    <col min="7965" max="7965" width="13.28515625" bestFit="1" customWidth="1"/>
    <col min="7966" max="7966" width="11.5703125" bestFit="1" customWidth="1"/>
    <col min="7967" max="7967" width="7.7109375" bestFit="1" customWidth="1"/>
    <col min="7968" max="7969" width="14.42578125" bestFit="1" customWidth="1"/>
    <col min="7970" max="7970" width="11.5703125" bestFit="1" customWidth="1"/>
    <col min="7971" max="7971" width="7.7109375" bestFit="1" customWidth="1"/>
    <col min="7972" max="7972" width="13.5703125" customWidth="1"/>
    <col min="7973" max="7973" width="15.28515625" customWidth="1"/>
    <col min="7974" max="7974" width="14.5703125" customWidth="1"/>
    <col min="7975" max="7975" width="13.28515625" bestFit="1" customWidth="1"/>
    <col min="7976" max="7976" width="7.7109375" bestFit="1" customWidth="1"/>
    <col min="7977" max="7977" width="12.7109375" bestFit="1" customWidth="1"/>
    <col min="7978" max="7978" width="11.7109375" bestFit="1" customWidth="1"/>
    <col min="7979" max="7979" width="11.5703125" bestFit="1" customWidth="1"/>
    <col min="7980" max="7980" width="5.28515625" bestFit="1" customWidth="1"/>
    <col min="7981" max="7981" width="13.28515625" bestFit="1" customWidth="1"/>
    <col min="7982" max="7982" width="13.5703125" bestFit="1" customWidth="1"/>
    <col min="7983" max="7983" width="10.5703125" bestFit="1" customWidth="1"/>
    <col min="7984" max="7984" width="13.28515625" bestFit="1" customWidth="1"/>
    <col min="7985" max="7985" width="11.5703125" bestFit="1" customWidth="1"/>
    <col min="7986" max="7986" width="10.5703125" bestFit="1" customWidth="1"/>
    <col min="7987" max="7987" width="16.140625" bestFit="1" customWidth="1"/>
    <col min="7988" max="7989" width="11.28515625" bestFit="1" customWidth="1"/>
    <col min="7990" max="7990" width="13.28515625" bestFit="1" customWidth="1"/>
    <col min="7991" max="7991" width="7.7109375" bestFit="1" customWidth="1"/>
    <col min="7992" max="7995" width="9.140625" hidden="1" customWidth="1"/>
    <col min="7996" max="7996" width="10.42578125" bestFit="1" customWidth="1"/>
    <col min="7997" max="7997" width="10.5703125" bestFit="1" customWidth="1"/>
    <col min="7998" max="7998" width="10.42578125" bestFit="1" customWidth="1"/>
    <col min="7999" max="7999" width="10.5703125" bestFit="1" customWidth="1"/>
    <col min="8000" max="8000" width="9.5703125" bestFit="1" customWidth="1"/>
    <col min="8001" max="8001" width="11.5703125" bestFit="1" customWidth="1"/>
    <col min="8002" max="8002" width="10.42578125" bestFit="1" customWidth="1"/>
    <col min="8003" max="8003" width="10.85546875" customWidth="1"/>
    <col min="8004" max="8005" width="9.85546875" bestFit="1" customWidth="1"/>
    <col min="8006" max="8006" width="13.5703125" bestFit="1" customWidth="1"/>
    <col min="8007" max="8007" width="7.7109375" bestFit="1" customWidth="1"/>
    <col min="8008" max="8008" width="13.28515625" bestFit="1" customWidth="1"/>
    <col min="8009" max="8009" width="11.5703125" bestFit="1" customWidth="1"/>
    <col min="8010" max="8010" width="10.42578125" bestFit="1" customWidth="1"/>
    <col min="8011" max="8011" width="7.7109375" bestFit="1" customWidth="1"/>
    <col min="8012" max="8012" width="11.5703125" bestFit="1" customWidth="1"/>
    <col min="8013" max="8013" width="10.85546875" bestFit="1" customWidth="1"/>
    <col min="8014" max="8014" width="13.28515625" bestFit="1" customWidth="1"/>
    <col min="8015" max="8015" width="10.85546875" bestFit="1" customWidth="1"/>
    <col min="8016" max="8017" width="7.5703125" bestFit="1" customWidth="1"/>
    <col min="8018" max="8019" width="10.42578125" bestFit="1" customWidth="1"/>
    <col min="8020" max="8020" width="11.5703125" bestFit="1" customWidth="1"/>
    <col min="8021" max="8021" width="5.28515625" bestFit="1" customWidth="1"/>
    <col min="8022" max="8022" width="10.28515625" bestFit="1" customWidth="1"/>
    <col min="8023" max="8023" width="10.42578125" bestFit="1" customWidth="1"/>
    <col min="8024" max="8024" width="11.5703125" bestFit="1" customWidth="1"/>
    <col min="8025" max="8025" width="5.28515625" bestFit="1" customWidth="1"/>
    <col min="8026" max="8028" width="11.5703125" bestFit="1" customWidth="1"/>
    <col min="8029" max="8029" width="5.28515625" bestFit="1" customWidth="1"/>
    <col min="8030" max="8031" width="10.42578125" bestFit="1" customWidth="1"/>
    <col min="8032" max="8032" width="11.5703125" bestFit="1" customWidth="1"/>
    <col min="8033" max="8033" width="5.28515625" bestFit="1" customWidth="1"/>
    <col min="8034" max="8034" width="14.28515625" bestFit="1" customWidth="1"/>
    <col min="8035" max="8035" width="13" bestFit="1" customWidth="1"/>
    <col min="8036" max="8036" width="11.5703125" bestFit="1" customWidth="1"/>
    <col min="8037" max="8037" width="8.85546875" bestFit="1" customWidth="1"/>
    <col min="8038" max="8038" width="14.42578125" bestFit="1" customWidth="1"/>
    <col min="8039" max="8039" width="10.42578125" bestFit="1" customWidth="1"/>
    <col min="8040" max="8040" width="12.28515625" bestFit="1" customWidth="1"/>
    <col min="8041" max="8041" width="13.85546875" bestFit="1" customWidth="1"/>
    <col min="8042" max="8042" width="11.28515625" customWidth="1"/>
    <col min="8043" max="8043" width="11.5703125" customWidth="1"/>
    <col min="8044" max="8044" width="13.42578125" bestFit="1" customWidth="1"/>
    <col min="8045" max="8045" width="10.42578125" customWidth="1"/>
    <col min="8046" max="8046" width="13.85546875" bestFit="1" customWidth="1"/>
    <col min="8047" max="8047" width="15.42578125" bestFit="1" customWidth="1"/>
    <col min="8048" max="8048" width="12.28515625" bestFit="1" customWidth="1"/>
    <col min="8049" max="8049" width="12.7109375" customWidth="1"/>
    <col min="8050" max="8050" width="10.7109375" bestFit="1" customWidth="1"/>
    <col min="8051" max="8051" width="9.85546875" customWidth="1"/>
    <col min="8052" max="8053" width="10.140625" bestFit="1" customWidth="1"/>
    <col min="8054" max="8054" width="7.5703125" bestFit="1" customWidth="1"/>
    <col min="8055" max="8055" width="9.42578125" bestFit="1" customWidth="1"/>
    <col min="8056" max="8056" width="14.5703125" bestFit="1" customWidth="1"/>
    <col min="8057" max="8057" width="14.85546875" customWidth="1"/>
    <col min="8058" max="8058" width="15.140625" bestFit="1" customWidth="1"/>
    <col min="8059" max="8059" width="12.140625" bestFit="1" customWidth="1"/>
    <col min="8060" max="8060" width="14.85546875" bestFit="1" customWidth="1"/>
    <col min="8061" max="8061" width="12.28515625" bestFit="1" customWidth="1"/>
    <col min="8062" max="8070" width="9.140625" hidden="1" customWidth="1"/>
    <col min="8071" max="8071" width="5.28515625" bestFit="1" customWidth="1"/>
    <col min="8072" max="8077" width="11.5703125" bestFit="1" customWidth="1"/>
    <col min="8078" max="8078" width="11.28515625" bestFit="1" customWidth="1"/>
    <col min="8079" max="8079" width="10.140625" bestFit="1" customWidth="1"/>
    <col min="8080" max="8080" width="11.5703125" bestFit="1" customWidth="1"/>
    <col min="8081" max="8081" width="16.140625" customWidth="1"/>
    <col min="8082" max="8082" width="13.42578125" customWidth="1"/>
    <col min="8083" max="8083" width="10.140625" bestFit="1" customWidth="1"/>
    <col min="8084" max="8084" width="12.85546875" bestFit="1" customWidth="1"/>
    <col min="8085" max="8085" width="12.28515625" bestFit="1" customWidth="1"/>
    <col min="8086" max="8086" width="11.28515625" bestFit="1" customWidth="1"/>
    <col min="8087" max="8087" width="11.5703125" bestFit="1" customWidth="1"/>
    <col min="8088" max="8088" width="10.85546875" bestFit="1" customWidth="1"/>
    <col min="8089" max="8089" width="11.28515625" bestFit="1" customWidth="1"/>
    <col min="8090" max="8090" width="10.140625" bestFit="1" customWidth="1"/>
    <col min="8091" max="8091" width="13.28515625" bestFit="1" customWidth="1"/>
    <col min="8092" max="8093" width="12.7109375" bestFit="1" customWidth="1"/>
    <col min="8094" max="8094" width="11" bestFit="1" customWidth="1"/>
    <col min="8095" max="8095" width="11.28515625" bestFit="1" customWidth="1"/>
    <col min="8096" max="8096" width="11.5703125" bestFit="1" customWidth="1"/>
    <col min="8097" max="8097" width="12.28515625" bestFit="1" customWidth="1"/>
    <col min="8098" max="8098" width="15.140625" bestFit="1" customWidth="1"/>
    <col min="8099" max="8099" width="14.42578125" bestFit="1" customWidth="1"/>
    <col min="8100" max="8100" width="12.28515625" bestFit="1" customWidth="1"/>
    <col min="8101" max="8101" width="15.140625" bestFit="1" customWidth="1"/>
    <col min="8102" max="8102" width="14.42578125" bestFit="1" customWidth="1"/>
    <col min="8103" max="8103" width="12.28515625" bestFit="1" customWidth="1"/>
    <col min="8104" max="8104" width="14.42578125" bestFit="1" customWidth="1"/>
    <col min="8105" max="8105" width="11.28515625" bestFit="1" customWidth="1"/>
    <col min="8106" max="8106" width="12.28515625" bestFit="1" customWidth="1"/>
    <col min="8107" max="8107" width="13" bestFit="1" customWidth="1"/>
    <col min="8108" max="8108" width="15.140625" bestFit="1" customWidth="1"/>
    <col min="8109" max="8109" width="12.28515625" bestFit="1" customWidth="1"/>
    <col min="8110" max="8110" width="13.85546875" bestFit="1" customWidth="1"/>
    <col min="8111" max="8111" width="11.28515625" bestFit="1" customWidth="1"/>
    <col min="8112" max="8112" width="12.28515625" bestFit="1" customWidth="1"/>
    <col min="8113" max="8113" width="13.85546875" bestFit="1" customWidth="1"/>
    <col min="8114" max="8115" width="15.140625" bestFit="1" customWidth="1"/>
    <col min="8116" max="8116" width="12.28515625" bestFit="1" customWidth="1"/>
    <col min="8117" max="8117" width="5.7109375" bestFit="1" customWidth="1"/>
    <col min="8118" max="8118" width="8.5703125" bestFit="1" customWidth="1"/>
    <col min="8119" max="8119" width="5.5703125" bestFit="1" customWidth="1"/>
    <col min="8120" max="8120" width="14.42578125" bestFit="1" customWidth="1"/>
    <col min="8121" max="8121" width="11.28515625" bestFit="1" customWidth="1"/>
    <col min="8122" max="8123" width="12.28515625" bestFit="1" customWidth="1"/>
    <col min="8124" max="8124" width="11.28515625" bestFit="1" customWidth="1"/>
    <col min="8125" max="8125" width="13.85546875" bestFit="1" customWidth="1"/>
    <col min="8126" max="8126" width="12" bestFit="1" customWidth="1"/>
    <col min="8127" max="8127" width="13.85546875" bestFit="1" customWidth="1"/>
    <col min="8128" max="8129" width="14.42578125" customWidth="1"/>
    <col min="8130" max="8130" width="10.140625" bestFit="1" customWidth="1"/>
    <col min="8131" max="8131" width="12.28515625" bestFit="1" customWidth="1"/>
    <col min="8132" max="8132" width="7.42578125" bestFit="1" customWidth="1"/>
    <col min="8133" max="8133" width="8.5703125" bestFit="1" customWidth="1"/>
    <col min="8134" max="8134" width="11.5703125" bestFit="1" customWidth="1"/>
    <col min="8135" max="8135" width="13.28515625" bestFit="1" customWidth="1"/>
    <col min="8136" max="8136" width="13.28515625" customWidth="1"/>
    <col min="8137" max="8137" width="13.140625" customWidth="1"/>
    <col min="8138" max="8138" width="12.7109375" bestFit="1" customWidth="1"/>
    <col min="8139" max="8139" width="13.28515625" bestFit="1" customWidth="1"/>
    <col min="8140" max="8142" width="13.28515625" customWidth="1"/>
    <col min="8143" max="8143" width="12.140625" bestFit="1" customWidth="1"/>
    <col min="8144" max="8144" width="12.7109375" bestFit="1" customWidth="1"/>
    <col min="8145" max="8145" width="11" customWidth="1"/>
    <col min="8146" max="8146" width="16.7109375" customWidth="1"/>
    <col min="8147" max="8147" width="17" customWidth="1"/>
    <col min="8148" max="8148" width="10.42578125" bestFit="1" customWidth="1"/>
    <col min="8192" max="8192" width="3.85546875" customWidth="1"/>
    <col min="8193" max="8193" width="15.28515625" bestFit="1" customWidth="1"/>
    <col min="8194" max="8194" width="12.28515625" customWidth="1"/>
    <col min="8195" max="8195" width="16.28515625" bestFit="1" customWidth="1"/>
    <col min="8196" max="8196" width="6.42578125" bestFit="1" customWidth="1"/>
    <col min="8197" max="8197" width="9.28515625" bestFit="1" customWidth="1"/>
    <col min="8198" max="8198" width="7.5703125" bestFit="1" customWidth="1"/>
    <col min="8199" max="8199" width="13.28515625" bestFit="1" customWidth="1"/>
    <col min="8200" max="8200" width="9.28515625" bestFit="1" customWidth="1"/>
    <col min="8201" max="8201" width="11.5703125" bestFit="1" customWidth="1"/>
    <col min="8202" max="8202" width="13.28515625" bestFit="1" customWidth="1"/>
    <col min="8203" max="8203" width="7.140625" bestFit="1" customWidth="1"/>
    <col min="8204" max="8204" width="12" bestFit="1" customWidth="1"/>
    <col min="8205" max="8205" width="13.28515625" bestFit="1" customWidth="1"/>
    <col min="8206" max="8206" width="7" bestFit="1" customWidth="1"/>
    <col min="8207" max="8207" width="12.7109375" bestFit="1" customWidth="1"/>
    <col min="8208" max="8208" width="11.5703125" bestFit="1" customWidth="1"/>
    <col min="8209" max="8209" width="10.5703125" bestFit="1" customWidth="1"/>
    <col min="8210" max="8211" width="15.7109375" bestFit="1" customWidth="1"/>
    <col min="8212" max="8212" width="11.5703125" bestFit="1" customWidth="1"/>
    <col min="8213" max="8213" width="7.7109375" bestFit="1" customWidth="1"/>
    <col min="8214" max="8214" width="15.140625" bestFit="1" customWidth="1"/>
    <col min="8215" max="8215" width="11.5703125" bestFit="1" customWidth="1"/>
    <col min="8216" max="8216" width="13.28515625" bestFit="1" customWidth="1"/>
    <col min="8217" max="8217" width="10.42578125" bestFit="1" customWidth="1"/>
    <col min="8218" max="8218" width="13.28515625" bestFit="1" customWidth="1"/>
    <col min="8219" max="8219" width="12.140625" bestFit="1" customWidth="1"/>
    <col min="8220" max="8220" width="14.42578125" bestFit="1" customWidth="1"/>
    <col min="8221" max="8221" width="13.28515625" bestFit="1" customWidth="1"/>
    <col min="8222" max="8222" width="11.5703125" bestFit="1" customWidth="1"/>
    <col min="8223" max="8223" width="7.7109375" bestFit="1" customWidth="1"/>
    <col min="8224" max="8225" width="14.42578125" bestFit="1" customWidth="1"/>
    <col min="8226" max="8226" width="11.5703125" bestFit="1" customWidth="1"/>
    <col min="8227" max="8227" width="7.7109375" bestFit="1" customWidth="1"/>
    <col min="8228" max="8228" width="13.5703125" customWidth="1"/>
    <col min="8229" max="8229" width="15.28515625" customWidth="1"/>
    <col min="8230" max="8230" width="14.5703125" customWidth="1"/>
    <col min="8231" max="8231" width="13.28515625" bestFit="1" customWidth="1"/>
    <col min="8232" max="8232" width="7.7109375" bestFit="1" customWidth="1"/>
    <col min="8233" max="8233" width="12.7109375" bestFit="1" customWidth="1"/>
    <col min="8234" max="8234" width="11.7109375" bestFit="1" customWidth="1"/>
    <col min="8235" max="8235" width="11.5703125" bestFit="1" customWidth="1"/>
    <col min="8236" max="8236" width="5.28515625" bestFit="1" customWidth="1"/>
    <col min="8237" max="8237" width="13.28515625" bestFit="1" customWidth="1"/>
    <col min="8238" max="8238" width="13.5703125" bestFit="1" customWidth="1"/>
    <col min="8239" max="8239" width="10.5703125" bestFit="1" customWidth="1"/>
    <col min="8240" max="8240" width="13.28515625" bestFit="1" customWidth="1"/>
    <col min="8241" max="8241" width="11.5703125" bestFit="1" customWidth="1"/>
    <col min="8242" max="8242" width="10.5703125" bestFit="1" customWidth="1"/>
    <col min="8243" max="8243" width="16.140625" bestFit="1" customWidth="1"/>
    <col min="8244" max="8245" width="11.28515625" bestFit="1" customWidth="1"/>
    <col min="8246" max="8246" width="13.28515625" bestFit="1" customWidth="1"/>
    <col min="8247" max="8247" width="7.7109375" bestFit="1" customWidth="1"/>
    <col min="8248" max="8251" width="9.140625" hidden="1" customWidth="1"/>
    <col min="8252" max="8252" width="10.42578125" bestFit="1" customWidth="1"/>
    <col min="8253" max="8253" width="10.5703125" bestFit="1" customWidth="1"/>
    <col min="8254" max="8254" width="10.42578125" bestFit="1" customWidth="1"/>
    <col min="8255" max="8255" width="10.5703125" bestFit="1" customWidth="1"/>
    <col min="8256" max="8256" width="9.5703125" bestFit="1" customWidth="1"/>
    <col min="8257" max="8257" width="11.5703125" bestFit="1" customWidth="1"/>
    <col min="8258" max="8258" width="10.42578125" bestFit="1" customWidth="1"/>
    <col min="8259" max="8259" width="10.85546875" customWidth="1"/>
    <col min="8260" max="8261" width="9.85546875" bestFit="1" customWidth="1"/>
    <col min="8262" max="8262" width="13.5703125" bestFit="1" customWidth="1"/>
    <col min="8263" max="8263" width="7.7109375" bestFit="1" customWidth="1"/>
    <col min="8264" max="8264" width="13.28515625" bestFit="1" customWidth="1"/>
    <col min="8265" max="8265" width="11.5703125" bestFit="1" customWidth="1"/>
    <col min="8266" max="8266" width="10.42578125" bestFit="1" customWidth="1"/>
    <col min="8267" max="8267" width="7.7109375" bestFit="1" customWidth="1"/>
    <col min="8268" max="8268" width="11.5703125" bestFit="1" customWidth="1"/>
    <col min="8269" max="8269" width="10.85546875" bestFit="1" customWidth="1"/>
    <col min="8270" max="8270" width="13.28515625" bestFit="1" customWidth="1"/>
    <col min="8271" max="8271" width="10.85546875" bestFit="1" customWidth="1"/>
    <col min="8272" max="8273" width="7.5703125" bestFit="1" customWidth="1"/>
    <col min="8274" max="8275" width="10.42578125" bestFit="1" customWidth="1"/>
    <col min="8276" max="8276" width="11.5703125" bestFit="1" customWidth="1"/>
    <col min="8277" max="8277" width="5.28515625" bestFit="1" customWidth="1"/>
    <col min="8278" max="8278" width="10.28515625" bestFit="1" customWidth="1"/>
    <col min="8279" max="8279" width="10.42578125" bestFit="1" customWidth="1"/>
    <col min="8280" max="8280" width="11.5703125" bestFit="1" customWidth="1"/>
    <col min="8281" max="8281" width="5.28515625" bestFit="1" customWidth="1"/>
    <col min="8282" max="8284" width="11.5703125" bestFit="1" customWidth="1"/>
    <col min="8285" max="8285" width="5.28515625" bestFit="1" customWidth="1"/>
    <col min="8286" max="8287" width="10.42578125" bestFit="1" customWidth="1"/>
    <col min="8288" max="8288" width="11.5703125" bestFit="1" customWidth="1"/>
    <col min="8289" max="8289" width="5.28515625" bestFit="1" customWidth="1"/>
    <col min="8290" max="8290" width="14.28515625" bestFit="1" customWidth="1"/>
    <col min="8291" max="8291" width="13" bestFit="1" customWidth="1"/>
    <col min="8292" max="8292" width="11.5703125" bestFit="1" customWidth="1"/>
    <col min="8293" max="8293" width="8.85546875" bestFit="1" customWidth="1"/>
    <col min="8294" max="8294" width="14.42578125" bestFit="1" customWidth="1"/>
    <col min="8295" max="8295" width="10.42578125" bestFit="1" customWidth="1"/>
    <col min="8296" max="8296" width="12.28515625" bestFit="1" customWidth="1"/>
    <col min="8297" max="8297" width="13.85546875" bestFit="1" customWidth="1"/>
    <col min="8298" max="8298" width="11.28515625" customWidth="1"/>
    <col min="8299" max="8299" width="11.5703125" customWidth="1"/>
    <col min="8300" max="8300" width="13.42578125" bestFit="1" customWidth="1"/>
    <col min="8301" max="8301" width="10.42578125" customWidth="1"/>
    <col min="8302" max="8302" width="13.85546875" bestFit="1" customWidth="1"/>
    <col min="8303" max="8303" width="15.42578125" bestFit="1" customWidth="1"/>
    <col min="8304" max="8304" width="12.28515625" bestFit="1" customWidth="1"/>
    <col min="8305" max="8305" width="12.7109375" customWidth="1"/>
    <col min="8306" max="8306" width="10.7109375" bestFit="1" customWidth="1"/>
    <col min="8307" max="8307" width="9.85546875" customWidth="1"/>
    <col min="8308" max="8309" width="10.140625" bestFit="1" customWidth="1"/>
    <col min="8310" max="8310" width="7.5703125" bestFit="1" customWidth="1"/>
    <col min="8311" max="8311" width="9.42578125" bestFit="1" customWidth="1"/>
    <col min="8312" max="8312" width="14.5703125" bestFit="1" customWidth="1"/>
    <col min="8313" max="8313" width="14.85546875" customWidth="1"/>
    <col min="8314" max="8314" width="15.140625" bestFit="1" customWidth="1"/>
    <col min="8315" max="8315" width="12.140625" bestFit="1" customWidth="1"/>
    <col min="8316" max="8316" width="14.85546875" bestFit="1" customWidth="1"/>
    <col min="8317" max="8317" width="12.28515625" bestFit="1" customWidth="1"/>
    <col min="8318" max="8326" width="9.140625" hidden="1" customWidth="1"/>
    <col min="8327" max="8327" width="5.28515625" bestFit="1" customWidth="1"/>
    <col min="8328" max="8333" width="11.5703125" bestFit="1" customWidth="1"/>
    <col min="8334" max="8334" width="11.28515625" bestFit="1" customWidth="1"/>
    <col min="8335" max="8335" width="10.140625" bestFit="1" customWidth="1"/>
    <col min="8336" max="8336" width="11.5703125" bestFit="1" customWidth="1"/>
    <col min="8337" max="8337" width="16.140625" customWidth="1"/>
    <col min="8338" max="8338" width="13.42578125" customWidth="1"/>
    <col min="8339" max="8339" width="10.140625" bestFit="1" customWidth="1"/>
    <col min="8340" max="8340" width="12.85546875" bestFit="1" customWidth="1"/>
    <col min="8341" max="8341" width="12.28515625" bestFit="1" customWidth="1"/>
    <col min="8342" max="8342" width="11.28515625" bestFit="1" customWidth="1"/>
    <col min="8343" max="8343" width="11.5703125" bestFit="1" customWidth="1"/>
    <col min="8344" max="8344" width="10.85546875" bestFit="1" customWidth="1"/>
    <col min="8345" max="8345" width="11.28515625" bestFit="1" customWidth="1"/>
    <col min="8346" max="8346" width="10.140625" bestFit="1" customWidth="1"/>
    <col min="8347" max="8347" width="13.28515625" bestFit="1" customWidth="1"/>
    <col min="8348" max="8349" width="12.7109375" bestFit="1" customWidth="1"/>
    <col min="8350" max="8350" width="11" bestFit="1" customWidth="1"/>
    <col min="8351" max="8351" width="11.28515625" bestFit="1" customWidth="1"/>
    <col min="8352" max="8352" width="11.5703125" bestFit="1" customWidth="1"/>
    <col min="8353" max="8353" width="12.28515625" bestFit="1" customWidth="1"/>
    <col min="8354" max="8354" width="15.140625" bestFit="1" customWidth="1"/>
    <col min="8355" max="8355" width="14.42578125" bestFit="1" customWidth="1"/>
    <col min="8356" max="8356" width="12.28515625" bestFit="1" customWidth="1"/>
    <col min="8357" max="8357" width="15.140625" bestFit="1" customWidth="1"/>
    <col min="8358" max="8358" width="14.42578125" bestFit="1" customWidth="1"/>
    <col min="8359" max="8359" width="12.28515625" bestFit="1" customWidth="1"/>
    <col min="8360" max="8360" width="14.42578125" bestFit="1" customWidth="1"/>
    <col min="8361" max="8361" width="11.28515625" bestFit="1" customWidth="1"/>
    <col min="8362" max="8362" width="12.28515625" bestFit="1" customWidth="1"/>
    <col min="8363" max="8363" width="13" bestFit="1" customWidth="1"/>
    <col min="8364" max="8364" width="15.140625" bestFit="1" customWidth="1"/>
    <col min="8365" max="8365" width="12.28515625" bestFit="1" customWidth="1"/>
    <col min="8366" max="8366" width="13.85546875" bestFit="1" customWidth="1"/>
    <col min="8367" max="8367" width="11.28515625" bestFit="1" customWidth="1"/>
    <col min="8368" max="8368" width="12.28515625" bestFit="1" customWidth="1"/>
    <col min="8369" max="8369" width="13.85546875" bestFit="1" customWidth="1"/>
    <col min="8370" max="8371" width="15.140625" bestFit="1" customWidth="1"/>
    <col min="8372" max="8372" width="12.28515625" bestFit="1" customWidth="1"/>
    <col min="8373" max="8373" width="5.7109375" bestFit="1" customWidth="1"/>
    <col min="8374" max="8374" width="8.5703125" bestFit="1" customWidth="1"/>
    <col min="8375" max="8375" width="5.5703125" bestFit="1" customWidth="1"/>
    <col min="8376" max="8376" width="14.42578125" bestFit="1" customWidth="1"/>
    <col min="8377" max="8377" width="11.28515625" bestFit="1" customWidth="1"/>
    <col min="8378" max="8379" width="12.28515625" bestFit="1" customWidth="1"/>
    <col min="8380" max="8380" width="11.28515625" bestFit="1" customWidth="1"/>
    <col min="8381" max="8381" width="13.85546875" bestFit="1" customWidth="1"/>
    <col min="8382" max="8382" width="12" bestFit="1" customWidth="1"/>
    <col min="8383" max="8383" width="13.85546875" bestFit="1" customWidth="1"/>
    <col min="8384" max="8385" width="14.42578125" customWidth="1"/>
    <col min="8386" max="8386" width="10.140625" bestFit="1" customWidth="1"/>
    <col min="8387" max="8387" width="12.28515625" bestFit="1" customWidth="1"/>
    <col min="8388" max="8388" width="7.42578125" bestFit="1" customWidth="1"/>
    <col min="8389" max="8389" width="8.5703125" bestFit="1" customWidth="1"/>
    <col min="8390" max="8390" width="11.5703125" bestFit="1" customWidth="1"/>
    <col min="8391" max="8391" width="13.28515625" bestFit="1" customWidth="1"/>
    <col min="8392" max="8392" width="13.28515625" customWidth="1"/>
    <col min="8393" max="8393" width="13.140625" customWidth="1"/>
    <col min="8394" max="8394" width="12.7109375" bestFit="1" customWidth="1"/>
    <col min="8395" max="8395" width="13.28515625" bestFit="1" customWidth="1"/>
    <col min="8396" max="8398" width="13.28515625" customWidth="1"/>
    <col min="8399" max="8399" width="12.140625" bestFit="1" customWidth="1"/>
    <col min="8400" max="8400" width="12.7109375" bestFit="1" customWidth="1"/>
    <col min="8401" max="8401" width="11" customWidth="1"/>
    <col min="8402" max="8402" width="16.7109375" customWidth="1"/>
    <col min="8403" max="8403" width="17" customWidth="1"/>
    <col min="8404" max="8404" width="10.42578125" bestFit="1" customWidth="1"/>
    <col min="8448" max="8448" width="3.85546875" customWidth="1"/>
    <col min="8449" max="8449" width="15.28515625" bestFit="1" customWidth="1"/>
    <col min="8450" max="8450" width="12.28515625" customWidth="1"/>
    <col min="8451" max="8451" width="16.28515625" bestFit="1" customWidth="1"/>
    <col min="8452" max="8452" width="6.42578125" bestFit="1" customWidth="1"/>
    <col min="8453" max="8453" width="9.28515625" bestFit="1" customWidth="1"/>
    <col min="8454" max="8454" width="7.5703125" bestFit="1" customWidth="1"/>
    <col min="8455" max="8455" width="13.28515625" bestFit="1" customWidth="1"/>
    <col min="8456" max="8456" width="9.28515625" bestFit="1" customWidth="1"/>
    <col min="8457" max="8457" width="11.5703125" bestFit="1" customWidth="1"/>
    <col min="8458" max="8458" width="13.28515625" bestFit="1" customWidth="1"/>
    <col min="8459" max="8459" width="7.140625" bestFit="1" customWidth="1"/>
    <col min="8460" max="8460" width="12" bestFit="1" customWidth="1"/>
    <col min="8461" max="8461" width="13.28515625" bestFit="1" customWidth="1"/>
    <col min="8462" max="8462" width="7" bestFit="1" customWidth="1"/>
    <col min="8463" max="8463" width="12.7109375" bestFit="1" customWidth="1"/>
    <col min="8464" max="8464" width="11.5703125" bestFit="1" customWidth="1"/>
    <col min="8465" max="8465" width="10.5703125" bestFit="1" customWidth="1"/>
    <col min="8466" max="8467" width="15.7109375" bestFit="1" customWidth="1"/>
    <col min="8468" max="8468" width="11.5703125" bestFit="1" customWidth="1"/>
    <col min="8469" max="8469" width="7.7109375" bestFit="1" customWidth="1"/>
    <col min="8470" max="8470" width="15.140625" bestFit="1" customWidth="1"/>
    <col min="8471" max="8471" width="11.5703125" bestFit="1" customWidth="1"/>
    <col min="8472" max="8472" width="13.28515625" bestFit="1" customWidth="1"/>
    <col min="8473" max="8473" width="10.42578125" bestFit="1" customWidth="1"/>
    <col min="8474" max="8474" width="13.28515625" bestFit="1" customWidth="1"/>
    <col min="8475" max="8475" width="12.140625" bestFit="1" customWidth="1"/>
    <col min="8476" max="8476" width="14.42578125" bestFit="1" customWidth="1"/>
    <col min="8477" max="8477" width="13.28515625" bestFit="1" customWidth="1"/>
    <col min="8478" max="8478" width="11.5703125" bestFit="1" customWidth="1"/>
    <col min="8479" max="8479" width="7.7109375" bestFit="1" customWidth="1"/>
    <col min="8480" max="8481" width="14.42578125" bestFit="1" customWidth="1"/>
    <col min="8482" max="8482" width="11.5703125" bestFit="1" customWidth="1"/>
    <col min="8483" max="8483" width="7.7109375" bestFit="1" customWidth="1"/>
    <col min="8484" max="8484" width="13.5703125" customWidth="1"/>
    <col min="8485" max="8485" width="15.28515625" customWidth="1"/>
    <col min="8486" max="8486" width="14.5703125" customWidth="1"/>
    <col min="8487" max="8487" width="13.28515625" bestFit="1" customWidth="1"/>
    <col min="8488" max="8488" width="7.7109375" bestFit="1" customWidth="1"/>
    <col min="8489" max="8489" width="12.7109375" bestFit="1" customWidth="1"/>
    <col min="8490" max="8490" width="11.7109375" bestFit="1" customWidth="1"/>
    <col min="8491" max="8491" width="11.5703125" bestFit="1" customWidth="1"/>
    <col min="8492" max="8492" width="5.28515625" bestFit="1" customWidth="1"/>
    <col min="8493" max="8493" width="13.28515625" bestFit="1" customWidth="1"/>
    <col min="8494" max="8494" width="13.5703125" bestFit="1" customWidth="1"/>
    <col min="8495" max="8495" width="10.5703125" bestFit="1" customWidth="1"/>
    <col min="8496" max="8496" width="13.28515625" bestFit="1" customWidth="1"/>
    <col min="8497" max="8497" width="11.5703125" bestFit="1" customWidth="1"/>
    <col min="8498" max="8498" width="10.5703125" bestFit="1" customWidth="1"/>
    <col min="8499" max="8499" width="16.140625" bestFit="1" customWidth="1"/>
    <col min="8500" max="8501" width="11.28515625" bestFit="1" customWidth="1"/>
    <col min="8502" max="8502" width="13.28515625" bestFit="1" customWidth="1"/>
    <col min="8503" max="8503" width="7.7109375" bestFit="1" customWidth="1"/>
    <col min="8504" max="8507" width="9.140625" hidden="1" customWidth="1"/>
    <col min="8508" max="8508" width="10.42578125" bestFit="1" customWidth="1"/>
    <col min="8509" max="8509" width="10.5703125" bestFit="1" customWidth="1"/>
    <col min="8510" max="8510" width="10.42578125" bestFit="1" customWidth="1"/>
    <col min="8511" max="8511" width="10.5703125" bestFit="1" customWidth="1"/>
    <col min="8512" max="8512" width="9.5703125" bestFit="1" customWidth="1"/>
    <col min="8513" max="8513" width="11.5703125" bestFit="1" customWidth="1"/>
    <col min="8514" max="8514" width="10.42578125" bestFit="1" customWidth="1"/>
    <col min="8515" max="8515" width="10.85546875" customWidth="1"/>
    <col min="8516" max="8517" width="9.85546875" bestFit="1" customWidth="1"/>
    <col min="8518" max="8518" width="13.5703125" bestFit="1" customWidth="1"/>
    <col min="8519" max="8519" width="7.7109375" bestFit="1" customWidth="1"/>
    <col min="8520" max="8520" width="13.28515625" bestFit="1" customWidth="1"/>
    <col min="8521" max="8521" width="11.5703125" bestFit="1" customWidth="1"/>
    <col min="8522" max="8522" width="10.42578125" bestFit="1" customWidth="1"/>
    <col min="8523" max="8523" width="7.7109375" bestFit="1" customWidth="1"/>
    <col min="8524" max="8524" width="11.5703125" bestFit="1" customWidth="1"/>
    <col min="8525" max="8525" width="10.85546875" bestFit="1" customWidth="1"/>
    <col min="8526" max="8526" width="13.28515625" bestFit="1" customWidth="1"/>
    <col min="8527" max="8527" width="10.85546875" bestFit="1" customWidth="1"/>
    <col min="8528" max="8529" width="7.5703125" bestFit="1" customWidth="1"/>
    <col min="8530" max="8531" width="10.42578125" bestFit="1" customWidth="1"/>
    <col min="8532" max="8532" width="11.5703125" bestFit="1" customWidth="1"/>
    <col min="8533" max="8533" width="5.28515625" bestFit="1" customWidth="1"/>
    <col min="8534" max="8534" width="10.28515625" bestFit="1" customWidth="1"/>
    <col min="8535" max="8535" width="10.42578125" bestFit="1" customWidth="1"/>
    <col min="8536" max="8536" width="11.5703125" bestFit="1" customWidth="1"/>
    <col min="8537" max="8537" width="5.28515625" bestFit="1" customWidth="1"/>
    <col min="8538" max="8540" width="11.5703125" bestFit="1" customWidth="1"/>
    <col min="8541" max="8541" width="5.28515625" bestFit="1" customWidth="1"/>
    <col min="8542" max="8543" width="10.42578125" bestFit="1" customWidth="1"/>
    <col min="8544" max="8544" width="11.5703125" bestFit="1" customWidth="1"/>
    <col min="8545" max="8545" width="5.28515625" bestFit="1" customWidth="1"/>
    <col min="8546" max="8546" width="14.28515625" bestFit="1" customWidth="1"/>
    <col min="8547" max="8547" width="13" bestFit="1" customWidth="1"/>
    <col min="8548" max="8548" width="11.5703125" bestFit="1" customWidth="1"/>
    <col min="8549" max="8549" width="8.85546875" bestFit="1" customWidth="1"/>
    <col min="8550" max="8550" width="14.42578125" bestFit="1" customWidth="1"/>
    <col min="8551" max="8551" width="10.42578125" bestFit="1" customWidth="1"/>
    <col min="8552" max="8552" width="12.28515625" bestFit="1" customWidth="1"/>
    <col min="8553" max="8553" width="13.85546875" bestFit="1" customWidth="1"/>
    <col min="8554" max="8554" width="11.28515625" customWidth="1"/>
    <col min="8555" max="8555" width="11.5703125" customWidth="1"/>
    <col min="8556" max="8556" width="13.42578125" bestFit="1" customWidth="1"/>
    <col min="8557" max="8557" width="10.42578125" customWidth="1"/>
    <col min="8558" max="8558" width="13.85546875" bestFit="1" customWidth="1"/>
    <col min="8559" max="8559" width="15.42578125" bestFit="1" customWidth="1"/>
    <col min="8560" max="8560" width="12.28515625" bestFit="1" customWidth="1"/>
    <col min="8561" max="8561" width="12.7109375" customWidth="1"/>
    <col min="8562" max="8562" width="10.7109375" bestFit="1" customWidth="1"/>
    <col min="8563" max="8563" width="9.85546875" customWidth="1"/>
    <col min="8564" max="8565" width="10.140625" bestFit="1" customWidth="1"/>
    <col min="8566" max="8566" width="7.5703125" bestFit="1" customWidth="1"/>
    <col min="8567" max="8567" width="9.42578125" bestFit="1" customWidth="1"/>
    <col min="8568" max="8568" width="14.5703125" bestFit="1" customWidth="1"/>
    <col min="8569" max="8569" width="14.85546875" customWidth="1"/>
    <col min="8570" max="8570" width="15.140625" bestFit="1" customWidth="1"/>
    <col min="8571" max="8571" width="12.140625" bestFit="1" customWidth="1"/>
    <col min="8572" max="8572" width="14.85546875" bestFit="1" customWidth="1"/>
    <col min="8573" max="8573" width="12.28515625" bestFit="1" customWidth="1"/>
    <col min="8574" max="8582" width="9.140625" hidden="1" customWidth="1"/>
    <col min="8583" max="8583" width="5.28515625" bestFit="1" customWidth="1"/>
    <col min="8584" max="8589" width="11.5703125" bestFit="1" customWidth="1"/>
    <col min="8590" max="8590" width="11.28515625" bestFit="1" customWidth="1"/>
    <col min="8591" max="8591" width="10.140625" bestFit="1" customWidth="1"/>
    <col min="8592" max="8592" width="11.5703125" bestFit="1" customWidth="1"/>
    <col min="8593" max="8593" width="16.140625" customWidth="1"/>
    <col min="8594" max="8594" width="13.42578125" customWidth="1"/>
    <col min="8595" max="8595" width="10.140625" bestFit="1" customWidth="1"/>
    <col min="8596" max="8596" width="12.85546875" bestFit="1" customWidth="1"/>
    <col min="8597" max="8597" width="12.28515625" bestFit="1" customWidth="1"/>
    <col min="8598" max="8598" width="11.28515625" bestFit="1" customWidth="1"/>
    <col min="8599" max="8599" width="11.5703125" bestFit="1" customWidth="1"/>
    <col min="8600" max="8600" width="10.85546875" bestFit="1" customWidth="1"/>
    <col min="8601" max="8601" width="11.28515625" bestFit="1" customWidth="1"/>
    <col min="8602" max="8602" width="10.140625" bestFit="1" customWidth="1"/>
    <col min="8603" max="8603" width="13.28515625" bestFit="1" customWidth="1"/>
    <col min="8604" max="8605" width="12.7109375" bestFit="1" customWidth="1"/>
    <col min="8606" max="8606" width="11" bestFit="1" customWidth="1"/>
    <col min="8607" max="8607" width="11.28515625" bestFit="1" customWidth="1"/>
    <col min="8608" max="8608" width="11.5703125" bestFit="1" customWidth="1"/>
    <col min="8609" max="8609" width="12.28515625" bestFit="1" customWidth="1"/>
    <col min="8610" max="8610" width="15.140625" bestFit="1" customWidth="1"/>
    <col min="8611" max="8611" width="14.42578125" bestFit="1" customWidth="1"/>
    <col min="8612" max="8612" width="12.28515625" bestFit="1" customWidth="1"/>
    <col min="8613" max="8613" width="15.140625" bestFit="1" customWidth="1"/>
    <col min="8614" max="8614" width="14.42578125" bestFit="1" customWidth="1"/>
    <col min="8615" max="8615" width="12.28515625" bestFit="1" customWidth="1"/>
    <col min="8616" max="8616" width="14.42578125" bestFit="1" customWidth="1"/>
    <col min="8617" max="8617" width="11.28515625" bestFit="1" customWidth="1"/>
    <col min="8618" max="8618" width="12.28515625" bestFit="1" customWidth="1"/>
    <col min="8619" max="8619" width="13" bestFit="1" customWidth="1"/>
    <col min="8620" max="8620" width="15.140625" bestFit="1" customWidth="1"/>
    <col min="8621" max="8621" width="12.28515625" bestFit="1" customWidth="1"/>
    <col min="8622" max="8622" width="13.85546875" bestFit="1" customWidth="1"/>
    <col min="8623" max="8623" width="11.28515625" bestFit="1" customWidth="1"/>
    <col min="8624" max="8624" width="12.28515625" bestFit="1" customWidth="1"/>
    <col min="8625" max="8625" width="13.85546875" bestFit="1" customWidth="1"/>
    <col min="8626" max="8627" width="15.140625" bestFit="1" customWidth="1"/>
    <col min="8628" max="8628" width="12.28515625" bestFit="1" customWidth="1"/>
    <col min="8629" max="8629" width="5.7109375" bestFit="1" customWidth="1"/>
    <col min="8630" max="8630" width="8.5703125" bestFit="1" customWidth="1"/>
    <col min="8631" max="8631" width="5.5703125" bestFit="1" customWidth="1"/>
    <col min="8632" max="8632" width="14.42578125" bestFit="1" customWidth="1"/>
    <col min="8633" max="8633" width="11.28515625" bestFit="1" customWidth="1"/>
    <col min="8634" max="8635" width="12.28515625" bestFit="1" customWidth="1"/>
    <col min="8636" max="8636" width="11.28515625" bestFit="1" customWidth="1"/>
    <col min="8637" max="8637" width="13.85546875" bestFit="1" customWidth="1"/>
    <col min="8638" max="8638" width="12" bestFit="1" customWidth="1"/>
    <col min="8639" max="8639" width="13.85546875" bestFit="1" customWidth="1"/>
    <col min="8640" max="8641" width="14.42578125" customWidth="1"/>
    <col min="8642" max="8642" width="10.140625" bestFit="1" customWidth="1"/>
    <col min="8643" max="8643" width="12.28515625" bestFit="1" customWidth="1"/>
    <col min="8644" max="8644" width="7.42578125" bestFit="1" customWidth="1"/>
    <col min="8645" max="8645" width="8.5703125" bestFit="1" customWidth="1"/>
    <col min="8646" max="8646" width="11.5703125" bestFit="1" customWidth="1"/>
    <col min="8647" max="8647" width="13.28515625" bestFit="1" customWidth="1"/>
    <col min="8648" max="8648" width="13.28515625" customWidth="1"/>
    <col min="8649" max="8649" width="13.140625" customWidth="1"/>
    <col min="8650" max="8650" width="12.7109375" bestFit="1" customWidth="1"/>
    <col min="8651" max="8651" width="13.28515625" bestFit="1" customWidth="1"/>
    <col min="8652" max="8654" width="13.28515625" customWidth="1"/>
    <col min="8655" max="8655" width="12.140625" bestFit="1" customWidth="1"/>
    <col min="8656" max="8656" width="12.7109375" bestFit="1" customWidth="1"/>
    <col min="8657" max="8657" width="11" customWidth="1"/>
    <col min="8658" max="8658" width="16.7109375" customWidth="1"/>
    <col min="8659" max="8659" width="17" customWidth="1"/>
    <col min="8660" max="8660" width="10.42578125" bestFit="1" customWidth="1"/>
    <col min="8704" max="8704" width="3.85546875" customWidth="1"/>
    <col min="8705" max="8705" width="15.28515625" bestFit="1" customWidth="1"/>
    <col min="8706" max="8706" width="12.28515625" customWidth="1"/>
    <col min="8707" max="8707" width="16.28515625" bestFit="1" customWidth="1"/>
    <col min="8708" max="8708" width="6.42578125" bestFit="1" customWidth="1"/>
    <col min="8709" max="8709" width="9.28515625" bestFit="1" customWidth="1"/>
    <col min="8710" max="8710" width="7.5703125" bestFit="1" customWidth="1"/>
    <col min="8711" max="8711" width="13.28515625" bestFit="1" customWidth="1"/>
    <col min="8712" max="8712" width="9.28515625" bestFit="1" customWidth="1"/>
    <col min="8713" max="8713" width="11.5703125" bestFit="1" customWidth="1"/>
    <col min="8714" max="8714" width="13.28515625" bestFit="1" customWidth="1"/>
    <col min="8715" max="8715" width="7.140625" bestFit="1" customWidth="1"/>
    <col min="8716" max="8716" width="12" bestFit="1" customWidth="1"/>
    <col min="8717" max="8717" width="13.28515625" bestFit="1" customWidth="1"/>
    <col min="8718" max="8718" width="7" bestFit="1" customWidth="1"/>
    <col min="8719" max="8719" width="12.7109375" bestFit="1" customWidth="1"/>
    <col min="8720" max="8720" width="11.5703125" bestFit="1" customWidth="1"/>
    <col min="8721" max="8721" width="10.5703125" bestFit="1" customWidth="1"/>
    <col min="8722" max="8723" width="15.7109375" bestFit="1" customWidth="1"/>
    <col min="8724" max="8724" width="11.5703125" bestFit="1" customWidth="1"/>
    <col min="8725" max="8725" width="7.7109375" bestFit="1" customWidth="1"/>
    <col min="8726" max="8726" width="15.140625" bestFit="1" customWidth="1"/>
    <col min="8727" max="8727" width="11.5703125" bestFit="1" customWidth="1"/>
    <col min="8728" max="8728" width="13.28515625" bestFit="1" customWidth="1"/>
    <col min="8729" max="8729" width="10.42578125" bestFit="1" customWidth="1"/>
    <col min="8730" max="8730" width="13.28515625" bestFit="1" customWidth="1"/>
    <col min="8731" max="8731" width="12.140625" bestFit="1" customWidth="1"/>
    <col min="8732" max="8732" width="14.42578125" bestFit="1" customWidth="1"/>
    <col min="8733" max="8733" width="13.28515625" bestFit="1" customWidth="1"/>
    <col min="8734" max="8734" width="11.5703125" bestFit="1" customWidth="1"/>
    <col min="8735" max="8735" width="7.7109375" bestFit="1" customWidth="1"/>
    <col min="8736" max="8737" width="14.42578125" bestFit="1" customWidth="1"/>
    <col min="8738" max="8738" width="11.5703125" bestFit="1" customWidth="1"/>
    <col min="8739" max="8739" width="7.7109375" bestFit="1" customWidth="1"/>
    <col min="8740" max="8740" width="13.5703125" customWidth="1"/>
    <col min="8741" max="8741" width="15.28515625" customWidth="1"/>
    <col min="8742" max="8742" width="14.5703125" customWidth="1"/>
    <col min="8743" max="8743" width="13.28515625" bestFit="1" customWidth="1"/>
    <col min="8744" max="8744" width="7.7109375" bestFit="1" customWidth="1"/>
    <col min="8745" max="8745" width="12.7109375" bestFit="1" customWidth="1"/>
    <col min="8746" max="8746" width="11.7109375" bestFit="1" customWidth="1"/>
    <col min="8747" max="8747" width="11.5703125" bestFit="1" customWidth="1"/>
    <col min="8748" max="8748" width="5.28515625" bestFit="1" customWidth="1"/>
    <col min="8749" max="8749" width="13.28515625" bestFit="1" customWidth="1"/>
    <col min="8750" max="8750" width="13.5703125" bestFit="1" customWidth="1"/>
    <col min="8751" max="8751" width="10.5703125" bestFit="1" customWidth="1"/>
    <col min="8752" max="8752" width="13.28515625" bestFit="1" customWidth="1"/>
    <col min="8753" max="8753" width="11.5703125" bestFit="1" customWidth="1"/>
    <col min="8754" max="8754" width="10.5703125" bestFit="1" customWidth="1"/>
    <col min="8755" max="8755" width="16.140625" bestFit="1" customWidth="1"/>
    <col min="8756" max="8757" width="11.28515625" bestFit="1" customWidth="1"/>
    <col min="8758" max="8758" width="13.28515625" bestFit="1" customWidth="1"/>
    <col min="8759" max="8759" width="7.7109375" bestFit="1" customWidth="1"/>
    <col min="8760" max="8763" width="9.140625" hidden="1" customWidth="1"/>
    <col min="8764" max="8764" width="10.42578125" bestFit="1" customWidth="1"/>
    <col min="8765" max="8765" width="10.5703125" bestFit="1" customWidth="1"/>
    <col min="8766" max="8766" width="10.42578125" bestFit="1" customWidth="1"/>
    <col min="8767" max="8767" width="10.5703125" bestFit="1" customWidth="1"/>
    <col min="8768" max="8768" width="9.5703125" bestFit="1" customWidth="1"/>
    <col min="8769" max="8769" width="11.5703125" bestFit="1" customWidth="1"/>
    <col min="8770" max="8770" width="10.42578125" bestFit="1" customWidth="1"/>
    <col min="8771" max="8771" width="10.85546875" customWidth="1"/>
    <col min="8772" max="8773" width="9.85546875" bestFit="1" customWidth="1"/>
    <col min="8774" max="8774" width="13.5703125" bestFit="1" customWidth="1"/>
    <col min="8775" max="8775" width="7.7109375" bestFit="1" customWidth="1"/>
    <col min="8776" max="8776" width="13.28515625" bestFit="1" customWidth="1"/>
    <col min="8777" max="8777" width="11.5703125" bestFit="1" customWidth="1"/>
    <col min="8778" max="8778" width="10.42578125" bestFit="1" customWidth="1"/>
    <col min="8779" max="8779" width="7.7109375" bestFit="1" customWidth="1"/>
    <col min="8780" max="8780" width="11.5703125" bestFit="1" customWidth="1"/>
    <col min="8781" max="8781" width="10.85546875" bestFit="1" customWidth="1"/>
    <col min="8782" max="8782" width="13.28515625" bestFit="1" customWidth="1"/>
    <col min="8783" max="8783" width="10.85546875" bestFit="1" customWidth="1"/>
    <col min="8784" max="8785" width="7.5703125" bestFit="1" customWidth="1"/>
    <col min="8786" max="8787" width="10.42578125" bestFit="1" customWidth="1"/>
    <col min="8788" max="8788" width="11.5703125" bestFit="1" customWidth="1"/>
    <col min="8789" max="8789" width="5.28515625" bestFit="1" customWidth="1"/>
    <col min="8790" max="8790" width="10.28515625" bestFit="1" customWidth="1"/>
    <col min="8791" max="8791" width="10.42578125" bestFit="1" customWidth="1"/>
    <col min="8792" max="8792" width="11.5703125" bestFit="1" customWidth="1"/>
    <col min="8793" max="8793" width="5.28515625" bestFit="1" customWidth="1"/>
    <col min="8794" max="8796" width="11.5703125" bestFit="1" customWidth="1"/>
    <col min="8797" max="8797" width="5.28515625" bestFit="1" customWidth="1"/>
    <col min="8798" max="8799" width="10.42578125" bestFit="1" customWidth="1"/>
    <col min="8800" max="8800" width="11.5703125" bestFit="1" customWidth="1"/>
    <col min="8801" max="8801" width="5.28515625" bestFit="1" customWidth="1"/>
    <col min="8802" max="8802" width="14.28515625" bestFit="1" customWidth="1"/>
    <col min="8803" max="8803" width="13" bestFit="1" customWidth="1"/>
    <col min="8804" max="8804" width="11.5703125" bestFit="1" customWidth="1"/>
    <col min="8805" max="8805" width="8.85546875" bestFit="1" customWidth="1"/>
    <col min="8806" max="8806" width="14.42578125" bestFit="1" customWidth="1"/>
    <col min="8807" max="8807" width="10.42578125" bestFit="1" customWidth="1"/>
    <col min="8808" max="8808" width="12.28515625" bestFit="1" customWidth="1"/>
    <col min="8809" max="8809" width="13.85546875" bestFit="1" customWidth="1"/>
    <col min="8810" max="8810" width="11.28515625" customWidth="1"/>
    <col min="8811" max="8811" width="11.5703125" customWidth="1"/>
    <col min="8812" max="8812" width="13.42578125" bestFit="1" customWidth="1"/>
    <col min="8813" max="8813" width="10.42578125" customWidth="1"/>
    <col min="8814" max="8814" width="13.85546875" bestFit="1" customWidth="1"/>
    <col min="8815" max="8815" width="15.42578125" bestFit="1" customWidth="1"/>
    <col min="8816" max="8816" width="12.28515625" bestFit="1" customWidth="1"/>
    <col min="8817" max="8817" width="12.7109375" customWidth="1"/>
    <col min="8818" max="8818" width="10.7109375" bestFit="1" customWidth="1"/>
    <col min="8819" max="8819" width="9.85546875" customWidth="1"/>
    <col min="8820" max="8821" width="10.140625" bestFit="1" customWidth="1"/>
    <col min="8822" max="8822" width="7.5703125" bestFit="1" customWidth="1"/>
    <col min="8823" max="8823" width="9.42578125" bestFit="1" customWidth="1"/>
    <col min="8824" max="8824" width="14.5703125" bestFit="1" customWidth="1"/>
    <col min="8825" max="8825" width="14.85546875" customWidth="1"/>
    <col min="8826" max="8826" width="15.140625" bestFit="1" customWidth="1"/>
    <col min="8827" max="8827" width="12.140625" bestFit="1" customWidth="1"/>
    <col min="8828" max="8828" width="14.85546875" bestFit="1" customWidth="1"/>
    <col min="8829" max="8829" width="12.28515625" bestFit="1" customWidth="1"/>
    <col min="8830" max="8838" width="9.140625" hidden="1" customWidth="1"/>
    <col min="8839" max="8839" width="5.28515625" bestFit="1" customWidth="1"/>
    <col min="8840" max="8845" width="11.5703125" bestFit="1" customWidth="1"/>
    <col min="8846" max="8846" width="11.28515625" bestFit="1" customWidth="1"/>
    <col min="8847" max="8847" width="10.140625" bestFit="1" customWidth="1"/>
    <col min="8848" max="8848" width="11.5703125" bestFit="1" customWidth="1"/>
    <col min="8849" max="8849" width="16.140625" customWidth="1"/>
    <col min="8850" max="8850" width="13.42578125" customWidth="1"/>
    <col min="8851" max="8851" width="10.140625" bestFit="1" customWidth="1"/>
    <col min="8852" max="8852" width="12.85546875" bestFit="1" customWidth="1"/>
    <col min="8853" max="8853" width="12.28515625" bestFit="1" customWidth="1"/>
    <col min="8854" max="8854" width="11.28515625" bestFit="1" customWidth="1"/>
    <col min="8855" max="8855" width="11.5703125" bestFit="1" customWidth="1"/>
    <col min="8856" max="8856" width="10.85546875" bestFit="1" customWidth="1"/>
    <col min="8857" max="8857" width="11.28515625" bestFit="1" customWidth="1"/>
    <col min="8858" max="8858" width="10.140625" bestFit="1" customWidth="1"/>
    <col min="8859" max="8859" width="13.28515625" bestFit="1" customWidth="1"/>
    <col min="8860" max="8861" width="12.7109375" bestFit="1" customWidth="1"/>
    <col min="8862" max="8862" width="11" bestFit="1" customWidth="1"/>
    <col min="8863" max="8863" width="11.28515625" bestFit="1" customWidth="1"/>
    <col min="8864" max="8864" width="11.5703125" bestFit="1" customWidth="1"/>
    <col min="8865" max="8865" width="12.28515625" bestFit="1" customWidth="1"/>
    <col min="8866" max="8866" width="15.140625" bestFit="1" customWidth="1"/>
    <col min="8867" max="8867" width="14.42578125" bestFit="1" customWidth="1"/>
    <col min="8868" max="8868" width="12.28515625" bestFit="1" customWidth="1"/>
    <col min="8869" max="8869" width="15.140625" bestFit="1" customWidth="1"/>
    <col min="8870" max="8870" width="14.42578125" bestFit="1" customWidth="1"/>
    <col min="8871" max="8871" width="12.28515625" bestFit="1" customWidth="1"/>
    <col min="8872" max="8872" width="14.42578125" bestFit="1" customWidth="1"/>
    <col min="8873" max="8873" width="11.28515625" bestFit="1" customWidth="1"/>
    <col min="8874" max="8874" width="12.28515625" bestFit="1" customWidth="1"/>
    <col min="8875" max="8875" width="13" bestFit="1" customWidth="1"/>
    <col min="8876" max="8876" width="15.140625" bestFit="1" customWidth="1"/>
    <col min="8877" max="8877" width="12.28515625" bestFit="1" customWidth="1"/>
    <col min="8878" max="8878" width="13.85546875" bestFit="1" customWidth="1"/>
    <col min="8879" max="8879" width="11.28515625" bestFit="1" customWidth="1"/>
    <col min="8880" max="8880" width="12.28515625" bestFit="1" customWidth="1"/>
    <col min="8881" max="8881" width="13.85546875" bestFit="1" customWidth="1"/>
    <col min="8882" max="8883" width="15.140625" bestFit="1" customWidth="1"/>
    <col min="8884" max="8884" width="12.28515625" bestFit="1" customWidth="1"/>
    <col min="8885" max="8885" width="5.7109375" bestFit="1" customWidth="1"/>
    <col min="8886" max="8886" width="8.5703125" bestFit="1" customWidth="1"/>
    <col min="8887" max="8887" width="5.5703125" bestFit="1" customWidth="1"/>
    <col min="8888" max="8888" width="14.42578125" bestFit="1" customWidth="1"/>
    <col min="8889" max="8889" width="11.28515625" bestFit="1" customWidth="1"/>
    <col min="8890" max="8891" width="12.28515625" bestFit="1" customWidth="1"/>
    <col min="8892" max="8892" width="11.28515625" bestFit="1" customWidth="1"/>
    <col min="8893" max="8893" width="13.85546875" bestFit="1" customWidth="1"/>
    <col min="8894" max="8894" width="12" bestFit="1" customWidth="1"/>
    <col min="8895" max="8895" width="13.85546875" bestFit="1" customWidth="1"/>
    <col min="8896" max="8897" width="14.42578125" customWidth="1"/>
    <col min="8898" max="8898" width="10.140625" bestFit="1" customWidth="1"/>
    <col min="8899" max="8899" width="12.28515625" bestFit="1" customWidth="1"/>
    <col min="8900" max="8900" width="7.42578125" bestFit="1" customWidth="1"/>
    <col min="8901" max="8901" width="8.5703125" bestFit="1" customWidth="1"/>
    <col min="8902" max="8902" width="11.5703125" bestFit="1" customWidth="1"/>
    <col min="8903" max="8903" width="13.28515625" bestFit="1" customWidth="1"/>
    <col min="8904" max="8904" width="13.28515625" customWidth="1"/>
    <col min="8905" max="8905" width="13.140625" customWidth="1"/>
    <col min="8906" max="8906" width="12.7109375" bestFit="1" customWidth="1"/>
    <col min="8907" max="8907" width="13.28515625" bestFit="1" customWidth="1"/>
    <col min="8908" max="8910" width="13.28515625" customWidth="1"/>
    <col min="8911" max="8911" width="12.140625" bestFit="1" customWidth="1"/>
    <col min="8912" max="8912" width="12.7109375" bestFit="1" customWidth="1"/>
    <col min="8913" max="8913" width="11" customWidth="1"/>
    <col min="8914" max="8914" width="16.7109375" customWidth="1"/>
    <col min="8915" max="8915" width="17" customWidth="1"/>
    <col min="8916" max="8916" width="10.42578125" bestFit="1" customWidth="1"/>
    <col min="8960" max="8960" width="3.85546875" customWidth="1"/>
    <col min="8961" max="8961" width="15.28515625" bestFit="1" customWidth="1"/>
    <col min="8962" max="8962" width="12.28515625" customWidth="1"/>
    <col min="8963" max="8963" width="16.28515625" bestFit="1" customWidth="1"/>
    <col min="8964" max="8964" width="6.42578125" bestFit="1" customWidth="1"/>
    <col min="8965" max="8965" width="9.28515625" bestFit="1" customWidth="1"/>
    <col min="8966" max="8966" width="7.5703125" bestFit="1" customWidth="1"/>
    <col min="8967" max="8967" width="13.28515625" bestFit="1" customWidth="1"/>
    <col min="8968" max="8968" width="9.28515625" bestFit="1" customWidth="1"/>
    <col min="8969" max="8969" width="11.5703125" bestFit="1" customWidth="1"/>
    <col min="8970" max="8970" width="13.28515625" bestFit="1" customWidth="1"/>
    <col min="8971" max="8971" width="7.140625" bestFit="1" customWidth="1"/>
    <col min="8972" max="8972" width="12" bestFit="1" customWidth="1"/>
    <col min="8973" max="8973" width="13.28515625" bestFit="1" customWidth="1"/>
    <col min="8974" max="8974" width="7" bestFit="1" customWidth="1"/>
    <col min="8975" max="8975" width="12.7109375" bestFit="1" customWidth="1"/>
    <col min="8976" max="8976" width="11.5703125" bestFit="1" customWidth="1"/>
    <col min="8977" max="8977" width="10.5703125" bestFit="1" customWidth="1"/>
    <col min="8978" max="8979" width="15.7109375" bestFit="1" customWidth="1"/>
    <col min="8980" max="8980" width="11.5703125" bestFit="1" customWidth="1"/>
    <col min="8981" max="8981" width="7.7109375" bestFit="1" customWidth="1"/>
    <col min="8982" max="8982" width="15.140625" bestFit="1" customWidth="1"/>
    <col min="8983" max="8983" width="11.5703125" bestFit="1" customWidth="1"/>
    <col min="8984" max="8984" width="13.28515625" bestFit="1" customWidth="1"/>
    <col min="8985" max="8985" width="10.42578125" bestFit="1" customWidth="1"/>
    <col min="8986" max="8986" width="13.28515625" bestFit="1" customWidth="1"/>
    <col min="8987" max="8987" width="12.140625" bestFit="1" customWidth="1"/>
    <col min="8988" max="8988" width="14.42578125" bestFit="1" customWidth="1"/>
    <col min="8989" max="8989" width="13.28515625" bestFit="1" customWidth="1"/>
    <col min="8990" max="8990" width="11.5703125" bestFit="1" customWidth="1"/>
    <col min="8991" max="8991" width="7.7109375" bestFit="1" customWidth="1"/>
    <col min="8992" max="8993" width="14.42578125" bestFit="1" customWidth="1"/>
    <col min="8994" max="8994" width="11.5703125" bestFit="1" customWidth="1"/>
    <col min="8995" max="8995" width="7.7109375" bestFit="1" customWidth="1"/>
    <col min="8996" max="8996" width="13.5703125" customWidth="1"/>
    <col min="8997" max="8997" width="15.28515625" customWidth="1"/>
    <col min="8998" max="8998" width="14.5703125" customWidth="1"/>
    <col min="8999" max="8999" width="13.28515625" bestFit="1" customWidth="1"/>
    <col min="9000" max="9000" width="7.7109375" bestFit="1" customWidth="1"/>
    <col min="9001" max="9001" width="12.7109375" bestFit="1" customWidth="1"/>
    <col min="9002" max="9002" width="11.7109375" bestFit="1" customWidth="1"/>
    <col min="9003" max="9003" width="11.5703125" bestFit="1" customWidth="1"/>
    <col min="9004" max="9004" width="5.28515625" bestFit="1" customWidth="1"/>
    <col min="9005" max="9005" width="13.28515625" bestFit="1" customWidth="1"/>
    <col min="9006" max="9006" width="13.5703125" bestFit="1" customWidth="1"/>
    <col min="9007" max="9007" width="10.5703125" bestFit="1" customWidth="1"/>
    <col min="9008" max="9008" width="13.28515625" bestFit="1" customWidth="1"/>
    <col min="9009" max="9009" width="11.5703125" bestFit="1" customWidth="1"/>
    <col min="9010" max="9010" width="10.5703125" bestFit="1" customWidth="1"/>
    <col min="9011" max="9011" width="16.140625" bestFit="1" customWidth="1"/>
    <col min="9012" max="9013" width="11.28515625" bestFit="1" customWidth="1"/>
    <col min="9014" max="9014" width="13.28515625" bestFit="1" customWidth="1"/>
    <col min="9015" max="9015" width="7.7109375" bestFit="1" customWidth="1"/>
    <col min="9016" max="9019" width="9.140625" hidden="1" customWidth="1"/>
    <col min="9020" max="9020" width="10.42578125" bestFit="1" customWidth="1"/>
    <col min="9021" max="9021" width="10.5703125" bestFit="1" customWidth="1"/>
    <col min="9022" max="9022" width="10.42578125" bestFit="1" customWidth="1"/>
    <col min="9023" max="9023" width="10.5703125" bestFit="1" customWidth="1"/>
    <col min="9024" max="9024" width="9.5703125" bestFit="1" customWidth="1"/>
    <col min="9025" max="9025" width="11.5703125" bestFit="1" customWidth="1"/>
    <col min="9026" max="9026" width="10.42578125" bestFit="1" customWidth="1"/>
    <col min="9027" max="9027" width="10.85546875" customWidth="1"/>
    <col min="9028" max="9029" width="9.85546875" bestFit="1" customWidth="1"/>
    <col min="9030" max="9030" width="13.5703125" bestFit="1" customWidth="1"/>
    <col min="9031" max="9031" width="7.7109375" bestFit="1" customWidth="1"/>
    <col min="9032" max="9032" width="13.28515625" bestFit="1" customWidth="1"/>
    <col min="9033" max="9033" width="11.5703125" bestFit="1" customWidth="1"/>
    <col min="9034" max="9034" width="10.42578125" bestFit="1" customWidth="1"/>
    <col min="9035" max="9035" width="7.7109375" bestFit="1" customWidth="1"/>
    <col min="9036" max="9036" width="11.5703125" bestFit="1" customWidth="1"/>
    <col min="9037" max="9037" width="10.85546875" bestFit="1" customWidth="1"/>
    <col min="9038" max="9038" width="13.28515625" bestFit="1" customWidth="1"/>
    <col min="9039" max="9039" width="10.85546875" bestFit="1" customWidth="1"/>
    <col min="9040" max="9041" width="7.5703125" bestFit="1" customWidth="1"/>
    <col min="9042" max="9043" width="10.42578125" bestFit="1" customWidth="1"/>
    <col min="9044" max="9044" width="11.5703125" bestFit="1" customWidth="1"/>
    <col min="9045" max="9045" width="5.28515625" bestFit="1" customWidth="1"/>
    <col min="9046" max="9046" width="10.28515625" bestFit="1" customWidth="1"/>
    <col min="9047" max="9047" width="10.42578125" bestFit="1" customWidth="1"/>
    <col min="9048" max="9048" width="11.5703125" bestFit="1" customWidth="1"/>
    <col min="9049" max="9049" width="5.28515625" bestFit="1" customWidth="1"/>
    <col min="9050" max="9052" width="11.5703125" bestFit="1" customWidth="1"/>
    <col min="9053" max="9053" width="5.28515625" bestFit="1" customWidth="1"/>
    <col min="9054" max="9055" width="10.42578125" bestFit="1" customWidth="1"/>
    <col min="9056" max="9056" width="11.5703125" bestFit="1" customWidth="1"/>
    <col min="9057" max="9057" width="5.28515625" bestFit="1" customWidth="1"/>
    <col min="9058" max="9058" width="14.28515625" bestFit="1" customWidth="1"/>
    <col min="9059" max="9059" width="13" bestFit="1" customWidth="1"/>
    <col min="9060" max="9060" width="11.5703125" bestFit="1" customWidth="1"/>
    <col min="9061" max="9061" width="8.85546875" bestFit="1" customWidth="1"/>
    <col min="9062" max="9062" width="14.42578125" bestFit="1" customWidth="1"/>
    <col min="9063" max="9063" width="10.42578125" bestFit="1" customWidth="1"/>
    <col min="9064" max="9064" width="12.28515625" bestFit="1" customWidth="1"/>
    <col min="9065" max="9065" width="13.85546875" bestFit="1" customWidth="1"/>
    <col min="9066" max="9066" width="11.28515625" customWidth="1"/>
    <col min="9067" max="9067" width="11.5703125" customWidth="1"/>
    <col min="9068" max="9068" width="13.42578125" bestFit="1" customWidth="1"/>
    <col min="9069" max="9069" width="10.42578125" customWidth="1"/>
    <col min="9070" max="9070" width="13.85546875" bestFit="1" customWidth="1"/>
    <col min="9071" max="9071" width="15.42578125" bestFit="1" customWidth="1"/>
    <col min="9072" max="9072" width="12.28515625" bestFit="1" customWidth="1"/>
    <col min="9073" max="9073" width="12.7109375" customWidth="1"/>
    <col min="9074" max="9074" width="10.7109375" bestFit="1" customWidth="1"/>
    <col min="9075" max="9075" width="9.85546875" customWidth="1"/>
    <col min="9076" max="9077" width="10.140625" bestFit="1" customWidth="1"/>
    <col min="9078" max="9078" width="7.5703125" bestFit="1" customWidth="1"/>
    <col min="9079" max="9079" width="9.42578125" bestFit="1" customWidth="1"/>
    <col min="9080" max="9080" width="14.5703125" bestFit="1" customWidth="1"/>
    <col min="9081" max="9081" width="14.85546875" customWidth="1"/>
    <col min="9082" max="9082" width="15.140625" bestFit="1" customWidth="1"/>
    <col min="9083" max="9083" width="12.140625" bestFit="1" customWidth="1"/>
    <col min="9084" max="9084" width="14.85546875" bestFit="1" customWidth="1"/>
    <col min="9085" max="9085" width="12.28515625" bestFit="1" customWidth="1"/>
    <col min="9086" max="9094" width="9.140625" hidden="1" customWidth="1"/>
    <col min="9095" max="9095" width="5.28515625" bestFit="1" customWidth="1"/>
    <col min="9096" max="9101" width="11.5703125" bestFit="1" customWidth="1"/>
    <col min="9102" max="9102" width="11.28515625" bestFit="1" customWidth="1"/>
    <col min="9103" max="9103" width="10.140625" bestFit="1" customWidth="1"/>
    <col min="9104" max="9104" width="11.5703125" bestFit="1" customWidth="1"/>
    <col min="9105" max="9105" width="16.140625" customWidth="1"/>
    <col min="9106" max="9106" width="13.42578125" customWidth="1"/>
    <col min="9107" max="9107" width="10.140625" bestFit="1" customWidth="1"/>
    <col min="9108" max="9108" width="12.85546875" bestFit="1" customWidth="1"/>
    <col min="9109" max="9109" width="12.28515625" bestFit="1" customWidth="1"/>
    <col min="9110" max="9110" width="11.28515625" bestFit="1" customWidth="1"/>
    <col min="9111" max="9111" width="11.5703125" bestFit="1" customWidth="1"/>
    <col min="9112" max="9112" width="10.85546875" bestFit="1" customWidth="1"/>
    <col min="9113" max="9113" width="11.28515625" bestFit="1" customWidth="1"/>
    <col min="9114" max="9114" width="10.140625" bestFit="1" customWidth="1"/>
    <col min="9115" max="9115" width="13.28515625" bestFit="1" customWidth="1"/>
    <col min="9116" max="9117" width="12.7109375" bestFit="1" customWidth="1"/>
    <col min="9118" max="9118" width="11" bestFit="1" customWidth="1"/>
    <col min="9119" max="9119" width="11.28515625" bestFit="1" customWidth="1"/>
    <col min="9120" max="9120" width="11.5703125" bestFit="1" customWidth="1"/>
    <col min="9121" max="9121" width="12.28515625" bestFit="1" customWidth="1"/>
    <col min="9122" max="9122" width="15.140625" bestFit="1" customWidth="1"/>
    <col min="9123" max="9123" width="14.42578125" bestFit="1" customWidth="1"/>
    <col min="9124" max="9124" width="12.28515625" bestFit="1" customWidth="1"/>
    <col min="9125" max="9125" width="15.140625" bestFit="1" customWidth="1"/>
    <col min="9126" max="9126" width="14.42578125" bestFit="1" customWidth="1"/>
    <col min="9127" max="9127" width="12.28515625" bestFit="1" customWidth="1"/>
    <col min="9128" max="9128" width="14.42578125" bestFit="1" customWidth="1"/>
    <col min="9129" max="9129" width="11.28515625" bestFit="1" customWidth="1"/>
    <col min="9130" max="9130" width="12.28515625" bestFit="1" customWidth="1"/>
    <col min="9131" max="9131" width="13" bestFit="1" customWidth="1"/>
    <col min="9132" max="9132" width="15.140625" bestFit="1" customWidth="1"/>
    <col min="9133" max="9133" width="12.28515625" bestFit="1" customWidth="1"/>
    <col min="9134" max="9134" width="13.85546875" bestFit="1" customWidth="1"/>
    <col min="9135" max="9135" width="11.28515625" bestFit="1" customWidth="1"/>
    <col min="9136" max="9136" width="12.28515625" bestFit="1" customWidth="1"/>
    <col min="9137" max="9137" width="13.85546875" bestFit="1" customWidth="1"/>
    <col min="9138" max="9139" width="15.140625" bestFit="1" customWidth="1"/>
    <col min="9140" max="9140" width="12.28515625" bestFit="1" customWidth="1"/>
    <col min="9141" max="9141" width="5.7109375" bestFit="1" customWidth="1"/>
    <col min="9142" max="9142" width="8.5703125" bestFit="1" customWidth="1"/>
    <col min="9143" max="9143" width="5.5703125" bestFit="1" customWidth="1"/>
    <col min="9144" max="9144" width="14.42578125" bestFit="1" customWidth="1"/>
    <col min="9145" max="9145" width="11.28515625" bestFit="1" customWidth="1"/>
    <col min="9146" max="9147" width="12.28515625" bestFit="1" customWidth="1"/>
    <col min="9148" max="9148" width="11.28515625" bestFit="1" customWidth="1"/>
    <col min="9149" max="9149" width="13.85546875" bestFit="1" customWidth="1"/>
    <col min="9150" max="9150" width="12" bestFit="1" customWidth="1"/>
    <col min="9151" max="9151" width="13.85546875" bestFit="1" customWidth="1"/>
    <col min="9152" max="9153" width="14.42578125" customWidth="1"/>
    <col min="9154" max="9154" width="10.140625" bestFit="1" customWidth="1"/>
    <col min="9155" max="9155" width="12.28515625" bestFit="1" customWidth="1"/>
    <col min="9156" max="9156" width="7.42578125" bestFit="1" customWidth="1"/>
    <col min="9157" max="9157" width="8.5703125" bestFit="1" customWidth="1"/>
    <col min="9158" max="9158" width="11.5703125" bestFit="1" customWidth="1"/>
    <col min="9159" max="9159" width="13.28515625" bestFit="1" customWidth="1"/>
    <col min="9160" max="9160" width="13.28515625" customWidth="1"/>
    <col min="9161" max="9161" width="13.140625" customWidth="1"/>
    <col min="9162" max="9162" width="12.7109375" bestFit="1" customWidth="1"/>
    <col min="9163" max="9163" width="13.28515625" bestFit="1" customWidth="1"/>
    <col min="9164" max="9166" width="13.28515625" customWidth="1"/>
    <col min="9167" max="9167" width="12.140625" bestFit="1" customWidth="1"/>
    <col min="9168" max="9168" width="12.7109375" bestFit="1" customWidth="1"/>
    <col min="9169" max="9169" width="11" customWidth="1"/>
    <col min="9170" max="9170" width="16.7109375" customWidth="1"/>
    <col min="9171" max="9171" width="17" customWidth="1"/>
    <col min="9172" max="9172" width="10.42578125" bestFit="1" customWidth="1"/>
    <col min="9216" max="9216" width="3.85546875" customWidth="1"/>
    <col min="9217" max="9217" width="15.28515625" bestFit="1" customWidth="1"/>
    <col min="9218" max="9218" width="12.28515625" customWidth="1"/>
    <col min="9219" max="9219" width="16.28515625" bestFit="1" customWidth="1"/>
    <col min="9220" max="9220" width="6.42578125" bestFit="1" customWidth="1"/>
    <col min="9221" max="9221" width="9.28515625" bestFit="1" customWidth="1"/>
    <col min="9222" max="9222" width="7.5703125" bestFit="1" customWidth="1"/>
    <col min="9223" max="9223" width="13.28515625" bestFit="1" customWidth="1"/>
    <col min="9224" max="9224" width="9.28515625" bestFit="1" customWidth="1"/>
    <col min="9225" max="9225" width="11.5703125" bestFit="1" customWidth="1"/>
    <col min="9226" max="9226" width="13.28515625" bestFit="1" customWidth="1"/>
    <col min="9227" max="9227" width="7.140625" bestFit="1" customWidth="1"/>
    <col min="9228" max="9228" width="12" bestFit="1" customWidth="1"/>
    <col min="9229" max="9229" width="13.28515625" bestFit="1" customWidth="1"/>
    <col min="9230" max="9230" width="7" bestFit="1" customWidth="1"/>
    <col min="9231" max="9231" width="12.7109375" bestFit="1" customWidth="1"/>
    <col min="9232" max="9232" width="11.5703125" bestFit="1" customWidth="1"/>
    <col min="9233" max="9233" width="10.5703125" bestFit="1" customWidth="1"/>
    <col min="9234" max="9235" width="15.7109375" bestFit="1" customWidth="1"/>
    <col min="9236" max="9236" width="11.5703125" bestFit="1" customWidth="1"/>
    <col min="9237" max="9237" width="7.7109375" bestFit="1" customWidth="1"/>
    <col min="9238" max="9238" width="15.140625" bestFit="1" customWidth="1"/>
    <col min="9239" max="9239" width="11.5703125" bestFit="1" customWidth="1"/>
    <col min="9240" max="9240" width="13.28515625" bestFit="1" customWidth="1"/>
    <col min="9241" max="9241" width="10.42578125" bestFit="1" customWidth="1"/>
    <col min="9242" max="9242" width="13.28515625" bestFit="1" customWidth="1"/>
    <col min="9243" max="9243" width="12.140625" bestFit="1" customWidth="1"/>
    <col min="9244" max="9244" width="14.42578125" bestFit="1" customWidth="1"/>
    <col min="9245" max="9245" width="13.28515625" bestFit="1" customWidth="1"/>
    <col min="9246" max="9246" width="11.5703125" bestFit="1" customWidth="1"/>
    <col min="9247" max="9247" width="7.7109375" bestFit="1" customWidth="1"/>
    <col min="9248" max="9249" width="14.42578125" bestFit="1" customWidth="1"/>
    <col min="9250" max="9250" width="11.5703125" bestFit="1" customWidth="1"/>
    <col min="9251" max="9251" width="7.7109375" bestFit="1" customWidth="1"/>
    <col min="9252" max="9252" width="13.5703125" customWidth="1"/>
    <col min="9253" max="9253" width="15.28515625" customWidth="1"/>
    <col min="9254" max="9254" width="14.5703125" customWidth="1"/>
    <col min="9255" max="9255" width="13.28515625" bestFit="1" customWidth="1"/>
    <col min="9256" max="9256" width="7.7109375" bestFit="1" customWidth="1"/>
    <col min="9257" max="9257" width="12.7109375" bestFit="1" customWidth="1"/>
    <col min="9258" max="9258" width="11.7109375" bestFit="1" customWidth="1"/>
    <col min="9259" max="9259" width="11.5703125" bestFit="1" customWidth="1"/>
    <col min="9260" max="9260" width="5.28515625" bestFit="1" customWidth="1"/>
    <col min="9261" max="9261" width="13.28515625" bestFit="1" customWidth="1"/>
    <col min="9262" max="9262" width="13.5703125" bestFit="1" customWidth="1"/>
    <col min="9263" max="9263" width="10.5703125" bestFit="1" customWidth="1"/>
    <col min="9264" max="9264" width="13.28515625" bestFit="1" customWidth="1"/>
    <col min="9265" max="9265" width="11.5703125" bestFit="1" customWidth="1"/>
    <col min="9266" max="9266" width="10.5703125" bestFit="1" customWidth="1"/>
    <col min="9267" max="9267" width="16.140625" bestFit="1" customWidth="1"/>
    <col min="9268" max="9269" width="11.28515625" bestFit="1" customWidth="1"/>
    <col min="9270" max="9270" width="13.28515625" bestFit="1" customWidth="1"/>
    <col min="9271" max="9271" width="7.7109375" bestFit="1" customWidth="1"/>
    <col min="9272" max="9275" width="9.140625" hidden="1" customWidth="1"/>
    <col min="9276" max="9276" width="10.42578125" bestFit="1" customWidth="1"/>
    <col min="9277" max="9277" width="10.5703125" bestFit="1" customWidth="1"/>
    <col min="9278" max="9278" width="10.42578125" bestFit="1" customWidth="1"/>
    <col min="9279" max="9279" width="10.5703125" bestFit="1" customWidth="1"/>
    <col min="9280" max="9280" width="9.5703125" bestFit="1" customWidth="1"/>
    <col min="9281" max="9281" width="11.5703125" bestFit="1" customWidth="1"/>
    <col min="9282" max="9282" width="10.42578125" bestFit="1" customWidth="1"/>
    <col min="9283" max="9283" width="10.85546875" customWidth="1"/>
    <col min="9284" max="9285" width="9.85546875" bestFit="1" customWidth="1"/>
    <col min="9286" max="9286" width="13.5703125" bestFit="1" customWidth="1"/>
    <col min="9287" max="9287" width="7.7109375" bestFit="1" customWidth="1"/>
    <col min="9288" max="9288" width="13.28515625" bestFit="1" customWidth="1"/>
    <col min="9289" max="9289" width="11.5703125" bestFit="1" customWidth="1"/>
    <col min="9290" max="9290" width="10.42578125" bestFit="1" customWidth="1"/>
    <col min="9291" max="9291" width="7.7109375" bestFit="1" customWidth="1"/>
    <col min="9292" max="9292" width="11.5703125" bestFit="1" customWidth="1"/>
    <col min="9293" max="9293" width="10.85546875" bestFit="1" customWidth="1"/>
    <col min="9294" max="9294" width="13.28515625" bestFit="1" customWidth="1"/>
    <col min="9295" max="9295" width="10.85546875" bestFit="1" customWidth="1"/>
    <col min="9296" max="9297" width="7.5703125" bestFit="1" customWidth="1"/>
    <col min="9298" max="9299" width="10.42578125" bestFit="1" customWidth="1"/>
    <col min="9300" max="9300" width="11.5703125" bestFit="1" customWidth="1"/>
    <col min="9301" max="9301" width="5.28515625" bestFit="1" customWidth="1"/>
    <col min="9302" max="9302" width="10.28515625" bestFit="1" customWidth="1"/>
    <col min="9303" max="9303" width="10.42578125" bestFit="1" customWidth="1"/>
    <col min="9304" max="9304" width="11.5703125" bestFit="1" customWidth="1"/>
    <col min="9305" max="9305" width="5.28515625" bestFit="1" customWidth="1"/>
    <col min="9306" max="9308" width="11.5703125" bestFit="1" customWidth="1"/>
    <col min="9309" max="9309" width="5.28515625" bestFit="1" customWidth="1"/>
    <col min="9310" max="9311" width="10.42578125" bestFit="1" customWidth="1"/>
    <col min="9312" max="9312" width="11.5703125" bestFit="1" customWidth="1"/>
    <col min="9313" max="9313" width="5.28515625" bestFit="1" customWidth="1"/>
    <col min="9314" max="9314" width="14.28515625" bestFit="1" customWidth="1"/>
    <col min="9315" max="9315" width="13" bestFit="1" customWidth="1"/>
    <col min="9316" max="9316" width="11.5703125" bestFit="1" customWidth="1"/>
    <col min="9317" max="9317" width="8.85546875" bestFit="1" customWidth="1"/>
    <col min="9318" max="9318" width="14.42578125" bestFit="1" customWidth="1"/>
    <col min="9319" max="9319" width="10.42578125" bestFit="1" customWidth="1"/>
    <col min="9320" max="9320" width="12.28515625" bestFit="1" customWidth="1"/>
    <col min="9321" max="9321" width="13.85546875" bestFit="1" customWidth="1"/>
    <col min="9322" max="9322" width="11.28515625" customWidth="1"/>
    <col min="9323" max="9323" width="11.5703125" customWidth="1"/>
    <col min="9324" max="9324" width="13.42578125" bestFit="1" customWidth="1"/>
    <col min="9325" max="9325" width="10.42578125" customWidth="1"/>
    <col min="9326" max="9326" width="13.85546875" bestFit="1" customWidth="1"/>
    <col min="9327" max="9327" width="15.42578125" bestFit="1" customWidth="1"/>
    <col min="9328" max="9328" width="12.28515625" bestFit="1" customWidth="1"/>
    <col min="9329" max="9329" width="12.7109375" customWidth="1"/>
    <col min="9330" max="9330" width="10.7109375" bestFit="1" customWidth="1"/>
    <col min="9331" max="9331" width="9.85546875" customWidth="1"/>
    <col min="9332" max="9333" width="10.140625" bestFit="1" customWidth="1"/>
    <col min="9334" max="9334" width="7.5703125" bestFit="1" customWidth="1"/>
    <col min="9335" max="9335" width="9.42578125" bestFit="1" customWidth="1"/>
    <col min="9336" max="9336" width="14.5703125" bestFit="1" customWidth="1"/>
    <col min="9337" max="9337" width="14.85546875" customWidth="1"/>
    <col min="9338" max="9338" width="15.140625" bestFit="1" customWidth="1"/>
    <col min="9339" max="9339" width="12.140625" bestFit="1" customWidth="1"/>
    <col min="9340" max="9340" width="14.85546875" bestFit="1" customWidth="1"/>
    <col min="9341" max="9341" width="12.28515625" bestFit="1" customWidth="1"/>
    <col min="9342" max="9350" width="9.140625" hidden="1" customWidth="1"/>
    <col min="9351" max="9351" width="5.28515625" bestFit="1" customWidth="1"/>
    <col min="9352" max="9357" width="11.5703125" bestFit="1" customWidth="1"/>
    <col min="9358" max="9358" width="11.28515625" bestFit="1" customWidth="1"/>
    <col min="9359" max="9359" width="10.140625" bestFit="1" customWidth="1"/>
    <col min="9360" max="9360" width="11.5703125" bestFit="1" customWidth="1"/>
    <col min="9361" max="9361" width="16.140625" customWidth="1"/>
    <col min="9362" max="9362" width="13.42578125" customWidth="1"/>
    <col min="9363" max="9363" width="10.140625" bestFit="1" customWidth="1"/>
    <col min="9364" max="9364" width="12.85546875" bestFit="1" customWidth="1"/>
    <col min="9365" max="9365" width="12.28515625" bestFit="1" customWidth="1"/>
    <col min="9366" max="9366" width="11.28515625" bestFit="1" customWidth="1"/>
    <col min="9367" max="9367" width="11.5703125" bestFit="1" customWidth="1"/>
    <col min="9368" max="9368" width="10.85546875" bestFit="1" customWidth="1"/>
    <col min="9369" max="9369" width="11.28515625" bestFit="1" customWidth="1"/>
    <col min="9370" max="9370" width="10.140625" bestFit="1" customWidth="1"/>
    <col min="9371" max="9371" width="13.28515625" bestFit="1" customWidth="1"/>
    <col min="9372" max="9373" width="12.7109375" bestFit="1" customWidth="1"/>
    <col min="9374" max="9374" width="11" bestFit="1" customWidth="1"/>
    <col min="9375" max="9375" width="11.28515625" bestFit="1" customWidth="1"/>
    <col min="9376" max="9376" width="11.5703125" bestFit="1" customWidth="1"/>
    <col min="9377" max="9377" width="12.28515625" bestFit="1" customWidth="1"/>
    <col min="9378" max="9378" width="15.140625" bestFit="1" customWidth="1"/>
    <col min="9379" max="9379" width="14.42578125" bestFit="1" customWidth="1"/>
    <col min="9380" max="9380" width="12.28515625" bestFit="1" customWidth="1"/>
    <col min="9381" max="9381" width="15.140625" bestFit="1" customWidth="1"/>
    <col min="9382" max="9382" width="14.42578125" bestFit="1" customWidth="1"/>
    <col min="9383" max="9383" width="12.28515625" bestFit="1" customWidth="1"/>
    <col min="9384" max="9384" width="14.42578125" bestFit="1" customWidth="1"/>
    <col min="9385" max="9385" width="11.28515625" bestFit="1" customWidth="1"/>
    <col min="9386" max="9386" width="12.28515625" bestFit="1" customWidth="1"/>
    <col min="9387" max="9387" width="13" bestFit="1" customWidth="1"/>
    <col min="9388" max="9388" width="15.140625" bestFit="1" customWidth="1"/>
    <col min="9389" max="9389" width="12.28515625" bestFit="1" customWidth="1"/>
    <col min="9390" max="9390" width="13.85546875" bestFit="1" customWidth="1"/>
    <col min="9391" max="9391" width="11.28515625" bestFit="1" customWidth="1"/>
    <col min="9392" max="9392" width="12.28515625" bestFit="1" customWidth="1"/>
    <col min="9393" max="9393" width="13.85546875" bestFit="1" customWidth="1"/>
    <col min="9394" max="9395" width="15.140625" bestFit="1" customWidth="1"/>
    <col min="9396" max="9396" width="12.28515625" bestFit="1" customWidth="1"/>
    <col min="9397" max="9397" width="5.7109375" bestFit="1" customWidth="1"/>
    <col min="9398" max="9398" width="8.5703125" bestFit="1" customWidth="1"/>
    <col min="9399" max="9399" width="5.5703125" bestFit="1" customWidth="1"/>
    <col min="9400" max="9400" width="14.42578125" bestFit="1" customWidth="1"/>
    <col min="9401" max="9401" width="11.28515625" bestFit="1" customWidth="1"/>
    <col min="9402" max="9403" width="12.28515625" bestFit="1" customWidth="1"/>
    <col min="9404" max="9404" width="11.28515625" bestFit="1" customWidth="1"/>
    <col min="9405" max="9405" width="13.85546875" bestFit="1" customWidth="1"/>
    <col min="9406" max="9406" width="12" bestFit="1" customWidth="1"/>
    <col min="9407" max="9407" width="13.85546875" bestFit="1" customWidth="1"/>
    <col min="9408" max="9409" width="14.42578125" customWidth="1"/>
    <col min="9410" max="9410" width="10.140625" bestFit="1" customWidth="1"/>
    <col min="9411" max="9411" width="12.28515625" bestFit="1" customWidth="1"/>
    <col min="9412" max="9412" width="7.42578125" bestFit="1" customWidth="1"/>
    <col min="9413" max="9413" width="8.5703125" bestFit="1" customWidth="1"/>
    <col min="9414" max="9414" width="11.5703125" bestFit="1" customWidth="1"/>
    <col min="9415" max="9415" width="13.28515625" bestFit="1" customWidth="1"/>
    <col min="9416" max="9416" width="13.28515625" customWidth="1"/>
    <col min="9417" max="9417" width="13.140625" customWidth="1"/>
    <col min="9418" max="9418" width="12.7109375" bestFit="1" customWidth="1"/>
    <col min="9419" max="9419" width="13.28515625" bestFit="1" customWidth="1"/>
    <col min="9420" max="9422" width="13.28515625" customWidth="1"/>
    <col min="9423" max="9423" width="12.140625" bestFit="1" customWidth="1"/>
    <col min="9424" max="9424" width="12.7109375" bestFit="1" customWidth="1"/>
    <col min="9425" max="9425" width="11" customWidth="1"/>
    <col min="9426" max="9426" width="16.7109375" customWidth="1"/>
    <col min="9427" max="9427" width="17" customWidth="1"/>
    <col min="9428" max="9428" width="10.42578125" bestFit="1" customWidth="1"/>
    <col min="9472" max="9472" width="3.85546875" customWidth="1"/>
    <col min="9473" max="9473" width="15.28515625" bestFit="1" customWidth="1"/>
    <col min="9474" max="9474" width="12.28515625" customWidth="1"/>
    <col min="9475" max="9475" width="16.28515625" bestFit="1" customWidth="1"/>
    <col min="9476" max="9476" width="6.42578125" bestFit="1" customWidth="1"/>
    <col min="9477" max="9477" width="9.28515625" bestFit="1" customWidth="1"/>
    <col min="9478" max="9478" width="7.5703125" bestFit="1" customWidth="1"/>
    <col min="9479" max="9479" width="13.28515625" bestFit="1" customWidth="1"/>
    <col min="9480" max="9480" width="9.28515625" bestFit="1" customWidth="1"/>
    <col min="9481" max="9481" width="11.5703125" bestFit="1" customWidth="1"/>
    <col min="9482" max="9482" width="13.28515625" bestFit="1" customWidth="1"/>
    <col min="9483" max="9483" width="7.140625" bestFit="1" customWidth="1"/>
    <col min="9484" max="9484" width="12" bestFit="1" customWidth="1"/>
    <col min="9485" max="9485" width="13.28515625" bestFit="1" customWidth="1"/>
    <col min="9486" max="9486" width="7" bestFit="1" customWidth="1"/>
    <col min="9487" max="9487" width="12.7109375" bestFit="1" customWidth="1"/>
    <col min="9488" max="9488" width="11.5703125" bestFit="1" customWidth="1"/>
    <col min="9489" max="9489" width="10.5703125" bestFit="1" customWidth="1"/>
    <col min="9490" max="9491" width="15.7109375" bestFit="1" customWidth="1"/>
    <col min="9492" max="9492" width="11.5703125" bestFit="1" customWidth="1"/>
    <col min="9493" max="9493" width="7.7109375" bestFit="1" customWidth="1"/>
    <col min="9494" max="9494" width="15.140625" bestFit="1" customWidth="1"/>
    <col min="9495" max="9495" width="11.5703125" bestFit="1" customWidth="1"/>
    <col min="9496" max="9496" width="13.28515625" bestFit="1" customWidth="1"/>
    <col min="9497" max="9497" width="10.42578125" bestFit="1" customWidth="1"/>
    <col min="9498" max="9498" width="13.28515625" bestFit="1" customWidth="1"/>
    <col min="9499" max="9499" width="12.140625" bestFit="1" customWidth="1"/>
    <col min="9500" max="9500" width="14.42578125" bestFit="1" customWidth="1"/>
    <col min="9501" max="9501" width="13.28515625" bestFit="1" customWidth="1"/>
    <col min="9502" max="9502" width="11.5703125" bestFit="1" customWidth="1"/>
    <col min="9503" max="9503" width="7.7109375" bestFit="1" customWidth="1"/>
    <col min="9504" max="9505" width="14.42578125" bestFit="1" customWidth="1"/>
    <col min="9506" max="9506" width="11.5703125" bestFit="1" customWidth="1"/>
    <col min="9507" max="9507" width="7.7109375" bestFit="1" customWidth="1"/>
    <col min="9508" max="9508" width="13.5703125" customWidth="1"/>
    <col min="9509" max="9509" width="15.28515625" customWidth="1"/>
    <col min="9510" max="9510" width="14.5703125" customWidth="1"/>
    <col min="9511" max="9511" width="13.28515625" bestFit="1" customWidth="1"/>
    <col min="9512" max="9512" width="7.7109375" bestFit="1" customWidth="1"/>
    <col min="9513" max="9513" width="12.7109375" bestFit="1" customWidth="1"/>
    <col min="9514" max="9514" width="11.7109375" bestFit="1" customWidth="1"/>
    <col min="9515" max="9515" width="11.5703125" bestFit="1" customWidth="1"/>
    <col min="9516" max="9516" width="5.28515625" bestFit="1" customWidth="1"/>
    <col min="9517" max="9517" width="13.28515625" bestFit="1" customWidth="1"/>
    <col min="9518" max="9518" width="13.5703125" bestFit="1" customWidth="1"/>
    <col min="9519" max="9519" width="10.5703125" bestFit="1" customWidth="1"/>
    <col min="9520" max="9520" width="13.28515625" bestFit="1" customWidth="1"/>
    <col min="9521" max="9521" width="11.5703125" bestFit="1" customWidth="1"/>
    <col min="9522" max="9522" width="10.5703125" bestFit="1" customWidth="1"/>
    <col min="9523" max="9523" width="16.140625" bestFit="1" customWidth="1"/>
    <col min="9524" max="9525" width="11.28515625" bestFit="1" customWidth="1"/>
    <col min="9526" max="9526" width="13.28515625" bestFit="1" customWidth="1"/>
    <col min="9527" max="9527" width="7.7109375" bestFit="1" customWidth="1"/>
    <col min="9528" max="9531" width="9.140625" hidden="1" customWidth="1"/>
    <col min="9532" max="9532" width="10.42578125" bestFit="1" customWidth="1"/>
    <col min="9533" max="9533" width="10.5703125" bestFit="1" customWidth="1"/>
    <col min="9534" max="9534" width="10.42578125" bestFit="1" customWidth="1"/>
    <col min="9535" max="9535" width="10.5703125" bestFit="1" customWidth="1"/>
    <col min="9536" max="9536" width="9.5703125" bestFit="1" customWidth="1"/>
    <col min="9537" max="9537" width="11.5703125" bestFit="1" customWidth="1"/>
    <col min="9538" max="9538" width="10.42578125" bestFit="1" customWidth="1"/>
    <col min="9539" max="9539" width="10.85546875" customWidth="1"/>
    <col min="9540" max="9541" width="9.85546875" bestFit="1" customWidth="1"/>
    <col min="9542" max="9542" width="13.5703125" bestFit="1" customWidth="1"/>
    <col min="9543" max="9543" width="7.7109375" bestFit="1" customWidth="1"/>
    <col min="9544" max="9544" width="13.28515625" bestFit="1" customWidth="1"/>
    <col min="9545" max="9545" width="11.5703125" bestFit="1" customWidth="1"/>
    <col min="9546" max="9546" width="10.42578125" bestFit="1" customWidth="1"/>
    <col min="9547" max="9547" width="7.7109375" bestFit="1" customWidth="1"/>
    <col min="9548" max="9548" width="11.5703125" bestFit="1" customWidth="1"/>
    <col min="9549" max="9549" width="10.85546875" bestFit="1" customWidth="1"/>
    <col min="9550" max="9550" width="13.28515625" bestFit="1" customWidth="1"/>
    <col min="9551" max="9551" width="10.85546875" bestFit="1" customWidth="1"/>
    <col min="9552" max="9553" width="7.5703125" bestFit="1" customWidth="1"/>
    <col min="9554" max="9555" width="10.42578125" bestFit="1" customWidth="1"/>
    <col min="9556" max="9556" width="11.5703125" bestFit="1" customWidth="1"/>
    <col min="9557" max="9557" width="5.28515625" bestFit="1" customWidth="1"/>
    <col min="9558" max="9558" width="10.28515625" bestFit="1" customWidth="1"/>
    <col min="9559" max="9559" width="10.42578125" bestFit="1" customWidth="1"/>
    <col min="9560" max="9560" width="11.5703125" bestFit="1" customWidth="1"/>
    <col min="9561" max="9561" width="5.28515625" bestFit="1" customWidth="1"/>
    <col min="9562" max="9564" width="11.5703125" bestFit="1" customWidth="1"/>
    <col min="9565" max="9565" width="5.28515625" bestFit="1" customWidth="1"/>
    <col min="9566" max="9567" width="10.42578125" bestFit="1" customWidth="1"/>
    <col min="9568" max="9568" width="11.5703125" bestFit="1" customWidth="1"/>
    <col min="9569" max="9569" width="5.28515625" bestFit="1" customWidth="1"/>
    <col min="9570" max="9570" width="14.28515625" bestFit="1" customWidth="1"/>
    <col min="9571" max="9571" width="13" bestFit="1" customWidth="1"/>
    <col min="9572" max="9572" width="11.5703125" bestFit="1" customWidth="1"/>
    <col min="9573" max="9573" width="8.85546875" bestFit="1" customWidth="1"/>
    <col min="9574" max="9574" width="14.42578125" bestFit="1" customWidth="1"/>
    <col min="9575" max="9575" width="10.42578125" bestFit="1" customWidth="1"/>
    <col min="9576" max="9576" width="12.28515625" bestFit="1" customWidth="1"/>
    <col min="9577" max="9577" width="13.85546875" bestFit="1" customWidth="1"/>
    <col min="9578" max="9578" width="11.28515625" customWidth="1"/>
    <col min="9579" max="9579" width="11.5703125" customWidth="1"/>
    <col min="9580" max="9580" width="13.42578125" bestFit="1" customWidth="1"/>
    <col min="9581" max="9581" width="10.42578125" customWidth="1"/>
    <col min="9582" max="9582" width="13.85546875" bestFit="1" customWidth="1"/>
    <col min="9583" max="9583" width="15.42578125" bestFit="1" customWidth="1"/>
    <col min="9584" max="9584" width="12.28515625" bestFit="1" customWidth="1"/>
    <col min="9585" max="9585" width="12.7109375" customWidth="1"/>
    <col min="9586" max="9586" width="10.7109375" bestFit="1" customWidth="1"/>
    <col min="9587" max="9587" width="9.85546875" customWidth="1"/>
    <col min="9588" max="9589" width="10.140625" bestFit="1" customWidth="1"/>
    <col min="9590" max="9590" width="7.5703125" bestFit="1" customWidth="1"/>
    <col min="9591" max="9591" width="9.42578125" bestFit="1" customWidth="1"/>
    <col min="9592" max="9592" width="14.5703125" bestFit="1" customWidth="1"/>
    <col min="9593" max="9593" width="14.85546875" customWidth="1"/>
    <col min="9594" max="9594" width="15.140625" bestFit="1" customWidth="1"/>
    <col min="9595" max="9595" width="12.140625" bestFit="1" customWidth="1"/>
    <col min="9596" max="9596" width="14.85546875" bestFit="1" customWidth="1"/>
    <col min="9597" max="9597" width="12.28515625" bestFit="1" customWidth="1"/>
    <col min="9598" max="9606" width="9.140625" hidden="1" customWidth="1"/>
    <col min="9607" max="9607" width="5.28515625" bestFit="1" customWidth="1"/>
    <col min="9608" max="9613" width="11.5703125" bestFit="1" customWidth="1"/>
    <col min="9614" max="9614" width="11.28515625" bestFit="1" customWidth="1"/>
    <col min="9615" max="9615" width="10.140625" bestFit="1" customWidth="1"/>
    <col min="9616" max="9616" width="11.5703125" bestFit="1" customWidth="1"/>
    <col min="9617" max="9617" width="16.140625" customWidth="1"/>
    <col min="9618" max="9618" width="13.42578125" customWidth="1"/>
    <col min="9619" max="9619" width="10.140625" bestFit="1" customWidth="1"/>
    <col min="9620" max="9620" width="12.85546875" bestFit="1" customWidth="1"/>
    <col min="9621" max="9621" width="12.28515625" bestFit="1" customWidth="1"/>
    <col min="9622" max="9622" width="11.28515625" bestFit="1" customWidth="1"/>
    <col min="9623" max="9623" width="11.5703125" bestFit="1" customWidth="1"/>
    <col min="9624" max="9624" width="10.85546875" bestFit="1" customWidth="1"/>
    <col min="9625" max="9625" width="11.28515625" bestFit="1" customWidth="1"/>
    <col min="9626" max="9626" width="10.140625" bestFit="1" customWidth="1"/>
    <col min="9627" max="9627" width="13.28515625" bestFit="1" customWidth="1"/>
    <col min="9628" max="9629" width="12.7109375" bestFit="1" customWidth="1"/>
    <col min="9630" max="9630" width="11" bestFit="1" customWidth="1"/>
    <col min="9631" max="9631" width="11.28515625" bestFit="1" customWidth="1"/>
    <col min="9632" max="9632" width="11.5703125" bestFit="1" customWidth="1"/>
    <col min="9633" max="9633" width="12.28515625" bestFit="1" customWidth="1"/>
    <col min="9634" max="9634" width="15.140625" bestFit="1" customWidth="1"/>
    <col min="9635" max="9635" width="14.42578125" bestFit="1" customWidth="1"/>
    <col min="9636" max="9636" width="12.28515625" bestFit="1" customWidth="1"/>
    <col min="9637" max="9637" width="15.140625" bestFit="1" customWidth="1"/>
    <col min="9638" max="9638" width="14.42578125" bestFit="1" customWidth="1"/>
    <col min="9639" max="9639" width="12.28515625" bestFit="1" customWidth="1"/>
    <col min="9640" max="9640" width="14.42578125" bestFit="1" customWidth="1"/>
    <col min="9641" max="9641" width="11.28515625" bestFit="1" customWidth="1"/>
    <col min="9642" max="9642" width="12.28515625" bestFit="1" customWidth="1"/>
    <col min="9643" max="9643" width="13" bestFit="1" customWidth="1"/>
    <col min="9644" max="9644" width="15.140625" bestFit="1" customWidth="1"/>
    <col min="9645" max="9645" width="12.28515625" bestFit="1" customWidth="1"/>
    <col min="9646" max="9646" width="13.85546875" bestFit="1" customWidth="1"/>
    <col min="9647" max="9647" width="11.28515625" bestFit="1" customWidth="1"/>
    <col min="9648" max="9648" width="12.28515625" bestFit="1" customWidth="1"/>
    <col min="9649" max="9649" width="13.85546875" bestFit="1" customWidth="1"/>
    <col min="9650" max="9651" width="15.140625" bestFit="1" customWidth="1"/>
    <col min="9652" max="9652" width="12.28515625" bestFit="1" customWidth="1"/>
    <col min="9653" max="9653" width="5.7109375" bestFit="1" customWidth="1"/>
    <col min="9654" max="9654" width="8.5703125" bestFit="1" customWidth="1"/>
    <col min="9655" max="9655" width="5.5703125" bestFit="1" customWidth="1"/>
    <col min="9656" max="9656" width="14.42578125" bestFit="1" customWidth="1"/>
    <col min="9657" max="9657" width="11.28515625" bestFit="1" customWidth="1"/>
    <col min="9658" max="9659" width="12.28515625" bestFit="1" customWidth="1"/>
    <col min="9660" max="9660" width="11.28515625" bestFit="1" customWidth="1"/>
    <col min="9661" max="9661" width="13.85546875" bestFit="1" customWidth="1"/>
    <col min="9662" max="9662" width="12" bestFit="1" customWidth="1"/>
    <col min="9663" max="9663" width="13.85546875" bestFit="1" customWidth="1"/>
    <col min="9664" max="9665" width="14.42578125" customWidth="1"/>
    <col min="9666" max="9666" width="10.140625" bestFit="1" customWidth="1"/>
    <col min="9667" max="9667" width="12.28515625" bestFit="1" customWidth="1"/>
    <col min="9668" max="9668" width="7.42578125" bestFit="1" customWidth="1"/>
    <col min="9669" max="9669" width="8.5703125" bestFit="1" customWidth="1"/>
    <col min="9670" max="9670" width="11.5703125" bestFit="1" customWidth="1"/>
    <col min="9671" max="9671" width="13.28515625" bestFit="1" customWidth="1"/>
    <col min="9672" max="9672" width="13.28515625" customWidth="1"/>
    <col min="9673" max="9673" width="13.140625" customWidth="1"/>
    <col min="9674" max="9674" width="12.7109375" bestFit="1" customWidth="1"/>
    <col min="9675" max="9675" width="13.28515625" bestFit="1" customWidth="1"/>
    <col min="9676" max="9678" width="13.28515625" customWidth="1"/>
    <col min="9679" max="9679" width="12.140625" bestFit="1" customWidth="1"/>
    <col min="9680" max="9680" width="12.7109375" bestFit="1" customWidth="1"/>
    <col min="9681" max="9681" width="11" customWidth="1"/>
    <col min="9682" max="9682" width="16.7109375" customWidth="1"/>
    <col min="9683" max="9683" width="17" customWidth="1"/>
    <col min="9684" max="9684" width="10.42578125" bestFit="1" customWidth="1"/>
    <col min="9728" max="9728" width="3.85546875" customWidth="1"/>
    <col min="9729" max="9729" width="15.28515625" bestFit="1" customWidth="1"/>
    <col min="9730" max="9730" width="12.28515625" customWidth="1"/>
    <col min="9731" max="9731" width="16.28515625" bestFit="1" customWidth="1"/>
    <col min="9732" max="9732" width="6.42578125" bestFit="1" customWidth="1"/>
    <col min="9733" max="9733" width="9.28515625" bestFit="1" customWidth="1"/>
    <col min="9734" max="9734" width="7.5703125" bestFit="1" customWidth="1"/>
    <col min="9735" max="9735" width="13.28515625" bestFit="1" customWidth="1"/>
    <col min="9736" max="9736" width="9.28515625" bestFit="1" customWidth="1"/>
    <col min="9737" max="9737" width="11.5703125" bestFit="1" customWidth="1"/>
    <col min="9738" max="9738" width="13.28515625" bestFit="1" customWidth="1"/>
    <col min="9739" max="9739" width="7.140625" bestFit="1" customWidth="1"/>
    <col min="9740" max="9740" width="12" bestFit="1" customWidth="1"/>
    <col min="9741" max="9741" width="13.28515625" bestFit="1" customWidth="1"/>
    <col min="9742" max="9742" width="7" bestFit="1" customWidth="1"/>
    <col min="9743" max="9743" width="12.7109375" bestFit="1" customWidth="1"/>
    <col min="9744" max="9744" width="11.5703125" bestFit="1" customWidth="1"/>
    <col min="9745" max="9745" width="10.5703125" bestFit="1" customWidth="1"/>
    <col min="9746" max="9747" width="15.7109375" bestFit="1" customWidth="1"/>
    <col min="9748" max="9748" width="11.5703125" bestFit="1" customWidth="1"/>
    <col min="9749" max="9749" width="7.7109375" bestFit="1" customWidth="1"/>
    <col min="9750" max="9750" width="15.140625" bestFit="1" customWidth="1"/>
    <col min="9751" max="9751" width="11.5703125" bestFit="1" customWidth="1"/>
    <col min="9752" max="9752" width="13.28515625" bestFit="1" customWidth="1"/>
    <col min="9753" max="9753" width="10.42578125" bestFit="1" customWidth="1"/>
    <col min="9754" max="9754" width="13.28515625" bestFit="1" customWidth="1"/>
    <col min="9755" max="9755" width="12.140625" bestFit="1" customWidth="1"/>
    <col min="9756" max="9756" width="14.42578125" bestFit="1" customWidth="1"/>
    <col min="9757" max="9757" width="13.28515625" bestFit="1" customWidth="1"/>
    <col min="9758" max="9758" width="11.5703125" bestFit="1" customWidth="1"/>
    <col min="9759" max="9759" width="7.7109375" bestFit="1" customWidth="1"/>
    <col min="9760" max="9761" width="14.42578125" bestFit="1" customWidth="1"/>
    <col min="9762" max="9762" width="11.5703125" bestFit="1" customWidth="1"/>
    <col min="9763" max="9763" width="7.7109375" bestFit="1" customWidth="1"/>
    <col min="9764" max="9764" width="13.5703125" customWidth="1"/>
    <col min="9765" max="9765" width="15.28515625" customWidth="1"/>
    <col min="9766" max="9766" width="14.5703125" customWidth="1"/>
    <col min="9767" max="9767" width="13.28515625" bestFit="1" customWidth="1"/>
    <col min="9768" max="9768" width="7.7109375" bestFit="1" customWidth="1"/>
    <col min="9769" max="9769" width="12.7109375" bestFit="1" customWidth="1"/>
    <col min="9770" max="9770" width="11.7109375" bestFit="1" customWidth="1"/>
    <col min="9771" max="9771" width="11.5703125" bestFit="1" customWidth="1"/>
    <col min="9772" max="9772" width="5.28515625" bestFit="1" customWidth="1"/>
    <col min="9773" max="9773" width="13.28515625" bestFit="1" customWidth="1"/>
    <col min="9774" max="9774" width="13.5703125" bestFit="1" customWidth="1"/>
    <col min="9775" max="9775" width="10.5703125" bestFit="1" customWidth="1"/>
    <col min="9776" max="9776" width="13.28515625" bestFit="1" customWidth="1"/>
    <col min="9777" max="9777" width="11.5703125" bestFit="1" customWidth="1"/>
    <col min="9778" max="9778" width="10.5703125" bestFit="1" customWidth="1"/>
    <col min="9779" max="9779" width="16.140625" bestFit="1" customWidth="1"/>
    <col min="9780" max="9781" width="11.28515625" bestFit="1" customWidth="1"/>
    <col min="9782" max="9782" width="13.28515625" bestFit="1" customWidth="1"/>
    <col min="9783" max="9783" width="7.7109375" bestFit="1" customWidth="1"/>
    <col min="9784" max="9787" width="9.140625" hidden="1" customWidth="1"/>
    <col min="9788" max="9788" width="10.42578125" bestFit="1" customWidth="1"/>
    <col min="9789" max="9789" width="10.5703125" bestFit="1" customWidth="1"/>
    <col min="9790" max="9790" width="10.42578125" bestFit="1" customWidth="1"/>
    <col min="9791" max="9791" width="10.5703125" bestFit="1" customWidth="1"/>
    <col min="9792" max="9792" width="9.5703125" bestFit="1" customWidth="1"/>
    <col min="9793" max="9793" width="11.5703125" bestFit="1" customWidth="1"/>
    <col min="9794" max="9794" width="10.42578125" bestFit="1" customWidth="1"/>
    <col min="9795" max="9795" width="10.85546875" customWidth="1"/>
    <col min="9796" max="9797" width="9.85546875" bestFit="1" customWidth="1"/>
    <col min="9798" max="9798" width="13.5703125" bestFit="1" customWidth="1"/>
    <col min="9799" max="9799" width="7.7109375" bestFit="1" customWidth="1"/>
    <col min="9800" max="9800" width="13.28515625" bestFit="1" customWidth="1"/>
    <col min="9801" max="9801" width="11.5703125" bestFit="1" customWidth="1"/>
    <col min="9802" max="9802" width="10.42578125" bestFit="1" customWidth="1"/>
    <col min="9803" max="9803" width="7.7109375" bestFit="1" customWidth="1"/>
    <col min="9804" max="9804" width="11.5703125" bestFit="1" customWidth="1"/>
    <col min="9805" max="9805" width="10.85546875" bestFit="1" customWidth="1"/>
    <col min="9806" max="9806" width="13.28515625" bestFit="1" customWidth="1"/>
    <col min="9807" max="9807" width="10.85546875" bestFit="1" customWidth="1"/>
    <col min="9808" max="9809" width="7.5703125" bestFit="1" customWidth="1"/>
    <col min="9810" max="9811" width="10.42578125" bestFit="1" customWidth="1"/>
    <col min="9812" max="9812" width="11.5703125" bestFit="1" customWidth="1"/>
    <col min="9813" max="9813" width="5.28515625" bestFit="1" customWidth="1"/>
    <col min="9814" max="9814" width="10.28515625" bestFit="1" customWidth="1"/>
    <col min="9815" max="9815" width="10.42578125" bestFit="1" customWidth="1"/>
    <col min="9816" max="9816" width="11.5703125" bestFit="1" customWidth="1"/>
    <col min="9817" max="9817" width="5.28515625" bestFit="1" customWidth="1"/>
    <col min="9818" max="9820" width="11.5703125" bestFit="1" customWidth="1"/>
    <col min="9821" max="9821" width="5.28515625" bestFit="1" customWidth="1"/>
    <col min="9822" max="9823" width="10.42578125" bestFit="1" customWidth="1"/>
    <col min="9824" max="9824" width="11.5703125" bestFit="1" customWidth="1"/>
    <col min="9825" max="9825" width="5.28515625" bestFit="1" customWidth="1"/>
    <col min="9826" max="9826" width="14.28515625" bestFit="1" customWidth="1"/>
    <col min="9827" max="9827" width="13" bestFit="1" customWidth="1"/>
    <col min="9828" max="9828" width="11.5703125" bestFit="1" customWidth="1"/>
    <col min="9829" max="9829" width="8.85546875" bestFit="1" customWidth="1"/>
    <col min="9830" max="9830" width="14.42578125" bestFit="1" customWidth="1"/>
    <col min="9831" max="9831" width="10.42578125" bestFit="1" customWidth="1"/>
    <col min="9832" max="9832" width="12.28515625" bestFit="1" customWidth="1"/>
    <col min="9833" max="9833" width="13.85546875" bestFit="1" customWidth="1"/>
    <col min="9834" max="9834" width="11.28515625" customWidth="1"/>
    <col min="9835" max="9835" width="11.5703125" customWidth="1"/>
    <col min="9836" max="9836" width="13.42578125" bestFit="1" customWidth="1"/>
    <col min="9837" max="9837" width="10.42578125" customWidth="1"/>
    <col min="9838" max="9838" width="13.85546875" bestFit="1" customWidth="1"/>
    <col min="9839" max="9839" width="15.42578125" bestFit="1" customWidth="1"/>
    <col min="9840" max="9840" width="12.28515625" bestFit="1" customWidth="1"/>
    <col min="9841" max="9841" width="12.7109375" customWidth="1"/>
    <col min="9842" max="9842" width="10.7109375" bestFit="1" customWidth="1"/>
    <col min="9843" max="9843" width="9.85546875" customWidth="1"/>
    <col min="9844" max="9845" width="10.140625" bestFit="1" customWidth="1"/>
    <col min="9846" max="9846" width="7.5703125" bestFit="1" customWidth="1"/>
    <col min="9847" max="9847" width="9.42578125" bestFit="1" customWidth="1"/>
    <col min="9848" max="9848" width="14.5703125" bestFit="1" customWidth="1"/>
    <col min="9849" max="9849" width="14.85546875" customWidth="1"/>
    <col min="9850" max="9850" width="15.140625" bestFit="1" customWidth="1"/>
    <col min="9851" max="9851" width="12.140625" bestFit="1" customWidth="1"/>
    <col min="9852" max="9852" width="14.85546875" bestFit="1" customWidth="1"/>
    <col min="9853" max="9853" width="12.28515625" bestFit="1" customWidth="1"/>
    <col min="9854" max="9862" width="9.140625" hidden="1" customWidth="1"/>
    <col min="9863" max="9863" width="5.28515625" bestFit="1" customWidth="1"/>
    <col min="9864" max="9869" width="11.5703125" bestFit="1" customWidth="1"/>
    <col min="9870" max="9870" width="11.28515625" bestFit="1" customWidth="1"/>
    <col min="9871" max="9871" width="10.140625" bestFit="1" customWidth="1"/>
    <col min="9872" max="9872" width="11.5703125" bestFit="1" customWidth="1"/>
    <col min="9873" max="9873" width="16.140625" customWidth="1"/>
    <col min="9874" max="9874" width="13.42578125" customWidth="1"/>
    <col min="9875" max="9875" width="10.140625" bestFit="1" customWidth="1"/>
    <col min="9876" max="9876" width="12.85546875" bestFit="1" customWidth="1"/>
    <col min="9877" max="9877" width="12.28515625" bestFit="1" customWidth="1"/>
    <col min="9878" max="9878" width="11.28515625" bestFit="1" customWidth="1"/>
    <col min="9879" max="9879" width="11.5703125" bestFit="1" customWidth="1"/>
    <col min="9880" max="9880" width="10.85546875" bestFit="1" customWidth="1"/>
    <col min="9881" max="9881" width="11.28515625" bestFit="1" customWidth="1"/>
    <col min="9882" max="9882" width="10.140625" bestFit="1" customWidth="1"/>
    <col min="9883" max="9883" width="13.28515625" bestFit="1" customWidth="1"/>
    <col min="9884" max="9885" width="12.7109375" bestFit="1" customWidth="1"/>
    <col min="9886" max="9886" width="11" bestFit="1" customWidth="1"/>
    <col min="9887" max="9887" width="11.28515625" bestFit="1" customWidth="1"/>
    <col min="9888" max="9888" width="11.5703125" bestFit="1" customWidth="1"/>
    <col min="9889" max="9889" width="12.28515625" bestFit="1" customWidth="1"/>
    <col min="9890" max="9890" width="15.140625" bestFit="1" customWidth="1"/>
    <col min="9891" max="9891" width="14.42578125" bestFit="1" customWidth="1"/>
    <col min="9892" max="9892" width="12.28515625" bestFit="1" customWidth="1"/>
    <col min="9893" max="9893" width="15.140625" bestFit="1" customWidth="1"/>
    <col min="9894" max="9894" width="14.42578125" bestFit="1" customWidth="1"/>
    <col min="9895" max="9895" width="12.28515625" bestFit="1" customWidth="1"/>
    <col min="9896" max="9896" width="14.42578125" bestFit="1" customWidth="1"/>
    <col min="9897" max="9897" width="11.28515625" bestFit="1" customWidth="1"/>
    <col min="9898" max="9898" width="12.28515625" bestFit="1" customWidth="1"/>
    <col min="9899" max="9899" width="13" bestFit="1" customWidth="1"/>
    <col min="9900" max="9900" width="15.140625" bestFit="1" customWidth="1"/>
    <col min="9901" max="9901" width="12.28515625" bestFit="1" customWidth="1"/>
    <col min="9902" max="9902" width="13.85546875" bestFit="1" customWidth="1"/>
    <col min="9903" max="9903" width="11.28515625" bestFit="1" customWidth="1"/>
    <col min="9904" max="9904" width="12.28515625" bestFit="1" customWidth="1"/>
    <col min="9905" max="9905" width="13.85546875" bestFit="1" customWidth="1"/>
    <col min="9906" max="9907" width="15.140625" bestFit="1" customWidth="1"/>
    <col min="9908" max="9908" width="12.28515625" bestFit="1" customWidth="1"/>
    <col min="9909" max="9909" width="5.7109375" bestFit="1" customWidth="1"/>
    <col min="9910" max="9910" width="8.5703125" bestFit="1" customWidth="1"/>
    <col min="9911" max="9911" width="5.5703125" bestFit="1" customWidth="1"/>
    <col min="9912" max="9912" width="14.42578125" bestFit="1" customWidth="1"/>
    <col min="9913" max="9913" width="11.28515625" bestFit="1" customWidth="1"/>
    <col min="9914" max="9915" width="12.28515625" bestFit="1" customWidth="1"/>
    <col min="9916" max="9916" width="11.28515625" bestFit="1" customWidth="1"/>
    <col min="9917" max="9917" width="13.85546875" bestFit="1" customWidth="1"/>
    <col min="9918" max="9918" width="12" bestFit="1" customWidth="1"/>
    <col min="9919" max="9919" width="13.85546875" bestFit="1" customWidth="1"/>
    <col min="9920" max="9921" width="14.42578125" customWidth="1"/>
    <col min="9922" max="9922" width="10.140625" bestFit="1" customWidth="1"/>
    <col min="9923" max="9923" width="12.28515625" bestFit="1" customWidth="1"/>
    <col min="9924" max="9924" width="7.42578125" bestFit="1" customWidth="1"/>
    <col min="9925" max="9925" width="8.5703125" bestFit="1" customWidth="1"/>
    <col min="9926" max="9926" width="11.5703125" bestFit="1" customWidth="1"/>
    <col min="9927" max="9927" width="13.28515625" bestFit="1" customWidth="1"/>
    <col min="9928" max="9928" width="13.28515625" customWidth="1"/>
    <col min="9929" max="9929" width="13.140625" customWidth="1"/>
    <col min="9930" max="9930" width="12.7109375" bestFit="1" customWidth="1"/>
    <col min="9931" max="9931" width="13.28515625" bestFit="1" customWidth="1"/>
    <col min="9932" max="9934" width="13.28515625" customWidth="1"/>
    <col min="9935" max="9935" width="12.140625" bestFit="1" customWidth="1"/>
    <col min="9936" max="9936" width="12.7109375" bestFit="1" customWidth="1"/>
    <col min="9937" max="9937" width="11" customWidth="1"/>
    <col min="9938" max="9938" width="16.7109375" customWidth="1"/>
    <col min="9939" max="9939" width="17" customWidth="1"/>
    <col min="9940" max="9940" width="10.42578125" bestFit="1" customWidth="1"/>
    <col min="9984" max="9984" width="3.85546875" customWidth="1"/>
    <col min="9985" max="9985" width="15.28515625" bestFit="1" customWidth="1"/>
    <col min="9986" max="9986" width="12.28515625" customWidth="1"/>
    <col min="9987" max="9987" width="16.28515625" bestFit="1" customWidth="1"/>
    <col min="9988" max="9988" width="6.42578125" bestFit="1" customWidth="1"/>
    <col min="9989" max="9989" width="9.28515625" bestFit="1" customWidth="1"/>
    <col min="9990" max="9990" width="7.5703125" bestFit="1" customWidth="1"/>
    <col min="9991" max="9991" width="13.28515625" bestFit="1" customWidth="1"/>
    <col min="9992" max="9992" width="9.28515625" bestFit="1" customWidth="1"/>
    <col min="9993" max="9993" width="11.5703125" bestFit="1" customWidth="1"/>
    <col min="9994" max="9994" width="13.28515625" bestFit="1" customWidth="1"/>
    <col min="9995" max="9995" width="7.140625" bestFit="1" customWidth="1"/>
    <col min="9996" max="9996" width="12" bestFit="1" customWidth="1"/>
    <col min="9997" max="9997" width="13.28515625" bestFit="1" customWidth="1"/>
    <col min="9998" max="9998" width="7" bestFit="1" customWidth="1"/>
    <col min="9999" max="9999" width="12.7109375" bestFit="1" customWidth="1"/>
    <col min="10000" max="10000" width="11.5703125" bestFit="1" customWidth="1"/>
    <col min="10001" max="10001" width="10.5703125" bestFit="1" customWidth="1"/>
    <col min="10002" max="10003" width="15.7109375" bestFit="1" customWidth="1"/>
    <col min="10004" max="10004" width="11.5703125" bestFit="1" customWidth="1"/>
    <col min="10005" max="10005" width="7.7109375" bestFit="1" customWidth="1"/>
    <col min="10006" max="10006" width="15.140625" bestFit="1" customWidth="1"/>
    <col min="10007" max="10007" width="11.5703125" bestFit="1" customWidth="1"/>
    <col min="10008" max="10008" width="13.28515625" bestFit="1" customWidth="1"/>
    <col min="10009" max="10009" width="10.42578125" bestFit="1" customWidth="1"/>
    <col min="10010" max="10010" width="13.28515625" bestFit="1" customWidth="1"/>
    <col min="10011" max="10011" width="12.140625" bestFit="1" customWidth="1"/>
    <col min="10012" max="10012" width="14.42578125" bestFit="1" customWidth="1"/>
    <col min="10013" max="10013" width="13.28515625" bestFit="1" customWidth="1"/>
    <col min="10014" max="10014" width="11.5703125" bestFit="1" customWidth="1"/>
    <col min="10015" max="10015" width="7.7109375" bestFit="1" customWidth="1"/>
    <col min="10016" max="10017" width="14.42578125" bestFit="1" customWidth="1"/>
    <col min="10018" max="10018" width="11.5703125" bestFit="1" customWidth="1"/>
    <col min="10019" max="10019" width="7.7109375" bestFit="1" customWidth="1"/>
    <col min="10020" max="10020" width="13.5703125" customWidth="1"/>
    <col min="10021" max="10021" width="15.28515625" customWidth="1"/>
    <col min="10022" max="10022" width="14.5703125" customWidth="1"/>
    <col min="10023" max="10023" width="13.28515625" bestFit="1" customWidth="1"/>
    <col min="10024" max="10024" width="7.7109375" bestFit="1" customWidth="1"/>
    <col min="10025" max="10025" width="12.7109375" bestFit="1" customWidth="1"/>
    <col min="10026" max="10026" width="11.7109375" bestFit="1" customWidth="1"/>
    <col min="10027" max="10027" width="11.5703125" bestFit="1" customWidth="1"/>
    <col min="10028" max="10028" width="5.28515625" bestFit="1" customWidth="1"/>
    <col min="10029" max="10029" width="13.28515625" bestFit="1" customWidth="1"/>
    <col min="10030" max="10030" width="13.5703125" bestFit="1" customWidth="1"/>
    <col min="10031" max="10031" width="10.5703125" bestFit="1" customWidth="1"/>
    <col min="10032" max="10032" width="13.28515625" bestFit="1" customWidth="1"/>
    <col min="10033" max="10033" width="11.5703125" bestFit="1" customWidth="1"/>
    <col min="10034" max="10034" width="10.5703125" bestFit="1" customWidth="1"/>
    <col min="10035" max="10035" width="16.140625" bestFit="1" customWidth="1"/>
    <col min="10036" max="10037" width="11.28515625" bestFit="1" customWidth="1"/>
    <col min="10038" max="10038" width="13.28515625" bestFit="1" customWidth="1"/>
    <col min="10039" max="10039" width="7.7109375" bestFit="1" customWidth="1"/>
    <col min="10040" max="10043" width="9.140625" hidden="1" customWidth="1"/>
    <col min="10044" max="10044" width="10.42578125" bestFit="1" customWidth="1"/>
    <col min="10045" max="10045" width="10.5703125" bestFit="1" customWidth="1"/>
    <col min="10046" max="10046" width="10.42578125" bestFit="1" customWidth="1"/>
    <col min="10047" max="10047" width="10.5703125" bestFit="1" customWidth="1"/>
    <col min="10048" max="10048" width="9.5703125" bestFit="1" customWidth="1"/>
    <col min="10049" max="10049" width="11.5703125" bestFit="1" customWidth="1"/>
    <col min="10050" max="10050" width="10.42578125" bestFit="1" customWidth="1"/>
    <col min="10051" max="10051" width="10.85546875" customWidth="1"/>
    <col min="10052" max="10053" width="9.85546875" bestFit="1" customWidth="1"/>
    <col min="10054" max="10054" width="13.5703125" bestFit="1" customWidth="1"/>
    <col min="10055" max="10055" width="7.7109375" bestFit="1" customWidth="1"/>
    <col min="10056" max="10056" width="13.28515625" bestFit="1" customWidth="1"/>
    <col min="10057" max="10057" width="11.5703125" bestFit="1" customWidth="1"/>
    <col min="10058" max="10058" width="10.42578125" bestFit="1" customWidth="1"/>
    <col min="10059" max="10059" width="7.7109375" bestFit="1" customWidth="1"/>
    <col min="10060" max="10060" width="11.5703125" bestFit="1" customWidth="1"/>
    <col min="10061" max="10061" width="10.85546875" bestFit="1" customWidth="1"/>
    <col min="10062" max="10062" width="13.28515625" bestFit="1" customWidth="1"/>
    <col min="10063" max="10063" width="10.85546875" bestFit="1" customWidth="1"/>
    <col min="10064" max="10065" width="7.5703125" bestFit="1" customWidth="1"/>
    <col min="10066" max="10067" width="10.42578125" bestFit="1" customWidth="1"/>
    <col min="10068" max="10068" width="11.5703125" bestFit="1" customWidth="1"/>
    <col min="10069" max="10069" width="5.28515625" bestFit="1" customWidth="1"/>
    <col min="10070" max="10070" width="10.28515625" bestFit="1" customWidth="1"/>
    <col min="10071" max="10071" width="10.42578125" bestFit="1" customWidth="1"/>
    <col min="10072" max="10072" width="11.5703125" bestFit="1" customWidth="1"/>
    <col min="10073" max="10073" width="5.28515625" bestFit="1" customWidth="1"/>
    <col min="10074" max="10076" width="11.5703125" bestFit="1" customWidth="1"/>
    <col min="10077" max="10077" width="5.28515625" bestFit="1" customWidth="1"/>
    <col min="10078" max="10079" width="10.42578125" bestFit="1" customWidth="1"/>
    <col min="10080" max="10080" width="11.5703125" bestFit="1" customWidth="1"/>
    <col min="10081" max="10081" width="5.28515625" bestFit="1" customWidth="1"/>
    <col min="10082" max="10082" width="14.28515625" bestFit="1" customWidth="1"/>
    <col min="10083" max="10083" width="13" bestFit="1" customWidth="1"/>
    <col min="10084" max="10084" width="11.5703125" bestFit="1" customWidth="1"/>
    <col min="10085" max="10085" width="8.85546875" bestFit="1" customWidth="1"/>
    <col min="10086" max="10086" width="14.42578125" bestFit="1" customWidth="1"/>
    <col min="10087" max="10087" width="10.42578125" bestFit="1" customWidth="1"/>
    <col min="10088" max="10088" width="12.28515625" bestFit="1" customWidth="1"/>
    <col min="10089" max="10089" width="13.85546875" bestFit="1" customWidth="1"/>
    <col min="10090" max="10090" width="11.28515625" customWidth="1"/>
    <col min="10091" max="10091" width="11.5703125" customWidth="1"/>
    <col min="10092" max="10092" width="13.42578125" bestFit="1" customWidth="1"/>
    <col min="10093" max="10093" width="10.42578125" customWidth="1"/>
    <col min="10094" max="10094" width="13.85546875" bestFit="1" customWidth="1"/>
    <col min="10095" max="10095" width="15.42578125" bestFit="1" customWidth="1"/>
    <col min="10096" max="10096" width="12.28515625" bestFit="1" customWidth="1"/>
    <col min="10097" max="10097" width="12.7109375" customWidth="1"/>
    <col min="10098" max="10098" width="10.7109375" bestFit="1" customWidth="1"/>
    <col min="10099" max="10099" width="9.85546875" customWidth="1"/>
    <col min="10100" max="10101" width="10.140625" bestFit="1" customWidth="1"/>
    <col min="10102" max="10102" width="7.5703125" bestFit="1" customWidth="1"/>
    <col min="10103" max="10103" width="9.42578125" bestFit="1" customWidth="1"/>
    <col min="10104" max="10104" width="14.5703125" bestFit="1" customWidth="1"/>
    <col min="10105" max="10105" width="14.85546875" customWidth="1"/>
    <col min="10106" max="10106" width="15.140625" bestFit="1" customWidth="1"/>
    <col min="10107" max="10107" width="12.140625" bestFit="1" customWidth="1"/>
    <col min="10108" max="10108" width="14.85546875" bestFit="1" customWidth="1"/>
    <col min="10109" max="10109" width="12.28515625" bestFit="1" customWidth="1"/>
    <col min="10110" max="10118" width="9.140625" hidden="1" customWidth="1"/>
    <col min="10119" max="10119" width="5.28515625" bestFit="1" customWidth="1"/>
    <col min="10120" max="10125" width="11.5703125" bestFit="1" customWidth="1"/>
    <col min="10126" max="10126" width="11.28515625" bestFit="1" customWidth="1"/>
    <col min="10127" max="10127" width="10.140625" bestFit="1" customWidth="1"/>
    <col min="10128" max="10128" width="11.5703125" bestFit="1" customWidth="1"/>
    <col min="10129" max="10129" width="16.140625" customWidth="1"/>
    <col min="10130" max="10130" width="13.42578125" customWidth="1"/>
    <col min="10131" max="10131" width="10.140625" bestFit="1" customWidth="1"/>
    <col min="10132" max="10132" width="12.85546875" bestFit="1" customWidth="1"/>
    <col min="10133" max="10133" width="12.28515625" bestFit="1" customWidth="1"/>
    <col min="10134" max="10134" width="11.28515625" bestFit="1" customWidth="1"/>
    <col min="10135" max="10135" width="11.5703125" bestFit="1" customWidth="1"/>
    <col min="10136" max="10136" width="10.85546875" bestFit="1" customWidth="1"/>
    <col min="10137" max="10137" width="11.28515625" bestFit="1" customWidth="1"/>
    <col min="10138" max="10138" width="10.140625" bestFit="1" customWidth="1"/>
    <col min="10139" max="10139" width="13.28515625" bestFit="1" customWidth="1"/>
    <col min="10140" max="10141" width="12.7109375" bestFit="1" customWidth="1"/>
    <col min="10142" max="10142" width="11" bestFit="1" customWidth="1"/>
    <col min="10143" max="10143" width="11.28515625" bestFit="1" customWidth="1"/>
    <col min="10144" max="10144" width="11.5703125" bestFit="1" customWidth="1"/>
    <col min="10145" max="10145" width="12.28515625" bestFit="1" customWidth="1"/>
    <col min="10146" max="10146" width="15.140625" bestFit="1" customWidth="1"/>
    <col min="10147" max="10147" width="14.42578125" bestFit="1" customWidth="1"/>
    <col min="10148" max="10148" width="12.28515625" bestFit="1" customWidth="1"/>
    <col min="10149" max="10149" width="15.140625" bestFit="1" customWidth="1"/>
    <col min="10150" max="10150" width="14.42578125" bestFit="1" customWidth="1"/>
    <col min="10151" max="10151" width="12.28515625" bestFit="1" customWidth="1"/>
    <col min="10152" max="10152" width="14.42578125" bestFit="1" customWidth="1"/>
    <col min="10153" max="10153" width="11.28515625" bestFit="1" customWidth="1"/>
    <col min="10154" max="10154" width="12.28515625" bestFit="1" customWidth="1"/>
    <col min="10155" max="10155" width="13" bestFit="1" customWidth="1"/>
    <col min="10156" max="10156" width="15.140625" bestFit="1" customWidth="1"/>
    <col min="10157" max="10157" width="12.28515625" bestFit="1" customWidth="1"/>
    <col min="10158" max="10158" width="13.85546875" bestFit="1" customWidth="1"/>
    <col min="10159" max="10159" width="11.28515625" bestFit="1" customWidth="1"/>
    <col min="10160" max="10160" width="12.28515625" bestFit="1" customWidth="1"/>
    <col min="10161" max="10161" width="13.85546875" bestFit="1" customWidth="1"/>
    <col min="10162" max="10163" width="15.140625" bestFit="1" customWidth="1"/>
    <col min="10164" max="10164" width="12.28515625" bestFit="1" customWidth="1"/>
    <col min="10165" max="10165" width="5.7109375" bestFit="1" customWidth="1"/>
    <col min="10166" max="10166" width="8.5703125" bestFit="1" customWidth="1"/>
    <col min="10167" max="10167" width="5.5703125" bestFit="1" customWidth="1"/>
    <col min="10168" max="10168" width="14.42578125" bestFit="1" customWidth="1"/>
    <col min="10169" max="10169" width="11.28515625" bestFit="1" customWidth="1"/>
    <col min="10170" max="10171" width="12.28515625" bestFit="1" customWidth="1"/>
    <col min="10172" max="10172" width="11.28515625" bestFit="1" customWidth="1"/>
    <col min="10173" max="10173" width="13.85546875" bestFit="1" customWidth="1"/>
    <col min="10174" max="10174" width="12" bestFit="1" customWidth="1"/>
    <col min="10175" max="10175" width="13.85546875" bestFit="1" customWidth="1"/>
    <col min="10176" max="10177" width="14.42578125" customWidth="1"/>
    <col min="10178" max="10178" width="10.140625" bestFit="1" customWidth="1"/>
    <col min="10179" max="10179" width="12.28515625" bestFit="1" customWidth="1"/>
    <col min="10180" max="10180" width="7.42578125" bestFit="1" customWidth="1"/>
    <col min="10181" max="10181" width="8.5703125" bestFit="1" customWidth="1"/>
    <col min="10182" max="10182" width="11.5703125" bestFit="1" customWidth="1"/>
    <col min="10183" max="10183" width="13.28515625" bestFit="1" customWidth="1"/>
    <col min="10184" max="10184" width="13.28515625" customWidth="1"/>
    <col min="10185" max="10185" width="13.140625" customWidth="1"/>
    <col min="10186" max="10186" width="12.7109375" bestFit="1" customWidth="1"/>
    <col min="10187" max="10187" width="13.28515625" bestFit="1" customWidth="1"/>
    <col min="10188" max="10190" width="13.28515625" customWidth="1"/>
    <col min="10191" max="10191" width="12.140625" bestFit="1" customWidth="1"/>
    <col min="10192" max="10192" width="12.7109375" bestFit="1" customWidth="1"/>
    <col min="10193" max="10193" width="11" customWidth="1"/>
    <col min="10194" max="10194" width="16.7109375" customWidth="1"/>
    <col min="10195" max="10195" width="17" customWidth="1"/>
    <col min="10196" max="10196" width="10.42578125" bestFit="1" customWidth="1"/>
    <col min="10240" max="10240" width="3.85546875" customWidth="1"/>
    <col min="10241" max="10241" width="15.28515625" bestFit="1" customWidth="1"/>
    <col min="10242" max="10242" width="12.28515625" customWidth="1"/>
    <col min="10243" max="10243" width="16.28515625" bestFit="1" customWidth="1"/>
    <col min="10244" max="10244" width="6.42578125" bestFit="1" customWidth="1"/>
    <col min="10245" max="10245" width="9.28515625" bestFit="1" customWidth="1"/>
    <col min="10246" max="10246" width="7.5703125" bestFit="1" customWidth="1"/>
    <col min="10247" max="10247" width="13.28515625" bestFit="1" customWidth="1"/>
    <col min="10248" max="10248" width="9.28515625" bestFit="1" customWidth="1"/>
    <col min="10249" max="10249" width="11.5703125" bestFit="1" customWidth="1"/>
    <col min="10250" max="10250" width="13.28515625" bestFit="1" customWidth="1"/>
    <col min="10251" max="10251" width="7.140625" bestFit="1" customWidth="1"/>
    <col min="10252" max="10252" width="12" bestFit="1" customWidth="1"/>
    <col min="10253" max="10253" width="13.28515625" bestFit="1" customWidth="1"/>
    <col min="10254" max="10254" width="7" bestFit="1" customWidth="1"/>
    <col min="10255" max="10255" width="12.7109375" bestFit="1" customWidth="1"/>
    <col min="10256" max="10256" width="11.5703125" bestFit="1" customWidth="1"/>
    <col min="10257" max="10257" width="10.5703125" bestFit="1" customWidth="1"/>
    <col min="10258" max="10259" width="15.7109375" bestFit="1" customWidth="1"/>
    <col min="10260" max="10260" width="11.5703125" bestFit="1" customWidth="1"/>
    <col min="10261" max="10261" width="7.7109375" bestFit="1" customWidth="1"/>
    <col min="10262" max="10262" width="15.140625" bestFit="1" customWidth="1"/>
    <col min="10263" max="10263" width="11.5703125" bestFit="1" customWidth="1"/>
    <col min="10264" max="10264" width="13.28515625" bestFit="1" customWidth="1"/>
    <col min="10265" max="10265" width="10.42578125" bestFit="1" customWidth="1"/>
    <col min="10266" max="10266" width="13.28515625" bestFit="1" customWidth="1"/>
    <col min="10267" max="10267" width="12.140625" bestFit="1" customWidth="1"/>
    <col min="10268" max="10268" width="14.42578125" bestFit="1" customWidth="1"/>
    <col min="10269" max="10269" width="13.28515625" bestFit="1" customWidth="1"/>
    <col min="10270" max="10270" width="11.5703125" bestFit="1" customWidth="1"/>
    <col min="10271" max="10271" width="7.7109375" bestFit="1" customWidth="1"/>
    <col min="10272" max="10273" width="14.42578125" bestFit="1" customWidth="1"/>
    <col min="10274" max="10274" width="11.5703125" bestFit="1" customWidth="1"/>
    <col min="10275" max="10275" width="7.7109375" bestFit="1" customWidth="1"/>
    <col min="10276" max="10276" width="13.5703125" customWidth="1"/>
    <col min="10277" max="10277" width="15.28515625" customWidth="1"/>
    <col min="10278" max="10278" width="14.5703125" customWidth="1"/>
    <col min="10279" max="10279" width="13.28515625" bestFit="1" customWidth="1"/>
    <col min="10280" max="10280" width="7.7109375" bestFit="1" customWidth="1"/>
    <col min="10281" max="10281" width="12.7109375" bestFit="1" customWidth="1"/>
    <col min="10282" max="10282" width="11.7109375" bestFit="1" customWidth="1"/>
    <col min="10283" max="10283" width="11.5703125" bestFit="1" customWidth="1"/>
    <col min="10284" max="10284" width="5.28515625" bestFit="1" customWidth="1"/>
    <col min="10285" max="10285" width="13.28515625" bestFit="1" customWidth="1"/>
    <col min="10286" max="10286" width="13.5703125" bestFit="1" customWidth="1"/>
    <col min="10287" max="10287" width="10.5703125" bestFit="1" customWidth="1"/>
    <col min="10288" max="10288" width="13.28515625" bestFit="1" customWidth="1"/>
    <col min="10289" max="10289" width="11.5703125" bestFit="1" customWidth="1"/>
    <col min="10290" max="10290" width="10.5703125" bestFit="1" customWidth="1"/>
    <col min="10291" max="10291" width="16.140625" bestFit="1" customWidth="1"/>
    <col min="10292" max="10293" width="11.28515625" bestFit="1" customWidth="1"/>
    <col min="10294" max="10294" width="13.28515625" bestFit="1" customWidth="1"/>
    <col min="10295" max="10295" width="7.7109375" bestFit="1" customWidth="1"/>
    <col min="10296" max="10299" width="9.140625" hidden="1" customWidth="1"/>
    <col min="10300" max="10300" width="10.42578125" bestFit="1" customWidth="1"/>
    <col min="10301" max="10301" width="10.5703125" bestFit="1" customWidth="1"/>
    <col min="10302" max="10302" width="10.42578125" bestFit="1" customWidth="1"/>
    <col min="10303" max="10303" width="10.5703125" bestFit="1" customWidth="1"/>
    <col min="10304" max="10304" width="9.5703125" bestFit="1" customWidth="1"/>
    <col min="10305" max="10305" width="11.5703125" bestFit="1" customWidth="1"/>
    <col min="10306" max="10306" width="10.42578125" bestFit="1" customWidth="1"/>
    <col min="10307" max="10307" width="10.85546875" customWidth="1"/>
    <col min="10308" max="10309" width="9.85546875" bestFit="1" customWidth="1"/>
    <col min="10310" max="10310" width="13.5703125" bestFit="1" customWidth="1"/>
    <col min="10311" max="10311" width="7.7109375" bestFit="1" customWidth="1"/>
    <col min="10312" max="10312" width="13.28515625" bestFit="1" customWidth="1"/>
    <col min="10313" max="10313" width="11.5703125" bestFit="1" customWidth="1"/>
    <col min="10314" max="10314" width="10.42578125" bestFit="1" customWidth="1"/>
    <col min="10315" max="10315" width="7.7109375" bestFit="1" customWidth="1"/>
    <col min="10316" max="10316" width="11.5703125" bestFit="1" customWidth="1"/>
    <col min="10317" max="10317" width="10.85546875" bestFit="1" customWidth="1"/>
    <col min="10318" max="10318" width="13.28515625" bestFit="1" customWidth="1"/>
    <col min="10319" max="10319" width="10.85546875" bestFit="1" customWidth="1"/>
    <col min="10320" max="10321" width="7.5703125" bestFit="1" customWidth="1"/>
    <col min="10322" max="10323" width="10.42578125" bestFit="1" customWidth="1"/>
    <col min="10324" max="10324" width="11.5703125" bestFit="1" customWidth="1"/>
    <col min="10325" max="10325" width="5.28515625" bestFit="1" customWidth="1"/>
    <col min="10326" max="10326" width="10.28515625" bestFit="1" customWidth="1"/>
    <col min="10327" max="10327" width="10.42578125" bestFit="1" customWidth="1"/>
    <col min="10328" max="10328" width="11.5703125" bestFit="1" customWidth="1"/>
    <col min="10329" max="10329" width="5.28515625" bestFit="1" customWidth="1"/>
    <col min="10330" max="10332" width="11.5703125" bestFit="1" customWidth="1"/>
    <col min="10333" max="10333" width="5.28515625" bestFit="1" customWidth="1"/>
    <col min="10334" max="10335" width="10.42578125" bestFit="1" customWidth="1"/>
    <col min="10336" max="10336" width="11.5703125" bestFit="1" customWidth="1"/>
    <col min="10337" max="10337" width="5.28515625" bestFit="1" customWidth="1"/>
    <col min="10338" max="10338" width="14.28515625" bestFit="1" customWidth="1"/>
    <col min="10339" max="10339" width="13" bestFit="1" customWidth="1"/>
    <col min="10340" max="10340" width="11.5703125" bestFit="1" customWidth="1"/>
    <col min="10341" max="10341" width="8.85546875" bestFit="1" customWidth="1"/>
    <col min="10342" max="10342" width="14.42578125" bestFit="1" customWidth="1"/>
    <col min="10343" max="10343" width="10.42578125" bestFit="1" customWidth="1"/>
    <col min="10344" max="10344" width="12.28515625" bestFit="1" customWidth="1"/>
    <col min="10345" max="10345" width="13.85546875" bestFit="1" customWidth="1"/>
    <col min="10346" max="10346" width="11.28515625" customWidth="1"/>
    <col min="10347" max="10347" width="11.5703125" customWidth="1"/>
    <col min="10348" max="10348" width="13.42578125" bestFit="1" customWidth="1"/>
    <col min="10349" max="10349" width="10.42578125" customWidth="1"/>
    <col min="10350" max="10350" width="13.85546875" bestFit="1" customWidth="1"/>
    <col min="10351" max="10351" width="15.42578125" bestFit="1" customWidth="1"/>
    <col min="10352" max="10352" width="12.28515625" bestFit="1" customWidth="1"/>
    <col min="10353" max="10353" width="12.7109375" customWidth="1"/>
    <col min="10354" max="10354" width="10.7109375" bestFit="1" customWidth="1"/>
    <col min="10355" max="10355" width="9.85546875" customWidth="1"/>
    <col min="10356" max="10357" width="10.140625" bestFit="1" customWidth="1"/>
    <col min="10358" max="10358" width="7.5703125" bestFit="1" customWidth="1"/>
    <col min="10359" max="10359" width="9.42578125" bestFit="1" customWidth="1"/>
    <col min="10360" max="10360" width="14.5703125" bestFit="1" customWidth="1"/>
    <col min="10361" max="10361" width="14.85546875" customWidth="1"/>
    <col min="10362" max="10362" width="15.140625" bestFit="1" customWidth="1"/>
    <col min="10363" max="10363" width="12.140625" bestFit="1" customWidth="1"/>
    <col min="10364" max="10364" width="14.85546875" bestFit="1" customWidth="1"/>
    <col min="10365" max="10365" width="12.28515625" bestFit="1" customWidth="1"/>
    <col min="10366" max="10374" width="9.140625" hidden="1" customWidth="1"/>
    <col min="10375" max="10375" width="5.28515625" bestFit="1" customWidth="1"/>
    <col min="10376" max="10381" width="11.5703125" bestFit="1" customWidth="1"/>
    <col min="10382" max="10382" width="11.28515625" bestFit="1" customWidth="1"/>
    <col min="10383" max="10383" width="10.140625" bestFit="1" customWidth="1"/>
    <col min="10384" max="10384" width="11.5703125" bestFit="1" customWidth="1"/>
    <col min="10385" max="10385" width="16.140625" customWidth="1"/>
    <col min="10386" max="10386" width="13.42578125" customWidth="1"/>
    <col min="10387" max="10387" width="10.140625" bestFit="1" customWidth="1"/>
    <col min="10388" max="10388" width="12.85546875" bestFit="1" customWidth="1"/>
    <col min="10389" max="10389" width="12.28515625" bestFit="1" customWidth="1"/>
    <col min="10390" max="10390" width="11.28515625" bestFit="1" customWidth="1"/>
    <col min="10391" max="10391" width="11.5703125" bestFit="1" customWidth="1"/>
    <col min="10392" max="10392" width="10.85546875" bestFit="1" customWidth="1"/>
    <col min="10393" max="10393" width="11.28515625" bestFit="1" customWidth="1"/>
    <col min="10394" max="10394" width="10.140625" bestFit="1" customWidth="1"/>
    <col min="10395" max="10395" width="13.28515625" bestFit="1" customWidth="1"/>
    <col min="10396" max="10397" width="12.7109375" bestFit="1" customWidth="1"/>
    <col min="10398" max="10398" width="11" bestFit="1" customWidth="1"/>
    <col min="10399" max="10399" width="11.28515625" bestFit="1" customWidth="1"/>
    <col min="10400" max="10400" width="11.5703125" bestFit="1" customWidth="1"/>
    <col min="10401" max="10401" width="12.28515625" bestFit="1" customWidth="1"/>
    <col min="10402" max="10402" width="15.140625" bestFit="1" customWidth="1"/>
    <col min="10403" max="10403" width="14.42578125" bestFit="1" customWidth="1"/>
    <col min="10404" max="10404" width="12.28515625" bestFit="1" customWidth="1"/>
    <col min="10405" max="10405" width="15.140625" bestFit="1" customWidth="1"/>
    <col min="10406" max="10406" width="14.42578125" bestFit="1" customWidth="1"/>
    <col min="10407" max="10407" width="12.28515625" bestFit="1" customWidth="1"/>
    <col min="10408" max="10408" width="14.42578125" bestFit="1" customWidth="1"/>
    <col min="10409" max="10409" width="11.28515625" bestFit="1" customWidth="1"/>
    <col min="10410" max="10410" width="12.28515625" bestFit="1" customWidth="1"/>
    <col min="10411" max="10411" width="13" bestFit="1" customWidth="1"/>
    <col min="10412" max="10412" width="15.140625" bestFit="1" customWidth="1"/>
    <col min="10413" max="10413" width="12.28515625" bestFit="1" customWidth="1"/>
    <col min="10414" max="10414" width="13.85546875" bestFit="1" customWidth="1"/>
    <col min="10415" max="10415" width="11.28515625" bestFit="1" customWidth="1"/>
    <col min="10416" max="10416" width="12.28515625" bestFit="1" customWidth="1"/>
    <col min="10417" max="10417" width="13.85546875" bestFit="1" customWidth="1"/>
    <col min="10418" max="10419" width="15.140625" bestFit="1" customWidth="1"/>
    <col min="10420" max="10420" width="12.28515625" bestFit="1" customWidth="1"/>
    <col min="10421" max="10421" width="5.7109375" bestFit="1" customWidth="1"/>
    <col min="10422" max="10422" width="8.5703125" bestFit="1" customWidth="1"/>
    <col min="10423" max="10423" width="5.5703125" bestFit="1" customWidth="1"/>
    <col min="10424" max="10424" width="14.42578125" bestFit="1" customWidth="1"/>
    <col min="10425" max="10425" width="11.28515625" bestFit="1" customWidth="1"/>
    <col min="10426" max="10427" width="12.28515625" bestFit="1" customWidth="1"/>
    <col min="10428" max="10428" width="11.28515625" bestFit="1" customWidth="1"/>
    <col min="10429" max="10429" width="13.85546875" bestFit="1" customWidth="1"/>
    <col min="10430" max="10430" width="12" bestFit="1" customWidth="1"/>
    <col min="10431" max="10431" width="13.85546875" bestFit="1" customWidth="1"/>
    <col min="10432" max="10433" width="14.42578125" customWidth="1"/>
    <col min="10434" max="10434" width="10.140625" bestFit="1" customWidth="1"/>
    <col min="10435" max="10435" width="12.28515625" bestFit="1" customWidth="1"/>
    <col min="10436" max="10436" width="7.42578125" bestFit="1" customWidth="1"/>
    <col min="10437" max="10437" width="8.5703125" bestFit="1" customWidth="1"/>
    <col min="10438" max="10438" width="11.5703125" bestFit="1" customWidth="1"/>
    <col min="10439" max="10439" width="13.28515625" bestFit="1" customWidth="1"/>
    <col min="10440" max="10440" width="13.28515625" customWidth="1"/>
    <col min="10441" max="10441" width="13.140625" customWidth="1"/>
    <col min="10442" max="10442" width="12.7109375" bestFit="1" customWidth="1"/>
    <col min="10443" max="10443" width="13.28515625" bestFit="1" customWidth="1"/>
    <col min="10444" max="10446" width="13.28515625" customWidth="1"/>
    <col min="10447" max="10447" width="12.140625" bestFit="1" customWidth="1"/>
    <col min="10448" max="10448" width="12.7109375" bestFit="1" customWidth="1"/>
    <col min="10449" max="10449" width="11" customWidth="1"/>
    <col min="10450" max="10450" width="16.7109375" customWidth="1"/>
    <col min="10451" max="10451" width="17" customWidth="1"/>
    <col min="10452" max="10452" width="10.42578125" bestFit="1" customWidth="1"/>
    <col min="10496" max="10496" width="3.85546875" customWidth="1"/>
    <col min="10497" max="10497" width="15.28515625" bestFit="1" customWidth="1"/>
    <col min="10498" max="10498" width="12.28515625" customWidth="1"/>
    <col min="10499" max="10499" width="16.28515625" bestFit="1" customWidth="1"/>
    <col min="10500" max="10500" width="6.42578125" bestFit="1" customWidth="1"/>
    <col min="10501" max="10501" width="9.28515625" bestFit="1" customWidth="1"/>
    <col min="10502" max="10502" width="7.5703125" bestFit="1" customWidth="1"/>
    <col min="10503" max="10503" width="13.28515625" bestFit="1" customWidth="1"/>
    <col min="10504" max="10504" width="9.28515625" bestFit="1" customWidth="1"/>
    <col min="10505" max="10505" width="11.5703125" bestFit="1" customWidth="1"/>
    <col min="10506" max="10506" width="13.28515625" bestFit="1" customWidth="1"/>
    <col min="10507" max="10507" width="7.140625" bestFit="1" customWidth="1"/>
    <col min="10508" max="10508" width="12" bestFit="1" customWidth="1"/>
    <col min="10509" max="10509" width="13.28515625" bestFit="1" customWidth="1"/>
    <col min="10510" max="10510" width="7" bestFit="1" customWidth="1"/>
    <col min="10511" max="10511" width="12.7109375" bestFit="1" customWidth="1"/>
    <col min="10512" max="10512" width="11.5703125" bestFit="1" customWidth="1"/>
    <col min="10513" max="10513" width="10.5703125" bestFit="1" customWidth="1"/>
    <col min="10514" max="10515" width="15.7109375" bestFit="1" customWidth="1"/>
    <col min="10516" max="10516" width="11.5703125" bestFit="1" customWidth="1"/>
    <col min="10517" max="10517" width="7.7109375" bestFit="1" customWidth="1"/>
    <col min="10518" max="10518" width="15.140625" bestFit="1" customWidth="1"/>
    <col min="10519" max="10519" width="11.5703125" bestFit="1" customWidth="1"/>
    <col min="10520" max="10520" width="13.28515625" bestFit="1" customWidth="1"/>
    <col min="10521" max="10521" width="10.42578125" bestFit="1" customWidth="1"/>
    <col min="10522" max="10522" width="13.28515625" bestFit="1" customWidth="1"/>
    <col min="10523" max="10523" width="12.140625" bestFit="1" customWidth="1"/>
    <col min="10524" max="10524" width="14.42578125" bestFit="1" customWidth="1"/>
    <col min="10525" max="10525" width="13.28515625" bestFit="1" customWidth="1"/>
    <col min="10526" max="10526" width="11.5703125" bestFit="1" customWidth="1"/>
    <col min="10527" max="10527" width="7.7109375" bestFit="1" customWidth="1"/>
    <col min="10528" max="10529" width="14.42578125" bestFit="1" customWidth="1"/>
    <col min="10530" max="10530" width="11.5703125" bestFit="1" customWidth="1"/>
    <col min="10531" max="10531" width="7.7109375" bestFit="1" customWidth="1"/>
    <col min="10532" max="10532" width="13.5703125" customWidth="1"/>
    <col min="10533" max="10533" width="15.28515625" customWidth="1"/>
    <col min="10534" max="10534" width="14.5703125" customWidth="1"/>
    <col min="10535" max="10535" width="13.28515625" bestFit="1" customWidth="1"/>
    <col min="10536" max="10536" width="7.7109375" bestFit="1" customWidth="1"/>
    <col min="10537" max="10537" width="12.7109375" bestFit="1" customWidth="1"/>
    <col min="10538" max="10538" width="11.7109375" bestFit="1" customWidth="1"/>
    <col min="10539" max="10539" width="11.5703125" bestFit="1" customWidth="1"/>
    <col min="10540" max="10540" width="5.28515625" bestFit="1" customWidth="1"/>
    <col min="10541" max="10541" width="13.28515625" bestFit="1" customWidth="1"/>
    <col min="10542" max="10542" width="13.5703125" bestFit="1" customWidth="1"/>
    <col min="10543" max="10543" width="10.5703125" bestFit="1" customWidth="1"/>
    <col min="10544" max="10544" width="13.28515625" bestFit="1" customWidth="1"/>
    <col min="10545" max="10545" width="11.5703125" bestFit="1" customWidth="1"/>
    <col min="10546" max="10546" width="10.5703125" bestFit="1" customWidth="1"/>
    <col min="10547" max="10547" width="16.140625" bestFit="1" customWidth="1"/>
    <col min="10548" max="10549" width="11.28515625" bestFit="1" customWidth="1"/>
    <col min="10550" max="10550" width="13.28515625" bestFit="1" customWidth="1"/>
    <col min="10551" max="10551" width="7.7109375" bestFit="1" customWidth="1"/>
    <col min="10552" max="10555" width="9.140625" hidden="1" customWidth="1"/>
    <col min="10556" max="10556" width="10.42578125" bestFit="1" customWidth="1"/>
    <col min="10557" max="10557" width="10.5703125" bestFit="1" customWidth="1"/>
    <col min="10558" max="10558" width="10.42578125" bestFit="1" customWidth="1"/>
    <col min="10559" max="10559" width="10.5703125" bestFit="1" customWidth="1"/>
    <col min="10560" max="10560" width="9.5703125" bestFit="1" customWidth="1"/>
    <col min="10561" max="10561" width="11.5703125" bestFit="1" customWidth="1"/>
    <col min="10562" max="10562" width="10.42578125" bestFit="1" customWidth="1"/>
    <col min="10563" max="10563" width="10.85546875" customWidth="1"/>
    <col min="10564" max="10565" width="9.85546875" bestFit="1" customWidth="1"/>
    <col min="10566" max="10566" width="13.5703125" bestFit="1" customWidth="1"/>
    <col min="10567" max="10567" width="7.7109375" bestFit="1" customWidth="1"/>
    <col min="10568" max="10568" width="13.28515625" bestFit="1" customWidth="1"/>
    <col min="10569" max="10569" width="11.5703125" bestFit="1" customWidth="1"/>
    <col min="10570" max="10570" width="10.42578125" bestFit="1" customWidth="1"/>
    <col min="10571" max="10571" width="7.7109375" bestFit="1" customWidth="1"/>
    <col min="10572" max="10572" width="11.5703125" bestFit="1" customWidth="1"/>
    <col min="10573" max="10573" width="10.85546875" bestFit="1" customWidth="1"/>
    <col min="10574" max="10574" width="13.28515625" bestFit="1" customWidth="1"/>
    <col min="10575" max="10575" width="10.85546875" bestFit="1" customWidth="1"/>
    <col min="10576" max="10577" width="7.5703125" bestFit="1" customWidth="1"/>
    <col min="10578" max="10579" width="10.42578125" bestFit="1" customWidth="1"/>
    <col min="10580" max="10580" width="11.5703125" bestFit="1" customWidth="1"/>
    <col min="10581" max="10581" width="5.28515625" bestFit="1" customWidth="1"/>
    <col min="10582" max="10582" width="10.28515625" bestFit="1" customWidth="1"/>
    <col min="10583" max="10583" width="10.42578125" bestFit="1" customWidth="1"/>
    <col min="10584" max="10584" width="11.5703125" bestFit="1" customWidth="1"/>
    <col min="10585" max="10585" width="5.28515625" bestFit="1" customWidth="1"/>
    <col min="10586" max="10588" width="11.5703125" bestFit="1" customWidth="1"/>
    <col min="10589" max="10589" width="5.28515625" bestFit="1" customWidth="1"/>
    <col min="10590" max="10591" width="10.42578125" bestFit="1" customWidth="1"/>
    <col min="10592" max="10592" width="11.5703125" bestFit="1" customWidth="1"/>
    <col min="10593" max="10593" width="5.28515625" bestFit="1" customWidth="1"/>
    <col min="10594" max="10594" width="14.28515625" bestFit="1" customWidth="1"/>
    <col min="10595" max="10595" width="13" bestFit="1" customWidth="1"/>
    <col min="10596" max="10596" width="11.5703125" bestFit="1" customWidth="1"/>
    <col min="10597" max="10597" width="8.85546875" bestFit="1" customWidth="1"/>
    <col min="10598" max="10598" width="14.42578125" bestFit="1" customWidth="1"/>
    <col min="10599" max="10599" width="10.42578125" bestFit="1" customWidth="1"/>
    <col min="10600" max="10600" width="12.28515625" bestFit="1" customWidth="1"/>
    <col min="10601" max="10601" width="13.85546875" bestFit="1" customWidth="1"/>
    <col min="10602" max="10602" width="11.28515625" customWidth="1"/>
    <col min="10603" max="10603" width="11.5703125" customWidth="1"/>
    <col min="10604" max="10604" width="13.42578125" bestFit="1" customWidth="1"/>
    <col min="10605" max="10605" width="10.42578125" customWidth="1"/>
    <col min="10606" max="10606" width="13.85546875" bestFit="1" customWidth="1"/>
    <col min="10607" max="10607" width="15.42578125" bestFit="1" customWidth="1"/>
    <col min="10608" max="10608" width="12.28515625" bestFit="1" customWidth="1"/>
    <col min="10609" max="10609" width="12.7109375" customWidth="1"/>
    <col min="10610" max="10610" width="10.7109375" bestFit="1" customWidth="1"/>
    <col min="10611" max="10611" width="9.85546875" customWidth="1"/>
    <col min="10612" max="10613" width="10.140625" bestFit="1" customWidth="1"/>
    <col min="10614" max="10614" width="7.5703125" bestFit="1" customWidth="1"/>
    <col min="10615" max="10615" width="9.42578125" bestFit="1" customWidth="1"/>
    <col min="10616" max="10616" width="14.5703125" bestFit="1" customWidth="1"/>
    <col min="10617" max="10617" width="14.85546875" customWidth="1"/>
    <col min="10618" max="10618" width="15.140625" bestFit="1" customWidth="1"/>
    <col min="10619" max="10619" width="12.140625" bestFit="1" customWidth="1"/>
    <col min="10620" max="10620" width="14.85546875" bestFit="1" customWidth="1"/>
    <col min="10621" max="10621" width="12.28515625" bestFit="1" customWidth="1"/>
    <col min="10622" max="10630" width="9.140625" hidden="1" customWidth="1"/>
    <col min="10631" max="10631" width="5.28515625" bestFit="1" customWidth="1"/>
    <col min="10632" max="10637" width="11.5703125" bestFit="1" customWidth="1"/>
    <col min="10638" max="10638" width="11.28515625" bestFit="1" customWidth="1"/>
    <col min="10639" max="10639" width="10.140625" bestFit="1" customWidth="1"/>
    <col min="10640" max="10640" width="11.5703125" bestFit="1" customWidth="1"/>
    <col min="10641" max="10641" width="16.140625" customWidth="1"/>
    <col min="10642" max="10642" width="13.42578125" customWidth="1"/>
    <col min="10643" max="10643" width="10.140625" bestFit="1" customWidth="1"/>
    <col min="10644" max="10644" width="12.85546875" bestFit="1" customWidth="1"/>
    <col min="10645" max="10645" width="12.28515625" bestFit="1" customWidth="1"/>
    <col min="10646" max="10646" width="11.28515625" bestFit="1" customWidth="1"/>
    <col min="10647" max="10647" width="11.5703125" bestFit="1" customWidth="1"/>
    <col min="10648" max="10648" width="10.85546875" bestFit="1" customWidth="1"/>
    <col min="10649" max="10649" width="11.28515625" bestFit="1" customWidth="1"/>
    <col min="10650" max="10650" width="10.140625" bestFit="1" customWidth="1"/>
    <col min="10651" max="10651" width="13.28515625" bestFit="1" customWidth="1"/>
    <col min="10652" max="10653" width="12.7109375" bestFit="1" customWidth="1"/>
    <col min="10654" max="10654" width="11" bestFit="1" customWidth="1"/>
    <col min="10655" max="10655" width="11.28515625" bestFit="1" customWidth="1"/>
    <col min="10656" max="10656" width="11.5703125" bestFit="1" customWidth="1"/>
    <col min="10657" max="10657" width="12.28515625" bestFit="1" customWidth="1"/>
    <col min="10658" max="10658" width="15.140625" bestFit="1" customWidth="1"/>
    <col min="10659" max="10659" width="14.42578125" bestFit="1" customWidth="1"/>
    <col min="10660" max="10660" width="12.28515625" bestFit="1" customWidth="1"/>
    <col min="10661" max="10661" width="15.140625" bestFit="1" customWidth="1"/>
    <col min="10662" max="10662" width="14.42578125" bestFit="1" customWidth="1"/>
    <col min="10663" max="10663" width="12.28515625" bestFit="1" customWidth="1"/>
    <col min="10664" max="10664" width="14.42578125" bestFit="1" customWidth="1"/>
    <col min="10665" max="10665" width="11.28515625" bestFit="1" customWidth="1"/>
    <col min="10666" max="10666" width="12.28515625" bestFit="1" customWidth="1"/>
    <col min="10667" max="10667" width="13" bestFit="1" customWidth="1"/>
    <col min="10668" max="10668" width="15.140625" bestFit="1" customWidth="1"/>
    <col min="10669" max="10669" width="12.28515625" bestFit="1" customWidth="1"/>
    <col min="10670" max="10670" width="13.85546875" bestFit="1" customWidth="1"/>
    <col min="10671" max="10671" width="11.28515625" bestFit="1" customWidth="1"/>
    <col min="10672" max="10672" width="12.28515625" bestFit="1" customWidth="1"/>
    <col min="10673" max="10673" width="13.85546875" bestFit="1" customWidth="1"/>
    <col min="10674" max="10675" width="15.140625" bestFit="1" customWidth="1"/>
    <col min="10676" max="10676" width="12.28515625" bestFit="1" customWidth="1"/>
    <col min="10677" max="10677" width="5.7109375" bestFit="1" customWidth="1"/>
    <col min="10678" max="10678" width="8.5703125" bestFit="1" customWidth="1"/>
    <col min="10679" max="10679" width="5.5703125" bestFit="1" customWidth="1"/>
    <col min="10680" max="10680" width="14.42578125" bestFit="1" customWidth="1"/>
    <col min="10681" max="10681" width="11.28515625" bestFit="1" customWidth="1"/>
    <col min="10682" max="10683" width="12.28515625" bestFit="1" customWidth="1"/>
    <col min="10684" max="10684" width="11.28515625" bestFit="1" customWidth="1"/>
    <col min="10685" max="10685" width="13.85546875" bestFit="1" customWidth="1"/>
    <col min="10686" max="10686" width="12" bestFit="1" customWidth="1"/>
    <col min="10687" max="10687" width="13.85546875" bestFit="1" customWidth="1"/>
    <col min="10688" max="10689" width="14.42578125" customWidth="1"/>
    <col min="10690" max="10690" width="10.140625" bestFit="1" customWidth="1"/>
    <col min="10691" max="10691" width="12.28515625" bestFit="1" customWidth="1"/>
    <col min="10692" max="10692" width="7.42578125" bestFit="1" customWidth="1"/>
    <col min="10693" max="10693" width="8.5703125" bestFit="1" customWidth="1"/>
    <col min="10694" max="10694" width="11.5703125" bestFit="1" customWidth="1"/>
    <col min="10695" max="10695" width="13.28515625" bestFit="1" customWidth="1"/>
    <col min="10696" max="10696" width="13.28515625" customWidth="1"/>
    <col min="10697" max="10697" width="13.140625" customWidth="1"/>
    <col min="10698" max="10698" width="12.7109375" bestFit="1" customWidth="1"/>
    <col min="10699" max="10699" width="13.28515625" bestFit="1" customWidth="1"/>
    <col min="10700" max="10702" width="13.28515625" customWidth="1"/>
    <col min="10703" max="10703" width="12.140625" bestFit="1" customWidth="1"/>
    <col min="10704" max="10704" width="12.7109375" bestFit="1" customWidth="1"/>
    <col min="10705" max="10705" width="11" customWidth="1"/>
    <col min="10706" max="10706" width="16.7109375" customWidth="1"/>
    <col min="10707" max="10707" width="17" customWidth="1"/>
    <col min="10708" max="10708" width="10.42578125" bestFit="1" customWidth="1"/>
    <col min="10752" max="10752" width="3.85546875" customWidth="1"/>
    <col min="10753" max="10753" width="15.28515625" bestFit="1" customWidth="1"/>
    <col min="10754" max="10754" width="12.28515625" customWidth="1"/>
    <col min="10755" max="10755" width="16.28515625" bestFit="1" customWidth="1"/>
    <col min="10756" max="10756" width="6.42578125" bestFit="1" customWidth="1"/>
    <col min="10757" max="10757" width="9.28515625" bestFit="1" customWidth="1"/>
    <col min="10758" max="10758" width="7.5703125" bestFit="1" customWidth="1"/>
    <col min="10759" max="10759" width="13.28515625" bestFit="1" customWidth="1"/>
    <col min="10760" max="10760" width="9.28515625" bestFit="1" customWidth="1"/>
    <col min="10761" max="10761" width="11.5703125" bestFit="1" customWidth="1"/>
    <col min="10762" max="10762" width="13.28515625" bestFit="1" customWidth="1"/>
    <col min="10763" max="10763" width="7.140625" bestFit="1" customWidth="1"/>
    <col min="10764" max="10764" width="12" bestFit="1" customWidth="1"/>
    <col min="10765" max="10765" width="13.28515625" bestFit="1" customWidth="1"/>
    <col min="10766" max="10766" width="7" bestFit="1" customWidth="1"/>
    <col min="10767" max="10767" width="12.7109375" bestFit="1" customWidth="1"/>
    <col min="10768" max="10768" width="11.5703125" bestFit="1" customWidth="1"/>
    <col min="10769" max="10769" width="10.5703125" bestFit="1" customWidth="1"/>
    <col min="10770" max="10771" width="15.7109375" bestFit="1" customWidth="1"/>
    <col min="10772" max="10772" width="11.5703125" bestFit="1" customWidth="1"/>
    <col min="10773" max="10773" width="7.7109375" bestFit="1" customWidth="1"/>
    <col min="10774" max="10774" width="15.140625" bestFit="1" customWidth="1"/>
    <col min="10775" max="10775" width="11.5703125" bestFit="1" customWidth="1"/>
    <col min="10776" max="10776" width="13.28515625" bestFit="1" customWidth="1"/>
    <col min="10777" max="10777" width="10.42578125" bestFit="1" customWidth="1"/>
    <col min="10778" max="10778" width="13.28515625" bestFit="1" customWidth="1"/>
    <col min="10779" max="10779" width="12.140625" bestFit="1" customWidth="1"/>
    <col min="10780" max="10780" width="14.42578125" bestFit="1" customWidth="1"/>
    <col min="10781" max="10781" width="13.28515625" bestFit="1" customWidth="1"/>
    <col min="10782" max="10782" width="11.5703125" bestFit="1" customWidth="1"/>
    <col min="10783" max="10783" width="7.7109375" bestFit="1" customWidth="1"/>
    <col min="10784" max="10785" width="14.42578125" bestFit="1" customWidth="1"/>
    <col min="10786" max="10786" width="11.5703125" bestFit="1" customWidth="1"/>
    <col min="10787" max="10787" width="7.7109375" bestFit="1" customWidth="1"/>
    <col min="10788" max="10788" width="13.5703125" customWidth="1"/>
    <col min="10789" max="10789" width="15.28515625" customWidth="1"/>
    <col min="10790" max="10790" width="14.5703125" customWidth="1"/>
    <col min="10791" max="10791" width="13.28515625" bestFit="1" customWidth="1"/>
    <col min="10792" max="10792" width="7.7109375" bestFit="1" customWidth="1"/>
    <col min="10793" max="10793" width="12.7109375" bestFit="1" customWidth="1"/>
    <col min="10794" max="10794" width="11.7109375" bestFit="1" customWidth="1"/>
    <col min="10795" max="10795" width="11.5703125" bestFit="1" customWidth="1"/>
    <col min="10796" max="10796" width="5.28515625" bestFit="1" customWidth="1"/>
    <col min="10797" max="10797" width="13.28515625" bestFit="1" customWidth="1"/>
    <col min="10798" max="10798" width="13.5703125" bestFit="1" customWidth="1"/>
    <col min="10799" max="10799" width="10.5703125" bestFit="1" customWidth="1"/>
    <col min="10800" max="10800" width="13.28515625" bestFit="1" customWidth="1"/>
    <col min="10801" max="10801" width="11.5703125" bestFit="1" customWidth="1"/>
    <col min="10802" max="10802" width="10.5703125" bestFit="1" customWidth="1"/>
    <col min="10803" max="10803" width="16.140625" bestFit="1" customWidth="1"/>
    <col min="10804" max="10805" width="11.28515625" bestFit="1" customWidth="1"/>
    <col min="10806" max="10806" width="13.28515625" bestFit="1" customWidth="1"/>
    <col min="10807" max="10807" width="7.7109375" bestFit="1" customWidth="1"/>
    <col min="10808" max="10811" width="9.140625" hidden="1" customWidth="1"/>
    <col min="10812" max="10812" width="10.42578125" bestFit="1" customWidth="1"/>
    <col min="10813" max="10813" width="10.5703125" bestFit="1" customWidth="1"/>
    <col min="10814" max="10814" width="10.42578125" bestFit="1" customWidth="1"/>
    <col min="10815" max="10815" width="10.5703125" bestFit="1" customWidth="1"/>
    <col min="10816" max="10816" width="9.5703125" bestFit="1" customWidth="1"/>
    <col min="10817" max="10817" width="11.5703125" bestFit="1" customWidth="1"/>
    <col min="10818" max="10818" width="10.42578125" bestFit="1" customWidth="1"/>
    <col min="10819" max="10819" width="10.85546875" customWidth="1"/>
    <col min="10820" max="10821" width="9.85546875" bestFit="1" customWidth="1"/>
    <col min="10822" max="10822" width="13.5703125" bestFit="1" customWidth="1"/>
    <col min="10823" max="10823" width="7.7109375" bestFit="1" customWidth="1"/>
    <col min="10824" max="10824" width="13.28515625" bestFit="1" customWidth="1"/>
    <col min="10825" max="10825" width="11.5703125" bestFit="1" customWidth="1"/>
    <col min="10826" max="10826" width="10.42578125" bestFit="1" customWidth="1"/>
    <col min="10827" max="10827" width="7.7109375" bestFit="1" customWidth="1"/>
    <col min="10828" max="10828" width="11.5703125" bestFit="1" customWidth="1"/>
    <col min="10829" max="10829" width="10.85546875" bestFit="1" customWidth="1"/>
    <col min="10830" max="10830" width="13.28515625" bestFit="1" customWidth="1"/>
    <col min="10831" max="10831" width="10.85546875" bestFit="1" customWidth="1"/>
    <col min="10832" max="10833" width="7.5703125" bestFit="1" customWidth="1"/>
    <col min="10834" max="10835" width="10.42578125" bestFit="1" customWidth="1"/>
    <col min="10836" max="10836" width="11.5703125" bestFit="1" customWidth="1"/>
    <col min="10837" max="10837" width="5.28515625" bestFit="1" customWidth="1"/>
    <col min="10838" max="10838" width="10.28515625" bestFit="1" customWidth="1"/>
    <col min="10839" max="10839" width="10.42578125" bestFit="1" customWidth="1"/>
    <col min="10840" max="10840" width="11.5703125" bestFit="1" customWidth="1"/>
    <col min="10841" max="10841" width="5.28515625" bestFit="1" customWidth="1"/>
    <col min="10842" max="10844" width="11.5703125" bestFit="1" customWidth="1"/>
    <col min="10845" max="10845" width="5.28515625" bestFit="1" customWidth="1"/>
    <col min="10846" max="10847" width="10.42578125" bestFit="1" customWidth="1"/>
    <col min="10848" max="10848" width="11.5703125" bestFit="1" customWidth="1"/>
    <col min="10849" max="10849" width="5.28515625" bestFit="1" customWidth="1"/>
    <col min="10850" max="10850" width="14.28515625" bestFit="1" customWidth="1"/>
    <col min="10851" max="10851" width="13" bestFit="1" customWidth="1"/>
    <col min="10852" max="10852" width="11.5703125" bestFit="1" customWidth="1"/>
    <col min="10853" max="10853" width="8.85546875" bestFit="1" customWidth="1"/>
    <col min="10854" max="10854" width="14.42578125" bestFit="1" customWidth="1"/>
    <col min="10855" max="10855" width="10.42578125" bestFit="1" customWidth="1"/>
    <col min="10856" max="10856" width="12.28515625" bestFit="1" customWidth="1"/>
    <col min="10857" max="10857" width="13.85546875" bestFit="1" customWidth="1"/>
    <col min="10858" max="10858" width="11.28515625" customWidth="1"/>
    <col min="10859" max="10859" width="11.5703125" customWidth="1"/>
    <col min="10860" max="10860" width="13.42578125" bestFit="1" customWidth="1"/>
    <col min="10861" max="10861" width="10.42578125" customWidth="1"/>
    <col min="10862" max="10862" width="13.85546875" bestFit="1" customWidth="1"/>
    <col min="10863" max="10863" width="15.42578125" bestFit="1" customWidth="1"/>
    <col min="10864" max="10864" width="12.28515625" bestFit="1" customWidth="1"/>
    <col min="10865" max="10865" width="12.7109375" customWidth="1"/>
    <col min="10866" max="10866" width="10.7109375" bestFit="1" customWidth="1"/>
    <col min="10867" max="10867" width="9.85546875" customWidth="1"/>
    <col min="10868" max="10869" width="10.140625" bestFit="1" customWidth="1"/>
    <col min="10870" max="10870" width="7.5703125" bestFit="1" customWidth="1"/>
    <col min="10871" max="10871" width="9.42578125" bestFit="1" customWidth="1"/>
    <col min="10872" max="10872" width="14.5703125" bestFit="1" customWidth="1"/>
    <col min="10873" max="10873" width="14.85546875" customWidth="1"/>
    <col min="10874" max="10874" width="15.140625" bestFit="1" customWidth="1"/>
    <col min="10875" max="10875" width="12.140625" bestFit="1" customWidth="1"/>
    <col min="10876" max="10876" width="14.85546875" bestFit="1" customWidth="1"/>
    <col min="10877" max="10877" width="12.28515625" bestFit="1" customWidth="1"/>
    <col min="10878" max="10886" width="9.140625" hidden="1" customWidth="1"/>
    <col min="10887" max="10887" width="5.28515625" bestFit="1" customWidth="1"/>
    <col min="10888" max="10893" width="11.5703125" bestFit="1" customWidth="1"/>
    <col min="10894" max="10894" width="11.28515625" bestFit="1" customWidth="1"/>
    <col min="10895" max="10895" width="10.140625" bestFit="1" customWidth="1"/>
    <col min="10896" max="10896" width="11.5703125" bestFit="1" customWidth="1"/>
    <col min="10897" max="10897" width="16.140625" customWidth="1"/>
    <col min="10898" max="10898" width="13.42578125" customWidth="1"/>
    <col min="10899" max="10899" width="10.140625" bestFit="1" customWidth="1"/>
    <col min="10900" max="10900" width="12.85546875" bestFit="1" customWidth="1"/>
    <col min="10901" max="10901" width="12.28515625" bestFit="1" customWidth="1"/>
    <col min="10902" max="10902" width="11.28515625" bestFit="1" customWidth="1"/>
    <col min="10903" max="10903" width="11.5703125" bestFit="1" customWidth="1"/>
    <col min="10904" max="10904" width="10.85546875" bestFit="1" customWidth="1"/>
    <col min="10905" max="10905" width="11.28515625" bestFit="1" customWidth="1"/>
    <col min="10906" max="10906" width="10.140625" bestFit="1" customWidth="1"/>
    <col min="10907" max="10907" width="13.28515625" bestFit="1" customWidth="1"/>
    <col min="10908" max="10909" width="12.7109375" bestFit="1" customWidth="1"/>
    <col min="10910" max="10910" width="11" bestFit="1" customWidth="1"/>
    <col min="10911" max="10911" width="11.28515625" bestFit="1" customWidth="1"/>
    <col min="10912" max="10912" width="11.5703125" bestFit="1" customWidth="1"/>
    <col min="10913" max="10913" width="12.28515625" bestFit="1" customWidth="1"/>
    <col min="10914" max="10914" width="15.140625" bestFit="1" customWidth="1"/>
    <col min="10915" max="10915" width="14.42578125" bestFit="1" customWidth="1"/>
    <col min="10916" max="10916" width="12.28515625" bestFit="1" customWidth="1"/>
    <col min="10917" max="10917" width="15.140625" bestFit="1" customWidth="1"/>
    <col min="10918" max="10918" width="14.42578125" bestFit="1" customWidth="1"/>
    <col min="10919" max="10919" width="12.28515625" bestFit="1" customWidth="1"/>
    <col min="10920" max="10920" width="14.42578125" bestFit="1" customWidth="1"/>
    <col min="10921" max="10921" width="11.28515625" bestFit="1" customWidth="1"/>
    <col min="10922" max="10922" width="12.28515625" bestFit="1" customWidth="1"/>
    <col min="10923" max="10923" width="13" bestFit="1" customWidth="1"/>
    <col min="10924" max="10924" width="15.140625" bestFit="1" customWidth="1"/>
    <col min="10925" max="10925" width="12.28515625" bestFit="1" customWidth="1"/>
    <col min="10926" max="10926" width="13.85546875" bestFit="1" customWidth="1"/>
    <col min="10927" max="10927" width="11.28515625" bestFit="1" customWidth="1"/>
    <col min="10928" max="10928" width="12.28515625" bestFit="1" customWidth="1"/>
    <col min="10929" max="10929" width="13.85546875" bestFit="1" customWidth="1"/>
    <col min="10930" max="10931" width="15.140625" bestFit="1" customWidth="1"/>
    <col min="10932" max="10932" width="12.28515625" bestFit="1" customWidth="1"/>
    <col min="10933" max="10933" width="5.7109375" bestFit="1" customWidth="1"/>
    <col min="10934" max="10934" width="8.5703125" bestFit="1" customWidth="1"/>
    <col min="10935" max="10935" width="5.5703125" bestFit="1" customWidth="1"/>
    <col min="10936" max="10936" width="14.42578125" bestFit="1" customWidth="1"/>
    <col min="10937" max="10937" width="11.28515625" bestFit="1" customWidth="1"/>
    <col min="10938" max="10939" width="12.28515625" bestFit="1" customWidth="1"/>
    <col min="10940" max="10940" width="11.28515625" bestFit="1" customWidth="1"/>
    <col min="10941" max="10941" width="13.85546875" bestFit="1" customWidth="1"/>
    <col min="10942" max="10942" width="12" bestFit="1" customWidth="1"/>
    <col min="10943" max="10943" width="13.85546875" bestFit="1" customWidth="1"/>
    <col min="10944" max="10945" width="14.42578125" customWidth="1"/>
    <col min="10946" max="10946" width="10.140625" bestFit="1" customWidth="1"/>
    <col min="10947" max="10947" width="12.28515625" bestFit="1" customWidth="1"/>
    <col min="10948" max="10948" width="7.42578125" bestFit="1" customWidth="1"/>
    <col min="10949" max="10949" width="8.5703125" bestFit="1" customWidth="1"/>
    <col min="10950" max="10950" width="11.5703125" bestFit="1" customWidth="1"/>
    <col min="10951" max="10951" width="13.28515625" bestFit="1" customWidth="1"/>
    <col min="10952" max="10952" width="13.28515625" customWidth="1"/>
    <col min="10953" max="10953" width="13.140625" customWidth="1"/>
    <col min="10954" max="10954" width="12.7109375" bestFit="1" customWidth="1"/>
    <col min="10955" max="10955" width="13.28515625" bestFit="1" customWidth="1"/>
    <col min="10956" max="10958" width="13.28515625" customWidth="1"/>
    <col min="10959" max="10959" width="12.140625" bestFit="1" customWidth="1"/>
    <col min="10960" max="10960" width="12.7109375" bestFit="1" customWidth="1"/>
    <col min="10961" max="10961" width="11" customWidth="1"/>
    <col min="10962" max="10962" width="16.7109375" customWidth="1"/>
    <col min="10963" max="10963" width="17" customWidth="1"/>
    <col min="10964" max="10964" width="10.42578125" bestFit="1" customWidth="1"/>
    <col min="11008" max="11008" width="3.85546875" customWidth="1"/>
    <col min="11009" max="11009" width="15.28515625" bestFit="1" customWidth="1"/>
    <col min="11010" max="11010" width="12.28515625" customWidth="1"/>
    <col min="11011" max="11011" width="16.28515625" bestFit="1" customWidth="1"/>
    <col min="11012" max="11012" width="6.42578125" bestFit="1" customWidth="1"/>
    <col min="11013" max="11013" width="9.28515625" bestFit="1" customWidth="1"/>
    <col min="11014" max="11014" width="7.5703125" bestFit="1" customWidth="1"/>
    <col min="11015" max="11015" width="13.28515625" bestFit="1" customWidth="1"/>
    <col min="11016" max="11016" width="9.28515625" bestFit="1" customWidth="1"/>
    <col min="11017" max="11017" width="11.5703125" bestFit="1" customWidth="1"/>
    <col min="11018" max="11018" width="13.28515625" bestFit="1" customWidth="1"/>
    <col min="11019" max="11019" width="7.140625" bestFit="1" customWidth="1"/>
    <col min="11020" max="11020" width="12" bestFit="1" customWidth="1"/>
    <col min="11021" max="11021" width="13.28515625" bestFit="1" customWidth="1"/>
    <col min="11022" max="11022" width="7" bestFit="1" customWidth="1"/>
    <col min="11023" max="11023" width="12.7109375" bestFit="1" customWidth="1"/>
    <col min="11024" max="11024" width="11.5703125" bestFit="1" customWidth="1"/>
    <col min="11025" max="11025" width="10.5703125" bestFit="1" customWidth="1"/>
    <col min="11026" max="11027" width="15.7109375" bestFit="1" customWidth="1"/>
    <col min="11028" max="11028" width="11.5703125" bestFit="1" customWidth="1"/>
    <col min="11029" max="11029" width="7.7109375" bestFit="1" customWidth="1"/>
    <col min="11030" max="11030" width="15.140625" bestFit="1" customWidth="1"/>
    <col min="11031" max="11031" width="11.5703125" bestFit="1" customWidth="1"/>
    <col min="11032" max="11032" width="13.28515625" bestFit="1" customWidth="1"/>
    <col min="11033" max="11033" width="10.42578125" bestFit="1" customWidth="1"/>
    <col min="11034" max="11034" width="13.28515625" bestFit="1" customWidth="1"/>
    <col min="11035" max="11035" width="12.140625" bestFit="1" customWidth="1"/>
    <col min="11036" max="11036" width="14.42578125" bestFit="1" customWidth="1"/>
    <col min="11037" max="11037" width="13.28515625" bestFit="1" customWidth="1"/>
    <col min="11038" max="11038" width="11.5703125" bestFit="1" customWidth="1"/>
    <col min="11039" max="11039" width="7.7109375" bestFit="1" customWidth="1"/>
    <col min="11040" max="11041" width="14.42578125" bestFit="1" customWidth="1"/>
    <col min="11042" max="11042" width="11.5703125" bestFit="1" customWidth="1"/>
    <col min="11043" max="11043" width="7.7109375" bestFit="1" customWidth="1"/>
    <col min="11044" max="11044" width="13.5703125" customWidth="1"/>
    <col min="11045" max="11045" width="15.28515625" customWidth="1"/>
    <col min="11046" max="11046" width="14.5703125" customWidth="1"/>
    <col min="11047" max="11047" width="13.28515625" bestFit="1" customWidth="1"/>
    <col min="11048" max="11048" width="7.7109375" bestFit="1" customWidth="1"/>
    <col min="11049" max="11049" width="12.7109375" bestFit="1" customWidth="1"/>
    <col min="11050" max="11050" width="11.7109375" bestFit="1" customWidth="1"/>
    <col min="11051" max="11051" width="11.5703125" bestFit="1" customWidth="1"/>
    <col min="11052" max="11052" width="5.28515625" bestFit="1" customWidth="1"/>
    <col min="11053" max="11053" width="13.28515625" bestFit="1" customWidth="1"/>
    <col min="11054" max="11054" width="13.5703125" bestFit="1" customWidth="1"/>
    <col min="11055" max="11055" width="10.5703125" bestFit="1" customWidth="1"/>
    <col min="11056" max="11056" width="13.28515625" bestFit="1" customWidth="1"/>
    <col min="11057" max="11057" width="11.5703125" bestFit="1" customWidth="1"/>
    <col min="11058" max="11058" width="10.5703125" bestFit="1" customWidth="1"/>
    <col min="11059" max="11059" width="16.140625" bestFit="1" customWidth="1"/>
    <col min="11060" max="11061" width="11.28515625" bestFit="1" customWidth="1"/>
    <col min="11062" max="11062" width="13.28515625" bestFit="1" customWidth="1"/>
    <col min="11063" max="11063" width="7.7109375" bestFit="1" customWidth="1"/>
    <col min="11064" max="11067" width="9.140625" hidden="1" customWidth="1"/>
    <col min="11068" max="11068" width="10.42578125" bestFit="1" customWidth="1"/>
    <col min="11069" max="11069" width="10.5703125" bestFit="1" customWidth="1"/>
    <col min="11070" max="11070" width="10.42578125" bestFit="1" customWidth="1"/>
    <col min="11071" max="11071" width="10.5703125" bestFit="1" customWidth="1"/>
    <col min="11072" max="11072" width="9.5703125" bestFit="1" customWidth="1"/>
    <col min="11073" max="11073" width="11.5703125" bestFit="1" customWidth="1"/>
    <col min="11074" max="11074" width="10.42578125" bestFit="1" customWidth="1"/>
    <col min="11075" max="11075" width="10.85546875" customWidth="1"/>
    <col min="11076" max="11077" width="9.85546875" bestFit="1" customWidth="1"/>
    <col min="11078" max="11078" width="13.5703125" bestFit="1" customWidth="1"/>
    <col min="11079" max="11079" width="7.7109375" bestFit="1" customWidth="1"/>
    <col min="11080" max="11080" width="13.28515625" bestFit="1" customWidth="1"/>
    <col min="11081" max="11081" width="11.5703125" bestFit="1" customWidth="1"/>
    <col min="11082" max="11082" width="10.42578125" bestFit="1" customWidth="1"/>
    <col min="11083" max="11083" width="7.7109375" bestFit="1" customWidth="1"/>
    <col min="11084" max="11084" width="11.5703125" bestFit="1" customWidth="1"/>
    <col min="11085" max="11085" width="10.85546875" bestFit="1" customWidth="1"/>
    <col min="11086" max="11086" width="13.28515625" bestFit="1" customWidth="1"/>
    <col min="11087" max="11087" width="10.85546875" bestFit="1" customWidth="1"/>
    <col min="11088" max="11089" width="7.5703125" bestFit="1" customWidth="1"/>
    <col min="11090" max="11091" width="10.42578125" bestFit="1" customWidth="1"/>
    <col min="11092" max="11092" width="11.5703125" bestFit="1" customWidth="1"/>
    <col min="11093" max="11093" width="5.28515625" bestFit="1" customWidth="1"/>
    <col min="11094" max="11094" width="10.28515625" bestFit="1" customWidth="1"/>
    <col min="11095" max="11095" width="10.42578125" bestFit="1" customWidth="1"/>
    <col min="11096" max="11096" width="11.5703125" bestFit="1" customWidth="1"/>
    <col min="11097" max="11097" width="5.28515625" bestFit="1" customWidth="1"/>
    <col min="11098" max="11100" width="11.5703125" bestFit="1" customWidth="1"/>
    <col min="11101" max="11101" width="5.28515625" bestFit="1" customWidth="1"/>
    <col min="11102" max="11103" width="10.42578125" bestFit="1" customWidth="1"/>
    <col min="11104" max="11104" width="11.5703125" bestFit="1" customWidth="1"/>
    <col min="11105" max="11105" width="5.28515625" bestFit="1" customWidth="1"/>
    <col min="11106" max="11106" width="14.28515625" bestFit="1" customWidth="1"/>
    <col min="11107" max="11107" width="13" bestFit="1" customWidth="1"/>
    <col min="11108" max="11108" width="11.5703125" bestFit="1" customWidth="1"/>
    <col min="11109" max="11109" width="8.85546875" bestFit="1" customWidth="1"/>
    <col min="11110" max="11110" width="14.42578125" bestFit="1" customWidth="1"/>
    <col min="11111" max="11111" width="10.42578125" bestFit="1" customWidth="1"/>
    <col min="11112" max="11112" width="12.28515625" bestFit="1" customWidth="1"/>
    <col min="11113" max="11113" width="13.85546875" bestFit="1" customWidth="1"/>
    <col min="11114" max="11114" width="11.28515625" customWidth="1"/>
    <col min="11115" max="11115" width="11.5703125" customWidth="1"/>
    <col min="11116" max="11116" width="13.42578125" bestFit="1" customWidth="1"/>
    <col min="11117" max="11117" width="10.42578125" customWidth="1"/>
    <col min="11118" max="11118" width="13.85546875" bestFit="1" customWidth="1"/>
    <col min="11119" max="11119" width="15.42578125" bestFit="1" customWidth="1"/>
    <col min="11120" max="11120" width="12.28515625" bestFit="1" customWidth="1"/>
    <col min="11121" max="11121" width="12.7109375" customWidth="1"/>
    <col min="11122" max="11122" width="10.7109375" bestFit="1" customWidth="1"/>
    <col min="11123" max="11123" width="9.85546875" customWidth="1"/>
    <col min="11124" max="11125" width="10.140625" bestFit="1" customWidth="1"/>
    <col min="11126" max="11126" width="7.5703125" bestFit="1" customWidth="1"/>
    <col min="11127" max="11127" width="9.42578125" bestFit="1" customWidth="1"/>
    <col min="11128" max="11128" width="14.5703125" bestFit="1" customWidth="1"/>
    <col min="11129" max="11129" width="14.85546875" customWidth="1"/>
    <col min="11130" max="11130" width="15.140625" bestFit="1" customWidth="1"/>
    <col min="11131" max="11131" width="12.140625" bestFit="1" customWidth="1"/>
    <col min="11132" max="11132" width="14.85546875" bestFit="1" customWidth="1"/>
    <col min="11133" max="11133" width="12.28515625" bestFit="1" customWidth="1"/>
    <col min="11134" max="11142" width="9.140625" hidden="1" customWidth="1"/>
    <col min="11143" max="11143" width="5.28515625" bestFit="1" customWidth="1"/>
    <col min="11144" max="11149" width="11.5703125" bestFit="1" customWidth="1"/>
    <col min="11150" max="11150" width="11.28515625" bestFit="1" customWidth="1"/>
    <col min="11151" max="11151" width="10.140625" bestFit="1" customWidth="1"/>
    <col min="11152" max="11152" width="11.5703125" bestFit="1" customWidth="1"/>
    <col min="11153" max="11153" width="16.140625" customWidth="1"/>
    <col min="11154" max="11154" width="13.42578125" customWidth="1"/>
    <col min="11155" max="11155" width="10.140625" bestFit="1" customWidth="1"/>
    <col min="11156" max="11156" width="12.85546875" bestFit="1" customWidth="1"/>
    <col min="11157" max="11157" width="12.28515625" bestFit="1" customWidth="1"/>
    <col min="11158" max="11158" width="11.28515625" bestFit="1" customWidth="1"/>
    <col min="11159" max="11159" width="11.5703125" bestFit="1" customWidth="1"/>
    <col min="11160" max="11160" width="10.85546875" bestFit="1" customWidth="1"/>
    <col min="11161" max="11161" width="11.28515625" bestFit="1" customWidth="1"/>
    <col min="11162" max="11162" width="10.140625" bestFit="1" customWidth="1"/>
    <col min="11163" max="11163" width="13.28515625" bestFit="1" customWidth="1"/>
    <col min="11164" max="11165" width="12.7109375" bestFit="1" customWidth="1"/>
    <col min="11166" max="11166" width="11" bestFit="1" customWidth="1"/>
    <col min="11167" max="11167" width="11.28515625" bestFit="1" customWidth="1"/>
    <col min="11168" max="11168" width="11.5703125" bestFit="1" customWidth="1"/>
    <col min="11169" max="11169" width="12.28515625" bestFit="1" customWidth="1"/>
    <col min="11170" max="11170" width="15.140625" bestFit="1" customWidth="1"/>
    <col min="11171" max="11171" width="14.42578125" bestFit="1" customWidth="1"/>
    <col min="11172" max="11172" width="12.28515625" bestFit="1" customWidth="1"/>
    <col min="11173" max="11173" width="15.140625" bestFit="1" customWidth="1"/>
    <col min="11174" max="11174" width="14.42578125" bestFit="1" customWidth="1"/>
    <col min="11175" max="11175" width="12.28515625" bestFit="1" customWidth="1"/>
    <col min="11176" max="11176" width="14.42578125" bestFit="1" customWidth="1"/>
    <col min="11177" max="11177" width="11.28515625" bestFit="1" customWidth="1"/>
    <col min="11178" max="11178" width="12.28515625" bestFit="1" customWidth="1"/>
    <col min="11179" max="11179" width="13" bestFit="1" customWidth="1"/>
    <col min="11180" max="11180" width="15.140625" bestFit="1" customWidth="1"/>
    <col min="11181" max="11181" width="12.28515625" bestFit="1" customWidth="1"/>
    <col min="11182" max="11182" width="13.85546875" bestFit="1" customWidth="1"/>
    <col min="11183" max="11183" width="11.28515625" bestFit="1" customWidth="1"/>
    <col min="11184" max="11184" width="12.28515625" bestFit="1" customWidth="1"/>
    <col min="11185" max="11185" width="13.85546875" bestFit="1" customWidth="1"/>
    <col min="11186" max="11187" width="15.140625" bestFit="1" customWidth="1"/>
    <col min="11188" max="11188" width="12.28515625" bestFit="1" customWidth="1"/>
    <col min="11189" max="11189" width="5.7109375" bestFit="1" customWidth="1"/>
    <col min="11190" max="11190" width="8.5703125" bestFit="1" customWidth="1"/>
    <col min="11191" max="11191" width="5.5703125" bestFit="1" customWidth="1"/>
    <col min="11192" max="11192" width="14.42578125" bestFit="1" customWidth="1"/>
    <col min="11193" max="11193" width="11.28515625" bestFit="1" customWidth="1"/>
    <col min="11194" max="11195" width="12.28515625" bestFit="1" customWidth="1"/>
    <col min="11196" max="11196" width="11.28515625" bestFit="1" customWidth="1"/>
    <col min="11197" max="11197" width="13.85546875" bestFit="1" customWidth="1"/>
    <col min="11198" max="11198" width="12" bestFit="1" customWidth="1"/>
    <col min="11199" max="11199" width="13.85546875" bestFit="1" customWidth="1"/>
    <col min="11200" max="11201" width="14.42578125" customWidth="1"/>
    <col min="11202" max="11202" width="10.140625" bestFit="1" customWidth="1"/>
    <col min="11203" max="11203" width="12.28515625" bestFit="1" customWidth="1"/>
    <col min="11204" max="11204" width="7.42578125" bestFit="1" customWidth="1"/>
    <col min="11205" max="11205" width="8.5703125" bestFit="1" customWidth="1"/>
    <col min="11206" max="11206" width="11.5703125" bestFit="1" customWidth="1"/>
    <col min="11207" max="11207" width="13.28515625" bestFit="1" customWidth="1"/>
    <col min="11208" max="11208" width="13.28515625" customWidth="1"/>
    <col min="11209" max="11209" width="13.140625" customWidth="1"/>
    <col min="11210" max="11210" width="12.7109375" bestFit="1" customWidth="1"/>
    <col min="11211" max="11211" width="13.28515625" bestFit="1" customWidth="1"/>
    <col min="11212" max="11214" width="13.28515625" customWidth="1"/>
    <col min="11215" max="11215" width="12.140625" bestFit="1" customWidth="1"/>
    <col min="11216" max="11216" width="12.7109375" bestFit="1" customWidth="1"/>
    <col min="11217" max="11217" width="11" customWidth="1"/>
    <col min="11218" max="11218" width="16.7109375" customWidth="1"/>
    <col min="11219" max="11219" width="17" customWidth="1"/>
    <col min="11220" max="11220" width="10.42578125" bestFit="1" customWidth="1"/>
    <col min="11264" max="11264" width="3.85546875" customWidth="1"/>
    <col min="11265" max="11265" width="15.28515625" bestFit="1" customWidth="1"/>
    <col min="11266" max="11266" width="12.28515625" customWidth="1"/>
    <col min="11267" max="11267" width="16.28515625" bestFit="1" customWidth="1"/>
    <col min="11268" max="11268" width="6.42578125" bestFit="1" customWidth="1"/>
    <col min="11269" max="11269" width="9.28515625" bestFit="1" customWidth="1"/>
    <col min="11270" max="11270" width="7.5703125" bestFit="1" customWidth="1"/>
    <col min="11271" max="11271" width="13.28515625" bestFit="1" customWidth="1"/>
    <col min="11272" max="11272" width="9.28515625" bestFit="1" customWidth="1"/>
    <col min="11273" max="11273" width="11.5703125" bestFit="1" customWidth="1"/>
    <col min="11274" max="11274" width="13.28515625" bestFit="1" customWidth="1"/>
    <col min="11275" max="11275" width="7.140625" bestFit="1" customWidth="1"/>
    <col min="11276" max="11276" width="12" bestFit="1" customWidth="1"/>
    <col min="11277" max="11277" width="13.28515625" bestFit="1" customWidth="1"/>
    <col min="11278" max="11278" width="7" bestFit="1" customWidth="1"/>
    <col min="11279" max="11279" width="12.7109375" bestFit="1" customWidth="1"/>
    <col min="11280" max="11280" width="11.5703125" bestFit="1" customWidth="1"/>
    <col min="11281" max="11281" width="10.5703125" bestFit="1" customWidth="1"/>
    <col min="11282" max="11283" width="15.7109375" bestFit="1" customWidth="1"/>
    <col min="11284" max="11284" width="11.5703125" bestFit="1" customWidth="1"/>
    <col min="11285" max="11285" width="7.7109375" bestFit="1" customWidth="1"/>
    <col min="11286" max="11286" width="15.140625" bestFit="1" customWidth="1"/>
    <col min="11287" max="11287" width="11.5703125" bestFit="1" customWidth="1"/>
    <col min="11288" max="11288" width="13.28515625" bestFit="1" customWidth="1"/>
    <col min="11289" max="11289" width="10.42578125" bestFit="1" customWidth="1"/>
    <col min="11290" max="11290" width="13.28515625" bestFit="1" customWidth="1"/>
    <col min="11291" max="11291" width="12.140625" bestFit="1" customWidth="1"/>
    <col min="11292" max="11292" width="14.42578125" bestFit="1" customWidth="1"/>
    <col min="11293" max="11293" width="13.28515625" bestFit="1" customWidth="1"/>
    <col min="11294" max="11294" width="11.5703125" bestFit="1" customWidth="1"/>
    <col min="11295" max="11295" width="7.7109375" bestFit="1" customWidth="1"/>
    <col min="11296" max="11297" width="14.42578125" bestFit="1" customWidth="1"/>
    <col min="11298" max="11298" width="11.5703125" bestFit="1" customWidth="1"/>
    <col min="11299" max="11299" width="7.7109375" bestFit="1" customWidth="1"/>
    <col min="11300" max="11300" width="13.5703125" customWidth="1"/>
    <col min="11301" max="11301" width="15.28515625" customWidth="1"/>
    <col min="11302" max="11302" width="14.5703125" customWidth="1"/>
    <col min="11303" max="11303" width="13.28515625" bestFit="1" customWidth="1"/>
    <col min="11304" max="11304" width="7.7109375" bestFit="1" customWidth="1"/>
    <col min="11305" max="11305" width="12.7109375" bestFit="1" customWidth="1"/>
    <col min="11306" max="11306" width="11.7109375" bestFit="1" customWidth="1"/>
    <col min="11307" max="11307" width="11.5703125" bestFit="1" customWidth="1"/>
    <col min="11308" max="11308" width="5.28515625" bestFit="1" customWidth="1"/>
    <col min="11309" max="11309" width="13.28515625" bestFit="1" customWidth="1"/>
    <col min="11310" max="11310" width="13.5703125" bestFit="1" customWidth="1"/>
    <col min="11311" max="11311" width="10.5703125" bestFit="1" customWidth="1"/>
    <col min="11312" max="11312" width="13.28515625" bestFit="1" customWidth="1"/>
    <col min="11313" max="11313" width="11.5703125" bestFit="1" customWidth="1"/>
    <col min="11314" max="11314" width="10.5703125" bestFit="1" customWidth="1"/>
    <col min="11315" max="11315" width="16.140625" bestFit="1" customWidth="1"/>
    <col min="11316" max="11317" width="11.28515625" bestFit="1" customWidth="1"/>
    <col min="11318" max="11318" width="13.28515625" bestFit="1" customWidth="1"/>
    <col min="11319" max="11319" width="7.7109375" bestFit="1" customWidth="1"/>
    <col min="11320" max="11323" width="9.140625" hidden="1" customWidth="1"/>
    <col min="11324" max="11324" width="10.42578125" bestFit="1" customWidth="1"/>
    <col min="11325" max="11325" width="10.5703125" bestFit="1" customWidth="1"/>
    <col min="11326" max="11326" width="10.42578125" bestFit="1" customWidth="1"/>
    <col min="11327" max="11327" width="10.5703125" bestFit="1" customWidth="1"/>
    <col min="11328" max="11328" width="9.5703125" bestFit="1" customWidth="1"/>
    <col min="11329" max="11329" width="11.5703125" bestFit="1" customWidth="1"/>
    <col min="11330" max="11330" width="10.42578125" bestFit="1" customWidth="1"/>
    <col min="11331" max="11331" width="10.85546875" customWidth="1"/>
    <col min="11332" max="11333" width="9.85546875" bestFit="1" customWidth="1"/>
    <col min="11334" max="11334" width="13.5703125" bestFit="1" customWidth="1"/>
    <col min="11335" max="11335" width="7.7109375" bestFit="1" customWidth="1"/>
    <col min="11336" max="11336" width="13.28515625" bestFit="1" customWidth="1"/>
    <col min="11337" max="11337" width="11.5703125" bestFit="1" customWidth="1"/>
    <col min="11338" max="11338" width="10.42578125" bestFit="1" customWidth="1"/>
    <col min="11339" max="11339" width="7.7109375" bestFit="1" customWidth="1"/>
    <col min="11340" max="11340" width="11.5703125" bestFit="1" customWidth="1"/>
    <col min="11341" max="11341" width="10.85546875" bestFit="1" customWidth="1"/>
    <col min="11342" max="11342" width="13.28515625" bestFit="1" customWidth="1"/>
    <col min="11343" max="11343" width="10.85546875" bestFit="1" customWidth="1"/>
    <col min="11344" max="11345" width="7.5703125" bestFit="1" customWidth="1"/>
    <col min="11346" max="11347" width="10.42578125" bestFit="1" customWidth="1"/>
    <col min="11348" max="11348" width="11.5703125" bestFit="1" customWidth="1"/>
    <col min="11349" max="11349" width="5.28515625" bestFit="1" customWidth="1"/>
    <col min="11350" max="11350" width="10.28515625" bestFit="1" customWidth="1"/>
    <col min="11351" max="11351" width="10.42578125" bestFit="1" customWidth="1"/>
    <col min="11352" max="11352" width="11.5703125" bestFit="1" customWidth="1"/>
    <col min="11353" max="11353" width="5.28515625" bestFit="1" customWidth="1"/>
    <col min="11354" max="11356" width="11.5703125" bestFit="1" customWidth="1"/>
    <col min="11357" max="11357" width="5.28515625" bestFit="1" customWidth="1"/>
    <col min="11358" max="11359" width="10.42578125" bestFit="1" customWidth="1"/>
    <col min="11360" max="11360" width="11.5703125" bestFit="1" customWidth="1"/>
    <col min="11361" max="11361" width="5.28515625" bestFit="1" customWidth="1"/>
    <col min="11362" max="11362" width="14.28515625" bestFit="1" customWidth="1"/>
    <col min="11363" max="11363" width="13" bestFit="1" customWidth="1"/>
    <col min="11364" max="11364" width="11.5703125" bestFit="1" customWidth="1"/>
    <col min="11365" max="11365" width="8.85546875" bestFit="1" customWidth="1"/>
    <col min="11366" max="11366" width="14.42578125" bestFit="1" customWidth="1"/>
    <col min="11367" max="11367" width="10.42578125" bestFit="1" customWidth="1"/>
    <col min="11368" max="11368" width="12.28515625" bestFit="1" customWidth="1"/>
    <col min="11369" max="11369" width="13.85546875" bestFit="1" customWidth="1"/>
    <col min="11370" max="11370" width="11.28515625" customWidth="1"/>
    <col min="11371" max="11371" width="11.5703125" customWidth="1"/>
    <col min="11372" max="11372" width="13.42578125" bestFit="1" customWidth="1"/>
    <col min="11373" max="11373" width="10.42578125" customWidth="1"/>
    <col min="11374" max="11374" width="13.85546875" bestFit="1" customWidth="1"/>
    <col min="11375" max="11375" width="15.42578125" bestFit="1" customWidth="1"/>
    <col min="11376" max="11376" width="12.28515625" bestFit="1" customWidth="1"/>
    <col min="11377" max="11377" width="12.7109375" customWidth="1"/>
    <col min="11378" max="11378" width="10.7109375" bestFit="1" customWidth="1"/>
    <col min="11379" max="11379" width="9.85546875" customWidth="1"/>
    <col min="11380" max="11381" width="10.140625" bestFit="1" customWidth="1"/>
    <col min="11382" max="11382" width="7.5703125" bestFit="1" customWidth="1"/>
    <col min="11383" max="11383" width="9.42578125" bestFit="1" customWidth="1"/>
    <col min="11384" max="11384" width="14.5703125" bestFit="1" customWidth="1"/>
    <col min="11385" max="11385" width="14.85546875" customWidth="1"/>
    <col min="11386" max="11386" width="15.140625" bestFit="1" customWidth="1"/>
    <col min="11387" max="11387" width="12.140625" bestFit="1" customWidth="1"/>
    <col min="11388" max="11388" width="14.85546875" bestFit="1" customWidth="1"/>
    <col min="11389" max="11389" width="12.28515625" bestFit="1" customWidth="1"/>
    <col min="11390" max="11398" width="9.140625" hidden="1" customWidth="1"/>
    <col min="11399" max="11399" width="5.28515625" bestFit="1" customWidth="1"/>
    <col min="11400" max="11405" width="11.5703125" bestFit="1" customWidth="1"/>
    <col min="11406" max="11406" width="11.28515625" bestFit="1" customWidth="1"/>
    <col min="11407" max="11407" width="10.140625" bestFit="1" customWidth="1"/>
    <col min="11408" max="11408" width="11.5703125" bestFit="1" customWidth="1"/>
    <col min="11409" max="11409" width="16.140625" customWidth="1"/>
    <col min="11410" max="11410" width="13.42578125" customWidth="1"/>
    <col min="11411" max="11411" width="10.140625" bestFit="1" customWidth="1"/>
    <col min="11412" max="11412" width="12.85546875" bestFit="1" customWidth="1"/>
    <col min="11413" max="11413" width="12.28515625" bestFit="1" customWidth="1"/>
    <col min="11414" max="11414" width="11.28515625" bestFit="1" customWidth="1"/>
    <col min="11415" max="11415" width="11.5703125" bestFit="1" customWidth="1"/>
    <col min="11416" max="11416" width="10.85546875" bestFit="1" customWidth="1"/>
    <col min="11417" max="11417" width="11.28515625" bestFit="1" customWidth="1"/>
    <col min="11418" max="11418" width="10.140625" bestFit="1" customWidth="1"/>
    <col min="11419" max="11419" width="13.28515625" bestFit="1" customWidth="1"/>
    <col min="11420" max="11421" width="12.7109375" bestFit="1" customWidth="1"/>
    <col min="11422" max="11422" width="11" bestFit="1" customWidth="1"/>
    <col min="11423" max="11423" width="11.28515625" bestFit="1" customWidth="1"/>
    <col min="11424" max="11424" width="11.5703125" bestFit="1" customWidth="1"/>
    <col min="11425" max="11425" width="12.28515625" bestFit="1" customWidth="1"/>
    <col min="11426" max="11426" width="15.140625" bestFit="1" customWidth="1"/>
    <col min="11427" max="11427" width="14.42578125" bestFit="1" customWidth="1"/>
    <col min="11428" max="11428" width="12.28515625" bestFit="1" customWidth="1"/>
    <col min="11429" max="11429" width="15.140625" bestFit="1" customWidth="1"/>
    <col min="11430" max="11430" width="14.42578125" bestFit="1" customWidth="1"/>
    <col min="11431" max="11431" width="12.28515625" bestFit="1" customWidth="1"/>
    <col min="11432" max="11432" width="14.42578125" bestFit="1" customWidth="1"/>
    <col min="11433" max="11433" width="11.28515625" bestFit="1" customWidth="1"/>
    <col min="11434" max="11434" width="12.28515625" bestFit="1" customWidth="1"/>
    <col min="11435" max="11435" width="13" bestFit="1" customWidth="1"/>
    <col min="11436" max="11436" width="15.140625" bestFit="1" customWidth="1"/>
    <col min="11437" max="11437" width="12.28515625" bestFit="1" customWidth="1"/>
    <col min="11438" max="11438" width="13.85546875" bestFit="1" customWidth="1"/>
    <col min="11439" max="11439" width="11.28515625" bestFit="1" customWidth="1"/>
    <col min="11440" max="11440" width="12.28515625" bestFit="1" customWidth="1"/>
    <col min="11441" max="11441" width="13.85546875" bestFit="1" customWidth="1"/>
    <col min="11442" max="11443" width="15.140625" bestFit="1" customWidth="1"/>
    <col min="11444" max="11444" width="12.28515625" bestFit="1" customWidth="1"/>
    <col min="11445" max="11445" width="5.7109375" bestFit="1" customWidth="1"/>
    <col min="11446" max="11446" width="8.5703125" bestFit="1" customWidth="1"/>
    <col min="11447" max="11447" width="5.5703125" bestFit="1" customWidth="1"/>
    <col min="11448" max="11448" width="14.42578125" bestFit="1" customWidth="1"/>
    <col min="11449" max="11449" width="11.28515625" bestFit="1" customWidth="1"/>
    <col min="11450" max="11451" width="12.28515625" bestFit="1" customWidth="1"/>
    <col min="11452" max="11452" width="11.28515625" bestFit="1" customWidth="1"/>
    <col min="11453" max="11453" width="13.85546875" bestFit="1" customWidth="1"/>
    <col min="11454" max="11454" width="12" bestFit="1" customWidth="1"/>
    <col min="11455" max="11455" width="13.85546875" bestFit="1" customWidth="1"/>
    <col min="11456" max="11457" width="14.42578125" customWidth="1"/>
    <col min="11458" max="11458" width="10.140625" bestFit="1" customWidth="1"/>
    <col min="11459" max="11459" width="12.28515625" bestFit="1" customWidth="1"/>
    <col min="11460" max="11460" width="7.42578125" bestFit="1" customWidth="1"/>
    <col min="11461" max="11461" width="8.5703125" bestFit="1" customWidth="1"/>
    <col min="11462" max="11462" width="11.5703125" bestFit="1" customWidth="1"/>
    <col min="11463" max="11463" width="13.28515625" bestFit="1" customWidth="1"/>
    <col min="11464" max="11464" width="13.28515625" customWidth="1"/>
    <col min="11465" max="11465" width="13.140625" customWidth="1"/>
    <col min="11466" max="11466" width="12.7109375" bestFit="1" customWidth="1"/>
    <col min="11467" max="11467" width="13.28515625" bestFit="1" customWidth="1"/>
    <col min="11468" max="11470" width="13.28515625" customWidth="1"/>
    <col min="11471" max="11471" width="12.140625" bestFit="1" customWidth="1"/>
    <col min="11472" max="11472" width="12.7109375" bestFit="1" customWidth="1"/>
    <col min="11473" max="11473" width="11" customWidth="1"/>
    <col min="11474" max="11474" width="16.7109375" customWidth="1"/>
    <col min="11475" max="11475" width="17" customWidth="1"/>
    <col min="11476" max="11476" width="10.42578125" bestFit="1" customWidth="1"/>
    <col min="11520" max="11520" width="3.85546875" customWidth="1"/>
    <col min="11521" max="11521" width="15.28515625" bestFit="1" customWidth="1"/>
    <col min="11522" max="11522" width="12.28515625" customWidth="1"/>
    <col min="11523" max="11523" width="16.28515625" bestFit="1" customWidth="1"/>
    <col min="11524" max="11524" width="6.42578125" bestFit="1" customWidth="1"/>
    <col min="11525" max="11525" width="9.28515625" bestFit="1" customWidth="1"/>
    <col min="11526" max="11526" width="7.5703125" bestFit="1" customWidth="1"/>
    <col min="11527" max="11527" width="13.28515625" bestFit="1" customWidth="1"/>
    <col min="11528" max="11528" width="9.28515625" bestFit="1" customWidth="1"/>
    <col min="11529" max="11529" width="11.5703125" bestFit="1" customWidth="1"/>
    <col min="11530" max="11530" width="13.28515625" bestFit="1" customWidth="1"/>
    <col min="11531" max="11531" width="7.140625" bestFit="1" customWidth="1"/>
    <col min="11532" max="11532" width="12" bestFit="1" customWidth="1"/>
    <col min="11533" max="11533" width="13.28515625" bestFit="1" customWidth="1"/>
    <col min="11534" max="11534" width="7" bestFit="1" customWidth="1"/>
    <col min="11535" max="11535" width="12.7109375" bestFit="1" customWidth="1"/>
    <col min="11536" max="11536" width="11.5703125" bestFit="1" customWidth="1"/>
    <col min="11537" max="11537" width="10.5703125" bestFit="1" customWidth="1"/>
    <col min="11538" max="11539" width="15.7109375" bestFit="1" customWidth="1"/>
    <col min="11540" max="11540" width="11.5703125" bestFit="1" customWidth="1"/>
    <col min="11541" max="11541" width="7.7109375" bestFit="1" customWidth="1"/>
    <col min="11542" max="11542" width="15.140625" bestFit="1" customWidth="1"/>
    <col min="11543" max="11543" width="11.5703125" bestFit="1" customWidth="1"/>
    <col min="11544" max="11544" width="13.28515625" bestFit="1" customWidth="1"/>
    <col min="11545" max="11545" width="10.42578125" bestFit="1" customWidth="1"/>
    <col min="11546" max="11546" width="13.28515625" bestFit="1" customWidth="1"/>
    <col min="11547" max="11547" width="12.140625" bestFit="1" customWidth="1"/>
    <col min="11548" max="11548" width="14.42578125" bestFit="1" customWidth="1"/>
    <col min="11549" max="11549" width="13.28515625" bestFit="1" customWidth="1"/>
    <col min="11550" max="11550" width="11.5703125" bestFit="1" customWidth="1"/>
    <col min="11551" max="11551" width="7.7109375" bestFit="1" customWidth="1"/>
    <col min="11552" max="11553" width="14.42578125" bestFit="1" customWidth="1"/>
    <col min="11554" max="11554" width="11.5703125" bestFit="1" customWidth="1"/>
    <col min="11555" max="11555" width="7.7109375" bestFit="1" customWidth="1"/>
    <col min="11556" max="11556" width="13.5703125" customWidth="1"/>
    <col min="11557" max="11557" width="15.28515625" customWidth="1"/>
    <col min="11558" max="11558" width="14.5703125" customWidth="1"/>
    <col min="11559" max="11559" width="13.28515625" bestFit="1" customWidth="1"/>
    <col min="11560" max="11560" width="7.7109375" bestFit="1" customWidth="1"/>
    <col min="11561" max="11561" width="12.7109375" bestFit="1" customWidth="1"/>
    <col min="11562" max="11562" width="11.7109375" bestFit="1" customWidth="1"/>
    <col min="11563" max="11563" width="11.5703125" bestFit="1" customWidth="1"/>
    <col min="11564" max="11564" width="5.28515625" bestFit="1" customWidth="1"/>
    <col min="11565" max="11565" width="13.28515625" bestFit="1" customWidth="1"/>
    <col min="11566" max="11566" width="13.5703125" bestFit="1" customWidth="1"/>
    <col min="11567" max="11567" width="10.5703125" bestFit="1" customWidth="1"/>
    <col min="11568" max="11568" width="13.28515625" bestFit="1" customWidth="1"/>
    <col min="11569" max="11569" width="11.5703125" bestFit="1" customWidth="1"/>
    <col min="11570" max="11570" width="10.5703125" bestFit="1" customWidth="1"/>
    <col min="11571" max="11571" width="16.140625" bestFit="1" customWidth="1"/>
    <col min="11572" max="11573" width="11.28515625" bestFit="1" customWidth="1"/>
    <col min="11574" max="11574" width="13.28515625" bestFit="1" customWidth="1"/>
    <col min="11575" max="11575" width="7.7109375" bestFit="1" customWidth="1"/>
    <col min="11576" max="11579" width="9.140625" hidden="1" customWidth="1"/>
    <col min="11580" max="11580" width="10.42578125" bestFit="1" customWidth="1"/>
    <col min="11581" max="11581" width="10.5703125" bestFit="1" customWidth="1"/>
    <col min="11582" max="11582" width="10.42578125" bestFit="1" customWidth="1"/>
    <col min="11583" max="11583" width="10.5703125" bestFit="1" customWidth="1"/>
    <col min="11584" max="11584" width="9.5703125" bestFit="1" customWidth="1"/>
    <col min="11585" max="11585" width="11.5703125" bestFit="1" customWidth="1"/>
    <col min="11586" max="11586" width="10.42578125" bestFit="1" customWidth="1"/>
    <col min="11587" max="11587" width="10.85546875" customWidth="1"/>
    <col min="11588" max="11589" width="9.85546875" bestFit="1" customWidth="1"/>
    <col min="11590" max="11590" width="13.5703125" bestFit="1" customWidth="1"/>
    <col min="11591" max="11591" width="7.7109375" bestFit="1" customWidth="1"/>
    <col min="11592" max="11592" width="13.28515625" bestFit="1" customWidth="1"/>
    <col min="11593" max="11593" width="11.5703125" bestFit="1" customWidth="1"/>
    <col min="11594" max="11594" width="10.42578125" bestFit="1" customWidth="1"/>
    <col min="11595" max="11595" width="7.7109375" bestFit="1" customWidth="1"/>
    <col min="11596" max="11596" width="11.5703125" bestFit="1" customWidth="1"/>
    <col min="11597" max="11597" width="10.85546875" bestFit="1" customWidth="1"/>
    <col min="11598" max="11598" width="13.28515625" bestFit="1" customWidth="1"/>
    <col min="11599" max="11599" width="10.85546875" bestFit="1" customWidth="1"/>
    <col min="11600" max="11601" width="7.5703125" bestFit="1" customWidth="1"/>
    <col min="11602" max="11603" width="10.42578125" bestFit="1" customWidth="1"/>
    <col min="11604" max="11604" width="11.5703125" bestFit="1" customWidth="1"/>
    <col min="11605" max="11605" width="5.28515625" bestFit="1" customWidth="1"/>
    <col min="11606" max="11606" width="10.28515625" bestFit="1" customWidth="1"/>
    <col min="11607" max="11607" width="10.42578125" bestFit="1" customWidth="1"/>
    <col min="11608" max="11608" width="11.5703125" bestFit="1" customWidth="1"/>
    <col min="11609" max="11609" width="5.28515625" bestFit="1" customWidth="1"/>
    <col min="11610" max="11612" width="11.5703125" bestFit="1" customWidth="1"/>
    <col min="11613" max="11613" width="5.28515625" bestFit="1" customWidth="1"/>
    <col min="11614" max="11615" width="10.42578125" bestFit="1" customWidth="1"/>
    <col min="11616" max="11616" width="11.5703125" bestFit="1" customWidth="1"/>
    <col min="11617" max="11617" width="5.28515625" bestFit="1" customWidth="1"/>
    <col min="11618" max="11618" width="14.28515625" bestFit="1" customWidth="1"/>
    <col min="11619" max="11619" width="13" bestFit="1" customWidth="1"/>
    <col min="11620" max="11620" width="11.5703125" bestFit="1" customWidth="1"/>
    <col min="11621" max="11621" width="8.85546875" bestFit="1" customWidth="1"/>
    <col min="11622" max="11622" width="14.42578125" bestFit="1" customWidth="1"/>
    <col min="11623" max="11623" width="10.42578125" bestFit="1" customWidth="1"/>
    <col min="11624" max="11624" width="12.28515625" bestFit="1" customWidth="1"/>
    <col min="11625" max="11625" width="13.85546875" bestFit="1" customWidth="1"/>
    <col min="11626" max="11626" width="11.28515625" customWidth="1"/>
    <col min="11627" max="11627" width="11.5703125" customWidth="1"/>
    <col min="11628" max="11628" width="13.42578125" bestFit="1" customWidth="1"/>
    <col min="11629" max="11629" width="10.42578125" customWidth="1"/>
    <col min="11630" max="11630" width="13.85546875" bestFit="1" customWidth="1"/>
    <col min="11631" max="11631" width="15.42578125" bestFit="1" customWidth="1"/>
    <col min="11632" max="11632" width="12.28515625" bestFit="1" customWidth="1"/>
    <col min="11633" max="11633" width="12.7109375" customWidth="1"/>
    <col min="11634" max="11634" width="10.7109375" bestFit="1" customWidth="1"/>
    <col min="11635" max="11635" width="9.85546875" customWidth="1"/>
    <col min="11636" max="11637" width="10.140625" bestFit="1" customWidth="1"/>
    <col min="11638" max="11638" width="7.5703125" bestFit="1" customWidth="1"/>
    <col min="11639" max="11639" width="9.42578125" bestFit="1" customWidth="1"/>
    <col min="11640" max="11640" width="14.5703125" bestFit="1" customWidth="1"/>
    <col min="11641" max="11641" width="14.85546875" customWidth="1"/>
    <col min="11642" max="11642" width="15.140625" bestFit="1" customWidth="1"/>
    <col min="11643" max="11643" width="12.140625" bestFit="1" customWidth="1"/>
    <col min="11644" max="11644" width="14.85546875" bestFit="1" customWidth="1"/>
    <col min="11645" max="11645" width="12.28515625" bestFit="1" customWidth="1"/>
    <col min="11646" max="11654" width="9.140625" hidden="1" customWidth="1"/>
    <col min="11655" max="11655" width="5.28515625" bestFit="1" customWidth="1"/>
    <col min="11656" max="11661" width="11.5703125" bestFit="1" customWidth="1"/>
    <col min="11662" max="11662" width="11.28515625" bestFit="1" customWidth="1"/>
    <col min="11663" max="11663" width="10.140625" bestFit="1" customWidth="1"/>
    <col min="11664" max="11664" width="11.5703125" bestFit="1" customWidth="1"/>
    <col min="11665" max="11665" width="16.140625" customWidth="1"/>
    <col min="11666" max="11666" width="13.42578125" customWidth="1"/>
    <col min="11667" max="11667" width="10.140625" bestFit="1" customWidth="1"/>
    <col min="11668" max="11668" width="12.85546875" bestFit="1" customWidth="1"/>
    <col min="11669" max="11669" width="12.28515625" bestFit="1" customWidth="1"/>
    <col min="11670" max="11670" width="11.28515625" bestFit="1" customWidth="1"/>
    <col min="11671" max="11671" width="11.5703125" bestFit="1" customWidth="1"/>
    <col min="11672" max="11672" width="10.85546875" bestFit="1" customWidth="1"/>
    <col min="11673" max="11673" width="11.28515625" bestFit="1" customWidth="1"/>
    <col min="11674" max="11674" width="10.140625" bestFit="1" customWidth="1"/>
    <col min="11675" max="11675" width="13.28515625" bestFit="1" customWidth="1"/>
    <col min="11676" max="11677" width="12.7109375" bestFit="1" customWidth="1"/>
    <col min="11678" max="11678" width="11" bestFit="1" customWidth="1"/>
    <col min="11679" max="11679" width="11.28515625" bestFit="1" customWidth="1"/>
    <col min="11680" max="11680" width="11.5703125" bestFit="1" customWidth="1"/>
    <col min="11681" max="11681" width="12.28515625" bestFit="1" customWidth="1"/>
    <col min="11682" max="11682" width="15.140625" bestFit="1" customWidth="1"/>
    <col min="11683" max="11683" width="14.42578125" bestFit="1" customWidth="1"/>
    <col min="11684" max="11684" width="12.28515625" bestFit="1" customWidth="1"/>
    <col min="11685" max="11685" width="15.140625" bestFit="1" customWidth="1"/>
    <col min="11686" max="11686" width="14.42578125" bestFit="1" customWidth="1"/>
    <col min="11687" max="11687" width="12.28515625" bestFit="1" customWidth="1"/>
    <col min="11688" max="11688" width="14.42578125" bestFit="1" customWidth="1"/>
    <col min="11689" max="11689" width="11.28515625" bestFit="1" customWidth="1"/>
    <col min="11690" max="11690" width="12.28515625" bestFit="1" customWidth="1"/>
    <col min="11691" max="11691" width="13" bestFit="1" customWidth="1"/>
    <col min="11692" max="11692" width="15.140625" bestFit="1" customWidth="1"/>
    <col min="11693" max="11693" width="12.28515625" bestFit="1" customWidth="1"/>
    <col min="11694" max="11694" width="13.85546875" bestFit="1" customWidth="1"/>
    <col min="11695" max="11695" width="11.28515625" bestFit="1" customWidth="1"/>
    <col min="11696" max="11696" width="12.28515625" bestFit="1" customWidth="1"/>
    <col min="11697" max="11697" width="13.85546875" bestFit="1" customWidth="1"/>
    <col min="11698" max="11699" width="15.140625" bestFit="1" customWidth="1"/>
    <col min="11700" max="11700" width="12.28515625" bestFit="1" customWidth="1"/>
    <col min="11701" max="11701" width="5.7109375" bestFit="1" customWidth="1"/>
    <col min="11702" max="11702" width="8.5703125" bestFit="1" customWidth="1"/>
    <col min="11703" max="11703" width="5.5703125" bestFit="1" customWidth="1"/>
    <col min="11704" max="11704" width="14.42578125" bestFit="1" customWidth="1"/>
    <col min="11705" max="11705" width="11.28515625" bestFit="1" customWidth="1"/>
    <col min="11706" max="11707" width="12.28515625" bestFit="1" customWidth="1"/>
    <col min="11708" max="11708" width="11.28515625" bestFit="1" customWidth="1"/>
    <col min="11709" max="11709" width="13.85546875" bestFit="1" customWidth="1"/>
    <col min="11710" max="11710" width="12" bestFit="1" customWidth="1"/>
    <col min="11711" max="11711" width="13.85546875" bestFit="1" customWidth="1"/>
    <col min="11712" max="11713" width="14.42578125" customWidth="1"/>
    <col min="11714" max="11714" width="10.140625" bestFit="1" customWidth="1"/>
    <col min="11715" max="11715" width="12.28515625" bestFit="1" customWidth="1"/>
    <col min="11716" max="11716" width="7.42578125" bestFit="1" customWidth="1"/>
    <col min="11717" max="11717" width="8.5703125" bestFit="1" customWidth="1"/>
    <col min="11718" max="11718" width="11.5703125" bestFit="1" customWidth="1"/>
    <col min="11719" max="11719" width="13.28515625" bestFit="1" customWidth="1"/>
    <col min="11720" max="11720" width="13.28515625" customWidth="1"/>
    <col min="11721" max="11721" width="13.140625" customWidth="1"/>
    <col min="11722" max="11722" width="12.7109375" bestFit="1" customWidth="1"/>
    <col min="11723" max="11723" width="13.28515625" bestFit="1" customWidth="1"/>
    <col min="11724" max="11726" width="13.28515625" customWidth="1"/>
    <col min="11727" max="11727" width="12.140625" bestFit="1" customWidth="1"/>
    <col min="11728" max="11728" width="12.7109375" bestFit="1" customWidth="1"/>
    <col min="11729" max="11729" width="11" customWidth="1"/>
    <col min="11730" max="11730" width="16.7109375" customWidth="1"/>
    <col min="11731" max="11731" width="17" customWidth="1"/>
    <col min="11732" max="11732" width="10.42578125" bestFit="1" customWidth="1"/>
    <col min="11776" max="11776" width="3.85546875" customWidth="1"/>
    <col min="11777" max="11777" width="15.28515625" bestFit="1" customWidth="1"/>
    <col min="11778" max="11778" width="12.28515625" customWidth="1"/>
    <col min="11779" max="11779" width="16.28515625" bestFit="1" customWidth="1"/>
    <col min="11780" max="11780" width="6.42578125" bestFit="1" customWidth="1"/>
    <col min="11781" max="11781" width="9.28515625" bestFit="1" customWidth="1"/>
    <col min="11782" max="11782" width="7.5703125" bestFit="1" customWidth="1"/>
    <col min="11783" max="11783" width="13.28515625" bestFit="1" customWidth="1"/>
    <col min="11784" max="11784" width="9.28515625" bestFit="1" customWidth="1"/>
    <col min="11785" max="11785" width="11.5703125" bestFit="1" customWidth="1"/>
    <col min="11786" max="11786" width="13.28515625" bestFit="1" customWidth="1"/>
    <col min="11787" max="11787" width="7.140625" bestFit="1" customWidth="1"/>
    <col min="11788" max="11788" width="12" bestFit="1" customWidth="1"/>
    <col min="11789" max="11789" width="13.28515625" bestFit="1" customWidth="1"/>
    <col min="11790" max="11790" width="7" bestFit="1" customWidth="1"/>
    <col min="11791" max="11791" width="12.7109375" bestFit="1" customWidth="1"/>
    <col min="11792" max="11792" width="11.5703125" bestFit="1" customWidth="1"/>
    <col min="11793" max="11793" width="10.5703125" bestFit="1" customWidth="1"/>
    <col min="11794" max="11795" width="15.7109375" bestFit="1" customWidth="1"/>
    <col min="11796" max="11796" width="11.5703125" bestFit="1" customWidth="1"/>
    <col min="11797" max="11797" width="7.7109375" bestFit="1" customWidth="1"/>
    <col min="11798" max="11798" width="15.140625" bestFit="1" customWidth="1"/>
    <col min="11799" max="11799" width="11.5703125" bestFit="1" customWidth="1"/>
    <col min="11800" max="11800" width="13.28515625" bestFit="1" customWidth="1"/>
    <col min="11801" max="11801" width="10.42578125" bestFit="1" customWidth="1"/>
    <col min="11802" max="11802" width="13.28515625" bestFit="1" customWidth="1"/>
    <col min="11803" max="11803" width="12.140625" bestFit="1" customWidth="1"/>
    <col min="11804" max="11804" width="14.42578125" bestFit="1" customWidth="1"/>
    <col min="11805" max="11805" width="13.28515625" bestFit="1" customWidth="1"/>
    <col min="11806" max="11806" width="11.5703125" bestFit="1" customWidth="1"/>
    <col min="11807" max="11807" width="7.7109375" bestFit="1" customWidth="1"/>
    <col min="11808" max="11809" width="14.42578125" bestFit="1" customWidth="1"/>
    <col min="11810" max="11810" width="11.5703125" bestFit="1" customWidth="1"/>
    <col min="11811" max="11811" width="7.7109375" bestFit="1" customWidth="1"/>
    <col min="11812" max="11812" width="13.5703125" customWidth="1"/>
    <col min="11813" max="11813" width="15.28515625" customWidth="1"/>
    <col min="11814" max="11814" width="14.5703125" customWidth="1"/>
    <col min="11815" max="11815" width="13.28515625" bestFit="1" customWidth="1"/>
    <col min="11816" max="11816" width="7.7109375" bestFit="1" customWidth="1"/>
    <col min="11817" max="11817" width="12.7109375" bestFit="1" customWidth="1"/>
    <col min="11818" max="11818" width="11.7109375" bestFit="1" customWidth="1"/>
    <col min="11819" max="11819" width="11.5703125" bestFit="1" customWidth="1"/>
    <col min="11820" max="11820" width="5.28515625" bestFit="1" customWidth="1"/>
    <col min="11821" max="11821" width="13.28515625" bestFit="1" customWidth="1"/>
    <col min="11822" max="11822" width="13.5703125" bestFit="1" customWidth="1"/>
    <col min="11823" max="11823" width="10.5703125" bestFit="1" customWidth="1"/>
    <col min="11824" max="11824" width="13.28515625" bestFit="1" customWidth="1"/>
    <col min="11825" max="11825" width="11.5703125" bestFit="1" customWidth="1"/>
    <col min="11826" max="11826" width="10.5703125" bestFit="1" customWidth="1"/>
    <col min="11827" max="11827" width="16.140625" bestFit="1" customWidth="1"/>
    <col min="11828" max="11829" width="11.28515625" bestFit="1" customWidth="1"/>
    <col min="11830" max="11830" width="13.28515625" bestFit="1" customWidth="1"/>
    <col min="11831" max="11831" width="7.7109375" bestFit="1" customWidth="1"/>
    <col min="11832" max="11835" width="9.140625" hidden="1" customWidth="1"/>
    <col min="11836" max="11836" width="10.42578125" bestFit="1" customWidth="1"/>
    <col min="11837" max="11837" width="10.5703125" bestFit="1" customWidth="1"/>
    <col min="11838" max="11838" width="10.42578125" bestFit="1" customWidth="1"/>
    <col min="11839" max="11839" width="10.5703125" bestFit="1" customWidth="1"/>
    <col min="11840" max="11840" width="9.5703125" bestFit="1" customWidth="1"/>
    <col min="11841" max="11841" width="11.5703125" bestFit="1" customWidth="1"/>
    <col min="11842" max="11842" width="10.42578125" bestFit="1" customWidth="1"/>
    <col min="11843" max="11843" width="10.85546875" customWidth="1"/>
    <col min="11844" max="11845" width="9.85546875" bestFit="1" customWidth="1"/>
    <col min="11846" max="11846" width="13.5703125" bestFit="1" customWidth="1"/>
    <col min="11847" max="11847" width="7.7109375" bestFit="1" customWidth="1"/>
    <col min="11848" max="11848" width="13.28515625" bestFit="1" customWidth="1"/>
    <col min="11849" max="11849" width="11.5703125" bestFit="1" customWidth="1"/>
    <col min="11850" max="11850" width="10.42578125" bestFit="1" customWidth="1"/>
    <col min="11851" max="11851" width="7.7109375" bestFit="1" customWidth="1"/>
    <col min="11852" max="11852" width="11.5703125" bestFit="1" customWidth="1"/>
    <col min="11853" max="11853" width="10.85546875" bestFit="1" customWidth="1"/>
    <col min="11854" max="11854" width="13.28515625" bestFit="1" customWidth="1"/>
    <col min="11855" max="11855" width="10.85546875" bestFit="1" customWidth="1"/>
    <col min="11856" max="11857" width="7.5703125" bestFit="1" customWidth="1"/>
    <col min="11858" max="11859" width="10.42578125" bestFit="1" customWidth="1"/>
    <col min="11860" max="11860" width="11.5703125" bestFit="1" customWidth="1"/>
    <col min="11861" max="11861" width="5.28515625" bestFit="1" customWidth="1"/>
    <col min="11862" max="11862" width="10.28515625" bestFit="1" customWidth="1"/>
    <col min="11863" max="11863" width="10.42578125" bestFit="1" customWidth="1"/>
    <col min="11864" max="11864" width="11.5703125" bestFit="1" customWidth="1"/>
    <col min="11865" max="11865" width="5.28515625" bestFit="1" customWidth="1"/>
    <col min="11866" max="11868" width="11.5703125" bestFit="1" customWidth="1"/>
    <col min="11869" max="11869" width="5.28515625" bestFit="1" customWidth="1"/>
    <col min="11870" max="11871" width="10.42578125" bestFit="1" customWidth="1"/>
    <col min="11872" max="11872" width="11.5703125" bestFit="1" customWidth="1"/>
    <col min="11873" max="11873" width="5.28515625" bestFit="1" customWidth="1"/>
    <col min="11874" max="11874" width="14.28515625" bestFit="1" customWidth="1"/>
    <col min="11875" max="11875" width="13" bestFit="1" customWidth="1"/>
    <col min="11876" max="11876" width="11.5703125" bestFit="1" customWidth="1"/>
    <col min="11877" max="11877" width="8.85546875" bestFit="1" customWidth="1"/>
    <col min="11878" max="11878" width="14.42578125" bestFit="1" customWidth="1"/>
    <col min="11879" max="11879" width="10.42578125" bestFit="1" customWidth="1"/>
    <col min="11880" max="11880" width="12.28515625" bestFit="1" customWidth="1"/>
    <col min="11881" max="11881" width="13.85546875" bestFit="1" customWidth="1"/>
    <col min="11882" max="11882" width="11.28515625" customWidth="1"/>
    <col min="11883" max="11883" width="11.5703125" customWidth="1"/>
    <col min="11884" max="11884" width="13.42578125" bestFit="1" customWidth="1"/>
    <col min="11885" max="11885" width="10.42578125" customWidth="1"/>
    <col min="11886" max="11886" width="13.85546875" bestFit="1" customWidth="1"/>
    <col min="11887" max="11887" width="15.42578125" bestFit="1" customWidth="1"/>
    <col min="11888" max="11888" width="12.28515625" bestFit="1" customWidth="1"/>
    <col min="11889" max="11889" width="12.7109375" customWidth="1"/>
    <col min="11890" max="11890" width="10.7109375" bestFit="1" customWidth="1"/>
    <col min="11891" max="11891" width="9.85546875" customWidth="1"/>
    <col min="11892" max="11893" width="10.140625" bestFit="1" customWidth="1"/>
    <col min="11894" max="11894" width="7.5703125" bestFit="1" customWidth="1"/>
    <col min="11895" max="11895" width="9.42578125" bestFit="1" customWidth="1"/>
    <col min="11896" max="11896" width="14.5703125" bestFit="1" customWidth="1"/>
    <col min="11897" max="11897" width="14.85546875" customWidth="1"/>
    <col min="11898" max="11898" width="15.140625" bestFit="1" customWidth="1"/>
    <col min="11899" max="11899" width="12.140625" bestFit="1" customWidth="1"/>
    <col min="11900" max="11900" width="14.85546875" bestFit="1" customWidth="1"/>
    <col min="11901" max="11901" width="12.28515625" bestFit="1" customWidth="1"/>
    <col min="11902" max="11910" width="9.140625" hidden="1" customWidth="1"/>
    <col min="11911" max="11911" width="5.28515625" bestFit="1" customWidth="1"/>
    <col min="11912" max="11917" width="11.5703125" bestFit="1" customWidth="1"/>
    <col min="11918" max="11918" width="11.28515625" bestFit="1" customWidth="1"/>
    <col min="11919" max="11919" width="10.140625" bestFit="1" customWidth="1"/>
    <col min="11920" max="11920" width="11.5703125" bestFit="1" customWidth="1"/>
    <col min="11921" max="11921" width="16.140625" customWidth="1"/>
    <col min="11922" max="11922" width="13.42578125" customWidth="1"/>
    <col min="11923" max="11923" width="10.140625" bestFit="1" customWidth="1"/>
    <col min="11924" max="11924" width="12.85546875" bestFit="1" customWidth="1"/>
    <col min="11925" max="11925" width="12.28515625" bestFit="1" customWidth="1"/>
    <col min="11926" max="11926" width="11.28515625" bestFit="1" customWidth="1"/>
    <col min="11927" max="11927" width="11.5703125" bestFit="1" customWidth="1"/>
    <col min="11928" max="11928" width="10.85546875" bestFit="1" customWidth="1"/>
    <col min="11929" max="11929" width="11.28515625" bestFit="1" customWidth="1"/>
    <col min="11930" max="11930" width="10.140625" bestFit="1" customWidth="1"/>
    <col min="11931" max="11931" width="13.28515625" bestFit="1" customWidth="1"/>
    <col min="11932" max="11933" width="12.7109375" bestFit="1" customWidth="1"/>
    <col min="11934" max="11934" width="11" bestFit="1" customWidth="1"/>
    <col min="11935" max="11935" width="11.28515625" bestFit="1" customWidth="1"/>
    <col min="11936" max="11936" width="11.5703125" bestFit="1" customWidth="1"/>
    <col min="11937" max="11937" width="12.28515625" bestFit="1" customWidth="1"/>
    <col min="11938" max="11938" width="15.140625" bestFit="1" customWidth="1"/>
    <col min="11939" max="11939" width="14.42578125" bestFit="1" customWidth="1"/>
    <col min="11940" max="11940" width="12.28515625" bestFit="1" customWidth="1"/>
    <col min="11941" max="11941" width="15.140625" bestFit="1" customWidth="1"/>
    <col min="11942" max="11942" width="14.42578125" bestFit="1" customWidth="1"/>
    <col min="11943" max="11943" width="12.28515625" bestFit="1" customWidth="1"/>
    <col min="11944" max="11944" width="14.42578125" bestFit="1" customWidth="1"/>
    <col min="11945" max="11945" width="11.28515625" bestFit="1" customWidth="1"/>
    <col min="11946" max="11946" width="12.28515625" bestFit="1" customWidth="1"/>
    <col min="11947" max="11947" width="13" bestFit="1" customWidth="1"/>
    <col min="11948" max="11948" width="15.140625" bestFit="1" customWidth="1"/>
    <col min="11949" max="11949" width="12.28515625" bestFit="1" customWidth="1"/>
    <col min="11950" max="11950" width="13.85546875" bestFit="1" customWidth="1"/>
    <col min="11951" max="11951" width="11.28515625" bestFit="1" customWidth="1"/>
    <col min="11952" max="11952" width="12.28515625" bestFit="1" customWidth="1"/>
    <col min="11953" max="11953" width="13.85546875" bestFit="1" customWidth="1"/>
    <col min="11954" max="11955" width="15.140625" bestFit="1" customWidth="1"/>
    <col min="11956" max="11956" width="12.28515625" bestFit="1" customWidth="1"/>
    <col min="11957" max="11957" width="5.7109375" bestFit="1" customWidth="1"/>
    <col min="11958" max="11958" width="8.5703125" bestFit="1" customWidth="1"/>
    <col min="11959" max="11959" width="5.5703125" bestFit="1" customWidth="1"/>
    <col min="11960" max="11960" width="14.42578125" bestFit="1" customWidth="1"/>
    <col min="11961" max="11961" width="11.28515625" bestFit="1" customWidth="1"/>
    <col min="11962" max="11963" width="12.28515625" bestFit="1" customWidth="1"/>
    <col min="11964" max="11964" width="11.28515625" bestFit="1" customWidth="1"/>
    <col min="11965" max="11965" width="13.85546875" bestFit="1" customWidth="1"/>
    <col min="11966" max="11966" width="12" bestFit="1" customWidth="1"/>
    <col min="11967" max="11967" width="13.85546875" bestFit="1" customWidth="1"/>
    <col min="11968" max="11969" width="14.42578125" customWidth="1"/>
    <col min="11970" max="11970" width="10.140625" bestFit="1" customWidth="1"/>
    <col min="11971" max="11971" width="12.28515625" bestFit="1" customWidth="1"/>
    <col min="11972" max="11972" width="7.42578125" bestFit="1" customWidth="1"/>
    <col min="11973" max="11973" width="8.5703125" bestFit="1" customWidth="1"/>
    <col min="11974" max="11974" width="11.5703125" bestFit="1" customWidth="1"/>
    <col min="11975" max="11975" width="13.28515625" bestFit="1" customWidth="1"/>
    <col min="11976" max="11976" width="13.28515625" customWidth="1"/>
    <col min="11977" max="11977" width="13.140625" customWidth="1"/>
    <col min="11978" max="11978" width="12.7109375" bestFit="1" customWidth="1"/>
    <col min="11979" max="11979" width="13.28515625" bestFit="1" customWidth="1"/>
    <col min="11980" max="11982" width="13.28515625" customWidth="1"/>
    <col min="11983" max="11983" width="12.140625" bestFit="1" customWidth="1"/>
    <col min="11984" max="11984" width="12.7109375" bestFit="1" customWidth="1"/>
    <col min="11985" max="11985" width="11" customWidth="1"/>
    <col min="11986" max="11986" width="16.7109375" customWidth="1"/>
    <col min="11987" max="11987" width="17" customWidth="1"/>
    <col min="11988" max="11988" width="10.42578125" bestFit="1" customWidth="1"/>
    <col min="12032" max="12032" width="3.85546875" customWidth="1"/>
    <col min="12033" max="12033" width="15.28515625" bestFit="1" customWidth="1"/>
    <col min="12034" max="12034" width="12.28515625" customWidth="1"/>
    <col min="12035" max="12035" width="16.28515625" bestFit="1" customWidth="1"/>
    <col min="12036" max="12036" width="6.42578125" bestFit="1" customWidth="1"/>
    <col min="12037" max="12037" width="9.28515625" bestFit="1" customWidth="1"/>
    <col min="12038" max="12038" width="7.5703125" bestFit="1" customWidth="1"/>
    <col min="12039" max="12039" width="13.28515625" bestFit="1" customWidth="1"/>
    <col min="12040" max="12040" width="9.28515625" bestFit="1" customWidth="1"/>
    <col min="12041" max="12041" width="11.5703125" bestFit="1" customWidth="1"/>
    <col min="12042" max="12042" width="13.28515625" bestFit="1" customWidth="1"/>
    <col min="12043" max="12043" width="7.140625" bestFit="1" customWidth="1"/>
    <col min="12044" max="12044" width="12" bestFit="1" customWidth="1"/>
    <col min="12045" max="12045" width="13.28515625" bestFit="1" customWidth="1"/>
    <col min="12046" max="12046" width="7" bestFit="1" customWidth="1"/>
    <col min="12047" max="12047" width="12.7109375" bestFit="1" customWidth="1"/>
    <col min="12048" max="12048" width="11.5703125" bestFit="1" customWidth="1"/>
    <col min="12049" max="12049" width="10.5703125" bestFit="1" customWidth="1"/>
    <col min="12050" max="12051" width="15.7109375" bestFit="1" customWidth="1"/>
    <col min="12052" max="12052" width="11.5703125" bestFit="1" customWidth="1"/>
    <col min="12053" max="12053" width="7.7109375" bestFit="1" customWidth="1"/>
    <col min="12054" max="12054" width="15.140625" bestFit="1" customWidth="1"/>
    <col min="12055" max="12055" width="11.5703125" bestFit="1" customWidth="1"/>
    <col min="12056" max="12056" width="13.28515625" bestFit="1" customWidth="1"/>
    <col min="12057" max="12057" width="10.42578125" bestFit="1" customWidth="1"/>
    <col min="12058" max="12058" width="13.28515625" bestFit="1" customWidth="1"/>
    <col min="12059" max="12059" width="12.140625" bestFit="1" customWidth="1"/>
    <col min="12060" max="12060" width="14.42578125" bestFit="1" customWidth="1"/>
    <col min="12061" max="12061" width="13.28515625" bestFit="1" customWidth="1"/>
    <col min="12062" max="12062" width="11.5703125" bestFit="1" customWidth="1"/>
    <col min="12063" max="12063" width="7.7109375" bestFit="1" customWidth="1"/>
    <col min="12064" max="12065" width="14.42578125" bestFit="1" customWidth="1"/>
    <col min="12066" max="12066" width="11.5703125" bestFit="1" customWidth="1"/>
    <col min="12067" max="12067" width="7.7109375" bestFit="1" customWidth="1"/>
    <col min="12068" max="12068" width="13.5703125" customWidth="1"/>
    <col min="12069" max="12069" width="15.28515625" customWidth="1"/>
    <col min="12070" max="12070" width="14.5703125" customWidth="1"/>
    <col min="12071" max="12071" width="13.28515625" bestFit="1" customWidth="1"/>
    <col min="12072" max="12072" width="7.7109375" bestFit="1" customWidth="1"/>
    <col min="12073" max="12073" width="12.7109375" bestFit="1" customWidth="1"/>
    <col min="12074" max="12074" width="11.7109375" bestFit="1" customWidth="1"/>
    <col min="12075" max="12075" width="11.5703125" bestFit="1" customWidth="1"/>
    <col min="12076" max="12076" width="5.28515625" bestFit="1" customWidth="1"/>
    <col min="12077" max="12077" width="13.28515625" bestFit="1" customWidth="1"/>
    <col min="12078" max="12078" width="13.5703125" bestFit="1" customWidth="1"/>
    <col min="12079" max="12079" width="10.5703125" bestFit="1" customWidth="1"/>
    <col min="12080" max="12080" width="13.28515625" bestFit="1" customWidth="1"/>
    <col min="12081" max="12081" width="11.5703125" bestFit="1" customWidth="1"/>
    <col min="12082" max="12082" width="10.5703125" bestFit="1" customWidth="1"/>
    <col min="12083" max="12083" width="16.140625" bestFit="1" customWidth="1"/>
    <col min="12084" max="12085" width="11.28515625" bestFit="1" customWidth="1"/>
    <col min="12086" max="12086" width="13.28515625" bestFit="1" customWidth="1"/>
    <col min="12087" max="12087" width="7.7109375" bestFit="1" customWidth="1"/>
    <col min="12088" max="12091" width="9.140625" hidden="1" customWidth="1"/>
    <col min="12092" max="12092" width="10.42578125" bestFit="1" customWidth="1"/>
    <col min="12093" max="12093" width="10.5703125" bestFit="1" customWidth="1"/>
    <col min="12094" max="12094" width="10.42578125" bestFit="1" customWidth="1"/>
    <col min="12095" max="12095" width="10.5703125" bestFit="1" customWidth="1"/>
    <col min="12096" max="12096" width="9.5703125" bestFit="1" customWidth="1"/>
    <col min="12097" max="12097" width="11.5703125" bestFit="1" customWidth="1"/>
    <col min="12098" max="12098" width="10.42578125" bestFit="1" customWidth="1"/>
    <col min="12099" max="12099" width="10.85546875" customWidth="1"/>
    <col min="12100" max="12101" width="9.85546875" bestFit="1" customWidth="1"/>
    <col min="12102" max="12102" width="13.5703125" bestFit="1" customWidth="1"/>
    <col min="12103" max="12103" width="7.7109375" bestFit="1" customWidth="1"/>
    <col min="12104" max="12104" width="13.28515625" bestFit="1" customWidth="1"/>
    <col min="12105" max="12105" width="11.5703125" bestFit="1" customWidth="1"/>
    <col min="12106" max="12106" width="10.42578125" bestFit="1" customWidth="1"/>
    <col min="12107" max="12107" width="7.7109375" bestFit="1" customWidth="1"/>
    <col min="12108" max="12108" width="11.5703125" bestFit="1" customWidth="1"/>
    <col min="12109" max="12109" width="10.85546875" bestFit="1" customWidth="1"/>
    <col min="12110" max="12110" width="13.28515625" bestFit="1" customWidth="1"/>
    <col min="12111" max="12111" width="10.85546875" bestFit="1" customWidth="1"/>
    <col min="12112" max="12113" width="7.5703125" bestFit="1" customWidth="1"/>
    <col min="12114" max="12115" width="10.42578125" bestFit="1" customWidth="1"/>
    <col min="12116" max="12116" width="11.5703125" bestFit="1" customWidth="1"/>
    <col min="12117" max="12117" width="5.28515625" bestFit="1" customWidth="1"/>
    <col min="12118" max="12118" width="10.28515625" bestFit="1" customWidth="1"/>
    <col min="12119" max="12119" width="10.42578125" bestFit="1" customWidth="1"/>
    <col min="12120" max="12120" width="11.5703125" bestFit="1" customWidth="1"/>
    <col min="12121" max="12121" width="5.28515625" bestFit="1" customWidth="1"/>
    <col min="12122" max="12124" width="11.5703125" bestFit="1" customWidth="1"/>
    <col min="12125" max="12125" width="5.28515625" bestFit="1" customWidth="1"/>
    <col min="12126" max="12127" width="10.42578125" bestFit="1" customWidth="1"/>
    <col min="12128" max="12128" width="11.5703125" bestFit="1" customWidth="1"/>
    <col min="12129" max="12129" width="5.28515625" bestFit="1" customWidth="1"/>
    <col min="12130" max="12130" width="14.28515625" bestFit="1" customWidth="1"/>
    <col min="12131" max="12131" width="13" bestFit="1" customWidth="1"/>
    <col min="12132" max="12132" width="11.5703125" bestFit="1" customWidth="1"/>
    <col min="12133" max="12133" width="8.85546875" bestFit="1" customWidth="1"/>
    <col min="12134" max="12134" width="14.42578125" bestFit="1" customWidth="1"/>
    <col min="12135" max="12135" width="10.42578125" bestFit="1" customWidth="1"/>
    <col min="12136" max="12136" width="12.28515625" bestFit="1" customWidth="1"/>
    <col min="12137" max="12137" width="13.85546875" bestFit="1" customWidth="1"/>
    <col min="12138" max="12138" width="11.28515625" customWidth="1"/>
    <col min="12139" max="12139" width="11.5703125" customWidth="1"/>
    <col min="12140" max="12140" width="13.42578125" bestFit="1" customWidth="1"/>
    <col min="12141" max="12141" width="10.42578125" customWidth="1"/>
    <col min="12142" max="12142" width="13.85546875" bestFit="1" customWidth="1"/>
    <col min="12143" max="12143" width="15.42578125" bestFit="1" customWidth="1"/>
    <col min="12144" max="12144" width="12.28515625" bestFit="1" customWidth="1"/>
    <col min="12145" max="12145" width="12.7109375" customWidth="1"/>
    <col min="12146" max="12146" width="10.7109375" bestFit="1" customWidth="1"/>
    <col min="12147" max="12147" width="9.85546875" customWidth="1"/>
    <col min="12148" max="12149" width="10.140625" bestFit="1" customWidth="1"/>
    <col min="12150" max="12150" width="7.5703125" bestFit="1" customWidth="1"/>
    <col min="12151" max="12151" width="9.42578125" bestFit="1" customWidth="1"/>
    <col min="12152" max="12152" width="14.5703125" bestFit="1" customWidth="1"/>
    <col min="12153" max="12153" width="14.85546875" customWidth="1"/>
    <col min="12154" max="12154" width="15.140625" bestFit="1" customWidth="1"/>
    <col min="12155" max="12155" width="12.140625" bestFit="1" customWidth="1"/>
    <col min="12156" max="12156" width="14.85546875" bestFit="1" customWidth="1"/>
    <col min="12157" max="12157" width="12.28515625" bestFit="1" customWidth="1"/>
    <col min="12158" max="12166" width="9.140625" hidden="1" customWidth="1"/>
    <col min="12167" max="12167" width="5.28515625" bestFit="1" customWidth="1"/>
    <col min="12168" max="12173" width="11.5703125" bestFit="1" customWidth="1"/>
    <col min="12174" max="12174" width="11.28515625" bestFit="1" customWidth="1"/>
    <col min="12175" max="12175" width="10.140625" bestFit="1" customWidth="1"/>
    <col min="12176" max="12176" width="11.5703125" bestFit="1" customWidth="1"/>
    <col min="12177" max="12177" width="16.140625" customWidth="1"/>
    <col min="12178" max="12178" width="13.42578125" customWidth="1"/>
    <col min="12179" max="12179" width="10.140625" bestFit="1" customWidth="1"/>
    <col min="12180" max="12180" width="12.85546875" bestFit="1" customWidth="1"/>
    <col min="12181" max="12181" width="12.28515625" bestFit="1" customWidth="1"/>
    <col min="12182" max="12182" width="11.28515625" bestFit="1" customWidth="1"/>
    <col min="12183" max="12183" width="11.5703125" bestFit="1" customWidth="1"/>
    <col min="12184" max="12184" width="10.85546875" bestFit="1" customWidth="1"/>
    <col min="12185" max="12185" width="11.28515625" bestFit="1" customWidth="1"/>
    <col min="12186" max="12186" width="10.140625" bestFit="1" customWidth="1"/>
    <col min="12187" max="12187" width="13.28515625" bestFit="1" customWidth="1"/>
    <col min="12188" max="12189" width="12.7109375" bestFit="1" customWidth="1"/>
    <col min="12190" max="12190" width="11" bestFit="1" customWidth="1"/>
    <col min="12191" max="12191" width="11.28515625" bestFit="1" customWidth="1"/>
    <col min="12192" max="12192" width="11.5703125" bestFit="1" customWidth="1"/>
    <col min="12193" max="12193" width="12.28515625" bestFit="1" customWidth="1"/>
    <col min="12194" max="12194" width="15.140625" bestFit="1" customWidth="1"/>
    <col min="12195" max="12195" width="14.42578125" bestFit="1" customWidth="1"/>
    <col min="12196" max="12196" width="12.28515625" bestFit="1" customWidth="1"/>
    <col min="12197" max="12197" width="15.140625" bestFit="1" customWidth="1"/>
    <col min="12198" max="12198" width="14.42578125" bestFit="1" customWidth="1"/>
    <col min="12199" max="12199" width="12.28515625" bestFit="1" customWidth="1"/>
    <col min="12200" max="12200" width="14.42578125" bestFit="1" customWidth="1"/>
    <col min="12201" max="12201" width="11.28515625" bestFit="1" customWidth="1"/>
    <col min="12202" max="12202" width="12.28515625" bestFit="1" customWidth="1"/>
    <col min="12203" max="12203" width="13" bestFit="1" customWidth="1"/>
    <col min="12204" max="12204" width="15.140625" bestFit="1" customWidth="1"/>
    <col min="12205" max="12205" width="12.28515625" bestFit="1" customWidth="1"/>
    <col min="12206" max="12206" width="13.85546875" bestFit="1" customWidth="1"/>
    <col min="12207" max="12207" width="11.28515625" bestFit="1" customWidth="1"/>
    <col min="12208" max="12208" width="12.28515625" bestFit="1" customWidth="1"/>
    <col min="12209" max="12209" width="13.85546875" bestFit="1" customWidth="1"/>
    <col min="12210" max="12211" width="15.140625" bestFit="1" customWidth="1"/>
    <col min="12212" max="12212" width="12.28515625" bestFit="1" customWidth="1"/>
    <col min="12213" max="12213" width="5.7109375" bestFit="1" customWidth="1"/>
    <col min="12214" max="12214" width="8.5703125" bestFit="1" customWidth="1"/>
    <col min="12215" max="12215" width="5.5703125" bestFit="1" customWidth="1"/>
    <col min="12216" max="12216" width="14.42578125" bestFit="1" customWidth="1"/>
    <col min="12217" max="12217" width="11.28515625" bestFit="1" customWidth="1"/>
    <col min="12218" max="12219" width="12.28515625" bestFit="1" customWidth="1"/>
    <col min="12220" max="12220" width="11.28515625" bestFit="1" customWidth="1"/>
    <col min="12221" max="12221" width="13.85546875" bestFit="1" customWidth="1"/>
    <col min="12222" max="12222" width="12" bestFit="1" customWidth="1"/>
    <col min="12223" max="12223" width="13.85546875" bestFit="1" customWidth="1"/>
    <col min="12224" max="12225" width="14.42578125" customWidth="1"/>
    <col min="12226" max="12226" width="10.140625" bestFit="1" customWidth="1"/>
    <col min="12227" max="12227" width="12.28515625" bestFit="1" customWidth="1"/>
    <col min="12228" max="12228" width="7.42578125" bestFit="1" customWidth="1"/>
    <col min="12229" max="12229" width="8.5703125" bestFit="1" customWidth="1"/>
    <col min="12230" max="12230" width="11.5703125" bestFit="1" customWidth="1"/>
    <col min="12231" max="12231" width="13.28515625" bestFit="1" customWidth="1"/>
    <col min="12232" max="12232" width="13.28515625" customWidth="1"/>
    <col min="12233" max="12233" width="13.140625" customWidth="1"/>
    <col min="12234" max="12234" width="12.7109375" bestFit="1" customWidth="1"/>
    <col min="12235" max="12235" width="13.28515625" bestFit="1" customWidth="1"/>
    <col min="12236" max="12238" width="13.28515625" customWidth="1"/>
    <col min="12239" max="12239" width="12.140625" bestFit="1" customWidth="1"/>
    <col min="12240" max="12240" width="12.7109375" bestFit="1" customWidth="1"/>
    <col min="12241" max="12241" width="11" customWidth="1"/>
    <col min="12242" max="12242" width="16.7109375" customWidth="1"/>
    <col min="12243" max="12243" width="17" customWidth="1"/>
    <col min="12244" max="12244" width="10.42578125" bestFit="1" customWidth="1"/>
    <col min="12288" max="12288" width="3.85546875" customWidth="1"/>
    <col min="12289" max="12289" width="15.28515625" bestFit="1" customWidth="1"/>
    <col min="12290" max="12290" width="12.28515625" customWidth="1"/>
    <col min="12291" max="12291" width="16.28515625" bestFit="1" customWidth="1"/>
    <col min="12292" max="12292" width="6.42578125" bestFit="1" customWidth="1"/>
    <col min="12293" max="12293" width="9.28515625" bestFit="1" customWidth="1"/>
    <col min="12294" max="12294" width="7.5703125" bestFit="1" customWidth="1"/>
    <col min="12295" max="12295" width="13.28515625" bestFit="1" customWidth="1"/>
    <col min="12296" max="12296" width="9.28515625" bestFit="1" customWidth="1"/>
    <col min="12297" max="12297" width="11.5703125" bestFit="1" customWidth="1"/>
    <col min="12298" max="12298" width="13.28515625" bestFit="1" customWidth="1"/>
    <col min="12299" max="12299" width="7.140625" bestFit="1" customWidth="1"/>
    <col min="12300" max="12300" width="12" bestFit="1" customWidth="1"/>
    <col min="12301" max="12301" width="13.28515625" bestFit="1" customWidth="1"/>
    <col min="12302" max="12302" width="7" bestFit="1" customWidth="1"/>
    <col min="12303" max="12303" width="12.7109375" bestFit="1" customWidth="1"/>
    <col min="12304" max="12304" width="11.5703125" bestFit="1" customWidth="1"/>
    <col min="12305" max="12305" width="10.5703125" bestFit="1" customWidth="1"/>
    <col min="12306" max="12307" width="15.7109375" bestFit="1" customWidth="1"/>
    <col min="12308" max="12308" width="11.5703125" bestFit="1" customWidth="1"/>
    <col min="12309" max="12309" width="7.7109375" bestFit="1" customWidth="1"/>
    <col min="12310" max="12310" width="15.140625" bestFit="1" customWidth="1"/>
    <col min="12311" max="12311" width="11.5703125" bestFit="1" customWidth="1"/>
    <col min="12312" max="12312" width="13.28515625" bestFit="1" customWidth="1"/>
    <col min="12313" max="12313" width="10.42578125" bestFit="1" customWidth="1"/>
    <col min="12314" max="12314" width="13.28515625" bestFit="1" customWidth="1"/>
    <col min="12315" max="12315" width="12.140625" bestFit="1" customWidth="1"/>
    <col min="12316" max="12316" width="14.42578125" bestFit="1" customWidth="1"/>
    <col min="12317" max="12317" width="13.28515625" bestFit="1" customWidth="1"/>
    <col min="12318" max="12318" width="11.5703125" bestFit="1" customWidth="1"/>
    <col min="12319" max="12319" width="7.7109375" bestFit="1" customWidth="1"/>
    <col min="12320" max="12321" width="14.42578125" bestFit="1" customWidth="1"/>
    <col min="12322" max="12322" width="11.5703125" bestFit="1" customWidth="1"/>
    <col min="12323" max="12323" width="7.7109375" bestFit="1" customWidth="1"/>
    <col min="12324" max="12324" width="13.5703125" customWidth="1"/>
    <col min="12325" max="12325" width="15.28515625" customWidth="1"/>
    <col min="12326" max="12326" width="14.5703125" customWidth="1"/>
    <col min="12327" max="12327" width="13.28515625" bestFit="1" customWidth="1"/>
    <col min="12328" max="12328" width="7.7109375" bestFit="1" customWidth="1"/>
    <col min="12329" max="12329" width="12.7109375" bestFit="1" customWidth="1"/>
    <col min="12330" max="12330" width="11.7109375" bestFit="1" customWidth="1"/>
    <col min="12331" max="12331" width="11.5703125" bestFit="1" customWidth="1"/>
    <col min="12332" max="12332" width="5.28515625" bestFit="1" customWidth="1"/>
    <col min="12333" max="12333" width="13.28515625" bestFit="1" customWidth="1"/>
    <col min="12334" max="12334" width="13.5703125" bestFit="1" customWidth="1"/>
    <col min="12335" max="12335" width="10.5703125" bestFit="1" customWidth="1"/>
    <col min="12336" max="12336" width="13.28515625" bestFit="1" customWidth="1"/>
    <col min="12337" max="12337" width="11.5703125" bestFit="1" customWidth="1"/>
    <col min="12338" max="12338" width="10.5703125" bestFit="1" customWidth="1"/>
    <col min="12339" max="12339" width="16.140625" bestFit="1" customWidth="1"/>
    <col min="12340" max="12341" width="11.28515625" bestFit="1" customWidth="1"/>
    <col min="12342" max="12342" width="13.28515625" bestFit="1" customWidth="1"/>
    <col min="12343" max="12343" width="7.7109375" bestFit="1" customWidth="1"/>
    <col min="12344" max="12347" width="9.140625" hidden="1" customWidth="1"/>
    <col min="12348" max="12348" width="10.42578125" bestFit="1" customWidth="1"/>
    <col min="12349" max="12349" width="10.5703125" bestFit="1" customWidth="1"/>
    <col min="12350" max="12350" width="10.42578125" bestFit="1" customWidth="1"/>
    <col min="12351" max="12351" width="10.5703125" bestFit="1" customWidth="1"/>
    <col min="12352" max="12352" width="9.5703125" bestFit="1" customWidth="1"/>
    <col min="12353" max="12353" width="11.5703125" bestFit="1" customWidth="1"/>
    <col min="12354" max="12354" width="10.42578125" bestFit="1" customWidth="1"/>
    <col min="12355" max="12355" width="10.85546875" customWidth="1"/>
    <col min="12356" max="12357" width="9.85546875" bestFit="1" customWidth="1"/>
    <col min="12358" max="12358" width="13.5703125" bestFit="1" customWidth="1"/>
    <col min="12359" max="12359" width="7.7109375" bestFit="1" customWidth="1"/>
    <col min="12360" max="12360" width="13.28515625" bestFit="1" customWidth="1"/>
    <col min="12361" max="12361" width="11.5703125" bestFit="1" customWidth="1"/>
    <col min="12362" max="12362" width="10.42578125" bestFit="1" customWidth="1"/>
    <col min="12363" max="12363" width="7.7109375" bestFit="1" customWidth="1"/>
    <col min="12364" max="12364" width="11.5703125" bestFit="1" customWidth="1"/>
    <col min="12365" max="12365" width="10.85546875" bestFit="1" customWidth="1"/>
    <col min="12366" max="12366" width="13.28515625" bestFit="1" customWidth="1"/>
    <col min="12367" max="12367" width="10.85546875" bestFit="1" customWidth="1"/>
    <col min="12368" max="12369" width="7.5703125" bestFit="1" customWidth="1"/>
    <col min="12370" max="12371" width="10.42578125" bestFit="1" customWidth="1"/>
    <col min="12372" max="12372" width="11.5703125" bestFit="1" customWidth="1"/>
    <col min="12373" max="12373" width="5.28515625" bestFit="1" customWidth="1"/>
    <col min="12374" max="12374" width="10.28515625" bestFit="1" customWidth="1"/>
    <col min="12375" max="12375" width="10.42578125" bestFit="1" customWidth="1"/>
    <col min="12376" max="12376" width="11.5703125" bestFit="1" customWidth="1"/>
    <col min="12377" max="12377" width="5.28515625" bestFit="1" customWidth="1"/>
    <col min="12378" max="12380" width="11.5703125" bestFit="1" customWidth="1"/>
    <col min="12381" max="12381" width="5.28515625" bestFit="1" customWidth="1"/>
    <col min="12382" max="12383" width="10.42578125" bestFit="1" customWidth="1"/>
    <col min="12384" max="12384" width="11.5703125" bestFit="1" customWidth="1"/>
    <col min="12385" max="12385" width="5.28515625" bestFit="1" customWidth="1"/>
    <col min="12386" max="12386" width="14.28515625" bestFit="1" customWidth="1"/>
    <col min="12387" max="12387" width="13" bestFit="1" customWidth="1"/>
    <col min="12388" max="12388" width="11.5703125" bestFit="1" customWidth="1"/>
    <col min="12389" max="12389" width="8.85546875" bestFit="1" customWidth="1"/>
    <col min="12390" max="12390" width="14.42578125" bestFit="1" customWidth="1"/>
    <col min="12391" max="12391" width="10.42578125" bestFit="1" customWidth="1"/>
    <col min="12392" max="12392" width="12.28515625" bestFit="1" customWidth="1"/>
    <col min="12393" max="12393" width="13.85546875" bestFit="1" customWidth="1"/>
    <col min="12394" max="12394" width="11.28515625" customWidth="1"/>
    <col min="12395" max="12395" width="11.5703125" customWidth="1"/>
    <col min="12396" max="12396" width="13.42578125" bestFit="1" customWidth="1"/>
    <col min="12397" max="12397" width="10.42578125" customWidth="1"/>
    <col min="12398" max="12398" width="13.85546875" bestFit="1" customWidth="1"/>
    <col min="12399" max="12399" width="15.42578125" bestFit="1" customWidth="1"/>
    <col min="12400" max="12400" width="12.28515625" bestFit="1" customWidth="1"/>
    <col min="12401" max="12401" width="12.7109375" customWidth="1"/>
    <col min="12402" max="12402" width="10.7109375" bestFit="1" customWidth="1"/>
    <col min="12403" max="12403" width="9.85546875" customWidth="1"/>
    <col min="12404" max="12405" width="10.140625" bestFit="1" customWidth="1"/>
    <col min="12406" max="12406" width="7.5703125" bestFit="1" customWidth="1"/>
    <col min="12407" max="12407" width="9.42578125" bestFit="1" customWidth="1"/>
    <col min="12408" max="12408" width="14.5703125" bestFit="1" customWidth="1"/>
    <col min="12409" max="12409" width="14.85546875" customWidth="1"/>
    <col min="12410" max="12410" width="15.140625" bestFit="1" customWidth="1"/>
    <col min="12411" max="12411" width="12.140625" bestFit="1" customWidth="1"/>
    <col min="12412" max="12412" width="14.85546875" bestFit="1" customWidth="1"/>
    <col min="12413" max="12413" width="12.28515625" bestFit="1" customWidth="1"/>
    <col min="12414" max="12422" width="9.140625" hidden="1" customWidth="1"/>
    <col min="12423" max="12423" width="5.28515625" bestFit="1" customWidth="1"/>
    <col min="12424" max="12429" width="11.5703125" bestFit="1" customWidth="1"/>
    <col min="12430" max="12430" width="11.28515625" bestFit="1" customWidth="1"/>
    <col min="12431" max="12431" width="10.140625" bestFit="1" customWidth="1"/>
    <col min="12432" max="12432" width="11.5703125" bestFit="1" customWidth="1"/>
    <col min="12433" max="12433" width="16.140625" customWidth="1"/>
    <col min="12434" max="12434" width="13.42578125" customWidth="1"/>
    <col min="12435" max="12435" width="10.140625" bestFit="1" customWidth="1"/>
    <col min="12436" max="12436" width="12.85546875" bestFit="1" customWidth="1"/>
    <col min="12437" max="12437" width="12.28515625" bestFit="1" customWidth="1"/>
    <col min="12438" max="12438" width="11.28515625" bestFit="1" customWidth="1"/>
    <col min="12439" max="12439" width="11.5703125" bestFit="1" customWidth="1"/>
    <col min="12440" max="12440" width="10.85546875" bestFit="1" customWidth="1"/>
    <col min="12441" max="12441" width="11.28515625" bestFit="1" customWidth="1"/>
    <col min="12442" max="12442" width="10.140625" bestFit="1" customWidth="1"/>
    <col min="12443" max="12443" width="13.28515625" bestFit="1" customWidth="1"/>
    <col min="12444" max="12445" width="12.7109375" bestFit="1" customWidth="1"/>
    <col min="12446" max="12446" width="11" bestFit="1" customWidth="1"/>
    <col min="12447" max="12447" width="11.28515625" bestFit="1" customWidth="1"/>
    <col min="12448" max="12448" width="11.5703125" bestFit="1" customWidth="1"/>
    <col min="12449" max="12449" width="12.28515625" bestFit="1" customWidth="1"/>
    <col min="12450" max="12450" width="15.140625" bestFit="1" customWidth="1"/>
    <col min="12451" max="12451" width="14.42578125" bestFit="1" customWidth="1"/>
    <col min="12452" max="12452" width="12.28515625" bestFit="1" customWidth="1"/>
    <col min="12453" max="12453" width="15.140625" bestFit="1" customWidth="1"/>
    <col min="12454" max="12454" width="14.42578125" bestFit="1" customWidth="1"/>
    <col min="12455" max="12455" width="12.28515625" bestFit="1" customWidth="1"/>
    <col min="12456" max="12456" width="14.42578125" bestFit="1" customWidth="1"/>
    <col min="12457" max="12457" width="11.28515625" bestFit="1" customWidth="1"/>
    <col min="12458" max="12458" width="12.28515625" bestFit="1" customWidth="1"/>
    <col min="12459" max="12459" width="13" bestFit="1" customWidth="1"/>
    <col min="12460" max="12460" width="15.140625" bestFit="1" customWidth="1"/>
    <col min="12461" max="12461" width="12.28515625" bestFit="1" customWidth="1"/>
    <col min="12462" max="12462" width="13.85546875" bestFit="1" customWidth="1"/>
    <col min="12463" max="12463" width="11.28515625" bestFit="1" customWidth="1"/>
    <col min="12464" max="12464" width="12.28515625" bestFit="1" customWidth="1"/>
    <col min="12465" max="12465" width="13.85546875" bestFit="1" customWidth="1"/>
    <col min="12466" max="12467" width="15.140625" bestFit="1" customWidth="1"/>
    <col min="12468" max="12468" width="12.28515625" bestFit="1" customWidth="1"/>
    <col min="12469" max="12469" width="5.7109375" bestFit="1" customWidth="1"/>
    <col min="12470" max="12470" width="8.5703125" bestFit="1" customWidth="1"/>
    <col min="12471" max="12471" width="5.5703125" bestFit="1" customWidth="1"/>
    <col min="12472" max="12472" width="14.42578125" bestFit="1" customWidth="1"/>
    <col min="12473" max="12473" width="11.28515625" bestFit="1" customWidth="1"/>
    <col min="12474" max="12475" width="12.28515625" bestFit="1" customWidth="1"/>
    <col min="12476" max="12476" width="11.28515625" bestFit="1" customWidth="1"/>
    <col min="12477" max="12477" width="13.85546875" bestFit="1" customWidth="1"/>
    <col min="12478" max="12478" width="12" bestFit="1" customWidth="1"/>
    <col min="12479" max="12479" width="13.85546875" bestFit="1" customWidth="1"/>
    <col min="12480" max="12481" width="14.42578125" customWidth="1"/>
    <col min="12482" max="12482" width="10.140625" bestFit="1" customWidth="1"/>
    <col min="12483" max="12483" width="12.28515625" bestFit="1" customWidth="1"/>
    <col min="12484" max="12484" width="7.42578125" bestFit="1" customWidth="1"/>
    <col min="12485" max="12485" width="8.5703125" bestFit="1" customWidth="1"/>
    <col min="12486" max="12486" width="11.5703125" bestFit="1" customWidth="1"/>
    <col min="12487" max="12487" width="13.28515625" bestFit="1" customWidth="1"/>
    <col min="12488" max="12488" width="13.28515625" customWidth="1"/>
    <col min="12489" max="12489" width="13.140625" customWidth="1"/>
    <col min="12490" max="12490" width="12.7109375" bestFit="1" customWidth="1"/>
    <col min="12491" max="12491" width="13.28515625" bestFit="1" customWidth="1"/>
    <col min="12492" max="12494" width="13.28515625" customWidth="1"/>
    <col min="12495" max="12495" width="12.140625" bestFit="1" customWidth="1"/>
    <col min="12496" max="12496" width="12.7109375" bestFit="1" customWidth="1"/>
    <col min="12497" max="12497" width="11" customWidth="1"/>
    <col min="12498" max="12498" width="16.7109375" customWidth="1"/>
    <col min="12499" max="12499" width="17" customWidth="1"/>
    <col min="12500" max="12500" width="10.42578125" bestFit="1" customWidth="1"/>
    <col min="12544" max="12544" width="3.85546875" customWidth="1"/>
    <col min="12545" max="12545" width="15.28515625" bestFit="1" customWidth="1"/>
    <col min="12546" max="12546" width="12.28515625" customWidth="1"/>
    <col min="12547" max="12547" width="16.28515625" bestFit="1" customWidth="1"/>
    <col min="12548" max="12548" width="6.42578125" bestFit="1" customWidth="1"/>
    <col min="12549" max="12549" width="9.28515625" bestFit="1" customWidth="1"/>
    <col min="12550" max="12550" width="7.5703125" bestFit="1" customWidth="1"/>
    <col min="12551" max="12551" width="13.28515625" bestFit="1" customWidth="1"/>
    <col min="12552" max="12552" width="9.28515625" bestFit="1" customWidth="1"/>
    <col min="12553" max="12553" width="11.5703125" bestFit="1" customWidth="1"/>
    <col min="12554" max="12554" width="13.28515625" bestFit="1" customWidth="1"/>
    <col min="12555" max="12555" width="7.140625" bestFit="1" customWidth="1"/>
    <col min="12556" max="12556" width="12" bestFit="1" customWidth="1"/>
    <col min="12557" max="12557" width="13.28515625" bestFit="1" customWidth="1"/>
    <col min="12558" max="12558" width="7" bestFit="1" customWidth="1"/>
    <col min="12559" max="12559" width="12.7109375" bestFit="1" customWidth="1"/>
    <col min="12560" max="12560" width="11.5703125" bestFit="1" customWidth="1"/>
    <col min="12561" max="12561" width="10.5703125" bestFit="1" customWidth="1"/>
    <col min="12562" max="12563" width="15.7109375" bestFit="1" customWidth="1"/>
    <col min="12564" max="12564" width="11.5703125" bestFit="1" customWidth="1"/>
    <col min="12565" max="12565" width="7.7109375" bestFit="1" customWidth="1"/>
    <col min="12566" max="12566" width="15.140625" bestFit="1" customWidth="1"/>
    <col min="12567" max="12567" width="11.5703125" bestFit="1" customWidth="1"/>
    <col min="12568" max="12568" width="13.28515625" bestFit="1" customWidth="1"/>
    <col min="12569" max="12569" width="10.42578125" bestFit="1" customWidth="1"/>
    <col min="12570" max="12570" width="13.28515625" bestFit="1" customWidth="1"/>
    <col min="12571" max="12571" width="12.140625" bestFit="1" customWidth="1"/>
    <col min="12572" max="12572" width="14.42578125" bestFit="1" customWidth="1"/>
    <col min="12573" max="12573" width="13.28515625" bestFit="1" customWidth="1"/>
    <col min="12574" max="12574" width="11.5703125" bestFit="1" customWidth="1"/>
    <col min="12575" max="12575" width="7.7109375" bestFit="1" customWidth="1"/>
    <col min="12576" max="12577" width="14.42578125" bestFit="1" customWidth="1"/>
    <col min="12578" max="12578" width="11.5703125" bestFit="1" customWidth="1"/>
    <col min="12579" max="12579" width="7.7109375" bestFit="1" customWidth="1"/>
    <col min="12580" max="12580" width="13.5703125" customWidth="1"/>
    <col min="12581" max="12581" width="15.28515625" customWidth="1"/>
    <col min="12582" max="12582" width="14.5703125" customWidth="1"/>
    <col min="12583" max="12583" width="13.28515625" bestFit="1" customWidth="1"/>
    <col min="12584" max="12584" width="7.7109375" bestFit="1" customWidth="1"/>
    <col min="12585" max="12585" width="12.7109375" bestFit="1" customWidth="1"/>
    <col min="12586" max="12586" width="11.7109375" bestFit="1" customWidth="1"/>
    <col min="12587" max="12587" width="11.5703125" bestFit="1" customWidth="1"/>
    <col min="12588" max="12588" width="5.28515625" bestFit="1" customWidth="1"/>
    <col min="12589" max="12589" width="13.28515625" bestFit="1" customWidth="1"/>
    <col min="12590" max="12590" width="13.5703125" bestFit="1" customWidth="1"/>
    <col min="12591" max="12591" width="10.5703125" bestFit="1" customWidth="1"/>
    <col min="12592" max="12592" width="13.28515625" bestFit="1" customWidth="1"/>
    <col min="12593" max="12593" width="11.5703125" bestFit="1" customWidth="1"/>
    <col min="12594" max="12594" width="10.5703125" bestFit="1" customWidth="1"/>
    <col min="12595" max="12595" width="16.140625" bestFit="1" customWidth="1"/>
    <col min="12596" max="12597" width="11.28515625" bestFit="1" customWidth="1"/>
    <col min="12598" max="12598" width="13.28515625" bestFit="1" customWidth="1"/>
    <col min="12599" max="12599" width="7.7109375" bestFit="1" customWidth="1"/>
    <col min="12600" max="12603" width="9.140625" hidden="1" customWidth="1"/>
    <col min="12604" max="12604" width="10.42578125" bestFit="1" customWidth="1"/>
    <col min="12605" max="12605" width="10.5703125" bestFit="1" customWidth="1"/>
    <col min="12606" max="12606" width="10.42578125" bestFit="1" customWidth="1"/>
    <col min="12607" max="12607" width="10.5703125" bestFit="1" customWidth="1"/>
    <col min="12608" max="12608" width="9.5703125" bestFit="1" customWidth="1"/>
    <col min="12609" max="12609" width="11.5703125" bestFit="1" customWidth="1"/>
    <col min="12610" max="12610" width="10.42578125" bestFit="1" customWidth="1"/>
    <col min="12611" max="12611" width="10.85546875" customWidth="1"/>
    <col min="12612" max="12613" width="9.85546875" bestFit="1" customWidth="1"/>
    <col min="12614" max="12614" width="13.5703125" bestFit="1" customWidth="1"/>
    <col min="12615" max="12615" width="7.7109375" bestFit="1" customWidth="1"/>
    <col min="12616" max="12616" width="13.28515625" bestFit="1" customWidth="1"/>
    <col min="12617" max="12617" width="11.5703125" bestFit="1" customWidth="1"/>
    <col min="12618" max="12618" width="10.42578125" bestFit="1" customWidth="1"/>
    <col min="12619" max="12619" width="7.7109375" bestFit="1" customWidth="1"/>
    <col min="12620" max="12620" width="11.5703125" bestFit="1" customWidth="1"/>
    <col min="12621" max="12621" width="10.85546875" bestFit="1" customWidth="1"/>
    <col min="12622" max="12622" width="13.28515625" bestFit="1" customWidth="1"/>
    <col min="12623" max="12623" width="10.85546875" bestFit="1" customWidth="1"/>
    <col min="12624" max="12625" width="7.5703125" bestFit="1" customWidth="1"/>
    <col min="12626" max="12627" width="10.42578125" bestFit="1" customWidth="1"/>
    <col min="12628" max="12628" width="11.5703125" bestFit="1" customWidth="1"/>
    <col min="12629" max="12629" width="5.28515625" bestFit="1" customWidth="1"/>
    <col min="12630" max="12630" width="10.28515625" bestFit="1" customWidth="1"/>
    <col min="12631" max="12631" width="10.42578125" bestFit="1" customWidth="1"/>
    <col min="12632" max="12632" width="11.5703125" bestFit="1" customWidth="1"/>
    <col min="12633" max="12633" width="5.28515625" bestFit="1" customWidth="1"/>
    <col min="12634" max="12636" width="11.5703125" bestFit="1" customWidth="1"/>
    <col min="12637" max="12637" width="5.28515625" bestFit="1" customWidth="1"/>
    <col min="12638" max="12639" width="10.42578125" bestFit="1" customWidth="1"/>
    <col min="12640" max="12640" width="11.5703125" bestFit="1" customWidth="1"/>
    <col min="12641" max="12641" width="5.28515625" bestFit="1" customWidth="1"/>
    <col min="12642" max="12642" width="14.28515625" bestFit="1" customWidth="1"/>
    <col min="12643" max="12643" width="13" bestFit="1" customWidth="1"/>
    <col min="12644" max="12644" width="11.5703125" bestFit="1" customWidth="1"/>
    <col min="12645" max="12645" width="8.85546875" bestFit="1" customWidth="1"/>
    <col min="12646" max="12646" width="14.42578125" bestFit="1" customWidth="1"/>
    <col min="12647" max="12647" width="10.42578125" bestFit="1" customWidth="1"/>
    <col min="12648" max="12648" width="12.28515625" bestFit="1" customWidth="1"/>
    <col min="12649" max="12649" width="13.85546875" bestFit="1" customWidth="1"/>
    <col min="12650" max="12650" width="11.28515625" customWidth="1"/>
    <col min="12651" max="12651" width="11.5703125" customWidth="1"/>
    <col min="12652" max="12652" width="13.42578125" bestFit="1" customWidth="1"/>
    <col min="12653" max="12653" width="10.42578125" customWidth="1"/>
    <col min="12654" max="12654" width="13.85546875" bestFit="1" customWidth="1"/>
    <col min="12655" max="12655" width="15.42578125" bestFit="1" customWidth="1"/>
    <col min="12656" max="12656" width="12.28515625" bestFit="1" customWidth="1"/>
    <col min="12657" max="12657" width="12.7109375" customWidth="1"/>
    <col min="12658" max="12658" width="10.7109375" bestFit="1" customWidth="1"/>
    <col min="12659" max="12659" width="9.85546875" customWidth="1"/>
    <col min="12660" max="12661" width="10.140625" bestFit="1" customWidth="1"/>
    <col min="12662" max="12662" width="7.5703125" bestFit="1" customWidth="1"/>
    <col min="12663" max="12663" width="9.42578125" bestFit="1" customWidth="1"/>
    <col min="12664" max="12664" width="14.5703125" bestFit="1" customWidth="1"/>
    <col min="12665" max="12665" width="14.85546875" customWidth="1"/>
    <col min="12666" max="12666" width="15.140625" bestFit="1" customWidth="1"/>
    <col min="12667" max="12667" width="12.140625" bestFit="1" customWidth="1"/>
    <col min="12668" max="12668" width="14.85546875" bestFit="1" customWidth="1"/>
    <col min="12669" max="12669" width="12.28515625" bestFit="1" customWidth="1"/>
    <col min="12670" max="12678" width="9.140625" hidden="1" customWidth="1"/>
    <col min="12679" max="12679" width="5.28515625" bestFit="1" customWidth="1"/>
    <col min="12680" max="12685" width="11.5703125" bestFit="1" customWidth="1"/>
    <col min="12686" max="12686" width="11.28515625" bestFit="1" customWidth="1"/>
    <col min="12687" max="12687" width="10.140625" bestFit="1" customWidth="1"/>
    <col min="12688" max="12688" width="11.5703125" bestFit="1" customWidth="1"/>
    <col min="12689" max="12689" width="16.140625" customWidth="1"/>
    <col min="12690" max="12690" width="13.42578125" customWidth="1"/>
    <col min="12691" max="12691" width="10.140625" bestFit="1" customWidth="1"/>
    <col min="12692" max="12692" width="12.85546875" bestFit="1" customWidth="1"/>
    <col min="12693" max="12693" width="12.28515625" bestFit="1" customWidth="1"/>
    <col min="12694" max="12694" width="11.28515625" bestFit="1" customWidth="1"/>
    <col min="12695" max="12695" width="11.5703125" bestFit="1" customWidth="1"/>
    <col min="12696" max="12696" width="10.85546875" bestFit="1" customWidth="1"/>
    <col min="12697" max="12697" width="11.28515625" bestFit="1" customWidth="1"/>
    <col min="12698" max="12698" width="10.140625" bestFit="1" customWidth="1"/>
    <col min="12699" max="12699" width="13.28515625" bestFit="1" customWidth="1"/>
    <col min="12700" max="12701" width="12.7109375" bestFit="1" customWidth="1"/>
    <col min="12702" max="12702" width="11" bestFit="1" customWidth="1"/>
    <col min="12703" max="12703" width="11.28515625" bestFit="1" customWidth="1"/>
    <col min="12704" max="12704" width="11.5703125" bestFit="1" customWidth="1"/>
    <col min="12705" max="12705" width="12.28515625" bestFit="1" customWidth="1"/>
    <col min="12706" max="12706" width="15.140625" bestFit="1" customWidth="1"/>
    <col min="12707" max="12707" width="14.42578125" bestFit="1" customWidth="1"/>
    <col min="12708" max="12708" width="12.28515625" bestFit="1" customWidth="1"/>
    <col min="12709" max="12709" width="15.140625" bestFit="1" customWidth="1"/>
    <col min="12710" max="12710" width="14.42578125" bestFit="1" customWidth="1"/>
    <col min="12711" max="12711" width="12.28515625" bestFit="1" customWidth="1"/>
    <col min="12712" max="12712" width="14.42578125" bestFit="1" customWidth="1"/>
    <col min="12713" max="12713" width="11.28515625" bestFit="1" customWidth="1"/>
    <col min="12714" max="12714" width="12.28515625" bestFit="1" customWidth="1"/>
    <col min="12715" max="12715" width="13" bestFit="1" customWidth="1"/>
    <col min="12716" max="12716" width="15.140625" bestFit="1" customWidth="1"/>
    <col min="12717" max="12717" width="12.28515625" bestFit="1" customWidth="1"/>
    <col min="12718" max="12718" width="13.85546875" bestFit="1" customWidth="1"/>
    <col min="12719" max="12719" width="11.28515625" bestFit="1" customWidth="1"/>
    <col min="12720" max="12720" width="12.28515625" bestFit="1" customWidth="1"/>
    <col min="12721" max="12721" width="13.85546875" bestFit="1" customWidth="1"/>
    <col min="12722" max="12723" width="15.140625" bestFit="1" customWidth="1"/>
    <col min="12724" max="12724" width="12.28515625" bestFit="1" customWidth="1"/>
    <col min="12725" max="12725" width="5.7109375" bestFit="1" customWidth="1"/>
    <col min="12726" max="12726" width="8.5703125" bestFit="1" customWidth="1"/>
    <col min="12727" max="12727" width="5.5703125" bestFit="1" customWidth="1"/>
    <col min="12728" max="12728" width="14.42578125" bestFit="1" customWidth="1"/>
    <col min="12729" max="12729" width="11.28515625" bestFit="1" customWidth="1"/>
    <col min="12730" max="12731" width="12.28515625" bestFit="1" customWidth="1"/>
    <col min="12732" max="12732" width="11.28515625" bestFit="1" customWidth="1"/>
    <col min="12733" max="12733" width="13.85546875" bestFit="1" customWidth="1"/>
    <col min="12734" max="12734" width="12" bestFit="1" customWidth="1"/>
    <col min="12735" max="12735" width="13.85546875" bestFit="1" customWidth="1"/>
    <col min="12736" max="12737" width="14.42578125" customWidth="1"/>
    <col min="12738" max="12738" width="10.140625" bestFit="1" customWidth="1"/>
    <col min="12739" max="12739" width="12.28515625" bestFit="1" customWidth="1"/>
    <col min="12740" max="12740" width="7.42578125" bestFit="1" customWidth="1"/>
    <col min="12741" max="12741" width="8.5703125" bestFit="1" customWidth="1"/>
    <col min="12742" max="12742" width="11.5703125" bestFit="1" customWidth="1"/>
    <col min="12743" max="12743" width="13.28515625" bestFit="1" customWidth="1"/>
    <col min="12744" max="12744" width="13.28515625" customWidth="1"/>
    <col min="12745" max="12745" width="13.140625" customWidth="1"/>
    <col min="12746" max="12746" width="12.7109375" bestFit="1" customWidth="1"/>
    <col min="12747" max="12747" width="13.28515625" bestFit="1" customWidth="1"/>
    <col min="12748" max="12750" width="13.28515625" customWidth="1"/>
    <col min="12751" max="12751" width="12.140625" bestFit="1" customWidth="1"/>
    <col min="12752" max="12752" width="12.7109375" bestFit="1" customWidth="1"/>
    <col min="12753" max="12753" width="11" customWidth="1"/>
    <col min="12754" max="12754" width="16.7109375" customWidth="1"/>
    <col min="12755" max="12755" width="17" customWidth="1"/>
    <col min="12756" max="12756" width="10.42578125" bestFit="1" customWidth="1"/>
    <col min="12800" max="12800" width="3.85546875" customWidth="1"/>
    <col min="12801" max="12801" width="15.28515625" bestFit="1" customWidth="1"/>
    <col min="12802" max="12802" width="12.28515625" customWidth="1"/>
    <col min="12803" max="12803" width="16.28515625" bestFit="1" customWidth="1"/>
    <col min="12804" max="12804" width="6.42578125" bestFit="1" customWidth="1"/>
    <col min="12805" max="12805" width="9.28515625" bestFit="1" customWidth="1"/>
    <col min="12806" max="12806" width="7.5703125" bestFit="1" customWidth="1"/>
    <col min="12807" max="12807" width="13.28515625" bestFit="1" customWidth="1"/>
    <col min="12808" max="12808" width="9.28515625" bestFit="1" customWidth="1"/>
    <col min="12809" max="12809" width="11.5703125" bestFit="1" customWidth="1"/>
    <col min="12810" max="12810" width="13.28515625" bestFit="1" customWidth="1"/>
    <col min="12811" max="12811" width="7.140625" bestFit="1" customWidth="1"/>
    <col min="12812" max="12812" width="12" bestFit="1" customWidth="1"/>
    <col min="12813" max="12813" width="13.28515625" bestFit="1" customWidth="1"/>
    <col min="12814" max="12814" width="7" bestFit="1" customWidth="1"/>
    <col min="12815" max="12815" width="12.7109375" bestFit="1" customWidth="1"/>
    <col min="12816" max="12816" width="11.5703125" bestFit="1" customWidth="1"/>
    <col min="12817" max="12817" width="10.5703125" bestFit="1" customWidth="1"/>
    <col min="12818" max="12819" width="15.7109375" bestFit="1" customWidth="1"/>
    <col min="12820" max="12820" width="11.5703125" bestFit="1" customWidth="1"/>
    <col min="12821" max="12821" width="7.7109375" bestFit="1" customWidth="1"/>
    <col min="12822" max="12822" width="15.140625" bestFit="1" customWidth="1"/>
    <col min="12823" max="12823" width="11.5703125" bestFit="1" customWidth="1"/>
    <col min="12824" max="12824" width="13.28515625" bestFit="1" customWidth="1"/>
    <col min="12825" max="12825" width="10.42578125" bestFit="1" customWidth="1"/>
    <col min="12826" max="12826" width="13.28515625" bestFit="1" customWidth="1"/>
    <col min="12827" max="12827" width="12.140625" bestFit="1" customWidth="1"/>
    <col min="12828" max="12828" width="14.42578125" bestFit="1" customWidth="1"/>
    <col min="12829" max="12829" width="13.28515625" bestFit="1" customWidth="1"/>
    <col min="12830" max="12830" width="11.5703125" bestFit="1" customWidth="1"/>
    <col min="12831" max="12831" width="7.7109375" bestFit="1" customWidth="1"/>
    <col min="12832" max="12833" width="14.42578125" bestFit="1" customWidth="1"/>
    <col min="12834" max="12834" width="11.5703125" bestFit="1" customWidth="1"/>
    <col min="12835" max="12835" width="7.7109375" bestFit="1" customWidth="1"/>
    <col min="12836" max="12836" width="13.5703125" customWidth="1"/>
    <col min="12837" max="12837" width="15.28515625" customWidth="1"/>
    <col min="12838" max="12838" width="14.5703125" customWidth="1"/>
    <col min="12839" max="12839" width="13.28515625" bestFit="1" customWidth="1"/>
    <col min="12840" max="12840" width="7.7109375" bestFit="1" customWidth="1"/>
    <col min="12841" max="12841" width="12.7109375" bestFit="1" customWidth="1"/>
    <col min="12842" max="12842" width="11.7109375" bestFit="1" customWidth="1"/>
    <col min="12843" max="12843" width="11.5703125" bestFit="1" customWidth="1"/>
    <col min="12844" max="12844" width="5.28515625" bestFit="1" customWidth="1"/>
    <col min="12845" max="12845" width="13.28515625" bestFit="1" customWidth="1"/>
    <col min="12846" max="12846" width="13.5703125" bestFit="1" customWidth="1"/>
    <col min="12847" max="12847" width="10.5703125" bestFit="1" customWidth="1"/>
    <col min="12848" max="12848" width="13.28515625" bestFit="1" customWidth="1"/>
    <col min="12849" max="12849" width="11.5703125" bestFit="1" customWidth="1"/>
    <col min="12850" max="12850" width="10.5703125" bestFit="1" customWidth="1"/>
    <col min="12851" max="12851" width="16.140625" bestFit="1" customWidth="1"/>
    <col min="12852" max="12853" width="11.28515625" bestFit="1" customWidth="1"/>
    <col min="12854" max="12854" width="13.28515625" bestFit="1" customWidth="1"/>
    <col min="12855" max="12855" width="7.7109375" bestFit="1" customWidth="1"/>
    <col min="12856" max="12859" width="9.140625" hidden="1" customWidth="1"/>
    <col min="12860" max="12860" width="10.42578125" bestFit="1" customWidth="1"/>
    <col min="12861" max="12861" width="10.5703125" bestFit="1" customWidth="1"/>
    <col min="12862" max="12862" width="10.42578125" bestFit="1" customWidth="1"/>
    <col min="12863" max="12863" width="10.5703125" bestFit="1" customWidth="1"/>
    <col min="12864" max="12864" width="9.5703125" bestFit="1" customWidth="1"/>
    <col min="12865" max="12865" width="11.5703125" bestFit="1" customWidth="1"/>
    <col min="12866" max="12866" width="10.42578125" bestFit="1" customWidth="1"/>
    <col min="12867" max="12867" width="10.85546875" customWidth="1"/>
    <col min="12868" max="12869" width="9.85546875" bestFit="1" customWidth="1"/>
    <col min="12870" max="12870" width="13.5703125" bestFit="1" customWidth="1"/>
    <col min="12871" max="12871" width="7.7109375" bestFit="1" customWidth="1"/>
    <col min="12872" max="12872" width="13.28515625" bestFit="1" customWidth="1"/>
    <col min="12873" max="12873" width="11.5703125" bestFit="1" customWidth="1"/>
    <col min="12874" max="12874" width="10.42578125" bestFit="1" customWidth="1"/>
    <col min="12875" max="12875" width="7.7109375" bestFit="1" customWidth="1"/>
    <col min="12876" max="12876" width="11.5703125" bestFit="1" customWidth="1"/>
    <col min="12877" max="12877" width="10.85546875" bestFit="1" customWidth="1"/>
    <col min="12878" max="12878" width="13.28515625" bestFit="1" customWidth="1"/>
    <col min="12879" max="12879" width="10.85546875" bestFit="1" customWidth="1"/>
    <col min="12880" max="12881" width="7.5703125" bestFit="1" customWidth="1"/>
    <col min="12882" max="12883" width="10.42578125" bestFit="1" customWidth="1"/>
    <col min="12884" max="12884" width="11.5703125" bestFit="1" customWidth="1"/>
    <col min="12885" max="12885" width="5.28515625" bestFit="1" customWidth="1"/>
    <col min="12886" max="12886" width="10.28515625" bestFit="1" customWidth="1"/>
    <col min="12887" max="12887" width="10.42578125" bestFit="1" customWidth="1"/>
    <col min="12888" max="12888" width="11.5703125" bestFit="1" customWidth="1"/>
    <col min="12889" max="12889" width="5.28515625" bestFit="1" customWidth="1"/>
    <col min="12890" max="12892" width="11.5703125" bestFit="1" customWidth="1"/>
    <col min="12893" max="12893" width="5.28515625" bestFit="1" customWidth="1"/>
    <col min="12894" max="12895" width="10.42578125" bestFit="1" customWidth="1"/>
    <col min="12896" max="12896" width="11.5703125" bestFit="1" customWidth="1"/>
    <col min="12897" max="12897" width="5.28515625" bestFit="1" customWidth="1"/>
    <col min="12898" max="12898" width="14.28515625" bestFit="1" customWidth="1"/>
    <col min="12899" max="12899" width="13" bestFit="1" customWidth="1"/>
    <col min="12900" max="12900" width="11.5703125" bestFit="1" customWidth="1"/>
    <col min="12901" max="12901" width="8.85546875" bestFit="1" customWidth="1"/>
    <col min="12902" max="12902" width="14.42578125" bestFit="1" customWidth="1"/>
    <col min="12903" max="12903" width="10.42578125" bestFit="1" customWidth="1"/>
    <col min="12904" max="12904" width="12.28515625" bestFit="1" customWidth="1"/>
    <col min="12905" max="12905" width="13.85546875" bestFit="1" customWidth="1"/>
    <col min="12906" max="12906" width="11.28515625" customWidth="1"/>
    <col min="12907" max="12907" width="11.5703125" customWidth="1"/>
    <col min="12908" max="12908" width="13.42578125" bestFit="1" customWidth="1"/>
    <col min="12909" max="12909" width="10.42578125" customWidth="1"/>
    <col min="12910" max="12910" width="13.85546875" bestFit="1" customWidth="1"/>
    <col min="12911" max="12911" width="15.42578125" bestFit="1" customWidth="1"/>
    <col min="12912" max="12912" width="12.28515625" bestFit="1" customWidth="1"/>
    <col min="12913" max="12913" width="12.7109375" customWidth="1"/>
    <col min="12914" max="12914" width="10.7109375" bestFit="1" customWidth="1"/>
    <col min="12915" max="12915" width="9.85546875" customWidth="1"/>
    <col min="12916" max="12917" width="10.140625" bestFit="1" customWidth="1"/>
    <col min="12918" max="12918" width="7.5703125" bestFit="1" customWidth="1"/>
    <col min="12919" max="12919" width="9.42578125" bestFit="1" customWidth="1"/>
    <col min="12920" max="12920" width="14.5703125" bestFit="1" customWidth="1"/>
    <col min="12921" max="12921" width="14.85546875" customWidth="1"/>
    <col min="12922" max="12922" width="15.140625" bestFit="1" customWidth="1"/>
    <col min="12923" max="12923" width="12.140625" bestFit="1" customWidth="1"/>
    <col min="12924" max="12924" width="14.85546875" bestFit="1" customWidth="1"/>
    <col min="12925" max="12925" width="12.28515625" bestFit="1" customWidth="1"/>
    <col min="12926" max="12934" width="9.140625" hidden="1" customWidth="1"/>
    <col min="12935" max="12935" width="5.28515625" bestFit="1" customWidth="1"/>
    <col min="12936" max="12941" width="11.5703125" bestFit="1" customWidth="1"/>
    <col min="12942" max="12942" width="11.28515625" bestFit="1" customWidth="1"/>
    <col min="12943" max="12943" width="10.140625" bestFit="1" customWidth="1"/>
    <col min="12944" max="12944" width="11.5703125" bestFit="1" customWidth="1"/>
    <col min="12945" max="12945" width="16.140625" customWidth="1"/>
    <col min="12946" max="12946" width="13.42578125" customWidth="1"/>
    <col min="12947" max="12947" width="10.140625" bestFit="1" customWidth="1"/>
    <col min="12948" max="12948" width="12.85546875" bestFit="1" customWidth="1"/>
    <col min="12949" max="12949" width="12.28515625" bestFit="1" customWidth="1"/>
    <col min="12950" max="12950" width="11.28515625" bestFit="1" customWidth="1"/>
    <col min="12951" max="12951" width="11.5703125" bestFit="1" customWidth="1"/>
    <col min="12952" max="12952" width="10.85546875" bestFit="1" customWidth="1"/>
    <col min="12953" max="12953" width="11.28515625" bestFit="1" customWidth="1"/>
    <col min="12954" max="12954" width="10.140625" bestFit="1" customWidth="1"/>
    <col min="12955" max="12955" width="13.28515625" bestFit="1" customWidth="1"/>
    <col min="12956" max="12957" width="12.7109375" bestFit="1" customWidth="1"/>
    <col min="12958" max="12958" width="11" bestFit="1" customWidth="1"/>
    <col min="12959" max="12959" width="11.28515625" bestFit="1" customWidth="1"/>
    <col min="12960" max="12960" width="11.5703125" bestFit="1" customWidth="1"/>
    <col min="12961" max="12961" width="12.28515625" bestFit="1" customWidth="1"/>
    <col min="12962" max="12962" width="15.140625" bestFit="1" customWidth="1"/>
    <col min="12963" max="12963" width="14.42578125" bestFit="1" customWidth="1"/>
    <col min="12964" max="12964" width="12.28515625" bestFit="1" customWidth="1"/>
    <col min="12965" max="12965" width="15.140625" bestFit="1" customWidth="1"/>
    <col min="12966" max="12966" width="14.42578125" bestFit="1" customWidth="1"/>
    <col min="12967" max="12967" width="12.28515625" bestFit="1" customWidth="1"/>
    <col min="12968" max="12968" width="14.42578125" bestFit="1" customWidth="1"/>
    <col min="12969" max="12969" width="11.28515625" bestFit="1" customWidth="1"/>
    <col min="12970" max="12970" width="12.28515625" bestFit="1" customWidth="1"/>
    <col min="12971" max="12971" width="13" bestFit="1" customWidth="1"/>
    <col min="12972" max="12972" width="15.140625" bestFit="1" customWidth="1"/>
    <col min="12973" max="12973" width="12.28515625" bestFit="1" customWidth="1"/>
    <col min="12974" max="12974" width="13.85546875" bestFit="1" customWidth="1"/>
    <col min="12975" max="12975" width="11.28515625" bestFit="1" customWidth="1"/>
    <col min="12976" max="12976" width="12.28515625" bestFit="1" customWidth="1"/>
    <col min="12977" max="12977" width="13.85546875" bestFit="1" customWidth="1"/>
    <col min="12978" max="12979" width="15.140625" bestFit="1" customWidth="1"/>
    <col min="12980" max="12980" width="12.28515625" bestFit="1" customWidth="1"/>
    <col min="12981" max="12981" width="5.7109375" bestFit="1" customWidth="1"/>
    <col min="12982" max="12982" width="8.5703125" bestFit="1" customWidth="1"/>
    <col min="12983" max="12983" width="5.5703125" bestFit="1" customWidth="1"/>
    <col min="12984" max="12984" width="14.42578125" bestFit="1" customWidth="1"/>
    <col min="12985" max="12985" width="11.28515625" bestFit="1" customWidth="1"/>
    <col min="12986" max="12987" width="12.28515625" bestFit="1" customWidth="1"/>
    <col min="12988" max="12988" width="11.28515625" bestFit="1" customWidth="1"/>
    <col min="12989" max="12989" width="13.85546875" bestFit="1" customWidth="1"/>
    <col min="12990" max="12990" width="12" bestFit="1" customWidth="1"/>
    <col min="12991" max="12991" width="13.85546875" bestFit="1" customWidth="1"/>
    <col min="12992" max="12993" width="14.42578125" customWidth="1"/>
    <col min="12994" max="12994" width="10.140625" bestFit="1" customWidth="1"/>
    <col min="12995" max="12995" width="12.28515625" bestFit="1" customWidth="1"/>
    <col min="12996" max="12996" width="7.42578125" bestFit="1" customWidth="1"/>
    <col min="12997" max="12997" width="8.5703125" bestFit="1" customWidth="1"/>
    <col min="12998" max="12998" width="11.5703125" bestFit="1" customWidth="1"/>
    <col min="12999" max="12999" width="13.28515625" bestFit="1" customWidth="1"/>
    <col min="13000" max="13000" width="13.28515625" customWidth="1"/>
    <col min="13001" max="13001" width="13.140625" customWidth="1"/>
    <col min="13002" max="13002" width="12.7109375" bestFit="1" customWidth="1"/>
    <col min="13003" max="13003" width="13.28515625" bestFit="1" customWidth="1"/>
    <col min="13004" max="13006" width="13.28515625" customWidth="1"/>
    <col min="13007" max="13007" width="12.140625" bestFit="1" customWidth="1"/>
    <col min="13008" max="13008" width="12.7109375" bestFit="1" customWidth="1"/>
    <col min="13009" max="13009" width="11" customWidth="1"/>
    <col min="13010" max="13010" width="16.7109375" customWidth="1"/>
    <col min="13011" max="13011" width="17" customWidth="1"/>
    <col min="13012" max="13012" width="10.42578125" bestFit="1" customWidth="1"/>
    <col min="13056" max="13056" width="3.85546875" customWidth="1"/>
    <col min="13057" max="13057" width="15.28515625" bestFit="1" customWidth="1"/>
    <col min="13058" max="13058" width="12.28515625" customWidth="1"/>
    <col min="13059" max="13059" width="16.28515625" bestFit="1" customWidth="1"/>
    <col min="13060" max="13060" width="6.42578125" bestFit="1" customWidth="1"/>
    <col min="13061" max="13061" width="9.28515625" bestFit="1" customWidth="1"/>
    <col min="13062" max="13062" width="7.5703125" bestFit="1" customWidth="1"/>
    <col min="13063" max="13063" width="13.28515625" bestFit="1" customWidth="1"/>
    <col min="13064" max="13064" width="9.28515625" bestFit="1" customWidth="1"/>
    <col min="13065" max="13065" width="11.5703125" bestFit="1" customWidth="1"/>
    <col min="13066" max="13066" width="13.28515625" bestFit="1" customWidth="1"/>
    <col min="13067" max="13067" width="7.140625" bestFit="1" customWidth="1"/>
    <col min="13068" max="13068" width="12" bestFit="1" customWidth="1"/>
    <col min="13069" max="13069" width="13.28515625" bestFit="1" customWidth="1"/>
    <col min="13070" max="13070" width="7" bestFit="1" customWidth="1"/>
    <col min="13071" max="13071" width="12.7109375" bestFit="1" customWidth="1"/>
    <col min="13072" max="13072" width="11.5703125" bestFit="1" customWidth="1"/>
    <col min="13073" max="13073" width="10.5703125" bestFit="1" customWidth="1"/>
    <col min="13074" max="13075" width="15.7109375" bestFit="1" customWidth="1"/>
    <col min="13076" max="13076" width="11.5703125" bestFit="1" customWidth="1"/>
    <col min="13077" max="13077" width="7.7109375" bestFit="1" customWidth="1"/>
    <col min="13078" max="13078" width="15.140625" bestFit="1" customWidth="1"/>
    <col min="13079" max="13079" width="11.5703125" bestFit="1" customWidth="1"/>
    <col min="13080" max="13080" width="13.28515625" bestFit="1" customWidth="1"/>
    <col min="13081" max="13081" width="10.42578125" bestFit="1" customWidth="1"/>
    <col min="13082" max="13082" width="13.28515625" bestFit="1" customWidth="1"/>
    <col min="13083" max="13083" width="12.140625" bestFit="1" customWidth="1"/>
    <col min="13084" max="13084" width="14.42578125" bestFit="1" customWidth="1"/>
    <col min="13085" max="13085" width="13.28515625" bestFit="1" customWidth="1"/>
    <col min="13086" max="13086" width="11.5703125" bestFit="1" customWidth="1"/>
    <col min="13087" max="13087" width="7.7109375" bestFit="1" customWidth="1"/>
    <col min="13088" max="13089" width="14.42578125" bestFit="1" customWidth="1"/>
    <col min="13090" max="13090" width="11.5703125" bestFit="1" customWidth="1"/>
    <col min="13091" max="13091" width="7.7109375" bestFit="1" customWidth="1"/>
    <col min="13092" max="13092" width="13.5703125" customWidth="1"/>
    <col min="13093" max="13093" width="15.28515625" customWidth="1"/>
    <col min="13094" max="13094" width="14.5703125" customWidth="1"/>
    <col min="13095" max="13095" width="13.28515625" bestFit="1" customWidth="1"/>
    <col min="13096" max="13096" width="7.7109375" bestFit="1" customWidth="1"/>
    <col min="13097" max="13097" width="12.7109375" bestFit="1" customWidth="1"/>
    <col min="13098" max="13098" width="11.7109375" bestFit="1" customWidth="1"/>
    <col min="13099" max="13099" width="11.5703125" bestFit="1" customWidth="1"/>
    <col min="13100" max="13100" width="5.28515625" bestFit="1" customWidth="1"/>
    <col min="13101" max="13101" width="13.28515625" bestFit="1" customWidth="1"/>
    <col min="13102" max="13102" width="13.5703125" bestFit="1" customWidth="1"/>
    <col min="13103" max="13103" width="10.5703125" bestFit="1" customWidth="1"/>
    <col min="13104" max="13104" width="13.28515625" bestFit="1" customWidth="1"/>
    <col min="13105" max="13105" width="11.5703125" bestFit="1" customWidth="1"/>
    <col min="13106" max="13106" width="10.5703125" bestFit="1" customWidth="1"/>
    <col min="13107" max="13107" width="16.140625" bestFit="1" customWidth="1"/>
    <col min="13108" max="13109" width="11.28515625" bestFit="1" customWidth="1"/>
    <col min="13110" max="13110" width="13.28515625" bestFit="1" customWidth="1"/>
    <col min="13111" max="13111" width="7.7109375" bestFit="1" customWidth="1"/>
    <col min="13112" max="13115" width="9.140625" hidden="1" customWidth="1"/>
    <col min="13116" max="13116" width="10.42578125" bestFit="1" customWidth="1"/>
    <col min="13117" max="13117" width="10.5703125" bestFit="1" customWidth="1"/>
    <col min="13118" max="13118" width="10.42578125" bestFit="1" customWidth="1"/>
    <col min="13119" max="13119" width="10.5703125" bestFit="1" customWidth="1"/>
    <col min="13120" max="13120" width="9.5703125" bestFit="1" customWidth="1"/>
    <col min="13121" max="13121" width="11.5703125" bestFit="1" customWidth="1"/>
    <col min="13122" max="13122" width="10.42578125" bestFit="1" customWidth="1"/>
    <col min="13123" max="13123" width="10.85546875" customWidth="1"/>
    <col min="13124" max="13125" width="9.85546875" bestFit="1" customWidth="1"/>
    <col min="13126" max="13126" width="13.5703125" bestFit="1" customWidth="1"/>
    <col min="13127" max="13127" width="7.7109375" bestFit="1" customWidth="1"/>
    <col min="13128" max="13128" width="13.28515625" bestFit="1" customWidth="1"/>
    <col min="13129" max="13129" width="11.5703125" bestFit="1" customWidth="1"/>
    <col min="13130" max="13130" width="10.42578125" bestFit="1" customWidth="1"/>
    <col min="13131" max="13131" width="7.7109375" bestFit="1" customWidth="1"/>
    <col min="13132" max="13132" width="11.5703125" bestFit="1" customWidth="1"/>
    <col min="13133" max="13133" width="10.85546875" bestFit="1" customWidth="1"/>
    <col min="13134" max="13134" width="13.28515625" bestFit="1" customWidth="1"/>
    <col min="13135" max="13135" width="10.85546875" bestFit="1" customWidth="1"/>
    <col min="13136" max="13137" width="7.5703125" bestFit="1" customWidth="1"/>
    <col min="13138" max="13139" width="10.42578125" bestFit="1" customWidth="1"/>
    <col min="13140" max="13140" width="11.5703125" bestFit="1" customWidth="1"/>
    <col min="13141" max="13141" width="5.28515625" bestFit="1" customWidth="1"/>
    <col min="13142" max="13142" width="10.28515625" bestFit="1" customWidth="1"/>
    <col min="13143" max="13143" width="10.42578125" bestFit="1" customWidth="1"/>
    <col min="13144" max="13144" width="11.5703125" bestFit="1" customWidth="1"/>
    <col min="13145" max="13145" width="5.28515625" bestFit="1" customWidth="1"/>
    <col min="13146" max="13148" width="11.5703125" bestFit="1" customWidth="1"/>
    <col min="13149" max="13149" width="5.28515625" bestFit="1" customWidth="1"/>
    <col min="13150" max="13151" width="10.42578125" bestFit="1" customWidth="1"/>
    <col min="13152" max="13152" width="11.5703125" bestFit="1" customWidth="1"/>
    <col min="13153" max="13153" width="5.28515625" bestFit="1" customWidth="1"/>
    <col min="13154" max="13154" width="14.28515625" bestFit="1" customWidth="1"/>
    <col min="13155" max="13155" width="13" bestFit="1" customWidth="1"/>
    <col min="13156" max="13156" width="11.5703125" bestFit="1" customWidth="1"/>
    <col min="13157" max="13157" width="8.85546875" bestFit="1" customWidth="1"/>
    <col min="13158" max="13158" width="14.42578125" bestFit="1" customWidth="1"/>
    <col min="13159" max="13159" width="10.42578125" bestFit="1" customWidth="1"/>
    <col min="13160" max="13160" width="12.28515625" bestFit="1" customWidth="1"/>
    <col min="13161" max="13161" width="13.85546875" bestFit="1" customWidth="1"/>
    <col min="13162" max="13162" width="11.28515625" customWidth="1"/>
    <col min="13163" max="13163" width="11.5703125" customWidth="1"/>
    <col min="13164" max="13164" width="13.42578125" bestFit="1" customWidth="1"/>
    <col min="13165" max="13165" width="10.42578125" customWidth="1"/>
    <col min="13166" max="13166" width="13.85546875" bestFit="1" customWidth="1"/>
    <col min="13167" max="13167" width="15.42578125" bestFit="1" customWidth="1"/>
    <col min="13168" max="13168" width="12.28515625" bestFit="1" customWidth="1"/>
    <col min="13169" max="13169" width="12.7109375" customWidth="1"/>
    <col min="13170" max="13170" width="10.7109375" bestFit="1" customWidth="1"/>
    <col min="13171" max="13171" width="9.85546875" customWidth="1"/>
    <col min="13172" max="13173" width="10.140625" bestFit="1" customWidth="1"/>
    <col min="13174" max="13174" width="7.5703125" bestFit="1" customWidth="1"/>
    <col min="13175" max="13175" width="9.42578125" bestFit="1" customWidth="1"/>
    <col min="13176" max="13176" width="14.5703125" bestFit="1" customWidth="1"/>
    <col min="13177" max="13177" width="14.85546875" customWidth="1"/>
    <col min="13178" max="13178" width="15.140625" bestFit="1" customWidth="1"/>
    <col min="13179" max="13179" width="12.140625" bestFit="1" customWidth="1"/>
    <col min="13180" max="13180" width="14.85546875" bestFit="1" customWidth="1"/>
    <col min="13181" max="13181" width="12.28515625" bestFit="1" customWidth="1"/>
    <col min="13182" max="13190" width="9.140625" hidden="1" customWidth="1"/>
    <col min="13191" max="13191" width="5.28515625" bestFit="1" customWidth="1"/>
    <col min="13192" max="13197" width="11.5703125" bestFit="1" customWidth="1"/>
    <col min="13198" max="13198" width="11.28515625" bestFit="1" customWidth="1"/>
    <col min="13199" max="13199" width="10.140625" bestFit="1" customWidth="1"/>
    <col min="13200" max="13200" width="11.5703125" bestFit="1" customWidth="1"/>
    <col min="13201" max="13201" width="16.140625" customWidth="1"/>
    <col min="13202" max="13202" width="13.42578125" customWidth="1"/>
    <col min="13203" max="13203" width="10.140625" bestFit="1" customWidth="1"/>
    <col min="13204" max="13204" width="12.85546875" bestFit="1" customWidth="1"/>
    <col min="13205" max="13205" width="12.28515625" bestFit="1" customWidth="1"/>
    <col min="13206" max="13206" width="11.28515625" bestFit="1" customWidth="1"/>
    <col min="13207" max="13207" width="11.5703125" bestFit="1" customWidth="1"/>
    <col min="13208" max="13208" width="10.85546875" bestFit="1" customWidth="1"/>
    <col min="13209" max="13209" width="11.28515625" bestFit="1" customWidth="1"/>
    <col min="13210" max="13210" width="10.140625" bestFit="1" customWidth="1"/>
    <col min="13211" max="13211" width="13.28515625" bestFit="1" customWidth="1"/>
    <col min="13212" max="13213" width="12.7109375" bestFit="1" customWidth="1"/>
    <col min="13214" max="13214" width="11" bestFit="1" customWidth="1"/>
    <col min="13215" max="13215" width="11.28515625" bestFit="1" customWidth="1"/>
    <col min="13216" max="13216" width="11.5703125" bestFit="1" customWidth="1"/>
    <col min="13217" max="13217" width="12.28515625" bestFit="1" customWidth="1"/>
    <col min="13218" max="13218" width="15.140625" bestFit="1" customWidth="1"/>
    <col min="13219" max="13219" width="14.42578125" bestFit="1" customWidth="1"/>
    <col min="13220" max="13220" width="12.28515625" bestFit="1" customWidth="1"/>
    <col min="13221" max="13221" width="15.140625" bestFit="1" customWidth="1"/>
    <col min="13222" max="13222" width="14.42578125" bestFit="1" customWidth="1"/>
    <col min="13223" max="13223" width="12.28515625" bestFit="1" customWidth="1"/>
    <col min="13224" max="13224" width="14.42578125" bestFit="1" customWidth="1"/>
    <col min="13225" max="13225" width="11.28515625" bestFit="1" customWidth="1"/>
    <col min="13226" max="13226" width="12.28515625" bestFit="1" customWidth="1"/>
    <col min="13227" max="13227" width="13" bestFit="1" customWidth="1"/>
    <col min="13228" max="13228" width="15.140625" bestFit="1" customWidth="1"/>
    <col min="13229" max="13229" width="12.28515625" bestFit="1" customWidth="1"/>
    <col min="13230" max="13230" width="13.85546875" bestFit="1" customWidth="1"/>
    <col min="13231" max="13231" width="11.28515625" bestFit="1" customWidth="1"/>
    <col min="13232" max="13232" width="12.28515625" bestFit="1" customWidth="1"/>
    <col min="13233" max="13233" width="13.85546875" bestFit="1" customWidth="1"/>
    <col min="13234" max="13235" width="15.140625" bestFit="1" customWidth="1"/>
    <col min="13236" max="13236" width="12.28515625" bestFit="1" customWidth="1"/>
    <col min="13237" max="13237" width="5.7109375" bestFit="1" customWidth="1"/>
    <col min="13238" max="13238" width="8.5703125" bestFit="1" customWidth="1"/>
    <col min="13239" max="13239" width="5.5703125" bestFit="1" customWidth="1"/>
    <col min="13240" max="13240" width="14.42578125" bestFit="1" customWidth="1"/>
    <col min="13241" max="13241" width="11.28515625" bestFit="1" customWidth="1"/>
    <col min="13242" max="13243" width="12.28515625" bestFit="1" customWidth="1"/>
    <col min="13244" max="13244" width="11.28515625" bestFit="1" customWidth="1"/>
    <col min="13245" max="13245" width="13.85546875" bestFit="1" customWidth="1"/>
    <col min="13246" max="13246" width="12" bestFit="1" customWidth="1"/>
    <col min="13247" max="13247" width="13.85546875" bestFit="1" customWidth="1"/>
    <col min="13248" max="13249" width="14.42578125" customWidth="1"/>
    <col min="13250" max="13250" width="10.140625" bestFit="1" customWidth="1"/>
    <col min="13251" max="13251" width="12.28515625" bestFit="1" customWidth="1"/>
    <col min="13252" max="13252" width="7.42578125" bestFit="1" customWidth="1"/>
    <col min="13253" max="13253" width="8.5703125" bestFit="1" customWidth="1"/>
    <col min="13254" max="13254" width="11.5703125" bestFit="1" customWidth="1"/>
    <col min="13255" max="13255" width="13.28515625" bestFit="1" customWidth="1"/>
    <col min="13256" max="13256" width="13.28515625" customWidth="1"/>
    <col min="13257" max="13257" width="13.140625" customWidth="1"/>
    <col min="13258" max="13258" width="12.7109375" bestFit="1" customWidth="1"/>
    <col min="13259" max="13259" width="13.28515625" bestFit="1" customWidth="1"/>
    <col min="13260" max="13262" width="13.28515625" customWidth="1"/>
    <col min="13263" max="13263" width="12.140625" bestFit="1" customWidth="1"/>
    <col min="13264" max="13264" width="12.7109375" bestFit="1" customWidth="1"/>
    <col min="13265" max="13265" width="11" customWidth="1"/>
    <col min="13266" max="13266" width="16.7109375" customWidth="1"/>
    <col min="13267" max="13267" width="17" customWidth="1"/>
    <col min="13268" max="13268" width="10.42578125" bestFit="1" customWidth="1"/>
    <col min="13312" max="13312" width="3.85546875" customWidth="1"/>
    <col min="13313" max="13313" width="15.28515625" bestFit="1" customWidth="1"/>
    <col min="13314" max="13314" width="12.28515625" customWidth="1"/>
    <col min="13315" max="13315" width="16.28515625" bestFit="1" customWidth="1"/>
    <col min="13316" max="13316" width="6.42578125" bestFit="1" customWidth="1"/>
    <col min="13317" max="13317" width="9.28515625" bestFit="1" customWidth="1"/>
    <col min="13318" max="13318" width="7.5703125" bestFit="1" customWidth="1"/>
    <col min="13319" max="13319" width="13.28515625" bestFit="1" customWidth="1"/>
    <col min="13320" max="13320" width="9.28515625" bestFit="1" customWidth="1"/>
    <col min="13321" max="13321" width="11.5703125" bestFit="1" customWidth="1"/>
    <col min="13322" max="13322" width="13.28515625" bestFit="1" customWidth="1"/>
    <col min="13323" max="13323" width="7.140625" bestFit="1" customWidth="1"/>
    <col min="13324" max="13324" width="12" bestFit="1" customWidth="1"/>
    <col min="13325" max="13325" width="13.28515625" bestFit="1" customWidth="1"/>
    <col min="13326" max="13326" width="7" bestFit="1" customWidth="1"/>
    <col min="13327" max="13327" width="12.7109375" bestFit="1" customWidth="1"/>
    <col min="13328" max="13328" width="11.5703125" bestFit="1" customWidth="1"/>
    <col min="13329" max="13329" width="10.5703125" bestFit="1" customWidth="1"/>
    <col min="13330" max="13331" width="15.7109375" bestFit="1" customWidth="1"/>
    <col min="13332" max="13332" width="11.5703125" bestFit="1" customWidth="1"/>
    <col min="13333" max="13333" width="7.7109375" bestFit="1" customWidth="1"/>
    <col min="13334" max="13334" width="15.140625" bestFit="1" customWidth="1"/>
    <col min="13335" max="13335" width="11.5703125" bestFit="1" customWidth="1"/>
    <col min="13336" max="13336" width="13.28515625" bestFit="1" customWidth="1"/>
    <col min="13337" max="13337" width="10.42578125" bestFit="1" customWidth="1"/>
    <col min="13338" max="13338" width="13.28515625" bestFit="1" customWidth="1"/>
    <col min="13339" max="13339" width="12.140625" bestFit="1" customWidth="1"/>
    <col min="13340" max="13340" width="14.42578125" bestFit="1" customWidth="1"/>
    <col min="13341" max="13341" width="13.28515625" bestFit="1" customWidth="1"/>
    <col min="13342" max="13342" width="11.5703125" bestFit="1" customWidth="1"/>
    <col min="13343" max="13343" width="7.7109375" bestFit="1" customWidth="1"/>
    <col min="13344" max="13345" width="14.42578125" bestFit="1" customWidth="1"/>
    <col min="13346" max="13346" width="11.5703125" bestFit="1" customWidth="1"/>
    <col min="13347" max="13347" width="7.7109375" bestFit="1" customWidth="1"/>
    <col min="13348" max="13348" width="13.5703125" customWidth="1"/>
    <col min="13349" max="13349" width="15.28515625" customWidth="1"/>
    <col min="13350" max="13350" width="14.5703125" customWidth="1"/>
    <col min="13351" max="13351" width="13.28515625" bestFit="1" customWidth="1"/>
    <col min="13352" max="13352" width="7.7109375" bestFit="1" customWidth="1"/>
    <col min="13353" max="13353" width="12.7109375" bestFit="1" customWidth="1"/>
    <col min="13354" max="13354" width="11.7109375" bestFit="1" customWidth="1"/>
    <col min="13355" max="13355" width="11.5703125" bestFit="1" customWidth="1"/>
    <col min="13356" max="13356" width="5.28515625" bestFit="1" customWidth="1"/>
    <col min="13357" max="13357" width="13.28515625" bestFit="1" customWidth="1"/>
    <col min="13358" max="13358" width="13.5703125" bestFit="1" customWidth="1"/>
    <col min="13359" max="13359" width="10.5703125" bestFit="1" customWidth="1"/>
    <col min="13360" max="13360" width="13.28515625" bestFit="1" customWidth="1"/>
    <col min="13361" max="13361" width="11.5703125" bestFit="1" customWidth="1"/>
    <col min="13362" max="13362" width="10.5703125" bestFit="1" customWidth="1"/>
    <col min="13363" max="13363" width="16.140625" bestFit="1" customWidth="1"/>
    <col min="13364" max="13365" width="11.28515625" bestFit="1" customWidth="1"/>
    <col min="13366" max="13366" width="13.28515625" bestFit="1" customWidth="1"/>
    <col min="13367" max="13367" width="7.7109375" bestFit="1" customWidth="1"/>
    <col min="13368" max="13371" width="9.140625" hidden="1" customWidth="1"/>
    <col min="13372" max="13372" width="10.42578125" bestFit="1" customWidth="1"/>
    <col min="13373" max="13373" width="10.5703125" bestFit="1" customWidth="1"/>
    <col min="13374" max="13374" width="10.42578125" bestFit="1" customWidth="1"/>
    <col min="13375" max="13375" width="10.5703125" bestFit="1" customWidth="1"/>
    <col min="13376" max="13376" width="9.5703125" bestFit="1" customWidth="1"/>
    <col min="13377" max="13377" width="11.5703125" bestFit="1" customWidth="1"/>
    <col min="13378" max="13378" width="10.42578125" bestFit="1" customWidth="1"/>
    <col min="13379" max="13379" width="10.85546875" customWidth="1"/>
    <col min="13380" max="13381" width="9.85546875" bestFit="1" customWidth="1"/>
    <col min="13382" max="13382" width="13.5703125" bestFit="1" customWidth="1"/>
    <col min="13383" max="13383" width="7.7109375" bestFit="1" customWidth="1"/>
    <col min="13384" max="13384" width="13.28515625" bestFit="1" customWidth="1"/>
    <col min="13385" max="13385" width="11.5703125" bestFit="1" customWidth="1"/>
    <col min="13386" max="13386" width="10.42578125" bestFit="1" customWidth="1"/>
    <col min="13387" max="13387" width="7.7109375" bestFit="1" customWidth="1"/>
    <col min="13388" max="13388" width="11.5703125" bestFit="1" customWidth="1"/>
    <col min="13389" max="13389" width="10.85546875" bestFit="1" customWidth="1"/>
    <col min="13390" max="13390" width="13.28515625" bestFit="1" customWidth="1"/>
    <col min="13391" max="13391" width="10.85546875" bestFit="1" customWidth="1"/>
    <col min="13392" max="13393" width="7.5703125" bestFit="1" customWidth="1"/>
    <col min="13394" max="13395" width="10.42578125" bestFit="1" customWidth="1"/>
    <col min="13396" max="13396" width="11.5703125" bestFit="1" customWidth="1"/>
    <col min="13397" max="13397" width="5.28515625" bestFit="1" customWidth="1"/>
    <col min="13398" max="13398" width="10.28515625" bestFit="1" customWidth="1"/>
    <col min="13399" max="13399" width="10.42578125" bestFit="1" customWidth="1"/>
    <col min="13400" max="13400" width="11.5703125" bestFit="1" customWidth="1"/>
    <col min="13401" max="13401" width="5.28515625" bestFit="1" customWidth="1"/>
    <col min="13402" max="13404" width="11.5703125" bestFit="1" customWidth="1"/>
    <col min="13405" max="13405" width="5.28515625" bestFit="1" customWidth="1"/>
    <col min="13406" max="13407" width="10.42578125" bestFit="1" customWidth="1"/>
    <col min="13408" max="13408" width="11.5703125" bestFit="1" customWidth="1"/>
    <col min="13409" max="13409" width="5.28515625" bestFit="1" customWidth="1"/>
    <col min="13410" max="13410" width="14.28515625" bestFit="1" customWidth="1"/>
    <col min="13411" max="13411" width="13" bestFit="1" customWidth="1"/>
    <col min="13412" max="13412" width="11.5703125" bestFit="1" customWidth="1"/>
    <col min="13413" max="13413" width="8.85546875" bestFit="1" customWidth="1"/>
    <col min="13414" max="13414" width="14.42578125" bestFit="1" customWidth="1"/>
    <col min="13415" max="13415" width="10.42578125" bestFit="1" customWidth="1"/>
    <col min="13416" max="13416" width="12.28515625" bestFit="1" customWidth="1"/>
    <col min="13417" max="13417" width="13.85546875" bestFit="1" customWidth="1"/>
    <col min="13418" max="13418" width="11.28515625" customWidth="1"/>
    <col min="13419" max="13419" width="11.5703125" customWidth="1"/>
    <col min="13420" max="13420" width="13.42578125" bestFit="1" customWidth="1"/>
    <col min="13421" max="13421" width="10.42578125" customWidth="1"/>
    <col min="13422" max="13422" width="13.85546875" bestFit="1" customWidth="1"/>
    <col min="13423" max="13423" width="15.42578125" bestFit="1" customWidth="1"/>
    <col min="13424" max="13424" width="12.28515625" bestFit="1" customWidth="1"/>
    <col min="13425" max="13425" width="12.7109375" customWidth="1"/>
    <col min="13426" max="13426" width="10.7109375" bestFit="1" customWidth="1"/>
    <col min="13427" max="13427" width="9.85546875" customWidth="1"/>
    <col min="13428" max="13429" width="10.140625" bestFit="1" customWidth="1"/>
    <col min="13430" max="13430" width="7.5703125" bestFit="1" customWidth="1"/>
    <col min="13431" max="13431" width="9.42578125" bestFit="1" customWidth="1"/>
    <col min="13432" max="13432" width="14.5703125" bestFit="1" customWidth="1"/>
    <col min="13433" max="13433" width="14.85546875" customWidth="1"/>
    <col min="13434" max="13434" width="15.140625" bestFit="1" customWidth="1"/>
    <col min="13435" max="13435" width="12.140625" bestFit="1" customWidth="1"/>
    <col min="13436" max="13436" width="14.85546875" bestFit="1" customWidth="1"/>
    <col min="13437" max="13437" width="12.28515625" bestFit="1" customWidth="1"/>
    <col min="13438" max="13446" width="9.140625" hidden="1" customWidth="1"/>
    <col min="13447" max="13447" width="5.28515625" bestFit="1" customWidth="1"/>
    <col min="13448" max="13453" width="11.5703125" bestFit="1" customWidth="1"/>
    <col min="13454" max="13454" width="11.28515625" bestFit="1" customWidth="1"/>
    <col min="13455" max="13455" width="10.140625" bestFit="1" customWidth="1"/>
    <col min="13456" max="13456" width="11.5703125" bestFit="1" customWidth="1"/>
    <col min="13457" max="13457" width="16.140625" customWidth="1"/>
    <col min="13458" max="13458" width="13.42578125" customWidth="1"/>
    <col min="13459" max="13459" width="10.140625" bestFit="1" customWidth="1"/>
    <col min="13460" max="13460" width="12.85546875" bestFit="1" customWidth="1"/>
    <col min="13461" max="13461" width="12.28515625" bestFit="1" customWidth="1"/>
    <col min="13462" max="13462" width="11.28515625" bestFit="1" customWidth="1"/>
    <col min="13463" max="13463" width="11.5703125" bestFit="1" customWidth="1"/>
    <col min="13464" max="13464" width="10.85546875" bestFit="1" customWidth="1"/>
    <col min="13465" max="13465" width="11.28515625" bestFit="1" customWidth="1"/>
    <col min="13466" max="13466" width="10.140625" bestFit="1" customWidth="1"/>
    <col min="13467" max="13467" width="13.28515625" bestFit="1" customWidth="1"/>
    <col min="13468" max="13469" width="12.7109375" bestFit="1" customWidth="1"/>
    <col min="13470" max="13470" width="11" bestFit="1" customWidth="1"/>
    <col min="13471" max="13471" width="11.28515625" bestFit="1" customWidth="1"/>
    <col min="13472" max="13472" width="11.5703125" bestFit="1" customWidth="1"/>
    <col min="13473" max="13473" width="12.28515625" bestFit="1" customWidth="1"/>
    <col min="13474" max="13474" width="15.140625" bestFit="1" customWidth="1"/>
    <col min="13475" max="13475" width="14.42578125" bestFit="1" customWidth="1"/>
    <col min="13476" max="13476" width="12.28515625" bestFit="1" customWidth="1"/>
    <col min="13477" max="13477" width="15.140625" bestFit="1" customWidth="1"/>
    <col min="13478" max="13478" width="14.42578125" bestFit="1" customWidth="1"/>
    <col min="13479" max="13479" width="12.28515625" bestFit="1" customWidth="1"/>
    <col min="13480" max="13480" width="14.42578125" bestFit="1" customWidth="1"/>
    <col min="13481" max="13481" width="11.28515625" bestFit="1" customWidth="1"/>
    <col min="13482" max="13482" width="12.28515625" bestFit="1" customWidth="1"/>
    <col min="13483" max="13483" width="13" bestFit="1" customWidth="1"/>
    <col min="13484" max="13484" width="15.140625" bestFit="1" customWidth="1"/>
    <col min="13485" max="13485" width="12.28515625" bestFit="1" customWidth="1"/>
    <col min="13486" max="13486" width="13.85546875" bestFit="1" customWidth="1"/>
    <col min="13487" max="13487" width="11.28515625" bestFit="1" customWidth="1"/>
    <col min="13488" max="13488" width="12.28515625" bestFit="1" customWidth="1"/>
    <col min="13489" max="13489" width="13.85546875" bestFit="1" customWidth="1"/>
    <col min="13490" max="13491" width="15.140625" bestFit="1" customWidth="1"/>
    <col min="13492" max="13492" width="12.28515625" bestFit="1" customWidth="1"/>
    <col min="13493" max="13493" width="5.7109375" bestFit="1" customWidth="1"/>
    <col min="13494" max="13494" width="8.5703125" bestFit="1" customWidth="1"/>
    <col min="13495" max="13495" width="5.5703125" bestFit="1" customWidth="1"/>
    <col min="13496" max="13496" width="14.42578125" bestFit="1" customWidth="1"/>
    <col min="13497" max="13497" width="11.28515625" bestFit="1" customWidth="1"/>
    <col min="13498" max="13499" width="12.28515625" bestFit="1" customWidth="1"/>
    <col min="13500" max="13500" width="11.28515625" bestFit="1" customWidth="1"/>
    <col min="13501" max="13501" width="13.85546875" bestFit="1" customWidth="1"/>
    <col min="13502" max="13502" width="12" bestFit="1" customWidth="1"/>
    <col min="13503" max="13503" width="13.85546875" bestFit="1" customWidth="1"/>
    <col min="13504" max="13505" width="14.42578125" customWidth="1"/>
    <col min="13506" max="13506" width="10.140625" bestFit="1" customWidth="1"/>
    <col min="13507" max="13507" width="12.28515625" bestFit="1" customWidth="1"/>
    <col min="13508" max="13508" width="7.42578125" bestFit="1" customWidth="1"/>
    <col min="13509" max="13509" width="8.5703125" bestFit="1" customWidth="1"/>
    <col min="13510" max="13510" width="11.5703125" bestFit="1" customWidth="1"/>
    <col min="13511" max="13511" width="13.28515625" bestFit="1" customWidth="1"/>
    <col min="13512" max="13512" width="13.28515625" customWidth="1"/>
    <col min="13513" max="13513" width="13.140625" customWidth="1"/>
    <col min="13514" max="13514" width="12.7109375" bestFit="1" customWidth="1"/>
    <col min="13515" max="13515" width="13.28515625" bestFit="1" customWidth="1"/>
    <col min="13516" max="13518" width="13.28515625" customWidth="1"/>
    <col min="13519" max="13519" width="12.140625" bestFit="1" customWidth="1"/>
    <col min="13520" max="13520" width="12.7109375" bestFit="1" customWidth="1"/>
    <col min="13521" max="13521" width="11" customWidth="1"/>
    <col min="13522" max="13522" width="16.7109375" customWidth="1"/>
    <col min="13523" max="13523" width="17" customWidth="1"/>
    <col min="13524" max="13524" width="10.42578125" bestFit="1" customWidth="1"/>
    <col min="13568" max="13568" width="3.85546875" customWidth="1"/>
    <col min="13569" max="13569" width="15.28515625" bestFit="1" customWidth="1"/>
    <col min="13570" max="13570" width="12.28515625" customWidth="1"/>
    <col min="13571" max="13571" width="16.28515625" bestFit="1" customWidth="1"/>
    <col min="13572" max="13572" width="6.42578125" bestFit="1" customWidth="1"/>
    <col min="13573" max="13573" width="9.28515625" bestFit="1" customWidth="1"/>
    <col min="13574" max="13574" width="7.5703125" bestFit="1" customWidth="1"/>
    <col min="13575" max="13575" width="13.28515625" bestFit="1" customWidth="1"/>
    <col min="13576" max="13576" width="9.28515625" bestFit="1" customWidth="1"/>
    <col min="13577" max="13577" width="11.5703125" bestFit="1" customWidth="1"/>
    <col min="13578" max="13578" width="13.28515625" bestFit="1" customWidth="1"/>
    <col min="13579" max="13579" width="7.140625" bestFit="1" customWidth="1"/>
    <col min="13580" max="13580" width="12" bestFit="1" customWidth="1"/>
    <col min="13581" max="13581" width="13.28515625" bestFit="1" customWidth="1"/>
    <col min="13582" max="13582" width="7" bestFit="1" customWidth="1"/>
    <col min="13583" max="13583" width="12.7109375" bestFit="1" customWidth="1"/>
    <col min="13584" max="13584" width="11.5703125" bestFit="1" customWidth="1"/>
    <col min="13585" max="13585" width="10.5703125" bestFit="1" customWidth="1"/>
    <col min="13586" max="13587" width="15.7109375" bestFit="1" customWidth="1"/>
    <col min="13588" max="13588" width="11.5703125" bestFit="1" customWidth="1"/>
    <col min="13589" max="13589" width="7.7109375" bestFit="1" customWidth="1"/>
    <col min="13590" max="13590" width="15.140625" bestFit="1" customWidth="1"/>
    <col min="13591" max="13591" width="11.5703125" bestFit="1" customWidth="1"/>
    <col min="13592" max="13592" width="13.28515625" bestFit="1" customWidth="1"/>
    <col min="13593" max="13593" width="10.42578125" bestFit="1" customWidth="1"/>
    <col min="13594" max="13594" width="13.28515625" bestFit="1" customWidth="1"/>
    <col min="13595" max="13595" width="12.140625" bestFit="1" customWidth="1"/>
    <col min="13596" max="13596" width="14.42578125" bestFit="1" customWidth="1"/>
    <col min="13597" max="13597" width="13.28515625" bestFit="1" customWidth="1"/>
    <col min="13598" max="13598" width="11.5703125" bestFit="1" customWidth="1"/>
    <col min="13599" max="13599" width="7.7109375" bestFit="1" customWidth="1"/>
    <col min="13600" max="13601" width="14.42578125" bestFit="1" customWidth="1"/>
    <col min="13602" max="13602" width="11.5703125" bestFit="1" customWidth="1"/>
    <col min="13603" max="13603" width="7.7109375" bestFit="1" customWidth="1"/>
    <col min="13604" max="13604" width="13.5703125" customWidth="1"/>
    <col min="13605" max="13605" width="15.28515625" customWidth="1"/>
    <col min="13606" max="13606" width="14.5703125" customWidth="1"/>
    <col min="13607" max="13607" width="13.28515625" bestFit="1" customWidth="1"/>
    <col min="13608" max="13608" width="7.7109375" bestFit="1" customWidth="1"/>
    <col min="13609" max="13609" width="12.7109375" bestFit="1" customWidth="1"/>
    <col min="13610" max="13610" width="11.7109375" bestFit="1" customWidth="1"/>
    <col min="13611" max="13611" width="11.5703125" bestFit="1" customWidth="1"/>
    <col min="13612" max="13612" width="5.28515625" bestFit="1" customWidth="1"/>
    <col min="13613" max="13613" width="13.28515625" bestFit="1" customWidth="1"/>
    <col min="13614" max="13614" width="13.5703125" bestFit="1" customWidth="1"/>
    <col min="13615" max="13615" width="10.5703125" bestFit="1" customWidth="1"/>
    <col min="13616" max="13616" width="13.28515625" bestFit="1" customWidth="1"/>
    <col min="13617" max="13617" width="11.5703125" bestFit="1" customWidth="1"/>
    <col min="13618" max="13618" width="10.5703125" bestFit="1" customWidth="1"/>
    <col min="13619" max="13619" width="16.140625" bestFit="1" customWidth="1"/>
    <col min="13620" max="13621" width="11.28515625" bestFit="1" customWidth="1"/>
    <col min="13622" max="13622" width="13.28515625" bestFit="1" customWidth="1"/>
    <col min="13623" max="13623" width="7.7109375" bestFit="1" customWidth="1"/>
    <col min="13624" max="13627" width="9.140625" hidden="1" customWidth="1"/>
    <col min="13628" max="13628" width="10.42578125" bestFit="1" customWidth="1"/>
    <col min="13629" max="13629" width="10.5703125" bestFit="1" customWidth="1"/>
    <col min="13630" max="13630" width="10.42578125" bestFit="1" customWidth="1"/>
    <col min="13631" max="13631" width="10.5703125" bestFit="1" customWidth="1"/>
    <col min="13632" max="13632" width="9.5703125" bestFit="1" customWidth="1"/>
    <col min="13633" max="13633" width="11.5703125" bestFit="1" customWidth="1"/>
    <col min="13634" max="13634" width="10.42578125" bestFit="1" customWidth="1"/>
    <col min="13635" max="13635" width="10.85546875" customWidth="1"/>
    <col min="13636" max="13637" width="9.85546875" bestFit="1" customWidth="1"/>
    <col min="13638" max="13638" width="13.5703125" bestFit="1" customWidth="1"/>
    <col min="13639" max="13639" width="7.7109375" bestFit="1" customWidth="1"/>
    <col min="13640" max="13640" width="13.28515625" bestFit="1" customWidth="1"/>
    <col min="13641" max="13641" width="11.5703125" bestFit="1" customWidth="1"/>
    <col min="13642" max="13642" width="10.42578125" bestFit="1" customWidth="1"/>
    <col min="13643" max="13643" width="7.7109375" bestFit="1" customWidth="1"/>
    <col min="13644" max="13644" width="11.5703125" bestFit="1" customWidth="1"/>
    <col min="13645" max="13645" width="10.85546875" bestFit="1" customWidth="1"/>
    <col min="13646" max="13646" width="13.28515625" bestFit="1" customWidth="1"/>
    <col min="13647" max="13647" width="10.85546875" bestFit="1" customWidth="1"/>
    <col min="13648" max="13649" width="7.5703125" bestFit="1" customWidth="1"/>
    <col min="13650" max="13651" width="10.42578125" bestFit="1" customWidth="1"/>
    <col min="13652" max="13652" width="11.5703125" bestFit="1" customWidth="1"/>
    <col min="13653" max="13653" width="5.28515625" bestFit="1" customWidth="1"/>
    <col min="13654" max="13654" width="10.28515625" bestFit="1" customWidth="1"/>
    <col min="13655" max="13655" width="10.42578125" bestFit="1" customWidth="1"/>
    <col min="13656" max="13656" width="11.5703125" bestFit="1" customWidth="1"/>
    <col min="13657" max="13657" width="5.28515625" bestFit="1" customWidth="1"/>
    <col min="13658" max="13660" width="11.5703125" bestFit="1" customWidth="1"/>
    <col min="13661" max="13661" width="5.28515625" bestFit="1" customWidth="1"/>
    <col min="13662" max="13663" width="10.42578125" bestFit="1" customWidth="1"/>
    <col min="13664" max="13664" width="11.5703125" bestFit="1" customWidth="1"/>
    <col min="13665" max="13665" width="5.28515625" bestFit="1" customWidth="1"/>
    <col min="13666" max="13666" width="14.28515625" bestFit="1" customWidth="1"/>
    <col min="13667" max="13667" width="13" bestFit="1" customWidth="1"/>
    <col min="13668" max="13668" width="11.5703125" bestFit="1" customWidth="1"/>
    <col min="13669" max="13669" width="8.85546875" bestFit="1" customWidth="1"/>
    <col min="13670" max="13670" width="14.42578125" bestFit="1" customWidth="1"/>
    <col min="13671" max="13671" width="10.42578125" bestFit="1" customWidth="1"/>
    <col min="13672" max="13672" width="12.28515625" bestFit="1" customWidth="1"/>
    <col min="13673" max="13673" width="13.85546875" bestFit="1" customWidth="1"/>
    <col min="13674" max="13674" width="11.28515625" customWidth="1"/>
    <col min="13675" max="13675" width="11.5703125" customWidth="1"/>
    <col min="13676" max="13676" width="13.42578125" bestFit="1" customWidth="1"/>
    <col min="13677" max="13677" width="10.42578125" customWidth="1"/>
    <col min="13678" max="13678" width="13.85546875" bestFit="1" customWidth="1"/>
    <col min="13679" max="13679" width="15.42578125" bestFit="1" customWidth="1"/>
    <col min="13680" max="13680" width="12.28515625" bestFit="1" customWidth="1"/>
    <col min="13681" max="13681" width="12.7109375" customWidth="1"/>
    <col min="13682" max="13682" width="10.7109375" bestFit="1" customWidth="1"/>
    <col min="13683" max="13683" width="9.85546875" customWidth="1"/>
    <col min="13684" max="13685" width="10.140625" bestFit="1" customWidth="1"/>
    <col min="13686" max="13686" width="7.5703125" bestFit="1" customWidth="1"/>
    <col min="13687" max="13687" width="9.42578125" bestFit="1" customWidth="1"/>
    <col min="13688" max="13688" width="14.5703125" bestFit="1" customWidth="1"/>
    <col min="13689" max="13689" width="14.85546875" customWidth="1"/>
    <col min="13690" max="13690" width="15.140625" bestFit="1" customWidth="1"/>
    <col min="13691" max="13691" width="12.140625" bestFit="1" customWidth="1"/>
    <col min="13692" max="13692" width="14.85546875" bestFit="1" customWidth="1"/>
    <col min="13693" max="13693" width="12.28515625" bestFit="1" customWidth="1"/>
    <col min="13694" max="13702" width="9.140625" hidden="1" customWidth="1"/>
    <col min="13703" max="13703" width="5.28515625" bestFit="1" customWidth="1"/>
    <col min="13704" max="13709" width="11.5703125" bestFit="1" customWidth="1"/>
    <col min="13710" max="13710" width="11.28515625" bestFit="1" customWidth="1"/>
    <col min="13711" max="13711" width="10.140625" bestFit="1" customWidth="1"/>
    <col min="13712" max="13712" width="11.5703125" bestFit="1" customWidth="1"/>
    <col min="13713" max="13713" width="16.140625" customWidth="1"/>
    <col min="13714" max="13714" width="13.42578125" customWidth="1"/>
    <col min="13715" max="13715" width="10.140625" bestFit="1" customWidth="1"/>
    <col min="13716" max="13716" width="12.85546875" bestFit="1" customWidth="1"/>
    <col min="13717" max="13717" width="12.28515625" bestFit="1" customWidth="1"/>
    <col min="13718" max="13718" width="11.28515625" bestFit="1" customWidth="1"/>
    <col min="13719" max="13719" width="11.5703125" bestFit="1" customWidth="1"/>
    <col min="13720" max="13720" width="10.85546875" bestFit="1" customWidth="1"/>
    <col min="13721" max="13721" width="11.28515625" bestFit="1" customWidth="1"/>
    <col min="13722" max="13722" width="10.140625" bestFit="1" customWidth="1"/>
    <col min="13723" max="13723" width="13.28515625" bestFit="1" customWidth="1"/>
    <col min="13724" max="13725" width="12.7109375" bestFit="1" customWidth="1"/>
    <col min="13726" max="13726" width="11" bestFit="1" customWidth="1"/>
    <col min="13727" max="13727" width="11.28515625" bestFit="1" customWidth="1"/>
    <col min="13728" max="13728" width="11.5703125" bestFit="1" customWidth="1"/>
    <col min="13729" max="13729" width="12.28515625" bestFit="1" customWidth="1"/>
    <col min="13730" max="13730" width="15.140625" bestFit="1" customWidth="1"/>
    <col min="13731" max="13731" width="14.42578125" bestFit="1" customWidth="1"/>
    <col min="13732" max="13732" width="12.28515625" bestFit="1" customWidth="1"/>
    <col min="13733" max="13733" width="15.140625" bestFit="1" customWidth="1"/>
    <col min="13734" max="13734" width="14.42578125" bestFit="1" customWidth="1"/>
    <col min="13735" max="13735" width="12.28515625" bestFit="1" customWidth="1"/>
    <col min="13736" max="13736" width="14.42578125" bestFit="1" customWidth="1"/>
    <col min="13737" max="13737" width="11.28515625" bestFit="1" customWidth="1"/>
    <col min="13738" max="13738" width="12.28515625" bestFit="1" customWidth="1"/>
    <col min="13739" max="13739" width="13" bestFit="1" customWidth="1"/>
    <col min="13740" max="13740" width="15.140625" bestFit="1" customWidth="1"/>
    <col min="13741" max="13741" width="12.28515625" bestFit="1" customWidth="1"/>
    <col min="13742" max="13742" width="13.85546875" bestFit="1" customWidth="1"/>
    <col min="13743" max="13743" width="11.28515625" bestFit="1" customWidth="1"/>
    <col min="13744" max="13744" width="12.28515625" bestFit="1" customWidth="1"/>
    <col min="13745" max="13745" width="13.85546875" bestFit="1" customWidth="1"/>
    <col min="13746" max="13747" width="15.140625" bestFit="1" customWidth="1"/>
    <col min="13748" max="13748" width="12.28515625" bestFit="1" customWidth="1"/>
    <col min="13749" max="13749" width="5.7109375" bestFit="1" customWidth="1"/>
    <col min="13750" max="13750" width="8.5703125" bestFit="1" customWidth="1"/>
    <col min="13751" max="13751" width="5.5703125" bestFit="1" customWidth="1"/>
    <col min="13752" max="13752" width="14.42578125" bestFit="1" customWidth="1"/>
    <col min="13753" max="13753" width="11.28515625" bestFit="1" customWidth="1"/>
    <col min="13754" max="13755" width="12.28515625" bestFit="1" customWidth="1"/>
    <col min="13756" max="13756" width="11.28515625" bestFit="1" customWidth="1"/>
    <col min="13757" max="13757" width="13.85546875" bestFit="1" customWidth="1"/>
    <col min="13758" max="13758" width="12" bestFit="1" customWidth="1"/>
    <col min="13759" max="13759" width="13.85546875" bestFit="1" customWidth="1"/>
    <col min="13760" max="13761" width="14.42578125" customWidth="1"/>
    <col min="13762" max="13762" width="10.140625" bestFit="1" customWidth="1"/>
    <col min="13763" max="13763" width="12.28515625" bestFit="1" customWidth="1"/>
    <col min="13764" max="13764" width="7.42578125" bestFit="1" customWidth="1"/>
    <col min="13765" max="13765" width="8.5703125" bestFit="1" customWidth="1"/>
    <col min="13766" max="13766" width="11.5703125" bestFit="1" customWidth="1"/>
    <col min="13767" max="13767" width="13.28515625" bestFit="1" customWidth="1"/>
    <col min="13768" max="13768" width="13.28515625" customWidth="1"/>
    <col min="13769" max="13769" width="13.140625" customWidth="1"/>
    <col min="13770" max="13770" width="12.7109375" bestFit="1" customWidth="1"/>
    <col min="13771" max="13771" width="13.28515625" bestFit="1" customWidth="1"/>
    <col min="13772" max="13774" width="13.28515625" customWidth="1"/>
    <col min="13775" max="13775" width="12.140625" bestFit="1" customWidth="1"/>
    <col min="13776" max="13776" width="12.7109375" bestFit="1" customWidth="1"/>
    <col min="13777" max="13777" width="11" customWidth="1"/>
    <col min="13778" max="13778" width="16.7109375" customWidth="1"/>
    <col min="13779" max="13779" width="17" customWidth="1"/>
    <col min="13780" max="13780" width="10.42578125" bestFit="1" customWidth="1"/>
    <col min="13824" max="13824" width="3.85546875" customWidth="1"/>
    <col min="13825" max="13825" width="15.28515625" bestFit="1" customWidth="1"/>
    <col min="13826" max="13826" width="12.28515625" customWidth="1"/>
    <col min="13827" max="13827" width="16.28515625" bestFit="1" customWidth="1"/>
    <col min="13828" max="13828" width="6.42578125" bestFit="1" customWidth="1"/>
    <col min="13829" max="13829" width="9.28515625" bestFit="1" customWidth="1"/>
    <col min="13830" max="13830" width="7.5703125" bestFit="1" customWidth="1"/>
    <col min="13831" max="13831" width="13.28515625" bestFit="1" customWidth="1"/>
    <col min="13832" max="13832" width="9.28515625" bestFit="1" customWidth="1"/>
    <col min="13833" max="13833" width="11.5703125" bestFit="1" customWidth="1"/>
    <col min="13834" max="13834" width="13.28515625" bestFit="1" customWidth="1"/>
    <col min="13835" max="13835" width="7.140625" bestFit="1" customWidth="1"/>
    <col min="13836" max="13836" width="12" bestFit="1" customWidth="1"/>
    <col min="13837" max="13837" width="13.28515625" bestFit="1" customWidth="1"/>
    <col min="13838" max="13838" width="7" bestFit="1" customWidth="1"/>
    <col min="13839" max="13839" width="12.7109375" bestFit="1" customWidth="1"/>
    <col min="13840" max="13840" width="11.5703125" bestFit="1" customWidth="1"/>
    <col min="13841" max="13841" width="10.5703125" bestFit="1" customWidth="1"/>
    <col min="13842" max="13843" width="15.7109375" bestFit="1" customWidth="1"/>
    <col min="13844" max="13844" width="11.5703125" bestFit="1" customWidth="1"/>
    <col min="13845" max="13845" width="7.7109375" bestFit="1" customWidth="1"/>
    <col min="13846" max="13846" width="15.140625" bestFit="1" customWidth="1"/>
    <col min="13847" max="13847" width="11.5703125" bestFit="1" customWidth="1"/>
    <col min="13848" max="13848" width="13.28515625" bestFit="1" customWidth="1"/>
    <col min="13849" max="13849" width="10.42578125" bestFit="1" customWidth="1"/>
    <col min="13850" max="13850" width="13.28515625" bestFit="1" customWidth="1"/>
    <col min="13851" max="13851" width="12.140625" bestFit="1" customWidth="1"/>
    <col min="13852" max="13852" width="14.42578125" bestFit="1" customWidth="1"/>
    <col min="13853" max="13853" width="13.28515625" bestFit="1" customWidth="1"/>
    <col min="13854" max="13854" width="11.5703125" bestFit="1" customWidth="1"/>
    <col min="13855" max="13855" width="7.7109375" bestFit="1" customWidth="1"/>
    <col min="13856" max="13857" width="14.42578125" bestFit="1" customWidth="1"/>
    <col min="13858" max="13858" width="11.5703125" bestFit="1" customWidth="1"/>
    <col min="13859" max="13859" width="7.7109375" bestFit="1" customWidth="1"/>
    <col min="13860" max="13860" width="13.5703125" customWidth="1"/>
    <col min="13861" max="13861" width="15.28515625" customWidth="1"/>
    <col min="13862" max="13862" width="14.5703125" customWidth="1"/>
    <col min="13863" max="13863" width="13.28515625" bestFit="1" customWidth="1"/>
    <col min="13864" max="13864" width="7.7109375" bestFit="1" customWidth="1"/>
    <col min="13865" max="13865" width="12.7109375" bestFit="1" customWidth="1"/>
    <col min="13866" max="13866" width="11.7109375" bestFit="1" customWidth="1"/>
    <col min="13867" max="13867" width="11.5703125" bestFit="1" customWidth="1"/>
    <col min="13868" max="13868" width="5.28515625" bestFit="1" customWidth="1"/>
    <col min="13869" max="13869" width="13.28515625" bestFit="1" customWidth="1"/>
    <col min="13870" max="13870" width="13.5703125" bestFit="1" customWidth="1"/>
    <col min="13871" max="13871" width="10.5703125" bestFit="1" customWidth="1"/>
    <col min="13872" max="13872" width="13.28515625" bestFit="1" customWidth="1"/>
    <col min="13873" max="13873" width="11.5703125" bestFit="1" customWidth="1"/>
    <col min="13874" max="13874" width="10.5703125" bestFit="1" customWidth="1"/>
    <col min="13875" max="13875" width="16.140625" bestFit="1" customWidth="1"/>
    <col min="13876" max="13877" width="11.28515625" bestFit="1" customWidth="1"/>
    <col min="13878" max="13878" width="13.28515625" bestFit="1" customWidth="1"/>
    <col min="13879" max="13879" width="7.7109375" bestFit="1" customWidth="1"/>
    <col min="13880" max="13883" width="9.140625" hidden="1" customWidth="1"/>
    <col min="13884" max="13884" width="10.42578125" bestFit="1" customWidth="1"/>
    <col min="13885" max="13885" width="10.5703125" bestFit="1" customWidth="1"/>
    <col min="13886" max="13886" width="10.42578125" bestFit="1" customWidth="1"/>
    <col min="13887" max="13887" width="10.5703125" bestFit="1" customWidth="1"/>
    <col min="13888" max="13888" width="9.5703125" bestFit="1" customWidth="1"/>
    <col min="13889" max="13889" width="11.5703125" bestFit="1" customWidth="1"/>
    <col min="13890" max="13890" width="10.42578125" bestFit="1" customWidth="1"/>
    <col min="13891" max="13891" width="10.85546875" customWidth="1"/>
    <col min="13892" max="13893" width="9.85546875" bestFit="1" customWidth="1"/>
    <col min="13894" max="13894" width="13.5703125" bestFit="1" customWidth="1"/>
    <col min="13895" max="13895" width="7.7109375" bestFit="1" customWidth="1"/>
    <col min="13896" max="13896" width="13.28515625" bestFit="1" customWidth="1"/>
    <col min="13897" max="13897" width="11.5703125" bestFit="1" customWidth="1"/>
    <col min="13898" max="13898" width="10.42578125" bestFit="1" customWidth="1"/>
    <col min="13899" max="13899" width="7.7109375" bestFit="1" customWidth="1"/>
    <col min="13900" max="13900" width="11.5703125" bestFit="1" customWidth="1"/>
    <col min="13901" max="13901" width="10.85546875" bestFit="1" customWidth="1"/>
    <col min="13902" max="13902" width="13.28515625" bestFit="1" customWidth="1"/>
    <col min="13903" max="13903" width="10.85546875" bestFit="1" customWidth="1"/>
    <col min="13904" max="13905" width="7.5703125" bestFit="1" customWidth="1"/>
    <col min="13906" max="13907" width="10.42578125" bestFit="1" customWidth="1"/>
    <col min="13908" max="13908" width="11.5703125" bestFit="1" customWidth="1"/>
    <col min="13909" max="13909" width="5.28515625" bestFit="1" customWidth="1"/>
    <col min="13910" max="13910" width="10.28515625" bestFit="1" customWidth="1"/>
    <col min="13911" max="13911" width="10.42578125" bestFit="1" customWidth="1"/>
    <col min="13912" max="13912" width="11.5703125" bestFit="1" customWidth="1"/>
    <col min="13913" max="13913" width="5.28515625" bestFit="1" customWidth="1"/>
    <col min="13914" max="13916" width="11.5703125" bestFit="1" customWidth="1"/>
    <col min="13917" max="13917" width="5.28515625" bestFit="1" customWidth="1"/>
    <col min="13918" max="13919" width="10.42578125" bestFit="1" customWidth="1"/>
    <col min="13920" max="13920" width="11.5703125" bestFit="1" customWidth="1"/>
    <col min="13921" max="13921" width="5.28515625" bestFit="1" customWidth="1"/>
    <col min="13922" max="13922" width="14.28515625" bestFit="1" customWidth="1"/>
    <col min="13923" max="13923" width="13" bestFit="1" customWidth="1"/>
    <col min="13924" max="13924" width="11.5703125" bestFit="1" customWidth="1"/>
    <col min="13925" max="13925" width="8.85546875" bestFit="1" customWidth="1"/>
    <col min="13926" max="13926" width="14.42578125" bestFit="1" customWidth="1"/>
    <col min="13927" max="13927" width="10.42578125" bestFit="1" customWidth="1"/>
    <col min="13928" max="13928" width="12.28515625" bestFit="1" customWidth="1"/>
    <col min="13929" max="13929" width="13.85546875" bestFit="1" customWidth="1"/>
    <col min="13930" max="13930" width="11.28515625" customWidth="1"/>
    <col min="13931" max="13931" width="11.5703125" customWidth="1"/>
    <col min="13932" max="13932" width="13.42578125" bestFit="1" customWidth="1"/>
    <col min="13933" max="13933" width="10.42578125" customWidth="1"/>
    <col min="13934" max="13934" width="13.85546875" bestFit="1" customWidth="1"/>
    <col min="13935" max="13935" width="15.42578125" bestFit="1" customWidth="1"/>
    <col min="13936" max="13936" width="12.28515625" bestFit="1" customWidth="1"/>
    <col min="13937" max="13937" width="12.7109375" customWidth="1"/>
    <col min="13938" max="13938" width="10.7109375" bestFit="1" customWidth="1"/>
    <col min="13939" max="13939" width="9.85546875" customWidth="1"/>
    <col min="13940" max="13941" width="10.140625" bestFit="1" customWidth="1"/>
    <col min="13942" max="13942" width="7.5703125" bestFit="1" customWidth="1"/>
    <col min="13943" max="13943" width="9.42578125" bestFit="1" customWidth="1"/>
    <col min="13944" max="13944" width="14.5703125" bestFit="1" customWidth="1"/>
    <col min="13945" max="13945" width="14.85546875" customWidth="1"/>
    <col min="13946" max="13946" width="15.140625" bestFit="1" customWidth="1"/>
    <col min="13947" max="13947" width="12.140625" bestFit="1" customWidth="1"/>
    <col min="13948" max="13948" width="14.85546875" bestFit="1" customWidth="1"/>
    <col min="13949" max="13949" width="12.28515625" bestFit="1" customWidth="1"/>
    <col min="13950" max="13958" width="9.140625" hidden="1" customWidth="1"/>
    <col min="13959" max="13959" width="5.28515625" bestFit="1" customWidth="1"/>
    <col min="13960" max="13965" width="11.5703125" bestFit="1" customWidth="1"/>
    <col min="13966" max="13966" width="11.28515625" bestFit="1" customWidth="1"/>
    <col min="13967" max="13967" width="10.140625" bestFit="1" customWidth="1"/>
    <col min="13968" max="13968" width="11.5703125" bestFit="1" customWidth="1"/>
    <col min="13969" max="13969" width="16.140625" customWidth="1"/>
    <col min="13970" max="13970" width="13.42578125" customWidth="1"/>
    <col min="13971" max="13971" width="10.140625" bestFit="1" customWidth="1"/>
    <col min="13972" max="13972" width="12.85546875" bestFit="1" customWidth="1"/>
    <col min="13973" max="13973" width="12.28515625" bestFit="1" customWidth="1"/>
    <col min="13974" max="13974" width="11.28515625" bestFit="1" customWidth="1"/>
    <col min="13975" max="13975" width="11.5703125" bestFit="1" customWidth="1"/>
    <col min="13976" max="13976" width="10.85546875" bestFit="1" customWidth="1"/>
    <col min="13977" max="13977" width="11.28515625" bestFit="1" customWidth="1"/>
    <col min="13978" max="13978" width="10.140625" bestFit="1" customWidth="1"/>
    <col min="13979" max="13979" width="13.28515625" bestFit="1" customWidth="1"/>
    <col min="13980" max="13981" width="12.7109375" bestFit="1" customWidth="1"/>
    <col min="13982" max="13982" width="11" bestFit="1" customWidth="1"/>
    <col min="13983" max="13983" width="11.28515625" bestFit="1" customWidth="1"/>
    <col min="13984" max="13984" width="11.5703125" bestFit="1" customWidth="1"/>
    <col min="13985" max="13985" width="12.28515625" bestFit="1" customWidth="1"/>
    <col min="13986" max="13986" width="15.140625" bestFit="1" customWidth="1"/>
    <col min="13987" max="13987" width="14.42578125" bestFit="1" customWidth="1"/>
    <col min="13988" max="13988" width="12.28515625" bestFit="1" customWidth="1"/>
    <col min="13989" max="13989" width="15.140625" bestFit="1" customWidth="1"/>
    <col min="13990" max="13990" width="14.42578125" bestFit="1" customWidth="1"/>
    <col min="13991" max="13991" width="12.28515625" bestFit="1" customWidth="1"/>
    <col min="13992" max="13992" width="14.42578125" bestFit="1" customWidth="1"/>
    <col min="13993" max="13993" width="11.28515625" bestFit="1" customWidth="1"/>
    <col min="13994" max="13994" width="12.28515625" bestFit="1" customWidth="1"/>
    <col min="13995" max="13995" width="13" bestFit="1" customWidth="1"/>
    <col min="13996" max="13996" width="15.140625" bestFit="1" customWidth="1"/>
    <col min="13997" max="13997" width="12.28515625" bestFit="1" customWidth="1"/>
    <col min="13998" max="13998" width="13.85546875" bestFit="1" customWidth="1"/>
    <col min="13999" max="13999" width="11.28515625" bestFit="1" customWidth="1"/>
    <col min="14000" max="14000" width="12.28515625" bestFit="1" customWidth="1"/>
    <col min="14001" max="14001" width="13.85546875" bestFit="1" customWidth="1"/>
    <col min="14002" max="14003" width="15.140625" bestFit="1" customWidth="1"/>
    <col min="14004" max="14004" width="12.28515625" bestFit="1" customWidth="1"/>
    <col min="14005" max="14005" width="5.7109375" bestFit="1" customWidth="1"/>
    <col min="14006" max="14006" width="8.5703125" bestFit="1" customWidth="1"/>
    <col min="14007" max="14007" width="5.5703125" bestFit="1" customWidth="1"/>
    <col min="14008" max="14008" width="14.42578125" bestFit="1" customWidth="1"/>
    <col min="14009" max="14009" width="11.28515625" bestFit="1" customWidth="1"/>
    <col min="14010" max="14011" width="12.28515625" bestFit="1" customWidth="1"/>
    <col min="14012" max="14012" width="11.28515625" bestFit="1" customWidth="1"/>
    <col min="14013" max="14013" width="13.85546875" bestFit="1" customWidth="1"/>
    <col min="14014" max="14014" width="12" bestFit="1" customWidth="1"/>
    <col min="14015" max="14015" width="13.85546875" bestFit="1" customWidth="1"/>
    <col min="14016" max="14017" width="14.42578125" customWidth="1"/>
    <col min="14018" max="14018" width="10.140625" bestFit="1" customWidth="1"/>
    <col min="14019" max="14019" width="12.28515625" bestFit="1" customWidth="1"/>
    <col min="14020" max="14020" width="7.42578125" bestFit="1" customWidth="1"/>
    <col min="14021" max="14021" width="8.5703125" bestFit="1" customWidth="1"/>
    <col min="14022" max="14022" width="11.5703125" bestFit="1" customWidth="1"/>
    <col min="14023" max="14023" width="13.28515625" bestFit="1" customWidth="1"/>
    <col min="14024" max="14024" width="13.28515625" customWidth="1"/>
    <col min="14025" max="14025" width="13.140625" customWidth="1"/>
    <col min="14026" max="14026" width="12.7109375" bestFit="1" customWidth="1"/>
    <col min="14027" max="14027" width="13.28515625" bestFit="1" customWidth="1"/>
    <col min="14028" max="14030" width="13.28515625" customWidth="1"/>
    <col min="14031" max="14031" width="12.140625" bestFit="1" customWidth="1"/>
    <col min="14032" max="14032" width="12.7109375" bestFit="1" customWidth="1"/>
    <col min="14033" max="14033" width="11" customWidth="1"/>
    <col min="14034" max="14034" width="16.7109375" customWidth="1"/>
    <col min="14035" max="14035" width="17" customWidth="1"/>
    <col min="14036" max="14036" width="10.42578125" bestFit="1" customWidth="1"/>
    <col min="14080" max="14080" width="3.85546875" customWidth="1"/>
    <col min="14081" max="14081" width="15.28515625" bestFit="1" customWidth="1"/>
    <col min="14082" max="14082" width="12.28515625" customWidth="1"/>
    <col min="14083" max="14083" width="16.28515625" bestFit="1" customWidth="1"/>
    <col min="14084" max="14084" width="6.42578125" bestFit="1" customWidth="1"/>
    <col min="14085" max="14085" width="9.28515625" bestFit="1" customWidth="1"/>
    <col min="14086" max="14086" width="7.5703125" bestFit="1" customWidth="1"/>
    <col min="14087" max="14087" width="13.28515625" bestFit="1" customWidth="1"/>
    <col min="14088" max="14088" width="9.28515625" bestFit="1" customWidth="1"/>
    <col min="14089" max="14089" width="11.5703125" bestFit="1" customWidth="1"/>
    <col min="14090" max="14090" width="13.28515625" bestFit="1" customWidth="1"/>
    <col min="14091" max="14091" width="7.140625" bestFit="1" customWidth="1"/>
    <col min="14092" max="14092" width="12" bestFit="1" customWidth="1"/>
    <col min="14093" max="14093" width="13.28515625" bestFit="1" customWidth="1"/>
    <col min="14094" max="14094" width="7" bestFit="1" customWidth="1"/>
    <col min="14095" max="14095" width="12.7109375" bestFit="1" customWidth="1"/>
    <col min="14096" max="14096" width="11.5703125" bestFit="1" customWidth="1"/>
    <col min="14097" max="14097" width="10.5703125" bestFit="1" customWidth="1"/>
    <col min="14098" max="14099" width="15.7109375" bestFit="1" customWidth="1"/>
    <col min="14100" max="14100" width="11.5703125" bestFit="1" customWidth="1"/>
    <col min="14101" max="14101" width="7.7109375" bestFit="1" customWidth="1"/>
    <col min="14102" max="14102" width="15.140625" bestFit="1" customWidth="1"/>
    <col min="14103" max="14103" width="11.5703125" bestFit="1" customWidth="1"/>
    <col min="14104" max="14104" width="13.28515625" bestFit="1" customWidth="1"/>
    <col min="14105" max="14105" width="10.42578125" bestFit="1" customWidth="1"/>
    <col min="14106" max="14106" width="13.28515625" bestFit="1" customWidth="1"/>
    <col min="14107" max="14107" width="12.140625" bestFit="1" customWidth="1"/>
    <col min="14108" max="14108" width="14.42578125" bestFit="1" customWidth="1"/>
    <col min="14109" max="14109" width="13.28515625" bestFit="1" customWidth="1"/>
    <col min="14110" max="14110" width="11.5703125" bestFit="1" customWidth="1"/>
    <col min="14111" max="14111" width="7.7109375" bestFit="1" customWidth="1"/>
    <col min="14112" max="14113" width="14.42578125" bestFit="1" customWidth="1"/>
    <col min="14114" max="14114" width="11.5703125" bestFit="1" customWidth="1"/>
    <col min="14115" max="14115" width="7.7109375" bestFit="1" customWidth="1"/>
    <col min="14116" max="14116" width="13.5703125" customWidth="1"/>
    <col min="14117" max="14117" width="15.28515625" customWidth="1"/>
    <col min="14118" max="14118" width="14.5703125" customWidth="1"/>
    <col min="14119" max="14119" width="13.28515625" bestFit="1" customWidth="1"/>
    <col min="14120" max="14120" width="7.7109375" bestFit="1" customWidth="1"/>
    <col min="14121" max="14121" width="12.7109375" bestFit="1" customWidth="1"/>
    <col min="14122" max="14122" width="11.7109375" bestFit="1" customWidth="1"/>
    <col min="14123" max="14123" width="11.5703125" bestFit="1" customWidth="1"/>
    <col min="14124" max="14124" width="5.28515625" bestFit="1" customWidth="1"/>
    <col min="14125" max="14125" width="13.28515625" bestFit="1" customWidth="1"/>
    <col min="14126" max="14126" width="13.5703125" bestFit="1" customWidth="1"/>
    <col min="14127" max="14127" width="10.5703125" bestFit="1" customWidth="1"/>
    <col min="14128" max="14128" width="13.28515625" bestFit="1" customWidth="1"/>
    <col min="14129" max="14129" width="11.5703125" bestFit="1" customWidth="1"/>
    <col min="14130" max="14130" width="10.5703125" bestFit="1" customWidth="1"/>
    <col min="14131" max="14131" width="16.140625" bestFit="1" customWidth="1"/>
    <col min="14132" max="14133" width="11.28515625" bestFit="1" customWidth="1"/>
    <col min="14134" max="14134" width="13.28515625" bestFit="1" customWidth="1"/>
    <col min="14135" max="14135" width="7.7109375" bestFit="1" customWidth="1"/>
    <col min="14136" max="14139" width="9.140625" hidden="1" customWidth="1"/>
    <col min="14140" max="14140" width="10.42578125" bestFit="1" customWidth="1"/>
    <col min="14141" max="14141" width="10.5703125" bestFit="1" customWidth="1"/>
    <col min="14142" max="14142" width="10.42578125" bestFit="1" customWidth="1"/>
    <col min="14143" max="14143" width="10.5703125" bestFit="1" customWidth="1"/>
    <col min="14144" max="14144" width="9.5703125" bestFit="1" customWidth="1"/>
    <col min="14145" max="14145" width="11.5703125" bestFit="1" customWidth="1"/>
    <col min="14146" max="14146" width="10.42578125" bestFit="1" customWidth="1"/>
    <col min="14147" max="14147" width="10.85546875" customWidth="1"/>
    <col min="14148" max="14149" width="9.85546875" bestFit="1" customWidth="1"/>
    <col min="14150" max="14150" width="13.5703125" bestFit="1" customWidth="1"/>
    <col min="14151" max="14151" width="7.7109375" bestFit="1" customWidth="1"/>
    <col min="14152" max="14152" width="13.28515625" bestFit="1" customWidth="1"/>
    <col min="14153" max="14153" width="11.5703125" bestFit="1" customWidth="1"/>
    <col min="14154" max="14154" width="10.42578125" bestFit="1" customWidth="1"/>
    <col min="14155" max="14155" width="7.7109375" bestFit="1" customWidth="1"/>
    <col min="14156" max="14156" width="11.5703125" bestFit="1" customWidth="1"/>
    <col min="14157" max="14157" width="10.85546875" bestFit="1" customWidth="1"/>
    <col min="14158" max="14158" width="13.28515625" bestFit="1" customWidth="1"/>
    <col min="14159" max="14159" width="10.85546875" bestFit="1" customWidth="1"/>
    <col min="14160" max="14161" width="7.5703125" bestFit="1" customWidth="1"/>
    <col min="14162" max="14163" width="10.42578125" bestFit="1" customWidth="1"/>
    <col min="14164" max="14164" width="11.5703125" bestFit="1" customWidth="1"/>
    <col min="14165" max="14165" width="5.28515625" bestFit="1" customWidth="1"/>
    <col min="14166" max="14166" width="10.28515625" bestFit="1" customWidth="1"/>
    <col min="14167" max="14167" width="10.42578125" bestFit="1" customWidth="1"/>
    <col min="14168" max="14168" width="11.5703125" bestFit="1" customWidth="1"/>
    <col min="14169" max="14169" width="5.28515625" bestFit="1" customWidth="1"/>
    <col min="14170" max="14172" width="11.5703125" bestFit="1" customWidth="1"/>
    <col min="14173" max="14173" width="5.28515625" bestFit="1" customWidth="1"/>
    <col min="14174" max="14175" width="10.42578125" bestFit="1" customWidth="1"/>
    <col min="14176" max="14176" width="11.5703125" bestFit="1" customWidth="1"/>
    <col min="14177" max="14177" width="5.28515625" bestFit="1" customWidth="1"/>
    <col min="14178" max="14178" width="14.28515625" bestFit="1" customWidth="1"/>
    <col min="14179" max="14179" width="13" bestFit="1" customWidth="1"/>
    <col min="14180" max="14180" width="11.5703125" bestFit="1" customWidth="1"/>
    <col min="14181" max="14181" width="8.85546875" bestFit="1" customWidth="1"/>
    <col min="14182" max="14182" width="14.42578125" bestFit="1" customWidth="1"/>
    <col min="14183" max="14183" width="10.42578125" bestFit="1" customWidth="1"/>
    <col min="14184" max="14184" width="12.28515625" bestFit="1" customWidth="1"/>
    <col min="14185" max="14185" width="13.85546875" bestFit="1" customWidth="1"/>
    <col min="14186" max="14186" width="11.28515625" customWidth="1"/>
    <col min="14187" max="14187" width="11.5703125" customWidth="1"/>
    <col min="14188" max="14188" width="13.42578125" bestFit="1" customWidth="1"/>
    <col min="14189" max="14189" width="10.42578125" customWidth="1"/>
    <col min="14190" max="14190" width="13.85546875" bestFit="1" customWidth="1"/>
    <col min="14191" max="14191" width="15.42578125" bestFit="1" customWidth="1"/>
    <col min="14192" max="14192" width="12.28515625" bestFit="1" customWidth="1"/>
    <col min="14193" max="14193" width="12.7109375" customWidth="1"/>
    <col min="14194" max="14194" width="10.7109375" bestFit="1" customWidth="1"/>
    <col min="14195" max="14195" width="9.85546875" customWidth="1"/>
    <col min="14196" max="14197" width="10.140625" bestFit="1" customWidth="1"/>
    <col min="14198" max="14198" width="7.5703125" bestFit="1" customWidth="1"/>
    <col min="14199" max="14199" width="9.42578125" bestFit="1" customWidth="1"/>
    <col min="14200" max="14200" width="14.5703125" bestFit="1" customWidth="1"/>
    <col min="14201" max="14201" width="14.85546875" customWidth="1"/>
    <col min="14202" max="14202" width="15.140625" bestFit="1" customWidth="1"/>
    <col min="14203" max="14203" width="12.140625" bestFit="1" customWidth="1"/>
    <col min="14204" max="14204" width="14.85546875" bestFit="1" customWidth="1"/>
    <col min="14205" max="14205" width="12.28515625" bestFit="1" customWidth="1"/>
    <col min="14206" max="14214" width="9.140625" hidden="1" customWidth="1"/>
    <col min="14215" max="14215" width="5.28515625" bestFit="1" customWidth="1"/>
    <col min="14216" max="14221" width="11.5703125" bestFit="1" customWidth="1"/>
    <col min="14222" max="14222" width="11.28515625" bestFit="1" customWidth="1"/>
    <col min="14223" max="14223" width="10.140625" bestFit="1" customWidth="1"/>
    <col min="14224" max="14224" width="11.5703125" bestFit="1" customWidth="1"/>
    <col min="14225" max="14225" width="16.140625" customWidth="1"/>
    <col min="14226" max="14226" width="13.42578125" customWidth="1"/>
    <col min="14227" max="14227" width="10.140625" bestFit="1" customWidth="1"/>
    <col min="14228" max="14228" width="12.85546875" bestFit="1" customWidth="1"/>
    <col min="14229" max="14229" width="12.28515625" bestFit="1" customWidth="1"/>
    <col min="14230" max="14230" width="11.28515625" bestFit="1" customWidth="1"/>
    <col min="14231" max="14231" width="11.5703125" bestFit="1" customWidth="1"/>
    <col min="14232" max="14232" width="10.85546875" bestFit="1" customWidth="1"/>
    <col min="14233" max="14233" width="11.28515625" bestFit="1" customWidth="1"/>
    <col min="14234" max="14234" width="10.140625" bestFit="1" customWidth="1"/>
    <col min="14235" max="14235" width="13.28515625" bestFit="1" customWidth="1"/>
    <col min="14236" max="14237" width="12.7109375" bestFit="1" customWidth="1"/>
    <col min="14238" max="14238" width="11" bestFit="1" customWidth="1"/>
    <col min="14239" max="14239" width="11.28515625" bestFit="1" customWidth="1"/>
    <col min="14240" max="14240" width="11.5703125" bestFit="1" customWidth="1"/>
    <col min="14241" max="14241" width="12.28515625" bestFit="1" customWidth="1"/>
    <col min="14242" max="14242" width="15.140625" bestFit="1" customWidth="1"/>
    <col min="14243" max="14243" width="14.42578125" bestFit="1" customWidth="1"/>
    <col min="14244" max="14244" width="12.28515625" bestFit="1" customWidth="1"/>
    <col min="14245" max="14245" width="15.140625" bestFit="1" customWidth="1"/>
    <col min="14246" max="14246" width="14.42578125" bestFit="1" customWidth="1"/>
    <col min="14247" max="14247" width="12.28515625" bestFit="1" customWidth="1"/>
    <col min="14248" max="14248" width="14.42578125" bestFit="1" customWidth="1"/>
    <col min="14249" max="14249" width="11.28515625" bestFit="1" customWidth="1"/>
    <col min="14250" max="14250" width="12.28515625" bestFit="1" customWidth="1"/>
    <col min="14251" max="14251" width="13" bestFit="1" customWidth="1"/>
    <col min="14252" max="14252" width="15.140625" bestFit="1" customWidth="1"/>
    <col min="14253" max="14253" width="12.28515625" bestFit="1" customWidth="1"/>
    <col min="14254" max="14254" width="13.85546875" bestFit="1" customWidth="1"/>
    <col min="14255" max="14255" width="11.28515625" bestFit="1" customWidth="1"/>
    <col min="14256" max="14256" width="12.28515625" bestFit="1" customWidth="1"/>
    <col min="14257" max="14257" width="13.85546875" bestFit="1" customWidth="1"/>
    <col min="14258" max="14259" width="15.140625" bestFit="1" customWidth="1"/>
    <col min="14260" max="14260" width="12.28515625" bestFit="1" customWidth="1"/>
    <col min="14261" max="14261" width="5.7109375" bestFit="1" customWidth="1"/>
    <col min="14262" max="14262" width="8.5703125" bestFit="1" customWidth="1"/>
    <col min="14263" max="14263" width="5.5703125" bestFit="1" customWidth="1"/>
    <col min="14264" max="14264" width="14.42578125" bestFit="1" customWidth="1"/>
    <col min="14265" max="14265" width="11.28515625" bestFit="1" customWidth="1"/>
    <col min="14266" max="14267" width="12.28515625" bestFit="1" customWidth="1"/>
    <col min="14268" max="14268" width="11.28515625" bestFit="1" customWidth="1"/>
    <col min="14269" max="14269" width="13.85546875" bestFit="1" customWidth="1"/>
    <col min="14270" max="14270" width="12" bestFit="1" customWidth="1"/>
    <col min="14271" max="14271" width="13.85546875" bestFit="1" customWidth="1"/>
    <col min="14272" max="14273" width="14.42578125" customWidth="1"/>
    <col min="14274" max="14274" width="10.140625" bestFit="1" customWidth="1"/>
    <col min="14275" max="14275" width="12.28515625" bestFit="1" customWidth="1"/>
    <col min="14276" max="14276" width="7.42578125" bestFit="1" customWidth="1"/>
    <col min="14277" max="14277" width="8.5703125" bestFit="1" customWidth="1"/>
    <col min="14278" max="14278" width="11.5703125" bestFit="1" customWidth="1"/>
    <col min="14279" max="14279" width="13.28515625" bestFit="1" customWidth="1"/>
    <col min="14280" max="14280" width="13.28515625" customWidth="1"/>
    <col min="14281" max="14281" width="13.140625" customWidth="1"/>
    <col min="14282" max="14282" width="12.7109375" bestFit="1" customWidth="1"/>
    <col min="14283" max="14283" width="13.28515625" bestFit="1" customWidth="1"/>
    <col min="14284" max="14286" width="13.28515625" customWidth="1"/>
    <col min="14287" max="14287" width="12.140625" bestFit="1" customWidth="1"/>
    <col min="14288" max="14288" width="12.7109375" bestFit="1" customWidth="1"/>
    <col min="14289" max="14289" width="11" customWidth="1"/>
    <col min="14290" max="14290" width="16.7109375" customWidth="1"/>
    <col min="14291" max="14291" width="17" customWidth="1"/>
    <col min="14292" max="14292" width="10.42578125" bestFit="1" customWidth="1"/>
    <col min="14336" max="14336" width="3.85546875" customWidth="1"/>
    <col min="14337" max="14337" width="15.28515625" bestFit="1" customWidth="1"/>
    <col min="14338" max="14338" width="12.28515625" customWidth="1"/>
    <col min="14339" max="14339" width="16.28515625" bestFit="1" customWidth="1"/>
    <col min="14340" max="14340" width="6.42578125" bestFit="1" customWidth="1"/>
    <col min="14341" max="14341" width="9.28515625" bestFit="1" customWidth="1"/>
    <col min="14342" max="14342" width="7.5703125" bestFit="1" customWidth="1"/>
    <col min="14343" max="14343" width="13.28515625" bestFit="1" customWidth="1"/>
    <col min="14344" max="14344" width="9.28515625" bestFit="1" customWidth="1"/>
    <col min="14345" max="14345" width="11.5703125" bestFit="1" customWidth="1"/>
    <col min="14346" max="14346" width="13.28515625" bestFit="1" customWidth="1"/>
    <col min="14347" max="14347" width="7.140625" bestFit="1" customWidth="1"/>
    <col min="14348" max="14348" width="12" bestFit="1" customWidth="1"/>
    <col min="14349" max="14349" width="13.28515625" bestFit="1" customWidth="1"/>
    <col min="14350" max="14350" width="7" bestFit="1" customWidth="1"/>
    <col min="14351" max="14351" width="12.7109375" bestFit="1" customWidth="1"/>
    <col min="14352" max="14352" width="11.5703125" bestFit="1" customWidth="1"/>
    <col min="14353" max="14353" width="10.5703125" bestFit="1" customWidth="1"/>
    <col min="14354" max="14355" width="15.7109375" bestFit="1" customWidth="1"/>
    <col min="14356" max="14356" width="11.5703125" bestFit="1" customWidth="1"/>
    <col min="14357" max="14357" width="7.7109375" bestFit="1" customWidth="1"/>
    <col min="14358" max="14358" width="15.140625" bestFit="1" customWidth="1"/>
    <col min="14359" max="14359" width="11.5703125" bestFit="1" customWidth="1"/>
    <col min="14360" max="14360" width="13.28515625" bestFit="1" customWidth="1"/>
    <col min="14361" max="14361" width="10.42578125" bestFit="1" customWidth="1"/>
    <col min="14362" max="14362" width="13.28515625" bestFit="1" customWidth="1"/>
    <col min="14363" max="14363" width="12.140625" bestFit="1" customWidth="1"/>
    <col min="14364" max="14364" width="14.42578125" bestFit="1" customWidth="1"/>
    <col min="14365" max="14365" width="13.28515625" bestFit="1" customWidth="1"/>
    <col min="14366" max="14366" width="11.5703125" bestFit="1" customWidth="1"/>
    <col min="14367" max="14367" width="7.7109375" bestFit="1" customWidth="1"/>
    <col min="14368" max="14369" width="14.42578125" bestFit="1" customWidth="1"/>
    <col min="14370" max="14370" width="11.5703125" bestFit="1" customWidth="1"/>
    <col min="14371" max="14371" width="7.7109375" bestFit="1" customWidth="1"/>
    <col min="14372" max="14372" width="13.5703125" customWidth="1"/>
    <col min="14373" max="14373" width="15.28515625" customWidth="1"/>
    <col min="14374" max="14374" width="14.5703125" customWidth="1"/>
    <col min="14375" max="14375" width="13.28515625" bestFit="1" customWidth="1"/>
    <col min="14376" max="14376" width="7.7109375" bestFit="1" customWidth="1"/>
    <col min="14377" max="14377" width="12.7109375" bestFit="1" customWidth="1"/>
    <col min="14378" max="14378" width="11.7109375" bestFit="1" customWidth="1"/>
    <col min="14379" max="14379" width="11.5703125" bestFit="1" customWidth="1"/>
    <col min="14380" max="14380" width="5.28515625" bestFit="1" customWidth="1"/>
    <col min="14381" max="14381" width="13.28515625" bestFit="1" customWidth="1"/>
    <col min="14382" max="14382" width="13.5703125" bestFit="1" customWidth="1"/>
    <col min="14383" max="14383" width="10.5703125" bestFit="1" customWidth="1"/>
    <col min="14384" max="14384" width="13.28515625" bestFit="1" customWidth="1"/>
    <col min="14385" max="14385" width="11.5703125" bestFit="1" customWidth="1"/>
    <col min="14386" max="14386" width="10.5703125" bestFit="1" customWidth="1"/>
    <col min="14387" max="14387" width="16.140625" bestFit="1" customWidth="1"/>
    <col min="14388" max="14389" width="11.28515625" bestFit="1" customWidth="1"/>
    <col min="14390" max="14390" width="13.28515625" bestFit="1" customWidth="1"/>
    <col min="14391" max="14391" width="7.7109375" bestFit="1" customWidth="1"/>
    <col min="14392" max="14395" width="9.140625" hidden="1" customWidth="1"/>
    <col min="14396" max="14396" width="10.42578125" bestFit="1" customWidth="1"/>
    <col min="14397" max="14397" width="10.5703125" bestFit="1" customWidth="1"/>
    <col min="14398" max="14398" width="10.42578125" bestFit="1" customWidth="1"/>
    <col min="14399" max="14399" width="10.5703125" bestFit="1" customWidth="1"/>
    <col min="14400" max="14400" width="9.5703125" bestFit="1" customWidth="1"/>
    <col min="14401" max="14401" width="11.5703125" bestFit="1" customWidth="1"/>
    <col min="14402" max="14402" width="10.42578125" bestFit="1" customWidth="1"/>
    <col min="14403" max="14403" width="10.85546875" customWidth="1"/>
    <col min="14404" max="14405" width="9.85546875" bestFit="1" customWidth="1"/>
    <col min="14406" max="14406" width="13.5703125" bestFit="1" customWidth="1"/>
    <col min="14407" max="14407" width="7.7109375" bestFit="1" customWidth="1"/>
    <col min="14408" max="14408" width="13.28515625" bestFit="1" customWidth="1"/>
    <col min="14409" max="14409" width="11.5703125" bestFit="1" customWidth="1"/>
    <col min="14410" max="14410" width="10.42578125" bestFit="1" customWidth="1"/>
    <col min="14411" max="14411" width="7.7109375" bestFit="1" customWidth="1"/>
    <col min="14412" max="14412" width="11.5703125" bestFit="1" customWidth="1"/>
    <col min="14413" max="14413" width="10.85546875" bestFit="1" customWidth="1"/>
    <col min="14414" max="14414" width="13.28515625" bestFit="1" customWidth="1"/>
    <col min="14415" max="14415" width="10.85546875" bestFit="1" customWidth="1"/>
    <col min="14416" max="14417" width="7.5703125" bestFit="1" customWidth="1"/>
    <col min="14418" max="14419" width="10.42578125" bestFit="1" customWidth="1"/>
    <col min="14420" max="14420" width="11.5703125" bestFit="1" customWidth="1"/>
    <col min="14421" max="14421" width="5.28515625" bestFit="1" customWidth="1"/>
    <col min="14422" max="14422" width="10.28515625" bestFit="1" customWidth="1"/>
    <col min="14423" max="14423" width="10.42578125" bestFit="1" customWidth="1"/>
    <col min="14424" max="14424" width="11.5703125" bestFit="1" customWidth="1"/>
    <col min="14425" max="14425" width="5.28515625" bestFit="1" customWidth="1"/>
    <col min="14426" max="14428" width="11.5703125" bestFit="1" customWidth="1"/>
    <col min="14429" max="14429" width="5.28515625" bestFit="1" customWidth="1"/>
    <col min="14430" max="14431" width="10.42578125" bestFit="1" customWidth="1"/>
    <col min="14432" max="14432" width="11.5703125" bestFit="1" customWidth="1"/>
    <col min="14433" max="14433" width="5.28515625" bestFit="1" customWidth="1"/>
    <col min="14434" max="14434" width="14.28515625" bestFit="1" customWidth="1"/>
    <col min="14435" max="14435" width="13" bestFit="1" customWidth="1"/>
    <col min="14436" max="14436" width="11.5703125" bestFit="1" customWidth="1"/>
    <col min="14437" max="14437" width="8.85546875" bestFit="1" customWidth="1"/>
    <col min="14438" max="14438" width="14.42578125" bestFit="1" customWidth="1"/>
    <col min="14439" max="14439" width="10.42578125" bestFit="1" customWidth="1"/>
    <col min="14440" max="14440" width="12.28515625" bestFit="1" customWidth="1"/>
    <col min="14441" max="14441" width="13.85546875" bestFit="1" customWidth="1"/>
    <col min="14442" max="14442" width="11.28515625" customWidth="1"/>
    <col min="14443" max="14443" width="11.5703125" customWidth="1"/>
    <col min="14444" max="14444" width="13.42578125" bestFit="1" customWidth="1"/>
    <col min="14445" max="14445" width="10.42578125" customWidth="1"/>
    <col min="14446" max="14446" width="13.85546875" bestFit="1" customWidth="1"/>
    <col min="14447" max="14447" width="15.42578125" bestFit="1" customWidth="1"/>
    <col min="14448" max="14448" width="12.28515625" bestFit="1" customWidth="1"/>
    <col min="14449" max="14449" width="12.7109375" customWidth="1"/>
    <col min="14450" max="14450" width="10.7109375" bestFit="1" customWidth="1"/>
    <col min="14451" max="14451" width="9.85546875" customWidth="1"/>
    <col min="14452" max="14453" width="10.140625" bestFit="1" customWidth="1"/>
    <col min="14454" max="14454" width="7.5703125" bestFit="1" customWidth="1"/>
    <col min="14455" max="14455" width="9.42578125" bestFit="1" customWidth="1"/>
    <col min="14456" max="14456" width="14.5703125" bestFit="1" customWidth="1"/>
    <col min="14457" max="14457" width="14.85546875" customWidth="1"/>
    <col min="14458" max="14458" width="15.140625" bestFit="1" customWidth="1"/>
    <col min="14459" max="14459" width="12.140625" bestFit="1" customWidth="1"/>
    <col min="14460" max="14460" width="14.85546875" bestFit="1" customWidth="1"/>
    <col min="14461" max="14461" width="12.28515625" bestFit="1" customWidth="1"/>
    <col min="14462" max="14470" width="9.140625" hidden="1" customWidth="1"/>
    <col min="14471" max="14471" width="5.28515625" bestFit="1" customWidth="1"/>
    <col min="14472" max="14477" width="11.5703125" bestFit="1" customWidth="1"/>
    <col min="14478" max="14478" width="11.28515625" bestFit="1" customWidth="1"/>
    <col min="14479" max="14479" width="10.140625" bestFit="1" customWidth="1"/>
    <col min="14480" max="14480" width="11.5703125" bestFit="1" customWidth="1"/>
    <col min="14481" max="14481" width="16.140625" customWidth="1"/>
    <col min="14482" max="14482" width="13.42578125" customWidth="1"/>
    <col min="14483" max="14483" width="10.140625" bestFit="1" customWidth="1"/>
    <col min="14484" max="14484" width="12.85546875" bestFit="1" customWidth="1"/>
    <col min="14485" max="14485" width="12.28515625" bestFit="1" customWidth="1"/>
    <col min="14486" max="14486" width="11.28515625" bestFit="1" customWidth="1"/>
    <col min="14487" max="14487" width="11.5703125" bestFit="1" customWidth="1"/>
    <col min="14488" max="14488" width="10.85546875" bestFit="1" customWidth="1"/>
    <col min="14489" max="14489" width="11.28515625" bestFit="1" customWidth="1"/>
    <col min="14490" max="14490" width="10.140625" bestFit="1" customWidth="1"/>
    <col min="14491" max="14491" width="13.28515625" bestFit="1" customWidth="1"/>
    <col min="14492" max="14493" width="12.7109375" bestFit="1" customWidth="1"/>
    <col min="14494" max="14494" width="11" bestFit="1" customWidth="1"/>
    <col min="14495" max="14495" width="11.28515625" bestFit="1" customWidth="1"/>
    <col min="14496" max="14496" width="11.5703125" bestFit="1" customWidth="1"/>
    <col min="14497" max="14497" width="12.28515625" bestFit="1" customWidth="1"/>
    <col min="14498" max="14498" width="15.140625" bestFit="1" customWidth="1"/>
    <col min="14499" max="14499" width="14.42578125" bestFit="1" customWidth="1"/>
    <col min="14500" max="14500" width="12.28515625" bestFit="1" customWidth="1"/>
    <col min="14501" max="14501" width="15.140625" bestFit="1" customWidth="1"/>
    <col min="14502" max="14502" width="14.42578125" bestFit="1" customWidth="1"/>
    <col min="14503" max="14503" width="12.28515625" bestFit="1" customWidth="1"/>
    <col min="14504" max="14504" width="14.42578125" bestFit="1" customWidth="1"/>
    <col min="14505" max="14505" width="11.28515625" bestFit="1" customWidth="1"/>
    <col min="14506" max="14506" width="12.28515625" bestFit="1" customWidth="1"/>
    <col min="14507" max="14507" width="13" bestFit="1" customWidth="1"/>
    <col min="14508" max="14508" width="15.140625" bestFit="1" customWidth="1"/>
    <col min="14509" max="14509" width="12.28515625" bestFit="1" customWidth="1"/>
    <col min="14510" max="14510" width="13.85546875" bestFit="1" customWidth="1"/>
    <col min="14511" max="14511" width="11.28515625" bestFit="1" customWidth="1"/>
    <col min="14512" max="14512" width="12.28515625" bestFit="1" customWidth="1"/>
    <col min="14513" max="14513" width="13.85546875" bestFit="1" customWidth="1"/>
    <col min="14514" max="14515" width="15.140625" bestFit="1" customWidth="1"/>
    <col min="14516" max="14516" width="12.28515625" bestFit="1" customWidth="1"/>
    <col min="14517" max="14517" width="5.7109375" bestFit="1" customWidth="1"/>
    <col min="14518" max="14518" width="8.5703125" bestFit="1" customWidth="1"/>
    <col min="14519" max="14519" width="5.5703125" bestFit="1" customWidth="1"/>
    <col min="14520" max="14520" width="14.42578125" bestFit="1" customWidth="1"/>
    <col min="14521" max="14521" width="11.28515625" bestFit="1" customWidth="1"/>
    <col min="14522" max="14523" width="12.28515625" bestFit="1" customWidth="1"/>
    <col min="14524" max="14524" width="11.28515625" bestFit="1" customWidth="1"/>
    <col min="14525" max="14525" width="13.85546875" bestFit="1" customWidth="1"/>
    <col min="14526" max="14526" width="12" bestFit="1" customWidth="1"/>
    <col min="14527" max="14527" width="13.85546875" bestFit="1" customWidth="1"/>
    <col min="14528" max="14529" width="14.42578125" customWidth="1"/>
    <col min="14530" max="14530" width="10.140625" bestFit="1" customWidth="1"/>
    <col min="14531" max="14531" width="12.28515625" bestFit="1" customWidth="1"/>
    <col min="14532" max="14532" width="7.42578125" bestFit="1" customWidth="1"/>
    <col min="14533" max="14533" width="8.5703125" bestFit="1" customWidth="1"/>
    <col min="14534" max="14534" width="11.5703125" bestFit="1" customWidth="1"/>
    <col min="14535" max="14535" width="13.28515625" bestFit="1" customWidth="1"/>
    <col min="14536" max="14536" width="13.28515625" customWidth="1"/>
    <col min="14537" max="14537" width="13.140625" customWidth="1"/>
    <col min="14538" max="14538" width="12.7109375" bestFit="1" customWidth="1"/>
    <col min="14539" max="14539" width="13.28515625" bestFit="1" customWidth="1"/>
    <col min="14540" max="14542" width="13.28515625" customWidth="1"/>
    <col min="14543" max="14543" width="12.140625" bestFit="1" customWidth="1"/>
    <col min="14544" max="14544" width="12.7109375" bestFit="1" customWidth="1"/>
    <col min="14545" max="14545" width="11" customWidth="1"/>
    <col min="14546" max="14546" width="16.7109375" customWidth="1"/>
    <col min="14547" max="14547" width="17" customWidth="1"/>
    <col min="14548" max="14548" width="10.42578125" bestFit="1" customWidth="1"/>
    <col min="14592" max="14592" width="3.85546875" customWidth="1"/>
    <col min="14593" max="14593" width="15.28515625" bestFit="1" customWidth="1"/>
    <col min="14594" max="14594" width="12.28515625" customWidth="1"/>
    <col min="14595" max="14595" width="16.28515625" bestFit="1" customWidth="1"/>
    <col min="14596" max="14596" width="6.42578125" bestFit="1" customWidth="1"/>
    <col min="14597" max="14597" width="9.28515625" bestFit="1" customWidth="1"/>
    <col min="14598" max="14598" width="7.5703125" bestFit="1" customWidth="1"/>
    <col min="14599" max="14599" width="13.28515625" bestFit="1" customWidth="1"/>
    <col min="14600" max="14600" width="9.28515625" bestFit="1" customWidth="1"/>
    <col min="14601" max="14601" width="11.5703125" bestFit="1" customWidth="1"/>
    <col min="14602" max="14602" width="13.28515625" bestFit="1" customWidth="1"/>
    <col min="14603" max="14603" width="7.140625" bestFit="1" customWidth="1"/>
    <col min="14604" max="14604" width="12" bestFit="1" customWidth="1"/>
    <col min="14605" max="14605" width="13.28515625" bestFit="1" customWidth="1"/>
    <col min="14606" max="14606" width="7" bestFit="1" customWidth="1"/>
    <col min="14607" max="14607" width="12.7109375" bestFit="1" customWidth="1"/>
    <col min="14608" max="14608" width="11.5703125" bestFit="1" customWidth="1"/>
    <col min="14609" max="14609" width="10.5703125" bestFit="1" customWidth="1"/>
    <col min="14610" max="14611" width="15.7109375" bestFit="1" customWidth="1"/>
    <col min="14612" max="14612" width="11.5703125" bestFit="1" customWidth="1"/>
    <col min="14613" max="14613" width="7.7109375" bestFit="1" customWidth="1"/>
    <col min="14614" max="14614" width="15.140625" bestFit="1" customWidth="1"/>
    <col min="14615" max="14615" width="11.5703125" bestFit="1" customWidth="1"/>
    <col min="14616" max="14616" width="13.28515625" bestFit="1" customWidth="1"/>
    <col min="14617" max="14617" width="10.42578125" bestFit="1" customWidth="1"/>
    <col min="14618" max="14618" width="13.28515625" bestFit="1" customWidth="1"/>
    <col min="14619" max="14619" width="12.140625" bestFit="1" customWidth="1"/>
    <col min="14620" max="14620" width="14.42578125" bestFit="1" customWidth="1"/>
    <col min="14621" max="14621" width="13.28515625" bestFit="1" customWidth="1"/>
    <col min="14622" max="14622" width="11.5703125" bestFit="1" customWidth="1"/>
    <col min="14623" max="14623" width="7.7109375" bestFit="1" customWidth="1"/>
    <col min="14624" max="14625" width="14.42578125" bestFit="1" customWidth="1"/>
    <col min="14626" max="14626" width="11.5703125" bestFit="1" customWidth="1"/>
    <col min="14627" max="14627" width="7.7109375" bestFit="1" customWidth="1"/>
    <col min="14628" max="14628" width="13.5703125" customWidth="1"/>
    <col min="14629" max="14629" width="15.28515625" customWidth="1"/>
    <col min="14630" max="14630" width="14.5703125" customWidth="1"/>
    <col min="14631" max="14631" width="13.28515625" bestFit="1" customWidth="1"/>
    <col min="14632" max="14632" width="7.7109375" bestFit="1" customWidth="1"/>
    <col min="14633" max="14633" width="12.7109375" bestFit="1" customWidth="1"/>
    <col min="14634" max="14634" width="11.7109375" bestFit="1" customWidth="1"/>
    <col min="14635" max="14635" width="11.5703125" bestFit="1" customWidth="1"/>
    <col min="14636" max="14636" width="5.28515625" bestFit="1" customWidth="1"/>
    <col min="14637" max="14637" width="13.28515625" bestFit="1" customWidth="1"/>
    <col min="14638" max="14638" width="13.5703125" bestFit="1" customWidth="1"/>
    <col min="14639" max="14639" width="10.5703125" bestFit="1" customWidth="1"/>
    <col min="14640" max="14640" width="13.28515625" bestFit="1" customWidth="1"/>
    <col min="14641" max="14641" width="11.5703125" bestFit="1" customWidth="1"/>
    <col min="14642" max="14642" width="10.5703125" bestFit="1" customWidth="1"/>
    <col min="14643" max="14643" width="16.140625" bestFit="1" customWidth="1"/>
    <col min="14644" max="14645" width="11.28515625" bestFit="1" customWidth="1"/>
    <col min="14646" max="14646" width="13.28515625" bestFit="1" customWidth="1"/>
    <col min="14647" max="14647" width="7.7109375" bestFit="1" customWidth="1"/>
    <col min="14648" max="14651" width="9.140625" hidden="1" customWidth="1"/>
    <col min="14652" max="14652" width="10.42578125" bestFit="1" customWidth="1"/>
    <col min="14653" max="14653" width="10.5703125" bestFit="1" customWidth="1"/>
    <col min="14654" max="14654" width="10.42578125" bestFit="1" customWidth="1"/>
    <col min="14655" max="14655" width="10.5703125" bestFit="1" customWidth="1"/>
    <col min="14656" max="14656" width="9.5703125" bestFit="1" customWidth="1"/>
    <col min="14657" max="14657" width="11.5703125" bestFit="1" customWidth="1"/>
    <col min="14658" max="14658" width="10.42578125" bestFit="1" customWidth="1"/>
    <col min="14659" max="14659" width="10.85546875" customWidth="1"/>
    <col min="14660" max="14661" width="9.85546875" bestFit="1" customWidth="1"/>
    <col min="14662" max="14662" width="13.5703125" bestFit="1" customWidth="1"/>
    <col min="14663" max="14663" width="7.7109375" bestFit="1" customWidth="1"/>
    <col min="14664" max="14664" width="13.28515625" bestFit="1" customWidth="1"/>
    <col min="14665" max="14665" width="11.5703125" bestFit="1" customWidth="1"/>
    <col min="14666" max="14666" width="10.42578125" bestFit="1" customWidth="1"/>
    <col min="14667" max="14667" width="7.7109375" bestFit="1" customWidth="1"/>
    <col min="14668" max="14668" width="11.5703125" bestFit="1" customWidth="1"/>
    <col min="14669" max="14669" width="10.85546875" bestFit="1" customWidth="1"/>
    <col min="14670" max="14670" width="13.28515625" bestFit="1" customWidth="1"/>
    <col min="14671" max="14671" width="10.85546875" bestFit="1" customWidth="1"/>
    <col min="14672" max="14673" width="7.5703125" bestFit="1" customWidth="1"/>
    <col min="14674" max="14675" width="10.42578125" bestFit="1" customWidth="1"/>
    <col min="14676" max="14676" width="11.5703125" bestFit="1" customWidth="1"/>
    <col min="14677" max="14677" width="5.28515625" bestFit="1" customWidth="1"/>
    <col min="14678" max="14678" width="10.28515625" bestFit="1" customWidth="1"/>
    <col min="14679" max="14679" width="10.42578125" bestFit="1" customWidth="1"/>
    <col min="14680" max="14680" width="11.5703125" bestFit="1" customWidth="1"/>
    <col min="14681" max="14681" width="5.28515625" bestFit="1" customWidth="1"/>
    <col min="14682" max="14684" width="11.5703125" bestFit="1" customWidth="1"/>
    <col min="14685" max="14685" width="5.28515625" bestFit="1" customWidth="1"/>
    <col min="14686" max="14687" width="10.42578125" bestFit="1" customWidth="1"/>
    <col min="14688" max="14688" width="11.5703125" bestFit="1" customWidth="1"/>
    <col min="14689" max="14689" width="5.28515625" bestFit="1" customWidth="1"/>
    <col min="14690" max="14690" width="14.28515625" bestFit="1" customWidth="1"/>
    <col min="14691" max="14691" width="13" bestFit="1" customWidth="1"/>
    <col min="14692" max="14692" width="11.5703125" bestFit="1" customWidth="1"/>
    <col min="14693" max="14693" width="8.85546875" bestFit="1" customWidth="1"/>
    <col min="14694" max="14694" width="14.42578125" bestFit="1" customWidth="1"/>
    <col min="14695" max="14695" width="10.42578125" bestFit="1" customWidth="1"/>
    <col min="14696" max="14696" width="12.28515625" bestFit="1" customWidth="1"/>
    <col min="14697" max="14697" width="13.85546875" bestFit="1" customWidth="1"/>
    <col min="14698" max="14698" width="11.28515625" customWidth="1"/>
    <col min="14699" max="14699" width="11.5703125" customWidth="1"/>
    <col min="14700" max="14700" width="13.42578125" bestFit="1" customWidth="1"/>
    <col min="14701" max="14701" width="10.42578125" customWidth="1"/>
    <col min="14702" max="14702" width="13.85546875" bestFit="1" customWidth="1"/>
    <col min="14703" max="14703" width="15.42578125" bestFit="1" customWidth="1"/>
    <col min="14704" max="14704" width="12.28515625" bestFit="1" customWidth="1"/>
    <col min="14705" max="14705" width="12.7109375" customWidth="1"/>
    <col min="14706" max="14706" width="10.7109375" bestFit="1" customWidth="1"/>
    <col min="14707" max="14707" width="9.85546875" customWidth="1"/>
    <col min="14708" max="14709" width="10.140625" bestFit="1" customWidth="1"/>
    <col min="14710" max="14710" width="7.5703125" bestFit="1" customWidth="1"/>
    <col min="14711" max="14711" width="9.42578125" bestFit="1" customWidth="1"/>
    <col min="14712" max="14712" width="14.5703125" bestFit="1" customWidth="1"/>
    <col min="14713" max="14713" width="14.85546875" customWidth="1"/>
    <col min="14714" max="14714" width="15.140625" bestFit="1" customWidth="1"/>
    <col min="14715" max="14715" width="12.140625" bestFit="1" customWidth="1"/>
    <col min="14716" max="14716" width="14.85546875" bestFit="1" customWidth="1"/>
    <col min="14717" max="14717" width="12.28515625" bestFit="1" customWidth="1"/>
    <col min="14718" max="14726" width="9.140625" hidden="1" customWidth="1"/>
    <col min="14727" max="14727" width="5.28515625" bestFit="1" customWidth="1"/>
    <col min="14728" max="14733" width="11.5703125" bestFit="1" customWidth="1"/>
    <col min="14734" max="14734" width="11.28515625" bestFit="1" customWidth="1"/>
    <col min="14735" max="14735" width="10.140625" bestFit="1" customWidth="1"/>
    <col min="14736" max="14736" width="11.5703125" bestFit="1" customWidth="1"/>
    <col min="14737" max="14737" width="16.140625" customWidth="1"/>
    <col min="14738" max="14738" width="13.42578125" customWidth="1"/>
    <col min="14739" max="14739" width="10.140625" bestFit="1" customWidth="1"/>
    <col min="14740" max="14740" width="12.85546875" bestFit="1" customWidth="1"/>
    <col min="14741" max="14741" width="12.28515625" bestFit="1" customWidth="1"/>
    <col min="14742" max="14742" width="11.28515625" bestFit="1" customWidth="1"/>
    <col min="14743" max="14743" width="11.5703125" bestFit="1" customWidth="1"/>
    <col min="14744" max="14744" width="10.85546875" bestFit="1" customWidth="1"/>
    <col min="14745" max="14745" width="11.28515625" bestFit="1" customWidth="1"/>
    <col min="14746" max="14746" width="10.140625" bestFit="1" customWidth="1"/>
    <col min="14747" max="14747" width="13.28515625" bestFit="1" customWidth="1"/>
    <col min="14748" max="14749" width="12.7109375" bestFit="1" customWidth="1"/>
    <col min="14750" max="14750" width="11" bestFit="1" customWidth="1"/>
    <col min="14751" max="14751" width="11.28515625" bestFit="1" customWidth="1"/>
    <col min="14752" max="14752" width="11.5703125" bestFit="1" customWidth="1"/>
    <col min="14753" max="14753" width="12.28515625" bestFit="1" customWidth="1"/>
    <col min="14754" max="14754" width="15.140625" bestFit="1" customWidth="1"/>
    <col min="14755" max="14755" width="14.42578125" bestFit="1" customWidth="1"/>
    <col min="14756" max="14756" width="12.28515625" bestFit="1" customWidth="1"/>
    <col min="14757" max="14757" width="15.140625" bestFit="1" customWidth="1"/>
    <col min="14758" max="14758" width="14.42578125" bestFit="1" customWidth="1"/>
    <col min="14759" max="14759" width="12.28515625" bestFit="1" customWidth="1"/>
    <col min="14760" max="14760" width="14.42578125" bestFit="1" customWidth="1"/>
    <col min="14761" max="14761" width="11.28515625" bestFit="1" customWidth="1"/>
    <col min="14762" max="14762" width="12.28515625" bestFit="1" customWidth="1"/>
    <col min="14763" max="14763" width="13" bestFit="1" customWidth="1"/>
    <col min="14764" max="14764" width="15.140625" bestFit="1" customWidth="1"/>
    <col min="14765" max="14765" width="12.28515625" bestFit="1" customWidth="1"/>
    <col min="14766" max="14766" width="13.85546875" bestFit="1" customWidth="1"/>
    <col min="14767" max="14767" width="11.28515625" bestFit="1" customWidth="1"/>
    <col min="14768" max="14768" width="12.28515625" bestFit="1" customWidth="1"/>
    <col min="14769" max="14769" width="13.85546875" bestFit="1" customWidth="1"/>
    <col min="14770" max="14771" width="15.140625" bestFit="1" customWidth="1"/>
    <col min="14772" max="14772" width="12.28515625" bestFit="1" customWidth="1"/>
    <col min="14773" max="14773" width="5.7109375" bestFit="1" customWidth="1"/>
    <col min="14774" max="14774" width="8.5703125" bestFit="1" customWidth="1"/>
    <col min="14775" max="14775" width="5.5703125" bestFit="1" customWidth="1"/>
    <col min="14776" max="14776" width="14.42578125" bestFit="1" customWidth="1"/>
    <col min="14777" max="14777" width="11.28515625" bestFit="1" customWidth="1"/>
    <col min="14778" max="14779" width="12.28515625" bestFit="1" customWidth="1"/>
    <col min="14780" max="14780" width="11.28515625" bestFit="1" customWidth="1"/>
    <col min="14781" max="14781" width="13.85546875" bestFit="1" customWidth="1"/>
    <col min="14782" max="14782" width="12" bestFit="1" customWidth="1"/>
    <col min="14783" max="14783" width="13.85546875" bestFit="1" customWidth="1"/>
    <col min="14784" max="14785" width="14.42578125" customWidth="1"/>
    <col min="14786" max="14786" width="10.140625" bestFit="1" customWidth="1"/>
    <col min="14787" max="14787" width="12.28515625" bestFit="1" customWidth="1"/>
    <col min="14788" max="14788" width="7.42578125" bestFit="1" customWidth="1"/>
    <col min="14789" max="14789" width="8.5703125" bestFit="1" customWidth="1"/>
    <col min="14790" max="14790" width="11.5703125" bestFit="1" customWidth="1"/>
    <col min="14791" max="14791" width="13.28515625" bestFit="1" customWidth="1"/>
    <col min="14792" max="14792" width="13.28515625" customWidth="1"/>
    <col min="14793" max="14793" width="13.140625" customWidth="1"/>
    <col min="14794" max="14794" width="12.7109375" bestFit="1" customWidth="1"/>
    <col min="14795" max="14795" width="13.28515625" bestFit="1" customWidth="1"/>
    <col min="14796" max="14798" width="13.28515625" customWidth="1"/>
    <col min="14799" max="14799" width="12.140625" bestFit="1" customWidth="1"/>
    <col min="14800" max="14800" width="12.7109375" bestFit="1" customWidth="1"/>
    <col min="14801" max="14801" width="11" customWidth="1"/>
    <col min="14802" max="14802" width="16.7109375" customWidth="1"/>
    <col min="14803" max="14803" width="17" customWidth="1"/>
    <col min="14804" max="14804" width="10.42578125" bestFit="1" customWidth="1"/>
    <col min="14848" max="14848" width="3.85546875" customWidth="1"/>
    <col min="14849" max="14849" width="15.28515625" bestFit="1" customWidth="1"/>
    <col min="14850" max="14850" width="12.28515625" customWidth="1"/>
    <col min="14851" max="14851" width="16.28515625" bestFit="1" customWidth="1"/>
    <col min="14852" max="14852" width="6.42578125" bestFit="1" customWidth="1"/>
    <col min="14853" max="14853" width="9.28515625" bestFit="1" customWidth="1"/>
    <col min="14854" max="14854" width="7.5703125" bestFit="1" customWidth="1"/>
    <col min="14855" max="14855" width="13.28515625" bestFit="1" customWidth="1"/>
    <col min="14856" max="14856" width="9.28515625" bestFit="1" customWidth="1"/>
    <col min="14857" max="14857" width="11.5703125" bestFit="1" customWidth="1"/>
    <col min="14858" max="14858" width="13.28515625" bestFit="1" customWidth="1"/>
    <col min="14859" max="14859" width="7.140625" bestFit="1" customWidth="1"/>
    <col min="14860" max="14860" width="12" bestFit="1" customWidth="1"/>
    <col min="14861" max="14861" width="13.28515625" bestFit="1" customWidth="1"/>
    <col min="14862" max="14862" width="7" bestFit="1" customWidth="1"/>
    <col min="14863" max="14863" width="12.7109375" bestFit="1" customWidth="1"/>
    <col min="14864" max="14864" width="11.5703125" bestFit="1" customWidth="1"/>
    <col min="14865" max="14865" width="10.5703125" bestFit="1" customWidth="1"/>
    <col min="14866" max="14867" width="15.7109375" bestFit="1" customWidth="1"/>
    <col min="14868" max="14868" width="11.5703125" bestFit="1" customWidth="1"/>
    <col min="14869" max="14869" width="7.7109375" bestFit="1" customWidth="1"/>
    <col min="14870" max="14870" width="15.140625" bestFit="1" customWidth="1"/>
    <col min="14871" max="14871" width="11.5703125" bestFit="1" customWidth="1"/>
    <col min="14872" max="14872" width="13.28515625" bestFit="1" customWidth="1"/>
    <col min="14873" max="14873" width="10.42578125" bestFit="1" customWidth="1"/>
    <col min="14874" max="14874" width="13.28515625" bestFit="1" customWidth="1"/>
    <col min="14875" max="14875" width="12.140625" bestFit="1" customWidth="1"/>
    <col min="14876" max="14876" width="14.42578125" bestFit="1" customWidth="1"/>
    <col min="14877" max="14877" width="13.28515625" bestFit="1" customWidth="1"/>
    <col min="14878" max="14878" width="11.5703125" bestFit="1" customWidth="1"/>
    <col min="14879" max="14879" width="7.7109375" bestFit="1" customWidth="1"/>
    <col min="14880" max="14881" width="14.42578125" bestFit="1" customWidth="1"/>
    <col min="14882" max="14882" width="11.5703125" bestFit="1" customWidth="1"/>
    <col min="14883" max="14883" width="7.7109375" bestFit="1" customWidth="1"/>
    <col min="14884" max="14884" width="13.5703125" customWidth="1"/>
    <col min="14885" max="14885" width="15.28515625" customWidth="1"/>
    <col min="14886" max="14886" width="14.5703125" customWidth="1"/>
    <col min="14887" max="14887" width="13.28515625" bestFit="1" customWidth="1"/>
    <col min="14888" max="14888" width="7.7109375" bestFit="1" customWidth="1"/>
    <col min="14889" max="14889" width="12.7109375" bestFit="1" customWidth="1"/>
    <col min="14890" max="14890" width="11.7109375" bestFit="1" customWidth="1"/>
    <col min="14891" max="14891" width="11.5703125" bestFit="1" customWidth="1"/>
    <col min="14892" max="14892" width="5.28515625" bestFit="1" customWidth="1"/>
    <col min="14893" max="14893" width="13.28515625" bestFit="1" customWidth="1"/>
    <col min="14894" max="14894" width="13.5703125" bestFit="1" customWidth="1"/>
    <col min="14895" max="14895" width="10.5703125" bestFit="1" customWidth="1"/>
    <col min="14896" max="14896" width="13.28515625" bestFit="1" customWidth="1"/>
    <col min="14897" max="14897" width="11.5703125" bestFit="1" customWidth="1"/>
    <col min="14898" max="14898" width="10.5703125" bestFit="1" customWidth="1"/>
    <col min="14899" max="14899" width="16.140625" bestFit="1" customWidth="1"/>
    <col min="14900" max="14901" width="11.28515625" bestFit="1" customWidth="1"/>
    <col min="14902" max="14902" width="13.28515625" bestFit="1" customWidth="1"/>
    <col min="14903" max="14903" width="7.7109375" bestFit="1" customWidth="1"/>
    <col min="14904" max="14907" width="9.140625" hidden="1" customWidth="1"/>
    <col min="14908" max="14908" width="10.42578125" bestFit="1" customWidth="1"/>
    <col min="14909" max="14909" width="10.5703125" bestFit="1" customWidth="1"/>
    <col min="14910" max="14910" width="10.42578125" bestFit="1" customWidth="1"/>
    <col min="14911" max="14911" width="10.5703125" bestFit="1" customWidth="1"/>
    <col min="14912" max="14912" width="9.5703125" bestFit="1" customWidth="1"/>
    <col min="14913" max="14913" width="11.5703125" bestFit="1" customWidth="1"/>
    <col min="14914" max="14914" width="10.42578125" bestFit="1" customWidth="1"/>
    <col min="14915" max="14915" width="10.85546875" customWidth="1"/>
    <col min="14916" max="14917" width="9.85546875" bestFit="1" customWidth="1"/>
    <col min="14918" max="14918" width="13.5703125" bestFit="1" customWidth="1"/>
    <col min="14919" max="14919" width="7.7109375" bestFit="1" customWidth="1"/>
    <col min="14920" max="14920" width="13.28515625" bestFit="1" customWidth="1"/>
    <col min="14921" max="14921" width="11.5703125" bestFit="1" customWidth="1"/>
    <col min="14922" max="14922" width="10.42578125" bestFit="1" customWidth="1"/>
    <col min="14923" max="14923" width="7.7109375" bestFit="1" customWidth="1"/>
    <col min="14924" max="14924" width="11.5703125" bestFit="1" customWidth="1"/>
    <col min="14925" max="14925" width="10.85546875" bestFit="1" customWidth="1"/>
    <col min="14926" max="14926" width="13.28515625" bestFit="1" customWidth="1"/>
    <col min="14927" max="14927" width="10.85546875" bestFit="1" customWidth="1"/>
    <col min="14928" max="14929" width="7.5703125" bestFit="1" customWidth="1"/>
    <col min="14930" max="14931" width="10.42578125" bestFit="1" customWidth="1"/>
    <col min="14932" max="14932" width="11.5703125" bestFit="1" customWidth="1"/>
    <col min="14933" max="14933" width="5.28515625" bestFit="1" customWidth="1"/>
    <col min="14934" max="14934" width="10.28515625" bestFit="1" customWidth="1"/>
    <col min="14935" max="14935" width="10.42578125" bestFit="1" customWidth="1"/>
    <col min="14936" max="14936" width="11.5703125" bestFit="1" customWidth="1"/>
    <col min="14937" max="14937" width="5.28515625" bestFit="1" customWidth="1"/>
    <col min="14938" max="14940" width="11.5703125" bestFit="1" customWidth="1"/>
    <col min="14941" max="14941" width="5.28515625" bestFit="1" customWidth="1"/>
    <col min="14942" max="14943" width="10.42578125" bestFit="1" customWidth="1"/>
    <col min="14944" max="14944" width="11.5703125" bestFit="1" customWidth="1"/>
    <col min="14945" max="14945" width="5.28515625" bestFit="1" customWidth="1"/>
    <col min="14946" max="14946" width="14.28515625" bestFit="1" customWidth="1"/>
    <col min="14947" max="14947" width="13" bestFit="1" customWidth="1"/>
    <col min="14948" max="14948" width="11.5703125" bestFit="1" customWidth="1"/>
    <col min="14949" max="14949" width="8.85546875" bestFit="1" customWidth="1"/>
    <col min="14950" max="14950" width="14.42578125" bestFit="1" customWidth="1"/>
    <col min="14951" max="14951" width="10.42578125" bestFit="1" customWidth="1"/>
    <col min="14952" max="14952" width="12.28515625" bestFit="1" customWidth="1"/>
    <col min="14953" max="14953" width="13.85546875" bestFit="1" customWidth="1"/>
    <col min="14954" max="14954" width="11.28515625" customWidth="1"/>
    <col min="14955" max="14955" width="11.5703125" customWidth="1"/>
    <col min="14956" max="14956" width="13.42578125" bestFit="1" customWidth="1"/>
    <col min="14957" max="14957" width="10.42578125" customWidth="1"/>
    <col min="14958" max="14958" width="13.85546875" bestFit="1" customWidth="1"/>
    <col min="14959" max="14959" width="15.42578125" bestFit="1" customWidth="1"/>
    <col min="14960" max="14960" width="12.28515625" bestFit="1" customWidth="1"/>
    <col min="14961" max="14961" width="12.7109375" customWidth="1"/>
    <col min="14962" max="14962" width="10.7109375" bestFit="1" customWidth="1"/>
    <col min="14963" max="14963" width="9.85546875" customWidth="1"/>
    <col min="14964" max="14965" width="10.140625" bestFit="1" customWidth="1"/>
    <col min="14966" max="14966" width="7.5703125" bestFit="1" customWidth="1"/>
    <col min="14967" max="14967" width="9.42578125" bestFit="1" customWidth="1"/>
    <col min="14968" max="14968" width="14.5703125" bestFit="1" customWidth="1"/>
    <col min="14969" max="14969" width="14.85546875" customWidth="1"/>
    <col min="14970" max="14970" width="15.140625" bestFit="1" customWidth="1"/>
    <col min="14971" max="14971" width="12.140625" bestFit="1" customWidth="1"/>
    <col min="14972" max="14972" width="14.85546875" bestFit="1" customWidth="1"/>
    <col min="14973" max="14973" width="12.28515625" bestFit="1" customWidth="1"/>
    <col min="14974" max="14982" width="9.140625" hidden="1" customWidth="1"/>
    <col min="14983" max="14983" width="5.28515625" bestFit="1" customWidth="1"/>
    <col min="14984" max="14989" width="11.5703125" bestFit="1" customWidth="1"/>
    <col min="14990" max="14990" width="11.28515625" bestFit="1" customWidth="1"/>
    <col min="14991" max="14991" width="10.140625" bestFit="1" customWidth="1"/>
    <col min="14992" max="14992" width="11.5703125" bestFit="1" customWidth="1"/>
    <col min="14993" max="14993" width="16.140625" customWidth="1"/>
    <col min="14994" max="14994" width="13.42578125" customWidth="1"/>
    <col min="14995" max="14995" width="10.140625" bestFit="1" customWidth="1"/>
    <col min="14996" max="14996" width="12.85546875" bestFit="1" customWidth="1"/>
    <col min="14997" max="14997" width="12.28515625" bestFit="1" customWidth="1"/>
    <col min="14998" max="14998" width="11.28515625" bestFit="1" customWidth="1"/>
    <col min="14999" max="14999" width="11.5703125" bestFit="1" customWidth="1"/>
    <col min="15000" max="15000" width="10.85546875" bestFit="1" customWidth="1"/>
    <col min="15001" max="15001" width="11.28515625" bestFit="1" customWidth="1"/>
    <col min="15002" max="15002" width="10.140625" bestFit="1" customWidth="1"/>
    <col min="15003" max="15003" width="13.28515625" bestFit="1" customWidth="1"/>
    <col min="15004" max="15005" width="12.7109375" bestFit="1" customWidth="1"/>
    <col min="15006" max="15006" width="11" bestFit="1" customWidth="1"/>
    <col min="15007" max="15007" width="11.28515625" bestFit="1" customWidth="1"/>
    <col min="15008" max="15008" width="11.5703125" bestFit="1" customWidth="1"/>
    <col min="15009" max="15009" width="12.28515625" bestFit="1" customWidth="1"/>
    <col min="15010" max="15010" width="15.140625" bestFit="1" customWidth="1"/>
    <col min="15011" max="15011" width="14.42578125" bestFit="1" customWidth="1"/>
    <col min="15012" max="15012" width="12.28515625" bestFit="1" customWidth="1"/>
    <col min="15013" max="15013" width="15.140625" bestFit="1" customWidth="1"/>
    <col min="15014" max="15014" width="14.42578125" bestFit="1" customWidth="1"/>
    <col min="15015" max="15015" width="12.28515625" bestFit="1" customWidth="1"/>
    <col min="15016" max="15016" width="14.42578125" bestFit="1" customWidth="1"/>
    <col min="15017" max="15017" width="11.28515625" bestFit="1" customWidth="1"/>
    <col min="15018" max="15018" width="12.28515625" bestFit="1" customWidth="1"/>
    <col min="15019" max="15019" width="13" bestFit="1" customWidth="1"/>
    <col min="15020" max="15020" width="15.140625" bestFit="1" customWidth="1"/>
    <col min="15021" max="15021" width="12.28515625" bestFit="1" customWidth="1"/>
    <col min="15022" max="15022" width="13.85546875" bestFit="1" customWidth="1"/>
    <col min="15023" max="15023" width="11.28515625" bestFit="1" customWidth="1"/>
    <col min="15024" max="15024" width="12.28515625" bestFit="1" customWidth="1"/>
    <col min="15025" max="15025" width="13.85546875" bestFit="1" customWidth="1"/>
    <col min="15026" max="15027" width="15.140625" bestFit="1" customWidth="1"/>
    <col min="15028" max="15028" width="12.28515625" bestFit="1" customWidth="1"/>
    <col min="15029" max="15029" width="5.7109375" bestFit="1" customWidth="1"/>
    <col min="15030" max="15030" width="8.5703125" bestFit="1" customWidth="1"/>
    <col min="15031" max="15031" width="5.5703125" bestFit="1" customWidth="1"/>
    <col min="15032" max="15032" width="14.42578125" bestFit="1" customWidth="1"/>
    <col min="15033" max="15033" width="11.28515625" bestFit="1" customWidth="1"/>
    <col min="15034" max="15035" width="12.28515625" bestFit="1" customWidth="1"/>
    <col min="15036" max="15036" width="11.28515625" bestFit="1" customWidth="1"/>
    <col min="15037" max="15037" width="13.85546875" bestFit="1" customWidth="1"/>
    <col min="15038" max="15038" width="12" bestFit="1" customWidth="1"/>
    <col min="15039" max="15039" width="13.85546875" bestFit="1" customWidth="1"/>
    <col min="15040" max="15041" width="14.42578125" customWidth="1"/>
    <col min="15042" max="15042" width="10.140625" bestFit="1" customWidth="1"/>
    <col min="15043" max="15043" width="12.28515625" bestFit="1" customWidth="1"/>
    <col min="15044" max="15044" width="7.42578125" bestFit="1" customWidth="1"/>
    <col min="15045" max="15045" width="8.5703125" bestFit="1" customWidth="1"/>
    <col min="15046" max="15046" width="11.5703125" bestFit="1" customWidth="1"/>
    <col min="15047" max="15047" width="13.28515625" bestFit="1" customWidth="1"/>
    <col min="15048" max="15048" width="13.28515625" customWidth="1"/>
    <col min="15049" max="15049" width="13.140625" customWidth="1"/>
    <col min="15050" max="15050" width="12.7109375" bestFit="1" customWidth="1"/>
    <col min="15051" max="15051" width="13.28515625" bestFit="1" customWidth="1"/>
    <col min="15052" max="15054" width="13.28515625" customWidth="1"/>
    <col min="15055" max="15055" width="12.140625" bestFit="1" customWidth="1"/>
    <col min="15056" max="15056" width="12.7109375" bestFit="1" customWidth="1"/>
    <col min="15057" max="15057" width="11" customWidth="1"/>
    <col min="15058" max="15058" width="16.7109375" customWidth="1"/>
    <col min="15059" max="15059" width="17" customWidth="1"/>
    <col min="15060" max="15060" width="10.42578125" bestFit="1" customWidth="1"/>
    <col min="15104" max="15104" width="3.85546875" customWidth="1"/>
    <col min="15105" max="15105" width="15.28515625" bestFit="1" customWidth="1"/>
    <col min="15106" max="15106" width="12.28515625" customWidth="1"/>
    <col min="15107" max="15107" width="16.28515625" bestFit="1" customWidth="1"/>
    <col min="15108" max="15108" width="6.42578125" bestFit="1" customWidth="1"/>
    <col min="15109" max="15109" width="9.28515625" bestFit="1" customWidth="1"/>
    <col min="15110" max="15110" width="7.5703125" bestFit="1" customWidth="1"/>
    <col min="15111" max="15111" width="13.28515625" bestFit="1" customWidth="1"/>
    <col min="15112" max="15112" width="9.28515625" bestFit="1" customWidth="1"/>
    <col min="15113" max="15113" width="11.5703125" bestFit="1" customWidth="1"/>
    <col min="15114" max="15114" width="13.28515625" bestFit="1" customWidth="1"/>
    <col min="15115" max="15115" width="7.140625" bestFit="1" customWidth="1"/>
    <col min="15116" max="15116" width="12" bestFit="1" customWidth="1"/>
    <col min="15117" max="15117" width="13.28515625" bestFit="1" customWidth="1"/>
    <col min="15118" max="15118" width="7" bestFit="1" customWidth="1"/>
    <col min="15119" max="15119" width="12.7109375" bestFit="1" customWidth="1"/>
    <col min="15120" max="15120" width="11.5703125" bestFit="1" customWidth="1"/>
    <col min="15121" max="15121" width="10.5703125" bestFit="1" customWidth="1"/>
    <col min="15122" max="15123" width="15.7109375" bestFit="1" customWidth="1"/>
    <col min="15124" max="15124" width="11.5703125" bestFit="1" customWidth="1"/>
    <col min="15125" max="15125" width="7.7109375" bestFit="1" customWidth="1"/>
    <col min="15126" max="15126" width="15.140625" bestFit="1" customWidth="1"/>
    <col min="15127" max="15127" width="11.5703125" bestFit="1" customWidth="1"/>
    <col min="15128" max="15128" width="13.28515625" bestFit="1" customWidth="1"/>
    <col min="15129" max="15129" width="10.42578125" bestFit="1" customWidth="1"/>
    <col min="15130" max="15130" width="13.28515625" bestFit="1" customWidth="1"/>
    <col min="15131" max="15131" width="12.140625" bestFit="1" customWidth="1"/>
    <col min="15132" max="15132" width="14.42578125" bestFit="1" customWidth="1"/>
    <col min="15133" max="15133" width="13.28515625" bestFit="1" customWidth="1"/>
    <col min="15134" max="15134" width="11.5703125" bestFit="1" customWidth="1"/>
    <col min="15135" max="15135" width="7.7109375" bestFit="1" customWidth="1"/>
    <col min="15136" max="15137" width="14.42578125" bestFit="1" customWidth="1"/>
    <col min="15138" max="15138" width="11.5703125" bestFit="1" customWidth="1"/>
    <col min="15139" max="15139" width="7.7109375" bestFit="1" customWidth="1"/>
    <col min="15140" max="15140" width="13.5703125" customWidth="1"/>
    <col min="15141" max="15141" width="15.28515625" customWidth="1"/>
    <col min="15142" max="15142" width="14.5703125" customWidth="1"/>
    <col min="15143" max="15143" width="13.28515625" bestFit="1" customWidth="1"/>
    <col min="15144" max="15144" width="7.7109375" bestFit="1" customWidth="1"/>
    <col min="15145" max="15145" width="12.7109375" bestFit="1" customWidth="1"/>
    <col min="15146" max="15146" width="11.7109375" bestFit="1" customWidth="1"/>
    <col min="15147" max="15147" width="11.5703125" bestFit="1" customWidth="1"/>
    <col min="15148" max="15148" width="5.28515625" bestFit="1" customWidth="1"/>
    <col min="15149" max="15149" width="13.28515625" bestFit="1" customWidth="1"/>
    <col min="15150" max="15150" width="13.5703125" bestFit="1" customWidth="1"/>
    <col min="15151" max="15151" width="10.5703125" bestFit="1" customWidth="1"/>
    <col min="15152" max="15152" width="13.28515625" bestFit="1" customWidth="1"/>
    <col min="15153" max="15153" width="11.5703125" bestFit="1" customWidth="1"/>
    <col min="15154" max="15154" width="10.5703125" bestFit="1" customWidth="1"/>
    <col min="15155" max="15155" width="16.140625" bestFit="1" customWidth="1"/>
    <col min="15156" max="15157" width="11.28515625" bestFit="1" customWidth="1"/>
    <col min="15158" max="15158" width="13.28515625" bestFit="1" customWidth="1"/>
    <col min="15159" max="15159" width="7.7109375" bestFit="1" customWidth="1"/>
    <col min="15160" max="15163" width="9.140625" hidden="1" customWidth="1"/>
    <col min="15164" max="15164" width="10.42578125" bestFit="1" customWidth="1"/>
    <col min="15165" max="15165" width="10.5703125" bestFit="1" customWidth="1"/>
    <col min="15166" max="15166" width="10.42578125" bestFit="1" customWidth="1"/>
    <col min="15167" max="15167" width="10.5703125" bestFit="1" customWidth="1"/>
    <col min="15168" max="15168" width="9.5703125" bestFit="1" customWidth="1"/>
    <col min="15169" max="15169" width="11.5703125" bestFit="1" customWidth="1"/>
    <col min="15170" max="15170" width="10.42578125" bestFit="1" customWidth="1"/>
    <col min="15171" max="15171" width="10.85546875" customWidth="1"/>
    <col min="15172" max="15173" width="9.85546875" bestFit="1" customWidth="1"/>
    <col min="15174" max="15174" width="13.5703125" bestFit="1" customWidth="1"/>
    <col min="15175" max="15175" width="7.7109375" bestFit="1" customWidth="1"/>
    <col min="15176" max="15176" width="13.28515625" bestFit="1" customWidth="1"/>
    <col min="15177" max="15177" width="11.5703125" bestFit="1" customWidth="1"/>
    <col min="15178" max="15178" width="10.42578125" bestFit="1" customWidth="1"/>
    <col min="15179" max="15179" width="7.7109375" bestFit="1" customWidth="1"/>
    <col min="15180" max="15180" width="11.5703125" bestFit="1" customWidth="1"/>
    <col min="15181" max="15181" width="10.85546875" bestFit="1" customWidth="1"/>
    <col min="15182" max="15182" width="13.28515625" bestFit="1" customWidth="1"/>
    <col min="15183" max="15183" width="10.85546875" bestFit="1" customWidth="1"/>
    <col min="15184" max="15185" width="7.5703125" bestFit="1" customWidth="1"/>
    <col min="15186" max="15187" width="10.42578125" bestFit="1" customWidth="1"/>
    <col min="15188" max="15188" width="11.5703125" bestFit="1" customWidth="1"/>
    <col min="15189" max="15189" width="5.28515625" bestFit="1" customWidth="1"/>
    <col min="15190" max="15190" width="10.28515625" bestFit="1" customWidth="1"/>
    <col min="15191" max="15191" width="10.42578125" bestFit="1" customWidth="1"/>
    <col min="15192" max="15192" width="11.5703125" bestFit="1" customWidth="1"/>
    <col min="15193" max="15193" width="5.28515625" bestFit="1" customWidth="1"/>
    <col min="15194" max="15196" width="11.5703125" bestFit="1" customWidth="1"/>
    <col min="15197" max="15197" width="5.28515625" bestFit="1" customWidth="1"/>
    <col min="15198" max="15199" width="10.42578125" bestFit="1" customWidth="1"/>
    <col min="15200" max="15200" width="11.5703125" bestFit="1" customWidth="1"/>
    <col min="15201" max="15201" width="5.28515625" bestFit="1" customWidth="1"/>
    <col min="15202" max="15202" width="14.28515625" bestFit="1" customWidth="1"/>
    <col min="15203" max="15203" width="13" bestFit="1" customWidth="1"/>
    <col min="15204" max="15204" width="11.5703125" bestFit="1" customWidth="1"/>
    <col min="15205" max="15205" width="8.85546875" bestFit="1" customWidth="1"/>
    <col min="15206" max="15206" width="14.42578125" bestFit="1" customWidth="1"/>
    <col min="15207" max="15207" width="10.42578125" bestFit="1" customWidth="1"/>
    <col min="15208" max="15208" width="12.28515625" bestFit="1" customWidth="1"/>
    <col min="15209" max="15209" width="13.85546875" bestFit="1" customWidth="1"/>
    <col min="15210" max="15210" width="11.28515625" customWidth="1"/>
    <col min="15211" max="15211" width="11.5703125" customWidth="1"/>
    <col min="15212" max="15212" width="13.42578125" bestFit="1" customWidth="1"/>
    <col min="15213" max="15213" width="10.42578125" customWidth="1"/>
    <col min="15214" max="15214" width="13.85546875" bestFit="1" customWidth="1"/>
    <col min="15215" max="15215" width="15.42578125" bestFit="1" customWidth="1"/>
    <col min="15216" max="15216" width="12.28515625" bestFit="1" customWidth="1"/>
    <col min="15217" max="15217" width="12.7109375" customWidth="1"/>
    <col min="15218" max="15218" width="10.7109375" bestFit="1" customWidth="1"/>
    <col min="15219" max="15219" width="9.85546875" customWidth="1"/>
    <col min="15220" max="15221" width="10.140625" bestFit="1" customWidth="1"/>
    <col min="15222" max="15222" width="7.5703125" bestFit="1" customWidth="1"/>
    <col min="15223" max="15223" width="9.42578125" bestFit="1" customWidth="1"/>
    <col min="15224" max="15224" width="14.5703125" bestFit="1" customWidth="1"/>
    <col min="15225" max="15225" width="14.85546875" customWidth="1"/>
    <col min="15226" max="15226" width="15.140625" bestFit="1" customWidth="1"/>
    <col min="15227" max="15227" width="12.140625" bestFit="1" customWidth="1"/>
    <col min="15228" max="15228" width="14.85546875" bestFit="1" customWidth="1"/>
    <col min="15229" max="15229" width="12.28515625" bestFit="1" customWidth="1"/>
    <col min="15230" max="15238" width="9.140625" hidden="1" customWidth="1"/>
    <col min="15239" max="15239" width="5.28515625" bestFit="1" customWidth="1"/>
    <col min="15240" max="15245" width="11.5703125" bestFit="1" customWidth="1"/>
    <col min="15246" max="15246" width="11.28515625" bestFit="1" customWidth="1"/>
    <col min="15247" max="15247" width="10.140625" bestFit="1" customWidth="1"/>
    <col min="15248" max="15248" width="11.5703125" bestFit="1" customWidth="1"/>
    <col min="15249" max="15249" width="16.140625" customWidth="1"/>
    <col min="15250" max="15250" width="13.42578125" customWidth="1"/>
    <col min="15251" max="15251" width="10.140625" bestFit="1" customWidth="1"/>
    <col min="15252" max="15252" width="12.85546875" bestFit="1" customWidth="1"/>
    <col min="15253" max="15253" width="12.28515625" bestFit="1" customWidth="1"/>
    <col min="15254" max="15254" width="11.28515625" bestFit="1" customWidth="1"/>
    <col min="15255" max="15255" width="11.5703125" bestFit="1" customWidth="1"/>
    <col min="15256" max="15256" width="10.85546875" bestFit="1" customWidth="1"/>
    <col min="15257" max="15257" width="11.28515625" bestFit="1" customWidth="1"/>
    <col min="15258" max="15258" width="10.140625" bestFit="1" customWidth="1"/>
    <col min="15259" max="15259" width="13.28515625" bestFit="1" customWidth="1"/>
    <col min="15260" max="15261" width="12.7109375" bestFit="1" customWidth="1"/>
    <col min="15262" max="15262" width="11" bestFit="1" customWidth="1"/>
    <col min="15263" max="15263" width="11.28515625" bestFit="1" customWidth="1"/>
    <col min="15264" max="15264" width="11.5703125" bestFit="1" customWidth="1"/>
    <col min="15265" max="15265" width="12.28515625" bestFit="1" customWidth="1"/>
    <col min="15266" max="15266" width="15.140625" bestFit="1" customWidth="1"/>
    <col min="15267" max="15267" width="14.42578125" bestFit="1" customWidth="1"/>
    <col min="15268" max="15268" width="12.28515625" bestFit="1" customWidth="1"/>
    <col min="15269" max="15269" width="15.140625" bestFit="1" customWidth="1"/>
    <col min="15270" max="15270" width="14.42578125" bestFit="1" customWidth="1"/>
    <col min="15271" max="15271" width="12.28515625" bestFit="1" customWidth="1"/>
    <col min="15272" max="15272" width="14.42578125" bestFit="1" customWidth="1"/>
    <col min="15273" max="15273" width="11.28515625" bestFit="1" customWidth="1"/>
    <col min="15274" max="15274" width="12.28515625" bestFit="1" customWidth="1"/>
    <col min="15275" max="15275" width="13" bestFit="1" customWidth="1"/>
    <col min="15276" max="15276" width="15.140625" bestFit="1" customWidth="1"/>
    <col min="15277" max="15277" width="12.28515625" bestFit="1" customWidth="1"/>
    <col min="15278" max="15278" width="13.85546875" bestFit="1" customWidth="1"/>
    <col min="15279" max="15279" width="11.28515625" bestFit="1" customWidth="1"/>
    <col min="15280" max="15280" width="12.28515625" bestFit="1" customWidth="1"/>
    <col min="15281" max="15281" width="13.85546875" bestFit="1" customWidth="1"/>
    <col min="15282" max="15283" width="15.140625" bestFit="1" customWidth="1"/>
    <col min="15284" max="15284" width="12.28515625" bestFit="1" customWidth="1"/>
    <col min="15285" max="15285" width="5.7109375" bestFit="1" customWidth="1"/>
    <col min="15286" max="15286" width="8.5703125" bestFit="1" customWidth="1"/>
    <col min="15287" max="15287" width="5.5703125" bestFit="1" customWidth="1"/>
    <col min="15288" max="15288" width="14.42578125" bestFit="1" customWidth="1"/>
    <col min="15289" max="15289" width="11.28515625" bestFit="1" customWidth="1"/>
    <col min="15290" max="15291" width="12.28515625" bestFit="1" customWidth="1"/>
    <col min="15292" max="15292" width="11.28515625" bestFit="1" customWidth="1"/>
    <col min="15293" max="15293" width="13.85546875" bestFit="1" customWidth="1"/>
    <col min="15294" max="15294" width="12" bestFit="1" customWidth="1"/>
    <col min="15295" max="15295" width="13.85546875" bestFit="1" customWidth="1"/>
    <col min="15296" max="15297" width="14.42578125" customWidth="1"/>
    <col min="15298" max="15298" width="10.140625" bestFit="1" customWidth="1"/>
    <col min="15299" max="15299" width="12.28515625" bestFit="1" customWidth="1"/>
    <col min="15300" max="15300" width="7.42578125" bestFit="1" customWidth="1"/>
    <col min="15301" max="15301" width="8.5703125" bestFit="1" customWidth="1"/>
    <col min="15302" max="15302" width="11.5703125" bestFit="1" customWidth="1"/>
    <col min="15303" max="15303" width="13.28515625" bestFit="1" customWidth="1"/>
    <col min="15304" max="15304" width="13.28515625" customWidth="1"/>
    <col min="15305" max="15305" width="13.140625" customWidth="1"/>
    <col min="15306" max="15306" width="12.7109375" bestFit="1" customWidth="1"/>
    <col min="15307" max="15307" width="13.28515625" bestFit="1" customWidth="1"/>
    <col min="15308" max="15310" width="13.28515625" customWidth="1"/>
    <col min="15311" max="15311" width="12.140625" bestFit="1" customWidth="1"/>
    <col min="15312" max="15312" width="12.7109375" bestFit="1" customWidth="1"/>
    <col min="15313" max="15313" width="11" customWidth="1"/>
    <col min="15314" max="15314" width="16.7109375" customWidth="1"/>
    <col min="15315" max="15315" width="17" customWidth="1"/>
    <col min="15316" max="15316" width="10.42578125" bestFit="1" customWidth="1"/>
    <col min="15360" max="15360" width="3.85546875" customWidth="1"/>
    <col min="15361" max="15361" width="15.28515625" bestFit="1" customWidth="1"/>
    <col min="15362" max="15362" width="12.28515625" customWidth="1"/>
    <col min="15363" max="15363" width="16.28515625" bestFit="1" customWidth="1"/>
    <col min="15364" max="15364" width="6.42578125" bestFit="1" customWidth="1"/>
    <col min="15365" max="15365" width="9.28515625" bestFit="1" customWidth="1"/>
    <col min="15366" max="15366" width="7.5703125" bestFit="1" customWidth="1"/>
    <col min="15367" max="15367" width="13.28515625" bestFit="1" customWidth="1"/>
    <col min="15368" max="15368" width="9.28515625" bestFit="1" customWidth="1"/>
    <col min="15369" max="15369" width="11.5703125" bestFit="1" customWidth="1"/>
    <col min="15370" max="15370" width="13.28515625" bestFit="1" customWidth="1"/>
    <col min="15371" max="15371" width="7.140625" bestFit="1" customWidth="1"/>
    <col min="15372" max="15372" width="12" bestFit="1" customWidth="1"/>
    <col min="15373" max="15373" width="13.28515625" bestFit="1" customWidth="1"/>
    <col min="15374" max="15374" width="7" bestFit="1" customWidth="1"/>
    <col min="15375" max="15375" width="12.7109375" bestFit="1" customWidth="1"/>
    <col min="15376" max="15376" width="11.5703125" bestFit="1" customWidth="1"/>
    <col min="15377" max="15377" width="10.5703125" bestFit="1" customWidth="1"/>
    <col min="15378" max="15379" width="15.7109375" bestFit="1" customWidth="1"/>
    <col min="15380" max="15380" width="11.5703125" bestFit="1" customWidth="1"/>
    <col min="15381" max="15381" width="7.7109375" bestFit="1" customWidth="1"/>
    <col min="15382" max="15382" width="15.140625" bestFit="1" customWidth="1"/>
    <col min="15383" max="15383" width="11.5703125" bestFit="1" customWidth="1"/>
    <col min="15384" max="15384" width="13.28515625" bestFit="1" customWidth="1"/>
    <col min="15385" max="15385" width="10.42578125" bestFit="1" customWidth="1"/>
    <col min="15386" max="15386" width="13.28515625" bestFit="1" customWidth="1"/>
    <col min="15387" max="15387" width="12.140625" bestFit="1" customWidth="1"/>
    <col min="15388" max="15388" width="14.42578125" bestFit="1" customWidth="1"/>
    <col min="15389" max="15389" width="13.28515625" bestFit="1" customWidth="1"/>
    <col min="15390" max="15390" width="11.5703125" bestFit="1" customWidth="1"/>
    <col min="15391" max="15391" width="7.7109375" bestFit="1" customWidth="1"/>
    <col min="15392" max="15393" width="14.42578125" bestFit="1" customWidth="1"/>
    <col min="15394" max="15394" width="11.5703125" bestFit="1" customWidth="1"/>
    <col min="15395" max="15395" width="7.7109375" bestFit="1" customWidth="1"/>
    <col min="15396" max="15396" width="13.5703125" customWidth="1"/>
    <col min="15397" max="15397" width="15.28515625" customWidth="1"/>
    <col min="15398" max="15398" width="14.5703125" customWidth="1"/>
    <col min="15399" max="15399" width="13.28515625" bestFit="1" customWidth="1"/>
    <col min="15400" max="15400" width="7.7109375" bestFit="1" customWidth="1"/>
    <col min="15401" max="15401" width="12.7109375" bestFit="1" customWidth="1"/>
    <col min="15402" max="15402" width="11.7109375" bestFit="1" customWidth="1"/>
    <col min="15403" max="15403" width="11.5703125" bestFit="1" customWidth="1"/>
    <col min="15404" max="15404" width="5.28515625" bestFit="1" customWidth="1"/>
    <col min="15405" max="15405" width="13.28515625" bestFit="1" customWidth="1"/>
    <col min="15406" max="15406" width="13.5703125" bestFit="1" customWidth="1"/>
    <col min="15407" max="15407" width="10.5703125" bestFit="1" customWidth="1"/>
    <col min="15408" max="15408" width="13.28515625" bestFit="1" customWidth="1"/>
    <col min="15409" max="15409" width="11.5703125" bestFit="1" customWidth="1"/>
    <col min="15410" max="15410" width="10.5703125" bestFit="1" customWidth="1"/>
    <col min="15411" max="15411" width="16.140625" bestFit="1" customWidth="1"/>
    <col min="15412" max="15413" width="11.28515625" bestFit="1" customWidth="1"/>
    <col min="15414" max="15414" width="13.28515625" bestFit="1" customWidth="1"/>
    <col min="15415" max="15415" width="7.7109375" bestFit="1" customWidth="1"/>
    <col min="15416" max="15419" width="9.140625" hidden="1" customWidth="1"/>
    <col min="15420" max="15420" width="10.42578125" bestFit="1" customWidth="1"/>
    <col min="15421" max="15421" width="10.5703125" bestFit="1" customWidth="1"/>
    <col min="15422" max="15422" width="10.42578125" bestFit="1" customWidth="1"/>
    <col min="15423" max="15423" width="10.5703125" bestFit="1" customWidth="1"/>
    <col min="15424" max="15424" width="9.5703125" bestFit="1" customWidth="1"/>
    <col min="15425" max="15425" width="11.5703125" bestFit="1" customWidth="1"/>
    <col min="15426" max="15426" width="10.42578125" bestFit="1" customWidth="1"/>
    <col min="15427" max="15427" width="10.85546875" customWidth="1"/>
    <col min="15428" max="15429" width="9.85546875" bestFit="1" customWidth="1"/>
    <col min="15430" max="15430" width="13.5703125" bestFit="1" customWidth="1"/>
    <col min="15431" max="15431" width="7.7109375" bestFit="1" customWidth="1"/>
    <col min="15432" max="15432" width="13.28515625" bestFit="1" customWidth="1"/>
    <col min="15433" max="15433" width="11.5703125" bestFit="1" customWidth="1"/>
    <col min="15434" max="15434" width="10.42578125" bestFit="1" customWidth="1"/>
    <col min="15435" max="15435" width="7.7109375" bestFit="1" customWidth="1"/>
    <col min="15436" max="15436" width="11.5703125" bestFit="1" customWidth="1"/>
    <col min="15437" max="15437" width="10.85546875" bestFit="1" customWidth="1"/>
    <col min="15438" max="15438" width="13.28515625" bestFit="1" customWidth="1"/>
    <col min="15439" max="15439" width="10.85546875" bestFit="1" customWidth="1"/>
    <col min="15440" max="15441" width="7.5703125" bestFit="1" customWidth="1"/>
    <col min="15442" max="15443" width="10.42578125" bestFit="1" customWidth="1"/>
    <col min="15444" max="15444" width="11.5703125" bestFit="1" customWidth="1"/>
    <col min="15445" max="15445" width="5.28515625" bestFit="1" customWidth="1"/>
    <col min="15446" max="15446" width="10.28515625" bestFit="1" customWidth="1"/>
    <col min="15447" max="15447" width="10.42578125" bestFit="1" customWidth="1"/>
    <col min="15448" max="15448" width="11.5703125" bestFit="1" customWidth="1"/>
    <col min="15449" max="15449" width="5.28515625" bestFit="1" customWidth="1"/>
    <col min="15450" max="15452" width="11.5703125" bestFit="1" customWidth="1"/>
    <col min="15453" max="15453" width="5.28515625" bestFit="1" customWidth="1"/>
    <col min="15454" max="15455" width="10.42578125" bestFit="1" customWidth="1"/>
    <col min="15456" max="15456" width="11.5703125" bestFit="1" customWidth="1"/>
    <col min="15457" max="15457" width="5.28515625" bestFit="1" customWidth="1"/>
    <col min="15458" max="15458" width="14.28515625" bestFit="1" customWidth="1"/>
    <col min="15459" max="15459" width="13" bestFit="1" customWidth="1"/>
    <col min="15460" max="15460" width="11.5703125" bestFit="1" customWidth="1"/>
    <col min="15461" max="15461" width="8.85546875" bestFit="1" customWidth="1"/>
    <col min="15462" max="15462" width="14.42578125" bestFit="1" customWidth="1"/>
    <col min="15463" max="15463" width="10.42578125" bestFit="1" customWidth="1"/>
    <col min="15464" max="15464" width="12.28515625" bestFit="1" customWidth="1"/>
    <col min="15465" max="15465" width="13.85546875" bestFit="1" customWidth="1"/>
    <col min="15466" max="15466" width="11.28515625" customWidth="1"/>
    <col min="15467" max="15467" width="11.5703125" customWidth="1"/>
    <col min="15468" max="15468" width="13.42578125" bestFit="1" customWidth="1"/>
    <col min="15469" max="15469" width="10.42578125" customWidth="1"/>
    <col min="15470" max="15470" width="13.85546875" bestFit="1" customWidth="1"/>
    <col min="15471" max="15471" width="15.42578125" bestFit="1" customWidth="1"/>
    <col min="15472" max="15472" width="12.28515625" bestFit="1" customWidth="1"/>
    <col min="15473" max="15473" width="12.7109375" customWidth="1"/>
    <col min="15474" max="15474" width="10.7109375" bestFit="1" customWidth="1"/>
    <col min="15475" max="15475" width="9.85546875" customWidth="1"/>
    <col min="15476" max="15477" width="10.140625" bestFit="1" customWidth="1"/>
    <col min="15478" max="15478" width="7.5703125" bestFit="1" customWidth="1"/>
    <col min="15479" max="15479" width="9.42578125" bestFit="1" customWidth="1"/>
    <col min="15480" max="15480" width="14.5703125" bestFit="1" customWidth="1"/>
    <col min="15481" max="15481" width="14.85546875" customWidth="1"/>
    <col min="15482" max="15482" width="15.140625" bestFit="1" customWidth="1"/>
    <col min="15483" max="15483" width="12.140625" bestFit="1" customWidth="1"/>
    <col min="15484" max="15484" width="14.85546875" bestFit="1" customWidth="1"/>
    <col min="15485" max="15485" width="12.28515625" bestFit="1" customWidth="1"/>
    <col min="15486" max="15494" width="9.140625" hidden="1" customWidth="1"/>
    <col min="15495" max="15495" width="5.28515625" bestFit="1" customWidth="1"/>
    <col min="15496" max="15501" width="11.5703125" bestFit="1" customWidth="1"/>
    <col min="15502" max="15502" width="11.28515625" bestFit="1" customWidth="1"/>
    <col min="15503" max="15503" width="10.140625" bestFit="1" customWidth="1"/>
    <col min="15504" max="15504" width="11.5703125" bestFit="1" customWidth="1"/>
    <col min="15505" max="15505" width="16.140625" customWidth="1"/>
    <col min="15506" max="15506" width="13.42578125" customWidth="1"/>
    <col min="15507" max="15507" width="10.140625" bestFit="1" customWidth="1"/>
    <col min="15508" max="15508" width="12.85546875" bestFit="1" customWidth="1"/>
    <col min="15509" max="15509" width="12.28515625" bestFit="1" customWidth="1"/>
    <col min="15510" max="15510" width="11.28515625" bestFit="1" customWidth="1"/>
    <col min="15511" max="15511" width="11.5703125" bestFit="1" customWidth="1"/>
    <col min="15512" max="15512" width="10.85546875" bestFit="1" customWidth="1"/>
    <col min="15513" max="15513" width="11.28515625" bestFit="1" customWidth="1"/>
    <col min="15514" max="15514" width="10.140625" bestFit="1" customWidth="1"/>
    <col min="15515" max="15515" width="13.28515625" bestFit="1" customWidth="1"/>
    <col min="15516" max="15517" width="12.7109375" bestFit="1" customWidth="1"/>
    <col min="15518" max="15518" width="11" bestFit="1" customWidth="1"/>
    <col min="15519" max="15519" width="11.28515625" bestFit="1" customWidth="1"/>
    <col min="15520" max="15520" width="11.5703125" bestFit="1" customWidth="1"/>
    <col min="15521" max="15521" width="12.28515625" bestFit="1" customWidth="1"/>
    <col min="15522" max="15522" width="15.140625" bestFit="1" customWidth="1"/>
    <col min="15523" max="15523" width="14.42578125" bestFit="1" customWidth="1"/>
    <col min="15524" max="15524" width="12.28515625" bestFit="1" customWidth="1"/>
    <col min="15525" max="15525" width="15.140625" bestFit="1" customWidth="1"/>
    <col min="15526" max="15526" width="14.42578125" bestFit="1" customWidth="1"/>
    <col min="15527" max="15527" width="12.28515625" bestFit="1" customWidth="1"/>
    <col min="15528" max="15528" width="14.42578125" bestFit="1" customWidth="1"/>
    <col min="15529" max="15529" width="11.28515625" bestFit="1" customWidth="1"/>
    <col min="15530" max="15530" width="12.28515625" bestFit="1" customWidth="1"/>
    <col min="15531" max="15531" width="13" bestFit="1" customWidth="1"/>
    <col min="15532" max="15532" width="15.140625" bestFit="1" customWidth="1"/>
    <col min="15533" max="15533" width="12.28515625" bestFit="1" customWidth="1"/>
    <col min="15534" max="15534" width="13.85546875" bestFit="1" customWidth="1"/>
    <col min="15535" max="15535" width="11.28515625" bestFit="1" customWidth="1"/>
    <col min="15536" max="15536" width="12.28515625" bestFit="1" customWidth="1"/>
    <col min="15537" max="15537" width="13.85546875" bestFit="1" customWidth="1"/>
    <col min="15538" max="15539" width="15.140625" bestFit="1" customWidth="1"/>
    <col min="15540" max="15540" width="12.28515625" bestFit="1" customWidth="1"/>
    <col min="15541" max="15541" width="5.7109375" bestFit="1" customWidth="1"/>
    <col min="15542" max="15542" width="8.5703125" bestFit="1" customWidth="1"/>
    <col min="15543" max="15543" width="5.5703125" bestFit="1" customWidth="1"/>
    <col min="15544" max="15544" width="14.42578125" bestFit="1" customWidth="1"/>
    <col min="15545" max="15545" width="11.28515625" bestFit="1" customWidth="1"/>
    <col min="15546" max="15547" width="12.28515625" bestFit="1" customWidth="1"/>
    <col min="15548" max="15548" width="11.28515625" bestFit="1" customWidth="1"/>
    <col min="15549" max="15549" width="13.85546875" bestFit="1" customWidth="1"/>
    <col min="15550" max="15550" width="12" bestFit="1" customWidth="1"/>
    <col min="15551" max="15551" width="13.85546875" bestFit="1" customWidth="1"/>
    <col min="15552" max="15553" width="14.42578125" customWidth="1"/>
    <col min="15554" max="15554" width="10.140625" bestFit="1" customWidth="1"/>
    <col min="15555" max="15555" width="12.28515625" bestFit="1" customWidth="1"/>
    <col min="15556" max="15556" width="7.42578125" bestFit="1" customWidth="1"/>
    <col min="15557" max="15557" width="8.5703125" bestFit="1" customWidth="1"/>
    <col min="15558" max="15558" width="11.5703125" bestFit="1" customWidth="1"/>
    <col min="15559" max="15559" width="13.28515625" bestFit="1" customWidth="1"/>
    <col min="15560" max="15560" width="13.28515625" customWidth="1"/>
    <col min="15561" max="15561" width="13.140625" customWidth="1"/>
    <col min="15562" max="15562" width="12.7109375" bestFit="1" customWidth="1"/>
    <col min="15563" max="15563" width="13.28515625" bestFit="1" customWidth="1"/>
    <col min="15564" max="15566" width="13.28515625" customWidth="1"/>
    <col min="15567" max="15567" width="12.140625" bestFit="1" customWidth="1"/>
    <col min="15568" max="15568" width="12.7109375" bestFit="1" customWidth="1"/>
    <col min="15569" max="15569" width="11" customWidth="1"/>
    <col min="15570" max="15570" width="16.7109375" customWidth="1"/>
    <col min="15571" max="15571" width="17" customWidth="1"/>
    <col min="15572" max="15572" width="10.42578125" bestFit="1" customWidth="1"/>
    <col min="15616" max="15616" width="3.85546875" customWidth="1"/>
    <col min="15617" max="15617" width="15.28515625" bestFit="1" customWidth="1"/>
    <col min="15618" max="15618" width="12.28515625" customWidth="1"/>
    <col min="15619" max="15619" width="16.28515625" bestFit="1" customWidth="1"/>
    <col min="15620" max="15620" width="6.42578125" bestFit="1" customWidth="1"/>
    <col min="15621" max="15621" width="9.28515625" bestFit="1" customWidth="1"/>
    <col min="15622" max="15622" width="7.5703125" bestFit="1" customWidth="1"/>
    <col min="15623" max="15623" width="13.28515625" bestFit="1" customWidth="1"/>
    <col min="15624" max="15624" width="9.28515625" bestFit="1" customWidth="1"/>
    <col min="15625" max="15625" width="11.5703125" bestFit="1" customWidth="1"/>
    <col min="15626" max="15626" width="13.28515625" bestFit="1" customWidth="1"/>
    <col min="15627" max="15627" width="7.140625" bestFit="1" customWidth="1"/>
    <col min="15628" max="15628" width="12" bestFit="1" customWidth="1"/>
    <col min="15629" max="15629" width="13.28515625" bestFit="1" customWidth="1"/>
    <col min="15630" max="15630" width="7" bestFit="1" customWidth="1"/>
    <col min="15631" max="15631" width="12.7109375" bestFit="1" customWidth="1"/>
    <col min="15632" max="15632" width="11.5703125" bestFit="1" customWidth="1"/>
    <col min="15633" max="15633" width="10.5703125" bestFit="1" customWidth="1"/>
    <col min="15634" max="15635" width="15.7109375" bestFit="1" customWidth="1"/>
    <col min="15636" max="15636" width="11.5703125" bestFit="1" customWidth="1"/>
    <col min="15637" max="15637" width="7.7109375" bestFit="1" customWidth="1"/>
    <col min="15638" max="15638" width="15.140625" bestFit="1" customWidth="1"/>
    <col min="15639" max="15639" width="11.5703125" bestFit="1" customWidth="1"/>
    <col min="15640" max="15640" width="13.28515625" bestFit="1" customWidth="1"/>
    <col min="15641" max="15641" width="10.42578125" bestFit="1" customWidth="1"/>
    <col min="15642" max="15642" width="13.28515625" bestFit="1" customWidth="1"/>
    <col min="15643" max="15643" width="12.140625" bestFit="1" customWidth="1"/>
    <col min="15644" max="15644" width="14.42578125" bestFit="1" customWidth="1"/>
    <col min="15645" max="15645" width="13.28515625" bestFit="1" customWidth="1"/>
    <col min="15646" max="15646" width="11.5703125" bestFit="1" customWidth="1"/>
    <col min="15647" max="15647" width="7.7109375" bestFit="1" customWidth="1"/>
    <col min="15648" max="15649" width="14.42578125" bestFit="1" customWidth="1"/>
    <col min="15650" max="15650" width="11.5703125" bestFit="1" customWidth="1"/>
    <col min="15651" max="15651" width="7.7109375" bestFit="1" customWidth="1"/>
    <col min="15652" max="15652" width="13.5703125" customWidth="1"/>
    <col min="15653" max="15653" width="15.28515625" customWidth="1"/>
    <col min="15654" max="15654" width="14.5703125" customWidth="1"/>
    <col min="15655" max="15655" width="13.28515625" bestFit="1" customWidth="1"/>
    <col min="15656" max="15656" width="7.7109375" bestFit="1" customWidth="1"/>
    <col min="15657" max="15657" width="12.7109375" bestFit="1" customWidth="1"/>
    <col min="15658" max="15658" width="11.7109375" bestFit="1" customWidth="1"/>
    <col min="15659" max="15659" width="11.5703125" bestFit="1" customWidth="1"/>
    <col min="15660" max="15660" width="5.28515625" bestFit="1" customWidth="1"/>
    <col min="15661" max="15661" width="13.28515625" bestFit="1" customWidth="1"/>
    <col min="15662" max="15662" width="13.5703125" bestFit="1" customWidth="1"/>
    <col min="15663" max="15663" width="10.5703125" bestFit="1" customWidth="1"/>
    <col min="15664" max="15664" width="13.28515625" bestFit="1" customWidth="1"/>
    <col min="15665" max="15665" width="11.5703125" bestFit="1" customWidth="1"/>
    <col min="15666" max="15666" width="10.5703125" bestFit="1" customWidth="1"/>
    <col min="15667" max="15667" width="16.140625" bestFit="1" customWidth="1"/>
    <col min="15668" max="15669" width="11.28515625" bestFit="1" customWidth="1"/>
    <col min="15670" max="15670" width="13.28515625" bestFit="1" customWidth="1"/>
    <col min="15671" max="15671" width="7.7109375" bestFit="1" customWidth="1"/>
    <col min="15672" max="15675" width="9.140625" hidden="1" customWidth="1"/>
    <col min="15676" max="15676" width="10.42578125" bestFit="1" customWidth="1"/>
    <col min="15677" max="15677" width="10.5703125" bestFit="1" customWidth="1"/>
    <col min="15678" max="15678" width="10.42578125" bestFit="1" customWidth="1"/>
    <col min="15679" max="15679" width="10.5703125" bestFit="1" customWidth="1"/>
    <col min="15680" max="15680" width="9.5703125" bestFit="1" customWidth="1"/>
    <col min="15681" max="15681" width="11.5703125" bestFit="1" customWidth="1"/>
    <col min="15682" max="15682" width="10.42578125" bestFit="1" customWidth="1"/>
    <col min="15683" max="15683" width="10.85546875" customWidth="1"/>
    <col min="15684" max="15685" width="9.85546875" bestFit="1" customWidth="1"/>
    <col min="15686" max="15686" width="13.5703125" bestFit="1" customWidth="1"/>
    <col min="15687" max="15687" width="7.7109375" bestFit="1" customWidth="1"/>
    <col min="15688" max="15688" width="13.28515625" bestFit="1" customWidth="1"/>
    <col min="15689" max="15689" width="11.5703125" bestFit="1" customWidth="1"/>
    <col min="15690" max="15690" width="10.42578125" bestFit="1" customWidth="1"/>
    <col min="15691" max="15691" width="7.7109375" bestFit="1" customWidth="1"/>
    <col min="15692" max="15692" width="11.5703125" bestFit="1" customWidth="1"/>
    <col min="15693" max="15693" width="10.85546875" bestFit="1" customWidth="1"/>
    <col min="15694" max="15694" width="13.28515625" bestFit="1" customWidth="1"/>
    <col min="15695" max="15695" width="10.85546875" bestFit="1" customWidth="1"/>
    <col min="15696" max="15697" width="7.5703125" bestFit="1" customWidth="1"/>
    <col min="15698" max="15699" width="10.42578125" bestFit="1" customWidth="1"/>
    <col min="15700" max="15700" width="11.5703125" bestFit="1" customWidth="1"/>
    <col min="15701" max="15701" width="5.28515625" bestFit="1" customWidth="1"/>
    <col min="15702" max="15702" width="10.28515625" bestFit="1" customWidth="1"/>
    <col min="15703" max="15703" width="10.42578125" bestFit="1" customWidth="1"/>
    <col min="15704" max="15704" width="11.5703125" bestFit="1" customWidth="1"/>
    <col min="15705" max="15705" width="5.28515625" bestFit="1" customWidth="1"/>
    <col min="15706" max="15708" width="11.5703125" bestFit="1" customWidth="1"/>
    <col min="15709" max="15709" width="5.28515625" bestFit="1" customWidth="1"/>
    <col min="15710" max="15711" width="10.42578125" bestFit="1" customWidth="1"/>
    <col min="15712" max="15712" width="11.5703125" bestFit="1" customWidth="1"/>
    <col min="15713" max="15713" width="5.28515625" bestFit="1" customWidth="1"/>
    <col min="15714" max="15714" width="14.28515625" bestFit="1" customWidth="1"/>
    <col min="15715" max="15715" width="13" bestFit="1" customWidth="1"/>
    <col min="15716" max="15716" width="11.5703125" bestFit="1" customWidth="1"/>
    <col min="15717" max="15717" width="8.85546875" bestFit="1" customWidth="1"/>
    <col min="15718" max="15718" width="14.42578125" bestFit="1" customWidth="1"/>
    <col min="15719" max="15719" width="10.42578125" bestFit="1" customWidth="1"/>
    <col min="15720" max="15720" width="12.28515625" bestFit="1" customWidth="1"/>
    <col min="15721" max="15721" width="13.85546875" bestFit="1" customWidth="1"/>
    <col min="15722" max="15722" width="11.28515625" customWidth="1"/>
    <col min="15723" max="15723" width="11.5703125" customWidth="1"/>
    <col min="15724" max="15724" width="13.42578125" bestFit="1" customWidth="1"/>
    <col min="15725" max="15725" width="10.42578125" customWidth="1"/>
    <col min="15726" max="15726" width="13.85546875" bestFit="1" customWidth="1"/>
    <col min="15727" max="15727" width="15.42578125" bestFit="1" customWidth="1"/>
    <col min="15728" max="15728" width="12.28515625" bestFit="1" customWidth="1"/>
    <col min="15729" max="15729" width="12.7109375" customWidth="1"/>
    <col min="15730" max="15730" width="10.7109375" bestFit="1" customWidth="1"/>
    <col min="15731" max="15731" width="9.85546875" customWidth="1"/>
    <col min="15732" max="15733" width="10.140625" bestFit="1" customWidth="1"/>
    <col min="15734" max="15734" width="7.5703125" bestFit="1" customWidth="1"/>
    <col min="15735" max="15735" width="9.42578125" bestFit="1" customWidth="1"/>
    <col min="15736" max="15736" width="14.5703125" bestFit="1" customWidth="1"/>
    <col min="15737" max="15737" width="14.85546875" customWidth="1"/>
    <col min="15738" max="15738" width="15.140625" bestFit="1" customWidth="1"/>
    <col min="15739" max="15739" width="12.140625" bestFit="1" customWidth="1"/>
    <col min="15740" max="15740" width="14.85546875" bestFit="1" customWidth="1"/>
    <col min="15741" max="15741" width="12.28515625" bestFit="1" customWidth="1"/>
    <col min="15742" max="15750" width="9.140625" hidden="1" customWidth="1"/>
    <col min="15751" max="15751" width="5.28515625" bestFit="1" customWidth="1"/>
    <col min="15752" max="15757" width="11.5703125" bestFit="1" customWidth="1"/>
    <col min="15758" max="15758" width="11.28515625" bestFit="1" customWidth="1"/>
    <col min="15759" max="15759" width="10.140625" bestFit="1" customWidth="1"/>
    <col min="15760" max="15760" width="11.5703125" bestFit="1" customWidth="1"/>
    <col min="15761" max="15761" width="16.140625" customWidth="1"/>
    <col min="15762" max="15762" width="13.42578125" customWidth="1"/>
    <col min="15763" max="15763" width="10.140625" bestFit="1" customWidth="1"/>
    <col min="15764" max="15764" width="12.85546875" bestFit="1" customWidth="1"/>
    <col min="15765" max="15765" width="12.28515625" bestFit="1" customWidth="1"/>
    <col min="15766" max="15766" width="11.28515625" bestFit="1" customWidth="1"/>
    <col min="15767" max="15767" width="11.5703125" bestFit="1" customWidth="1"/>
    <col min="15768" max="15768" width="10.85546875" bestFit="1" customWidth="1"/>
    <col min="15769" max="15769" width="11.28515625" bestFit="1" customWidth="1"/>
    <col min="15770" max="15770" width="10.140625" bestFit="1" customWidth="1"/>
    <col min="15771" max="15771" width="13.28515625" bestFit="1" customWidth="1"/>
    <col min="15772" max="15773" width="12.7109375" bestFit="1" customWidth="1"/>
    <col min="15774" max="15774" width="11" bestFit="1" customWidth="1"/>
    <col min="15775" max="15775" width="11.28515625" bestFit="1" customWidth="1"/>
    <col min="15776" max="15776" width="11.5703125" bestFit="1" customWidth="1"/>
    <col min="15777" max="15777" width="12.28515625" bestFit="1" customWidth="1"/>
    <col min="15778" max="15778" width="15.140625" bestFit="1" customWidth="1"/>
    <col min="15779" max="15779" width="14.42578125" bestFit="1" customWidth="1"/>
    <col min="15780" max="15780" width="12.28515625" bestFit="1" customWidth="1"/>
    <col min="15781" max="15781" width="15.140625" bestFit="1" customWidth="1"/>
    <col min="15782" max="15782" width="14.42578125" bestFit="1" customWidth="1"/>
    <col min="15783" max="15783" width="12.28515625" bestFit="1" customWidth="1"/>
    <col min="15784" max="15784" width="14.42578125" bestFit="1" customWidth="1"/>
    <col min="15785" max="15785" width="11.28515625" bestFit="1" customWidth="1"/>
    <col min="15786" max="15786" width="12.28515625" bestFit="1" customWidth="1"/>
    <col min="15787" max="15787" width="13" bestFit="1" customWidth="1"/>
    <col min="15788" max="15788" width="15.140625" bestFit="1" customWidth="1"/>
    <col min="15789" max="15789" width="12.28515625" bestFit="1" customWidth="1"/>
    <col min="15790" max="15790" width="13.85546875" bestFit="1" customWidth="1"/>
    <col min="15791" max="15791" width="11.28515625" bestFit="1" customWidth="1"/>
    <col min="15792" max="15792" width="12.28515625" bestFit="1" customWidth="1"/>
    <col min="15793" max="15793" width="13.85546875" bestFit="1" customWidth="1"/>
    <col min="15794" max="15795" width="15.140625" bestFit="1" customWidth="1"/>
    <col min="15796" max="15796" width="12.28515625" bestFit="1" customWidth="1"/>
    <col min="15797" max="15797" width="5.7109375" bestFit="1" customWidth="1"/>
    <col min="15798" max="15798" width="8.5703125" bestFit="1" customWidth="1"/>
    <col min="15799" max="15799" width="5.5703125" bestFit="1" customWidth="1"/>
    <col min="15800" max="15800" width="14.42578125" bestFit="1" customWidth="1"/>
    <col min="15801" max="15801" width="11.28515625" bestFit="1" customWidth="1"/>
    <col min="15802" max="15803" width="12.28515625" bestFit="1" customWidth="1"/>
    <col min="15804" max="15804" width="11.28515625" bestFit="1" customWidth="1"/>
    <col min="15805" max="15805" width="13.85546875" bestFit="1" customWidth="1"/>
    <col min="15806" max="15806" width="12" bestFit="1" customWidth="1"/>
    <col min="15807" max="15807" width="13.85546875" bestFit="1" customWidth="1"/>
    <col min="15808" max="15809" width="14.42578125" customWidth="1"/>
    <col min="15810" max="15810" width="10.140625" bestFit="1" customWidth="1"/>
    <col min="15811" max="15811" width="12.28515625" bestFit="1" customWidth="1"/>
    <col min="15812" max="15812" width="7.42578125" bestFit="1" customWidth="1"/>
    <col min="15813" max="15813" width="8.5703125" bestFit="1" customWidth="1"/>
    <col min="15814" max="15814" width="11.5703125" bestFit="1" customWidth="1"/>
    <col min="15815" max="15815" width="13.28515625" bestFit="1" customWidth="1"/>
    <col min="15816" max="15816" width="13.28515625" customWidth="1"/>
    <col min="15817" max="15817" width="13.140625" customWidth="1"/>
    <col min="15818" max="15818" width="12.7109375" bestFit="1" customWidth="1"/>
    <col min="15819" max="15819" width="13.28515625" bestFit="1" customWidth="1"/>
    <col min="15820" max="15822" width="13.28515625" customWidth="1"/>
    <col min="15823" max="15823" width="12.140625" bestFit="1" customWidth="1"/>
    <col min="15824" max="15824" width="12.7109375" bestFit="1" customWidth="1"/>
    <col min="15825" max="15825" width="11" customWidth="1"/>
    <col min="15826" max="15826" width="16.7109375" customWidth="1"/>
    <col min="15827" max="15827" width="17" customWidth="1"/>
    <col min="15828" max="15828" width="10.42578125" bestFit="1" customWidth="1"/>
    <col min="15872" max="15872" width="3.85546875" customWidth="1"/>
    <col min="15873" max="15873" width="15.28515625" bestFit="1" customWidth="1"/>
    <col min="15874" max="15874" width="12.28515625" customWidth="1"/>
    <col min="15875" max="15875" width="16.28515625" bestFit="1" customWidth="1"/>
    <col min="15876" max="15876" width="6.42578125" bestFit="1" customWidth="1"/>
    <col min="15877" max="15877" width="9.28515625" bestFit="1" customWidth="1"/>
    <col min="15878" max="15878" width="7.5703125" bestFit="1" customWidth="1"/>
    <col min="15879" max="15879" width="13.28515625" bestFit="1" customWidth="1"/>
    <col min="15880" max="15880" width="9.28515625" bestFit="1" customWidth="1"/>
    <col min="15881" max="15881" width="11.5703125" bestFit="1" customWidth="1"/>
    <col min="15882" max="15882" width="13.28515625" bestFit="1" customWidth="1"/>
    <col min="15883" max="15883" width="7.140625" bestFit="1" customWidth="1"/>
    <col min="15884" max="15884" width="12" bestFit="1" customWidth="1"/>
    <col min="15885" max="15885" width="13.28515625" bestFit="1" customWidth="1"/>
    <col min="15886" max="15886" width="7" bestFit="1" customWidth="1"/>
    <col min="15887" max="15887" width="12.7109375" bestFit="1" customWidth="1"/>
    <col min="15888" max="15888" width="11.5703125" bestFit="1" customWidth="1"/>
    <col min="15889" max="15889" width="10.5703125" bestFit="1" customWidth="1"/>
    <col min="15890" max="15891" width="15.7109375" bestFit="1" customWidth="1"/>
    <col min="15892" max="15892" width="11.5703125" bestFit="1" customWidth="1"/>
    <col min="15893" max="15893" width="7.7109375" bestFit="1" customWidth="1"/>
    <col min="15894" max="15894" width="15.140625" bestFit="1" customWidth="1"/>
    <col min="15895" max="15895" width="11.5703125" bestFit="1" customWidth="1"/>
    <col min="15896" max="15896" width="13.28515625" bestFit="1" customWidth="1"/>
    <col min="15897" max="15897" width="10.42578125" bestFit="1" customWidth="1"/>
    <col min="15898" max="15898" width="13.28515625" bestFit="1" customWidth="1"/>
    <col min="15899" max="15899" width="12.140625" bestFit="1" customWidth="1"/>
    <col min="15900" max="15900" width="14.42578125" bestFit="1" customWidth="1"/>
    <col min="15901" max="15901" width="13.28515625" bestFit="1" customWidth="1"/>
    <col min="15902" max="15902" width="11.5703125" bestFit="1" customWidth="1"/>
    <col min="15903" max="15903" width="7.7109375" bestFit="1" customWidth="1"/>
    <col min="15904" max="15905" width="14.42578125" bestFit="1" customWidth="1"/>
    <col min="15906" max="15906" width="11.5703125" bestFit="1" customWidth="1"/>
    <col min="15907" max="15907" width="7.7109375" bestFit="1" customWidth="1"/>
    <col min="15908" max="15908" width="13.5703125" customWidth="1"/>
    <col min="15909" max="15909" width="15.28515625" customWidth="1"/>
    <col min="15910" max="15910" width="14.5703125" customWidth="1"/>
    <col min="15911" max="15911" width="13.28515625" bestFit="1" customWidth="1"/>
    <col min="15912" max="15912" width="7.7109375" bestFit="1" customWidth="1"/>
    <col min="15913" max="15913" width="12.7109375" bestFit="1" customWidth="1"/>
    <col min="15914" max="15914" width="11.7109375" bestFit="1" customWidth="1"/>
    <col min="15915" max="15915" width="11.5703125" bestFit="1" customWidth="1"/>
    <col min="15916" max="15916" width="5.28515625" bestFit="1" customWidth="1"/>
    <col min="15917" max="15917" width="13.28515625" bestFit="1" customWidth="1"/>
    <col min="15918" max="15918" width="13.5703125" bestFit="1" customWidth="1"/>
    <col min="15919" max="15919" width="10.5703125" bestFit="1" customWidth="1"/>
    <col min="15920" max="15920" width="13.28515625" bestFit="1" customWidth="1"/>
    <col min="15921" max="15921" width="11.5703125" bestFit="1" customWidth="1"/>
    <col min="15922" max="15922" width="10.5703125" bestFit="1" customWidth="1"/>
    <col min="15923" max="15923" width="16.140625" bestFit="1" customWidth="1"/>
    <col min="15924" max="15925" width="11.28515625" bestFit="1" customWidth="1"/>
    <col min="15926" max="15926" width="13.28515625" bestFit="1" customWidth="1"/>
    <col min="15927" max="15927" width="7.7109375" bestFit="1" customWidth="1"/>
    <col min="15928" max="15931" width="9.140625" hidden="1" customWidth="1"/>
    <col min="15932" max="15932" width="10.42578125" bestFit="1" customWidth="1"/>
    <col min="15933" max="15933" width="10.5703125" bestFit="1" customWidth="1"/>
    <col min="15934" max="15934" width="10.42578125" bestFit="1" customWidth="1"/>
    <col min="15935" max="15935" width="10.5703125" bestFit="1" customWidth="1"/>
    <col min="15936" max="15936" width="9.5703125" bestFit="1" customWidth="1"/>
    <col min="15937" max="15937" width="11.5703125" bestFit="1" customWidth="1"/>
    <col min="15938" max="15938" width="10.42578125" bestFit="1" customWidth="1"/>
    <col min="15939" max="15939" width="10.85546875" customWidth="1"/>
    <col min="15940" max="15941" width="9.85546875" bestFit="1" customWidth="1"/>
    <col min="15942" max="15942" width="13.5703125" bestFit="1" customWidth="1"/>
    <col min="15943" max="15943" width="7.7109375" bestFit="1" customWidth="1"/>
    <col min="15944" max="15944" width="13.28515625" bestFit="1" customWidth="1"/>
    <col min="15945" max="15945" width="11.5703125" bestFit="1" customWidth="1"/>
    <col min="15946" max="15946" width="10.42578125" bestFit="1" customWidth="1"/>
    <col min="15947" max="15947" width="7.7109375" bestFit="1" customWidth="1"/>
    <col min="15948" max="15948" width="11.5703125" bestFit="1" customWidth="1"/>
    <col min="15949" max="15949" width="10.85546875" bestFit="1" customWidth="1"/>
    <col min="15950" max="15950" width="13.28515625" bestFit="1" customWidth="1"/>
    <col min="15951" max="15951" width="10.85546875" bestFit="1" customWidth="1"/>
    <col min="15952" max="15953" width="7.5703125" bestFit="1" customWidth="1"/>
    <col min="15954" max="15955" width="10.42578125" bestFit="1" customWidth="1"/>
    <col min="15956" max="15956" width="11.5703125" bestFit="1" customWidth="1"/>
    <col min="15957" max="15957" width="5.28515625" bestFit="1" customWidth="1"/>
    <col min="15958" max="15958" width="10.28515625" bestFit="1" customWidth="1"/>
    <col min="15959" max="15959" width="10.42578125" bestFit="1" customWidth="1"/>
    <col min="15960" max="15960" width="11.5703125" bestFit="1" customWidth="1"/>
    <col min="15961" max="15961" width="5.28515625" bestFit="1" customWidth="1"/>
    <col min="15962" max="15964" width="11.5703125" bestFit="1" customWidth="1"/>
    <col min="15965" max="15965" width="5.28515625" bestFit="1" customWidth="1"/>
    <col min="15966" max="15967" width="10.42578125" bestFit="1" customWidth="1"/>
    <col min="15968" max="15968" width="11.5703125" bestFit="1" customWidth="1"/>
    <col min="15969" max="15969" width="5.28515625" bestFit="1" customWidth="1"/>
    <col min="15970" max="15970" width="14.28515625" bestFit="1" customWidth="1"/>
    <col min="15971" max="15971" width="13" bestFit="1" customWidth="1"/>
    <col min="15972" max="15972" width="11.5703125" bestFit="1" customWidth="1"/>
    <col min="15973" max="15973" width="8.85546875" bestFit="1" customWidth="1"/>
    <col min="15974" max="15974" width="14.42578125" bestFit="1" customWidth="1"/>
    <col min="15975" max="15975" width="10.42578125" bestFit="1" customWidth="1"/>
    <col min="15976" max="15976" width="12.28515625" bestFit="1" customWidth="1"/>
    <col min="15977" max="15977" width="13.85546875" bestFit="1" customWidth="1"/>
    <col min="15978" max="15978" width="11.28515625" customWidth="1"/>
    <col min="15979" max="15979" width="11.5703125" customWidth="1"/>
    <col min="15980" max="15980" width="13.42578125" bestFit="1" customWidth="1"/>
    <col min="15981" max="15981" width="10.42578125" customWidth="1"/>
    <col min="15982" max="15982" width="13.85546875" bestFit="1" customWidth="1"/>
    <col min="15983" max="15983" width="15.42578125" bestFit="1" customWidth="1"/>
    <col min="15984" max="15984" width="12.28515625" bestFit="1" customWidth="1"/>
    <col min="15985" max="15985" width="12.7109375" customWidth="1"/>
    <col min="15986" max="15986" width="10.7109375" bestFit="1" customWidth="1"/>
    <col min="15987" max="15987" width="9.85546875" customWidth="1"/>
    <col min="15988" max="15989" width="10.140625" bestFit="1" customWidth="1"/>
    <col min="15990" max="15990" width="7.5703125" bestFit="1" customWidth="1"/>
    <col min="15991" max="15991" width="9.42578125" bestFit="1" customWidth="1"/>
    <col min="15992" max="15992" width="14.5703125" bestFit="1" customWidth="1"/>
    <col min="15993" max="15993" width="14.85546875" customWidth="1"/>
    <col min="15994" max="15994" width="15.140625" bestFit="1" customWidth="1"/>
    <col min="15995" max="15995" width="12.140625" bestFit="1" customWidth="1"/>
    <col min="15996" max="15996" width="14.85546875" bestFit="1" customWidth="1"/>
    <col min="15997" max="15997" width="12.28515625" bestFit="1" customWidth="1"/>
    <col min="15998" max="16006" width="9.140625" hidden="1" customWidth="1"/>
    <col min="16007" max="16007" width="5.28515625" bestFit="1" customWidth="1"/>
    <col min="16008" max="16013" width="11.5703125" bestFit="1" customWidth="1"/>
    <col min="16014" max="16014" width="11.28515625" bestFit="1" customWidth="1"/>
    <col min="16015" max="16015" width="10.140625" bestFit="1" customWidth="1"/>
    <col min="16016" max="16016" width="11.5703125" bestFit="1" customWidth="1"/>
    <col min="16017" max="16017" width="16.140625" customWidth="1"/>
    <col min="16018" max="16018" width="13.42578125" customWidth="1"/>
    <col min="16019" max="16019" width="10.140625" bestFit="1" customWidth="1"/>
    <col min="16020" max="16020" width="12.85546875" bestFit="1" customWidth="1"/>
    <col min="16021" max="16021" width="12.28515625" bestFit="1" customWidth="1"/>
    <col min="16022" max="16022" width="11.28515625" bestFit="1" customWidth="1"/>
    <col min="16023" max="16023" width="11.5703125" bestFit="1" customWidth="1"/>
    <col min="16024" max="16024" width="10.85546875" bestFit="1" customWidth="1"/>
    <col min="16025" max="16025" width="11.28515625" bestFit="1" customWidth="1"/>
    <col min="16026" max="16026" width="10.140625" bestFit="1" customWidth="1"/>
    <col min="16027" max="16027" width="13.28515625" bestFit="1" customWidth="1"/>
    <col min="16028" max="16029" width="12.7109375" bestFit="1" customWidth="1"/>
    <col min="16030" max="16030" width="11" bestFit="1" customWidth="1"/>
    <col min="16031" max="16031" width="11.28515625" bestFit="1" customWidth="1"/>
    <col min="16032" max="16032" width="11.5703125" bestFit="1" customWidth="1"/>
    <col min="16033" max="16033" width="12.28515625" bestFit="1" customWidth="1"/>
    <col min="16034" max="16034" width="15.140625" bestFit="1" customWidth="1"/>
    <col min="16035" max="16035" width="14.42578125" bestFit="1" customWidth="1"/>
    <col min="16036" max="16036" width="12.28515625" bestFit="1" customWidth="1"/>
    <col min="16037" max="16037" width="15.140625" bestFit="1" customWidth="1"/>
    <col min="16038" max="16038" width="14.42578125" bestFit="1" customWidth="1"/>
    <col min="16039" max="16039" width="12.28515625" bestFit="1" customWidth="1"/>
    <col min="16040" max="16040" width="14.42578125" bestFit="1" customWidth="1"/>
    <col min="16041" max="16041" width="11.28515625" bestFit="1" customWidth="1"/>
    <col min="16042" max="16042" width="12.28515625" bestFit="1" customWidth="1"/>
    <col min="16043" max="16043" width="13" bestFit="1" customWidth="1"/>
    <col min="16044" max="16044" width="15.140625" bestFit="1" customWidth="1"/>
    <col min="16045" max="16045" width="12.28515625" bestFit="1" customWidth="1"/>
    <col min="16046" max="16046" width="13.85546875" bestFit="1" customWidth="1"/>
    <col min="16047" max="16047" width="11.28515625" bestFit="1" customWidth="1"/>
    <col min="16048" max="16048" width="12.28515625" bestFit="1" customWidth="1"/>
    <col min="16049" max="16049" width="13.85546875" bestFit="1" customWidth="1"/>
    <col min="16050" max="16051" width="15.140625" bestFit="1" customWidth="1"/>
    <col min="16052" max="16052" width="12.28515625" bestFit="1" customWidth="1"/>
    <col min="16053" max="16053" width="5.7109375" bestFit="1" customWidth="1"/>
    <col min="16054" max="16054" width="8.5703125" bestFit="1" customWidth="1"/>
    <col min="16055" max="16055" width="5.5703125" bestFit="1" customWidth="1"/>
    <col min="16056" max="16056" width="14.42578125" bestFit="1" customWidth="1"/>
    <col min="16057" max="16057" width="11.28515625" bestFit="1" customWidth="1"/>
    <col min="16058" max="16059" width="12.28515625" bestFit="1" customWidth="1"/>
    <col min="16060" max="16060" width="11.28515625" bestFit="1" customWidth="1"/>
    <col min="16061" max="16061" width="13.85546875" bestFit="1" customWidth="1"/>
    <col min="16062" max="16062" width="12" bestFit="1" customWidth="1"/>
    <col min="16063" max="16063" width="13.85546875" bestFit="1" customWidth="1"/>
    <col min="16064" max="16065" width="14.42578125" customWidth="1"/>
    <col min="16066" max="16066" width="10.140625" bestFit="1" customWidth="1"/>
    <col min="16067" max="16067" width="12.28515625" bestFit="1" customWidth="1"/>
    <col min="16068" max="16068" width="7.42578125" bestFit="1" customWidth="1"/>
    <col min="16069" max="16069" width="8.5703125" bestFit="1" customWidth="1"/>
    <col min="16070" max="16070" width="11.5703125" bestFit="1" customWidth="1"/>
    <col min="16071" max="16071" width="13.28515625" bestFit="1" customWidth="1"/>
    <col min="16072" max="16072" width="13.28515625" customWidth="1"/>
    <col min="16073" max="16073" width="13.140625" customWidth="1"/>
    <col min="16074" max="16074" width="12.7109375" bestFit="1" customWidth="1"/>
    <col min="16075" max="16075" width="13.28515625" bestFit="1" customWidth="1"/>
    <col min="16076" max="16078" width="13.28515625" customWidth="1"/>
    <col min="16079" max="16079" width="12.140625" bestFit="1" customWidth="1"/>
    <col min="16080" max="16080" width="12.7109375" bestFit="1" customWidth="1"/>
    <col min="16081" max="16081" width="11" customWidth="1"/>
    <col min="16082" max="16082" width="16.7109375" customWidth="1"/>
    <col min="16083" max="16083" width="17" customWidth="1"/>
    <col min="16084" max="16084" width="10.42578125" bestFit="1" customWidth="1"/>
    <col min="16128" max="16128" width="3.85546875" customWidth="1"/>
    <col min="16129" max="16129" width="15.28515625" bestFit="1" customWidth="1"/>
    <col min="16130" max="16130" width="12.28515625" customWidth="1"/>
    <col min="16131" max="16131" width="16.28515625" bestFit="1" customWidth="1"/>
    <col min="16132" max="16132" width="6.42578125" bestFit="1" customWidth="1"/>
    <col min="16133" max="16133" width="9.28515625" bestFit="1" customWidth="1"/>
    <col min="16134" max="16134" width="7.5703125" bestFit="1" customWidth="1"/>
    <col min="16135" max="16135" width="13.28515625" bestFit="1" customWidth="1"/>
    <col min="16136" max="16136" width="9.28515625" bestFit="1" customWidth="1"/>
    <col min="16137" max="16137" width="11.5703125" bestFit="1" customWidth="1"/>
    <col min="16138" max="16138" width="13.28515625" bestFit="1" customWidth="1"/>
    <col min="16139" max="16139" width="7.140625" bestFit="1" customWidth="1"/>
    <col min="16140" max="16140" width="12" bestFit="1" customWidth="1"/>
    <col min="16141" max="16141" width="13.28515625" bestFit="1" customWidth="1"/>
    <col min="16142" max="16142" width="7" bestFit="1" customWidth="1"/>
    <col min="16143" max="16143" width="12.7109375" bestFit="1" customWidth="1"/>
    <col min="16144" max="16144" width="11.5703125" bestFit="1" customWidth="1"/>
    <col min="16145" max="16145" width="10.5703125" bestFit="1" customWidth="1"/>
    <col min="16146" max="16147" width="15.7109375" bestFit="1" customWidth="1"/>
    <col min="16148" max="16148" width="11.5703125" bestFit="1" customWidth="1"/>
    <col min="16149" max="16149" width="7.7109375" bestFit="1" customWidth="1"/>
    <col min="16150" max="16150" width="15.140625" bestFit="1" customWidth="1"/>
    <col min="16151" max="16151" width="11.5703125" bestFit="1" customWidth="1"/>
    <col min="16152" max="16152" width="13.28515625" bestFit="1" customWidth="1"/>
    <col min="16153" max="16153" width="10.42578125" bestFit="1" customWidth="1"/>
    <col min="16154" max="16154" width="13.28515625" bestFit="1" customWidth="1"/>
    <col min="16155" max="16155" width="12.140625" bestFit="1" customWidth="1"/>
    <col min="16156" max="16156" width="14.42578125" bestFit="1" customWidth="1"/>
    <col min="16157" max="16157" width="13.28515625" bestFit="1" customWidth="1"/>
    <col min="16158" max="16158" width="11.5703125" bestFit="1" customWidth="1"/>
    <col min="16159" max="16159" width="7.7109375" bestFit="1" customWidth="1"/>
    <col min="16160" max="16161" width="14.42578125" bestFit="1" customWidth="1"/>
    <col min="16162" max="16162" width="11.5703125" bestFit="1" customWidth="1"/>
    <col min="16163" max="16163" width="7.7109375" bestFit="1" customWidth="1"/>
    <col min="16164" max="16164" width="13.5703125" customWidth="1"/>
    <col min="16165" max="16165" width="15.28515625" customWidth="1"/>
    <col min="16166" max="16166" width="14.5703125" customWidth="1"/>
    <col min="16167" max="16167" width="13.28515625" bestFit="1" customWidth="1"/>
    <col min="16168" max="16168" width="7.7109375" bestFit="1" customWidth="1"/>
    <col min="16169" max="16169" width="12.7109375" bestFit="1" customWidth="1"/>
    <col min="16170" max="16170" width="11.7109375" bestFit="1" customWidth="1"/>
    <col min="16171" max="16171" width="11.5703125" bestFit="1" customWidth="1"/>
    <col min="16172" max="16172" width="5.28515625" bestFit="1" customWidth="1"/>
    <col min="16173" max="16173" width="13.28515625" bestFit="1" customWidth="1"/>
    <col min="16174" max="16174" width="13.5703125" bestFit="1" customWidth="1"/>
    <col min="16175" max="16175" width="10.5703125" bestFit="1" customWidth="1"/>
    <col min="16176" max="16176" width="13.28515625" bestFit="1" customWidth="1"/>
    <col min="16177" max="16177" width="11.5703125" bestFit="1" customWidth="1"/>
    <col min="16178" max="16178" width="10.5703125" bestFit="1" customWidth="1"/>
    <col min="16179" max="16179" width="16.140625" bestFit="1" customWidth="1"/>
    <col min="16180" max="16181" width="11.28515625" bestFit="1" customWidth="1"/>
    <col min="16182" max="16182" width="13.28515625" bestFit="1" customWidth="1"/>
    <col min="16183" max="16183" width="7.7109375" bestFit="1" customWidth="1"/>
    <col min="16184" max="16187" width="9.140625" hidden="1" customWidth="1"/>
    <col min="16188" max="16188" width="10.42578125" bestFit="1" customWidth="1"/>
    <col min="16189" max="16189" width="10.5703125" bestFit="1" customWidth="1"/>
    <col min="16190" max="16190" width="10.42578125" bestFit="1" customWidth="1"/>
    <col min="16191" max="16191" width="10.5703125" bestFit="1" customWidth="1"/>
    <col min="16192" max="16192" width="9.5703125" bestFit="1" customWidth="1"/>
    <col min="16193" max="16193" width="11.5703125" bestFit="1" customWidth="1"/>
    <col min="16194" max="16194" width="10.42578125" bestFit="1" customWidth="1"/>
    <col min="16195" max="16195" width="10.85546875" customWidth="1"/>
    <col min="16196" max="16197" width="9.85546875" bestFit="1" customWidth="1"/>
    <col min="16198" max="16198" width="13.5703125" bestFit="1" customWidth="1"/>
    <col min="16199" max="16199" width="7.7109375" bestFit="1" customWidth="1"/>
    <col min="16200" max="16200" width="13.28515625" bestFit="1" customWidth="1"/>
    <col min="16201" max="16201" width="11.5703125" bestFit="1" customWidth="1"/>
    <col min="16202" max="16202" width="10.42578125" bestFit="1" customWidth="1"/>
    <col min="16203" max="16203" width="7.7109375" bestFit="1" customWidth="1"/>
    <col min="16204" max="16204" width="11.5703125" bestFit="1" customWidth="1"/>
    <col min="16205" max="16205" width="10.85546875" bestFit="1" customWidth="1"/>
    <col min="16206" max="16206" width="13.28515625" bestFit="1" customWidth="1"/>
    <col min="16207" max="16207" width="10.85546875" bestFit="1" customWidth="1"/>
    <col min="16208" max="16209" width="7.5703125" bestFit="1" customWidth="1"/>
    <col min="16210" max="16211" width="10.42578125" bestFit="1" customWidth="1"/>
    <col min="16212" max="16212" width="11.5703125" bestFit="1" customWidth="1"/>
    <col min="16213" max="16213" width="5.28515625" bestFit="1" customWidth="1"/>
    <col min="16214" max="16214" width="10.28515625" bestFit="1" customWidth="1"/>
    <col min="16215" max="16215" width="10.42578125" bestFit="1" customWidth="1"/>
    <col min="16216" max="16216" width="11.5703125" bestFit="1" customWidth="1"/>
    <col min="16217" max="16217" width="5.28515625" bestFit="1" customWidth="1"/>
    <col min="16218" max="16220" width="11.5703125" bestFit="1" customWidth="1"/>
    <col min="16221" max="16221" width="5.28515625" bestFit="1" customWidth="1"/>
    <col min="16222" max="16223" width="10.42578125" bestFit="1" customWidth="1"/>
    <col min="16224" max="16224" width="11.5703125" bestFit="1" customWidth="1"/>
    <col min="16225" max="16225" width="5.28515625" bestFit="1" customWidth="1"/>
    <col min="16226" max="16226" width="14.28515625" bestFit="1" customWidth="1"/>
    <col min="16227" max="16227" width="13" bestFit="1" customWidth="1"/>
    <col min="16228" max="16228" width="11.5703125" bestFit="1" customWidth="1"/>
    <col min="16229" max="16229" width="8.85546875" bestFit="1" customWidth="1"/>
    <col min="16230" max="16230" width="14.42578125" bestFit="1" customWidth="1"/>
    <col min="16231" max="16231" width="10.42578125" bestFit="1" customWidth="1"/>
    <col min="16232" max="16232" width="12.28515625" bestFit="1" customWidth="1"/>
    <col min="16233" max="16233" width="13.85546875" bestFit="1" customWidth="1"/>
    <col min="16234" max="16234" width="11.28515625" customWidth="1"/>
    <col min="16235" max="16235" width="11.5703125" customWidth="1"/>
    <col min="16236" max="16236" width="13.42578125" bestFit="1" customWidth="1"/>
    <col min="16237" max="16237" width="10.42578125" customWidth="1"/>
    <col min="16238" max="16238" width="13.85546875" bestFit="1" customWidth="1"/>
    <col min="16239" max="16239" width="15.42578125" bestFit="1" customWidth="1"/>
    <col min="16240" max="16240" width="12.28515625" bestFit="1" customWidth="1"/>
    <col min="16241" max="16241" width="12.7109375" customWidth="1"/>
    <col min="16242" max="16242" width="10.7109375" bestFit="1" customWidth="1"/>
    <col min="16243" max="16243" width="9.85546875" customWidth="1"/>
    <col min="16244" max="16245" width="10.140625" bestFit="1" customWidth="1"/>
    <col min="16246" max="16246" width="7.5703125" bestFit="1" customWidth="1"/>
    <col min="16247" max="16247" width="9.42578125" bestFit="1" customWidth="1"/>
    <col min="16248" max="16248" width="14.5703125" bestFit="1" customWidth="1"/>
    <col min="16249" max="16249" width="14.85546875" customWidth="1"/>
    <col min="16250" max="16250" width="15.140625" bestFit="1" customWidth="1"/>
    <col min="16251" max="16251" width="12.140625" bestFit="1" customWidth="1"/>
    <col min="16252" max="16252" width="14.85546875" bestFit="1" customWidth="1"/>
    <col min="16253" max="16253" width="12.28515625" bestFit="1" customWidth="1"/>
    <col min="16254" max="16262" width="9.140625" hidden="1" customWidth="1"/>
    <col min="16263" max="16263" width="5.28515625" bestFit="1" customWidth="1"/>
    <col min="16264" max="16269" width="11.5703125" bestFit="1" customWidth="1"/>
    <col min="16270" max="16270" width="11.28515625" bestFit="1" customWidth="1"/>
    <col min="16271" max="16271" width="10.140625" bestFit="1" customWidth="1"/>
    <col min="16272" max="16272" width="11.5703125" bestFit="1" customWidth="1"/>
    <col min="16273" max="16273" width="16.140625" customWidth="1"/>
    <col min="16274" max="16274" width="13.42578125" customWidth="1"/>
    <col min="16275" max="16275" width="10.140625" bestFit="1" customWidth="1"/>
    <col min="16276" max="16276" width="12.85546875" bestFit="1" customWidth="1"/>
    <col min="16277" max="16277" width="12.28515625" bestFit="1" customWidth="1"/>
    <col min="16278" max="16278" width="11.28515625" bestFit="1" customWidth="1"/>
    <col min="16279" max="16279" width="11.5703125" bestFit="1" customWidth="1"/>
    <col min="16280" max="16280" width="10.85546875" bestFit="1" customWidth="1"/>
    <col min="16281" max="16281" width="11.28515625" bestFit="1" customWidth="1"/>
    <col min="16282" max="16282" width="10.140625" bestFit="1" customWidth="1"/>
    <col min="16283" max="16283" width="13.28515625" bestFit="1" customWidth="1"/>
    <col min="16284" max="16285" width="12.7109375" bestFit="1" customWidth="1"/>
    <col min="16286" max="16286" width="11" bestFit="1" customWidth="1"/>
    <col min="16287" max="16287" width="11.28515625" bestFit="1" customWidth="1"/>
    <col min="16288" max="16288" width="11.5703125" bestFit="1" customWidth="1"/>
    <col min="16289" max="16289" width="12.28515625" bestFit="1" customWidth="1"/>
    <col min="16290" max="16290" width="15.140625" bestFit="1" customWidth="1"/>
    <col min="16291" max="16291" width="14.42578125" bestFit="1" customWidth="1"/>
    <col min="16292" max="16292" width="12.28515625" bestFit="1" customWidth="1"/>
    <col min="16293" max="16293" width="15.140625" bestFit="1" customWidth="1"/>
    <col min="16294" max="16294" width="14.42578125" bestFit="1" customWidth="1"/>
    <col min="16295" max="16295" width="12.28515625" bestFit="1" customWidth="1"/>
    <col min="16296" max="16296" width="14.42578125" bestFit="1" customWidth="1"/>
    <col min="16297" max="16297" width="11.28515625" bestFit="1" customWidth="1"/>
    <col min="16298" max="16298" width="12.28515625" bestFit="1" customWidth="1"/>
    <col min="16299" max="16299" width="13" bestFit="1" customWidth="1"/>
    <col min="16300" max="16300" width="15.140625" bestFit="1" customWidth="1"/>
    <col min="16301" max="16301" width="12.28515625" bestFit="1" customWidth="1"/>
    <col min="16302" max="16302" width="13.85546875" bestFit="1" customWidth="1"/>
    <col min="16303" max="16303" width="11.28515625" bestFit="1" customWidth="1"/>
    <col min="16304" max="16304" width="12.28515625" bestFit="1" customWidth="1"/>
    <col min="16305" max="16305" width="13.85546875" bestFit="1" customWidth="1"/>
    <col min="16306" max="16307" width="15.140625" bestFit="1" customWidth="1"/>
    <col min="16308" max="16308" width="12.28515625" bestFit="1" customWidth="1"/>
    <col min="16309" max="16309" width="5.7109375" bestFit="1" customWidth="1"/>
    <col min="16310" max="16310" width="8.5703125" bestFit="1" customWidth="1"/>
    <col min="16311" max="16311" width="5.5703125" bestFit="1" customWidth="1"/>
    <col min="16312" max="16312" width="14.42578125" bestFit="1" customWidth="1"/>
    <col min="16313" max="16313" width="11.28515625" bestFit="1" customWidth="1"/>
    <col min="16314" max="16315" width="12.28515625" bestFit="1" customWidth="1"/>
    <col min="16316" max="16316" width="11.28515625" bestFit="1" customWidth="1"/>
    <col min="16317" max="16317" width="13.85546875" bestFit="1" customWidth="1"/>
    <col min="16318" max="16318" width="12" bestFit="1" customWidth="1"/>
    <col min="16319" max="16319" width="13.85546875" bestFit="1" customWidth="1"/>
    <col min="16320" max="16321" width="14.42578125" customWidth="1"/>
    <col min="16322" max="16322" width="10.140625" bestFit="1" customWidth="1"/>
    <col min="16323" max="16323" width="12.28515625" bestFit="1" customWidth="1"/>
    <col min="16324" max="16324" width="7.42578125" bestFit="1" customWidth="1"/>
    <col min="16325" max="16325" width="8.5703125" bestFit="1" customWidth="1"/>
    <col min="16326" max="16326" width="11.5703125" bestFit="1" customWidth="1"/>
    <col min="16327" max="16327" width="13.28515625" bestFit="1" customWidth="1"/>
    <col min="16328" max="16328" width="13.28515625" customWidth="1"/>
    <col min="16329" max="16329" width="13.140625" customWidth="1"/>
    <col min="16330" max="16330" width="12.7109375" bestFit="1" customWidth="1"/>
    <col min="16331" max="16331" width="13.28515625" bestFit="1" customWidth="1"/>
    <col min="16332" max="16334" width="13.28515625" customWidth="1"/>
    <col min="16335" max="16335" width="12.140625" bestFit="1" customWidth="1"/>
    <col min="16336" max="16336" width="12.7109375" bestFit="1" customWidth="1"/>
    <col min="16337" max="16337" width="11" customWidth="1"/>
    <col min="16338" max="16338" width="16.7109375" customWidth="1"/>
    <col min="16339" max="16339" width="17" customWidth="1"/>
    <col min="16340" max="16340" width="10.42578125" bestFit="1" customWidth="1"/>
  </cols>
  <sheetData>
    <row r="1" spans="1:284" x14ac:dyDescent="0.25">
      <c r="A1" s="1" t="s">
        <v>0</v>
      </c>
      <c r="CE1" s="2"/>
      <c r="ED1" s="3"/>
      <c r="EE1" s="3"/>
      <c r="EP1" s="2"/>
      <c r="FD1" s="2"/>
    </row>
    <row r="2" spans="1:284" x14ac:dyDescent="0.25">
      <c r="A2" s="1" t="s">
        <v>184</v>
      </c>
      <c r="ED2" s="3"/>
      <c r="EP2" s="2"/>
      <c r="FD2" s="2"/>
      <c r="FE2" s="3"/>
      <c r="GA2" t="s">
        <v>211</v>
      </c>
      <c r="GP2" s="447" t="s">
        <v>210</v>
      </c>
      <c r="GQ2" s="447"/>
    </row>
    <row r="3" spans="1:284" x14ac:dyDescent="0.25">
      <c r="A3" s="448" t="s">
        <v>1</v>
      </c>
      <c r="B3" s="449" t="s">
        <v>2</v>
      </c>
      <c r="C3" s="449"/>
      <c r="D3" s="449"/>
      <c r="E3" s="449"/>
      <c r="F3" s="449"/>
      <c r="G3" s="449"/>
      <c r="H3" s="420" t="s">
        <v>3</v>
      </c>
      <c r="I3" s="420"/>
      <c r="J3" s="420"/>
      <c r="K3" s="420"/>
      <c r="L3" s="420"/>
      <c r="M3" s="420"/>
      <c r="N3" s="420"/>
      <c r="O3" s="420" t="s">
        <v>4</v>
      </c>
      <c r="P3" s="420"/>
      <c r="Q3" s="420"/>
      <c r="R3" s="420"/>
      <c r="S3" s="420"/>
      <c r="T3" s="420"/>
      <c r="U3" s="420"/>
      <c r="V3" s="420"/>
      <c r="W3" s="420"/>
      <c r="X3" s="420"/>
      <c r="Y3" s="420"/>
      <c r="Z3" s="420"/>
      <c r="AA3" s="420"/>
      <c r="AB3" s="420"/>
      <c r="AC3" s="420"/>
      <c r="AD3" s="420"/>
      <c r="AE3" s="420"/>
      <c r="AF3" s="420"/>
      <c r="AG3" s="420"/>
      <c r="AH3" s="420"/>
      <c r="AI3" s="420"/>
      <c r="AJ3" s="420"/>
      <c r="AK3" s="420"/>
      <c r="AL3" s="420"/>
      <c r="AM3" s="420"/>
      <c r="AN3" s="420"/>
      <c r="AO3" s="420"/>
      <c r="AP3" s="420"/>
      <c r="AQ3" s="420"/>
      <c r="AR3" s="420"/>
      <c r="AS3" s="420"/>
      <c r="AT3" s="420"/>
      <c r="AU3" s="420"/>
      <c r="AV3" s="420"/>
      <c r="AW3" s="420"/>
      <c r="AX3" s="420"/>
      <c r="AY3" s="420"/>
      <c r="AZ3" s="420"/>
      <c r="BA3" s="420"/>
      <c r="BB3" s="420"/>
      <c r="BC3" s="420"/>
      <c r="BD3" s="420"/>
      <c r="BE3" s="433" t="s">
        <v>5</v>
      </c>
      <c r="BF3" s="445"/>
      <c r="BG3" s="434"/>
      <c r="BH3" s="403" t="s">
        <v>6</v>
      </c>
      <c r="BI3" s="417"/>
      <c r="BJ3" s="404"/>
      <c r="BK3" s="433" t="s">
        <v>7</v>
      </c>
      <c r="BL3" s="445"/>
      <c r="BM3" s="445"/>
      <c r="BN3" s="445"/>
      <c r="BO3" s="445"/>
      <c r="BP3" s="434"/>
      <c r="BQ3" s="420" t="s">
        <v>8</v>
      </c>
      <c r="BR3" s="420"/>
      <c r="BS3" s="450"/>
      <c r="BT3" s="451"/>
      <c r="BU3" s="420" t="s">
        <v>9</v>
      </c>
      <c r="BV3" s="420"/>
      <c r="BW3" s="420"/>
      <c r="BX3" s="420"/>
      <c r="BY3" s="420"/>
      <c r="BZ3" s="420"/>
      <c r="CA3" s="420"/>
      <c r="CB3" s="420"/>
      <c r="CC3" s="420"/>
      <c r="CD3" s="420"/>
      <c r="CE3" s="420"/>
      <c r="CF3" s="420"/>
      <c r="CG3" s="420"/>
      <c r="CH3" s="420"/>
      <c r="CI3" s="420"/>
      <c r="CJ3" s="420"/>
      <c r="CK3" s="420"/>
      <c r="CL3" s="420"/>
      <c r="CM3" s="420"/>
      <c r="CN3" s="420"/>
      <c r="CO3" s="420"/>
      <c r="CP3" s="420"/>
      <c r="CQ3" s="420"/>
      <c r="CR3" s="420"/>
      <c r="CS3" s="420"/>
      <c r="CT3" s="420"/>
      <c r="CU3" s="420"/>
      <c r="CV3" s="420"/>
      <c r="CW3" s="420"/>
      <c r="CX3" s="420"/>
      <c r="CY3" s="420"/>
      <c r="CZ3" s="420"/>
      <c r="DA3" s="420"/>
      <c r="DB3" s="420"/>
      <c r="DC3" s="420"/>
      <c r="DD3" s="420"/>
      <c r="DE3" s="420"/>
      <c r="DF3" s="420"/>
      <c r="DG3" s="420"/>
      <c r="DH3" s="438" t="s">
        <v>10</v>
      </c>
      <c r="DI3" s="421" t="s">
        <v>11</v>
      </c>
      <c r="DJ3" s="421"/>
      <c r="DK3" s="421"/>
      <c r="DL3" s="421"/>
      <c r="DM3" s="421"/>
      <c r="DN3" s="421"/>
      <c r="DO3" s="421"/>
      <c r="DP3" s="421"/>
      <c r="DQ3" s="408" t="s">
        <v>180</v>
      </c>
      <c r="DR3" s="409"/>
      <c r="DS3" s="408" t="s">
        <v>12</v>
      </c>
      <c r="DT3" s="409"/>
      <c r="DU3" s="440" t="s">
        <v>13</v>
      </c>
      <c r="DV3" s="441"/>
      <c r="DW3" s="441"/>
      <c r="DX3" s="441"/>
      <c r="DY3" s="441"/>
      <c r="DZ3" s="441"/>
      <c r="EA3" s="441"/>
      <c r="EB3" s="441"/>
      <c r="EC3" s="442"/>
      <c r="ED3" s="4"/>
      <c r="EE3" s="440" t="s">
        <v>14</v>
      </c>
      <c r="EF3" s="441"/>
      <c r="EG3" s="441"/>
      <c r="EH3" s="441"/>
      <c r="EI3" s="441"/>
      <c r="EJ3" s="441"/>
      <c r="EK3" s="441"/>
      <c r="EL3" s="441"/>
      <c r="EM3" s="442"/>
      <c r="EN3" s="5"/>
      <c r="EO3" s="446" t="s">
        <v>15</v>
      </c>
      <c r="EP3" s="446"/>
      <c r="EQ3" s="446"/>
      <c r="ER3" s="446"/>
      <c r="ES3" s="446"/>
      <c r="ET3" s="446"/>
      <c r="EU3" s="446"/>
      <c r="EV3" s="446"/>
      <c r="EW3" s="446"/>
      <c r="EX3" s="446"/>
      <c r="EY3" s="446"/>
      <c r="EZ3" s="446"/>
      <c r="FA3" s="446"/>
      <c r="FB3" s="446"/>
      <c r="FC3" s="446"/>
      <c r="FD3" s="446"/>
      <c r="FE3" s="446" t="s">
        <v>16</v>
      </c>
      <c r="FF3" s="446"/>
      <c r="FG3" s="446"/>
      <c r="FH3" s="446"/>
      <c r="FI3" s="446"/>
      <c r="FJ3" s="446"/>
      <c r="FK3" s="446"/>
      <c r="FL3" s="446"/>
      <c r="FM3" s="446"/>
      <c r="FN3" s="446"/>
      <c r="FO3" s="446"/>
      <c r="FP3" s="446"/>
      <c r="FQ3" s="446"/>
      <c r="FR3" s="446"/>
      <c r="FS3" s="446"/>
      <c r="FT3" s="446"/>
      <c r="FU3" s="446"/>
      <c r="FV3" s="446" t="s">
        <v>17</v>
      </c>
      <c r="FW3" s="446"/>
      <c r="FX3" s="446"/>
      <c r="FY3" s="446"/>
      <c r="FZ3" s="446"/>
      <c r="GA3" s="446"/>
      <c r="GB3" s="446"/>
      <c r="GC3" s="446"/>
      <c r="GD3" s="446"/>
      <c r="GE3" s="446"/>
      <c r="GF3" s="446"/>
      <c r="GG3" s="446"/>
      <c r="GH3" s="404" t="s">
        <v>18</v>
      </c>
      <c r="GI3" s="402"/>
      <c r="GJ3" s="402"/>
      <c r="GK3" s="402"/>
      <c r="GL3" s="402"/>
      <c r="GM3" s="402"/>
      <c r="GN3" s="403" t="s">
        <v>202</v>
      </c>
      <c r="GO3" s="417"/>
      <c r="GP3" s="404"/>
      <c r="GQ3" s="403" t="s">
        <v>209</v>
      </c>
      <c r="GR3" s="417"/>
      <c r="GS3" s="404"/>
      <c r="HH3" s="406" t="s">
        <v>256</v>
      </c>
      <c r="HI3" s="406"/>
      <c r="HJ3" s="406"/>
      <c r="HK3" s="406"/>
      <c r="HL3" s="406"/>
      <c r="HM3" s="406"/>
      <c r="HN3" s="406"/>
      <c r="HO3" s="406"/>
      <c r="HP3" s="406"/>
      <c r="HQ3" s="406"/>
      <c r="HR3" s="406"/>
      <c r="HS3" s="406"/>
      <c r="HT3" s="406"/>
      <c r="HU3" s="406"/>
      <c r="HV3" s="406"/>
      <c r="HW3" s="406"/>
      <c r="HX3" s="406"/>
      <c r="HY3" s="406"/>
      <c r="HZ3" s="406"/>
      <c r="IA3" s="406"/>
      <c r="IB3" s="406"/>
      <c r="IC3" s="406"/>
      <c r="ID3" s="406"/>
      <c r="IE3" s="406"/>
      <c r="IF3" s="406"/>
      <c r="IG3" s="406"/>
      <c r="IH3" s="406"/>
      <c r="II3" s="406"/>
      <c r="IJ3" s="406"/>
      <c r="IK3" s="406"/>
      <c r="IL3" s="406"/>
      <c r="IM3" s="406"/>
      <c r="IN3" s="406"/>
      <c r="IO3" s="406"/>
      <c r="IP3" s="406"/>
      <c r="IQ3" s="406"/>
      <c r="IR3" s="406"/>
      <c r="IS3" s="406"/>
      <c r="IT3" s="406"/>
      <c r="IU3" s="406"/>
      <c r="IV3" s="406"/>
      <c r="IW3" s="406"/>
      <c r="IX3" s="406"/>
      <c r="IY3" s="406"/>
      <c r="IZ3" s="406"/>
      <c r="JA3" s="406"/>
      <c r="JB3" s="406"/>
      <c r="JC3" s="406"/>
      <c r="JD3" s="406"/>
      <c r="JE3" s="406"/>
      <c r="JF3" s="406"/>
      <c r="JG3" s="406"/>
      <c r="JH3" s="406"/>
      <c r="JI3" s="406"/>
      <c r="JJ3" s="406"/>
      <c r="JK3" s="406"/>
      <c r="JL3" s="406"/>
      <c r="JM3" s="406"/>
      <c r="JN3" s="406"/>
      <c r="JO3" s="406"/>
      <c r="JP3" s="406"/>
      <c r="JQ3" s="406"/>
      <c r="JR3" s="406"/>
      <c r="JS3" s="406"/>
      <c r="JT3" s="406"/>
      <c r="JU3" s="406"/>
      <c r="JV3" s="406"/>
    </row>
    <row r="4" spans="1:284" x14ac:dyDescent="0.25">
      <c r="A4" s="448"/>
      <c r="B4" s="449"/>
      <c r="C4" s="449"/>
      <c r="D4" s="449"/>
      <c r="E4" s="449"/>
      <c r="F4" s="449"/>
      <c r="G4" s="449"/>
      <c r="H4" s="420"/>
      <c r="I4" s="420"/>
      <c r="J4" s="420"/>
      <c r="K4" s="420"/>
      <c r="L4" s="420"/>
      <c r="M4" s="420"/>
      <c r="N4" s="420"/>
      <c r="O4" s="420" t="s">
        <v>20</v>
      </c>
      <c r="P4" s="420"/>
      <c r="Q4" s="420"/>
      <c r="R4" s="420"/>
      <c r="S4" s="420"/>
      <c r="T4" s="420"/>
      <c r="U4" s="420"/>
      <c r="V4" s="420"/>
      <c r="W4" s="420"/>
      <c r="X4" s="420"/>
      <c r="Y4" s="420"/>
      <c r="Z4" s="420"/>
      <c r="AA4" s="420"/>
      <c r="AB4" s="420"/>
      <c r="AC4" s="420"/>
      <c r="AD4" s="420"/>
      <c r="AE4" s="420"/>
      <c r="AF4" s="420"/>
      <c r="AG4" s="420"/>
      <c r="AH4" s="420"/>
      <c r="AI4" s="420"/>
      <c r="AJ4" s="7"/>
      <c r="AK4" s="430" t="s">
        <v>21</v>
      </c>
      <c r="AL4" s="420" t="s">
        <v>22</v>
      </c>
      <c r="AM4" s="420"/>
      <c r="AN4" s="420"/>
      <c r="AO4" s="420"/>
      <c r="AP4" s="420"/>
      <c r="AQ4" s="420"/>
      <c r="AR4" s="420"/>
      <c r="AS4" s="420"/>
      <c r="AT4" s="420"/>
      <c r="AU4" s="420"/>
      <c r="AV4" s="420"/>
      <c r="AW4" s="420"/>
      <c r="AX4" s="420"/>
      <c r="AY4" s="420"/>
      <c r="AZ4" s="420"/>
      <c r="BA4" s="420"/>
      <c r="BB4" s="420"/>
      <c r="BC4" s="420"/>
      <c r="BD4" s="430" t="s">
        <v>23</v>
      </c>
      <c r="BE4" s="420" t="s">
        <v>24</v>
      </c>
      <c r="BF4" s="420"/>
      <c r="BG4" s="420"/>
      <c r="BH4" s="7"/>
      <c r="BI4" s="7"/>
      <c r="BJ4" s="7"/>
      <c r="BK4" s="420" t="s">
        <v>25</v>
      </c>
      <c r="BL4" s="420"/>
      <c r="BM4" s="420" t="s">
        <v>26</v>
      </c>
      <c r="BN4" s="420"/>
      <c r="BO4" s="427" t="s">
        <v>27</v>
      </c>
      <c r="BP4" s="427"/>
      <c r="BQ4" s="420"/>
      <c r="BR4" s="420"/>
      <c r="BS4" s="428" t="s">
        <v>28</v>
      </c>
      <c r="BT4" s="429"/>
      <c r="BU4" s="420"/>
      <c r="BV4" s="420"/>
      <c r="BW4" s="420"/>
      <c r="BX4" s="420"/>
      <c r="BY4" s="420"/>
      <c r="BZ4" s="420"/>
      <c r="CA4" s="420"/>
      <c r="CB4" s="420"/>
      <c r="CC4" s="420"/>
      <c r="CD4" s="420"/>
      <c r="CE4" s="420"/>
      <c r="CF4" s="420"/>
      <c r="CG4" s="420"/>
      <c r="CH4" s="420"/>
      <c r="CI4" s="420"/>
      <c r="CJ4" s="420"/>
      <c r="CK4" s="420"/>
      <c r="CL4" s="420"/>
      <c r="CM4" s="420"/>
      <c r="CN4" s="420"/>
      <c r="CO4" s="420"/>
      <c r="CP4" s="420"/>
      <c r="CQ4" s="420"/>
      <c r="CR4" s="420"/>
      <c r="CS4" s="420"/>
      <c r="CT4" s="420"/>
      <c r="CU4" s="420"/>
      <c r="CV4" s="420"/>
      <c r="CW4" s="420"/>
      <c r="CX4" s="420"/>
      <c r="CY4" s="420"/>
      <c r="CZ4" s="420"/>
      <c r="DA4" s="420"/>
      <c r="DB4" s="420"/>
      <c r="DC4" s="420"/>
      <c r="DD4" s="420"/>
      <c r="DE4" s="420"/>
      <c r="DF4" s="420"/>
      <c r="DG4" s="420"/>
      <c r="DH4" s="439"/>
      <c r="DI4" s="421"/>
      <c r="DJ4" s="421"/>
      <c r="DK4" s="421"/>
      <c r="DL4" s="421"/>
      <c r="DM4" s="421"/>
      <c r="DN4" s="421"/>
      <c r="DO4" s="421"/>
      <c r="DP4" s="421"/>
      <c r="DQ4" s="410"/>
      <c r="DR4" s="411"/>
      <c r="DS4" s="410"/>
      <c r="DT4" s="411"/>
      <c r="DU4" s="435" t="s">
        <v>29</v>
      </c>
      <c r="DV4" s="436"/>
      <c r="DW4" s="437"/>
      <c r="DX4" s="435" t="s">
        <v>30</v>
      </c>
      <c r="DY4" s="436"/>
      <c r="DZ4" s="437"/>
      <c r="EA4" s="435"/>
      <c r="EB4" s="436"/>
      <c r="EC4" s="437"/>
      <c r="ED4" s="8" t="s">
        <v>31</v>
      </c>
      <c r="EE4" s="435"/>
      <c r="EF4" s="436"/>
      <c r="EG4" s="437"/>
      <c r="EH4" s="435"/>
      <c r="EI4" s="436"/>
      <c r="EJ4" s="437"/>
      <c r="EK4" s="435"/>
      <c r="EL4" s="436"/>
      <c r="EM4" s="437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403" t="s">
        <v>33</v>
      </c>
      <c r="FW4" s="417"/>
      <c r="FX4" s="417"/>
      <c r="FY4" s="417" t="s">
        <v>33</v>
      </c>
      <c r="FZ4" s="417"/>
      <c r="GA4" s="417"/>
      <c r="GB4" s="417"/>
      <c r="GC4" s="417"/>
      <c r="GD4" s="417"/>
      <c r="GE4" s="417"/>
      <c r="GF4" s="417"/>
      <c r="GG4" s="404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402" t="s">
        <v>252</v>
      </c>
      <c r="HH4" s="491" t="s">
        <v>106</v>
      </c>
      <c r="HI4" s="491"/>
      <c r="HJ4" s="491"/>
      <c r="HK4" s="491" t="s">
        <v>258</v>
      </c>
      <c r="HL4" s="491"/>
      <c r="HM4" s="491"/>
      <c r="HN4" s="490" t="s">
        <v>259</v>
      </c>
      <c r="HO4" s="490"/>
      <c r="HP4" s="490"/>
      <c r="HQ4" s="490"/>
      <c r="HR4" s="490"/>
      <c r="HS4" s="490"/>
      <c r="HT4" s="490"/>
      <c r="HU4" s="490"/>
      <c r="HV4" s="490"/>
      <c r="HW4" s="490"/>
      <c r="HX4" s="490"/>
      <c r="HY4" s="490"/>
      <c r="HZ4" s="494" t="s">
        <v>283</v>
      </c>
      <c r="IA4" s="493" t="s">
        <v>204</v>
      </c>
      <c r="IB4" s="493"/>
      <c r="IC4" s="493"/>
      <c r="ID4" s="493"/>
      <c r="IE4" s="493"/>
      <c r="IF4" s="493"/>
      <c r="IG4" s="493"/>
      <c r="IH4" s="493"/>
      <c r="II4" s="493"/>
      <c r="IJ4" s="493"/>
      <c r="IK4" s="493"/>
      <c r="IL4" s="493"/>
      <c r="IM4" s="492" t="s">
        <v>260</v>
      </c>
      <c r="IN4" s="492"/>
      <c r="IO4" s="492"/>
      <c r="IP4" s="492"/>
      <c r="IQ4" s="492"/>
      <c r="IR4" s="492"/>
      <c r="IS4" s="492"/>
      <c r="IT4" s="492"/>
      <c r="IU4" s="492"/>
      <c r="IV4" s="492"/>
      <c r="IW4" s="492"/>
      <c r="IX4" s="492"/>
      <c r="IY4" s="492"/>
      <c r="IZ4" s="492"/>
      <c r="JA4" s="492"/>
      <c r="JB4" s="492"/>
      <c r="JC4" s="492"/>
      <c r="JD4" s="492"/>
      <c r="JE4" s="496" t="s">
        <v>261</v>
      </c>
      <c r="JF4" s="496"/>
      <c r="JG4" s="496"/>
      <c r="JH4" s="496"/>
      <c r="JI4" s="496"/>
      <c r="JJ4" s="496"/>
      <c r="JK4" s="496"/>
      <c r="JL4" s="496"/>
      <c r="JM4" s="496"/>
      <c r="JN4" s="496"/>
      <c r="JO4" s="496"/>
      <c r="JP4" s="496"/>
      <c r="JQ4" s="496"/>
      <c r="JR4" s="496"/>
      <c r="JS4" s="496"/>
      <c r="JT4" s="496"/>
      <c r="JU4" s="496"/>
      <c r="JV4" s="496"/>
      <c r="JX4" t="s">
        <v>98</v>
      </c>
    </row>
    <row r="5" spans="1:284" x14ac:dyDescent="0.25">
      <c r="A5" s="448"/>
      <c r="B5" s="452" t="s">
        <v>35</v>
      </c>
      <c r="C5" s="452"/>
      <c r="D5" s="452"/>
      <c r="E5" s="452" t="s">
        <v>36</v>
      </c>
      <c r="F5" s="452"/>
      <c r="G5" s="15" t="s">
        <v>37</v>
      </c>
      <c r="H5" s="420" t="s">
        <v>38</v>
      </c>
      <c r="I5" s="420"/>
      <c r="J5" s="420"/>
      <c r="K5" s="420"/>
      <c r="L5" s="420" t="s">
        <v>39</v>
      </c>
      <c r="M5" s="420"/>
      <c r="N5" s="420"/>
      <c r="O5" s="420" t="s">
        <v>40</v>
      </c>
      <c r="P5" s="420"/>
      <c r="Q5" s="420"/>
      <c r="R5" s="7"/>
      <c r="S5" s="420" t="s">
        <v>41</v>
      </c>
      <c r="T5" s="420"/>
      <c r="U5" s="420" t="s">
        <v>42</v>
      </c>
      <c r="V5" s="420"/>
      <c r="W5" s="420" t="s">
        <v>43</v>
      </c>
      <c r="X5" s="420"/>
      <c r="Y5" s="431" t="s">
        <v>44</v>
      </c>
      <c r="Z5" s="432"/>
      <c r="AA5" s="433" t="s">
        <v>188</v>
      </c>
      <c r="AB5" s="434"/>
      <c r="AC5" s="420" t="s">
        <v>45</v>
      </c>
      <c r="AD5" s="420"/>
      <c r="AE5" s="420"/>
      <c r="AF5" s="420"/>
      <c r="AG5" s="420" t="s">
        <v>46</v>
      </c>
      <c r="AH5" s="420"/>
      <c r="AI5" s="420"/>
      <c r="AJ5" s="420"/>
      <c r="AK5" s="430"/>
      <c r="AL5" s="421" t="s">
        <v>47</v>
      </c>
      <c r="AM5" s="421"/>
      <c r="AN5" s="421"/>
      <c r="AO5" s="421"/>
      <c r="AP5" s="421" t="s">
        <v>48</v>
      </c>
      <c r="AQ5" s="421"/>
      <c r="AR5" s="421"/>
      <c r="AS5" s="421"/>
      <c r="AT5" s="422" t="s">
        <v>49</v>
      </c>
      <c r="AU5" s="423"/>
      <c r="AV5" s="422" t="s">
        <v>50</v>
      </c>
      <c r="AW5" s="423"/>
      <c r="AX5" s="421" t="s">
        <v>51</v>
      </c>
      <c r="AY5" s="421"/>
      <c r="AZ5" s="421"/>
      <c r="BA5" s="421" t="s">
        <v>52</v>
      </c>
      <c r="BB5" s="421"/>
      <c r="BC5" s="421"/>
      <c r="BD5" s="430"/>
      <c r="BE5" s="420"/>
      <c r="BF5" s="420"/>
      <c r="BG5" s="420"/>
      <c r="BH5" s="16"/>
      <c r="BI5" s="16"/>
      <c r="BJ5" s="16"/>
      <c r="BK5" s="420"/>
      <c r="BL5" s="420"/>
      <c r="BM5" s="420"/>
      <c r="BN5" s="420"/>
      <c r="BO5" s="427"/>
      <c r="BP5" s="427"/>
      <c r="BQ5" s="420"/>
      <c r="BR5" s="420"/>
      <c r="BS5" s="443" t="s">
        <v>53</v>
      </c>
      <c r="BT5" s="444"/>
      <c r="BU5" s="420" t="s">
        <v>54</v>
      </c>
      <c r="BV5" s="420"/>
      <c r="BW5" s="420"/>
      <c r="BX5" s="420"/>
      <c r="BY5" s="433" t="s">
        <v>55</v>
      </c>
      <c r="BZ5" s="445"/>
      <c r="CA5" s="445"/>
      <c r="CB5" s="434"/>
      <c r="CC5" s="420" t="s">
        <v>56</v>
      </c>
      <c r="CD5" s="420"/>
      <c r="CE5" s="420" t="s">
        <v>57</v>
      </c>
      <c r="CF5" s="420"/>
      <c r="CG5" s="420" t="s">
        <v>58</v>
      </c>
      <c r="CH5" s="420"/>
      <c r="CI5" s="420" t="s">
        <v>59</v>
      </c>
      <c r="CJ5" s="420"/>
      <c r="CK5" s="420"/>
      <c r="CL5" s="420"/>
      <c r="CM5" s="420" t="s">
        <v>60</v>
      </c>
      <c r="CN5" s="420"/>
      <c r="CO5" s="420"/>
      <c r="CP5" s="420"/>
      <c r="CQ5" s="421" t="s">
        <v>61</v>
      </c>
      <c r="CR5" s="421"/>
      <c r="CS5" s="421"/>
      <c r="CT5" s="421"/>
      <c r="CU5" s="421" t="s">
        <v>62</v>
      </c>
      <c r="CV5" s="421"/>
      <c r="CW5" s="421"/>
      <c r="CX5" s="421"/>
      <c r="CY5" s="421" t="s">
        <v>63</v>
      </c>
      <c r="CZ5" s="421"/>
      <c r="DA5" s="421"/>
      <c r="DB5" s="421"/>
      <c r="DC5" s="421" t="s">
        <v>64</v>
      </c>
      <c r="DD5" s="421"/>
      <c r="DE5" s="421"/>
      <c r="DF5" s="421"/>
      <c r="DG5" s="17" t="s">
        <v>65</v>
      </c>
      <c r="DH5" s="17"/>
      <c r="DI5" s="421"/>
      <c r="DJ5" s="421"/>
      <c r="DK5" s="421"/>
      <c r="DL5" s="421"/>
      <c r="DM5" s="421"/>
      <c r="DN5" s="421"/>
      <c r="DO5" s="421"/>
      <c r="DP5" s="421"/>
      <c r="DQ5" s="412"/>
      <c r="DR5" s="413"/>
      <c r="DS5" s="412"/>
      <c r="DT5" s="413"/>
      <c r="DU5" s="424" t="s">
        <v>66</v>
      </c>
      <c r="DV5" s="425"/>
      <c r="DW5" s="426"/>
      <c r="DX5" s="424" t="s">
        <v>67</v>
      </c>
      <c r="DY5" s="425"/>
      <c r="DZ5" s="426"/>
      <c r="EA5" s="424" t="s">
        <v>68</v>
      </c>
      <c r="EB5" s="425"/>
      <c r="EC5" s="426"/>
      <c r="ED5" s="18"/>
      <c r="EE5" s="424" t="s">
        <v>69</v>
      </c>
      <c r="EF5" s="425"/>
      <c r="EG5" s="426"/>
      <c r="EH5" s="424" t="s">
        <v>70</v>
      </c>
      <c r="EI5" s="425"/>
      <c r="EJ5" s="426"/>
      <c r="EK5" s="424" t="s">
        <v>71</v>
      </c>
      <c r="EL5" s="425"/>
      <c r="EM5" s="426"/>
      <c r="EN5" s="19"/>
      <c r="EO5" s="403" t="s">
        <v>72</v>
      </c>
      <c r="EP5" s="417"/>
      <c r="EQ5" s="404"/>
      <c r="ER5" s="403" t="s">
        <v>73</v>
      </c>
      <c r="ES5" s="417"/>
      <c r="ET5" s="404"/>
      <c r="EU5" s="403" t="s">
        <v>74</v>
      </c>
      <c r="EV5" s="417"/>
      <c r="EW5" s="404"/>
      <c r="EX5" s="403" t="s">
        <v>75</v>
      </c>
      <c r="EY5" s="417"/>
      <c r="EZ5" s="404"/>
      <c r="FA5" s="20"/>
      <c r="FB5" s="403" t="s">
        <v>76</v>
      </c>
      <c r="FC5" s="404"/>
      <c r="FD5" s="16" t="s">
        <v>77</v>
      </c>
      <c r="FE5" s="403" t="s">
        <v>72</v>
      </c>
      <c r="FF5" s="417"/>
      <c r="FG5" s="404"/>
      <c r="FH5" s="403" t="s">
        <v>73</v>
      </c>
      <c r="FI5" s="417"/>
      <c r="FJ5" s="404"/>
      <c r="FK5" s="10" t="s">
        <v>78</v>
      </c>
      <c r="FL5" s="11"/>
      <c r="FM5" s="21"/>
      <c r="FN5" s="403" t="s">
        <v>75</v>
      </c>
      <c r="FO5" s="417"/>
      <c r="FP5" s="404"/>
      <c r="FQ5" s="403" t="s">
        <v>79</v>
      </c>
      <c r="FR5" s="417"/>
      <c r="FS5" s="404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402"/>
      <c r="HH5" s="16"/>
      <c r="HI5" s="16"/>
      <c r="HJ5" s="16"/>
      <c r="HK5" s="16"/>
      <c r="HL5" s="16"/>
      <c r="HM5" s="16"/>
      <c r="HN5" s="402" t="s">
        <v>204</v>
      </c>
      <c r="HO5" s="402"/>
      <c r="HP5" s="402"/>
      <c r="HQ5" s="402" t="s">
        <v>260</v>
      </c>
      <c r="HR5" s="402"/>
      <c r="HS5" s="402"/>
      <c r="HT5" s="402" t="s">
        <v>261</v>
      </c>
      <c r="HU5" s="402"/>
      <c r="HV5" s="402"/>
      <c r="HW5" s="402" t="s">
        <v>65</v>
      </c>
      <c r="HX5" s="402"/>
      <c r="HY5" s="402"/>
      <c r="HZ5" s="495"/>
      <c r="IA5" s="402" t="s">
        <v>262</v>
      </c>
      <c r="IB5" s="402"/>
      <c r="IC5" s="402"/>
      <c r="ID5" s="402" t="s">
        <v>263</v>
      </c>
      <c r="IE5" s="402"/>
      <c r="IF5" s="402"/>
      <c r="IG5" s="402" t="s">
        <v>264</v>
      </c>
      <c r="IH5" s="402"/>
      <c r="II5" s="402"/>
      <c r="IJ5" s="402" t="s">
        <v>265</v>
      </c>
      <c r="IK5" s="402"/>
      <c r="IL5" s="402"/>
      <c r="IM5" s="402" t="s">
        <v>152</v>
      </c>
      <c r="IN5" s="402"/>
      <c r="IO5" s="402"/>
      <c r="IP5" s="402" t="s">
        <v>266</v>
      </c>
      <c r="IQ5" s="402"/>
      <c r="IR5" s="402"/>
      <c r="IS5" s="402" t="s">
        <v>165</v>
      </c>
      <c r="IT5" s="402"/>
      <c r="IU5" s="402"/>
      <c r="IV5" s="402" t="s">
        <v>267</v>
      </c>
      <c r="IW5" s="402"/>
      <c r="IX5" s="402"/>
      <c r="IY5" s="402" t="s">
        <v>268</v>
      </c>
      <c r="IZ5" s="402"/>
      <c r="JA5" s="402"/>
      <c r="JB5" s="402" t="s">
        <v>269</v>
      </c>
      <c r="JC5" s="402"/>
      <c r="JD5" s="402"/>
      <c r="JE5" s="402" t="s">
        <v>152</v>
      </c>
      <c r="JF5" s="402"/>
      <c r="JG5" s="402"/>
      <c r="JH5" s="402" t="s">
        <v>266</v>
      </c>
      <c r="JI5" s="402"/>
      <c r="JJ5" s="402"/>
      <c r="JK5" s="402" t="s">
        <v>165</v>
      </c>
      <c r="JL5" s="402"/>
      <c r="JM5" s="402"/>
      <c r="JN5" s="402" t="s">
        <v>267</v>
      </c>
      <c r="JO5" s="402"/>
      <c r="JP5" s="402"/>
      <c r="JQ5" s="402" t="s">
        <v>268</v>
      </c>
      <c r="JR5" s="402"/>
      <c r="JS5" s="402"/>
      <c r="JT5" s="402" t="s">
        <v>269</v>
      </c>
      <c r="JU5" s="402"/>
      <c r="JV5" s="402"/>
    </row>
    <row r="6" spans="1:284" x14ac:dyDescent="0.25">
      <c r="A6" s="448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403" t="s">
        <v>99</v>
      </c>
      <c r="FW6" s="417"/>
      <c r="FX6" s="404"/>
      <c r="FY6" s="403" t="s">
        <v>100</v>
      </c>
      <c r="FZ6" s="417"/>
      <c r="GA6" s="404"/>
      <c r="GB6" s="403" t="s">
        <v>101</v>
      </c>
      <c r="GC6" s="417"/>
      <c r="GD6" s="404"/>
      <c r="GE6" s="403" t="s">
        <v>102</v>
      </c>
      <c r="GF6" s="417"/>
      <c r="GG6" s="404"/>
      <c r="GH6" s="403" t="s">
        <v>103</v>
      </c>
      <c r="GI6" s="417"/>
      <c r="GJ6" s="404"/>
      <c r="GK6" s="403" t="s">
        <v>104</v>
      </c>
      <c r="GL6" s="417"/>
      <c r="GM6" s="404"/>
      <c r="GN6" s="33"/>
      <c r="GO6" s="33"/>
      <c r="GP6" s="33"/>
      <c r="GQ6" s="6"/>
      <c r="GR6" s="6"/>
      <c r="GS6" s="6"/>
      <c r="GT6" s="177"/>
      <c r="GU6" s="402" t="s">
        <v>105</v>
      </c>
      <c r="GV6" s="402"/>
      <c r="GW6" s="402"/>
      <c r="GX6" s="402"/>
      <c r="GY6" s="418"/>
      <c r="GZ6" s="406"/>
      <c r="HA6" s="406"/>
      <c r="HB6" s="406"/>
      <c r="HG6" s="402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9"/>
      <c r="IA6" s="207" t="s">
        <v>82</v>
      </c>
      <c r="IB6" s="207" t="s">
        <v>83</v>
      </c>
      <c r="IC6" s="207" t="s">
        <v>257</v>
      </c>
      <c r="ID6" s="207" t="s">
        <v>82</v>
      </c>
      <c r="IE6" s="207" t="s">
        <v>83</v>
      </c>
      <c r="IF6" s="207" t="s">
        <v>257</v>
      </c>
      <c r="IG6" s="207" t="s">
        <v>82</v>
      </c>
      <c r="IH6" s="207" t="s">
        <v>83</v>
      </c>
      <c r="II6" s="207" t="s">
        <v>257</v>
      </c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X6" s="208" t="s">
        <v>78</v>
      </c>
    </row>
    <row r="7" spans="1:284" x14ac:dyDescent="0.25">
      <c r="A7" s="35">
        <v>1</v>
      </c>
      <c r="B7" s="38">
        <v>3580.83</v>
      </c>
      <c r="C7" s="38"/>
      <c r="D7" s="38"/>
      <c r="E7" s="38">
        <v>720.73</v>
      </c>
      <c r="F7" s="38"/>
      <c r="G7" s="38"/>
      <c r="H7" s="37"/>
      <c r="I7" s="39"/>
      <c r="J7" s="42"/>
      <c r="K7" s="37"/>
      <c r="L7" s="40">
        <v>10426400</v>
      </c>
      <c r="M7" s="40"/>
      <c r="N7" s="37"/>
      <c r="O7" s="37">
        <v>9865.7000000000007</v>
      </c>
      <c r="P7" s="37"/>
      <c r="Q7" s="37"/>
      <c r="R7" s="37"/>
      <c r="S7" s="37">
        <v>11103453.27</v>
      </c>
      <c r="T7" s="37"/>
      <c r="U7" s="37">
        <v>1518173.85</v>
      </c>
      <c r="V7" s="37"/>
      <c r="W7" s="37">
        <v>3416.4</v>
      </c>
      <c r="X7" s="37"/>
      <c r="Y7" s="183"/>
      <c r="Z7" s="183"/>
      <c r="AA7" s="37">
        <v>506200</v>
      </c>
      <c r="AB7" s="37"/>
      <c r="AC7" s="37">
        <v>3594.9</v>
      </c>
      <c r="AD7" s="37"/>
      <c r="AE7" s="37"/>
      <c r="AF7" s="37"/>
      <c r="AG7" s="37">
        <v>7844.4</v>
      </c>
      <c r="AH7" s="37"/>
      <c r="AI7" s="37"/>
      <c r="AJ7" s="37"/>
      <c r="AK7" s="37"/>
      <c r="AL7" s="42">
        <v>9929.2000000000007</v>
      </c>
      <c r="AM7" s="42"/>
      <c r="AN7" s="37"/>
      <c r="AO7" s="37"/>
      <c r="AP7" s="37">
        <v>7570.6</v>
      </c>
      <c r="AQ7" s="37"/>
      <c r="AR7" s="37"/>
      <c r="AS7" s="37"/>
      <c r="AT7" s="183"/>
      <c r="AU7" s="183"/>
      <c r="AV7" s="183"/>
      <c r="AW7" s="183"/>
      <c r="AX7" s="37">
        <v>454100</v>
      </c>
      <c r="AY7" s="37"/>
      <c r="AZ7" s="37"/>
      <c r="BA7" s="37">
        <v>102760</v>
      </c>
      <c r="BB7" s="37"/>
      <c r="BC7" s="37"/>
      <c r="BD7" s="37"/>
      <c r="BE7" s="43">
        <v>1700.4</v>
      </c>
      <c r="BF7" s="43">
        <v>927.11</v>
      </c>
      <c r="BG7" s="37"/>
      <c r="BH7" s="44">
        <v>8120.9</v>
      </c>
      <c r="BI7" s="44">
        <v>5224.8999999999996</v>
      </c>
      <c r="BJ7" s="37"/>
      <c r="BK7" s="40">
        <v>1243310</v>
      </c>
      <c r="BL7" s="40"/>
      <c r="BM7" s="40">
        <v>815.28</v>
      </c>
      <c r="BN7" s="37"/>
      <c r="BO7" s="186"/>
      <c r="BP7" s="183"/>
      <c r="BQ7" s="40">
        <v>773.1</v>
      </c>
      <c r="BR7" s="37"/>
      <c r="BS7" s="37">
        <v>80760.34</v>
      </c>
      <c r="BT7" s="37"/>
      <c r="BU7" s="42">
        <v>2043491</v>
      </c>
      <c r="BV7" s="42"/>
      <c r="BW7" s="37"/>
      <c r="BX7" s="37"/>
      <c r="BY7" s="43">
        <v>290.74950000000001</v>
      </c>
      <c r="BZ7" s="43"/>
      <c r="CA7" s="37"/>
      <c r="CB7" s="37"/>
      <c r="CC7" s="37">
        <v>480949.9</v>
      </c>
      <c r="CD7" s="37"/>
      <c r="CE7" s="41">
        <f>CE8-4300</f>
        <v>675416.8</v>
      </c>
      <c r="CF7" s="37"/>
      <c r="CG7" s="37">
        <v>61113</v>
      </c>
      <c r="CH7" s="37"/>
      <c r="CI7" s="40">
        <v>11223.93</v>
      </c>
      <c r="CJ7" s="40"/>
      <c r="CK7" s="37"/>
      <c r="CL7" s="37"/>
      <c r="CM7" s="37">
        <v>2968.1849999999999</v>
      </c>
      <c r="CN7" s="37"/>
      <c r="CO7" s="37"/>
      <c r="CP7" s="37"/>
      <c r="CQ7" s="39">
        <v>2864.5549999999998</v>
      </c>
      <c r="CR7" s="39"/>
      <c r="CS7" s="37"/>
      <c r="CT7" s="37"/>
      <c r="CU7" s="37">
        <v>2429377</v>
      </c>
      <c r="CV7" s="41"/>
      <c r="CW7" s="38"/>
      <c r="CX7" s="37"/>
      <c r="CY7" s="37">
        <v>1288185</v>
      </c>
      <c r="CZ7" s="37"/>
      <c r="DA7" s="37"/>
      <c r="DB7" s="37"/>
      <c r="DC7" s="37"/>
      <c r="DD7" s="40"/>
      <c r="DE7" s="37">
        <v>0</v>
      </c>
      <c r="DF7" s="37">
        <v>0</v>
      </c>
      <c r="DG7" s="37">
        <v>-60291.000000001026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2802900</v>
      </c>
      <c r="DR7" s="49"/>
      <c r="DS7" s="50">
        <v>2269300</v>
      </c>
      <c r="DT7" s="49"/>
      <c r="DU7" s="51">
        <v>7626.2</v>
      </c>
      <c r="DV7" s="51">
        <v>4261.8</v>
      </c>
      <c r="DW7" s="37"/>
      <c r="DX7" s="52">
        <v>12622</v>
      </c>
      <c r="DY7" s="52">
        <v>8287.9</v>
      </c>
      <c r="DZ7" s="37"/>
      <c r="EA7" s="49">
        <v>28257</v>
      </c>
      <c r="EB7" s="49">
        <v>20.010000000000002</v>
      </c>
      <c r="EC7" s="37"/>
      <c r="ED7" s="53"/>
      <c r="EE7" s="49">
        <v>43563</v>
      </c>
      <c r="EF7" s="49">
        <v>27.802</v>
      </c>
      <c r="EG7" s="37"/>
      <c r="EH7" s="51">
        <v>12269</v>
      </c>
      <c r="EI7" s="51">
        <v>1.6432</v>
      </c>
      <c r="EJ7" s="37"/>
      <c r="EK7" s="37">
        <v>743.06</v>
      </c>
      <c r="EL7" s="40">
        <v>1066.7</v>
      </c>
      <c r="EM7" s="37"/>
      <c r="EN7" s="54"/>
      <c r="EO7" s="48">
        <v>12327</v>
      </c>
      <c r="EP7" s="48">
        <v>4294</v>
      </c>
      <c r="EQ7" s="37"/>
      <c r="ER7" s="48">
        <v>8162.6</v>
      </c>
      <c r="ES7" s="55">
        <v>8319.5</v>
      </c>
      <c r="ET7" s="49"/>
      <c r="EU7" s="48">
        <v>2942.3</v>
      </c>
      <c r="EV7" s="48">
        <v>1051.8</v>
      </c>
      <c r="EW7" s="49"/>
      <c r="EX7" s="48">
        <v>12539</v>
      </c>
      <c r="EY7" s="48">
        <v>1.3544</v>
      </c>
      <c r="EZ7" s="37"/>
      <c r="FA7" s="48"/>
      <c r="FB7" s="48">
        <v>34723784</v>
      </c>
      <c r="FC7" s="49"/>
      <c r="FD7" s="48"/>
      <c r="FE7" s="153">
        <v>16279</v>
      </c>
      <c r="FF7" s="154">
        <v>5895.5</v>
      </c>
      <c r="FG7" s="37"/>
      <c r="FH7" s="48">
        <v>7422.1</v>
      </c>
      <c r="FI7" s="48">
        <v>2.8586999999999998</v>
      </c>
      <c r="FJ7" s="49"/>
      <c r="FK7" s="48"/>
      <c r="FL7" s="58"/>
      <c r="FM7" s="48"/>
      <c r="FN7" s="48">
        <v>15586</v>
      </c>
      <c r="FO7" s="48">
        <v>0.7238</v>
      </c>
      <c r="FP7" s="37"/>
      <c r="FQ7" s="48">
        <v>55625</v>
      </c>
      <c r="FR7" s="48">
        <v>13.323</v>
      </c>
      <c r="FS7" s="37"/>
      <c r="FT7" s="48"/>
      <c r="FU7" s="48"/>
      <c r="FV7" s="44">
        <v>2975300</v>
      </c>
      <c r="FW7" s="44">
        <v>955820</v>
      </c>
      <c r="FX7" s="37"/>
      <c r="FY7" s="56">
        <v>2960.3</v>
      </c>
      <c r="FZ7" s="56">
        <v>1.7528999999999999</v>
      </c>
      <c r="GA7" s="37"/>
      <c r="GB7" s="56">
        <v>758.47</v>
      </c>
      <c r="GC7" s="56">
        <v>844.75</v>
      </c>
      <c r="GD7" s="37"/>
      <c r="GE7" s="56">
        <v>9399.7999999999993</v>
      </c>
      <c r="GF7" s="63">
        <v>2.9047999999999998</v>
      </c>
      <c r="GG7" s="37"/>
      <c r="GH7" s="48">
        <v>1823.2</v>
      </c>
      <c r="GI7" s="56">
        <v>1545.1</v>
      </c>
      <c r="GJ7" s="38"/>
      <c r="GK7" s="56">
        <v>1419.3</v>
      </c>
      <c r="GL7" s="44">
        <v>1098</v>
      </c>
      <c r="GM7" s="38"/>
      <c r="GN7" s="57">
        <v>158980</v>
      </c>
      <c r="GO7" s="57">
        <v>138750</v>
      </c>
      <c r="GP7" s="38"/>
      <c r="GQ7" s="38">
        <v>222420</v>
      </c>
      <c r="GR7" s="38">
        <v>221600</v>
      </c>
      <c r="GS7" s="38"/>
      <c r="GT7" s="178"/>
      <c r="GU7" s="144"/>
      <c r="GV7" s="59"/>
      <c r="GW7" s="60"/>
      <c r="GX7" s="61"/>
      <c r="GY7" s="140"/>
      <c r="GZ7" s="74"/>
      <c r="HA7" s="141"/>
      <c r="HB7" s="62"/>
      <c r="HC7" s="74"/>
      <c r="HD7" s="74"/>
      <c r="HE7" s="24">
        <v>0</v>
      </c>
      <c r="HG7" s="213">
        <v>1</v>
      </c>
      <c r="HH7" s="16">
        <v>2031.16</v>
      </c>
      <c r="HI7" s="16">
        <v>836.43</v>
      </c>
      <c r="HJ7" s="16"/>
      <c r="HK7" s="16">
        <v>1.9189000000000001</v>
      </c>
      <c r="HL7" s="16">
        <v>660.93</v>
      </c>
      <c r="HM7" s="16"/>
      <c r="HN7" s="16">
        <v>413.42</v>
      </c>
      <c r="HO7" s="16">
        <v>185.4</v>
      </c>
      <c r="HP7" s="16"/>
      <c r="HQ7" s="16">
        <v>544.05999999999995</v>
      </c>
      <c r="HR7" s="16">
        <v>262.27</v>
      </c>
      <c r="HS7" s="16"/>
      <c r="HT7" s="16">
        <v>412.01</v>
      </c>
      <c r="HU7" s="16">
        <v>175.53</v>
      </c>
      <c r="HV7" s="16"/>
      <c r="HW7" s="16"/>
      <c r="HX7" s="16"/>
      <c r="HY7" s="16"/>
      <c r="HZ7" s="210"/>
      <c r="IA7" s="16">
        <v>249978</v>
      </c>
      <c r="IB7" s="16">
        <v>96934</v>
      </c>
      <c r="IC7" s="16"/>
      <c r="ID7" s="16">
        <v>171.48</v>
      </c>
      <c r="IE7" s="16">
        <v>79.992999999999995</v>
      </c>
      <c r="IF7" s="16"/>
      <c r="IG7" s="16">
        <v>46899</v>
      </c>
      <c r="IH7" s="16">
        <v>64096</v>
      </c>
      <c r="II7" s="16"/>
      <c r="IJ7" s="16">
        <v>33194</v>
      </c>
      <c r="IK7" s="16">
        <v>17679</v>
      </c>
      <c r="IL7" s="16"/>
      <c r="IM7" s="16">
        <v>177968</v>
      </c>
      <c r="IN7" s="16">
        <v>74618</v>
      </c>
      <c r="IO7" s="16"/>
      <c r="IP7" s="16">
        <v>338840</v>
      </c>
      <c r="IQ7" s="16">
        <v>42620</v>
      </c>
      <c r="IR7" s="16"/>
      <c r="IS7" s="16">
        <v>11913</v>
      </c>
      <c r="IT7" s="16">
        <v>7358</v>
      </c>
      <c r="IU7" s="16"/>
      <c r="IV7" s="16">
        <v>164760</v>
      </c>
      <c r="IW7" s="16">
        <v>30320</v>
      </c>
      <c r="IX7" s="16"/>
      <c r="IY7" s="16">
        <v>11722.28</v>
      </c>
      <c r="IZ7" s="16">
        <v>1099.2</v>
      </c>
      <c r="JA7" s="16"/>
      <c r="JB7" s="16">
        <v>10830.25</v>
      </c>
      <c r="JC7" s="16">
        <v>1189.8</v>
      </c>
      <c r="JD7" s="16"/>
      <c r="JE7" s="16">
        <v>220703</v>
      </c>
      <c r="JF7" s="16">
        <v>366.62400000000002</v>
      </c>
      <c r="JG7" s="16"/>
      <c r="JH7" s="16">
        <v>224300</v>
      </c>
      <c r="JI7" s="16">
        <v>22180</v>
      </c>
      <c r="JJ7" s="16"/>
      <c r="JK7" s="16">
        <v>14296</v>
      </c>
      <c r="JL7" s="16">
        <v>1255</v>
      </c>
      <c r="JM7" s="16"/>
      <c r="JN7" s="16">
        <v>136058</v>
      </c>
      <c r="JO7" s="16">
        <v>23058</v>
      </c>
      <c r="JP7" s="16"/>
      <c r="JQ7" s="16">
        <v>460.28</v>
      </c>
      <c r="JR7" s="16">
        <v>99.2</v>
      </c>
      <c r="JS7" s="16"/>
      <c r="JT7" s="16">
        <v>6534</v>
      </c>
      <c r="JU7" s="16">
        <v>507.2</v>
      </c>
      <c r="JV7" s="16"/>
    </row>
    <row r="8" spans="1:284" x14ac:dyDescent="0.25">
      <c r="A8" s="35">
        <f t="shared" ref="A8:A36" si="0">A7+1</f>
        <v>2</v>
      </c>
      <c r="B8" s="38">
        <v>3589.08</v>
      </c>
      <c r="C8" s="38">
        <f t="shared" ref="C8:C38" si="1">IF((B8-B7)&lt;=0,0,(B8-B7))</f>
        <v>8.25</v>
      </c>
      <c r="D8" s="38">
        <f t="shared" ref="D8:D38" si="2">IF((B8-B7)*32000&lt;=0,0,(B8-B7)*32000)</f>
        <v>264000</v>
      </c>
      <c r="E8" s="38">
        <v>722.33</v>
      </c>
      <c r="F8" s="38">
        <f t="shared" ref="F8:F10" si="3">IF((E8-E7)*32000&lt;=0,0,(E8-E7)*32000)</f>
        <v>51200.000000000728</v>
      </c>
      <c r="G8" s="38">
        <f t="shared" ref="G8:G38" si="4">D8+F8</f>
        <v>315200.0000000007</v>
      </c>
      <c r="H8" s="37"/>
      <c r="I8" s="39"/>
      <c r="J8" s="42"/>
      <c r="K8" s="37">
        <f>IF(J8&lt;=0,0,(J8/SQRT(J8^2+(I8-I7)^2)))</f>
        <v>0</v>
      </c>
      <c r="L8" s="40">
        <v>10457700</v>
      </c>
      <c r="M8" s="40"/>
      <c r="N8" s="37">
        <f>IF((L8-L7)&lt;=0,0,(L8-L7)*10)</f>
        <v>313000</v>
      </c>
      <c r="O8" s="37">
        <v>9883</v>
      </c>
      <c r="P8" s="37"/>
      <c r="Q8" s="37">
        <f t="shared" ref="Q8:Q21" si="5">IF((O8-O7)&lt;=0,0,(O8-O7))*1000</f>
        <v>17299.999999999272</v>
      </c>
      <c r="R8" s="37">
        <f>IF(Q8&lt;=0,0,(Q8/SQRT(Q8^2+(P8-P7)^2)))</f>
        <v>1</v>
      </c>
      <c r="S8" s="41">
        <v>11113154.470000001</v>
      </c>
      <c r="T8" s="37">
        <f t="shared" ref="T8:T38" si="6">IF((S8-S7)&lt;=0,0,(S8-S7))</f>
        <v>9701.2000000011176</v>
      </c>
      <c r="U8" s="37">
        <v>1518173.85</v>
      </c>
      <c r="V8" s="37">
        <f t="shared" ref="V8:V35" si="7">IF((U8-U7)&lt;=0,0,(U8-U7))</f>
        <v>0</v>
      </c>
      <c r="W8" s="37">
        <v>3422.3</v>
      </c>
      <c r="X8" s="37">
        <f>Q8-T8-V8-AB8</f>
        <v>7598.7999999981548</v>
      </c>
      <c r="Y8" s="183"/>
      <c r="Z8" s="183">
        <f t="shared" ref="Z8:Z38" si="8">IF((Y8-Y7)&lt;=0,0,(Y8-Y7))</f>
        <v>0</v>
      </c>
      <c r="AA8" s="37">
        <v>506200</v>
      </c>
      <c r="AB8" s="37">
        <f t="shared" ref="AB8:AB38" si="9">IF((AA8-AA7)&lt;=0,0,(AA8-AA7))</f>
        <v>0</v>
      </c>
      <c r="AC8" s="37">
        <v>3601</v>
      </c>
      <c r="AD8" s="37"/>
      <c r="AE8" s="37">
        <f t="shared" ref="AE8:AE21" si="10">IF((AC8-AC7)&lt;=0,0,(AC8-AC7))*1000</f>
        <v>6099.9999999999091</v>
      </c>
      <c r="AF8" s="37">
        <f>IF(AE8&lt;=0,0,(AE8/SQRT(AE8^2+(AD8-AD7)^2)))</f>
        <v>1</v>
      </c>
      <c r="AG8" s="37">
        <v>7859.5</v>
      </c>
      <c r="AH8" s="37"/>
      <c r="AI8" s="37">
        <f t="shared" ref="AI8:AI38" si="11">IF((AG8-AG7)&lt;=0,0,(AG8-AG7))*1000+GX8</f>
        <v>15004.170000000364</v>
      </c>
      <c r="AJ8" s="37">
        <f t="shared" ref="AJ8:AJ38" si="12">IF(AI8&lt;=0,0,(AI8/SQRT(AI8^2+(AH8-AH7)^2)))</f>
        <v>1</v>
      </c>
      <c r="AK8" s="37">
        <f t="shared" ref="AK8:AK38" si="13">T8+V8+X8+AE8+AI8</f>
        <v>38404.169999999547</v>
      </c>
      <c r="AL8" s="42">
        <v>9941.1</v>
      </c>
      <c r="AM8" s="42"/>
      <c r="AN8" s="37">
        <f>IF((AL8-AL7)&lt;=0,0,(AL8-AL7))*1000+GX8-BL8-BN8-BP8-BR8</f>
        <v>6374.1699999996044</v>
      </c>
      <c r="AO8" s="37">
        <f>IF(AN8&lt;=0,0,(AN8/SQRT(AN8^2+(AM8-AM7)^2)))</f>
        <v>1</v>
      </c>
      <c r="AP8" s="37">
        <v>7579.9</v>
      </c>
      <c r="AQ8" s="37"/>
      <c r="AR8" s="37">
        <f t="shared" ref="AR8:AR38" si="14">IF((AP8-AP7)&lt;=0,0,(AP8-AP7))*1000</f>
        <v>9299.9999999992724</v>
      </c>
      <c r="AS8" s="37">
        <f>IF(AR8&lt;=0,0,(AR8/SQRT(AR8^2+(AQ8-AQ7)^2)))</f>
        <v>1</v>
      </c>
      <c r="AT8" s="183"/>
      <c r="AU8" s="183">
        <f t="shared" ref="AU8:AU38" si="15">IF((AT8-AT7)&lt;=0,0,(AT8-AT7))</f>
        <v>0</v>
      </c>
      <c r="AV8" s="183"/>
      <c r="AW8" s="183">
        <f t="shared" ref="AW8:AW38" si="16">IF((AV8-AV7)&lt;=0,0,(AV8-AV7))</f>
        <v>0</v>
      </c>
      <c r="AX8" s="37">
        <v>454290</v>
      </c>
      <c r="AY8" s="37"/>
      <c r="AZ8" s="37">
        <f t="shared" ref="AZ8:AZ38" si="17">IF((AX8-AX7)&lt;=0,0,(AX8-AX7))</f>
        <v>190</v>
      </c>
      <c r="BA8" s="37">
        <v>102980</v>
      </c>
      <c r="BB8" s="37"/>
      <c r="BC8" s="37">
        <f t="shared" ref="BC8:BC38" si="18">IF((BA8-BA7)&lt;=0,0,(BA8-BA7))</f>
        <v>220</v>
      </c>
      <c r="BD8" s="37">
        <f>AN8+AR8+AZ8+BC8</f>
        <v>16084.169999998878</v>
      </c>
      <c r="BE8" s="43">
        <v>1702.5</v>
      </c>
      <c r="BF8" s="43">
        <v>928.5</v>
      </c>
      <c r="BG8" s="37">
        <f t="shared" ref="BG8:BG38" si="19">IF((BE8-BE7)&lt;=0,0,(BE8-BE7))*1000</f>
        <v>2099.9999999999091</v>
      </c>
      <c r="BH8" s="44">
        <v>8129</v>
      </c>
      <c r="BI8" s="44">
        <v>5230.2</v>
      </c>
      <c r="BJ8" s="37">
        <f t="shared" ref="BJ8:BJ38" si="20">IF((BH8-BH7)&lt;=0,0,(BH8-BH7))*1000</f>
        <v>8100.0000000003638</v>
      </c>
      <c r="BK8" s="40">
        <v>1247650</v>
      </c>
      <c r="BL8" s="40">
        <f>IF((BK8-BK7)&lt;=0,0,(BK8-BK7))</f>
        <v>4340</v>
      </c>
      <c r="BM8" s="40">
        <v>815.87</v>
      </c>
      <c r="BN8" s="37">
        <f t="shared" ref="BN8:BN38" si="21">IF((BM8-BM7)&lt;=0,0,BM8-BM7)*1000</f>
        <v>590.00000000003183</v>
      </c>
      <c r="BO8" s="186"/>
      <c r="BP8" s="183">
        <f t="shared" ref="BP8:BP38" si="22">IF((BO8-BO7)&lt;=0,0,(BO8-BO7))*1000</f>
        <v>0</v>
      </c>
      <c r="BQ8" s="40">
        <v>773.6</v>
      </c>
      <c r="BR8" s="37">
        <f>IF((BQ8-BQ7)&lt;=0,0,(BQ8-BQ7))*1000</f>
        <v>500</v>
      </c>
      <c r="BS8" s="37">
        <v>80980.649999999994</v>
      </c>
      <c r="BT8" s="37">
        <f t="shared" ref="BT8:BT38" si="23">IF((BS8-BS7)&lt;=0,0,(BS8-BS7))</f>
        <v>220.30999999999767</v>
      </c>
      <c r="BU8" s="42">
        <v>2043491</v>
      </c>
      <c r="BV8" s="42"/>
      <c r="BW8" s="37">
        <f t="shared" ref="BW8:BW38" si="24">IF((BU8-BU7)&lt;=0,0,(BU8-BU7))</f>
        <v>0</v>
      </c>
      <c r="BX8" s="37">
        <f>IF(BW8&lt;=0,0,(BW8/SQRT(BW8^2+(BV8-BV7)^2)))</f>
        <v>0</v>
      </c>
      <c r="BY8" s="43">
        <v>291.29640000000001</v>
      </c>
      <c r="BZ8" s="43"/>
      <c r="CA8" s="37">
        <f t="shared" ref="CA8:CA16" si="25">IF((BY8-BY7)&lt;=0,0,(BY8-BY7)*1000)</f>
        <v>546.89999999999372</v>
      </c>
      <c r="CB8" s="37">
        <f>IF(CA8&lt;=0,0,(CA8/SQRT(CA8^2+(BZ8-BZ7)^2)))</f>
        <v>1</v>
      </c>
      <c r="CC8" s="37">
        <v>481363.4</v>
      </c>
      <c r="CD8" s="37">
        <f t="shared" ref="CD8:CD38" si="26">IF((CC8-CC7)&lt;=0,0,(CC8-CC7))</f>
        <v>413.5</v>
      </c>
      <c r="CE8" s="41">
        <f>CE9-4150</f>
        <v>679716.8</v>
      </c>
      <c r="CF8" s="37">
        <f>IF((CE8-CE7)&lt;=0,0,(CE8-CE7))</f>
        <v>4300</v>
      </c>
      <c r="CG8" s="37">
        <v>61113</v>
      </c>
      <c r="CH8" s="37">
        <f>IF((CG8-CG7)&lt;=0,0,(CG8-CG7))</f>
        <v>0</v>
      </c>
      <c r="CI8" s="40">
        <v>11238.85</v>
      </c>
      <c r="CJ8" s="40"/>
      <c r="CK8" s="37">
        <f>IF((CI8-CI7)*1000&lt;=0,0,(CI8-CI7)*1000)+GX8-CA8</f>
        <v>14277.270000000079</v>
      </c>
      <c r="CL8" s="37">
        <f t="shared" ref="CL8:CL38" si="27">IF(CK8&lt;=0,0,(CK8/SQRT(CK8^2+(CJ8-CJ7)^2)))</f>
        <v>1</v>
      </c>
      <c r="CM8" s="37">
        <v>2976.2750000000001</v>
      </c>
      <c r="CN8" s="37"/>
      <c r="CO8" s="37">
        <f t="shared" ref="CO8:CO38" si="28">IF((CM8-CM7)&lt;=0,0,(CM8-CM7))*1000+GX8</f>
        <v>7994.1700000001456</v>
      </c>
      <c r="CP8" s="37">
        <f>IF(CO8&lt;=0,0,(CO8/SQRT(CO8^2+(CN8-CN7)^2)))</f>
        <v>1</v>
      </c>
      <c r="CQ8" s="39">
        <v>2870.1219999999998</v>
      </c>
      <c r="CR8" s="45"/>
      <c r="CS8" s="37">
        <f t="shared" ref="CS8:CS34" si="29">IF((CQ8-CQ7)&lt;=0,0,(CQ8-CQ7))*1000+GX8</f>
        <v>5471.1700000000073</v>
      </c>
      <c r="CT8" s="37">
        <f>IF(CS8&lt;=0,0,(CS8/SQRT(CS8^2+(CR8-CR7)^2)))</f>
        <v>1</v>
      </c>
      <c r="CU8" s="37">
        <v>2442564</v>
      </c>
      <c r="CV8" s="37"/>
      <c r="CW8" s="38">
        <f t="shared" ref="CW8:CW38" si="30">IF((CU8-CU7)&lt;=0,0,(CU8-CU7))</f>
        <v>13187</v>
      </c>
      <c r="CX8" s="37">
        <f>IF(CW8&lt;=0,0,(CW8/SQRT(CW8^2+(CV8-CV7)^2)))</f>
        <v>1</v>
      </c>
      <c r="CY8" s="37">
        <v>1293406</v>
      </c>
      <c r="CZ8" s="37"/>
      <c r="DA8" s="37">
        <f t="shared" ref="DA8:DA26" si="31">IF((CY8-CY7)&lt;=0,0,(CY8-CY7))</f>
        <v>5221</v>
      </c>
      <c r="DB8" s="37">
        <f>IF(DA8&lt;=0,0,(DA8/SQRT(DA8^2+(CZ8-CZ7)^2)))</f>
        <v>1</v>
      </c>
      <c r="DC8" s="37"/>
      <c r="DD8" s="40"/>
      <c r="DE8" s="37">
        <f t="shared" ref="DE8:DE33" si="32">IF((DC8-DC7)&lt;=0,0,(DC8-DC7))</f>
        <v>0</v>
      </c>
      <c r="DF8" s="37">
        <f>IF(DE8&lt;=0,0,(DE8/SQRT(DE8^2+(DD8-DD7)^2)))</f>
        <v>0</v>
      </c>
      <c r="DG8" s="37">
        <f t="shared" ref="DG8:DG38" si="33">(DE8)-DA8-CW8-CS8-CO8-CK8-BW8</f>
        <v>-46150.610000000226</v>
      </c>
      <c r="DH8" s="37">
        <f t="shared" ref="DH8:DH38" si="34">DE8+BG8+AK8+N8</f>
        <v>353504.16999999946</v>
      </c>
      <c r="DI8" s="46"/>
      <c r="DJ8" s="46"/>
      <c r="DK8" s="47"/>
      <c r="DL8" s="47"/>
      <c r="DM8" s="37"/>
      <c r="DN8" s="37"/>
      <c r="DO8" s="37"/>
      <c r="DP8" s="37"/>
      <c r="DQ8" s="50">
        <v>2810500</v>
      </c>
      <c r="DR8" s="49">
        <f>IF((DQ8-DQ7)&lt;=0,0,(DQ8-DQ7))</f>
        <v>7600</v>
      </c>
      <c r="DS8" s="50">
        <v>2288000</v>
      </c>
      <c r="DT8" s="49">
        <f>IF((DS8-DS7)&lt;=0,0,(DS8-DS7))</f>
        <v>18700</v>
      </c>
      <c r="DU8" s="52">
        <v>7630.8</v>
      </c>
      <c r="DV8" s="52">
        <v>4264.7</v>
      </c>
      <c r="DW8" s="37">
        <f>IF((DU8-DU7)*1000&lt;=0,0,(DU8-DU7)*1000)</f>
        <v>4600.0000000003638</v>
      </c>
      <c r="DX8" s="52">
        <v>12630</v>
      </c>
      <c r="DY8" s="52">
        <v>8290.2000000000007</v>
      </c>
      <c r="DZ8" s="37">
        <f t="shared" ref="DZ8:DZ38" si="35">IF((DX8-DX7)*1000&lt;=0,0,(DX8-DX7)*1000)+GX8</f>
        <v>7904.17</v>
      </c>
      <c r="EA8" s="49">
        <v>28279</v>
      </c>
      <c r="EB8" s="49">
        <v>20.021999999999998</v>
      </c>
      <c r="EC8" s="37">
        <f t="shared" ref="EC8:EC38" si="36">IF((EA8-EA7)*1000&lt;=0,0,(EA8-EA7)*1000)+GX8+$EE$40</f>
        <v>24064.17</v>
      </c>
      <c r="ED8" s="53">
        <f t="shared" ref="ED8:ED38" si="37">DW8+DZ8+EC8</f>
        <v>36568.34000000036</v>
      </c>
      <c r="EE8" s="49">
        <v>43568</v>
      </c>
      <c r="EF8" s="49">
        <v>27.805</v>
      </c>
      <c r="EG8" s="37">
        <f t="shared" ref="EG8:EG38" si="38">IF((EE8-EE7)*1000&lt;=0,0,(EE8-EE7)*1000)+GX8+$EE$40</f>
        <v>7064.17</v>
      </c>
      <c r="EH8" s="52">
        <v>12275</v>
      </c>
      <c r="EI8" s="52">
        <v>1.6439999999999999</v>
      </c>
      <c r="EJ8" s="37">
        <f t="shared" ref="EJ8:EJ38" si="39">IF((EH8-EH7)*1000&lt;=0,0,(EH8-EH7)*1000)+GX8</f>
        <v>5904.17</v>
      </c>
      <c r="EK8" s="37">
        <v>743.65</v>
      </c>
      <c r="EL8" s="40">
        <v>1067.5</v>
      </c>
      <c r="EM8" s="37">
        <f>IF((EK8-EK7)&lt;=0,0,(EK8-EK7))*1000</f>
        <v>590.00000000003183</v>
      </c>
      <c r="EN8" s="54">
        <f>EG8+EJ8+EM8</f>
        <v>13558.340000000033</v>
      </c>
      <c r="EO8" s="48">
        <v>12336</v>
      </c>
      <c r="EP8" s="48">
        <v>4297.2</v>
      </c>
      <c r="EQ8" s="37">
        <f>IF((EO8-EO7)*1000&lt;=0,0,(EO8-EO7)*1000)+GX8-FU45+FV45</f>
        <v>8904.17</v>
      </c>
      <c r="ER8" s="48">
        <v>8181.4</v>
      </c>
      <c r="ES8" s="48">
        <v>8327.1</v>
      </c>
      <c r="ET8" s="49">
        <f t="shared" ref="ET8:ET14" si="40">IF((ER8-ER7)&lt;=0,0,(ER8-ER7))*1000</f>
        <v>18799.999999999272</v>
      </c>
      <c r="EU8" s="48">
        <v>2950.6</v>
      </c>
      <c r="EV8" s="48">
        <v>1054.7</v>
      </c>
      <c r="EW8" s="49">
        <f t="shared" ref="EW8:EW38" si="41">IF((EU8-EU7)&lt;=0,0,(EU8-EU7))*1000+GX8</f>
        <v>8204.1699999997272</v>
      </c>
      <c r="EX8" s="48">
        <v>12549</v>
      </c>
      <c r="EY8" s="48">
        <v>1.3562000000000001</v>
      </c>
      <c r="EZ8" s="37">
        <f t="shared" ref="EZ8:EZ38" si="42">IF((EX8-EX7)&lt;=0,0,(EX8-EX7))*1000+GX8</f>
        <v>9904.17</v>
      </c>
      <c r="FA8" s="48">
        <f>FC8-EQ8-ET8-EW8-EZ8</f>
        <v>-22019.509999998998</v>
      </c>
      <c r="FB8" s="48">
        <v>34747577</v>
      </c>
      <c r="FC8" s="49">
        <f>IF((FB8-FB7)&lt;=0,0,(FB8-FB7))</f>
        <v>23793</v>
      </c>
      <c r="FD8" s="48">
        <f>EQ8+ET8+EW8+EZ8+GJ8</f>
        <v>47512.509999999042</v>
      </c>
      <c r="FE8" s="48">
        <v>16287</v>
      </c>
      <c r="FF8" s="48">
        <v>5836.5</v>
      </c>
      <c r="FG8" s="37">
        <f>IF((FE8-FE7)*1000&lt;=0,0,(FE8-FE7)*1000)+FL8+GX8+FW45</f>
        <v>8604.17</v>
      </c>
      <c r="FH8" s="48">
        <v>7435</v>
      </c>
      <c r="FI8" s="48">
        <v>2.8639999999999999</v>
      </c>
      <c r="FJ8" s="49">
        <f t="shared" ref="FJ8:FJ38" si="43">IF((FH8-FH7)&lt;=0,0,(FH8-FH7))*1000+FL8+GX8</f>
        <v>13504.169999999636</v>
      </c>
      <c r="FK8" s="48"/>
      <c r="FL8" s="58">
        <v>700</v>
      </c>
      <c r="FM8" s="48">
        <f>FT8/3</f>
        <v>95.8300000001218</v>
      </c>
      <c r="FN8" s="48">
        <v>15597</v>
      </c>
      <c r="FO8" s="48">
        <v>0.72609999999999997</v>
      </c>
      <c r="FP8" s="37">
        <f>IF((FN8-FN7)*1000&lt;=0,0,(FN8-FN7)*1000)+FL8+GX8</f>
        <v>11604.17</v>
      </c>
      <c r="FQ8" s="48">
        <v>55659</v>
      </c>
      <c r="FR8" s="48">
        <v>13.332000000000001</v>
      </c>
      <c r="FS8" s="37">
        <f t="shared" ref="FS8:FS34" si="44">IF((FQ8-FQ7)*1000&lt;=0,0,(FQ8-FQ7)*1000)</f>
        <v>34000</v>
      </c>
      <c r="FT8" s="48">
        <f>FS8-FG8-FJ8-FP8</f>
        <v>287.4900000003654</v>
      </c>
      <c r="FU8" s="48">
        <f>FG8+FJ8+FP8+GM8</f>
        <v>35212.509999999638</v>
      </c>
      <c r="FV8" s="44">
        <v>2980900</v>
      </c>
      <c r="FW8" s="44">
        <v>958110</v>
      </c>
      <c r="FX8" s="37">
        <f t="shared" ref="FX8:FX38" si="45">IF((FV8-FV7)*1000&lt;=0,0,(FV8-FV7))</f>
        <v>5600</v>
      </c>
      <c r="FY8" s="56">
        <v>2961.6</v>
      </c>
      <c r="FZ8" s="56">
        <v>1.7532000000000001</v>
      </c>
      <c r="GA8" s="37">
        <f t="shared" ref="GA8:GA38" si="46">IF((FY8-FY7)*1000&lt;=0,0,((FY8-FY7)*1000)-GS8)</f>
        <v>349.99999999972715</v>
      </c>
      <c r="GB8" s="56">
        <v>759.06</v>
      </c>
      <c r="GC8" s="56">
        <v>845.47</v>
      </c>
      <c r="GD8" s="37">
        <f t="shared" ref="GD8:GD38" si="47">IF((GB8-GB7)*1000&lt;=0,0,(GB8-GB7)*1000)</f>
        <v>589.99999999991815</v>
      </c>
      <c r="GE8" s="56">
        <v>9408.5</v>
      </c>
      <c r="GF8" s="63">
        <v>2.9106000000000001</v>
      </c>
      <c r="GG8" s="37">
        <f t="shared" ref="GG8:GG38" si="48">IF((GE8-GE7)*1000&lt;=0,0,(GE8-GE7)*1000)-GJ8-GM8</f>
        <v>5500.0000000006821</v>
      </c>
      <c r="GH8" s="48">
        <v>1824.9</v>
      </c>
      <c r="GI8" s="56">
        <v>1546.7</v>
      </c>
      <c r="GJ8" s="38">
        <f t="shared" ref="GJ8:GJ38" si="49">IF((GH8-GH7)&lt;=0,0,(GH8-GH7))*1000</f>
        <v>1700.0000000000455</v>
      </c>
      <c r="GK8" s="56">
        <v>1420.8</v>
      </c>
      <c r="GL8" s="44">
        <v>1098.7</v>
      </c>
      <c r="GM8" s="38">
        <f t="shared" ref="GM8:GM38" si="50">IF((GK8-GK7)&lt;=0,0,(GK8-GK7))*1000</f>
        <v>1500</v>
      </c>
      <c r="GN8" s="57">
        <v>158990</v>
      </c>
      <c r="GO8" s="57">
        <v>138760</v>
      </c>
      <c r="GP8" s="38">
        <f>IF((GN8-GN7)&lt;=0,0,(GN8-GN7)+1000)</f>
        <v>1010</v>
      </c>
      <c r="GQ8" s="38">
        <v>223370</v>
      </c>
      <c r="GR8" s="38">
        <v>222540</v>
      </c>
      <c r="GS8" s="38">
        <f>IF((GQ8-GQ7)&lt;=0,0,(GQ8-GQ7))</f>
        <v>950</v>
      </c>
      <c r="GT8" s="178"/>
      <c r="GU8" s="144">
        <f>DailyMar!B7-DailyMar!N7-DailyMar!V7-DailyMar!Y7-DailyMar!Z7-DailyMar!AA7-DailyMar!AB7-DailyMar!AC7-DailyMar!AD7-DailyMar!AE7-DailyMar!AK7-DailyMar!AO7-DailyMar!AS7-DailyMar!AY7-DailyMar!BD7+DailyMar!BU7-SUM(DailyMar!BP7:BS7)-DailyMar!BT7-DailyMar!AF7-DailyMar!AG7-DailyMar!BG7</f>
        <v>-4.9999997791019268E-2</v>
      </c>
      <c r="GV8" s="59">
        <v>-1437.5</v>
      </c>
      <c r="GW8" s="60">
        <f t="shared" ref="GW8:GW38" si="51">GV8/15</f>
        <v>-95.833333333333329</v>
      </c>
      <c r="GX8" s="61">
        <v>-95.83</v>
      </c>
      <c r="GY8" s="140"/>
      <c r="GZ8" s="62"/>
      <c r="HA8" s="62"/>
      <c r="HB8" s="62"/>
      <c r="HC8" s="62"/>
      <c r="HD8" s="74"/>
      <c r="HE8" s="24">
        <f t="shared" ref="HE8:HE35" si="52">HC8-HA8</f>
        <v>0</v>
      </c>
      <c r="HG8" s="213">
        <v>2</v>
      </c>
      <c r="HH8" s="16">
        <v>2129.9</v>
      </c>
      <c r="HI8" s="16">
        <v>872.25</v>
      </c>
      <c r="HJ8" s="16">
        <f t="shared" ref="HJ8:HJ14" si="53">IF((HH8-HH7)&lt;=0,0,(HH8-HH7)*1000)</f>
        <v>98740.000000000015</v>
      </c>
      <c r="HK8" s="16">
        <v>1.9189000000000001</v>
      </c>
      <c r="HL8" s="16">
        <v>660.93</v>
      </c>
      <c r="HM8" s="16">
        <f t="shared" ref="HM8:HM14" si="54">IF((HK8-HK7)&lt;=0,0,(HK8-HK7))</f>
        <v>0</v>
      </c>
      <c r="HN8" s="16">
        <v>443.92</v>
      </c>
      <c r="HO8" s="16">
        <v>199.79</v>
      </c>
      <c r="HP8" s="16">
        <f t="shared" ref="HP8:HP14" si="55">IF((HN8-HN7)&lt;=0,0,(HN8-HN7)*1000)+IC45</f>
        <v>31546.67</v>
      </c>
      <c r="HQ8" s="16">
        <v>568.27</v>
      </c>
      <c r="HR8" s="16">
        <v>272.10000000000002</v>
      </c>
      <c r="HS8" s="16">
        <f t="shared" ref="HS8:HS14" si="56">IF((HQ8-HQ7)&lt;=0,0,(HQ8-HQ7)*1000)+IC45</f>
        <v>25256.670000000035</v>
      </c>
      <c r="HT8" s="16">
        <v>434.2</v>
      </c>
      <c r="HU8" s="16">
        <v>183.7</v>
      </c>
      <c r="HV8" s="16">
        <f t="shared" ref="HV8:HV14" si="57">IF((HT8-HT7)&lt;=0,0,(HT8-HT7)*1000)+IC45</f>
        <v>23236.67</v>
      </c>
      <c r="HW8" s="16"/>
      <c r="HX8" s="16"/>
      <c r="HY8" s="128">
        <f t="shared" ref="HY8:HY15" si="58">DT8</f>
        <v>18700</v>
      </c>
      <c r="HZ8" s="211">
        <f>HJ8+HM8-HP8-HS8-HV8-HY8</f>
        <v>-1.0000000016589183E-2</v>
      </c>
      <c r="IA8" s="16">
        <v>259046.7</v>
      </c>
      <c r="IB8" s="16">
        <v>102717.3</v>
      </c>
      <c r="IC8" s="16">
        <f>IF((IA8-IA7)&lt;=0,0,(IA8-IA7))</f>
        <v>9068.7000000000116</v>
      </c>
      <c r="ID8" s="16">
        <v>178.92</v>
      </c>
      <c r="IE8" s="16">
        <v>83.385999999999996</v>
      </c>
      <c r="IF8" s="16">
        <f>IF((ID8-ID7)&lt;=0,0,(ID8-ID7)*1000)</f>
        <v>7439.9999999999982</v>
      </c>
      <c r="IG8" s="16">
        <v>48752.7</v>
      </c>
      <c r="IH8" s="16">
        <v>66595.199999999997</v>
      </c>
      <c r="II8" s="16">
        <f>IF((IG8-IG7)&lt;=0,0,(IG8-IG7))</f>
        <v>1853.6999999999971</v>
      </c>
      <c r="IJ8" s="16">
        <v>34326.5</v>
      </c>
      <c r="IK8" s="16">
        <v>18284.3</v>
      </c>
      <c r="IL8" s="16">
        <f>IF((IJ8-IJ7)&lt;=0,0,(IJ8-IJ7))</f>
        <v>1132.5</v>
      </c>
      <c r="IM8" s="16">
        <v>201764.4</v>
      </c>
      <c r="IN8" s="16">
        <v>84107.5</v>
      </c>
      <c r="IO8" s="16">
        <f>IF((IM8-IM7)&lt;=0,0,(IM8-IM7))</f>
        <v>23796.399999999994</v>
      </c>
      <c r="IP8" s="16">
        <v>353919.6</v>
      </c>
      <c r="IQ8" s="16">
        <v>44740.800000000003</v>
      </c>
      <c r="IR8" s="16">
        <f>IF((IP8-IP7)&lt;=0,0,(IP8-IP7))</f>
        <v>15079.599999999977</v>
      </c>
      <c r="IS8" s="16">
        <v>12620</v>
      </c>
      <c r="IT8" s="16">
        <v>7956.3</v>
      </c>
      <c r="IU8" s="16">
        <f>IF((IS8-IS7)&lt;=0,0,(IS8-IS7))</f>
        <v>707</v>
      </c>
      <c r="IV8" s="16">
        <v>172521.60000000001</v>
      </c>
      <c r="IW8" s="16">
        <v>31964.1</v>
      </c>
      <c r="IX8" s="16">
        <f>IF((IV8-IV7)&lt;=0,0,(IV8-IV7))</f>
        <v>7761.6000000000058</v>
      </c>
      <c r="IY8" s="16">
        <v>12104.64</v>
      </c>
      <c r="IZ8" s="16">
        <v>1146.48</v>
      </c>
      <c r="JA8" s="16">
        <f>IF((IY8-IY7)&lt;=0,0,(IY8-IY7))</f>
        <v>382.35999999999876</v>
      </c>
      <c r="JB8" s="16">
        <v>11102.8</v>
      </c>
      <c r="JC8" s="16">
        <v>1227.7</v>
      </c>
      <c r="JD8" s="16">
        <f>IF((JB8-JB7)&lt;=0,0,(JB8-JB7))</f>
        <v>272.54999999999927</v>
      </c>
      <c r="JE8" s="16">
        <v>232887.9</v>
      </c>
      <c r="JF8" s="16">
        <v>386471.1</v>
      </c>
      <c r="JG8" s="16">
        <f>IF((JE8-JE7)&lt;=0,0,(JE8-JE7))</f>
        <v>12184.899999999994</v>
      </c>
      <c r="JH8" s="16">
        <v>236268.79999999999</v>
      </c>
      <c r="JI8" s="16">
        <v>23455.599999999999</v>
      </c>
      <c r="JJ8" s="16">
        <f>IF((JH8-JH7)&lt;=0,0,(JH8-JH7))</f>
        <v>11968.799999999988</v>
      </c>
      <c r="JK8" s="16">
        <v>14964.2</v>
      </c>
      <c r="JL8" s="16">
        <v>13033.5</v>
      </c>
      <c r="JM8" s="16">
        <f>IF((JK8-JK7)&lt;=0,0,(JK8-JK7))</f>
        <v>668.20000000000073</v>
      </c>
      <c r="JN8" s="16">
        <v>144168.29999999999</v>
      </c>
      <c r="JO8" s="16">
        <v>24715.5</v>
      </c>
      <c r="JP8" s="16">
        <f>IF((JN8-JN7)&lt;=0,0,(JN8-JN7))</f>
        <v>8110.2999999999884</v>
      </c>
      <c r="JQ8" s="16">
        <v>488.52</v>
      </c>
      <c r="JR8" s="16">
        <v>104.04</v>
      </c>
      <c r="JS8" s="16">
        <f>IF((JQ8-JQ7)&lt;=0,0,(JQ8-JQ7))</f>
        <v>28.240000000000009</v>
      </c>
      <c r="JT8" s="16">
        <v>6871.5</v>
      </c>
      <c r="JU8" s="16">
        <v>537.6</v>
      </c>
      <c r="JV8" s="16">
        <f>IF((JT8-JT7)&lt;=0,0,(JT8-JT7))</f>
        <v>337.5</v>
      </c>
      <c r="JX8" s="151">
        <f>HJ8+HM8-HP8-HS8-HV8-HY8</f>
        <v>-1.0000000016589183E-2</v>
      </c>
    </row>
    <row r="9" spans="1:284" x14ac:dyDescent="0.25">
      <c r="A9" s="35">
        <f t="shared" si="0"/>
        <v>3</v>
      </c>
      <c r="B9" s="38">
        <v>3597.48</v>
      </c>
      <c r="C9" s="38">
        <f t="shared" si="1"/>
        <v>8.4000000000000909</v>
      </c>
      <c r="D9" s="38">
        <f t="shared" si="2"/>
        <v>268800.00000000291</v>
      </c>
      <c r="E9" s="37">
        <v>724.02</v>
      </c>
      <c r="F9" s="38">
        <f t="shared" si="3"/>
        <v>54079.999999998108</v>
      </c>
      <c r="G9" s="38">
        <f t="shared" si="4"/>
        <v>322880.00000000105</v>
      </c>
      <c r="H9" s="37"/>
      <c r="I9" s="39"/>
      <c r="J9" s="42"/>
      <c r="K9" s="37">
        <f>IF(J9&lt;=0,0,(J9/SQRT(J9^2+(I9-I8)^2)))</f>
        <v>0</v>
      </c>
      <c r="L9" s="40">
        <v>10490400</v>
      </c>
      <c r="M9" s="40"/>
      <c r="N9" s="37">
        <f>IF((L9-L8)&lt;=0,0,(L9-L8)*10)</f>
        <v>327000</v>
      </c>
      <c r="O9" s="37">
        <v>9900.19</v>
      </c>
      <c r="P9" s="37"/>
      <c r="Q9" s="37">
        <f t="shared" si="5"/>
        <v>17190.000000000509</v>
      </c>
      <c r="R9" s="37">
        <f>IF(Q9&lt;=0,0,(Q9/SQRT(Q9^2+(P9-P8)^2)))</f>
        <v>1</v>
      </c>
      <c r="S9" s="41">
        <v>11123122.84</v>
      </c>
      <c r="T9" s="37">
        <f t="shared" si="6"/>
        <v>9968.3699999991804</v>
      </c>
      <c r="U9" s="37">
        <v>1518173.85</v>
      </c>
      <c r="V9" s="37">
        <f t="shared" si="7"/>
        <v>0</v>
      </c>
      <c r="W9" s="37">
        <v>3428.5</v>
      </c>
      <c r="X9" s="37">
        <f>Q9-T9-V9-AB9</f>
        <v>7221.6300000013289</v>
      </c>
      <c r="Y9" s="183"/>
      <c r="Z9" s="183">
        <f t="shared" si="8"/>
        <v>0</v>
      </c>
      <c r="AA9" s="37">
        <v>506200</v>
      </c>
      <c r="AB9" s="37">
        <f t="shared" si="9"/>
        <v>0</v>
      </c>
      <c r="AC9" s="37">
        <v>3607.8</v>
      </c>
      <c r="AD9" s="37"/>
      <c r="AE9" s="37">
        <f t="shared" si="10"/>
        <v>6800.0000000001819</v>
      </c>
      <c r="AF9" s="37">
        <f>IF(AE9&lt;=0,0,(AE9/SQRT(AE9^2+(AD9-AD8)^2)))</f>
        <v>1</v>
      </c>
      <c r="AG9" s="37">
        <v>7876.2</v>
      </c>
      <c r="AH9" s="37"/>
      <c r="AI9" s="37">
        <f t="shared" si="11"/>
        <v>17236.389999999818</v>
      </c>
      <c r="AJ9" s="37">
        <f t="shared" si="12"/>
        <v>1</v>
      </c>
      <c r="AK9" s="37">
        <f t="shared" si="13"/>
        <v>41226.390000000509</v>
      </c>
      <c r="AL9" s="42">
        <v>9952</v>
      </c>
      <c r="AM9" s="42"/>
      <c r="AN9" s="37">
        <f t="shared" ref="AN9:AN38" si="59">IF((AL9-AL8)&lt;=0,0,(AL9-AL8))*1000+GX9-BL9-BN9-BP9-BR9</f>
        <v>6116.3899999996675</v>
      </c>
      <c r="AO9" s="37">
        <f>IF(AN9&lt;=0,0,(AN9/SQRT(AN9^2+(AM9-AM8)^2)))</f>
        <v>1</v>
      </c>
      <c r="AP9" s="37">
        <v>7589.2</v>
      </c>
      <c r="AQ9" s="37"/>
      <c r="AR9" s="37">
        <f t="shared" si="14"/>
        <v>9300.0000000001819</v>
      </c>
      <c r="AS9" s="37">
        <f>IF(AR9&lt;=0,0,(AR9/SQRT(AR9^2+(AQ9-AQ8)^2)))</f>
        <v>1</v>
      </c>
      <c r="AT9" s="183"/>
      <c r="AU9" s="183">
        <f t="shared" si="15"/>
        <v>0</v>
      </c>
      <c r="AV9" s="183"/>
      <c r="AW9" s="183">
        <f t="shared" si="16"/>
        <v>0</v>
      </c>
      <c r="AX9" s="37">
        <v>454310</v>
      </c>
      <c r="AY9" s="37"/>
      <c r="AZ9" s="37">
        <f t="shared" si="17"/>
        <v>20</v>
      </c>
      <c r="BA9" s="37">
        <v>103010</v>
      </c>
      <c r="BB9" s="37"/>
      <c r="BC9" s="37">
        <f t="shared" si="18"/>
        <v>30</v>
      </c>
      <c r="BD9" s="37">
        <f>AN9+AR9+AZ9+BC9</f>
        <v>15466.38999999985</v>
      </c>
      <c r="BE9" s="43">
        <v>1704.7</v>
      </c>
      <c r="BF9" s="43">
        <v>929.75</v>
      </c>
      <c r="BG9" s="37">
        <f t="shared" si="19"/>
        <v>2200.0000000000455</v>
      </c>
      <c r="BH9" s="44">
        <v>8136.6</v>
      </c>
      <c r="BI9" s="44">
        <v>5235.2</v>
      </c>
      <c r="BJ9" s="37">
        <f t="shared" si="20"/>
        <v>7600.0000000003638</v>
      </c>
      <c r="BK9" s="40">
        <v>1252060</v>
      </c>
      <c r="BL9" s="40">
        <f>IF((BK9-BK8)&lt;=0,0,(BK9-BK8))</f>
        <v>4410</v>
      </c>
      <c r="BM9" s="40">
        <v>816.48</v>
      </c>
      <c r="BN9" s="37">
        <f t="shared" si="21"/>
        <v>610.00000000001364</v>
      </c>
      <c r="BO9" s="186"/>
      <c r="BP9" s="183">
        <f t="shared" si="22"/>
        <v>0</v>
      </c>
      <c r="BQ9" s="40">
        <v>773.9</v>
      </c>
      <c r="BR9" s="37">
        <f t="shared" ref="BR9:BR38" si="60">IF((BQ9-BQ8)&lt;=0,0,(BQ9-BQ8))*1000</f>
        <v>299.99999999995453</v>
      </c>
      <c r="BS9" s="37">
        <v>81234.34</v>
      </c>
      <c r="BT9" s="37">
        <f t="shared" si="23"/>
        <v>253.69000000000233</v>
      </c>
      <c r="BU9" s="42">
        <v>2044128</v>
      </c>
      <c r="BV9" s="42"/>
      <c r="BW9" s="37">
        <f t="shared" si="24"/>
        <v>637</v>
      </c>
      <c r="BX9" s="37">
        <f>IF(BW9&lt;=0,0,(BW9/SQRT(BW9^2+(BV9-BV8)^2)))</f>
        <v>1</v>
      </c>
      <c r="BY9" s="43">
        <v>292.09780000000001</v>
      </c>
      <c r="BZ9" s="43"/>
      <c r="CA9" s="37">
        <f t="shared" si="25"/>
        <v>801.400000000001</v>
      </c>
      <c r="CB9" s="37">
        <f t="shared" ref="CB9:CB38" si="61">IF(CA9&lt;=0,0,(CA9/SQRT(CA9^2+(BZ9-BZ8)^2)))</f>
        <v>1</v>
      </c>
      <c r="CC9" s="37">
        <v>484279.6</v>
      </c>
      <c r="CD9" s="37">
        <f t="shared" si="26"/>
        <v>2916.1999999999534</v>
      </c>
      <c r="CE9" s="41">
        <f>CE10-4200</f>
        <v>683866.8</v>
      </c>
      <c r="CF9" s="37">
        <f t="shared" ref="CF9:CF38" si="62">IF((CE9-CE8)&lt;=0,0,(CE9-CE8))</f>
        <v>4150</v>
      </c>
      <c r="CG9" s="37">
        <v>61113</v>
      </c>
      <c r="CH9" s="37">
        <f t="shared" ref="CH9:CH38" si="63">IF((CG9-CG8)&lt;=0,0,(CG9-CG8))</f>
        <v>0</v>
      </c>
      <c r="CI9" s="40">
        <v>11256.5</v>
      </c>
      <c r="CJ9" s="40"/>
      <c r="CK9" s="37">
        <f t="shared" ref="CK9:CK38" si="64">IF((CI9-CI8)*1000&lt;=0,0,(CI9-CI8)*1000)+GX9-CA9</f>
        <v>17384.989999999634</v>
      </c>
      <c r="CL9" s="37">
        <f t="shared" si="27"/>
        <v>1</v>
      </c>
      <c r="CM9" s="37">
        <v>2983.922</v>
      </c>
      <c r="CN9" s="37"/>
      <c r="CO9" s="37">
        <f t="shared" si="28"/>
        <v>8183.3899999999348</v>
      </c>
      <c r="CP9" s="37">
        <f>IF(CO9&lt;=0,0,(CO9/SQRT(CO9^2+(CN9-CN8)^2)))</f>
        <v>1</v>
      </c>
      <c r="CQ9" s="39">
        <v>2876.0729999999999</v>
      </c>
      <c r="CR9" s="45"/>
      <c r="CS9" s="37">
        <f t="shared" si="29"/>
        <v>6487.3900000000222</v>
      </c>
      <c r="CT9" s="37">
        <f>IF(CS9&lt;=0,0,(CS9/SQRT(CS9^2+(CR9-CR8)^2)))</f>
        <v>1</v>
      </c>
      <c r="CU9" s="37">
        <v>2453799</v>
      </c>
      <c r="CV9" s="37"/>
      <c r="CW9" s="38">
        <f t="shared" si="30"/>
        <v>11235</v>
      </c>
      <c r="CX9" s="37">
        <f>IF(CW9&lt;=0,0,(CW9/SQRT(CW9^2+(CV9-CV8)^2)))</f>
        <v>1</v>
      </c>
      <c r="CY9" s="37">
        <v>1297743</v>
      </c>
      <c r="CZ9" s="37"/>
      <c r="DA9" s="37">
        <f t="shared" si="31"/>
        <v>4337</v>
      </c>
      <c r="DB9" s="37">
        <f>IF(DA9&lt;=0,0,(DA9/SQRT(DA9^2+(CZ9-CZ8)^2)))</f>
        <v>1</v>
      </c>
      <c r="DC9" s="37"/>
      <c r="DD9" s="40"/>
      <c r="DE9" s="37">
        <f t="shared" si="32"/>
        <v>0</v>
      </c>
      <c r="DF9" s="37">
        <f>IF(DE9&lt;=0,0,(DE9/SQRT(DE9^2+(DD9-DD8)^2)))</f>
        <v>0</v>
      </c>
      <c r="DG9" s="37">
        <f t="shared" si="33"/>
        <v>-48264.769999999589</v>
      </c>
      <c r="DH9" s="37">
        <f t="shared" si="34"/>
        <v>370426.39000000054</v>
      </c>
      <c r="DI9" s="46"/>
      <c r="DJ9" s="46"/>
      <c r="DK9" s="47"/>
      <c r="DL9" s="47"/>
      <c r="DM9" s="37"/>
      <c r="DN9" s="37"/>
      <c r="DO9" s="37"/>
      <c r="DP9" s="37"/>
      <c r="DQ9" s="50">
        <v>2816800</v>
      </c>
      <c r="DR9" s="49">
        <f t="shared" ref="DR9:DR38" si="65">IF((DQ9-DQ8)&lt;=0,0,(DQ9-DQ8))</f>
        <v>6300</v>
      </c>
      <c r="DS9" s="50">
        <v>2305800</v>
      </c>
      <c r="DT9" s="49">
        <f t="shared" ref="DT9:DT38" si="66">IF((DS9-DS8)&lt;=0,0,(DS9-DS8))</f>
        <v>17800</v>
      </c>
      <c r="DU9" s="52">
        <v>7635.4</v>
      </c>
      <c r="DV9" s="52">
        <v>4267.6000000000004</v>
      </c>
      <c r="DW9" s="37">
        <f>IF((DU9-DU8)*1000&lt;=0,0,(DU9-DU8)*1000)</f>
        <v>4599.9999999994543</v>
      </c>
      <c r="DX9" s="52">
        <v>12637</v>
      </c>
      <c r="DY9" s="52">
        <v>8292.6</v>
      </c>
      <c r="DZ9" s="37">
        <f t="shared" si="35"/>
        <v>7536.39</v>
      </c>
      <c r="EA9" s="49">
        <v>28301</v>
      </c>
      <c r="EB9" s="49">
        <v>20.035</v>
      </c>
      <c r="EC9" s="37">
        <f t="shared" si="36"/>
        <v>24696.39</v>
      </c>
      <c r="ED9" s="53">
        <f t="shared" si="37"/>
        <v>36832.779999999453</v>
      </c>
      <c r="EE9" s="49">
        <v>43570</v>
      </c>
      <c r="EF9" s="49">
        <v>27.805</v>
      </c>
      <c r="EG9" s="37">
        <f t="shared" si="38"/>
        <v>4696.3899999999994</v>
      </c>
      <c r="EH9" s="52">
        <v>12279</v>
      </c>
      <c r="EI9" s="52">
        <v>1.6442000000000001</v>
      </c>
      <c r="EJ9" s="37">
        <f t="shared" si="39"/>
        <v>4536.3900000000003</v>
      </c>
      <c r="EK9" s="37">
        <v>743.8</v>
      </c>
      <c r="EL9" s="40">
        <v>1067.7</v>
      </c>
      <c r="EM9" s="37">
        <f t="shared" ref="EM9:EM38" si="67">IF((EK9-EK8)&lt;=0,0,(EK9-EK8))*1000</f>
        <v>149.99999999997726</v>
      </c>
      <c r="EN9" s="54">
        <f t="shared" ref="EN9:EN38" si="68">EG9+EJ9+EM9</f>
        <v>9382.779999999977</v>
      </c>
      <c r="EO9" s="48">
        <v>12347</v>
      </c>
      <c r="EP9" s="48">
        <v>4300.8</v>
      </c>
      <c r="EQ9" s="37">
        <f t="shared" ref="EQ9:EQ38" si="69">IF((EO9-EO8)*1000&lt;=0,0,(EO9-EO8)*1000)+GX9-FU46+FV46</f>
        <v>11536.39</v>
      </c>
      <c r="ER9" s="48">
        <v>8200.6</v>
      </c>
      <c r="ES9" s="48">
        <v>8334.9</v>
      </c>
      <c r="ET9" s="49">
        <f t="shared" si="40"/>
        <v>19200.000000000728</v>
      </c>
      <c r="EU9" s="48">
        <v>2959.2</v>
      </c>
      <c r="EV9" s="48">
        <v>1057.5999999999999</v>
      </c>
      <c r="EW9" s="49">
        <f t="shared" si="41"/>
        <v>9136.3899999999085</v>
      </c>
      <c r="EX9" s="48">
        <v>12560</v>
      </c>
      <c r="EY9" s="48">
        <v>1.3588</v>
      </c>
      <c r="EZ9" s="37">
        <f t="shared" si="42"/>
        <v>11536.39</v>
      </c>
      <c r="FA9" s="48">
        <f t="shared" ref="FA9:FA38" si="70">FC9-EQ9-ET9-EW9-EZ9</f>
        <v>-25851.170000000635</v>
      </c>
      <c r="FB9" s="48">
        <v>34773135</v>
      </c>
      <c r="FC9" s="49">
        <f>IF((FB9-FB8)&lt;=0,0,(FB9-FB8))</f>
        <v>25558</v>
      </c>
      <c r="FD9" s="48">
        <f t="shared" ref="FD9:FD38" si="71">EQ9+ET9+EW9+EZ9+GJ9</f>
        <v>53309.1700000005</v>
      </c>
      <c r="FE9" s="48">
        <v>16297</v>
      </c>
      <c r="FF9" s="48">
        <v>5837.4</v>
      </c>
      <c r="FG9" s="37">
        <f t="shared" ref="FG9:FG38" si="72">IF((FE9-FE8)*1000&lt;=0,0,(FE9-FE8)*1000)+FL9+GX9+FW46</f>
        <v>10436.39</v>
      </c>
      <c r="FH9" s="48">
        <v>7450.3</v>
      </c>
      <c r="FI9" s="48">
        <v>2.8700999999999999</v>
      </c>
      <c r="FJ9" s="49">
        <f t="shared" si="43"/>
        <v>15736.390000000181</v>
      </c>
      <c r="FK9" s="48"/>
      <c r="FL9" s="58">
        <v>-100</v>
      </c>
      <c r="FM9" s="48">
        <f>FT9/3</f>
        <v>-536.39000000006001</v>
      </c>
      <c r="FN9" s="48">
        <v>15609</v>
      </c>
      <c r="FO9" s="48">
        <v>0.72789999999999999</v>
      </c>
      <c r="FP9" s="37">
        <f t="shared" ref="FP9:FP38" si="73">IF((FN9-FN8)*1000&lt;=0,0,(FN9-FN8)*1000)+FL9+GX9</f>
        <v>12436.39</v>
      </c>
      <c r="FQ9" s="48">
        <v>55696</v>
      </c>
      <c r="FR9" s="48">
        <v>13.342000000000001</v>
      </c>
      <c r="FS9" s="37">
        <f t="shared" si="44"/>
        <v>37000</v>
      </c>
      <c r="FT9" s="48">
        <f t="shared" ref="FT9:FT38" si="74">FS9-FG9-FJ9-FP9</f>
        <v>-1609.1700000001802</v>
      </c>
      <c r="FU9" s="48">
        <f t="shared" ref="FU9:FU38" si="75">FG9+FJ9+FP9+GM9</f>
        <v>39909.170000000136</v>
      </c>
      <c r="FV9" s="44">
        <v>2985600</v>
      </c>
      <c r="FW9" s="44">
        <v>959940</v>
      </c>
      <c r="FX9" s="37">
        <f t="shared" si="45"/>
        <v>4700</v>
      </c>
      <c r="FY9" s="56">
        <v>2962.9</v>
      </c>
      <c r="FZ9" s="56">
        <v>1.7536</v>
      </c>
      <c r="GA9" s="37">
        <f t="shared" si="46"/>
        <v>360.0000000001819</v>
      </c>
      <c r="GB9" s="56">
        <v>759.6</v>
      </c>
      <c r="GC9" s="56">
        <v>846.14</v>
      </c>
      <c r="GD9" s="37">
        <f t="shared" si="47"/>
        <v>540.00000000007731</v>
      </c>
      <c r="GE9" s="63">
        <v>9416.1</v>
      </c>
      <c r="GF9" s="56">
        <v>2.9157000000000002</v>
      </c>
      <c r="GG9" s="37">
        <f t="shared" si="48"/>
        <v>4400.0000000005457</v>
      </c>
      <c r="GH9" s="48">
        <v>1826.8</v>
      </c>
      <c r="GI9" s="56">
        <v>1548.5</v>
      </c>
      <c r="GJ9" s="38">
        <f t="shared" si="49"/>
        <v>1899.9999999998636</v>
      </c>
      <c r="GK9" s="56">
        <v>1422.1</v>
      </c>
      <c r="GL9" s="44">
        <v>1099.3</v>
      </c>
      <c r="GM9" s="38">
        <f t="shared" si="50"/>
        <v>1299.9999999999545</v>
      </c>
      <c r="GN9" s="57">
        <v>158990</v>
      </c>
      <c r="GO9" s="57">
        <v>138760</v>
      </c>
      <c r="GP9" s="38">
        <f>IF((GN9-GN8)&lt;=0,0,(GN9-GN8)+1000)</f>
        <v>0</v>
      </c>
      <c r="GQ9" s="38">
        <v>224310</v>
      </c>
      <c r="GR9" s="38">
        <v>223460</v>
      </c>
      <c r="GS9" s="38">
        <f t="shared" ref="GS9:GS38" si="76">IF((GQ9-GQ8)&lt;=0,0,(GQ9-GQ8))</f>
        <v>940</v>
      </c>
      <c r="GT9" s="178"/>
      <c r="GU9" s="144">
        <f>DailyMar!B8-DailyMar!N8-DailyMar!V8-DailyMar!Y8-DailyMar!Z8-DailyMar!AA8-DailyMar!AB8-DailyMar!AC8-DailyMar!AD8-DailyMar!AE8-DailyMar!AK8-DailyMar!AO8-DailyMar!AS8-DailyMar!AY8-DailyMar!BD8+DailyMar!BU8-SUM(DailyMar!BP8:BS8)-DailyMar!BT8-DailyMar!AF8-DailyMar!AG8-DailyMar!BG8</f>
        <v>-5.0000000075669959E-2</v>
      </c>
      <c r="GV9" s="59">
        <v>8045.8</v>
      </c>
      <c r="GW9" s="60">
        <f t="shared" si="51"/>
        <v>536.38666666666666</v>
      </c>
      <c r="GX9" s="61">
        <v>536.39</v>
      </c>
      <c r="GY9" s="140"/>
      <c r="GZ9" s="62"/>
      <c r="HA9" s="62"/>
      <c r="HB9" s="74"/>
      <c r="HC9" s="62"/>
      <c r="HD9" s="74"/>
      <c r="HE9" s="24">
        <f t="shared" si="52"/>
        <v>0</v>
      </c>
      <c r="HG9" s="213">
        <v>3</v>
      </c>
      <c r="HH9" s="16">
        <v>2222.3000000000002</v>
      </c>
      <c r="HI9" s="16">
        <v>906.92</v>
      </c>
      <c r="HJ9" s="16">
        <f t="shared" si="53"/>
        <v>92400.000000000087</v>
      </c>
      <c r="HK9" s="16">
        <v>1.9189000000000001</v>
      </c>
      <c r="HL9" s="16">
        <v>660.93</v>
      </c>
      <c r="HM9" s="16">
        <f t="shared" si="54"/>
        <v>0</v>
      </c>
      <c r="HN9" s="16">
        <v>472.14</v>
      </c>
      <c r="HO9" s="16">
        <v>213.27</v>
      </c>
      <c r="HP9" s="16">
        <f t="shared" si="55"/>
        <v>28713.33299999997</v>
      </c>
      <c r="HQ9" s="16">
        <v>590.89</v>
      </c>
      <c r="HR9" s="16">
        <v>281.27999999999997</v>
      </c>
      <c r="HS9" s="16">
        <f t="shared" si="56"/>
        <v>23113.333000000002</v>
      </c>
      <c r="HT9" s="16">
        <v>456.48</v>
      </c>
      <c r="HU9" s="16">
        <v>191.86</v>
      </c>
      <c r="HV9" s="16">
        <f t="shared" si="57"/>
        <v>22773.333000000028</v>
      </c>
      <c r="HW9" s="16"/>
      <c r="HX9" s="16"/>
      <c r="HY9" s="128">
        <f t="shared" si="58"/>
        <v>17800</v>
      </c>
      <c r="HZ9" s="211">
        <f t="shared" ref="HZ9:HZ38" si="77">HJ9+HM9-HP9-HS9-HV9-HY9</f>
        <v>1.000000091153197E-3</v>
      </c>
      <c r="IA9" s="16">
        <v>267927.3</v>
      </c>
      <c r="IB9" s="16">
        <v>108253.3</v>
      </c>
      <c r="IC9" s="16">
        <f t="shared" ref="IC9:IC38" si="78">IF((IA9-IA8)&lt;=0,0,(IA9-IA8))</f>
        <v>8880.5999999999767</v>
      </c>
      <c r="ID9" s="16">
        <v>185.56</v>
      </c>
      <c r="IE9" s="16">
        <v>86.471999999999994</v>
      </c>
      <c r="IF9" s="16">
        <f t="shared" ref="IF9:IF35" si="79">IF((ID9-ID8)&lt;=0,0,(ID9-ID8)*1000)</f>
        <v>6640.0000000000146</v>
      </c>
      <c r="IG9" s="16">
        <v>50569.1</v>
      </c>
      <c r="IH9" s="16">
        <v>69074.600000000006</v>
      </c>
      <c r="II9" s="16">
        <f t="shared" ref="II9:II26" si="80">IF((IG9-IG8)&lt;=0,0,(IG9-IG8))</f>
        <v>1816.4000000000015</v>
      </c>
      <c r="IJ9" s="16">
        <v>35617.4</v>
      </c>
      <c r="IK9" s="16">
        <v>18931.5</v>
      </c>
      <c r="IL9" s="16">
        <f t="shared" ref="IL9:IL27" si="81">IF((IJ9-IJ8)&lt;=0,0,(IJ9-IJ8))</f>
        <v>1290.9000000000015</v>
      </c>
      <c r="IM9" s="16">
        <v>223909.8</v>
      </c>
      <c r="IN9" s="16">
        <v>92901.2</v>
      </c>
      <c r="IO9" s="16">
        <f t="shared" ref="IO9:IO38" si="82">IF((IM9-IM8)&lt;=0,0,(IM9-IM8))</f>
        <v>22145.399999999994</v>
      </c>
      <c r="IP9" s="16">
        <v>368062.8</v>
      </c>
      <c r="IQ9" s="16">
        <v>46691.6</v>
      </c>
      <c r="IR9" s="16">
        <f t="shared" ref="IR9:IR38" si="83">IF((IP9-IP8)&lt;=0,0,(IP9-IP8))</f>
        <v>14143.200000000012</v>
      </c>
      <c r="IS9" s="16">
        <v>13312</v>
      </c>
      <c r="IT9" s="16">
        <v>8348.1</v>
      </c>
      <c r="IU9" s="16">
        <f t="shared" ref="IU9:IU38" si="84">IF((IS9-IS8)&lt;=0,0,(IS9-IS8))</f>
        <v>692</v>
      </c>
      <c r="IV9" s="16">
        <v>179571.9</v>
      </c>
      <c r="IW9" s="16">
        <v>33435</v>
      </c>
      <c r="IX9" s="16">
        <f t="shared" ref="IX9:IX38" si="85">IF((IV9-IV8)&lt;=0,0,(IV9-IV8))</f>
        <v>7050.2999999999884</v>
      </c>
      <c r="IY9" s="16">
        <v>12686.4</v>
      </c>
      <c r="IZ9" s="16">
        <v>1208.48</v>
      </c>
      <c r="JA9" s="16">
        <f t="shared" ref="JA9:JA38" si="86">IF((IY9-IY8)&lt;=0,0,(IY9-IY8))</f>
        <v>581.76000000000022</v>
      </c>
      <c r="JB9" s="16">
        <v>11505.2</v>
      </c>
      <c r="JC9" s="16">
        <v>1276.6500000000001</v>
      </c>
      <c r="JD9" s="16">
        <f t="shared" ref="JD9:JD38" si="87">IF((JB9-JB8)&lt;=0,0,(JB9-JB8))</f>
        <v>402.40000000000146</v>
      </c>
      <c r="JE9" s="16">
        <v>245067.5</v>
      </c>
      <c r="JF9" s="16">
        <v>406332.9</v>
      </c>
      <c r="JG9" s="16">
        <f t="shared" ref="JG9:JG38" si="88">IF((JE9-JE8)&lt;=0,0,(JE9-JE8))</f>
        <v>12179.600000000006</v>
      </c>
      <c r="JH9" s="16">
        <v>248322.2</v>
      </c>
      <c r="JI9" s="16">
        <v>24695.599999999999</v>
      </c>
      <c r="JJ9" s="16">
        <f t="shared" ref="JJ9:JJ38" si="89">IF((JH9-JH8)&lt;=0,0,(JH9-JH8))</f>
        <v>12053.400000000023</v>
      </c>
      <c r="JK9" s="16">
        <v>15642.3</v>
      </c>
      <c r="JL9" s="16">
        <v>13515.6</v>
      </c>
      <c r="JM9" s="16">
        <f t="shared" ref="JM9:JM38" si="90">IF((JK9-JK8)&lt;=0,0,(JK9-JK8))</f>
        <v>678.09999999999854</v>
      </c>
      <c r="JN9" s="16">
        <v>152294.70000000001</v>
      </c>
      <c r="JO9" s="16">
        <v>26324.7</v>
      </c>
      <c r="JP9" s="16">
        <f t="shared" ref="JP9:JP37" si="91">IF((JN9-JN8)&lt;=0,0,(JN9-JN8))</f>
        <v>8126.4000000000233</v>
      </c>
      <c r="JQ9" s="16">
        <v>513.91999999999996</v>
      </c>
      <c r="JR9" s="16">
        <v>111</v>
      </c>
      <c r="JS9" s="16">
        <f t="shared" ref="JS9:JS38" si="92">IF((JQ9-JQ8)&lt;=0,0,(JQ9-JQ8))</f>
        <v>25.399999999999977</v>
      </c>
      <c r="JT9" s="16">
        <v>7393.9</v>
      </c>
      <c r="JU9" s="16">
        <v>579.65</v>
      </c>
      <c r="JV9" s="16">
        <f t="shared" ref="JV9:JV38" si="93">IF((JT9-JT8)&lt;=0,0,(JT9-JT8))</f>
        <v>522.39999999999964</v>
      </c>
      <c r="JX9" s="151">
        <f t="shared" ref="JX9:JX38" si="94">HJ9+HM9-HP9-HS9-HV9-HY9</f>
        <v>1.000000091153197E-3</v>
      </c>
    </row>
    <row r="10" spans="1:284" x14ac:dyDescent="0.25">
      <c r="A10" s="35">
        <f t="shared" si="0"/>
        <v>4</v>
      </c>
      <c r="B10" s="38">
        <v>3605</v>
      </c>
      <c r="C10" s="38">
        <f t="shared" si="1"/>
        <v>7.5199999999999818</v>
      </c>
      <c r="D10" s="38">
        <f t="shared" si="2"/>
        <v>240639.99999999942</v>
      </c>
      <c r="E10" s="38">
        <v>725.18</v>
      </c>
      <c r="F10" s="38">
        <f t="shared" si="3"/>
        <v>37119.999999998981</v>
      </c>
      <c r="G10" s="38">
        <f t="shared" si="4"/>
        <v>277759.99999999837</v>
      </c>
      <c r="H10" s="37"/>
      <c r="I10" s="39"/>
      <c r="J10" s="42"/>
      <c r="K10" s="37">
        <f t="shared" ref="K10:K34" si="95">IF(J10&lt;=0,0,(J10/SQRT(J10^2+(I10-I9)^2)))</f>
        <v>0</v>
      </c>
      <c r="L10" s="40">
        <v>10517900</v>
      </c>
      <c r="M10" s="40"/>
      <c r="N10" s="37">
        <f t="shared" ref="N10:N38" si="96">IF((L10-L9)&lt;=0,0,(L10-L9)*10)</f>
        <v>275000</v>
      </c>
      <c r="O10" s="37">
        <v>9903.1</v>
      </c>
      <c r="P10" s="37"/>
      <c r="Q10" s="37">
        <f t="shared" si="5"/>
        <v>2909.9999999998545</v>
      </c>
      <c r="R10" s="37">
        <f t="shared" ref="R10:R34" si="97">IF(Q10&lt;=0,0,(Q10/SQRT(Q10^2+(P10-P9)^2)))</f>
        <v>1</v>
      </c>
      <c r="S10" s="41">
        <v>11123637.42</v>
      </c>
      <c r="T10" s="37">
        <f t="shared" si="6"/>
        <v>514.58000000007451</v>
      </c>
      <c r="U10" s="37">
        <v>1518173.85</v>
      </c>
      <c r="V10" s="37">
        <f t="shared" si="7"/>
        <v>0</v>
      </c>
      <c r="W10" s="37">
        <v>3430.2</v>
      </c>
      <c r="X10" s="37">
        <f>Q10-T10-V10-AB10</f>
        <v>2395.41999999978</v>
      </c>
      <c r="Y10" s="183"/>
      <c r="Z10" s="183">
        <f t="shared" si="8"/>
        <v>0</v>
      </c>
      <c r="AA10" s="37">
        <v>506200</v>
      </c>
      <c r="AB10" s="37">
        <f t="shared" si="9"/>
        <v>0</v>
      </c>
      <c r="AC10" s="37">
        <v>3608.1</v>
      </c>
      <c r="AD10" s="37"/>
      <c r="AE10" s="37">
        <f t="shared" si="10"/>
        <v>299.99999999972715</v>
      </c>
      <c r="AF10" s="37">
        <f t="shared" ref="AF10:AF34" si="98">IF(AE10&lt;=0,0,(AE10/SQRT(AE10^2+(AD10-AD9)^2)))</f>
        <v>1</v>
      </c>
      <c r="AG10" s="37">
        <v>7877</v>
      </c>
      <c r="AH10" s="37"/>
      <c r="AI10" s="37">
        <f t="shared" si="11"/>
        <v>759.2500000001819</v>
      </c>
      <c r="AJ10" s="37">
        <f t="shared" si="12"/>
        <v>1</v>
      </c>
      <c r="AK10" s="37">
        <f t="shared" si="13"/>
        <v>3969.2499999997635</v>
      </c>
      <c r="AL10" s="2">
        <v>9959.7000000000007</v>
      </c>
      <c r="AM10" s="42"/>
      <c r="AN10" s="37">
        <f t="shared" si="59"/>
        <v>2549.2500000006594</v>
      </c>
      <c r="AO10" s="37">
        <f t="shared" ref="AO10:AO34" si="99">IF(AN10&lt;=0,0,(AN10/SQRT(AN10^2+(AM10-AM9)^2)))</f>
        <v>1</v>
      </c>
      <c r="AP10" s="37">
        <v>7590.6</v>
      </c>
      <c r="AQ10" s="37"/>
      <c r="AR10" s="37">
        <f t="shared" si="14"/>
        <v>1400.0000000005457</v>
      </c>
      <c r="AS10" s="37">
        <f t="shared" ref="AS10:AS34" si="100">IF(AR10&lt;=0,0,(AR10/SQRT(AR10^2+(AQ10-AQ9)^2)))</f>
        <v>1</v>
      </c>
      <c r="AT10" s="183"/>
      <c r="AU10" s="183">
        <f t="shared" si="15"/>
        <v>0</v>
      </c>
      <c r="AV10" s="183"/>
      <c r="AW10" s="183">
        <f t="shared" si="16"/>
        <v>0</v>
      </c>
      <c r="AX10" s="37">
        <v>454360</v>
      </c>
      <c r="AY10" s="37"/>
      <c r="AZ10" s="37">
        <f t="shared" si="17"/>
        <v>50</v>
      </c>
      <c r="BA10" s="37">
        <v>103040</v>
      </c>
      <c r="BB10" s="37"/>
      <c r="BC10" s="37">
        <f t="shared" si="18"/>
        <v>30</v>
      </c>
      <c r="BD10" s="37">
        <f t="shared" ref="BD10:BD34" si="101">AN10+AR10+AZ10+BC10</f>
        <v>4029.2500000012051</v>
      </c>
      <c r="BE10" s="37">
        <v>1707.4</v>
      </c>
      <c r="BF10" s="37">
        <v>931.33</v>
      </c>
      <c r="BG10" s="37">
        <f t="shared" si="19"/>
        <v>2700.0000000000455</v>
      </c>
      <c r="BH10" s="44">
        <v>8144.6</v>
      </c>
      <c r="BI10" s="44">
        <v>5240.3</v>
      </c>
      <c r="BJ10" s="37">
        <f t="shared" si="20"/>
        <v>8000</v>
      </c>
      <c r="BK10" s="40">
        <v>1255870</v>
      </c>
      <c r="BL10" s="40">
        <f t="shared" ref="BL10:BL38" si="102">IF((BK10-BK9)&lt;=0,0,(BK10-BK9))</f>
        <v>3810</v>
      </c>
      <c r="BM10" s="40">
        <v>817.08</v>
      </c>
      <c r="BN10" s="37">
        <f t="shared" si="21"/>
        <v>600.00000000002274</v>
      </c>
      <c r="BO10" s="186"/>
      <c r="BP10" s="183">
        <f t="shared" si="22"/>
        <v>0</v>
      </c>
      <c r="BQ10" s="40">
        <v>774.6</v>
      </c>
      <c r="BR10" s="37">
        <f t="shared" si="60"/>
        <v>700.00000000004547</v>
      </c>
      <c r="BS10" s="37">
        <v>81500.259999999995</v>
      </c>
      <c r="BT10" s="37">
        <f t="shared" si="23"/>
        <v>265.91999999999825</v>
      </c>
      <c r="BU10" s="42">
        <v>2049206</v>
      </c>
      <c r="BV10" s="42"/>
      <c r="BW10" s="37">
        <f t="shared" si="24"/>
        <v>5078</v>
      </c>
      <c r="BX10" s="37">
        <f t="shared" ref="BX10:BX33" si="103">IF(BW10&lt;=0,0,(BW10/SQRT(BW10^2+(BV10-BV9)^2)))</f>
        <v>1</v>
      </c>
      <c r="BY10" s="43">
        <v>292.74700000000001</v>
      </c>
      <c r="BZ10" s="43"/>
      <c r="CA10" s="37">
        <f t="shared" si="25"/>
        <v>649.20000000000755</v>
      </c>
      <c r="CB10" s="37">
        <f t="shared" si="61"/>
        <v>1</v>
      </c>
      <c r="CC10" s="37">
        <v>485985.8</v>
      </c>
      <c r="CD10" s="37">
        <f t="shared" si="26"/>
        <v>1706.2000000000116</v>
      </c>
      <c r="CE10" s="37">
        <f>CE11-BW11</f>
        <v>688066.8</v>
      </c>
      <c r="CF10" s="37">
        <f t="shared" si="62"/>
        <v>4200</v>
      </c>
      <c r="CG10" s="37">
        <v>62423</v>
      </c>
      <c r="CH10" s="37">
        <f t="shared" si="63"/>
        <v>1310</v>
      </c>
      <c r="CI10" s="40">
        <v>11270.17</v>
      </c>
      <c r="CJ10" s="40"/>
      <c r="CK10" s="37">
        <f t="shared" si="64"/>
        <v>12980.050000000065</v>
      </c>
      <c r="CL10" s="37">
        <f t="shared" si="27"/>
        <v>1</v>
      </c>
      <c r="CM10" s="37">
        <v>2989.25</v>
      </c>
      <c r="CN10" s="37"/>
      <c r="CO10" s="37">
        <f t="shared" si="28"/>
        <v>5287.2499999999745</v>
      </c>
      <c r="CP10" s="37">
        <f t="shared" ref="CP10:CP34" si="104">IF(CO10&lt;=0,0,(CO10/SQRT(CO10^2+(CN10-CN9)^2)))</f>
        <v>1</v>
      </c>
      <c r="CQ10" s="39">
        <v>2880.22</v>
      </c>
      <c r="CR10" s="45"/>
      <c r="CS10" s="37">
        <f t="shared" si="29"/>
        <v>4106.2499999999345</v>
      </c>
      <c r="CT10" s="37">
        <f t="shared" ref="CT10:CT33" si="105">IF(CS10&lt;=0,0,(CS10/SQRT(CS10^2+(CR10-CR9)^2)))</f>
        <v>1</v>
      </c>
      <c r="CU10" s="37">
        <v>2465662</v>
      </c>
      <c r="CV10" s="37"/>
      <c r="CW10" s="38">
        <f t="shared" si="30"/>
        <v>11863</v>
      </c>
      <c r="CX10" s="37">
        <f t="shared" ref="CX10:CX38" si="106">IF(CW10&lt;=0,0,(CW10/SQRT(CW10^2+(CV10-CV9)^2)))</f>
        <v>1</v>
      </c>
      <c r="CY10" s="37">
        <v>1302355</v>
      </c>
      <c r="CZ10" s="37"/>
      <c r="DA10" s="37">
        <f t="shared" si="31"/>
        <v>4612</v>
      </c>
      <c r="DB10" s="37">
        <f t="shared" ref="DB10:DB34" si="107">IF(DA10&lt;=0,0,(DA10/SQRT(DA10^2+(CZ10-CZ9)^2)))</f>
        <v>1</v>
      </c>
      <c r="DC10" s="37"/>
      <c r="DD10" s="40"/>
      <c r="DE10" s="37">
        <f t="shared" si="32"/>
        <v>0</v>
      </c>
      <c r="DF10" s="37">
        <f>IF(DE10&lt;=0,0,(DE10/SQRT(DE10^2+(DD10-DD9)^2)))</f>
        <v>0</v>
      </c>
      <c r="DG10" s="37">
        <f t="shared" si="33"/>
        <v>-43926.549999999974</v>
      </c>
      <c r="DH10" s="37">
        <f t="shared" si="34"/>
        <v>281669.24999999983</v>
      </c>
      <c r="DI10" s="46"/>
      <c r="DJ10" s="46"/>
      <c r="DK10" s="47"/>
      <c r="DL10" s="47"/>
      <c r="DM10" s="37"/>
      <c r="DN10" s="37"/>
      <c r="DO10" s="37"/>
      <c r="DP10" s="37"/>
      <c r="DQ10" s="50">
        <v>2825900</v>
      </c>
      <c r="DR10" s="49">
        <f t="shared" si="65"/>
        <v>9100</v>
      </c>
      <c r="DS10" s="50">
        <v>2325400</v>
      </c>
      <c r="DT10" s="49">
        <f t="shared" si="66"/>
        <v>19600</v>
      </c>
      <c r="DU10" s="52">
        <v>7640.1</v>
      </c>
      <c r="DV10" s="52">
        <v>4270.5</v>
      </c>
      <c r="DW10" s="37">
        <f t="shared" ref="DW10:DW38" si="108">IF((DU10-DU9)*1000&lt;=0,0,(DU10-DU9)*1000)</f>
        <v>4700.0000000007276</v>
      </c>
      <c r="DX10" s="52">
        <v>12645</v>
      </c>
      <c r="DY10" s="52">
        <v>8294.9</v>
      </c>
      <c r="DZ10" s="37">
        <f t="shared" si="35"/>
        <v>7959.25</v>
      </c>
      <c r="EA10" s="49">
        <v>28324</v>
      </c>
      <c r="EB10" s="49">
        <v>20.047000000000001</v>
      </c>
      <c r="EC10" s="37">
        <f t="shared" si="36"/>
        <v>25119.25</v>
      </c>
      <c r="ED10" s="53">
        <f t="shared" si="37"/>
        <v>37778.500000000728</v>
      </c>
      <c r="EE10" s="49">
        <v>43573</v>
      </c>
      <c r="EF10" s="49">
        <v>27.806000000000001</v>
      </c>
      <c r="EG10" s="37">
        <f t="shared" si="38"/>
        <v>5119.25</v>
      </c>
      <c r="EH10" s="52">
        <v>12284</v>
      </c>
      <c r="EI10" s="52">
        <v>1.6442000000000001</v>
      </c>
      <c r="EJ10" s="37">
        <f t="shared" si="39"/>
        <v>4959.25</v>
      </c>
      <c r="EK10" s="37">
        <v>744.03</v>
      </c>
      <c r="EL10" s="40">
        <v>1067.9000000000001</v>
      </c>
      <c r="EM10" s="37">
        <f t="shared" si="67"/>
        <v>230.00000000001819</v>
      </c>
      <c r="EN10" s="54">
        <f t="shared" si="68"/>
        <v>10308.500000000018</v>
      </c>
      <c r="EO10" s="48">
        <v>12357</v>
      </c>
      <c r="EP10" s="48">
        <v>4304.1000000000004</v>
      </c>
      <c r="EQ10" s="37">
        <f t="shared" si="69"/>
        <v>9959.25</v>
      </c>
      <c r="ER10" s="48">
        <v>8218.5</v>
      </c>
      <c r="ES10" s="48">
        <v>8342.1</v>
      </c>
      <c r="ET10" s="49">
        <f t="shared" si="40"/>
        <v>17899.999999999636</v>
      </c>
      <c r="EU10" s="48">
        <v>2967.2</v>
      </c>
      <c r="EV10" s="48">
        <v>1060.3</v>
      </c>
      <c r="EW10" s="49">
        <f t="shared" si="41"/>
        <v>7959.25</v>
      </c>
      <c r="EX10" s="48">
        <v>12572</v>
      </c>
      <c r="EY10" s="48">
        <v>1.3619000000000001</v>
      </c>
      <c r="EZ10" s="37">
        <f t="shared" si="42"/>
        <v>11959.25</v>
      </c>
      <c r="FA10" s="48">
        <f t="shared" si="70"/>
        <v>-23345.749999999636</v>
      </c>
      <c r="FB10" s="48">
        <v>34797567</v>
      </c>
      <c r="FC10" s="49">
        <f t="shared" ref="FC10:FC35" si="109">IF((FB10-FB9)&lt;=0,0,(FB10-FB9))</f>
        <v>24432</v>
      </c>
      <c r="FD10" s="48">
        <f t="shared" si="71"/>
        <v>50077.749999999593</v>
      </c>
      <c r="FE10" s="48">
        <v>16307</v>
      </c>
      <c r="FF10" s="48">
        <v>5837.6</v>
      </c>
      <c r="FG10" s="37">
        <f t="shared" si="72"/>
        <v>9959.25</v>
      </c>
      <c r="FH10" s="48">
        <v>7469.3</v>
      </c>
      <c r="FI10" s="48">
        <v>2.8773</v>
      </c>
      <c r="FJ10" s="49">
        <f t="shared" si="43"/>
        <v>18959.25</v>
      </c>
      <c r="FK10" s="48"/>
      <c r="FL10" s="58">
        <v>0</v>
      </c>
      <c r="FM10" s="48">
        <f t="shared" ref="FM10:FM38" si="110">FT10/3</f>
        <v>40.75</v>
      </c>
      <c r="FN10" s="55">
        <v>15623</v>
      </c>
      <c r="FO10" s="48">
        <v>0.72960000000000003</v>
      </c>
      <c r="FP10" s="37">
        <f t="shared" si="73"/>
        <v>13959.25</v>
      </c>
      <c r="FQ10" s="48">
        <v>55739</v>
      </c>
      <c r="FR10" s="48">
        <v>13.352</v>
      </c>
      <c r="FS10" s="37">
        <f t="shared" si="44"/>
        <v>43000</v>
      </c>
      <c r="FT10" s="48">
        <f t="shared" si="74"/>
        <v>122.25</v>
      </c>
      <c r="FU10" s="48">
        <f t="shared" si="75"/>
        <v>44777.750000000087</v>
      </c>
      <c r="FV10" s="44">
        <v>2991800</v>
      </c>
      <c r="FW10" s="44">
        <v>962450</v>
      </c>
      <c r="FX10" s="37">
        <f t="shared" si="45"/>
        <v>6200</v>
      </c>
      <c r="FY10" s="56">
        <v>2964.6</v>
      </c>
      <c r="FZ10" s="56">
        <v>1.7547999999999999</v>
      </c>
      <c r="GA10" s="37">
        <f t="shared" si="46"/>
        <v>689.9999999998181</v>
      </c>
      <c r="GB10" s="56">
        <v>760.19</v>
      </c>
      <c r="GC10" s="56">
        <v>846.87</v>
      </c>
      <c r="GD10" s="37">
        <f t="shared" si="47"/>
        <v>590.00000000003183</v>
      </c>
      <c r="GE10" s="56">
        <v>9426.2000000000007</v>
      </c>
      <c r="GF10" s="56">
        <v>2.9222000000000001</v>
      </c>
      <c r="GG10" s="37">
        <f t="shared" si="48"/>
        <v>5900.0000000003183</v>
      </c>
      <c r="GH10" s="153">
        <v>1829.1</v>
      </c>
      <c r="GI10" s="162">
        <v>1550.7</v>
      </c>
      <c r="GJ10" s="38">
        <f t="shared" si="49"/>
        <v>2299.9999999999545</v>
      </c>
      <c r="GK10" s="162">
        <v>1424</v>
      </c>
      <c r="GL10" s="163">
        <v>1100.0999999999999</v>
      </c>
      <c r="GM10" s="38">
        <f t="shared" si="50"/>
        <v>1900.0000000000909</v>
      </c>
      <c r="GN10" s="57">
        <v>158990</v>
      </c>
      <c r="GO10" s="57">
        <v>138770</v>
      </c>
      <c r="GP10" s="38">
        <f>IF((GN10-GN9)&lt;=0,0,(GN10-GN9)+1000)</f>
        <v>0</v>
      </c>
      <c r="GQ10" s="38">
        <v>225320</v>
      </c>
      <c r="GR10" s="38">
        <v>224440</v>
      </c>
      <c r="GS10" s="38">
        <f t="shared" si="76"/>
        <v>1010</v>
      </c>
      <c r="GT10" s="178"/>
      <c r="GU10" s="144">
        <f>DailyMar!B9-DailyMar!N9-DailyMar!V9-DailyMar!Y9-DailyMar!Z9-DailyMar!AA9-DailyMar!AB9-DailyMar!AC9-DailyMar!AD9-DailyMar!AE9-DailyMar!AK9-DailyMar!AO9-DailyMar!AS9-DailyMar!AY9-DailyMar!BD9+DailyMar!BU9-SUM(DailyMar!BP9:BS9)-DailyMar!BT9-DailyMar!AF9-DailyMar!AG9-DailyMar!BG9</f>
        <v>4.9999997005215846E-2</v>
      </c>
      <c r="GV10" s="59">
        <v>-611.20000000000005</v>
      </c>
      <c r="GW10" s="60">
        <f t="shared" si="51"/>
        <v>-40.74666666666667</v>
      </c>
      <c r="GX10" s="61">
        <v>-40.75</v>
      </c>
      <c r="GY10" s="140"/>
      <c r="GZ10" s="62"/>
      <c r="HA10" s="62"/>
      <c r="HB10" s="74"/>
      <c r="HC10" s="62"/>
      <c r="HD10" s="74"/>
      <c r="HE10" s="24">
        <f t="shared" si="52"/>
        <v>0</v>
      </c>
      <c r="HG10" s="213">
        <v>4</v>
      </c>
      <c r="HH10" s="16">
        <v>2317.6</v>
      </c>
      <c r="HI10" s="16">
        <v>941.95</v>
      </c>
      <c r="HJ10" s="16">
        <f t="shared" si="53"/>
        <v>95299.999999999724</v>
      </c>
      <c r="HK10" s="16">
        <v>1.9189000000000001</v>
      </c>
      <c r="HL10" s="16">
        <v>660.93</v>
      </c>
      <c r="HM10" s="16">
        <f t="shared" si="54"/>
        <v>0</v>
      </c>
      <c r="HN10" s="16">
        <v>500.84</v>
      </c>
      <c r="HO10" s="16">
        <v>225.85</v>
      </c>
      <c r="HP10" s="16">
        <f t="shared" si="55"/>
        <v>28519.999999999989</v>
      </c>
      <c r="HQ10" s="16">
        <v>615.42999999999995</v>
      </c>
      <c r="HR10" s="16">
        <v>291.22000000000003</v>
      </c>
      <c r="HS10" s="16">
        <f t="shared" si="56"/>
        <v>24359.999999999964</v>
      </c>
      <c r="HT10" s="16">
        <v>478.78</v>
      </c>
      <c r="HU10" s="16">
        <v>199.9</v>
      </c>
      <c r="HV10" s="16">
        <f t="shared" si="57"/>
        <v>22119.999999999956</v>
      </c>
      <c r="HW10" s="16"/>
      <c r="HX10" s="16"/>
      <c r="HY10" s="128">
        <f t="shared" si="58"/>
        <v>19600</v>
      </c>
      <c r="HZ10" s="211">
        <f t="shared" si="77"/>
        <v>699.9999999998181</v>
      </c>
      <c r="IA10" s="16">
        <v>276650.09999999998</v>
      </c>
      <c r="IB10" s="16">
        <v>112653.2</v>
      </c>
      <c r="IC10" s="16">
        <f t="shared" si="78"/>
        <v>8722.7999999999884</v>
      </c>
      <c r="ID10" s="16">
        <v>192.37</v>
      </c>
      <c r="IE10" s="16">
        <v>89.614999999999995</v>
      </c>
      <c r="IF10" s="16">
        <f t="shared" si="79"/>
        <v>6810.0000000000018</v>
      </c>
      <c r="IG10" s="16">
        <v>52396.800000000003</v>
      </c>
      <c r="IH10" s="16">
        <v>71587.199999999997</v>
      </c>
      <c r="II10" s="16">
        <f t="shared" si="80"/>
        <v>1827.7000000000044</v>
      </c>
      <c r="IJ10" s="16">
        <v>36775.800000000003</v>
      </c>
      <c r="IK10" s="16">
        <v>19550.599999999999</v>
      </c>
      <c r="IL10" s="16">
        <f t="shared" si="81"/>
        <v>1158.4000000000015</v>
      </c>
      <c r="IM10" s="16">
        <v>248506.9</v>
      </c>
      <c r="IN10" s="16">
        <v>102532.9</v>
      </c>
      <c r="IO10" s="16">
        <f t="shared" si="82"/>
        <v>24597.100000000006</v>
      </c>
      <c r="IP10" s="16">
        <v>384050.4</v>
      </c>
      <c r="IQ10" s="16">
        <v>48803.6</v>
      </c>
      <c r="IR10" s="16">
        <f t="shared" si="83"/>
        <v>15987.600000000035</v>
      </c>
      <c r="IS10" s="16">
        <v>13990.6</v>
      </c>
      <c r="IT10" s="16">
        <v>8729.7999999999993</v>
      </c>
      <c r="IU10" s="16">
        <f t="shared" si="84"/>
        <v>678.60000000000036</v>
      </c>
      <c r="IV10" s="16">
        <v>187180.4</v>
      </c>
      <c r="IW10" s="16">
        <v>34954.199999999997</v>
      </c>
      <c r="IX10" s="16">
        <f t="shared" si="85"/>
        <v>7608.5</v>
      </c>
      <c r="IY10" s="16">
        <v>13333.48</v>
      </c>
      <c r="IZ10" s="16">
        <v>1280.04</v>
      </c>
      <c r="JA10" s="16">
        <f t="shared" si="86"/>
        <v>647.07999999999993</v>
      </c>
      <c r="JB10" s="16">
        <v>11956.1</v>
      </c>
      <c r="JC10" s="16">
        <v>1330.75</v>
      </c>
      <c r="JD10" s="16">
        <f t="shared" si="87"/>
        <v>450.89999999999964</v>
      </c>
      <c r="JE10" s="16">
        <v>257491.6</v>
      </c>
      <c r="JF10" s="16">
        <v>426653</v>
      </c>
      <c r="JG10" s="16">
        <f t="shared" si="88"/>
        <v>12424.100000000006</v>
      </c>
      <c r="JH10" s="16">
        <v>260436.2</v>
      </c>
      <c r="JI10" s="16">
        <v>25803.599999999999</v>
      </c>
      <c r="JJ10" s="16">
        <f t="shared" si="89"/>
        <v>12114</v>
      </c>
      <c r="JK10" s="16">
        <v>16326.8</v>
      </c>
      <c r="JL10" s="16">
        <v>13997.9</v>
      </c>
      <c r="JM10" s="16">
        <f t="shared" si="90"/>
        <v>684.5</v>
      </c>
      <c r="JN10" s="16">
        <v>160659.5</v>
      </c>
      <c r="JO10" s="16">
        <v>27920.1</v>
      </c>
      <c r="JP10" s="16">
        <f t="shared" si="91"/>
        <v>8364.7999999999884</v>
      </c>
      <c r="JQ10" s="16">
        <v>544.24</v>
      </c>
      <c r="JR10" s="16">
        <v>114.84</v>
      </c>
      <c r="JS10" s="16">
        <f t="shared" si="92"/>
        <v>30.32000000000005</v>
      </c>
      <c r="JT10" s="16">
        <v>7870.3</v>
      </c>
      <c r="JU10" s="16">
        <v>615.75</v>
      </c>
      <c r="JV10" s="16">
        <f t="shared" si="93"/>
        <v>476.40000000000055</v>
      </c>
      <c r="JX10" s="151">
        <f t="shared" si="94"/>
        <v>699.9999999998181</v>
      </c>
    </row>
    <row r="11" spans="1:284" x14ac:dyDescent="0.25">
      <c r="A11" s="35">
        <f t="shared" si="0"/>
        <v>5</v>
      </c>
      <c r="B11" s="38">
        <v>3612.45</v>
      </c>
      <c r="C11" s="38">
        <f t="shared" si="1"/>
        <v>7.4499999999998181</v>
      </c>
      <c r="D11" s="38">
        <f t="shared" si="2"/>
        <v>238399.99999999418</v>
      </c>
      <c r="E11" s="38">
        <v>726.52</v>
      </c>
      <c r="F11" s="38">
        <f>IF((E11-E10)*32000&lt;=0,0,(E11-E10)*32000)</f>
        <v>42880.000000001019</v>
      </c>
      <c r="G11" s="38">
        <f t="shared" si="4"/>
        <v>281279.99999999523</v>
      </c>
      <c r="H11" s="37"/>
      <c r="I11" s="39"/>
      <c r="J11" s="42"/>
      <c r="K11" s="37">
        <f t="shared" si="95"/>
        <v>0</v>
      </c>
      <c r="L11" s="40">
        <v>10545900</v>
      </c>
      <c r="M11" s="40"/>
      <c r="N11" s="37">
        <f t="shared" si="96"/>
        <v>280000</v>
      </c>
      <c r="O11" s="37">
        <v>9911.7999999999993</v>
      </c>
      <c r="P11" s="37"/>
      <c r="Q11" s="37">
        <f t="shared" si="5"/>
        <v>8699.9999999989086</v>
      </c>
      <c r="R11" s="37">
        <f t="shared" si="97"/>
        <v>1</v>
      </c>
      <c r="S11" s="41">
        <v>11123637.42</v>
      </c>
      <c r="T11" s="37">
        <f t="shared" si="6"/>
        <v>0</v>
      </c>
      <c r="U11" s="37">
        <v>1518173.85</v>
      </c>
      <c r="V11" s="37">
        <f t="shared" si="7"/>
        <v>0</v>
      </c>
      <c r="W11" s="37">
        <v>3434.8</v>
      </c>
      <c r="X11" s="37">
        <f t="shared" ref="X11:X38" si="111">Q11-T11-V11-AB11</f>
        <v>5499.9999999989086</v>
      </c>
      <c r="Y11" s="183"/>
      <c r="Z11" s="183">
        <f t="shared" si="8"/>
        <v>0</v>
      </c>
      <c r="AA11" s="37">
        <v>509400</v>
      </c>
      <c r="AB11" s="37">
        <f t="shared" si="9"/>
        <v>3200</v>
      </c>
      <c r="AC11" s="37">
        <v>3612</v>
      </c>
      <c r="AD11" s="37"/>
      <c r="AE11" s="37">
        <f t="shared" si="10"/>
        <v>3900.0000000000909</v>
      </c>
      <c r="AF11" s="37">
        <f t="shared" si="98"/>
        <v>1</v>
      </c>
      <c r="AG11" s="37">
        <v>7885.5</v>
      </c>
      <c r="AH11" s="37"/>
      <c r="AI11" s="37">
        <f t="shared" si="11"/>
        <v>8939.01</v>
      </c>
      <c r="AJ11" s="37">
        <f t="shared" si="12"/>
        <v>1</v>
      </c>
      <c r="AK11" s="37">
        <f t="shared" si="13"/>
        <v>18339.009999998998</v>
      </c>
      <c r="AL11" s="42">
        <v>9970.1</v>
      </c>
      <c r="AM11" s="2"/>
      <c r="AN11" s="37">
        <f t="shared" si="59"/>
        <v>5769.0099999997956</v>
      </c>
      <c r="AO11" s="37">
        <f t="shared" si="99"/>
        <v>1</v>
      </c>
      <c r="AP11" s="37">
        <v>7596.6</v>
      </c>
      <c r="AQ11" s="37"/>
      <c r="AR11" s="37">
        <f t="shared" si="14"/>
        <v>6000</v>
      </c>
      <c r="AS11" s="37">
        <f t="shared" si="100"/>
        <v>1</v>
      </c>
      <c r="AT11" s="183"/>
      <c r="AU11" s="183">
        <f t="shared" si="15"/>
        <v>0</v>
      </c>
      <c r="AV11" s="183"/>
      <c r="AW11" s="183">
        <f t="shared" si="16"/>
        <v>0</v>
      </c>
      <c r="AX11" s="37">
        <v>454610</v>
      </c>
      <c r="AY11" s="37"/>
      <c r="AZ11" s="37">
        <f t="shared" si="17"/>
        <v>250</v>
      </c>
      <c r="BA11" s="37">
        <v>103330</v>
      </c>
      <c r="BB11" s="37"/>
      <c r="BC11" s="37">
        <f t="shared" si="18"/>
        <v>290</v>
      </c>
      <c r="BD11" s="37">
        <f t="shared" si="101"/>
        <v>12309.009999999795</v>
      </c>
      <c r="BE11" s="43">
        <v>1710.1</v>
      </c>
      <c r="BF11" s="43">
        <v>932.98</v>
      </c>
      <c r="BG11" s="37">
        <f t="shared" si="19"/>
        <v>2699.9999999998181</v>
      </c>
      <c r="BH11" s="44">
        <v>8152.6</v>
      </c>
      <c r="BI11" s="44">
        <v>5245.3</v>
      </c>
      <c r="BJ11" s="37">
        <f t="shared" si="20"/>
        <v>8000</v>
      </c>
      <c r="BK11" s="40">
        <v>1259640</v>
      </c>
      <c r="BL11" s="40">
        <f t="shared" si="102"/>
        <v>3770</v>
      </c>
      <c r="BM11" s="40">
        <v>817.68</v>
      </c>
      <c r="BN11" s="37">
        <f t="shared" si="21"/>
        <v>599.99999999990905</v>
      </c>
      <c r="BO11" s="186"/>
      <c r="BP11" s="183">
        <f t="shared" si="22"/>
        <v>0</v>
      </c>
      <c r="BQ11" s="40">
        <v>775.3</v>
      </c>
      <c r="BR11" s="37">
        <f t="shared" si="60"/>
        <v>699.99999999993179</v>
      </c>
      <c r="BS11" s="37">
        <v>81746.289999999994</v>
      </c>
      <c r="BT11" s="37">
        <f t="shared" si="23"/>
        <v>246.02999999999884</v>
      </c>
      <c r="BU11" s="42">
        <v>2054150</v>
      </c>
      <c r="BV11" s="42"/>
      <c r="BW11" s="37">
        <f t="shared" si="24"/>
        <v>4944</v>
      </c>
      <c r="BX11" s="37">
        <f t="shared" si="103"/>
        <v>1</v>
      </c>
      <c r="BY11" s="43">
        <v>293.5206</v>
      </c>
      <c r="BZ11" s="43"/>
      <c r="CA11" s="37">
        <f t="shared" si="25"/>
        <v>773.59999999998763</v>
      </c>
      <c r="CB11" s="37">
        <f t="shared" si="61"/>
        <v>1</v>
      </c>
      <c r="CC11" s="37">
        <v>485985.8</v>
      </c>
      <c r="CD11" s="37">
        <f t="shared" si="26"/>
        <v>0</v>
      </c>
      <c r="CE11" s="37">
        <f>CE12-BW12</f>
        <v>693010.8</v>
      </c>
      <c r="CF11" s="37">
        <f t="shared" si="62"/>
        <v>4944</v>
      </c>
      <c r="CG11" s="37">
        <v>63415.9</v>
      </c>
      <c r="CH11" s="37">
        <f t="shared" si="63"/>
        <v>992.90000000000146</v>
      </c>
      <c r="CI11" s="40">
        <v>11286.95</v>
      </c>
      <c r="CJ11" s="40"/>
      <c r="CK11" s="37">
        <f t="shared" si="64"/>
        <v>16445.410000000666</v>
      </c>
      <c r="CL11" s="37">
        <f t="shared" si="27"/>
        <v>1</v>
      </c>
      <c r="CM11" s="37">
        <v>2995.6570000000002</v>
      </c>
      <c r="CN11" s="37"/>
      <c r="CO11" s="37">
        <f t="shared" si="28"/>
        <v>6846.010000000153</v>
      </c>
      <c r="CP11" s="37">
        <f>IF(CO11&lt;=0,0,(CO11/SQRT(CO11^2+(CN11-CN10)^2)))</f>
        <v>1</v>
      </c>
      <c r="CQ11" s="39">
        <v>2885.7809999999999</v>
      </c>
      <c r="CR11" s="45"/>
      <c r="CS11" s="37">
        <f t="shared" si="29"/>
        <v>6000.0100000001494</v>
      </c>
      <c r="CT11" s="37">
        <f t="shared" si="105"/>
        <v>1</v>
      </c>
      <c r="CU11" s="37">
        <v>2480029</v>
      </c>
      <c r="CV11" s="37"/>
      <c r="CW11" s="38">
        <f t="shared" si="30"/>
        <v>14367</v>
      </c>
      <c r="CX11" s="37">
        <f t="shared" si="106"/>
        <v>1</v>
      </c>
      <c r="CY11" s="37">
        <v>1308187</v>
      </c>
      <c r="CZ11" s="37"/>
      <c r="DA11" s="37">
        <f t="shared" si="31"/>
        <v>5832</v>
      </c>
      <c r="DB11" s="37">
        <f t="shared" si="107"/>
        <v>1</v>
      </c>
      <c r="DC11" s="37"/>
      <c r="DD11" s="40"/>
      <c r="DE11" s="37">
        <f t="shared" si="32"/>
        <v>0</v>
      </c>
      <c r="DF11" s="37">
        <f t="shared" ref="DF11:DF33" si="112">IF(DE11&lt;=0,0,(DE11/SQRT(DE11^2+(DD11-DD10)^2)))</f>
        <v>0</v>
      </c>
      <c r="DG11" s="37">
        <f t="shared" si="33"/>
        <v>-54434.430000000968</v>
      </c>
      <c r="DH11" s="37">
        <f t="shared" si="34"/>
        <v>301039.00999999885</v>
      </c>
      <c r="DI11" s="46"/>
      <c r="DJ11" s="46"/>
      <c r="DK11" s="47"/>
      <c r="DL11" s="47"/>
      <c r="DM11" s="37"/>
      <c r="DN11" s="37"/>
      <c r="DO11" s="37"/>
      <c r="DP11" s="37"/>
      <c r="DQ11" s="50">
        <v>2834400</v>
      </c>
      <c r="DR11" s="49">
        <f t="shared" si="65"/>
        <v>8500</v>
      </c>
      <c r="DS11" s="50">
        <v>2342800</v>
      </c>
      <c r="DT11" s="49">
        <f t="shared" si="66"/>
        <v>17400</v>
      </c>
      <c r="DU11" s="52">
        <v>7644.5</v>
      </c>
      <c r="DV11" s="52">
        <v>4273.1000000000004</v>
      </c>
      <c r="DW11" s="37">
        <f t="shared" si="108"/>
        <v>4399.9999999996362</v>
      </c>
      <c r="DX11" s="52">
        <v>12653</v>
      </c>
      <c r="DY11" s="52">
        <v>8297.2000000000007</v>
      </c>
      <c r="DZ11" s="37">
        <f t="shared" si="35"/>
        <v>8439.01</v>
      </c>
      <c r="EA11" s="49">
        <v>28346</v>
      </c>
      <c r="EB11" s="49">
        <v>20.059000000000001</v>
      </c>
      <c r="EC11" s="37">
        <f t="shared" si="36"/>
        <v>24599.01</v>
      </c>
      <c r="ED11" s="53">
        <f t="shared" si="37"/>
        <v>37438.019999999633</v>
      </c>
      <c r="EE11" s="49">
        <v>43575</v>
      </c>
      <c r="EF11" s="49">
        <v>27.806999999999999</v>
      </c>
      <c r="EG11" s="37">
        <f t="shared" si="38"/>
        <v>4599.01</v>
      </c>
      <c r="EH11" s="52">
        <v>12289</v>
      </c>
      <c r="EI11" s="52">
        <v>1.6445000000000001</v>
      </c>
      <c r="EJ11" s="37">
        <f t="shared" si="39"/>
        <v>5439.01</v>
      </c>
      <c r="EK11" s="37">
        <v>744.36</v>
      </c>
      <c r="EL11" s="64">
        <v>1068.0999999999999</v>
      </c>
      <c r="EM11" s="37">
        <f t="shared" si="67"/>
        <v>330.00000000004093</v>
      </c>
      <c r="EN11" s="54">
        <f t="shared" si="68"/>
        <v>10368.02000000004</v>
      </c>
      <c r="EO11" s="48">
        <v>12363</v>
      </c>
      <c r="EP11" s="48">
        <v>4306.1000000000004</v>
      </c>
      <c r="EQ11" s="37">
        <f t="shared" si="69"/>
        <v>6439.01</v>
      </c>
      <c r="ER11" s="48">
        <v>8221.1</v>
      </c>
      <c r="ES11" s="48">
        <v>8343.4</v>
      </c>
      <c r="ET11" s="49">
        <f t="shared" si="40"/>
        <v>2600.0000000003638</v>
      </c>
      <c r="EU11" s="48">
        <v>2969</v>
      </c>
      <c r="EV11" s="48">
        <v>1061.0999999999999</v>
      </c>
      <c r="EW11" s="49">
        <f t="shared" si="41"/>
        <v>2239.0100000001821</v>
      </c>
      <c r="EX11" s="48">
        <v>12578</v>
      </c>
      <c r="EY11" s="48">
        <v>1.3635999999999999</v>
      </c>
      <c r="EZ11" s="37">
        <f t="shared" si="42"/>
        <v>6439.01</v>
      </c>
      <c r="FA11" s="48">
        <f t="shared" si="70"/>
        <v>-9294.0300000005464</v>
      </c>
      <c r="FB11" s="48">
        <v>34805990</v>
      </c>
      <c r="FC11" s="49">
        <f t="shared" si="109"/>
        <v>8423</v>
      </c>
      <c r="FD11" s="48">
        <f t="shared" si="71"/>
        <v>19517.030000000726</v>
      </c>
      <c r="FE11" s="48">
        <v>16317</v>
      </c>
      <c r="FF11" s="48">
        <v>5838.2</v>
      </c>
      <c r="FG11" s="37">
        <f t="shared" si="72"/>
        <v>10572.34</v>
      </c>
      <c r="FH11" s="48">
        <v>7485.9</v>
      </c>
      <c r="FI11" s="48">
        <v>2.8837000000000002</v>
      </c>
      <c r="FJ11" s="49">
        <f t="shared" si="43"/>
        <v>17172.339999999454</v>
      </c>
      <c r="FK11" s="48"/>
      <c r="FL11" s="58">
        <v>133.33000000000001</v>
      </c>
      <c r="FM11" s="48">
        <f t="shared" si="110"/>
        <v>-439.00666666648493</v>
      </c>
      <c r="FN11" s="48">
        <v>15635</v>
      </c>
      <c r="FO11" s="48">
        <v>0.73129999999999995</v>
      </c>
      <c r="FP11" s="37">
        <f t="shared" si="73"/>
        <v>12572.34</v>
      </c>
      <c r="FQ11" s="48">
        <v>55778</v>
      </c>
      <c r="FR11" s="48">
        <v>13.363</v>
      </c>
      <c r="FS11" s="37">
        <f t="shared" si="44"/>
        <v>39000</v>
      </c>
      <c r="FT11" s="48">
        <f t="shared" si="74"/>
        <v>-1317.0199999994547</v>
      </c>
      <c r="FU11" s="48">
        <f>FG11+FJ11+FP11+GM11</f>
        <v>41817.019999999451</v>
      </c>
      <c r="FV11" s="44">
        <v>2998100</v>
      </c>
      <c r="FW11" s="44">
        <v>964910</v>
      </c>
      <c r="FX11" s="37">
        <f t="shared" si="45"/>
        <v>6300</v>
      </c>
      <c r="FY11" s="56">
        <v>2965.8</v>
      </c>
      <c r="FZ11" s="56">
        <v>1.7559</v>
      </c>
      <c r="GA11" s="37">
        <f t="shared" si="46"/>
        <v>630.00000000027285</v>
      </c>
      <c r="GB11" s="56">
        <v>760.76</v>
      </c>
      <c r="GC11" s="56">
        <v>847.57</v>
      </c>
      <c r="GD11" s="37">
        <f t="shared" si="47"/>
        <v>569.99999999993634</v>
      </c>
      <c r="GE11" s="56">
        <v>9435</v>
      </c>
      <c r="GF11" s="63">
        <v>2.9279000000000002</v>
      </c>
      <c r="GG11" s="37">
        <f t="shared" si="48"/>
        <v>5499.9999999990905</v>
      </c>
      <c r="GH11" s="153">
        <v>1830.9</v>
      </c>
      <c r="GI11" s="162">
        <v>1552.5</v>
      </c>
      <c r="GJ11" s="38">
        <f t="shared" si="49"/>
        <v>1800.0000000001819</v>
      </c>
      <c r="GK11" s="162">
        <v>1425.5</v>
      </c>
      <c r="GL11" s="163">
        <v>1100.8</v>
      </c>
      <c r="GM11" s="38">
        <f t="shared" si="50"/>
        <v>1500</v>
      </c>
      <c r="GN11" s="57">
        <v>158990</v>
      </c>
      <c r="GO11" s="57">
        <v>138770</v>
      </c>
      <c r="GP11" s="38">
        <f>IF((GN11-GN10)&lt;=0,0,(GN11-GN10)+1000)</f>
        <v>0</v>
      </c>
      <c r="GQ11" s="38">
        <v>225890</v>
      </c>
      <c r="GR11" s="38">
        <v>225010</v>
      </c>
      <c r="GS11" s="38">
        <f t="shared" si="76"/>
        <v>570</v>
      </c>
      <c r="GT11" s="178"/>
      <c r="GU11" s="144">
        <f>DailyMar!B10-DailyMar!N10-DailyMar!V10-DailyMar!Y10-DailyMar!Z10-DailyMar!AA10-DailyMar!AB10-DailyMar!AC10-DailyMar!AD10-DailyMar!AE10-DailyMar!AK10-DailyMar!AO10-DailyMar!AS10-DailyMar!AY10-DailyMar!BD10+DailyMar!BU10-SUM(DailyMar!BP10:BS10)-DailyMar!BT10-DailyMar!AF10-DailyMar!AG10-DailyMar!BG10</f>
        <v>-4.0000003718887456E-2</v>
      </c>
      <c r="GV11" s="59">
        <v>6585.11</v>
      </c>
      <c r="GW11" s="60">
        <f t="shared" si="51"/>
        <v>439.00733333333329</v>
      </c>
      <c r="GX11" s="61">
        <v>439.01</v>
      </c>
      <c r="GY11" s="140"/>
      <c r="GZ11" s="62"/>
      <c r="HA11" s="62"/>
      <c r="HB11" s="74"/>
      <c r="HC11" s="62"/>
      <c r="HD11" s="74"/>
      <c r="HE11" s="24">
        <f t="shared" si="52"/>
        <v>0</v>
      </c>
      <c r="HG11" s="213">
        <v>5</v>
      </c>
      <c r="HH11" s="16">
        <v>2415.3000000000002</v>
      </c>
      <c r="HI11" s="16">
        <v>977.47</v>
      </c>
      <c r="HJ11" s="16">
        <f t="shared" si="53"/>
        <v>97700.000000000276</v>
      </c>
      <c r="HK11" s="16">
        <v>1.9189000000000001</v>
      </c>
      <c r="HL11" s="16">
        <v>660.93</v>
      </c>
      <c r="HM11" s="16">
        <f t="shared" si="54"/>
        <v>0</v>
      </c>
      <c r="HN11" s="16">
        <v>531.89</v>
      </c>
      <c r="HO11" s="16">
        <v>238.82</v>
      </c>
      <c r="HP11" s="16">
        <f t="shared" si="55"/>
        <v>31356.667000000012</v>
      </c>
      <c r="HQ11" s="16">
        <v>640.59</v>
      </c>
      <c r="HR11" s="16">
        <v>301.51</v>
      </c>
      <c r="HS11" s="16">
        <f t="shared" si="56"/>
        <v>25466.667000000081</v>
      </c>
      <c r="HT11" s="16">
        <v>501.65</v>
      </c>
      <c r="HU11" s="16">
        <v>208.22</v>
      </c>
      <c r="HV11" s="16">
        <f t="shared" si="57"/>
        <v>23176.667000000005</v>
      </c>
      <c r="HW11" s="16"/>
      <c r="HX11" s="16"/>
      <c r="HY11" s="128">
        <f t="shared" si="58"/>
        <v>17400</v>
      </c>
      <c r="HZ11" s="211">
        <f t="shared" si="77"/>
        <v>299.99900000017442</v>
      </c>
      <c r="IA11" s="16">
        <v>285845.5</v>
      </c>
      <c r="IB11" s="16">
        <v>116694.39999999999</v>
      </c>
      <c r="IC11" s="16">
        <f t="shared" si="78"/>
        <v>9195.4000000000233</v>
      </c>
      <c r="ID11" s="16">
        <v>200.02</v>
      </c>
      <c r="IE11" s="16">
        <v>93.043000000000006</v>
      </c>
      <c r="IF11" s="16">
        <f t="shared" si="79"/>
        <v>7650.0000000000055</v>
      </c>
      <c r="IG11" s="16">
        <v>54307.4</v>
      </c>
      <c r="IH11" s="16">
        <v>74145.100000000006</v>
      </c>
      <c r="II11" s="16">
        <f t="shared" si="80"/>
        <v>1910.5999999999985</v>
      </c>
      <c r="IJ11" s="16">
        <v>38006.400000000001</v>
      </c>
      <c r="IK11" s="16">
        <v>20210.099999999999</v>
      </c>
      <c r="IL11" s="16">
        <f t="shared" si="81"/>
        <v>1230.5999999999985</v>
      </c>
      <c r="IM11" s="16">
        <v>272160.2</v>
      </c>
      <c r="IN11" s="16">
        <v>111918.3</v>
      </c>
      <c r="IO11" s="16">
        <f t="shared" si="82"/>
        <v>23653.300000000017</v>
      </c>
      <c r="IP11" s="16">
        <v>399370</v>
      </c>
      <c r="IQ11" s="16">
        <v>50802.400000000001</v>
      </c>
      <c r="IR11" s="16">
        <f t="shared" si="83"/>
        <v>15319.599999999977</v>
      </c>
      <c r="IS11" s="16">
        <v>14611</v>
      </c>
      <c r="IT11" s="16">
        <v>9079.9</v>
      </c>
      <c r="IU11" s="16">
        <f t="shared" si="84"/>
        <v>620.39999999999964</v>
      </c>
      <c r="IV11" s="16">
        <v>194573.1</v>
      </c>
      <c r="IW11" s="16">
        <v>36403.800000000003</v>
      </c>
      <c r="IX11" s="16">
        <f t="shared" si="85"/>
        <v>7392.7000000000116</v>
      </c>
      <c r="IY11" s="16">
        <v>13911.68</v>
      </c>
      <c r="IZ11" s="16">
        <v>1344.48</v>
      </c>
      <c r="JA11" s="16">
        <f t="shared" si="86"/>
        <v>578.20000000000073</v>
      </c>
      <c r="JB11" s="16">
        <v>12393.1</v>
      </c>
      <c r="JC11" s="16">
        <v>1382.7</v>
      </c>
      <c r="JD11" s="16">
        <f t="shared" si="87"/>
        <v>437</v>
      </c>
      <c r="JE11" s="16">
        <v>269268.09999999998</v>
      </c>
      <c r="JF11" s="16">
        <v>446105.8</v>
      </c>
      <c r="JG11" s="16">
        <f t="shared" si="88"/>
        <v>11776.499999999971</v>
      </c>
      <c r="JH11" s="16">
        <v>271702.02</v>
      </c>
      <c r="JI11" s="16">
        <v>26834.400000000001</v>
      </c>
      <c r="JJ11" s="16">
        <f t="shared" si="89"/>
        <v>11265.820000000007</v>
      </c>
      <c r="JK11" s="16">
        <v>16977.599999999999</v>
      </c>
      <c r="JL11" s="16">
        <v>14442.2</v>
      </c>
      <c r="JM11" s="16">
        <f t="shared" si="90"/>
        <v>650.79999999999927</v>
      </c>
      <c r="JN11" s="16">
        <v>169015.5</v>
      </c>
      <c r="JO11" s="16">
        <v>29480.400000000001</v>
      </c>
      <c r="JP11" s="16">
        <f t="shared" si="91"/>
        <v>8356</v>
      </c>
      <c r="JQ11" s="16">
        <v>570.64</v>
      </c>
      <c r="JR11" s="16">
        <v>119.6</v>
      </c>
      <c r="JS11" s="16">
        <f t="shared" si="92"/>
        <v>26.399999999999977</v>
      </c>
      <c r="JT11" s="16">
        <v>8273.5</v>
      </c>
      <c r="JU11" s="16">
        <v>645.29999999999995</v>
      </c>
      <c r="JV11" s="16">
        <f t="shared" si="93"/>
        <v>403.19999999999982</v>
      </c>
      <c r="JX11" s="151">
        <f t="shared" si="94"/>
        <v>299.99900000017442</v>
      </c>
    </row>
    <row r="12" spans="1:284" x14ac:dyDescent="0.25">
      <c r="A12" s="35">
        <f t="shared" si="0"/>
        <v>6</v>
      </c>
      <c r="B12" s="38">
        <v>3620.64</v>
      </c>
      <c r="C12" s="38">
        <f t="shared" si="1"/>
        <v>8.1900000000000546</v>
      </c>
      <c r="D12" s="38">
        <f t="shared" si="2"/>
        <v>262080.00000000175</v>
      </c>
      <c r="E12" s="38">
        <v>728.29</v>
      </c>
      <c r="F12" s="38">
        <f t="shared" ref="F12:F38" si="113">IF((E12-E11)*32000&lt;=0,0,(E12-E11)*32000)</f>
        <v>56639.999999999418</v>
      </c>
      <c r="G12" s="38">
        <f t="shared" si="4"/>
        <v>318720.00000000116</v>
      </c>
      <c r="H12" s="37"/>
      <c r="I12" s="39"/>
      <c r="J12" s="42"/>
      <c r="K12" s="37">
        <f>IF(J12&lt;=0,0,(J12/SQRT(J12^2+(I12-I11)^2)))</f>
        <v>0</v>
      </c>
      <c r="L12" s="40">
        <v>10577400</v>
      </c>
      <c r="M12" s="40"/>
      <c r="N12" s="37">
        <f t="shared" si="96"/>
        <v>315000</v>
      </c>
      <c r="O12" s="37">
        <v>9923.6</v>
      </c>
      <c r="P12" s="37"/>
      <c r="Q12" s="37">
        <f t="shared" si="5"/>
        <v>11800.000000001091</v>
      </c>
      <c r="R12" s="37">
        <f>IF(Q12&lt;=0,0,(Q12/SQRT(Q12^2+(P12-P11)^2)))</f>
        <v>1</v>
      </c>
      <c r="S12" s="41">
        <v>11123637.42</v>
      </c>
      <c r="T12" s="37">
        <f t="shared" si="6"/>
        <v>0</v>
      </c>
      <c r="U12" s="37">
        <v>1518173.85</v>
      </c>
      <c r="V12" s="37">
        <f t="shared" si="7"/>
        <v>0</v>
      </c>
      <c r="W12" s="37">
        <v>3440.9</v>
      </c>
      <c r="X12" s="37">
        <f t="shared" si="111"/>
        <v>7700.0000000010914</v>
      </c>
      <c r="Y12" s="183"/>
      <c r="Z12" s="183">
        <f t="shared" si="8"/>
        <v>0</v>
      </c>
      <c r="AA12" s="37">
        <v>513500</v>
      </c>
      <c r="AB12" s="37">
        <f t="shared" si="9"/>
        <v>4100</v>
      </c>
      <c r="AC12" s="37">
        <v>3618.8</v>
      </c>
      <c r="AD12" s="2"/>
      <c r="AE12" s="37">
        <f t="shared" si="10"/>
        <v>6800.0000000001819</v>
      </c>
      <c r="AF12" s="37">
        <f>IF(AE12&lt;=0,0,(AE12/SQRT(AE12^2+(AD12-AD11)^2)))</f>
        <v>1</v>
      </c>
      <c r="AG12" s="37">
        <v>7900.2</v>
      </c>
      <c r="AH12" s="48"/>
      <c r="AI12" s="37">
        <f t="shared" si="11"/>
        <v>15011.029999999819</v>
      </c>
      <c r="AJ12" s="37">
        <f t="shared" si="12"/>
        <v>1</v>
      </c>
      <c r="AK12" s="37">
        <f t="shared" si="13"/>
        <v>29511.03000000109</v>
      </c>
      <c r="AL12" s="42">
        <v>9982.1</v>
      </c>
      <c r="AM12" s="42"/>
      <c r="AN12" s="37">
        <f t="shared" si="59"/>
        <v>6791.029999999937</v>
      </c>
      <c r="AO12" s="37">
        <f>IF(AN12&lt;=0,0,(AN12/SQRT(AN12^2+(AM12-AM11)^2)))</f>
        <v>1</v>
      </c>
      <c r="AP12" s="37">
        <v>7606.1</v>
      </c>
      <c r="AQ12" s="37"/>
      <c r="AR12" s="37">
        <f t="shared" si="14"/>
        <v>9500</v>
      </c>
      <c r="AS12" s="37">
        <f>IF(AR12&lt;=0,0,(AR12/SQRT(AR12^2+(AQ12-AQ11)^2)))</f>
        <v>1</v>
      </c>
      <c r="AT12" s="183"/>
      <c r="AU12" s="183">
        <f t="shared" si="15"/>
        <v>0</v>
      </c>
      <c r="AV12" s="183"/>
      <c r="AW12" s="183">
        <f t="shared" si="16"/>
        <v>0</v>
      </c>
      <c r="AX12" s="37">
        <v>454940</v>
      </c>
      <c r="AY12" s="37"/>
      <c r="AZ12" s="37">
        <f t="shared" si="17"/>
        <v>330</v>
      </c>
      <c r="BA12" s="37">
        <v>103930</v>
      </c>
      <c r="BB12" s="37"/>
      <c r="BC12" s="37">
        <f t="shared" si="18"/>
        <v>600</v>
      </c>
      <c r="BD12" s="37">
        <f t="shared" si="101"/>
        <v>17221.029999999937</v>
      </c>
      <c r="BE12" s="43">
        <v>1712.4</v>
      </c>
      <c r="BF12" s="43">
        <v>934.42</v>
      </c>
      <c r="BG12" s="37">
        <f t="shared" si="19"/>
        <v>2300.0000000001819</v>
      </c>
      <c r="BH12" s="44">
        <v>8159.5</v>
      </c>
      <c r="BI12" s="44">
        <v>5249.7</v>
      </c>
      <c r="BJ12" s="37">
        <f t="shared" si="20"/>
        <v>6899.9999999996362</v>
      </c>
      <c r="BK12" s="40">
        <v>1263730</v>
      </c>
      <c r="BL12" s="40">
        <f t="shared" si="102"/>
        <v>4090</v>
      </c>
      <c r="BM12" s="40">
        <v>818.31</v>
      </c>
      <c r="BN12" s="37">
        <f t="shared" si="21"/>
        <v>629.99999999999545</v>
      </c>
      <c r="BO12" s="186"/>
      <c r="BP12" s="183">
        <f t="shared" si="22"/>
        <v>0</v>
      </c>
      <c r="BQ12" s="40">
        <v>776.1</v>
      </c>
      <c r="BR12" s="37">
        <f t="shared" si="60"/>
        <v>800.00000000006821</v>
      </c>
      <c r="BS12" s="37">
        <v>82003.02</v>
      </c>
      <c r="BT12" s="37">
        <f t="shared" si="23"/>
        <v>256.73000000001048</v>
      </c>
      <c r="BU12" s="42">
        <v>2058470</v>
      </c>
      <c r="BV12" s="42"/>
      <c r="BW12" s="37">
        <f t="shared" si="24"/>
        <v>4320</v>
      </c>
      <c r="BX12" s="37">
        <f>IF(BW12&lt;=0,0,(BW12/SQRT(BW12^2+(BV12-BV11)^2)))</f>
        <v>1</v>
      </c>
      <c r="BY12" s="43">
        <v>294.2654</v>
      </c>
      <c r="BZ12" s="43"/>
      <c r="CA12" s="37">
        <f t="shared" si="25"/>
        <v>744.79999999999791</v>
      </c>
      <c r="CB12" s="37">
        <f t="shared" si="61"/>
        <v>1</v>
      </c>
      <c r="CC12" s="37">
        <v>485985.8</v>
      </c>
      <c r="CD12" s="37">
        <f t="shared" si="26"/>
        <v>0</v>
      </c>
      <c r="CE12" s="37">
        <v>697330.8</v>
      </c>
      <c r="CF12" s="37">
        <f t="shared" si="62"/>
        <v>4320</v>
      </c>
      <c r="CG12" s="37">
        <v>64018.400000000001</v>
      </c>
      <c r="CH12" s="37">
        <f t="shared" si="63"/>
        <v>602.5</v>
      </c>
      <c r="CI12" s="40">
        <v>11302.5</v>
      </c>
      <c r="CJ12" s="40"/>
      <c r="CK12" s="37">
        <f t="shared" si="64"/>
        <v>15116.229999999276</v>
      </c>
      <c r="CL12" s="37">
        <f t="shared" si="27"/>
        <v>1</v>
      </c>
      <c r="CM12" s="37">
        <v>3001.7719999999999</v>
      </c>
      <c r="CN12" s="37"/>
      <c r="CO12" s="37">
        <f t="shared" si="28"/>
        <v>6426.0299999997815</v>
      </c>
      <c r="CP12" s="37">
        <f>IF(CO12&lt;=0,0,(CO12/SQRT(CO12^2+(CN12-CN11)^2)))</f>
        <v>1</v>
      </c>
      <c r="CQ12" s="39">
        <v>2890.931</v>
      </c>
      <c r="CR12" s="45"/>
      <c r="CS12" s="37">
        <f t="shared" si="29"/>
        <v>5461.0300000000907</v>
      </c>
      <c r="CT12" s="37">
        <f>IF(CS12&lt;=0,0,(CS12/SQRT(CS12^2+(CR12-CR11)^2)))</f>
        <v>1</v>
      </c>
      <c r="CU12" s="37">
        <v>2493312</v>
      </c>
      <c r="CV12" s="37"/>
      <c r="CW12" s="38">
        <f t="shared" si="30"/>
        <v>13283</v>
      </c>
      <c r="CX12" s="37">
        <f>IF(CW12&lt;=0,0,(CW12/SQRT(CW12^2+(CV12-CV11)^2)))</f>
        <v>1</v>
      </c>
      <c r="CY12" s="37">
        <v>1313378</v>
      </c>
      <c r="CZ12" s="37"/>
      <c r="DA12" s="37">
        <f t="shared" si="31"/>
        <v>5191</v>
      </c>
      <c r="DB12" s="37">
        <f>IF(DA12&lt;=0,0,(DA12/SQRT(DA12^2+(CZ12-CZ11)^2)))</f>
        <v>1</v>
      </c>
      <c r="DC12" s="37"/>
      <c r="DD12" s="40"/>
      <c r="DE12" s="37">
        <f t="shared" si="32"/>
        <v>0</v>
      </c>
      <c r="DF12" s="37">
        <f>IF(DE12&lt;=0,0,(DE12/SQRT(DE12^2+(DD12-DD11)^2)))</f>
        <v>0</v>
      </c>
      <c r="DG12" s="37">
        <f t="shared" si="33"/>
        <v>-49797.28999999915</v>
      </c>
      <c r="DH12" s="37">
        <f t="shared" si="34"/>
        <v>346811.03000000125</v>
      </c>
      <c r="DI12" s="46"/>
      <c r="DJ12" s="46"/>
      <c r="DK12" s="47"/>
      <c r="DL12" s="47"/>
      <c r="DM12" s="37"/>
      <c r="DN12" s="37"/>
      <c r="DO12" s="37"/>
      <c r="DP12" s="37"/>
      <c r="DQ12" s="50">
        <v>2843300</v>
      </c>
      <c r="DR12" s="49">
        <f t="shared" si="65"/>
        <v>8900</v>
      </c>
      <c r="DS12" s="50">
        <v>2363600</v>
      </c>
      <c r="DT12" s="49">
        <f t="shared" si="66"/>
        <v>20800</v>
      </c>
      <c r="DU12" s="52">
        <v>7649.1</v>
      </c>
      <c r="DV12" s="52">
        <v>4275.8999999999996</v>
      </c>
      <c r="DW12" s="37">
        <f t="shared" si="108"/>
        <v>4600.0000000003638</v>
      </c>
      <c r="DX12" s="52">
        <v>12660</v>
      </c>
      <c r="DY12" s="52">
        <v>8299.9</v>
      </c>
      <c r="DZ12" s="37">
        <f t="shared" si="35"/>
        <v>7311.03</v>
      </c>
      <c r="EA12" s="49">
        <v>28367</v>
      </c>
      <c r="EB12" s="49">
        <v>20.07</v>
      </c>
      <c r="EC12" s="37">
        <f t="shared" si="36"/>
        <v>23471.03</v>
      </c>
      <c r="ED12" s="53">
        <f t="shared" si="37"/>
        <v>35382.060000000361</v>
      </c>
      <c r="EE12" s="49">
        <v>43577</v>
      </c>
      <c r="EF12" s="49">
        <v>27.806999999999999</v>
      </c>
      <c r="EG12" s="37">
        <f t="shared" si="38"/>
        <v>4471.03</v>
      </c>
      <c r="EH12" s="52">
        <v>12293</v>
      </c>
      <c r="EI12" s="52">
        <v>1.6446000000000001</v>
      </c>
      <c r="EJ12" s="37">
        <f t="shared" si="39"/>
        <v>4311.03</v>
      </c>
      <c r="EK12" s="37">
        <v>744.78</v>
      </c>
      <c r="EL12" s="64">
        <v>1068.7</v>
      </c>
      <c r="EM12" s="37">
        <f t="shared" si="67"/>
        <v>419.99999999995907</v>
      </c>
      <c r="EN12" s="54">
        <f t="shared" si="68"/>
        <v>9202.0599999999577</v>
      </c>
      <c r="EO12" s="48">
        <v>12374</v>
      </c>
      <c r="EP12" s="48">
        <v>4309.3</v>
      </c>
      <c r="EQ12" s="37">
        <f t="shared" si="69"/>
        <v>9091.0300000000025</v>
      </c>
      <c r="ER12" s="48">
        <v>8229.2999999999993</v>
      </c>
      <c r="ES12" s="48">
        <v>8347.9</v>
      </c>
      <c r="ET12" s="49">
        <f t="shared" si="40"/>
        <v>8199.9999999989086</v>
      </c>
      <c r="EU12" s="48">
        <v>2974.7</v>
      </c>
      <c r="EV12" s="48">
        <v>1063.0999999999999</v>
      </c>
      <c r="EW12" s="49">
        <f t="shared" si="41"/>
        <v>6011.0299999998178</v>
      </c>
      <c r="EX12" s="48">
        <v>12589</v>
      </c>
      <c r="EY12" s="48">
        <v>1.3667</v>
      </c>
      <c r="EZ12" s="37">
        <f t="shared" si="42"/>
        <v>11311.03</v>
      </c>
      <c r="FA12" s="48">
        <f t="shared" si="70"/>
        <v>-16161.08999999873</v>
      </c>
      <c r="FB12" s="48">
        <v>34824442</v>
      </c>
      <c r="FC12" s="49">
        <f t="shared" si="109"/>
        <v>18452</v>
      </c>
      <c r="FD12" s="48">
        <f t="shared" si="71"/>
        <v>37013.089999998592</v>
      </c>
      <c r="FE12" s="48">
        <v>16328</v>
      </c>
      <c r="FF12" s="48">
        <v>5840.9</v>
      </c>
      <c r="FG12" s="37">
        <f t="shared" si="72"/>
        <v>14131.029999999999</v>
      </c>
      <c r="FH12" s="48">
        <v>7505.1</v>
      </c>
      <c r="FI12" s="48">
        <v>2.8910999999999998</v>
      </c>
      <c r="FJ12" s="49">
        <f t="shared" si="43"/>
        <v>20111.030000000726</v>
      </c>
      <c r="FK12" s="48"/>
      <c r="FL12" s="58">
        <v>600</v>
      </c>
      <c r="FM12" s="48">
        <f t="shared" si="110"/>
        <v>-1051.0300000002419</v>
      </c>
      <c r="FN12" s="48">
        <v>15648</v>
      </c>
      <c r="FO12" s="48">
        <v>0.73309999999999997</v>
      </c>
      <c r="FP12" s="37">
        <f t="shared" si="73"/>
        <v>13911.03</v>
      </c>
      <c r="FQ12" s="48">
        <v>55823</v>
      </c>
      <c r="FR12" s="48">
        <v>13.371</v>
      </c>
      <c r="FS12" s="37">
        <f>IF((FQ12-FQ11)*1000&lt;=0,0,(FQ12-FQ11)*1000)</f>
        <v>45000</v>
      </c>
      <c r="FT12" s="48">
        <f t="shared" si="74"/>
        <v>-3153.0900000007259</v>
      </c>
      <c r="FU12" s="48">
        <f>FG12+FJ12+FP12+GM12</f>
        <v>50153.090000000724</v>
      </c>
      <c r="FV12" s="44">
        <v>3004600</v>
      </c>
      <c r="FW12" s="65">
        <v>967530</v>
      </c>
      <c r="FX12" s="37">
        <f t="shared" si="45"/>
        <v>6500</v>
      </c>
      <c r="FY12" s="56">
        <v>2966.2</v>
      </c>
      <c r="FZ12" s="56">
        <v>1.7559</v>
      </c>
      <c r="GA12" s="37">
        <f t="shared" si="46"/>
        <v>309.9999999996362</v>
      </c>
      <c r="GB12" s="56">
        <v>761.41</v>
      </c>
      <c r="GC12" s="63">
        <v>848.36</v>
      </c>
      <c r="GD12" s="37">
        <f t="shared" si="47"/>
        <v>649.99999999997726</v>
      </c>
      <c r="GE12" s="56">
        <v>9445.5</v>
      </c>
      <c r="GF12" s="56">
        <v>2.9346000000000001</v>
      </c>
      <c r="GG12" s="37">
        <f t="shared" si="48"/>
        <v>6100.0000000001364</v>
      </c>
      <c r="GH12" s="153">
        <v>1833.3</v>
      </c>
      <c r="GI12" s="162">
        <v>1554.8</v>
      </c>
      <c r="GJ12" s="38">
        <f t="shared" si="49"/>
        <v>2399.9999999998636</v>
      </c>
      <c r="GK12" s="162">
        <v>1427.5</v>
      </c>
      <c r="GL12" s="163">
        <v>1101.5999999999999</v>
      </c>
      <c r="GM12" s="38">
        <f t="shared" si="50"/>
        <v>2000</v>
      </c>
      <c r="GN12" s="57">
        <v>159000</v>
      </c>
      <c r="GO12" s="57">
        <v>138780</v>
      </c>
      <c r="GP12" s="38">
        <f t="shared" ref="GP12:GP38" si="114">IF((GN12-GN11)&lt;=0,0,(GN12-GN11))</f>
        <v>10</v>
      </c>
      <c r="GQ12" s="38">
        <v>225980</v>
      </c>
      <c r="GR12" s="38">
        <v>225090</v>
      </c>
      <c r="GS12" s="38">
        <f t="shared" si="76"/>
        <v>90</v>
      </c>
      <c r="GT12" s="178"/>
      <c r="GU12" s="144">
        <f>DailyMar!B11-DailyMar!N11-DailyMar!V11-DailyMar!Y11-DailyMar!Z11-DailyMar!AA11-DailyMar!AB11-DailyMar!AC11-DailyMar!AD11-DailyMar!AE11-DailyMar!AK11-DailyMar!AO11-DailyMar!AS11-DailyMar!AY11-DailyMar!BD11+DailyMar!BU11-SUM(DailyMar!BP11:BS11)-DailyMar!BT11-DailyMar!AF11-DailyMar!AG11-DailyMar!BG11</f>
        <v>5.0000001981970854E-2</v>
      </c>
      <c r="GV12" s="59">
        <v>4665.5</v>
      </c>
      <c r="GW12" s="60">
        <f t="shared" si="51"/>
        <v>311.03333333333336</v>
      </c>
      <c r="GX12" s="61">
        <v>311.02999999999997</v>
      </c>
      <c r="GY12" s="140"/>
      <c r="GZ12" s="62"/>
      <c r="HA12" s="62"/>
      <c r="HB12" s="74"/>
      <c r="HC12" s="62"/>
      <c r="HD12" s="74"/>
      <c r="HE12" s="24">
        <f t="shared" si="52"/>
        <v>0</v>
      </c>
      <c r="HG12" s="213">
        <v>6</v>
      </c>
      <c r="HH12" s="16">
        <v>2513.6</v>
      </c>
      <c r="HI12" s="16">
        <v>1013.8</v>
      </c>
      <c r="HJ12" s="16">
        <f t="shared" si="53"/>
        <v>98299.999999999724</v>
      </c>
      <c r="HK12" s="16">
        <v>1.9189000000000001</v>
      </c>
      <c r="HL12" s="16">
        <v>660.93</v>
      </c>
      <c r="HM12" s="16">
        <f t="shared" si="54"/>
        <v>0</v>
      </c>
      <c r="HN12" s="16">
        <v>563.92999999999995</v>
      </c>
      <c r="HO12" s="16">
        <v>252</v>
      </c>
      <c r="HP12" s="16">
        <f t="shared" si="55"/>
        <v>31939.999999999964</v>
      </c>
      <c r="HQ12" s="16">
        <v>664.79</v>
      </c>
      <c r="HR12" s="16">
        <v>311.54000000000002</v>
      </c>
      <c r="HS12" s="16">
        <f t="shared" si="56"/>
        <v>24099.999999999931</v>
      </c>
      <c r="HT12" s="16">
        <v>524.21</v>
      </c>
      <c r="HU12" s="16">
        <v>216.76</v>
      </c>
      <c r="HV12" s="16">
        <f t="shared" si="57"/>
        <v>22460.000000000058</v>
      </c>
      <c r="HW12" s="16"/>
      <c r="HX12" s="16"/>
      <c r="HY12" s="128">
        <f t="shared" si="58"/>
        <v>20800</v>
      </c>
      <c r="HZ12" s="211">
        <f t="shared" si="77"/>
        <v>-1000.0000000002183</v>
      </c>
      <c r="IA12" s="16">
        <v>294590</v>
      </c>
      <c r="IB12" s="16">
        <v>120683</v>
      </c>
      <c r="IC12" s="16">
        <f t="shared" si="78"/>
        <v>8744.5</v>
      </c>
      <c r="ID12" s="16">
        <v>208.09</v>
      </c>
      <c r="IE12" s="16">
        <v>96.546000000000006</v>
      </c>
      <c r="IF12" s="16">
        <f t="shared" si="79"/>
        <v>8069.9999999999927</v>
      </c>
      <c r="IG12" s="16">
        <v>56097</v>
      </c>
      <c r="IH12" s="16">
        <v>76495</v>
      </c>
      <c r="II12" s="16">
        <f t="shared" si="80"/>
        <v>1789.5999999999985</v>
      </c>
      <c r="IJ12" s="16">
        <v>39198</v>
      </c>
      <c r="IK12" s="16">
        <v>20876</v>
      </c>
      <c r="IL12" s="16">
        <f t="shared" si="81"/>
        <v>1191.5999999999985</v>
      </c>
      <c r="IM12" s="16">
        <v>296397</v>
      </c>
      <c r="IN12" s="16">
        <v>121657</v>
      </c>
      <c r="IO12" s="16">
        <f t="shared" si="82"/>
        <v>24236.799999999988</v>
      </c>
      <c r="IP12" s="16">
        <v>414908</v>
      </c>
      <c r="IQ12" s="16">
        <v>52776</v>
      </c>
      <c r="IR12" s="16">
        <f t="shared" si="83"/>
        <v>15538</v>
      </c>
      <c r="IS12" s="16">
        <v>15269</v>
      </c>
      <c r="IT12" s="16">
        <v>9112.7000000000007</v>
      </c>
      <c r="IU12" s="16">
        <f t="shared" si="84"/>
        <v>658</v>
      </c>
      <c r="IV12" s="16">
        <v>202303</v>
      </c>
      <c r="IW12" s="16">
        <v>37903</v>
      </c>
      <c r="IX12" s="16">
        <f t="shared" si="85"/>
        <v>7729.8999999999942</v>
      </c>
      <c r="IY12" s="16">
        <v>14508</v>
      </c>
      <c r="IZ12" s="16">
        <v>1406.48</v>
      </c>
      <c r="JA12" s="16">
        <f t="shared" si="86"/>
        <v>596.31999999999971</v>
      </c>
      <c r="JB12" s="16">
        <v>12809</v>
      </c>
      <c r="JC12" s="16">
        <v>1430.9</v>
      </c>
      <c r="JD12" s="16">
        <f t="shared" si="87"/>
        <v>415.89999999999964</v>
      </c>
      <c r="JE12" s="16">
        <v>281646</v>
      </c>
      <c r="JF12" s="16">
        <v>466721</v>
      </c>
      <c r="JG12" s="16">
        <f t="shared" si="88"/>
        <v>12377.900000000023</v>
      </c>
      <c r="JH12" s="16">
        <v>283582</v>
      </c>
      <c r="JI12" s="16">
        <v>27960</v>
      </c>
      <c r="JJ12" s="16">
        <f t="shared" si="89"/>
        <v>11879.979999999981</v>
      </c>
      <c r="JK12" s="16">
        <v>17686</v>
      </c>
      <c r="JL12" s="16">
        <v>14921</v>
      </c>
      <c r="JM12" s="16">
        <f t="shared" si="90"/>
        <v>708.40000000000146</v>
      </c>
      <c r="JN12" s="16">
        <v>177777</v>
      </c>
      <c r="JO12" s="16">
        <v>31111.200000000001</v>
      </c>
      <c r="JP12" s="16">
        <f t="shared" si="91"/>
        <v>8761.5</v>
      </c>
      <c r="JQ12" s="16">
        <v>596.55999999999995</v>
      </c>
      <c r="JR12" s="16">
        <v>125.08</v>
      </c>
      <c r="JS12" s="16">
        <f t="shared" si="92"/>
        <v>25.919999999999959</v>
      </c>
      <c r="JT12" s="16">
        <v>8804.6</v>
      </c>
      <c r="JU12" s="16">
        <v>683.1</v>
      </c>
      <c r="JV12" s="16">
        <f t="shared" si="93"/>
        <v>531.10000000000036</v>
      </c>
      <c r="JX12" s="151">
        <f t="shared" si="94"/>
        <v>-1000.0000000002183</v>
      </c>
    </row>
    <row r="13" spans="1:284" x14ac:dyDescent="0.25">
      <c r="A13" s="35">
        <f t="shared" si="0"/>
        <v>7</v>
      </c>
      <c r="B13" s="38">
        <v>3628.94</v>
      </c>
      <c r="C13" s="38">
        <f t="shared" si="1"/>
        <v>8.3000000000001819</v>
      </c>
      <c r="D13" s="38">
        <f t="shared" si="2"/>
        <v>265600.00000000582</v>
      </c>
      <c r="E13" s="38">
        <v>729.98</v>
      </c>
      <c r="F13" s="38">
        <f t="shared" si="113"/>
        <v>54080.000000001746</v>
      </c>
      <c r="G13" s="38">
        <f t="shared" si="4"/>
        <v>319680.00000000757</v>
      </c>
      <c r="H13" s="37"/>
      <c r="I13" s="39"/>
      <c r="J13" s="42"/>
      <c r="K13" s="37">
        <f t="shared" si="95"/>
        <v>0</v>
      </c>
      <c r="L13" s="40">
        <v>10609100</v>
      </c>
      <c r="M13" s="40"/>
      <c r="N13" s="37">
        <f t="shared" si="96"/>
        <v>317000</v>
      </c>
      <c r="O13" s="37">
        <v>9936.5</v>
      </c>
      <c r="P13" s="37"/>
      <c r="Q13" s="37">
        <f t="shared" si="5"/>
        <v>12899.999999999636</v>
      </c>
      <c r="R13" s="37">
        <f t="shared" si="97"/>
        <v>1</v>
      </c>
      <c r="S13" s="41">
        <v>11128637.42</v>
      </c>
      <c r="T13" s="37">
        <f t="shared" si="6"/>
        <v>5000</v>
      </c>
      <c r="U13" s="37">
        <v>1518173.85</v>
      </c>
      <c r="V13" s="37">
        <f t="shared" si="7"/>
        <v>0</v>
      </c>
      <c r="W13" s="37">
        <v>3447.4</v>
      </c>
      <c r="X13" s="37">
        <f t="shared" si="111"/>
        <v>3099.9999999996362</v>
      </c>
      <c r="Y13" s="183"/>
      <c r="Z13" s="183">
        <f t="shared" si="8"/>
        <v>0</v>
      </c>
      <c r="AA13" s="37">
        <v>518300</v>
      </c>
      <c r="AB13" s="37">
        <f t="shared" si="9"/>
        <v>4800</v>
      </c>
      <c r="AC13" s="37">
        <v>3625.9</v>
      </c>
      <c r="AD13" s="37"/>
      <c r="AE13" s="37">
        <f t="shared" si="10"/>
        <v>7099.9999999999091</v>
      </c>
      <c r="AF13" s="37">
        <f t="shared" si="98"/>
        <v>1</v>
      </c>
      <c r="AG13" s="37">
        <v>7915.9</v>
      </c>
      <c r="AH13" s="48"/>
      <c r="AI13" s="37">
        <f t="shared" si="11"/>
        <v>15396.919999999818</v>
      </c>
      <c r="AJ13" s="37">
        <f t="shared" si="12"/>
        <v>1</v>
      </c>
      <c r="AK13" s="37">
        <f t="shared" si="13"/>
        <v>30596.919999999365</v>
      </c>
      <c r="AL13" s="42">
        <v>9993.1</v>
      </c>
      <c r="AM13" s="42"/>
      <c r="AN13" s="37">
        <f t="shared" si="59"/>
        <v>5396.9199999999864</v>
      </c>
      <c r="AO13" s="37">
        <f t="shared" si="99"/>
        <v>1</v>
      </c>
      <c r="AP13" s="37">
        <v>7615.4</v>
      </c>
      <c r="AQ13" s="37"/>
      <c r="AR13" s="37">
        <f t="shared" si="14"/>
        <v>9299.9999999992724</v>
      </c>
      <c r="AS13" s="37">
        <f t="shared" si="100"/>
        <v>1</v>
      </c>
      <c r="AT13" s="183"/>
      <c r="AU13" s="183">
        <f t="shared" si="15"/>
        <v>0</v>
      </c>
      <c r="AV13" s="183"/>
      <c r="AW13" s="183">
        <f t="shared" si="16"/>
        <v>0</v>
      </c>
      <c r="AX13" s="37">
        <v>455100</v>
      </c>
      <c r="AY13" s="37"/>
      <c r="AZ13" s="37">
        <f t="shared" si="17"/>
        <v>160</v>
      </c>
      <c r="BA13" s="37">
        <v>103990</v>
      </c>
      <c r="BB13" s="37"/>
      <c r="BC13" s="37">
        <f t="shared" si="18"/>
        <v>60</v>
      </c>
      <c r="BD13" s="37">
        <f t="shared" si="101"/>
        <v>14916.91999999926</v>
      </c>
      <c r="BE13" s="43">
        <v>1714.8</v>
      </c>
      <c r="BF13" s="43">
        <v>935.9</v>
      </c>
      <c r="BG13" s="37">
        <f t="shared" si="19"/>
        <v>2399.9999999998636</v>
      </c>
      <c r="BH13" s="44">
        <v>8167</v>
      </c>
      <c r="BI13" s="44">
        <v>5254.6</v>
      </c>
      <c r="BJ13" s="37">
        <f t="shared" si="20"/>
        <v>7500</v>
      </c>
      <c r="BK13" s="40">
        <v>1267670</v>
      </c>
      <c r="BL13" s="40">
        <f t="shared" si="102"/>
        <v>3940</v>
      </c>
      <c r="BM13" s="40">
        <v>818.97</v>
      </c>
      <c r="BN13" s="37">
        <f t="shared" si="21"/>
        <v>660.00000000008185</v>
      </c>
      <c r="BO13" s="186"/>
      <c r="BP13" s="183">
        <f t="shared" si="22"/>
        <v>0</v>
      </c>
      <c r="BQ13" s="40">
        <v>776.8</v>
      </c>
      <c r="BR13" s="37">
        <f t="shared" si="60"/>
        <v>699.99999999993179</v>
      </c>
      <c r="BS13" s="37">
        <v>82242.91</v>
      </c>
      <c r="BT13" s="37">
        <f t="shared" si="23"/>
        <v>239.88999999999942</v>
      </c>
      <c r="BU13" s="42">
        <v>2064751</v>
      </c>
      <c r="BV13" s="42"/>
      <c r="BW13" s="37">
        <f t="shared" si="24"/>
        <v>6281</v>
      </c>
      <c r="BX13" s="37">
        <f t="shared" si="103"/>
        <v>1</v>
      </c>
      <c r="BY13" s="43">
        <v>295.0215</v>
      </c>
      <c r="BZ13" s="37"/>
      <c r="CA13" s="37">
        <f t="shared" si="25"/>
        <v>756.10000000000355</v>
      </c>
      <c r="CB13" s="37">
        <f t="shared" si="61"/>
        <v>1</v>
      </c>
      <c r="CC13" s="37">
        <v>486250.2</v>
      </c>
      <c r="CD13" s="37">
        <f t="shared" si="26"/>
        <v>264.40000000002328</v>
      </c>
      <c r="CE13" s="37">
        <v>702460</v>
      </c>
      <c r="CF13" s="37">
        <f t="shared" si="62"/>
        <v>5129.1999999999534</v>
      </c>
      <c r="CG13" s="37">
        <v>64278</v>
      </c>
      <c r="CH13" s="37">
        <f t="shared" si="63"/>
        <v>259.59999999999854</v>
      </c>
      <c r="CI13" s="40">
        <v>11318.94</v>
      </c>
      <c r="CJ13" s="40"/>
      <c r="CK13" s="37">
        <f t="shared" si="64"/>
        <v>15380.820000000505</v>
      </c>
      <c r="CL13" s="37">
        <f t="shared" si="27"/>
        <v>1</v>
      </c>
      <c r="CM13" s="37">
        <v>3007.732</v>
      </c>
      <c r="CN13" s="37"/>
      <c r="CO13" s="37">
        <f t="shared" si="28"/>
        <v>5656.9200000000365</v>
      </c>
      <c r="CP13" s="37">
        <f t="shared" si="104"/>
        <v>1</v>
      </c>
      <c r="CQ13" s="39">
        <v>2896.1260000000002</v>
      </c>
      <c r="CR13" s="45"/>
      <c r="CS13" s="37">
        <f t="shared" si="29"/>
        <v>4891.9200000001638</v>
      </c>
      <c r="CT13" s="37">
        <f t="shared" si="105"/>
        <v>1</v>
      </c>
      <c r="CU13" s="37">
        <v>2508355</v>
      </c>
      <c r="CV13" s="37"/>
      <c r="CW13" s="38">
        <f t="shared" si="30"/>
        <v>15043</v>
      </c>
      <c r="CX13" s="37">
        <f t="shared" si="106"/>
        <v>1</v>
      </c>
      <c r="CY13" s="37">
        <v>1318455</v>
      </c>
      <c r="CZ13" s="37"/>
      <c r="DA13" s="37">
        <f t="shared" si="31"/>
        <v>5077</v>
      </c>
      <c r="DB13" s="37">
        <f t="shared" si="107"/>
        <v>1</v>
      </c>
      <c r="DC13" s="37"/>
      <c r="DD13" s="40"/>
      <c r="DE13" s="37">
        <f t="shared" si="32"/>
        <v>0</v>
      </c>
      <c r="DF13" s="37">
        <f t="shared" si="112"/>
        <v>0</v>
      </c>
      <c r="DG13" s="37">
        <f t="shared" si="33"/>
        <v>-52330.660000000702</v>
      </c>
      <c r="DH13" s="37">
        <f t="shared" si="34"/>
        <v>349996.91999999923</v>
      </c>
      <c r="DI13" s="46"/>
      <c r="DJ13" s="46"/>
      <c r="DK13" s="47"/>
      <c r="DL13" s="47"/>
      <c r="DM13" s="37"/>
      <c r="DN13" s="37"/>
      <c r="DO13" s="37"/>
      <c r="DP13" s="37"/>
      <c r="DQ13" s="50">
        <v>2852400</v>
      </c>
      <c r="DR13" s="49">
        <f t="shared" si="65"/>
        <v>9100</v>
      </c>
      <c r="DS13" s="50">
        <v>2382300</v>
      </c>
      <c r="DT13" s="49">
        <f t="shared" si="66"/>
        <v>18700</v>
      </c>
      <c r="DU13" s="52">
        <v>7651.6</v>
      </c>
      <c r="DV13" s="52">
        <v>4277.3</v>
      </c>
      <c r="DW13" s="37">
        <f t="shared" si="108"/>
        <v>2500</v>
      </c>
      <c r="DX13" s="52">
        <v>12663</v>
      </c>
      <c r="DY13" s="52">
        <v>8301.7000000000007</v>
      </c>
      <c r="DZ13" s="37">
        <f t="shared" si="35"/>
        <v>2696.92</v>
      </c>
      <c r="EA13" s="49">
        <v>28377</v>
      </c>
      <c r="EB13" s="49">
        <v>20.076000000000001</v>
      </c>
      <c r="EC13" s="37">
        <f t="shared" si="36"/>
        <v>11856.92</v>
      </c>
      <c r="ED13" s="53">
        <f t="shared" si="37"/>
        <v>17053.84</v>
      </c>
      <c r="EE13" s="49">
        <v>43579</v>
      </c>
      <c r="EF13" s="49">
        <v>27.808</v>
      </c>
      <c r="EG13" s="37">
        <f t="shared" si="38"/>
        <v>3856.92</v>
      </c>
      <c r="EH13" s="52">
        <v>12298</v>
      </c>
      <c r="EI13" s="52">
        <v>1.6452</v>
      </c>
      <c r="EJ13" s="37">
        <f t="shared" si="39"/>
        <v>4696.92</v>
      </c>
      <c r="EK13" s="37">
        <v>745.11</v>
      </c>
      <c r="EL13" s="40">
        <v>1068.9000000000001</v>
      </c>
      <c r="EM13" s="37">
        <f t="shared" si="67"/>
        <v>330.00000000004093</v>
      </c>
      <c r="EN13" s="54">
        <f t="shared" si="68"/>
        <v>8883.8400000000402</v>
      </c>
      <c r="EO13" s="48">
        <v>12384</v>
      </c>
      <c r="EP13" s="48">
        <v>4312.3999999999996</v>
      </c>
      <c r="EQ13" s="37">
        <f t="shared" si="69"/>
        <v>7596.9199999999773</v>
      </c>
      <c r="ER13" s="48">
        <v>8239.7000000000007</v>
      </c>
      <c r="ES13" s="48">
        <v>8352.7000000000007</v>
      </c>
      <c r="ET13" s="49">
        <f t="shared" si="40"/>
        <v>10400.000000001455</v>
      </c>
      <c r="EU13" s="48">
        <v>2981.1</v>
      </c>
      <c r="EV13" s="48">
        <v>1065.5</v>
      </c>
      <c r="EW13" s="49">
        <f t="shared" si="41"/>
        <v>6096.920000000091</v>
      </c>
      <c r="EX13" s="48">
        <v>12601</v>
      </c>
      <c r="EY13" s="48">
        <v>1.3697999999999999</v>
      </c>
      <c r="EZ13" s="37">
        <f t="shared" si="42"/>
        <v>11696.92</v>
      </c>
      <c r="FA13" s="48">
        <f>FC13-EQ13-ET13-EW13-EZ13</f>
        <v>-15937.760000001523</v>
      </c>
      <c r="FB13" s="48">
        <v>34844295</v>
      </c>
      <c r="FC13" s="49">
        <f t="shared" si="109"/>
        <v>19853</v>
      </c>
      <c r="FD13" s="48">
        <f t="shared" si="71"/>
        <v>37690.76000000161</v>
      </c>
      <c r="FE13" s="48">
        <v>16339</v>
      </c>
      <c r="FF13" s="48">
        <v>5844.1</v>
      </c>
      <c r="FG13" s="37">
        <f t="shared" si="72"/>
        <v>12930.250000000022</v>
      </c>
      <c r="FH13" s="48">
        <v>7520.7</v>
      </c>
      <c r="FI13" s="48">
        <v>2.8971</v>
      </c>
      <c r="FJ13" s="49">
        <f t="shared" si="43"/>
        <v>15430.249999999454</v>
      </c>
      <c r="FK13" s="48"/>
      <c r="FL13" s="58">
        <v>133.33000000000001</v>
      </c>
      <c r="FM13" s="48">
        <f t="shared" si="110"/>
        <v>-396.91666666649206</v>
      </c>
      <c r="FN13" s="48">
        <v>15661</v>
      </c>
      <c r="FO13" s="48">
        <v>0.73519999999999996</v>
      </c>
      <c r="FP13" s="37">
        <f t="shared" si="73"/>
        <v>12830.25</v>
      </c>
      <c r="FQ13" s="48">
        <v>55863</v>
      </c>
      <c r="FR13" s="48">
        <v>13.385</v>
      </c>
      <c r="FS13" s="37">
        <f t="shared" si="44"/>
        <v>40000</v>
      </c>
      <c r="FT13" s="48">
        <f t="shared" si="74"/>
        <v>-1190.7499999994761</v>
      </c>
      <c r="FU13" s="48">
        <f>FG13+FJ13+FP13+GM13</f>
        <v>42390.74999999952</v>
      </c>
      <c r="FV13" s="44">
        <v>3011900</v>
      </c>
      <c r="FW13" s="44">
        <v>970530</v>
      </c>
      <c r="FX13" s="37">
        <f t="shared" si="45"/>
        <v>7300</v>
      </c>
      <c r="FY13" s="56">
        <v>2966.7</v>
      </c>
      <c r="FZ13" s="56">
        <v>1.7559</v>
      </c>
      <c r="GA13" s="37">
        <f t="shared" si="46"/>
        <v>390</v>
      </c>
      <c r="GB13" s="56">
        <v>762.14</v>
      </c>
      <c r="GC13" s="56">
        <v>849.23</v>
      </c>
      <c r="GD13" s="37">
        <f t="shared" si="47"/>
        <v>730.00000000001819</v>
      </c>
      <c r="GE13" s="56">
        <v>9455.6</v>
      </c>
      <c r="GF13" s="56">
        <v>2.9413</v>
      </c>
      <c r="GG13" s="37">
        <f t="shared" si="48"/>
        <v>7000.0000000002274</v>
      </c>
      <c r="GH13" s="153">
        <v>1835.2</v>
      </c>
      <c r="GI13" s="162">
        <v>1556.4</v>
      </c>
      <c r="GJ13" s="38">
        <f t="shared" si="49"/>
        <v>1900.0000000000909</v>
      </c>
      <c r="GK13" s="162">
        <v>1428.7</v>
      </c>
      <c r="GL13" s="163">
        <v>1102.0999999999999</v>
      </c>
      <c r="GM13" s="38">
        <f t="shared" si="50"/>
        <v>1200.0000000000455</v>
      </c>
      <c r="GN13" s="57">
        <v>159000</v>
      </c>
      <c r="GO13" s="57">
        <v>138780</v>
      </c>
      <c r="GP13" s="38">
        <f t="shared" si="114"/>
        <v>0</v>
      </c>
      <c r="GQ13" s="38">
        <v>226090</v>
      </c>
      <c r="GR13" s="38">
        <v>225200</v>
      </c>
      <c r="GS13" s="38">
        <f t="shared" si="76"/>
        <v>110</v>
      </c>
      <c r="GT13" s="178"/>
      <c r="GU13" s="144">
        <f>DailyMar!B12-DailyMar!N12-DailyMar!V12-DailyMar!Y12-DailyMar!Z12-DailyMar!AA12-DailyMar!AB12-DailyMar!AC12-DailyMar!AD12-DailyMar!AE12-DailyMar!AK12-DailyMar!AO12-DailyMar!AS12-DailyMar!AY12-DailyMar!BD12+DailyMar!BU12-SUM(DailyMar!BP12:BS12)-DailyMar!BT12-DailyMar!AF12-DailyMar!AG12-DailyMar!BG12</f>
        <v>1.0000006703194231E-2</v>
      </c>
      <c r="GV13" s="59">
        <v>-4546.1899999999996</v>
      </c>
      <c r="GW13" s="60">
        <f t="shared" si="51"/>
        <v>-303.0793333333333</v>
      </c>
      <c r="GX13" s="61">
        <v>-303.08</v>
      </c>
      <c r="GY13" s="140"/>
      <c r="GZ13" s="62"/>
      <c r="HA13" s="62"/>
      <c r="HB13" s="74"/>
      <c r="HC13" s="62"/>
      <c r="HD13" s="74"/>
      <c r="HE13" s="24">
        <f t="shared" si="52"/>
        <v>0</v>
      </c>
      <c r="HG13" s="213">
        <v>7</v>
      </c>
      <c r="HH13" s="16">
        <v>2615.3000000000002</v>
      </c>
      <c r="HI13" s="16">
        <v>1050.5</v>
      </c>
      <c r="HJ13" s="16">
        <f t="shared" si="53"/>
        <v>101700.00000000028</v>
      </c>
      <c r="HK13" s="16">
        <v>1.9189000000000001</v>
      </c>
      <c r="HL13" s="16">
        <v>660.93</v>
      </c>
      <c r="HM13" s="16">
        <f t="shared" si="54"/>
        <v>0</v>
      </c>
      <c r="HN13" s="16">
        <v>600.29999999999995</v>
      </c>
      <c r="HO13" s="16">
        <v>266.7</v>
      </c>
      <c r="HP13" s="16">
        <f t="shared" si="55"/>
        <v>36206.670000000006</v>
      </c>
      <c r="HQ13" s="16">
        <v>689.13</v>
      </c>
      <c r="HR13" s="16">
        <v>321.39</v>
      </c>
      <c r="HS13" s="16">
        <f t="shared" si="56"/>
        <v>24176.670000000031</v>
      </c>
      <c r="HT13" s="16">
        <v>546.99</v>
      </c>
      <c r="HU13" s="16">
        <v>225.02</v>
      </c>
      <c r="HV13" s="16">
        <f t="shared" si="57"/>
        <v>22616.669999999969</v>
      </c>
      <c r="HW13" s="16"/>
      <c r="HX13" s="16"/>
      <c r="HY13" s="128">
        <f t="shared" si="58"/>
        <v>18700</v>
      </c>
      <c r="HZ13" s="211">
        <f t="shared" si="77"/>
        <v>-9.9999997328268364E-3</v>
      </c>
      <c r="IA13" s="16">
        <v>303566.7</v>
      </c>
      <c r="IB13" s="16">
        <v>124688.7</v>
      </c>
      <c r="IC13" s="16">
        <f t="shared" si="78"/>
        <v>8976.7000000000116</v>
      </c>
      <c r="ID13" s="16">
        <v>217.51</v>
      </c>
      <c r="IE13" s="16">
        <v>100.62</v>
      </c>
      <c r="IF13" s="16">
        <f t="shared" si="79"/>
        <v>9419.9999999999873</v>
      </c>
      <c r="IG13" s="16">
        <v>58001.4</v>
      </c>
      <c r="IH13" s="16">
        <v>79029.5</v>
      </c>
      <c r="II13" s="16">
        <f t="shared" si="80"/>
        <v>1904.4000000000015</v>
      </c>
      <c r="IJ13" s="16">
        <v>40491.4</v>
      </c>
      <c r="IK13" s="16">
        <v>21526.400000000001</v>
      </c>
      <c r="IL13" s="16">
        <f t="shared" si="81"/>
        <v>1293.4000000000015</v>
      </c>
      <c r="IM13" s="16">
        <v>320167.09999999998</v>
      </c>
      <c r="IN13" s="16">
        <v>130971.7</v>
      </c>
      <c r="IO13" s="16">
        <f t="shared" si="82"/>
        <v>23770.099999999977</v>
      </c>
      <c r="IP13" s="16">
        <v>429945.2</v>
      </c>
      <c r="IQ13" s="16">
        <v>54755.199999999997</v>
      </c>
      <c r="IR13" s="16">
        <f t="shared" si="83"/>
        <v>15037.200000000012</v>
      </c>
      <c r="IS13" s="16">
        <v>15976.1</v>
      </c>
      <c r="IT13" s="16">
        <v>9821.2000000000007</v>
      </c>
      <c r="IU13" s="16">
        <f t="shared" si="84"/>
        <v>707.10000000000036</v>
      </c>
      <c r="IV13" s="16">
        <v>209999.1</v>
      </c>
      <c r="IW13" s="16">
        <v>39474.9</v>
      </c>
      <c r="IX13" s="16">
        <f t="shared" si="85"/>
        <v>7696.1000000000058</v>
      </c>
      <c r="IY13" s="16">
        <v>14892.68</v>
      </c>
      <c r="IZ13" s="16">
        <v>1449.28</v>
      </c>
      <c r="JA13" s="16">
        <f t="shared" si="86"/>
        <v>384.68000000000029</v>
      </c>
      <c r="JB13" s="16">
        <v>13086.45</v>
      </c>
      <c r="JC13" s="16">
        <v>1465.75</v>
      </c>
      <c r="JD13" s="16">
        <f t="shared" si="87"/>
        <v>277.45000000000073</v>
      </c>
      <c r="JE13" s="16">
        <v>294209</v>
      </c>
      <c r="JF13" s="16">
        <v>885.2</v>
      </c>
      <c r="JG13" s="16">
        <f t="shared" si="88"/>
        <v>12563</v>
      </c>
      <c r="JH13" s="16">
        <v>295550.02</v>
      </c>
      <c r="JI13" s="16">
        <v>29103.599999999999</v>
      </c>
      <c r="JJ13" s="16">
        <f t="shared" si="89"/>
        <v>11968.020000000019</v>
      </c>
      <c r="JK13" s="16">
        <v>18375.2</v>
      </c>
      <c r="JL13" s="16">
        <v>1151.5999999999999</v>
      </c>
      <c r="JM13" s="16">
        <f t="shared" si="90"/>
        <v>689.20000000000073</v>
      </c>
      <c r="JN13" s="16">
        <v>186498.3</v>
      </c>
      <c r="JO13" s="16">
        <v>32880</v>
      </c>
      <c r="JP13" s="16">
        <f t="shared" si="91"/>
        <v>8721.2999999999884</v>
      </c>
      <c r="JQ13" s="16">
        <v>620.6</v>
      </c>
      <c r="JR13" s="16">
        <v>131.80000000000001</v>
      </c>
      <c r="JS13" s="16">
        <f t="shared" si="92"/>
        <v>24.040000000000077</v>
      </c>
      <c r="JT13" s="16">
        <v>9214.75</v>
      </c>
      <c r="JU13" s="16">
        <v>715.1</v>
      </c>
      <c r="JV13" s="16">
        <f t="shared" si="93"/>
        <v>410.14999999999964</v>
      </c>
      <c r="JX13" s="151">
        <f t="shared" si="94"/>
        <v>-9.9999997328268364E-3</v>
      </c>
    </row>
    <row r="14" spans="1:284" x14ac:dyDescent="0.25">
      <c r="A14" s="35">
        <f t="shared" si="0"/>
        <v>8</v>
      </c>
      <c r="B14" s="38">
        <v>3636.1</v>
      </c>
      <c r="C14" s="38">
        <f t="shared" si="1"/>
        <v>7.1599999999998545</v>
      </c>
      <c r="D14" s="38">
        <f t="shared" si="2"/>
        <v>229119.99999999534</v>
      </c>
      <c r="E14" s="38">
        <v>730.99</v>
      </c>
      <c r="F14" s="38">
        <f t="shared" si="113"/>
        <v>32319.999999999709</v>
      </c>
      <c r="G14" s="38">
        <f t="shared" si="4"/>
        <v>261439.99999999505</v>
      </c>
      <c r="H14" s="37"/>
      <c r="I14" s="39"/>
      <c r="J14" s="42"/>
      <c r="K14" s="37">
        <f>IF(J14&lt;=0,0,(J14/SQRT(J14^2+(I14-I13)^2)))</f>
        <v>0</v>
      </c>
      <c r="L14" s="40">
        <v>10635200</v>
      </c>
      <c r="M14" s="40"/>
      <c r="N14" s="37">
        <f t="shared" si="96"/>
        <v>261000</v>
      </c>
      <c r="O14" s="37">
        <v>9948.4</v>
      </c>
      <c r="P14" s="37"/>
      <c r="Q14" s="37">
        <f t="shared" si="5"/>
        <v>11899.999999999636</v>
      </c>
      <c r="R14" s="37">
        <f t="shared" si="97"/>
        <v>1</v>
      </c>
      <c r="S14" s="41">
        <v>11128637.42</v>
      </c>
      <c r="T14" s="37">
        <f t="shared" si="6"/>
        <v>0</v>
      </c>
      <c r="U14" s="37">
        <v>1518173.85</v>
      </c>
      <c r="V14" s="37">
        <f t="shared" si="7"/>
        <v>0</v>
      </c>
      <c r="W14" s="37">
        <v>3453.4</v>
      </c>
      <c r="X14" s="37">
        <f t="shared" si="111"/>
        <v>7399.9999999996362</v>
      </c>
      <c r="Y14" s="183"/>
      <c r="Z14" s="183">
        <f t="shared" si="8"/>
        <v>0</v>
      </c>
      <c r="AA14" s="37">
        <v>522800</v>
      </c>
      <c r="AB14" s="37">
        <f t="shared" si="9"/>
        <v>4500</v>
      </c>
      <c r="AC14" s="37">
        <v>3632</v>
      </c>
      <c r="AD14" s="37"/>
      <c r="AE14" s="37">
        <f t="shared" si="10"/>
        <v>6099.9999999999091</v>
      </c>
      <c r="AF14" s="37">
        <f t="shared" si="98"/>
        <v>1</v>
      </c>
      <c r="AG14" s="37">
        <v>7930.3</v>
      </c>
      <c r="AH14" s="48"/>
      <c r="AI14" s="37">
        <f t="shared" si="11"/>
        <v>14671.420000000546</v>
      </c>
      <c r="AJ14" s="37">
        <f t="shared" si="12"/>
        <v>1</v>
      </c>
      <c r="AK14" s="37">
        <f t="shared" si="13"/>
        <v>28171.420000000093</v>
      </c>
      <c r="AL14" s="42">
        <v>10003</v>
      </c>
      <c r="AM14" s="42"/>
      <c r="AN14" s="37">
        <f t="shared" si="59"/>
        <v>4961.4199999996044</v>
      </c>
      <c r="AO14" s="37">
        <f t="shared" si="99"/>
        <v>1</v>
      </c>
      <c r="AP14" s="37">
        <v>7623.8</v>
      </c>
      <c r="AQ14" s="37"/>
      <c r="AR14" s="37">
        <f t="shared" si="14"/>
        <v>8400.0000000005457</v>
      </c>
      <c r="AS14" s="37">
        <f t="shared" si="100"/>
        <v>1</v>
      </c>
      <c r="AT14" s="183"/>
      <c r="AU14" s="183">
        <f t="shared" si="15"/>
        <v>0</v>
      </c>
      <c r="AV14" s="183"/>
      <c r="AW14" s="183">
        <f t="shared" si="16"/>
        <v>0</v>
      </c>
      <c r="AX14" s="37">
        <v>455380</v>
      </c>
      <c r="AY14" s="37"/>
      <c r="AZ14" s="37">
        <f t="shared" si="17"/>
        <v>280</v>
      </c>
      <c r="BA14" s="37">
        <v>104310</v>
      </c>
      <c r="BB14" s="37"/>
      <c r="BC14" s="37">
        <f t="shared" si="18"/>
        <v>320</v>
      </c>
      <c r="BD14" s="37">
        <f t="shared" si="101"/>
        <v>13961.420000000151</v>
      </c>
      <c r="BE14" s="43">
        <v>1717.3</v>
      </c>
      <c r="BF14" s="43">
        <v>937.42</v>
      </c>
      <c r="BG14" s="37">
        <f t="shared" si="19"/>
        <v>2500</v>
      </c>
      <c r="BH14" s="44">
        <v>8175</v>
      </c>
      <c r="BI14" s="44">
        <v>5259.7</v>
      </c>
      <c r="BJ14" s="37">
        <f t="shared" si="20"/>
        <v>8000</v>
      </c>
      <c r="BK14" s="40">
        <v>1271540</v>
      </c>
      <c r="BL14" s="40">
        <f t="shared" si="102"/>
        <v>3870</v>
      </c>
      <c r="BM14" s="40">
        <v>819.61</v>
      </c>
      <c r="BN14" s="37">
        <f t="shared" si="21"/>
        <v>639.99999999998636</v>
      </c>
      <c r="BO14" s="186"/>
      <c r="BP14" s="183">
        <f t="shared" si="22"/>
        <v>0</v>
      </c>
      <c r="BQ14" s="40">
        <v>777.5</v>
      </c>
      <c r="BR14" s="37">
        <f t="shared" si="60"/>
        <v>700.00000000004547</v>
      </c>
      <c r="BS14" s="37">
        <v>82458.98</v>
      </c>
      <c r="BT14" s="37">
        <f t="shared" si="23"/>
        <v>216.06999999999243</v>
      </c>
      <c r="BU14" s="42">
        <v>2075574</v>
      </c>
      <c r="BV14" s="42"/>
      <c r="BW14" s="37">
        <f t="shared" si="24"/>
        <v>10823</v>
      </c>
      <c r="BX14" s="37">
        <f t="shared" si="103"/>
        <v>1</v>
      </c>
      <c r="BY14" s="147">
        <v>295.71519999999998</v>
      </c>
      <c r="BZ14" s="40"/>
      <c r="CA14" s="37">
        <f t="shared" si="25"/>
        <v>693.69999999997844</v>
      </c>
      <c r="CB14" s="37">
        <f t="shared" si="61"/>
        <v>1</v>
      </c>
      <c r="CC14" s="37">
        <v>490312.6</v>
      </c>
      <c r="CD14" s="37">
        <f t="shared" si="26"/>
        <v>4062.3999999999651</v>
      </c>
      <c r="CE14" s="37">
        <v>708477.5</v>
      </c>
      <c r="CF14" s="37">
        <f t="shared" si="62"/>
        <v>6017.5</v>
      </c>
      <c r="CG14" s="37">
        <v>64506.8</v>
      </c>
      <c r="CH14" s="37">
        <f t="shared" si="63"/>
        <v>228.80000000000291</v>
      </c>
      <c r="CI14" s="40">
        <v>11334.32</v>
      </c>
      <c r="CJ14" s="40"/>
      <c r="CK14" s="37">
        <f t="shared" si="64"/>
        <v>14957.719999999221</v>
      </c>
      <c r="CL14" s="37">
        <f t="shared" si="27"/>
        <v>1</v>
      </c>
      <c r="CM14" s="37">
        <v>3013.4659999999999</v>
      </c>
      <c r="CN14" s="37"/>
      <c r="CO14" s="37">
        <f t="shared" si="28"/>
        <v>6005.4199999999237</v>
      </c>
      <c r="CP14" s="37">
        <f t="shared" si="104"/>
        <v>1</v>
      </c>
      <c r="CQ14" s="39">
        <v>2900.7359999999999</v>
      </c>
      <c r="CR14" s="45"/>
      <c r="CS14" s="37">
        <f t="shared" si="29"/>
        <v>4881.4199999996727</v>
      </c>
      <c r="CT14" s="37">
        <f t="shared" si="105"/>
        <v>1</v>
      </c>
      <c r="CU14" s="37">
        <v>2521102</v>
      </c>
      <c r="CV14" s="37"/>
      <c r="CW14" s="38">
        <f t="shared" si="30"/>
        <v>12747</v>
      </c>
      <c r="CX14" s="37">
        <f t="shared" si="106"/>
        <v>1</v>
      </c>
      <c r="CY14" s="37">
        <v>1323128</v>
      </c>
      <c r="CZ14" s="37"/>
      <c r="DA14" s="37">
        <f t="shared" si="31"/>
        <v>4673</v>
      </c>
      <c r="DB14" s="37">
        <f t="shared" si="107"/>
        <v>1</v>
      </c>
      <c r="DC14" s="37"/>
      <c r="DD14" s="40"/>
      <c r="DE14" s="37">
        <f t="shared" si="32"/>
        <v>0</v>
      </c>
      <c r="DF14" s="37">
        <f t="shared" si="112"/>
        <v>0</v>
      </c>
      <c r="DG14" s="37">
        <f t="shared" si="33"/>
        <v>-54087.559999998819</v>
      </c>
      <c r="DH14" s="37">
        <f t="shared" si="34"/>
        <v>291671.4200000001</v>
      </c>
      <c r="DI14" s="46"/>
      <c r="DJ14" s="46"/>
      <c r="DK14" s="47"/>
      <c r="DL14" s="47"/>
      <c r="DM14" s="37"/>
      <c r="DN14" s="37"/>
      <c r="DO14" s="37"/>
      <c r="DP14" s="37"/>
      <c r="DQ14" s="50">
        <v>2860900</v>
      </c>
      <c r="DR14" s="49">
        <f t="shared" si="65"/>
        <v>8500</v>
      </c>
      <c r="DS14" s="50">
        <v>2398900</v>
      </c>
      <c r="DT14" s="49">
        <f t="shared" si="66"/>
        <v>16600</v>
      </c>
      <c r="DU14" s="52">
        <v>7655.9</v>
      </c>
      <c r="DV14" s="52">
        <v>4280</v>
      </c>
      <c r="DW14" s="37">
        <f t="shared" si="108"/>
        <v>4299.9999999992724</v>
      </c>
      <c r="DX14" s="52">
        <v>12668</v>
      </c>
      <c r="DY14" s="52">
        <v>8302.9</v>
      </c>
      <c r="DZ14" s="37">
        <f t="shared" si="35"/>
        <v>5271.42</v>
      </c>
      <c r="EA14" s="49">
        <v>28397</v>
      </c>
      <c r="EB14" s="49">
        <v>20.085000000000001</v>
      </c>
      <c r="EC14" s="37">
        <f t="shared" si="36"/>
        <v>22431.42</v>
      </c>
      <c r="ED14" s="53">
        <f t="shared" si="37"/>
        <v>32002.839999999269</v>
      </c>
      <c r="EE14" s="49">
        <v>43582</v>
      </c>
      <c r="EF14" s="49">
        <v>27.808</v>
      </c>
      <c r="EG14" s="37">
        <f t="shared" si="38"/>
        <v>5431.42</v>
      </c>
      <c r="EH14" s="52">
        <v>12303</v>
      </c>
      <c r="EI14" s="52">
        <v>1.6462000000000001</v>
      </c>
      <c r="EJ14" s="37">
        <f t="shared" si="39"/>
        <v>5271.42</v>
      </c>
      <c r="EK14" s="37">
        <v>745.19</v>
      </c>
      <c r="EL14" s="40">
        <v>1069</v>
      </c>
      <c r="EM14" s="37">
        <f t="shared" si="67"/>
        <v>80.000000000040927</v>
      </c>
      <c r="EN14" s="54">
        <f t="shared" si="68"/>
        <v>10782.84000000004</v>
      </c>
      <c r="EO14" s="48">
        <v>12392</v>
      </c>
      <c r="EP14" s="48">
        <v>4314.8999999999996</v>
      </c>
      <c r="EQ14" s="37">
        <f t="shared" si="69"/>
        <v>6306.4199999999964</v>
      </c>
      <c r="ER14" s="48">
        <v>8244.5</v>
      </c>
      <c r="ES14" s="48">
        <v>3355</v>
      </c>
      <c r="ET14" s="49">
        <f t="shared" si="40"/>
        <v>4799.9999999992724</v>
      </c>
      <c r="EU14" s="48">
        <v>2984.3</v>
      </c>
      <c r="EV14" s="48">
        <v>1066.7</v>
      </c>
      <c r="EW14" s="49">
        <f t="shared" si="41"/>
        <v>3471.4200000002729</v>
      </c>
      <c r="EX14" s="48">
        <v>12608</v>
      </c>
      <c r="EY14" s="48">
        <v>1.3711</v>
      </c>
      <c r="EZ14" s="37">
        <f t="shared" si="42"/>
        <v>7271.42</v>
      </c>
      <c r="FA14" s="48">
        <f t="shared" si="70"/>
        <v>-10217.259999999542</v>
      </c>
      <c r="FB14" s="48">
        <v>34855927</v>
      </c>
      <c r="FC14" s="49">
        <f t="shared" si="109"/>
        <v>11632</v>
      </c>
      <c r="FD14" s="48">
        <f t="shared" si="71"/>
        <v>22949.259999999453</v>
      </c>
      <c r="FE14" s="48">
        <v>16345</v>
      </c>
      <c r="FF14" s="48">
        <v>5846.4</v>
      </c>
      <c r="FG14" s="37">
        <f t="shared" si="72"/>
        <v>8048.0900000000038</v>
      </c>
      <c r="FH14" s="48">
        <v>7529.3</v>
      </c>
      <c r="FI14" s="48">
        <v>2.9005999999999998</v>
      </c>
      <c r="FJ14" s="49">
        <f t="shared" si="43"/>
        <v>8683.0900000003639</v>
      </c>
      <c r="FK14" s="48"/>
      <c r="FL14" s="58">
        <v>-188.33</v>
      </c>
      <c r="FM14" s="48">
        <f t="shared" si="110"/>
        <v>-271.42333333345596</v>
      </c>
      <c r="FN14" s="48">
        <v>15668</v>
      </c>
      <c r="FO14" s="48">
        <v>0.73640000000000005</v>
      </c>
      <c r="FP14" s="37">
        <f t="shared" si="73"/>
        <v>7083.09</v>
      </c>
      <c r="FQ14" s="48">
        <v>55886</v>
      </c>
      <c r="FR14" s="48">
        <v>13.391999999999999</v>
      </c>
      <c r="FS14" s="37">
        <f t="shared" si="44"/>
        <v>23000</v>
      </c>
      <c r="FT14" s="48">
        <f t="shared" si="74"/>
        <v>-814.27000000036787</v>
      </c>
      <c r="FU14" s="48">
        <f t="shared" si="75"/>
        <v>24514.270000000412</v>
      </c>
      <c r="FV14" s="44">
        <v>3018100</v>
      </c>
      <c r="FW14" s="44">
        <v>972970</v>
      </c>
      <c r="FX14" s="37">
        <f t="shared" si="45"/>
        <v>6200</v>
      </c>
      <c r="FY14" s="56">
        <v>2967.1</v>
      </c>
      <c r="FZ14" s="56">
        <v>1.7561</v>
      </c>
      <c r="GA14" s="37">
        <f t="shared" si="46"/>
        <v>300.00000000009095</v>
      </c>
      <c r="GB14" s="56">
        <v>762.72</v>
      </c>
      <c r="GC14" s="56">
        <v>849.96</v>
      </c>
      <c r="GD14" s="37">
        <f t="shared" si="47"/>
        <v>580.00000000004093</v>
      </c>
      <c r="GE14" s="56">
        <v>9462.9</v>
      </c>
      <c r="GF14" s="56">
        <v>2.9464000000000001</v>
      </c>
      <c r="GG14" s="37">
        <f t="shared" si="48"/>
        <v>5499.9999999993179</v>
      </c>
      <c r="GH14" s="153">
        <v>1836.3</v>
      </c>
      <c r="GI14" s="162">
        <v>1557.5</v>
      </c>
      <c r="GJ14" s="38">
        <f t="shared" si="49"/>
        <v>1099.9999999999091</v>
      </c>
      <c r="GK14" s="162">
        <v>1429.4</v>
      </c>
      <c r="GL14" s="163">
        <v>1102.4000000000001</v>
      </c>
      <c r="GM14" s="38">
        <f t="shared" si="50"/>
        <v>700.00000000004547</v>
      </c>
      <c r="GN14" s="57">
        <v>159000</v>
      </c>
      <c r="GO14" s="57">
        <v>138790</v>
      </c>
      <c r="GP14" s="38">
        <f t="shared" si="114"/>
        <v>0</v>
      </c>
      <c r="GQ14" s="38">
        <v>226190</v>
      </c>
      <c r="GR14" s="38">
        <v>225250</v>
      </c>
      <c r="GS14" s="38">
        <f t="shared" si="76"/>
        <v>100</v>
      </c>
      <c r="GT14" s="178"/>
      <c r="GU14" s="144">
        <f>DailyMar!B13-DailyMar!N13-DailyMar!V13-DailyMar!Y13-DailyMar!Z13-DailyMar!AA13-DailyMar!AB13-DailyMar!AC13-DailyMar!AD13-DailyMar!AE13-DailyMar!AK13-DailyMar!AO13-DailyMar!AS13-DailyMar!AY13-DailyMar!BD13+DailyMar!BU13-SUM(DailyMar!BP13:BS13)-DailyMar!BT13-DailyMar!AF13-DailyMar!AG13-DailyMar!BG13</f>
        <v>-1.0000002257584129E-2</v>
      </c>
      <c r="GV14" s="59">
        <v>4071.29</v>
      </c>
      <c r="GW14" s="60">
        <f t="shared" si="51"/>
        <v>271.41933333333333</v>
      </c>
      <c r="GX14" s="61">
        <v>271.42</v>
      </c>
      <c r="GY14" s="140"/>
      <c r="GZ14" s="62"/>
      <c r="HA14" s="62"/>
      <c r="HB14" s="74"/>
      <c r="HC14" s="62"/>
      <c r="HD14" s="74"/>
      <c r="HE14" s="24">
        <f t="shared" si="52"/>
        <v>0</v>
      </c>
      <c r="HG14" s="213">
        <v>8</v>
      </c>
      <c r="HH14" s="16">
        <v>2687.2</v>
      </c>
      <c r="HI14" s="16">
        <v>1077.5</v>
      </c>
      <c r="HJ14" s="16">
        <f t="shared" si="53"/>
        <v>71899.999999999636</v>
      </c>
      <c r="HK14" s="16">
        <v>1.9189000000000001</v>
      </c>
      <c r="HL14" s="16">
        <v>660.93</v>
      </c>
      <c r="HM14" s="16">
        <f t="shared" si="54"/>
        <v>0</v>
      </c>
      <c r="HN14" s="16">
        <v>623.77</v>
      </c>
      <c r="HO14" s="16">
        <v>277.70999999999998</v>
      </c>
      <c r="HP14" s="16">
        <f t="shared" si="55"/>
        <v>23816.66700000003</v>
      </c>
      <c r="HQ14" s="16">
        <v>705.97</v>
      </c>
      <c r="HR14" s="16">
        <v>328.19</v>
      </c>
      <c r="HS14" s="16">
        <f t="shared" si="56"/>
        <v>17186.667000000034</v>
      </c>
      <c r="HT14" s="16">
        <v>560.94000000000005</v>
      </c>
      <c r="HU14" s="16">
        <v>230.19</v>
      </c>
      <c r="HV14" s="16">
        <f t="shared" si="57"/>
        <v>14296.667000000045</v>
      </c>
      <c r="HW14" s="16"/>
      <c r="HX14" s="16"/>
      <c r="HY14" s="128">
        <f t="shared" si="58"/>
        <v>16600</v>
      </c>
      <c r="HZ14" s="211">
        <f t="shared" si="77"/>
        <v>-1.0000004731409717E-3</v>
      </c>
      <c r="IA14" s="16">
        <v>310225</v>
      </c>
      <c r="IB14" s="16">
        <v>128362</v>
      </c>
      <c r="IC14" s="16">
        <f t="shared" si="78"/>
        <v>6658.2999999999884</v>
      </c>
      <c r="ID14" s="16">
        <v>223.29</v>
      </c>
      <c r="IE14" s="16">
        <v>103.47</v>
      </c>
      <c r="IF14" s="16">
        <f t="shared" si="79"/>
        <v>5780.0000000000009</v>
      </c>
      <c r="IG14" s="16">
        <v>60858</v>
      </c>
      <c r="IH14" s="16">
        <v>44407</v>
      </c>
      <c r="II14" s="16">
        <f t="shared" si="80"/>
        <v>2856.5999999999985</v>
      </c>
      <c r="IJ14" s="16">
        <v>41430</v>
      </c>
      <c r="IK14" s="16">
        <v>21932</v>
      </c>
      <c r="IL14" s="16">
        <f t="shared" si="81"/>
        <v>938.59999999999854</v>
      </c>
      <c r="IM14" s="16">
        <v>336700</v>
      </c>
      <c r="IN14" s="16">
        <v>137308</v>
      </c>
      <c r="IO14" s="16">
        <f t="shared" si="82"/>
        <v>16532.900000000023</v>
      </c>
      <c r="IP14" s="16">
        <v>440374</v>
      </c>
      <c r="IQ14" s="16">
        <v>56142</v>
      </c>
      <c r="IR14" s="16">
        <f t="shared" si="83"/>
        <v>10428.799999999988</v>
      </c>
      <c r="IS14" s="16">
        <v>16516</v>
      </c>
      <c r="IT14" s="16">
        <v>10135</v>
      </c>
      <c r="IU14" s="16">
        <f t="shared" si="84"/>
        <v>539.89999999999964</v>
      </c>
      <c r="IV14" s="16">
        <v>215243</v>
      </c>
      <c r="IW14" s="16">
        <v>40568</v>
      </c>
      <c r="IX14" s="16">
        <f t="shared" si="85"/>
        <v>5243.8999999999942</v>
      </c>
      <c r="IY14" s="16">
        <v>15209</v>
      </c>
      <c r="IZ14" s="16">
        <v>1480</v>
      </c>
      <c r="JA14" s="16">
        <f t="shared" si="86"/>
        <v>316.31999999999971</v>
      </c>
      <c r="JB14" s="16">
        <v>13371</v>
      </c>
      <c r="JC14" s="16">
        <v>1497</v>
      </c>
      <c r="JD14" s="16">
        <f t="shared" si="87"/>
        <v>284.54999999999927</v>
      </c>
      <c r="JE14" s="16">
        <v>301884</v>
      </c>
      <c r="JF14" s="16">
        <v>449.78</v>
      </c>
      <c r="JG14" s="16">
        <f t="shared" si="88"/>
        <v>7675</v>
      </c>
      <c r="JH14" s="16">
        <v>302476</v>
      </c>
      <c r="JI14" s="16">
        <v>29770</v>
      </c>
      <c r="JJ14" s="16">
        <f t="shared" si="89"/>
        <v>6925.9799999999814</v>
      </c>
      <c r="JK14" s="16">
        <v>18930</v>
      </c>
      <c r="JL14" s="16">
        <v>15794</v>
      </c>
      <c r="JM14" s="16">
        <f t="shared" si="90"/>
        <v>554.79999999999927</v>
      </c>
      <c r="JN14" s="16">
        <v>191851</v>
      </c>
      <c r="JO14" s="16">
        <v>33972</v>
      </c>
      <c r="JP14" s="16">
        <f t="shared" si="91"/>
        <v>5352.7000000000116</v>
      </c>
      <c r="JQ14" s="16">
        <v>637.67999999999995</v>
      </c>
      <c r="JR14" s="16">
        <v>136.68</v>
      </c>
      <c r="JS14" s="16">
        <f t="shared" si="92"/>
        <v>17.079999999999927</v>
      </c>
      <c r="JT14" s="16">
        <v>9433</v>
      </c>
      <c r="JU14" s="16">
        <v>727.15</v>
      </c>
      <c r="JV14" s="16">
        <f t="shared" si="93"/>
        <v>218.25</v>
      </c>
      <c r="JX14" s="151">
        <f t="shared" si="94"/>
        <v>-1.0000004731409717E-3</v>
      </c>
    </row>
    <row r="15" spans="1:284" x14ac:dyDescent="0.25">
      <c r="A15" s="215">
        <f t="shared" si="0"/>
        <v>9</v>
      </c>
      <c r="B15" s="38">
        <v>3644.82</v>
      </c>
      <c r="C15" s="38">
        <f t="shared" si="1"/>
        <v>8.7200000000002547</v>
      </c>
      <c r="D15" s="38">
        <f t="shared" si="2"/>
        <v>279040.00000000815</v>
      </c>
      <c r="E15" s="38">
        <v>732.64</v>
      </c>
      <c r="F15" s="38">
        <f t="shared" si="113"/>
        <v>52799.999999999272</v>
      </c>
      <c r="G15" s="38">
        <f t="shared" si="4"/>
        <v>331840.00000000745</v>
      </c>
      <c r="H15" s="37"/>
      <c r="I15" s="39"/>
      <c r="J15" s="42"/>
      <c r="K15" s="37">
        <f>IF(J15&lt;=0,0,(J15/SQRT(J15^2+(I15-I14)^2)))</f>
        <v>0</v>
      </c>
      <c r="L15" s="40">
        <v>10667400</v>
      </c>
      <c r="M15" s="40"/>
      <c r="N15" s="37">
        <f t="shared" si="96"/>
        <v>322000</v>
      </c>
      <c r="O15" s="37">
        <v>9960.2999999999993</v>
      </c>
      <c r="P15" s="2"/>
      <c r="Q15" s="37">
        <f t="shared" si="5"/>
        <v>11899.999999999636</v>
      </c>
      <c r="R15" s="37">
        <f>IF(Q15&lt;=0,0,(Q15/SQRT(Q15^2+(P15-P14)^2)))</f>
        <v>1</v>
      </c>
      <c r="S15" s="41">
        <v>11123637.42</v>
      </c>
      <c r="T15" s="37">
        <f t="shared" si="6"/>
        <v>0</v>
      </c>
      <c r="U15" s="37">
        <v>1518173.85</v>
      </c>
      <c r="V15" s="37">
        <f t="shared" si="7"/>
        <v>0</v>
      </c>
      <c r="W15" s="37">
        <v>3459.2</v>
      </c>
      <c r="X15" s="37">
        <f t="shared" si="111"/>
        <v>7399.9999999996362</v>
      </c>
      <c r="Y15" s="183"/>
      <c r="Z15" s="183">
        <f t="shared" si="8"/>
        <v>0</v>
      </c>
      <c r="AA15" s="37">
        <v>527300</v>
      </c>
      <c r="AB15" s="37">
        <f t="shared" si="9"/>
        <v>4500</v>
      </c>
      <c r="AC15" s="37">
        <v>3638.8</v>
      </c>
      <c r="AD15" s="37"/>
      <c r="AE15" s="37">
        <f t="shared" si="10"/>
        <v>6800.0000000001819</v>
      </c>
      <c r="AF15" s="37">
        <f>IF(AE15&lt;=0,0,(AE15/SQRT(AE15^2+(AD15-AD14)^2)))</f>
        <v>1</v>
      </c>
      <c r="AG15" s="37">
        <v>7945.1</v>
      </c>
      <c r="AH15" s="48"/>
      <c r="AI15" s="37">
        <f t="shared" si="11"/>
        <v>15124.260000000182</v>
      </c>
      <c r="AJ15" s="37">
        <f t="shared" si="12"/>
        <v>1</v>
      </c>
      <c r="AK15" s="37">
        <f t="shared" si="13"/>
        <v>29324.260000000002</v>
      </c>
      <c r="AL15" s="2">
        <v>10013</v>
      </c>
      <c r="AM15" s="42"/>
      <c r="AN15" s="37">
        <f t="shared" si="59"/>
        <v>5264.2600000000048</v>
      </c>
      <c r="AO15" s="37">
        <f>IF(AN15&lt;=0,0,(AN15/SQRT(AN15^2+(AM15-AM14)^2)))</f>
        <v>1</v>
      </c>
      <c r="AP15" s="37">
        <v>7633</v>
      </c>
      <c r="AQ15" s="37"/>
      <c r="AR15" s="37">
        <f t="shared" si="14"/>
        <v>9199.9999999998181</v>
      </c>
      <c r="AS15" s="37">
        <f>IF(AR15&lt;=0,0,(AR15/SQRT(AR15^2+(AQ15-AQ14)^2)))</f>
        <v>1</v>
      </c>
      <c r="AT15" s="183"/>
      <c r="AU15" s="183">
        <f t="shared" si="15"/>
        <v>0</v>
      </c>
      <c r="AV15" s="183"/>
      <c r="AW15" s="183">
        <f t="shared" si="16"/>
        <v>0</v>
      </c>
      <c r="AX15" s="37">
        <v>455530</v>
      </c>
      <c r="AY15" s="37"/>
      <c r="AZ15" s="37">
        <f t="shared" si="17"/>
        <v>150</v>
      </c>
      <c r="BA15" s="37">
        <v>104490</v>
      </c>
      <c r="BB15" s="37"/>
      <c r="BC15" s="37">
        <f t="shared" si="18"/>
        <v>180</v>
      </c>
      <c r="BD15" s="37">
        <f t="shared" si="101"/>
        <v>14794.259999999824</v>
      </c>
      <c r="BE15" s="43">
        <v>1719.6</v>
      </c>
      <c r="BF15" s="43">
        <v>938.74</v>
      </c>
      <c r="BG15" s="37">
        <f t="shared" si="19"/>
        <v>2299.9999999999545</v>
      </c>
      <c r="BH15" s="44">
        <v>8183</v>
      </c>
      <c r="BI15" s="44">
        <v>5264.8</v>
      </c>
      <c r="BJ15" s="37">
        <f t="shared" si="20"/>
        <v>8000</v>
      </c>
      <c r="BK15" s="40">
        <v>1275470</v>
      </c>
      <c r="BL15" s="40">
        <f t="shared" si="102"/>
        <v>3930</v>
      </c>
      <c r="BM15" s="40">
        <v>820.24</v>
      </c>
      <c r="BN15" s="37">
        <f t="shared" si="21"/>
        <v>629.99999999999545</v>
      </c>
      <c r="BO15" s="186"/>
      <c r="BP15" s="183">
        <f t="shared" si="22"/>
        <v>0</v>
      </c>
      <c r="BQ15" s="40">
        <v>778</v>
      </c>
      <c r="BR15" s="37">
        <f t="shared" si="60"/>
        <v>500</v>
      </c>
      <c r="BS15" s="37">
        <v>82651.850000000006</v>
      </c>
      <c r="BT15" s="37">
        <f t="shared" si="23"/>
        <v>192.8700000000099</v>
      </c>
      <c r="BU15" s="42">
        <v>2083255</v>
      </c>
      <c r="BV15" s="42"/>
      <c r="BW15" s="37">
        <f t="shared" si="24"/>
        <v>7681</v>
      </c>
      <c r="BX15" s="37">
        <f>IF(BW15&lt;=0,0,(BW15/SQRT(BW15^2+(BV15-BV14)^2)))</f>
        <v>1</v>
      </c>
      <c r="BY15" s="43">
        <v>296.47579999999999</v>
      </c>
      <c r="BZ15" s="37"/>
      <c r="CA15" s="37">
        <f t="shared" si="25"/>
        <v>760.60000000001082</v>
      </c>
      <c r="CB15" s="37">
        <f t="shared" si="61"/>
        <v>1</v>
      </c>
      <c r="CC15" s="37">
        <v>491564.6</v>
      </c>
      <c r="CD15" s="37">
        <f t="shared" si="26"/>
        <v>1252</v>
      </c>
      <c r="CE15" s="37">
        <v>714792.6</v>
      </c>
      <c r="CF15" s="37">
        <f t="shared" si="62"/>
        <v>6315.0999999999767</v>
      </c>
      <c r="CG15" s="37">
        <v>64506.8</v>
      </c>
      <c r="CH15" s="37">
        <f t="shared" si="63"/>
        <v>0</v>
      </c>
      <c r="CI15" s="40">
        <v>11350.29</v>
      </c>
      <c r="CJ15" s="40"/>
      <c r="CK15" s="37">
        <f t="shared" si="64"/>
        <v>15533.660000001153</v>
      </c>
      <c r="CL15" s="37">
        <f t="shared" si="27"/>
        <v>1</v>
      </c>
      <c r="CM15" s="37">
        <v>3020.5630000000001</v>
      </c>
      <c r="CN15" s="37"/>
      <c r="CO15" s="37">
        <f t="shared" si="28"/>
        <v>7421.2600000002076</v>
      </c>
      <c r="CP15" s="37">
        <f>IF(CO15&lt;=0,0,(CO15/SQRT(CO15^2+(CN15-CN14)^2)))</f>
        <v>1</v>
      </c>
      <c r="CQ15" s="39">
        <v>2906.107</v>
      </c>
      <c r="CR15" s="45"/>
      <c r="CS15" s="37">
        <f t="shared" si="29"/>
        <v>5695.2600000000948</v>
      </c>
      <c r="CT15" s="37">
        <f>IF(CS15&lt;=0,0,(CS15/SQRT(CS15^2+(CR15-CR14)^2)))</f>
        <v>1</v>
      </c>
      <c r="CU15" s="37">
        <v>2537447</v>
      </c>
      <c r="CV15" s="37"/>
      <c r="CW15" s="38">
        <f t="shared" si="30"/>
        <v>16345</v>
      </c>
      <c r="CX15" s="37">
        <f t="shared" si="106"/>
        <v>1</v>
      </c>
      <c r="CY15" s="37">
        <v>1328414</v>
      </c>
      <c r="CZ15" s="37"/>
      <c r="DA15" s="37">
        <f t="shared" si="31"/>
        <v>5286</v>
      </c>
      <c r="DB15" s="37">
        <f>IF(DA15&lt;=0,0,(DA15/SQRT(DA15^2+(CZ15-CZ14)^2)))</f>
        <v>1</v>
      </c>
      <c r="DC15" s="37"/>
      <c r="DD15" s="40"/>
      <c r="DE15" s="37">
        <f t="shared" si="32"/>
        <v>0</v>
      </c>
      <c r="DF15" s="37">
        <f>IF(DE15&lt;=0,0,(DE15/SQRT(DE15^2+(DD15-DD14)^2)))</f>
        <v>0</v>
      </c>
      <c r="DG15" s="37">
        <f t="shared" si="33"/>
        <v>-57962.180000001455</v>
      </c>
      <c r="DH15" s="37">
        <f t="shared" si="34"/>
        <v>353624.25999999995</v>
      </c>
      <c r="DI15" s="46"/>
      <c r="DJ15" s="46"/>
      <c r="DK15" s="47"/>
      <c r="DL15" s="47"/>
      <c r="DM15" s="37"/>
      <c r="DN15" s="37"/>
      <c r="DO15" s="37"/>
      <c r="DP15" s="37"/>
      <c r="DQ15" s="50">
        <v>2868900</v>
      </c>
      <c r="DR15" s="49">
        <f t="shared" si="65"/>
        <v>8000</v>
      </c>
      <c r="DS15" s="50">
        <v>2417700</v>
      </c>
      <c r="DT15" s="49">
        <f t="shared" si="66"/>
        <v>18800</v>
      </c>
      <c r="DU15" s="52">
        <v>7660.7</v>
      </c>
      <c r="DV15" s="52">
        <v>4282.8999999999996</v>
      </c>
      <c r="DW15" s="37">
        <f t="shared" si="108"/>
        <v>4800.0000000001819</v>
      </c>
      <c r="DX15" s="52">
        <v>12676</v>
      </c>
      <c r="DY15" s="52">
        <v>8304.2000000000007</v>
      </c>
      <c r="DZ15" s="37">
        <f t="shared" si="35"/>
        <v>8324.26</v>
      </c>
      <c r="EA15" s="49">
        <v>28421</v>
      </c>
      <c r="EB15" s="49">
        <v>20.097000000000001</v>
      </c>
      <c r="EC15" s="37">
        <f t="shared" si="36"/>
        <v>26484.26</v>
      </c>
      <c r="ED15" s="53">
        <f t="shared" si="37"/>
        <v>39608.520000000179</v>
      </c>
      <c r="EE15" s="49">
        <v>43584</v>
      </c>
      <c r="EF15" s="49">
        <v>27.809000000000001</v>
      </c>
      <c r="EG15" s="37">
        <f t="shared" si="38"/>
        <v>4484.26</v>
      </c>
      <c r="EH15" s="52">
        <v>12307</v>
      </c>
      <c r="EI15" s="52">
        <v>1.647</v>
      </c>
      <c r="EJ15" s="37">
        <f t="shared" si="39"/>
        <v>4324.26</v>
      </c>
      <c r="EK15" s="37">
        <v>745.22</v>
      </c>
      <c r="EL15" s="40">
        <v>1069.0999999999999</v>
      </c>
      <c r="EM15" s="37">
        <f t="shared" si="67"/>
        <v>29.999999999972715</v>
      </c>
      <c r="EN15" s="54">
        <f t="shared" si="68"/>
        <v>8838.5199999999732</v>
      </c>
      <c r="EO15" s="48">
        <v>12402</v>
      </c>
      <c r="EP15" s="48">
        <v>4318.2</v>
      </c>
      <c r="EQ15" s="37">
        <f t="shared" si="69"/>
        <v>8214.2600000000148</v>
      </c>
      <c r="ER15" s="48">
        <v>8256</v>
      </c>
      <c r="ES15" s="48">
        <v>3360.1</v>
      </c>
      <c r="ET15" s="49">
        <f>IF((ER15-ER14)&lt;=0,0,(ER15-ER14))*1000</f>
        <v>11500</v>
      </c>
      <c r="EU15" s="48">
        <v>2992.9</v>
      </c>
      <c r="EV15" s="48">
        <v>1069.5999999999999</v>
      </c>
      <c r="EW15" s="49">
        <f t="shared" si="41"/>
        <v>8924.2599999999093</v>
      </c>
      <c r="EX15" s="48">
        <v>12620</v>
      </c>
      <c r="EY15" s="48">
        <v>1.3743000000000001</v>
      </c>
      <c r="EZ15" s="37">
        <f t="shared" si="42"/>
        <v>12324.26</v>
      </c>
      <c r="FA15" s="48">
        <f t="shared" si="70"/>
        <v>-19398.779999999926</v>
      </c>
      <c r="FB15" s="48">
        <v>34877491</v>
      </c>
      <c r="FC15" s="49">
        <f>IF((FB15-FB14)&lt;=0,0,(FB15-FB14))</f>
        <v>21564</v>
      </c>
      <c r="FD15" s="48">
        <f t="shared" si="71"/>
        <v>42962.779999999926</v>
      </c>
      <c r="FE15" s="48">
        <v>16356</v>
      </c>
      <c r="FF15" s="48">
        <v>5850.7</v>
      </c>
      <c r="FG15" s="37">
        <f t="shared" si="72"/>
        <v>12697.589999999986</v>
      </c>
      <c r="FH15" s="48">
        <v>7547.4</v>
      </c>
      <c r="FI15" s="48">
        <v>2.9076</v>
      </c>
      <c r="FJ15" s="49">
        <f t="shared" si="43"/>
        <v>17687.589999999454</v>
      </c>
      <c r="FK15" s="48"/>
      <c r="FL15" s="58">
        <v>-736.67</v>
      </c>
      <c r="FM15" s="48">
        <f>FT15/3</f>
        <v>-324.25666666648004</v>
      </c>
      <c r="FN15" s="48">
        <v>15681</v>
      </c>
      <c r="FO15" s="48">
        <v>0.73829999999999996</v>
      </c>
      <c r="FP15" s="37">
        <f t="shared" si="73"/>
        <v>12587.59</v>
      </c>
      <c r="FQ15" s="48">
        <v>55928</v>
      </c>
      <c r="FR15" s="48">
        <v>13.406000000000001</v>
      </c>
      <c r="FS15" s="37">
        <f t="shared" si="44"/>
        <v>42000</v>
      </c>
      <c r="FT15" s="48">
        <f t="shared" si="74"/>
        <v>-972.76999999944019</v>
      </c>
      <c r="FU15" s="48">
        <f t="shared" si="75"/>
        <v>44072.769999999349</v>
      </c>
      <c r="FV15" s="44">
        <v>3026100</v>
      </c>
      <c r="FW15" s="44">
        <v>976190</v>
      </c>
      <c r="FX15" s="37">
        <f t="shared" si="45"/>
        <v>8000</v>
      </c>
      <c r="FY15" s="56">
        <v>2967.5</v>
      </c>
      <c r="FZ15" s="56">
        <v>1.7565</v>
      </c>
      <c r="GA15" s="37">
        <f t="shared" si="46"/>
        <v>400.00000000009095</v>
      </c>
      <c r="GB15" s="56">
        <v>763.45</v>
      </c>
      <c r="GC15" s="56">
        <v>850.84</v>
      </c>
      <c r="GD15" s="37">
        <f t="shared" si="47"/>
        <v>730.00000000001819</v>
      </c>
      <c r="GE15" s="56">
        <v>9473.1</v>
      </c>
      <c r="GF15" s="56">
        <v>2.9533</v>
      </c>
      <c r="GG15" s="37">
        <f t="shared" si="48"/>
        <v>7100.0000000008185</v>
      </c>
      <c r="GH15" s="153">
        <v>1838.3</v>
      </c>
      <c r="GI15" s="162">
        <v>1559.2</v>
      </c>
      <c r="GJ15" s="38">
        <f t="shared" si="49"/>
        <v>2000</v>
      </c>
      <c r="GK15" s="162">
        <v>1430.5</v>
      </c>
      <c r="GL15" s="163">
        <v>1102.9000000000001</v>
      </c>
      <c r="GM15" s="38">
        <f t="shared" si="50"/>
        <v>1099.9999999999091</v>
      </c>
      <c r="GN15" s="57">
        <v>159010</v>
      </c>
      <c r="GO15" s="57">
        <v>138800</v>
      </c>
      <c r="GP15" s="38">
        <f t="shared" si="114"/>
        <v>10</v>
      </c>
      <c r="GQ15" s="38">
        <v>226190</v>
      </c>
      <c r="GR15" s="38">
        <v>225250</v>
      </c>
      <c r="GS15" s="38">
        <f t="shared" si="76"/>
        <v>0</v>
      </c>
      <c r="GT15" s="178"/>
      <c r="GU15" s="144">
        <f>DailyMar!B14-DailyMar!N14-DailyMar!V14-DailyMar!Y14-DailyMar!Z14-DailyMar!AA14-DailyMar!AB14-DailyMar!AC14-DailyMar!AD14-DailyMar!AE14-DailyMar!AK14-DailyMar!AO14-DailyMar!AS14-DailyMar!AY14-DailyMar!BD14+DailyMar!BU14-SUM(DailyMar!BP14:BS14)-DailyMar!BT14-DailyMar!AF14-DailyMar!AG14-DailyMar!BG14</f>
        <v>1.0000005597248673E-2</v>
      </c>
      <c r="GV15" s="59">
        <v>4863.91</v>
      </c>
      <c r="GW15" s="60">
        <f t="shared" si="51"/>
        <v>324.26066666666668</v>
      </c>
      <c r="GX15" s="61">
        <v>324.26</v>
      </c>
      <c r="GY15" s="140"/>
      <c r="GZ15" s="62"/>
      <c r="HA15" s="62"/>
      <c r="HB15" s="142"/>
      <c r="HC15" s="62"/>
      <c r="HD15" s="74"/>
      <c r="HE15" s="24">
        <f t="shared" si="52"/>
        <v>0</v>
      </c>
      <c r="HF15" s="151"/>
      <c r="HG15" s="213">
        <v>9</v>
      </c>
      <c r="HH15" s="16">
        <v>2791.4</v>
      </c>
      <c r="HI15" s="16">
        <v>1115.0999999999999</v>
      </c>
      <c r="HJ15" s="16">
        <f t="shared" ref="HJ15:HJ18" si="115">IF((HH15-HH14)&lt;=0,0,(HH15-HH14)*1000)</f>
        <v>104200.00000000028</v>
      </c>
      <c r="HK15" s="16">
        <v>1.9189000000000001</v>
      </c>
      <c r="HL15" s="16">
        <v>660.93</v>
      </c>
      <c r="HM15" s="16">
        <f>IF((HK15-HK14)&lt;=0,0,(HK15-HK14))</f>
        <v>0</v>
      </c>
      <c r="HN15" s="16">
        <v>661.72</v>
      </c>
      <c r="HO15" s="16">
        <v>292.95</v>
      </c>
      <c r="HP15" s="16">
        <f>IF((HN15-HN14)&lt;=0,0,(HN15-HN14)*1000)+IC52</f>
        <v>38050.000000000044</v>
      </c>
      <c r="HQ15" s="16">
        <v>730.12</v>
      </c>
      <c r="HR15" s="16">
        <v>338.02</v>
      </c>
      <c r="HS15" s="16">
        <f>IF((HQ15-HQ14)&lt;=0,0,(HQ15-HQ14)*1000)+IC52</f>
        <v>24249.999999999978</v>
      </c>
      <c r="HT15" s="16">
        <v>583.94000000000005</v>
      </c>
      <c r="HU15" s="16">
        <v>238.49</v>
      </c>
      <c r="HV15" s="16">
        <f>IF((HT15-HT14)&lt;=0,0,(HT15-HT14)*1000)+IC52</f>
        <v>23100</v>
      </c>
      <c r="HW15" s="16"/>
      <c r="HX15" s="16"/>
      <c r="HY15" s="128">
        <f t="shared" si="58"/>
        <v>18800</v>
      </c>
      <c r="HZ15" s="211">
        <f t="shared" si="77"/>
        <v>2.5465851649641991E-10</v>
      </c>
      <c r="IA15" s="16">
        <v>318788</v>
      </c>
      <c r="IB15" s="16">
        <v>132253</v>
      </c>
      <c r="IC15" s="16">
        <f t="shared" si="78"/>
        <v>8563</v>
      </c>
      <c r="ID15" s="16">
        <v>233.48</v>
      </c>
      <c r="IE15" s="16">
        <v>107.77</v>
      </c>
      <c r="IF15" s="16">
        <f t="shared" si="79"/>
        <v>10189.999999999998</v>
      </c>
      <c r="IG15" s="16">
        <v>63413</v>
      </c>
      <c r="IH15" s="16">
        <v>46370</v>
      </c>
      <c r="II15" s="16">
        <f t="shared" si="80"/>
        <v>2555</v>
      </c>
      <c r="IJ15" s="16">
        <v>42423</v>
      </c>
      <c r="IK15" s="16">
        <v>22430</v>
      </c>
      <c r="IL15" s="16">
        <f t="shared" si="81"/>
        <v>993</v>
      </c>
      <c r="IM15" s="16">
        <v>360353</v>
      </c>
      <c r="IN15" s="16">
        <v>146486</v>
      </c>
      <c r="IO15" s="16">
        <f t="shared" si="82"/>
        <v>23653</v>
      </c>
      <c r="IP15" s="16">
        <v>454988</v>
      </c>
      <c r="IQ15" s="16">
        <v>58042</v>
      </c>
      <c r="IR15" s="16">
        <f t="shared" si="83"/>
        <v>14614</v>
      </c>
      <c r="IS15" s="16">
        <v>17222</v>
      </c>
      <c r="IT15" s="16">
        <v>10462</v>
      </c>
      <c r="IU15" s="16">
        <f t="shared" si="84"/>
        <v>706</v>
      </c>
      <c r="IV15" s="16">
        <v>223206</v>
      </c>
      <c r="IW15" s="16">
        <v>42193.2</v>
      </c>
      <c r="IX15" s="16">
        <f t="shared" si="85"/>
        <v>7963</v>
      </c>
      <c r="IY15" s="16">
        <v>15512.8</v>
      </c>
      <c r="IZ15" s="16">
        <v>1514.4</v>
      </c>
      <c r="JA15" s="16">
        <f t="shared" si="86"/>
        <v>303.79999999999927</v>
      </c>
      <c r="JB15" s="16">
        <v>13622.1</v>
      </c>
      <c r="JC15" s="16">
        <v>1530.5</v>
      </c>
      <c r="JD15" s="16">
        <f t="shared" si="87"/>
        <v>251.10000000000036</v>
      </c>
      <c r="JE15" s="16">
        <v>314220</v>
      </c>
      <c r="JF15" s="16">
        <v>520.32000000000005</v>
      </c>
      <c r="JG15" s="16">
        <f t="shared" si="88"/>
        <v>12336</v>
      </c>
      <c r="JH15" s="16">
        <v>314234.5</v>
      </c>
      <c r="JI15" s="16">
        <v>30824.400000000001</v>
      </c>
      <c r="JJ15" s="16">
        <f t="shared" si="89"/>
        <v>11758.5</v>
      </c>
      <c r="JK15" s="16">
        <v>19553</v>
      </c>
      <c r="JL15" s="16">
        <v>16154</v>
      </c>
      <c r="JM15" s="16">
        <f t="shared" si="90"/>
        <v>623</v>
      </c>
      <c r="JN15" s="16">
        <v>197060</v>
      </c>
      <c r="JO15" s="16">
        <v>35769.9</v>
      </c>
      <c r="JP15" s="16">
        <f t="shared" si="91"/>
        <v>5209</v>
      </c>
      <c r="JQ15" s="16">
        <v>663.92</v>
      </c>
      <c r="JR15" s="16">
        <v>142</v>
      </c>
      <c r="JS15" s="16">
        <f t="shared" si="92"/>
        <v>26.240000000000009</v>
      </c>
      <c r="JT15" s="16">
        <v>9676.5</v>
      </c>
      <c r="JU15" s="16">
        <v>740.15</v>
      </c>
      <c r="JV15" s="16">
        <f t="shared" si="93"/>
        <v>243.5</v>
      </c>
      <c r="JX15" s="151">
        <f t="shared" si="94"/>
        <v>2.5465851649641991E-10</v>
      </c>
    </row>
    <row r="16" spans="1:284" x14ac:dyDescent="0.25">
      <c r="A16" s="35">
        <f t="shared" si="0"/>
        <v>10</v>
      </c>
      <c r="B16" s="38">
        <v>3653.12</v>
      </c>
      <c r="C16" s="38">
        <f t="shared" si="1"/>
        <v>8.2999999999997272</v>
      </c>
      <c r="D16" s="38">
        <f t="shared" si="2"/>
        <v>265599.99999999127</v>
      </c>
      <c r="E16" s="38">
        <v>734.36</v>
      </c>
      <c r="F16" s="38">
        <f t="shared" si="113"/>
        <v>55040.000000000873</v>
      </c>
      <c r="G16" s="38">
        <f t="shared" si="4"/>
        <v>320639.99999999214</v>
      </c>
      <c r="H16" s="37"/>
      <c r="I16" s="39"/>
      <c r="J16" s="42"/>
      <c r="K16" s="37">
        <f t="shared" si="95"/>
        <v>0</v>
      </c>
      <c r="L16" s="40">
        <v>10699400</v>
      </c>
      <c r="M16" s="40"/>
      <c r="N16" s="37">
        <f t="shared" si="96"/>
        <v>320000</v>
      </c>
      <c r="O16" s="37">
        <v>9972.5</v>
      </c>
      <c r="P16" s="48"/>
      <c r="Q16" s="37">
        <f t="shared" si="5"/>
        <v>12200.000000000728</v>
      </c>
      <c r="R16" s="37">
        <f t="shared" si="97"/>
        <v>1</v>
      </c>
      <c r="S16" s="37">
        <v>11123637.42</v>
      </c>
      <c r="T16" s="37">
        <f t="shared" si="6"/>
        <v>0</v>
      </c>
      <c r="U16" s="37">
        <v>1518173.85</v>
      </c>
      <c r="V16" s="37">
        <f t="shared" si="7"/>
        <v>0</v>
      </c>
      <c r="W16" s="37">
        <v>3465.2</v>
      </c>
      <c r="X16" s="37">
        <f t="shared" si="111"/>
        <v>7600.0000000007276</v>
      </c>
      <c r="Y16" s="183"/>
      <c r="Z16" s="183">
        <f t="shared" si="8"/>
        <v>0</v>
      </c>
      <c r="AA16" s="37">
        <v>531900</v>
      </c>
      <c r="AB16" s="37">
        <f t="shared" si="9"/>
        <v>4600</v>
      </c>
      <c r="AC16" s="37">
        <v>3645.7</v>
      </c>
      <c r="AD16" s="37"/>
      <c r="AE16" s="37">
        <f t="shared" si="10"/>
        <v>6899.9999999996362</v>
      </c>
      <c r="AF16" s="37">
        <f t="shared" si="98"/>
        <v>1</v>
      </c>
      <c r="AG16" s="37">
        <v>7959.6</v>
      </c>
      <c r="AH16" s="37"/>
      <c r="AI16" s="37">
        <f t="shared" si="11"/>
        <v>14819.3</v>
      </c>
      <c r="AJ16" s="37">
        <f t="shared" si="12"/>
        <v>1</v>
      </c>
      <c r="AK16" s="37">
        <f t="shared" si="13"/>
        <v>29319.300000000363</v>
      </c>
      <c r="AL16" s="42">
        <v>10023</v>
      </c>
      <c r="AM16" s="42"/>
      <c r="AN16" s="37">
        <f t="shared" si="59"/>
        <v>5489.2999999999674</v>
      </c>
      <c r="AO16" s="37">
        <f t="shared" si="99"/>
        <v>1</v>
      </c>
      <c r="AP16" s="37">
        <v>7642</v>
      </c>
      <c r="AQ16" s="37"/>
      <c r="AR16" s="37">
        <f t="shared" si="14"/>
        <v>9000</v>
      </c>
      <c r="AS16" s="37">
        <f t="shared" si="100"/>
        <v>1</v>
      </c>
      <c r="AT16" s="183"/>
      <c r="AU16" s="183">
        <f t="shared" si="15"/>
        <v>0</v>
      </c>
      <c r="AV16" s="183"/>
      <c r="AW16" s="183">
        <f t="shared" si="16"/>
        <v>0</v>
      </c>
      <c r="AX16" s="37">
        <v>455610</v>
      </c>
      <c r="AY16" s="37"/>
      <c r="AZ16" s="37">
        <f t="shared" si="17"/>
        <v>80</v>
      </c>
      <c r="BA16" s="37">
        <v>104560</v>
      </c>
      <c r="BB16" s="37"/>
      <c r="BC16" s="37">
        <f t="shared" si="18"/>
        <v>70</v>
      </c>
      <c r="BD16" s="37">
        <f t="shared" si="101"/>
        <v>14639.299999999967</v>
      </c>
      <c r="BE16" s="43">
        <v>1722.3</v>
      </c>
      <c r="BF16" s="43">
        <v>940.22</v>
      </c>
      <c r="BG16" s="37">
        <f t="shared" si="19"/>
        <v>2700.0000000000455</v>
      </c>
      <c r="BH16" s="44">
        <v>8191.9</v>
      </c>
      <c r="BI16" s="44">
        <v>5270.5</v>
      </c>
      <c r="BJ16" s="37">
        <f t="shared" si="20"/>
        <v>8899.9999999996362</v>
      </c>
      <c r="BK16" s="40">
        <v>1279460</v>
      </c>
      <c r="BL16" s="40">
        <f t="shared" si="102"/>
        <v>3990</v>
      </c>
      <c r="BM16" s="40">
        <v>820.88</v>
      </c>
      <c r="BN16" s="37">
        <f t="shared" si="21"/>
        <v>639.99999999998636</v>
      </c>
      <c r="BO16" s="186"/>
      <c r="BP16" s="183">
        <f t="shared" si="22"/>
        <v>0</v>
      </c>
      <c r="BQ16" s="40">
        <v>778.2</v>
      </c>
      <c r="BR16" s="37">
        <f t="shared" si="60"/>
        <v>200.00000000004547</v>
      </c>
      <c r="BS16" s="37">
        <v>82878.740000000005</v>
      </c>
      <c r="BT16" s="37">
        <f t="shared" si="23"/>
        <v>226.88999999999942</v>
      </c>
      <c r="BU16" s="42">
        <v>2090729</v>
      </c>
      <c r="BV16" s="42"/>
      <c r="BW16" s="37">
        <f t="shared" si="24"/>
        <v>7474</v>
      </c>
      <c r="BX16" s="37">
        <f t="shared" si="103"/>
        <v>1</v>
      </c>
      <c r="BY16" s="43">
        <v>297.2038</v>
      </c>
      <c r="BZ16" s="37"/>
      <c r="CA16" s="37">
        <f t="shared" si="25"/>
        <v>728.00000000000864</v>
      </c>
      <c r="CB16" s="37">
        <f t="shared" si="61"/>
        <v>1</v>
      </c>
      <c r="CC16" s="37">
        <v>492335</v>
      </c>
      <c r="CD16" s="37">
        <f t="shared" si="26"/>
        <v>770.40000000002328</v>
      </c>
      <c r="CE16" s="37">
        <v>721439.7</v>
      </c>
      <c r="CF16" s="37">
        <f t="shared" si="62"/>
        <v>6647.0999999999767</v>
      </c>
      <c r="CG16" s="37">
        <v>64506.8</v>
      </c>
      <c r="CH16" s="37">
        <f t="shared" si="63"/>
        <v>0</v>
      </c>
      <c r="CI16" s="40">
        <v>11367.02</v>
      </c>
      <c r="CJ16" s="40"/>
      <c r="CK16" s="37">
        <f t="shared" si="64"/>
        <v>16321.299999999554</v>
      </c>
      <c r="CL16" s="37">
        <f t="shared" si="27"/>
        <v>1</v>
      </c>
      <c r="CM16" s="37">
        <v>3029.4079999999999</v>
      </c>
      <c r="CN16" s="37"/>
      <c r="CO16" s="37">
        <f t="shared" si="28"/>
        <v>9164.2999999997992</v>
      </c>
      <c r="CP16" s="37">
        <f t="shared" si="104"/>
        <v>1</v>
      </c>
      <c r="CQ16" s="39">
        <v>2912.1439999999998</v>
      </c>
      <c r="CR16" s="45"/>
      <c r="CS16" s="37">
        <f t="shared" si="29"/>
        <v>6356.2999999998074</v>
      </c>
      <c r="CT16" s="37">
        <f t="shared" si="105"/>
        <v>1</v>
      </c>
      <c r="CU16" s="37">
        <v>2550115</v>
      </c>
      <c r="CV16" s="37"/>
      <c r="CW16" s="38">
        <f t="shared" si="30"/>
        <v>12668</v>
      </c>
      <c r="CX16" s="37">
        <f t="shared" si="106"/>
        <v>1</v>
      </c>
      <c r="CY16" s="37">
        <v>1332650</v>
      </c>
      <c r="CZ16" s="37"/>
      <c r="DA16" s="37">
        <f t="shared" si="31"/>
        <v>4236</v>
      </c>
      <c r="DB16" s="37">
        <f t="shared" si="107"/>
        <v>1</v>
      </c>
      <c r="DC16" s="37"/>
      <c r="DD16" s="40"/>
      <c r="DE16" s="37">
        <f t="shared" si="32"/>
        <v>0</v>
      </c>
      <c r="DF16" s="37">
        <f t="shared" si="112"/>
        <v>0</v>
      </c>
      <c r="DG16" s="37">
        <f t="shared" si="33"/>
        <v>-56219.899999999157</v>
      </c>
      <c r="DH16" s="37">
        <f t="shared" si="34"/>
        <v>352019.3000000004</v>
      </c>
      <c r="DI16" s="46"/>
      <c r="DJ16" s="46"/>
      <c r="DK16" s="47"/>
      <c r="DL16" s="47"/>
      <c r="DM16" s="37"/>
      <c r="DN16" s="37"/>
      <c r="DO16" s="37"/>
      <c r="DP16" s="37"/>
      <c r="DQ16" s="50">
        <v>2875600</v>
      </c>
      <c r="DR16" s="49">
        <f t="shared" si="65"/>
        <v>6700</v>
      </c>
      <c r="DS16" s="50">
        <v>2437600</v>
      </c>
      <c r="DT16" s="49">
        <f t="shared" si="66"/>
        <v>19900</v>
      </c>
      <c r="DU16" s="52">
        <v>7665.3</v>
      </c>
      <c r="DV16" s="52">
        <v>4285.7</v>
      </c>
      <c r="DW16" s="37">
        <f t="shared" si="108"/>
        <v>4600.0000000003638</v>
      </c>
      <c r="DX16" s="52">
        <v>12683</v>
      </c>
      <c r="DY16" s="52">
        <v>8305.6</v>
      </c>
      <c r="DZ16" s="37">
        <f t="shared" si="35"/>
        <v>7319.3</v>
      </c>
      <c r="EA16" s="49">
        <v>28445</v>
      </c>
      <c r="EB16" s="49">
        <v>20.108000000000001</v>
      </c>
      <c r="EC16" s="37">
        <f t="shared" si="36"/>
        <v>26479.3</v>
      </c>
      <c r="ED16" s="53">
        <f t="shared" si="37"/>
        <v>38398.600000000362</v>
      </c>
      <c r="EE16" s="49">
        <v>43586</v>
      </c>
      <c r="EF16" s="49">
        <v>27.81</v>
      </c>
      <c r="EG16" s="37">
        <f t="shared" si="38"/>
        <v>4479.3</v>
      </c>
      <c r="EH16" s="52">
        <v>12311</v>
      </c>
      <c r="EI16" s="52">
        <v>1.6476</v>
      </c>
      <c r="EJ16" s="37">
        <f t="shared" si="39"/>
        <v>4319.3</v>
      </c>
      <c r="EK16" s="37">
        <v>745.49</v>
      </c>
      <c r="EL16" s="40">
        <v>1069.3</v>
      </c>
      <c r="EM16" s="37">
        <f t="shared" si="67"/>
        <v>269.99999999998181</v>
      </c>
      <c r="EN16" s="54">
        <f t="shared" si="68"/>
        <v>9068.5999999999822</v>
      </c>
      <c r="EO16" s="48">
        <v>12413</v>
      </c>
      <c r="EP16" s="48">
        <v>4321.7</v>
      </c>
      <c r="EQ16" s="37">
        <f t="shared" si="69"/>
        <v>9154.3000000000065</v>
      </c>
      <c r="ER16" s="48">
        <v>8270.4</v>
      </c>
      <c r="ES16" s="48">
        <v>3366.3</v>
      </c>
      <c r="ET16" s="49">
        <f t="shared" ref="ET16:ET38" si="116">IF((ER16-ER15)&lt;=0,0,(ER16-ER15))*1000</f>
        <v>14399.999999999636</v>
      </c>
      <c r="EU16" s="48">
        <v>3001.7</v>
      </c>
      <c r="EV16" s="48">
        <v>1072.5999999999999</v>
      </c>
      <c r="EW16" s="49">
        <f t="shared" si="41"/>
        <v>9119.2999999997264</v>
      </c>
      <c r="EX16" s="48">
        <v>12632</v>
      </c>
      <c r="EY16" s="48">
        <v>1.3777999999999999</v>
      </c>
      <c r="EZ16" s="37">
        <f t="shared" si="42"/>
        <v>12319.3</v>
      </c>
      <c r="FA16" s="48">
        <f t="shared" si="70"/>
        <v>-21461.899999999368</v>
      </c>
      <c r="FB16" s="48">
        <v>34901022</v>
      </c>
      <c r="FC16" s="49">
        <f t="shared" si="109"/>
        <v>23531</v>
      </c>
      <c r="FD16" s="48">
        <f t="shared" si="71"/>
        <v>46992.899999999368</v>
      </c>
      <c r="FE16" s="48">
        <v>16367</v>
      </c>
      <c r="FF16" s="48">
        <v>5855.1</v>
      </c>
      <c r="FG16" s="37">
        <f t="shared" si="72"/>
        <v>12729.299999999992</v>
      </c>
      <c r="FH16" s="48">
        <v>7565.5</v>
      </c>
      <c r="FI16" s="48">
        <v>2.9146999999999998</v>
      </c>
      <c r="FJ16" s="49">
        <f t="shared" si="43"/>
        <v>17664.300000000363</v>
      </c>
      <c r="FK16" s="48"/>
      <c r="FL16" s="58">
        <v>-755</v>
      </c>
      <c r="FM16" s="48">
        <f t="shared" si="110"/>
        <v>-319.30000000011813</v>
      </c>
      <c r="FN16" s="48">
        <v>15694</v>
      </c>
      <c r="FO16" s="48">
        <v>0.74009999999999998</v>
      </c>
      <c r="FP16" s="37">
        <f t="shared" si="73"/>
        <v>12564.3</v>
      </c>
      <c r="FQ16" s="48">
        <v>55970</v>
      </c>
      <c r="FR16" s="48">
        <v>13.419</v>
      </c>
      <c r="FS16" s="37">
        <f t="shared" si="44"/>
        <v>42000</v>
      </c>
      <c r="FT16" s="48">
        <f t="shared" si="74"/>
        <v>-957.90000000035434</v>
      </c>
      <c r="FU16" s="48">
        <f t="shared" si="75"/>
        <v>44357.900000000445</v>
      </c>
      <c r="FV16" s="44">
        <v>3032800</v>
      </c>
      <c r="FW16" s="44">
        <v>978960</v>
      </c>
      <c r="FX16" s="37">
        <f t="shared" si="45"/>
        <v>6700</v>
      </c>
      <c r="FY16" s="56">
        <v>2967.8</v>
      </c>
      <c r="FZ16" s="56">
        <v>1.7568999999999999</v>
      </c>
      <c r="GA16" s="37">
        <f t="shared" si="46"/>
        <v>300.0000000001819</v>
      </c>
      <c r="GB16" s="56">
        <v>764.15</v>
      </c>
      <c r="GC16" s="56">
        <v>851.68</v>
      </c>
      <c r="GD16" s="37">
        <f t="shared" si="47"/>
        <v>699.99999999993179</v>
      </c>
      <c r="GE16" s="56">
        <v>9482.2999999999993</v>
      </c>
      <c r="GF16" s="56">
        <v>2.9594</v>
      </c>
      <c r="GG16" s="37">
        <f t="shared" si="48"/>
        <v>5799.9999999988177</v>
      </c>
      <c r="GH16" s="153">
        <v>1840.3</v>
      </c>
      <c r="GI16" s="162">
        <v>1561.1</v>
      </c>
      <c r="GJ16" s="38">
        <f t="shared" si="49"/>
        <v>2000</v>
      </c>
      <c r="GK16" s="162">
        <v>1431.9</v>
      </c>
      <c r="GL16" s="163">
        <v>1103.5</v>
      </c>
      <c r="GM16" s="38">
        <f t="shared" si="50"/>
        <v>1400.0000000000909</v>
      </c>
      <c r="GN16" s="57">
        <v>159010</v>
      </c>
      <c r="GO16" s="57">
        <v>138800</v>
      </c>
      <c r="GP16" s="38">
        <f t="shared" si="114"/>
        <v>0</v>
      </c>
      <c r="GQ16" s="38">
        <v>226150</v>
      </c>
      <c r="GR16" s="38">
        <v>225250</v>
      </c>
      <c r="GS16" s="38">
        <f t="shared" si="76"/>
        <v>0</v>
      </c>
      <c r="GT16" s="178"/>
      <c r="GU16" s="144">
        <f>DailyMar!B15-DailyMar!N15-DailyMar!V15-DailyMar!Y15-DailyMar!Z15-DailyMar!AA15-DailyMar!AB15-DailyMar!AC15-DailyMar!AD15-DailyMar!AE15-DailyMar!AK15-DailyMar!AO15-DailyMar!AS15-DailyMar!AY15-DailyMar!BD15+DailyMar!BU15-SUM(DailyMar!BP15:BS15)-DailyMar!BT15-DailyMar!AF15-DailyMar!AG15-DailyMar!BG15</f>
        <v>-6.3300831243395805E-9</v>
      </c>
      <c r="GV16" s="59">
        <v>4789.5</v>
      </c>
      <c r="GW16" s="60">
        <f t="shared" si="51"/>
        <v>319.3</v>
      </c>
      <c r="GX16" s="61">
        <v>319.3</v>
      </c>
      <c r="GY16" s="140"/>
      <c r="GZ16" s="62"/>
      <c r="HA16" s="62"/>
      <c r="HB16" s="74"/>
      <c r="HC16" s="62"/>
      <c r="HD16" s="74"/>
      <c r="HE16" s="24">
        <f t="shared" si="52"/>
        <v>0</v>
      </c>
      <c r="HF16" s="151"/>
      <c r="HG16" s="213">
        <v>10</v>
      </c>
      <c r="HH16" s="16">
        <v>2886.8</v>
      </c>
      <c r="HI16" s="16">
        <v>1149.5999999999999</v>
      </c>
      <c r="HJ16" s="16">
        <f t="shared" si="115"/>
        <v>95400.000000000087</v>
      </c>
      <c r="HK16" s="16">
        <v>1.9189000000000001</v>
      </c>
      <c r="HL16" s="16">
        <v>660.93</v>
      </c>
      <c r="HM16" s="16">
        <f t="shared" ref="HM16:HM38" si="117">IF((HK16-HK15)&lt;=0,0,(HK16-HK15))</f>
        <v>0</v>
      </c>
      <c r="HN16" s="16">
        <v>690.81</v>
      </c>
      <c r="HO16" s="16">
        <v>305.02999999999997</v>
      </c>
      <c r="HP16" s="16">
        <f>IF((HN16-HN15)&lt;=0,0,(HN16-HN15)*1000)+IC53</f>
        <v>29083.333299999918</v>
      </c>
      <c r="HQ16" s="16">
        <v>754.23</v>
      </c>
      <c r="HR16" s="16">
        <v>347.85</v>
      </c>
      <c r="HS16" s="16">
        <f t="shared" ref="HS16:HS38" si="118">IF((HQ16-HQ15)&lt;=0,0,(HQ16-HQ15)*1000)+IC53</f>
        <v>24103.333300000013</v>
      </c>
      <c r="HT16" s="16">
        <v>606.26</v>
      </c>
      <c r="HU16" s="16">
        <v>246.57</v>
      </c>
      <c r="HV16" s="16">
        <f t="shared" ref="HV16:HV38" si="119">IF((HT16-HT15)&lt;=0,0,(HT16-HT15)*1000)+IC53</f>
        <v>22313.333299999933</v>
      </c>
      <c r="HW16" s="16"/>
      <c r="HX16" s="16"/>
      <c r="HY16" s="128">
        <f>DT16</f>
        <v>19900</v>
      </c>
      <c r="HZ16" s="211">
        <f t="shared" si="77"/>
        <v>1.0000023030443117E-4</v>
      </c>
      <c r="IA16" s="16">
        <v>327008.8</v>
      </c>
      <c r="IB16" s="16">
        <v>135809.29999999999</v>
      </c>
      <c r="IC16" s="16">
        <f t="shared" si="78"/>
        <v>8220.7999999999884</v>
      </c>
      <c r="ID16" s="16">
        <v>240.7</v>
      </c>
      <c r="IE16" s="16">
        <v>111.08</v>
      </c>
      <c r="IF16" s="16">
        <f t="shared" si="79"/>
        <v>7219.9999999999991</v>
      </c>
      <c r="IG16" s="16">
        <v>65931.600000000006</v>
      </c>
      <c r="IH16" s="16">
        <v>48300.1</v>
      </c>
      <c r="II16" s="16">
        <f t="shared" si="80"/>
        <v>2518.6000000000058</v>
      </c>
      <c r="IJ16" s="16">
        <v>43407.1</v>
      </c>
      <c r="IK16" s="16">
        <v>22950.6</v>
      </c>
      <c r="IL16" s="16">
        <f t="shared" si="81"/>
        <v>984.09999999999854</v>
      </c>
      <c r="IM16" s="16">
        <v>384257.2</v>
      </c>
      <c r="IN16" s="16">
        <v>155773.1</v>
      </c>
      <c r="IO16" s="16">
        <f t="shared" si="82"/>
        <v>23904.200000000012</v>
      </c>
      <c r="IP16" s="16">
        <v>470273.4</v>
      </c>
      <c r="IQ16" s="16">
        <v>60224</v>
      </c>
      <c r="IR16" s="16">
        <f t="shared" si="83"/>
        <v>15285.400000000023</v>
      </c>
      <c r="IS16" s="16">
        <v>18045.400000000001</v>
      </c>
      <c r="IT16" s="16">
        <v>10830.2</v>
      </c>
      <c r="IU16" s="16">
        <f t="shared" si="84"/>
        <v>823.40000000000146</v>
      </c>
      <c r="IV16" s="16">
        <v>230667.9</v>
      </c>
      <c r="IW16" s="16">
        <v>43770.6</v>
      </c>
      <c r="IX16" s="16">
        <f t="shared" si="85"/>
        <v>7461.8999999999942</v>
      </c>
      <c r="IY16" s="16">
        <v>16052.28</v>
      </c>
      <c r="IZ16" s="16">
        <v>1579.76</v>
      </c>
      <c r="JA16" s="16">
        <f t="shared" si="86"/>
        <v>539.48000000000138</v>
      </c>
      <c r="JB16" s="16">
        <v>14059.45</v>
      </c>
      <c r="JC16" s="16">
        <v>1589.2</v>
      </c>
      <c r="JD16" s="16">
        <f t="shared" si="87"/>
        <v>437.35000000000036</v>
      </c>
      <c r="JE16" s="16">
        <v>326276</v>
      </c>
      <c r="JF16" s="16">
        <v>540.23860000000002</v>
      </c>
      <c r="JG16" s="16">
        <f t="shared" si="88"/>
        <v>12056</v>
      </c>
      <c r="JH16" s="16">
        <v>325835.42</v>
      </c>
      <c r="JI16" s="16">
        <v>31952.799999999999</v>
      </c>
      <c r="JJ16" s="16">
        <f t="shared" si="89"/>
        <v>11600.919999999984</v>
      </c>
      <c r="JK16" s="16">
        <v>20184.099999999999</v>
      </c>
      <c r="JL16" s="16">
        <v>16532</v>
      </c>
      <c r="JM16" s="16">
        <f t="shared" si="90"/>
        <v>631.09999999999854</v>
      </c>
      <c r="JN16" s="16">
        <v>209610.9</v>
      </c>
      <c r="JO16" s="16">
        <v>37515.599999999999</v>
      </c>
      <c r="JP16" s="16">
        <f t="shared" si="91"/>
        <v>12550.899999999994</v>
      </c>
      <c r="JQ16" s="16">
        <v>691.16</v>
      </c>
      <c r="JR16" s="16">
        <v>147.4</v>
      </c>
      <c r="JS16" s="16">
        <f t="shared" si="92"/>
        <v>27.240000000000009</v>
      </c>
      <c r="JT16" s="16">
        <v>9944.65</v>
      </c>
      <c r="JU16" s="16">
        <v>756</v>
      </c>
      <c r="JV16" s="16">
        <f t="shared" si="93"/>
        <v>268.14999999999964</v>
      </c>
      <c r="JX16" s="151">
        <f t="shared" si="94"/>
        <v>1.0000023030443117E-4</v>
      </c>
    </row>
    <row r="17" spans="1:284" x14ac:dyDescent="0.25">
      <c r="A17" s="35">
        <f t="shared" si="0"/>
        <v>11</v>
      </c>
      <c r="B17" s="38">
        <v>3659.69</v>
      </c>
      <c r="C17" s="38">
        <f t="shared" si="1"/>
        <v>6.5700000000001637</v>
      </c>
      <c r="D17" s="38">
        <f t="shared" si="2"/>
        <v>210240.00000000524</v>
      </c>
      <c r="E17" s="38">
        <v>735.74</v>
      </c>
      <c r="F17" s="38">
        <f t="shared" si="113"/>
        <v>44159.999999999854</v>
      </c>
      <c r="G17" s="38">
        <f t="shared" si="4"/>
        <v>254400.00000000509</v>
      </c>
      <c r="H17" s="37"/>
      <c r="I17" s="39"/>
      <c r="J17" s="42"/>
      <c r="K17" s="37">
        <f t="shared" si="95"/>
        <v>0</v>
      </c>
      <c r="L17" s="40">
        <v>10724700</v>
      </c>
      <c r="M17" s="40"/>
      <c r="N17" s="37">
        <f t="shared" si="96"/>
        <v>253000</v>
      </c>
      <c r="O17" s="37">
        <v>9985.1</v>
      </c>
      <c r="P17" s="37"/>
      <c r="Q17" s="37">
        <f t="shared" si="5"/>
        <v>12600.000000000364</v>
      </c>
      <c r="R17" s="37">
        <f t="shared" si="97"/>
        <v>1</v>
      </c>
      <c r="S17" s="37">
        <v>11123637.42</v>
      </c>
      <c r="T17" s="37">
        <f t="shared" si="6"/>
        <v>0</v>
      </c>
      <c r="U17" s="37">
        <v>1518173.85</v>
      </c>
      <c r="V17" s="37">
        <f>IF((U17-U16)&lt;=0,0,(U17-U16))</f>
        <v>0</v>
      </c>
      <c r="W17" s="37">
        <v>3470.8</v>
      </c>
      <c r="X17" s="37">
        <f t="shared" si="111"/>
        <v>7300.0000000003638</v>
      </c>
      <c r="Y17" s="183"/>
      <c r="Z17" s="183">
        <f t="shared" si="8"/>
        <v>0</v>
      </c>
      <c r="AA17" s="37">
        <v>537200</v>
      </c>
      <c r="AB17" s="37">
        <f t="shared" si="9"/>
        <v>5300</v>
      </c>
      <c r="AC17" s="37">
        <v>3653.3</v>
      </c>
      <c r="AD17" s="37"/>
      <c r="AE17" s="37">
        <f t="shared" si="10"/>
        <v>7600.0000000003638</v>
      </c>
      <c r="AF17" s="37">
        <f t="shared" si="98"/>
        <v>1</v>
      </c>
      <c r="AG17" s="37">
        <v>7975.8</v>
      </c>
      <c r="AH17" s="37"/>
      <c r="AI17" s="37">
        <f t="shared" si="11"/>
        <v>16241.989999999818</v>
      </c>
      <c r="AJ17" s="37">
        <f t="shared" si="12"/>
        <v>1</v>
      </c>
      <c r="AK17" s="37">
        <f t="shared" si="13"/>
        <v>31141.990000000544</v>
      </c>
      <c r="AL17" s="2">
        <v>10033.299999999999</v>
      </c>
      <c r="AM17" s="42"/>
      <c r="AN17" s="37">
        <f t="shared" si="59"/>
        <v>4881.9899999993722</v>
      </c>
      <c r="AO17" s="37">
        <f t="shared" si="99"/>
        <v>1</v>
      </c>
      <c r="AP17" s="37">
        <v>7652.1</v>
      </c>
      <c r="AQ17" s="37"/>
      <c r="AR17" s="37">
        <f t="shared" si="14"/>
        <v>10100.000000000364</v>
      </c>
      <c r="AS17" s="37">
        <f t="shared" si="100"/>
        <v>1</v>
      </c>
      <c r="AT17" s="183"/>
      <c r="AU17" s="183">
        <f t="shared" si="15"/>
        <v>0</v>
      </c>
      <c r="AV17" s="183"/>
      <c r="AW17" s="183">
        <f t="shared" si="16"/>
        <v>0</v>
      </c>
      <c r="AX17" s="37">
        <v>455970</v>
      </c>
      <c r="AY17" s="37"/>
      <c r="AZ17" s="37">
        <f t="shared" si="17"/>
        <v>360</v>
      </c>
      <c r="BA17" s="37">
        <v>104940</v>
      </c>
      <c r="BB17" s="37"/>
      <c r="BC17" s="37">
        <f t="shared" si="18"/>
        <v>380</v>
      </c>
      <c r="BD17" s="37">
        <f t="shared" si="101"/>
        <v>15721.989999999736</v>
      </c>
      <c r="BE17" s="43">
        <v>1724.9</v>
      </c>
      <c r="BF17" s="43">
        <v>941.68</v>
      </c>
      <c r="BG17" s="37">
        <f t="shared" si="19"/>
        <v>2600.0000000001364</v>
      </c>
      <c r="BH17" s="44">
        <v>8202.2999999999993</v>
      </c>
      <c r="BI17" s="44">
        <v>5277.1</v>
      </c>
      <c r="BJ17" s="37">
        <f t="shared" si="20"/>
        <v>10399.999999999636</v>
      </c>
      <c r="BK17" s="40">
        <v>1283560</v>
      </c>
      <c r="BL17" s="40">
        <f t="shared" si="102"/>
        <v>4100</v>
      </c>
      <c r="BM17" s="40">
        <v>821.54</v>
      </c>
      <c r="BN17" s="37">
        <f t="shared" si="21"/>
        <v>659.99999999996817</v>
      </c>
      <c r="BO17" s="186"/>
      <c r="BP17" s="183">
        <f t="shared" si="22"/>
        <v>0</v>
      </c>
      <c r="BQ17" s="40">
        <v>778.9</v>
      </c>
      <c r="BR17" s="37">
        <f t="shared" si="60"/>
        <v>699.99999999993179</v>
      </c>
      <c r="BS17" s="37">
        <v>83092.52</v>
      </c>
      <c r="BT17" s="37">
        <f t="shared" si="23"/>
        <v>213.77999999999884</v>
      </c>
      <c r="BU17" s="42">
        <v>2096872</v>
      </c>
      <c r="BV17" s="42"/>
      <c r="BW17" s="37">
        <f t="shared" si="24"/>
        <v>6143</v>
      </c>
      <c r="BX17" s="37">
        <f t="shared" si="103"/>
        <v>1</v>
      </c>
      <c r="BY17" s="43">
        <v>298.0231</v>
      </c>
      <c r="BZ17" s="43"/>
      <c r="CA17" s="37">
        <f>IF((BY17-BY16)&lt;=0,0,(BY17-BY16)*1000)</f>
        <v>819.29999999999836</v>
      </c>
      <c r="CB17" s="37">
        <f t="shared" si="61"/>
        <v>1</v>
      </c>
      <c r="CC17" s="37">
        <v>492335</v>
      </c>
      <c r="CD17" s="37">
        <f t="shared" si="26"/>
        <v>0</v>
      </c>
      <c r="CE17" s="37">
        <v>727451.8</v>
      </c>
      <c r="CF17" s="37">
        <f t="shared" si="62"/>
        <v>6012.1000000000931</v>
      </c>
      <c r="CG17" s="37">
        <v>64506.8</v>
      </c>
      <c r="CH17" s="37">
        <f t="shared" si="63"/>
        <v>0</v>
      </c>
      <c r="CI17" s="40">
        <v>11383.44</v>
      </c>
      <c r="CJ17" s="40"/>
      <c r="CK17" s="37">
        <f t="shared" si="64"/>
        <v>15642.690000000075</v>
      </c>
      <c r="CL17" s="37">
        <f t="shared" si="27"/>
        <v>1</v>
      </c>
      <c r="CM17" s="37">
        <v>3038.067</v>
      </c>
      <c r="CN17" s="37"/>
      <c r="CO17" s="37">
        <f t="shared" si="28"/>
        <v>8700.9900000001053</v>
      </c>
      <c r="CP17" s="37">
        <f t="shared" si="104"/>
        <v>1</v>
      </c>
      <c r="CQ17" s="39">
        <v>2918.18</v>
      </c>
      <c r="CR17" s="45"/>
      <c r="CS17" s="37">
        <f t="shared" si="29"/>
        <v>6077.990000000058</v>
      </c>
      <c r="CT17" s="37">
        <f t="shared" si="105"/>
        <v>1</v>
      </c>
      <c r="CU17" s="37">
        <v>2562254</v>
      </c>
      <c r="CV17" s="37"/>
      <c r="CW17" s="38">
        <f t="shared" si="30"/>
        <v>12139</v>
      </c>
      <c r="CX17" s="37">
        <f t="shared" si="106"/>
        <v>1</v>
      </c>
      <c r="CY17" s="37">
        <v>1336807</v>
      </c>
      <c r="CZ17" s="37"/>
      <c r="DA17" s="37">
        <f t="shared" si="31"/>
        <v>4157</v>
      </c>
      <c r="DB17" s="37">
        <f t="shared" si="107"/>
        <v>1</v>
      </c>
      <c r="DC17" s="37"/>
      <c r="DD17" s="40"/>
      <c r="DE17" s="37">
        <f t="shared" si="32"/>
        <v>0</v>
      </c>
      <c r="DF17" s="37">
        <f t="shared" si="112"/>
        <v>0</v>
      </c>
      <c r="DG17" s="37">
        <f t="shared" si="33"/>
        <v>-52860.670000000238</v>
      </c>
      <c r="DH17" s="37">
        <f t="shared" si="34"/>
        <v>286741.99000000069</v>
      </c>
      <c r="DI17" s="46"/>
      <c r="DJ17" s="46"/>
      <c r="DK17" s="47"/>
      <c r="DL17" s="47"/>
      <c r="DM17" s="37"/>
      <c r="DN17" s="37"/>
      <c r="DO17" s="37"/>
      <c r="DP17" s="37"/>
      <c r="DQ17" s="50">
        <v>2884000</v>
      </c>
      <c r="DR17" s="49">
        <f t="shared" si="65"/>
        <v>8400</v>
      </c>
      <c r="DS17" s="50">
        <v>2455700</v>
      </c>
      <c r="DT17" s="49">
        <f t="shared" si="66"/>
        <v>18100</v>
      </c>
      <c r="DU17" s="36">
        <v>7669.5</v>
      </c>
      <c r="DV17" s="36">
        <v>4288.3</v>
      </c>
      <c r="DW17" s="37">
        <f t="shared" si="108"/>
        <v>4199.9999999998181</v>
      </c>
      <c r="DX17" s="52">
        <v>12688</v>
      </c>
      <c r="DY17" s="52">
        <v>8306.4</v>
      </c>
      <c r="DZ17" s="37">
        <f t="shared" si="35"/>
        <v>5041.99</v>
      </c>
      <c r="EA17" s="50">
        <v>28465</v>
      </c>
      <c r="EB17" s="49">
        <v>20.117999999999999</v>
      </c>
      <c r="EC17" s="37">
        <f t="shared" si="36"/>
        <v>22201.99</v>
      </c>
      <c r="ED17" s="53">
        <f t="shared" si="37"/>
        <v>31443.979999999821</v>
      </c>
      <c r="EE17" s="49">
        <v>43589</v>
      </c>
      <c r="EF17" s="49">
        <v>27.81</v>
      </c>
      <c r="EG17" s="37">
        <f t="shared" si="38"/>
        <v>5201.99</v>
      </c>
      <c r="EH17" s="52">
        <v>12316</v>
      </c>
      <c r="EI17" s="52">
        <v>1.6484000000000001</v>
      </c>
      <c r="EJ17" s="37">
        <f t="shared" si="39"/>
        <v>5041.99</v>
      </c>
      <c r="EK17" s="37">
        <v>745.52</v>
      </c>
      <c r="EL17" s="40">
        <v>1069.3</v>
      </c>
      <c r="EM17" s="37">
        <f t="shared" si="67"/>
        <v>29.999999999972715</v>
      </c>
      <c r="EN17" s="54">
        <f t="shared" si="68"/>
        <v>10273.979999999972</v>
      </c>
      <c r="EO17" s="48">
        <v>12423</v>
      </c>
      <c r="EP17" s="48">
        <v>4325.3</v>
      </c>
      <c r="EQ17" s="37">
        <f t="shared" si="69"/>
        <v>7856.989999999998</v>
      </c>
      <c r="ER17" s="48">
        <v>8285.7999999999993</v>
      </c>
      <c r="ES17" s="48">
        <v>3373.1</v>
      </c>
      <c r="ET17" s="49">
        <f t="shared" si="116"/>
        <v>15399.999999999636</v>
      </c>
      <c r="EU17" s="48">
        <v>3010.3</v>
      </c>
      <c r="EV17" s="48">
        <v>1075.5999999999999</v>
      </c>
      <c r="EW17" s="49">
        <f t="shared" si="41"/>
        <v>8641.9900000003636</v>
      </c>
      <c r="EX17" s="48">
        <v>12645</v>
      </c>
      <c r="EY17" s="48">
        <v>1.3807</v>
      </c>
      <c r="EZ17" s="37">
        <f t="shared" si="42"/>
        <v>13041.99</v>
      </c>
      <c r="FA17" s="48">
        <f t="shared" si="70"/>
        <v>-20930.969999999998</v>
      </c>
      <c r="FB17" s="48">
        <v>34925032</v>
      </c>
      <c r="FC17" s="49">
        <f t="shared" si="109"/>
        <v>24010</v>
      </c>
      <c r="FD17" s="48">
        <f t="shared" si="71"/>
        <v>47340.970000000088</v>
      </c>
      <c r="FE17" s="48">
        <v>16378</v>
      </c>
      <c r="FF17" s="48">
        <v>5859.5</v>
      </c>
      <c r="FG17" s="37">
        <f t="shared" si="72"/>
        <v>12731.990000000002</v>
      </c>
      <c r="FH17" s="48">
        <v>7581.8</v>
      </c>
      <c r="FI17" s="48">
        <v>2.9213</v>
      </c>
      <c r="FJ17" s="49">
        <f t="shared" si="43"/>
        <v>15846.990000000182</v>
      </c>
      <c r="FK17" s="48"/>
      <c r="FL17" s="58">
        <v>-495</v>
      </c>
      <c r="FM17" s="48">
        <f t="shared" si="110"/>
        <v>-41.990000000061023</v>
      </c>
      <c r="FN17" s="48">
        <v>15707</v>
      </c>
      <c r="FO17" s="48">
        <v>0.7419</v>
      </c>
      <c r="FP17" s="37">
        <f t="shared" si="73"/>
        <v>12546.99</v>
      </c>
      <c r="FQ17" s="48">
        <v>56011</v>
      </c>
      <c r="FR17" s="48">
        <v>13.432</v>
      </c>
      <c r="FS17" s="37">
        <f t="shared" si="44"/>
        <v>41000</v>
      </c>
      <c r="FT17" s="48">
        <f t="shared" si="74"/>
        <v>-125.97000000018306</v>
      </c>
      <c r="FU17" s="48">
        <f t="shared" si="75"/>
        <v>41725.970000000088</v>
      </c>
      <c r="FV17" s="44">
        <v>3039700</v>
      </c>
      <c r="FW17" s="44">
        <v>981600</v>
      </c>
      <c r="FX17" s="37">
        <f t="shared" si="45"/>
        <v>6900</v>
      </c>
      <c r="FY17" s="56">
        <v>2968.2</v>
      </c>
      <c r="FZ17" s="56">
        <v>1.7571000000000001</v>
      </c>
      <c r="GA17" s="37">
        <f t="shared" si="46"/>
        <v>399.9999999996362</v>
      </c>
      <c r="GB17" s="56">
        <v>764.89</v>
      </c>
      <c r="GC17" s="56">
        <v>852.59</v>
      </c>
      <c r="GD17" s="37">
        <f t="shared" si="47"/>
        <v>740.00000000000909</v>
      </c>
      <c r="GE17" s="56">
        <v>9491.6</v>
      </c>
      <c r="GF17" s="56">
        <v>2.9661</v>
      </c>
      <c r="GG17" s="37">
        <f t="shared" si="48"/>
        <v>6300.0000000010914</v>
      </c>
      <c r="GH17" s="153">
        <v>1842.7</v>
      </c>
      <c r="GI17" s="162">
        <v>1563.2</v>
      </c>
      <c r="GJ17" s="38">
        <f t="shared" si="49"/>
        <v>2400.0000000000909</v>
      </c>
      <c r="GK17" s="162">
        <v>1432.5</v>
      </c>
      <c r="GL17" s="163">
        <v>1103.7</v>
      </c>
      <c r="GM17" s="38">
        <f t="shared" si="50"/>
        <v>599.99999999990905</v>
      </c>
      <c r="GN17" s="57">
        <v>159010</v>
      </c>
      <c r="GO17" s="57">
        <v>138800</v>
      </c>
      <c r="GP17" s="38">
        <f t="shared" si="114"/>
        <v>0</v>
      </c>
      <c r="GQ17" s="38">
        <v>226150</v>
      </c>
      <c r="GR17" s="38">
        <v>225250</v>
      </c>
      <c r="GS17" s="38">
        <f t="shared" si="76"/>
        <v>0</v>
      </c>
      <c r="GT17" s="178"/>
      <c r="GU17" s="144">
        <f>DailyMar!B16-DailyMar!N16-DailyMar!V16-DailyMar!Y16-DailyMar!Z16-DailyMar!AA16-DailyMar!AB16-DailyMar!AC16-DailyMar!AD16-DailyMar!AE16-DailyMar!AK16-DailyMar!AO16-DailyMar!AS16-DailyMar!AY16-DailyMar!BD16+DailyMar!BU16-SUM(DailyMar!BP16:BS16)-DailyMar!BT16-DailyMar!AF16-DailyMar!AG16-DailyMar!BG16</f>
        <v>5.0000004477624316E-2</v>
      </c>
      <c r="GV17" s="59">
        <v>629.9</v>
      </c>
      <c r="GW17" s="60">
        <f t="shared" si="51"/>
        <v>41.993333333333332</v>
      </c>
      <c r="GX17" s="61">
        <v>41.99</v>
      </c>
      <c r="GY17" s="140"/>
      <c r="GZ17" s="62"/>
      <c r="HA17" s="62"/>
      <c r="HB17" s="74"/>
      <c r="HC17" s="62"/>
      <c r="HD17" s="74"/>
      <c r="HE17" s="24">
        <f t="shared" si="52"/>
        <v>0</v>
      </c>
      <c r="HF17" s="151"/>
      <c r="HG17" s="213">
        <v>11</v>
      </c>
      <c r="HH17" s="16">
        <v>2915.2</v>
      </c>
      <c r="HI17" s="16">
        <v>1158</v>
      </c>
      <c r="HJ17" s="16">
        <f t="shared" si="115"/>
        <v>28399.999999999636</v>
      </c>
      <c r="HK17" s="16">
        <v>1.9189000000000001</v>
      </c>
      <c r="HL17" s="16">
        <v>660.93</v>
      </c>
      <c r="HM17" s="16">
        <f t="shared" si="117"/>
        <v>0</v>
      </c>
      <c r="HN17" s="16">
        <v>695.36</v>
      </c>
      <c r="HO17" s="16">
        <v>306.3</v>
      </c>
      <c r="HP17" s="16">
        <f>IF((HN17-HN16)&lt;=0,0,(HN17-HN16)*2000)+IC54</f>
        <v>7803.3000000001366</v>
      </c>
      <c r="HQ17" s="16">
        <v>756.46</v>
      </c>
      <c r="HR17" s="16">
        <v>348.74</v>
      </c>
      <c r="HS17" s="16">
        <f t="shared" si="118"/>
        <v>933.30000000001814</v>
      </c>
      <c r="HT17" s="16">
        <v>609.12</v>
      </c>
      <c r="HU17" s="16">
        <v>247.56</v>
      </c>
      <c r="HV17" s="16">
        <f t="shared" si="119"/>
        <v>1563.3000000000136</v>
      </c>
      <c r="HW17" s="16"/>
      <c r="HX17" s="16"/>
      <c r="HY17" s="128">
        <f>DT17</f>
        <v>18100</v>
      </c>
      <c r="HZ17" s="211">
        <f t="shared" si="77"/>
        <v>9.9999999467399903E-2</v>
      </c>
      <c r="IA17" s="16">
        <v>329730.09999999998</v>
      </c>
      <c r="IB17" s="16">
        <v>136210.6</v>
      </c>
      <c r="IC17" s="16">
        <f t="shared" si="78"/>
        <v>2721.2999999999884</v>
      </c>
      <c r="ID17" s="16">
        <v>241.29</v>
      </c>
      <c r="IE17" s="16">
        <v>111.45</v>
      </c>
      <c r="IF17" s="16">
        <f t="shared" si="79"/>
        <v>590.00000000000341</v>
      </c>
      <c r="IG17" s="16">
        <v>66437.5</v>
      </c>
      <c r="IH17" s="16">
        <v>48667.1</v>
      </c>
      <c r="II17" s="16">
        <f t="shared" si="80"/>
        <v>505.89999999999418</v>
      </c>
      <c r="IJ17" s="16">
        <v>44314.1</v>
      </c>
      <c r="IK17" s="16">
        <v>23493.4</v>
      </c>
      <c r="IL17" s="16">
        <f t="shared" si="81"/>
        <v>907</v>
      </c>
      <c r="IM17" s="16">
        <v>440</v>
      </c>
      <c r="IN17" s="16">
        <v>256</v>
      </c>
      <c r="IO17" s="16">
        <f t="shared" si="82"/>
        <v>0</v>
      </c>
      <c r="IP17" s="16">
        <v>471332.8</v>
      </c>
      <c r="IQ17" s="16">
        <v>60344</v>
      </c>
      <c r="IR17" s="16">
        <f t="shared" si="83"/>
        <v>1059.3999999999651</v>
      </c>
      <c r="IS17" s="16">
        <v>18400.2</v>
      </c>
      <c r="IT17" s="16">
        <v>11029</v>
      </c>
      <c r="IU17" s="16">
        <f t="shared" si="84"/>
        <v>354.79999999999927</v>
      </c>
      <c r="IV17" s="16">
        <v>231106.2</v>
      </c>
      <c r="IW17" s="16">
        <v>43888.800000000003</v>
      </c>
      <c r="IX17" s="16">
        <f t="shared" si="85"/>
        <v>438.30000000001746</v>
      </c>
      <c r="IY17" s="16">
        <v>16071.76</v>
      </c>
      <c r="IZ17" s="16">
        <v>1581.92</v>
      </c>
      <c r="JA17" s="16">
        <f t="shared" si="86"/>
        <v>19.479999999999563</v>
      </c>
      <c r="JB17" s="16">
        <v>14086.45</v>
      </c>
      <c r="JC17" s="16">
        <v>1591.6</v>
      </c>
      <c r="JD17" s="16">
        <f t="shared" si="87"/>
        <v>27</v>
      </c>
      <c r="JE17" s="16">
        <v>448</v>
      </c>
      <c r="JF17" s="16">
        <v>392</v>
      </c>
      <c r="JG17" s="16">
        <f t="shared" si="88"/>
        <v>0</v>
      </c>
      <c r="JH17" s="16">
        <v>326788.8</v>
      </c>
      <c r="JI17" s="16">
        <v>32058</v>
      </c>
      <c r="JJ17" s="16">
        <f t="shared" si="89"/>
        <v>953.38000000000466</v>
      </c>
      <c r="JK17" s="16">
        <v>20626.400000000001</v>
      </c>
      <c r="JL17" s="16">
        <v>16793.5</v>
      </c>
      <c r="JM17" s="16">
        <f t="shared" si="90"/>
        <v>442.30000000000291</v>
      </c>
      <c r="JN17" s="16">
        <v>210382.5</v>
      </c>
      <c r="JO17" s="16">
        <v>37686.6</v>
      </c>
      <c r="JP17" s="16">
        <f t="shared" si="91"/>
        <v>771.60000000000582</v>
      </c>
      <c r="JQ17" s="16">
        <v>693.68</v>
      </c>
      <c r="JR17" s="16">
        <v>148.04</v>
      </c>
      <c r="JS17" s="16">
        <f t="shared" si="92"/>
        <v>2.5199999999999818</v>
      </c>
      <c r="JT17" s="16">
        <v>9965.7999999999993</v>
      </c>
      <c r="JU17" s="16">
        <v>756.7</v>
      </c>
      <c r="JV17" s="16">
        <f t="shared" si="93"/>
        <v>21.149999999999636</v>
      </c>
      <c r="JX17" s="151">
        <f t="shared" si="94"/>
        <v>9.9999999467399903E-2</v>
      </c>
    </row>
    <row r="18" spans="1:284" x14ac:dyDescent="0.25">
      <c r="A18" s="35">
        <f t="shared" si="0"/>
        <v>12</v>
      </c>
      <c r="B18" s="38">
        <v>3667.68</v>
      </c>
      <c r="C18" s="38">
        <f t="shared" si="1"/>
        <v>7.9899999999997817</v>
      </c>
      <c r="D18" s="38">
        <f t="shared" si="2"/>
        <v>255679.99999999302</v>
      </c>
      <c r="E18" s="38">
        <v>737.31</v>
      </c>
      <c r="F18" s="38">
        <f t="shared" si="113"/>
        <v>50239.999999997963</v>
      </c>
      <c r="G18" s="38">
        <f t="shared" si="4"/>
        <v>305919.99999999098</v>
      </c>
      <c r="H18" s="37"/>
      <c r="I18" s="39"/>
      <c r="J18" s="42"/>
      <c r="K18" s="37">
        <f t="shared" si="95"/>
        <v>0</v>
      </c>
      <c r="L18" s="40">
        <v>10754900</v>
      </c>
      <c r="M18" s="40"/>
      <c r="N18" s="37">
        <f t="shared" si="96"/>
        <v>302000</v>
      </c>
      <c r="O18" s="37">
        <v>9998.1</v>
      </c>
      <c r="P18" s="37"/>
      <c r="Q18" s="37">
        <f t="shared" si="5"/>
        <v>13000</v>
      </c>
      <c r="R18" s="37">
        <f t="shared" si="97"/>
        <v>1</v>
      </c>
      <c r="S18" s="37">
        <v>11123637.42</v>
      </c>
      <c r="T18" s="37">
        <f t="shared" si="6"/>
        <v>0</v>
      </c>
      <c r="U18" s="37">
        <v>1518173.85</v>
      </c>
      <c r="V18" s="37">
        <f>IF((U18-U17)&lt;=0,0,(U18-U17))</f>
        <v>0</v>
      </c>
      <c r="W18" s="37">
        <v>3476.9</v>
      </c>
      <c r="X18" s="37">
        <f t="shared" si="111"/>
        <v>7600</v>
      </c>
      <c r="Y18" s="183"/>
      <c r="Z18" s="183">
        <f t="shared" si="8"/>
        <v>0</v>
      </c>
      <c r="AA18" s="37">
        <v>542600</v>
      </c>
      <c r="AB18" s="37">
        <f t="shared" si="9"/>
        <v>5400</v>
      </c>
      <c r="AC18" s="173">
        <v>3661.2</v>
      </c>
      <c r="AD18" s="37"/>
      <c r="AE18" s="37">
        <f t="shared" si="10"/>
        <v>7899.9999999996362</v>
      </c>
      <c r="AF18" s="37">
        <f t="shared" si="98"/>
        <v>1</v>
      </c>
      <c r="AG18" s="37">
        <v>7992.8</v>
      </c>
      <c r="AH18" s="37"/>
      <c r="AI18" s="37">
        <f t="shared" si="11"/>
        <v>17446.669999999998</v>
      </c>
      <c r="AJ18" s="37">
        <f t="shared" si="12"/>
        <v>1</v>
      </c>
      <c r="AK18" s="37">
        <f t="shared" si="13"/>
        <v>32946.669999999634</v>
      </c>
      <c r="AL18" s="48">
        <v>10043.5</v>
      </c>
      <c r="AM18" s="66"/>
      <c r="AN18" s="37">
        <f>IF((AL18-AL17)&lt;=0,0,(AL18-AL17))*1000+GX18-BL18-BN18-BP18-BR18</f>
        <v>5206.6700000006094</v>
      </c>
      <c r="AO18" s="37">
        <f t="shared" si="99"/>
        <v>1</v>
      </c>
      <c r="AP18" s="37">
        <v>7661.7</v>
      </c>
      <c r="AQ18" s="37"/>
      <c r="AR18" s="37">
        <f t="shared" si="14"/>
        <v>9599.9999999994543</v>
      </c>
      <c r="AS18" s="37">
        <f t="shared" si="100"/>
        <v>1</v>
      </c>
      <c r="AT18" s="183"/>
      <c r="AU18" s="183">
        <f t="shared" si="15"/>
        <v>0</v>
      </c>
      <c r="AV18" s="183"/>
      <c r="AW18" s="183">
        <f t="shared" si="16"/>
        <v>0</v>
      </c>
      <c r="AX18" s="37">
        <v>456420</v>
      </c>
      <c r="AY18" s="37"/>
      <c r="AZ18" s="37">
        <f t="shared" si="17"/>
        <v>450</v>
      </c>
      <c r="BA18" s="40">
        <v>105580</v>
      </c>
      <c r="BB18" s="37"/>
      <c r="BC18" s="37">
        <f t="shared" si="18"/>
        <v>640</v>
      </c>
      <c r="BD18" s="37">
        <f t="shared" si="101"/>
        <v>15896.670000000064</v>
      </c>
      <c r="BE18" s="43">
        <v>1727.5</v>
      </c>
      <c r="BF18" s="43">
        <v>943.19</v>
      </c>
      <c r="BG18" s="37">
        <f t="shared" si="19"/>
        <v>2599.9999999999091</v>
      </c>
      <c r="BH18" s="44">
        <v>8211.1</v>
      </c>
      <c r="BI18" s="44">
        <v>5282.8</v>
      </c>
      <c r="BJ18" s="37">
        <f t="shared" si="20"/>
        <v>8800.0000000010914</v>
      </c>
      <c r="BK18" s="40">
        <v>1287630</v>
      </c>
      <c r="BL18" s="40">
        <f t="shared" si="102"/>
        <v>4070</v>
      </c>
      <c r="BM18" s="40">
        <v>822.21</v>
      </c>
      <c r="BN18" s="37">
        <f t="shared" si="21"/>
        <v>670.00000000007276</v>
      </c>
      <c r="BO18" s="186"/>
      <c r="BP18" s="183">
        <f t="shared" si="22"/>
        <v>0</v>
      </c>
      <c r="BQ18" s="40">
        <v>779.6</v>
      </c>
      <c r="BR18" s="37">
        <f t="shared" si="60"/>
        <v>700.00000000004547</v>
      </c>
      <c r="BS18" s="37">
        <v>83332.2</v>
      </c>
      <c r="BT18" s="37">
        <f t="shared" si="23"/>
        <v>239.67999999999302</v>
      </c>
      <c r="BU18" s="42">
        <v>2105446</v>
      </c>
      <c r="BV18" s="42"/>
      <c r="BW18" s="37">
        <f t="shared" si="24"/>
        <v>8574</v>
      </c>
      <c r="BX18" s="37">
        <f t="shared" si="103"/>
        <v>1</v>
      </c>
      <c r="BY18" s="43">
        <v>298.75259999999997</v>
      </c>
      <c r="BZ18" s="43"/>
      <c r="CA18" s="37">
        <f>IF((BY18-BY17)&lt;=0,0,(BY18-BY17)*1000)</f>
        <v>729.49999999997317</v>
      </c>
      <c r="CB18" s="37">
        <f t="shared" si="61"/>
        <v>1</v>
      </c>
      <c r="CC18" s="37">
        <v>494920.8</v>
      </c>
      <c r="CD18" s="37">
        <f t="shared" si="26"/>
        <v>2585.7999999999884</v>
      </c>
      <c r="CE18" s="37">
        <v>733332.3</v>
      </c>
      <c r="CF18" s="37">
        <f t="shared" si="62"/>
        <v>5880.5</v>
      </c>
      <c r="CG18" s="37">
        <v>64506.8</v>
      </c>
      <c r="CH18" s="37">
        <f t="shared" si="63"/>
        <v>0</v>
      </c>
      <c r="CI18" s="40">
        <v>11400.68</v>
      </c>
      <c r="CJ18" s="40"/>
      <c r="CK18" s="37">
        <f t="shared" si="64"/>
        <v>16957.169999999805</v>
      </c>
      <c r="CL18" s="37">
        <f t="shared" si="27"/>
        <v>1</v>
      </c>
      <c r="CM18" s="37">
        <v>3046.3890000000001</v>
      </c>
      <c r="CN18" s="37"/>
      <c r="CO18" s="37">
        <f t="shared" si="28"/>
        <v>8768.6700000001165</v>
      </c>
      <c r="CP18" s="37">
        <f t="shared" si="104"/>
        <v>1</v>
      </c>
      <c r="CQ18" s="39">
        <v>2923.9549999999999</v>
      </c>
      <c r="CR18" s="39"/>
      <c r="CS18" s="37">
        <f t="shared" si="29"/>
        <v>6221.670000000091</v>
      </c>
      <c r="CT18" s="37">
        <f t="shared" si="105"/>
        <v>1</v>
      </c>
      <c r="CU18" s="37">
        <v>2571928</v>
      </c>
      <c r="CV18" s="37"/>
      <c r="CW18" s="38">
        <f t="shared" si="30"/>
        <v>9674</v>
      </c>
      <c r="CX18" s="37">
        <f t="shared" si="106"/>
        <v>1</v>
      </c>
      <c r="CY18" s="37">
        <v>1340410</v>
      </c>
      <c r="CZ18" s="37"/>
      <c r="DA18" s="37">
        <f t="shared" si="31"/>
        <v>3603</v>
      </c>
      <c r="DB18" s="37">
        <f t="shared" si="107"/>
        <v>1</v>
      </c>
      <c r="DC18" s="37"/>
      <c r="DD18" s="40"/>
      <c r="DE18" s="37">
        <f>IF((DC18-DC17)&lt;=0,0,(DC18-DC17))</f>
        <v>0</v>
      </c>
      <c r="DF18" s="37">
        <f t="shared" si="112"/>
        <v>0</v>
      </c>
      <c r="DG18" s="37">
        <f t="shared" si="33"/>
        <v>-53798.510000000009</v>
      </c>
      <c r="DH18" s="37">
        <f t="shared" si="34"/>
        <v>337546.66999999958</v>
      </c>
      <c r="DI18" s="46"/>
      <c r="DJ18" s="46"/>
      <c r="DK18" s="46"/>
      <c r="DL18" s="47"/>
      <c r="DM18" s="37"/>
      <c r="DN18" s="37"/>
      <c r="DO18" s="37"/>
      <c r="DP18" s="37"/>
      <c r="DQ18" s="50">
        <v>2892700</v>
      </c>
      <c r="DR18" s="49">
        <f t="shared" si="65"/>
        <v>8700</v>
      </c>
      <c r="DS18" s="50">
        <v>2471900</v>
      </c>
      <c r="DT18" s="49">
        <f t="shared" si="66"/>
        <v>16200</v>
      </c>
      <c r="DU18" s="52">
        <v>7674.1</v>
      </c>
      <c r="DV18" s="52">
        <v>4291.2</v>
      </c>
      <c r="DW18" s="37">
        <f t="shared" si="108"/>
        <v>4600.0000000003638</v>
      </c>
      <c r="DX18" s="52">
        <v>12694</v>
      </c>
      <c r="DY18" s="52">
        <v>8306.6</v>
      </c>
      <c r="DZ18" s="37">
        <f t="shared" si="35"/>
        <v>6446.67</v>
      </c>
      <c r="EA18" s="49">
        <v>28490</v>
      </c>
      <c r="EB18" s="49">
        <v>20.13</v>
      </c>
      <c r="EC18" s="37">
        <f t="shared" si="36"/>
        <v>27606.67</v>
      </c>
      <c r="ED18" s="53">
        <f t="shared" si="37"/>
        <v>38653.34000000036</v>
      </c>
      <c r="EE18" s="49">
        <v>43604</v>
      </c>
      <c r="EF18" s="49">
        <v>27.826000000000001</v>
      </c>
      <c r="EG18" s="37">
        <f t="shared" si="38"/>
        <v>17606.669999999998</v>
      </c>
      <c r="EH18" s="52">
        <v>12324</v>
      </c>
      <c r="EI18" s="44">
        <v>1.6496999999999999</v>
      </c>
      <c r="EJ18" s="37">
        <f t="shared" si="39"/>
        <v>8446.67</v>
      </c>
      <c r="EK18" s="37">
        <v>746.03</v>
      </c>
      <c r="EL18" s="40">
        <v>1070</v>
      </c>
      <c r="EM18" s="37">
        <f t="shared" si="67"/>
        <v>509.99999999999091</v>
      </c>
      <c r="EN18" s="54">
        <f t="shared" si="68"/>
        <v>26563.339999999989</v>
      </c>
      <c r="EO18" s="48">
        <v>12433</v>
      </c>
      <c r="EP18" s="48">
        <v>4328.6000000000004</v>
      </c>
      <c r="EQ18" s="37">
        <f t="shared" si="69"/>
        <v>8406.6699999999801</v>
      </c>
      <c r="ER18" s="48">
        <v>8298.5</v>
      </c>
      <c r="ES18" s="48">
        <v>3378.7</v>
      </c>
      <c r="ET18" s="49">
        <f t="shared" si="116"/>
        <v>12700.000000000728</v>
      </c>
      <c r="EU18" s="48">
        <v>3018.3</v>
      </c>
      <c r="EV18" s="48">
        <v>1078.3</v>
      </c>
      <c r="EW18" s="49">
        <f t="shared" si="41"/>
        <v>8446.67</v>
      </c>
      <c r="EX18" s="55">
        <v>12657</v>
      </c>
      <c r="EY18" s="48">
        <v>1.3835</v>
      </c>
      <c r="EZ18" s="37">
        <f t="shared" si="42"/>
        <v>12446.67</v>
      </c>
      <c r="FA18" s="48">
        <f t="shared" si="70"/>
        <v>-20435.010000000708</v>
      </c>
      <c r="FB18" s="48">
        <v>34946597</v>
      </c>
      <c r="FC18" s="49">
        <f>IF((FB18-FB17)&lt;=0,0,(FB18-FB17))</f>
        <v>21565</v>
      </c>
      <c r="FD18" s="48">
        <f t="shared" si="71"/>
        <v>43900.01000000057</v>
      </c>
      <c r="FE18" s="48">
        <v>16389</v>
      </c>
      <c r="FF18" s="48">
        <v>5864.1</v>
      </c>
      <c r="FG18" s="37">
        <f t="shared" si="72"/>
        <v>12992.220000000019</v>
      </c>
      <c r="FH18" s="48">
        <v>7601.2</v>
      </c>
      <c r="FI18" s="48">
        <v>2.9287999999999998</v>
      </c>
      <c r="FJ18" s="49">
        <f t="shared" si="43"/>
        <v>19352.219999999634</v>
      </c>
      <c r="FK18" s="48"/>
      <c r="FL18" s="58">
        <v>-494.45</v>
      </c>
      <c r="FM18" s="48">
        <f>FT18/3</f>
        <v>-98.886666666550809</v>
      </c>
      <c r="FN18" s="48">
        <v>15720</v>
      </c>
      <c r="FO18" s="48">
        <v>0.74350000000000005</v>
      </c>
      <c r="FP18" s="37">
        <f t="shared" si="73"/>
        <v>12952.22</v>
      </c>
      <c r="FQ18" s="48">
        <v>56056</v>
      </c>
      <c r="FR18" s="48">
        <v>13.446</v>
      </c>
      <c r="FS18" s="37">
        <f>IF((FQ18-FQ17)*1000&lt;=0,0,(FQ18-FQ17)*1000)</f>
        <v>45000</v>
      </c>
      <c r="FT18" s="48">
        <f t="shared" si="74"/>
        <v>-296.65999999965243</v>
      </c>
      <c r="FU18" s="48">
        <f t="shared" si="75"/>
        <v>46496.659999999698</v>
      </c>
      <c r="FV18" s="44">
        <v>3044600</v>
      </c>
      <c r="FW18" s="44">
        <v>983570</v>
      </c>
      <c r="FX18" s="37">
        <f t="shared" si="45"/>
        <v>4900</v>
      </c>
      <c r="FY18" s="56">
        <v>2968.5</v>
      </c>
      <c r="FZ18" s="56">
        <v>1.7573000000000001</v>
      </c>
      <c r="GA18" s="37">
        <f t="shared" si="46"/>
        <v>300.0000000001819</v>
      </c>
      <c r="GB18" s="56">
        <v>765.47</v>
      </c>
      <c r="GC18" s="56">
        <v>853.33</v>
      </c>
      <c r="GD18" s="37">
        <f t="shared" si="47"/>
        <v>580.00000000004093</v>
      </c>
      <c r="GE18" s="56">
        <v>9499</v>
      </c>
      <c r="GF18" s="56">
        <v>2.9710999999999999</v>
      </c>
      <c r="GG18" s="37">
        <f t="shared" si="48"/>
        <v>4299.9999999997272</v>
      </c>
      <c r="GH18" s="153">
        <v>1844.6</v>
      </c>
      <c r="GI18" s="162">
        <v>1564.9</v>
      </c>
      <c r="GJ18" s="38">
        <f t="shared" si="49"/>
        <v>1899.9999999998636</v>
      </c>
      <c r="GK18" s="162">
        <v>1433.7</v>
      </c>
      <c r="GL18" s="163">
        <v>1104.2</v>
      </c>
      <c r="GM18" s="38">
        <f t="shared" si="50"/>
        <v>1200.0000000000455</v>
      </c>
      <c r="GN18" s="57">
        <v>159020</v>
      </c>
      <c r="GO18" s="57">
        <v>138810</v>
      </c>
      <c r="GP18" s="38">
        <f t="shared" si="114"/>
        <v>10</v>
      </c>
      <c r="GQ18" s="38">
        <v>226150</v>
      </c>
      <c r="GR18" s="38">
        <v>225250</v>
      </c>
      <c r="GS18" s="38">
        <f t="shared" si="76"/>
        <v>0</v>
      </c>
      <c r="GT18" s="178"/>
      <c r="GU18" s="144">
        <f>DailyMar!B17-DailyMar!N17-DailyMar!V17-DailyMar!Y17-DailyMar!Z17-DailyMar!AA17-DailyMar!AB17-DailyMar!AC17-DailyMar!AD17-DailyMar!AE17-DailyMar!AK17-DailyMar!AO17-DailyMar!AS17-DailyMar!AY17-DailyMar!BD17+DailyMar!BU17-SUM(DailyMar!BP17:BS17)-DailyMar!BT17-DailyMar!AF17-DailyMar!AG17-DailyMar!BG17</f>
        <v>-1.0324583854526281E-8</v>
      </c>
      <c r="GV18" s="59">
        <v>6700.05</v>
      </c>
      <c r="GW18" s="60">
        <f t="shared" si="51"/>
        <v>446.67</v>
      </c>
      <c r="GX18" s="61">
        <v>446.67</v>
      </c>
      <c r="GY18" s="140"/>
      <c r="GZ18" s="62"/>
      <c r="HA18" s="62"/>
      <c r="HB18" s="74"/>
      <c r="HC18" s="62"/>
      <c r="HD18" s="74"/>
      <c r="HE18" s="24">
        <f t="shared" si="52"/>
        <v>0</v>
      </c>
      <c r="HF18" s="151"/>
      <c r="HG18" s="213">
        <v>12</v>
      </c>
      <c r="HH18" s="16">
        <v>2993.7</v>
      </c>
      <c r="HI18" s="16">
        <v>1187.0999999999999</v>
      </c>
      <c r="HJ18" s="16">
        <f t="shared" si="115"/>
        <v>78500</v>
      </c>
      <c r="HK18" s="16">
        <v>1.9189000000000001</v>
      </c>
      <c r="HL18" s="16">
        <v>660.93</v>
      </c>
      <c r="HM18" s="16">
        <f t="shared" si="117"/>
        <v>0</v>
      </c>
      <c r="HN18" s="16">
        <v>723.69</v>
      </c>
      <c r="HO18" s="16">
        <v>318.36</v>
      </c>
      <c r="HP18" s="16">
        <f t="shared" ref="HP18:HP32" si="120">IF((HN18-HN17)&lt;=0,0,(HN18-HN17)*2000)+IC55</f>
        <v>28490.00000000008</v>
      </c>
      <c r="HQ18" s="16">
        <v>768.1</v>
      </c>
      <c r="HR18" s="16">
        <v>354.7</v>
      </c>
      <c r="HS18" s="16">
        <f t="shared" ref="HS18:HS32" si="121">IF((HQ18-HQ17)&lt;=0,0,(HQ18-HQ17)*1000)</f>
        <v>11639.999999999985</v>
      </c>
      <c r="HT18" s="16">
        <v>631.29</v>
      </c>
      <c r="HU18" s="16">
        <v>255.79</v>
      </c>
      <c r="HV18" s="16">
        <f t="shared" ref="HV18:HV32" si="122">IF((HT18-HT17)&lt;=0,0,(HT18-HT17)*1000)</f>
        <v>22169.99999999996</v>
      </c>
      <c r="HW18" s="16"/>
      <c r="HX18" s="16"/>
      <c r="HY18" s="128">
        <f t="shared" ref="HY18:HY38" si="123">DT18</f>
        <v>16200</v>
      </c>
      <c r="HZ18" s="211">
        <f t="shared" si="77"/>
        <v>-2.5465851649641991E-11</v>
      </c>
      <c r="IA18" s="16">
        <v>337637</v>
      </c>
      <c r="IB18" s="16">
        <v>139751.29999999999</v>
      </c>
      <c r="IC18" s="16">
        <f t="shared" si="78"/>
        <v>7906.9000000000233</v>
      </c>
      <c r="ID18" s="16">
        <v>248.26</v>
      </c>
      <c r="IE18" s="16">
        <v>114.67</v>
      </c>
      <c r="IF18" s="16">
        <f t="shared" si="79"/>
        <v>6969.9999999999991</v>
      </c>
      <c r="IG18" s="16">
        <v>69051.3</v>
      </c>
      <c r="IH18" s="16">
        <v>50596.5</v>
      </c>
      <c r="II18" s="16">
        <f t="shared" si="80"/>
        <v>2613.8000000000029</v>
      </c>
      <c r="IJ18" s="16">
        <v>45267.1</v>
      </c>
      <c r="IK18" s="16">
        <v>24025.1</v>
      </c>
      <c r="IL18" s="16">
        <f t="shared" si="81"/>
        <v>953</v>
      </c>
      <c r="IM18" s="16">
        <v>1164</v>
      </c>
      <c r="IN18" s="16">
        <v>256</v>
      </c>
      <c r="IO18" s="16">
        <f t="shared" si="82"/>
        <v>724</v>
      </c>
      <c r="IP18" s="16">
        <v>478121.2</v>
      </c>
      <c r="IQ18" s="16">
        <v>61208.4</v>
      </c>
      <c r="IR18" s="16">
        <f t="shared" si="83"/>
        <v>6788.4000000000233</v>
      </c>
      <c r="IS18" s="16">
        <v>19001.7</v>
      </c>
      <c r="IT18" s="16">
        <v>11304.1</v>
      </c>
      <c r="IU18" s="16">
        <f t="shared" si="84"/>
        <v>601.5</v>
      </c>
      <c r="IV18" s="16">
        <v>235058.4</v>
      </c>
      <c r="IW18" s="16">
        <v>44564.7</v>
      </c>
      <c r="IX18" s="16">
        <f t="shared" si="85"/>
        <v>3952.1999999999825</v>
      </c>
      <c r="IY18" s="16">
        <v>16245.4</v>
      </c>
      <c r="IZ18" s="16">
        <v>1594.08</v>
      </c>
      <c r="JA18" s="16">
        <f t="shared" si="86"/>
        <v>173.63999999999942</v>
      </c>
      <c r="JB18" s="16">
        <v>14304.2</v>
      </c>
      <c r="JC18" s="16">
        <v>1610</v>
      </c>
      <c r="JD18" s="16">
        <f t="shared" si="87"/>
        <v>217.75</v>
      </c>
      <c r="JE18" s="16"/>
      <c r="JF18" s="16"/>
      <c r="JG18" s="16">
        <f t="shared" si="88"/>
        <v>0</v>
      </c>
      <c r="JH18" s="16"/>
      <c r="JI18" s="16"/>
      <c r="JJ18" s="16">
        <f t="shared" si="89"/>
        <v>0</v>
      </c>
      <c r="JK18" s="16"/>
      <c r="JL18" s="16"/>
      <c r="JM18" s="16">
        <f t="shared" si="90"/>
        <v>0</v>
      </c>
      <c r="JN18" s="16"/>
      <c r="JO18" s="16"/>
      <c r="JP18" s="16">
        <f t="shared" si="91"/>
        <v>0</v>
      </c>
      <c r="JQ18" s="16"/>
      <c r="JR18" s="16"/>
      <c r="JS18" s="16">
        <f t="shared" si="92"/>
        <v>0</v>
      </c>
      <c r="JT18" s="16"/>
      <c r="JU18" s="16"/>
      <c r="JV18" s="16">
        <f t="shared" si="93"/>
        <v>0</v>
      </c>
      <c r="JX18" s="151">
        <f t="shared" si="94"/>
        <v>-2.5465851649641991E-11</v>
      </c>
    </row>
    <row r="19" spans="1:284" x14ac:dyDescent="0.25">
      <c r="A19" s="35">
        <f t="shared" si="0"/>
        <v>13</v>
      </c>
      <c r="B19" s="38">
        <v>3676.28</v>
      </c>
      <c r="C19" s="38">
        <f t="shared" si="1"/>
        <v>8.6000000000003638</v>
      </c>
      <c r="D19" s="38">
        <f t="shared" si="2"/>
        <v>275200.00000001164</v>
      </c>
      <c r="E19" s="38">
        <v>739.08</v>
      </c>
      <c r="F19" s="38">
        <f t="shared" si="113"/>
        <v>56640.000000003056</v>
      </c>
      <c r="G19" s="38">
        <f t="shared" si="4"/>
        <v>331840.00000001467</v>
      </c>
      <c r="H19" s="37"/>
      <c r="I19" s="39"/>
      <c r="J19" s="42"/>
      <c r="K19" s="37">
        <f t="shared" si="95"/>
        <v>0</v>
      </c>
      <c r="L19" s="40">
        <v>10788000</v>
      </c>
      <c r="M19" s="40"/>
      <c r="N19" s="37">
        <f t="shared" si="96"/>
        <v>331000</v>
      </c>
      <c r="O19" s="37">
        <v>10011</v>
      </c>
      <c r="P19" s="37"/>
      <c r="Q19" s="37">
        <f t="shared" si="5"/>
        <v>12899.999999999636</v>
      </c>
      <c r="R19" s="37">
        <f t="shared" si="97"/>
        <v>1</v>
      </c>
      <c r="S19" s="37">
        <v>11123637.42</v>
      </c>
      <c r="T19" s="37">
        <f t="shared" si="6"/>
        <v>0</v>
      </c>
      <c r="U19" s="37">
        <v>1518173.85</v>
      </c>
      <c r="V19" s="37">
        <f t="shared" si="7"/>
        <v>0</v>
      </c>
      <c r="W19" s="37">
        <v>3483</v>
      </c>
      <c r="X19" s="37">
        <f t="shared" si="111"/>
        <v>7389.9999999996362</v>
      </c>
      <c r="Y19" s="183"/>
      <c r="Z19" s="183">
        <f t="shared" si="8"/>
        <v>0</v>
      </c>
      <c r="AA19" s="37">
        <v>548110</v>
      </c>
      <c r="AB19" s="37">
        <f t="shared" si="9"/>
        <v>5510</v>
      </c>
      <c r="AC19" s="37">
        <v>3669.3</v>
      </c>
      <c r="AD19" s="37"/>
      <c r="AE19" s="37">
        <f t="shared" si="10"/>
        <v>8100.0000000003638</v>
      </c>
      <c r="AF19" s="37">
        <f t="shared" si="98"/>
        <v>1</v>
      </c>
      <c r="AG19" s="37">
        <v>8010.5</v>
      </c>
      <c r="AH19" s="67"/>
      <c r="AI19" s="37">
        <f t="shared" si="11"/>
        <v>18272.889999999818</v>
      </c>
      <c r="AJ19" s="37">
        <f t="shared" si="12"/>
        <v>1</v>
      </c>
      <c r="AK19" s="37">
        <f t="shared" si="13"/>
        <v>33762.889999999818</v>
      </c>
      <c r="AL19" s="48">
        <v>10053</v>
      </c>
      <c r="AM19" s="66"/>
      <c r="AN19" s="37">
        <f t="shared" si="59"/>
        <v>4622.8900000000949</v>
      </c>
      <c r="AO19" s="37">
        <f t="shared" si="99"/>
        <v>1</v>
      </c>
      <c r="AP19" s="37">
        <v>7671.7</v>
      </c>
      <c r="AQ19" s="37"/>
      <c r="AR19" s="37">
        <f t="shared" si="14"/>
        <v>10000</v>
      </c>
      <c r="AS19" s="37">
        <f t="shared" si="100"/>
        <v>1</v>
      </c>
      <c r="AT19" s="183"/>
      <c r="AU19" s="183">
        <f t="shared" si="15"/>
        <v>0</v>
      </c>
      <c r="AV19" s="183"/>
      <c r="AW19" s="183">
        <f t="shared" si="16"/>
        <v>0</v>
      </c>
      <c r="AX19" s="37">
        <v>456545.4</v>
      </c>
      <c r="AY19" s="37"/>
      <c r="AZ19" s="37">
        <f t="shared" si="17"/>
        <v>125.40000000002328</v>
      </c>
      <c r="BA19" s="37">
        <v>105787.1</v>
      </c>
      <c r="BB19" s="37"/>
      <c r="BC19" s="37">
        <f t="shared" si="18"/>
        <v>207.10000000000582</v>
      </c>
      <c r="BD19" s="37">
        <f>AN19+AR19+AZ19+BC19</f>
        <v>14955.390000000123</v>
      </c>
      <c r="BE19" s="43">
        <v>1730.1</v>
      </c>
      <c r="BF19" s="43">
        <v>944.72</v>
      </c>
      <c r="BG19" s="37">
        <f t="shared" si="19"/>
        <v>2599.9999999999091</v>
      </c>
      <c r="BH19" s="44">
        <v>8221</v>
      </c>
      <c r="BI19" s="44">
        <v>5289.1</v>
      </c>
      <c r="BJ19" s="37">
        <f t="shared" si="20"/>
        <v>9899.9999999996362</v>
      </c>
      <c r="BK19" s="40">
        <v>1291600</v>
      </c>
      <c r="BL19" s="40">
        <f t="shared" si="102"/>
        <v>3970</v>
      </c>
      <c r="BM19" s="40">
        <v>822.88</v>
      </c>
      <c r="BN19" s="37">
        <f t="shared" si="21"/>
        <v>669.99999999995907</v>
      </c>
      <c r="BO19" s="186"/>
      <c r="BP19" s="183">
        <f t="shared" si="22"/>
        <v>0</v>
      </c>
      <c r="BQ19" s="40">
        <v>780.41</v>
      </c>
      <c r="BR19" s="37">
        <f t="shared" si="60"/>
        <v>809.99999999994543</v>
      </c>
      <c r="BS19" s="37">
        <v>83572.17</v>
      </c>
      <c r="BT19" s="37">
        <f t="shared" si="23"/>
        <v>239.97000000000116</v>
      </c>
      <c r="BU19" s="42">
        <v>2112800</v>
      </c>
      <c r="BV19" s="42"/>
      <c r="BW19" s="37">
        <f t="shared" si="24"/>
        <v>7354</v>
      </c>
      <c r="BX19" s="37">
        <f t="shared" si="103"/>
        <v>1</v>
      </c>
      <c r="BY19" s="43">
        <v>299.57</v>
      </c>
      <c r="BZ19" s="43"/>
      <c r="CA19" s="37">
        <f>IF((BY19-BY18)&lt;=0,0,(BY19-BY18)*1000)</f>
        <v>817.40000000002055</v>
      </c>
      <c r="CB19" s="37">
        <f t="shared" si="61"/>
        <v>1</v>
      </c>
      <c r="CC19" s="37">
        <v>495750</v>
      </c>
      <c r="CD19" s="37">
        <f t="shared" si="26"/>
        <v>829.20000000001164</v>
      </c>
      <c r="CE19" s="41">
        <v>739770</v>
      </c>
      <c r="CF19" s="37">
        <f t="shared" si="62"/>
        <v>6437.6999999999534</v>
      </c>
      <c r="CG19" s="37">
        <v>64507</v>
      </c>
      <c r="CH19" s="37">
        <f t="shared" si="63"/>
        <v>0.19999999999708962</v>
      </c>
      <c r="CI19" s="40">
        <v>11417</v>
      </c>
      <c r="CJ19" s="40"/>
      <c r="CK19" s="37">
        <f t="shared" si="64"/>
        <v>16075.489999999689</v>
      </c>
      <c r="CL19" s="37">
        <f t="shared" si="27"/>
        <v>1</v>
      </c>
      <c r="CM19" s="37">
        <v>3055.1</v>
      </c>
      <c r="CN19" s="37"/>
      <c r="CO19" s="37">
        <f t="shared" si="28"/>
        <v>9283.8899999997848</v>
      </c>
      <c r="CP19" s="37">
        <f t="shared" si="104"/>
        <v>1</v>
      </c>
      <c r="CQ19" s="39">
        <v>2929.8</v>
      </c>
      <c r="CR19" s="39"/>
      <c r="CS19" s="37">
        <f t="shared" si="29"/>
        <v>6417.890000000255</v>
      </c>
      <c r="CT19" s="37">
        <f t="shared" si="105"/>
        <v>1</v>
      </c>
      <c r="CU19" s="37">
        <v>2584600</v>
      </c>
      <c r="CV19" s="37"/>
      <c r="CW19" s="38">
        <f t="shared" si="30"/>
        <v>12672</v>
      </c>
      <c r="CX19" s="37">
        <f t="shared" si="106"/>
        <v>1</v>
      </c>
      <c r="CY19" s="37">
        <v>1344900</v>
      </c>
      <c r="CZ19" s="37"/>
      <c r="DA19" s="37">
        <f t="shared" si="31"/>
        <v>4490</v>
      </c>
      <c r="DB19" s="37">
        <f t="shared" si="107"/>
        <v>1</v>
      </c>
      <c r="DC19" s="37"/>
      <c r="DD19" s="40"/>
      <c r="DE19" s="37">
        <f t="shared" si="32"/>
        <v>0</v>
      </c>
      <c r="DF19" s="37">
        <f t="shared" si="112"/>
        <v>0</v>
      </c>
      <c r="DG19" s="37">
        <f t="shared" si="33"/>
        <v>-56293.269999999728</v>
      </c>
      <c r="DH19" s="37">
        <f t="shared" si="34"/>
        <v>367362.88999999972</v>
      </c>
      <c r="DI19" s="46"/>
      <c r="DJ19" s="46"/>
      <c r="DK19" s="47"/>
      <c r="DL19" s="47"/>
      <c r="DM19" s="37"/>
      <c r="DN19" s="37"/>
      <c r="DO19" s="37"/>
      <c r="DP19" s="37"/>
      <c r="DQ19" s="50">
        <v>2902100</v>
      </c>
      <c r="DR19" s="49">
        <f t="shared" si="65"/>
        <v>9400</v>
      </c>
      <c r="DS19" s="50">
        <v>2489700</v>
      </c>
      <c r="DT19" s="49">
        <f t="shared" si="66"/>
        <v>17800</v>
      </c>
      <c r="DU19" s="52">
        <v>7678.8</v>
      </c>
      <c r="DV19" s="52">
        <v>4294.1000000000004</v>
      </c>
      <c r="DW19" s="37">
        <f t="shared" si="108"/>
        <v>4699.9999999998181</v>
      </c>
      <c r="DX19" s="52">
        <v>12700</v>
      </c>
      <c r="DY19" s="52">
        <v>8306.6</v>
      </c>
      <c r="DZ19" s="37">
        <f t="shared" si="35"/>
        <v>6572.89</v>
      </c>
      <c r="EA19" s="49">
        <v>28514</v>
      </c>
      <c r="EB19" s="49">
        <v>20.141999999999999</v>
      </c>
      <c r="EC19" s="37">
        <f t="shared" si="36"/>
        <v>26732.89</v>
      </c>
      <c r="ED19" s="53">
        <f t="shared" si="37"/>
        <v>38005.779999999817</v>
      </c>
      <c r="EE19" s="49">
        <v>43631</v>
      </c>
      <c r="EF19" s="49">
        <v>27.850999999999999</v>
      </c>
      <c r="EG19" s="37">
        <f t="shared" si="38"/>
        <v>29732.89</v>
      </c>
      <c r="EH19" s="44">
        <v>12334</v>
      </c>
      <c r="EI19" s="68">
        <v>1.6511</v>
      </c>
      <c r="EJ19" s="37">
        <f t="shared" si="39"/>
        <v>10572.89</v>
      </c>
      <c r="EK19" s="37">
        <v>746.78</v>
      </c>
      <c r="EL19" s="40">
        <v>1071</v>
      </c>
      <c r="EM19" s="37">
        <f t="shared" si="67"/>
        <v>750</v>
      </c>
      <c r="EN19" s="54">
        <f t="shared" si="68"/>
        <v>41055.78</v>
      </c>
      <c r="EO19" s="48">
        <v>12442</v>
      </c>
      <c r="EP19" s="48">
        <v>4332</v>
      </c>
      <c r="EQ19" s="37">
        <f t="shared" si="69"/>
        <v>7422.8900000000222</v>
      </c>
      <c r="ER19" s="48">
        <v>8312</v>
      </c>
      <c r="ES19" s="48">
        <v>3384.8</v>
      </c>
      <c r="ET19" s="49">
        <f t="shared" si="116"/>
        <v>13500</v>
      </c>
      <c r="EU19" s="48">
        <v>3026.8</v>
      </c>
      <c r="EV19" s="48">
        <v>1081.3</v>
      </c>
      <c r="EW19" s="49">
        <f t="shared" si="41"/>
        <v>9072.89</v>
      </c>
      <c r="EX19" s="48">
        <v>12669</v>
      </c>
      <c r="EY19" s="48">
        <v>1.3865000000000001</v>
      </c>
      <c r="EZ19" s="37">
        <f t="shared" si="42"/>
        <v>12572.89</v>
      </c>
      <c r="FA19" s="48">
        <f t="shared" si="70"/>
        <v>-20086.67000000002</v>
      </c>
      <c r="FB19" s="48">
        <v>34969079</v>
      </c>
      <c r="FC19" s="49">
        <f t="shared" si="109"/>
        <v>22482</v>
      </c>
      <c r="FD19" s="48">
        <f t="shared" si="71"/>
        <v>44468.670000000115</v>
      </c>
      <c r="FE19" s="48">
        <v>16400</v>
      </c>
      <c r="FF19" s="48">
        <v>5867.6</v>
      </c>
      <c r="FG19" s="37">
        <f t="shared" si="72"/>
        <v>13172.889999999978</v>
      </c>
      <c r="FH19" s="48">
        <v>7618.7</v>
      </c>
      <c r="FI19" s="48">
        <v>2.9356</v>
      </c>
      <c r="FJ19" s="49">
        <f t="shared" si="43"/>
        <v>17522.89</v>
      </c>
      <c r="FK19" s="48"/>
      <c r="FL19" s="58">
        <v>-550</v>
      </c>
      <c r="FM19" s="48">
        <f t="shared" si="110"/>
        <v>-572.88999999999214</v>
      </c>
      <c r="FN19" s="48">
        <v>15735</v>
      </c>
      <c r="FO19" s="48">
        <v>0.74529999999999996</v>
      </c>
      <c r="FP19" s="37">
        <f t="shared" si="73"/>
        <v>15022.89</v>
      </c>
      <c r="FQ19" s="48">
        <v>56100</v>
      </c>
      <c r="FR19" s="48">
        <v>13.458</v>
      </c>
      <c r="FS19" s="37">
        <f t="shared" si="44"/>
        <v>44000</v>
      </c>
      <c r="FT19" s="48">
        <f t="shared" si="74"/>
        <v>-1718.6699999999764</v>
      </c>
      <c r="FU19" s="48">
        <f t="shared" si="75"/>
        <v>47318.669999999882</v>
      </c>
      <c r="FV19" s="44">
        <v>3050800</v>
      </c>
      <c r="FW19" s="44">
        <v>986090</v>
      </c>
      <c r="FX19" s="37">
        <f t="shared" si="45"/>
        <v>6200</v>
      </c>
      <c r="FY19" s="56">
        <v>2968.8</v>
      </c>
      <c r="FZ19" s="63">
        <v>1.7576000000000001</v>
      </c>
      <c r="GA19" s="37">
        <f t="shared" si="46"/>
        <v>300.0000000001819</v>
      </c>
      <c r="GB19" s="56">
        <v>766.1</v>
      </c>
      <c r="GC19" s="56">
        <v>854.1</v>
      </c>
      <c r="GD19" s="37">
        <f t="shared" si="47"/>
        <v>629.99999999999545</v>
      </c>
      <c r="GE19" s="56">
        <v>9508.5</v>
      </c>
      <c r="GF19" s="56">
        <v>2.9773999999999998</v>
      </c>
      <c r="GG19" s="37">
        <f t="shared" si="48"/>
        <v>6000</v>
      </c>
      <c r="GH19" s="153">
        <v>1846.5</v>
      </c>
      <c r="GI19" s="162">
        <v>1566.8</v>
      </c>
      <c r="GJ19" s="38">
        <f t="shared" si="49"/>
        <v>1900.0000000000909</v>
      </c>
      <c r="GK19" s="162">
        <v>1435.3</v>
      </c>
      <c r="GL19" s="163">
        <v>1104.9000000000001</v>
      </c>
      <c r="GM19" s="38">
        <f t="shared" si="50"/>
        <v>1599.9999999999091</v>
      </c>
      <c r="GN19" s="57">
        <v>159020</v>
      </c>
      <c r="GO19" s="57">
        <v>138810</v>
      </c>
      <c r="GP19" s="38">
        <f t="shared" si="114"/>
        <v>0</v>
      </c>
      <c r="GQ19" s="38">
        <v>226150</v>
      </c>
      <c r="GR19" s="38">
        <v>225250</v>
      </c>
      <c r="GS19" s="38">
        <f t="shared" si="76"/>
        <v>0</v>
      </c>
      <c r="GT19" s="178"/>
      <c r="GU19" s="144">
        <f>DailyMar!B18-DailyMar!N18-DailyMar!V18-DailyMar!Y18-DailyMar!Z18-DailyMar!AA18-DailyMar!AB18-DailyMar!AC18-DailyMar!AD18-DailyMar!AE18-DailyMar!AK18-DailyMar!AO18-DailyMar!AS18-DailyMar!AY18-DailyMar!BD18+DailyMar!BU18-SUM(DailyMar!BP18:BS18)-DailyMar!BT18-DailyMar!AF18-DailyMar!AG18-DailyMar!BG18</f>
        <v>5.000001541338861E-2</v>
      </c>
      <c r="GV19" s="59">
        <v>8593.4</v>
      </c>
      <c r="GW19" s="60">
        <f t="shared" si="51"/>
        <v>572.89333333333332</v>
      </c>
      <c r="GX19" s="61">
        <v>572.89</v>
      </c>
      <c r="GY19" s="140"/>
      <c r="GZ19" s="62"/>
      <c r="HA19" s="62"/>
      <c r="HB19" s="74"/>
      <c r="HC19" s="62"/>
      <c r="HD19" s="74"/>
      <c r="HE19" s="24">
        <f t="shared" si="52"/>
        <v>0</v>
      </c>
      <c r="HF19" s="151"/>
      <c r="HG19" s="213">
        <v>13</v>
      </c>
      <c r="HH19" s="16">
        <v>3090.5</v>
      </c>
      <c r="HI19" s="16">
        <v>1222.8</v>
      </c>
      <c r="HJ19" s="16">
        <f>IF((HH19-HH18)&lt;=0,0,(HH19-HH18)*1000)</f>
        <v>96800.000000000175</v>
      </c>
      <c r="HK19" s="16">
        <v>1.9189000000000001</v>
      </c>
      <c r="HL19" s="16">
        <v>660.93</v>
      </c>
      <c r="HM19" s="16">
        <f t="shared" si="117"/>
        <v>0</v>
      </c>
      <c r="HN19" s="16">
        <v>756.21</v>
      </c>
      <c r="HO19" s="16">
        <v>332.05</v>
      </c>
      <c r="HP19" s="16">
        <f t="shared" si="120"/>
        <v>33849.999999999964</v>
      </c>
      <c r="HQ19" s="16">
        <v>787.65</v>
      </c>
      <c r="HR19" s="16">
        <v>363.34</v>
      </c>
      <c r="HS19" s="16">
        <f t="shared" si="121"/>
        <v>19549.999999999956</v>
      </c>
      <c r="HT19" s="16">
        <v>656.89</v>
      </c>
      <c r="HU19" s="16">
        <v>265.04000000000002</v>
      </c>
      <c r="HV19" s="16">
        <f t="shared" si="122"/>
        <v>25600.000000000022</v>
      </c>
      <c r="HW19" s="16"/>
      <c r="HX19" s="16"/>
      <c r="HY19" s="128">
        <f t="shared" si="123"/>
        <v>17800</v>
      </c>
      <c r="HZ19" s="211">
        <f t="shared" si="77"/>
        <v>2.3283064365386963E-10</v>
      </c>
      <c r="IA19" s="16"/>
      <c r="IB19" s="16"/>
      <c r="IC19" s="16">
        <f t="shared" si="78"/>
        <v>0</v>
      </c>
      <c r="ID19" s="16"/>
      <c r="IE19" s="16"/>
      <c r="IF19" s="16">
        <f t="shared" si="79"/>
        <v>0</v>
      </c>
      <c r="IG19" s="16"/>
      <c r="IH19" s="16"/>
      <c r="II19" s="16">
        <f t="shared" si="80"/>
        <v>0</v>
      </c>
      <c r="IJ19" s="16"/>
      <c r="IK19" s="16"/>
      <c r="IL19" s="16">
        <f t="shared" si="81"/>
        <v>0</v>
      </c>
      <c r="IM19" s="16"/>
      <c r="IN19" s="16"/>
      <c r="IO19" s="16">
        <f t="shared" si="82"/>
        <v>0</v>
      </c>
      <c r="IP19" s="16"/>
      <c r="IQ19" s="16"/>
      <c r="IR19" s="16">
        <f t="shared" si="83"/>
        <v>0</v>
      </c>
      <c r="IS19" s="16"/>
      <c r="IT19" s="16"/>
      <c r="IU19" s="16">
        <f t="shared" si="84"/>
        <v>0</v>
      </c>
      <c r="IV19" s="16"/>
      <c r="IW19" s="16"/>
      <c r="IX19" s="16">
        <f t="shared" si="85"/>
        <v>0</v>
      </c>
      <c r="IY19" s="16"/>
      <c r="IZ19" s="16"/>
      <c r="JA19" s="16">
        <f t="shared" si="86"/>
        <v>0</v>
      </c>
      <c r="JB19" s="16"/>
      <c r="JC19" s="16"/>
      <c r="JD19" s="16">
        <f t="shared" si="87"/>
        <v>0</v>
      </c>
      <c r="JE19" s="16"/>
      <c r="JF19" s="16"/>
      <c r="JG19" s="16">
        <f t="shared" si="88"/>
        <v>0</v>
      </c>
      <c r="JH19" s="16"/>
      <c r="JI19" s="16"/>
      <c r="JJ19" s="16">
        <f t="shared" si="89"/>
        <v>0</v>
      </c>
      <c r="JK19" s="16"/>
      <c r="JL19" s="16"/>
      <c r="JM19" s="16">
        <f t="shared" si="90"/>
        <v>0</v>
      </c>
      <c r="JN19" s="16"/>
      <c r="JO19" s="16"/>
      <c r="JP19" s="16">
        <f t="shared" si="91"/>
        <v>0</v>
      </c>
      <c r="JQ19" s="16"/>
      <c r="JR19" s="16"/>
      <c r="JS19" s="16">
        <f t="shared" si="92"/>
        <v>0</v>
      </c>
      <c r="JT19" s="16"/>
      <c r="JU19" s="16"/>
      <c r="JV19" s="16">
        <f t="shared" si="93"/>
        <v>0</v>
      </c>
      <c r="JX19" s="151">
        <f t="shared" si="94"/>
        <v>2.3283064365386963E-10</v>
      </c>
    </row>
    <row r="20" spans="1:284" x14ac:dyDescent="0.25">
      <c r="A20" s="35">
        <f t="shared" si="0"/>
        <v>14</v>
      </c>
      <c r="B20" s="38">
        <v>3684.59</v>
      </c>
      <c r="C20" s="38">
        <f t="shared" si="1"/>
        <v>8.3099999999999454</v>
      </c>
      <c r="D20" s="38">
        <f t="shared" si="2"/>
        <v>265919.99999999825</v>
      </c>
      <c r="E20" s="38">
        <v>740.79</v>
      </c>
      <c r="F20" s="38">
        <f t="shared" si="113"/>
        <v>54719.999999997526</v>
      </c>
      <c r="G20" s="38">
        <f t="shared" si="4"/>
        <v>320639.99999999581</v>
      </c>
      <c r="H20" s="37"/>
      <c r="I20" s="39"/>
      <c r="J20" s="42"/>
      <c r="K20" s="37">
        <f t="shared" si="95"/>
        <v>0</v>
      </c>
      <c r="L20" s="40">
        <v>10819800</v>
      </c>
      <c r="M20" s="40"/>
      <c r="N20" s="37">
        <f t="shared" si="96"/>
        <v>318000</v>
      </c>
      <c r="O20" s="37">
        <v>10022.9</v>
      </c>
      <c r="P20" s="37"/>
      <c r="Q20" s="37">
        <f t="shared" si="5"/>
        <v>11899.999999999636</v>
      </c>
      <c r="R20" s="37">
        <f t="shared" si="97"/>
        <v>1</v>
      </c>
      <c r="S20" s="37">
        <v>11123637.42</v>
      </c>
      <c r="T20" s="37">
        <f t="shared" si="6"/>
        <v>0</v>
      </c>
      <c r="U20" s="37">
        <v>1518173.85</v>
      </c>
      <c r="V20" s="37">
        <f t="shared" si="7"/>
        <v>0</v>
      </c>
      <c r="W20" s="37">
        <v>3488.5</v>
      </c>
      <c r="X20" s="37">
        <f t="shared" si="111"/>
        <v>7209.9999999996362</v>
      </c>
      <c r="Y20" s="183"/>
      <c r="Z20" s="183">
        <f t="shared" si="8"/>
        <v>0</v>
      </c>
      <c r="AA20" s="37">
        <v>552800</v>
      </c>
      <c r="AB20" s="37">
        <f t="shared" si="9"/>
        <v>4690</v>
      </c>
      <c r="AC20" s="37">
        <v>3675.7</v>
      </c>
      <c r="AD20" s="37"/>
      <c r="AE20" s="37">
        <f t="shared" si="10"/>
        <v>6399.9999999996362</v>
      </c>
      <c r="AF20" s="37">
        <f t="shared" si="98"/>
        <v>1</v>
      </c>
      <c r="AG20" s="37">
        <v>8024.5</v>
      </c>
      <c r="AH20" s="67"/>
      <c r="AI20" s="37">
        <f t="shared" si="11"/>
        <v>13961.39</v>
      </c>
      <c r="AJ20" s="37">
        <f t="shared" si="12"/>
        <v>1</v>
      </c>
      <c r="AK20" s="37">
        <f t="shared" si="13"/>
        <v>27571.389999999272</v>
      </c>
      <c r="AL20" s="48">
        <v>10062.9</v>
      </c>
      <c r="AM20" s="66"/>
      <c r="AN20" s="37">
        <f t="shared" si="59"/>
        <v>4331.3899999995901</v>
      </c>
      <c r="AO20" s="37">
        <f t="shared" si="99"/>
        <v>1</v>
      </c>
      <c r="AP20" s="37">
        <v>7679.8</v>
      </c>
      <c r="AQ20" s="37"/>
      <c r="AR20" s="37">
        <f t="shared" si="14"/>
        <v>8100.0000000003638</v>
      </c>
      <c r="AS20" s="37">
        <f t="shared" si="100"/>
        <v>1</v>
      </c>
      <c r="AT20" s="183"/>
      <c r="AU20" s="183">
        <f t="shared" si="15"/>
        <v>0</v>
      </c>
      <c r="AV20" s="183"/>
      <c r="AW20" s="183">
        <f t="shared" si="16"/>
        <v>0</v>
      </c>
      <c r="AX20" s="37">
        <v>456670</v>
      </c>
      <c r="AY20" s="37"/>
      <c r="AZ20" s="37">
        <f t="shared" si="17"/>
        <v>124.59999999997672</v>
      </c>
      <c r="BA20" s="37">
        <v>105870</v>
      </c>
      <c r="BB20" s="37"/>
      <c r="BC20" s="37">
        <f t="shared" si="18"/>
        <v>82.899999999994179</v>
      </c>
      <c r="BD20" s="37">
        <f t="shared" si="101"/>
        <v>12638.889999999925</v>
      </c>
      <c r="BE20" s="43">
        <v>1732.8</v>
      </c>
      <c r="BF20" s="43">
        <v>946.31</v>
      </c>
      <c r="BG20" s="37">
        <f t="shared" si="19"/>
        <v>2700.0000000000455</v>
      </c>
      <c r="BH20" s="44">
        <v>8230.9</v>
      </c>
      <c r="BI20" s="44">
        <v>5295.3</v>
      </c>
      <c r="BJ20" s="37">
        <f t="shared" si="20"/>
        <v>9899.9999999996362</v>
      </c>
      <c r="BK20" s="40">
        <v>1295680</v>
      </c>
      <c r="BL20" s="40">
        <f t="shared" si="102"/>
        <v>4080</v>
      </c>
      <c r="BM20" s="40">
        <v>823.54</v>
      </c>
      <c r="BN20" s="37">
        <f t="shared" si="21"/>
        <v>659.99999999996817</v>
      </c>
      <c r="BO20" s="186"/>
      <c r="BP20" s="183">
        <f t="shared" si="22"/>
        <v>0</v>
      </c>
      <c r="BQ20" s="40">
        <v>781.2</v>
      </c>
      <c r="BR20" s="37">
        <f t="shared" si="60"/>
        <v>790.00000000007731</v>
      </c>
      <c r="BS20" s="37">
        <v>83792.509999999995</v>
      </c>
      <c r="BT20" s="37">
        <f t="shared" si="23"/>
        <v>220.33999999999651</v>
      </c>
      <c r="BU20" s="42">
        <v>2119652</v>
      </c>
      <c r="BV20" s="42"/>
      <c r="BW20" s="37">
        <f t="shared" si="24"/>
        <v>6852</v>
      </c>
      <c r="BX20" s="37">
        <f t="shared" si="103"/>
        <v>1</v>
      </c>
      <c r="BY20" s="43">
        <v>300.39670000000001</v>
      </c>
      <c r="BZ20" s="43"/>
      <c r="CA20" s="37">
        <f>IF((BY20-BY19)&lt;=0,0,(BY20-BY19)*1000)</f>
        <v>826.70000000001664</v>
      </c>
      <c r="CB20" s="37">
        <f t="shared" si="61"/>
        <v>1</v>
      </c>
      <c r="CC20" s="37">
        <v>496335.8</v>
      </c>
      <c r="CD20" s="37">
        <f t="shared" si="26"/>
        <v>585.79999999998836</v>
      </c>
      <c r="CE20" s="41">
        <v>745940.9</v>
      </c>
      <c r="CF20" s="37">
        <f t="shared" si="62"/>
        <v>6170.9000000000233</v>
      </c>
      <c r="CG20" s="37">
        <v>64506.8</v>
      </c>
      <c r="CH20" s="37">
        <f t="shared" si="63"/>
        <v>0</v>
      </c>
      <c r="CI20" s="40">
        <v>11433.63</v>
      </c>
      <c r="CJ20" s="40"/>
      <c r="CK20" s="37">
        <f t="shared" si="64"/>
        <v>15764.689999999182</v>
      </c>
      <c r="CL20" s="37">
        <f t="shared" si="27"/>
        <v>1</v>
      </c>
      <c r="CM20" s="37">
        <v>3063.5459999999998</v>
      </c>
      <c r="CN20" s="37"/>
      <c r="CO20" s="37">
        <f t="shared" si="28"/>
        <v>8407.3899999999121</v>
      </c>
      <c r="CP20" s="37">
        <f t="shared" si="104"/>
        <v>1</v>
      </c>
      <c r="CQ20" s="39">
        <v>2935.3919999999998</v>
      </c>
      <c r="CR20" s="39"/>
      <c r="CS20" s="37">
        <f t="shared" si="29"/>
        <v>5553.3899999996438</v>
      </c>
      <c r="CT20" s="37">
        <f t="shared" si="105"/>
        <v>1</v>
      </c>
      <c r="CU20" s="37">
        <v>2596187</v>
      </c>
      <c r="CV20" s="37"/>
      <c r="CW20" s="38">
        <f t="shared" si="30"/>
        <v>11587</v>
      </c>
      <c r="CX20" s="37">
        <f t="shared" si="106"/>
        <v>1</v>
      </c>
      <c r="CY20" s="37">
        <v>1349037</v>
      </c>
      <c r="CZ20" s="37"/>
      <c r="DA20" s="37">
        <f t="shared" si="31"/>
        <v>4137</v>
      </c>
      <c r="DB20" s="37">
        <f t="shared" si="107"/>
        <v>1</v>
      </c>
      <c r="DC20" s="37"/>
      <c r="DD20" s="40"/>
      <c r="DE20" s="37">
        <f t="shared" si="32"/>
        <v>0</v>
      </c>
      <c r="DF20" s="37">
        <f t="shared" si="112"/>
        <v>0</v>
      </c>
      <c r="DG20" s="37">
        <f t="shared" si="33"/>
        <v>-52301.469999998735</v>
      </c>
      <c r="DH20" s="37">
        <f t="shared" si="34"/>
        <v>348271.38999999932</v>
      </c>
      <c r="DI20" s="46"/>
      <c r="DJ20" s="46"/>
      <c r="DK20" s="47"/>
      <c r="DL20" s="47"/>
      <c r="DM20" s="37"/>
      <c r="DN20" s="37"/>
      <c r="DO20" s="37"/>
      <c r="DP20" s="37"/>
      <c r="DQ20" s="50">
        <v>2911200</v>
      </c>
      <c r="DR20" s="49">
        <f t="shared" si="65"/>
        <v>9100</v>
      </c>
      <c r="DS20" s="50">
        <v>2507600</v>
      </c>
      <c r="DT20" s="49">
        <f t="shared" si="66"/>
        <v>17900</v>
      </c>
      <c r="DU20" s="52">
        <v>7683.6</v>
      </c>
      <c r="DV20" s="52">
        <v>4297.2</v>
      </c>
      <c r="DW20" s="37">
        <f t="shared" si="108"/>
        <v>4800.0000000001819</v>
      </c>
      <c r="DX20" s="52">
        <v>12706</v>
      </c>
      <c r="DY20" s="52">
        <v>8306.7000000000007</v>
      </c>
      <c r="DZ20" s="37">
        <f t="shared" si="35"/>
        <v>5961.39</v>
      </c>
      <c r="EA20" s="49">
        <v>28539</v>
      </c>
      <c r="EB20" s="49">
        <v>20.154</v>
      </c>
      <c r="EC20" s="37">
        <f t="shared" si="36"/>
        <v>27121.39</v>
      </c>
      <c r="ED20" s="53">
        <f t="shared" si="37"/>
        <v>37882.780000000181</v>
      </c>
      <c r="EE20" s="49">
        <v>43662</v>
      </c>
      <c r="EF20" s="49">
        <v>27.878</v>
      </c>
      <c r="EG20" s="37">
        <f t="shared" si="38"/>
        <v>33121.39</v>
      </c>
      <c r="EH20" s="68">
        <v>12344</v>
      </c>
      <c r="EI20" s="52">
        <v>1.6523000000000001</v>
      </c>
      <c r="EJ20" s="37">
        <f t="shared" si="39"/>
        <v>9961.39</v>
      </c>
      <c r="EK20" s="37">
        <v>747.48</v>
      </c>
      <c r="EL20" s="40">
        <v>1072</v>
      </c>
      <c r="EM20" s="37">
        <f t="shared" si="67"/>
        <v>700.00000000004547</v>
      </c>
      <c r="EN20" s="54">
        <f t="shared" si="68"/>
        <v>43782.780000000042</v>
      </c>
      <c r="EO20" s="48">
        <v>12453</v>
      </c>
      <c r="EP20" s="48">
        <v>4335.5</v>
      </c>
      <c r="EQ20" s="37">
        <f t="shared" si="69"/>
        <v>8816.3899999999885</v>
      </c>
      <c r="ER20" s="48">
        <v>8326.4</v>
      </c>
      <c r="ES20" s="48">
        <v>3390.9</v>
      </c>
      <c r="ET20" s="49">
        <f t="shared" si="116"/>
        <v>14399.999999999636</v>
      </c>
      <c r="EU20" s="48">
        <v>3035</v>
      </c>
      <c r="EV20" s="48">
        <v>1084.0999999999999</v>
      </c>
      <c r="EW20" s="49">
        <f t="shared" si="41"/>
        <v>8161.3899999998184</v>
      </c>
      <c r="EX20" s="48">
        <v>12682</v>
      </c>
      <c r="EY20" s="48">
        <v>1.3897999999999999</v>
      </c>
      <c r="EZ20" s="37">
        <f t="shared" si="42"/>
        <v>12961.39</v>
      </c>
      <c r="FA20" s="48">
        <f t="shared" si="70"/>
        <v>-20974.169999999442</v>
      </c>
      <c r="FB20" s="48">
        <v>34992444</v>
      </c>
      <c r="FC20" s="49">
        <f t="shared" si="109"/>
        <v>23365</v>
      </c>
      <c r="FD20" s="48">
        <f t="shared" si="71"/>
        <v>46139.169999999402</v>
      </c>
      <c r="FE20" s="48">
        <v>16411</v>
      </c>
      <c r="FF20" s="48">
        <v>5871</v>
      </c>
      <c r="FG20" s="37">
        <f t="shared" si="72"/>
        <v>12391.39000000001</v>
      </c>
      <c r="FH20" s="48">
        <v>7636.7</v>
      </c>
      <c r="FI20" s="48">
        <v>2.9424000000000001</v>
      </c>
      <c r="FJ20" s="49">
        <f t="shared" si="43"/>
        <v>17246.39</v>
      </c>
      <c r="FK20" s="48"/>
      <c r="FL20" s="58">
        <v>-715</v>
      </c>
      <c r="FM20" s="48">
        <f t="shared" si="110"/>
        <v>38.609999999995729</v>
      </c>
      <c r="FN20" s="48">
        <v>15753</v>
      </c>
      <c r="FO20" s="48">
        <v>0.74680000000000002</v>
      </c>
      <c r="FP20" s="37">
        <f t="shared" si="73"/>
        <v>17246.39</v>
      </c>
      <c r="FQ20" s="48">
        <v>56147</v>
      </c>
      <c r="FR20" s="48">
        <v>13.47</v>
      </c>
      <c r="FS20" s="37">
        <f t="shared" si="44"/>
        <v>47000</v>
      </c>
      <c r="FT20" s="48">
        <f t="shared" si="74"/>
        <v>115.82999999998719</v>
      </c>
      <c r="FU20" s="48">
        <f t="shared" si="75"/>
        <v>48684.169999999969</v>
      </c>
      <c r="FV20" s="44">
        <v>3056900</v>
      </c>
      <c r="FW20" s="44">
        <v>988540</v>
      </c>
      <c r="FX20" s="37">
        <f t="shared" si="45"/>
        <v>6100</v>
      </c>
      <c r="FY20" s="56">
        <v>2969.1</v>
      </c>
      <c r="FZ20" s="63">
        <v>1.7579</v>
      </c>
      <c r="GA20" s="37">
        <f t="shared" si="46"/>
        <v>299.99999999972715</v>
      </c>
      <c r="GB20" s="56">
        <v>766.73</v>
      </c>
      <c r="GC20" s="56">
        <v>854.87</v>
      </c>
      <c r="GD20" s="37">
        <f t="shared" si="47"/>
        <v>629.99999999999545</v>
      </c>
      <c r="GE20" s="56">
        <v>9518.1</v>
      </c>
      <c r="GF20" s="56">
        <v>2.9836</v>
      </c>
      <c r="GG20" s="37">
        <f t="shared" si="48"/>
        <v>6000.0000000004547</v>
      </c>
      <c r="GH20" s="153">
        <v>1848.3</v>
      </c>
      <c r="GI20" s="162">
        <v>1568.5</v>
      </c>
      <c r="GJ20" s="38">
        <f t="shared" si="49"/>
        <v>1799.9999999999545</v>
      </c>
      <c r="GK20" s="162">
        <v>1437.1</v>
      </c>
      <c r="GL20" s="163">
        <v>1105.5999999999999</v>
      </c>
      <c r="GM20" s="38">
        <f t="shared" si="50"/>
        <v>1799.9999999999545</v>
      </c>
      <c r="GN20" s="57">
        <v>159020</v>
      </c>
      <c r="GO20" s="57">
        <v>138820</v>
      </c>
      <c r="GP20" s="38">
        <f t="shared" si="114"/>
        <v>0</v>
      </c>
      <c r="GQ20" s="38">
        <v>226150</v>
      </c>
      <c r="GR20" s="38">
        <v>225250</v>
      </c>
      <c r="GS20" s="38">
        <f t="shared" si="76"/>
        <v>0</v>
      </c>
      <c r="GT20" s="178"/>
      <c r="GU20" s="144">
        <f>DailyMar!B19-DailyMar!N19-DailyMar!V19-DailyMar!Y19-DailyMar!Z19-DailyMar!AA19-DailyMar!AB19-DailyMar!AC19-DailyMar!AD19-DailyMar!AE19-DailyMar!AK19-DailyMar!AO19-DailyMar!AS19-DailyMar!AY19-DailyMar!BD19+DailyMar!BU19-SUM(DailyMar!BP19:BS19)-DailyMar!BT19-DailyMar!AF19-DailyMar!AG19-DailyMar!BG19</f>
        <v>-5.0000001676380634E-2</v>
      </c>
      <c r="GV20" s="59">
        <v>-579.20000000000005</v>
      </c>
      <c r="GW20" s="60">
        <f t="shared" si="51"/>
        <v>-38.613333333333337</v>
      </c>
      <c r="GX20" s="61">
        <v>-38.61</v>
      </c>
      <c r="GY20" s="140"/>
      <c r="GZ20" s="62"/>
      <c r="HA20" s="62"/>
      <c r="HB20" s="74"/>
      <c r="HC20" s="62"/>
      <c r="HD20" s="74"/>
      <c r="HE20" s="24">
        <f t="shared" si="52"/>
        <v>0</v>
      </c>
      <c r="HF20" s="151"/>
      <c r="HG20" s="213">
        <v>14</v>
      </c>
      <c r="HH20" s="128">
        <v>3190</v>
      </c>
      <c r="HI20" s="128">
        <v>1258.5</v>
      </c>
      <c r="HJ20" s="16">
        <f>IF((HH20-HH19)&lt;=0,0,(HH20-HH19)*1000)</f>
        <v>99500</v>
      </c>
      <c r="HK20" s="16">
        <v>1.9189000000000001</v>
      </c>
      <c r="HL20" s="16">
        <v>660.93</v>
      </c>
      <c r="HM20" s="16">
        <f t="shared" si="117"/>
        <v>0</v>
      </c>
      <c r="HN20" s="16">
        <v>787.76</v>
      </c>
      <c r="HO20" s="16">
        <v>345.19</v>
      </c>
      <c r="HP20" s="16">
        <f t="shared" si="120"/>
        <v>32079.999999999913</v>
      </c>
      <c r="HQ20" s="16">
        <v>811.01</v>
      </c>
      <c r="HR20" s="16">
        <v>372.99</v>
      </c>
      <c r="HS20" s="16">
        <f t="shared" si="121"/>
        <v>23360.000000000015</v>
      </c>
      <c r="HT20" s="16">
        <v>683.05</v>
      </c>
      <c r="HU20" s="16">
        <v>274.29000000000002</v>
      </c>
      <c r="HV20" s="16">
        <f t="shared" si="122"/>
        <v>26159.999999999967</v>
      </c>
      <c r="HW20" s="16"/>
      <c r="HX20" s="16"/>
      <c r="HY20" s="128">
        <f t="shared" si="123"/>
        <v>17900</v>
      </c>
      <c r="HZ20" s="211">
        <f t="shared" si="77"/>
        <v>1.0550138540565968E-10</v>
      </c>
      <c r="IA20" s="16"/>
      <c r="IB20" s="16"/>
      <c r="IC20" s="16">
        <f t="shared" si="78"/>
        <v>0</v>
      </c>
      <c r="ID20" s="16"/>
      <c r="IE20" s="16"/>
      <c r="IF20" s="16">
        <f t="shared" si="79"/>
        <v>0</v>
      </c>
      <c r="IG20" s="16"/>
      <c r="IH20" s="16"/>
      <c r="II20" s="16">
        <f t="shared" si="80"/>
        <v>0</v>
      </c>
      <c r="IJ20" s="16"/>
      <c r="IK20" s="16"/>
      <c r="IL20" s="16">
        <f t="shared" si="81"/>
        <v>0</v>
      </c>
      <c r="IM20" s="16"/>
      <c r="IN20" s="16"/>
      <c r="IO20" s="16">
        <f t="shared" si="82"/>
        <v>0</v>
      </c>
      <c r="IP20" s="16"/>
      <c r="IQ20" s="16"/>
      <c r="IR20" s="16">
        <f t="shared" si="83"/>
        <v>0</v>
      </c>
      <c r="IS20" s="16"/>
      <c r="IT20" s="16"/>
      <c r="IU20" s="16">
        <f t="shared" si="84"/>
        <v>0</v>
      </c>
      <c r="IV20" s="16"/>
      <c r="IW20" s="16"/>
      <c r="IX20" s="16">
        <f t="shared" si="85"/>
        <v>0</v>
      </c>
      <c r="IY20" s="16"/>
      <c r="IZ20" s="16"/>
      <c r="JA20" s="16">
        <f t="shared" si="86"/>
        <v>0</v>
      </c>
      <c r="JB20" s="16"/>
      <c r="JC20" s="16"/>
      <c r="JD20" s="16">
        <f t="shared" si="87"/>
        <v>0</v>
      </c>
      <c r="JE20" s="16"/>
      <c r="JF20" s="16"/>
      <c r="JG20" s="16">
        <f t="shared" si="88"/>
        <v>0</v>
      </c>
      <c r="JH20" s="16"/>
      <c r="JI20" s="16"/>
      <c r="JJ20" s="16">
        <f t="shared" si="89"/>
        <v>0</v>
      </c>
      <c r="JK20" s="16"/>
      <c r="JL20" s="16"/>
      <c r="JM20" s="16">
        <f t="shared" si="90"/>
        <v>0</v>
      </c>
      <c r="JN20" s="16"/>
      <c r="JO20" s="16"/>
      <c r="JP20" s="16">
        <f t="shared" si="91"/>
        <v>0</v>
      </c>
      <c r="JQ20" s="16"/>
      <c r="JR20" s="16"/>
      <c r="JS20" s="16">
        <f t="shared" si="92"/>
        <v>0</v>
      </c>
      <c r="JT20" s="16"/>
      <c r="JU20" s="16"/>
      <c r="JV20" s="16">
        <f t="shared" si="93"/>
        <v>0</v>
      </c>
      <c r="JX20" s="151">
        <f t="shared" si="94"/>
        <v>1.0550138540565968E-10</v>
      </c>
    </row>
    <row r="21" spans="1:284" x14ac:dyDescent="0.25">
      <c r="A21" s="35">
        <f t="shared" si="0"/>
        <v>15</v>
      </c>
      <c r="B21" s="38">
        <v>3693.32</v>
      </c>
      <c r="C21" s="38">
        <f t="shared" si="1"/>
        <v>8.7300000000000182</v>
      </c>
      <c r="D21" s="38">
        <f t="shared" si="2"/>
        <v>279360.00000000058</v>
      </c>
      <c r="E21" s="38">
        <v>742.5</v>
      </c>
      <c r="F21" s="38">
        <f t="shared" si="113"/>
        <v>54720.000000001164</v>
      </c>
      <c r="G21" s="38">
        <f t="shared" si="4"/>
        <v>334080.00000000175</v>
      </c>
      <c r="H21" s="37"/>
      <c r="I21" s="39"/>
      <c r="J21" s="42"/>
      <c r="K21" s="37">
        <f t="shared" si="95"/>
        <v>0</v>
      </c>
      <c r="L21" s="40">
        <v>10853300</v>
      </c>
      <c r="M21" s="40"/>
      <c r="N21" s="37">
        <f t="shared" si="96"/>
        <v>335000</v>
      </c>
      <c r="O21" s="37">
        <v>10036.200000000001</v>
      </c>
      <c r="P21" s="37"/>
      <c r="Q21" s="37">
        <f t="shared" si="5"/>
        <v>13300.000000001091</v>
      </c>
      <c r="R21" s="37">
        <f t="shared" si="97"/>
        <v>1</v>
      </c>
      <c r="S21" s="37">
        <v>11123637.42</v>
      </c>
      <c r="T21" s="37">
        <f t="shared" si="6"/>
        <v>0</v>
      </c>
      <c r="U21" s="37">
        <v>1518173.85</v>
      </c>
      <c r="V21" s="37">
        <f t="shared" si="7"/>
        <v>0</v>
      </c>
      <c r="W21" s="37">
        <v>3494.8</v>
      </c>
      <c r="X21" s="37">
        <f t="shared" si="111"/>
        <v>8000.0000000010914</v>
      </c>
      <c r="Y21" s="183"/>
      <c r="Z21" s="183">
        <f t="shared" si="8"/>
        <v>0</v>
      </c>
      <c r="AA21" s="37">
        <v>558100</v>
      </c>
      <c r="AB21" s="37">
        <f t="shared" si="9"/>
        <v>5300</v>
      </c>
      <c r="AC21" s="37">
        <v>3683.9</v>
      </c>
      <c r="AD21" s="37"/>
      <c r="AE21" s="37">
        <f t="shared" si="10"/>
        <v>8200.0000000002728</v>
      </c>
      <c r="AF21" s="37">
        <f t="shared" si="98"/>
        <v>1</v>
      </c>
      <c r="AG21" s="37">
        <v>8042.9</v>
      </c>
      <c r="AH21" s="67"/>
      <c r="AI21" s="37">
        <f t="shared" si="11"/>
        <v>18601.899999999638</v>
      </c>
      <c r="AJ21" s="37">
        <f t="shared" si="12"/>
        <v>1</v>
      </c>
      <c r="AK21" s="37">
        <f t="shared" si="13"/>
        <v>34801.900000000998</v>
      </c>
      <c r="AL21" s="42">
        <v>10072.799999999999</v>
      </c>
      <c r="AM21" s="42"/>
      <c r="AN21" s="37">
        <f t="shared" si="59"/>
        <v>4711.8999999996631</v>
      </c>
      <c r="AO21" s="37">
        <f t="shared" si="99"/>
        <v>1</v>
      </c>
      <c r="AP21" s="37">
        <v>7690</v>
      </c>
      <c r="AQ21" s="37"/>
      <c r="AR21" s="37">
        <f t="shared" si="14"/>
        <v>10199.999999999818</v>
      </c>
      <c r="AS21" s="37">
        <f t="shared" si="100"/>
        <v>1</v>
      </c>
      <c r="AT21" s="183"/>
      <c r="AU21" s="183">
        <f t="shared" si="15"/>
        <v>0</v>
      </c>
      <c r="AV21" s="183"/>
      <c r="AW21" s="183">
        <f t="shared" si="16"/>
        <v>0</v>
      </c>
      <c r="AX21" s="37">
        <v>456780</v>
      </c>
      <c r="AY21" s="37"/>
      <c r="AZ21" s="37">
        <f t="shared" si="17"/>
        <v>110</v>
      </c>
      <c r="BA21" s="37">
        <v>105970</v>
      </c>
      <c r="BB21" s="37"/>
      <c r="BC21" s="37">
        <f t="shared" si="18"/>
        <v>100</v>
      </c>
      <c r="BD21" s="37">
        <f t="shared" si="101"/>
        <v>15121.899999999481</v>
      </c>
      <c r="BE21" s="43">
        <v>1735.7</v>
      </c>
      <c r="BF21" s="43">
        <v>948.02</v>
      </c>
      <c r="BG21" s="37">
        <f t="shared" si="19"/>
        <v>2900.0000000000909</v>
      </c>
      <c r="BH21" s="44">
        <v>8239.9</v>
      </c>
      <c r="BI21" s="44">
        <v>5301.1</v>
      </c>
      <c r="BJ21" s="37">
        <f t="shared" si="20"/>
        <v>9000</v>
      </c>
      <c r="BK21" s="40">
        <v>1299790</v>
      </c>
      <c r="BL21" s="40">
        <f t="shared" si="102"/>
        <v>4110</v>
      </c>
      <c r="BM21" s="40">
        <v>824.22</v>
      </c>
      <c r="BN21" s="37">
        <f t="shared" si="21"/>
        <v>680.00000000006366</v>
      </c>
      <c r="BO21" s="186"/>
      <c r="BP21" s="183">
        <f t="shared" si="22"/>
        <v>0</v>
      </c>
      <c r="BQ21" s="40">
        <v>781.8</v>
      </c>
      <c r="BR21" s="37">
        <f>IF((BQ21-BQ20)&lt;=0,0,(BQ21-BQ20))*1000</f>
        <v>599.99999999990905</v>
      </c>
      <c r="BS21" s="37">
        <v>84008.3</v>
      </c>
      <c r="BT21" s="37">
        <f t="shared" si="23"/>
        <v>215.79000000000815</v>
      </c>
      <c r="BU21" s="42">
        <v>2129714</v>
      </c>
      <c r="BV21" s="42"/>
      <c r="BW21" s="37">
        <f t="shared" si="24"/>
        <v>10062</v>
      </c>
      <c r="BX21" s="37">
        <f t="shared" si="103"/>
        <v>1</v>
      </c>
      <c r="BY21" s="43">
        <v>301.11829999999998</v>
      </c>
      <c r="BZ21" s="43"/>
      <c r="CA21" s="37">
        <f t="shared" ref="CA21:CA38" si="124">IF((BY21-BY20)&lt;=0,0,(BY21-BY20)*1000)</f>
        <v>721.59999999996671</v>
      </c>
      <c r="CB21" s="37">
        <f t="shared" si="61"/>
        <v>1</v>
      </c>
      <c r="CC21" s="37">
        <v>499776.2</v>
      </c>
      <c r="CD21" s="37">
        <f t="shared" si="26"/>
        <v>3440.4000000000233</v>
      </c>
      <c r="CE21" s="41">
        <v>752458.5</v>
      </c>
      <c r="CF21" s="37">
        <f t="shared" si="62"/>
        <v>6517.5999999999767</v>
      </c>
      <c r="CG21" s="37">
        <v>64506.8</v>
      </c>
      <c r="CH21" s="37">
        <f t="shared" si="63"/>
        <v>0</v>
      </c>
      <c r="CI21" s="40">
        <v>11451.36</v>
      </c>
      <c r="CJ21" s="40"/>
      <c r="CK21" s="37">
        <f t="shared" si="64"/>
        <v>17210.300000001418</v>
      </c>
      <c r="CL21" s="37">
        <f t="shared" si="27"/>
        <v>1</v>
      </c>
      <c r="CM21" s="37">
        <v>3072.5129999999999</v>
      </c>
      <c r="CN21" s="37"/>
      <c r="CO21" s="37">
        <f t="shared" si="28"/>
        <v>9168.9000000000979</v>
      </c>
      <c r="CP21" s="37">
        <f t="shared" si="104"/>
        <v>1</v>
      </c>
      <c r="CQ21" s="39">
        <v>2941.2689999999998</v>
      </c>
      <c r="CR21" s="39"/>
      <c r="CS21" s="37">
        <f t="shared" si="29"/>
        <v>6078.8999999999523</v>
      </c>
      <c r="CT21" s="37">
        <f t="shared" si="105"/>
        <v>1</v>
      </c>
      <c r="CU21" s="37">
        <v>2606322</v>
      </c>
      <c r="CV21" s="37"/>
      <c r="CW21" s="38">
        <f t="shared" si="30"/>
        <v>10135</v>
      </c>
      <c r="CX21" s="37">
        <f t="shared" si="106"/>
        <v>1</v>
      </c>
      <c r="CY21" s="37">
        <v>1352385</v>
      </c>
      <c r="CZ21" s="37"/>
      <c r="DA21" s="37">
        <f t="shared" si="31"/>
        <v>3348</v>
      </c>
      <c r="DB21" s="37">
        <f t="shared" si="107"/>
        <v>1</v>
      </c>
      <c r="DC21" s="37"/>
      <c r="DD21" s="40"/>
      <c r="DE21" s="37">
        <f t="shared" si="32"/>
        <v>0</v>
      </c>
      <c r="DF21" s="37">
        <f t="shared" si="112"/>
        <v>0</v>
      </c>
      <c r="DG21" s="37">
        <f t="shared" si="33"/>
        <v>-56003.100000001461</v>
      </c>
      <c r="DH21" s="37">
        <f t="shared" si="34"/>
        <v>372701.90000000107</v>
      </c>
      <c r="DI21" s="46"/>
      <c r="DJ21" s="46"/>
      <c r="DK21" s="47"/>
      <c r="DL21" s="47"/>
      <c r="DM21" s="37"/>
      <c r="DN21" s="37"/>
      <c r="DO21" s="37"/>
      <c r="DP21" s="37"/>
      <c r="DQ21" s="50">
        <v>2920000</v>
      </c>
      <c r="DR21" s="49">
        <f t="shared" si="65"/>
        <v>8800</v>
      </c>
      <c r="DS21" s="50">
        <v>2526800</v>
      </c>
      <c r="DT21" s="49">
        <f t="shared" si="66"/>
        <v>19200</v>
      </c>
      <c r="DU21" s="52">
        <v>7688.1</v>
      </c>
      <c r="DV21" s="52">
        <v>4299.8</v>
      </c>
      <c r="DW21" s="37">
        <f t="shared" si="108"/>
        <v>4500</v>
      </c>
      <c r="DX21" s="52">
        <v>12712</v>
      </c>
      <c r="DY21" s="52">
        <v>8306.7999999999993</v>
      </c>
      <c r="DZ21" s="37">
        <f t="shared" si="35"/>
        <v>6201.9</v>
      </c>
      <c r="EA21" s="49">
        <v>28563</v>
      </c>
      <c r="EB21" s="49">
        <v>20.166</v>
      </c>
      <c r="EC21" s="37">
        <f t="shared" si="36"/>
        <v>26361.9</v>
      </c>
      <c r="ED21" s="53">
        <f t="shared" si="37"/>
        <v>37063.800000000003</v>
      </c>
      <c r="EE21" s="49">
        <v>43692</v>
      </c>
      <c r="EF21" s="49">
        <v>27.904</v>
      </c>
      <c r="EG21" s="37">
        <f t="shared" si="38"/>
        <v>32361.9</v>
      </c>
      <c r="EH21" s="52">
        <v>12354</v>
      </c>
      <c r="EI21" s="52">
        <v>1.6539999999999999</v>
      </c>
      <c r="EJ21" s="37">
        <f t="shared" si="39"/>
        <v>10201.9</v>
      </c>
      <c r="EK21" s="37">
        <v>748.23</v>
      </c>
      <c r="EL21" s="40">
        <v>1073.0999999999999</v>
      </c>
      <c r="EM21" s="37">
        <f t="shared" si="67"/>
        <v>750</v>
      </c>
      <c r="EN21" s="54">
        <f t="shared" si="68"/>
        <v>43313.8</v>
      </c>
      <c r="EO21" s="48">
        <v>12464</v>
      </c>
      <c r="EP21" s="48">
        <v>4339.1000000000004</v>
      </c>
      <c r="EQ21" s="37">
        <f t="shared" si="69"/>
        <v>8976.9000000000051</v>
      </c>
      <c r="ER21" s="48">
        <v>8341.7999999999993</v>
      </c>
      <c r="ES21" s="48">
        <v>3397.4</v>
      </c>
      <c r="ET21" s="49">
        <f t="shared" si="116"/>
        <v>15399.999999999636</v>
      </c>
      <c r="EU21" s="48">
        <v>3043.4</v>
      </c>
      <c r="EV21" s="48">
        <v>1086.9000000000001</v>
      </c>
      <c r="EW21" s="49">
        <f t="shared" si="41"/>
        <v>8601.9000000000906</v>
      </c>
      <c r="EX21" s="48">
        <v>12695</v>
      </c>
      <c r="EY21" s="48">
        <v>1.3919999999999999</v>
      </c>
      <c r="EZ21" s="37">
        <f t="shared" si="42"/>
        <v>13201.9</v>
      </c>
      <c r="FA21" s="48">
        <f t="shared" si="70"/>
        <v>-21865.699999999732</v>
      </c>
      <c r="FB21" s="48">
        <v>35016759</v>
      </c>
      <c r="FC21" s="49">
        <f t="shared" si="109"/>
        <v>24315</v>
      </c>
      <c r="FD21" s="48">
        <f t="shared" si="71"/>
        <v>47880.699999999779</v>
      </c>
      <c r="FE21" s="48">
        <v>16422</v>
      </c>
      <c r="FF21" s="48">
        <v>5874.5</v>
      </c>
      <c r="FG21" s="37">
        <f t="shared" si="72"/>
        <v>13218.569999999994</v>
      </c>
      <c r="FH21" s="48">
        <v>7655.1</v>
      </c>
      <c r="FI21" s="48">
        <v>2.9495</v>
      </c>
      <c r="FJ21" s="49">
        <f t="shared" si="43"/>
        <v>18393.570000000545</v>
      </c>
      <c r="FK21" s="48"/>
      <c r="FL21" s="58">
        <v>-208.33</v>
      </c>
      <c r="FM21" s="48">
        <f t="shared" si="110"/>
        <v>-201.90333333351251</v>
      </c>
      <c r="FN21" s="48">
        <v>15770</v>
      </c>
      <c r="FO21" s="48">
        <v>0.74829999999999997</v>
      </c>
      <c r="FP21" s="37">
        <f t="shared" si="73"/>
        <v>16993.57</v>
      </c>
      <c r="FQ21" s="48">
        <v>56195</v>
      </c>
      <c r="FR21" s="48">
        <v>13.481999999999999</v>
      </c>
      <c r="FS21" s="37">
        <f t="shared" si="44"/>
        <v>48000</v>
      </c>
      <c r="FT21" s="48">
        <f t="shared" si="74"/>
        <v>-605.71000000053755</v>
      </c>
      <c r="FU21" s="48">
        <f>FG21+FJ21+FP21+GM21</f>
        <v>50305.710000000581</v>
      </c>
      <c r="FV21" s="44">
        <v>3061600</v>
      </c>
      <c r="FW21" s="44">
        <v>990380</v>
      </c>
      <c r="FX21" s="37">
        <f t="shared" si="45"/>
        <v>4700</v>
      </c>
      <c r="FY21" s="56">
        <v>2969.4</v>
      </c>
      <c r="FZ21" s="56">
        <v>1.7581</v>
      </c>
      <c r="GA21" s="37">
        <f t="shared" si="46"/>
        <v>300.0000000001819</v>
      </c>
      <c r="GB21" s="56">
        <v>767.31</v>
      </c>
      <c r="GC21" s="56">
        <v>855.57</v>
      </c>
      <c r="GD21" s="37">
        <f t="shared" si="47"/>
        <v>579.99999999992724</v>
      </c>
      <c r="GE21" s="56">
        <v>9526.5</v>
      </c>
      <c r="GF21" s="56">
        <v>2.9889999999999999</v>
      </c>
      <c r="GG21" s="37">
        <f t="shared" si="48"/>
        <v>4999.9999999995453</v>
      </c>
      <c r="GH21" s="153">
        <v>1850</v>
      </c>
      <c r="GI21" s="162">
        <v>1570.1</v>
      </c>
      <c r="GJ21" s="38">
        <f t="shared" si="49"/>
        <v>1700.0000000000455</v>
      </c>
      <c r="GK21" s="162">
        <v>1438.8</v>
      </c>
      <c r="GL21" s="163">
        <v>1106.4000000000001</v>
      </c>
      <c r="GM21" s="38">
        <f t="shared" si="50"/>
        <v>1700.0000000000455</v>
      </c>
      <c r="GN21" s="57">
        <v>159030</v>
      </c>
      <c r="GO21" s="57">
        <v>138820</v>
      </c>
      <c r="GP21" s="38">
        <f t="shared" si="114"/>
        <v>10</v>
      </c>
      <c r="GQ21" s="38">
        <v>226150</v>
      </c>
      <c r="GR21" s="38">
        <v>225250</v>
      </c>
      <c r="GS21" s="38">
        <f t="shared" si="76"/>
        <v>0</v>
      </c>
      <c r="GT21" s="178"/>
      <c r="GU21" s="144">
        <f>DailyMar!B20-DailyMar!N20-DailyMar!V20-DailyMar!Y20-DailyMar!Z20-DailyMar!AA20-DailyMar!AB20-DailyMar!AC20-DailyMar!AD20-DailyMar!AE20-DailyMar!AK20-DailyMar!AO20-DailyMar!AS20-DailyMar!AY20-DailyMar!BD20+DailyMar!BU20-SUM(DailyMar!BP20:BS20)-DailyMar!BT20-DailyMar!AF20-DailyMar!AG20-DailyMar!BG20</f>
        <v>-1.0000000314903446E-2</v>
      </c>
      <c r="GV21" s="59">
        <v>3028.49</v>
      </c>
      <c r="GW21" s="60">
        <f t="shared" si="51"/>
        <v>201.89933333333332</v>
      </c>
      <c r="GX21" s="61">
        <v>201.9</v>
      </c>
      <c r="GY21" s="140"/>
      <c r="GZ21" s="62"/>
      <c r="HA21" s="62"/>
      <c r="HB21" s="74"/>
      <c r="HC21" s="62"/>
      <c r="HD21" s="74"/>
      <c r="HE21" s="24">
        <f t="shared" si="52"/>
        <v>0</v>
      </c>
      <c r="HF21" s="151"/>
      <c r="HG21" s="213">
        <v>15</v>
      </c>
      <c r="HH21" s="128">
        <v>3283.5</v>
      </c>
      <c r="HI21" s="16">
        <v>1293</v>
      </c>
      <c r="HJ21" s="16">
        <f t="shared" ref="HJ21:HJ38" si="125">IF((HH21-HH20)&lt;=0,0,(HH21-HH20)*1000)</f>
        <v>93500</v>
      </c>
      <c r="HK21" s="16">
        <v>1.9189000000000001</v>
      </c>
      <c r="HL21" s="16">
        <v>660.93</v>
      </c>
      <c r="HM21" s="16">
        <f t="shared" si="117"/>
        <v>0</v>
      </c>
      <c r="HN21" s="16">
        <v>816.64</v>
      </c>
      <c r="HO21" s="16">
        <v>357.63</v>
      </c>
      <c r="HP21" s="16">
        <f t="shared" si="120"/>
        <v>29749.999999999993</v>
      </c>
      <c r="HQ21" s="16">
        <v>832.62</v>
      </c>
      <c r="HR21" s="16">
        <v>382.12</v>
      </c>
      <c r="HS21" s="16">
        <f t="shared" si="121"/>
        <v>21610.000000000015</v>
      </c>
      <c r="HT21" s="16">
        <v>705.99</v>
      </c>
      <c r="HU21" s="16">
        <v>282.8</v>
      </c>
      <c r="HV21" s="16">
        <f t="shared" si="122"/>
        <v>22940.000000000055</v>
      </c>
      <c r="HW21" s="16"/>
      <c r="HX21" s="16"/>
      <c r="HY21" s="128">
        <f t="shared" si="123"/>
        <v>19200</v>
      </c>
      <c r="HZ21" s="211">
        <f t="shared" si="77"/>
        <v>-6.184563972055912E-11</v>
      </c>
      <c r="IA21" s="16"/>
      <c r="IB21" s="16"/>
      <c r="IC21" s="16">
        <f t="shared" si="78"/>
        <v>0</v>
      </c>
      <c r="ID21" s="16"/>
      <c r="IE21" s="16"/>
      <c r="IF21" s="16">
        <f t="shared" si="79"/>
        <v>0</v>
      </c>
      <c r="IG21" s="16"/>
      <c r="IH21" s="16"/>
      <c r="II21" s="16">
        <f t="shared" si="80"/>
        <v>0</v>
      </c>
      <c r="IJ21" s="16"/>
      <c r="IK21" s="16"/>
      <c r="IL21" s="16">
        <f t="shared" si="81"/>
        <v>0</v>
      </c>
      <c r="IM21" s="16"/>
      <c r="IN21" s="16"/>
      <c r="IO21" s="16">
        <f t="shared" si="82"/>
        <v>0</v>
      </c>
      <c r="IP21" s="16"/>
      <c r="IQ21" s="16"/>
      <c r="IR21" s="16">
        <f t="shared" si="83"/>
        <v>0</v>
      </c>
      <c r="IS21" s="16"/>
      <c r="IT21" s="16"/>
      <c r="IU21" s="16">
        <f t="shared" si="84"/>
        <v>0</v>
      </c>
      <c r="IV21" s="16"/>
      <c r="IW21" s="16"/>
      <c r="IX21" s="16">
        <f t="shared" si="85"/>
        <v>0</v>
      </c>
      <c r="IY21" s="16"/>
      <c r="IZ21" s="16"/>
      <c r="JA21" s="16">
        <f t="shared" si="86"/>
        <v>0</v>
      </c>
      <c r="JB21" s="16"/>
      <c r="JC21" s="16"/>
      <c r="JD21" s="16">
        <f t="shared" si="87"/>
        <v>0</v>
      </c>
      <c r="JE21" s="16"/>
      <c r="JF21" s="16"/>
      <c r="JG21" s="16">
        <f t="shared" si="88"/>
        <v>0</v>
      </c>
      <c r="JH21" s="16"/>
      <c r="JI21" s="16"/>
      <c r="JJ21" s="16">
        <f t="shared" si="89"/>
        <v>0</v>
      </c>
      <c r="JK21" s="16"/>
      <c r="JL21" s="16"/>
      <c r="JM21" s="16">
        <f t="shared" si="90"/>
        <v>0</v>
      </c>
      <c r="JN21" s="16"/>
      <c r="JO21" s="16"/>
      <c r="JP21" s="16">
        <f t="shared" si="91"/>
        <v>0</v>
      </c>
      <c r="JQ21" s="16"/>
      <c r="JR21" s="16"/>
      <c r="JS21" s="16">
        <f t="shared" si="92"/>
        <v>0</v>
      </c>
      <c r="JT21" s="16"/>
      <c r="JU21" s="16"/>
      <c r="JV21" s="16">
        <f t="shared" si="93"/>
        <v>0</v>
      </c>
      <c r="JX21" s="151">
        <f t="shared" si="94"/>
        <v>-6.184563972055912E-11</v>
      </c>
    </row>
    <row r="22" spans="1:284" x14ac:dyDescent="0.25">
      <c r="A22" s="35">
        <f t="shared" si="0"/>
        <v>16</v>
      </c>
      <c r="B22" s="38">
        <v>3701.98</v>
      </c>
      <c r="C22" s="38">
        <f t="shared" si="1"/>
        <v>8.6599999999998545</v>
      </c>
      <c r="D22" s="38">
        <f t="shared" si="2"/>
        <v>277119.99999999534</v>
      </c>
      <c r="E22" s="38">
        <v>744.24</v>
      </c>
      <c r="F22" s="38">
        <f t="shared" si="113"/>
        <v>55680.000000000291</v>
      </c>
      <c r="G22" s="38">
        <f t="shared" si="4"/>
        <v>332799.99999999563</v>
      </c>
      <c r="H22" s="37"/>
      <c r="I22" s="39"/>
      <c r="J22" s="42"/>
      <c r="K22" s="37">
        <f>IF(J22&lt;=0,0,(J22/SQRT(J22^2+(I22-I21)^2)))</f>
        <v>0</v>
      </c>
      <c r="L22" s="40">
        <f>L21+33280</f>
        <v>10886580</v>
      </c>
      <c r="M22" s="40"/>
      <c r="N22" s="37">
        <f t="shared" si="96"/>
        <v>332800</v>
      </c>
      <c r="O22" s="37">
        <v>10049</v>
      </c>
      <c r="P22" s="37"/>
      <c r="Q22" s="37">
        <f>IF((O22-O21)&lt;=0,0,(O22-O21))*1000</f>
        <v>12799.999999999272</v>
      </c>
      <c r="R22" s="37">
        <f>IF(Q22&lt;=0,0,(Q22/SQRT(Q22^2+(P22-P21)^2)))</f>
        <v>1</v>
      </c>
      <c r="S22" s="37">
        <v>11123637.42</v>
      </c>
      <c r="T22" s="37">
        <f t="shared" si="6"/>
        <v>0</v>
      </c>
      <c r="U22" s="37">
        <v>1518173.85</v>
      </c>
      <c r="V22" s="37">
        <f t="shared" si="7"/>
        <v>0</v>
      </c>
      <c r="W22" s="37">
        <v>3500.8</v>
      </c>
      <c r="X22" s="37">
        <f t="shared" si="111"/>
        <v>7459.9999999992724</v>
      </c>
      <c r="Y22" s="183"/>
      <c r="Z22" s="183">
        <f t="shared" si="8"/>
        <v>0</v>
      </c>
      <c r="AA22" s="37">
        <v>563440</v>
      </c>
      <c r="AB22" s="37">
        <f t="shared" si="9"/>
        <v>5340</v>
      </c>
      <c r="AC22" s="37">
        <v>3692.2</v>
      </c>
      <c r="AD22" s="37"/>
      <c r="AE22" s="37">
        <f>IF((AC22-AC21)&lt;=0,0,(AC22-AC21))*1000</f>
        <v>8299.9999999997272</v>
      </c>
      <c r="AF22" s="37">
        <f>IF(AE22&lt;=0,0,(AE22/SQRT(AE22^2+(AD22-AD21)^2)))</f>
        <v>1</v>
      </c>
      <c r="AG22" s="37">
        <v>8061.3</v>
      </c>
      <c r="AH22" s="37"/>
      <c r="AI22" s="37">
        <f t="shared" si="11"/>
        <v>18696.350000000544</v>
      </c>
      <c r="AJ22" s="37">
        <f t="shared" si="12"/>
        <v>1</v>
      </c>
      <c r="AK22" s="37">
        <f t="shared" si="13"/>
        <v>34456.34999999954</v>
      </c>
      <c r="AL22" s="42">
        <v>10083</v>
      </c>
      <c r="AM22" s="42"/>
      <c r="AN22" s="37">
        <f t="shared" si="59"/>
        <v>5296.3500000006961</v>
      </c>
      <c r="AO22" s="37">
        <f t="shared" si="99"/>
        <v>1</v>
      </c>
      <c r="AP22" s="37">
        <v>7699.6</v>
      </c>
      <c r="AQ22" s="37"/>
      <c r="AR22" s="37">
        <f t="shared" si="14"/>
        <v>9600.0000000003638</v>
      </c>
      <c r="AS22" s="37">
        <f t="shared" si="100"/>
        <v>1</v>
      </c>
      <c r="AT22" s="183"/>
      <c r="AU22" s="183">
        <f t="shared" si="15"/>
        <v>0</v>
      </c>
      <c r="AV22" s="183"/>
      <c r="AW22" s="183">
        <f t="shared" si="16"/>
        <v>0</v>
      </c>
      <c r="AX22" s="37">
        <v>457173.52</v>
      </c>
      <c r="AY22" s="37"/>
      <c r="AZ22" s="37">
        <f t="shared" si="17"/>
        <v>393.52000000001863</v>
      </c>
      <c r="BA22" s="37">
        <v>106623.31</v>
      </c>
      <c r="BB22" s="37"/>
      <c r="BC22" s="37">
        <f t="shared" si="18"/>
        <v>653.30999999999767</v>
      </c>
      <c r="BD22" s="37">
        <f t="shared" si="101"/>
        <v>15943.180000001077</v>
      </c>
      <c r="BE22" s="43">
        <v>1738.4</v>
      </c>
      <c r="BF22" s="43">
        <v>949.68</v>
      </c>
      <c r="BG22" s="37">
        <f t="shared" si="19"/>
        <v>2700.0000000000455</v>
      </c>
      <c r="BH22" s="44">
        <v>8249.7000000000007</v>
      </c>
      <c r="BI22" s="44">
        <v>5307.3</v>
      </c>
      <c r="BJ22" s="37">
        <f t="shared" si="20"/>
        <v>9800.0000000010914</v>
      </c>
      <c r="BK22" s="40">
        <v>1303900</v>
      </c>
      <c r="BL22" s="40">
        <f t="shared" si="102"/>
        <v>4110</v>
      </c>
      <c r="BM22" s="40">
        <v>824.88</v>
      </c>
      <c r="BN22" s="37">
        <f t="shared" si="21"/>
        <v>659.99999999996817</v>
      </c>
      <c r="BO22" s="186"/>
      <c r="BP22" s="183">
        <f t="shared" si="22"/>
        <v>0</v>
      </c>
      <c r="BQ22" s="40">
        <v>782.23</v>
      </c>
      <c r="BR22" s="37">
        <f t="shared" si="60"/>
        <v>430.00000000006366</v>
      </c>
      <c r="BS22" s="37">
        <v>84199.1</v>
      </c>
      <c r="BT22" s="37">
        <f t="shared" si="23"/>
        <v>190.80000000000291</v>
      </c>
      <c r="BU22" s="42">
        <v>2139900</v>
      </c>
      <c r="BV22" s="42"/>
      <c r="BW22" s="37">
        <f t="shared" si="24"/>
        <v>10186</v>
      </c>
      <c r="BX22" s="37">
        <f t="shared" si="103"/>
        <v>1</v>
      </c>
      <c r="BY22" s="43">
        <v>301.76</v>
      </c>
      <c r="BZ22" s="43"/>
      <c r="CA22" s="37">
        <f t="shared" si="124"/>
        <v>641.70000000001437</v>
      </c>
      <c r="CB22" s="37">
        <f t="shared" si="61"/>
        <v>1</v>
      </c>
      <c r="CC22" s="37">
        <v>503490</v>
      </c>
      <c r="CD22" s="37">
        <f t="shared" si="26"/>
        <v>3713.7999999999884</v>
      </c>
      <c r="CE22" s="41">
        <v>758840</v>
      </c>
      <c r="CF22" s="37">
        <f t="shared" si="62"/>
        <v>6381.5</v>
      </c>
      <c r="CG22" s="37">
        <v>64507</v>
      </c>
      <c r="CH22" s="37">
        <f t="shared" si="63"/>
        <v>0.19999999999708962</v>
      </c>
      <c r="CI22" s="40">
        <v>11469</v>
      </c>
      <c r="CJ22" s="40"/>
      <c r="CK22" s="37">
        <f t="shared" si="64"/>
        <v>17294.649999999401</v>
      </c>
      <c r="CL22" s="37">
        <f t="shared" si="27"/>
        <v>1</v>
      </c>
      <c r="CM22" s="37">
        <v>3081.3</v>
      </c>
      <c r="CN22" s="37"/>
      <c r="CO22" s="37">
        <f t="shared" si="28"/>
        <v>9083.3500000002623</v>
      </c>
      <c r="CP22" s="37">
        <f t="shared" si="104"/>
        <v>1</v>
      </c>
      <c r="CQ22" s="39">
        <v>2947.1</v>
      </c>
      <c r="CR22" s="39"/>
      <c r="CS22" s="37">
        <f t="shared" si="29"/>
        <v>6127.3500000001313</v>
      </c>
      <c r="CT22" s="37">
        <f>IF(CS22&lt;=0,0,(CS22/SQRT(CS22^2+(CR22-CR21)^2)))</f>
        <v>1</v>
      </c>
      <c r="CU22" s="37">
        <v>2617800</v>
      </c>
      <c r="CV22" s="37"/>
      <c r="CW22" s="38">
        <f t="shared" si="30"/>
        <v>11478</v>
      </c>
      <c r="CX22" s="37">
        <f t="shared" si="106"/>
        <v>1</v>
      </c>
      <c r="CY22" s="37">
        <v>1356400</v>
      </c>
      <c r="CZ22" s="37"/>
      <c r="DA22" s="37">
        <f t="shared" si="31"/>
        <v>4015</v>
      </c>
      <c r="DB22" s="37">
        <f t="shared" si="107"/>
        <v>1</v>
      </c>
      <c r="DC22" s="37"/>
      <c r="DD22" s="40"/>
      <c r="DE22" s="37">
        <f t="shared" si="32"/>
        <v>0</v>
      </c>
      <c r="DF22" s="37">
        <f t="shared" si="112"/>
        <v>0</v>
      </c>
      <c r="DG22" s="37">
        <f t="shared" si="33"/>
        <v>-58184.349999999788</v>
      </c>
      <c r="DH22" s="37">
        <f t="shared" si="34"/>
        <v>369956.34999999957</v>
      </c>
      <c r="DI22" s="46"/>
      <c r="DJ22" s="46"/>
      <c r="DK22" s="47"/>
      <c r="DL22" s="47"/>
      <c r="DM22" s="37"/>
      <c r="DN22" s="37"/>
      <c r="DO22" s="37"/>
      <c r="DP22" s="37"/>
      <c r="DQ22" s="50">
        <v>2927900</v>
      </c>
      <c r="DR22" s="49">
        <f t="shared" si="65"/>
        <v>7900</v>
      </c>
      <c r="DS22" s="50">
        <v>2545500</v>
      </c>
      <c r="DT22" s="49">
        <f>IF((DS22-DS21)&lt;=0,0,(DS22-DS21))</f>
        <v>18700</v>
      </c>
      <c r="DU22" s="52">
        <v>7692.8</v>
      </c>
      <c r="DV22" s="52">
        <v>4302.7</v>
      </c>
      <c r="DW22" s="37">
        <f t="shared" si="108"/>
        <v>4699.9999999998181</v>
      </c>
      <c r="DX22" s="52">
        <v>12718</v>
      </c>
      <c r="DY22" s="52">
        <v>8306.9</v>
      </c>
      <c r="DZ22" s="37">
        <f t="shared" si="35"/>
        <v>6296.35</v>
      </c>
      <c r="EA22" s="49">
        <v>28587</v>
      </c>
      <c r="EB22" s="69">
        <v>20.177</v>
      </c>
      <c r="EC22" s="37">
        <f t="shared" si="36"/>
        <v>26456.35</v>
      </c>
      <c r="ED22" s="53">
        <f t="shared" si="37"/>
        <v>37452.699999999815</v>
      </c>
      <c r="EE22" s="49">
        <v>43725</v>
      </c>
      <c r="EF22" s="49">
        <v>27.931000000000001</v>
      </c>
      <c r="EG22" s="37">
        <f t="shared" si="38"/>
        <v>35456.35</v>
      </c>
      <c r="EH22" s="52">
        <v>12364</v>
      </c>
      <c r="EI22" s="52">
        <v>1.6557999999999999</v>
      </c>
      <c r="EJ22" s="37">
        <f t="shared" si="39"/>
        <v>10296.35</v>
      </c>
      <c r="EK22" s="37">
        <v>748.9</v>
      </c>
      <c r="EL22" s="40">
        <v>1074</v>
      </c>
      <c r="EM22" s="37">
        <f t="shared" si="67"/>
        <v>669.99999999995907</v>
      </c>
      <c r="EN22" s="54">
        <f t="shared" si="68"/>
        <v>46422.699999999953</v>
      </c>
      <c r="EO22" s="48">
        <v>12475</v>
      </c>
      <c r="EP22" s="48">
        <v>4342.6000000000004</v>
      </c>
      <c r="EQ22" s="37">
        <f t="shared" si="69"/>
        <v>9096.349999999984</v>
      </c>
      <c r="ER22" s="48">
        <v>8357.6</v>
      </c>
      <c r="ES22" s="48">
        <v>3404</v>
      </c>
      <c r="ET22" s="49">
        <f t="shared" si="116"/>
        <v>15800.000000001091</v>
      </c>
      <c r="EU22" s="48">
        <v>3051.6</v>
      </c>
      <c r="EV22" s="48">
        <v>1089.7</v>
      </c>
      <c r="EW22" s="49">
        <f t="shared" si="41"/>
        <v>8496.3499999998185</v>
      </c>
      <c r="EX22" s="48">
        <v>12708</v>
      </c>
      <c r="EY22" s="48">
        <v>1.3947000000000001</v>
      </c>
      <c r="EZ22" s="37">
        <f t="shared" si="42"/>
        <v>13296.35</v>
      </c>
      <c r="FA22" s="48">
        <f t="shared" si="70"/>
        <v>-22360.050000000894</v>
      </c>
      <c r="FB22" s="48">
        <v>35041088</v>
      </c>
      <c r="FC22" s="49">
        <f t="shared" si="109"/>
        <v>24329</v>
      </c>
      <c r="FD22" s="48">
        <f t="shared" si="71"/>
        <v>48489.050000000847</v>
      </c>
      <c r="FE22" s="48">
        <v>16433</v>
      </c>
      <c r="FF22" s="48">
        <v>5878</v>
      </c>
      <c r="FG22" s="37">
        <f t="shared" si="72"/>
        <v>12929.680000000018</v>
      </c>
      <c r="FH22" s="48">
        <v>7673.6</v>
      </c>
      <c r="FI22" s="48">
        <v>2.9565999999999999</v>
      </c>
      <c r="FJ22" s="49">
        <f t="shared" si="43"/>
        <v>18229.68</v>
      </c>
      <c r="FK22" s="48"/>
      <c r="FL22" s="58">
        <v>-566.66999999999996</v>
      </c>
      <c r="FM22" s="48">
        <f t="shared" si="110"/>
        <v>-296.34666666667425</v>
      </c>
      <c r="FN22" s="48">
        <v>15788</v>
      </c>
      <c r="FO22" s="48">
        <v>0.74990000000000001</v>
      </c>
      <c r="FP22" s="37">
        <f t="shared" si="73"/>
        <v>17729.68</v>
      </c>
      <c r="FQ22" s="48">
        <v>56243</v>
      </c>
      <c r="FR22" s="48">
        <v>13.494</v>
      </c>
      <c r="FS22" s="37">
        <f t="shared" si="44"/>
        <v>48000</v>
      </c>
      <c r="FT22" s="48">
        <f t="shared" si="74"/>
        <v>-889.0400000000227</v>
      </c>
      <c r="FU22" s="48">
        <f t="shared" si="75"/>
        <v>50689.039999999979</v>
      </c>
      <c r="FV22" s="44">
        <v>3067000</v>
      </c>
      <c r="FW22" s="44">
        <v>992570</v>
      </c>
      <c r="FX22" s="37">
        <f t="shared" si="45"/>
        <v>5400</v>
      </c>
      <c r="FY22" s="56">
        <v>2969.8</v>
      </c>
      <c r="FZ22" s="56">
        <v>1.7584</v>
      </c>
      <c r="GA22" s="37">
        <f t="shared" si="46"/>
        <v>400.00000000009095</v>
      </c>
      <c r="GB22" s="56">
        <v>767.86</v>
      </c>
      <c r="GC22" s="56">
        <v>856.26</v>
      </c>
      <c r="GD22" s="37">
        <f t="shared" si="47"/>
        <v>550.00000000006821</v>
      </c>
      <c r="GE22" s="56">
        <v>9535</v>
      </c>
      <c r="GF22" s="56">
        <v>2.9944999999999999</v>
      </c>
      <c r="GG22" s="37">
        <f t="shared" si="48"/>
        <v>4900.0000000000909</v>
      </c>
      <c r="GH22" s="153">
        <v>1851.8</v>
      </c>
      <c r="GI22" s="162">
        <v>1571.8</v>
      </c>
      <c r="GJ22" s="38">
        <f t="shared" si="49"/>
        <v>1799.9999999999545</v>
      </c>
      <c r="GK22" s="162">
        <v>1440.6</v>
      </c>
      <c r="GL22" s="163">
        <v>1107.0999999999999</v>
      </c>
      <c r="GM22" s="38">
        <f t="shared" si="50"/>
        <v>1799.9999999999545</v>
      </c>
      <c r="GN22" s="57">
        <v>159030</v>
      </c>
      <c r="GO22" s="57">
        <v>138830</v>
      </c>
      <c r="GP22" s="38">
        <f t="shared" si="114"/>
        <v>0</v>
      </c>
      <c r="GQ22" s="38">
        <v>226150</v>
      </c>
      <c r="GR22" s="38">
        <v>225250</v>
      </c>
      <c r="GS22" s="38">
        <f t="shared" si="76"/>
        <v>0</v>
      </c>
      <c r="GT22" s="178"/>
      <c r="GU22" s="144">
        <f>DailyMar!B21-DailyMar!N21-DailyMar!V21-DailyMar!Y21-DailyMar!Z21-DailyMar!AA21-DailyMar!AB21-DailyMar!AC21-DailyMar!AD21-DailyMar!AE21-DailyMar!AK21-DailyMar!AO21-DailyMar!AS21-DailyMar!AY21-DailyMar!BD21+DailyMar!BU21-SUM(DailyMar!BP21:BS21)-DailyMar!BT21-DailyMar!AF21-DailyMar!AG21-DailyMar!BG21</f>
        <v>-7.0000006773625501E-2</v>
      </c>
      <c r="GV22" s="59">
        <v>4445.18</v>
      </c>
      <c r="GW22" s="60">
        <f t="shared" si="51"/>
        <v>296.34533333333337</v>
      </c>
      <c r="GX22" s="61">
        <v>296.35000000000002</v>
      </c>
      <c r="GY22" s="140"/>
      <c r="GZ22" s="62"/>
      <c r="HA22" s="62"/>
      <c r="HB22" s="74"/>
      <c r="HC22" s="62"/>
      <c r="HD22" s="74"/>
      <c r="HE22" s="24">
        <f t="shared" si="52"/>
        <v>0</v>
      </c>
      <c r="HF22" s="151"/>
      <c r="HG22" s="213">
        <v>16</v>
      </c>
      <c r="HH22" s="16">
        <v>3375.4</v>
      </c>
      <c r="HI22" s="16">
        <v>1326.5</v>
      </c>
      <c r="HJ22" s="16">
        <f t="shared" si="125"/>
        <v>91900.000000000087</v>
      </c>
      <c r="HK22" s="16">
        <v>1.9189000000000001</v>
      </c>
      <c r="HL22" s="16">
        <v>660.93</v>
      </c>
      <c r="HM22" s="16">
        <f t="shared" si="117"/>
        <v>0</v>
      </c>
      <c r="HN22" s="16">
        <v>844.39</v>
      </c>
      <c r="HO22" s="16">
        <v>369.25</v>
      </c>
      <c r="HP22" s="16">
        <f t="shared" si="120"/>
        <v>28470</v>
      </c>
      <c r="HQ22" s="16">
        <v>854.91</v>
      </c>
      <c r="HR22" s="16">
        <v>391.32</v>
      </c>
      <c r="HS22" s="16">
        <f t="shared" si="121"/>
        <v>22289.999999999964</v>
      </c>
      <c r="HT22" s="16">
        <v>728.43</v>
      </c>
      <c r="HU22" s="16">
        <v>290.98</v>
      </c>
      <c r="HV22" s="16">
        <f t="shared" si="122"/>
        <v>22439.999999999942</v>
      </c>
      <c r="HW22" s="16"/>
      <c r="HX22" s="16"/>
      <c r="HY22" s="128">
        <f t="shared" si="123"/>
        <v>18700</v>
      </c>
      <c r="HZ22" s="211">
        <f t="shared" si="77"/>
        <v>1.8189894035458565E-10</v>
      </c>
      <c r="IA22" s="16"/>
      <c r="IB22" s="16"/>
      <c r="IC22" s="16">
        <f t="shared" si="78"/>
        <v>0</v>
      </c>
      <c r="ID22" s="16"/>
      <c r="IE22" s="16"/>
      <c r="IF22" s="16">
        <f t="shared" si="79"/>
        <v>0</v>
      </c>
      <c r="IG22" s="16"/>
      <c r="IH22" s="16"/>
      <c r="II22" s="16">
        <f t="shared" si="80"/>
        <v>0</v>
      </c>
      <c r="IJ22" s="16"/>
      <c r="IK22" s="16"/>
      <c r="IL22" s="16">
        <f t="shared" si="81"/>
        <v>0</v>
      </c>
      <c r="IM22" s="16"/>
      <c r="IN22" s="16"/>
      <c r="IO22" s="16">
        <f t="shared" si="82"/>
        <v>0</v>
      </c>
      <c r="IP22" s="16"/>
      <c r="IQ22" s="16"/>
      <c r="IR22" s="16">
        <f t="shared" si="83"/>
        <v>0</v>
      </c>
      <c r="IS22" s="16"/>
      <c r="IT22" s="16"/>
      <c r="IU22" s="16">
        <f t="shared" si="84"/>
        <v>0</v>
      </c>
      <c r="IV22" s="16"/>
      <c r="IW22" s="16"/>
      <c r="IX22" s="16">
        <f t="shared" si="85"/>
        <v>0</v>
      </c>
      <c r="IY22" s="16"/>
      <c r="IZ22" s="16"/>
      <c r="JA22" s="16">
        <f t="shared" si="86"/>
        <v>0</v>
      </c>
      <c r="JB22" s="16"/>
      <c r="JC22" s="16"/>
      <c r="JD22" s="16">
        <f t="shared" si="87"/>
        <v>0</v>
      </c>
      <c r="JE22" s="16"/>
      <c r="JF22" s="16"/>
      <c r="JG22" s="16">
        <f t="shared" si="88"/>
        <v>0</v>
      </c>
      <c r="JH22" s="16"/>
      <c r="JI22" s="16"/>
      <c r="JJ22" s="16">
        <f t="shared" si="89"/>
        <v>0</v>
      </c>
      <c r="JK22" s="16"/>
      <c r="JL22" s="16"/>
      <c r="JM22" s="16">
        <f t="shared" si="90"/>
        <v>0</v>
      </c>
      <c r="JN22" s="16"/>
      <c r="JO22" s="16"/>
      <c r="JP22" s="16">
        <f t="shared" si="91"/>
        <v>0</v>
      </c>
      <c r="JQ22" s="16"/>
      <c r="JR22" s="16"/>
      <c r="JS22" s="16">
        <f t="shared" si="92"/>
        <v>0</v>
      </c>
      <c r="JT22" s="16"/>
      <c r="JU22" s="16"/>
      <c r="JV22" s="16">
        <f t="shared" si="93"/>
        <v>0</v>
      </c>
      <c r="JX22" s="151">
        <f t="shared" si="94"/>
        <v>1.8189894035458565E-10</v>
      </c>
    </row>
    <row r="23" spans="1:284" x14ac:dyDescent="0.25">
      <c r="A23" s="35">
        <f t="shared" si="0"/>
        <v>17</v>
      </c>
      <c r="B23" s="38">
        <v>3710.29</v>
      </c>
      <c r="C23" s="38">
        <f t="shared" si="1"/>
        <v>8.3099999999999454</v>
      </c>
      <c r="D23" s="38">
        <f t="shared" si="2"/>
        <v>265919.99999999825</v>
      </c>
      <c r="E23" s="38">
        <v>746.07</v>
      </c>
      <c r="F23" s="38">
        <f t="shared" si="113"/>
        <v>58560.00000000131</v>
      </c>
      <c r="G23" s="38">
        <f t="shared" si="4"/>
        <v>324479.99999999953</v>
      </c>
      <c r="H23" s="37"/>
      <c r="I23" s="39"/>
      <c r="J23" s="42"/>
      <c r="K23" s="37">
        <f t="shared" ref="K23:K24" si="126">IF(J23&lt;=0,0,(J23/SQRT(J23^2+(I23-I22)^2)))</f>
        <v>0</v>
      </c>
      <c r="L23" s="40">
        <v>10919000</v>
      </c>
      <c r="M23" s="40"/>
      <c r="N23" s="37">
        <f t="shared" si="96"/>
        <v>324200</v>
      </c>
      <c r="O23" s="37">
        <v>10062</v>
      </c>
      <c r="P23" s="37"/>
      <c r="Q23" s="37">
        <f t="shared" ref="Q23:Q38" si="127">IF((O23-O22)&lt;=0,0,(O23-O22))*1000</f>
        <v>13000</v>
      </c>
      <c r="R23" s="37">
        <f t="shared" ref="R23:R24" si="128">IF(Q23&lt;=0,0,(Q23/SQRT(Q23^2+(P23-P22)^2)))</f>
        <v>1</v>
      </c>
      <c r="S23" s="37">
        <v>11123637.42</v>
      </c>
      <c r="T23" s="37">
        <f t="shared" si="6"/>
        <v>0</v>
      </c>
      <c r="U23" s="37">
        <v>1518173.85</v>
      </c>
      <c r="V23" s="37">
        <f t="shared" si="7"/>
        <v>0</v>
      </c>
      <c r="W23" s="37">
        <v>3506.9</v>
      </c>
      <c r="X23" s="37">
        <f t="shared" si="111"/>
        <v>7730</v>
      </c>
      <c r="Y23" s="183"/>
      <c r="Z23" s="183">
        <f t="shared" si="8"/>
        <v>0</v>
      </c>
      <c r="AA23" s="37">
        <v>568710</v>
      </c>
      <c r="AB23" s="37">
        <f t="shared" si="9"/>
        <v>5270</v>
      </c>
      <c r="AC23" s="37">
        <v>3700.1</v>
      </c>
      <c r="AD23" s="37"/>
      <c r="AE23" s="37">
        <f t="shared" ref="AE23:AE38" si="129">IF((AC23-AC22)&lt;=0,0,(AC23-AC22))*1000</f>
        <v>7900.0000000000909</v>
      </c>
      <c r="AF23" s="37">
        <f t="shared" ref="AF23:AF24" si="130">IF(AE23&lt;=0,0,(AE23/SQRT(AE23^2+(AD23-AD22)^2)))</f>
        <v>1</v>
      </c>
      <c r="AG23" s="37">
        <v>8078.2</v>
      </c>
      <c r="AH23" s="70"/>
      <c r="AI23" s="37">
        <f t="shared" si="11"/>
        <v>17565.049999999635</v>
      </c>
      <c r="AJ23" s="37">
        <f t="shared" si="12"/>
        <v>1</v>
      </c>
      <c r="AK23" s="37">
        <f t="shared" si="13"/>
        <v>33195.049999999726</v>
      </c>
      <c r="AL23" s="42">
        <v>10093</v>
      </c>
      <c r="AM23" s="42"/>
      <c r="AN23" s="37">
        <f t="shared" si="59"/>
        <v>5765.050000000022</v>
      </c>
      <c r="AO23" s="37">
        <f t="shared" si="99"/>
        <v>1</v>
      </c>
      <c r="AP23" s="37">
        <v>7709.2</v>
      </c>
      <c r="AQ23" s="37"/>
      <c r="AR23" s="37">
        <f t="shared" si="14"/>
        <v>9599.9999999994543</v>
      </c>
      <c r="AS23" s="37">
        <f t="shared" si="100"/>
        <v>1</v>
      </c>
      <c r="AT23" s="183"/>
      <c r="AU23" s="183">
        <f t="shared" si="15"/>
        <v>0</v>
      </c>
      <c r="AV23" s="183"/>
      <c r="AW23" s="183">
        <f t="shared" si="16"/>
        <v>0</v>
      </c>
      <c r="AX23" s="37">
        <v>457428</v>
      </c>
      <c r="AY23" s="37"/>
      <c r="AZ23" s="37">
        <f t="shared" si="17"/>
        <v>254.47999999998137</v>
      </c>
      <c r="BA23" s="37">
        <v>107037.1</v>
      </c>
      <c r="BB23" s="37"/>
      <c r="BC23" s="37">
        <f t="shared" si="18"/>
        <v>413.79000000000815</v>
      </c>
      <c r="BD23" s="37">
        <f t="shared" si="101"/>
        <v>16033.319999999465</v>
      </c>
      <c r="BE23" s="43">
        <v>1741</v>
      </c>
      <c r="BF23" s="43">
        <v>951.24</v>
      </c>
      <c r="BG23" s="37">
        <f t="shared" si="19"/>
        <v>2599.9999999999091</v>
      </c>
      <c r="BH23" s="44">
        <v>8259.7999999999993</v>
      </c>
      <c r="BI23" s="44">
        <v>5313.7</v>
      </c>
      <c r="BJ23" s="37">
        <f t="shared" si="20"/>
        <v>10099.999999998545</v>
      </c>
      <c r="BK23" s="40">
        <v>1307900</v>
      </c>
      <c r="BL23" s="40">
        <f t="shared" si="102"/>
        <v>4000</v>
      </c>
      <c r="BM23" s="40">
        <v>825.54</v>
      </c>
      <c r="BN23" s="37">
        <f t="shared" si="21"/>
        <v>659.99999999996817</v>
      </c>
      <c r="BO23" s="186"/>
      <c r="BP23" s="183">
        <f t="shared" si="22"/>
        <v>0</v>
      </c>
      <c r="BQ23" s="40">
        <v>782.47</v>
      </c>
      <c r="BR23" s="37">
        <f t="shared" si="60"/>
        <v>240.00000000000909</v>
      </c>
      <c r="BS23" s="37">
        <v>84376.87</v>
      </c>
      <c r="BT23" s="37">
        <f t="shared" si="23"/>
        <v>177.76999999998952</v>
      </c>
      <c r="BU23" s="42">
        <v>2153500</v>
      </c>
      <c r="BV23" s="42"/>
      <c r="BW23" s="37">
        <f t="shared" si="24"/>
        <v>13600</v>
      </c>
      <c r="BX23" s="37">
        <f t="shared" si="103"/>
        <v>1</v>
      </c>
      <c r="BY23" s="43">
        <v>302.5</v>
      </c>
      <c r="BZ23" s="43"/>
      <c r="CA23" s="37">
        <f t="shared" si="124"/>
        <v>740.00000000000909</v>
      </c>
      <c r="CB23" s="37">
        <f t="shared" si="61"/>
        <v>1</v>
      </c>
      <c r="CC23" s="37">
        <v>508900</v>
      </c>
      <c r="CD23" s="37">
        <f t="shared" si="26"/>
        <v>5410</v>
      </c>
      <c r="CE23" s="41">
        <v>766820</v>
      </c>
      <c r="CF23" s="37">
        <f t="shared" si="62"/>
        <v>7980</v>
      </c>
      <c r="CG23" s="37">
        <v>64507</v>
      </c>
      <c r="CH23" s="37">
        <f t="shared" si="63"/>
        <v>0</v>
      </c>
      <c r="CI23" s="40">
        <v>11486</v>
      </c>
      <c r="CJ23" s="40"/>
      <c r="CK23" s="37">
        <f t="shared" si="64"/>
        <v>16925.049999999988</v>
      </c>
      <c r="CL23" s="37">
        <f t="shared" si="27"/>
        <v>1</v>
      </c>
      <c r="CM23" s="37">
        <v>3088.4</v>
      </c>
      <c r="CN23" s="37"/>
      <c r="CO23" s="37">
        <f t="shared" si="28"/>
        <v>7765.0499999999092</v>
      </c>
      <c r="CP23" s="37">
        <f t="shared" si="104"/>
        <v>1</v>
      </c>
      <c r="CQ23" s="39">
        <v>2952.5</v>
      </c>
      <c r="CR23" s="39"/>
      <c r="CS23" s="37">
        <f t="shared" si="29"/>
        <v>6065.0500000000911</v>
      </c>
      <c r="CT23" s="37">
        <f>IF(CS23&lt;=0,0,(CS23/SQRT(CS23^2+(CR23-CR22)^2)))</f>
        <v>1</v>
      </c>
      <c r="CU23" s="37">
        <v>2628800</v>
      </c>
      <c r="CV23" s="37"/>
      <c r="CW23" s="38">
        <f t="shared" si="30"/>
        <v>11000</v>
      </c>
      <c r="CX23" s="37">
        <f t="shared" si="106"/>
        <v>1</v>
      </c>
      <c r="CY23" s="37">
        <v>1360300</v>
      </c>
      <c r="CZ23" s="37"/>
      <c r="DA23" s="37">
        <f t="shared" si="31"/>
        <v>3900</v>
      </c>
      <c r="DB23" s="37">
        <f t="shared" si="107"/>
        <v>1</v>
      </c>
      <c r="DC23" s="37"/>
      <c r="DD23" s="40"/>
      <c r="DE23" s="37">
        <f t="shared" si="32"/>
        <v>0</v>
      </c>
      <c r="DF23" s="37">
        <f t="shared" si="112"/>
        <v>0</v>
      </c>
      <c r="DG23" s="37">
        <f t="shared" si="33"/>
        <v>-59255.149999999987</v>
      </c>
      <c r="DH23" s="37">
        <f t="shared" si="34"/>
        <v>359995.04999999964</v>
      </c>
      <c r="DI23" s="46"/>
      <c r="DJ23" s="46"/>
      <c r="DK23" s="47"/>
      <c r="DL23" s="47"/>
      <c r="DM23" s="37"/>
      <c r="DN23" s="37"/>
      <c r="DO23" s="37"/>
      <c r="DP23" s="37"/>
      <c r="DQ23" s="50">
        <v>2934700</v>
      </c>
      <c r="DR23" s="49">
        <f t="shared" si="65"/>
        <v>6800</v>
      </c>
      <c r="DS23" s="50">
        <v>2565100</v>
      </c>
      <c r="DT23" s="49">
        <f>IF((DS23-DS22)&lt;=0,0,(DS23-DS22))</f>
        <v>19600</v>
      </c>
      <c r="DU23" s="51">
        <v>7697.3</v>
      </c>
      <c r="DV23" s="51">
        <v>4305.3</v>
      </c>
      <c r="DW23" s="37">
        <f t="shared" si="108"/>
        <v>4500</v>
      </c>
      <c r="DX23" s="51">
        <v>12724</v>
      </c>
      <c r="DY23" s="51">
        <v>8306.9</v>
      </c>
      <c r="DZ23" s="37">
        <f t="shared" si="35"/>
        <v>6665.05</v>
      </c>
      <c r="EA23" s="49">
        <v>28611</v>
      </c>
      <c r="EB23" s="49">
        <v>20.189</v>
      </c>
      <c r="EC23" s="37">
        <f t="shared" si="36"/>
        <v>26825.05</v>
      </c>
      <c r="ED23" s="53">
        <f t="shared" si="37"/>
        <v>37990.1</v>
      </c>
      <c r="EE23" s="49">
        <v>43757</v>
      </c>
      <c r="EF23" s="49">
        <v>27.957999999999998</v>
      </c>
      <c r="EG23" s="37">
        <f t="shared" si="38"/>
        <v>34825.050000000003</v>
      </c>
      <c r="EH23" s="51">
        <v>12374</v>
      </c>
      <c r="EI23" s="51">
        <v>1.6577</v>
      </c>
      <c r="EJ23" s="37">
        <f t="shared" si="39"/>
        <v>10665.05</v>
      </c>
      <c r="EK23" s="37">
        <v>749.55</v>
      </c>
      <c r="EL23" s="40">
        <v>1074.9000000000001</v>
      </c>
      <c r="EM23" s="37">
        <f t="shared" si="67"/>
        <v>649.99999999997726</v>
      </c>
      <c r="EN23" s="54">
        <f t="shared" si="68"/>
        <v>46140.099999999984</v>
      </c>
      <c r="EO23" s="48">
        <v>12485</v>
      </c>
      <c r="EP23" s="48">
        <v>4346.2</v>
      </c>
      <c r="EQ23" s="37">
        <f t="shared" si="69"/>
        <v>8510.0499999999993</v>
      </c>
      <c r="ER23" s="48">
        <v>8373.1</v>
      </c>
      <c r="ES23" s="48">
        <v>3410.6</v>
      </c>
      <c r="ET23" s="49">
        <f t="shared" si="116"/>
        <v>15500</v>
      </c>
      <c r="EU23" s="48">
        <v>3060.1</v>
      </c>
      <c r="EV23" s="48">
        <v>1092.5999999999999</v>
      </c>
      <c r="EW23" s="49">
        <f t="shared" si="41"/>
        <v>9165.0499999999993</v>
      </c>
      <c r="EX23" s="48">
        <v>12720</v>
      </c>
      <c r="EY23" s="48">
        <v>1.3978999999999999</v>
      </c>
      <c r="EZ23" s="37">
        <f t="shared" si="42"/>
        <v>12665.05</v>
      </c>
      <c r="FA23" s="48">
        <f t="shared" si="70"/>
        <v>-21888.149999999998</v>
      </c>
      <c r="FB23" s="48">
        <v>35065040</v>
      </c>
      <c r="FC23" s="49">
        <f t="shared" si="109"/>
        <v>23952</v>
      </c>
      <c r="FD23" s="48">
        <f t="shared" si="71"/>
        <v>47840.149999999994</v>
      </c>
      <c r="FE23" s="48">
        <v>16444</v>
      </c>
      <c r="FF23" s="48">
        <v>5881.4</v>
      </c>
      <c r="FG23" s="37">
        <f t="shared" si="72"/>
        <v>13268.380000000001</v>
      </c>
      <c r="FH23" s="48">
        <v>7688.1</v>
      </c>
      <c r="FI23" s="48">
        <v>2.9624000000000001</v>
      </c>
      <c r="FJ23" s="49">
        <f t="shared" si="43"/>
        <v>14613.38</v>
      </c>
      <c r="FK23" s="48"/>
      <c r="FL23" s="58">
        <v>-551.66999999999996</v>
      </c>
      <c r="FM23" s="48">
        <f t="shared" si="110"/>
        <v>-665.04666666666708</v>
      </c>
      <c r="FN23" s="48">
        <v>15806</v>
      </c>
      <c r="FO23" s="48">
        <v>0.75129999999999997</v>
      </c>
      <c r="FP23" s="37">
        <f t="shared" si="73"/>
        <v>18113.38</v>
      </c>
      <c r="FQ23" s="48">
        <v>56287</v>
      </c>
      <c r="FR23" s="48">
        <v>13.505000000000001</v>
      </c>
      <c r="FS23" s="37">
        <f t="shared" si="44"/>
        <v>44000</v>
      </c>
      <c r="FT23" s="48">
        <f t="shared" si="74"/>
        <v>-1995.1400000000012</v>
      </c>
      <c r="FU23" s="48">
        <f t="shared" si="75"/>
        <v>47695.140000000043</v>
      </c>
      <c r="FV23" s="44">
        <v>3072100</v>
      </c>
      <c r="FW23" s="44">
        <v>994600</v>
      </c>
      <c r="FX23" s="37">
        <f t="shared" si="45"/>
        <v>5100</v>
      </c>
      <c r="FY23" s="56">
        <v>2970.1</v>
      </c>
      <c r="FZ23" s="56">
        <v>1.7584</v>
      </c>
      <c r="GA23" s="37">
        <f t="shared" si="46"/>
        <v>299.99999999972715</v>
      </c>
      <c r="GB23" s="56">
        <v>768.43</v>
      </c>
      <c r="GC23" s="56">
        <v>856.99</v>
      </c>
      <c r="GD23" s="37">
        <f t="shared" si="47"/>
        <v>569.99999999993634</v>
      </c>
      <c r="GE23" s="56">
        <v>9543.7999999999993</v>
      </c>
      <c r="GF23" s="56">
        <v>3.0003000000000002</v>
      </c>
      <c r="GG23" s="37">
        <f t="shared" si="48"/>
        <v>5099.9999999992269</v>
      </c>
      <c r="GH23" s="137">
        <v>1853.8</v>
      </c>
      <c r="GI23" s="162">
        <v>1573.7</v>
      </c>
      <c r="GJ23" s="38">
        <f t="shared" si="49"/>
        <v>2000</v>
      </c>
      <c r="GK23" s="162">
        <v>1442.3</v>
      </c>
      <c r="GL23" s="163">
        <v>1107.9000000000001</v>
      </c>
      <c r="GM23" s="38">
        <f t="shared" si="50"/>
        <v>1700.0000000000455</v>
      </c>
      <c r="GN23" s="57">
        <v>159030</v>
      </c>
      <c r="GO23" s="57">
        <v>138830</v>
      </c>
      <c r="GP23" s="38">
        <f t="shared" si="114"/>
        <v>0</v>
      </c>
      <c r="GQ23" s="38">
        <v>226150</v>
      </c>
      <c r="GR23" s="38">
        <v>225260</v>
      </c>
      <c r="GS23" s="38">
        <f t="shared" si="76"/>
        <v>0</v>
      </c>
      <c r="GT23" s="178"/>
      <c r="GU23" s="144">
        <f>DailyMar!B22-DailyMar!N22-DailyMar!V22-DailyMar!Y22-DailyMar!Z22-DailyMar!AA22-DailyMar!AB22-DailyMar!AC22-DailyMar!AD22-DailyMar!AE22-DailyMar!AK22-DailyMar!AO22-DailyMar!AS22-DailyMar!AY22-DailyMar!BD22+DailyMar!BU22-SUM(DailyMar!BP22:BS22)-DailyMar!BT22-DailyMar!AF22-DailyMar!AG22-DailyMar!BG22</f>
        <v>-9.9999969534110278E-3</v>
      </c>
      <c r="GV23" s="59">
        <v>9975.74</v>
      </c>
      <c r="GW23" s="60">
        <f t="shared" si="51"/>
        <v>665.04933333333327</v>
      </c>
      <c r="GX23" s="61">
        <v>665.05</v>
      </c>
      <c r="GY23" s="140"/>
      <c r="GZ23" s="62"/>
      <c r="HA23" s="62"/>
      <c r="HB23" s="74"/>
      <c r="HC23" s="62"/>
      <c r="HD23" s="74"/>
      <c r="HE23" s="24">
        <f t="shared" si="52"/>
        <v>0</v>
      </c>
      <c r="HF23" s="151"/>
      <c r="HG23" s="213">
        <v>17</v>
      </c>
      <c r="HH23" s="16">
        <v>3464</v>
      </c>
      <c r="HI23" s="16">
        <v>1359.7</v>
      </c>
      <c r="HJ23" s="16">
        <f t="shared" si="125"/>
        <v>88599.999999999913</v>
      </c>
      <c r="HK23" s="16">
        <v>1.9189000000000001</v>
      </c>
      <c r="HL23" s="16">
        <v>660.93</v>
      </c>
      <c r="HM23" s="16">
        <f t="shared" si="117"/>
        <v>0</v>
      </c>
      <c r="HN23" s="16">
        <v>869.39</v>
      </c>
      <c r="HO23" s="16">
        <v>369.39</v>
      </c>
      <c r="HP23" s="16">
        <f t="shared" si="120"/>
        <v>25970</v>
      </c>
      <c r="HQ23" s="16">
        <v>875.53</v>
      </c>
      <c r="HR23" s="16">
        <v>400.18</v>
      </c>
      <c r="HS23" s="16">
        <f t="shared" si="121"/>
        <v>20620.000000000004</v>
      </c>
      <c r="HT23" s="16">
        <v>750.84</v>
      </c>
      <c r="HU23" s="16">
        <v>299.49</v>
      </c>
      <c r="HV23" s="16">
        <f t="shared" si="122"/>
        <v>22410.00000000008</v>
      </c>
      <c r="HW23" s="16"/>
      <c r="HX23" s="16"/>
      <c r="HY23" s="128">
        <f t="shared" si="123"/>
        <v>19600</v>
      </c>
      <c r="HZ23" s="211">
        <f t="shared" si="77"/>
        <v>-1.673470251262188E-10</v>
      </c>
      <c r="IA23" s="16"/>
      <c r="IB23" s="16"/>
      <c r="IC23" s="16">
        <f t="shared" si="78"/>
        <v>0</v>
      </c>
      <c r="ID23" s="16"/>
      <c r="IE23" s="16"/>
      <c r="IF23" s="16">
        <f t="shared" si="79"/>
        <v>0</v>
      </c>
      <c r="IG23" s="16"/>
      <c r="IH23" s="16"/>
      <c r="II23" s="16">
        <f t="shared" si="80"/>
        <v>0</v>
      </c>
      <c r="IJ23" s="16"/>
      <c r="IK23" s="16"/>
      <c r="IL23" s="16">
        <f t="shared" si="81"/>
        <v>0</v>
      </c>
      <c r="IM23" s="16"/>
      <c r="IN23" s="16"/>
      <c r="IO23" s="16">
        <f t="shared" si="82"/>
        <v>0</v>
      </c>
      <c r="IP23" s="16"/>
      <c r="IQ23" s="16"/>
      <c r="IR23" s="16">
        <f t="shared" si="83"/>
        <v>0</v>
      </c>
      <c r="IS23" s="16"/>
      <c r="IT23" s="16"/>
      <c r="IU23" s="16">
        <f t="shared" si="84"/>
        <v>0</v>
      </c>
      <c r="IV23" s="16"/>
      <c r="IW23" s="16"/>
      <c r="IX23" s="16">
        <f t="shared" si="85"/>
        <v>0</v>
      </c>
      <c r="IY23" s="16"/>
      <c r="IZ23" s="16"/>
      <c r="JA23" s="16">
        <f t="shared" si="86"/>
        <v>0</v>
      </c>
      <c r="JB23" s="16"/>
      <c r="JC23" s="16"/>
      <c r="JD23" s="16">
        <f t="shared" si="87"/>
        <v>0</v>
      </c>
      <c r="JE23" s="16"/>
      <c r="JF23" s="16"/>
      <c r="JG23" s="16">
        <f t="shared" si="88"/>
        <v>0</v>
      </c>
      <c r="JH23" s="16"/>
      <c r="JI23" s="16"/>
      <c r="JJ23" s="16">
        <f t="shared" si="89"/>
        <v>0</v>
      </c>
      <c r="JK23" s="16"/>
      <c r="JL23" s="16"/>
      <c r="JM23" s="16">
        <f t="shared" si="90"/>
        <v>0</v>
      </c>
      <c r="JN23" s="16"/>
      <c r="JO23" s="16"/>
      <c r="JP23" s="16">
        <f t="shared" si="91"/>
        <v>0</v>
      </c>
      <c r="JQ23" s="16"/>
      <c r="JR23" s="16"/>
      <c r="JS23" s="16">
        <f t="shared" si="92"/>
        <v>0</v>
      </c>
      <c r="JT23" s="16"/>
      <c r="JU23" s="16"/>
      <c r="JV23" s="16">
        <f t="shared" si="93"/>
        <v>0</v>
      </c>
      <c r="JX23" s="151">
        <f t="shared" si="94"/>
        <v>-1.673470251262188E-10</v>
      </c>
    </row>
    <row r="24" spans="1:284" x14ac:dyDescent="0.25">
      <c r="A24" s="35">
        <f t="shared" si="0"/>
        <v>18</v>
      </c>
      <c r="B24" s="38">
        <v>3718.69</v>
      </c>
      <c r="C24" s="38">
        <f t="shared" si="1"/>
        <v>8.4000000000000909</v>
      </c>
      <c r="D24" s="38">
        <f t="shared" si="2"/>
        <v>268800.00000000291</v>
      </c>
      <c r="E24" s="38">
        <v>747.87</v>
      </c>
      <c r="F24" s="38">
        <f t="shared" si="113"/>
        <v>57599.999999998545</v>
      </c>
      <c r="G24" s="38">
        <f t="shared" si="4"/>
        <v>326400.00000000146</v>
      </c>
      <c r="H24" s="37"/>
      <c r="I24" s="39"/>
      <c r="J24" s="42"/>
      <c r="K24" s="37">
        <f t="shared" si="126"/>
        <v>0</v>
      </c>
      <c r="L24" s="40">
        <v>10951300</v>
      </c>
      <c r="M24" s="40"/>
      <c r="N24" s="37">
        <f t="shared" si="96"/>
        <v>323000</v>
      </c>
      <c r="O24" s="37">
        <v>10075.5</v>
      </c>
      <c r="P24" s="37"/>
      <c r="Q24" s="37">
        <f t="shared" si="127"/>
        <v>13500</v>
      </c>
      <c r="R24" s="37">
        <f t="shared" si="128"/>
        <v>1</v>
      </c>
      <c r="S24" s="37">
        <v>11123637.42</v>
      </c>
      <c r="T24" s="37">
        <f t="shared" si="6"/>
        <v>0</v>
      </c>
      <c r="U24" s="37">
        <v>1518173.85</v>
      </c>
      <c r="V24" s="37">
        <f t="shared" si="7"/>
        <v>0</v>
      </c>
      <c r="W24" s="37">
        <v>3512.9</v>
      </c>
      <c r="X24" s="37">
        <f t="shared" si="111"/>
        <v>7810</v>
      </c>
      <c r="Y24" s="183"/>
      <c r="Z24" s="183">
        <f t="shared" si="8"/>
        <v>0</v>
      </c>
      <c r="AA24" s="37">
        <v>574400</v>
      </c>
      <c r="AB24" s="37">
        <f t="shared" si="9"/>
        <v>5690</v>
      </c>
      <c r="AC24" s="37">
        <v>3708.1</v>
      </c>
      <c r="AD24" s="37"/>
      <c r="AE24" s="37">
        <f t="shared" si="129"/>
        <v>8000</v>
      </c>
      <c r="AF24" s="37">
        <f t="shared" si="130"/>
        <v>1</v>
      </c>
      <c r="AG24" s="37">
        <v>8095.1</v>
      </c>
      <c r="AH24" s="37"/>
      <c r="AI24" s="37">
        <f t="shared" si="11"/>
        <v>16688.400000000547</v>
      </c>
      <c r="AJ24" s="37">
        <f t="shared" si="12"/>
        <v>1</v>
      </c>
      <c r="AK24" s="37">
        <f t="shared" si="13"/>
        <v>32498.400000000547</v>
      </c>
      <c r="AL24" s="42">
        <v>10102.299999999999</v>
      </c>
      <c r="AM24" s="42"/>
      <c r="AN24" s="37">
        <f t="shared" si="59"/>
        <v>3648.3999999991947</v>
      </c>
      <c r="AO24" s="37">
        <f t="shared" si="99"/>
        <v>1</v>
      </c>
      <c r="AP24" s="37">
        <v>7718.5</v>
      </c>
      <c r="AQ24" s="37"/>
      <c r="AR24" s="37">
        <f t="shared" si="14"/>
        <v>9300.0000000001819</v>
      </c>
      <c r="AS24" s="37">
        <f t="shared" si="100"/>
        <v>1</v>
      </c>
      <c r="AT24" s="183"/>
      <c r="AU24" s="183">
        <f t="shared" si="15"/>
        <v>0</v>
      </c>
      <c r="AV24" s="183"/>
      <c r="AW24" s="183">
        <f t="shared" si="16"/>
        <v>0</v>
      </c>
      <c r="AX24" s="37">
        <v>457620</v>
      </c>
      <c r="AY24" s="37"/>
      <c r="AZ24" s="37">
        <f t="shared" si="17"/>
        <v>192</v>
      </c>
      <c r="BA24" s="37">
        <v>107100</v>
      </c>
      <c r="BB24" s="37"/>
      <c r="BC24" s="37">
        <f t="shared" si="18"/>
        <v>62.899999999994179</v>
      </c>
      <c r="BD24" s="37">
        <f>AN24+AR24+AZ24+BC24</f>
        <v>13203.29999999937</v>
      </c>
      <c r="BE24" s="43">
        <v>1743.8</v>
      </c>
      <c r="BF24" s="43">
        <v>952.97</v>
      </c>
      <c r="BG24" s="37">
        <f t="shared" si="19"/>
        <v>2799.9999999999545</v>
      </c>
      <c r="BH24" s="44">
        <v>8270.1</v>
      </c>
      <c r="BI24" s="44">
        <v>5320.1</v>
      </c>
      <c r="BJ24" s="37">
        <f t="shared" si="20"/>
        <v>10300.000000001091</v>
      </c>
      <c r="BK24" s="40">
        <v>1312050</v>
      </c>
      <c r="BL24" s="40">
        <f t="shared" si="102"/>
        <v>4150</v>
      </c>
      <c r="BM24" s="40">
        <v>826.2</v>
      </c>
      <c r="BN24" s="37">
        <f t="shared" si="21"/>
        <v>660.00000000008185</v>
      </c>
      <c r="BO24" s="186"/>
      <c r="BP24" s="183">
        <f t="shared" si="22"/>
        <v>0</v>
      </c>
      <c r="BQ24" s="40">
        <v>783.1</v>
      </c>
      <c r="BR24" s="37">
        <f t="shared" si="60"/>
        <v>629.99999999999545</v>
      </c>
      <c r="BS24" s="37">
        <v>84571.91</v>
      </c>
      <c r="BT24" s="37">
        <f t="shared" si="23"/>
        <v>195.04000000000815</v>
      </c>
      <c r="BU24" s="42">
        <v>2165906</v>
      </c>
      <c r="BV24" s="42"/>
      <c r="BW24" s="37">
        <f t="shared" si="24"/>
        <v>12406</v>
      </c>
      <c r="BX24" s="37">
        <f t="shared" si="103"/>
        <v>1</v>
      </c>
      <c r="BY24" s="43">
        <v>303.26569999999998</v>
      </c>
      <c r="BZ24" s="37"/>
      <c r="CA24" s="37">
        <f t="shared" si="124"/>
        <v>765.69999999998117</v>
      </c>
      <c r="CB24" s="37">
        <f t="shared" si="61"/>
        <v>1</v>
      </c>
      <c r="CC24" s="37">
        <v>513161.4</v>
      </c>
      <c r="CD24" s="37">
        <f t="shared" si="26"/>
        <v>4261.4000000000233</v>
      </c>
      <c r="CE24" s="41">
        <v>774873.7</v>
      </c>
      <c r="CF24" s="37">
        <f t="shared" si="62"/>
        <v>8053.6999999999534</v>
      </c>
      <c r="CG24" s="37">
        <v>64506.8</v>
      </c>
      <c r="CH24" s="37">
        <f t="shared" si="63"/>
        <v>0</v>
      </c>
      <c r="CI24" s="40">
        <v>11502.88</v>
      </c>
      <c r="CJ24" s="40"/>
      <c r="CK24" s="37">
        <f t="shared" si="64"/>
        <v>15902.69999999922</v>
      </c>
      <c r="CL24" s="37">
        <f t="shared" si="27"/>
        <v>1</v>
      </c>
      <c r="CM24" s="37">
        <v>3095.29</v>
      </c>
      <c r="CN24" s="37"/>
      <c r="CO24" s="37">
        <f t="shared" si="28"/>
        <v>6678.3999999998723</v>
      </c>
      <c r="CP24" s="37">
        <f t="shared" si="104"/>
        <v>1</v>
      </c>
      <c r="CQ24" s="39">
        <v>2957.866</v>
      </c>
      <c r="CR24" s="39"/>
      <c r="CS24" s="37">
        <f t="shared" si="29"/>
        <v>5154.3999999999851</v>
      </c>
      <c r="CT24" s="37">
        <f t="shared" ref="CT24" si="131">IF(CS24&lt;=0,0,(CS24/SQRT(CS24^2+(CR24-CR23)^2)))</f>
        <v>1</v>
      </c>
      <c r="CU24" s="37">
        <v>2643254</v>
      </c>
      <c r="CV24" s="37"/>
      <c r="CW24" s="38">
        <f t="shared" si="30"/>
        <v>14454</v>
      </c>
      <c r="CX24" s="37">
        <f t="shared" si="106"/>
        <v>1</v>
      </c>
      <c r="CY24" s="37">
        <v>1365247</v>
      </c>
      <c r="CZ24" s="37"/>
      <c r="DA24" s="37">
        <f t="shared" si="31"/>
        <v>4947</v>
      </c>
      <c r="DB24" s="37">
        <f t="shared" si="107"/>
        <v>1</v>
      </c>
      <c r="DC24" s="37"/>
      <c r="DD24" s="40"/>
      <c r="DE24" s="37">
        <f t="shared" si="32"/>
        <v>0</v>
      </c>
      <c r="DF24" s="37">
        <f t="shared" si="112"/>
        <v>0</v>
      </c>
      <c r="DG24" s="37">
        <f t="shared" si="33"/>
        <v>-59542.499999999076</v>
      </c>
      <c r="DH24" s="37">
        <f t="shared" si="34"/>
        <v>358298.40000000049</v>
      </c>
      <c r="DI24" s="46"/>
      <c r="DJ24" s="46"/>
      <c r="DK24" s="47"/>
      <c r="DL24" s="47"/>
      <c r="DM24" s="37"/>
      <c r="DN24" s="37"/>
      <c r="DO24" s="37"/>
      <c r="DP24" s="37"/>
      <c r="DQ24" s="50">
        <v>2943900</v>
      </c>
      <c r="DR24" s="49">
        <f t="shared" si="65"/>
        <v>9200</v>
      </c>
      <c r="DS24" s="50">
        <v>2584900</v>
      </c>
      <c r="DT24" s="49">
        <f>IF((DS24-DS23)&lt;=0,0,(DS24-DS23))</f>
        <v>19800</v>
      </c>
      <c r="DU24" s="51">
        <v>7701.9</v>
      </c>
      <c r="DV24" s="51">
        <v>4308.1000000000004</v>
      </c>
      <c r="DW24" s="37">
        <f t="shared" si="108"/>
        <v>4599.9999999994543</v>
      </c>
      <c r="DX24" s="52">
        <v>12730</v>
      </c>
      <c r="DY24" s="52">
        <v>8307.2999999999993</v>
      </c>
      <c r="DZ24" s="37">
        <f t="shared" si="35"/>
        <v>5788.4</v>
      </c>
      <c r="EA24" s="49">
        <v>28635</v>
      </c>
      <c r="EB24" s="49">
        <v>20.201000000000001</v>
      </c>
      <c r="EC24" s="37">
        <f t="shared" si="36"/>
        <v>25948.400000000001</v>
      </c>
      <c r="ED24" s="53">
        <f t="shared" si="37"/>
        <v>36336.799999999457</v>
      </c>
      <c r="EE24" s="49">
        <v>43789</v>
      </c>
      <c r="EF24" s="49">
        <v>27.984999999999999</v>
      </c>
      <c r="EG24" s="37">
        <f t="shared" si="38"/>
        <v>33948.400000000001</v>
      </c>
      <c r="EH24" s="51">
        <v>12384</v>
      </c>
      <c r="EI24" s="51">
        <v>1.6596</v>
      </c>
      <c r="EJ24" s="37">
        <f t="shared" si="39"/>
        <v>9788.4</v>
      </c>
      <c r="EK24" s="37">
        <v>750.29</v>
      </c>
      <c r="EL24" s="40">
        <v>1076</v>
      </c>
      <c r="EM24" s="37">
        <f t="shared" si="67"/>
        <v>740.00000000000909</v>
      </c>
      <c r="EN24" s="54">
        <f t="shared" si="68"/>
        <v>44476.80000000001</v>
      </c>
      <c r="EO24" s="48">
        <v>12496</v>
      </c>
      <c r="EP24" s="48">
        <v>4350</v>
      </c>
      <c r="EQ24" s="37">
        <f t="shared" si="69"/>
        <v>8728.4000000000269</v>
      </c>
      <c r="ER24" s="48">
        <v>8390.1</v>
      </c>
      <c r="ES24" s="48">
        <v>3417.6</v>
      </c>
      <c r="ET24" s="49">
        <f t="shared" si="116"/>
        <v>17000</v>
      </c>
      <c r="EU24" s="48">
        <v>3068.9</v>
      </c>
      <c r="EV24" s="48">
        <v>1095.5999999999999</v>
      </c>
      <c r="EW24" s="49">
        <f t="shared" si="41"/>
        <v>8588.4000000001815</v>
      </c>
      <c r="EX24" s="48">
        <v>12733</v>
      </c>
      <c r="EY24" s="48">
        <v>1.401</v>
      </c>
      <c r="EZ24" s="37">
        <f t="shared" si="42"/>
        <v>12788.4</v>
      </c>
      <c r="FA24" s="48">
        <f t="shared" si="70"/>
        <v>-21858.200000000208</v>
      </c>
      <c r="FB24" s="48">
        <v>35090287</v>
      </c>
      <c r="FC24" s="49">
        <f t="shared" si="109"/>
        <v>25247</v>
      </c>
      <c r="FD24" s="48">
        <f t="shared" si="71"/>
        <v>48905.200000000164</v>
      </c>
      <c r="FE24" s="48">
        <v>16454</v>
      </c>
      <c r="FF24" s="48">
        <v>5884.8</v>
      </c>
      <c r="FG24" s="37">
        <f t="shared" si="72"/>
        <v>11628.399999999972</v>
      </c>
      <c r="FH24" s="48">
        <v>7706.7</v>
      </c>
      <c r="FI24" s="48">
        <v>2.9695</v>
      </c>
      <c r="FJ24" s="49">
        <f t="shared" si="43"/>
        <v>18168.399999999456</v>
      </c>
      <c r="FK24" s="48"/>
      <c r="FL24" s="58">
        <v>-220</v>
      </c>
      <c r="FM24" s="48">
        <f t="shared" si="110"/>
        <v>211.60000000019076</v>
      </c>
      <c r="FN24" s="48">
        <v>15820</v>
      </c>
      <c r="FO24" s="48">
        <v>0.75280000000000002</v>
      </c>
      <c r="FP24" s="37">
        <f t="shared" si="73"/>
        <v>13568.4</v>
      </c>
      <c r="FQ24" s="48">
        <v>56331</v>
      </c>
      <c r="FR24" s="48">
        <v>13.516999999999999</v>
      </c>
      <c r="FS24" s="37">
        <f t="shared" si="44"/>
        <v>44000</v>
      </c>
      <c r="FT24" s="48">
        <f t="shared" si="74"/>
        <v>634.80000000057225</v>
      </c>
      <c r="FU24" s="48">
        <f t="shared" si="75"/>
        <v>44965.199999999568</v>
      </c>
      <c r="FV24" s="44">
        <v>3078400</v>
      </c>
      <c r="FW24" s="44">
        <v>997130</v>
      </c>
      <c r="FX24" s="37">
        <f t="shared" si="45"/>
        <v>6300</v>
      </c>
      <c r="FY24" s="56">
        <v>2970.4</v>
      </c>
      <c r="FZ24" s="56">
        <v>1.7586999999999999</v>
      </c>
      <c r="GA24" s="37">
        <f t="shared" si="46"/>
        <v>300.0000000001819</v>
      </c>
      <c r="GB24" s="56">
        <v>769.04</v>
      </c>
      <c r="GC24" s="56">
        <v>857.77</v>
      </c>
      <c r="GD24" s="37">
        <f t="shared" si="47"/>
        <v>610.00000000001364</v>
      </c>
      <c r="GE24" s="56">
        <v>9553.1</v>
      </c>
      <c r="GF24" s="56">
        <v>3.0066000000000002</v>
      </c>
      <c r="GG24" s="37">
        <f t="shared" si="48"/>
        <v>5900.0000000010004</v>
      </c>
      <c r="GH24" s="158">
        <v>1855.6</v>
      </c>
      <c r="GI24" s="159">
        <v>1575.5</v>
      </c>
      <c r="GJ24" s="38">
        <f t="shared" si="49"/>
        <v>1799.9999999999545</v>
      </c>
      <c r="GK24" s="159">
        <v>1443.9</v>
      </c>
      <c r="GL24" s="160">
        <v>1108.5999999999999</v>
      </c>
      <c r="GM24" s="38">
        <f t="shared" si="50"/>
        <v>1600.0000000001364</v>
      </c>
      <c r="GN24" s="57">
        <v>159030</v>
      </c>
      <c r="GO24" s="57">
        <v>138840</v>
      </c>
      <c r="GP24" s="38">
        <f t="shared" si="114"/>
        <v>0</v>
      </c>
      <c r="GQ24" s="38">
        <v>226150</v>
      </c>
      <c r="GR24" s="38">
        <v>225260</v>
      </c>
      <c r="GS24" s="38">
        <f t="shared" si="76"/>
        <v>0</v>
      </c>
      <c r="GT24" s="178"/>
      <c r="GU24" s="144">
        <f>DailyMar!B23-DailyMar!N23-DailyMar!V23-DailyMar!Y23-DailyMar!Z23-DailyMar!AA23-DailyMar!AB23-DailyMar!AC23-DailyMar!AD23-DailyMar!AE23-DailyMar!AK23-DailyMar!AO23-DailyMar!AS23-DailyMar!AY23-DailyMar!BD23+DailyMar!BU23-SUM(DailyMar!BP23:BS23)-DailyMar!BT23-DailyMar!AF23-DailyMar!AG23-DailyMar!BG23</f>
        <v>8.7311491370201111E-10</v>
      </c>
      <c r="GV24" s="59">
        <v>-3174</v>
      </c>
      <c r="GW24" s="60">
        <f t="shared" si="51"/>
        <v>-211.6</v>
      </c>
      <c r="GX24" s="61">
        <v>-211.6</v>
      </c>
      <c r="GY24" s="140"/>
      <c r="GZ24" s="62"/>
      <c r="HA24" s="62"/>
      <c r="HB24" s="74"/>
      <c r="HC24" s="62"/>
      <c r="HD24" s="74"/>
      <c r="HE24" s="24">
        <f t="shared" si="52"/>
        <v>0</v>
      </c>
      <c r="HF24" s="151"/>
      <c r="HG24" s="213">
        <v>18</v>
      </c>
      <c r="HH24" s="16">
        <v>3554.8</v>
      </c>
      <c r="HI24" s="16">
        <v>1393.8</v>
      </c>
      <c r="HJ24" s="16">
        <f t="shared" si="125"/>
        <v>90800.000000000175</v>
      </c>
      <c r="HK24" s="16">
        <v>1.9189000000000001</v>
      </c>
      <c r="HL24" s="16">
        <v>660.93</v>
      </c>
      <c r="HM24" s="16">
        <f t="shared" si="117"/>
        <v>0</v>
      </c>
      <c r="HN24" s="16">
        <v>895.94</v>
      </c>
      <c r="HO24" s="16">
        <v>392.18</v>
      </c>
      <c r="HP24" s="16">
        <f t="shared" si="120"/>
        <v>27840.000000000138</v>
      </c>
      <c r="HQ24" s="16">
        <v>896.23</v>
      </c>
      <c r="HR24" s="16">
        <v>409.14</v>
      </c>
      <c r="HS24" s="16">
        <f t="shared" si="121"/>
        <v>20700.000000000044</v>
      </c>
      <c r="HT24" s="16">
        <v>773.3</v>
      </c>
      <c r="HU24" s="16">
        <v>307.98</v>
      </c>
      <c r="HV24" s="16">
        <f t="shared" si="122"/>
        <v>22459.999999999924</v>
      </c>
      <c r="HW24" s="16"/>
      <c r="HX24" s="16"/>
      <c r="HY24" s="128">
        <f t="shared" si="123"/>
        <v>19800</v>
      </c>
      <c r="HZ24" s="211">
        <f t="shared" si="77"/>
        <v>6.9121597334742546E-11</v>
      </c>
      <c r="IA24" s="16"/>
      <c r="IB24" s="16"/>
      <c r="IC24" s="16">
        <f t="shared" si="78"/>
        <v>0</v>
      </c>
      <c r="ID24" s="16"/>
      <c r="IE24" s="16"/>
      <c r="IF24" s="16">
        <f t="shared" si="79"/>
        <v>0</v>
      </c>
      <c r="IG24" s="16"/>
      <c r="IH24" s="16"/>
      <c r="II24" s="16">
        <f t="shared" si="80"/>
        <v>0</v>
      </c>
      <c r="IJ24" s="16"/>
      <c r="IK24" s="16"/>
      <c r="IL24" s="16">
        <f t="shared" si="81"/>
        <v>0</v>
      </c>
      <c r="IM24" s="16"/>
      <c r="IN24" s="16"/>
      <c r="IO24" s="16">
        <f t="shared" si="82"/>
        <v>0</v>
      </c>
      <c r="IP24" s="16"/>
      <c r="IQ24" s="16"/>
      <c r="IR24" s="16">
        <f t="shared" si="83"/>
        <v>0</v>
      </c>
      <c r="IS24" s="16"/>
      <c r="IT24" s="16"/>
      <c r="IU24" s="16">
        <f t="shared" si="84"/>
        <v>0</v>
      </c>
      <c r="IV24" s="16"/>
      <c r="IW24" s="16"/>
      <c r="IX24" s="16">
        <f t="shared" si="85"/>
        <v>0</v>
      </c>
      <c r="IY24" s="16"/>
      <c r="IZ24" s="16"/>
      <c r="JA24" s="16">
        <f t="shared" si="86"/>
        <v>0</v>
      </c>
      <c r="JB24" s="16"/>
      <c r="JC24" s="16"/>
      <c r="JD24" s="16">
        <f t="shared" si="87"/>
        <v>0</v>
      </c>
      <c r="JE24" s="16"/>
      <c r="JF24" s="16"/>
      <c r="JG24" s="16">
        <f t="shared" si="88"/>
        <v>0</v>
      </c>
      <c r="JH24" s="16"/>
      <c r="JI24" s="16"/>
      <c r="JJ24" s="16">
        <f t="shared" si="89"/>
        <v>0</v>
      </c>
      <c r="JK24" s="16"/>
      <c r="JL24" s="16"/>
      <c r="JM24" s="16">
        <f t="shared" si="90"/>
        <v>0</v>
      </c>
      <c r="JN24" s="16"/>
      <c r="JO24" s="16"/>
      <c r="JP24" s="16">
        <f t="shared" si="91"/>
        <v>0</v>
      </c>
      <c r="JQ24" s="16"/>
      <c r="JR24" s="16"/>
      <c r="JS24" s="16">
        <f t="shared" si="92"/>
        <v>0</v>
      </c>
      <c r="JT24" s="16"/>
      <c r="JU24" s="16"/>
      <c r="JV24" s="16">
        <f t="shared" si="93"/>
        <v>0</v>
      </c>
      <c r="JX24" s="151">
        <f t="shared" si="94"/>
        <v>6.9121597334742546E-11</v>
      </c>
    </row>
    <row r="25" spans="1:284" x14ac:dyDescent="0.25">
      <c r="A25" s="35">
        <f t="shared" si="0"/>
        <v>19</v>
      </c>
      <c r="B25" s="38">
        <v>3727.23</v>
      </c>
      <c r="C25" s="38">
        <f t="shared" si="1"/>
        <v>8.5399999999999636</v>
      </c>
      <c r="D25" s="38">
        <f t="shared" si="2"/>
        <v>273279.99999999884</v>
      </c>
      <c r="E25" s="38">
        <v>749.71</v>
      </c>
      <c r="F25" s="38">
        <f t="shared" si="113"/>
        <v>58880.000000001019</v>
      </c>
      <c r="G25" s="38">
        <f t="shared" si="4"/>
        <v>332159.99999999988</v>
      </c>
      <c r="H25" s="37"/>
      <c r="I25" s="39"/>
      <c r="J25" s="42"/>
      <c r="K25" s="37">
        <f t="shared" si="95"/>
        <v>0</v>
      </c>
      <c r="L25" s="40">
        <v>10983800</v>
      </c>
      <c r="M25" s="40"/>
      <c r="N25" s="37">
        <f t="shared" si="96"/>
        <v>325000</v>
      </c>
      <c r="O25" s="37">
        <v>10088.299999999999</v>
      </c>
      <c r="P25" s="70"/>
      <c r="Q25" s="37">
        <f t="shared" si="127"/>
        <v>12799.999999999272</v>
      </c>
      <c r="R25" s="37">
        <f t="shared" si="97"/>
        <v>1</v>
      </c>
      <c r="S25" s="37">
        <v>11123637.42</v>
      </c>
      <c r="T25" s="37">
        <f t="shared" si="6"/>
        <v>0</v>
      </c>
      <c r="U25" s="37">
        <v>1518173.85</v>
      </c>
      <c r="V25" s="37">
        <f t="shared" si="7"/>
        <v>0</v>
      </c>
      <c r="W25" s="37">
        <v>3518.8</v>
      </c>
      <c r="X25" s="37">
        <f t="shared" si="111"/>
        <v>7499.9999999992724</v>
      </c>
      <c r="Y25" s="183"/>
      <c r="Z25" s="183">
        <f t="shared" si="8"/>
        <v>0</v>
      </c>
      <c r="AA25" s="37">
        <v>579700</v>
      </c>
      <c r="AB25" s="37">
        <f t="shared" si="9"/>
        <v>5300</v>
      </c>
      <c r="AC25" s="37">
        <v>3714.9</v>
      </c>
      <c r="AD25" s="37"/>
      <c r="AE25" s="37">
        <f t="shared" si="129"/>
        <v>6800.0000000001819</v>
      </c>
      <c r="AF25" s="37">
        <f t="shared" si="98"/>
        <v>1</v>
      </c>
      <c r="AG25" s="37">
        <v>8110.4</v>
      </c>
      <c r="AH25" s="37"/>
      <c r="AI25" s="37">
        <f t="shared" si="11"/>
        <v>15634.829999999272</v>
      </c>
      <c r="AJ25" s="37">
        <f t="shared" si="12"/>
        <v>1</v>
      </c>
      <c r="AK25" s="37">
        <f t="shared" si="13"/>
        <v>29934.829999998728</v>
      </c>
      <c r="AL25" s="42">
        <v>10113.4</v>
      </c>
      <c r="AM25" s="42"/>
      <c r="AN25" s="37">
        <f t="shared" si="59"/>
        <v>6044.8300000003683</v>
      </c>
      <c r="AO25" s="37">
        <f t="shared" si="99"/>
        <v>1</v>
      </c>
      <c r="AP25" s="37">
        <v>7732.6</v>
      </c>
      <c r="AQ25" s="37"/>
      <c r="AR25" s="37">
        <f t="shared" si="14"/>
        <v>14100.000000000364</v>
      </c>
      <c r="AS25" s="37">
        <f t="shared" si="100"/>
        <v>1</v>
      </c>
      <c r="AT25" s="183"/>
      <c r="AU25" s="183">
        <f t="shared" si="15"/>
        <v>0</v>
      </c>
      <c r="AV25" s="183"/>
      <c r="AW25" s="183">
        <f t="shared" si="16"/>
        <v>0</v>
      </c>
      <c r="AX25" s="37">
        <v>458000</v>
      </c>
      <c r="AY25" s="37"/>
      <c r="AZ25" s="37">
        <f t="shared" si="17"/>
        <v>380</v>
      </c>
      <c r="BA25" s="37">
        <v>107730</v>
      </c>
      <c r="BB25" s="37"/>
      <c r="BC25" s="37">
        <f t="shared" si="18"/>
        <v>630</v>
      </c>
      <c r="BD25" s="37">
        <f t="shared" si="101"/>
        <v>21154.830000000733</v>
      </c>
      <c r="BE25" s="37">
        <v>1746.7</v>
      </c>
      <c r="BF25" s="37">
        <v>954.69</v>
      </c>
      <c r="BG25" s="37">
        <f t="shared" si="19"/>
        <v>2900.0000000000909</v>
      </c>
      <c r="BH25" s="44">
        <v>8279.9</v>
      </c>
      <c r="BI25" s="44">
        <v>5326.6</v>
      </c>
      <c r="BJ25" s="37">
        <f t="shared" si="20"/>
        <v>9799.9999999992724</v>
      </c>
      <c r="BK25" s="40">
        <v>1316060</v>
      </c>
      <c r="BL25" s="40">
        <f t="shared" si="102"/>
        <v>4010</v>
      </c>
      <c r="BM25" s="40">
        <v>826.84</v>
      </c>
      <c r="BN25" s="37">
        <f t="shared" si="21"/>
        <v>639.99999999998636</v>
      </c>
      <c r="BO25" s="186"/>
      <c r="BP25" s="183">
        <f t="shared" si="22"/>
        <v>0</v>
      </c>
      <c r="BQ25" s="40">
        <v>783.84</v>
      </c>
      <c r="BR25" s="37">
        <f t="shared" si="60"/>
        <v>740.00000000000909</v>
      </c>
      <c r="BS25" s="37">
        <v>84794.16</v>
      </c>
      <c r="BT25" s="37">
        <f t="shared" si="23"/>
        <v>222.25</v>
      </c>
      <c r="BU25" s="42">
        <v>2177649</v>
      </c>
      <c r="BV25" s="42"/>
      <c r="BW25" s="37">
        <f t="shared" si="24"/>
        <v>11743</v>
      </c>
      <c r="BX25" s="37">
        <f t="shared" si="103"/>
        <v>1</v>
      </c>
      <c r="BY25" s="37">
        <v>304.0342</v>
      </c>
      <c r="BZ25" s="37"/>
      <c r="CA25" s="37">
        <f t="shared" si="124"/>
        <v>768.50000000001728</v>
      </c>
      <c r="CB25" s="37">
        <f t="shared" si="61"/>
        <v>1</v>
      </c>
      <c r="CC25" s="37">
        <v>517238.6</v>
      </c>
      <c r="CD25" s="37">
        <f t="shared" si="26"/>
        <v>4077.1999999999534</v>
      </c>
      <c r="CE25" s="41">
        <v>782416.1</v>
      </c>
      <c r="CF25" s="37">
        <f t="shared" si="62"/>
        <v>7542.4000000000233</v>
      </c>
      <c r="CG25" s="37">
        <v>64506.8</v>
      </c>
      <c r="CH25" s="37">
        <f t="shared" si="63"/>
        <v>0</v>
      </c>
      <c r="CI25" s="40">
        <v>11519.02</v>
      </c>
      <c r="CJ25" s="40"/>
      <c r="CK25" s="37">
        <f t="shared" si="64"/>
        <v>15706.33000000122</v>
      </c>
      <c r="CL25" s="37">
        <f t="shared" si="27"/>
        <v>1</v>
      </c>
      <c r="CM25" s="37">
        <v>3101.9380000000001</v>
      </c>
      <c r="CN25" s="37"/>
      <c r="CO25" s="37">
        <f t="shared" si="28"/>
        <v>6982.8300000001382</v>
      </c>
      <c r="CP25" s="37">
        <f t="shared" si="104"/>
        <v>1</v>
      </c>
      <c r="CQ25" s="39">
        <v>2963.1289999999999</v>
      </c>
      <c r="CR25" s="39"/>
      <c r="CS25" s="37">
        <f t="shared" si="29"/>
        <v>5597.8299999999199</v>
      </c>
      <c r="CT25" s="37">
        <f t="shared" si="105"/>
        <v>1</v>
      </c>
      <c r="CU25" s="37">
        <v>2658190</v>
      </c>
      <c r="CV25" s="37"/>
      <c r="CW25" s="38">
        <f t="shared" si="30"/>
        <v>14936</v>
      </c>
      <c r="CX25" s="37">
        <f t="shared" si="106"/>
        <v>1</v>
      </c>
      <c r="CY25" s="37">
        <v>1370240</v>
      </c>
      <c r="CZ25" s="37"/>
      <c r="DA25" s="37">
        <f t="shared" si="31"/>
        <v>4993</v>
      </c>
      <c r="DB25" s="37">
        <f t="shared" si="107"/>
        <v>1</v>
      </c>
      <c r="DC25" s="37"/>
      <c r="DD25" s="40"/>
      <c r="DE25" s="37">
        <f t="shared" si="32"/>
        <v>0</v>
      </c>
      <c r="DF25" s="37">
        <f t="shared" si="112"/>
        <v>0</v>
      </c>
      <c r="DG25" s="37">
        <f t="shared" si="33"/>
        <v>-59958.990000001286</v>
      </c>
      <c r="DH25" s="37">
        <f t="shared" si="34"/>
        <v>357834.82999999879</v>
      </c>
      <c r="DI25" s="46"/>
      <c r="DJ25" s="46"/>
      <c r="DK25" s="47"/>
      <c r="DL25" s="47"/>
      <c r="DM25" s="37"/>
      <c r="DN25" s="37"/>
      <c r="DO25" s="37"/>
      <c r="DP25" s="37"/>
      <c r="DQ25" s="50">
        <v>2953000</v>
      </c>
      <c r="DR25" s="49">
        <f t="shared" si="65"/>
        <v>9100</v>
      </c>
      <c r="DS25" s="50">
        <v>2604400</v>
      </c>
      <c r="DT25" s="49">
        <f t="shared" si="66"/>
        <v>19500</v>
      </c>
      <c r="DU25" s="51">
        <v>7706.7</v>
      </c>
      <c r="DV25" s="51">
        <v>4311.1000000000004</v>
      </c>
      <c r="DW25" s="37">
        <f t="shared" si="108"/>
        <v>4800.0000000001819</v>
      </c>
      <c r="DX25" s="52">
        <v>12736</v>
      </c>
      <c r="DY25" s="52">
        <v>8307.5</v>
      </c>
      <c r="DZ25" s="37">
        <f t="shared" si="35"/>
        <v>6334.83</v>
      </c>
      <c r="EA25" s="49">
        <v>28660</v>
      </c>
      <c r="EB25" s="49">
        <v>20.213000000000001</v>
      </c>
      <c r="EC25" s="37">
        <f t="shared" si="36"/>
        <v>27494.83</v>
      </c>
      <c r="ED25" s="53">
        <f t="shared" si="37"/>
        <v>38629.660000000185</v>
      </c>
      <c r="EE25" s="49">
        <v>43814</v>
      </c>
      <c r="EF25" s="49">
        <v>28.009</v>
      </c>
      <c r="EG25" s="37">
        <f t="shared" si="38"/>
        <v>27494.83</v>
      </c>
      <c r="EH25" s="51">
        <v>12394</v>
      </c>
      <c r="EI25" s="51">
        <v>1.6615</v>
      </c>
      <c r="EJ25" s="37">
        <f t="shared" si="39"/>
        <v>10334.83</v>
      </c>
      <c r="EK25" s="37">
        <v>750.89</v>
      </c>
      <c r="EL25" s="40">
        <v>1076.8</v>
      </c>
      <c r="EM25" s="37">
        <f t="shared" si="67"/>
        <v>600.00000000002274</v>
      </c>
      <c r="EN25" s="54">
        <f t="shared" si="68"/>
        <v>38429.660000000025</v>
      </c>
      <c r="EO25" s="48">
        <v>12506</v>
      </c>
      <c r="EP25" s="48">
        <v>4353.3999999999996</v>
      </c>
      <c r="EQ25" s="37">
        <f t="shared" si="69"/>
        <v>8294.8299999999799</v>
      </c>
      <c r="ER25" s="48">
        <v>8407.5</v>
      </c>
      <c r="ES25" s="48">
        <v>3424.7</v>
      </c>
      <c r="ET25" s="49">
        <f t="shared" si="116"/>
        <v>17399.999999999636</v>
      </c>
      <c r="EU25" s="48">
        <v>3077.5</v>
      </c>
      <c r="EV25" s="48">
        <v>1098.5</v>
      </c>
      <c r="EW25" s="49">
        <f t="shared" si="41"/>
        <v>8934.829999999909</v>
      </c>
      <c r="EX25" s="48">
        <v>12746</v>
      </c>
      <c r="EY25" s="48">
        <v>1.4033</v>
      </c>
      <c r="EZ25" s="37">
        <f t="shared" si="42"/>
        <v>13334.83</v>
      </c>
      <c r="FA25" s="48">
        <f t="shared" si="70"/>
        <v>-22964.489999999525</v>
      </c>
      <c r="FB25" s="48">
        <v>35115287</v>
      </c>
      <c r="FC25" s="49">
        <f t="shared" si="109"/>
        <v>25000</v>
      </c>
      <c r="FD25" s="48">
        <f t="shared" si="71"/>
        <v>49664.489999999569</v>
      </c>
      <c r="FE25" s="48">
        <v>16465</v>
      </c>
      <c r="FF25" s="48">
        <v>5888.3</v>
      </c>
      <c r="FG25" s="37">
        <f t="shared" si="72"/>
        <v>12828.16000000002</v>
      </c>
      <c r="FH25" s="48">
        <v>7725.3</v>
      </c>
      <c r="FI25" s="48">
        <v>2.9695</v>
      </c>
      <c r="FJ25" s="49">
        <f t="shared" si="43"/>
        <v>18388.160000000367</v>
      </c>
      <c r="FK25" s="48"/>
      <c r="FL25" s="58">
        <v>-546.66999999999996</v>
      </c>
      <c r="FM25" s="48">
        <f t="shared" si="110"/>
        <v>-334.82666666679506</v>
      </c>
      <c r="FN25" s="48">
        <v>15833</v>
      </c>
      <c r="FO25" s="48">
        <v>0.75419999999999998</v>
      </c>
      <c r="FP25" s="37">
        <f t="shared" si="73"/>
        <v>12788.16</v>
      </c>
      <c r="FQ25" s="48">
        <v>56374</v>
      </c>
      <c r="FR25" s="48">
        <v>13.529</v>
      </c>
      <c r="FS25" s="37">
        <f t="shared" si="44"/>
        <v>43000</v>
      </c>
      <c r="FT25" s="48">
        <f t="shared" si="74"/>
        <v>-1004.4800000003852</v>
      </c>
      <c r="FU25" s="48">
        <f>FG25+FJ25+FP25+GM25</f>
        <v>45304.480000000345</v>
      </c>
      <c r="FV25" s="44">
        <v>3085700</v>
      </c>
      <c r="FW25" s="44">
        <v>1000100</v>
      </c>
      <c r="FX25" s="37">
        <f t="shared" si="45"/>
        <v>7300</v>
      </c>
      <c r="FY25" s="56">
        <v>2970.7</v>
      </c>
      <c r="FZ25" s="56">
        <v>1.7589999999999999</v>
      </c>
      <c r="GA25" s="37">
        <f t="shared" si="46"/>
        <v>299.99999999972715</v>
      </c>
      <c r="GB25" s="56">
        <v>769.73</v>
      </c>
      <c r="GC25" s="56">
        <v>858.61</v>
      </c>
      <c r="GD25" s="37">
        <f t="shared" si="47"/>
        <v>690.00000000005457</v>
      </c>
      <c r="GE25" s="56">
        <v>9562.5</v>
      </c>
      <c r="GF25" s="56">
        <v>3.0857000000000001</v>
      </c>
      <c r="GG25" s="37">
        <f t="shared" si="48"/>
        <v>6399.9999999996362</v>
      </c>
      <c r="GH25" s="158">
        <v>1857.3</v>
      </c>
      <c r="GI25" s="159">
        <v>1576.9</v>
      </c>
      <c r="GJ25" s="38">
        <f t="shared" si="49"/>
        <v>1700.0000000000455</v>
      </c>
      <c r="GK25" s="159">
        <v>1445.2</v>
      </c>
      <c r="GL25" s="160">
        <v>1109.0999999999999</v>
      </c>
      <c r="GM25" s="38">
        <f t="shared" si="50"/>
        <v>1299.9999999999545</v>
      </c>
      <c r="GN25" s="57">
        <v>159040</v>
      </c>
      <c r="GO25" s="57">
        <v>138840</v>
      </c>
      <c r="GP25" s="38">
        <f t="shared" si="114"/>
        <v>10</v>
      </c>
      <c r="GQ25" s="38">
        <v>226150</v>
      </c>
      <c r="GR25" s="38">
        <v>225260</v>
      </c>
      <c r="GS25" s="38">
        <f t="shared" si="76"/>
        <v>0</v>
      </c>
      <c r="GT25" s="178"/>
      <c r="GU25" s="144">
        <f>DailyMar!B24-DailyMar!N24-DailyMar!V24-DailyMar!Y24-DailyMar!Z24-DailyMar!AA24-DailyMar!AB24-DailyMar!AC24-DailyMar!AD24-DailyMar!AE24-DailyMar!AK24-DailyMar!AO24-DailyMar!AS24-DailyMar!AY24-DailyMar!BD24+DailyMar!BU24-SUM(DailyMar!BP24:BS24)-DailyMar!BT24-DailyMar!AF24-DailyMar!AG24-DailyMar!BG24</f>
        <v>-3.9999999324209057E-2</v>
      </c>
      <c r="GV25" s="59">
        <v>5022.41</v>
      </c>
      <c r="GW25" s="60">
        <f t="shared" si="51"/>
        <v>334.82733333333334</v>
      </c>
      <c r="GX25" s="61">
        <v>334.83</v>
      </c>
      <c r="GY25" s="140"/>
      <c r="GZ25" s="62"/>
      <c r="HA25" s="62"/>
      <c r="HB25" s="74"/>
      <c r="HC25" s="62"/>
      <c r="HD25" s="74"/>
      <c r="HE25" s="24">
        <f t="shared" si="52"/>
        <v>0</v>
      </c>
      <c r="HF25" s="151"/>
      <c r="HG25" s="213">
        <v>19</v>
      </c>
      <c r="HH25" s="16">
        <v>3642.7</v>
      </c>
      <c r="HI25" s="16">
        <v>1426.3</v>
      </c>
      <c r="HJ25" s="16">
        <f t="shared" si="125"/>
        <v>87899.999999999636</v>
      </c>
      <c r="HK25" s="16">
        <v>1.9189000000000001</v>
      </c>
      <c r="HL25" s="16">
        <v>660.93</v>
      </c>
      <c r="HM25" s="16">
        <f t="shared" si="117"/>
        <v>0</v>
      </c>
      <c r="HN25" s="16">
        <v>920.64</v>
      </c>
      <c r="HO25" s="16">
        <v>402.98</v>
      </c>
      <c r="HP25" s="16">
        <f t="shared" si="120"/>
        <v>22129.999999999862</v>
      </c>
      <c r="HQ25" s="16">
        <v>920.64</v>
      </c>
      <c r="HR25" s="16">
        <v>402.98</v>
      </c>
      <c r="HS25" s="16">
        <f t="shared" si="121"/>
        <v>24409.999999999967</v>
      </c>
      <c r="HT25" s="16">
        <v>795.16</v>
      </c>
      <c r="HU25" s="16">
        <v>316.04000000000002</v>
      </c>
      <c r="HV25" s="16">
        <f t="shared" si="122"/>
        <v>21860.000000000015</v>
      </c>
      <c r="HW25" s="16"/>
      <c r="HX25" s="16"/>
      <c r="HY25" s="128">
        <f t="shared" si="123"/>
        <v>19500</v>
      </c>
      <c r="HZ25" s="211">
        <f t="shared" si="77"/>
        <v>-2.1827872842550278E-10</v>
      </c>
      <c r="IA25" s="16"/>
      <c r="IB25" s="16"/>
      <c r="IC25" s="16">
        <f t="shared" si="78"/>
        <v>0</v>
      </c>
      <c r="ID25" s="16"/>
      <c r="IE25" s="16"/>
      <c r="IF25" s="16">
        <f t="shared" si="79"/>
        <v>0</v>
      </c>
      <c r="IG25" s="16"/>
      <c r="IH25" s="16"/>
      <c r="II25" s="16">
        <f t="shared" si="80"/>
        <v>0</v>
      </c>
      <c r="IJ25" s="16"/>
      <c r="IK25" s="16"/>
      <c r="IL25" s="16">
        <f t="shared" si="81"/>
        <v>0</v>
      </c>
      <c r="IM25" s="16"/>
      <c r="IN25" s="16"/>
      <c r="IO25" s="16">
        <f t="shared" si="82"/>
        <v>0</v>
      </c>
      <c r="IP25" s="16"/>
      <c r="IQ25" s="16"/>
      <c r="IR25" s="16">
        <f t="shared" si="83"/>
        <v>0</v>
      </c>
      <c r="IS25" s="16"/>
      <c r="IT25" s="16"/>
      <c r="IU25" s="16">
        <f t="shared" si="84"/>
        <v>0</v>
      </c>
      <c r="IV25" s="16"/>
      <c r="IW25" s="16"/>
      <c r="IX25" s="16">
        <f t="shared" si="85"/>
        <v>0</v>
      </c>
      <c r="IY25" s="16"/>
      <c r="IZ25" s="16"/>
      <c r="JA25" s="16">
        <f t="shared" si="86"/>
        <v>0</v>
      </c>
      <c r="JB25" s="16"/>
      <c r="JC25" s="16"/>
      <c r="JD25" s="16">
        <f t="shared" si="87"/>
        <v>0</v>
      </c>
      <c r="JE25" s="16"/>
      <c r="JF25" s="16"/>
      <c r="JG25" s="16">
        <f t="shared" si="88"/>
        <v>0</v>
      </c>
      <c r="JH25" s="16"/>
      <c r="JI25" s="16"/>
      <c r="JJ25" s="16">
        <f t="shared" si="89"/>
        <v>0</v>
      </c>
      <c r="JK25" s="16"/>
      <c r="JL25" s="16"/>
      <c r="JM25" s="16">
        <f t="shared" si="90"/>
        <v>0</v>
      </c>
      <c r="JN25" s="16"/>
      <c r="JO25" s="16"/>
      <c r="JP25" s="16">
        <f t="shared" si="91"/>
        <v>0</v>
      </c>
      <c r="JQ25" s="16"/>
      <c r="JR25" s="16"/>
      <c r="JS25" s="16">
        <f t="shared" si="92"/>
        <v>0</v>
      </c>
      <c r="JT25" s="16"/>
      <c r="JU25" s="16"/>
      <c r="JV25" s="16">
        <f t="shared" si="93"/>
        <v>0</v>
      </c>
      <c r="JX25" s="151">
        <f t="shared" si="94"/>
        <v>-2.1827872842550278E-10</v>
      </c>
    </row>
    <row r="26" spans="1:284" x14ac:dyDescent="0.25">
      <c r="A26" s="35">
        <f t="shared" si="0"/>
        <v>20</v>
      </c>
      <c r="B26" s="38">
        <v>3734.78</v>
      </c>
      <c r="C26" s="38">
        <f t="shared" si="1"/>
        <v>7.5500000000001819</v>
      </c>
      <c r="D26" s="38">
        <f t="shared" si="2"/>
        <v>241600.00000000582</v>
      </c>
      <c r="E26" s="38">
        <v>751.35</v>
      </c>
      <c r="F26" s="38">
        <f t="shared" si="113"/>
        <v>52479.999999999563</v>
      </c>
      <c r="G26" s="38">
        <f t="shared" si="4"/>
        <v>294080.00000000536</v>
      </c>
      <c r="H26" s="37"/>
      <c r="I26" s="39"/>
      <c r="J26" s="42"/>
      <c r="K26" s="37">
        <f t="shared" si="95"/>
        <v>0</v>
      </c>
      <c r="L26" s="40">
        <v>11013200</v>
      </c>
      <c r="M26" s="40"/>
      <c r="N26" s="37">
        <f t="shared" si="96"/>
        <v>294000</v>
      </c>
      <c r="O26" s="37">
        <v>10101.5</v>
      </c>
      <c r="P26" s="37"/>
      <c r="Q26" s="37">
        <f t="shared" si="127"/>
        <v>13200.000000000728</v>
      </c>
      <c r="R26" s="37">
        <f t="shared" si="97"/>
        <v>1</v>
      </c>
      <c r="S26" s="37">
        <v>11123637.42</v>
      </c>
      <c r="T26" s="37">
        <f t="shared" si="6"/>
        <v>0</v>
      </c>
      <c r="U26" s="37">
        <v>1518173.85</v>
      </c>
      <c r="V26" s="37">
        <f t="shared" si="7"/>
        <v>0</v>
      </c>
      <c r="W26" s="37">
        <v>3524.9</v>
      </c>
      <c r="X26" s="37">
        <f t="shared" si="111"/>
        <v>7600.0000000007276</v>
      </c>
      <c r="Y26" s="183"/>
      <c r="Z26" s="183">
        <f t="shared" si="8"/>
        <v>0</v>
      </c>
      <c r="AA26" s="37">
        <v>585300</v>
      </c>
      <c r="AB26" s="37">
        <f t="shared" si="9"/>
        <v>5600</v>
      </c>
      <c r="AC26" s="37">
        <v>3721.8</v>
      </c>
      <c r="AD26" s="37"/>
      <c r="AE26" s="37">
        <f t="shared" si="129"/>
        <v>6900.0000000000909</v>
      </c>
      <c r="AF26" s="37">
        <f>IF(AE26&lt;=0,0,(AE26/SQRT(AE26^2+(AD26-AD25)^2)))</f>
        <v>1</v>
      </c>
      <c r="AG26" s="37">
        <v>8126.8</v>
      </c>
      <c r="AH26" s="37"/>
      <c r="AI26" s="37">
        <f t="shared" si="11"/>
        <v>16757.430000000546</v>
      </c>
      <c r="AJ26" s="37">
        <f t="shared" si="12"/>
        <v>1</v>
      </c>
      <c r="AK26" s="37">
        <f t="shared" si="13"/>
        <v>31257.430000001365</v>
      </c>
      <c r="AL26" s="42">
        <v>10124.6</v>
      </c>
      <c r="AM26" s="42"/>
      <c r="AN26" s="37">
        <f t="shared" si="59"/>
        <v>6267.4300000008234</v>
      </c>
      <c r="AO26" s="37">
        <f t="shared" si="99"/>
        <v>1</v>
      </c>
      <c r="AP26" s="37">
        <v>7746.1</v>
      </c>
      <c r="AQ26" s="37"/>
      <c r="AR26" s="37">
        <f t="shared" si="14"/>
        <v>13500</v>
      </c>
      <c r="AS26" s="37">
        <f t="shared" si="100"/>
        <v>1</v>
      </c>
      <c r="AT26" s="183"/>
      <c r="AU26" s="183">
        <f t="shared" si="15"/>
        <v>0</v>
      </c>
      <c r="AV26" s="183"/>
      <c r="AW26" s="183">
        <f t="shared" si="16"/>
        <v>0</v>
      </c>
      <c r="AX26" s="37">
        <v>458430</v>
      </c>
      <c r="AY26" s="37"/>
      <c r="AZ26" s="37">
        <f t="shared" si="17"/>
        <v>430</v>
      </c>
      <c r="BA26" s="37">
        <v>108420</v>
      </c>
      <c r="BB26" s="37"/>
      <c r="BC26" s="37">
        <f t="shared" si="18"/>
        <v>690</v>
      </c>
      <c r="BD26" s="37">
        <f t="shared" si="101"/>
        <v>20887.430000000822</v>
      </c>
      <c r="BE26" s="43">
        <v>1749.3</v>
      </c>
      <c r="BF26" s="43">
        <v>956.24</v>
      </c>
      <c r="BG26" s="37">
        <f t="shared" si="19"/>
        <v>2599.9999999999091</v>
      </c>
      <c r="BH26" s="44">
        <v>8289.6</v>
      </c>
      <c r="BI26" s="44">
        <v>5337.6</v>
      </c>
      <c r="BJ26" s="37">
        <f t="shared" si="20"/>
        <v>9700.0000000007276</v>
      </c>
      <c r="BK26" s="40">
        <v>1320120</v>
      </c>
      <c r="BL26" s="40">
        <f t="shared" si="102"/>
        <v>4060</v>
      </c>
      <c r="BM26" s="40">
        <v>827.51</v>
      </c>
      <c r="BN26" s="37">
        <f t="shared" si="21"/>
        <v>669.99999999995907</v>
      </c>
      <c r="BO26" s="186"/>
      <c r="BP26" s="183">
        <f t="shared" si="22"/>
        <v>0</v>
      </c>
      <c r="BQ26" s="40">
        <v>784.4</v>
      </c>
      <c r="BR26" s="37">
        <f t="shared" si="60"/>
        <v>559.99999999994543</v>
      </c>
      <c r="BS26" s="37">
        <v>85023.57</v>
      </c>
      <c r="BT26" s="37">
        <f t="shared" si="23"/>
        <v>229.41000000000349</v>
      </c>
      <c r="BU26" s="42">
        <v>2186318</v>
      </c>
      <c r="BV26" s="42"/>
      <c r="BW26" s="37">
        <f t="shared" si="24"/>
        <v>8669</v>
      </c>
      <c r="BX26" s="37">
        <f t="shared" si="103"/>
        <v>1</v>
      </c>
      <c r="BY26" s="43">
        <v>304.80919999999998</v>
      </c>
      <c r="BZ26" s="37"/>
      <c r="CA26" s="37">
        <f t="shared" si="124"/>
        <v>774.99999999997726</v>
      </c>
      <c r="CB26" s="37">
        <f t="shared" si="61"/>
        <v>1</v>
      </c>
      <c r="CC26" s="37">
        <v>518622.1</v>
      </c>
      <c r="CD26" s="37">
        <f t="shared" si="26"/>
        <v>1383.5</v>
      </c>
      <c r="CE26" s="41">
        <v>789551.9</v>
      </c>
      <c r="CF26" s="37">
        <f t="shared" si="62"/>
        <v>7135.8000000000466</v>
      </c>
      <c r="CG26" s="37">
        <v>64507.1</v>
      </c>
      <c r="CH26" s="37">
        <f t="shared" si="63"/>
        <v>0.29999999999563443</v>
      </c>
      <c r="CI26" s="40">
        <v>11534.21</v>
      </c>
      <c r="CJ26" s="40"/>
      <c r="CK26" s="37">
        <f t="shared" si="64"/>
        <v>14772.429999998712</v>
      </c>
      <c r="CL26" s="37">
        <f t="shared" si="27"/>
        <v>1</v>
      </c>
      <c r="CM26" s="37">
        <v>3107.6509999999998</v>
      </c>
      <c r="CN26" s="37"/>
      <c r="CO26" s="37">
        <f t="shared" si="28"/>
        <v>6070.4299999997384</v>
      </c>
      <c r="CP26" s="37">
        <f t="shared" si="104"/>
        <v>1</v>
      </c>
      <c r="CQ26" s="39">
        <v>2968.047</v>
      </c>
      <c r="CR26" s="39"/>
      <c r="CS26" s="37">
        <f t="shared" si="29"/>
        <v>5275.4300000001203</v>
      </c>
      <c r="CT26" s="37">
        <f t="shared" si="105"/>
        <v>1</v>
      </c>
      <c r="CU26" s="37">
        <v>2670287</v>
      </c>
      <c r="CV26" s="37"/>
      <c r="CW26" s="38">
        <f t="shared" si="30"/>
        <v>12097</v>
      </c>
      <c r="CX26" s="37">
        <f t="shared" si="106"/>
        <v>1</v>
      </c>
      <c r="CY26" s="37">
        <v>1374263</v>
      </c>
      <c r="CZ26" s="37"/>
      <c r="DA26" s="37">
        <f t="shared" si="31"/>
        <v>4023</v>
      </c>
      <c r="DB26" s="37">
        <f t="shared" si="107"/>
        <v>1</v>
      </c>
      <c r="DC26" s="37"/>
      <c r="DD26" s="40"/>
      <c r="DE26" s="37">
        <f t="shared" si="32"/>
        <v>0</v>
      </c>
      <c r="DF26" s="37">
        <f t="shared" si="112"/>
        <v>0</v>
      </c>
      <c r="DG26" s="37">
        <f t="shared" si="33"/>
        <v>-50907.289999998568</v>
      </c>
      <c r="DH26" s="37">
        <f t="shared" si="34"/>
        <v>327857.43000000127</v>
      </c>
      <c r="DI26" s="46"/>
      <c r="DJ26" s="46"/>
      <c r="DK26" s="47"/>
      <c r="DL26" s="47"/>
      <c r="DM26" s="37"/>
      <c r="DN26" s="37"/>
      <c r="DO26" s="37"/>
      <c r="DP26" s="37"/>
      <c r="DQ26" s="50">
        <v>2962300</v>
      </c>
      <c r="DR26" s="49">
        <f t="shared" si="65"/>
        <v>9300</v>
      </c>
      <c r="DS26" s="50">
        <f>DS25+DT24</f>
        <v>2624200</v>
      </c>
      <c r="DT26" s="49">
        <f t="shared" si="66"/>
        <v>19800</v>
      </c>
      <c r="DU26" s="51">
        <v>7711</v>
      </c>
      <c r="DV26" s="51">
        <v>4313.7</v>
      </c>
      <c r="DW26" s="37">
        <f t="shared" si="108"/>
        <v>4300.0000000001819</v>
      </c>
      <c r="DX26" s="52">
        <v>12742</v>
      </c>
      <c r="DY26" s="52">
        <v>8308.7000000000007</v>
      </c>
      <c r="DZ26" s="37">
        <f t="shared" si="35"/>
        <v>6357.43</v>
      </c>
      <c r="EA26" s="49">
        <v>28683</v>
      </c>
      <c r="EB26" s="49">
        <v>20.224</v>
      </c>
      <c r="EC26" s="37">
        <f t="shared" si="36"/>
        <v>25517.43</v>
      </c>
      <c r="ED26" s="53">
        <f t="shared" si="37"/>
        <v>36174.860000000182</v>
      </c>
      <c r="EE26" s="49">
        <v>43842</v>
      </c>
      <c r="EF26" s="49">
        <v>28.035</v>
      </c>
      <c r="EG26" s="37">
        <f t="shared" si="38"/>
        <v>30517.43</v>
      </c>
      <c r="EH26" s="51">
        <v>12404</v>
      </c>
      <c r="EI26" s="51">
        <v>1.6634</v>
      </c>
      <c r="EJ26" s="37">
        <f t="shared" si="39"/>
        <v>10357.43</v>
      </c>
      <c r="EK26" s="37">
        <v>751.55</v>
      </c>
      <c r="EL26" s="40">
        <v>1077.7</v>
      </c>
      <c r="EM26" s="37">
        <f t="shared" si="67"/>
        <v>659.99999999996817</v>
      </c>
      <c r="EN26" s="54">
        <f t="shared" si="68"/>
        <v>41534.859999999971</v>
      </c>
      <c r="EO26" s="48">
        <v>12516</v>
      </c>
      <c r="EP26" s="48">
        <v>4357.1000000000004</v>
      </c>
      <c r="EQ26" s="37">
        <f t="shared" si="69"/>
        <v>8217.4300000000148</v>
      </c>
      <c r="ER26" s="48">
        <v>8426</v>
      </c>
      <c r="ES26" s="48">
        <v>3432.3</v>
      </c>
      <c r="ET26" s="49">
        <f t="shared" si="116"/>
        <v>18500</v>
      </c>
      <c r="EU26" s="48">
        <v>3086.3</v>
      </c>
      <c r="EV26" s="48">
        <v>1101.4000000000001</v>
      </c>
      <c r="EW26" s="49">
        <f t="shared" si="41"/>
        <v>9157.4300000001822</v>
      </c>
      <c r="EX26" s="48">
        <v>12759</v>
      </c>
      <c r="EY26" s="48">
        <v>1.4051</v>
      </c>
      <c r="EZ26" s="37">
        <f t="shared" si="42"/>
        <v>13357.43</v>
      </c>
      <c r="FA26" s="48">
        <f t="shared" si="70"/>
        <v>-23195.290000000197</v>
      </c>
      <c r="FB26" s="60">
        <v>35141324</v>
      </c>
      <c r="FC26" s="49">
        <f t="shared" si="109"/>
        <v>26037</v>
      </c>
      <c r="FD26" s="48">
        <f t="shared" si="71"/>
        <v>50532.290000000154</v>
      </c>
      <c r="FE26" s="48">
        <v>16475</v>
      </c>
      <c r="FF26" s="48">
        <v>5891.6</v>
      </c>
      <c r="FG26" s="37">
        <f t="shared" si="72"/>
        <v>12117.429999999986</v>
      </c>
      <c r="FH26" s="48">
        <v>7744.3</v>
      </c>
      <c r="FI26" s="48">
        <v>2.9839000000000002</v>
      </c>
      <c r="FJ26" s="49">
        <f t="shared" si="43"/>
        <v>18977.43</v>
      </c>
      <c r="FK26" s="48"/>
      <c r="FL26" s="58">
        <v>-380</v>
      </c>
      <c r="FM26" s="48">
        <f t="shared" si="110"/>
        <v>-357.42999999999546</v>
      </c>
      <c r="FN26" s="48">
        <v>15847</v>
      </c>
      <c r="FO26" s="48">
        <v>0.75560000000000005</v>
      </c>
      <c r="FP26" s="37">
        <f t="shared" si="73"/>
        <v>13977.43</v>
      </c>
      <c r="FQ26" s="48">
        <v>56418</v>
      </c>
      <c r="FR26" s="48">
        <v>13.541</v>
      </c>
      <c r="FS26" s="37">
        <f t="shared" si="44"/>
        <v>44000</v>
      </c>
      <c r="FT26" s="48">
        <f t="shared" si="74"/>
        <v>-1072.2899999999863</v>
      </c>
      <c r="FU26" s="48">
        <f t="shared" si="75"/>
        <v>46372.289999999943</v>
      </c>
      <c r="FV26" s="71">
        <v>3091500</v>
      </c>
      <c r="FW26" s="44">
        <v>1002400</v>
      </c>
      <c r="FX26" s="37">
        <f t="shared" si="45"/>
        <v>5800</v>
      </c>
      <c r="FY26" s="56">
        <v>2971</v>
      </c>
      <c r="FZ26" s="56">
        <v>1.7592000000000001</v>
      </c>
      <c r="GA26" s="37">
        <f t="shared" si="46"/>
        <v>300.0000000001819</v>
      </c>
      <c r="GB26" s="56">
        <v>770.25</v>
      </c>
      <c r="GC26" s="56">
        <v>859.27</v>
      </c>
      <c r="GD26" s="37">
        <f t="shared" si="47"/>
        <v>519.99999999998181</v>
      </c>
      <c r="GE26" s="56">
        <v>9569.1</v>
      </c>
      <c r="GF26" s="56">
        <v>3.0179</v>
      </c>
      <c r="GG26" s="37">
        <f t="shared" si="48"/>
        <v>4000.0000000004547</v>
      </c>
      <c r="GH26" s="158">
        <v>1859.5</v>
      </c>
      <c r="GI26" s="159">
        <v>1579</v>
      </c>
      <c r="GJ26" s="38">
        <f>IF((GH26-GH25)&lt;=0,0,((((GH26-GH25))*1000)+((GK26-GK25))*1000))/2</f>
        <v>1299.9999999999545</v>
      </c>
      <c r="GK26" s="159">
        <v>1445.6</v>
      </c>
      <c r="GL26" s="160">
        <v>1109.2</v>
      </c>
      <c r="GM26" s="38">
        <f>IF((GK26-GK25)&lt;=0,0,((((GH26-GH25))*1000)+((GK26-GK25))*1000))/2</f>
        <v>1299.9999999999545</v>
      </c>
      <c r="GN26" s="57">
        <v>159040</v>
      </c>
      <c r="GO26" s="57">
        <v>138850</v>
      </c>
      <c r="GP26" s="38">
        <f t="shared" si="114"/>
        <v>0</v>
      </c>
      <c r="GQ26" s="38">
        <v>226150</v>
      </c>
      <c r="GR26" s="38">
        <v>225260</v>
      </c>
      <c r="GS26" s="38">
        <f t="shared" si="76"/>
        <v>0</v>
      </c>
      <c r="GT26" s="178"/>
      <c r="GU26" s="144">
        <f>DailyMar!B25-DailyMar!N25-DailyMar!V25-DailyMar!Y25-DailyMar!Z25-DailyMar!AA25-DailyMar!AB25-DailyMar!AC25-DailyMar!AD25-DailyMar!AE25-DailyMar!AK25-DailyMar!AO25-DailyMar!AS25-DailyMar!AY25-DailyMar!BD25+DailyMar!BU25-SUM(DailyMar!BP25:BS25)-DailyMar!BT25-DailyMar!AF25-DailyMar!AG25-DailyMar!BG25</f>
        <v>-4.9999997187114786E-2</v>
      </c>
      <c r="GV26" s="59">
        <v>5361.4</v>
      </c>
      <c r="GW26" s="60">
        <f t="shared" si="51"/>
        <v>357.42666666666662</v>
      </c>
      <c r="GX26" s="61">
        <v>357.43</v>
      </c>
      <c r="GY26" s="140"/>
      <c r="GZ26" s="62"/>
      <c r="HA26" s="62"/>
      <c r="HB26" s="74"/>
      <c r="HC26" s="62"/>
      <c r="HD26" s="74"/>
      <c r="HE26" s="24">
        <f t="shared" si="52"/>
        <v>0</v>
      </c>
      <c r="HF26" s="151"/>
      <c r="HG26" s="213">
        <v>20</v>
      </c>
      <c r="HH26" s="16">
        <v>3702.86</v>
      </c>
      <c r="HI26" s="16">
        <v>1449.6</v>
      </c>
      <c r="HJ26" s="16">
        <f t="shared" si="125"/>
        <v>60160.000000000306</v>
      </c>
      <c r="HK26" s="16">
        <v>1.9189000000000001</v>
      </c>
      <c r="HL26" s="16">
        <v>660.93</v>
      </c>
      <c r="HM26" s="16">
        <f t="shared" si="117"/>
        <v>0</v>
      </c>
      <c r="HN26" s="16">
        <v>937.97</v>
      </c>
      <c r="HO26" s="16">
        <v>410.94</v>
      </c>
      <c r="HP26" s="16">
        <f t="shared" si="120"/>
        <v>20770.00000000008</v>
      </c>
      <c r="HQ26" s="16">
        <v>930.71</v>
      </c>
      <c r="HR26" s="16">
        <v>424.04</v>
      </c>
      <c r="HS26" s="16">
        <f t="shared" si="121"/>
        <v>10070.000000000051</v>
      </c>
      <c r="HT26" s="16">
        <v>804.68</v>
      </c>
      <c r="HU26" s="16">
        <v>320.36</v>
      </c>
      <c r="HV26" s="16">
        <f t="shared" si="122"/>
        <v>9519.9999999999818</v>
      </c>
      <c r="HW26" s="16"/>
      <c r="HX26" s="16"/>
      <c r="HY26" s="128">
        <f t="shared" si="123"/>
        <v>19800</v>
      </c>
      <c r="HZ26" s="211">
        <f t="shared" si="77"/>
        <v>1.9281287677586079E-10</v>
      </c>
      <c r="IA26" s="16"/>
      <c r="IB26" s="16"/>
      <c r="IC26" s="16">
        <f t="shared" si="78"/>
        <v>0</v>
      </c>
      <c r="ID26" s="16"/>
      <c r="IE26" s="16"/>
      <c r="IF26" s="16">
        <f t="shared" si="79"/>
        <v>0</v>
      </c>
      <c r="IG26" s="16"/>
      <c r="IH26" s="16"/>
      <c r="II26" s="16">
        <f t="shared" si="80"/>
        <v>0</v>
      </c>
      <c r="IJ26" s="16"/>
      <c r="IK26" s="16"/>
      <c r="IL26" s="16">
        <f t="shared" si="81"/>
        <v>0</v>
      </c>
      <c r="IM26" s="16"/>
      <c r="IN26" s="16"/>
      <c r="IO26" s="16">
        <f t="shared" si="82"/>
        <v>0</v>
      </c>
      <c r="IP26" s="16"/>
      <c r="IQ26" s="16"/>
      <c r="IR26" s="16">
        <f t="shared" si="83"/>
        <v>0</v>
      </c>
      <c r="IS26" s="16"/>
      <c r="IT26" s="16"/>
      <c r="IU26" s="16">
        <f t="shared" si="84"/>
        <v>0</v>
      </c>
      <c r="IV26" s="16"/>
      <c r="IW26" s="16"/>
      <c r="IX26" s="16">
        <f t="shared" si="85"/>
        <v>0</v>
      </c>
      <c r="IY26" s="16"/>
      <c r="IZ26" s="16"/>
      <c r="JA26" s="16">
        <f t="shared" si="86"/>
        <v>0</v>
      </c>
      <c r="JB26" s="16"/>
      <c r="JC26" s="16"/>
      <c r="JD26" s="16">
        <f t="shared" si="87"/>
        <v>0</v>
      </c>
      <c r="JE26" s="16"/>
      <c r="JF26" s="16"/>
      <c r="JG26" s="16">
        <f t="shared" si="88"/>
        <v>0</v>
      </c>
      <c r="JH26" s="16"/>
      <c r="JI26" s="16"/>
      <c r="JJ26" s="16">
        <f t="shared" si="89"/>
        <v>0</v>
      </c>
      <c r="JK26" s="16"/>
      <c r="JL26" s="16"/>
      <c r="JM26" s="16">
        <f t="shared" si="90"/>
        <v>0</v>
      </c>
      <c r="JN26" s="16"/>
      <c r="JO26" s="16"/>
      <c r="JP26" s="16">
        <f t="shared" si="91"/>
        <v>0</v>
      </c>
      <c r="JQ26" s="16"/>
      <c r="JR26" s="16"/>
      <c r="JS26" s="16">
        <f t="shared" si="92"/>
        <v>0</v>
      </c>
      <c r="JT26" s="16"/>
      <c r="JU26" s="16"/>
      <c r="JV26" s="16">
        <f t="shared" si="93"/>
        <v>0</v>
      </c>
      <c r="JX26" s="151">
        <f t="shared" si="94"/>
        <v>1.9281287677586079E-10</v>
      </c>
    </row>
    <row r="27" spans="1:284" x14ac:dyDescent="0.25">
      <c r="A27" s="35">
        <f t="shared" si="0"/>
        <v>21</v>
      </c>
      <c r="B27" s="38">
        <v>3741.32</v>
      </c>
      <c r="C27" s="38">
        <f t="shared" si="1"/>
        <v>6.5399999999999636</v>
      </c>
      <c r="D27" s="38">
        <f t="shared" si="2"/>
        <v>209279.99999999884</v>
      </c>
      <c r="E27" s="38">
        <v>752.65</v>
      </c>
      <c r="F27" s="38">
        <f t="shared" si="113"/>
        <v>41599.999999998545</v>
      </c>
      <c r="G27" s="38">
        <f t="shared" si="4"/>
        <v>250879.99999999738</v>
      </c>
      <c r="H27" s="37"/>
      <c r="I27" s="39"/>
      <c r="J27" s="42"/>
      <c r="K27" s="37">
        <f t="shared" si="95"/>
        <v>0</v>
      </c>
      <c r="L27" s="40">
        <v>11038000</v>
      </c>
      <c r="M27" s="40"/>
      <c r="N27" s="37">
        <f t="shared" si="96"/>
        <v>248000</v>
      </c>
      <c r="O27" s="37">
        <v>10114</v>
      </c>
      <c r="P27" s="37"/>
      <c r="Q27" s="37">
        <f t="shared" si="127"/>
        <v>12500</v>
      </c>
      <c r="R27" s="37">
        <f t="shared" si="97"/>
        <v>1</v>
      </c>
      <c r="S27" s="37">
        <v>11123637.42</v>
      </c>
      <c r="T27" s="37">
        <f t="shared" si="6"/>
        <v>0</v>
      </c>
      <c r="U27" s="37">
        <v>1518173.85</v>
      </c>
      <c r="V27" s="37">
        <f t="shared" si="7"/>
        <v>0</v>
      </c>
      <c r="W27" s="37">
        <v>3531</v>
      </c>
      <c r="X27" s="37">
        <f t="shared" si="111"/>
        <v>7500</v>
      </c>
      <c r="Y27" s="183"/>
      <c r="Z27" s="183">
        <f t="shared" si="8"/>
        <v>0</v>
      </c>
      <c r="AA27" s="37">
        <v>590300</v>
      </c>
      <c r="AB27" s="37">
        <f t="shared" si="9"/>
        <v>5000</v>
      </c>
      <c r="AC27" s="37">
        <v>3726.7</v>
      </c>
      <c r="AD27" s="37"/>
      <c r="AE27" s="37">
        <f t="shared" si="129"/>
        <v>4899.9999999996362</v>
      </c>
      <c r="AF27" s="37">
        <f t="shared" si="98"/>
        <v>1</v>
      </c>
      <c r="AG27" s="37">
        <v>8138.7</v>
      </c>
      <c r="AH27" s="37"/>
      <c r="AI27" s="37">
        <f t="shared" si="11"/>
        <v>12172.379999999635</v>
      </c>
      <c r="AJ27" s="37">
        <f t="shared" si="12"/>
        <v>1</v>
      </c>
      <c r="AK27" s="37">
        <f t="shared" si="13"/>
        <v>24572.37999999927</v>
      </c>
      <c r="AL27" s="42">
        <v>10135.6</v>
      </c>
      <c r="AM27" s="42"/>
      <c r="AN27" s="37">
        <f t="shared" si="59"/>
        <v>6182.3799999999719</v>
      </c>
      <c r="AO27" s="37">
        <f t="shared" si="99"/>
        <v>1</v>
      </c>
      <c r="AP27" s="37">
        <v>7755</v>
      </c>
      <c r="AQ27" s="37"/>
      <c r="AR27" s="37">
        <f t="shared" si="14"/>
        <v>8899.9999999996362</v>
      </c>
      <c r="AS27" s="37">
        <f t="shared" si="100"/>
        <v>1</v>
      </c>
      <c r="AT27" s="183"/>
      <c r="AU27" s="183">
        <f t="shared" si="15"/>
        <v>0</v>
      </c>
      <c r="AV27" s="183"/>
      <c r="AW27" s="183">
        <f t="shared" si="16"/>
        <v>0</v>
      </c>
      <c r="AX27" s="37">
        <v>458870</v>
      </c>
      <c r="AY27" s="37"/>
      <c r="AZ27" s="37">
        <f t="shared" si="17"/>
        <v>440</v>
      </c>
      <c r="BA27" s="37">
        <v>109090</v>
      </c>
      <c r="BB27" s="37"/>
      <c r="BC27" s="37">
        <f t="shared" si="18"/>
        <v>670</v>
      </c>
      <c r="BD27" s="37">
        <f t="shared" si="101"/>
        <v>16192.379999999608</v>
      </c>
      <c r="BE27" s="43">
        <v>1751.6</v>
      </c>
      <c r="BF27" s="43">
        <v>957.64</v>
      </c>
      <c r="BG27" s="37">
        <f t="shared" si="19"/>
        <v>2299.9999999999545</v>
      </c>
      <c r="BH27" s="44">
        <v>8298.7000000000007</v>
      </c>
      <c r="BI27" s="44">
        <v>5338.2</v>
      </c>
      <c r="BJ27" s="37">
        <f t="shared" si="20"/>
        <v>9100.0000000003638</v>
      </c>
      <c r="BK27" s="40">
        <v>1323740</v>
      </c>
      <c r="BL27" s="40">
        <f t="shared" si="102"/>
        <v>3620</v>
      </c>
      <c r="BM27" s="40">
        <v>828.18</v>
      </c>
      <c r="BN27" s="37">
        <f t="shared" si="21"/>
        <v>669.99999999995907</v>
      </c>
      <c r="BO27" s="186"/>
      <c r="BP27" s="183">
        <f t="shared" si="22"/>
        <v>0</v>
      </c>
      <c r="BQ27" s="40">
        <v>785.2</v>
      </c>
      <c r="BR27" s="37">
        <f t="shared" si="60"/>
        <v>800.00000000006821</v>
      </c>
      <c r="BS27" s="37">
        <v>85281.63</v>
      </c>
      <c r="BT27" s="37">
        <f t="shared" si="23"/>
        <v>258.05999999999767</v>
      </c>
      <c r="BU27" s="42">
        <v>2187622</v>
      </c>
      <c r="BV27" s="42"/>
      <c r="BW27" s="37">
        <f t="shared" si="24"/>
        <v>1304</v>
      </c>
      <c r="BX27" s="37">
        <f t="shared" si="103"/>
        <v>1</v>
      </c>
      <c r="BY27" s="43">
        <v>305.01240000000001</v>
      </c>
      <c r="BZ27" s="37"/>
      <c r="CA27" s="37">
        <f t="shared" si="124"/>
        <v>203.20000000003802</v>
      </c>
      <c r="CB27" s="37">
        <f t="shared" si="61"/>
        <v>1</v>
      </c>
      <c r="CC27" s="37">
        <v>519134.6</v>
      </c>
      <c r="CD27" s="37">
        <f t="shared" si="26"/>
        <v>512.5</v>
      </c>
      <c r="CE27" s="41">
        <v>790027.9</v>
      </c>
      <c r="CF27" s="37">
        <f t="shared" si="62"/>
        <v>476</v>
      </c>
      <c r="CG27" s="37">
        <v>64804.9</v>
      </c>
      <c r="CH27" s="37">
        <f t="shared" si="63"/>
        <v>297.80000000000291</v>
      </c>
      <c r="CI27" s="40">
        <v>11539.31</v>
      </c>
      <c r="CJ27" s="40"/>
      <c r="CK27" s="37">
        <f t="shared" si="64"/>
        <v>5169.1800000003259</v>
      </c>
      <c r="CL27" s="37">
        <f t="shared" si="27"/>
        <v>1</v>
      </c>
      <c r="CM27" s="37">
        <v>3108.3029999999999</v>
      </c>
      <c r="CN27" s="37"/>
      <c r="CO27" s="37">
        <f t="shared" si="28"/>
        <v>924.38000000004365</v>
      </c>
      <c r="CP27" s="37">
        <f t="shared" si="104"/>
        <v>1</v>
      </c>
      <c r="CQ27" s="39">
        <v>2969.0970000000002</v>
      </c>
      <c r="CR27" s="39"/>
      <c r="CS27" s="37">
        <f t="shared" si="29"/>
        <v>1322.380000000182</v>
      </c>
      <c r="CT27" s="37">
        <f t="shared" si="105"/>
        <v>1</v>
      </c>
      <c r="CU27" s="37">
        <v>2670776</v>
      </c>
      <c r="CV27" s="37"/>
      <c r="CW27" s="38">
        <f t="shared" si="30"/>
        <v>489</v>
      </c>
      <c r="CX27" s="37">
        <f t="shared" si="106"/>
        <v>1</v>
      </c>
      <c r="CY27" s="37">
        <v>1374422</v>
      </c>
      <c r="CZ27" s="37"/>
      <c r="DA27" s="37">
        <f t="shared" ref="DA27:DA38" si="132">IF((CY27-CY26)&lt;=0,0,(CY27-CY26))/1</f>
        <v>159</v>
      </c>
      <c r="DB27" s="37">
        <f t="shared" si="107"/>
        <v>1</v>
      </c>
      <c r="DC27" s="37"/>
      <c r="DD27" s="40"/>
      <c r="DE27" s="37">
        <f t="shared" si="32"/>
        <v>0</v>
      </c>
      <c r="DF27" s="37">
        <f t="shared" si="112"/>
        <v>0</v>
      </c>
      <c r="DG27" s="37">
        <f t="shared" si="33"/>
        <v>-9367.9400000005517</v>
      </c>
      <c r="DH27" s="37">
        <f t="shared" si="34"/>
        <v>274872.37999999925</v>
      </c>
      <c r="DI27" s="46"/>
      <c r="DJ27" s="46"/>
      <c r="DK27" s="47"/>
      <c r="DL27" s="47"/>
      <c r="DM27" s="37"/>
      <c r="DN27" s="37"/>
      <c r="DO27" s="37"/>
      <c r="DP27" s="37"/>
      <c r="DQ27" s="50">
        <v>2971900</v>
      </c>
      <c r="DR27" s="49">
        <f t="shared" si="65"/>
        <v>9600</v>
      </c>
      <c r="DS27" s="50">
        <v>2642000</v>
      </c>
      <c r="DT27" s="49">
        <f t="shared" si="66"/>
        <v>17800</v>
      </c>
      <c r="DU27" s="51">
        <v>7715.5</v>
      </c>
      <c r="DV27" s="51">
        <v>4316.3</v>
      </c>
      <c r="DW27" s="37">
        <f t="shared" si="108"/>
        <v>4500</v>
      </c>
      <c r="DX27" s="52">
        <v>12749</v>
      </c>
      <c r="DY27" s="52">
        <v>8309.2000000000007</v>
      </c>
      <c r="DZ27" s="37">
        <f t="shared" si="35"/>
        <v>7272.38</v>
      </c>
      <c r="EA27" s="49">
        <v>28707</v>
      </c>
      <c r="EB27" s="49">
        <v>20.236000000000001</v>
      </c>
      <c r="EC27" s="37">
        <f t="shared" si="36"/>
        <v>26432.38</v>
      </c>
      <c r="ED27" s="53">
        <f t="shared" si="37"/>
        <v>38204.76</v>
      </c>
      <c r="EE27" s="49">
        <v>43870</v>
      </c>
      <c r="EF27" s="49">
        <v>28.061</v>
      </c>
      <c r="EG27" s="37">
        <f t="shared" si="38"/>
        <v>30432.38</v>
      </c>
      <c r="EH27" s="51">
        <v>12414</v>
      </c>
      <c r="EI27" s="51">
        <v>1.665</v>
      </c>
      <c r="EJ27" s="37">
        <f t="shared" si="39"/>
        <v>10272.379999999999</v>
      </c>
      <c r="EK27" s="37">
        <v>752.19</v>
      </c>
      <c r="EL27" s="40">
        <v>1078.5</v>
      </c>
      <c r="EM27" s="37">
        <f t="shared" si="67"/>
        <v>640.00000000010004</v>
      </c>
      <c r="EN27" s="54">
        <f t="shared" si="68"/>
        <v>41344.760000000104</v>
      </c>
      <c r="EO27" s="48">
        <v>12525</v>
      </c>
      <c r="EP27" s="48">
        <v>4360.3999999999996</v>
      </c>
      <c r="EQ27" s="37">
        <f t="shared" si="69"/>
        <v>7817.3799999999865</v>
      </c>
      <c r="ER27" s="48">
        <v>8444.2000000000007</v>
      </c>
      <c r="ES27" s="48">
        <v>3439.8</v>
      </c>
      <c r="ET27" s="49">
        <f t="shared" si="116"/>
        <v>18200.000000000728</v>
      </c>
      <c r="EU27" s="48">
        <v>3095.1</v>
      </c>
      <c r="EV27" s="48">
        <v>1104.4000000000001</v>
      </c>
      <c r="EW27" s="49">
        <f t="shared" si="41"/>
        <v>9072.3799999997264</v>
      </c>
      <c r="EX27" s="48">
        <v>12772</v>
      </c>
      <c r="EY27" s="48">
        <v>1.4083000000000001</v>
      </c>
      <c r="EZ27" s="37">
        <f t="shared" si="42"/>
        <v>13272.38</v>
      </c>
      <c r="FA27" s="48">
        <f t="shared" si="70"/>
        <v>-23379.14000000044</v>
      </c>
      <c r="FB27" s="48">
        <v>35166307</v>
      </c>
      <c r="FC27" s="49">
        <f t="shared" si="109"/>
        <v>24983</v>
      </c>
      <c r="FD27" s="48">
        <f t="shared" si="71"/>
        <v>49567.14000000048</v>
      </c>
      <c r="FE27" s="48">
        <v>16486</v>
      </c>
      <c r="FF27" s="48">
        <v>5895.1</v>
      </c>
      <c r="FG27" s="37">
        <f t="shared" si="72"/>
        <v>12109.050000000012</v>
      </c>
      <c r="FH27" s="48">
        <v>7763.7</v>
      </c>
      <c r="FI27" s="48">
        <v>2.9912000000000001</v>
      </c>
      <c r="FJ27" s="49">
        <f t="shared" si="43"/>
        <v>19054.049999999635</v>
      </c>
      <c r="FK27" s="48"/>
      <c r="FL27" s="58">
        <v>-618.33000000000004</v>
      </c>
      <c r="FM27" s="48">
        <f t="shared" si="110"/>
        <v>-272.38333333321498</v>
      </c>
      <c r="FN27" s="48">
        <v>15861</v>
      </c>
      <c r="FO27" s="48">
        <v>0.75680000000000003</v>
      </c>
      <c r="FP27" s="37">
        <f t="shared" si="73"/>
        <v>13654.05</v>
      </c>
      <c r="FQ27" s="48">
        <v>56462</v>
      </c>
      <c r="FR27" s="55">
        <v>13.552</v>
      </c>
      <c r="FS27" s="37">
        <f t="shared" si="44"/>
        <v>44000</v>
      </c>
      <c r="FT27" s="48">
        <f t="shared" si="74"/>
        <v>-817.14999999964493</v>
      </c>
      <c r="FU27" s="48">
        <f t="shared" si="75"/>
        <v>46022.149999999689</v>
      </c>
      <c r="FV27" s="44">
        <v>3091600</v>
      </c>
      <c r="FW27" s="44">
        <v>1002400</v>
      </c>
      <c r="FX27" s="37">
        <f t="shared" si="45"/>
        <v>100</v>
      </c>
      <c r="FY27" s="56">
        <v>2971.1</v>
      </c>
      <c r="FZ27" s="56">
        <v>1.7592000000000001</v>
      </c>
      <c r="GA27" s="37">
        <f t="shared" si="46"/>
        <v>99.999999999909051</v>
      </c>
      <c r="GB27" s="56">
        <v>770.55</v>
      </c>
      <c r="GC27" s="56">
        <v>859.69</v>
      </c>
      <c r="GD27" s="37">
        <f t="shared" si="47"/>
        <v>299.99999999995453</v>
      </c>
      <c r="GE27" s="63">
        <v>9571.9</v>
      </c>
      <c r="GF27" s="56">
        <v>3.0207999999999999</v>
      </c>
      <c r="GG27" s="37">
        <f t="shared" si="48"/>
        <v>389.99999999919055</v>
      </c>
      <c r="GH27" s="158">
        <v>1861.9</v>
      </c>
      <c r="GI27" s="159">
        <v>1581.3</v>
      </c>
      <c r="GJ27" s="38">
        <f>IF((GH27-GH26)&lt;=0,0,((((GH27-GH26))*1000)+((GK27-GK26))*1000))/2</f>
        <v>1205.0000000000409</v>
      </c>
      <c r="GK27" s="159">
        <v>1445.61</v>
      </c>
      <c r="GL27" s="160">
        <v>1109.2</v>
      </c>
      <c r="GM27" s="38">
        <f>IF((GK27-GK26)&lt;=0,0,((((GH27-GH26))*1000)+((GK27-GK26))*1000))/2</f>
        <v>1205.0000000000409</v>
      </c>
      <c r="GN27" s="57">
        <v>159040</v>
      </c>
      <c r="GO27" s="57">
        <v>138850</v>
      </c>
      <c r="GP27" s="38">
        <f t="shared" si="114"/>
        <v>0</v>
      </c>
      <c r="GQ27" s="38">
        <v>226150</v>
      </c>
      <c r="GR27" s="38">
        <v>225260</v>
      </c>
      <c r="GS27" s="38">
        <f t="shared" si="76"/>
        <v>0</v>
      </c>
      <c r="GT27" s="24"/>
      <c r="GU27" s="144">
        <f>DailyMar!B26-DailyMar!N26-DailyMar!V26-DailyMar!Y26-DailyMar!Z26-DailyMar!AA26-DailyMar!AB26-DailyMar!AC26-DailyMar!AD26-DailyMar!AE26-DailyMar!AK26-DailyMar!AO26-DailyMar!AS26-DailyMar!AY26-DailyMar!BD26+DailyMar!BU26-SUM(DailyMar!BP26:BS26)-DailyMar!BT26-DailyMar!AF26-DailyMar!AG26-DailyMar!BG26</f>
        <v>-1.0000001675507519E-2</v>
      </c>
      <c r="GV27" s="59">
        <v>4085.69</v>
      </c>
      <c r="GW27" s="60">
        <f t="shared" si="51"/>
        <v>272.37933333333336</v>
      </c>
      <c r="GX27" s="61">
        <v>272.38</v>
      </c>
      <c r="GY27" s="140"/>
      <c r="GZ27" s="62"/>
      <c r="HA27" s="62"/>
      <c r="HB27" s="74"/>
      <c r="HC27" s="62"/>
      <c r="HD27" s="62"/>
      <c r="HE27" s="24">
        <f t="shared" si="52"/>
        <v>0</v>
      </c>
      <c r="HF27" s="3"/>
      <c r="HG27" s="213">
        <v>21</v>
      </c>
      <c r="HH27" s="16">
        <v>3782.5</v>
      </c>
      <c r="HI27" s="16">
        <v>1480.3</v>
      </c>
      <c r="HJ27" s="16">
        <f t="shared" si="125"/>
        <v>79639.999999999869</v>
      </c>
      <c r="HK27" s="16">
        <v>1.9189000000000001</v>
      </c>
      <c r="HL27" s="16">
        <v>660.93</v>
      </c>
      <c r="HM27" s="16">
        <f t="shared" si="117"/>
        <v>0</v>
      </c>
      <c r="HN27" s="16">
        <v>963.04</v>
      </c>
      <c r="HO27" s="16">
        <v>422</v>
      </c>
      <c r="HP27" s="16">
        <f t="shared" si="120"/>
        <v>26849.999999999869</v>
      </c>
      <c r="HQ27" s="16">
        <v>951.17</v>
      </c>
      <c r="HR27" s="16">
        <v>432.82</v>
      </c>
      <c r="HS27" s="16">
        <f t="shared" si="121"/>
        <v>20459.999999999924</v>
      </c>
      <c r="HT27" s="16">
        <v>819.21</v>
      </c>
      <c r="HU27" s="16">
        <v>326.60000000000002</v>
      </c>
      <c r="HV27" s="16">
        <f t="shared" si="122"/>
        <v>14530.000000000087</v>
      </c>
      <c r="HW27" s="16"/>
      <c r="HX27" s="16"/>
      <c r="HY27" s="128">
        <f t="shared" si="123"/>
        <v>17800</v>
      </c>
      <c r="HZ27" s="211">
        <f t="shared" si="77"/>
        <v>0</v>
      </c>
      <c r="IA27" s="16"/>
      <c r="IB27" s="16"/>
      <c r="IC27" s="16">
        <f t="shared" si="78"/>
        <v>0</v>
      </c>
      <c r="ID27" s="16"/>
      <c r="IE27" s="16"/>
      <c r="IF27" s="16">
        <f t="shared" si="79"/>
        <v>0</v>
      </c>
      <c r="IG27" s="16"/>
      <c r="IH27" s="16"/>
      <c r="II27" s="16">
        <f t="shared" ref="II27:II38" si="133">IF((IG27-IG26)&lt;=0,0,(IG27-IG26))</f>
        <v>0</v>
      </c>
      <c r="IJ27" s="16"/>
      <c r="IK27" s="16"/>
      <c r="IL27" s="16">
        <f t="shared" si="81"/>
        <v>0</v>
      </c>
      <c r="IM27" s="16"/>
      <c r="IN27" s="16"/>
      <c r="IO27" s="16">
        <f t="shared" si="82"/>
        <v>0</v>
      </c>
      <c r="IP27" s="16"/>
      <c r="IQ27" s="16"/>
      <c r="IR27" s="16">
        <f t="shared" si="83"/>
        <v>0</v>
      </c>
      <c r="IS27" s="16"/>
      <c r="IT27" s="16"/>
      <c r="IU27" s="16">
        <f t="shared" si="84"/>
        <v>0</v>
      </c>
      <c r="IV27" s="16"/>
      <c r="IW27" s="16"/>
      <c r="IX27" s="16">
        <f t="shared" si="85"/>
        <v>0</v>
      </c>
      <c r="IY27" s="16"/>
      <c r="IZ27" s="16"/>
      <c r="JA27" s="16">
        <f t="shared" si="86"/>
        <v>0</v>
      </c>
      <c r="JB27" s="16"/>
      <c r="JC27" s="16"/>
      <c r="JD27" s="16">
        <f t="shared" si="87"/>
        <v>0</v>
      </c>
      <c r="JE27" s="16"/>
      <c r="JF27" s="16"/>
      <c r="JG27" s="16">
        <f t="shared" si="88"/>
        <v>0</v>
      </c>
      <c r="JH27" s="16"/>
      <c r="JI27" s="16"/>
      <c r="JJ27" s="16">
        <f t="shared" si="89"/>
        <v>0</v>
      </c>
      <c r="JK27" s="16"/>
      <c r="JL27" s="16"/>
      <c r="JM27" s="16">
        <f t="shared" si="90"/>
        <v>0</v>
      </c>
      <c r="JN27" s="16"/>
      <c r="JO27" s="16"/>
      <c r="JP27" s="16">
        <f t="shared" si="91"/>
        <v>0</v>
      </c>
      <c r="JQ27" s="16"/>
      <c r="JR27" s="16"/>
      <c r="JS27" s="16">
        <f t="shared" si="92"/>
        <v>0</v>
      </c>
      <c r="JT27" s="16"/>
      <c r="JU27" s="16"/>
      <c r="JV27" s="16">
        <f t="shared" si="93"/>
        <v>0</v>
      </c>
      <c r="JX27" s="151">
        <f t="shared" si="94"/>
        <v>0</v>
      </c>
    </row>
    <row r="28" spans="1:284" x14ac:dyDescent="0.25">
      <c r="A28" s="35">
        <f t="shared" si="0"/>
        <v>22</v>
      </c>
      <c r="B28" s="38">
        <v>3747.96</v>
      </c>
      <c r="C28" s="38">
        <f t="shared" si="1"/>
        <v>6.6399999999998727</v>
      </c>
      <c r="D28" s="38">
        <f t="shared" si="2"/>
        <v>212479.99999999593</v>
      </c>
      <c r="E28" s="38">
        <v>753.98</v>
      </c>
      <c r="F28" s="38">
        <f t="shared" si="113"/>
        <v>42560.00000000131</v>
      </c>
      <c r="G28" s="38">
        <f t="shared" si="4"/>
        <v>255039.99999999724</v>
      </c>
      <c r="H28" s="37"/>
      <c r="I28" s="39"/>
      <c r="J28" s="42"/>
      <c r="K28" s="37">
        <f t="shared" si="95"/>
        <v>0</v>
      </c>
      <c r="L28" s="40">
        <v>11063500</v>
      </c>
      <c r="M28" s="40"/>
      <c r="N28" s="37">
        <f t="shared" si="96"/>
        <v>255000</v>
      </c>
      <c r="O28" s="37">
        <v>10128</v>
      </c>
      <c r="P28" s="37"/>
      <c r="Q28" s="37">
        <f t="shared" si="127"/>
        <v>14000</v>
      </c>
      <c r="R28" s="37">
        <f t="shared" si="97"/>
        <v>1</v>
      </c>
      <c r="S28" s="37">
        <v>11123637.42</v>
      </c>
      <c r="T28" s="37">
        <f t="shared" si="6"/>
        <v>0</v>
      </c>
      <c r="U28" s="37">
        <v>1518173.85</v>
      </c>
      <c r="V28" s="37">
        <f>IF((U28-U27)&lt;=0,0,(U28-U27))</f>
        <v>0</v>
      </c>
      <c r="W28" s="37">
        <v>3537.6</v>
      </c>
      <c r="X28" s="37">
        <f t="shared" si="111"/>
        <v>8300</v>
      </c>
      <c r="Y28" s="183"/>
      <c r="Z28" s="183">
        <f t="shared" si="8"/>
        <v>0</v>
      </c>
      <c r="AA28" s="37">
        <v>596000</v>
      </c>
      <c r="AB28" s="37">
        <f t="shared" si="9"/>
        <v>5700</v>
      </c>
      <c r="AC28" s="37">
        <v>3732</v>
      </c>
      <c r="AD28" s="37"/>
      <c r="AE28" s="37">
        <f t="shared" si="129"/>
        <v>5300.0000000001819</v>
      </c>
      <c r="AF28" s="37">
        <f t="shared" si="98"/>
        <v>1</v>
      </c>
      <c r="AG28" s="37">
        <v>8152.2</v>
      </c>
      <c r="AH28" s="37"/>
      <c r="AI28" s="37">
        <f t="shared" si="11"/>
        <v>13433.11</v>
      </c>
      <c r="AJ28" s="37">
        <f t="shared" si="12"/>
        <v>1</v>
      </c>
      <c r="AK28" s="37">
        <f t="shared" si="13"/>
        <v>27033.110000000182</v>
      </c>
      <c r="AL28" s="42">
        <v>10146.9</v>
      </c>
      <c r="AM28" s="2"/>
      <c r="AN28" s="37">
        <f t="shared" si="59"/>
        <v>6113.1099999992184</v>
      </c>
      <c r="AO28" s="37">
        <f t="shared" si="99"/>
        <v>1</v>
      </c>
      <c r="AP28" s="37">
        <v>7764.5</v>
      </c>
      <c r="AQ28" s="37"/>
      <c r="AR28" s="37">
        <f t="shared" si="14"/>
        <v>9500</v>
      </c>
      <c r="AS28" s="37">
        <f t="shared" si="100"/>
        <v>1</v>
      </c>
      <c r="AT28" s="183"/>
      <c r="AU28" s="183">
        <f t="shared" si="15"/>
        <v>0</v>
      </c>
      <c r="AV28" s="183"/>
      <c r="AW28" s="183">
        <f t="shared" si="16"/>
        <v>0</v>
      </c>
      <c r="AX28" s="37">
        <v>459320</v>
      </c>
      <c r="AY28" s="37"/>
      <c r="AZ28" s="37">
        <f t="shared" si="17"/>
        <v>450</v>
      </c>
      <c r="BA28" s="37">
        <v>109780</v>
      </c>
      <c r="BB28" s="37"/>
      <c r="BC28" s="37">
        <f t="shared" si="18"/>
        <v>690</v>
      </c>
      <c r="BD28" s="37">
        <f t="shared" si="101"/>
        <v>16753.109999999218</v>
      </c>
      <c r="BE28" s="43">
        <v>1754.4</v>
      </c>
      <c r="BF28" s="43">
        <v>959.35</v>
      </c>
      <c r="BG28" s="37">
        <f t="shared" si="19"/>
        <v>2800.0000000001819</v>
      </c>
      <c r="BH28" s="44">
        <v>8308.7000000000007</v>
      </c>
      <c r="BI28" s="44">
        <v>5344.6</v>
      </c>
      <c r="BJ28" s="37">
        <f t="shared" si="20"/>
        <v>10000</v>
      </c>
      <c r="BK28" s="40">
        <v>1327420</v>
      </c>
      <c r="BL28" s="40">
        <f t="shared" si="102"/>
        <v>3680</v>
      </c>
      <c r="BM28" s="40">
        <v>828.82</v>
      </c>
      <c r="BN28" s="37">
        <f t="shared" si="21"/>
        <v>640.00000000010004</v>
      </c>
      <c r="BO28" s="186"/>
      <c r="BP28" s="183">
        <f t="shared" si="22"/>
        <v>0</v>
      </c>
      <c r="BQ28" s="40">
        <v>786</v>
      </c>
      <c r="BR28" s="37">
        <f t="shared" si="60"/>
        <v>799.99999999995453</v>
      </c>
      <c r="BS28" s="37">
        <v>85534.11</v>
      </c>
      <c r="BT28" s="37">
        <f t="shared" si="23"/>
        <v>252.47999999999593</v>
      </c>
      <c r="BU28" s="42">
        <v>2199202</v>
      </c>
      <c r="BV28" s="42"/>
      <c r="BW28" s="37">
        <f t="shared" si="24"/>
        <v>11580</v>
      </c>
      <c r="BX28" s="37">
        <f t="shared" si="103"/>
        <v>1</v>
      </c>
      <c r="BY28" s="43">
        <v>305.69540000000001</v>
      </c>
      <c r="BZ28" s="37"/>
      <c r="CA28" s="37">
        <f t="shared" si="124"/>
        <v>682.99999999999272</v>
      </c>
      <c r="CB28" s="37">
        <f t="shared" si="61"/>
        <v>1</v>
      </c>
      <c r="CC28" s="37">
        <v>523617.3</v>
      </c>
      <c r="CD28" s="37">
        <f t="shared" si="26"/>
        <v>4482.7000000000116</v>
      </c>
      <c r="CE28" s="41">
        <v>795666.9</v>
      </c>
      <c r="CF28" s="37">
        <f t="shared" si="62"/>
        <v>5639</v>
      </c>
      <c r="CG28" s="37">
        <v>66148.600000000006</v>
      </c>
      <c r="CH28" s="37">
        <f t="shared" si="63"/>
        <v>1343.7000000000044</v>
      </c>
      <c r="CI28" s="40">
        <v>11558.96</v>
      </c>
      <c r="CJ28" s="40"/>
      <c r="CK28" s="37">
        <f t="shared" si="64"/>
        <v>18900.109999999644</v>
      </c>
      <c r="CL28" s="37">
        <f t="shared" si="27"/>
        <v>1</v>
      </c>
      <c r="CM28" s="37">
        <v>3115.297</v>
      </c>
      <c r="CN28" s="37"/>
      <c r="CO28" s="37">
        <f t="shared" si="28"/>
        <v>6927.1100000001416</v>
      </c>
      <c r="CP28" s="37">
        <f t="shared" si="104"/>
        <v>1</v>
      </c>
      <c r="CQ28" s="39">
        <v>2976.5349999999999</v>
      </c>
      <c r="CR28" s="39"/>
      <c r="CS28" s="37">
        <f t="shared" si="29"/>
        <v>7371.1099999996468</v>
      </c>
      <c r="CT28" s="37">
        <f t="shared" si="105"/>
        <v>1</v>
      </c>
      <c r="CU28" s="37">
        <v>2671249</v>
      </c>
      <c r="CV28" s="37"/>
      <c r="CW28" s="38">
        <f t="shared" si="30"/>
        <v>473</v>
      </c>
      <c r="CX28" s="37">
        <f t="shared" si="106"/>
        <v>1</v>
      </c>
      <c r="CY28" s="37">
        <v>1374585</v>
      </c>
      <c r="CZ28" s="37"/>
      <c r="DA28" s="37">
        <f t="shared" si="132"/>
        <v>163</v>
      </c>
      <c r="DB28" s="37">
        <f>IF(DA28&lt;=0,0,(DA28/SQRT(DA28^2+(CZ28-CZ27)^2)))</f>
        <v>1</v>
      </c>
      <c r="DC28" s="37"/>
      <c r="DD28" s="40"/>
      <c r="DE28" s="37">
        <f t="shared" si="32"/>
        <v>0</v>
      </c>
      <c r="DF28" s="37">
        <f t="shared" si="112"/>
        <v>0</v>
      </c>
      <c r="DG28" s="37">
        <f t="shared" si="33"/>
        <v>-45414.329999999434</v>
      </c>
      <c r="DH28" s="37">
        <f t="shared" si="34"/>
        <v>284833.11000000034</v>
      </c>
      <c r="DI28" s="46"/>
      <c r="DJ28" s="46"/>
      <c r="DK28" s="47"/>
      <c r="DL28" s="47"/>
      <c r="DM28" s="37"/>
      <c r="DN28" s="37"/>
      <c r="DO28" s="37"/>
      <c r="DP28" s="37"/>
      <c r="DQ28" s="50">
        <v>2980500</v>
      </c>
      <c r="DR28" s="49">
        <f t="shared" si="65"/>
        <v>8600</v>
      </c>
      <c r="DS28" s="50">
        <v>2661100</v>
      </c>
      <c r="DT28" s="49">
        <f t="shared" si="66"/>
        <v>19100</v>
      </c>
      <c r="DU28" s="51">
        <v>7719.7</v>
      </c>
      <c r="DV28" s="51">
        <v>4318.6000000000004</v>
      </c>
      <c r="DW28" s="37">
        <f t="shared" si="108"/>
        <v>4199.9999999998181</v>
      </c>
      <c r="DX28" s="52">
        <v>12755</v>
      </c>
      <c r="DY28" s="52">
        <v>8309.6</v>
      </c>
      <c r="DZ28" s="37">
        <f t="shared" si="35"/>
        <v>5933.11</v>
      </c>
      <c r="EA28" s="49">
        <v>28731</v>
      </c>
      <c r="EB28" s="49">
        <v>20.248000000000001</v>
      </c>
      <c r="EC28" s="37">
        <f t="shared" si="36"/>
        <v>26093.11</v>
      </c>
      <c r="ED28" s="53">
        <f t="shared" si="37"/>
        <v>36226.219999999819</v>
      </c>
      <c r="EE28" s="49">
        <v>43899</v>
      </c>
      <c r="EF28" s="49">
        <v>28.088000000000001</v>
      </c>
      <c r="EG28" s="37">
        <f t="shared" si="38"/>
        <v>31093.11</v>
      </c>
      <c r="EH28" s="51">
        <v>12425</v>
      </c>
      <c r="EI28" s="51">
        <v>1.6671</v>
      </c>
      <c r="EJ28" s="37">
        <f t="shared" si="39"/>
        <v>10933.11</v>
      </c>
      <c r="EK28" s="37">
        <v>752.84</v>
      </c>
      <c r="EL28" s="40">
        <v>1079.4000000000001</v>
      </c>
      <c r="EM28" s="37">
        <f t="shared" si="67"/>
        <v>649.99999999997726</v>
      </c>
      <c r="EN28" s="54">
        <f t="shared" si="68"/>
        <v>42676.219999999979</v>
      </c>
      <c r="EO28" s="48">
        <v>12534</v>
      </c>
      <c r="EP28" s="48">
        <v>4363.5</v>
      </c>
      <c r="EQ28" s="37">
        <f t="shared" si="69"/>
        <v>7758.1099999999897</v>
      </c>
      <c r="ER28" s="48">
        <v>8462.4</v>
      </c>
      <c r="ES28" s="48">
        <v>3447.4</v>
      </c>
      <c r="ET28" s="49">
        <f t="shared" si="116"/>
        <v>18199.999999998909</v>
      </c>
      <c r="EU28" s="48">
        <v>3103.8</v>
      </c>
      <c r="EV28" s="48">
        <v>1107.4000000000001</v>
      </c>
      <c r="EW28" s="49">
        <f t="shared" si="41"/>
        <v>8633.1100000002734</v>
      </c>
      <c r="EX28" s="48">
        <v>12784</v>
      </c>
      <c r="EY28" s="48">
        <v>1.4115</v>
      </c>
      <c r="EZ28" s="37">
        <f t="shared" si="42"/>
        <v>11933.11</v>
      </c>
      <c r="FA28" s="48">
        <f t="shared" si="70"/>
        <v>-22019.329999999172</v>
      </c>
      <c r="FB28" s="48">
        <v>35190812</v>
      </c>
      <c r="FC28" s="49">
        <f t="shared" si="109"/>
        <v>24505</v>
      </c>
      <c r="FD28" s="48">
        <f t="shared" si="71"/>
        <v>48224.32999999899</v>
      </c>
      <c r="FE28" s="48">
        <v>16496</v>
      </c>
      <c r="FF28" s="48">
        <v>5898.6</v>
      </c>
      <c r="FG28" s="37">
        <f t="shared" si="72"/>
        <v>10683.110000000011</v>
      </c>
      <c r="FH28" s="48">
        <v>7778.8</v>
      </c>
      <c r="FI28" s="48">
        <v>2.9973999999999998</v>
      </c>
      <c r="FJ28" s="49">
        <f t="shared" si="43"/>
        <v>14608.110000000364</v>
      </c>
      <c r="FK28" s="48"/>
      <c r="FL28" s="58">
        <v>-425</v>
      </c>
      <c r="FM28" s="48">
        <f t="shared" si="110"/>
        <v>66.889999999874519</v>
      </c>
      <c r="FN28" s="48">
        <v>15872</v>
      </c>
      <c r="FO28" s="48">
        <v>0.75770000000000004</v>
      </c>
      <c r="FP28" s="37">
        <f t="shared" si="73"/>
        <v>10508.11</v>
      </c>
      <c r="FQ28" s="48">
        <v>56498</v>
      </c>
      <c r="FR28" s="48">
        <v>13.563000000000001</v>
      </c>
      <c r="FS28" s="37">
        <f t="shared" si="44"/>
        <v>36000</v>
      </c>
      <c r="FT28" s="48">
        <f t="shared" si="74"/>
        <v>200.66999999962354</v>
      </c>
      <c r="FU28" s="48">
        <f t="shared" si="75"/>
        <v>37189.330000000482</v>
      </c>
      <c r="FV28" s="44">
        <v>3092400</v>
      </c>
      <c r="FW28" s="44">
        <v>1002800</v>
      </c>
      <c r="FX28" s="37">
        <f t="shared" si="45"/>
        <v>800</v>
      </c>
      <c r="FY28" s="56">
        <v>2971.3</v>
      </c>
      <c r="FZ28" s="56">
        <v>1.7592000000000001</v>
      </c>
      <c r="GA28" s="37">
        <f t="shared" si="46"/>
        <v>170.00000000027285</v>
      </c>
      <c r="GB28" s="56">
        <v>770.89</v>
      </c>
      <c r="GC28" s="56">
        <v>860.11</v>
      </c>
      <c r="GD28" s="37">
        <f t="shared" si="47"/>
        <v>340.00000000003183</v>
      </c>
      <c r="GE28" s="56">
        <v>9575.6</v>
      </c>
      <c r="GF28" s="56">
        <v>3.0234000000000001</v>
      </c>
      <c r="GG28" s="37">
        <f t="shared" si="48"/>
        <v>610.00000000080945</v>
      </c>
      <c r="GH28" s="158">
        <v>1863.6</v>
      </c>
      <c r="GI28" s="159">
        <v>1583</v>
      </c>
      <c r="GJ28" s="38">
        <f t="shared" si="49"/>
        <v>1699.9999999998181</v>
      </c>
      <c r="GK28" s="159">
        <v>1447</v>
      </c>
      <c r="GL28" s="160">
        <v>1109.8</v>
      </c>
      <c r="GM28" s="38">
        <f>IF((GK28-GK27)&lt;=0,0,(GK28-GK27))*1000</f>
        <v>1390.0000000001</v>
      </c>
      <c r="GN28" s="57">
        <v>159070</v>
      </c>
      <c r="GO28" s="57">
        <v>138920</v>
      </c>
      <c r="GP28" s="38">
        <f t="shared" si="114"/>
        <v>30</v>
      </c>
      <c r="GQ28" s="38">
        <v>226180</v>
      </c>
      <c r="GR28" s="38">
        <v>225280</v>
      </c>
      <c r="GS28" s="38">
        <f t="shared" si="76"/>
        <v>30</v>
      </c>
      <c r="GT28" s="178"/>
      <c r="GU28" s="144">
        <f>DailyMar!B27-DailyMar!N27-DailyMar!V27-DailyMar!Y27-DailyMar!Z27-DailyMar!AA27-DailyMar!AB27-DailyMar!AC27-DailyMar!AD27-DailyMar!AE27-DailyMar!AK27-DailyMar!AO27-DailyMar!AS27-DailyMar!AY27-DailyMar!BD27+DailyMar!BU27-SUM(DailyMar!BP27:BS27)-DailyMar!BT27-DailyMar!AF27-DailyMar!AG27-DailyMar!BG27</f>
        <v>-5.000000217842171E-2</v>
      </c>
      <c r="GV28" s="59">
        <v>-1003.4</v>
      </c>
      <c r="GW28" s="60">
        <f t="shared" si="51"/>
        <v>-66.893333333333331</v>
      </c>
      <c r="GX28" s="61">
        <v>-66.89</v>
      </c>
      <c r="GY28" s="140"/>
      <c r="GZ28" s="62"/>
      <c r="HA28" s="62"/>
      <c r="HB28" s="74"/>
      <c r="HC28" s="62"/>
      <c r="HD28" s="74"/>
      <c r="HE28" s="24">
        <f t="shared" si="52"/>
        <v>0</v>
      </c>
      <c r="HF28" s="151"/>
      <c r="HG28" s="213">
        <v>22</v>
      </c>
      <c r="HH28" s="16">
        <v>3864.5</v>
      </c>
      <c r="HI28" s="16">
        <v>1511.6</v>
      </c>
      <c r="HJ28" s="16">
        <f t="shared" si="125"/>
        <v>82000</v>
      </c>
      <c r="HK28" s="16">
        <v>1.9189000000000001</v>
      </c>
      <c r="HL28" s="16">
        <v>660.93</v>
      </c>
      <c r="HM28" s="16">
        <f t="shared" si="117"/>
        <v>0</v>
      </c>
      <c r="HN28" s="16">
        <v>988.72</v>
      </c>
      <c r="HO28" s="16">
        <v>433.09</v>
      </c>
      <c r="HP28" s="16">
        <f t="shared" si="120"/>
        <v>26860.000000000131</v>
      </c>
      <c r="HQ28" s="16">
        <v>970.65</v>
      </c>
      <c r="HR28" s="16">
        <v>441.27</v>
      </c>
      <c r="HS28" s="16">
        <f t="shared" si="121"/>
        <v>19480.000000000018</v>
      </c>
      <c r="HT28" s="16">
        <v>835.77</v>
      </c>
      <c r="HU28" s="16">
        <v>333.46</v>
      </c>
      <c r="HV28" s="16">
        <f t="shared" si="122"/>
        <v>16559.999999999945</v>
      </c>
      <c r="HW28" s="16"/>
      <c r="HX28" s="16"/>
      <c r="HY28" s="128">
        <f t="shared" si="123"/>
        <v>19100</v>
      </c>
      <c r="HZ28" s="211">
        <f t="shared" si="77"/>
        <v>-9.0949470177292824E-11</v>
      </c>
      <c r="IA28" s="16"/>
      <c r="IB28" s="16"/>
      <c r="IC28" s="16">
        <f t="shared" si="78"/>
        <v>0</v>
      </c>
      <c r="ID28" s="16"/>
      <c r="IE28" s="16"/>
      <c r="IF28" s="16">
        <f t="shared" si="79"/>
        <v>0</v>
      </c>
      <c r="IG28" s="16"/>
      <c r="IH28" s="16"/>
      <c r="II28" s="16">
        <f t="shared" si="133"/>
        <v>0</v>
      </c>
      <c r="IJ28" s="16"/>
      <c r="IK28" s="16"/>
      <c r="IL28" s="16">
        <f t="shared" ref="IL28:IL38" si="134">IF((IJ28-IJ27)&lt;=0,0,(IJ28-IJ27))</f>
        <v>0</v>
      </c>
      <c r="IM28" s="16"/>
      <c r="IN28" s="16"/>
      <c r="IO28" s="16">
        <f t="shared" si="82"/>
        <v>0</v>
      </c>
      <c r="IP28" s="16"/>
      <c r="IQ28" s="16"/>
      <c r="IR28" s="16">
        <f t="shared" si="83"/>
        <v>0</v>
      </c>
      <c r="IS28" s="16"/>
      <c r="IT28" s="16"/>
      <c r="IU28" s="16">
        <f t="shared" si="84"/>
        <v>0</v>
      </c>
      <c r="IV28" s="16"/>
      <c r="IW28" s="16"/>
      <c r="IX28" s="16">
        <f t="shared" si="85"/>
        <v>0</v>
      </c>
      <c r="IY28" s="16"/>
      <c r="IZ28" s="16"/>
      <c r="JA28" s="16">
        <f t="shared" si="86"/>
        <v>0</v>
      </c>
      <c r="JB28" s="16"/>
      <c r="JC28" s="16"/>
      <c r="JD28" s="16">
        <f t="shared" si="87"/>
        <v>0</v>
      </c>
      <c r="JE28" s="16"/>
      <c r="JF28" s="16"/>
      <c r="JG28" s="16">
        <f t="shared" si="88"/>
        <v>0</v>
      </c>
      <c r="JH28" s="16"/>
      <c r="JI28" s="16"/>
      <c r="JJ28" s="16">
        <f t="shared" si="89"/>
        <v>0</v>
      </c>
      <c r="JK28" s="16"/>
      <c r="JL28" s="16"/>
      <c r="JM28" s="16">
        <f t="shared" si="90"/>
        <v>0</v>
      </c>
      <c r="JN28" s="16"/>
      <c r="JO28" s="16"/>
      <c r="JP28" s="16">
        <f t="shared" si="91"/>
        <v>0</v>
      </c>
      <c r="JQ28" s="16"/>
      <c r="JR28" s="16"/>
      <c r="JS28" s="16">
        <f t="shared" si="92"/>
        <v>0</v>
      </c>
      <c r="JT28" s="16"/>
      <c r="JU28" s="16"/>
      <c r="JV28" s="16">
        <f t="shared" si="93"/>
        <v>0</v>
      </c>
      <c r="JX28" s="151">
        <f t="shared" si="94"/>
        <v>-9.0949470177292824E-11</v>
      </c>
    </row>
    <row r="29" spans="1:284" x14ac:dyDescent="0.25">
      <c r="A29" s="35">
        <f t="shared" si="0"/>
        <v>23</v>
      </c>
      <c r="B29" s="38">
        <v>3754.48</v>
      </c>
      <c r="C29" s="38">
        <f t="shared" si="1"/>
        <v>6.5199999999999818</v>
      </c>
      <c r="D29" s="38">
        <f t="shared" si="2"/>
        <v>208639.99999999942</v>
      </c>
      <c r="E29" s="38">
        <v>755.22</v>
      </c>
      <c r="F29" s="38">
        <f t="shared" si="113"/>
        <v>39680.000000000291</v>
      </c>
      <c r="G29" s="38">
        <f t="shared" si="4"/>
        <v>248319.99999999971</v>
      </c>
      <c r="H29" s="37"/>
      <c r="I29" s="39"/>
      <c r="J29" s="42"/>
      <c r="K29" s="37">
        <f t="shared" si="95"/>
        <v>0</v>
      </c>
      <c r="L29" s="40">
        <v>11088100</v>
      </c>
      <c r="M29" s="40"/>
      <c r="N29" s="37">
        <f t="shared" si="96"/>
        <v>246000</v>
      </c>
      <c r="O29" s="37">
        <v>10140</v>
      </c>
      <c r="P29" s="37"/>
      <c r="Q29" s="37">
        <f t="shared" si="127"/>
        <v>12000</v>
      </c>
      <c r="R29" s="37">
        <f t="shared" si="97"/>
        <v>1</v>
      </c>
      <c r="S29" s="37">
        <v>11123637.42</v>
      </c>
      <c r="T29" s="37">
        <f t="shared" si="6"/>
        <v>0</v>
      </c>
      <c r="U29" s="37">
        <v>1518173.85</v>
      </c>
      <c r="V29" s="37">
        <f t="shared" si="7"/>
        <v>0</v>
      </c>
      <c r="W29" s="37">
        <v>3544.2</v>
      </c>
      <c r="X29" s="37">
        <f t="shared" si="111"/>
        <v>7900</v>
      </c>
      <c r="Y29" s="183"/>
      <c r="Z29" s="183">
        <f t="shared" si="8"/>
        <v>0</v>
      </c>
      <c r="AA29" s="37">
        <v>600100</v>
      </c>
      <c r="AB29" s="37">
        <f t="shared" si="9"/>
        <v>4100</v>
      </c>
      <c r="AC29" s="37">
        <v>3738.2</v>
      </c>
      <c r="AD29" s="37"/>
      <c r="AE29" s="37">
        <f t="shared" si="129"/>
        <v>6199.9999999998181</v>
      </c>
      <c r="AF29" s="37">
        <f t="shared" si="98"/>
        <v>1</v>
      </c>
      <c r="AG29" s="37">
        <v>8165.2</v>
      </c>
      <c r="AH29" s="37"/>
      <c r="AI29" s="37">
        <f t="shared" si="11"/>
        <v>13035.87</v>
      </c>
      <c r="AJ29" s="37">
        <f t="shared" si="12"/>
        <v>1</v>
      </c>
      <c r="AK29" s="37">
        <f t="shared" si="13"/>
        <v>27135.869999999821</v>
      </c>
      <c r="AL29" s="42">
        <v>10157.9</v>
      </c>
      <c r="AM29" s="42"/>
      <c r="AN29" s="37">
        <f t="shared" si="59"/>
        <v>6085.8700000000508</v>
      </c>
      <c r="AO29" s="37">
        <f t="shared" si="99"/>
        <v>1</v>
      </c>
      <c r="AP29" s="67">
        <v>7777.1</v>
      </c>
      <c r="AQ29" s="37"/>
      <c r="AR29" s="37">
        <f t="shared" si="14"/>
        <v>12600.000000000364</v>
      </c>
      <c r="AS29" s="37">
        <f t="shared" si="100"/>
        <v>1</v>
      </c>
      <c r="AT29" s="183"/>
      <c r="AU29" s="183">
        <f t="shared" si="15"/>
        <v>0</v>
      </c>
      <c r="AV29" s="183"/>
      <c r="AW29" s="183">
        <f t="shared" si="16"/>
        <v>0</v>
      </c>
      <c r="AX29" s="37">
        <v>459760</v>
      </c>
      <c r="AY29" s="37"/>
      <c r="AZ29" s="37">
        <f t="shared" si="17"/>
        <v>440</v>
      </c>
      <c r="BA29" s="37">
        <v>110470</v>
      </c>
      <c r="BB29" s="37"/>
      <c r="BC29" s="37">
        <f t="shared" si="18"/>
        <v>690</v>
      </c>
      <c r="BD29" s="37">
        <f t="shared" si="101"/>
        <v>19815.870000000414</v>
      </c>
      <c r="BE29" s="43">
        <v>1757.2</v>
      </c>
      <c r="BF29" s="43">
        <v>960.99</v>
      </c>
      <c r="BG29" s="37">
        <f t="shared" si="19"/>
        <v>2799.9999999999545</v>
      </c>
      <c r="BH29" s="44">
        <v>8319.6</v>
      </c>
      <c r="BI29" s="44">
        <v>5351.7</v>
      </c>
      <c r="BJ29" s="37">
        <f t="shared" si="20"/>
        <v>10899.999999999636</v>
      </c>
      <c r="BK29" s="40">
        <v>1331190</v>
      </c>
      <c r="BL29" s="40">
        <f t="shared" si="102"/>
        <v>3770</v>
      </c>
      <c r="BM29" s="40">
        <v>829.5</v>
      </c>
      <c r="BN29" s="37">
        <f t="shared" si="21"/>
        <v>679.99999999994998</v>
      </c>
      <c r="BO29" s="186"/>
      <c r="BP29" s="183">
        <f t="shared" si="22"/>
        <v>0</v>
      </c>
      <c r="BQ29" s="40">
        <v>786.5</v>
      </c>
      <c r="BR29" s="37">
        <f t="shared" si="60"/>
        <v>500</v>
      </c>
      <c r="BS29" s="37">
        <v>85747.4</v>
      </c>
      <c r="BT29" s="37">
        <f t="shared" si="23"/>
        <v>213.2899999999936</v>
      </c>
      <c r="BU29" s="42">
        <v>2211104</v>
      </c>
      <c r="BV29" s="42"/>
      <c r="BW29" s="37">
        <f t="shared" si="24"/>
        <v>11902</v>
      </c>
      <c r="BX29" s="37">
        <f t="shared" si="103"/>
        <v>1</v>
      </c>
      <c r="BY29" s="43">
        <v>306.4495</v>
      </c>
      <c r="BZ29" s="43"/>
      <c r="CA29" s="37">
        <f t="shared" si="124"/>
        <v>754.099999999994</v>
      </c>
      <c r="CB29" s="37">
        <f t="shared" si="61"/>
        <v>1</v>
      </c>
      <c r="CC29" s="37">
        <v>527435.80000000005</v>
      </c>
      <c r="CD29" s="37">
        <f t="shared" si="26"/>
        <v>3818.5000000000582</v>
      </c>
      <c r="CE29" s="41">
        <v>801854.3</v>
      </c>
      <c r="CF29" s="37">
        <f t="shared" si="62"/>
        <v>6187.4000000000233</v>
      </c>
      <c r="CG29" s="37">
        <v>67924.7</v>
      </c>
      <c r="CH29" s="37">
        <f t="shared" si="63"/>
        <v>1776.0999999999913</v>
      </c>
      <c r="CI29" s="40">
        <v>11579.69</v>
      </c>
      <c r="CJ29" s="40"/>
      <c r="CK29" s="37">
        <f t="shared" si="64"/>
        <v>20011.770000001387</v>
      </c>
      <c r="CL29" s="37">
        <f t="shared" si="27"/>
        <v>1</v>
      </c>
      <c r="CM29" s="37">
        <v>3123.4140000000002</v>
      </c>
      <c r="CN29" s="37"/>
      <c r="CO29" s="37">
        <f t="shared" si="28"/>
        <v>8152.8700000001891</v>
      </c>
      <c r="CP29" s="37">
        <f t="shared" si="104"/>
        <v>1</v>
      </c>
      <c r="CQ29" s="39">
        <v>2984.2669999999998</v>
      </c>
      <c r="CR29" s="39"/>
      <c r="CS29" s="37">
        <f>IF((CQ29-CQ28)&lt;=0,0,(CQ29-CQ28))*1000+GX29</f>
        <v>7767.8699999999708</v>
      </c>
      <c r="CT29" s="37">
        <f t="shared" si="105"/>
        <v>1</v>
      </c>
      <c r="CU29" s="37">
        <v>2671770</v>
      </c>
      <c r="CV29" s="37"/>
      <c r="CW29" s="38">
        <f t="shared" si="30"/>
        <v>521</v>
      </c>
      <c r="CX29" s="37">
        <f t="shared" si="106"/>
        <v>1</v>
      </c>
      <c r="CY29" s="37">
        <v>1374743</v>
      </c>
      <c r="CZ29" s="37"/>
      <c r="DA29" s="37">
        <f t="shared" si="132"/>
        <v>158</v>
      </c>
      <c r="DB29" s="37">
        <f t="shared" si="107"/>
        <v>1</v>
      </c>
      <c r="DC29" s="37"/>
      <c r="DD29" s="40"/>
      <c r="DE29" s="37">
        <f t="shared" si="32"/>
        <v>0</v>
      </c>
      <c r="DF29" s="37">
        <f t="shared" si="112"/>
        <v>0</v>
      </c>
      <c r="DG29" s="37">
        <f t="shared" si="33"/>
        <v>-48513.510000001545</v>
      </c>
      <c r="DH29" s="37">
        <f t="shared" si="34"/>
        <v>275935.86999999976</v>
      </c>
      <c r="DI29" s="46"/>
      <c r="DJ29" s="46"/>
      <c r="DK29" s="47"/>
      <c r="DL29" s="47"/>
      <c r="DM29" s="37"/>
      <c r="DN29" s="37"/>
      <c r="DO29" s="37"/>
      <c r="DP29" s="37"/>
      <c r="DQ29" s="50">
        <v>2988400</v>
      </c>
      <c r="DR29" s="49">
        <f t="shared" si="65"/>
        <v>7900</v>
      </c>
      <c r="DS29" s="50">
        <v>2680000</v>
      </c>
      <c r="DT29" s="49">
        <f t="shared" si="66"/>
        <v>18900</v>
      </c>
      <c r="DU29" s="72">
        <v>7724.2</v>
      </c>
      <c r="DV29" s="51">
        <v>4321.2</v>
      </c>
      <c r="DW29" s="37">
        <f t="shared" si="108"/>
        <v>4500</v>
      </c>
      <c r="DX29" s="52">
        <v>12761</v>
      </c>
      <c r="DY29" s="52">
        <v>8310</v>
      </c>
      <c r="DZ29" s="37">
        <f t="shared" si="35"/>
        <v>6035.87</v>
      </c>
      <c r="EA29" s="49">
        <v>28756</v>
      </c>
      <c r="EB29" s="49">
        <v>20.260999999999999</v>
      </c>
      <c r="EC29" s="37">
        <f t="shared" si="36"/>
        <v>27195.87</v>
      </c>
      <c r="ED29" s="53">
        <f t="shared" si="37"/>
        <v>37731.74</v>
      </c>
      <c r="EE29" s="49">
        <v>43931</v>
      </c>
      <c r="EF29" s="49">
        <v>28.119</v>
      </c>
      <c r="EG29" s="37">
        <f t="shared" si="38"/>
        <v>34195.869999999995</v>
      </c>
      <c r="EH29" s="72">
        <v>12438</v>
      </c>
      <c r="EI29" s="51">
        <v>1.67</v>
      </c>
      <c r="EJ29" s="37">
        <f t="shared" si="39"/>
        <v>13035.87</v>
      </c>
      <c r="EK29" s="37">
        <v>753.46</v>
      </c>
      <c r="EL29" s="40">
        <v>1080.2</v>
      </c>
      <c r="EM29" s="37">
        <f t="shared" si="67"/>
        <v>620.00000000000455</v>
      </c>
      <c r="EN29" s="54">
        <f t="shared" si="68"/>
        <v>47851.740000000005</v>
      </c>
      <c r="EO29" s="48">
        <v>12544</v>
      </c>
      <c r="EP29" s="48">
        <v>4366.8999999999996</v>
      </c>
      <c r="EQ29" s="37">
        <f t="shared" si="69"/>
        <v>8705.8700000000172</v>
      </c>
      <c r="ER29" s="48">
        <v>8481.2000000000007</v>
      </c>
      <c r="ES29" s="48">
        <v>3455.4</v>
      </c>
      <c r="ET29" s="49">
        <f t="shared" si="116"/>
        <v>18800.000000001091</v>
      </c>
      <c r="EU29" s="48">
        <v>3112.9</v>
      </c>
      <c r="EV29" s="48">
        <v>1110.5</v>
      </c>
      <c r="EW29" s="49">
        <f t="shared" si="41"/>
        <v>9135.8699999999099</v>
      </c>
      <c r="EX29" s="48">
        <v>12798</v>
      </c>
      <c r="EY29" s="55">
        <v>1.4137999999999999</v>
      </c>
      <c r="EZ29" s="37">
        <f t="shared" si="42"/>
        <v>14035.87</v>
      </c>
      <c r="FA29" s="48">
        <f t="shared" si="70"/>
        <v>-24404.610000001019</v>
      </c>
      <c r="FB29" s="48">
        <v>35217085</v>
      </c>
      <c r="FC29" s="49">
        <f t="shared" si="109"/>
        <v>26273</v>
      </c>
      <c r="FD29" s="48">
        <f t="shared" si="71"/>
        <v>52877.610000001063</v>
      </c>
      <c r="FE29" s="48">
        <v>16505</v>
      </c>
      <c r="FF29" s="48">
        <v>5902.5</v>
      </c>
      <c r="FG29" s="37">
        <f t="shared" si="72"/>
        <v>10455.869999999984</v>
      </c>
      <c r="FH29" s="48">
        <v>7794.2</v>
      </c>
      <c r="FI29" s="48">
        <v>3.0036999999999998</v>
      </c>
      <c r="FJ29" s="49">
        <f t="shared" si="43"/>
        <v>15525.869999999637</v>
      </c>
      <c r="FK29" s="48"/>
      <c r="FL29" s="58">
        <v>90</v>
      </c>
      <c r="FM29" s="48">
        <f t="shared" si="110"/>
        <v>-35.869999999874075</v>
      </c>
      <c r="FN29" s="48">
        <v>15883</v>
      </c>
      <c r="FO29" s="48">
        <v>0.75829999999999997</v>
      </c>
      <c r="FP29" s="37">
        <f t="shared" si="73"/>
        <v>11125.87</v>
      </c>
      <c r="FQ29" s="48">
        <v>56535</v>
      </c>
      <c r="FR29" s="48">
        <v>13.574999999999999</v>
      </c>
      <c r="FS29" s="37">
        <f t="shared" si="44"/>
        <v>37000</v>
      </c>
      <c r="FT29" s="48">
        <f t="shared" si="74"/>
        <v>-107.60999999962223</v>
      </c>
      <c r="FU29" s="48">
        <f t="shared" si="75"/>
        <v>39007.60999999971</v>
      </c>
      <c r="FV29" s="44">
        <v>3093100</v>
      </c>
      <c r="FW29" s="65">
        <v>1003300</v>
      </c>
      <c r="FX29" s="37">
        <f t="shared" si="45"/>
        <v>700</v>
      </c>
      <c r="FY29" s="56">
        <v>2971.7</v>
      </c>
      <c r="FZ29" s="56">
        <v>1.7593000000000001</v>
      </c>
      <c r="GA29" s="37">
        <f t="shared" si="46"/>
        <v>99.999999999636202</v>
      </c>
      <c r="GB29" s="56">
        <v>771.21</v>
      </c>
      <c r="GC29" s="56">
        <v>860.54</v>
      </c>
      <c r="GD29" s="37">
        <f t="shared" si="47"/>
        <v>320.00000000005002</v>
      </c>
      <c r="GE29" s="56">
        <v>9582</v>
      </c>
      <c r="GF29" s="56">
        <v>3.028</v>
      </c>
      <c r="GG29" s="37">
        <f t="shared" si="48"/>
        <v>2299.9999999994998</v>
      </c>
      <c r="GH29" s="158">
        <v>1865.8</v>
      </c>
      <c r="GI29" s="159">
        <v>1585</v>
      </c>
      <c r="GJ29" s="38">
        <f t="shared" si="49"/>
        <v>2200.0000000000455</v>
      </c>
      <c r="GK29" s="159">
        <v>1448.9</v>
      </c>
      <c r="GL29" s="160">
        <v>1110.5999999999999</v>
      </c>
      <c r="GM29" s="38">
        <f t="shared" si="50"/>
        <v>1900.0000000000909</v>
      </c>
      <c r="GN29" s="57">
        <v>161020</v>
      </c>
      <c r="GO29" s="57">
        <v>140620</v>
      </c>
      <c r="GP29" s="38">
        <f t="shared" si="114"/>
        <v>1950</v>
      </c>
      <c r="GQ29" s="38">
        <v>226480</v>
      </c>
      <c r="GR29" s="38">
        <v>225780</v>
      </c>
      <c r="GS29" s="38">
        <f t="shared" si="76"/>
        <v>300</v>
      </c>
      <c r="GT29" s="178"/>
      <c r="GU29" s="144">
        <f>DailyMar!B28-DailyMar!N28-DailyMar!V28-DailyMar!Y28-DailyMar!Z28-DailyMar!AA28-DailyMar!AB28-DailyMar!AC28-DailyMar!AD28-DailyMar!AE28-DailyMar!AK28-DailyMar!AO28-DailyMar!AS28-DailyMar!AY28-DailyMar!BD28+DailyMar!BU28-DailyMar!BT28-DailyMar!AF28-DailyMar!AG28-DailyMar!BG28</f>
        <v>-5.0000001399894245E-2</v>
      </c>
      <c r="GV29" s="59">
        <v>538</v>
      </c>
      <c r="GW29" s="60">
        <f t="shared" si="51"/>
        <v>35.866666666666667</v>
      </c>
      <c r="GX29" s="61">
        <v>35.869999999999997</v>
      </c>
      <c r="GY29" s="140"/>
      <c r="GZ29" s="62"/>
      <c r="HA29" s="62"/>
      <c r="HB29" s="74"/>
      <c r="HC29" s="62"/>
      <c r="HD29" s="74"/>
      <c r="HE29" s="24">
        <f t="shared" si="52"/>
        <v>0</v>
      </c>
      <c r="HG29" s="213">
        <v>23</v>
      </c>
      <c r="HH29" s="16">
        <v>3937.2</v>
      </c>
      <c r="HI29" s="16">
        <v>1540.4</v>
      </c>
      <c r="HJ29" s="16">
        <f t="shared" si="125"/>
        <v>72699.999999999825</v>
      </c>
      <c r="HK29" s="16">
        <v>1.9189000000000001</v>
      </c>
      <c r="HL29" s="16">
        <v>660.93</v>
      </c>
      <c r="HM29" s="16">
        <f t="shared" si="117"/>
        <v>0</v>
      </c>
      <c r="HN29" s="16">
        <v>1010.3</v>
      </c>
      <c r="HO29" s="16">
        <v>443.38</v>
      </c>
      <c r="HP29" s="16">
        <f t="shared" si="120"/>
        <v>19099.999999999854</v>
      </c>
      <c r="HQ29" s="16">
        <v>993.55</v>
      </c>
      <c r="HR29" s="16">
        <v>451.2</v>
      </c>
      <c r="HS29" s="16">
        <f t="shared" si="121"/>
        <v>22899.999999999978</v>
      </c>
      <c r="HT29" s="16">
        <f>HT28+((HT30-HT28)/2)</f>
        <v>847.56999999999994</v>
      </c>
      <c r="HU29" s="16">
        <v>337.35</v>
      </c>
      <c r="HV29" s="16">
        <f t="shared" si="122"/>
        <v>11799.999999999955</v>
      </c>
      <c r="HW29" s="16"/>
      <c r="HX29" s="16"/>
      <c r="HY29" s="128">
        <f t="shared" si="123"/>
        <v>18900</v>
      </c>
      <c r="HZ29" s="211">
        <f t="shared" si="77"/>
        <v>3.637978807091713E-11</v>
      </c>
      <c r="IA29" s="16"/>
      <c r="IB29" s="16"/>
      <c r="IC29" s="16">
        <f t="shared" si="78"/>
        <v>0</v>
      </c>
      <c r="ID29" s="16"/>
      <c r="IE29" s="16"/>
      <c r="IF29" s="16">
        <f t="shared" si="79"/>
        <v>0</v>
      </c>
      <c r="IG29" s="16"/>
      <c r="IH29" s="16"/>
      <c r="II29" s="16">
        <f t="shared" si="133"/>
        <v>0</v>
      </c>
      <c r="IJ29" s="16"/>
      <c r="IK29" s="16"/>
      <c r="IL29" s="16">
        <f t="shared" si="134"/>
        <v>0</v>
      </c>
      <c r="IM29" s="16"/>
      <c r="IN29" s="16"/>
      <c r="IO29" s="16">
        <f t="shared" si="82"/>
        <v>0</v>
      </c>
      <c r="IP29" s="16"/>
      <c r="IQ29" s="16"/>
      <c r="IR29" s="16">
        <f t="shared" si="83"/>
        <v>0</v>
      </c>
      <c r="IS29" s="16"/>
      <c r="IT29" s="16"/>
      <c r="IU29" s="16">
        <f t="shared" si="84"/>
        <v>0</v>
      </c>
      <c r="IV29" s="16"/>
      <c r="IW29" s="16"/>
      <c r="IX29" s="16">
        <f t="shared" si="85"/>
        <v>0</v>
      </c>
      <c r="IY29" s="16"/>
      <c r="IZ29" s="16"/>
      <c r="JA29" s="16">
        <f t="shared" si="86"/>
        <v>0</v>
      </c>
      <c r="JB29" s="16"/>
      <c r="JC29" s="16"/>
      <c r="JD29" s="16">
        <f t="shared" si="87"/>
        <v>0</v>
      </c>
      <c r="JE29" s="16"/>
      <c r="JF29" s="16"/>
      <c r="JG29" s="16">
        <f t="shared" si="88"/>
        <v>0</v>
      </c>
      <c r="JH29" s="16"/>
      <c r="JI29" s="16"/>
      <c r="JJ29" s="16">
        <f t="shared" si="89"/>
        <v>0</v>
      </c>
      <c r="JK29" s="16"/>
      <c r="JL29" s="16"/>
      <c r="JM29" s="16">
        <f t="shared" si="90"/>
        <v>0</v>
      </c>
      <c r="JN29" s="16"/>
      <c r="JO29" s="16"/>
      <c r="JP29" s="16">
        <f t="shared" si="91"/>
        <v>0</v>
      </c>
      <c r="JQ29" s="16"/>
      <c r="JR29" s="16"/>
      <c r="JS29" s="16">
        <f t="shared" si="92"/>
        <v>0</v>
      </c>
      <c r="JT29" s="16"/>
      <c r="JU29" s="16"/>
      <c r="JV29" s="16">
        <f t="shared" si="93"/>
        <v>0</v>
      </c>
      <c r="JX29" s="151">
        <f t="shared" si="94"/>
        <v>3.637978807091713E-11</v>
      </c>
    </row>
    <row r="30" spans="1:284" x14ac:dyDescent="0.25">
      <c r="A30" s="35">
        <f t="shared" si="0"/>
        <v>24</v>
      </c>
      <c r="B30" s="38">
        <v>3761.02</v>
      </c>
      <c r="C30" s="38">
        <f t="shared" si="1"/>
        <v>6.5399999999999636</v>
      </c>
      <c r="D30" s="38">
        <f t="shared" si="2"/>
        <v>209279.99999999884</v>
      </c>
      <c r="E30" s="38">
        <v>756.34</v>
      </c>
      <c r="F30" s="38">
        <f t="shared" si="113"/>
        <v>35840.000000000146</v>
      </c>
      <c r="G30" s="38">
        <f t="shared" si="4"/>
        <v>245119.99999999898</v>
      </c>
      <c r="H30" s="37"/>
      <c r="I30" s="39"/>
      <c r="J30" s="42"/>
      <c r="K30" s="37">
        <f>IF(J30&lt;=0,0,(J30/SQRT(J30^2+(I30-I29)^2)))</f>
        <v>0</v>
      </c>
      <c r="L30" s="40">
        <v>11112400</v>
      </c>
      <c r="M30" s="40"/>
      <c r="N30" s="37">
        <f t="shared" si="96"/>
        <v>243000</v>
      </c>
      <c r="O30" s="37">
        <v>10154.200000000001</v>
      </c>
      <c r="P30" s="37"/>
      <c r="Q30" s="37">
        <f t="shared" si="127"/>
        <v>14200.000000000728</v>
      </c>
      <c r="R30" s="37">
        <f>IF(Q30&lt;=0,0,(Q30/SQRT(Q30^2+(P30-P29)^2)))</f>
        <v>1</v>
      </c>
      <c r="S30" s="37">
        <v>11123637.42</v>
      </c>
      <c r="T30" s="37">
        <f t="shared" si="6"/>
        <v>0</v>
      </c>
      <c r="U30" s="37">
        <v>1518173.85</v>
      </c>
      <c r="V30" s="37">
        <f t="shared" si="7"/>
        <v>0</v>
      </c>
      <c r="W30" s="37">
        <v>3551.3</v>
      </c>
      <c r="X30" s="37">
        <f t="shared" si="111"/>
        <v>9100.0000000007276</v>
      </c>
      <c r="Y30" s="183"/>
      <c r="Z30" s="183">
        <f t="shared" si="8"/>
        <v>0</v>
      </c>
      <c r="AA30" s="37">
        <v>605200</v>
      </c>
      <c r="AB30" s="37">
        <f t="shared" si="9"/>
        <v>5100</v>
      </c>
      <c r="AC30" s="37">
        <v>3746.3</v>
      </c>
      <c r="AD30" s="37"/>
      <c r="AE30" s="37">
        <f t="shared" si="129"/>
        <v>8100.0000000003638</v>
      </c>
      <c r="AF30" s="37">
        <f>IF(AE30&lt;=0,0,(AE30/SQRT(AE30^2+(AD30-AD29)^2)))</f>
        <v>1</v>
      </c>
      <c r="AG30" s="37">
        <v>8182.2</v>
      </c>
      <c r="AH30" s="37"/>
      <c r="AI30" s="37">
        <f t="shared" si="11"/>
        <v>17711.91</v>
      </c>
      <c r="AJ30" s="37">
        <f t="shared" si="12"/>
        <v>1</v>
      </c>
      <c r="AK30" s="37">
        <f t="shared" si="13"/>
        <v>34911.910000001095</v>
      </c>
      <c r="AL30" s="42">
        <v>10169.799999999999</v>
      </c>
      <c r="AM30" s="42"/>
      <c r="AN30" s="37">
        <f t="shared" si="59"/>
        <v>7731.9099999996633</v>
      </c>
      <c r="AO30" s="37">
        <f>IF(AN30&lt;=0,0,(AN30/SQRT(AN30^2+(AM30-AM29)^2)))</f>
        <v>1</v>
      </c>
      <c r="AP30" s="67">
        <v>7787.8</v>
      </c>
      <c r="AQ30" s="37"/>
      <c r="AR30" s="37">
        <f t="shared" si="14"/>
        <v>10699.999999999818</v>
      </c>
      <c r="AS30" s="37">
        <f>IF(AR30&lt;=0,0,(AR30/SQRT(AR30^2+(AQ30-AQ29)^2)))</f>
        <v>1</v>
      </c>
      <c r="AT30" s="183"/>
      <c r="AU30" s="183">
        <f t="shared" si="15"/>
        <v>0</v>
      </c>
      <c r="AV30" s="183"/>
      <c r="AW30" s="183">
        <f t="shared" si="16"/>
        <v>0</v>
      </c>
      <c r="AX30" s="37">
        <v>460190</v>
      </c>
      <c r="AY30" s="37"/>
      <c r="AZ30" s="37">
        <f t="shared" si="17"/>
        <v>430</v>
      </c>
      <c r="BA30" s="37">
        <v>111070</v>
      </c>
      <c r="BB30" s="37"/>
      <c r="BC30" s="37">
        <f t="shared" si="18"/>
        <v>600</v>
      </c>
      <c r="BD30" s="37">
        <f>AN30+AR30+AZ30+BC30</f>
        <v>19461.90999999948</v>
      </c>
      <c r="BE30" s="43">
        <v>1760</v>
      </c>
      <c r="BF30" s="43">
        <v>962.65</v>
      </c>
      <c r="BG30" s="37">
        <f t="shared" si="19"/>
        <v>2799.9999999999545</v>
      </c>
      <c r="BH30" s="44">
        <v>8329.2999999999993</v>
      </c>
      <c r="BI30" s="44">
        <v>5358.1</v>
      </c>
      <c r="BJ30" s="37">
        <f t="shared" si="20"/>
        <v>9699.9999999989086</v>
      </c>
      <c r="BK30" s="40">
        <v>1335040</v>
      </c>
      <c r="BL30" s="40">
        <f t="shared" si="102"/>
        <v>3850</v>
      </c>
      <c r="BM30" s="40">
        <v>830.23</v>
      </c>
      <c r="BN30" s="37">
        <f t="shared" si="21"/>
        <v>730.00000000001819</v>
      </c>
      <c r="BO30" s="186"/>
      <c r="BP30" s="183">
        <f t="shared" si="22"/>
        <v>0</v>
      </c>
      <c r="BQ30" s="40">
        <v>786.8</v>
      </c>
      <c r="BR30" s="37">
        <f t="shared" si="60"/>
        <v>299.99999999995453</v>
      </c>
      <c r="BS30" s="37">
        <v>86016.62</v>
      </c>
      <c r="BT30" s="37">
        <f t="shared" si="23"/>
        <v>269.22000000000116</v>
      </c>
      <c r="BU30" s="42">
        <v>2216941</v>
      </c>
      <c r="BV30" s="42"/>
      <c r="BW30" s="37">
        <f t="shared" si="24"/>
        <v>5837</v>
      </c>
      <c r="BX30" s="37">
        <f>IF(BW30&lt;=0,0,(BW30/SQRT(BW30^2+(BV30-BV29)^2)))</f>
        <v>1</v>
      </c>
      <c r="BY30" s="43">
        <v>306.98200000000003</v>
      </c>
      <c r="BZ30" s="37"/>
      <c r="CA30" s="37">
        <f t="shared" si="124"/>
        <v>532.50000000002728</v>
      </c>
      <c r="CB30" s="37">
        <f t="shared" si="61"/>
        <v>1</v>
      </c>
      <c r="CC30" s="37">
        <v>528857.80000000005</v>
      </c>
      <c r="CD30" s="37">
        <f t="shared" si="26"/>
        <v>1422</v>
      </c>
      <c r="CE30" s="41">
        <v>804978.1</v>
      </c>
      <c r="CF30" s="37">
        <f t="shared" si="62"/>
        <v>3123.7999999999302</v>
      </c>
      <c r="CG30" s="37">
        <v>69151.199999999997</v>
      </c>
      <c r="CH30" s="37">
        <f t="shared" si="63"/>
        <v>1226.5</v>
      </c>
      <c r="CI30" s="40">
        <v>11592.5</v>
      </c>
      <c r="CJ30" s="40"/>
      <c r="CK30" s="37">
        <f t="shared" si="64"/>
        <v>12989.409999999463</v>
      </c>
      <c r="CL30" s="37">
        <f t="shared" si="27"/>
        <v>1</v>
      </c>
      <c r="CM30" s="37">
        <v>3127.6289999999999</v>
      </c>
      <c r="CN30" s="37"/>
      <c r="CO30" s="37">
        <f t="shared" si="28"/>
        <v>4926.9099999996906</v>
      </c>
      <c r="CP30" s="37">
        <f>IF(CO30&lt;=0,0,(CO30/SQRT(CO30^2+(CN30-CN29)^2)))</f>
        <v>1</v>
      </c>
      <c r="CQ30" s="39">
        <v>2988.1239999999998</v>
      </c>
      <c r="CR30" s="39"/>
      <c r="CS30" s="37">
        <f t="shared" si="29"/>
        <v>4568.9099999999708</v>
      </c>
      <c r="CT30" s="37">
        <f>IF(CS30&lt;=0,0,(CS30/SQRT(CS30^2+(CR30-CR29)^2)))</f>
        <v>1</v>
      </c>
      <c r="CU30" s="37">
        <v>2672317</v>
      </c>
      <c r="CV30" s="37"/>
      <c r="CW30" s="38">
        <f t="shared" si="30"/>
        <v>547</v>
      </c>
      <c r="CX30" s="37">
        <f>IF(CW30&lt;=0,0,(CW30/SQRT(CW30^2+(CV30-CV29)^2)))</f>
        <v>1</v>
      </c>
      <c r="CY30" s="37">
        <v>1374921</v>
      </c>
      <c r="CZ30" s="37"/>
      <c r="DA30" s="37">
        <f t="shared" si="132"/>
        <v>178</v>
      </c>
      <c r="DB30" s="37">
        <f t="shared" si="107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3"/>
        <v>-29047.229999999123</v>
      </c>
      <c r="DH30" s="37">
        <f t="shared" si="34"/>
        <v>280711.91000000108</v>
      </c>
      <c r="DI30" s="46"/>
      <c r="DJ30" s="46"/>
      <c r="DK30" s="47"/>
      <c r="DL30" s="47"/>
      <c r="DM30" s="37"/>
      <c r="DN30" s="37"/>
      <c r="DO30" s="37"/>
      <c r="DP30" s="37"/>
      <c r="DQ30" s="50">
        <v>2996100</v>
      </c>
      <c r="DR30" s="49">
        <f t="shared" si="65"/>
        <v>7700</v>
      </c>
      <c r="DS30" s="50">
        <v>2697200</v>
      </c>
      <c r="DT30" s="49">
        <f t="shared" si="66"/>
        <v>17200</v>
      </c>
      <c r="DU30" s="51">
        <v>7728.5</v>
      </c>
      <c r="DV30" s="51">
        <v>4323.6000000000004</v>
      </c>
      <c r="DW30" s="37">
        <f t="shared" si="108"/>
        <v>4300.0000000001819</v>
      </c>
      <c r="DX30" s="52">
        <v>12767</v>
      </c>
      <c r="DY30" s="52">
        <v>8311.7000000000007</v>
      </c>
      <c r="DZ30" s="37">
        <f t="shared" si="35"/>
        <v>6711.91</v>
      </c>
      <c r="EA30" s="49">
        <v>28779</v>
      </c>
      <c r="EB30" s="49">
        <v>20.271999999999998</v>
      </c>
      <c r="EC30" s="37">
        <f t="shared" si="36"/>
        <v>25871.91</v>
      </c>
      <c r="ED30" s="53">
        <f t="shared" si="37"/>
        <v>36883.820000000182</v>
      </c>
      <c r="EE30" s="49">
        <v>43963</v>
      </c>
      <c r="EF30" s="49">
        <v>28.15</v>
      </c>
      <c r="EG30" s="37">
        <f t="shared" si="38"/>
        <v>34871.910000000003</v>
      </c>
      <c r="EH30" s="51">
        <v>12450</v>
      </c>
      <c r="EI30" s="51">
        <v>1.6729000000000001</v>
      </c>
      <c r="EJ30" s="37">
        <f t="shared" si="39"/>
        <v>12711.91</v>
      </c>
      <c r="EK30" s="37">
        <v>754.08</v>
      </c>
      <c r="EL30" s="40">
        <v>1081.0999999999999</v>
      </c>
      <c r="EM30" s="37">
        <f t="shared" si="67"/>
        <v>620.00000000000455</v>
      </c>
      <c r="EN30" s="54">
        <f t="shared" si="68"/>
        <v>48203.820000000014</v>
      </c>
      <c r="EO30" s="48">
        <v>12552</v>
      </c>
      <c r="EP30" s="48">
        <v>4370.6000000000004</v>
      </c>
      <c r="EQ30" s="37">
        <f t="shared" si="69"/>
        <v>7596.9099999999908</v>
      </c>
      <c r="ER30" s="48">
        <v>8499.2999999999993</v>
      </c>
      <c r="ES30" s="48">
        <v>3463.1</v>
      </c>
      <c r="ET30" s="49">
        <f t="shared" si="116"/>
        <v>18099.999999998545</v>
      </c>
      <c r="EU30" s="73">
        <v>3121.3</v>
      </c>
      <c r="EV30" s="48">
        <v>1113.3</v>
      </c>
      <c r="EW30" s="49">
        <f t="shared" si="41"/>
        <v>9111.9100000000908</v>
      </c>
      <c r="EX30" s="48">
        <v>12812</v>
      </c>
      <c r="EY30" s="55">
        <v>1.4158999999999999</v>
      </c>
      <c r="EZ30" s="37">
        <f t="shared" si="42"/>
        <v>14711.91</v>
      </c>
      <c r="FA30" s="48">
        <f t="shared" si="70"/>
        <v>-25061.729999998624</v>
      </c>
      <c r="FB30" s="48">
        <v>35241544</v>
      </c>
      <c r="FC30" s="49">
        <f t="shared" si="109"/>
        <v>24459</v>
      </c>
      <c r="FD30" s="48">
        <f t="shared" si="71"/>
        <v>51120.729999998766</v>
      </c>
      <c r="FE30" s="48">
        <v>16515</v>
      </c>
      <c r="FF30" s="55">
        <v>5906.8</v>
      </c>
      <c r="FG30" s="37">
        <f t="shared" si="72"/>
        <v>12021.910000000009</v>
      </c>
      <c r="FH30" s="48">
        <v>7813.5</v>
      </c>
      <c r="FI30" s="48">
        <v>3.0116000000000001</v>
      </c>
      <c r="FJ30" s="49">
        <f t="shared" si="43"/>
        <v>20206.910000000182</v>
      </c>
      <c r="FK30" s="48"/>
      <c r="FL30" s="58">
        <v>195</v>
      </c>
      <c r="FM30" s="48">
        <f t="shared" si="110"/>
        <v>-711.91000000006409</v>
      </c>
      <c r="FN30" s="48">
        <v>15896</v>
      </c>
      <c r="FO30" s="48">
        <v>0.75880000000000003</v>
      </c>
      <c r="FP30" s="37">
        <f t="shared" si="73"/>
        <v>13906.91</v>
      </c>
      <c r="FQ30" s="48">
        <v>56579</v>
      </c>
      <c r="FR30" s="48">
        <v>13.589</v>
      </c>
      <c r="FS30" s="37">
        <f t="shared" si="44"/>
        <v>44000</v>
      </c>
      <c r="FT30" s="48">
        <f t="shared" si="74"/>
        <v>-2135.7300000001924</v>
      </c>
      <c r="FU30" s="48">
        <f t="shared" si="75"/>
        <v>47535.730000000047</v>
      </c>
      <c r="FV30" s="44">
        <v>3093900</v>
      </c>
      <c r="FW30" s="44">
        <v>1003900</v>
      </c>
      <c r="FX30" s="37">
        <f t="shared" si="45"/>
        <v>800</v>
      </c>
      <c r="FY30" s="56">
        <v>2972.3</v>
      </c>
      <c r="FZ30" s="56">
        <v>1.7593000000000001</v>
      </c>
      <c r="GA30" s="37">
        <f t="shared" si="46"/>
        <v>190.0000000003638</v>
      </c>
      <c r="GB30" s="56">
        <v>771.51</v>
      </c>
      <c r="GC30" s="56">
        <v>860.96</v>
      </c>
      <c r="GD30" s="37">
        <f t="shared" si="47"/>
        <v>299.99999999995453</v>
      </c>
      <c r="GE30" s="56">
        <v>9586.9</v>
      </c>
      <c r="GF30" s="56">
        <v>3.0314999999999999</v>
      </c>
      <c r="GG30" s="37">
        <f t="shared" si="48"/>
        <v>1899.9999999996362</v>
      </c>
      <c r="GH30" s="158">
        <v>1867.4</v>
      </c>
      <c r="GI30" s="159">
        <v>1586.5</v>
      </c>
      <c r="GJ30" s="38">
        <f t="shared" si="49"/>
        <v>1600.0000000001364</v>
      </c>
      <c r="GK30" s="159">
        <v>1450.3</v>
      </c>
      <c r="GL30" s="160">
        <v>1111.2</v>
      </c>
      <c r="GM30" s="38">
        <f t="shared" si="50"/>
        <v>1399.9999999998636</v>
      </c>
      <c r="GN30" s="57">
        <v>162410</v>
      </c>
      <c r="GO30" s="57">
        <v>141570</v>
      </c>
      <c r="GP30" s="38">
        <f t="shared" si="114"/>
        <v>1390</v>
      </c>
      <c r="GQ30" s="38">
        <v>226890</v>
      </c>
      <c r="GR30" s="38">
        <v>226490</v>
      </c>
      <c r="GS30" s="38">
        <f t="shared" si="76"/>
        <v>410</v>
      </c>
      <c r="GT30" s="178"/>
      <c r="GU30" s="144">
        <f>DailyMar!B29-DailyMar!N29-DailyMar!V29-DailyMar!Y29-DailyMar!Z29-DailyMar!AA29-DailyMar!AB29-DailyMar!AC29-DailyMar!AD29-DailyMar!AE29-DailyMar!AK29-DailyMar!AO29-DailyMar!AS29-DailyMar!AY29-DailyMar!BD29+DailyMar!BU29-DailyMar!BT29-DailyMar!AF29-DailyMar!AG29-DailyMar!BG29</f>
        <v>5.0000001130683813E-2</v>
      </c>
      <c r="GV30" s="59">
        <v>10678.7</v>
      </c>
      <c r="GW30" s="60">
        <f t="shared" si="51"/>
        <v>711.91333333333341</v>
      </c>
      <c r="GX30" s="61">
        <v>711.91</v>
      </c>
      <c r="GY30" s="140"/>
      <c r="GZ30" s="62"/>
      <c r="HA30" s="62"/>
      <c r="HB30" s="74"/>
      <c r="HC30" s="62"/>
      <c r="HD30" s="74"/>
      <c r="HE30" s="24">
        <f t="shared" si="52"/>
        <v>0</v>
      </c>
      <c r="HG30" s="213">
        <v>24</v>
      </c>
      <c r="HH30" s="16">
        <v>4015.8</v>
      </c>
      <c r="HI30" s="16">
        <v>1571</v>
      </c>
      <c r="HJ30" s="16">
        <f t="shared" si="125"/>
        <v>78600.000000000364</v>
      </c>
      <c r="HK30" s="16">
        <v>1.9189000000000001</v>
      </c>
      <c r="HL30" s="16">
        <v>660.93</v>
      </c>
      <c r="HM30" s="16">
        <f t="shared" si="117"/>
        <v>0</v>
      </c>
      <c r="HN30" s="16">
        <v>1033.5999999999999</v>
      </c>
      <c r="HO30" s="16">
        <v>453.77</v>
      </c>
      <c r="HP30" s="16">
        <f t="shared" si="120"/>
        <v>28049.999999999913</v>
      </c>
      <c r="HQ30" s="16">
        <v>1015.1</v>
      </c>
      <c r="HR30" s="16">
        <v>460.45</v>
      </c>
      <c r="HS30" s="16">
        <f t="shared" si="121"/>
        <v>21550.000000000069</v>
      </c>
      <c r="HT30" s="16">
        <v>859.37</v>
      </c>
      <c r="HU30" s="16">
        <v>343.75</v>
      </c>
      <c r="HV30" s="16">
        <f t="shared" si="122"/>
        <v>11800.000000000069</v>
      </c>
      <c r="HW30" s="16"/>
      <c r="HX30" s="16"/>
      <c r="HY30" s="128">
        <f t="shared" si="123"/>
        <v>17200</v>
      </c>
      <c r="HZ30" s="211">
        <f t="shared" si="77"/>
        <v>3.1286617740988731E-10</v>
      </c>
      <c r="IA30" s="16"/>
      <c r="IB30" s="16"/>
      <c r="IC30" s="16">
        <f t="shared" si="78"/>
        <v>0</v>
      </c>
      <c r="ID30" s="16"/>
      <c r="IE30" s="16"/>
      <c r="IF30" s="16">
        <f t="shared" si="79"/>
        <v>0</v>
      </c>
      <c r="IG30" s="16"/>
      <c r="IH30" s="16"/>
      <c r="II30" s="16">
        <f t="shared" si="133"/>
        <v>0</v>
      </c>
      <c r="IJ30" s="16"/>
      <c r="IK30" s="16"/>
      <c r="IL30" s="16">
        <f t="shared" si="134"/>
        <v>0</v>
      </c>
      <c r="IM30" s="16"/>
      <c r="IN30" s="16"/>
      <c r="IO30" s="16">
        <f t="shared" si="82"/>
        <v>0</v>
      </c>
      <c r="IP30" s="16"/>
      <c r="IQ30" s="16"/>
      <c r="IR30" s="16">
        <f t="shared" si="83"/>
        <v>0</v>
      </c>
      <c r="IS30" s="16"/>
      <c r="IT30" s="16"/>
      <c r="IU30" s="16">
        <f t="shared" si="84"/>
        <v>0</v>
      </c>
      <c r="IV30" s="16"/>
      <c r="IW30" s="16"/>
      <c r="IX30" s="16">
        <f t="shared" si="85"/>
        <v>0</v>
      </c>
      <c r="IY30" s="16"/>
      <c r="IZ30" s="16"/>
      <c r="JA30" s="16">
        <f t="shared" si="86"/>
        <v>0</v>
      </c>
      <c r="JB30" s="16"/>
      <c r="JC30" s="16"/>
      <c r="JD30" s="16">
        <f t="shared" si="87"/>
        <v>0</v>
      </c>
      <c r="JE30" s="16"/>
      <c r="JF30" s="16"/>
      <c r="JG30" s="16">
        <f t="shared" si="88"/>
        <v>0</v>
      </c>
      <c r="JH30" s="16"/>
      <c r="JI30" s="16"/>
      <c r="JJ30" s="16">
        <f t="shared" si="89"/>
        <v>0</v>
      </c>
      <c r="JK30" s="16"/>
      <c r="JL30" s="16"/>
      <c r="JM30" s="16">
        <f t="shared" si="90"/>
        <v>0</v>
      </c>
      <c r="JN30" s="16"/>
      <c r="JO30" s="16"/>
      <c r="JP30" s="16">
        <f t="shared" si="91"/>
        <v>0</v>
      </c>
      <c r="JQ30" s="16"/>
      <c r="JR30" s="16"/>
      <c r="JS30" s="16">
        <f t="shared" si="92"/>
        <v>0</v>
      </c>
      <c r="JT30" s="16"/>
      <c r="JU30" s="16"/>
      <c r="JV30" s="16">
        <f t="shared" si="93"/>
        <v>0</v>
      </c>
      <c r="JX30" s="151">
        <f t="shared" si="94"/>
        <v>3.1286617740988731E-10</v>
      </c>
    </row>
    <row r="31" spans="1:284" x14ac:dyDescent="0.25">
      <c r="A31" s="35">
        <f t="shared" si="0"/>
        <v>25</v>
      </c>
      <c r="B31" s="38">
        <v>3767.07</v>
      </c>
      <c r="C31" s="38">
        <f t="shared" si="1"/>
        <v>6.0500000000001819</v>
      </c>
      <c r="D31" s="38">
        <f t="shared" si="2"/>
        <v>193600.00000000582</v>
      </c>
      <c r="E31" s="38">
        <v>757.71</v>
      </c>
      <c r="F31" s="38">
        <f t="shared" si="113"/>
        <v>43840.000000000146</v>
      </c>
      <c r="G31" s="38">
        <f t="shared" si="4"/>
        <v>237440.00000000597</v>
      </c>
      <c r="H31" s="37"/>
      <c r="I31" s="39"/>
      <c r="J31" s="42"/>
      <c r="K31" s="37">
        <f t="shared" si="95"/>
        <v>0</v>
      </c>
      <c r="L31" s="40">
        <v>11135900</v>
      </c>
      <c r="M31" s="40"/>
      <c r="N31" s="37">
        <f t="shared" si="96"/>
        <v>235000</v>
      </c>
      <c r="O31" s="37">
        <v>10167</v>
      </c>
      <c r="P31" s="37"/>
      <c r="Q31" s="37">
        <f t="shared" si="127"/>
        <v>12799.999999999272</v>
      </c>
      <c r="R31" s="37">
        <f t="shared" si="97"/>
        <v>1</v>
      </c>
      <c r="S31" s="37">
        <v>11123637.42</v>
      </c>
      <c r="T31" s="37">
        <f t="shared" si="6"/>
        <v>0</v>
      </c>
      <c r="U31" s="37">
        <v>1518173.85</v>
      </c>
      <c r="V31" s="37">
        <f t="shared" si="7"/>
        <v>0</v>
      </c>
      <c r="W31" s="37">
        <v>3557.4</v>
      </c>
      <c r="X31" s="37">
        <f t="shared" si="111"/>
        <v>7999.9999999992724</v>
      </c>
      <c r="Y31" s="183"/>
      <c r="Z31" s="183">
        <f t="shared" si="8"/>
        <v>0</v>
      </c>
      <c r="AA31" s="37">
        <v>610000</v>
      </c>
      <c r="AB31" s="37">
        <f t="shared" si="9"/>
        <v>4800</v>
      </c>
      <c r="AC31" s="37">
        <v>3753.8</v>
      </c>
      <c r="AD31" s="37"/>
      <c r="AE31" s="37">
        <f t="shared" si="129"/>
        <v>7500</v>
      </c>
      <c r="AF31" s="37">
        <f t="shared" si="98"/>
        <v>1</v>
      </c>
      <c r="AG31" s="37">
        <v>8198.7000000000007</v>
      </c>
      <c r="AH31" s="37"/>
      <c r="AI31" s="37">
        <f t="shared" si="11"/>
        <v>15778.050000000909</v>
      </c>
      <c r="AJ31" s="37">
        <f t="shared" si="12"/>
        <v>1</v>
      </c>
      <c r="AK31" s="37">
        <f t="shared" si="13"/>
        <v>31278.050000000181</v>
      </c>
      <c r="AL31" s="42">
        <v>10179.9</v>
      </c>
      <c r="AM31" s="2"/>
      <c r="AN31" s="37">
        <f t="shared" si="59"/>
        <v>4648.050000000304</v>
      </c>
      <c r="AO31" s="37">
        <f t="shared" si="99"/>
        <v>1</v>
      </c>
      <c r="AP31" s="37">
        <v>7796</v>
      </c>
      <c r="AQ31" s="37"/>
      <c r="AR31" s="37">
        <f t="shared" si="14"/>
        <v>8199.9999999998181</v>
      </c>
      <c r="AS31" s="37">
        <f t="shared" si="100"/>
        <v>1</v>
      </c>
      <c r="AT31" s="183"/>
      <c r="AU31" s="183">
        <f t="shared" si="15"/>
        <v>0</v>
      </c>
      <c r="AV31" s="183"/>
      <c r="AW31" s="183">
        <f t="shared" si="16"/>
        <v>0</v>
      </c>
      <c r="AX31" s="37">
        <v>460230</v>
      </c>
      <c r="AY31" s="37"/>
      <c r="AZ31" s="37">
        <f t="shared" si="17"/>
        <v>40</v>
      </c>
      <c r="BA31" s="37">
        <v>111450</v>
      </c>
      <c r="BB31" s="37"/>
      <c r="BC31" s="37">
        <f t="shared" si="18"/>
        <v>380</v>
      </c>
      <c r="BD31" s="37">
        <f t="shared" si="101"/>
        <v>13268.050000000123</v>
      </c>
      <c r="BE31" s="43">
        <v>1762.6</v>
      </c>
      <c r="BF31" s="43">
        <v>964.25</v>
      </c>
      <c r="BG31" s="37">
        <f t="shared" si="19"/>
        <v>2599.9999999999091</v>
      </c>
      <c r="BH31" s="44">
        <v>8339.4</v>
      </c>
      <c r="BI31" s="44">
        <v>5364.5</v>
      </c>
      <c r="BJ31" s="37">
        <f t="shared" si="20"/>
        <v>10100.000000000364</v>
      </c>
      <c r="BK31" s="40">
        <v>1338460</v>
      </c>
      <c r="BL31" s="40">
        <f t="shared" si="102"/>
        <v>3420</v>
      </c>
      <c r="BM31" s="40">
        <v>830.84</v>
      </c>
      <c r="BN31" s="37">
        <f t="shared" si="21"/>
        <v>610.00000000001364</v>
      </c>
      <c r="BO31" s="186"/>
      <c r="BP31" s="183">
        <f t="shared" si="22"/>
        <v>0</v>
      </c>
      <c r="BQ31" s="40">
        <v>787.5</v>
      </c>
      <c r="BR31" s="37">
        <f t="shared" si="60"/>
        <v>700.00000000004547</v>
      </c>
      <c r="BS31" s="37">
        <v>86230.37</v>
      </c>
      <c r="BT31" s="37">
        <f t="shared" si="23"/>
        <v>213.75</v>
      </c>
      <c r="BU31" s="42">
        <v>2224979</v>
      </c>
      <c r="BV31" s="42"/>
      <c r="BW31" s="37">
        <f t="shared" si="24"/>
        <v>8038</v>
      </c>
      <c r="BX31" s="37">
        <f t="shared" si="103"/>
        <v>1</v>
      </c>
      <c r="BY31" s="43">
        <v>307.59559999999999</v>
      </c>
      <c r="BZ31" s="37"/>
      <c r="CA31" s="37">
        <f t="shared" si="124"/>
        <v>613.59999999996262</v>
      </c>
      <c r="CB31" s="37">
        <f t="shared" si="61"/>
        <v>1</v>
      </c>
      <c r="CC31" s="37">
        <v>531563.1</v>
      </c>
      <c r="CD31" s="37">
        <f t="shared" si="26"/>
        <v>2705.2999999999302</v>
      </c>
      <c r="CE31" s="41">
        <v>809977</v>
      </c>
      <c r="CF31" s="37">
        <f t="shared" si="62"/>
        <v>4998.9000000000233</v>
      </c>
      <c r="CG31" s="37">
        <v>69406.3</v>
      </c>
      <c r="CH31" s="37">
        <f t="shared" si="63"/>
        <v>255.10000000000582</v>
      </c>
      <c r="CI31" s="40">
        <v>11612.12</v>
      </c>
      <c r="CJ31" s="40"/>
      <c r="CK31" s="37">
        <f t="shared" si="64"/>
        <v>18284.450000000837</v>
      </c>
      <c r="CL31" s="37">
        <f t="shared" si="27"/>
        <v>1</v>
      </c>
      <c r="CM31" s="37">
        <v>3134.9059999999999</v>
      </c>
      <c r="CN31" s="37"/>
      <c r="CO31" s="37">
        <f t="shared" si="28"/>
        <v>6555.0500000000438</v>
      </c>
      <c r="CP31" s="37">
        <f t="shared" si="104"/>
        <v>1</v>
      </c>
      <c r="CQ31" s="39">
        <v>2994.6239999999998</v>
      </c>
      <c r="CR31" s="39"/>
      <c r="CS31" s="37">
        <f t="shared" si="29"/>
        <v>5778.05</v>
      </c>
      <c r="CT31" s="37">
        <f t="shared" si="105"/>
        <v>1</v>
      </c>
      <c r="CU31" s="37">
        <v>2672821</v>
      </c>
      <c r="CV31" s="37"/>
      <c r="CW31" s="38">
        <f t="shared" si="30"/>
        <v>504</v>
      </c>
      <c r="CX31" s="37">
        <f t="shared" si="106"/>
        <v>1</v>
      </c>
      <c r="CY31" s="37">
        <v>1375100</v>
      </c>
      <c r="CZ31" s="37"/>
      <c r="DA31" s="37">
        <f t="shared" si="132"/>
        <v>179</v>
      </c>
      <c r="DB31" s="37">
        <f t="shared" si="107"/>
        <v>1</v>
      </c>
      <c r="DC31" s="37"/>
      <c r="DD31" s="40"/>
      <c r="DE31" s="37">
        <f t="shared" si="32"/>
        <v>0</v>
      </c>
      <c r="DF31" s="37">
        <f t="shared" si="112"/>
        <v>0</v>
      </c>
      <c r="DG31" s="37">
        <f t="shared" si="33"/>
        <v>-39338.550000000883</v>
      </c>
      <c r="DH31" s="37">
        <f t="shared" si="34"/>
        <v>268878.0500000001</v>
      </c>
      <c r="DI31" s="46"/>
      <c r="DJ31" s="46"/>
      <c r="DK31" s="47"/>
      <c r="DL31" s="47"/>
      <c r="DM31" s="37"/>
      <c r="DN31" s="37"/>
      <c r="DO31" s="37"/>
      <c r="DP31" s="37"/>
      <c r="DQ31" s="50">
        <v>3004400</v>
      </c>
      <c r="DR31" s="49">
        <f t="shared" si="65"/>
        <v>8300</v>
      </c>
      <c r="DS31" s="50">
        <v>2714500</v>
      </c>
      <c r="DT31" s="49">
        <f t="shared" si="66"/>
        <v>17300</v>
      </c>
      <c r="DU31" s="51">
        <v>7732.9</v>
      </c>
      <c r="DV31" s="51">
        <v>4326.2</v>
      </c>
      <c r="DW31" s="37">
        <f t="shared" si="108"/>
        <v>4399.9999999996362</v>
      </c>
      <c r="DX31" s="52">
        <v>12773</v>
      </c>
      <c r="DY31" s="52">
        <v>8313.2999999999993</v>
      </c>
      <c r="DZ31" s="37">
        <f t="shared" si="35"/>
        <v>5278.05</v>
      </c>
      <c r="EA31" s="49">
        <v>28803</v>
      </c>
      <c r="EB31" s="49">
        <v>20.283999999999999</v>
      </c>
      <c r="EC31" s="37">
        <f t="shared" si="36"/>
        <v>25438.05</v>
      </c>
      <c r="ED31" s="53">
        <f t="shared" si="37"/>
        <v>35116.099999999635</v>
      </c>
      <c r="EE31" s="49">
        <v>43992</v>
      </c>
      <c r="EF31" s="49">
        <v>28.178000000000001</v>
      </c>
      <c r="EG31" s="37">
        <f t="shared" si="38"/>
        <v>30438.05</v>
      </c>
      <c r="EH31" s="51">
        <v>12462</v>
      </c>
      <c r="EI31" s="51">
        <v>1.6758</v>
      </c>
      <c r="EJ31" s="37">
        <f t="shared" si="39"/>
        <v>11278.05</v>
      </c>
      <c r="EK31" s="37">
        <v>754.7</v>
      </c>
      <c r="EL31" s="40">
        <v>1081.9000000000001</v>
      </c>
      <c r="EM31" s="37">
        <f t="shared" si="67"/>
        <v>620.00000000000455</v>
      </c>
      <c r="EN31" s="54">
        <f t="shared" si="68"/>
        <v>42336.100000000006</v>
      </c>
      <c r="EO31" s="48">
        <v>12561</v>
      </c>
      <c r="EP31" s="48">
        <v>4373.2</v>
      </c>
      <c r="EQ31" s="37">
        <f t="shared" si="69"/>
        <v>7128.050000000022</v>
      </c>
      <c r="ER31" s="48">
        <v>8515.5</v>
      </c>
      <c r="ES31" s="48">
        <v>3470.4</v>
      </c>
      <c r="ET31" s="49">
        <f t="shared" si="116"/>
        <v>16200.000000000728</v>
      </c>
      <c r="EU31" s="48">
        <v>3129.8</v>
      </c>
      <c r="EV31" s="48">
        <v>1116.3</v>
      </c>
      <c r="EW31" s="49">
        <f t="shared" si="41"/>
        <v>7778.05</v>
      </c>
      <c r="EX31" s="48">
        <v>12824</v>
      </c>
      <c r="EY31" s="48">
        <v>1.4192</v>
      </c>
      <c r="EZ31" s="37">
        <f t="shared" si="42"/>
        <v>11278.05</v>
      </c>
      <c r="FA31" s="48">
        <f t="shared" si="70"/>
        <v>-18863.150000000747</v>
      </c>
      <c r="FB31" s="48">
        <v>35265065</v>
      </c>
      <c r="FC31" s="49">
        <f t="shared" si="109"/>
        <v>23521</v>
      </c>
      <c r="FD31" s="48">
        <f t="shared" si="71"/>
        <v>44184.150000000707</v>
      </c>
      <c r="FE31" s="48">
        <v>16526</v>
      </c>
      <c r="FF31" s="48">
        <v>5910.9</v>
      </c>
      <c r="FG31" s="37">
        <f t="shared" si="72"/>
        <v>11144.719999999976</v>
      </c>
      <c r="FH31" s="48">
        <v>7833.2</v>
      </c>
      <c r="FI31" s="48">
        <v>3.0194000000000001</v>
      </c>
      <c r="FJ31" s="49">
        <f t="shared" si="43"/>
        <v>18694.719999999816</v>
      </c>
      <c r="FK31" s="48"/>
      <c r="FL31" s="58">
        <v>-283.33</v>
      </c>
      <c r="FM31" s="48">
        <f>FT31/3</f>
        <v>721.94666666673766</v>
      </c>
      <c r="FN31" s="48">
        <v>15910</v>
      </c>
      <c r="FO31" s="48">
        <v>0.75949999999999995</v>
      </c>
      <c r="FP31" s="37">
        <f t="shared" si="73"/>
        <v>12994.72</v>
      </c>
      <c r="FQ31" s="48">
        <v>56624</v>
      </c>
      <c r="FR31" s="48">
        <v>13.601000000000001</v>
      </c>
      <c r="FS31" s="37">
        <f t="shared" si="44"/>
        <v>45000</v>
      </c>
      <c r="FT31" s="48">
        <f t="shared" si="74"/>
        <v>2165.840000000213</v>
      </c>
      <c r="FU31" s="48">
        <f>FG31+FJ31+FP31+GM31</f>
        <v>44434.159999999931</v>
      </c>
      <c r="FV31" s="44">
        <v>3095000</v>
      </c>
      <c r="FW31" s="44">
        <v>1004500</v>
      </c>
      <c r="FX31" s="37">
        <f t="shared" si="45"/>
        <v>1100</v>
      </c>
      <c r="FY31" s="56">
        <v>2972.9</v>
      </c>
      <c r="FZ31" s="56">
        <v>1.7593000000000001</v>
      </c>
      <c r="GA31" s="37">
        <f t="shared" si="46"/>
        <v>139.99999999990905</v>
      </c>
      <c r="GB31" s="56">
        <v>771.82</v>
      </c>
      <c r="GC31" s="56">
        <v>861.38</v>
      </c>
      <c r="GD31" s="37">
        <f t="shared" si="47"/>
        <v>310.00000000005912</v>
      </c>
      <c r="GE31" s="56">
        <v>9593.6</v>
      </c>
      <c r="GF31" s="56">
        <v>3.0366</v>
      </c>
      <c r="GG31" s="37">
        <f t="shared" si="48"/>
        <v>3300.0000000006366</v>
      </c>
      <c r="GH31" s="158">
        <v>1869.2</v>
      </c>
      <c r="GI31" s="159">
        <v>1588.3</v>
      </c>
      <c r="GJ31" s="38">
        <f t="shared" si="49"/>
        <v>1799.9999999999545</v>
      </c>
      <c r="GK31" s="159">
        <v>1451.9</v>
      </c>
      <c r="GL31" s="160">
        <v>1111.9000000000001</v>
      </c>
      <c r="GM31" s="38">
        <f t="shared" si="50"/>
        <v>1600.0000000001364</v>
      </c>
      <c r="GN31" s="57">
        <v>165270</v>
      </c>
      <c r="GO31" s="57">
        <v>144120</v>
      </c>
      <c r="GP31" s="38">
        <f t="shared" si="114"/>
        <v>2860</v>
      </c>
      <c r="GQ31" s="38">
        <v>227350</v>
      </c>
      <c r="GR31" s="38">
        <v>227230</v>
      </c>
      <c r="GS31" s="38">
        <f t="shared" si="76"/>
        <v>460</v>
      </c>
      <c r="GT31" s="178"/>
      <c r="GU31" s="144">
        <f>DailyMar!B30-DailyMar!N30-DailyMar!V30-DailyMar!Y30-DailyMar!Z30-DailyMar!AA30-DailyMar!AB30-DailyMar!AC30-DailyMar!AD30-DailyMar!AE30-DailyMar!AK30-DailyMar!AO30-DailyMar!AS30-DailyMar!AY30-DailyMar!BD30+DailyMar!BU30-DailyMar!BT30-DailyMar!AF30-DailyMar!AG30-DailyMar!BG30</f>
        <v>-5.999999628693331E-2</v>
      </c>
      <c r="GV31" s="59">
        <v>-10829.31</v>
      </c>
      <c r="GW31" s="60">
        <f t="shared" si="51"/>
        <v>-721.95399999999995</v>
      </c>
      <c r="GX31" s="61">
        <v>-721.95</v>
      </c>
      <c r="GY31" s="140"/>
      <c r="GZ31" s="62"/>
      <c r="HA31" s="62"/>
      <c r="HB31" s="74"/>
      <c r="HC31" s="62"/>
      <c r="HD31" s="74"/>
      <c r="HE31" s="24">
        <f t="shared" si="52"/>
        <v>0</v>
      </c>
      <c r="HF31" s="3"/>
      <c r="HG31" s="213">
        <v>25</v>
      </c>
      <c r="HH31" s="16">
        <v>4101.3</v>
      </c>
      <c r="HI31" s="16">
        <v>1603.5</v>
      </c>
      <c r="HJ31" s="16">
        <f t="shared" si="125"/>
        <v>85500</v>
      </c>
      <c r="HK31" s="16">
        <v>1.9189000000000001</v>
      </c>
      <c r="HL31" s="16">
        <v>660.93</v>
      </c>
      <c r="HM31" s="16">
        <f t="shared" si="117"/>
        <v>0</v>
      </c>
      <c r="HN31" s="16">
        <v>1058.5</v>
      </c>
      <c r="HO31" s="16">
        <v>464.84</v>
      </c>
      <c r="HP31" s="16">
        <f t="shared" si="120"/>
        <v>26430.000000000182</v>
      </c>
      <c r="HQ31" s="16">
        <v>1038.9000000000001</v>
      </c>
      <c r="HR31" s="16">
        <v>469.92</v>
      </c>
      <c r="HS31" s="16">
        <f t="shared" si="121"/>
        <v>23800.000000000069</v>
      </c>
      <c r="HT31" s="16">
        <v>877.34</v>
      </c>
      <c r="HU31" s="16">
        <v>351.28</v>
      </c>
      <c r="HV31" s="16">
        <f t="shared" si="122"/>
        <v>17970.000000000029</v>
      </c>
      <c r="HW31" s="16"/>
      <c r="HX31" s="16"/>
      <c r="HY31" s="128">
        <f t="shared" si="123"/>
        <v>17300</v>
      </c>
      <c r="HZ31" s="211">
        <f t="shared" si="77"/>
        <v>-2.7648638933897018E-10</v>
      </c>
      <c r="IA31" s="16"/>
      <c r="IB31" s="16"/>
      <c r="IC31" s="16">
        <f t="shared" si="78"/>
        <v>0</v>
      </c>
      <c r="ID31" s="16"/>
      <c r="IE31" s="16"/>
      <c r="IF31" s="16">
        <f t="shared" si="79"/>
        <v>0</v>
      </c>
      <c r="IG31" s="16"/>
      <c r="IH31" s="16"/>
      <c r="II31" s="16">
        <f t="shared" si="133"/>
        <v>0</v>
      </c>
      <c r="IJ31" s="16"/>
      <c r="IK31" s="16"/>
      <c r="IL31" s="16">
        <f t="shared" si="134"/>
        <v>0</v>
      </c>
      <c r="IM31" s="16"/>
      <c r="IN31" s="16"/>
      <c r="IO31" s="16">
        <f t="shared" si="82"/>
        <v>0</v>
      </c>
      <c r="IP31" s="16"/>
      <c r="IQ31" s="16"/>
      <c r="IR31" s="16">
        <f t="shared" si="83"/>
        <v>0</v>
      </c>
      <c r="IS31" s="16"/>
      <c r="IT31" s="16"/>
      <c r="IU31" s="16">
        <f t="shared" si="84"/>
        <v>0</v>
      </c>
      <c r="IV31" s="16"/>
      <c r="IW31" s="16"/>
      <c r="IX31" s="16">
        <f t="shared" si="85"/>
        <v>0</v>
      </c>
      <c r="IY31" s="16"/>
      <c r="IZ31" s="16"/>
      <c r="JA31" s="16">
        <f t="shared" si="86"/>
        <v>0</v>
      </c>
      <c r="JB31" s="16"/>
      <c r="JC31" s="16"/>
      <c r="JD31" s="16">
        <f t="shared" si="87"/>
        <v>0</v>
      </c>
      <c r="JE31" s="16"/>
      <c r="JF31" s="16"/>
      <c r="JG31" s="16">
        <f t="shared" si="88"/>
        <v>0</v>
      </c>
      <c r="JH31" s="16"/>
      <c r="JI31" s="16"/>
      <c r="JJ31" s="16">
        <f t="shared" si="89"/>
        <v>0</v>
      </c>
      <c r="JK31" s="16"/>
      <c r="JL31" s="16"/>
      <c r="JM31" s="16">
        <f t="shared" si="90"/>
        <v>0</v>
      </c>
      <c r="JN31" s="16"/>
      <c r="JO31" s="16"/>
      <c r="JP31" s="16">
        <f t="shared" si="91"/>
        <v>0</v>
      </c>
      <c r="JQ31" s="16"/>
      <c r="JR31" s="16"/>
      <c r="JS31" s="16">
        <f t="shared" si="92"/>
        <v>0</v>
      </c>
      <c r="JT31" s="16"/>
      <c r="JU31" s="16"/>
      <c r="JV31" s="16">
        <f t="shared" si="93"/>
        <v>0</v>
      </c>
      <c r="JX31" s="151">
        <f t="shared" si="94"/>
        <v>-2.7648638933897018E-10</v>
      </c>
    </row>
    <row r="32" spans="1:284" x14ac:dyDescent="0.25">
      <c r="A32" s="35">
        <f t="shared" si="0"/>
        <v>26</v>
      </c>
      <c r="B32" s="38">
        <v>3772.67</v>
      </c>
      <c r="C32" s="38">
        <f t="shared" si="1"/>
        <v>5.5999999999999091</v>
      </c>
      <c r="D32" s="38">
        <f t="shared" si="2"/>
        <v>179199.99999999709</v>
      </c>
      <c r="E32" s="38">
        <v>759.05</v>
      </c>
      <c r="F32" s="38">
        <f t="shared" si="113"/>
        <v>42879.999999997381</v>
      </c>
      <c r="G32" s="38">
        <f t="shared" si="4"/>
        <v>222079.99999999447</v>
      </c>
      <c r="H32" s="37"/>
      <c r="I32" s="39"/>
      <c r="J32" s="42"/>
      <c r="K32" s="37">
        <f t="shared" si="95"/>
        <v>0</v>
      </c>
      <c r="L32" s="40">
        <v>11157900</v>
      </c>
      <c r="M32" s="40"/>
      <c r="N32" s="37">
        <f t="shared" si="96"/>
        <v>220000</v>
      </c>
      <c r="O32" s="37">
        <v>10179</v>
      </c>
      <c r="P32" s="37"/>
      <c r="Q32" s="37">
        <f t="shared" si="127"/>
        <v>12000</v>
      </c>
      <c r="R32" s="37">
        <f t="shared" si="97"/>
        <v>1</v>
      </c>
      <c r="S32" s="37">
        <v>11123637.42</v>
      </c>
      <c r="T32" s="37">
        <f t="shared" si="6"/>
        <v>0</v>
      </c>
      <c r="U32" s="37">
        <v>1518173.85</v>
      </c>
      <c r="V32" s="37">
        <f>IF((U32-U31)&lt;=0,0,(U32-U31))</f>
        <v>0</v>
      </c>
      <c r="W32" s="37">
        <v>3563.8</v>
      </c>
      <c r="X32" s="37">
        <f t="shared" si="111"/>
        <v>7500</v>
      </c>
      <c r="Y32" s="183"/>
      <c r="Z32" s="183">
        <f t="shared" si="8"/>
        <v>0</v>
      </c>
      <c r="AA32" s="37">
        <v>614500</v>
      </c>
      <c r="AB32" s="37">
        <f t="shared" si="9"/>
        <v>4500</v>
      </c>
      <c r="AC32" s="37">
        <v>3761</v>
      </c>
      <c r="AD32" s="37"/>
      <c r="AE32" s="37">
        <f t="shared" si="129"/>
        <v>7199.9999999998181</v>
      </c>
      <c r="AF32" s="37">
        <f t="shared" si="98"/>
        <v>1</v>
      </c>
      <c r="AG32" s="37">
        <v>8213.1</v>
      </c>
      <c r="AH32" s="37"/>
      <c r="AI32" s="37">
        <f t="shared" si="11"/>
        <v>14579.549999999635</v>
      </c>
      <c r="AJ32" s="37">
        <f t="shared" si="12"/>
        <v>1</v>
      </c>
      <c r="AK32" s="37">
        <f t="shared" si="13"/>
        <v>29279.549999999454</v>
      </c>
      <c r="AL32" s="42">
        <v>10189.5</v>
      </c>
      <c r="AM32" s="42"/>
      <c r="AN32" s="37">
        <f t="shared" si="59"/>
        <v>4729.5500000003403</v>
      </c>
      <c r="AO32" s="37">
        <f t="shared" si="99"/>
        <v>1</v>
      </c>
      <c r="AP32" s="37">
        <v>7804.5</v>
      </c>
      <c r="AQ32" s="37"/>
      <c r="AR32" s="37">
        <f t="shared" si="14"/>
        <v>8500</v>
      </c>
      <c r="AS32" s="37">
        <f t="shared" si="100"/>
        <v>1</v>
      </c>
      <c r="AT32" s="183"/>
      <c r="AU32" s="183">
        <f t="shared" si="15"/>
        <v>0</v>
      </c>
      <c r="AV32" s="183"/>
      <c r="AW32" s="183">
        <f t="shared" si="16"/>
        <v>0</v>
      </c>
      <c r="AX32" s="37">
        <v>460300</v>
      </c>
      <c r="AY32" s="37"/>
      <c r="AZ32" s="37">
        <f t="shared" si="17"/>
        <v>70</v>
      </c>
      <c r="BA32" s="37">
        <v>111690</v>
      </c>
      <c r="BB32" s="37"/>
      <c r="BC32" s="37">
        <f t="shared" si="18"/>
        <v>240</v>
      </c>
      <c r="BD32" s="37">
        <f t="shared" si="101"/>
        <v>13539.550000000341</v>
      </c>
      <c r="BE32" s="43">
        <v>1765.3</v>
      </c>
      <c r="BF32" s="43">
        <v>965.83</v>
      </c>
      <c r="BG32" s="37">
        <f t="shared" si="19"/>
        <v>2700.0000000000455</v>
      </c>
      <c r="BH32" s="44">
        <v>8347.9</v>
      </c>
      <c r="BI32" s="44">
        <v>5370</v>
      </c>
      <c r="BJ32" s="37">
        <f t="shared" si="20"/>
        <v>8500</v>
      </c>
      <c r="BK32" s="40">
        <v>1342160</v>
      </c>
      <c r="BL32" s="40">
        <f t="shared" si="102"/>
        <v>3700</v>
      </c>
      <c r="BM32" s="40">
        <v>831.49</v>
      </c>
      <c r="BN32" s="37">
        <f t="shared" si="21"/>
        <v>649.99999999997726</v>
      </c>
      <c r="BO32" s="186"/>
      <c r="BP32" s="183">
        <f t="shared" si="22"/>
        <v>0</v>
      </c>
      <c r="BQ32" s="40">
        <v>788.2</v>
      </c>
      <c r="BR32" s="37">
        <f t="shared" si="60"/>
        <v>700.00000000004547</v>
      </c>
      <c r="BS32" s="37">
        <v>86488.68</v>
      </c>
      <c r="BT32" s="37">
        <f t="shared" si="23"/>
        <v>258.30999999999767</v>
      </c>
      <c r="BU32" s="42">
        <v>2233611</v>
      </c>
      <c r="BV32" s="42"/>
      <c r="BW32" s="37">
        <f t="shared" si="24"/>
        <v>8632</v>
      </c>
      <c r="BX32" s="37">
        <f t="shared" si="103"/>
        <v>1</v>
      </c>
      <c r="BY32" s="43">
        <v>308.31670000000003</v>
      </c>
      <c r="BZ32" s="43"/>
      <c r="CA32" s="37">
        <f t="shared" si="124"/>
        <v>721.10000000003538</v>
      </c>
      <c r="CB32" s="37">
        <f t="shared" si="61"/>
        <v>1</v>
      </c>
      <c r="CC32" s="37">
        <v>534369.69999999995</v>
      </c>
      <c r="CD32" s="37">
        <f t="shared" si="26"/>
        <v>2806.5999999999767</v>
      </c>
      <c r="CE32" s="41">
        <v>815710.2</v>
      </c>
      <c r="CF32" s="37">
        <f t="shared" si="62"/>
        <v>5733.1999999999534</v>
      </c>
      <c r="CG32" s="37">
        <v>69406.3</v>
      </c>
      <c r="CH32" s="37">
        <f t="shared" si="63"/>
        <v>0</v>
      </c>
      <c r="CI32" s="40">
        <v>11633.63</v>
      </c>
      <c r="CJ32" s="40"/>
      <c r="CK32" s="37">
        <f t="shared" si="64"/>
        <v>20968.449999998364</v>
      </c>
      <c r="CL32" s="37">
        <f t="shared" si="27"/>
        <v>1</v>
      </c>
      <c r="CM32" s="37">
        <v>3142.971</v>
      </c>
      <c r="CN32" s="37"/>
      <c r="CO32" s="37">
        <f t="shared" si="28"/>
        <v>8244.5500000000538</v>
      </c>
      <c r="CP32" s="37">
        <f t="shared" si="104"/>
        <v>1</v>
      </c>
      <c r="CQ32" s="39">
        <v>3001.7139999999999</v>
      </c>
      <c r="CR32" s="39"/>
      <c r="CS32" s="37">
        <f t="shared" si="29"/>
        <v>7269.5500000001457</v>
      </c>
      <c r="CT32" s="37">
        <f t="shared" si="105"/>
        <v>1</v>
      </c>
      <c r="CU32" s="37">
        <v>2673384</v>
      </c>
      <c r="CV32" s="37"/>
      <c r="CW32" s="38">
        <f t="shared" si="30"/>
        <v>563</v>
      </c>
      <c r="CX32" s="37">
        <f>IF(CW32&lt;=0,0,(CW32/SQRT(CW32^2+(CV32-CV31)^2)))</f>
        <v>1</v>
      </c>
      <c r="CY32" s="37">
        <v>1375290</v>
      </c>
      <c r="CZ32" s="37"/>
      <c r="DA32" s="37">
        <f t="shared" si="132"/>
        <v>190</v>
      </c>
      <c r="DB32" s="37">
        <f t="shared" si="107"/>
        <v>1</v>
      </c>
      <c r="DC32" s="37"/>
      <c r="DD32" s="40"/>
      <c r="DE32" s="37">
        <f t="shared" si="32"/>
        <v>0</v>
      </c>
      <c r="DF32" s="37">
        <f t="shared" si="112"/>
        <v>0</v>
      </c>
      <c r="DG32" s="37">
        <f t="shared" si="33"/>
        <v>-45867.549999998562</v>
      </c>
      <c r="DH32" s="37">
        <f t="shared" si="34"/>
        <v>251979.54999999949</v>
      </c>
      <c r="DI32" s="46"/>
      <c r="DJ32" s="46"/>
      <c r="DK32" s="47"/>
      <c r="DL32" s="47"/>
      <c r="DM32" s="37"/>
      <c r="DN32" s="37"/>
      <c r="DO32" s="37"/>
      <c r="DP32" s="37"/>
      <c r="DQ32" s="50">
        <v>3013000</v>
      </c>
      <c r="DR32" s="49">
        <f t="shared" si="65"/>
        <v>8600</v>
      </c>
      <c r="DS32" s="50">
        <v>2732100</v>
      </c>
      <c r="DT32" s="49">
        <f t="shared" si="66"/>
        <v>17600</v>
      </c>
      <c r="DU32" s="51">
        <v>7736.6</v>
      </c>
      <c r="DV32" s="51">
        <v>4328.2</v>
      </c>
      <c r="DW32" s="37">
        <f t="shared" si="108"/>
        <v>3700.0000000007276</v>
      </c>
      <c r="DX32" s="52">
        <v>12779</v>
      </c>
      <c r="DY32" s="52">
        <v>8315.4</v>
      </c>
      <c r="DZ32" s="37">
        <f t="shared" si="35"/>
        <v>6179.55</v>
      </c>
      <c r="EA32" s="49">
        <v>28824</v>
      </c>
      <c r="EB32" s="49">
        <v>20.294</v>
      </c>
      <c r="EC32" s="37">
        <f t="shared" si="36"/>
        <v>23339.55</v>
      </c>
      <c r="ED32" s="53">
        <f t="shared" si="37"/>
        <v>33219.100000000726</v>
      </c>
      <c r="EE32" s="49">
        <v>44001</v>
      </c>
      <c r="EF32" s="49">
        <v>28.186</v>
      </c>
      <c r="EG32" s="37">
        <f t="shared" si="38"/>
        <v>11339.55</v>
      </c>
      <c r="EH32" s="51">
        <v>12470</v>
      </c>
      <c r="EI32" s="51">
        <v>1.677</v>
      </c>
      <c r="EJ32" s="37">
        <f t="shared" si="39"/>
        <v>8179.55</v>
      </c>
      <c r="EK32" s="37">
        <v>755.04</v>
      </c>
      <c r="EL32" s="40">
        <v>1082.4000000000001</v>
      </c>
      <c r="EM32" s="37">
        <f t="shared" si="67"/>
        <v>339.99999999991815</v>
      </c>
      <c r="EN32" s="54">
        <f t="shared" si="68"/>
        <v>19859.099999999919</v>
      </c>
      <c r="EO32" s="48">
        <v>12567</v>
      </c>
      <c r="EP32" s="48">
        <v>4375.3</v>
      </c>
      <c r="EQ32" s="37">
        <f t="shared" si="69"/>
        <v>5214.5499999999683</v>
      </c>
      <c r="ER32" s="48">
        <v>8524.9</v>
      </c>
      <c r="ES32" s="48">
        <v>3474.8</v>
      </c>
      <c r="ET32" s="49">
        <f t="shared" si="116"/>
        <v>9399.9999999996362</v>
      </c>
      <c r="EU32" s="48">
        <v>3135.4</v>
      </c>
      <c r="EV32" s="48">
        <v>1118.2</v>
      </c>
      <c r="EW32" s="49">
        <f t="shared" si="41"/>
        <v>5779.5499999999092</v>
      </c>
      <c r="EX32" s="48">
        <v>12832</v>
      </c>
      <c r="EY32" s="48">
        <v>1.4213</v>
      </c>
      <c r="EZ32" s="37">
        <f t="shared" si="42"/>
        <v>8179.55</v>
      </c>
      <c r="FA32" s="48">
        <f t="shared" si="70"/>
        <v>-13514.649999999514</v>
      </c>
      <c r="FB32" s="48">
        <v>35280124</v>
      </c>
      <c r="FC32" s="49">
        <f t="shared" si="109"/>
        <v>15059</v>
      </c>
      <c r="FD32" s="48">
        <f t="shared" si="71"/>
        <v>29673.649999999423</v>
      </c>
      <c r="FE32" s="48">
        <v>16536</v>
      </c>
      <c r="FF32" s="48">
        <v>5914.6</v>
      </c>
      <c r="FG32" s="37">
        <f t="shared" si="72"/>
        <v>10656.22000000003</v>
      </c>
      <c r="FH32" s="48">
        <v>7850.7</v>
      </c>
      <c r="FI32" s="48">
        <v>3.0263</v>
      </c>
      <c r="FJ32" s="49">
        <f t="shared" si="43"/>
        <v>17191.219999999998</v>
      </c>
      <c r="FK32" s="48"/>
      <c r="FL32" s="58">
        <v>-488.33</v>
      </c>
      <c r="FM32" s="48">
        <f>FT32/3</f>
        <v>-179.55333333334238</v>
      </c>
      <c r="FN32" s="48">
        <v>15924</v>
      </c>
      <c r="FO32" s="48">
        <v>0.76029999999999998</v>
      </c>
      <c r="FP32" s="37">
        <f t="shared" si="73"/>
        <v>13691.22</v>
      </c>
      <c r="FQ32" s="48">
        <v>56665</v>
      </c>
      <c r="FR32" s="48">
        <v>13.612</v>
      </c>
      <c r="FS32" s="37">
        <f t="shared" si="44"/>
        <v>41000</v>
      </c>
      <c r="FT32" s="48">
        <f t="shared" si="74"/>
        <v>-538.66000000002714</v>
      </c>
      <c r="FU32" s="48">
        <f t="shared" si="75"/>
        <v>43038.660000000025</v>
      </c>
      <c r="FV32" s="44">
        <v>3095600</v>
      </c>
      <c r="FW32" s="44">
        <v>1004900</v>
      </c>
      <c r="FX32" s="37">
        <f t="shared" si="45"/>
        <v>600</v>
      </c>
      <c r="FY32" s="56">
        <v>2973.1</v>
      </c>
      <c r="FZ32" s="56">
        <v>1.7593000000000001</v>
      </c>
      <c r="GA32" s="37">
        <f t="shared" si="46"/>
        <v>89.999999999818101</v>
      </c>
      <c r="GB32" s="56">
        <v>772.08</v>
      </c>
      <c r="GC32" s="56">
        <v>861.77</v>
      </c>
      <c r="GD32" s="37">
        <f t="shared" si="47"/>
        <v>259.99999999999091</v>
      </c>
      <c r="GE32" s="56">
        <v>9597</v>
      </c>
      <c r="GF32" s="56">
        <v>3.0388999999999999</v>
      </c>
      <c r="GG32" s="37">
        <f>IF((GE32-GE31)*1000&lt;=0,0,(GE32-GE31)*1000)-GJ32-GM32</f>
        <v>799.99999999972715</v>
      </c>
      <c r="GH32" s="158">
        <v>1870.3</v>
      </c>
      <c r="GI32" s="159">
        <v>1589.3</v>
      </c>
      <c r="GJ32" s="38">
        <f t="shared" si="49"/>
        <v>1099.9999999999091</v>
      </c>
      <c r="GK32" s="159">
        <v>1453.4</v>
      </c>
      <c r="GL32" s="160">
        <v>1112.5999999999999</v>
      </c>
      <c r="GM32" s="38">
        <f t="shared" si="50"/>
        <v>1500</v>
      </c>
      <c r="GN32" s="57">
        <v>165640</v>
      </c>
      <c r="GO32" s="57">
        <v>144470</v>
      </c>
      <c r="GP32" s="38">
        <f t="shared" si="114"/>
        <v>370</v>
      </c>
      <c r="GQ32" s="38">
        <v>227460</v>
      </c>
      <c r="GR32" s="38">
        <v>227420</v>
      </c>
      <c r="GS32" s="38">
        <f t="shared" si="76"/>
        <v>110</v>
      </c>
      <c r="GT32" s="178"/>
      <c r="GU32" s="144">
        <f>DailyMar!B31-DailyMar!N31-DailyMar!V31-DailyMar!Y31-DailyMar!Z31-DailyMar!AA31-DailyMar!AB31-DailyMar!AC31-DailyMar!AD31-DailyMar!AE31-DailyMar!AK31-DailyMar!AO31-DailyMar!AS31-DailyMar!AY31-DailyMar!BD31+DailyMar!BU31-DailyMar!BT31-DailyMar!AF31-DailyMar!AG31-DailyMar!BG31</f>
        <v>-6.0000002988090273E-2</v>
      </c>
      <c r="GV32" s="59">
        <v>2693.19</v>
      </c>
      <c r="GW32" s="60">
        <f t="shared" si="51"/>
        <v>179.54599999999999</v>
      </c>
      <c r="GX32" s="61">
        <v>179.55</v>
      </c>
      <c r="GY32" s="140"/>
      <c r="GZ32" s="62"/>
      <c r="HA32" s="62"/>
      <c r="HB32" s="74"/>
      <c r="HC32" s="62"/>
      <c r="HD32" s="74"/>
      <c r="HE32" s="24">
        <f t="shared" si="52"/>
        <v>0</v>
      </c>
      <c r="HG32" s="213">
        <v>26</v>
      </c>
      <c r="HH32" s="16">
        <v>4176.8999999999996</v>
      </c>
      <c r="HI32" s="16">
        <v>1632.6</v>
      </c>
      <c r="HJ32" s="16">
        <f t="shared" si="125"/>
        <v>75599.999999999447</v>
      </c>
      <c r="HK32" s="16">
        <v>1.9189000000000001</v>
      </c>
      <c r="HL32" s="16">
        <v>660.93</v>
      </c>
      <c r="HM32" s="16">
        <f t="shared" si="117"/>
        <v>0</v>
      </c>
      <c r="HN32" s="16">
        <v>1080.4000000000001</v>
      </c>
      <c r="HO32" s="16">
        <v>475.22</v>
      </c>
      <c r="HP32" s="16">
        <f t="shared" si="120"/>
        <v>26560.000000000182</v>
      </c>
      <c r="HQ32" s="16">
        <v>1062.4000000000001</v>
      </c>
      <c r="HR32" s="16">
        <v>479.02</v>
      </c>
      <c r="HS32" s="16">
        <f t="shared" si="121"/>
        <v>23500</v>
      </c>
      <c r="HT32" s="16">
        <v>885.28</v>
      </c>
      <c r="HU32" s="16">
        <v>355.06</v>
      </c>
      <c r="HV32" s="16">
        <f t="shared" si="122"/>
        <v>7939.9999999999409</v>
      </c>
      <c r="HW32" s="16"/>
      <c r="HX32" s="16"/>
      <c r="HY32" s="128">
        <f t="shared" si="123"/>
        <v>17600</v>
      </c>
      <c r="HZ32" s="211">
        <f t="shared" si="77"/>
        <v>-6.7666405811905861E-10</v>
      </c>
      <c r="IA32" s="16"/>
      <c r="IB32" s="16"/>
      <c r="IC32" s="16">
        <f t="shared" si="78"/>
        <v>0</v>
      </c>
      <c r="ID32" s="16"/>
      <c r="IE32" s="16"/>
      <c r="IF32" s="16">
        <f t="shared" si="79"/>
        <v>0</v>
      </c>
      <c r="IG32" s="16"/>
      <c r="IH32" s="16"/>
      <c r="II32" s="16">
        <f t="shared" si="133"/>
        <v>0</v>
      </c>
      <c r="IJ32" s="16"/>
      <c r="IK32" s="16"/>
      <c r="IL32" s="16">
        <f t="shared" si="134"/>
        <v>0</v>
      </c>
      <c r="IM32" s="16"/>
      <c r="IN32" s="16"/>
      <c r="IO32" s="16">
        <f t="shared" si="82"/>
        <v>0</v>
      </c>
      <c r="IP32" s="16"/>
      <c r="IQ32" s="16"/>
      <c r="IR32" s="16">
        <f t="shared" si="83"/>
        <v>0</v>
      </c>
      <c r="IS32" s="16"/>
      <c r="IT32" s="16"/>
      <c r="IU32" s="16">
        <f t="shared" si="84"/>
        <v>0</v>
      </c>
      <c r="IV32" s="16"/>
      <c r="IW32" s="16"/>
      <c r="IX32" s="16">
        <f t="shared" si="85"/>
        <v>0</v>
      </c>
      <c r="IY32" s="16"/>
      <c r="IZ32" s="16"/>
      <c r="JA32" s="16">
        <f t="shared" si="86"/>
        <v>0</v>
      </c>
      <c r="JB32" s="16"/>
      <c r="JC32" s="16"/>
      <c r="JD32" s="16">
        <f t="shared" si="87"/>
        <v>0</v>
      </c>
      <c r="JE32" s="16"/>
      <c r="JF32" s="16"/>
      <c r="JG32" s="16">
        <f t="shared" si="88"/>
        <v>0</v>
      </c>
      <c r="JH32" s="16"/>
      <c r="JI32" s="16"/>
      <c r="JJ32" s="16">
        <f t="shared" si="89"/>
        <v>0</v>
      </c>
      <c r="JK32" s="16"/>
      <c r="JL32" s="16"/>
      <c r="JM32" s="16">
        <f t="shared" si="90"/>
        <v>0</v>
      </c>
      <c r="JN32" s="16"/>
      <c r="JO32" s="16"/>
      <c r="JP32" s="16">
        <f t="shared" si="91"/>
        <v>0</v>
      </c>
      <c r="JQ32" s="16"/>
      <c r="JR32" s="16"/>
      <c r="JS32" s="16">
        <f t="shared" si="92"/>
        <v>0</v>
      </c>
      <c r="JT32" s="16"/>
      <c r="JU32" s="16"/>
      <c r="JV32" s="16">
        <f t="shared" si="93"/>
        <v>0</v>
      </c>
      <c r="JX32" s="151">
        <f t="shared" si="94"/>
        <v>-6.7666405811905861E-10</v>
      </c>
    </row>
    <row r="33" spans="1:284" x14ac:dyDescent="0.25">
      <c r="A33" s="35">
        <f t="shared" si="0"/>
        <v>27</v>
      </c>
      <c r="B33" s="38">
        <v>3779.11</v>
      </c>
      <c r="C33" s="38">
        <f t="shared" si="1"/>
        <v>6.4400000000000546</v>
      </c>
      <c r="D33" s="38">
        <f t="shared" si="2"/>
        <v>206080.00000000175</v>
      </c>
      <c r="E33" s="38">
        <v>760.33</v>
      </c>
      <c r="F33" s="38">
        <f t="shared" si="113"/>
        <v>40960.000000002765</v>
      </c>
      <c r="G33" s="38">
        <f t="shared" si="4"/>
        <v>247040.00000000451</v>
      </c>
      <c r="H33" s="37"/>
      <c r="I33" s="39"/>
      <c r="J33" s="42"/>
      <c r="K33" s="37">
        <f t="shared" si="95"/>
        <v>0</v>
      </c>
      <c r="L33" s="40">
        <v>11183100</v>
      </c>
      <c r="M33" s="40"/>
      <c r="N33" s="37">
        <f t="shared" si="96"/>
        <v>252000</v>
      </c>
      <c r="O33" s="37">
        <v>10192.1</v>
      </c>
      <c r="P33" s="37"/>
      <c r="Q33" s="37">
        <f t="shared" si="127"/>
        <v>13100.000000000364</v>
      </c>
      <c r="R33" s="37">
        <f t="shared" si="97"/>
        <v>1</v>
      </c>
      <c r="S33" s="37">
        <v>11123637.42</v>
      </c>
      <c r="T33" s="37">
        <f t="shared" si="6"/>
        <v>0</v>
      </c>
      <c r="U33" s="37">
        <v>1518173.85</v>
      </c>
      <c r="V33" s="37">
        <f t="shared" si="7"/>
        <v>0</v>
      </c>
      <c r="W33" s="37">
        <v>3570.4</v>
      </c>
      <c r="X33" s="37">
        <f t="shared" si="111"/>
        <v>8100.0000000003638</v>
      </c>
      <c r="Y33" s="183"/>
      <c r="Z33" s="183">
        <f t="shared" si="8"/>
        <v>0</v>
      </c>
      <c r="AA33" s="37">
        <v>619500</v>
      </c>
      <c r="AB33" s="37">
        <f t="shared" si="9"/>
        <v>5000</v>
      </c>
      <c r="AC33" s="37">
        <v>3769</v>
      </c>
      <c r="AD33" s="37"/>
      <c r="AE33" s="37">
        <f t="shared" si="129"/>
        <v>8000</v>
      </c>
      <c r="AF33" s="37">
        <f t="shared" si="98"/>
        <v>1</v>
      </c>
      <c r="AG33" s="37">
        <v>8228.2999999999993</v>
      </c>
      <c r="AH33" s="37"/>
      <c r="AI33" s="37">
        <f t="shared" si="11"/>
        <v>15102.989999998908</v>
      </c>
      <c r="AJ33" s="37">
        <f t="shared" si="12"/>
        <v>1</v>
      </c>
      <c r="AK33" s="37">
        <f t="shared" si="13"/>
        <v>31202.98999999927</v>
      </c>
      <c r="AL33" s="42">
        <v>10199.700000000001</v>
      </c>
      <c r="AM33" s="42"/>
      <c r="AN33" s="37">
        <f t="shared" si="59"/>
        <v>4882.9900000008138</v>
      </c>
      <c r="AO33" s="37">
        <f t="shared" si="99"/>
        <v>1</v>
      </c>
      <c r="AP33" s="37">
        <v>7814</v>
      </c>
      <c r="AQ33" s="37"/>
      <c r="AR33" s="37">
        <f t="shared" si="14"/>
        <v>9500</v>
      </c>
      <c r="AS33" s="37">
        <f t="shared" si="100"/>
        <v>1</v>
      </c>
      <c r="AT33" s="183"/>
      <c r="AU33" s="183">
        <f t="shared" si="15"/>
        <v>0</v>
      </c>
      <c r="AV33" s="183"/>
      <c r="AW33" s="183">
        <f t="shared" si="16"/>
        <v>0</v>
      </c>
      <c r="AX33" s="37">
        <v>460700</v>
      </c>
      <c r="AY33" s="37"/>
      <c r="AZ33" s="37">
        <f t="shared" si="17"/>
        <v>400</v>
      </c>
      <c r="BA33" s="37">
        <v>112250</v>
      </c>
      <c r="BB33" s="37"/>
      <c r="BC33" s="37">
        <f t="shared" si="18"/>
        <v>560</v>
      </c>
      <c r="BD33" s="37">
        <f t="shared" si="101"/>
        <v>15342.990000000813</v>
      </c>
      <c r="BE33" s="43">
        <v>1767.5</v>
      </c>
      <c r="BF33" s="43">
        <v>967.23</v>
      </c>
      <c r="BG33" s="37">
        <f t="shared" si="19"/>
        <v>2200.0000000000455</v>
      </c>
      <c r="BH33" s="44">
        <v>8356.4</v>
      </c>
      <c r="BI33" s="44">
        <v>5375.5</v>
      </c>
      <c r="BJ33" s="37">
        <f t="shared" si="20"/>
        <v>8500</v>
      </c>
      <c r="BK33" s="40">
        <v>1345910</v>
      </c>
      <c r="BL33" s="40">
        <f t="shared" si="102"/>
        <v>3750</v>
      </c>
      <c r="BM33" s="40">
        <v>832.16</v>
      </c>
      <c r="BN33" s="37">
        <f t="shared" si="21"/>
        <v>669.99999999995907</v>
      </c>
      <c r="BO33" s="186"/>
      <c r="BP33" s="183">
        <f t="shared" si="22"/>
        <v>0</v>
      </c>
      <c r="BQ33" s="40">
        <v>789</v>
      </c>
      <c r="BR33" s="37">
        <f t="shared" si="60"/>
        <v>799.99999999995453</v>
      </c>
      <c r="BS33" s="37">
        <v>86748.6</v>
      </c>
      <c r="BT33" s="37">
        <f t="shared" si="23"/>
        <v>259.92000000001281</v>
      </c>
      <c r="BU33" s="42">
        <v>2242601</v>
      </c>
      <c r="BV33" s="42"/>
      <c r="BW33" s="37">
        <f t="shared" si="24"/>
        <v>8990</v>
      </c>
      <c r="BX33" s="37">
        <f t="shared" si="103"/>
        <v>1</v>
      </c>
      <c r="BY33" s="43">
        <v>309.00459999999998</v>
      </c>
      <c r="BZ33" s="43"/>
      <c r="CA33" s="37">
        <f t="shared" si="124"/>
        <v>687.89999999995644</v>
      </c>
      <c r="CB33" s="37">
        <f t="shared" si="61"/>
        <v>1</v>
      </c>
      <c r="CC33" s="37">
        <v>537257.4</v>
      </c>
      <c r="CD33" s="37">
        <f t="shared" si="26"/>
        <v>2887.7000000000698</v>
      </c>
      <c r="CE33" s="41">
        <v>821730.6</v>
      </c>
      <c r="CF33" s="37">
        <f t="shared" si="62"/>
        <v>6020.4000000000233</v>
      </c>
      <c r="CG33" s="37">
        <v>69406.3</v>
      </c>
      <c r="CH33" s="37">
        <f t="shared" si="63"/>
        <v>0</v>
      </c>
      <c r="CI33" s="40">
        <v>11655.31</v>
      </c>
      <c r="CJ33" s="40"/>
      <c r="CK33" s="37">
        <f t="shared" si="64"/>
        <v>20895.090000000335</v>
      </c>
      <c r="CL33" s="37">
        <f t="shared" si="27"/>
        <v>1</v>
      </c>
      <c r="CM33" s="37">
        <v>3151.1439999999998</v>
      </c>
      <c r="CN33" s="37"/>
      <c r="CO33" s="37">
        <f t="shared" si="28"/>
        <v>8075.9899999997742</v>
      </c>
      <c r="CP33" s="37">
        <f t="shared" si="104"/>
        <v>1</v>
      </c>
      <c r="CQ33" s="39">
        <v>3008.9090000000001</v>
      </c>
      <c r="CR33" s="39"/>
      <c r="CS33" s="37">
        <f t="shared" si="29"/>
        <v>7097.9900000001635</v>
      </c>
      <c r="CT33" s="37">
        <f t="shared" si="105"/>
        <v>1</v>
      </c>
      <c r="CU33" s="37">
        <v>2673876</v>
      </c>
      <c r="CV33" s="37"/>
      <c r="CW33" s="38">
        <f t="shared" si="30"/>
        <v>492</v>
      </c>
      <c r="CX33" s="37">
        <f t="shared" si="106"/>
        <v>1</v>
      </c>
      <c r="CY33" s="37">
        <v>1375454</v>
      </c>
      <c r="CZ33" s="37"/>
      <c r="DA33" s="37">
        <f t="shared" si="132"/>
        <v>164</v>
      </c>
      <c r="DB33" s="37">
        <f t="shared" si="107"/>
        <v>1</v>
      </c>
      <c r="DC33" s="37"/>
      <c r="DD33" s="40"/>
      <c r="DE33" s="37">
        <f t="shared" si="32"/>
        <v>0</v>
      </c>
      <c r="DF33" s="37">
        <f t="shared" si="112"/>
        <v>0</v>
      </c>
      <c r="DG33" s="37">
        <f t="shared" si="33"/>
        <v>-45715.070000000269</v>
      </c>
      <c r="DH33" s="37">
        <f t="shared" si="34"/>
        <v>285402.98999999929</v>
      </c>
      <c r="DI33" s="46"/>
      <c r="DJ33" s="46"/>
      <c r="DK33" s="47"/>
      <c r="DL33" s="47"/>
      <c r="DM33" s="37"/>
      <c r="DN33" s="37"/>
      <c r="DO33" s="37"/>
      <c r="DP33" s="37"/>
      <c r="DQ33" s="50">
        <v>3022000</v>
      </c>
      <c r="DR33" s="49">
        <f t="shared" si="65"/>
        <v>9000</v>
      </c>
      <c r="DS33" s="50">
        <v>2748700</v>
      </c>
      <c r="DT33" s="49">
        <f t="shared" si="66"/>
        <v>16600</v>
      </c>
      <c r="DU33" s="51">
        <v>7740.5</v>
      </c>
      <c r="DV33" s="51">
        <v>4330.5</v>
      </c>
      <c r="DW33" s="37">
        <f t="shared" si="108"/>
        <v>3899.9999999996362</v>
      </c>
      <c r="DX33" s="52">
        <v>12785</v>
      </c>
      <c r="DY33" s="52">
        <v>8318.2999999999993</v>
      </c>
      <c r="DZ33" s="37">
        <f t="shared" si="35"/>
        <v>5902.99</v>
      </c>
      <c r="EA33" s="49">
        <v>28847</v>
      </c>
      <c r="EB33" s="49">
        <v>20.305</v>
      </c>
      <c r="EC33" s="37">
        <f t="shared" si="36"/>
        <v>25062.99</v>
      </c>
      <c r="ED33" s="53">
        <f t="shared" si="37"/>
        <v>34865.979999999639</v>
      </c>
      <c r="EE33" s="49">
        <v>44004</v>
      </c>
      <c r="EF33" s="49">
        <v>28.186</v>
      </c>
      <c r="EG33" s="37">
        <f t="shared" si="38"/>
        <v>5062.99</v>
      </c>
      <c r="EH33" s="51">
        <v>12475</v>
      </c>
      <c r="EI33" s="51">
        <v>1.6773</v>
      </c>
      <c r="EJ33" s="37">
        <f t="shared" si="39"/>
        <v>4902.99</v>
      </c>
      <c r="EK33" s="37">
        <v>755.19</v>
      </c>
      <c r="EL33" s="40">
        <v>1082.5</v>
      </c>
      <c r="EM33" s="37">
        <f t="shared" si="67"/>
        <v>150.00000000009095</v>
      </c>
      <c r="EN33" s="54">
        <f t="shared" si="68"/>
        <v>10115.980000000091</v>
      </c>
      <c r="EO33" s="48">
        <v>12575</v>
      </c>
      <c r="EP33" s="48">
        <v>4378.5</v>
      </c>
      <c r="EQ33" s="37">
        <f t="shared" si="69"/>
        <v>6857.9900000000407</v>
      </c>
      <c r="ER33" s="48">
        <v>8540.6</v>
      </c>
      <c r="ES33" s="48">
        <v>3482.1</v>
      </c>
      <c r="ET33" s="49">
        <f t="shared" si="116"/>
        <v>15700.000000000728</v>
      </c>
      <c r="EU33" s="48">
        <v>3144.5</v>
      </c>
      <c r="EV33" s="48">
        <v>1121.4000000000001</v>
      </c>
      <c r="EW33" s="49">
        <f t="shared" si="41"/>
        <v>9002.9899999999088</v>
      </c>
      <c r="EX33" s="48">
        <v>12844</v>
      </c>
      <c r="EY33" s="48">
        <v>1.4378500000000001</v>
      </c>
      <c r="EZ33" s="37">
        <f t="shared" si="42"/>
        <v>11902.99</v>
      </c>
      <c r="FA33" s="48">
        <f t="shared" si="70"/>
        <v>-20043.970000000678</v>
      </c>
      <c r="FB33" s="48">
        <v>35303544</v>
      </c>
      <c r="FC33" s="49">
        <f t="shared" si="109"/>
        <v>23420</v>
      </c>
      <c r="FD33" s="48">
        <f t="shared" si="71"/>
        <v>45063.970000000816</v>
      </c>
      <c r="FE33" s="48">
        <v>16545</v>
      </c>
      <c r="FF33" s="48">
        <v>5918.4</v>
      </c>
      <c r="FG33" s="37">
        <f t="shared" si="72"/>
        <v>10432.989999999958</v>
      </c>
      <c r="FH33" s="48">
        <v>7866.2</v>
      </c>
      <c r="FI33" s="48">
        <v>3.0329000000000002</v>
      </c>
      <c r="FJ33" s="49">
        <f t="shared" si="43"/>
        <v>15887.99</v>
      </c>
      <c r="FK33" s="48"/>
      <c r="FL33" s="58">
        <v>485</v>
      </c>
      <c r="FM33" s="48">
        <f t="shared" si="110"/>
        <v>97.010000000012951</v>
      </c>
      <c r="FN33" s="48">
        <v>15944</v>
      </c>
      <c r="FO33" s="48">
        <v>0.76139999999999997</v>
      </c>
      <c r="FP33" s="37">
        <f t="shared" si="73"/>
        <v>20387.990000000002</v>
      </c>
      <c r="FQ33" s="48">
        <v>56712</v>
      </c>
      <c r="FR33" s="48">
        <v>13.624000000000001</v>
      </c>
      <c r="FS33" s="37">
        <f t="shared" si="44"/>
        <v>47000</v>
      </c>
      <c r="FT33" s="48">
        <f t="shared" si="74"/>
        <v>291.03000000003885</v>
      </c>
      <c r="FU33" s="48">
        <f t="shared" si="75"/>
        <v>48508.969999999914</v>
      </c>
      <c r="FV33" s="44">
        <v>3096500</v>
      </c>
      <c r="FW33" s="44">
        <v>1005400</v>
      </c>
      <c r="FX33" s="37">
        <f t="shared" si="45"/>
        <v>900</v>
      </c>
      <c r="FY33" s="56">
        <v>2973.5</v>
      </c>
      <c r="FZ33" s="56">
        <v>1.7593000000000001</v>
      </c>
      <c r="GA33" s="37">
        <f t="shared" si="46"/>
        <v>150.00000000009095</v>
      </c>
      <c r="GB33" s="56">
        <v>772.32</v>
      </c>
      <c r="GC33" s="56">
        <v>862.17</v>
      </c>
      <c r="GD33" s="37">
        <f t="shared" si="47"/>
        <v>240.00000000000909</v>
      </c>
      <c r="GE33" s="56">
        <v>9600.7000000000007</v>
      </c>
      <c r="GF33" s="56">
        <v>3.0413999999999999</v>
      </c>
      <c r="GG33" s="37">
        <f t="shared" si="48"/>
        <v>300.00000000063665</v>
      </c>
      <c r="GH33" s="153">
        <v>1871.9</v>
      </c>
      <c r="GI33" s="162">
        <v>1590.8</v>
      </c>
      <c r="GJ33" s="38">
        <f t="shared" si="49"/>
        <v>1600.0000000001364</v>
      </c>
      <c r="GK33" s="162">
        <v>1455.2</v>
      </c>
      <c r="GL33" s="163">
        <v>1113.5</v>
      </c>
      <c r="GM33" s="38">
        <f t="shared" si="50"/>
        <v>1799.9999999999545</v>
      </c>
      <c r="GN33" s="57">
        <v>165650</v>
      </c>
      <c r="GO33" s="57">
        <v>144480</v>
      </c>
      <c r="GP33" s="38">
        <f t="shared" si="114"/>
        <v>10</v>
      </c>
      <c r="GQ33" s="38">
        <v>227710</v>
      </c>
      <c r="GR33" s="38">
        <v>227860</v>
      </c>
      <c r="GS33" s="38">
        <f t="shared" si="76"/>
        <v>250</v>
      </c>
      <c r="GT33" s="178"/>
      <c r="GU33" s="144">
        <f>DailyMar!B32-DailyMar!N32-DailyMar!V32-DailyMar!Y32-DailyMar!Z32-DailyMar!AA32-DailyMar!AB32-DailyMar!AC32-DailyMar!AD32-DailyMar!AE32-DailyMar!AK32-DailyMar!AO32-DailyMar!AS32-DailyMar!AY32-DailyMar!BD32+DailyMar!BU32-DailyMar!BT32-DailyMar!AF32-DailyMar!AG32-DailyMar!BG32</f>
        <v>5.0000002942397259E-2</v>
      </c>
      <c r="GV33" s="59">
        <v>-1455.1</v>
      </c>
      <c r="GW33" s="60">
        <f t="shared" si="51"/>
        <v>-97.006666666666661</v>
      </c>
      <c r="GX33" s="61">
        <v>-97.01</v>
      </c>
      <c r="GY33" s="140"/>
      <c r="GZ33" s="62"/>
      <c r="HA33" s="62"/>
      <c r="HB33" s="74"/>
      <c r="HC33" s="62"/>
      <c r="HD33" s="74"/>
      <c r="HE33" s="24">
        <f t="shared" si="52"/>
        <v>0</v>
      </c>
      <c r="HG33" s="213">
        <v>27</v>
      </c>
      <c r="HH33" s="16">
        <v>4261.8999999999996</v>
      </c>
      <c r="HI33" s="16">
        <v>1666.4</v>
      </c>
      <c r="HJ33" s="16">
        <f t="shared" si="125"/>
        <v>85000</v>
      </c>
      <c r="HK33" s="16">
        <v>1.9189000000000001</v>
      </c>
      <c r="HL33" s="16">
        <v>660.93</v>
      </c>
      <c r="HM33" s="16">
        <f t="shared" si="117"/>
        <v>0</v>
      </c>
      <c r="HN33" s="16">
        <v>1105.5999999999999</v>
      </c>
      <c r="HO33" s="16">
        <v>486.65</v>
      </c>
      <c r="HP33" s="16">
        <f>IF((HN33-HN32)&lt;=0,0,(HN33-HN32)*1000)+IC70</f>
        <v>28203.32999999982</v>
      </c>
      <c r="HQ33" s="16">
        <v>1084.4000000000001</v>
      </c>
      <c r="HR33" s="16">
        <v>487.81</v>
      </c>
      <c r="HS33" s="16">
        <f t="shared" si="118"/>
        <v>25003.33</v>
      </c>
      <c r="HT33" s="16">
        <v>897.47</v>
      </c>
      <c r="HU33" s="16">
        <v>361.02</v>
      </c>
      <c r="HV33" s="16">
        <f t="shared" si="119"/>
        <v>15193.330000000054</v>
      </c>
      <c r="HW33" s="16"/>
      <c r="HX33" s="16"/>
      <c r="HY33" s="128">
        <f t="shared" si="123"/>
        <v>16600</v>
      </c>
      <c r="HZ33" s="211">
        <f t="shared" si="77"/>
        <v>1.0000000125728548E-2</v>
      </c>
      <c r="IA33" s="16"/>
      <c r="IB33" s="16"/>
      <c r="IC33" s="16">
        <f t="shared" si="78"/>
        <v>0</v>
      </c>
      <c r="ID33" s="16"/>
      <c r="IE33" s="16"/>
      <c r="IF33" s="16">
        <f t="shared" si="79"/>
        <v>0</v>
      </c>
      <c r="IG33" s="16"/>
      <c r="IH33" s="16"/>
      <c r="II33" s="16">
        <f t="shared" si="133"/>
        <v>0</v>
      </c>
      <c r="IJ33" s="16"/>
      <c r="IK33" s="16"/>
      <c r="IL33" s="16">
        <f t="shared" si="134"/>
        <v>0</v>
      </c>
      <c r="IM33" s="16"/>
      <c r="IN33" s="16"/>
      <c r="IO33" s="16">
        <f t="shared" si="82"/>
        <v>0</v>
      </c>
      <c r="IP33" s="16"/>
      <c r="IQ33" s="16"/>
      <c r="IR33" s="16">
        <f t="shared" si="83"/>
        <v>0</v>
      </c>
      <c r="IS33" s="16"/>
      <c r="IT33" s="16"/>
      <c r="IU33" s="16">
        <f t="shared" si="84"/>
        <v>0</v>
      </c>
      <c r="IV33" s="16"/>
      <c r="IW33" s="16"/>
      <c r="IX33" s="16">
        <f t="shared" si="85"/>
        <v>0</v>
      </c>
      <c r="IY33" s="16"/>
      <c r="IZ33" s="16"/>
      <c r="JA33" s="16">
        <f t="shared" si="86"/>
        <v>0</v>
      </c>
      <c r="JB33" s="16"/>
      <c r="JC33" s="16"/>
      <c r="JD33" s="16">
        <f t="shared" si="87"/>
        <v>0</v>
      </c>
      <c r="JE33" s="16"/>
      <c r="JF33" s="16"/>
      <c r="JG33" s="16">
        <f t="shared" si="88"/>
        <v>0</v>
      </c>
      <c r="JH33" s="16"/>
      <c r="JI33" s="16"/>
      <c r="JJ33" s="16">
        <f t="shared" si="89"/>
        <v>0</v>
      </c>
      <c r="JK33" s="16"/>
      <c r="JL33" s="16"/>
      <c r="JM33" s="16">
        <f t="shared" si="90"/>
        <v>0</v>
      </c>
      <c r="JN33" s="16"/>
      <c r="JO33" s="16"/>
      <c r="JP33" s="16">
        <f t="shared" si="91"/>
        <v>0</v>
      </c>
      <c r="JQ33" s="16"/>
      <c r="JR33" s="16"/>
      <c r="JS33" s="16">
        <f t="shared" si="92"/>
        <v>0</v>
      </c>
      <c r="JT33" s="16"/>
      <c r="JU33" s="16"/>
      <c r="JV33" s="16">
        <f t="shared" si="93"/>
        <v>0</v>
      </c>
      <c r="JX33" s="151">
        <f t="shared" si="94"/>
        <v>1.0000000125728548E-2</v>
      </c>
    </row>
    <row r="34" spans="1:284" x14ac:dyDescent="0.25">
      <c r="A34" s="35">
        <f t="shared" si="0"/>
        <v>28</v>
      </c>
      <c r="B34" s="38">
        <v>3785.7</v>
      </c>
      <c r="C34" s="38">
        <f t="shared" si="1"/>
        <v>6.5899999999996908</v>
      </c>
      <c r="D34" s="38">
        <f t="shared" si="2"/>
        <v>210879.9999999901</v>
      </c>
      <c r="E34" s="38">
        <v>761.16300000000001</v>
      </c>
      <c r="F34" s="38">
        <f t="shared" si="113"/>
        <v>26655.99999999904</v>
      </c>
      <c r="G34" s="38">
        <f t="shared" si="4"/>
        <v>237535.99999998914</v>
      </c>
      <c r="H34" s="37"/>
      <c r="I34" s="39"/>
      <c r="J34" s="42"/>
      <c r="K34" s="37">
        <f t="shared" si="95"/>
        <v>0</v>
      </c>
      <c r="L34" s="40">
        <v>11207800</v>
      </c>
      <c r="M34" s="40"/>
      <c r="N34" s="37">
        <f t="shared" si="96"/>
        <v>247000</v>
      </c>
      <c r="O34" s="37">
        <v>10204.4</v>
      </c>
      <c r="P34" s="37"/>
      <c r="Q34" s="37">
        <f t="shared" si="127"/>
        <v>12299.999999999272</v>
      </c>
      <c r="R34" s="37">
        <f t="shared" si="97"/>
        <v>1</v>
      </c>
      <c r="S34" s="37">
        <v>11123637.42</v>
      </c>
      <c r="T34" s="37">
        <f t="shared" si="6"/>
        <v>0</v>
      </c>
      <c r="U34" s="37">
        <v>1518173.85</v>
      </c>
      <c r="V34" s="37">
        <f t="shared" si="7"/>
        <v>0</v>
      </c>
      <c r="W34" s="37">
        <v>3576.9</v>
      </c>
      <c r="X34" s="37">
        <f t="shared" si="111"/>
        <v>7999.9999999992724</v>
      </c>
      <c r="Y34" s="183"/>
      <c r="Z34" s="183">
        <f t="shared" si="8"/>
        <v>0</v>
      </c>
      <c r="AA34" s="37">
        <v>623800</v>
      </c>
      <c r="AB34" s="37">
        <f t="shared" si="9"/>
        <v>4300</v>
      </c>
      <c r="AC34" s="37">
        <v>3776.6</v>
      </c>
      <c r="AD34" s="37"/>
      <c r="AE34" s="37">
        <f t="shared" si="129"/>
        <v>7599.9999999999091</v>
      </c>
      <c r="AF34" s="37">
        <f t="shared" si="98"/>
        <v>1</v>
      </c>
      <c r="AG34" s="37">
        <v>8242.4</v>
      </c>
      <c r="AH34" s="37"/>
      <c r="AI34" s="37">
        <f t="shared" si="11"/>
        <v>12754.040000000365</v>
      </c>
      <c r="AJ34" s="37">
        <f t="shared" si="12"/>
        <v>1</v>
      </c>
      <c r="AK34" s="37">
        <f t="shared" si="13"/>
        <v>28354.039999999546</v>
      </c>
      <c r="AL34" s="42">
        <v>10209.1</v>
      </c>
      <c r="AM34" s="42"/>
      <c r="AN34" s="37">
        <f t="shared" si="59"/>
        <v>3114.0399999995088</v>
      </c>
      <c r="AO34" s="37">
        <f t="shared" si="99"/>
        <v>1</v>
      </c>
      <c r="AP34" s="37">
        <v>7823.2</v>
      </c>
      <c r="AQ34" s="37"/>
      <c r="AR34" s="37">
        <f t="shared" si="14"/>
        <v>9199.9999999998181</v>
      </c>
      <c r="AS34" s="37">
        <f t="shared" si="100"/>
        <v>1</v>
      </c>
      <c r="AT34" s="183"/>
      <c r="AU34" s="183">
        <f t="shared" si="15"/>
        <v>0</v>
      </c>
      <c r="AV34" s="183"/>
      <c r="AW34" s="183">
        <f t="shared" si="16"/>
        <v>0</v>
      </c>
      <c r="AX34" s="37">
        <v>461090</v>
      </c>
      <c r="AY34" s="37"/>
      <c r="AZ34" s="37">
        <f t="shared" si="17"/>
        <v>390</v>
      </c>
      <c r="BA34" s="37">
        <v>112790</v>
      </c>
      <c r="BB34" s="37"/>
      <c r="BC34" s="37">
        <f t="shared" si="18"/>
        <v>540</v>
      </c>
      <c r="BD34" s="37">
        <f t="shared" si="101"/>
        <v>13244.039999999328</v>
      </c>
      <c r="BE34" s="43">
        <v>1769.8</v>
      </c>
      <c r="BF34" s="43">
        <v>968.64</v>
      </c>
      <c r="BG34" s="37">
        <f t="shared" si="19"/>
        <v>2299.9999999999545</v>
      </c>
      <c r="BH34" s="44">
        <v>8367.2000000000007</v>
      </c>
      <c r="BI34" s="44">
        <v>5382.6</v>
      </c>
      <c r="BJ34" s="37">
        <f t="shared" si="20"/>
        <v>10800.000000001091</v>
      </c>
      <c r="BK34" s="40">
        <v>1349490</v>
      </c>
      <c r="BL34" s="40">
        <f t="shared" si="102"/>
        <v>3580</v>
      </c>
      <c r="BM34" s="40">
        <v>832.82</v>
      </c>
      <c r="BN34" s="37">
        <f t="shared" si="21"/>
        <v>660.00000000008185</v>
      </c>
      <c r="BO34" s="186"/>
      <c r="BP34" s="183">
        <f t="shared" si="22"/>
        <v>0</v>
      </c>
      <c r="BQ34" s="40">
        <v>789.7</v>
      </c>
      <c r="BR34" s="37">
        <f t="shared" si="60"/>
        <v>700.00000000004547</v>
      </c>
      <c r="BS34" s="37">
        <v>86996.51</v>
      </c>
      <c r="BT34" s="37">
        <f t="shared" si="23"/>
        <v>247.90999999998894</v>
      </c>
      <c r="BU34" s="42">
        <v>2251199</v>
      </c>
      <c r="BV34" s="42"/>
      <c r="BW34" s="37">
        <f t="shared" si="24"/>
        <v>8598</v>
      </c>
      <c r="BX34" s="37">
        <f>IF(BW34&lt;=0,0,(BW34/SQRT(BW34^2+(BV34-BV33)^2)))</f>
        <v>1</v>
      </c>
      <c r="BY34" s="43">
        <v>309.6397</v>
      </c>
      <c r="BZ34" s="37"/>
      <c r="CA34" s="37">
        <f t="shared" si="124"/>
        <v>635.10000000002265</v>
      </c>
      <c r="CB34" s="37">
        <f t="shared" si="61"/>
        <v>1</v>
      </c>
      <c r="CC34" s="37">
        <v>539911.4</v>
      </c>
      <c r="CD34" s="37">
        <f t="shared" si="26"/>
        <v>2654</v>
      </c>
      <c r="CE34" s="41">
        <v>827603</v>
      </c>
      <c r="CF34" s="37">
        <f t="shared" si="62"/>
        <v>5872.4000000000233</v>
      </c>
      <c r="CG34" s="37">
        <v>69406.3</v>
      </c>
      <c r="CH34" s="37">
        <f t="shared" si="63"/>
        <v>0</v>
      </c>
      <c r="CI34" s="40">
        <v>11675.96</v>
      </c>
      <c r="CJ34" s="40"/>
      <c r="CK34" s="37">
        <f t="shared" si="64"/>
        <v>18668.939999999613</v>
      </c>
      <c r="CL34" s="37">
        <f t="shared" si="27"/>
        <v>1</v>
      </c>
      <c r="CM34" s="37">
        <v>3159.1619999999998</v>
      </c>
      <c r="CN34" s="37"/>
      <c r="CO34" s="37">
        <f t="shared" si="28"/>
        <v>6672.0400000000291</v>
      </c>
      <c r="CP34" s="37">
        <f t="shared" si="104"/>
        <v>1</v>
      </c>
      <c r="CQ34" s="39">
        <v>3015.8229999999999</v>
      </c>
      <c r="CR34" s="39"/>
      <c r="CS34" s="37">
        <f t="shared" si="29"/>
        <v>5568.0399999997599</v>
      </c>
      <c r="CT34" s="37">
        <f>IF(CS34&lt;=0,0,(CS34/SQRT(CS34^2+(CR34-CR31)^2)))</f>
        <v>1</v>
      </c>
      <c r="CU34" s="37">
        <v>2674353</v>
      </c>
      <c r="CV34" s="37"/>
      <c r="CW34" s="38">
        <f t="shared" si="30"/>
        <v>477</v>
      </c>
      <c r="CX34" s="37">
        <f t="shared" si="106"/>
        <v>1</v>
      </c>
      <c r="CY34" s="37">
        <v>1375614</v>
      </c>
      <c r="CZ34" s="37"/>
      <c r="DA34" s="37">
        <f t="shared" si="132"/>
        <v>160</v>
      </c>
      <c r="DB34" s="37">
        <f t="shared" si="107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3"/>
        <v>-40144.0199999994</v>
      </c>
      <c r="DH34" s="37">
        <f t="shared" si="34"/>
        <v>277654.03999999951</v>
      </c>
      <c r="DI34" s="46"/>
      <c r="DJ34" s="46"/>
      <c r="DK34" s="47"/>
      <c r="DL34" s="47"/>
      <c r="DM34" s="37"/>
      <c r="DN34" s="37"/>
      <c r="DO34" s="37"/>
      <c r="DP34" s="37"/>
      <c r="DQ34" s="50">
        <v>3031700</v>
      </c>
      <c r="DR34" s="49">
        <f t="shared" si="65"/>
        <v>9700</v>
      </c>
      <c r="DS34" s="50">
        <v>2766400</v>
      </c>
      <c r="DT34" s="49">
        <f t="shared" si="66"/>
        <v>17700</v>
      </c>
      <c r="DU34" s="51">
        <v>7744.9</v>
      </c>
      <c r="DV34" s="51">
        <v>4333.1000000000004</v>
      </c>
      <c r="DW34" s="37">
        <f t="shared" si="108"/>
        <v>4399.9999999996362</v>
      </c>
      <c r="DX34" s="52">
        <v>12791</v>
      </c>
      <c r="DY34" s="52">
        <v>8319.1</v>
      </c>
      <c r="DZ34" s="37">
        <f t="shared" si="35"/>
        <v>4654.04</v>
      </c>
      <c r="EA34" s="49">
        <v>28870</v>
      </c>
      <c r="EB34" s="49">
        <v>20.315999999999999</v>
      </c>
      <c r="EC34" s="37">
        <f t="shared" si="36"/>
        <v>23814.04</v>
      </c>
      <c r="ED34" s="53">
        <f t="shared" si="37"/>
        <v>32868.079999999638</v>
      </c>
      <c r="EE34" s="49">
        <v>44006</v>
      </c>
      <c r="EF34" s="49">
        <v>28.186</v>
      </c>
      <c r="EG34" s="37">
        <f t="shared" si="38"/>
        <v>2814.04</v>
      </c>
      <c r="EH34" s="51">
        <v>12480</v>
      </c>
      <c r="EI34" s="51">
        <v>1.6775</v>
      </c>
      <c r="EJ34" s="37">
        <f t="shared" si="39"/>
        <v>3654.04</v>
      </c>
      <c r="EK34" s="37">
        <v>755.51</v>
      </c>
      <c r="EL34" s="40">
        <v>1082.9000000000001</v>
      </c>
      <c r="EM34" s="37">
        <f t="shared" si="67"/>
        <v>319.99999999993634</v>
      </c>
      <c r="EN34" s="54">
        <f t="shared" si="68"/>
        <v>6788.0799999999363</v>
      </c>
      <c r="EO34" s="48">
        <v>12584</v>
      </c>
      <c r="EP34" s="48">
        <v>4381.8999999999996</v>
      </c>
      <c r="EQ34" s="37">
        <f t="shared" si="69"/>
        <v>6609.0399999999845</v>
      </c>
      <c r="ER34" s="48">
        <v>8556.2999999999993</v>
      </c>
      <c r="ES34" s="48">
        <v>3489.5</v>
      </c>
      <c r="ET34" s="49">
        <f t="shared" si="116"/>
        <v>15699.999999998909</v>
      </c>
      <c r="EU34" s="48">
        <v>3153.5</v>
      </c>
      <c r="EV34" s="48">
        <v>1124.5</v>
      </c>
      <c r="EW34" s="49">
        <f t="shared" si="41"/>
        <v>7654.04</v>
      </c>
      <c r="EX34" s="48">
        <v>12857</v>
      </c>
      <c r="EY34" s="48">
        <v>1.4277</v>
      </c>
      <c r="EZ34" s="37">
        <f t="shared" si="42"/>
        <v>11654.04</v>
      </c>
      <c r="FA34" s="48">
        <f t="shared" si="70"/>
        <v>-18099.119999998897</v>
      </c>
      <c r="FB34" s="48">
        <v>35327062</v>
      </c>
      <c r="FC34" s="49">
        <f t="shared" si="109"/>
        <v>23518</v>
      </c>
      <c r="FD34" s="48">
        <f t="shared" si="71"/>
        <v>43317.119999998715</v>
      </c>
      <c r="FE34" s="48">
        <v>16556</v>
      </c>
      <c r="FF34" s="48">
        <v>5922.2</v>
      </c>
      <c r="FG34" s="37">
        <f t="shared" si="72"/>
        <v>10317.370000000015</v>
      </c>
      <c r="FH34" s="48">
        <v>7884.3</v>
      </c>
      <c r="FI34" s="48">
        <v>3.0400999999999998</v>
      </c>
      <c r="FJ34" s="49">
        <f t="shared" si="43"/>
        <v>16372.370000000366</v>
      </c>
      <c r="FK34" s="48"/>
      <c r="FL34" s="58">
        <v>-381.67</v>
      </c>
      <c r="FM34" s="48">
        <f t="shared" si="110"/>
        <v>1345.9633333332047</v>
      </c>
      <c r="FN34" s="48">
        <v>15961</v>
      </c>
      <c r="FO34" s="48">
        <v>0.76229999999999998</v>
      </c>
      <c r="FP34" s="37">
        <f t="shared" si="73"/>
        <v>15272.370000000003</v>
      </c>
      <c r="FQ34" s="48">
        <v>56758</v>
      </c>
      <c r="FR34" s="48">
        <v>13.637</v>
      </c>
      <c r="FS34" s="37">
        <f t="shared" si="44"/>
        <v>46000</v>
      </c>
      <c r="FT34" s="48">
        <f t="shared" si="74"/>
        <v>4037.8899999996138</v>
      </c>
      <c r="FU34" s="48">
        <f t="shared" si="75"/>
        <v>43762.110000000343</v>
      </c>
      <c r="FV34" s="44">
        <v>3107000</v>
      </c>
      <c r="FW34" s="44">
        <v>1008900</v>
      </c>
      <c r="FX34" s="37">
        <f t="shared" si="45"/>
        <v>10500</v>
      </c>
      <c r="FY34" s="56">
        <v>2976.5</v>
      </c>
      <c r="FZ34" s="56">
        <v>1.7619</v>
      </c>
      <c r="GA34" s="37">
        <f t="shared" si="46"/>
        <v>1990</v>
      </c>
      <c r="GB34" s="56">
        <v>772.88</v>
      </c>
      <c r="GC34" s="56">
        <v>862.94</v>
      </c>
      <c r="GD34" s="37">
        <f t="shared" si="47"/>
        <v>559.99999999994543</v>
      </c>
      <c r="GE34" s="56">
        <v>9608</v>
      </c>
      <c r="GF34" s="56">
        <v>3.0465</v>
      </c>
      <c r="GG34" s="37">
        <f t="shared" si="48"/>
        <v>3799.9999999994998</v>
      </c>
      <c r="GH34" s="158">
        <v>1873.6</v>
      </c>
      <c r="GI34" s="159">
        <v>1592.5</v>
      </c>
      <c r="GJ34" s="38">
        <f t="shared" si="49"/>
        <v>1699.9999999998181</v>
      </c>
      <c r="GK34" s="56">
        <v>1457</v>
      </c>
      <c r="GL34" s="44">
        <v>1114.3</v>
      </c>
      <c r="GM34" s="38">
        <f t="shared" si="50"/>
        <v>1799.9999999999545</v>
      </c>
      <c r="GN34" s="57">
        <v>165650</v>
      </c>
      <c r="GO34" s="57">
        <v>144490</v>
      </c>
      <c r="GP34" s="38">
        <f t="shared" si="114"/>
        <v>0</v>
      </c>
      <c r="GQ34" s="38">
        <v>228720</v>
      </c>
      <c r="GR34" s="38">
        <v>228860</v>
      </c>
      <c r="GS34" s="38">
        <f t="shared" si="76"/>
        <v>1010</v>
      </c>
      <c r="GT34" s="178"/>
      <c r="GU34" s="144">
        <f>DailyMar!B33-DailyMar!N33-DailyMar!V33-DailyMar!Y33-DailyMar!Z33-DailyMar!AA33-DailyMar!AB33-DailyMar!AC33-DailyMar!AD33-DailyMar!AE33-DailyMar!AK33-DailyMar!AO33-DailyMar!AS33-DailyMar!AY33-DailyMar!BD33+DailyMar!BU33-DailyMar!BT33-DailyMar!AF33-DailyMar!AG33-DailyMar!BG33</f>
        <v>9.9999911471968517E-3</v>
      </c>
      <c r="GV34" s="59">
        <v>-20189.39</v>
      </c>
      <c r="GW34" s="60">
        <f t="shared" si="51"/>
        <v>-1345.9593333333332</v>
      </c>
      <c r="GX34" s="61">
        <v>-1345.96</v>
      </c>
      <c r="GY34" s="140"/>
      <c r="GZ34" s="62"/>
      <c r="HA34" s="62"/>
      <c r="HB34" s="74"/>
      <c r="HC34" s="62"/>
      <c r="HD34" s="74"/>
      <c r="HE34" s="24">
        <f t="shared" si="52"/>
        <v>0</v>
      </c>
      <c r="HG34" s="213">
        <v>28</v>
      </c>
      <c r="HH34" s="16">
        <v>4339</v>
      </c>
      <c r="HI34" s="16">
        <v>1697.6</v>
      </c>
      <c r="HJ34" s="16">
        <f t="shared" si="125"/>
        <v>77100.000000000364</v>
      </c>
      <c r="HK34" s="16">
        <v>1.9189000000000001</v>
      </c>
      <c r="HL34" s="16">
        <v>660.93</v>
      </c>
      <c r="HM34" s="16">
        <f t="shared" si="117"/>
        <v>0</v>
      </c>
      <c r="HN34" s="16">
        <v>1128.5</v>
      </c>
      <c r="HO34" s="16">
        <v>497.3</v>
      </c>
      <c r="HP34" s="16">
        <f>IF((HN34-HN33)&lt;=0,0,(HN34-HN33)*1000)+IC71</f>
        <v>24376.670000000093</v>
      </c>
      <c r="HQ34" s="16">
        <v>1102.0999999999999</v>
      </c>
      <c r="HR34" s="16">
        <v>495.85</v>
      </c>
      <c r="HS34" s="16">
        <f t="shared" si="118"/>
        <v>19176.669999999816</v>
      </c>
      <c r="HT34" s="16">
        <v>911.84</v>
      </c>
      <c r="HU34" s="16">
        <v>367.6</v>
      </c>
      <c r="HV34" s="16">
        <f t="shared" si="119"/>
        <v>15846.670000000004</v>
      </c>
      <c r="HW34" s="16"/>
      <c r="HX34" s="16"/>
      <c r="HY34" s="128">
        <f t="shared" si="123"/>
        <v>17700</v>
      </c>
      <c r="HZ34" s="211">
        <f t="shared" si="77"/>
        <v>-9.9999995509278961E-3</v>
      </c>
      <c r="IA34" s="16"/>
      <c r="IB34" s="16"/>
      <c r="IC34" s="16">
        <f t="shared" si="78"/>
        <v>0</v>
      </c>
      <c r="ID34" s="16"/>
      <c r="IE34" s="16"/>
      <c r="IF34" s="16">
        <f t="shared" si="79"/>
        <v>0</v>
      </c>
      <c r="IG34" s="16"/>
      <c r="IH34" s="16"/>
      <c r="II34" s="16">
        <f t="shared" si="133"/>
        <v>0</v>
      </c>
      <c r="IJ34" s="16"/>
      <c r="IK34" s="16"/>
      <c r="IL34" s="16">
        <f t="shared" si="134"/>
        <v>0</v>
      </c>
      <c r="IM34" s="16"/>
      <c r="IN34" s="16"/>
      <c r="IO34" s="16">
        <f t="shared" si="82"/>
        <v>0</v>
      </c>
      <c r="IP34" s="16"/>
      <c r="IQ34" s="16"/>
      <c r="IR34" s="16">
        <f t="shared" si="83"/>
        <v>0</v>
      </c>
      <c r="IS34" s="16"/>
      <c r="IT34" s="16"/>
      <c r="IU34" s="16">
        <f t="shared" si="84"/>
        <v>0</v>
      </c>
      <c r="IV34" s="16"/>
      <c r="IW34" s="16"/>
      <c r="IX34" s="16">
        <f t="shared" si="85"/>
        <v>0</v>
      </c>
      <c r="IY34" s="16"/>
      <c r="IZ34" s="16"/>
      <c r="JA34" s="16">
        <f t="shared" si="86"/>
        <v>0</v>
      </c>
      <c r="JB34" s="16"/>
      <c r="JC34" s="16"/>
      <c r="JD34" s="16">
        <f t="shared" si="87"/>
        <v>0</v>
      </c>
      <c r="JE34" s="16"/>
      <c r="JF34" s="16"/>
      <c r="JG34" s="16">
        <f t="shared" si="88"/>
        <v>0</v>
      </c>
      <c r="JH34" s="16"/>
      <c r="JI34" s="16"/>
      <c r="JJ34" s="16">
        <f t="shared" si="89"/>
        <v>0</v>
      </c>
      <c r="JK34" s="16"/>
      <c r="JL34" s="16"/>
      <c r="JM34" s="16">
        <f t="shared" si="90"/>
        <v>0</v>
      </c>
      <c r="JN34" s="16"/>
      <c r="JO34" s="16"/>
      <c r="JP34" s="16">
        <f t="shared" si="91"/>
        <v>0</v>
      </c>
      <c r="JQ34" s="16"/>
      <c r="JR34" s="16"/>
      <c r="JS34" s="16">
        <f t="shared" si="92"/>
        <v>0</v>
      </c>
      <c r="JT34" s="16"/>
      <c r="JU34" s="16"/>
      <c r="JV34" s="16">
        <f t="shared" si="93"/>
        <v>0</v>
      </c>
      <c r="JX34" s="151">
        <f t="shared" si="94"/>
        <v>-9.9999995509278961E-3</v>
      </c>
    </row>
    <row r="35" spans="1:284" x14ac:dyDescent="0.25">
      <c r="A35" s="35">
        <v>29</v>
      </c>
      <c r="B35" s="38">
        <v>3793</v>
      </c>
      <c r="C35" s="38">
        <f t="shared" si="1"/>
        <v>7.3000000000001819</v>
      </c>
      <c r="D35" s="38">
        <f t="shared" si="2"/>
        <v>233600.00000000582</v>
      </c>
      <c r="E35" s="38">
        <v>763.09</v>
      </c>
      <c r="F35" s="38">
        <f t="shared" si="113"/>
        <v>61664.000000000669</v>
      </c>
      <c r="G35" s="38">
        <f t="shared" si="4"/>
        <v>295264.00000000652</v>
      </c>
      <c r="H35" s="37"/>
      <c r="I35" s="39"/>
      <c r="J35" s="42"/>
      <c r="K35" s="37">
        <f>IF(J35&lt;=0,0,(J35/SQRT(J35^2+(I35-I34)^2)))</f>
        <v>0</v>
      </c>
      <c r="L35" s="40">
        <v>11235900</v>
      </c>
      <c r="M35" s="40"/>
      <c r="N35" s="37">
        <f t="shared" si="96"/>
        <v>281000</v>
      </c>
      <c r="O35" s="37">
        <v>10218.700000000001</v>
      </c>
      <c r="P35" s="37"/>
      <c r="Q35" s="37">
        <f t="shared" si="127"/>
        <v>14300.000000001091</v>
      </c>
      <c r="R35" s="37">
        <f>IF(Q35&lt;=0,0,(Q35/SQRT(Q35^2+(P35-P34)^2)))</f>
        <v>1</v>
      </c>
      <c r="S35" s="37">
        <v>11123637.42</v>
      </c>
      <c r="T35" s="37">
        <f t="shared" si="6"/>
        <v>0</v>
      </c>
      <c r="U35" s="37">
        <v>1518173.85</v>
      </c>
      <c r="V35" s="37">
        <f t="shared" si="7"/>
        <v>0</v>
      </c>
      <c r="W35" s="37">
        <v>3583.9</v>
      </c>
      <c r="X35" s="37">
        <f t="shared" si="111"/>
        <v>8700.0000000010914</v>
      </c>
      <c r="Y35" s="183"/>
      <c r="Z35" s="183">
        <f t="shared" si="8"/>
        <v>0</v>
      </c>
      <c r="AA35" s="37">
        <v>629400</v>
      </c>
      <c r="AB35" s="37">
        <f t="shared" si="9"/>
        <v>5600</v>
      </c>
      <c r="AC35" s="37">
        <v>3784.9</v>
      </c>
      <c r="AD35" s="37"/>
      <c r="AE35" s="37">
        <f t="shared" si="129"/>
        <v>8300.0000000001819</v>
      </c>
      <c r="AF35" s="37">
        <f>IF(AE35&lt;=0,0,(AE35/SQRT(AE35^2+(AD35-AD34)^2)))</f>
        <v>1</v>
      </c>
      <c r="AG35" s="37">
        <v>8258</v>
      </c>
      <c r="AH35" s="37"/>
      <c r="AI35" s="37">
        <f t="shared" si="11"/>
        <v>17563.700000000365</v>
      </c>
      <c r="AJ35" s="37">
        <f t="shared" si="12"/>
        <v>1</v>
      </c>
      <c r="AK35" s="37">
        <f t="shared" si="13"/>
        <v>34563.700000001641</v>
      </c>
      <c r="AL35" s="42">
        <v>10219.299999999999</v>
      </c>
      <c r="AM35" s="42"/>
      <c r="AN35" s="37">
        <f t="shared" si="59"/>
        <v>6923.6999999990549</v>
      </c>
      <c r="AO35" s="37">
        <f>IF(AN35&lt;=0,0,(AN35/SQRT(AN35^2+(AM35-AM34)^2)))</f>
        <v>1</v>
      </c>
      <c r="AP35" s="37">
        <v>7833.4</v>
      </c>
      <c r="AQ35" s="37"/>
      <c r="AR35" s="37">
        <f t="shared" si="14"/>
        <v>10199.999999999818</v>
      </c>
      <c r="AS35" s="37">
        <f>IF(AR35&lt;=0,0,(AR35/SQRT(AR35^2+(AQ35-AQ34)^2)))</f>
        <v>1</v>
      </c>
      <c r="AT35" s="183"/>
      <c r="AU35" s="183">
        <f t="shared" si="15"/>
        <v>0</v>
      </c>
      <c r="AV35" s="183"/>
      <c r="AW35" s="183">
        <f t="shared" si="16"/>
        <v>0</v>
      </c>
      <c r="AX35" s="37">
        <v>461250</v>
      </c>
      <c r="AY35" s="37"/>
      <c r="AZ35" s="37">
        <f t="shared" si="17"/>
        <v>160</v>
      </c>
      <c r="BA35" s="37">
        <v>112860</v>
      </c>
      <c r="BB35" s="37"/>
      <c r="BC35" s="37">
        <f t="shared" si="18"/>
        <v>70</v>
      </c>
      <c r="BD35" s="37">
        <f>AN35+AR35+AZ35+BC35</f>
        <v>17353.699999998873</v>
      </c>
      <c r="BE35" s="43">
        <v>1772.5</v>
      </c>
      <c r="BF35" s="43">
        <v>870.27</v>
      </c>
      <c r="BG35" s="37">
        <f t="shared" si="19"/>
        <v>2700.0000000000455</v>
      </c>
      <c r="BH35" s="44">
        <v>8377.6</v>
      </c>
      <c r="BI35" s="44">
        <v>5389.5</v>
      </c>
      <c r="BJ35" s="37">
        <f t="shared" si="20"/>
        <v>10399.999999999636</v>
      </c>
      <c r="BK35" s="40">
        <v>1353320</v>
      </c>
      <c r="BL35" s="40">
        <f t="shared" si="102"/>
        <v>3830</v>
      </c>
      <c r="BM35" s="40">
        <v>833.53</v>
      </c>
      <c r="BN35" s="37">
        <f t="shared" si="21"/>
        <v>709.99999999992269</v>
      </c>
      <c r="BO35" s="186"/>
      <c r="BP35" s="183">
        <f t="shared" si="22"/>
        <v>0</v>
      </c>
      <c r="BQ35" s="40">
        <v>790.4</v>
      </c>
      <c r="BR35" s="37">
        <f t="shared" si="60"/>
        <v>699.99999999993179</v>
      </c>
      <c r="BS35" s="37">
        <v>87232.88</v>
      </c>
      <c r="BT35" s="37">
        <f t="shared" si="23"/>
        <v>236.3700000000099</v>
      </c>
      <c r="BU35" s="42">
        <v>2257671</v>
      </c>
      <c r="BV35" s="42"/>
      <c r="BW35" s="37">
        <f t="shared" si="24"/>
        <v>6472</v>
      </c>
      <c r="BX35" s="37">
        <f>IF(BW35&lt;=0,0,(BW35/SQRT(BW35^2+(BV35-BV34)^2)))</f>
        <v>1</v>
      </c>
      <c r="BY35" s="37">
        <v>310.52269999999999</v>
      </c>
      <c r="BZ35" s="37"/>
      <c r="CA35" s="37">
        <f t="shared" si="124"/>
        <v>882.99999999998136</v>
      </c>
      <c r="CB35" s="37">
        <f t="shared" si="61"/>
        <v>1</v>
      </c>
      <c r="CC35" s="37">
        <v>540113.9</v>
      </c>
      <c r="CD35" s="37">
        <f t="shared" si="26"/>
        <v>202.5</v>
      </c>
      <c r="CE35" s="41">
        <v>833782</v>
      </c>
      <c r="CF35" s="37">
        <f t="shared" si="62"/>
        <v>6179</v>
      </c>
      <c r="CG35" s="37">
        <v>69406.3</v>
      </c>
      <c r="CH35" s="37">
        <f t="shared" si="63"/>
        <v>0</v>
      </c>
      <c r="CI35" s="40">
        <v>11697.63</v>
      </c>
      <c r="CJ35" s="40"/>
      <c r="CK35" s="37">
        <f t="shared" si="64"/>
        <v>22750.700000000092</v>
      </c>
      <c r="CL35" s="37">
        <f t="shared" si="27"/>
        <v>1</v>
      </c>
      <c r="CM35" s="37">
        <v>3168.643</v>
      </c>
      <c r="CN35" s="37"/>
      <c r="CO35" s="37">
        <f t="shared" si="28"/>
        <v>11444.700000000223</v>
      </c>
      <c r="CP35" s="37">
        <f>IF(CO35&lt;=0,0,(CO35/SQRT(CO35^2+(CN35-CN34)^2)))</f>
        <v>1</v>
      </c>
      <c r="CQ35" s="39">
        <v>3023.2339999999999</v>
      </c>
      <c r="CR35" s="39"/>
      <c r="CS35" s="37">
        <f>IF((CQ35-CQ34)&lt;=0,0,(CQ35-CQ34))*1000+GX35</f>
        <v>9374.7000000000589</v>
      </c>
      <c r="CT35" s="37">
        <f>IF(CS35&lt;=0,0,(CS35/SQRT(CS35^2+(CR35-CR34)^2)))</f>
        <v>1</v>
      </c>
      <c r="CU35" s="37">
        <v>2675228</v>
      </c>
      <c r="CV35" s="37"/>
      <c r="CW35" s="38">
        <f t="shared" si="30"/>
        <v>875</v>
      </c>
      <c r="CX35" s="37">
        <f t="shared" si="106"/>
        <v>1</v>
      </c>
      <c r="CY35" s="37">
        <v>1376220</v>
      </c>
      <c r="CZ35" s="37"/>
      <c r="DA35" s="37">
        <f t="shared" si="132"/>
        <v>606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3"/>
        <v>-51523.10000000037</v>
      </c>
      <c r="DH35" s="37">
        <f t="shared" si="34"/>
        <v>318263.7000000017</v>
      </c>
      <c r="DI35" s="46"/>
      <c r="DJ35" s="46"/>
      <c r="DK35" s="46"/>
      <c r="DL35" s="47"/>
      <c r="DM35" s="37"/>
      <c r="DN35" s="37"/>
      <c r="DO35" s="37"/>
      <c r="DP35" s="37"/>
      <c r="DQ35" s="50">
        <v>3039900</v>
      </c>
      <c r="DR35" s="49">
        <f t="shared" si="65"/>
        <v>8200</v>
      </c>
      <c r="DS35" s="50">
        <v>2779400</v>
      </c>
      <c r="DT35" s="49">
        <f t="shared" si="66"/>
        <v>13000</v>
      </c>
      <c r="DU35" s="51">
        <v>7749.5</v>
      </c>
      <c r="DV35" s="51">
        <v>4336</v>
      </c>
      <c r="DW35" s="37">
        <f t="shared" si="108"/>
        <v>4600.0000000003638</v>
      </c>
      <c r="DX35" s="52">
        <v>12797</v>
      </c>
      <c r="DY35" s="52">
        <v>8319.7999999999993</v>
      </c>
      <c r="DZ35" s="37">
        <f t="shared" si="35"/>
        <v>7963.7</v>
      </c>
      <c r="EA35" s="49">
        <v>28893</v>
      </c>
      <c r="EB35" s="49">
        <v>20.327999999999999</v>
      </c>
      <c r="EC35" s="37">
        <f t="shared" si="36"/>
        <v>27123.7</v>
      </c>
      <c r="ED35" s="53">
        <f t="shared" si="37"/>
        <v>39687.400000000365</v>
      </c>
      <c r="EE35" s="49">
        <v>44028</v>
      </c>
      <c r="EF35" s="49">
        <v>28.207000000000001</v>
      </c>
      <c r="EG35" s="37">
        <f t="shared" si="38"/>
        <v>26123.7</v>
      </c>
      <c r="EH35" s="51">
        <v>12489</v>
      </c>
      <c r="EI35" s="51">
        <v>1.6786000000000001</v>
      </c>
      <c r="EJ35" s="37">
        <f t="shared" si="39"/>
        <v>10963.7</v>
      </c>
      <c r="EK35" s="37">
        <v>756.11</v>
      </c>
      <c r="EL35" s="40">
        <v>1083.7</v>
      </c>
      <c r="EM35" s="37">
        <f t="shared" si="67"/>
        <v>600.00000000002274</v>
      </c>
      <c r="EN35" s="54">
        <f t="shared" si="68"/>
        <v>37687.400000000023</v>
      </c>
      <c r="EO35" s="55">
        <v>12593</v>
      </c>
      <c r="EP35" s="48">
        <v>4385.1000000000004</v>
      </c>
      <c r="EQ35" s="37">
        <f t="shared" si="69"/>
        <v>10018.700000000008</v>
      </c>
      <c r="ER35" s="48">
        <v>8571.7999999999993</v>
      </c>
      <c r="ES35" s="48">
        <v>3496.6</v>
      </c>
      <c r="ET35" s="49">
        <f t="shared" si="116"/>
        <v>15500</v>
      </c>
      <c r="EU35" s="48">
        <v>3162.1</v>
      </c>
      <c r="EV35" s="48">
        <v>1127.5</v>
      </c>
      <c r="EW35" s="49">
        <f t="shared" si="41"/>
        <v>10563.69999999991</v>
      </c>
      <c r="EX35" s="48">
        <v>12869</v>
      </c>
      <c r="EY35" s="48">
        <v>1.4312</v>
      </c>
      <c r="EZ35" s="37">
        <f t="shared" si="42"/>
        <v>13963.7</v>
      </c>
      <c r="FA35" s="48">
        <f t="shared" si="70"/>
        <v>-27435.099999999919</v>
      </c>
      <c r="FB35" s="48">
        <v>35349673</v>
      </c>
      <c r="FC35" s="49">
        <f t="shared" si="109"/>
        <v>22611</v>
      </c>
      <c r="FD35" s="48">
        <f t="shared" si="71"/>
        <v>51446.100000000006</v>
      </c>
      <c r="FE35" s="48">
        <v>16566</v>
      </c>
      <c r="FF35" s="48">
        <v>5926</v>
      </c>
      <c r="FG35" s="37">
        <f t="shared" si="72"/>
        <v>12627.029999999993</v>
      </c>
      <c r="FH35" s="48">
        <v>7903.2</v>
      </c>
      <c r="FI35" s="48">
        <v>3.0476000000000001</v>
      </c>
      <c r="FJ35" s="49">
        <f t="shared" si="43"/>
        <v>20582.029999999639</v>
      </c>
      <c r="FK35" s="48"/>
      <c r="FL35" s="58">
        <v>-281.67</v>
      </c>
      <c r="FM35" s="48">
        <f t="shared" si="110"/>
        <v>-1963.6966666665437</v>
      </c>
      <c r="FN35" s="48">
        <v>15974</v>
      </c>
      <c r="FO35" s="48">
        <v>0.76280000000000003</v>
      </c>
      <c r="FP35" s="37">
        <f t="shared" si="73"/>
        <v>14682.03</v>
      </c>
      <c r="FQ35" s="48">
        <v>56800</v>
      </c>
      <c r="FR35" s="48">
        <v>13.648</v>
      </c>
      <c r="FS35" s="37">
        <f>IF((FQ35-FQ34)*1000&lt;=0,0,(FQ35-FQ34)*1000)</f>
        <v>42000</v>
      </c>
      <c r="FT35" s="48">
        <f t="shared" si="74"/>
        <v>-5891.0899999996309</v>
      </c>
      <c r="FU35" s="48">
        <f t="shared" si="75"/>
        <v>49391.089999999633</v>
      </c>
      <c r="FV35" s="44">
        <v>3127800</v>
      </c>
      <c r="FW35" s="44">
        <v>1015400</v>
      </c>
      <c r="FX35" s="37">
        <f t="shared" si="45"/>
        <v>20800</v>
      </c>
      <c r="FY35" s="56">
        <v>2982.3</v>
      </c>
      <c r="FZ35" s="56">
        <v>1.7674000000000001</v>
      </c>
      <c r="GA35" s="37">
        <f t="shared" si="46"/>
        <v>4830.0000000001819</v>
      </c>
      <c r="GB35" s="56">
        <v>773.5</v>
      </c>
      <c r="GC35" s="56">
        <v>863.72</v>
      </c>
      <c r="GD35" s="37">
        <f t="shared" si="47"/>
        <v>620.00000000000455</v>
      </c>
      <c r="GE35" s="56">
        <v>9615.7999999999993</v>
      </c>
      <c r="GF35" s="56">
        <v>3.0518999999999998</v>
      </c>
      <c r="GG35" s="37">
        <f t="shared" si="48"/>
        <v>4899.9999999991815</v>
      </c>
      <c r="GH35" s="48">
        <v>1875</v>
      </c>
      <c r="GI35" s="56">
        <v>1593.9</v>
      </c>
      <c r="GJ35" s="38">
        <f t="shared" si="49"/>
        <v>1400.0000000000909</v>
      </c>
      <c r="GK35" s="56">
        <v>1458.5</v>
      </c>
      <c r="GL35" s="44">
        <v>1115.0999999999999</v>
      </c>
      <c r="GM35" s="38">
        <f t="shared" si="50"/>
        <v>1500</v>
      </c>
      <c r="GN35" s="57">
        <v>165660</v>
      </c>
      <c r="GO35" s="57">
        <v>144490</v>
      </c>
      <c r="GP35" s="38">
        <f t="shared" si="114"/>
        <v>10</v>
      </c>
      <c r="GQ35" s="38">
        <v>229690</v>
      </c>
      <c r="GR35" s="38">
        <v>229670</v>
      </c>
      <c r="GS35" s="38">
        <f t="shared" si="76"/>
        <v>970</v>
      </c>
      <c r="GT35" s="178"/>
      <c r="GU35" s="144">
        <f>DailyMar!B34-DailyMar!N34-DailyMar!V34-DailyMar!Y34-DailyMar!Z34-DailyMar!AA34-DailyMar!AB34-DailyMar!AC34-DailyMar!AD34-DailyMar!AE34-DailyMar!AK34-DailyMar!AO34-DailyMar!AS34-DailyMar!AY34-DailyMar!BD34+DailyMar!BU34-SUM(DailyMar!BP34:BS34)-DailyMar!BT34-DailyMar!AF34-DailyMar!AG34-DailyMar!BG34</f>
        <v>1.0000006295740604E-2</v>
      </c>
      <c r="GV35" s="59">
        <v>29455.51</v>
      </c>
      <c r="GW35" s="60">
        <f t="shared" si="51"/>
        <v>1963.7006666666666</v>
      </c>
      <c r="GX35" s="61">
        <v>1963.7</v>
      </c>
      <c r="GY35" s="140"/>
      <c r="GZ35" s="62"/>
      <c r="HA35" s="62"/>
      <c r="HB35" s="74"/>
      <c r="HC35" s="62"/>
      <c r="HD35" s="74"/>
      <c r="HE35" s="24">
        <f t="shared" si="52"/>
        <v>0</v>
      </c>
      <c r="HG35" s="213">
        <v>29</v>
      </c>
      <c r="HH35" s="16">
        <v>4413.1000000000004</v>
      </c>
      <c r="HI35" s="16">
        <v>1727.3</v>
      </c>
      <c r="HJ35" s="16">
        <f t="shared" si="125"/>
        <v>74100.000000000364</v>
      </c>
      <c r="HK35" s="16">
        <v>1.9189000000000001</v>
      </c>
      <c r="HL35" s="16">
        <v>660.93</v>
      </c>
      <c r="HM35" s="16">
        <f t="shared" si="117"/>
        <v>0</v>
      </c>
      <c r="HN35" s="16">
        <v>1150.9000000000001</v>
      </c>
      <c r="HO35" s="16">
        <v>507.29</v>
      </c>
      <c r="HP35" s="16">
        <f>IF((HN35-HN34)&lt;=0,0,(HN35-HN34)*1000)+IC72</f>
        <v>22866.667000000092</v>
      </c>
      <c r="HQ35" s="16">
        <v>1124.2</v>
      </c>
      <c r="HR35" s="16">
        <v>505.52</v>
      </c>
      <c r="HS35" s="16">
        <f t="shared" si="118"/>
        <v>22566.66700000014</v>
      </c>
      <c r="HT35" s="16">
        <v>927.04</v>
      </c>
      <c r="HU35" s="16">
        <v>374.32</v>
      </c>
      <c r="HV35" s="16">
        <f t="shared" si="119"/>
        <v>15666.66699999993</v>
      </c>
      <c r="HW35" s="16"/>
      <c r="HX35" s="16"/>
      <c r="HY35" s="128">
        <f t="shared" si="123"/>
        <v>13000</v>
      </c>
      <c r="HZ35" s="211">
        <f t="shared" si="77"/>
        <v>-9.9999979465792421E-4</v>
      </c>
      <c r="IA35" s="16"/>
      <c r="IB35" s="16"/>
      <c r="IC35" s="16">
        <f t="shared" si="78"/>
        <v>0</v>
      </c>
      <c r="ID35" s="16"/>
      <c r="IE35" s="16"/>
      <c r="IF35" s="16">
        <f t="shared" si="79"/>
        <v>0</v>
      </c>
      <c r="IG35" s="16"/>
      <c r="IH35" s="16"/>
      <c r="II35" s="16">
        <f t="shared" si="133"/>
        <v>0</v>
      </c>
      <c r="IJ35" s="16"/>
      <c r="IK35" s="16"/>
      <c r="IL35" s="16">
        <f t="shared" si="134"/>
        <v>0</v>
      </c>
      <c r="IM35" s="16"/>
      <c r="IN35" s="16"/>
      <c r="IO35" s="16">
        <f t="shared" si="82"/>
        <v>0</v>
      </c>
      <c r="IP35" s="16"/>
      <c r="IQ35" s="16"/>
      <c r="IR35" s="16">
        <f t="shared" si="83"/>
        <v>0</v>
      </c>
      <c r="IS35" s="16"/>
      <c r="IT35" s="16"/>
      <c r="IU35" s="16">
        <f t="shared" si="84"/>
        <v>0</v>
      </c>
      <c r="IV35" s="16"/>
      <c r="IW35" s="16"/>
      <c r="IX35" s="16">
        <f t="shared" si="85"/>
        <v>0</v>
      </c>
      <c r="IY35" s="16"/>
      <c r="IZ35" s="16"/>
      <c r="JA35" s="16">
        <f t="shared" si="86"/>
        <v>0</v>
      </c>
      <c r="JB35" s="16"/>
      <c r="JC35" s="16"/>
      <c r="JD35" s="16">
        <f t="shared" si="87"/>
        <v>0</v>
      </c>
      <c r="JE35" s="16"/>
      <c r="JF35" s="16"/>
      <c r="JG35" s="16">
        <f t="shared" si="88"/>
        <v>0</v>
      </c>
      <c r="JH35" s="16"/>
      <c r="JI35" s="16"/>
      <c r="JJ35" s="16">
        <f t="shared" si="89"/>
        <v>0</v>
      </c>
      <c r="JK35" s="16"/>
      <c r="JL35" s="16"/>
      <c r="JM35" s="16">
        <f t="shared" si="90"/>
        <v>0</v>
      </c>
      <c r="JN35" s="16"/>
      <c r="JO35" s="16"/>
      <c r="JP35" s="16">
        <f t="shared" si="91"/>
        <v>0</v>
      </c>
      <c r="JQ35" s="16"/>
      <c r="JR35" s="16"/>
      <c r="JS35" s="16">
        <f t="shared" si="92"/>
        <v>0</v>
      </c>
      <c r="JT35" s="16"/>
      <c r="JU35" s="16"/>
      <c r="JV35" s="16">
        <f t="shared" si="93"/>
        <v>0</v>
      </c>
      <c r="JX35" s="151">
        <f t="shared" si="94"/>
        <v>-9.9999979465792421E-4</v>
      </c>
    </row>
    <row r="36" spans="1:284" x14ac:dyDescent="0.25">
      <c r="A36" s="35">
        <f t="shared" si="0"/>
        <v>30</v>
      </c>
      <c r="B36" s="38">
        <v>3800.24</v>
      </c>
      <c r="C36" s="38">
        <f t="shared" si="1"/>
        <v>7.2399999999997817</v>
      </c>
      <c r="D36" s="38">
        <f t="shared" si="2"/>
        <v>231679.99999999302</v>
      </c>
      <c r="E36" s="38">
        <v>764.44</v>
      </c>
      <c r="F36" s="38">
        <f t="shared" si="113"/>
        <v>43200.000000000728</v>
      </c>
      <c r="G36" s="38">
        <f t="shared" si="4"/>
        <v>274879.99999999371</v>
      </c>
      <c r="H36" s="37"/>
      <c r="I36" s="39"/>
      <c r="J36" s="42"/>
      <c r="K36" s="37">
        <f>IF(J36&lt;=0,0,(J36/SQRT(J36^2+(I36-I35)^2)))</f>
        <v>0</v>
      </c>
      <c r="L36" s="40">
        <v>11263000</v>
      </c>
      <c r="M36" s="40"/>
      <c r="N36" s="37">
        <f t="shared" si="96"/>
        <v>271000</v>
      </c>
      <c r="O36" s="37">
        <v>10231.6</v>
      </c>
      <c r="P36" s="37"/>
      <c r="Q36" s="37">
        <f t="shared" si="127"/>
        <v>12899.999999999636</v>
      </c>
      <c r="R36" s="37">
        <f>IF(Q36&lt;=0,0,(Q36/SQRT(Q36^2+(P36-P35)^2)))</f>
        <v>1</v>
      </c>
      <c r="S36" s="37">
        <v>11123637.42</v>
      </c>
      <c r="T36" s="37">
        <f t="shared" si="6"/>
        <v>0</v>
      </c>
      <c r="U36" s="37">
        <v>1518173.85</v>
      </c>
      <c r="V36" s="37">
        <f>IF((U36-U35)&lt;=0,0,(U36-U35))</f>
        <v>0</v>
      </c>
      <c r="W36" s="37">
        <v>3590.3</v>
      </c>
      <c r="X36" s="37">
        <f t="shared" si="111"/>
        <v>7899.9999999996362</v>
      </c>
      <c r="Y36" s="183"/>
      <c r="Z36" s="183">
        <f t="shared" si="8"/>
        <v>0</v>
      </c>
      <c r="AA36" s="37">
        <v>634400</v>
      </c>
      <c r="AB36" s="37">
        <f t="shared" si="9"/>
        <v>5000</v>
      </c>
      <c r="AC36" s="37">
        <v>3792.3</v>
      </c>
      <c r="AD36" s="37"/>
      <c r="AE36" s="37">
        <f t="shared" si="129"/>
        <v>7400.0000000000909</v>
      </c>
      <c r="AF36" s="37">
        <f>IF(AE36&lt;=0,0,(AE36/SQRT(AE36^2+(AD36-AD35)^2)))</f>
        <v>1</v>
      </c>
      <c r="AG36" s="37">
        <v>8272.1</v>
      </c>
      <c r="AH36" s="37"/>
      <c r="AI36" s="37">
        <f t="shared" si="11"/>
        <v>14068.660000000364</v>
      </c>
      <c r="AJ36" s="37">
        <f t="shared" si="12"/>
        <v>1</v>
      </c>
      <c r="AK36" s="37">
        <f t="shared" si="13"/>
        <v>29368.660000000091</v>
      </c>
      <c r="AL36" s="42">
        <v>10227.9</v>
      </c>
      <c r="AM36" s="42"/>
      <c r="AN36" s="37">
        <f t="shared" si="59"/>
        <v>4208.6600000003</v>
      </c>
      <c r="AO36" s="37">
        <f>IF(AN36&lt;=0,0,(AN36/SQRT(AN36^2+(AM36-AM35)^2)))</f>
        <v>1</v>
      </c>
      <c r="AP36" s="37">
        <v>7842.6</v>
      </c>
      <c r="AQ36" s="37"/>
      <c r="AR36" s="37">
        <f t="shared" si="14"/>
        <v>9200.0000000007276</v>
      </c>
      <c r="AS36" s="37">
        <f>IF(AR36&lt;=0,0,(AR36/SQRT(AR36^2+(AQ36-AQ35)^2)))</f>
        <v>1</v>
      </c>
      <c r="AT36" s="183"/>
      <c r="AU36" s="183">
        <f t="shared" si="15"/>
        <v>0</v>
      </c>
      <c r="AV36" s="183"/>
      <c r="AW36" s="183">
        <f t="shared" si="16"/>
        <v>0</v>
      </c>
      <c r="AX36" s="37">
        <v>461330</v>
      </c>
      <c r="AY36" s="37"/>
      <c r="AZ36" s="37">
        <f t="shared" si="17"/>
        <v>80</v>
      </c>
      <c r="BA36" s="37">
        <v>112970</v>
      </c>
      <c r="BB36" s="37"/>
      <c r="BC36" s="37">
        <f t="shared" si="18"/>
        <v>110</v>
      </c>
      <c r="BD36" s="37">
        <f>AN36+AR36+AZ36+BC36</f>
        <v>13598.660000001028</v>
      </c>
      <c r="BE36" s="43">
        <v>1775.1</v>
      </c>
      <c r="BF36" s="43">
        <v>871.88</v>
      </c>
      <c r="BG36" s="37">
        <f t="shared" si="19"/>
        <v>2599.9999999999091</v>
      </c>
      <c r="BH36" s="44">
        <v>8387.7999999999993</v>
      </c>
      <c r="BI36" s="44">
        <v>5396.4</v>
      </c>
      <c r="BJ36" s="37">
        <f t="shared" si="20"/>
        <v>10199.999999998909</v>
      </c>
      <c r="BK36" s="40">
        <v>1356750</v>
      </c>
      <c r="BL36" s="40">
        <f t="shared" si="102"/>
        <v>3430</v>
      </c>
      <c r="BM36" s="40">
        <v>834.16</v>
      </c>
      <c r="BN36" s="37">
        <f t="shared" si="21"/>
        <v>629.99999999999545</v>
      </c>
      <c r="BO36" s="186"/>
      <c r="BP36" s="183">
        <f t="shared" si="22"/>
        <v>0</v>
      </c>
      <c r="BQ36" s="40">
        <v>790.7</v>
      </c>
      <c r="BR36" s="37">
        <f t="shared" si="60"/>
        <v>300.00000000006821</v>
      </c>
      <c r="BS36" s="37">
        <v>87445.72</v>
      </c>
      <c r="BT36" s="37">
        <f t="shared" si="23"/>
        <v>212.83999999999651</v>
      </c>
      <c r="BU36" s="42">
        <v>2265618</v>
      </c>
      <c r="BV36" s="42"/>
      <c r="BW36" s="37">
        <f t="shared" si="24"/>
        <v>7947</v>
      </c>
      <c r="BX36" s="37">
        <f>IF(BW36&lt;=0,0,(BW36/SQRT(BW36^2+(BV36-BV35)^2)))</f>
        <v>1</v>
      </c>
      <c r="BY36" s="43">
        <v>311.47800000000001</v>
      </c>
      <c r="BZ36" s="43"/>
      <c r="CA36" s="37">
        <f t="shared" si="124"/>
        <v>955.30000000002246</v>
      </c>
      <c r="CB36" s="37">
        <f t="shared" si="61"/>
        <v>1</v>
      </c>
      <c r="CC36" s="37">
        <v>541749.6</v>
      </c>
      <c r="CD36" s="37">
        <f t="shared" si="26"/>
        <v>1635.6999999999534</v>
      </c>
      <c r="CE36" s="41">
        <v>840068.4</v>
      </c>
      <c r="CF36" s="37">
        <f t="shared" si="62"/>
        <v>6286.4000000000233</v>
      </c>
      <c r="CG36" s="37">
        <v>69406.3</v>
      </c>
      <c r="CH36" s="37">
        <f t="shared" si="63"/>
        <v>0</v>
      </c>
      <c r="CI36" s="40">
        <v>11717.96</v>
      </c>
      <c r="CJ36" s="40"/>
      <c r="CK36" s="37">
        <f t="shared" si="64"/>
        <v>19343.359999999906</v>
      </c>
      <c r="CL36" s="37">
        <f t="shared" si="27"/>
        <v>1</v>
      </c>
      <c r="CM36" s="37">
        <v>3176.9850000000001</v>
      </c>
      <c r="CN36" s="37"/>
      <c r="CO36" s="37">
        <f t="shared" si="28"/>
        <v>8310.6600000000981</v>
      </c>
      <c r="CP36" s="37">
        <f>IF(CO36&lt;=0,0,(CO36/SQRT(CO36^2+(CN36-CN35)^2)))</f>
        <v>1</v>
      </c>
      <c r="CQ36" s="39">
        <v>3029.8960000000002</v>
      </c>
      <c r="CR36" s="39"/>
      <c r="CS36" s="37">
        <f>IF((CQ36-CQ35)&lt;=0,0,(CQ36-CQ35))*1000+GX36</f>
        <v>6630.6600000002618</v>
      </c>
      <c r="CT36" s="37">
        <f>IF(CS36&lt;=0,0,(CS36/SQRT(CS36^2+(CR36-CR35)^2)))</f>
        <v>1</v>
      </c>
      <c r="CU36" s="37">
        <v>2675996</v>
      </c>
      <c r="CV36" s="41"/>
      <c r="CW36" s="38">
        <f t="shared" si="30"/>
        <v>768</v>
      </c>
      <c r="CX36" s="37">
        <f t="shared" si="106"/>
        <v>1</v>
      </c>
      <c r="CY36" s="37">
        <v>1376785</v>
      </c>
      <c r="CZ36" s="37"/>
      <c r="DA36" s="37">
        <f t="shared" si="132"/>
        <v>565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3"/>
        <v>-43564.68000000027</v>
      </c>
      <c r="DH36" s="37">
        <f t="shared" si="34"/>
        <v>302968.65999999997</v>
      </c>
      <c r="DI36" s="46"/>
      <c r="DJ36" s="46"/>
      <c r="DK36" s="47"/>
      <c r="DL36" s="47"/>
      <c r="DM36" s="37"/>
      <c r="DN36" s="37"/>
      <c r="DO36" s="37"/>
      <c r="DP36" s="37"/>
      <c r="DQ36" s="50">
        <v>3044300</v>
      </c>
      <c r="DR36" s="49">
        <f t="shared" si="65"/>
        <v>4400</v>
      </c>
      <c r="DS36" s="50">
        <v>2792500</v>
      </c>
      <c r="DT36" s="49">
        <f t="shared" si="66"/>
        <v>13100</v>
      </c>
      <c r="DU36" s="51">
        <v>7754.2</v>
      </c>
      <c r="DV36" s="51">
        <v>4338.8999999999996</v>
      </c>
      <c r="DW36" s="37">
        <f t="shared" si="108"/>
        <v>4699.9999999998181</v>
      </c>
      <c r="DX36" s="52">
        <v>12803</v>
      </c>
      <c r="DY36" s="52">
        <v>8321</v>
      </c>
      <c r="DZ36" s="37">
        <f t="shared" si="35"/>
        <v>5968.66</v>
      </c>
      <c r="EA36" s="49">
        <v>28918</v>
      </c>
      <c r="EB36" s="49">
        <v>20.34</v>
      </c>
      <c r="EC36" s="37">
        <f t="shared" si="36"/>
        <v>27128.66</v>
      </c>
      <c r="ED36" s="53">
        <f t="shared" si="37"/>
        <v>37797.319999999818</v>
      </c>
      <c r="EE36" s="49">
        <v>44055</v>
      </c>
      <c r="EF36" s="49">
        <v>28.231999999999999</v>
      </c>
      <c r="EG36" s="37">
        <f t="shared" si="38"/>
        <v>29128.66</v>
      </c>
      <c r="EH36" s="51">
        <v>12500</v>
      </c>
      <c r="EI36" s="51">
        <v>1.6807000000000001</v>
      </c>
      <c r="EJ36" s="37">
        <f t="shared" si="39"/>
        <v>10968.66</v>
      </c>
      <c r="EK36" s="37">
        <v>756.9</v>
      </c>
      <c r="EL36" s="40">
        <v>1084.9000000000001</v>
      </c>
      <c r="EM36" s="37">
        <f t="shared" si="67"/>
        <v>789.99999999996362</v>
      </c>
      <c r="EN36" s="54">
        <f t="shared" si="68"/>
        <v>40887.319999999963</v>
      </c>
      <c r="EO36" s="48">
        <v>12601</v>
      </c>
      <c r="EP36" s="48">
        <v>4388.7</v>
      </c>
      <c r="EQ36" s="37">
        <f t="shared" si="69"/>
        <v>6888.6600000000162</v>
      </c>
      <c r="ER36" s="48">
        <v>8589.1</v>
      </c>
      <c r="ES36" s="55">
        <v>3504.1</v>
      </c>
      <c r="ET36" s="49">
        <f t="shared" si="116"/>
        <v>17300.000000001091</v>
      </c>
      <c r="EU36" s="48">
        <v>3170.7</v>
      </c>
      <c r="EV36" s="48">
        <v>1130.4000000000001</v>
      </c>
      <c r="EW36" s="49">
        <f t="shared" si="41"/>
        <v>8568.6599999999089</v>
      </c>
      <c r="EX36" s="48">
        <v>12881</v>
      </c>
      <c r="EY36" s="48">
        <v>1.4352</v>
      </c>
      <c r="EZ36" s="37">
        <f t="shared" si="42"/>
        <v>11968.66</v>
      </c>
      <c r="FA36" s="48">
        <f t="shared" si="70"/>
        <v>-21144.980000001018</v>
      </c>
      <c r="FB36" s="48">
        <v>35373254</v>
      </c>
      <c r="FC36" s="49">
        <f>IF((FB36-FB35)&lt;=0,0,(FB36-FB35))</f>
        <v>23581</v>
      </c>
      <c r="FD36" s="48">
        <f t="shared" si="71"/>
        <v>46325.980000000927</v>
      </c>
      <c r="FE36" s="153">
        <v>16576</v>
      </c>
      <c r="FF36" s="48">
        <v>5929.9</v>
      </c>
      <c r="FG36" s="37">
        <f t="shared" si="72"/>
        <v>11021.989999999983</v>
      </c>
      <c r="FH36" s="48">
        <v>7923.2</v>
      </c>
      <c r="FI36" s="48">
        <v>3.0554000000000001</v>
      </c>
      <c r="FJ36" s="49">
        <f t="shared" si="43"/>
        <v>19941.990000000002</v>
      </c>
      <c r="FK36" s="48"/>
      <c r="FL36" s="58">
        <v>-26.67</v>
      </c>
      <c r="FM36" s="48">
        <f t="shared" si="110"/>
        <v>31.343333333338403</v>
      </c>
      <c r="FN36" s="48">
        <v>15987</v>
      </c>
      <c r="FO36" s="48">
        <v>0.7631</v>
      </c>
      <c r="FP36" s="37">
        <f t="shared" si="73"/>
        <v>12941.99</v>
      </c>
      <c r="FQ36" s="48">
        <v>56844</v>
      </c>
      <c r="FR36" s="48">
        <v>13.66</v>
      </c>
      <c r="FS36" s="37">
        <f>IF((FQ36-FQ35)*1000&lt;=0,0,(FQ36-FQ35)*1000)</f>
        <v>44000</v>
      </c>
      <c r="FT36" s="48">
        <f t="shared" si="74"/>
        <v>94.030000000015207</v>
      </c>
      <c r="FU36" s="48">
        <f t="shared" si="75"/>
        <v>45605.97000000003</v>
      </c>
      <c r="FV36" s="44">
        <v>3146300</v>
      </c>
      <c r="FW36" s="44">
        <v>1021200</v>
      </c>
      <c r="FX36" s="37">
        <f t="shared" si="45"/>
        <v>18500</v>
      </c>
      <c r="FY36" s="56">
        <v>2987.9</v>
      </c>
      <c r="FZ36" s="56">
        <v>1.7726</v>
      </c>
      <c r="GA36" s="37">
        <f t="shared" si="46"/>
        <v>4469.9999999999091</v>
      </c>
      <c r="GB36" s="56">
        <v>774.11</v>
      </c>
      <c r="GC36" s="56">
        <v>864.5</v>
      </c>
      <c r="GD36" s="37">
        <f t="shared" si="47"/>
        <v>610.00000000001364</v>
      </c>
      <c r="GE36" s="56">
        <v>9623.7999999999993</v>
      </c>
      <c r="GF36" s="63">
        <v>3.0571999999999999</v>
      </c>
      <c r="GG36" s="37">
        <f t="shared" si="48"/>
        <v>4700.0000000000455</v>
      </c>
      <c r="GH36" s="48">
        <v>1876.6</v>
      </c>
      <c r="GI36" s="56">
        <v>1595.3</v>
      </c>
      <c r="GJ36" s="38">
        <f t="shared" si="49"/>
        <v>1599.9999999999091</v>
      </c>
      <c r="GK36" s="56">
        <v>1460.2</v>
      </c>
      <c r="GL36" s="44">
        <v>1115.9000000000001</v>
      </c>
      <c r="GM36" s="38">
        <f t="shared" si="50"/>
        <v>1700.0000000000455</v>
      </c>
      <c r="GN36" s="57">
        <v>165660</v>
      </c>
      <c r="GO36" s="57">
        <v>144500</v>
      </c>
      <c r="GP36" s="38">
        <f t="shared" si="114"/>
        <v>0</v>
      </c>
      <c r="GQ36" s="38">
        <v>230820</v>
      </c>
      <c r="GR36" s="38">
        <v>230620</v>
      </c>
      <c r="GS36" s="38">
        <f t="shared" si="76"/>
        <v>1130</v>
      </c>
      <c r="GT36" s="178"/>
      <c r="GU36" s="144">
        <f>DailyMar!B35-DailyMar!N35-DailyMar!V35-DailyMar!Y35-DailyMar!Z35-DailyMar!AA35-DailyMar!AB35-DailyMar!AC35-DailyMar!AD35-DailyMar!AE35-DailyMar!AK35-DailyMar!AO35-DailyMar!AS35-DailyMar!AY35-DailyMar!BD35+DailyMar!BU35-SUM(DailyMar!BP35:BS35)-DailyMar!BT35-DailyMar!AF35-DailyMar!AG35-DailyMar!BG35</f>
        <v>9.9999935046071187E-3</v>
      </c>
      <c r="GV36" s="59">
        <v>-470.09</v>
      </c>
      <c r="GW36" s="60">
        <f t="shared" si="51"/>
        <v>-31.339333333333332</v>
      </c>
      <c r="GX36" s="61">
        <v>-31.34</v>
      </c>
      <c r="GY36" s="140"/>
      <c r="GZ36" s="62"/>
      <c r="HA36" s="62"/>
      <c r="HB36" s="62"/>
      <c r="HC36" s="62"/>
      <c r="HD36" s="74"/>
      <c r="HE36" s="24"/>
      <c r="HG36" s="213">
        <v>30</v>
      </c>
      <c r="HH36" s="16">
        <v>4506.3999999999996</v>
      </c>
      <c r="HI36" s="16">
        <v>1764.3</v>
      </c>
      <c r="HJ36" s="16">
        <f t="shared" si="125"/>
        <v>93299.999999999272</v>
      </c>
      <c r="HK36" s="16">
        <v>1.9189000000000001</v>
      </c>
      <c r="HL36" s="16">
        <v>660.93</v>
      </c>
      <c r="HM36" s="16">
        <f t="shared" si="117"/>
        <v>0</v>
      </c>
      <c r="HN36" s="16">
        <v>1178.5</v>
      </c>
      <c r="HO36" s="16">
        <v>519.51</v>
      </c>
      <c r="HP36" s="16">
        <f t="shared" ref="HP36:HP38" si="135">IF((HN36-HN35)&lt;=0,0,(HN36-HN35)*1000)+IC73</f>
        <v>31359.999999999909</v>
      </c>
      <c r="HQ36" s="16">
        <v>1145.9000000000001</v>
      </c>
      <c r="HR36" s="16">
        <v>514.88</v>
      </c>
      <c r="HS36" s="16">
        <f t="shared" si="118"/>
        <v>25460.000000000044</v>
      </c>
      <c r="HT36" s="16">
        <v>946.66</v>
      </c>
      <c r="HU36" s="16">
        <v>381.86</v>
      </c>
      <c r="HV36" s="16">
        <f t="shared" si="119"/>
        <v>23380.000000000004</v>
      </c>
      <c r="HW36" s="16"/>
      <c r="HX36" s="16"/>
      <c r="HY36" s="128">
        <f t="shared" si="123"/>
        <v>13100</v>
      </c>
      <c r="HZ36" s="211">
        <f t="shared" si="77"/>
        <v>-6.8757799454033375E-10</v>
      </c>
      <c r="IA36" s="16"/>
      <c r="IB36" s="16"/>
      <c r="IC36" s="16">
        <f t="shared" si="78"/>
        <v>0</v>
      </c>
      <c r="ID36" s="16"/>
      <c r="IE36" s="16"/>
      <c r="IF36" s="16">
        <f t="shared" ref="IF36:IF38" si="136">IF((ID36-ID35)&lt;=0,0,(ID36-ID35)*1000)</f>
        <v>0</v>
      </c>
      <c r="IG36" s="16"/>
      <c r="IH36" s="16"/>
      <c r="II36" s="16">
        <f t="shared" si="133"/>
        <v>0</v>
      </c>
      <c r="IJ36" s="16"/>
      <c r="IK36" s="16"/>
      <c r="IL36" s="16">
        <f t="shared" si="134"/>
        <v>0</v>
      </c>
      <c r="IM36" s="16"/>
      <c r="IN36" s="16"/>
      <c r="IO36" s="16">
        <f t="shared" si="82"/>
        <v>0</v>
      </c>
      <c r="IP36" s="16"/>
      <c r="IQ36" s="16"/>
      <c r="IR36" s="16">
        <f t="shared" si="83"/>
        <v>0</v>
      </c>
      <c r="IS36" s="16"/>
      <c r="IT36" s="16"/>
      <c r="IU36" s="16">
        <f t="shared" si="84"/>
        <v>0</v>
      </c>
      <c r="IV36" s="16"/>
      <c r="IW36" s="16"/>
      <c r="IX36" s="16">
        <f t="shared" si="85"/>
        <v>0</v>
      </c>
      <c r="IY36" s="16"/>
      <c r="IZ36" s="16"/>
      <c r="JA36" s="16">
        <f t="shared" si="86"/>
        <v>0</v>
      </c>
      <c r="JB36" s="16"/>
      <c r="JC36" s="16"/>
      <c r="JD36" s="16">
        <f t="shared" si="87"/>
        <v>0</v>
      </c>
      <c r="JE36" s="16"/>
      <c r="JF36" s="16"/>
      <c r="JG36" s="16">
        <f t="shared" si="88"/>
        <v>0</v>
      </c>
      <c r="JH36" s="16"/>
      <c r="JI36" s="16"/>
      <c r="JJ36" s="16">
        <f t="shared" si="89"/>
        <v>0</v>
      </c>
      <c r="JK36" s="16"/>
      <c r="JL36" s="16"/>
      <c r="JM36" s="16">
        <f t="shared" si="90"/>
        <v>0</v>
      </c>
      <c r="JN36" s="16"/>
      <c r="JO36" s="16"/>
      <c r="JP36" s="16">
        <f t="shared" si="91"/>
        <v>0</v>
      </c>
      <c r="JQ36" s="16"/>
      <c r="JR36" s="16"/>
      <c r="JS36" s="16">
        <f t="shared" si="92"/>
        <v>0</v>
      </c>
      <c r="JT36" s="16"/>
      <c r="JU36" s="16"/>
      <c r="JV36" s="16">
        <f t="shared" si="93"/>
        <v>0</v>
      </c>
      <c r="JX36" s="151">
        <f t="shared" si="94"/>
        <v>-6.8757799454033375E-10</v>
      </c>
    </row>
    <row r="37" spans="1:284" x14ac:dyDescent="0.25">
      <c r="A37" s="35">
        <v>31</v>
      </c>
      <c r="B37" s="38">
        <v>3807.76</v>
      </c>
      <c r="C37" s="38">
        <f t="shared" si="1"/>
        <v>7.5200000000004366</v>
      </c>
      <c r="D37" s="38">
        <f t="shared" si="2"/>
        <v>240640.00000001397</v>
      </c>
      <c r="E37" s="38">
        <v>766.06</v>
      </c>
      <c r="F37" s="38">
        <f t="shared" si="113"/>
        <v>51839.999999996508</v>
      </c>
      <c r="G37" s="38">
        <f t="shared" si="4"/>
        <v>292480.00000001048</v>
      </c>
      <c r="H37" s="37"/>
      <c r="I37" s="39"/>
      <c r="J37" s="42"/>
      <c r="K37" s="37">
        <f>IF(J37&lt;=0,0,(J37/SQRT(J37^2+(I37-I36)^2)))</f>
        <v>0</v>
      </c>
      <c r="L37" s="40">
        <v>11292200</v>
      </c>
      <c r="M37" s="40"/>
      <c r="N37" s="37">
        <f t="shared" si="96"/>
        <v>292000</v>
      </c>
      <c r="O37" s="37">
        <v>10245.1</v>
      </c>
      <c r="P37" s="37"/>
      <c r="Q37" s="37">
        <f t="shared" si="127"/>
        <v>13500</v>
      </c>
      <c r="R37" s="37">
        <f>IF(Q37&lt;=0,0,(Q37/SQRT(Q37^2+(P37-P36)^2)))</f>
        <v>1</v>
      </c>
      <c r="S37" s="37">
        <v>11123637.42</v>
      </c>
      <c r="T37" s="37">
        <f t="shared" si="6"/>
        <v>0</v>
      </c>
      <c r="U37" s="37">
        <v>1518173.85</v>
      </c>
      <c r="V37" s="37">
        <f>IF((U37-U36)&lt;=0,0,(U37-U36))</f>
        <v>0</v>
      </c>
      <c r="W37" s="37">
        <v>3597</v>
      </c>
      <c r="X37" s="37">
        <f t="shared" si="111"/>
        <v>8300</v>
      </c>
      <c r="Y37" s="183"/>
      <c r="Z37" s="183">
        <f t="shared" si="8"/>
        <v>0</v>
      </c>
      <c r="AA37" s="37">
        <v>639600</v>
      </c>
      <c r="AB37" s="37">
        <f t="shared" si="9"/>
        <v>5200</v>
      </c>
      <c r="AC37" s="37">
        <v>3800.2</v>
      </c>
      <c r="AD37" s="37"/>
      <c r="AE37" s="37">
        <f t="shared" si="129"/>
        <v>7899.9999999996362</v>
      </c>
      <c r="AF37" s="37">
        <f>IF(AE37&lt;=0,0,(AE37/SQRT(AE37^2+(AD37-AD36)^2)))</f>
        <v>1</v>
      </c>
      <c r="AG37" s="37">
        <v>8287.6</v>
      </c>
      <c r="AH37" s="37"/>
      <c r="AI37" s="37">
        <f t="shared" si="11"/>
        <v>15708.27</v>
      </c>
      <c r="AJ37" s="37">
        <f t="shared" si="12"/>
        <v>1</v>
      </c>
      <c r="AK37" s="37">
        <f t="shared" si="13"/>
        <v>31908.269999999637</v>
      </c>
      <c r="AL37" s="42">
        <v>10237.4</v>
      </c>
      <c r="AM37" s="42"/>
      <c r="AN37" s="37">
        <f t="shared" si="59"/>
        <v>5088.2699999999732</v>
      </c>
      <c r="AO37" s="37">
        <f>IF(AN37&lt;=0,0,(AN37/SQRT(AN37^2+(AM37-AM36)^2)))</f>
        <v>1</v>
      </c>
      <c r="AP37" s="37">
        <v>7852.4</v>
      </c>
      <c r="AQ37" s="37"/>
      <c r="AR37" s="37">
        <f t="shared" si="14"/>
        <v>9799.9999999992724</v>
      </c>
      <c r="AS37" s="37">
        <f>IF(AR37&lt;=0,0,(AR37/SQRT(AR37^2+(AQ37-AQ36)^2)))</f>
        <v>1</v>
      </c>
      <c r="AT37" s="183"/>
      <c r="AU37" s="183">
        <f t="shared" si="15"/>
        <v>0</v>
      </c>
      <c r="AV37" s="183"/>
      <c r="AW37" s="183">
        <f t="shared" si="16"/>
        <v>0</v>
      </c>
      <c r="AX37" s="37">
        <v>461730</v>
      </c>
      <c r="AY37" s="37"/>
      <c r="AZ37" s="37">
        <f t="shared" si="17"/>
        <v>400</v>
      </c>
      <c r="BA37" s="37">
        <v>113540</v>
      </c>
      <c r="BB37" s="37"/>
      <c r="BC37" s="37">
        <f t="shared" si="18"/>
        <v>570</v>
      </c>
      <c r="BD37" s="37">
        <f>AN37+AR37+AZ37+BC37</f>
        <v>15858.269999999246</v>
      </c>
      <c r="BE37" s="43">
        <v>1777.9</v>
      </c>
      <c r="BF37" s="43">
        <v>973.55</v>
      </c>
      <c r="BG37" s="37">
        <f t="shared" si="19"/>
        <v>2800.0000000001819</v>
      </c>
      <c r="BH37" s="44">
        <v>8397.7999999999993</v>
      </c>
      <c r="BI37" s="44">
        <v>5402.8</v>
      </c>
      <c r="BJ37" s="37">
        <f t="shared" si="20"/>
        <v>10000</v>
      </c>
      <c r="BK37" s="40">
        <v>1360400</v>
      </c>
      <c r="BL37" s="40">
        <f t="shared" si="102"/>
        <v>3650</v>
      </c>
      <c r="BM37" s="40">
        <v>834.83</v>
      </c>
      <c r="BN37" s="37">
        <f t="shared" si="21"/>
        <v>670.00000000007276</v>
      </c>
      <c r="BO37" s="186"/>
      <c r="BP37" s="183">
        <f t="shared" si="22"/>
        <v>0</v>
      </c>
      <c r="BQ37" s="40">
        <v>791</v>
      </c>
      <c r="BR37" s="37">
        <f t="shared" si="60"/>
        <v>299.99999999995453</v>
      </c>
      <c r="BS37" s="37">
        <v>87622.5</v>
      </c>
      <c r="BT37" s="37">
        <f t="shared" si="23"/>
        <v>176.77999999999884</v>
      </c>
      <c r="BU37" s="42">
        <v>2274345</v>
      </c>
      <c r="BV37" s="42"/>
      <c r="BW37" s="37">
        <f t="shared" si="24"/>
        <v>8727</v>
      </c>
      <c r="BX37" s="37">
        <f>IF(BW37&lt;=0,0,(BW37/SQRT(BW37^2+(BV37-BV36)^2)))</f>
        <v>1</v>
      </c>
      <c r="BY37" s="43">
        <v>312.42090000000002</v>
      </c>
      <c r="BZ37" s="43"/>
      <c r="CA37" s="37">
        <f t="shared" si="124"/>
        <v>942.90000000000873</v>
      </c>
      <c r="CB37" s="37">
        <f t="shared" si="61"/>
        <v>1</v>
      </c>
      <c r="CC37" s="37">
        <v>543695.1</v>
      </c>
      <c r="CD37" s="37">
        <f t="shared" si="26"/>
        <v>1945.5</v>
      </c>
      <c r="CE37" s="41">
        <v>846793.8</v>
      </c>
      <c r="CF37" s="37">
        <f t="shared" si="62"/>
        <v>6725.4000000000233</v>
      </c>
      <c r="CG37" s="37">
        <v>69406.3</v>
      </c>
      <c r="CH37" s="37">
        <f t="shared" si="63"/>
        <v>0</v>
      </c>
      <c r="CI37" s="40">
        <v>11739.14</v>
      </c>
      <c r="CJ37" s="40"/>
      <c r="CK37" s="37">
        <f t="shared" si="64"/>
        <v>20445.370000000283</v>
      </c>
      <c r="CL37" s="37">
        <f t="shared" si="27"/>
        <v>1</v>
      </c>
      <c r="CM37" s="37">
        <v>3185.3789999999999</v>
      </c>
      <c r="CN37" s="37"/>
      <c r="CO37" s="37">
        <f t="shared" si="28"/>
        <v>8602.2699999997785</v>
      </c>
      <c r="CP37" s="37">
        <f>IF(CO37&lt;=0,0,(CO37/SQRT(CO37^2+(CN37-CN36)^2)))</f>
        <v>1</v>
      </c>
      <c r="CQ37" s="39">
        <v>3036.8290000000002</v>
      </c>
      <c r="CR37" s="39"/>
      <c r="CS37" s="37">
        <f>IF((CQ37-CQ36)&lt;=0,0,(CQ37-CQ36))*1000+GX37</f>
        <v>7141.2699999999932</v>
      </c>
      <c r="CT37" s="37">
        <f>IF(CS37&lt;=0,0,(CS37/SQRT(CS37^2+(CR37-CR36)^2)))</f>
        <v>1</v>
      </c>
      <c r="CU37" s="37">
        <v>2676791</v>
      </c>
      <c r="CV37" s="41"/>
      <c r="CW37" s="38">
        <f t="shared" si="30"/>
        <v>795</v>
      </c>
      <c r="CX37" s="37">
        <f t="shared" si="106"/>
        <v>1</v>
      </c>
      <c r="CY37" s="37">
        <v>1377368</v>
      </c>
      <c r="CZ37" s="37"/>
      <c r="DA37" s="37">
        <f t="shared" si="132"/>
        <v>583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3"/>
        <v>-46293.910000000054</v>
      </c>
      <c r="DH37" s="37">
        <f t="shared" si="34"/>
        <v>326708.26999999979</v>
      </c>
      <c r="DI37" s="46"/>
      <c r="DJ37" s="46"/>
      <c r="DK37" s="47"/>
      <c r="DL37" s="47"/>
      <c r="DM37" s="37"/>
      <c r="DN37" s="37"/>
      <c r="DO37" s="37"/>
      <c r="DP37" s="37"/>
      <c r="DQ37" s="50">
        <v>3048300</v>
      </c>
      <c r="DR37" s="49">
        <f t="shared" si="65"/>
        <v>4000</v>
      </c>
      <c r="DS37" s="50">
        <v>2804000</v>
      </c>
      <c r="DT37" s="49">
        <f t="shared" si="66"/>
        <v>11500</v>
      </c>
      <c r="DU37" s="51">
        <v>7758.8</v>
      </c>
      <c r="DV37" s="51">
        <v>4341.7</v>
      </c>
      <c r="DW37" s="37">
        <f t="shared" si="108"/>
        <v>4600.0000000003638</v>
      </c>
      <c r="DX37" s="52">
        <v>12810</v>
      </c>
      <c r="DY37" s="52">
        <v>8322.7999999999993</v>
      </c>
      <c r="DZ37" s="37">
        <f t="shared" si="35"/>
        <v>7208.27</v>
      </c>
      <c r="EA37" s="49">
        <v>28943</v>
      </c>
      <c r="EB37" s="49">
        <v>20.352</v>
      </c>
      <c r="EC37" s="37">
        <f t="shared" si="36"/>
        <v>27368.27</v>
      </c>
      <c r="ED37" s="53">
        <f t="shared" si="37"/>
        <v>39176.540000000365</v>
      </c>
      <c r="EE37" s="49">
        <v>44082</v>
      </c>
      <c r="EF37" s="49">
        <v>28.257999999999999</v>
      </c>
      <c r="EG37" s="37">
        <f t="shared" si="38"/>
        <v>29368.27</v>
      </c>
      <c r="EH37" s="51">
        <v>12511</v>
      </c>
      <c r="EI37" s="51">
        <v>1.6831</v>
      </c>
      <c r="EJ37" s="37">
        <f t="shared" si="39"/>
        <v>11208.27</v>
      </c>
      <c r="EK37" s="37">
        <v>757.7</v>
      </c>
      <c r="EL37" s="40">
        <v>1086.0999999999999</v>
      </c>
      <c r="EM37" s="37">
        <f t="shared" si="67"/>
        <v>800.00000000006821</v>
      </c>
      <c r="EN37" s="54">
        <f t="shared" si="68"/>
        <v>41376.540000000066</v>
      </c>
      <c r="EO37" s="48">
        <v>12609</v>
      </c>
      <c r="EP37" s="48">
        <v>4392.5</v>
      </c>
      <c r="EQ37" s="37">
        <f t="shared" si="69"/>
        <v>7288.2699999999841</v>
      </c>
      <c r="ER37" s="48">
        <v>8606.7999999999993</v>
      </c>
      <c r="ES37" s="55">
        <v>3511.7</v>
      </c>
      <c r="ET37" s="49">
        <f t="shared" si="116"/>
        <v>17699.999999998909</v>
      </c>
      <c r="EU37" s="48">
        <v>3179.2</v>
      </c>
      <c r="EV37" s="48">
        <v>1133.3</v>
      </c>
      <c r="EW37" s="49">
        <f t="shared" si="41"/>
        <v>8708.27</v>
      </c>
      <c r="EX37" s="48">
        <v>12892</v>
      </c>
      <c r="EY37" s="48">
        <v>1.4392</v>
      </c>
      <c r="EZ37" s="37">
        <f t="shared" si="42"/>
        <v>11208.27</v>
      </c>
      <c r="FA37" s="48">
        <f t="shared" si="70"/>
        <v>-21651.809999998892</v>
      </c>
      <c r="FB37" s="48">
        <v>35396507</v>
      </c>
      <c r="FC37" s="49">
        <f>IF((FB37-FB36)&lt;=0,0,(FB37-FB36))</f>
        <v>23253</v>
      </c>
      <c r="FD37" s="48">
        <f t="shared" si="71"/>
        <v>46504.80999999903</v>
      </c>
      <c r="FE37" s="153">
        <v>16586</v>
      </c>
      <c r="FF37" s="154">
        <v>5933.7</v>
      </c>
      <c r="FG37" s="37">
        <f t="shared" si="72"/>
        <v>11188.270000000017</v>
      </c>
      <c r="FH37" s="48">
        <v>7942.1</v>
      </c>
      <c r="FI37" s="48">
        <v>3.0627</v>
      </c>
      <c r="FJ37" s="49">
        <f t="shared" si="43"/>
        <v>19168.270000000546</v>
      </c>
      <c r="FK37" s="48"/>
      <c r="FL37" s="58">
        <v>60</v>
      </c>
      <c r="FM37" s="48">
        <f t="shared" si="110"/>
        <v>-208.27000000018839</v>
      </c>
      <c r="FN37" s="48">
        <v>16000</v>
      </c>
      <c r="FO37" s="48">
        <v>0.76319999999999999</v>
      </c>
      <c r="FP37" s="37">
        <f t="shared" si="73"/>
        <v>13268.27</v>
      </c>
      <c r="FQ37" s="48">
        <v>56887</v>
      </c>
      <c r="FR37" s="48">
        <v>13.672000000000001</v>
      </c>
      <c r="FS37" s="37">
        <f>IF((FQ37-FQ36)*1000&lt;=0,0,(FQ37-FQ36)*1000)</f>
        <v>43000</v>
      </c>
      <c r="FT37" s="48">
        <f t="shared" si="74"/>
        <v>-624.8100000005652</v>
      </c>
      <c r="FU37" s="48">
        <f t="shared" si="75"/>
        <v>45424.810000000522</v>
      </c>
      <c r="FV37" s="44">
        <v>3167600</v>
      </c>
      <c r="FW37" s="44">
        <v>1028000</v>
      </c>
      <c r="FX37" s="37">
        <f t="shared" si="45"/>
        <v>21300</v>
      </c>
      <c r="FY37" s="56">
        <v>2993.5</v>
      </c>
      <c r="FZ37" s="56">
        <v>1.7783</v>
      </c>
      <c r="GA37" s="37">
        <f t="shared" si="46"/>
        <v>4569.9999999999091</v>
      </c>
      <c r="GB37" s="56">
        <v>774.87</v>
      </c>
      <c r="GC37" s="56">
        <v>865.55</v>
      </c>
      <c r="GD37" s="37">
        <f t="shared" si="47"/>
        <v>759.99999999999091</v>
      </c>
      <c r="GE37" s="56">
        <v>9631.9</v>
      </c>
      <c r="GF37" s="63">
        <v>3.0627</v>
      </c>
      <c r="GG37" s="37">
        <f t="shared" si="48"/>
        <v>4700.0000000002728</v>
      </c>
      <c r="GH37" s="48">
        <v>1878.2</v>
      </c>
      <c r="GI37" s="56">
        <v>1596.9</v>
      </c>
      <c r="GJ37" s="38">
        <f t="shared" si="49"/>
        <v>1600.0000000001364</v>
      </c>
      <c r="GK37" s="56">
        <v>1462</v>
      </c>
      <c r="GL37" s="44">
        <v>1116.7</v>
      </c>
      <c r="GM37" s="38">
        <f t="shared" si="50"/>
        <v>1799.9999999999545</v>
      </c>
      <c r="GN37" s="57">
        <v>165660</v>
      </c>
      <c r="GO37" s="57">
        <v>144500</v>
      </c>
      <c r="GP37" s="38">
        <f t="shared" si="114"/>
        <v>0</v>
      </c>
      <c r="GQ37" s="38">
        <v>231850</v>
      </c>
      <c r="GR37" s="38">
        <v>231520</v>
      </c>
      <c r="GS37" s="38">
        <f t="shared" si="76"/>
        <v>1030</v>
      </c>
      <c r="GT37" s="178"/>
      <c r="GU37" s="144">
        <f>DailyMar!B36-DailyMar!N36-DailyMar!V36-DailyMar!Y36-DailyMar!Z36-DailyMar!AA36-DailyMar!AB36-DailyMar!AC36-DailyMar!AD36-DailyMar!AE36-DailyMar!AK36-DailyMar!AO36-DailyMar!AS36-DailyMar!AY36-DailyMar!BD36+DailyMar!BU36-SUM(DailyMar!BP36:BS36)-DailyMar!BT36-DailyMar!AF36-DailyMar!AG36-DailyMar!BG36</f>
        <v>5.0000011018710211E-2</v>
      </c>
      <c r="GV37" s="59">
        <v>3124.1</v>
      </c>
      <c r="GW37" s="60">
        <f t="shared" si="51"/>
        <v>208.27333333333334</v>
      </c>
      <c r="GX37" s="61">
        <v>208.27</v>
      </c>
      <c r="GY37" s="140"/>
      <c r="GZ37" s="62"/>
      <c r="HA37" s="62"/>
      <c r="HB37" s="62"/>
      <c r="HC37" s="62"/>
      <c r="HD37" s="74"/>
      <c r="HE37" s="24"/>
      <c r="HG37" s="213">
        <v>31</v>
      </c>
      <c r="HH37" s="16">
        <v>4605.2</v>
      </c>
      <c r="HI37" s="16">
        <v>1802.8</v>
      </c>
      <c r="HJ37" s="16">
        <f t="shared" si="125"/>
        <v>98800.000000000175</v>
      </c>
      <c r="HK37" s="16">
        <v>1.9189000000000001</v>
      </c>
      <c r="HL37" s="16">
        <v>660.93</v>
      </c>
      <c r="HM37" s="16">
        <f t="shared" si="117"/>
        <v>0</v>
      </c>
      <c r="HN37" s="16">
        <v>1208.5</v>
      </c>
      <c r="HO37" s="16">
        <v>532.51</v>
      </c>
      <c r="HP37" s="16">
        <f t="shared" si="135"/>
        <v>35110</v>
      </c>
      <c r="HQ37" s="16">
        <v>1167.5</v>
      </c>
      <c r="HR37" s="16">
        <v>523.55999999999995</v>
      </c>
      <c r="HS37" s="16">
        <f t="shared" si="118"/>
        <v>26709.999999999909</v>
      </c>
      <c r="HT37" s="16">
        <v>967.03</v>
      </c>
      <c r="HU37" s="16">
        <v>389.73</v>
      </c>
      <c r="HV37" s="16">
        <f t="shared" si="119"/>
        <v>25480.000000000004</v>
      </c>
      <c r="HW37" s="16"/>
      <c r="HX37" s="16"/>
      <c r="HY37" s="128">
        <f t="shared" si="123"/>
        <v>11500</v>
      </c>
      <c r="HZ37" s="211">
        <f t="shared" si="77"/>
        <v>2.5829649530351162E-10</v>
      </c>
      <c r="IA37" s="16"/>
      <c r="IB37" s="16"/>
      <c r="IC37" s="16">
        <f t="shared" si="78"/>
        <v>0</v>
      </c>
      <c r="ID37" s="16"/>
      <c r="IE37" s="16"/>
      <c r="IF37" s="16">
        <f t="shared" si="136"/>
        <v>0</v>
      </c>
      <c r="IG37" s="16"/>
      <c r="IH37" s="16"/>
      <c r="II37" s="16">
        <f t="shared" si="133"/>
        <v>0</v>
      </c>
      <c r="IJ37" s="16"/>
      <c r="IK37" s="16"/>
      <c r="IL37" s="16">
        <f t="shared" si="134"/>
        <v>0</v>
      </c>
      <c r="IM37" s="16"/>
      <c r="IN37" s="16"/>
      <c r="IO37" s="16">
        <f t="shared" si="82"/>
        <v>0</v>
      </c>
      <c r="IP37" s="16"/>
      <c r="IQ37" s="16"/>
      <c r="IR37" s="16">
        <f t="shared" si="83"/>
        <v>0</v>
      </c>
      <c r="IS37" s="16"/>
      <c r="IT37" s="16"/>
      <c r="IU37" s="16">
        <f t="shared" si="84"/>
        <v>0</v>
      </c>
      <c r="IV37" s="16"/>
      <c r="IW37" s="16"/>
      <c r="IX37" s="16">
        <f t="shared" si="85"/>
        <v>0</v>
      </c>
      <c r="IY37" s="16"/>
      <c r="IZ37" s="16"/>
      <c r="JA37" s="16">
        <f t="shared" si="86"/>
        <v>0</v>
      </c>
      <c r="JB37" s="16"/>
      <c r="JC37" s="16"/>
      <c r="JD37" s="16">
        <f t="shared" si="87"/>
        <v>0</v>
      </c>
      <c r="JE37" s="16"/>
      <c r="JF37" s="16"/>
      <c r="JG37" s="16">
        <f t="shared" si="88"/>
        <v>0</v>
      </c>
      <c r="JH37" s="16"/>
      <c r="JI37" s="16"/>
      <c r="JJ37" s="16">
        <f t="shared" si="89"/>
        <v>0</v>
      </c>
      <c r="JK37" s="16"/>
      <c r="JL37" s="16"/>
      <c r="JM37" s="16">
        <f t="shared" si="90"/>
        <v>0</v>
      </c>
      <c r="JN37" s="16"/>
      <c r="JO37" s="16"/>
      <c r="JP37" s="16">
        <f t="shared" si="91"/>
        <v>0</v>
      </c>
      <c r="JQ37" s="16"/>
      <c r="JR37" s="16"/>
      <c r="JS37" s="16">
        <f t="shared" si="92"/>
        <v>0</v>
      </c>
      <c r="JT37" s="16"/>
      <c r="JU37" s="16"/>
      <c r="JV37" s="16">
        <f t="shared" si="93"/>
        <v>0</v>
      </c>
      <c r="JX37" s="151">
        <f t="shared" si="94"/>
        <v>2.5829649530351162E-10</v>
      </c>
    </row>
    <row r="38" spans="1:284" ht="15.75" thickBot="1" x14ac:dyDescent="0.3">
      <c r="A38" s="35">
        <v>1</v>
      </c>
      <c r="B38" s="38">
        <v>3815.13</v>
      </c>
      <c r="C38" s="38">
        <f t="shared" si="1"/>
        <v>7.3699999999998909</v>
      </c>
      <c r="D38" s="38">
        <f t="shared" si="2"/>
        <v>235839.99999999651</v>
      </c>
      <c r="E38" s="38">
        <v>767.56</v>
      </c>
      <c r="F38" s="38">
        <f t="shared" si="113"/>
        <v>48000</v>
      </c>
      <c r="G38" s="38">
        <f t="shared" si="4"/>
        <v>283839.99999999651</v>
      </c>
      <c r="H38" s="37"/>
      <c r="I38" s="39"/>
      <c r="J38" s="42"/>
      <c r="K38" s="37">
        <f>IF(J38&lt;=0,0,(J38/SQRT(J38^2+(I38-I37)^2)))</f>
        <v>0</v>
      </c>
      <c r="L38" s="40">
        <v>11321000</v>
      </c>
      <c r="M38" s="40"/>
      <c r="N38" s="37">
        <f t="shared" si="96"/>
        <v>288000</v>
      </c>
      <c r="O38" s="37">
        <v>10259</v>
      </c>
      <c r="P38" s="37"/>
      <c r="Q38" s="37">
        <f t="shared" si="127"/>
        <v>13899.999999999636</v>
      </c>
      <c r="R38" s="37">
        <f>IF(Q38&lt;=0,0,(Q38/SQRT(Q38^2+(P38-P37)^2)))</f>
        <v>1</v>
      </c>
      <c r="S38" s="37">
        <v>11123637.42</v>
      </c>
      <c r="T38" s="37">
        <f t="shared" si="6"/>
        <v>0</v>
      </c>
      <c r="U38" s="37">
        <v>1518173.85</v>
      </c>
      <c r="V38" s="37">
        <f>IF((U38-U37)&lt;=0,0,(U38-U37))</f>
        <v>0</v>
      </c>
      <c r="W38" s="37">
        <v>3603.7</v>
      </c>
      <c r="X38" s="37">
        <f t="shared" si="111"/>
        <v>8589.9999999996362</v>
      </c>
      <c r="Y38" s="183"/>
      <c r="Z38" s="183">
        <f t="shared" si="8"/>
        <v>0</v>
      </c>
      <c r="AA38" s="37">
        <v>644910</v>
      </c>
      <c r="AB38" s="37">
        <f t="shared" si="9"/>
        <v>5310</v>
      </c>
      <c r="AC38" s="37">
        <v>3808.3</v>
      </c>
      <c r="AD38" s="37"/>
      <c r="AE38" s="37">
        <f t="shared" si="129"/>
        <v>8100.0000000003638</v>
      </c>
      <c r="AF38" s="37">
        <f>IF(AE38&lt;=0,0,(AE38/SQRT(AE38^2+(AD38-AD37)^2)))</f>
        <v>1</v>
      </c>
      <c r="AG38" s="37">
        <v>8303.1</v>
      </c>
      <c r="AH38" s="37"/>
      <c r="AI38" s="37">
        <f t="shared" si="11"/>
        <v>14817.97</v>
      </c>
      <c r="AJ38" s="37">
        <f t="shared" si="12"/>
        <v>1</v>
      </c>
      <c r="AK38" s="37">
        <f t="shared" si="13"/>
        <v>31507.97</v>
      </c>
      <c r="AL38" s="42">
        <v>10247</v>
      </c>
      <c r="AM38" s="42"/>
      <c r="AN38" s="37">
        <f t="shared" si="59"/>
        <v>4257.9700000004405</v>
      </c>
      <c r="AO38" s="37">
        <f>IF(AN38&lt;=0,0,(AN38/SQRT(AN38^2+(AM38-AM37)^2)))</f>
        <v>1</v>
      </c>
      <c r="AP38" s="37">
        <v>7866.24</v>
      </c>
      <c r="AQ38" s="37"/>
      <c r="AR38" s="37">
        <f t="shared" si="14"/>
        <v>13840.000000000146</v>
      </c>
      <c r="AS38" s="37">
        <f>IF(AR38&lt;=0,0,(AR38/SQRT(AR38^2+(AQ38-AQ37)^2)))</f>
        <v>1</v>
      </c>
      <c r="AT38" s="183"/>
      <c r="AU38" s="183">
        <f t="shared" si="15"/>
        <v>0</v>
      </c>
      <c r="AV38" s="183"/>
      <c r="AW38" s="183">
        <f t="shared" si="16"/>
        <v>0</v>
      </c>
      <c r="AX38" s="37">
        <v>462122.28</v>
      </c>
      <c r="AY38" s="37"/>
      <c r="AZ38" s="37">
        <f t="shared" si="17"/>
        <v>392.28000000002794</v>
      </c>
      <c r="BA38" s="37">
        <v>114108.06</v>
      </c>
      <c r="BB38" s="37"/>
      <c r="BC38" s="37">
        <f t="shared" si="18"/>
        <v>568.05999999999767</v>
      </c>
      <c r="BD38" s="37">
        <f>AN38+AR38+AZ38+BC38</f>
        <v>19058.310000000612</v>
      </c>
      <c r="BE38" s="43">
        <v>1780.3</v>
      </c>
      <c r="BF38" s="43">
        <v>974.99</v>
      </c>
      <c r="BG38" s="37">
        <f t="shared" si="19"/>
        <v>2399.9999999998636</v>
      </c>
      <c r="BH38" s="44">
        <v>8407.6</v>
      </c>
      <c r="BI38" s="44">
        <v>5409.2</v>
      </c>
      <c r="BJ38" s="37">
        <f t="shared" si="20"/>
        <v>9800.0000000010914</v>
      </c>
      <c r="BK38" s="40">
        <v>1364100</v>
      </c>
      <c r="BL38" s="40">
        <f t="shared" si="102"/>
        <v>3700</v>
      </c>
      <c r="BM38" s="40">
        <v>835.51</v>
      </c>
      <c r="BN38" s="37">
        <f t="shared" si="21"/>
        <v>679.99999999994998</v>
      </c>
      <c r="BO38" s="186"/>
      <c r="BP38" s="183">
        <f t="shared" si="22"/>
        <v>0</v>
      </c>
      <c r="BQ38" s="40">
        <v>791.28</v>
      </c>
      <c r="BR38" s="37">
        <f t="shared" si="60"/>
        <v>279.99999999997272</v>
      </c>
      <c r="BS38" s="37">
        <v>87836.17</v>
      </c>
      <c r="BT38" s="37">
        <f t="shared" si="23"/>
        <v>213.66999999999825</v>
      </c>
      <c r="BU38" s="42">
        <v>2283600</v>
      </c>
      <c r="BV38" s="42"/>
      <c r="BW38" s="37">
        <f t="shared" si="24"/>
        <v>9255</v>
      </c>
      <c r="BX38" s="37">
        <f>IF(BW38&lt;=0,0,(BW38/SQRT(BW38^2+(BV38-BV37)^2)))</f>
        <v>1</v>
      </c>
      <c r="BY38" s="43">
        <v>313.32</v>
      </c>
      <c r="BZ38" s="43"/>
      <c r="CA38" s="37">
        <f t="shared" si="124"/>
        <v>899.09999999997581</v>
      </c>
      <c r="CB38" s="37">
        <f t="shared" si="61"/>
        <v>1</v>
      </c>
      <c r="CC38" s="37">
        <v>545650</v>
      </c>
      <c r="CD38" s="37">
        <f t="shared" si="26"/>
        <v>1954.9000000000233</v>
      </c>
      <c r="CE38" s="41">
        <v>854080</v>
      </c>
      <c r="CF38" s="37">
        <f t="shared" si="62"/>
        <v>7286.1999999999534</v>
      </c>
      <c r="CG38" s="37">
        <v>69406.3</v>
      </c>
      <c r="CH38" s="37">
        <f t="shared" si="63"/>
        <v>0</v>
      </c>
      <c r="CI38" s="40">
        <v>11761</v>
      </c>
      <c r="CJ38" s="40"/>
      <c r="CK38" s="37">
        <f t="shared" si="64"/>
        <v>20278.870000000607</v>
      </c>
      <c r="CL38" s="37">
        <f t="shared" si="27"/>
        <v>1</v>
      </c>
      <c r="CM38" s="37">
        <v>3193.9</v>
      </c>
      <c r="CN38" s="37"/>
      <c r="CO38" s="37">
        <f t="shared" si="28"/>
        <v>7838.9700000001858</v>
      </c>
      <c r="CP38" s="37">
        <f>IF(CO38&lt;=0,0,(CO38/SQRT(CO38^2+(CN38-CN37)^2)))</f>
        <v>1</v>
      </c>
      <c r="CQ38" s="39">
        <v>3043.8</v>
      </c>
      <c r="CR38" s="39"/>
      <c r="CS38" s="37">
        <f>IF((CQ38-CQ37)&lt;=0,0,(CQ38-CQ37))*1000+GX38</f>
        <v>6288.9700000000039</v>
      </c>
      <c r="CT38" s="37">
        <f>IF(CS38&lt;=0,0,(CS38/SQRT(CS38^2+(CR38-CR37)^2)))</f>
        <v>1</v>
      </c>
      <c r="CU38" s="37">
        <f>2677600+1000</f>
        <v>2678600</v>
      </c>
      <c r="CV38" s="41"/>
      <c r="CW38" s="38">
        <f t="shared" si="30"/>
        <v>1809</v>
      </c>
      <c r="CX38" s="37">
        <f t="shared" si="106"/>
        <v>1</v>
      </c>
      <c r="CY38" s="37">
        <f>1378000+2291</f>
        <v>1380291</v>
      </c>
      <c r="CZ38" s="37"/>
      <c r="DA38" s="37">
        <f t="shared" si="132"/>
        <v>2923</v>
      </c>
      <c r="DB38" s="37">
        <f>IF(DA38&lt;=0,0,(DA38/SQRT(DA38^2+(CZ38-CZ37)^2)))</f>
        <v>1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3"/>
        <v>-48393.810000000798</v>
      </c>
      <c r="DH38" s="37">
        <f t="shared" si="34"/>
        <v>321907.96999999986</v>
      </c>
      <c r="DI38" s="46"/>
      <c r="DJ38" s="46"/>
      <c r="DK38" s="47"/>
      <c r="DL38" s="47"/>
      <c r="DM38" s="37"/>
      <c r="DN38" s="37"/>
      <c r="DO38" s="37"/>
      <c r="DP38" s="37"/>
      <c r="DQ38" s="50">
        <v>3051400</v>
      </c>
      <c r="DR38" s="49">
        <f t="shared" si="65"/>
        <v>3100</v>
      </c>
      <c r="DS38" s="50">
        <v>2806200</v>
      </c>
      <c r="DT38" s="49">
        <f t="shared" si="66"/>
        <v>2200</v>
      </c>
      <c r="DU38" s="51">
        <v>7763.5</v>
      </c>
      <c r="DV38" s="51">
        <v>4344.6000000000004</v>
      </c>
      <c r="DW38" s="37">
        <f t="shared" si="108"/>
        <v>4699.9999999998181</v>
      </c>
      <c r="DX38" s="52">
        <v>12816</v>
      </c>
      <c r="DY38" s="52">
        <v>8323.9</v>
      </c>
      <c r="DZ38" s="37">
        <f t="shared" si="35"/>
        <v>5317.97</v>
      </c>
      <c r="EA38" s="49">
        <v>28967</v>
      </c>
      <c r="EB38" s="49">
        <v>20.364999999999998</v>
      </c>
      <c r="EC38" s="37">
        <f t="shared" si="36"/>
        <v>25477.97</v>
      </c>
      <c r="ED38" s="53">
        <f t="shared" si="37"/>
        <v>35495.93999999982</v>
      </c>
      <c r="EE38" s="49">
        <v>44114</v>
      </c>
      <c r="EF38" s="49">
        <v>28.283999999999999</v>
      </c>
      <c r="EG38" s="37">
        <f t="shared" si="38"/>
        <v>33477.97</v>
      </c>
      <c r="EH38" s="51">
        <v>12521</v>
      </c>
      <c r="EI38" s="51">
        <v>1.6847000000000001</v>
      </c>
      <c r="EJ38" s="37">
        <f t="shared" si="39"/>
        <v>9317.9699999999993</v>
      </c>
      <c r="EK38" s="37">
        <v>758.4</v>
      </c>
      <c r="EL38" s="40">
        <v>1087</v>
      </c>
      <c r="EM38" s="37">
        <f t="shared" si="67"/>
        <v>699.99999999993179</v>
      </c>
      <c r="EN38" s="54">
        <f t="shared" si="68"/>
        <v>43495.939999999937</v>
      </c>
      <c r="EO38" s="48">
        <v>12617</v>
      </c>
      <c r="EP38" s="48">
        <v>4396.2</v>
      </c>
      <c r="EQ38" s="37">
        <f t="shared" si="69"/>
        <v>6232.9699999999639</v>
      </c>
      <c r="ER38" s="48">
        <v>8624.6</v>
      </c>
      <c r="ES38" s="55">
        <v>3519.5</v>
      </c>
      <c r="ET38" s="49">
        <f t="shared" si="116"/>
        <v>17800.000000001091</v>
      </c>
      <c r="EU38" s="48">
        <v>3187.9</v>
      </c>
      <c r="EV38" s="48">
        <v>1136.2</v>
      </c>
      <c r="EW38" s="49">
        <f t="shared" si="41"/>
        <v>8017.9700000002731</v>
      </c>
      <c r="EX38" s="48">
        <v>12904</v>
      </c>
      <c r="EY38" s="48">
        <v>1.4434</v>
      </c>
      <c r="EZ38" s="37">
        <f t="shared" si="42"/>
        <v>11317.97</v>
      </c>
      <c r="FA38" s="48">
        <f t="shared" si="70"/>
        <v>-19283.910000001328</v>
      </c>
      <c r="FB38" s="48">
        <v>35420592</v>
      </c>
      <c r="FC38" s="49">
        <f>IF((FB38-FB37)&lt;=0,0,(FB38-FB37))</f>
        <v>24085</v>
      </c>
      <c r="FD38" s="48">
        <f t="shared" si="71"/>
        <v>45068.910000001371</v>
      </c>
      <c r="FE38" s="153">
        <v>16596</v>
      </c>
      <c r="FF38" s="154">
        <v>5937.6</v>
      </c>
      <c r="FG38" s="37">
        <f t="shared" si="72"/>
        <v>9874.6400000000358</v>
      </c>
      <c r="FH38" s="48">
        <v>7960.6</v>
      </c>
      <c r="FI38" s="48">
        <v>3.0697999999999999</v>
      </c>
      <c r="FJ38" s="49">
        <f t="shared" si="43"/>
        <v>17289.64</v>
      </c>
      <c r="FK38" s="48"/>
      <c r="FL38" s="58">
        <v>-528.33000000000004</v>
      </c>
      <c r="FM38" s="48">
        <f t="shared" si="110"/>
        <v>682.02666666665516</v>
      </c>
      <c r="FN38" s="48">
        <v>16014</v>
      </c>
      <c r="FO38" s="48">
        <v>0.76349999999999996</v>
      </c>
      <c r="FP38" s="37">
        <f t="shared" si="73"/>
        <v>12789.64</v>
      </c>
      <c r="FQ38" s="48">
        <v>56929</v>
      </c>
      <c r="FR38" s="48">
        <v>13.683</v>
      </c>
      <c r="FS38" s="37">
        <f>IF((FQ38-FQ37)*1000&lt;=0,0,(FQ38-FQ37)*1000)</f>
        <v>42000</v>
      </c>
      <c r="FT38" s="48">
        <f t="shared" si="74"/>
        <v>2046.0799999999654</v>
      </c>
      <c r="FU38" s="48">
        <f t="shared" si="75"/>
        <v>41653.920000000078</v>
      </c>
      <c r="FV38" s="44">
        <v>3189600</v>
      </c>
      <c r="FW38" s="44">
        <v>1034900</v>
      </c>
      <c r="FX38" s="37">
        <f t="shared" si="45"/>
        <v>22000</v>
      </c>
      <c r="FY38" s="56">
        <v>2999.4</v>
      </c>
      <c r="FZ38" s="56">
        <v>1.7842</v>
      </c>
      <c r="GA38" s="37">
        <f t="shared" si="46"/>
        <v>4800.0000000000909</v>
      </c>
      <c r="GB38" s="56">
        <v>775.5</v>
      </c>
      <c r="GC38" s="56">
        <v>866.37</v>
      </c>
      <c r="GD38" s="37">
        <f t="shared" si="47"/>
        <v>629.99999999999545</v>
      </c>
      <c r="GE38" s="56">
        <v>9640.2999999999993</v>
      </c>
      <c r="GF38" s="63">
        <v>3.0682999999999998</v>
      </c>
      <c r="GG38" s="37">
        <f t="shared" si="48"/>
        <v>4999.9999999995453</v>
      </c>
      <c r="GH38" s="48">
        <v>1879.9</v>
      </c>
      <c r="GI38" s="56">
        <v>1598.4</v>
      </c>
      <c r="GJ38" s="38">
        <f t="shared" si="49"/>
        <v>1700.0000000000455</v>
      </c>
      <c r="GK38" s="56">
        <v>1463.7</v>
      </c>
      <c r="GL38" s="44">
        <v>1117.5999999999999</v>
      </c>
      <c r="GM38" s="38">
        <f t="shared" si="50"/>
        <v>1700.0000000000455</v>
      </c>
      <c r="GN38" s="57">
        <v>165670</v>
      </c>
      <c r="GO38" s="57">
        <v>144510</v>
      </c>
      <c r="GP38" s="38">
        <f t="shared" si="114"/>
        <v>10</v>
      </c>
      <c r="GQ38" s="38">
        <v>232950</v>
      </c>
      <c r="GR38" s="38">
        <v>232460</v>
      </c>
      <c r="GS38" s="38">
        <f t="shared" si="76"/>
        <v>1100</v>
      </c>
      <c r="GT38" s="178"/>
      <c r="GU38" s="144">
        <f>DailyMar!B37-DailyMar!N37-DailyMar!V37-DailyMar!Y37-DailyMar!Z37-DailyMar!AA37-DailyMar!AB37-DailyMar!AC37-DailyMar!AD37-DailyMar!AE37-DailyMar!AK37-DailyMar!AO37-DailyMar!AS37-DailyMar!AY37-DailyMar!BD37+DailyMar!BU37-SUM(DailyMar!BP37:BS37)-DailyMar!BT37-DailyMar!AF37-DailyMar!AG37-DailyMar!BG37</f>
        <v>-6.9121597334742546E-9</v>
      </c>
      <c r="GV38" s="59">
        <v>-10230.450000000001</v>
      </c>
      <c r="GW38" s="60">
        <f t="shared" si="51"/>
        <v>-682.03000000000009</v>
      </c>
      <c r="GX38" s="61">
        <v>-682.03</v>
      </c>
      <c r="GY38" s="140"/>
      <c r="GZ38" s="74"/>
      <c r="HA38" s="62"/>
      <c r="HB38" s="62"/>
      <c r="HC38" s="74"/>
      <c r="HD38" s="74"/>
      <c r="HE38" s="24"/>
      <c r="HG38" s="213">
        <v>1</v>
      </c>
      <c r="HH38" s="16">
        <v>4700.3</v>
      </c>
      <c r="HI38" s="16">
        <v>1841.1</v>
      </c>
      <c r="HJ38" s="16">
        <f t="shared" si="125"/>
        <v>95100.000000000364</v>
      </c>
      <c r="HK38" s="16">
        <v>1.9189000000000001</v>
      </c>
      <c r="HL38" s="16">
        <v>660.93</v>
      </c>
      <c r="HM38" s="16">
        <f t="shared" si="117"/>
        <v>0</v>
      </c>
      <c r="HN38" s="16">
        <v>1241.2</v>
      </c>
      <c r="HO38" s="16">
        <v>546.64</v>
      </c>
      <c r="HP38" s="16">
        <f t="shared" si="135"/>
        <v>38770.000000000044</v>
      </c>
      <c r="HQ38" s="16">
        <v>1188.2</v>
      </c>
      <c r="HR38" s="16">
        <v>532.62</v>
      </c>
      <c r="HS38" s="16">
        <f t="shared" si="118"/>
        <v>26770.000000000044</v>
      </c>
      <c r="HT38" s="16">
        <v>988.32</v>
      </c>
      <c r="HU38" s="16">
        <v>397.82</v>
      </c>
      <c r="HV38" s="16">
        <f t="shared" si="119"/>
        <v>27360.000000000076</v>
      </c>
      <c r="HW38" s="16"/>
      <c r="HX38" s="16"/>
      <c r="HY38" s="128">
        <f t="shared" si="123"/>
        <v>2200</v>
      </c>
      <c r="HZ38" s="211">
        <f t="shared" si="77"/>
        <v>2.0008883439004421E-10</v>
      </c>
      <c r="IA38" s="16"/>
      <c r="IB38" s="16"/>
      <c r="IC38" s="16">
        <f t="shared" si="78"/>
        <v>0</v>
      </c>
      <c r="ID38" s="16"/>
      <c r="IE38" s="16"/>
      <c r="IF38" s="16">
        <f t="shared" si="136"/>
        <v>0</v>
      </c>
      <c r="IG38" s="16"/>
      <c r="IH38" s="16"/>
      <c r="II38" s="16">
        <f t="shared" si="133"/>
        <v>0</v>
      </c>
      <c r="IJ38" s="16"/>
      <c r="IK38" s="16"/>
      <c r="IL38" s="16">
        <f t="shared" si="134"/>
        <v>0</v>
      </c>
      <c r="IM38" s="16"/>
      <c r="IN38" s="16"/>
      <c r="IO38" s="16">
        <f t="shared" si="82"/>
        <v>0</v>
      </c>
      <c r="IP38" s="16"/>
      <c r="IQ38" s="16"/>
      <c r="IR38" s="16">
        <f t="shared" si="83"/>
        <v>0</v>
      </c>
      <c r="IS38" s="16"/>
      <c r="IT38" s="16"/>
      <c r="IU38" s="16">
        <f t="shared" si="84"/>
        <v>0</v>
      </c>
      <c r="IV38" s="16"/>
      <c r="IW38" s="16"/>
      <c r="IX38" s="16">
        <f t="shared" si="85"/>
        <v>0</v>
      </c>
      <c r="IY38" s="16"/>
      <c r="IZ38" s="16"/>
      <c r="JA38" s="16">
        <f t="shared" si="86"/>
        <v>0</v>
      </c>
      <c r="JB38" s="16"/>
      <c r="JC38" s="16"/>
      <c r="JD38" s="16">
        <f t="shared" si="87"/>
        <v>0</v>
      </c>
      <c r="JE38" s="16"/>
      <c r="JF38" s="16"/>
      <c r="JG38" s="16">
        <f t="shared" si="88"/>
        <v>0</v>
      </c>
      <c r="JH38" s="16"/>
      <c r="JI38" s="16"/>
      <c r="JJ38" s="16">
        <f t="shared" si="89"/>
        <v>0</v>
      </c>
      <c r="JK38" s="16"/>
      <c r="JL38" s="16"/>
      <c r="JM38" s="16">
        <f t="shared" si="90"/>
        <v>0</v>
      </c>
      <c r="JN38" s="16"/>
      <c r="JO38" s="16"/>
      <c r="JP38" s="16">
        <f t="shared" ref="JP38" si="137">IF((JN38-JN37)&lt;=0,0,(JN38-JN37))</f>
        <v>0</v>
      </c>
      <c r="JQ38" s="16"/>
      <c r="JR38" s="16"/>
      <c r="JS38" s="16">
        <f t="shared" si="92"/>
        <v>0</v>
      </c>
      <c r="JT38" s="16"/>
      <c r="JU38" s="16"/>
      <c r="JV38" s="16">
        <f t="shared" si="93"/>
        <v>0</v>
      </c>
      <c r="JX38" s="151">
        <f t="shared" si="94"/>
        <v>2.0008883439004421E-10</v>
      </c>
    </row>
    <row r="39" spans="1:284" ht="15.75" thickBot="1" x14ac:dyDescent="0.3">
      <c r="A39" s="77" t="s">
        <v>37</v>
      </c>
      <c r="B39" s="78"/>
      <c r="C39" s="78">
        <f>SUM(C8:C38)</f>
        <v>234.30000000000018</v>
      </c>
      <c r="D39" s="78">
        <f>SUM(D8:D38)</f>
        <v>7497600.0000000047</v>
      </c>
      <c r="E39" s="78"/>
      <c r="F39" s="78">
        <f>SUM(F8:F38)</f>
        <v>1498559.9999999979</v>
      </c>
      <c r="G39" s="78">
        <f>SUM(G8:G38)</f>
        <v>8996160.0000000037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8946000</v>
      </c>
      <c r="O39" s="79"/>
      <c r="P39" s="79"/>
      <c r="Q39" s="78">
        <f>SUM(Q8:Q38)</f>
        <v>393299.99999999936</v>
      </c>
      <c r="R39" s="79">
        <f>AVERAGE(R8:R38)</f>
        <v>1</v>
      </c>
      <c r="S39" s="79"/>
      <c r="T39" s="78">
        <f>SUM(T8:T38)</f>
        <v>25184.150000000373</v>
      </c>
      <c r="U39" s="79"/>
      <c r="V39" s="79">
        <f>SUM(V8:V38)</f>
        <v>0</v>
      </c>
      <c r="W39" s="79"/>
      <c r="X39" s="78">
        <f>SUM(X8:X38)</f>
        <v>229405.84999999893</v>
      </c>
      <c r="Y39" s="184"/>
      <c r="Z39" s="184"/>
      <c r="AA39" s="78"/>
      <c r="AB39" s="78"/>
      <c r="AC39" s="79"/>
      <c r="AD39" s="79"/>
      <c r="AE39" s="78">
        <f>SUM(AE8:AE38)</f>
        <v>213400.00000000006</v>
      </c>
      <c r="AF39" s="79">
        <f>AVERAGE(AF8:AF38)</f>
        <v>1</v>
      </c>
      <c r="AG39" s="79"/>
      <c r="AH39" s="79"/>
      <c r="AI39" s="78">
        <f>SUM(AI8:AI38)</f>
        <v>463555.15000000066</v>
      </c>
      <c r="AJ39" s="79">
        <f>AVERAGE(AJ8:AJ38)</f>
        <v>1</v>
      </c>
      <c r="AK39" s="78">
        <f>SUM(AK8:AK38)</f>
        <v>931545.15000000026</v>
      </c>
      <c r="AL39" s="79"/>
      <c r="AM39" s="79"/>
      <c r="AN39" s="78">
        <f>SUM(AN8:AN38)</f>
        <v>163455.14999999927</v>
      </c>
      <c r="AO39" s="79">
        <f>AVERAGE(AO8:AO38)</f>
        <v>1</v>
      </c>
      <c r="AP39" s="79"/>
      <c r="AQ39" s="79"/>
      <c r="AR39" s="78">
        <f>SUM(AR8:AR38)</f>
        <v>295639.99999999942</v>
      </c>
      <c r="AS39" s="79">
        <f>AVERAGE(AS8:AS38)</f>
        <v>1</v>
      </c>
      <c r="AT39" s="184"/>
      <c r="AU39" s="184"/>
      <c r="AV39" s="184"/>
      <c r="AW39" s="184"/>
      <c r="AX39" s="79"/>
      <c r="AY39" s="79"/>
      <c r="AZ39" s="78">
        <f>SUM(AZ8:AZ38)</f>
        <v>8022.2800000000279</v>
      </c>
      <c r="BA39" s="79"/>
      <c r="BB39" s="79"/>
      <c r="BC39" s="78">
        <f>SUM(BC8:BC38)</f>
        <v>11348.059999999998</v>
      </c>
      <c r="BD39" s="78">
        <f>SUM(BD8:BD38)</f>
        <v>478465.48999999865</v>
      </c>
      <c r="BE39" s="80"/>
      <c r="BF39" s="81"/>
      <c r="BG39" s="78">
        <f>SUM(BG8:BG38)</f>
        <v>79899.999999999869</v>
      </c>
      <c r="BH39" s="78"/>
      <c r="BI39" s="78"/>
      <c r="BJ39" s="78"/>
      <c r="BK39" s="80"/>
      <c r="BL39" s="78">
        <f>SUM(BL8:BL38)</f>
        <v>120790</v>
      </c>
      <c r="BM39" s="80"/>
      <c r="BN39" s="78">
        <f>SUM(BN8:BN38)</f>
        <v>20230.000000000022</v>
      </c>
      <c r="BO39" s="187"/>
      <c r="BP39" s="188">
        <f>SUM(BP8:BP38)</f>
        <v>0</v>
      </c>
      <c r="BQ39" s="79"/>
      <c r="BR39" s="78">
        <f>SUM(BR8:BR38)</f>
        <v>18179.999999999949</v>
      </c>
      <c r="BS39" s="78"/>
      <c r="BT39" s="78"/>
      <c r="BU39" s="79"/>
      <c r="BV39" s="79"/>
      <c r="BW39" s="78">
        <f>SUM(BW8:BW38)</f>
        <v>240109</v>
      </c>
      <c r="BX39" s="79">
        <f>AVERAGE(BX8:BX38)</f>
        <v>0.967741935483871</v>
      </c>
      <c r="BY39" s="79"/>
      <c r="BZ39" s="79"/>
      <c r="CA39" s="78">
        <f>SUM(CA8:CA38)</f>
        <v>22570.499999999989</v>
      </c>
      <c r="CB39" s="78"/>
      <c r="CC39" s="79"/>
      <c r="CD39" s="79"/>
      <c r="CE39" s="79"/>
      <c r="CF39" s="78">
        <f>SUM(CF8:CF38)</f>
        <v>178663.19999999995</v>
      </c>
      <c r="CG39" s="79"/>
      <c r="CH39" s="78">
        <f>SUM(CH8:CH38)</f>
        <v>8293.6999999999971</v>
      </c>
      <c r="CI39" s="79"/>
      <c r="CJ39" s="79"/>
      <c r="CK39" s="78">
        <f>SUM(CK8:CK38)</f>
        <v>519354.64999999967</v>
      </c>
      <c r="CL39" s="79">
        <f>AVERAGE(CL8:CL38)</f>
        <v>1</v>
      </c>
      <c r="CM39" s="79"/>
      <c r="CN39" s="79"/>
      <c r="CO39" s="78">
        <f>SUM(CO8:CO38)</f>
        <v>230570.15000000014</v>
      </c>
      <c r="CP39" s="79">
        <f>AVERAGE(CP8:CP38)</f>
        <v>1</v>
      </c>
      <c r="CQ39" s="82"/>
      <c r="CR39" s="83"/>
      <c r="CS39" s="78">
        <f>SUM(CS8:CS38)</f>
        <v>184100.15000000034</v>
      </c>
      <c r="CT39" s="79">
        <f>AVERAGE(CT8:CT38)</f>
        <v>1</v>
      </c>
      <c r="CU39" s="79"/>
      <c r="CV39" s="79"/>
      <c r="CW39" s="78">
        <f>SUM(CW8:CW38)</f>
        <v>249223</v>
      </c>
      <c r="CX39" s="79">
        <f>AVERAGE(CX8:CX38)</f>
        <v>1</v>
      </c>
      <c r="CY39" s="79"/>
      <c r="CZ39" s="79"/>
      <c r="DA39" s="78">
        <f>SUM(DA8:DA38)</f>
        <v>92106</v>
      </c>
      <c r="DB39" s="79">
        <f>AVERAGE(DB8:DB38)</f>
        <v>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-1515462.9500000002</v>
      </c>
      <c r="DH39" s="78">
        <f>SUM(DH8:DH38)</f>
        <v>9957445.1500000004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248500</v>
      </c>
      <c r="DS39" s="84"/>
      <c r="DT39" s="85">
        <f>SUMIF(DT7:DT38,"&gt;0")</f>
        <v>536900</v>
      </c>
      <c r="DU39" s="86"/>
      <c r="DV39" s="86"/>
      <c r="DW39" s="87">
        <f>SUMIF(DW8:DW38,"&gt;0")</f>
        <v>137300.00000000017</v>
      </c>
      <c r="DX39" s="86"/>
      <c r="DY39" s="86"/>
      <c r="DZ39" s="87">
        <f>SUMIF(DZ8:DZ38,"&gt;0")</f>
        <v>198855.14999999997</v>
      </c>
      <c r="EA39" s="86"/>
      <c r="EB39" s="86"/>
      <c r="EC39" s="87">
        <f>SUMIF(EC8:EC38,"&gt;0")</f>
        <v>781815.15000000014</v>
      </c>
      <c r="ED39" s="88">
        <f>SUMIF(ED8:ED38,"&gt;0")</f>
        <v>1117970.3</v>
      </c>
      <c r="EE39" s="86"/>
      <c r="EF39" s="86"/>
      <c r="EG39" s="87">
        <f>SUMIF(EG8:EG38,"&gt;0")</f>
        <v>622815.15</v>
      </c>
      <c r="EH39" s="86"/>
      <c r="EI39" s="86"/>
      <c r="EJ39" s="87">
        <f>SUMIF(EJ8:EJ38,"&gt;0")</f>
        <v>256855.15</v>
      </c>
      <c r="EK39" s="87"/>
      <c r="EL39" s="87"/>
      <c r="EM39" s="87">
        <f>SUMIF(EM8:EM38,"&gt;0")</f>
        <v>15340.000000000029</v>
      </c>
      <c r="EN39" s="89">
        <f>SUMIF(EN8:EN38,"&gt;0")</f>
        <v>895010.3</v>
      </c>
      <c r="EO39" s="48"/>
      <c r="EP39" s="48"/>
      <c r="EQ39" s="90">
        <f>SUMIF(EQ8:EQ38,"&gt;0")</f>
        <v>249645.14999999997</v>
      </c>
      <c r="ER39" s="90"/>
      <c r="ES39" s="90"/>
      <c r="ET39" s="90">
        <f>SUMIF(ET8:ET38,"&gt;0")</f>
        <v>462000.00000000012</v>
      </c>
      <c r="EU39" s="90"/>
      <c r="EV39" s="90"/>
      <c r="EW39" s="90">
        <f>SUMIF(EW8:EW38,"&gt;0")</f>
        <v>250455.14999999988</v>
      </c>
      <c r="EX39" s="48"/>
      <c r="EY39" s="48"/>
      <c r="EZ39" s="90">
        <f>SUMIF(EZ8:EZ38,"&gt;0")</f>
        <v>369855.14999999985</v>
      </c>
      <c r="FA39" s="90"/>
      <c r="FB39" s="90"/>
      <c r="FC39" s="90"/>
      <c r="FD39" s="90">
        <f>SUMIF(FD8:FD38,"&gt;0")</f>
        <v>1386560.45</v>
      </c>
      <c r="FE39" s="48"/>
      <c r="FF39" s="48"/>
      <c r="FG39" s="90">
        <f>SUMIF(FG8:FG38,"&gt;0")</f>
        <v>359920.69</v>
      </c>
      <c r="FH39" s="90"/>
      <c r="FI39" s="90"/>
      <c r="FJ39" s="90">
        <f>SUMIF(FJ8:FJ38,"&gt;0")</f>
        <v>536210.68999999994</v>
      </c>
      <c r="FK39" s="90"/>
      <c r="FL39" s="90">
        <f>SUMIF(FL8:FL38,"&gt;0")</f>
        <v>2396.66</v>
      </c>
      <c r="FM39" s="90">
        <f>SUMIF(FM8:FM38,"&gt;0")</f>
        <v>3331.9700000001317</v>
      </c>
      <c r="FN39" s="48"/>
      <c r="FO39" s="48"/>
      <c r="FP39" s="90">
        <f>SUMIF(FP8:FP38,"&gt;0")</f>
        <v>425710.68999999994</v>
      </c>
      <c r="FQ39" s="90"/>
      <c r="FR39" s="90"/>
      <c r="FS39" s="90">
        <f>SUMIF(FS8:FS38,"&gt;0")</f>
        <v>1304000</v>
      </c>
      <c r="FT39" s="90"/>
      <c r="FU39" s="90">
        <f>SUMIF(FU8:FU38,"&gt;0")</f>
        <v>1368337.0700000003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7690</v>
      </c>
      <c r="GQ39" s="90"/>
      <c r="GR39" s="90"/>
      <c r="GS39" s="90">
        <f>SUM(GS8:GS38)</f>
        <v>10570</v>
      </c>
      <c r="GT39" s="178"/>
      <c r="GU39" s="90">
        <f>SUM(GU8:GU38)</f>
        <v>-0.20999999607738573</v>
      </c>
      <c r="GV39" s="90">
        <f>SUM(GV8:GV38)</f>
        <v>72827.040000000008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H39" s="16"/>
      <c r="HI39" s="16"/>
      <c r="HJ39" s="16">
        <f>SUM(HJ7:HJ38)</f>
        <v>2669140</v>
      </c>
      <c r="HK39" s="16"/>
      <c r="HL39" s="16"/>
      <c r="HM39" s="16">
        <f>SUM(HM7:HM38)</f>
        <v>0</v>
      </c>
      <c r="HN39" s="16"/>
      <c r="HO39" s="16"/>
      <c r="HP39" s="16">
        <f>SUM(HP7:HP38)</f>
        <v>870923.30730000034</v>
      </c>
      <c r="HQ39" s="16"/>
      <c r="HR39" s="16"/>
      <c r="HS39" s="16">
        <f>SUM(HS7:HS38)</f>
        <v>664573.30729999987</v>
      </c>
      <c r="HT39" s="16"/>
      <c r="HU39" s="16"/>
      <c r="HV39" s="16">
        <f>SUM(HV7:HV38)</f>
        <v>596743.30730000022</v>
      </c>
      <c r="HW39" s="16"/>
      <c r="HX39" s="16"/>
      <c r="HY39" s="16">
        <f>SUM(HY7:HY38)</f>
        <v>536900</v>
      </c>
      <c r="HZ39" s="211">
        <f>SUM(HZ8:HZ38)</f>
        <v>7.8099999760524952E-2</v>
      </c>
      <c r="IA39" s="16"/>
      <c r="IB39" s="16"/>
      <c r="IC39" s="16">
        <f>SUM(IC7:IC38)</f>
        <v>87659</v>
      </c>
      <c r="ID39" s="16"/>
      <c r="IE39" s="16"/>
      <c r="IF39" s="16">
        <f>SUM(IF7:IF38)</f>
        <v>76780</v>
      </c>
      <c r="IG39" s="16"/>
      <c r="IH39" s="16"/>
      <c r="II39" s="16">
        <f>SUM(II7:II38)</f>
        <v>22152.300000000003</v>
      </c>
      <c r="IJ39" s="16"/>
      <c r="IK39" s="16"/>
      <c r="IL39" s="16">
        <f>SUM(IL7:IL38)</f>
        <v>12073.099999999999</v>
      </c>
      <c r="IM39" s="16"/>
      <c r="IN39" s="16"/>
      <c r="IO39" s="16">
        <f>SUM(IO7:IO38)</f>
        <v>207013.2</v>
      </c>
      <c r="IP39" s="16"/>
      <c r="IQ39" s="16"/>
      <c r="IR39" s="16">
        <f>SUM(IR7:IR38)</f>
        <v>139281.20000000001</v>
      </c>
      <c r="IS39" s="16"/>
      <c r="IT39" s="16"/>
      <c r="IU39" s="16">
        <f>SUM(IU7:IU38)</f>
        <v>7088.7000000000007</v>
      </c>
      <c r="IV39" s="16"/>
      <c r="IW39" s="16"/>
      <c r="IX39" s="16">
        <f>SUM(IX7:IX38)</f>
        <v>70298.399999999994</v>
      </c>
      <c r="IY39" s="16"/>
      <c r="IZ39" s="16"/>
      <c r="JA39" s="16">
        <f>SUM(JA7:JA38)</f>
        <v>4523.119999999999</v>
      </c>
      <c r="JB39" s="16"/>
      <c r="JC39" s="16"/>
      <c r="JD39" s="16">
        <f>SUM(JD7:JD38)</f>
        <v>3473.9500000000007</v>
      </c>
      <c r="JE39" s="16"/>
      <c r="JF39" s="16"/>
      <c r="JG39" s="16">
        <f>SUM(JG7:JG38)</f>
        <v>105573</v>
      </c>
      <c r="JH39" s="16"/>
      <c r="JI39" s="16"/>
      <c r="JJ39" s="16">
        <f>SUM(JJ7:JJ38)</f>
        <v>102488.79999999999</v>
      </c>
      <c r="JK39" s="16"/>
      <c r="JL39" s="16"/>
      <c r="JM39" s="16">
        <f>SUM(JM7:JM38)</f>
        <v>6330.4000000000015</v>
      </c>
      <c r="JN39" s="16"/>
      <c r="JO39" s="16"/>
      <c r="JP39" s="16">
        <f>SUM(JP7:JP38)</f>
        <v>74324.5</v>
      </c>
      <c r="JQ39" s="16"/>
      <c r="JR39" s="16"/>
      <c r="JS39" s="16">
        <f>SUM(JS7:JS38)</f>
        <v>233.39999999999998</v>
      </c>
      <c r="JT39" s="16"/>
      <c r="JU39" s="16"/>
      <c r="JV39" s="16">
        <f>SUM(JV7:JV38)</f>
        <v>3431.7999999999993</v>
      </c>
      <c r="JX39">
        <f>SUM(JX7:JX38)</f>
        <v>7.8099999760524952E-2</v>
      </c>
    </row>
    <row r="40" spans="1:284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FX40" s="91">
        <f>SUM(FX8:FX39)</f>
        <v>214300</v>
      </c>
      <c r="GA40" s="91">
        <f>SUM(GA8:GA39)</f>
        <v>28529.999999999909</v>
      </c>
      <c r="GG40" s="91">
        <f>SUM(GG8:GG39)</f>
        <v>139399.99999999985</v>
      </c>
      <c r="GJ40" s="151"/>
      <c r="GK40" s="151"/>
      <c r="GM40" s="91"/>
      <c r="GT40" s="3"/>
      <c r="HC40" s="151"/>
      <c r="HD40" s="74"/>
    </row>
    <row r="41" spans="1:284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419" t="s">
        <v>208</v>
      </c>
      <c r="BV41" s="419"/>
      <c r="BW41" s="419"/>
      <c r="BY41" s="406" t="s">
        <v>205</v>
      </c>
      <c r="BZ41" s="406"/>
      <c r="CA41" s="406"/>
      <c r="CC41" s="91"/>
      <c r="CE41" s="95"/>
      <c r="CF41" s="95"/>
      <c r="CG41" s="95"/>
      <c r="CH41" s="96"/>
      <c r="CI41" s="92"/>
      <c r="CJ41" s="92"/>
      <c r="CK41" s="92"/>
      <c r="CL41" s="92"/>
      <c r="CU41" s="91"/>
      <c r="CZ41" s="91"/>
      <c r="DB41" s="91"/>
      <c r="DS41" s="24"/>
      <c r="DT41" s="151"/>
      <c r="DU41" s="406" t="s">
        <v>205</v>
      </c>
      <c r="DV41" s="406"/>
      <c r="DW41" s="406"/>
      <c r="DX41" s="406" t="s">
        <v>203</v>
      </c>
      <c r="DY41" s="406"/>
      <c r="DZ41" s="406"/>
      <c r="EA41" s="406" t="s">
        <v>204</v>
      </c>
      <c r="EB41" s="406"/>
      <c r="EC41" s="406"/>
      <c r="EE41" t="s">
        <v>108</v>
      </c>
      <c r="EF41" s="3"/>
      <c r="EJ41" s="2"/>
      <c r="EK41" s="174"/>
      <c r="EL41" s="174"/>
      <c r="EN41" s="2"/>
      <c r="EO41" s="406" t="s">
        <v>155</v>
      </c>
      <c r="EP41" s="406"/>
      <c r="EQ41" s="406"/>
      <c r="ER41" s="406" t="s">
        <v>135</v>
      </c>
      <c r="ES41" s="406"/>
      <c r="ET41" s="406"/>
      <c r="EU41" s="406" t="s">
        <v>155</v>
      </c>
      <c r="EV41" s="406"/>
      <c r="EW41" s="406"/>
      <c r="EX41" s="406"/>
      <c r="EY41" s="406"/>
      <c r="EZ41" s="406"/>
      <c r="FE41" s="407" t="s">
        <v>155</v>
      </c>
      <c r="FF41" s="407"/>
      <c r="FG41" s="407"/>
      <c r="FH41" s="406" t="s">
        <v>135</v>
      </c>
      <c r="FI41" s="406"/>
      <c r="FJ41" s="406"/>
      <c r="FO41" s="407" t="s">
        <v>155</v>
      </c>
      <c r="FP41" s="407"/>
      <c r="FQ41" s="407"/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U41" s="151"/>
    </row>
    <row r="42" spans="1:284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38">BW8</f>
        <v>0</v>
      </c>
      <c r="CE42" s="96">
        <f t="shared" ref="CE42:CE45" si="139">CD42-CF43</f>
        <v>-627.80000000002474</v>
      </c>
      <c r="CF42" s="98">
        <f t="shared" ref="CF42:CF46" si="140">CD42-CE42</f>
        <v>627.80000000002474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414" t="s">
        <v>224</v>
      </c>
      <c r="DR42" s="414"/>
      <c r="DS42" s="414"/>
      <c r="DT42" s="414"/>
      <c r="EE42" t="s">
        <v>109</v>
      </c>
      <c r="EJ42" s="3"/>
      <c r="EK42" s="174"/>
      <c r="EL42" s="174"/>
      <c r="EN42" s="2"/>
      <c r="EO42" s="151"/>
      <c r="FF42" s="416" t="s">
        <v>243</v>
      </c>
      <c r="FG42" s="416"/>
      <c r="FH42" s="416" t="s">
        <v>246</v>
      </c>
      <c r="FI42" s="416"/>
      <c r="FJ42" s="415" t="s">
        <v>247</v>
      </c>
      <c r="FK42" s="415"/>
      <c r="FL42" s="415" t="s">
        <v>245</v>
      </c>
      <c r="FM42" s="415"/>
      <c r="FN42" s="416" t="s">
        <v>37</v>
      </c>
      <c r="FO42" s="418" t="s">
        <v>310</v>
      </c>
      <c r="FP42" s="406"/>
      <c r="FQ42" s="500"/>
      <c r="FR42" s="402" t="s">
        <v>1</v>
      </c>
      <c r="FS42" s="402" t="s">
        <v>306</v>
      </c>
      <c r="FT42" s="402"/>
      <c r="FU42" s="402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2669140</v>
      </c>
      <c r="HJ42" s="16">
        <f>HJ39</f>
        <v>2669140</v>
      </c>
      <c r="HQ42" s="151"/>
      <c r="HU42" s="151"/>
      <c r="HY42" s="16"/>
      <c r="HZ42" s="16" t="s">
        <v>290</v>
      </c>
      <c r="IA42" s="16"/>
      <c r="IB42" s="16"/>
      <c r="IC42" s="16"/>
      <c r="IF42" t="s">
        <v>295</v>
      </c>
      <c r="IM42" t="s">
        <v>298</v>
      </c>
      <c r="IP42" t="s">
        <v>297</v>
      </c>
      <c r="JE42" t="s">
        <v>296</v>
      </c>
    </row>
    <row r="43" spans="1:284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38"/>
        <v>637</v>
      </c>
      <c r="CE43" s="96">
        <f t="shared" si="139"/>
        <v>9.1999999999752617</v>
      </c>
      <c r="CF43" s="98">
        <f t="shared" si="140"/>
        <v>627.80000000002474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408" t="s">
        <v>225</v>
      </c>
      <c r="DR43" s="409"/>
      <c r="DS43" s="408" t="s">
        <v>226</v>
      </c>
      <c r="DT43" s="409"/>
      <c r="EE43" t="s">
        <v>110</v>
      </c>
      <c r="EJ43" s="2"/>
      <c r="EK43" s="174"/>
      <c r="EL43" s="174"/>
      <c r="EN43" s="3"/>
      <c r="EO43" s="151"/>
      <c r="EZ43" s="416" t="s">
        <v>241</v>
      </c>
      <c r="FA43" s="416" t="s">
        <v>242</v>
      </c>
      <c r="FB43" s="416" t="s">
        <v>37</v>
      </c>
      <c r="FD43" s="3"/>
      <c r="FF43" s="416"/>
      <c r="FG43" s="416"/>
      <c r="FH43" s="416"/>
      <c r="FI43" s="416"/>
      <c r="FJ43" s="415"/>
      <c r="FK43" s="415"/>
      <c r="FL43" s="415"/>
      <c r="FM43" s="415"/>
      <c r="FN43" s="416"/>
      <c r="FO43" s="418"/>
      <c r="FP43" s="406"/>
      <c r="FQ43" s="500"/>
      <c r="FR43" s="402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</v>
      </c>
      <c r="HJ43" s="16">
        <f>HM39</f>
        <v>0</v>
      </c>
      <c r="HQ43" s="151"/>
      <c r="HS43" s="151"/>
      <c r="HT43" s="151"/>
      <c r="HU43" s="151"/>
      <c r="HY43" s="16"/>
      <c r="HZ43" s="16" t="s">
        <v>291</v>
      </c>
      <c r="IA43" s="16"/>
      <c r="IB43" s="16"/>
      <c r="IC43" s="16"/>
      <c r="IE43">
        <v>9</v>
      </c>
      <c r="IF43">
        <f>HP15-IC15-IF15</f>
        <v>19297.000000000044</v>
      </c>
      <c r="IM43">
        <f>HS15-IO15</f>
        <v>596.99999999997817</v>
      </c>
      <c r="IP43">
        <f>IO15-IR15-IU15-IX15</f>
        <v>370</v>
      </c>
      <c r="JE43">
        <f>HV15-JG15</f>
        <v>10764</v>
      </c>
    </row>
    <row r="44" spans="1:284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138"/>
        <v>5078</v>
      </c>
      <c r="CE44" s="96">
        <f t="shared" si="139"/>
        <v>4450.1999999999753</v>
      </c>
      <c r="CF44" s="98">
        <f t="shared" si="140"/>
        <v>627.80000000002474</v>
      </c>
      <c r="CG44" s="96">
        <v>4450.1999999999753</v>
      </c>
      <c r="CH44" s="96">
        <f t="shared" ref="CH44:CH46" si="141">CG44-CD10-CH10</f>
        <v>1433.9999999999636</v>
      </c>
      <c r="CI44" s="92"/>
      <c r="CJ44" s="92"/>
      <c r="CK44" s="92"/>
      <c r="CL44" s="92"/>
      <c r="CQ44" s="161"/>
      <c r="CR44" s="161"/>
      <c r="CV44" s="91"/>
      <c r="DQ44" s="410"/>
      <c r="DR44" s="411"/>
      <c r="DS44" s="410"/>
      <c r="DT44" s="411"/>
      <c r="EE44" t="s">
        <v>111</v>
      </c>
      <c r="EJ44" s="2"/>
      <c r="EV44" t="s">
        <v>235</v>
      </c>
      <c r="EZ44" s="416"/>
      <c r="FA44" s="416"/>
      <c r="FB44" s="416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416"/>
      <c r="FO44" s="418"/>
      <c r="FP44" s="406"/>
      <c r="FQ44" s="500"/>
      <c r="FR44" s="16">
        <v>1</v>
      </c>
      <c r="FS44" s="16"/>
      <c r="FT44" s="16"/>
      <c r="FU44" s="16"/>
      <c r="FV44" s="16"/>
      <c r="FW44" s="16"/>
      <c r="HD44" s="74"/>
      <c r="HH44" s="16" t="s">
        <v>272</v>
      </c>
      <c r="HI44" s="16">
        <f>HP39</f>
        <v>870923.30730000034</v>
      </c>
      <c r="HJ44" s="16">
        <f>IC39+IF39</f>
        <v>164439</v>
      </c>
      <c r="HQ44" s="151"/>
      <c r="HS44" s="151"/>
      <c r="HT44" s="151"/>
      <c r="HU44" s="151"/>
      <c r="HY44" s="16"/>
      <c r="HZ44" s="16"/>
      <c r="IA44" s="16" t="s">
        <v>292</v>
      </c>
      <c r="IB44" s="16"/>
      <c r="IC44" s="16" t="s">
        <v>292</v>
      </c>
      <c r="IE44">
        <v>10</v>
      </c>
      <c r="IF44">
        <f t="shared" ref="IF44:IF63" si="142">HP16-IC16-IF16</f>
        <v>13642.53329999993</v>
      </c>
      <c r="IM44">
        <f t="shared" ref="IM44:IM63" si="143">HS16-IO16</f>
        <v>199.13330000000133</v>
      </c>
      <c r="IP44">
        <f t="shared" ref="IP44:IP63" si="144">IO16-IR16-IU16-IX16</f>
        <v>333.49999999999272</v>
      </c>
      <c r="JE44">
        <f t="shared" ref="JE44:JE63" si="145">HV16-JG16</f>
        <v>10257.333299999933</v>
      </c>
    </row>
    <row r="45" spans="1:284" x14ac:dyDescent="0.25">
      <c r="A45" s="35">
        <v>28</v>
      </c>
      <c r="B45" s="138">
        <v>24.4</v>
      </c>
      <c r="C45" s="65"/>
      <c r="D45" s="55"/>
      <c r="E45" s="16">
        <v>20032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38"/>
        <v>4944</v>
      </c>
      <c r="CE45" s="96">
        <f t="shared" si="139"/>
        <v>4316.1999999999753</v>
      </c>
      <c r="CF45" s="98">
        <f t="shared" si="140"/>
        <v>627.80000000002474</v>
      </c>
      <c r="CG45" s="96">
        <v>4316.1999999999753</v>
      </c>
      <c r="CH45" s="96">
        <f t="shared" si="141"/>
        <v>3323.2999999999738</v>
      </c>
      <c r="CI45" s="92"/>
      <c r="CJ45" s="92"/>
      <c r="CK45" s="92"/>
      <c r="CL45" s="92"/>
      <c r="DQ45" s="412"/>
      <c r="DR45" s="413"/>
      <c r="DS45" s="412"/>
      <c r="DT45" s="413"/>
      <c r="EE45" t="s">
        <v>114</v>
      </c>
      <c r="EV45" t="s">
        <v>236</v>
      </c>
      <c r="EW45" s="406" t="s">
        <v>238</v>
      </c>
      <c r="EX45" s="406"/>
      <c r="EZ45" s="203">
        <f>EZ8</f>
        <v>9904.17</v>
      </c>
      <c r="FA45" s="205">
        <f>FP8</f>
        <v>11604.17</v>
      </c>
      <c r="FB45" s="201">
        <f>EZ45+FA45</f>
        <v>21508.34</v>
      </c>
      <c r="FC45" s="16">
        <f>85*0.6355*24</f>
        <v>1296.42</v>
      </c>
      <c r="FD45" s="167">
        <f>FB45-$FC$45</f>
        <v>20211.919999999998</v>
      </c>
      <c r="FE45" s="16"/>
      <c r="FF45" s="199">
        <v>0.5380477359377448</v>
      </c>
      <c r="FG45" s="200">
        <f>1-FF45</f>
        <v>0.4619522640622552</v>
      </c>
      <c r="FH45" s="16">
        <f>FF45*$FC$45</f>
        <v>697.53584582441113</v>
      </c>
      <c r="FI45" s="179">
        <f>FG45*$FC$45</f>
        <v>598.88415417558895</v>
      </c>
      <c r="FJ45" s="179">
        <f>FF45*FD45</f>
        <v>10874.977794954822</v>
      </c>
      <c r="FK45" s="179">
        <f>FG45*FD45</f>
        <v>9336.9422050451758</v>
      </c>
      <c r="FL45" s="204">
        <f>FH45+FJ45</f>
        <v>11572.513640779234</v>
      </c>
      <c r="FM45" s="206">
        <f>FI45+FK45</f>
        <v>9935.8263592207641</v>
      </c>
      <c r="FN45" s="202">
        <f>FL45+FM45</f>
        <v>21508.339999999997</v>
      </c>
      <c r="FO45">
        <v>51.510000000000005</v>
      </c>
      <c r="FP45">
        <v>44.225000000000001</v>
      </c>
      <c r="FQ45" s="217">
        <f>FO45/(FO45+FP45)</f>
        <v>0.5380477359377448</v>
      </c>
      <c r="FR45" s="16">
        <v>2</v>
      </c>
      <c r="FS45" s="16"/>
      <c r="FT45" s="16"/>
      <c r="FU45" s="16"/>
      <c r="FV45" s="16"/>
      <c r="FW45" s="16"/>
      <c r="HD45" s="74"/>
      <c r="HH45" s="16" t="s">
        <v>273</v>
      </c>
      <c r="HI45" s="16">
        <f>HS39</f>
        <v>664573.30729999987</v>
      </c>
      <c r="HJ45" s="179">
        <f>IO39</f>
        <v>207013.2</v>
      </c>
      <c r="HO45" s="151"/>
      <c r="HP45" s="151"/>
      <c r="HQ45" s="151"/>
      <c r="HS45" s="151"/>
      <c r="HT45" s="151"/>
      <c r="HX45" s="151"/>
      <c r="HY45" s="16">
        <v>1</v>
      </c>
      <c r="HZ45" s="144">
        <f>DailyMar!BX7+DailyMar!BY7-DailyMar!BZ7-DailyMar!CA7-DailyMar!CB7-DailyMar!CC7</f>
        <v>-1.0000000016589183E-2</v>
      </c>
      <c r="IA45" s="16">
        <v>3140</v>
      </c>
      <c r="IB45" s="16">
        <f>IA45/3</f>
        <v>1046.6666666666667</v>
      </c>
      <c r="IC45" s="16">
        <v>1046.67</v>
      </c>
      <c r="IE45">
        <v>11</v>
      </c>
      <c r="IF45">
        <f t="shared" si="142"/>
        <v>4492.0000000001446</v>
      </c>
      <c r="IM45">
        <f t="shared" si="143"/>
        <v>933.30000000001814</v>
      </c>
      <c r="IP45">
        <f t="shared" si="144"/>
        <v>-1852.4999999999818</v>
      </c>
      <c r="JE45">
        <f t="shared" si="145"/>
        <v>1563.3000000000136</v>
      </c>
    </row>
    <row r="46" spans="1:284" x14ac:dyDescent="0.25">
      <c r="A46" s="35">
        <v>1</v>
      </c>
      <c r="B46" s="138"/>
      <c r="C46" s="65"/>
      <c r="D46" s="37">
        <f t="shared" ref="D46:D77" si="146">IF((B46-B45)&lt;=0,0,(B46-B45))*1000</f>
        <v>0</v>
      </c>
      <c r="E46" s="16">
        <v>20091</v>
      </c>
      <c r="F46" s="16"/>
      <c r="G46" s="37">
        <f t="shared" ref="G46:G77" si="147">IF((E46-E45)&lt;=0,0,(E46-E45))*1000</f>
        <v>59000</v>
      </c>
      <c r="H46" s="138"/>
      <c r="I46" s="65"/>
      <c r="J46" s="37">
        <f t="shared" ref="J46:J75" si="148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>
        <f t="shared" si="138"/>
        <v>4320</v>
      </c>
      <c r="CE46" s="96">
        <f>CD46-CF47</f>
        <v>3692.1999999999753</v>
      </c>
      <c r="CF46" s="98">
        <f t="shared" si="140"/>
        <v>627.80000000002474</v>
      </c>
      <c r="CG46" s="96">
        <v>3692.1999999999753</v>
      </c>
      <c r="CH46" s="96">
        <f t="shared" si="141"/>
        <v>3089.6999999999753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49">EZ9</f>
        <v>11536.39</v>
      </c>
      <c r="FA46" s="205">
        <f t="shared" ref="FA46:FA75" si="150">FP9</f>
        <v>12436.39</v>
      </c>
      <c r="FB46" s="201">
        <f t="shared" ref="FB46:FB75" si="151">EZ46+FA46</f>
        <v>23972.78</v>
      </c>
      <c r="FC46" s="16"/>
      <c r="FD46" s="167">
        <f t="shared" ref="FD46:FD75" si="152">FB46-$FC$45</f>
        <v>22676.36</v>
      </c>
      <c r="FE46" s="16"/>
      <c r="FF46" s="199">
        <v>0.55700461866540929</v>
      </c>
      <c r="FG46" s="200">
        <f t="shared" ref="FG46:FG64" si="153">1-FF46</f>
        <v>0.44299538133459071</v>
      </c>
      <c r="FH46" s="16">
        <f t="shared" ref="FH46:FI75" si="154">FF46*$FC$45</f>
        <v>722.11192773020991</v>
      </c>
      <c r="FI46" s="179">
        <f t="shared" si="154"/>
        <v>574.30807226979016</v>
      </c>
      <c r="FJ46" s="179">
        <f t="shared" ref="FJ46:FJ75" si="155">FF46*FD46</f>
        <v>12630.837254519542</v>
      </c>
      <c r="FK46" s="179">
        <f t="shared" ref="FK46:FK75" si="156">FG46*FD46</f>
        <v>10045.522745480459</v>
      </c>
      <c r="FL46" s="204">
        <f t="shared" ref="FL46:FM75" si="157">FH46+FJ46</f>
        <v>13352.949182249751</v>
      </c>
      <c r="FM46" s="206">
        <f t="shared" si="157"/>
        <v>10619.830817750249</v>
      </c>
      <c r="FN46" s="202">
        <f t="shared" ref="FN46:FN75" si="158">FL46+FM46</f>
        <v>23972.78</v>
      </c>
      <c r="FO46">
        <v>51.978000000000002</v>
      </c>
      <c r="FP46">
        <v>41.338999999999999</v>
      </c>
      <c r="FQ46" s="217">
        <f t="shared" ref="FQ46:FQ64" si="159">FO46/(FO46+FP46)</f>
        <v>0.55700461866540929</v>
      </c>
      <c r="FR46" s="16">
        <v>3</v>
      </c>
      <c r="FS46" s="16"/>
      <c r="FT46" s="16"/>
      <c r="FU46" s="16"/>
      <c r="FV46" s="16"/>
      <c r="FW46" s="16"/>
      <c r="HH46" s="16" t="s">
        <v>274</v>
      </c>
      <c r="HI46" s="16">
        <f>HV39</f>
        <v>596743.30730000022</v>
      </c>
      <c r="HJ46" s="16">
        <f>JG39+JM39</f>
        <v>111903.4</v>
      </c>
      <c r="HQ46" s="151"/>
      <c r="HS46" s="151"/>
      <c r="HT46" s="151"/>
      <c r="HY46" s="16">
        <v>2</v>
      </c>
      <c r="HZ46" s="144">
        <f>DailyMar!BX8+DailyMar!BY8-DailyMar!BZ8-DailyMar!CA8-DailyMar!CB8-DailyMar!CC8</f>
        <v>1.000000091153197E-3</v>
      </c>
      <c r="IA46" s="16">
        <v>1480</v>
      </c>
      <c r="IB46" s="16">
        <f t="shared" ref="IB46:IB72" si="160">IA46/3</f>
        <v>493.33333333333331</v>
      </c>
      <c r="IC46" s="16">
        <v>493.33300000000003</v>
      </c>
      <c r="IE46">
        <v>12</v>
      </c>
      <c r="IF46">
        <f t="shared" si="142"/>
        <v>13613.100000000057</v>
      </c>
      <c r="IM46">
        <f t="shared" si="143"/>
        <v>10915.999999999985</v>
      </c>
      <c r="IP46">
        <f t="shared" si="144"/>
        <v>-10618.100000000006</v>
      </c>
      <c r="JE46">
        <f t="shared" si="145"/>
        <v>22169.99999999996</v>
      </c>
    </row>
    <row r="47" spans="1:284" x14ac:dyDescent="0.25">
      <c r="A47" s="35">
        <v>2</v>
      </c>
      <c r="B47" s="138"/>
      <c r="C47" s="65"/>
      <c r="D47" s="37">
        <f t="shared" si="146"/>
        <v>0</v>
      </c>
      <c r="E47" s="16">
        <v>20144</v>
      </c>
      <c r="F47" s="16"/>
      <c r="G47" s="37">
        <f t="shared" si="147"/>
        <v>53000</v>
      </c>
      <c r="H47" s="138"/>
      <c r="I47" s="65"/>
      <c r="J47" s="37">
        <f t="shared" si="148"/>
        <v>0</v>
      </c>
      <c r="BH47" s="96"/>
      <c r="BI47" s="96"/>
      <c r="BJ47" s="96"/>
      <c r="CC47" s="91"/>
      <c r="CD47" s="91">
        <f>BW13</f>
        <v>6281</v>
      </c>
      <c r="CE47" s="96">
        <f>CD13+CF13+CH13</f>
        <v>5653.1999999999753</v>
      </c>
      <c r="CF47" s="98">
        <f>CD47-CE47</f>
        <v>627.80000000002474</v>
      </c>
      <c r="CG47" s="96">
        <v>5653.1999999999753</v>
      </c>
      <c r="CH47" s="96">
        <f>CG47-CD13-CH13</f>
        <v>5129.1999999999534</v>
      </c>
      <c r="CI47" s="92"/>
      <c r="CJ47" s="92"/>
      <c r="CK47" s="92"/>
      <c r="CL47" s="92"/>
      <c r="CN47" s="91"/>
      <c r="DP47">
        <v>1</v>
      </c>
      <c r="DQ47" s="50">
        <v>7.8381999999999996</v>
      </c>
      <c r="DR47" s="49"/>
      <c r="DS47" s="50">
        <v>51.348999999999997</v>
      </c>
      <c r="DT47" s="49"/>
      <c r="EV47" t="s">
        <v>239</v>
      </c>
      <c r="EZ47" s="203">
        <f t="shared" si="149"/>
        <v>11959.25</v>
      </c>
      <c r="FA47" s="205">
        <f t="shared" si="150"/>
        <v>13959.25</v>
      </c>
      <c r="FB47" s="201">
        <f t="shared" si="151"/>
        <v>25918.5</v>
      </c>
      <c r="FC47" s="16"/>
      <c r="FD47" s="167">
        <f t="shared" si="152"/>
        <v>24622.080000000002</v>
      </c>
      <c r="FE47" s="16"/>
      <c r="FF47" s="199">
        <v>0.55606200755591717</v>
      </c>
      <c r="FG47" s="200">
        <f t="shared" si="153"/>
        <v>0.44393799244408283</v>
      </c>
      <c r="FH47" s="16">
        <f t="shared" si="154"/>
        <v>720.88990783564213</v>
      </c>
      <c r="FI47" s="179">
        <f t="shared" si="154"/>
        <v>575.53009216435794</v>
      </c>
      <c r="FJ47" s="179">
        <f t="shared" si="155"/>
        <v>13691.403235002397</v>
      </c>
      <c r="FK47" s="179">
        <f t="shared" si="156"/>
        <v>10930.676764997605</v>
      </c>
      <c r="FL47" s="204">
        <f t="shared" si="157"/>
        <v>14412.29314283804</v>
      </c>
      <c r="FM47" s="206">
        <f t="shared" si="157"/>
        <v>11506.206857161962</v>
      </c>
      <c r="FN47" s="202">
        <f t="shared" si="158"/>
        <v>25918.5</v>
      </c>
      <c r="FO47">
        <v>49.896000000000001</v>
      </c>
      <c r="FP47">
        <v>39.835000000000001</v>
      </c>
      <c r="FQ47" s="217">
        <f t="shared" si="159"/>
        <v>0.55606200755591717</v>
      </c>
      <c r="FR47" s="16">
        <v>4</v>
      </c>
      <c r="FS47" s="16"/>
      <c r="FT47" s="16"/>
      <c r="FU47" s="16"/>
      <c r="FV47" s="16"/>
      <c r="FW47" s="16"/>
      <c r="HH47" s="16" t="s">
        <v>275</v>
      </c>
      <c r="HI47" s="16">
        <f>HY39</f>
        <v>536900</v>
      </c>
      <c r="HJ47" s="16">
        <f>HY39</f>
        <v>536900</v>
      </c>
      <c r="HQ47" s="151"/>
      <c r="HS47" s="151"/>
      <c r="HT47" s="151"/>
      <c r="HY47" s="16">
        <v>3</v>
      </c>
      <c r="HZ47" s="144">
        <f>DailyMar!BX9+DailyMar!BY9-DailyMar!BZ9-DailyMar!CA9-DailyMar!CB9-DailyMar!CC9</f>
        <v>699.9999999998181</v>
      </c>
      <c r="IA47" s="16">
        <v>-540</v>
      </c>
      <c r="IB47" s="16">
        <f t="shared" si="160"/>
        <v>-180</v>
      </c>
      <c r="IC47" s="16">
        <v>-180</v>
      </c>
      <c r="IE47">
        <v>13</v>
      </c>
      <c r="IF47">
        <f t="shared" si="142"/>
        <v>33849.999999999964</v>
      </c>
      <c r="IM47">
        <f t="shared" si="143"/>
        <v>19549.999999999956</v>
      </c>
      <c r="IP47">
        <f t="shared" si="144"/>
        <v>0</v>
      </c>
      <c r="JE47">
        <f t="shared" si="145"/>
        <v>25600.000000000022</v>
      </c>
    </row>
    <row r="48" spans="1:284" x14ac:dyDescent="0.25">
      <c r="A48" s="35">
        <v>3</v>
      </c>
      <c r="B48" s="138"/>
      <c r="C48" s="65"/>
      <c r="D48" s="37">
        <f t="shared" si="146"/>
        <v>0</v>
      </c>
      <c r="E48" s="16">
        <v>20198</v>
      </c>
      <c r="F48" s="16"/>
      <c r="G48" s="37">
        <f t="shared" si="147"/>
        <v>54000</v>
      </c>
      <c r="H48" s="138"/>
      <c r="I48" s="65"/>
      <c r="J48" s="37">
        <f t="shared" si="148"/>
        <v>0</v>
      </c>
      <c r="AL48" s="101"/>
      <c r="AM48" s="101"/>
      <c r="AN48" s="101"/>
      <c r="AP48" s="405"/>
      <c r="AQ48" s="405"/>
      <c r="AR48" s="405"/>
      <c r="AS48" s="405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f>DP47+1</f>
        <v>2</v>
      </c>
      <c r="DQ48" s="50">
        <v>7.8451000000000004</v>
      </c>
      <c r="DR48" s="49">
        <f t="shared" ref="DR48:DR78" si="161">IF((DQ48-DQ47)&lt;=0,0,(DQ48-DQ47))*10000</f>
        <v>69.000000000007944</v>
      </c>
      <c r="DS48" s="50">
        <v>51.348999999999997</v>
      </c>
      <c r="DT48" s="49">
        <f t="shared" ref="DT48:DT56" si="162">IF((DS48-DS47)&lt;=0,0,(DS48-DS47))*1000</f>
        <v>0</v>
      </c>
      <c r="EE48" s="406" t="s">
        <v>206</v>
      </c>
      <c r="EF48" s="406"/>
      <c r="EG48" s="406"/>
      <c r="EH48" s="406" t="s">
        <v>155</v>
      </c>
      <c r="EI48" s="406"/>
      <c r="EJ48" s="406"/>
      <c r="EK48" s="406" t="s">
        <v>207</v>
      </c>
      <c r="EL48" s="406"/>
      <c r="EM48" s="406"/>
      <c r="EV48" s="406" t="s">
        <v>240</v>
      </c>
      <c r="EW48" s="406"/>
      <c r="EX48">
        <f>85*0.6355*24</f>
        <v>1296.42</v>
      </c>
      <c r="EZ48" s="203">
        <f t="shared" si="149"/>
        <v>6439.01</v>
      </c>
      <c r="FA48" s="205">
        <f t="shared" si="150"/>
        <v>12572.34</v>
      </c>
      <c r="FB48" s="201">
        <f t="shared" si="151"/>
        <v>19011.349999999999</v>
      </c>
      <c r="FC48" s="16"/>
      <c r="FD48" s="167">
        <f t="shared" si="152"/>
        <v>17714.93</v>
      </c>
      <c r="FE48" s="16"/>
      <c r="FF48" s="199">
        <v>0.23974338525883002</v>
      </c>
      <c r="FG48" s="200">
        <f t="shared" si="153"/>
        <v>0.76025661474117001</v>
      </c>
      <c r="FH48" s="16">
        <f t="shared" si="154"/>
        <v>310.80811951725241</v>
      </c>
      <c r="FI48" s="179">
        <f t="shared" si="154"/>
        <v>985.61188048274767</v>
      </c>
      <c r="FJ48" s="179">
        <f t="shared" si="155"/>
        <v>4247.0372878232056</v>
      </c>
      <c r="FK48" s="179">
        <f t="shared" si="156"/>
        <v>13467.892712176796</v>
      </c>
      <c r="FL48" s="204">
        <f t="shared" si="157"/>
        <v>4557.8454073404582</v>
      </c>
      <c r="FM48" s="206">
        <f t="shared" si="157"/>
        <v>14453.504592659543</v>
      </c>
      <c r="FN48" s="202">
        <f t="shared" si="158"/>
        <v>19011.350000000002</v>
      </c>
      <c r="FO48">
        <v>13.528</v>
      </c>
      <c r="FP48">
        <v>42.899000000000001</v>
      </c>
      <c r="FQ48" s="217">
        <f t="shared" si="159"/>
        <v>0.23974338525883002</v>
      </c>
      <c r="FR48" s="16">
        <v>5</v>
      </c>
      <c r="FS48" s="16">
        <v>443.65</v>
      </c>
      <c r="FT48" s="16">
        <v>214.55</v>
      </c>
      <c r="FU48" s="16"/>
      <c r="FV48" s="16"/>
      <c r="FW48" s="16"/>
      <c r="HQ48" s="151"/>
      <c r="HY48" s="16">
        <v>4</v>
      </c>
      <c r="HZ48" s="144">
        <f>DailyMar!BX10+DailyMar!BY10-DailyMar!BZ10-DailyMar!CA10-DailyMar!CB10-DailyMar!CC10</f>
        <v>299.99900000017442</v>
      </c>
      <c r="IA48" s="16">
        <v>920</v>
      </c>
      <c r="IB48" s="16">
        <f t="shared" si="160"/>
        <v>306.66666666666669</v>
      </c>
      <c r="IC48" s="16">
        <v>306.66699999999997</v>
      </c>
      <c r="IE48">
        <v>14</v>
      </c>
      <c r="IF48">
        <f t="shared" si="142"/>
        <v>32079.999999999913</v>
      </c>
      <c r="IM48">
        <f t="shared" si="143"/>
        <v>23360.000000000015</v>
      </c>
      <c r="IP48">
        <f t="shared" si="144"/>
        <v>0</v>
      </c>
      <c r="JE48">
        <f t="shared" si="145"/>
        <v>26159.999999999967</v>
      </c>
    </row>
    <row r="49" spans="1:265" x14ac:dyDescent="0.25">
      <c r="A49" s="35">
        <v>4</v>
      </c>
      <c r="B49" s="138"/>
      <c r="C49" s="65"/>
      <c r="D49" s="37">
        <f t="shared" si="146"/>
        <v>0</v>
      </c>
      <c r="E49" s="16">
        <v>20251</v>
      </c>
      <c r="F49" s="16"/>
      <c r="G49" s="37">
        <f t="shared" si="147"/>
        <v>53000</v>
      </c>
      <c r="H49" s="138"/>
      <c r="I49" s="65"/>
      <c r="J49" s="37">
        <f t="shared" si="148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f t="shared" ref="DP49:DP74" si="163">DP48+1</f>
        <v>3</v>
      </c>
      <c r="DQ49" s="50">
        <v>7.8489000000000004</v>
      </c>
      <c r="DR49" s="49">
        <f t="shared" si="161"/>
        <v>38.000000000000256</v>
      </c>
      <c r="DS49" s="50">
        <v>51.348999999999997</v>
      </c>
      <c r="DT49" s="49">
        <f t="shared" si="162"/>
        <v>0</v>
      </c>
      <c r="EZ49" s="203">
        <f t="shared" si="149"/>
        <v>11311.03</v>
      </c>
      <c r="FA49" s="205">
        <f t="shared" si="150"/>
        <v>13911.03</v>
      </c>
      <c r="FB49" s="201">
        <f t="shared" si="151"/>
        <v>25222.06</v>
      </c>
      <c r="FC49" s="16"/>
      <c r="FD49" s="167">
        <f t="shared" si="152"/>
        <v>23925.64</v>
      </c>
      <c r="FE49" s="16"/>
      <c r="FF49" s="199">
        <v>0.47590459632728455</v>
      </c>
      <c r="FG49" s="200">
        <f t="shared" si="153"/>
        <v>0.52409540367271545</v>
      </c>
      <c r="FH49" s="16">
        <f t="shared" si="154"/>
        <v>616.97223677061822</v>
      </c>
      <c r="FI49" s="179">
        <f t="shared" si="154"/>
        <v>679.44776322938185</v>
      </c>
      <c r="FJ49" s="179">
        <f t="shared" si="155"/>
        <v>11386.322046071931</v>
      </c>
      <c r="FK49" s="179">
        <f t="shared" si="156"/>
        <v>12539.317953928068</v>
      </c>
      <c r="FL49" s="204">
        <f t="shared" si="157"/>
        <v>12003.294282842549</v>
      </c>
      <c r="FM49" s="206">
        <f t="shared" si="157"/>
        <v>13218.76571715745</v>
      </c>
      <c r="FN49" s="202">
        <f t="shared" si="158"/>
        <v>25222.059999999998</v>
      </c>
      <c r="FO49">
        <v>35.037999999999997</v>
      </c>
      <c r="FP49">
        <v>38.585999999999999</v>
      </c>
      <c r="FQ49" s="217">
        <f t="shared" si="159"/>
        <v>0.47590459632728455</v>
      </c>
      <c r="FR49" s="16">
        <v>6</v>
      </c>
      <c r="FS49" s="16">
        <v>448.09</v>
      </c>
      <c r="FT49" s="16">
        <v>216.45</v>
      </c>
      <c r="FU49" s="16">
        <f t="shared" ref="FU49:FU75" si="164">(FS49-FS48)*1000</f>
        <v>4439.9999999999982</v>
      </c>
      <c r="FV49" s="16">
        <f t="shared" ref="FV49:FV75" si="165">FU49/2</f>
        <v>2219.9999999999991</v>
      </c>
      <c r="FW49" s="16">
        <f t="shared" ref="FW49:FW75" si="166">FU49/2</f>
        <v>2219.9999999999991</v>
      </c>
      <c r="HQ49" s="151"/>
      <c r="HY49" s="16">
        <v>5</v>
      </c>
      <c r="HZ49" s="144">
        <f>DailyMar!BX11+DailyMar!BY11-DailyMar!BZ11-DailyMar!CA11-DailyMar!CB11-DailyMar!CC11</f>
        <v>-1000.0000000002183</v>
      </c>
      <c r="IA49" s="16">
        <v>-300</v>
      </c>
      <c r="IB49" s="16">
        <f t="shared" si="160"/>
        <v>-100</v>
      </c>
      <c r="IC49" s="16">
        <v>-100</v>
      </c>
      <c r="IE49">
        <v>15</v>
      </c>
      <c r="IF49">
        <f t="shared" si="142"/>
        <v>29749.999999999993</v>
      </c>
      <c r="IM49">
        <f t="shared" si="143"/>
        <v>21610.000000000015</v>
      </c>
      <c r="IP49">
        <f t="shared" si="144"/>
        <v>0</v>
      </c>
      <c r="JE49">
        <f t="shared" si="145"/>
        <v>22940.000000000055</v>
      </c>
    </row>
    <row r="50" spans="1:265" x14ac:dyDescent="0.25">
      <c r="A50" s="35">
        <v>5</v>
      </c>
      <c r="B50" s="138"/>
      <c r="C50" s="65"/>
      <c r="D50" s="37">
        <f t="shared" si="146"/>
        <v>0</v>
      </c>
      <c r="E50" s="16">
        <v>20301</v>
      </c>
      <c r="F50" s="16"/>
      <c r="G50" s="37">
        <f t="shared" si="147"/>
        <v>50000</v>
      </c>
      <c r="H50" s="138"/>
      <c r="I50" s="65"/>
      <c r="J50" s="37">
        <f t="shared" si="148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f t="shared" si="163"/>
        <v>4</v>
      </c>
      <c r="DQ50" s="50">
        <v>7.8583999999999996</v>
      </c>
      <c r="DR50" s="49">
        <f t="shared" si="161"/>
        <v>94.999999999991758</v>
      </c>
      <c r="DS50" s="50">
        <v>51.348999999999997</v>
      </c>
      <c r="DT50" s="49">
        <f t="shared" si="162"/>
        <v>0</v>
      </c>
      <c r="EZ50" s="203">
        <f t="shared" si="149"/>
        <v>11696.92</v>
      </c>
      <c r="FA50" s="205">
        <f t="shared" si="150"/>
        <v>12830.25</v>
      </c>
      <c r="FB50" s="201">
        <f t="shared" si="151"/>
        <v>24527.17</v>
      </c>
      <c r="FC50" s="16"/>
      <c r="FD50" s="167">
        <f t="shared" si="152"/>
        <v>23230.75</v>
      </c>
      <c r="FE50" s="16"/>
      <c r="FF50" s="199">
        <v>0.48813006446268153</v>
      </c>
      <c r="FG50" s="200">
        <f t="shared" si="153"/>
        <v>0.51186993553731841</v>
      </c>
      <c r="FH50" s="16">
        <f t="shared" si="154"/>
        <v>632.82157817070959</v>
      </c>
      <c r="FI50" s="179">
        <f t="shared" si="154"/>
        <v>663.59842182929037</v>
      </c>
      <c r="FJ50" s="179">
        <f t="shared" si="155"/>
        <v>11339.627495016439</v>
      </c>
      <c r="FK50" s="179">
        <f t="shared" si="156"/>
        <v>11891.122504983559</v>
      </c>
      <c r="FL50" s="204">
        <f t="shared" si="157"/>
        <v>11972.449073187148</v>
      </c>
      <c r="FM50" s="206">
        <f t="shared" si="157"/>
        <v>12554.72092681285</v>
      </c>
      <c r="FN50" s="202">
        <f t="shared" si="158"/>
        <v>24527.17</v>
      </c>
      <c r="FO50">
        <v>37.709999999999994</v>
      </c>
      <c r="FP50">
        <v>39.543999999999997</v>
      </c>
      <c r="FQ50" s="217">
        <f t="shared" si="159"/>
        <v>0.48813006446268153</v>
      </c>
      <c r="FR50" s="16">
        <v>7</v>
      </c>
      <c r="FS50" s="16">
        <v>452.29</v>
      </c>
      <c r="FT50" s="16">
        <v>218.25</v>
      </c>
      <c r="FU50" s="16">
        <f t="shared" si="164"/>
        <v>4200.0000000000455</v>
      </c>
      <c r="FV50" s="16">
        <f t="shared" si="165"/>
        <v>2100.0000000000227</v>
      </c>
      <c r="FW50" s="16">
        <f t="shared" si="166"/>
        <v>2100.0000000000227</v>
      </c>
      <c r="FX50" s="151"/>
      <c r="FY50" s="150"/>
      <c r="FZ50" s="151"/>
      <c r="GV50" s="166"/>
      <c r="HY50" s="16">
        <v>6</v>
      </c>
      <c r="HZ50" s="144">
        <f>DailyMar!BX12+DailyMar!BY12-DailyMar!BZ12-DailyMar!CA12-DailyMar!CB12-DailyMar!CC12</f>
        <v>-9.9999997328268364E-3</v>
      </c>
      <c r="IA50" s="16">
        <v>-490</v>
      </c>
      <c r="IB50" s="16">
        <f t="shared" si="160"/>
        <v>-163.33333333333334</v>
      </c>
      <c r="IC50" s="16">
        <v>-163.33000000000001</v>
      </c>
      <c r="IE50">
        <v>16</v>
      </c>
      <c r="IF50">
        <f t="shared" si="142"/>
        <v>28470</v>
      </c>
      <c r="IM50">
        <f t="shared" si="143"/>
        <v>22289.999999999964</v>
      </c>
      <c r="IP50">
        <f t="shared" si="144"/>
        <v>0</v>
      </c>
      <c r="JE50">
        <f t="shared" si="145"/>
        <v>22439.999999999942</v>
      </c>
    </row>
    <row r="51" spans="1:265" x14ac:dyDescent="0.25">
      <c r="A51" s="35">
        <v>6</v>
      </c>
      <c r="B51" s="138"/>
      <c r="C51" s="65"/>
      <c r="D51" s="37">
        <f t="shared" si="146"/>
        <v>0</v>
      </c>
      <c r="E51" s="16">
        <v>20331</v>
      </c>
      <c r="F51" s="16"/>
      <c r="G51" s="37">
        <f t="shared" si="147"/>
        <v>30000</v>
      </c>
      <c r="H51" s="138"/>
      <c r="I51" s="65"/>
      <c r="J51" s="37">
        <f t="shared" si="148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f t="shared" si="163"/>
        <v>5</v>
      </c>
      <c r="DQ51" s="50">
        <v>7.8704999999999998</v>
      </c>
      <c r="DR51" s="49">
        <f t="shared" si="161"/>
        <v>121.00000000000222</v>
      </c>
      <c r="DS51" s="50">
        <v>51.348999999999997</v>
      </c>
      <c r="DT51" s="49">
        <f t="shared" si="162"/>
        <v>0</v>
      </c>
      <c r="EZ51" s="203">
        <f t="shared" si="149"/>
        <v>7271.42</v>
      </c>
      <c r="FA51" s="205">
        <f t="shared" si="150"/>
        <v>7083.09</v>
      </c>
      <c r="FB51" s="201">
        <f t="shared" si="151"/>
        <v>14354.51</v>
      </c>
      <c r="FC51" s="16"/>
      <c r="FD51" s="167">
        <f t="shared" si="152"/>
        <v>13058.09</v>
      </c>
      <c r="FE51" s="16"/>
      <c r="FF51" s="199">
        <v>0.49297743883063239</v>
      </c>
      <c r="FG51" s="200">
        <f t="shared" si="153"/>
        <v>0.50702256116936761</v>
      </c>
      <c r="FH51" s="16">
        <f t="shared" si="154"/>
        <v>639.10581124880844</v>
      </c>
      <c r="FI51" s="179">
        <f t="shared" si="154"/>
        <v>657.31418875119164</v>
      </c>
      <c r="FJ51" s="179">
        <f t="shared" si="155"/>
        <v>6437.3437642198924</v>
      </c>
      <c r="FK51" s="179">
        <f t="shared" si="156"/>
        <v>6620.7462357801078</v>
      </c>
      <c r="FL51" s="204">
        <f t="shared" si="157"/>
        <v>7076.4495754687005</v>
      </c>
      <c r="FM51" s="206">
        <f t="shared" si="157"/>
        <v>7278.0604245312998</v>
      </c>
      <c r="FN51" s="202">
        <f t="shared" si="158"/>
        <v>14354.51</v>
      </c>
      <c r="FO51">
        <v>23.271000000000001</v>
      </c>
      <c r="FP51">
        <v>23.933999999999997</v>
      </c>
      <c r="FQ51" s="217">
        <f t="shared" si="159"/>
        <v>0.49297743883063239</v>
      </c>
      <c r="FR51" s="16">
        <v>8</v>
      </c>
      <c r="FS51" s="16">
        <v>456.22</v>
      </c>
      <c r="FT51" s="16">
        <v>220.18</v>
      </c>
      <c r="FU51" s="16">
        <f t="shared" si="164"/>
        <v>3930.0000000000068</v>
      </c>
      <c r="FV51" s="16">
        <f t="shared" si="165"/>
        <v>1965.0000000000034</v>
      </c>
      <c r="FW51" s="16">
        <f t="shared" si="166"/>
        <v>1965.0000000000034</v>
      </c>
      <c r="GV51" s="166"/>
      <c r="HH51" s="16" t="s">
        <v>276</v>
      </c>
      <c r="HI51" s="16">
        <f>HI42+HI43-HI44-HI45-HI46-HI47</f>
        <v>7.8099999343976378E-2</v>
      </c>
      <c r="HJ51" s="179">
        <f>HI42-HJ44-HJ45-HJ47-HJ46</f>
        <v>1648884.4</v>
      </c>
      <c r="HK51" s="16" t="s">
        <v>115</v>
      </c>
      <c r="HY51" s="16">
        <v>7</v>
      </c>
      <c r="HZ51" s="144">
        <f>DailyMar!BX13+DailyMar!BY13-DailyMar!BZ13-DailyMar!CA13-DailyMar!CB13-DailyMar!CC13</f>
        <v>-1.0000004731409717E-3</v>
      </c>
      <c r="IA51" s="16">
        <v>1040</v>
      </c>
      <c r="IB51" s="16">
        <f t="shared" si="160"/>
        <v>346.66666666666669</v>
      </c>
      <c r="IC51" s="16">
        <v>346.66699999999997</v>
      </c>
      <c r="IE51">
        <v>17</v>
      </c>
      <c r="IF51">
        <f t="shared" si="142"/>
        <v>25970</v>
      </c>
      <c r="IM51">
        <f t="shared" si="143"/>
        <v>20620.000000000004</v>
      </c>
      <c r="IP51">
        <f t="shared" si="144"/>
        <v>0</v>
      </c>
      <c r="JE51">
        <f t="shared" si="145"/>
        <v>22410.00000000008</v>
      </c>
    </row>
    <row r="52" spans="1:265" x14ac:dyDescent="0.25">
      <c r="A52" s="35">
        <v>7</v>
      </c>
      <c r="B52" s="138"/>
      <c r="C52" s="65"/>
      <c r="D52" s="37">
        <f t="shared" si="146"/>
        <v>0</v>
      </c>
      <c r="E52" s="16">
        <v>20369</v>
      </c>
      <c r="F52" s="16"/>
      <c r="G52" s="37">
        <f t="shared" si="147"/>
        <v>38000</v>
      </c>
      <c r="H52" s="138"/>
      <c r="I52" s="65"/>
      <c r="J52" s="37">
        <f t="shared" si="148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f t="shared" si="163"/>
        <v>6</v>
      </c>
      <c r="DQ52" s="50">
        <v>7.8768000000000002</v>
      </c>
      <c r="DR52" s="49">
        <f t="shared" si="161"/>
        <v>63.000000000004164</v>
      </c>
      <c r="DS52" s="50">
        <v>51.348999999999997</v>
      </c>
      <c r="DT52" s="49">
        <f t="shared" si="162"/>
        <v>0</v>
      </c>
      <c r="EZ52" s="203">
        <f t="shared" si="149"/>
        <v>12324.26</v>
      </c>
      <c r="FA52" s="205">
        <f t="shared" si="150"/>
        <v>12587.59</v>
      </c>
      <c r="FB52" s="201">
        <f t="shared" si="151"/>
        <v>24911.85</v>
      </c>
      <c r="FC52" s="16"/>
      <c r="FD52" s="167">
        <f t="shared" si="152"/>
        <v>23615.43</v>
      </c>
      <c r="FE52" s="16"/>
      <c r="FF52" s="199">
        <v>0.4954058621422896</v>
      </c>
      <c r="FG52" s="200">
        <f t="shared" si="153"/>
        <v>0.50459413785771035</v>
      </c>
      <c r="FH52" s="16">
        <f t="shared" si="154"/>
        <v>642.25406779850709</v>
      </c>
      <c r="FI52" s="179">
        <f t="shared" si="154"/>
        <v>654.16593220149286</v>
      </c>
      <c r="FJ52" s="179">
        <f t="shared" si="155"/>
        <v>11699.222459010891</v>
      </c>
      <c r="FK52" s="179">
        <f t="shared" si="156"/>
        <v>11916.207540989109</v>
      </c>
      <c r="FL52" s="204">
        <f t="shared" si="157"/>
        <v>12341.476526809398</v>
      </c>
      <c r="FM52" s="206">
        <f t="shared" si="157"/>
        <v>12570.373473190602</v>
      </c>
      <c r="FN52" s="202">
        <f t="shared" si="158"/>
        <v>24911.85</v>
      </c>
      <c r="FO52">
        <v>44.265999999999998</v>
      </c>
      <c r="FP52">
        <v>45.086999999999996</v>
      </c>
      <c r="FQ52" s="217">
        <f t="shared" si="159"/>
        <v>0.4954058621422896</v>
      </c>
      <c r="FR52" s="16">
        <v>9</v>
      </c>
      <c r="FS52" s="16">
        <v>460.44</v>
      </c>
      <c r="FT52" s="16">
        <v>221.96</v>
      </c>
      <c r="FU52" s="16">
        <f t="shared" si="164"/>
        <v>4219.9999999999709</v>
      </c>
      <c r="FV52" s="16">
        <f t="shared" si="165"/>
        <v>2109.9999999999854</v>
      </c>
      <c r="FW52" s="16">
        <f t="shared" si="166"/>
        <v>2109.9999999999854</v>
      </c>
      <c r="HY52" s="16">
        <v>8</v>
      </c>
      <c r="HZ52" s="144">
        <f>DailyMar!BX14+DailyMar!BY14-DailyMar!BZ14-DailyMar!CA14-DailyMar!CB14-DailyMar!CC14</f>
        <v>2.5465851649641991E-10</v>
      </c>
      <c r="IA52" s="16">
        <v>300</v>
      </c>
      <c r="IB52" s="16">
        <f t="shared" si="160"/>
        <v>100</v>
      </c>
      <c r="IC52" s="16">
        <v>100</v>
      </c>
      <c r="IE52">
        <v>18</v>
      </c>
      <c r="IF52">
        <f t="shared" si="142"/>
        <v>27840.000000000138</v>
      </c>
      <c r="IM52">
        <f t="shared" si="143"/>
        <v>20700.000000000044</v>
      </c>
      <c r="IP52">
        <f t="shared" si="144"/>
        <v>0</v>
      </c>
      <c r="JE52">
        <f t="shared" si="145"/>
        <v>22459.999999999924</v>
      </c>
    </row>
    <row r="53" spans="1:265" x14ac:dyDescent="0.25">
      <c r="A53" s="35">
        <v>8</v>
      </c>
      <c r="B53" s="138"/>
      <c r="C53" s="65"/>
      <c r="D53" s="37">
        <f t="shared" si="146"/>
        <v>0</v>
      </c>
      <c r="E53" s="16">
        <v>20423</v>
      </c>
      <c r="F53" s="16"/>
      <c r="G53" s="37">
        <f t="shared" si="147"/>
        <v>54000</v>
      </c>
      <c r="H53" s="138"/>
      <c r="I53" s="65"/>
      <c r="J53" s="37">
        <f t="shared" si="148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3"/>
      <c r="DP53">
        <f t="shared" si="163"/>
        <v>7</v>
      </c>
      <c r="DQ53" s="50">
        <v>7.8856000000000002</v>
      </c>
      <c r="DR53" s="49">
        <f t="shared" si="161"/>
        <v>87.99999999999919</v>
      </c>
      <c r="DS53" s="50">
        <v>51.348999999999997</v>
      </c>
      <c r="DT53" s="49">
        <f t="shared" si="162"/>
        <v>0</v>
      </c>
      <c r="EZ53" s="203">
        <f t="shared" si="149"/>
        <v>12319.3</v>
      </c>
      <c r="FA53" s="205">
        <f t="shared" si="150"/>
        <v>12564.3</v>
      </c>
      <c r="FB53" s="201">
        <f t="shared" si="151"/>
        <v>24883.599999999999</v>
      </c>
      <c r="FC53" s="16"/>
      <c r="FD53" s="167">
        <f t="shared" si="152"/>
        <v>23587.18</v>
      </c>
      <c r="FE53" s="16"/>
      <c r="FF53" s="199">
        <v>0.49949757720563603</v>
      </c>
      <c r="FG53" s="200">
        <f t="shared" si="153"/>
        <v>0.50050242279436397</v>
      </c>
      <c r="FH53" s="16">
        <f t="shared" si="154"/>
        <v>647.55864904093073</v>
      </c>
      <c r="FI53" s="179">
        <f t="shared" si="154"/>
        <v>648.86135095906934</v>
      </c>
      <c r="FJ53" s="179">
        <f t="shared" si="155"/>
        <v>11781.739263113233</v>
      </c>
      <c r="FK53" s="179">
        <f t="shared" si="156"/>
        <v>11805.440736886767</v>
      </c>
      <c r="FL53" s="204">
        <f t="shared" si="157"/>
        <v>12429.297912154165</v>
      </c>
      <c r="FM53" s="206">
        <f t="shared" si="157"/>
        <v>12454.302087845836</v>
      </c>
      <c r="FN53" s="202">
        <f t="shared" si="158"/>
        <v>24883.599999999999</v>
      </c>
      <c r="FO53">
        <v>44.738</v>
      </c>
      <c r="FP53">
        <v>44.827999999999996</v>
      </c>
      <c r="FQ53" s="217">
        <f t="shared" si="159"/>
        <v>0.49949757720563603</v>
      </c>
      <c r="FR53" s="16">
        <v>10</v>
      </c>
      <c r="FS53" s="16">
        <v>464.77</v>
      </c>
      <c r="FT53" s="16">
        <v>223.73</v>
      </c>
      <c r="FU53" s="16">
        <f t="shared" si="164"/>
        <v>4329.9999999999836</v>
      </c>
      <c r="FV53" s="16">
        <f t="shared" si="165"/>
        <v>2164.9999999999918</v>
      </c>
      <c r="FW53" s="16">
        <f t="shared" si="166"/>
        <v>2164.9999999999918</v>
      </c>
      <c r="HY53" s="16">
        <v>9</v>
      </c>
      <c r="HZ53" s="144">
        <f>DailyMar!BX15+DailyMar!BY15-DailyMar!BZ15-DailyMar!CA15-DailyMar!CB15-DailyMar!CC15</f>
        <v>1.0000023030443117E-4</v>
      </c>
      <c r="IA53" s="16">
        <v>-20</v>
      </c>
      <c r="IB53" s="16">
        <f t="shared" si="160"/>
        <v>-6.666666666666667</v>
      </c>
      <c r="IC53" s="16">
        <v>-6.6666999999999996</v>
      </c>
      <c r="IE53">
        <v>19</v>
      </c>
      <c r="IF53">
        <f t="shared" si="142"/>
        <v>22129.999999999862</v>
      </c>
      <c r="IM53">
        <f t="shared" si="143"/>
        <v>24409.999999999967</v>
      </c>
      <c r="IP53">
        <f t="shared" si="144"/>
        <v>0</v>
      </c>
      <c r="JE53">
        <f t="shared" si="145"/>
        <v>21860.000000000015</v>
      </c>
    </row>
    <row r="54" spans="1:265" x14ac:dyDescent="0.25">
      <c r="A54" s="35">
        <v>9</v>
      </c>
      <c r="B54" s="138"/>
      <c r="C54" s="65"/>
      <c r="D54" s="37">
        <f t="shared" si="146"/>
        <v>0</v>
      </c>
      <c r="E54" s="16">
        <v>20478</v>
      </c>
      <c r="F54" s="16"/>
      <c r="G54" s="37">
        <f t="shared" si="147"/>
        <v>55000</v>
      </c>
      <c r="H54" s="138"/>
      <c r="I54" s="65"/>
      <c r="J54" s="37">
        <f t="shared" si="148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f t="shared" si="163"/>
        <v>8</v>
      </c>
      <c r="DQ54" s="50">
        <v>7.8936999999999999</v>
      </c>
      <c r="DR54" s="49">
        <f t="shared" si="161"/>
        <v>80.99999999999774</v>
      </c>
      <c r="DS54" s="50">
        <v>51.348999999999997</v>
      </c>
      <c r="DT54" s="49">
        <f t="shared" si="162"/>
        <v>0</v>
      </c>
      <c r="EZ54" s="203">
        <f t="shared" si="149"/>
        <v>13041.99</v>
      </c>
      <c r="FA54" s="205">
        <f t="shared" si="150"/>
        <v>12546.99</v>
      </c>
      <c r="FB54" s="201">
        <f t="shared" si="151"/>
        <v>25588.98</v>
      </c>
      <c r="FC54" s="16"/>
      <c r="FD54" s="167">
        <f t="shared" si="152"/>
        <v>24292.559999999998</v>
      </c>
      <c r="FE54" s="16"/>
      <c r="FF54" s="199">
        <v>0.55107409031126697</v>
      </c>
      <c r="FG54" s="200">
        <f t="shared" si="153"/>
        <v>0.44892590968873303</v>
      </c>
      <c r="FH54" s="16">
        <f t="shared" si="154"/>
        <v>714.42347216133282</v>
      </c>
      <c r="FI54" s="179">
        <f t="shared" si="154"/>
        <v>581.99652783866725</v>
      </c>
      <c r="FJ54" s="179">
        <f t="shared" si="155"/>
        <v>13387.000403331871</v>
      </c>
      <c r="FK54" s="179">
        <f t="shared" si="156"/>
        <v>10905.559596668127</v>
      </c>
      <c r="FL54" s="204">
        <f t="shared" si="157"/>
        <v>14101.423875493203</v>
      </c>
      <c r="FM54" s="206">
        <f t="shared" si="157"/>
        <v>11487.556124506795</v>
      </c>
      <c r="FN54" s="202">
        <f t="shared" si="158"/>
        <v>25588.979999999996</v>
      </c>
      <c r="FO54">
        <v>49.023000000000003</v>
      </c>
      <c r="FP54">
        <v>39.936</v>
      </c>
      <c r="FQ54" s="217">
        <f t="shared" si="159"/>
        <v>0.55107409031126697</v>
      </c>
      <c r="FR54" s="16">
        <v>11</v>
      </c>
      <c r="FS54" s="16">
        <v>469.14</v>
      </c>
      <c r="FT54" s="16">
        <v>225.64</v>
      </c>
      <c r="FU54" s="16">
        <f t="shared" si="164"/>
        <v>4370.0000000000045</v>
      </c>
      <c r="FV54" s="16">
        <f t="shared" si="165"/>
        <v>2185.0000000000023</v>
      </c>
      <c r="FW54" s="16">
        <f t="shared" si="166"/>
        <v>2185.0000000000023</v>
      </c>
      <c r="FX54" s="151"/>
      <c r="HY54" s="16">
        <v>10</v>
      </c>
      <c r="HZ54" s="144">
        <f>DailyMar!BX16+DailyMar!BY16-DailyMar!BZ16-DailyMar!CA16-DailyMar!CB16-DailyMar!CC16</f>
        <v>9.9999999467399903E-2</v>
      </c>
      <c r="IA54" s="16">
        <v>-3890</v>
      </c>
      <c r="IB54" s="16">
        <f t="shared" si="160"/>
        <v>-1296.6666666666667</v>
      </c>
      <c r="IC54" s="16">
        <v>-1296.7</v>
      </c>
      <c r="IE54">
        <v>20</v>
      </c>
      <c r="IF54">
        <f t="shared" si="142"/>
        <v>20770.00000000008</v>
      </c>
      <c r="IM54">
        <f t="shared" si="143"/>
        <v>10070.000000000051</v>
      </c>
      <c r="IP54">
        <f t="shared" si="144"/>
        <v>0</v>
      </c>
      <c r="JE54">
        <f t="shared" si="145"/>
        <v>9519.9999999999818</v>
      </c>
    </row>
    <row r="55" spans="1:265" x14ac:dyDescent="0.25">
      <c r="A55" s="35">
        <v>10</v>
      </c>
      <c r="B55" s="138"/>
      <c r="C55" s="65"/>
      <c r="D55" s="37">
        <f t="shared" si="146"/>
        <v>0</v>
      </c>
      <c r="E55" s="16">
        <v>20529</v>
      </c>
      <c r="F55" s="16"/>
      <c r="G55" s="37">
        <f t="shared" si="147"/>
        <v>51000</v>
      </c>
      <c r="H55" s="138"/>
      <c r="I55" s="65"/>
      <c r="J55" s="37">
        <f t="shared" si="148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f t="shared" si="163"/>
        <v>9</v>
      </c>
      <c r="DQ55" s="50">
        <v>7.8997000000000002</v>
      </c>
      <c r="DR55" s="49">
        <f t="shared" si="161"/>
        <v>60.000000000002274</v>
      </c>
      <c r="DS55" s="50">
        <v>51.348999999999997</v>
      </c>
      <c r="DT55" s="49">
        <f t="shared" si="162"/>
        <v>0</v>
      </c>
      <c r="EZ55" s="203">
        <f t="shared" si="149"/>
        <v>12446.67</v>
      </c>
      <c r="FA55" s="205">
        <f t="shared" si="150"/>
        <v>12952.22</v>
      </c>
      <c r="FB55" s="201">
        <f t="shared" si="151"/>
        <v>25398.89</v>
      </c>
      <c r="FC55" s="16"/>
      <c r="FD55" s="167">
        <f t="shared" si="152"/>
        <v>24102.47</v>
      </c>
      <c r="FE55" s="16"/>
      <c r="FF55" s="199">
        <v>0.55811135418007118</v>
      </c>
      <c r="FG55" s="200">
        <f t="shared" si="153"/>
        <v>0.44188864581992882</v>
      </c>
      <c r="FH55" s="16">
        <f t="shared" si="154"/>
        <v>723.54672178612793</v>
      </c>
      <c r="FI55" s="179">
        <f t="shared" si="154"/>
        <v>572.87327821387214</v>
      </c>
      <c r="FJ55" s="179">
        <f t="shared" si="155"/>
        <v>13451.862170784541</v>
      </c>
      <c r="FK55" s="179">
        <f t="shared" si="156"/>
        <v>10650.60782921546</v>
      </c>
      <c r="FL55" s="204">
        <f t="shared" si="157"/>
        <v>14175.408892570669</v>
      </c>
      <c r="FM55" s="206">
        <f t="shared" si="157"/>
        <v>11223.481107429332</v>
      </c>
      <c r="FN55" s="202">
        <f t="shared" si="158"/>
        <v>25398.89</v>
      </c>
      <c r="FO55">
        <v>52.045000000000002</v>
      </c>
      <c r="FP55">
        <v>41.207000000000001</v>
      </c>
      <c r="FQ55" s="217">
        <f t="shared" si="159"/>
        <v>0.55811135418007118</v>
      </c>
      <c r="FR55" s="16">
        <v>12</v>
      </c>
      <c r="FS55" s="16">
        <v>473.22</v>
      </c>
      <c r="FT55" s="16">
        <v>227.39</v>
      </c>
      <c r="FU55" s="16">
        <f t="shared" si="164"/>
        <v>4080.0000000000409</v>
      </c>
      <c r="FV55" s="16">
        <f t="shared" si="165"/>
        <v>2040.0000000000205</v>
      </c>
      <c r="FW55" s="16">
        <f t="shared" si="166"/>
        <v>2040.0000000000205</v>
      </c>
      <c r="FX55" s="151"/>
      <c r="HY55" s="16">
        <v>11</v>
      </c>
      <c r="HZ55" s="144">
        <f>DailyMar!BX17+DailyMar!BY17-DailyMar!BZ17-DailyMar!CA17-DailyMar!CB17-DailyMar!CC17</f>
        <v>-2.5465851649641991E-11</v>
      </c>
      <c r="IA55" s="16">
        <v>-28170</v>
      </c>
      <c r="IB55" s="16">
        <f>IA55</f>
        <v>-28170</v>
      </c>
      <c r="IC55" s="16">
        <v>-28170</v>
      </c>
      <c r="IE55">
        <v>21</v>
      </c>
      <c r="IF55">
        <f t="shared" si="142"/>
        <v>26849.999999999869</v>
      </c>
      <c r="IM55">
        <f t="shared" si="143"/>
        <v>20459.999999999924</v>
      </c>
      <c r="IP55">
        <f t="shared" si="144"/>
        <v>0</v>
      </c>
      <c r="JE55">
        <f t="shared" si="145"/>
        <v>14530.000000000087</v>
      </c>
    </row>
    <row r="56" spans="1:265" x14ac:dyDescent="0.25">
      <c r="A56" s="35">
        <v>11</v>
      </c>
      <c r="B56" s="138"/>
      <c r="C56" s="65"/>
      <c r="D56" s="37">
        <f t="shared" si="146"/>
        <v>0</v>
      </c>
      <c r="E56" s="16">
        <v>20601</v>
      </c>
      <c r="F56" s="16"/>
      <c r="G56" s="37">
        <f t="shared" si="147"/>
        <v>72000</v>
      </c>
      <c r="H56" s="138"/>
      <c r="I56" s="65"/>
      <c r="J56" s="37">
        <f t="shared" si="148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f t="shared" si="163"/>
        <v>10</v>
      </c>
      <c r="DQ56" s="50">
        <v>7.9039000000000001</v>
      </c>
      <c r="DR56" s="49">
        <f t="shared" si="161"/>
        <v>41.999999999999815</v>
      </c>
      <c r="DS56" s="50">
        <v>51.348999999999997</v>
      </c>
      <c r="DT56" s="49">
        <f t="shared" si="162"/>
        <v>0</v>
      </c>
      <c r="EZ56" s="203">
        <f t="shared" si="149"/>
        <v>12572.89</v>
      </c>
      <c r="FA56" s="205">
        <f t="shared" si="150"/>
        <v>15022.89</v>
      </c>
      <c r="FB56" s="201">
        <f t="shared" si="151"/>
        <v>27595.78</v>
      </c>
      <c r="FC56" s="16"/>
      <c r="FD56" s="167">
        <f t="shared" si="152"/>
        <v>26299.360000000001</v>
      </c>
      <c r="FE56" s="16"/>
      <c r="FF56" s="199">
        <v>0.56739467496329155</v>
      </c>
      <c r="FG56" s="200">
        <f t="shared" si="153"/>
        <v>0.43260532503670845</v>
      </c>
      <c r="FH56" s="16">
        <f t="shared" si="154"/>
        <v>735.58180451591045</v>
      </c>
      <c r="FI56" s="179">
        <f t="shared" si="154"/>
        <v>560.83819548408962</v>
      </c>
      <c r="FJ56" s="179">
        <f t="shared" si="155"/>
        <v>14922.116818942592</v>
      </c>
      <c r="FK56" s="179">
        <f t="shared" si="156"/>
        <v>11377.243181057409</v>
      </c>
      <c r="FL56" s="204">
        <f t="shared" si="157"/>
        <v>15657.698623458502</v>
      </c>
      <c r="FM56" s="206">
        <f t="shared" si="157"/>
        <v>11938.081376541499</v>
      </c>
      <c r="FN56" s="202">
        <f t="shared" si="158"/>
        <v>27595.78</v>
      </c>
      <c r="FO56">
        <v>55.257999999999996</v>
      </c>
      <c r="FP56">
        <v>42.131</v>
      </c>
      <c r="FQ56" s="217">
        <f t="shared" si="159"/>
        <v>0.56739467496329155</v>
      </c>
      <c r="FR56" s="16">
        <v>13</v>
      </c>
      <c r="FS56" s="16">
        <v>477.52</v>
      </c>
      <c r="FT56" s="16">
        <v>229.29</v>
      </c>
      <c r="FU56" s="16">
        <f t="shared" si="164"/>
        <v>4299.9999999999545</v>
      </c>
      <c r="FV56" s="16">
        <f t="shared" si="165"/>
        <v>2149.9999999999773</v>
      </c>
      <c r="FW56" s="16">
        <f t="shared" si="166"/>
        <v>2149.9999999999773</v>
      </c>
      <c r="HY56" s="16">
        <v>12</v>
      </c>
      <c r="HZ56" s="144">
        <f>DailyMar!BX18+DailyMar!BY18-DailyMar!BZ18-DailyMar!CA18-DailyMar!CB18-DailyMar!CC18</f>
        <v>2.3283064365386963E-10</v>
      </c>
      <c r="IA56" s="16">
        <v>-31190</v>
      </c>
      <c r="IB56" s="16">
        <f>IA56</f>
        <v>-31190</v>
      </c>
      <c r="IC56" s="16">
        <v>-31190</v>
      </c>
      <c r="IE56">
        <v>22</v>
      </c>
      <c r="IF56">
        <f t="shared" si="142"/>
        <v>26860.000000000131</v>
      </c>
      <c r="IM56">
        <f t="shared" si="143"/>
        <v>19480.000000000018</v>
      </c>
      <c r="IP56">
        <f t="shared" si="144"/>
        <v>0</v>
      </c>
      <c r="JE56">
        <f t="shared" si="145"/>
        <v>16559.999999999945</v>
      </c>
    </row>
    <row r="57" spans="1:265" x14ac:dyDescent="0.25">
      <c r="A57" s="35">
        <v>12</v>
      </c>
      <c r="B57" s="138"/>
      <c r="C57" s="65"/>
      <c r="D57" s="37">
        <f t="shared" si="146"/>
        <v>0</v>
      </c>
      <c r="E57" s="16">
        <v>20688</v>
      </c>
      <c r="F57" s="16"/>
      <c r="G57" s="37">
        <f t="shared" si="147"/>
        <v>87000</v>
      </c>
      <c r="H57" s="138"/>
      <c r="I57" s="65"/>
      <c r="J57" s="37">
        <f t="shared" si="148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f t="shared" si="163"/>
        <v>11</v>
      </c>
      <c r="DQ57" s="50">
        <v>7.9081000000000001</v>
      </c>
      <c r="DR57" s="49">
        <f t="shared" si="161"/>
        <v>41.999999999999815</v>
      </c>
      <c r="DS57" s="50">
        <v>51.348999999999997</v>
      </c>
      <c r="DT57" s="49">
        <f>IF((DS57-DS56)&lt;=0,0,(DS57-DS56))*1000</f>
        <v>0</v>
      </c>
      <c r="EZ57" s="203">
        <f t="shared" si="149"/>
        <v>12961.39</v>
      </c>
      <c r="FA57" s="205">
        <f t="shared" si="150"/>
        <v>17246.39</v>
      </c>
      <c r="FB57" s="201">
        <f t="shared" si="151"/>
        <v>30207.78</v>
      </c>
      <c r="FC57" s="16"/>
      <c r="FD57" s="167">
        <f t="shared" si="152"/>
        <v>28911.360000000001</v>
      </c>
      <c r="FE57" s="16"/>
      <c r="FF57" s="199">
        <v>0.51895676424089487</v>
      </c>
      <c r="FG57" s="200">
        <f t="shared" si="153"/>
        <v>0.48104323575910513</v>
      </c>
      <c r="FH57" s="16">
        <f t="shared" si="154"/>
        <v>672.78592829718093</v>
      </c>
      <c r="FI57" s="179">
        <f t="shared" si="154"/>
        <v>623.63407170281914</v>
      </c>
      <c r="FJ57" s="179">
        <f t="shared" si="155"/>
        <v>15003.745835403639</v>
      </c>
      <c r="FK57" s="179">
        <f t="shared" si="156"/>
        <v>13907.614164596362</v>
      </c>
      <c r="FL57" s="204">
        <f t="shared" si="157"/>
        <v>15676.531763700819</v>
      </c>
      <c r="FM57" s="206">
        <f t="shared" si="157"/>
        <v>14531.248236299181</v>
      </c>
      <c r="FN57" s="202">
        <f t="shared" si="158"/>
        <v>30207.78</v>
      </c>
      <c r="FO57">
        <v>52.849000000000004</v>
      </c>
      <c r="FP57">
        <v>48.987999999999992</v>
      </c>
      <c r="FQ57" s="217">
        <f t="shared" si="159"/>
        <v>0.51895676424089487</v>
      </c>
      <c r="FR57" s="16">
        <v>14</v>
      </c>
      <c r="FS57" s="16">
        <v>481.81</v>
      </c>
      <c r="FT57" s="16">
        <v>231.06</v>
      </c>
      <c r="FU57" s="16">
        <f t="shared" si="164"/>
        <v>4290.00000000002</v>
      </c>
      <c r="FV57" s="16">
        <f t="shared" si="165"/>
        <v>2145.00000000001</v>
      </c>
      <c r="FW57" s="16">
        <f t="shared" si="166"/>
        <v>2145.00000000001</v>
      </c>
      <c r="HY57" s="16">
        <v>13</v>
      </c>
      <c r="HZ57" s="144">
        <f>DailyMar!BX19+DailyMar!BY19-DailyMar!BZ19-DailyMar!CA19-DailyMar!CB19-DailyMar!CC19</f>
        <v>1.0550138540565968E-10</v>
      </c>
      <c r="IA57" s="16">
        <v>-31020</v>
      </c>
      <c r="IB57" s="16">
        <f t="shared" ref="IB57:IB69" si="167">IA57/1</f>
        <v>-31020</v>
      </c>
      <c r="IC57" s="16">
        <v>-31020</v>
      </c>
      <c r="IE57">
        <v>23</v>
      </c>
      <c r="IF57">
        <f t="shared" si="142"/>
        <v>19099.999999999854</v>
      </c>
      <c r="IM57">
        <f t="shared" si="143"/>
        <v>22899.999999999978</v>
      </c>
      <c r="IP57">
        <f t="shared" si="144"/>
        <v>0</v>
      </c>
      <c r="JE57">
        <f t="shared" si="145"/>
        <v>11799.999999999955</v>
      </c>
    </row>
    <row r="58" spans="1:265" x14ac:dyDescent="0.25">
      <c r="A58" s="35">
        <v>13</v>
      </c>
      <c r="B58" s="138"/>
      <c r="C58" s="65"/>
      <c r="D58" s="37">
        <f t="shared" si="146"/>
        <v>0</v>
      </c>
      <c r="E58" s="16">
        <v>20781</v>
      </c>
      <c r="F58" s="16"/>
      <c r="G58" s="37">
        <f t="shared" si="147"/>
        <v>93000</v>
      </c>
      <c r="H58" s="138"/>
      <c r="I58" s="65"/>
      <c r="J58" s="37">
        <f t="shared" si="148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f t="shared" si="163"/>
        <v>12</v>
      </c>
      <c r="DQ58" s="50">
        <v>7.9173999999999998</v>
      </c>
      <c r="DR58" s="49">
        <f t="shared" si="161"/>
        <v>92.999999999996419</v>
      </c>
      <c r="DS58" s="50">
        <v>51.348999999999997</v>
      </c>
      <c r="DT58" s="49">
        <f t="shared" ref="DT58:DT78" si="168">IF((DS58-DS57)&lt;=0,0,(DS58-DS57))*1000</f>
        <v>0</v>
      </c>
      <c r="EJ58" s="2"/>
      <c r="EZ58" s="203">
        <f t="shared" si="149"/>
        <v>13201.9</v>
      </c>
      <c r="FA58" s="205">
        <f t="shared" si="150"/>
        <v>16993.57</v>
      </c>
      <c r="FB58" s="201">
        <f t="shared" si="151"/>
        <v>30195.47</v>
      </c>
      <c r="FC58" s="16"/>
      <c r="FD58" s="167">
        <f t="shared" si="152"/>
        <v>28899.050000000003</v>
      </c>
      <c r="FE58" s="16"/>
      <c r="FF58" s="199">
        <v>0.49839766634483046</v>
      </c>
      <c r="FG58" s="200">
        <f t="shared" si="153"/>
        <v>0.5016023336551696</v>
      </c>
      <c r="FH58" s="16">
        <f t="shared" si="154"/>
        <v>646.13270260276511</v>
      </c>
      <c r="FI58" s="179">
        <f t="shared" si="154"/>
        <v>650.28729739723497</v>
      </c>
      <c r="FJ58" s="179">
        <f t="shared" si="155"/>
        <v>14403.219079582574</v>
      </c>
      <c r="FK58" s="179">
        <f t="shared" si="156"/>
        <v>14495.830920417431</v>
      </c>
      <c r="FL58" s="204">
        <f t="shared" si="157"/>
        <v>15049.351782185338</v>
      </c>
      <c r="FM58" s="206">
        <f t="shared" si="157"/>
        <v>15146.118217814666</v>
      </c>
      <c r="FN58" s="202">
        <f t="shared" si="158"/>
        <v>30195.470000000005</v>
      </c>
      <c r="FO58">
        <v>48.522999999999996</v>
      </c>
      <c r="FP58">
        <v>48.834999999999994</v>
      </c>
      <c r="FQ58" s="217">
        <f t="shared" si="159"/>
        <v>0.49839766634483046</v>
      </c>
      <c r="FR58" s="16">
        <v>15</v>
      </c>
      <c r="FS58" s="16">
        <v>486.26</v>
      </c>
      <c r="FT58" s="16">
        <v>225.25</v>
      </c>
      <c r="FU58" s="16">
        <f t="shared" si="164"/>
        <v>4449.9999999999891</v>
      </c>
      <c r="FV58" s="16">
        <f t="shared" si="165"/>
        <v>2224.9999999999945</v>
      </c>
      <c r="FW58" s="16">
        <f t="shared" si="166"/>
        <v>2224.9999999999945</v>
      </c>
      <c r="HY58" s="16">
        <v>14</v>
      </c>
      <c r="HZ58" s="144">
        <f>DailyMar!BX20+DailyMar!BY20-DailyMar!BZ20-DailyMar!CA20-DailyMar!CB20-DailyMar!CC20</f>
        <v>-6.184563972055912E-11</v>
      </c>
      <c r="IA58" s="16">
        <v>-28010</v>
      </c>
      <c r="IB58" s="16">
        <f t="shared" si="167"/>
        <v>-28010</v>
      </c>
      <c r="IC58" s="16">
        <v>-28010</v>
      </c>
      <c r="IE58">
        <v>24</v>
      </c>
      <c r="IF58">
        <f t="shared" si="142"/>
        <v>28049.999999999913</v>
      </c>
      <c r="IM58">
        <f t="shared" si="143"/>
        <v>21550.000000000069</v>
      </c>
      <c r="IP58">
        <f t="shared" si="144"/>
        <v>0</v>
      </c>
      <c r="JE58">
        <f t="shared" si="145"/>
        <v>11800.000000000069</v>
      </c>
    </row>
    <row r="59" spans="1:265" x14ac:dyDescent="0.25">
      <c r="A59" s="35">
        <v>14</v>
      </c>
      <c r="B59" s="138"/>
      <c r="C59" s="65"/>
      <c r="D59" s="37">
        <f t="shared" si="146"/>
        <v>0</v>
      </c>
      <c r="E59" s="16">
        <v>20867</v>
      </c>
      <c r="F59" s="16"/>
      <c r="G59" s="37">
        <f t="shared" si="147"/>
        <v>86000</v>
      </c>
      <c r="H59" s="138"/>
      <c r="I59" s="65"/>
      <c r="J59" s="37">
        <f t="shared" si="148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f t="shared" si="163"/>
        <v>13</v>
      </c>
      <c r="DQ59" s="50">
        <v>7.9263000000000003</v>
      </c>
      <c r="DR59" s="49">
        <f t="shared" si="161"/>
        <v>89.000000000005741</v>
      </c>
      <c r="DS59" s="50">
        <v>51.348999999999997</v>
      </c>
      <c r="DT59" s="49">
        <f t="shared" si="168"/>
        <v>0</v>
      </c>
      <c r="EJ59" s="2"/>
      <c r="EZ59" s="203">
        <f t="shared" si="149"/>
        <v>13296.35</v>
      </c>
      <c r="FA59" s="205">
        <f t="shared" si="150"/>
        <v>17729.68</v>
      </c>
      <c r="FB59" s="201">
        <f t="shared" si="151"/>
        <v>31026.03</v>
      </c>
      <c r="FC59" s="16"/>
      <c r="FD59" s="167">
        <f t="shared" si="152"/>
        <v>29729.61</v>
      </c>
      <c r="FE59" s="16"/>
      <c r="FF59" s="199">
        <v>0.48714779772970396</v>
      </c>
      <c r="FG59" s="200">
        <f t="shared" si="153"/>
        <v>0.51285220227029604</v>
      </c>
      <c r="FH59" s="16">
        <f t="shared" si="154"/>
        <v>631.54814793274284</v>
      </c>
      <c r="FI59" s="179">
        <f t="shared" si="154"/>
        <v>664.87185206725724</v>
      </c>
      <c r="FJ59" s="179">
        <f t="shared" si="155"/>
        <v>14482.714038862985</v>
      </c>
      <c r="FK59" s="179">
        <f t="shared" si="156"/>
        <v>15246.895961137016</v>
      </c>
      <c r="FL59" s="204">
        <f t="shared" si="157"/>
        <v>15114.262186795728</v>
      </c>
      <c r="FM59" s="206">
        <f t="shared" si="157"/>
        <v>15911.767813204273</v>
      </c>
      <c r="FN59" s="202">
        <f t="shared" si="158"/>
        <v>31026.03</v>
      </c>
      <c r="FO59">
        <v>46.906000000000006</v>
      </c>
      <c r="FP59">
        <v>49.380999999999993</v>
      </c>
      <c r="FQ59" s="217">
        <f t="shared" si="159"/>
        <v>0.48714779772970396</v>
      </c>
      <c r="FR59" s="16">
        <v>16</v>
      </c>
      <c r="FS59" s="16">
        <v>490.66</v>
      </c>
      <c r="FT59" s="16">
        <v>234.67</v>
      </c>
      <c r="FU59" s="16">
        <f t="shared" si="164"/>
        <v>4400.0000000000346</v>
      </c>
      <c r="FV59" s="16">
        <f t="shared" si="165"/>
        <v>2200.0000000000173</v>
      </c>
      <c r="FW59" s="16">
        <f t="shared" si="166"/>
        <v>2200.0000000000173</v>
      </c>
      <c r="HY59" s="16">
        <v>15</v>
      </c>
      <c r="HZ59" s="144">
        <f>DailyMar!BX21+DailyMar!BY21-DailyMar!BZ21-DailyMar!CA21-DailyMar!CB21-DailyMar!CC21</f>
        <v>1.8189894035458565E-10</v>
      </c>
      <c r="IA59" s="16">
        <v>-27030</v>
      </c>
      <c r="IB59" s="16">
        <f t="shared" si="167"/>
        <v>-27030</v>
      </c>
      <c r="IC59" s="16">
        <v>-27030</v>
      </c>
      <c r="IE59">
        <v>25</v>
      </c>
      <c r="IF59">
        <f t="shared" si="142"/>
        <v>26430.000000000182</v>
      </c>
      <c r="IM59">
        <f t="shared" si="143"/>
        <v>23800.000000000069</v>
      </c>
      <c r="IP59">
        <f t="shared" si="144"/>
        <v>0</v>
      </c>
      <c r="JE59">
        <f t="shared" si="145"/>
        <v>17970.000000000029</v>
      </c>
    </row>
    <row r="60" spans="1:265" x14ac:dyDescent="0.25">
      <c r="A60" s="35">
        <v>15</v>
      </c>
      <c r="B60" s="138"/>
      <c r="C60" s="65"/>
      <c r="D60" s="37">
        <f t="shared" si="146"/>
        <v>0</v>
      </c>
      <c r="E60" s="16">
        <v>20960</v>
      </c>
      <c r="F60" s="16"/>
      <c r="G60" s="37">
        <f t="shared" si="147"/>
        <v>93000</v>
      </c>
      <c r="H60" s="138"/>
      <c r="I60" s="65"/>
      <c r="J60" s="37">
        <f t="shared" si="148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f t="shared" si="163"/>
        <v>14</v>
      </c>
      <c r="DQ60" s="50">
        <v>7.9351000000000003</v>
      </c>
      <c r="DR60" s="49">
        <f t="shared" si="161"/>
        <v>87.99999999999919</v>
      </c>
      <c r="DS60" s="50">
        <v>51.348999999999997</v>
      </c>
      <c r="DT60" s="49">
        <f t="shared" si="168"/>
        <v>0</v>
      </c>
      <c r="EJ60" s="2"/>
      <c r="EZ60" s="203">
        <f t="shared" si="149"/>
        <v>12665.05</v>
      </c>
      <c r="FA60" s="205">
        <f t="shared" si="150"/>
        <v>18113.38</v>
      </c>
      <c r="FB60" s="201">
        <f t="shared" si="151"/>
        <v>30778.43</v>
      </c>
      <c r="FC60" s="16"/>
      <c r="FD60" s="167">
        <f t="shared" si="152"/>
        <v>29482.010000000002</v>
      </c>
      <c r="FE60" s="16"/>
      <c r="FF60" s="199">
        <v>0.51146784428398084</v>
      </c>
      <c r="FG60" s="200">
        <f t="shared" si="153"/>
        <v>0.48853215571601916</v>
      </c>
      <c r="FH60" s="16">
        <f t="shared" si="154"/>
        <v>663.07714268663847</v>
      </c>
      <c r="FI60" s="179">
        <f t="shared" si="154"/>
        <v>633.34285731336161</v>
      </c>
      <c r="FJ60" s="179">
        <f t="shared" si="155"/>
        <v>15079.100099858768</v>
      </c>
      <c r="FK60" s="179">
        <f t="shared" si="156"/>
        <v>14402.909900141234</v>
      </c>
      <c r="FL60" s="204">
        <f t="shared" si="157"/>
        <v>15742.177242545406</v>
      </c>
      <c r="FM60" s="206">
        <f t="shared" si="157"/>
        <v>15036.252757454597</v>
      </c>
      <c r="FN60" s="202">
        <f t="shared" si="158"/>
        <v>30778.43</v>
      </c>
      <c r="FO60">
        <v>51.423999999999992</v>
      </c>
      <c r="FP60">
        <v>49.117999999999995</v>
      </c>
      <c r="FQ60" s="217">
        <f t="shared" si="159"/>
        <v>0.51146784428398084</v>
      </c>
      <c r="FR60" s="16">
        <v>17</v>
      </c>
      <c r="FS60" s="16">
        <v>494.97</v>
      </c>
      <c r="FT60" s="16">
        <v>236.47</v>
      </c>
      <c r="FU60" s="16">
        <f t="shared" si="164"/>
        <v>4310.0000000000018</v>
      </c>
      <c r="FV60" s="16">
        <f t="shared" si="165"/>
        <v>2155.0000000000009</v>
      </c>
      <c r="FW60" s="16">
        <f t="shared" si="166"/>
        <v>2155.0000000000009</v>
      </c>
      <c r="HY60" s="16">
        <v>16</v>
      </c>
      <c r="HZ60" s="144">
        <f>DailyMar!BX22+DailyMar!BY22-DailyMar!BZ22-DailyMar!CA22-DailyMar!CB22-DailyMar!CC22</f>
        <v>-1.673470251262188E-10</v>
      </c>
      <c r="IA60" s="16">
        <v>-24030</v>
      </c>
      <c r="IB60" s="16">
        <f t="shared" si="167"/>
        <v>-24030</v>
      </c>
      <c r="IC60" s="16">
        <v>-24030</v>
      </c>
      <c r="IE60">
        <v>26</v>
      </c>
      <c r="IF60">
        <f t="shared" si="142"/>
        <v>26560.000000000182</v>
      </c>
      <c r="IM60">
        <f t="shared" si="143"/>
        <v>23500</v>
      </c>
      <c r="IP60">
        <f t="shared" si="144"/>
        <v>0</v>
      </c>
      <c r="JE60">
        <f t="shared" si="145"/>
        <v>7939.9999999999409</v>
      </c>
    </row>
    <row r="61" spans="1:265" x14ac:dyDescent="0.25">
      <c r="A61" s="35">
        <v>16</v>
      </c>
      <c r="B61" s="138"/>
      <c r="C61" s="65"/>
      <c r="D61" s="37">
        <f t="shared" si="146"/>
        <v>0</v>
      </c>
      <c r="E61" s="16">
        <v>21053</v>
      </c>
      <c r="F61" s="16"/>
      <c r="G61" s="37">
        <f t="shared" si="147"/>
        <v>93000</v>
      </c>
      <c r="H61" s="138"/>
      <c r="I61" s="65"/>
      <c r="J61" s="37">
        <f t="shared" si="148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f t="shared" si="163"/>
        <v>15</v>
      </c>
      <c r="DQ61" s="50">
        <f>DQ60+((DQ62-DQ60)/2)</f>
        <v>7.9422499999999996</v>
      </c>
      <c r="DR61" s="49">
        <f t="shared" si="161"/>
        <v>71.499999999993236</v>
      </c>
      <c r="DS61" s="50">
        <v>51.348999999999997</v>
      </c>
      <c r="DT61" s="49">
        <f t="shared" si="168"/>
        <v>0</v>
      </c>
      <c r="EJ61" s="2"/>
      <c r="EZ61" s="203">
        <f t="shared" si="149"/>
        <v>12788.4</v>
      </c>
      <c r="FA61" s="205">
        <f t="shared" si="150"/>
        <v>13568.4</v>
      </c>
      <c r="FB61" s="201">
        <f t="shared" si="151"/>
        <v>26356.799999999999</v>
      </c>
      <c r="FC61" s="16"/>
      <c r="FD61" s="167">
        <f t="shared" si="152"/>
        <v>25060.379999999997</v>
      </c>
      <c r="FE61" s="16"/>
      <c r="FF61" s="199">
        <v>0.52084626984831017</v>
      </c>
      <c r="FG61" s="200">
        <f t="shared" si="153"/>
        <v>0.47915373015168983</v>
      </c>
      <c r="FH61" s="16">
        <f t="shared" si="154"/>
        <v>675.23552115674636</v>
      </c>
      <c r="FI61" s="179">
        <f t="shared" si="154"/>
        <v>621.18447884325371</v>
      </c>
      <c r="FJ61" s="179">
        <f t="shared" si="155"/>
        <v>13052.605443981194</v>
      </c>
      <c r="FK61" s="179">
        <f t="shared" si="156"/>
        <v>12007.774556018803</v>
      </c>
      <c r="FL61" s="204">
        <f t="shared" si="157"/>
        <v>13727.840965137941</v>
      </c>
      <c r="FM61" s="206">
        <f t="shared" si="157"/>
        <v>12628.959034862057</v>
      </c>
      <c r="FN61" s="202">
        <f t="shared" si="158"/>
        <v>26356.799999999996</v>
      </c>
      <c r="FO61">
        <v>46.972000000000001</v>
      </c>
      <c r="FP61">
        <v>43.212000000000003</v>
      </c>
      <c r="FQ61" s="217">
        <f t="shared" si="159"/>
        <v>0.52084626984831017</v>
      </c>
      <c r="FR61" s="16">
        <v>18</v>
      </c>
      <c r="FS61" s="16">
        <v>499.09</v>
      </c>
      <c r="FT61" s="16">
        <v>238.26</v>
      </c>
      <c r="FU61" s="16">
        <f t="shared" si="164"/>
        <v>4119.9999999999472</v>
      </c>
      <c r="FV61" s="16">
        <f t="shared" si="165"/>
        <v>2059.9999999999736</v>
      </c>
      <c r="FW61" s="16">
        <f t="shared" si="166"/>
        <v>2059.9999999999736</v>
      </c>
      <c r="HY61" s="16">
        <v>17</v>
      </c>
      <c r="HZ61" s="144">
        <f>DailyMar!BX23+DailyMar!BY23-DailyMar!BZ23-DailyMar!CA23-DailyMar!CB23-DailyMar!CC23</f>
        <v>6.9121597334742546E-11</v>
      </c>
      <c r="IA61" s="16">
        <v>-25260</v>
      </c>
      <c r="IB61" s="16">
        <f t="shared" si="167"/>
        <v>-25260</v>
      </c>
      <c r="IC61" s="16">
        <v>-25260</v>
      </c>
      <c r="IE61">
        <v>27</v>
      </c>
      <c r="IF61">
        <f t="shared" si="142"/>
        <v>28203.32999999982</v>
      </c>
      <c r="IM61">
        <f t="shared" si="143"/>
        <v>25003.33</v>
      </c>
      <c r="IP61">
        <f t="shared" si="144"/>
        <v>0</v>
      </c>
      <c r="JE61">
        <f t="shared" si="145"/>
        <v>15193.330000000054</v>
      </c>
    </row>
    <row r="62" spans="1:265" x14ac:dyDescent="0.25">
      <c r="A62" s="35">
        <v>17</v>
      </c>
      <c r="B62" s="138"/>
      <c r="C62" s="65"/>
      <c r="D62" s="37">
        <f t="shared" si="146"/>
        <v>0</v>
      </c>
      <c r="E62" s="16">
        <v>21144</v>
      </c>
      <c r="F62" s="16"/>
      <c r="G62" s="37">
        <f t="shared" si="147"/>
        <v>91000</v>
      </c>
      <c r="H62" s="138"/>
      <c r="I62" s="65"/>
      <c r="J62" s="37">
        <f t="shared" si="148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f t="shared" si="163"/>
        <v>16</v>
      </c>
      <c r="DQ62" s="50">
        <v>7.9493999999999998</v>
      </c>
      <c r="DR62" s="49">
        <f t="shared" si="161"/>
        <v>71.500000000002117</v>
      </c>
      <c r="DS62" s="50">
        <v>51.348999999999997</v>
      </c>
      <c r="DT62" s="49">
        <f t="shared" si="168"/>
        <v>0</v>
      </c>
      <c r="EJ62" s="2"/>
      <c r="EZ62" s="203">
        <f t="shared" si="149"/>
        <v>13334.83</v>
      </c>
      <c r="FA62" s="205">
        <f t="shared" si="150"/>
        <v>12788.16</v>
      </c>
      <c r="FB62" s="201">
        <f t="shared" si="151"/>
        <v>26122.989999999998</v>
      </c>
      <c r="FC62" s="16"/>
      <c r="FD62" s="167">
        <f t="shared" si="152"/>
        <v>24826.57</v>
      </c>
      <c r="FE62" s="16"/>
      <c r="FF62" s="199">
        <v>0.53898811232986854</v>
      </c>
      <c r="FG62" s="200">
        <f t="shared" si="153"/>
        <v>0.46101188767013146</v>
      </c>
      <c r="FH62" s="16">
        <f t="shared" si="154"/>
        <v>698.75496858668816</v>
      </c>
      <c r="FI62" s="179">
        <f t="shared" si="154"/>
        <v>597.66503141331191</v>
      </c>
      <c r="FJ62" s="179">
        <f t="shared" si="155"/>
        <v>13381.226099925345</v>
      </c>
      <c r="FK62" s="179">
        <f t="shared" si="156"/>
        <v>11445.343900074655</v>
      </c>
      <c r="FL62" s="204">
        <f t="shared" si="157"/>
        <v>14079.981068512034</v>
      </c>
      <c r="FM62" s="206">
        <f t="shared" si="157"/>
        <v>12043.008931487966</v>
      </c>
      <c r="FN62" s="202">
        <f t="shared" si="158"/>
        <v>26122.989999999998</v>
      </c>
      <c r="FO62">
        <v>46.927</v>
      </c>
      <c r="FP62">
        <v>40.138000000000005</v>
      </c>
      <c r="FQ62" s="217">
        <f t="shared" si="159"/>
        <v>0.53898811232986854</v>
      </c>
      <c r="FR62" s="16">
        <v>19</v>
      </c>
      <c r="FS62" s="16">
        <v>503.17</v>
      </c>
      <c r="FT62" s="16">
        <v>239.97</v>
      </c>
      <c r="FU62" s="16">
        <f t="shared" si="164"/>
        <v>4080.0000000000409</v>
      </c>
      <c r="FV62" s="16">
        <f t="shared" si="165"/>
        <v>2040.0000000000205</v>
      </c>
      <c r="FW62" s="16">
        <f t="shared" si="166"/>
        <v>2040.0000000000205</v>
      </c>
      <c r="HY62" s="16">
        <v>18</v>
      </c>
      <c r="HZ62" s="144">
        <f>DailyMar!BX24+DailyMar!BY24-DailyMar!BZ24-DailyMar!CA24-DailyMar!CB24-DailyMar!CC24</f>
        <v>-2.1827872842550278E-10</v>
      </c>
      <c r="IA62" s="16">
        <v>-27270</v>
      </c>
      <c r="IB62" s="16">
        <f t="shared" si="167"/>
        <v>-27270</v>
      </c>
      <c r="IC62" s="16">
        <v>-27270</v>
      </c>
      <c r="IE62">
        <v>28</v>
      </c>
      <c r="IF62">
        <f t="shared" si="142"/>
        <v>24376.670000000093</v>
      </c>
      <c r="IM62">
        <f t="shared" si="143"/>
        <v>19176.669999999816</v>
      </c>
      <c r="IP62">
        <f t="shared" si="144"/>
        <v>0</v>
      </c>
      <c r="JE62">
        <f t="shared" si="145"/>
        <v>15846.670000000004</v>
      </c>
    </row>
    <row r="63" spans="1:265" x14ac:dyDescent="0.25">
      <c r="A63" s="35">
        <v>18</v>
      </c>
      <c r="B63" s="138"/>
      <c r="C63" s="65"/>
      <c r="D63" s="37">
        <f t="shared" si="146"/>
        <v>0</v>
      </c>
      <c r="E63" s="16">
        <v>21230</v>
      </c>
      <c r="F63" s="16"/>
      <c r="G63" s="37">
        <f t="shared" si="147"/>
        <v>86000</v>
      </c>
      <c r="H63" s="138"/>
      <c r="I63" s="65"/>
      <c r="J63" s="37">
        <f t="shared" si="148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f t="shared" si="163"/>
        <v>17</v>
      </c>
      <c r="DQ63" s="50">
        <v>7.9524999999999997</v>
      </c>
      <c r="DR63" s="49">
        <f t="shared" si="161"/>
        <v>30.999999999998806</v>
      </c>
      <c r="DS63" s="50">
        <v>51.348999999999997</v>
      </c>
      <c r="DT63" s="49">
        <f t="shared" si="168"/>
        <v>0</v>
      </c>
      <c r="EJ63" s="2"/>
      <c r="EZ63" s="203">
        <f t="shared" si="149"/>
        <v>13357.43</v>
      </c>
      <c r="FA63" s="205">
        <f t="shared" si="150"/>
        <v>13977.43</v>
      </c>
      <c r="FB63" s="201">
        <f t="shared" si="151"/>
        <v>27334.86</v>
      </c>
      <c r="FC63" s="16"/>
      <c r="FD63" s="167">
        <f t="shared" si="152"/>
        <v>26038.440000000002</v>
      </c>
      <c r="FE63" s="16"/>
      <c r="FF63" s="199">
        <v>0.55321875718839342</v>
      </c>
      <c r="FG63" s="200">
        <f t="shared" si="153"/>
        <v>0.44678124281160658</v>
      </c>
      <c r="FH63" s="16">
        <f t="shared" si="154"/>
        <v>717.20386119417708</v>
      </c>
      <c r="FI63" s="179">
        <f t="shared" si="154"/>
        <v>579.21613880582299</v>
      </c>
      <c r="FJ63" s="179">
        <f t="shared" si="155"/>
        <v>14404.953415924552</v>
      </c>
      <c r="FK63" s="179">
        <f t="shared" si="156"/>
        <v>11633.48658407545</v>
      </c>
      <c r="FL63" s="204">
        <f t="shared" si="157"/>
        <v>15122.157277118729</v>
      </c>
      <c r="FM63" s="206">
        <f t="shared" si="157"/>
        <v>12212.702722881273</v>
      </c>
      <c r="FN63" s="202">
        <f t="shared" si="158"/>
        <v>27334.86</v>
      </c>
      <c r="FO63">
        <v>50.504999999999995</v>
      </c>
      <c r="FP63">
        <v>40.787999999999997</v>
      </c>
      <c r="FQ63" s="217">
        <f t="shared" si="159"/>
        <v>0.55321875718839342</v>
      </c>
      <c r="FR63" s="16">
        <v>20</v>
      </c>
      <c r="FS63" s="16">
        <v>507.45</v>
      </c>
      <c r="FT63" s="16">
        <v>241.78</v>
      </c>
      <c r="FU63" s="16">
        <f t="shared" si="164"/>
        <v>4279.9999999999727</v>
      </c>
      <c r="FV63" s="16">
        <f t="shared" si="165"/>
        <v>2139.9999999999864</v>
      </c>
      <c r="FW63" s="16">
        <f t="shared" si="166"/>
        <v>2139.9999999999864</v>
      </c>
      <c r="HY63" s="16">
        <v>19</v>
      </c>
      <c r="HZ63" s="144">
        <f>DailyMar!BX25+DailyMar!BY25-DailyMar!BZ25-DailyMar!CA25-DailyMar!CB25-DailyMar!CC25</f>
        <v>1.9281287677586079E-10</v>
      </c>
      <c r="IA63" s="16">
        <v>-13890</v>
      </c>
      <c r="IB63" s="16">
        <f t="shared" si="167"/>
        <v>-13890</v>
      </c>
      <c r="IC63" s="16">
        <v>-13890</v>
      </c>
      <c r="IE63">
        <v>1</v>
      </c>
      <c r="IF63">
        <f t="shared" si="142"/>
        <v>22866.667000000092</v>
      </c>
      <c r="IM63">
        <f t="shared" si="143"/>
        <v>22566.66700000014</v>
      </c>
      <c r="IP63">
        <f t="shared" si="144"/>
        <v>0</v>
      </c>
      <c r="JE63">
        <f t="shared" si="145"/>
        <v>15666.66699999993</v>
      </c>
    </row>
    <row r="64" spans="1:265" x14ac:dyDescent="0.25">
      <c r="A64" s="35">
        <v>19</v>
      </c>
      <c r="B64" s="138"/>
      <c r="C64" s="65"/>
      <c r="D64" s="37">
        <f t="shared" si="146"/>
        <v>0</v>
      </c>
      <c r="E64" s="16">
        <v>21317</v>
      </c>
      <c r="F64" s="16"/>
      <c r="G64" s="37">
        <f t="shared" si="147"/>
        <v>87000</v>
      </c>
      <c r="H64" s="138"/>
      <c r="I64" s="65"/>
      <c r="J64" s="37">
        <f t="shared" si="148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f t="shared" si="163"/>
        <v>18</v>
      </c>
      <c r="DQ64" s="50">
        <v>7.9592000000000001</v>
      </c>
      <c r="DR64" s="49">
        <f t="shared" si="161"/>
        <v>67.000000000003723</v>
      </c>
      <c r="DS64" s="50">
        <v>51.348999999999997</v>
      </c>
      <c r="DT64" s="49">
        <f t="shared" si="168"/>
        <v>0</v>
      </c>
      <c r="EZ64" s="203">
        <f t="shared" si="149"/>
        <v>13272.38</v>
      </c>
      <c r="FA64" s="205">
        <f t="shared" si="150"/>
        <v>13654.05</v>
      </c>
      <c r="FB64" s="201">
        <f t="shared" si="151"/>
        <v>26926.43</v>
      </c>
      <c r="FC64" s="16"/>
      <c r="FD64" s="167">
        <f t="shared" si="152"/>
        <v>25630.010000000002</v>
      </c>
      <c r="FE64" s="16"/>
      <c r="FF64" s="199">
        <v>0.51528147336568064</v>
      </c>
      <c r="FG64" s="200">
        <f t="shared" si="153"/>
        <v>0.48471852663431936</v>
      </c>
      <c r="FH64" s="16">
        <f t="shared" si="154"/>
        <v>668.02120770073577</v>
      </c>
      <c r="FI64" s="179">
        <f t="shared" si="154"/>
        <v>628.3987922992643</v>
      </c>
      <c r="FJ64" s="179">
        <f t="shared" si="155"/>
        <v>13206.669315177129</v>
      </c>
      <c r="FK64" s="179">
        <f t="shared" si="156"/>
        <v>12423.340684822873</v>
      </c>
      <c r="FL64" s="204">
        <f t="shared" si="157"/>
        <v>13874.690522877865</v>
      </c>
      <c r="FM64" s="206">
        <f t="shared" si="157"/>
        <v>13051.739477122137</v>
      </c>
      <c r="FN64" s="202">
        <f t="shared" si="158"/>
        <v>26926.43</v>
      </c>
      <c r="FO64">
        <v>49.382000000000005</v>
      </c>
      <c r="FP64">
        <v>46.453000000000003</v>
      </c>
      <c r="FQ64" s="217">
        <f t="shared" si="159"/>
        <v>0.51528147336568064</v>
      </c>
      <c r="FR64" s="16">
        <v>21</v>
      </c>
      <c r="FS64" s="16">
        <v>510.36</v>
      </c>
      <c r="FT64" s="16">
        <v>243.3</v>
      </c>
      <c r="FU64" s="16">
        <f t="shared" si="164"/>
        <v>2910.000000000025</v>
      </c>
      <c r="FV64" s="16">
        <f t="shared" si="165"/>
        <v>1455.0000000000125</v>
      </c>
      <c r="FW64" s="16">
        <f t="shared" si="166"/>
        <v>1455.0000000000125</v>
      </c>
      <c r="HY64" s="16">
        <v>20</v>
      </c>
      <c r="HZ64" s="144">
        <f>DailyMar!BX26+DailyMar!BY26-DailyMar!BZ26-DailyMar!CA26-DailyMar!CB26-DailyMar!CC26</f>
        <v>0</v>
      </c>
      <c r="IA64" s="16">
        <v>-23290</v>
      </c>
      <c r="IB64" s="16">
        <f t="shared" si="167"/>
        <v>-23290</v>
      </c>
      <c r="IC64" s="16">
        <v>-23290</v>
      </c>
    </row>
    <row r="65" spans="1:237" x14ac:dyDescent="0.25">
      <c r="A65" s="35">
        <v>20</v>
      </c>
      <c r="B65" s="138"/>
      <c r="C65" s="65"/>
      <c r="D65" s="37">
        <f t="shared" si="146"/>
        <v>0</v>
      </c>
      <c r="E65" s="145">
        <v>21403</v>
      </c>
      <c r="F65" s="16"/>
      <c r="G65" s="37">
        <f t="shared" si="147"/>
        <v>86000</v>
      </c>
      <c r="H65" s="138"/>
      <c r="I65" s="65"/>
      <c r="J65" s="37">
        <f t="shared" si="148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f t="shared" si="163"/>
        <v>19</v>
      </c>
      <c r="DQ65" s="50">
        <v>7.9630000000000001</v>
      </c>
      <c r="DR65" s="49">
        <f t="shared" si="161"/>
        <v>38.000000000000256</v>
      </c>
      <c r="DS65" s="50">
        <v>51.348999999999997</v>
      </c>
      <c r="DT65" s="49">
        <f t="shared" si="168"/>
        <v>0</v>
      </c>
      <c r="EZ65" s="203">
        <f t="shared" si="149"/>
        <v>11933.11</v>
      </c>
      <c r="FA65" s="205">
        <f t="shared" si="150"/>
        <v>10508.11</v>
      </c>
      <c r="FB65" s="201">
        <f t="shared" si="151"/>
        <v>22441.22</v>
      </c>
      <c r="FC65" s="16"/>
      <c r="FD65" s="167">
        <f t="shared" si="152"/>
        <v>21144.800000000003</v>
      </c>
      <c r="FE65" s="16"/>
      <c r="FF65" s="199">
        <v>0.52245944373828546</v>
      </c>
      <c r="FG65" s="200">
        <f t="shared" ref="FG65:FG66" si="169">1-FF65</f>
        <v>0.47754055626171454</v>
      </c>
      <c r="FH65" s="16">
        <f t="shared" si="154"/>
        <v>677.32687205118805</v>
      </c>
      <c r="FI65" s="179">
        <f t="shared" si="154"/>
        <v>619.09312794881203</v>
      </c>
      <c r="FJ65" s="179">
        <f t="shared" si="155"/>
        <v>11047.3004459573</v>
      </c>
      <c r="FK65" s="179">
        <f t="shared" si="156"/>
        <v>10097.499554042703</v>
      </c>
      <c r="FL65" s="204">
        <f t="shared" si="157"/>
        <v>11724.627318008488</v>
      </c>
      <c r="FM65" s="206">
        <f t="shared" si="157"/>
        <v>10716.592681991515</v>
      </c>
      <c r="FN65" s="202">
        <f t="shared" si="158"/>
        <v>22441.22</v>
      </c>
      <c r="FR65" s="16">
        <v>22</v>
      </c>
      <c r="FS65" s="16">
        <v>512.71</v>
      </c>
      <c r="FT65" s="16">
        <v>244.7</v>
      </c>
      <c r="FU65" s="16">
        <f t="shared" si="164"/>
        <v>2350.0000000000227</v>
      </c>
      <c r="FV65" s="16">
        <f t="shared" si="165"/>
        <v>1175.0000000000114</v>
      </c>
      <c r="FW65" s="16">
        <f t="shared" si="166"/>
        <v>1175.0000000000114</v>
      </c>
      <c r="HY65" s="16">
        <v>21</v>
      </c>
      <c r="HZ65" s="144">
        <f>DailyMar!BX27+DailyMar!BY27-DailyMar!BZ27-DailyMar!CA27-DailyMar!CB27-DailyMar!CC27</f>
        <v>-9.0949470177292824E-11</v>
      </c>
      <c r="IA65" s="16">
        <v>-24500</v>
      </c>
      <c r="IB65" s="16">
        <f t="shared" si="167"/>
        <v>-24500</v>
      </c>
      <c r="IC65" s="16">
        <v>-24500</v>
      </c>
    </row>
    <row r="66" spans="1:237" x14ac:dyDescent="0.25">
      <c r="A66" s="35">
        <v>21</v>
      </c>
      <c r="B66" s="138"/>
      <c r="C66" s="65"/>
      <c r="D66" s="37">
        <f t="shared" si="146"/>
        <v>0</v>
      </c>
      <c r="E66" s="16">
        <v>21518</v>
      </c>
      <c r="F66" s="16"/>
      <c r="G66" s="37">
        <f t="shared" si="147"/>
        <v>115000</v>
      </c>
      <c r="H66" s="138"/>
      <c r="I66" s="65"/>
      <c r="J66" s="37">
        <f t="shared" si="148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f t="shared" si="163"/>
        <v>20</v>
      </c>
      <c r="DQ66" s="50">
        <f>DQ65+(DR65/10000)</f>
        <v>7.9668000000000001</v>
      </c>
      <c r="DR66" s="49">
        <f t="shared" si="161"/>
        <v>38.000000000000256</v>
      </c>
      <c r="DS66" s="50">
        <v>51.348999999999997</v>
      </c>
      <c r="DT66" s="49">
        <f t="shared" si="168"/>
        <v>0</v>
      </c>
      <c r="EZ66" s="203">
        <f t="shared" si="149"/>
        <v>14035.87</v>
      </c>
      <c r="FA66" s="205">
        <f t="shared" si="150"/>
        <v>11125.87</v>
      </c>
      <c r="FB66" s="201">
        <f t="shared" si="151"/>
        <v>25161.74</v>
      </c>
      <c r="FC66" s="16"/>
      <c r="FD66" s="167">
        <f t="shared" si="152"/>
        <v>23865.32</v>
      </c>
      <c r="FE66" s="16"/>
      <c r="FF66" s="199">
        <v>0.52245944373828546</v>
      </c>
      <c r="FG66" s="200">
        <f t="shared" si="169"/>
        <v>0.47754055626171454</v>
      </c>
      <c r="FH66" s="16">
        <f t="shared" si="154"/>
        <v>677.32687205118805</v>
      </c>
      <c r="FI66" s="179">
        <f t="shared" si="154"/>
        <v>619.09312794881203</v>
      </c>
      <c r="FJ66" s="179">
        <f t="shared" si="155"/>
        <v>12468.661811836178</v>
      </c>
      <c r="FK66" s="179">
        <f t="shared" si="156"/>
        <v>11396.658188163821</v>
      </c>
      <c r="FL66" s="204">
        <f t="shared" si="157"/>
        <v>13145.988683887366</v>
      </c>
      <c r="FM66" s="206">
        <f t="shared" si="157"/>
        <v>12015.751316112634</v>
      </c>
      <c r="FN66" s="202">
        <f t="shared" si="158"/>
        <v>25161.739999999998</v>
      </c>
      <c r="FR66" s="16">
        <v>23</v>
      </c>
      <c r="FS66" s="16">
        <v>515.37</v>
      </c>
      <c r="FT66" s="16">
        <v>246.24</v>
      </c>
      <c r="FU66" s="16">
        <f t="shared" si="164"/>
        <v>2659.9999999999682</v>
      </c>
      <c r="FV66" s="16">
        <f t="shared" si="165"/>
        <v>1329.9999999999841</v>
      </c>
      <c r="FW66" s="16">
        <f t="shared" si="166"/>
        <v>1329.9999999999841</v>
      </c>
      <c r="HY66" s="16">
        <v>22</v>
      </c>
      <c r="HZ66" s="144">
        <f>DailyMar!BX28+DailyMar!BY28-DailyMar!BZ28-DailyMar!CA28-DailyMar!CB28-DailyMar!CC28</f>
        <v>3.637978807091713E-11</v>
      </c>
      <c r="IA66" s="16">
        <v>-24060</v>
      </c>
      <c r="IB66" s="16">
        <f t="shared" si="167"/>
        <v>-24060</v>
      </c>
      <c r="IC66" s="16">
        <v>-24060</v>
      </c>
    </row>
    <row r="67" spans="1:237" x14ac:dyDescent="0.25">
      <c r="A67" s="35">
        <v>22</v>
      </c>
      <c r="B67" s="138"/>
      <c r="C67" s="65"/>
      <c r="D67" s="37">
        <f t="shared" si="146"/>
        <v>0</v>
      </c>
      <c r="E67" s="16">
        <v>21652</v>
      </c>
      <c r="F67" s="16"/>
      <c r="G67" s="37">
        <f t="shared" si="147"/>
        <v>134000</v>
      </c>
      <c r="H67" s="138"/>
      <c r="I67" s="65"/>
      <c r="J67" s="37">
        <f t="shared" si="148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f t="shared" si="163"/>
        <v>21</v>
      </c>
      <c r="DQ67" s="50">
        <v>7.9771000000000001</v>
      </c>
      <c r="DR67" s="49">
        <f t="shared" si="161"/>
        <v>102.99999999999976</v>
      </c>
      <c r="DS67" s="50">
        <v>51.348999999999997</v>
      </c>
      <c r="DT67" s="49">
        <f t="shared" si="168"/>
        <v>0</v>
      </c>
      <c r="EZ67" s="203">
        <f t="shared" si="149"/>
        <v>14711.91</v>
      </c>
      <c r="FA67" s="205">
        <f t="shared" si="150"/>
        <v>13906.91</v>
      </c>
      <c r="FB67" s="201">
        <f t="shared" si="151"/>
        <v>28618.82</v>
      </c>
      <c r="FC67" s="16"/>
      <c r="FD67" s="167">
        <f t="shared" si="152"/>
        <v>27322.400000000001</v>
      </c>
      <c r="FE67" s="16"/>
      <c r="FF67" s="199">
        <v>0.52245944373828546</v>
      </c>
      <c r="FG67" s="200">
        <f t="shared" ref="FG67:FG70" si="170">1-FF67</f>
        <v>0.47754055626171454</v>
      </c>
      <c r="FH67" s="16">
        <f t="shared" si="154"/>
        <v>677.32687205118805</v>
      </c>
      <c r="FI67" s="179">
        <f t="shared" si="154"/>
        <v>619.09312794881203</v>
      </c>
      <c r="FJ67" s="179">
        <f t="shared" si="155"/>
        <v>14274.845905594932</v>
      </c>
      <c r="FK67" s="179">
        <f t="shared" si="156"/>
        <v>13047.55409440507</v>
      </c>
      <c r="FL67" s="204">
        <f t="shared" si="157"/>
        <v>14952.172777646119</v>
      </c>
      <c r="FM67" s="206">
        <f t="shared" si="157"/>
        <v>13666.647222353882</v>
      </c>
      <c r="FN67" s="202">
        <f t="shared" si="158"/>
        <v>28618.82</v>
      </c>
      <c r="FR67" s="16">
        <v>24</v>
      </c>
      <c r="FS67" s="16">
        <v>517.6</v>
      </c>
      <c r="FT67" s="16">
        <v>247.61</v>
      </c>
      <c r="FU67" s="16">
        <f t="shared" si="164"/>
        <v>2230.0000000000182</v>
      </c>
      <c r="FV67" s="16">
        <f t="shared" si="165"/>
        <v>1115.0000000000091</v>
      </c>
      <c r="FW67" s="16">
        <f t="shared" si="166"/>
        <v>1115.0000000000091</v>
      </c>
      <c r="HY67" s="16">
        <v>23</v>
      </c>
      <c r="HZ67" s="144">
        <f>DailyMar!BX29+DailyMar!BY29-DailyMar!BZ29-DailyMar!CA29-DailyMar!CB29-DailyMar!CC29</f>
        <v>3.1286617740988731E-10</v>
      </c>
      <c r="IA67" s="16">
        <v>-18550</v>
      </c>
      <c r="IB67" s="16">
        <f t="shared" si="167"/>
        <v>-18550</v>
      </c>
      <c r="IC67" s="16">
        <v>-18550</v>
      </c>
    </row>
    <row r="68" spans="1:237" x14ac:dyDescent="0.25">
      <c r="A68" s="35">
        <v>23</v>
      </c>
      <c r="B68" s="138"/>
      <c r="C68" s="65"/>
      <c r="D68" s="37">
        <f t="shared" si="146"/>
        <v>0</v>
      </c>
      <c r="E68" s="16">
        <v>21788</v>
      </c>
      <c r="F68" s="16"/>
      <c r="G68" s="37">
        <f t="shared" si="147"/>
        <v>136000</v>
      </c>
      <c r="H68" s="138"/>
      <c r="I68" s="65"/>
      <c r="J68" s="37">
        <f t="shared" si="148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f t="shared" si="163"/>
        <v>22</v>
      </c>
      <c r="DQ68" s="50">
        <v>7.9866000000000001</v>
      </c>
      <c r="DR68" s="49">
        <f t="shared" si="161"/>
        <v>95.000000000000639</v>
      </c>
      <c r="DS68" s="50">
        <v>51.348999999999997</v>
      </c>
      <c r="DT68" s="49">
        <f t="shared" si="168"/>
        <v>0</v>
      </c>
      <c r="EZ68" s="203">
        <f t="shared" si="149"/>
        <v>11278.05</v>
      </c>
      <c r="FA68" s="205">
        <f t="shared" si="150"/>
        <v>12994.72</v>
      </c>
      <c r="FB68" s="201">
        <f t="shared" si="151"/>
        <v>24272.769999999997</v>
      </c>
      <c r="FC68" s="16"/>
      <c r="FD68" s="167">
        <f t="shared" si="152"/>
        <v>22976.35</v>
      </c>
      <c r="FE68" s="16"/>
      <c r="FF68" s="199">
        <v>0.52245944373828546</v>
      </c>
      <c r="FG68" s="200">
        <f t="shared" si="170"/>
        <v>0.47754055626171454</v>
      </c>
      <c r="FH68" s="16">
        <f t="shared" si="154"/>
        <v>677.32687205118805</v>
      </c>
      <c r="FI68" s="179">
        <f t="shared" si="154"/>
        <v>619.09312794881203</v>
      </c>
      <c r="FJ68" s="179">
        <f t="shared" si="155"/>
        <v>12004.211040136155</v>
      </c>
      <c r="FK68" s="179">
        <f t="shared" si="156"/>
        <v>10972.138959863843</v>
      </c>
      <c r="FL68" s="204">
        <f t="shared" si="157"/>
        <v>12681.537912187343</v>
      </c>
      <c r="FM68" s="206">
        <f t="shared" si="157"/>
        <v>11591.232087812656</v>
      </c>
      <c r="FN68" s="202">
        <f t="shared" si="158"/>
        <v>24272.769999999997</v>
      </c>
      <c r="FR68" s="16">
        <v>25</v>
      </c>
      <c r="FS68" s="16">
        <v>519.9</v>
      </c>
      <c r="FT68" s="16">
        <v>249.03</v>
      </c>
      <c r="FU68" s="16">
        <f t="shared" si="164"/>
        <v>2299.9999999999545</v>
      </c>
      <c r="FV68" s="16">
        <f t="shared" si="165"/>
        <v>1149.9999999999773</v>
      </c>
      <c r="FW68" s="16">
        <f t="shared" si="166"/>
        <v>1149.9999999999773</v>
      </c>
      <c r="HY68" s="16">
        <v>24</v>
      </c>
      <c r="HZ68" s="144">
        <f>DailyMar!BX30+DailyMar!BY30-DailyMar!BZ30-DailyMar!CA30-DailyMar!CB30-DailyMar!CC30</f>
        <v>-2.7648638933897018E-10</v>
      </c>
      <c r="IA68" s="16">
        <v>-23370</v>
      </c>
      <c r="IB68" s="16">
        <f t="shared" si="167"/>
        <v>-23370</v>
      </c>
      <c r="IC68" s="16">
        <v>-23370</v>
      </c>
    </row>
    <row r="69" spans="1:237" x14ac:dyDescent="0.25">
      <c r="A69" s="35">
        <v>24</v>
      </c>
      <c r="B69" s="138"/>
      <c r="C69" s="65"/>
      <c r="D69" s="37">
        <f t="shared" si="146"/>
        <v>0</v>
      </c>
      <c r="E69" s="16">
        <v>21925</v>
      </c>
      <c r="F69" s="16"/>
      <c r="G69" s="37">
        <f t="shared" si="147"/>
        <v>137000</v>
      </c>
      <c r="H69" s="138"/>
      <c r="I69" s="65"/>
      <c r="J69" s="37">
        <f t="shared" si="148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f t="shared" si="163"/>
        <v>23</v>
      </c>
      <c r="DQ69" s="50">
        <v>7.9917999999999996</v>
      </c>
      <c r="DR69" s="49">
        <f t="shared" si="161"/>
        <v>51.999999999994273</v>
      </c>
      <c r="DS69" s="50">
        <v>51.348999999999997</v>
      </c>
      <c r="DT69" s="49">
        <f t="shared" si="168"/>
        <v>0</v>
      </c>
      <c r="EZ69" s="203">
        <f t="shared" si="149"/>
        <v>8179.55</v>
      </c>
      <c r="FA69" s="205">
        <f t="shared" si="150"/>
        <v>13691.22</v>
      </c>
      <c r="FB69" s="201">
        <f t="shared" si="151"/>
        <v>21870.77</v>
      </c>
      <c r="FC69" s="16"/>
      <c r="FD69" s="167">
        <f t="shared" si="152"/>
        <v>20574.349999999999</v>
      </c>
      <c r="FE69" s="16"/>
      <c r="FF69" s="199">
        <v>0.52245944373828546</v>
      </c>
      <c r="FG69" s="200">
        <f t="shared" si="170"/>
        <v>0.47754055626171454</v>
      </c>
      <c r="FH69" s="16">
        <f t="shared" si="154"/>
        <v>677.32687205118805</v>
      </c>
      <c r="FI69" s="179">
        <f t="shared" si="154"/>
        <v>619.09312794881203</v>
      </c>
      <c r="FJ69" s="179">
        <f t="shared" si="155"/>
        <v>10749.263456276793</v>
      </c>
      <c r="FK69" s="179">
        <f t="shared" si="156"/>
        <v>9825.086543723206</v>
      </c>
      <c r="FL69" s="204">
        <f t="shared" si="157"/>
        <v>11426.59032832798</v>
      </c>
      <c r="FM69" s="206">
        <f t="shared" si="157"/>
        <v>10444.179671672018</v>
      </c>
      <c r="FN69" s="202">
        <f t="shared" si="158"/>
        <v>21870.769999999997</v>
      </c>
      <c r="FR69" s="16">
        <v>26</v>
      </c>
      <c r="FS69" s="16">
        <v>521.83000000000004</v>
      </c>
      <c r="FT69" s="16">
        <v>250.27</v>
      </c>
      <c r="FU69" s="16">
        <f t="shared" si="164"/>
        <v>1930.0000000000637</v>
      </c>
      <c r="FV69" s="16">
        <f t="shared" si="165"/>
        <v>965.00000000003183</v>
      </c>
      <c r="FW69" s="16">
        <f t="shared" si="166"/>
        <v>965.00000000003183</v>
      </c>
      <c r="HY69" s="16">
        <v>25</v>
      </c>
      <c r="HZ69" s="144">
        <f>DailyMar!BX31+DailyMar!BY31-DailyMar!BZ31-DailyMar!CA31-DailyMar!CB31-DailyMar!CC31</f>
        <v>-6.7666405811905861E-10</v>
      </c>
      <c r="IA69" s="16">
        <v>-17240</v>
      </c>
      <c r="IB69" s="16">
        <f t="shared" si="167"/>
        <v>-17240</v>
      </c>
      <c r="IC69" s="16">
        <v>-17240</v>
      </c>
    </row>
    <row r="70" spans="1:237" x14ac:dyDescent="0.25">
      <c r="A70" s="35">
        <v>25</v>
      </c>
      <c r="B70" s="138"/>
      <c r="C70" s="65"/>
      <c r="D70" s="37">
        <f t="shared" si="146"/>
        <v>0</v>
      </c>
      <c r="E70" s="16">
        <v>22025</v>
      </c>
      <c r="F70" s="16"/>
      <c r="G70" s="37">
        <f t="shared" si="147"/>
        <v>100000</v>
      </c>
      <c r="H70" s="138"/>
      <c r="I70" s="65"/>
      <c r="J70" s="37">
        <f t="shared" si="148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f t="shared" si="163"/>
        <v>24</v>
      </c>
      <c r="DQ70" s="50">
        <v>7.9935</v>
      </c>
      <c r="DR70" s="49">
        <f t="shared" si="161"/>
        <v>17.000000000004789</v>
      </c>
      <c r="DS70" s="50">
        <v>51.348999999999997</v>
      </c>
      <c r="DT70" s="49">
        <f t="shared" si="168"/>
        <v>0</v>
      </c>
      <c r="EZ70" s="203">
        <f t="shared" si="149"/>
        <v>11902.99</v>
      </c>
      <c r="FA70" s="205">
        <f t="shared" si="150"/>
        <v>20387.990000000002</v>
      </c>
      <c r="FB70" s="201">
        <f t="shared" si="151"/>
        <v>32290.980000000003</v>
      </c>
      <c r="FC70" s="16"/>
      <c r="FD70" s="167">
        <f t="shared" si="152"/>
        <v>30994.560000000005</v>
      </c>
      <c r="FE70" s="16"/>
      <c r="FF70" s="199">
        <v>0.52245944373828546</v>
      </c>
      <c r="FG70" s="200">
        <f t="shared" si="170"/>
        <v>0.47754055626171454</v>
      </c>
      <c r="FH70" s="16">
        <f t="shared" si="154"/>
        <v>677.32687205118805</v>
      </c>
      <c r="FI70" s="179">
        <f t="shared" si="154"/>
        <v>619.09312794881203</v>
      </c>
      <c r="FJ70" s="179">
        <f t="shared" si="155"/>
        <v>16193.400576512915</v>
      </c>
      <c r="FK70" s="179">
        <f t="shared" si="156"/>
        <v>14801.15942348709</v>
      </c>
      <c r="FL70" s="204">
        <f t="shared" si="157"/>
        <v>16870.727448564103</v>
      </c>
      <c r="FM70" s="206">
        <f t="shared" si="157"/>
        <v>15420.252551435902</v>
      </c>
      <c r="FN70" s="202">
        <f t="shared" si="158"/>
        <v>32290.980000000003</v>
      </c>
      <c r="FR70" s="16">
        <v>27</v>
      </c>
      <c r="FS70" s="16">
        <v>523.91999999999996</v>
      </c>
      <c r="FT70" s="16">
        <v>251.6</v>
      </c>
      <c r="FU70" s="16">
        <f t="shared" si="164"/>
        <v>2089.9999999999181</v>
      </c>
      <c r="FV70" s="16">
        <f t="shared" si="165"/>
        <v>1044.9999999999591</v>
      </c>
      <c r="FW70" s="16">
        <f t="shared" si="166"/>
        <v>1044.9999999999591</v>
      </c>
      <c r="HY70" s="16">
        <v>26</v>
      </c>
      <c r="HZ70" s="144">
        <f>DailyMar!BX32+DailyMar!BY32-DailyMar!BZ32-DailyMar!CA32-DailyMar!CB32-DailyMar!CC32</f>
        <v>1.0000000125728548E-2</v>
      </c>
      <c r="IA70" s="16">
        <v>9010</v>
      </c>
      <c r="IB70" s="16">
        <f t="shared" si="160"/>
        <v>3003.3333333333335</v>
      </c>
      <c r="IC70" s="16">
        <v>3003.33</v>
      </c>
    </row>
    <row r="71" spans="1:237" x14ac:dyDescent="0.25">
      <c r="A71" s="35">
        <v>26</v>
      </c>
      <c r="B71" s="138"/>
      <c r="C71" s="65"/>
      <c r="D71" s="37">
        <f t="shared" si="146"/>
        <v>0</v>
      </c>
      <c r="E71" s="16">
        <v>22126</v>
      </c>
      <c r="F71" s="16"/>
      <c r="G71" s="37">
        <f t="shared" si="147"/>
        <v>101000</v>
      </c>
      <c r="H71" s="138"/>
      <c r="I71" s="65"/>
      <c r="J71" s="37">
        <f t="shared" si="148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f t="shared" si="163"/>
        <v>25</v>
      </c>
      <c r="DQ71" s="50">
        <v>7.9995000000000003</v>
      </c>
      <c r="DR71" s="49">
        <f t="shared" si="161"/>
        <v>60.000000000002274</v>
      </c>
      <c r="DS71" s="50">
        <v>51.348999999999997</v>
      </c>
      <c r="DT71" s="49">
        <f t="shared" si="168"/>
        <v>0</v>
      </c>
      <c r="EZ71" s="203">
        <f t="shared" si="149"/>
        <v>11654.04</v>
      </c>
      <c r="FA71" s="205">
        <f t="shared" si="150"/>
        <v>15272.370000000003</v>
      </c>
      <c r="FB71" s="201">
        <f t="shared" si="151"/>
        <v>26926.410000000003</v>
      </c>
      <c r="FC71" s="16"/>
      <c r="FD71" s="167">
        <f t="shared" si="152"/>
        <v>25629.990000000005</v>
      </c>
      <c r="FE71" s="16"/>
      <c r="FF71" s="199">
        <v>0.52245944373828546</v>
      </c>
      <c r="FG71" s="200">
        <f t="shared" ref="FG71:FG75" si="171">1-FF71</f>
        <v>0.47754055626171454</v>
      </c>
      <c r="FH71" s="16">
        <f t="shared" si="154"/>
        <v>677.32687205118805</v>
      </c>
      <c r="FI71" s="179">
        <f t="shared" si="154"/>
        <v>619.09312794881203</v>
      </c>
      <c r="FJ71" s="179">
        <f t="shared" si="155"/>
        <v>13390.630318417821</v>
      </c>
      <c r="FK71" s="179">
        <f t="shared" si="156"/>
        <v>12239.359681582184</v>
      </c>
      <c r="FL71" s="204">
        <f t="shared" si="157"/>
        <v>14067.957190469009</v>
      </c>
      <c r="FM71" s="206">
        <f t="shared" si="157"/>
        <v>12858.452809530996</v>
      </c>
      <c r="FN71" s="202">
        <f t="shared" si="158"/>
        <v>26926.410000000003</v>
      </c>
      <c r="FR71" s="16">
        <v>28</v>
      </c>
      <c r="FS71" s="16">
        <v>526.01</v>
      </c>
      <c r="FT71" s="16">
        <v>252.94</v>
      </c>
      <c r="FU71" s="16">
        <f t="shared" si="164"/>
        <v>2090.0000000000318</v>
      </c>
      <c r="FV71" s="16">
        <f t="shared" si="165"/>
        <v>1045.0000000000159</v>
      </c>
      <c r="FW71" s="16">
        <f t="shared" si="166"/>
        <v>1045.0000000000159</v>
      </c>
      <c r="HY71" s="16">
        <v>27</v>
      </c>
      <c r="HZ71" s="144">
        <f>DailyMar!BX33+DailyMar!BY33-DailyMar!BZ33-DailyMar!CA33-DailyMar!CB33-DailyMar!CC33</f>
        <v>-9.9999995509278961E-3</v>
      </c>
      <c r="IA71" s="16">
        <v>4430</v>
      </c>
      <c r="IB71" s="16">
        <f t="shared" si="160"/>
        <v>1476.6666666666667</v>
      </c>
      <c r="IC71" s="16">
        <v>1476.67</v>
      </c>
    </row>
    <row r="72" spans="1:237" x14ac:dyDescent="0.25">
      <c r="A72" s="35">
        <v>27</v>
      </c>
      <c r="B72" s="138"/>
      <c r="C72" s="65"/>
      <c r="D72" s="37">
        <f t="shared" si="146"/>
        <v>0</v>
      </c>
      <c r="E72" s="16">
        <v>22225</v>
      </c>
      <c r="F72" s="16"/>
      <c r="G72" s="37">
        <f t="shared" si="147"/>
        <v>99000</v>
      </c>
      <c r="H72" s="138"/>
      <c r="I72" s="65"/>
      <c r="J72" s="37">
        <f t="shared" si="148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f t="shared" si="163"/>
        <v>26</v>
      </c>
      <c r="DQ72" s="50">
        <v>8.0048999999999992</v>
      </c>
      <c r="DR72" s="49">
        <f t="shared" si="161"/>
        <v>53.999999999989612</v>
      </c>
      <c r="DS72" s="50">
        <v>51.348999999999997</v>
      </c>
      <c r="DT72" s="49">
        <f t="shared" si="168"/>
        <v>0</v>
      </c>
      <c r="EZ72" s="203">
        <f t="shared" si="149"/>
        <v>13963.7</v>
      </c>
      <c r="FA72" s="205">
        <f t="shared" si="150"/>
        <v>14682.03</v>
      </c>
      <c r="FB72" s="201">
        <f t="shared" si="151"/>
        <v>28645.730000000003</v>
      </c>
      <c r="FC72" s="16"/>
      <c r="FD72" s="167">
        <f t="shared" si="152"/>
        <v>27349.310000000005</v>
      </c>
      <c r="FE72" s="16"/>
      <c r="FF72" s="199">
        <v>0.52245944373828546</v>
      </c>
      <c r="FG72" s="200">
        <f t="shared" si="171"/>
        <v>0.47754055626171454</v>
      </c>
      <c r="FH72" s="16">
        <f t="shared" si="154"/>
        <v>677.32687205118805</v>
      </c>
      <c r="FI72" s="179">
        <f t="shared" si="154"/>
        <v>619.09312794881203</v>
      </c>
      <c r="FJ72" s="179">
        <f t="shared" si="155"/>
        <v>14288.90528922593</v>
      </c>
      <c r="FK72" s="179">
        <f t="shared" si="156"/>
        <v>13060.404710774075</v>
      </c>
      <c r="FL72" s="204">
        <f t="shared" si="157"/>
        <v>14966.232161277117</v>
      </c>
      <c r="FM72" s="206">
        <f t="shared" si="157"/>
        <v>13679.497838722888</v>
      </c>
      <c r="FN72" s="202">
        <f t="shared" si="158"/>
        <v>28645.730000000003</v>
      </c>
      <c r="FR72" s="16">
        <v>29</v>
      </c>
      <c r="FS72" s="16">
        <v>527.9</v>
      </c>
      <c r="FT72" s="16">
        <v>254.21</v>
      </c>
      <c r="FU72" s="16">
        <f t="shared" si="164"/>
        <v>1889.9999999999864</v>
      </c>
      <c r="FV72" s="16">
        <f t="shared" si="165"/>
        <v>944.99999999999318</v>
      </c>
      <c r="FW72" s="16">
        <f t="shared" si="166"/>
        <v>944.99999999999318</v>
      </c>
      <c r="HY72" s="16">
        <v>28</v>
      </c>
      <c r="HZ72" s="144">
        <f>DailyMar!BX34+DailyMar!BY34-DailyMar!BZ34-DailyMar!CA34-DailyMar!CB34-DailyMar!CC34</f>
        <v>-9.9999979465792421E-4</v>
      </c>
      <c r="IA72" s="16">
        <v>1400</v>
      </c>
      <c r="IB72" s="16">
        <f t="shared" si="160"/>
        <v>466.66666666666669</v>
      </c>
      <c r="IC72" s="16">
        <v>466.66699999999997</v>
      </c>
    </row>
    <row r="73" spans="1:237" x14ac:dyDescent="0.25">
      <c r="A73" s="35">
        <v>28</v>
      </c>
      <c r="B73" s="138"/>
      <c r="C73" s="65"/>
      <c r="D73" s="37">
        <f t="shared" si="146"/>
        <v>0</v>
      </c>
      <c r="E73" s="16">
        <v>22351</v>
      </c>
      <c r="F73" s="16"/>
      <c r="G73" s="37">
        <f t="shared" si="147"/>
        <v>126000</v>
      </c>
      <c r="H73" s="138"/>
      <c r="I73" s="65"/>
      <c r="J73" s="37">
        <f t="shared" si="148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f t="shared" si="163"/>
        <v>27</v>
      </c>
      <c r="DQ73" s="50">
        <v>8.0137</v>
      </c>
      <c r="DR73" s="49">
        <f t="shared" si="161"/>
        <v>88.000000000008072</v>
      </c>
      <c r="DS73" s="50">
        <v>51.348999999999997</v>
      </c>
      <c r="DT73" s="49">
        <f t="shared" si="168"/>
        <v>0</v>
      </c>
      <c r="EZ73" s="203">
        <f t="shared" si="149"/>
        <v>11968.66</v>
      </c>
      <c r="FA73" s="205">
        <f t="shared" si="150"/>
        <v>12941.99</v>
      </c>
      <c r="FB73" s="201">
        <f t="shared" si="151"/>
        <v>24910.65</v>
      </c>
      <c r="FC73" s="16"/>
      <c r="FD73" s="167">
        <f t="shared" si="152"/>
        <v>23614.230000000003</v>
      </c>
      <c r="FE73" s="16"/>
      <c r="FF73" s="199">
        <v>0.52245944373828546</v>
      </c>
      <c r="FG73" s="200">
        <f t="shared" si="171"/>
        <v>0.47754055626171454</v>
      </c>
      <c r="FH73" s="16">
        <f t="shared" si="154"/>
        <v>677.32687205118805</v>
      </c>
      <c r="FI73" s="179">
        <f t="shared" si="154"/>
        <v>619.09312794881203</v>
      </c>
      <c r="FJ73" s="179">
        <f t="shared" si="155"/>
        <v>12337.477470107935</v>
      </c>
      <c r="FK73" s="179">
        <f t="shared" si="156"/>
        <v>11276.752529892068</v>
      </c>
      <c r="FL73" s="204">
        <f t="shared" si="157"/>
        <v>13014.804342159123</v>
      </c>
      <c r="FM73" s="206">
        <f t="shared" si="157"/>
        <v>11895.84565784088</v>
      </c>
      <c r="FN73" s="202">
        <f t="shared" si="158"/>
        <v>24910.65</v>
      </c>
      <c r="FR73" s="16">
        <v>30</v>
      </c>
      <c r="FS73" s="16">
        <v>530.05999999999995</v>
      </c>
      <c r="FT73" s="16">
        <v>255.53</v>
      </c>
      <c r="FU73" s="16">
        <f t="shared" si="164"/>
        <v>2159.9999999999682</v>
      </c>
      <c r="FV73" s="16">
        <f t="shared" si="165"/>
        <v>1079.9999999999841</v>
      </c>
      <c r="FW73" s="16">
        <f t="shared" si="166"/>
        <v>1079.9999999999841</v>
      </c>
      <c r="HY73" s="16">
        <v>29</v>
      </c>
      <c r="HZ73" s="144">
        <f>DailyMar!BX35+DailyMar!BY35-DailyMar!BZ35-DailyMar!CA35-DailyMar!CB35-DailyMar!CC35</f>
        <v>-6.8757799454033375E-10</v>
      </c>
      <c r="IA73" s="16">
        <v>11280</v>
      </c>
      <c r="IB73" s="16">
        <f t="shared" ref="IB73:IB75" si="172">IA73/3</f>
        <v>3760</v>
      </c>
      <c r="IC73" s="16">
        <v>3760</v>
      </c>
    </row>
    <row r="74" spans="1:237" x14ac:dyDescent="0.25">
      <c r="A74" s="35">
        <v>29</v>
      </c>
      <c r="B74" s="138"/>
      <c r="C74" s="65"/>
      <c r="D74" s="37">
        <f t="shared" si="146"/>
        <v>0</v>
      </c>
      <c r="E74" s="16">
        <v>22484</v>
      </c>
      <c r="F74" s="16"/>
      <c r="G74" s="37">
        <f t="shared" si="147"/>
        <v>133000</v>
      </c>
      <c r="H74" s="138"/>
      <c r="I74" s="65"/>
      <c r="J74" s="37">
        <f t="shared" si="148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f t="shared" si="163"/>
        <v>28</v>
      </c>
      <c r="DQ74" s="50">
        <v>8.0182000000000002</v>
      </c>
      <c r="DR74" s="49">
        <f t="shared" si="161"/>
        <v>45.000000000001705</v>
      </c>
      <c r="DS74" s="50">
        <v>51.348999999999997</v>
      </c>
      <c r="DT74" s="49">
        <f t="shared" si="168"/>
        <v>0</v>
      </c>
      <c r="EZ74" s="203">
        <f t="shared" si="149"/>
        <v>11208.27</v>
      </c>
      <c r="FA74" s="205">
        <f t="shared" si="150"/>
        <v>13268.27</v>
      </c>
      <c r="FB74" s="201">
        <f t="shared" si="151"/>
        <v>24476.54</v>
      </c>
      <c r="FC74" s="16"/>
      <c r="FD74" s="167">
        <f t="shared" si="152"/>
        <v>23180.120000000003</v>
      </c>
      <c r="FE74" s="16"/>
      <c r="FF74" s="199">
        <v>0.52245944373828546</v>
      </c>
      <c r="FG74" s="200">
        <f t="shared" si="171"/>
        <v>0.47754055626171454</v>
      </c>
      <c r="FH74" s="16">
        <f t="shared" si="154"/>
        <v>677.32687205118805</v>
      </c>
      <c r="FI74" s="179">
        <f t="shared" si="154"/>
        <v>619.09312794881203</v>
      </c>
      <c r="FJ74" s="179">
        <f t="shared" si="155"/>
        <v>12110.672600986707</v>
      </c>
      <c r="FK74" s="179">
        <f t="shared" si="156"/>
        <v>11069.447399013296</v>
      </c>
      <c r="FL74" s="204">
        <f t="shared" si="157"/>
        <v>12787.999473037895</v>
      </c>
      <c r="FM74" s="206">
        <f t="shared" si="157"/>
        <v>11688.540526962108</v>
      </c>
      <c r="FN74" s="202">
        <f t="shared" si="158"/>
        <v>24476.54</v>
      </c>
      <c r="FR74" s="16">
        <v>31</v>
      </c>
      <c r="FS74" s="16">
        <v>531.9</v>
      </c>
      <c r="FT74" s="16">
        <v>256.76</v>
      </c>
      <c r="FU74" s="16">
        <f t="shared" si="164"/>
        <v>1840.0000000000318</v>
      </c>
      <c r="FV74" s="16">
        <f t="shared" si="165"/>
        <v>920.00000000001592</v>
      </c>
      <c r="FW74" s="16">
        <f t="shared" si="166"/>
        <v>920.00000000001592</v>
      </c>
      <c r="HY74" s="34">
        <v>30</v>
      </c>
      <c r="HZ74" s="144">
        <f>DailyMar!BX36+DailyMar!BY36-DailyMar!BZ36-DailyMar!CA36-DailyMar!CB36-DailyMar!CC36</f>
        <v>2.5829649530351162E-10</v>
      </c>
      <c r="IA74" s="16">
        <v>15330</v>
      </c>
      <c r="IB74" s="16">
        <f t="shared" si="172"/>
        <v>5110</v>
      </c>
      <c r="IC74" s="16">
        <v>5110</v>
      </c>
    </row>
    <row r="75" spans="1:237" x14ac:dyDescent="0.25">
      <c r="A75" s="35">
        <v>30</v>
      </c>
      <c r="B75" s="138"/>
      <c r="C75" s="65"/>
      <c r="D75" s="37">
        <f t="shared" si="146"/>
        <v>0</v>
      </c>
      <c r="E75" s="16">
        <v>22617</v>
      </c>
      <c r="F75" s="16"/>
      <c r="G75" s="37">
        <f t="shared" si="147"/>
        <v>133000</v>
      </c>
      <c r="H75" s="138"/>
      <c r="I75" s="65"/>
      <c r="J75" s="37">
        <f t="shared" si="148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29</v>
      </c>
      <c r="DQ75" s="50">
        <v>8.0271000000000008</v>
      </c>
      <c r="DR75" s="49">
        <f t="shared" si="161"/>
        <v>89.000000000005741</v>
      </c>
      <c r="DS75" s="50">
        <v>51.348999999999997</v>
      </c>
      <c r="DT75" s="49">
        <f t="shared" si="168"/>
        <v>0</v>
      </c>
      <c r="EZ75" s="167">
        <f t="shared" si="149"/>
        <v>11317.97</v>
      </c>
      <c r="FA75" s="167">
        <f t="shared" si="150"/>
        <v>12789.64</v>
      </c>
      <c r="FB75" s="167">
        <f t="shared" si="151"/>
        <v>24107.61</v>
      </c>
      <c r="FC75" s="16"/>
      <c r="FD75" s="167">
        <f t="shared" si="152"/>
        <v>22811.190000000002</v>
      </c>
      <c r="FE75" s="16"/>
      <c r="FF75" s="199">
        <v>0.52245944373828546</v>
      </c>
      <c r="FG75" s="200">
        <f t="shared" si="171"/>
        <v>0.47754055626171454</v>
      </c>
      <c r="FH75" s="16">
        <f t="shared" si="154"/>
        <v>677.32687205118805</v>
      </c>
      <c r="FI75" s="179">
        <f t="shared" si="154"/>
        <v>619.09312794881203</v>
      </c>
      <c r="FJ75" s="179">
        <f t="shared" si="155"/>
        <v>11917.921638408341</v>
      </c>
      <c r="FK75" s="179">
        <f t="shared" si="156"/>
        <v>10893.268361591661</v>
      </c>
      <c r="FL75" s="204">
        <f t="shared" si="157"/>
        <v>12595.248510459529</v>
      </c>
      <c r="FM75" s="206">
        <f t="shared" si="157"/>
        <v>11512.361489540473</v>
      </c>
      <c r="FN75" s="202">
        <f t="shared" si="158"/>
        <v>24107.61</v>
      </c>
      <c r="FR75" s="16">
        <v>1</v>
      </c>
      <c r="FS75" s="16">
        <v>534.07000000000005</v>
      </c>
      <c r="FT75" s="16">
        <v>258.12</v>
      </c>
      <c r="FU75" s="16">
        <f t="shared" si="164"/>
        <v>2170.0000000000728</v>
      </c>
      <c r="FV75" s="16">
        <f t="shared" si="165"/>
        <v>1085.0000000000364</v>
      </c>
      <c r="FW75" s="16">
        <f t="shared" si="166"/>
        <v>1085.0000000000364</v>
      </c>
      <c r="HY75" s="34">
        <v>31</v>
      </c>
      <c r="HZ75" s="144">
        <f>DailyMar!BX37+DailyMar!BY37-DailyMar!BZ37-DailyMar!CA37-DailyMar!CB37-DailyMar!CC37</f>
        <v>2.0008883439004421E-10</v>
      </c>
      <c r="IA75" s="16">
        <v>18210</v>
      </c>
      <c r="IB75" s="16">
        <f t="shared" si="172"/>
        <v>6070</v>
      </c>
      <c r="IC75" s="16">
        <v>6070</v>
      </c>
    </row>
    <row r="76" spans="1:237" x14ac:dyDescent="0.25">
      <c r="A76" s="35">
        <v>31</v>
      </c>
      <c r="B76" s="138"/>
      <c r="C76" s="65"/>
      <c r="D76" s="37">
        <f t="shared" si="146"/>
        <v>0</v>
      </c>
      <c r="E76" s="16">
        <v>22752</v>
      </c>
      <c r="F76" s="16"/>
      <c r="G76" s="37">
        <f t="shared" si="147"/>
        <v>135000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30</v>
      </c>
      <c r="DQ76" s="50">
        <v>8.0282</v>
      </c>
      <c r="DR76" s="49">
        <f t="shared" si="161"/>
        <v>10.999999999992127</v>
      </c>
      <c r="DS76" s="50">
        <v>51.348999999999997</v>
      </c>
      <c r="DT76" s="49">
        <f t="shared" si="168"/>
        <v>0</v>
      </c>
      <c r="EZ76" s="91"/>
      <c r="HY76" s="16" t="s">
        <v>37</v>
      </c>
      <c r="HZ76" s="128">
        <f>SUM(HZ45:HZ75)</f>
        <v>7.8099999760524952E-2</v>
      </c>
      <c r="IA76" s="16"/>
      <c r="IB76" s="16"/>
      <c r="IC76" s="16"/>
    </row>
    <row r="77" spans="1:237" ht="15.75" thickBot="1" x14ac:dyDescent="0.3">
      <c r="A77" s="157"/>
      <c r="B77" s="138"/>
      <c r="C77" s="65"/>
      <c r="D77" s="37">
        <f t="shared" si="146"/>
        <v>0</v>
      </c>
      <c r="E77" s="16"/>
      <c r="F77" s="16"/>
      <c r="G77" s="37">
        <f t="shared" si="147"/>
        <v>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31</v>
      </c>
      <c r="DQ77" s="50">
        <v>8.0282</v>
      </c>
      <c r="DR77" s="49">
        <f t="shared" si="161"/>
        <v>0</v>
      </c>
      <c r="DS77" s="50">
        <v>51.348999999999997</v>
      </c>
      <c r="DT77" s="49">
        <f t="shared" si="168"/>
        <v>0</v>
      </c>
      <c r="EZ77" s="91"/>
    </row>
    <row r="78" spans="1:237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2720000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v>8.0282</v>
      </c>
      <c r="DR78" s="49">
        <f t="shared" si="161"/>
        <v>0</v>
      </c>
      <c r="DS78" s="50">
        <v>51.348999999999997</v>
      </c>
      <c r="DT78" s="49">
        <f t="shared" si="168"/>
        <v>0</v>
      </c>
      <c r="EZ78" s="91"/>
    </row>
    <row r="79" spans="1:237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1900.0000000000036</v>
      </c>
      <c r="DS79" s="84"/>
      <c r="DT79" s="85">
        <f>SUMIF(DT47:DT78,"&gt;0")</f>
        <v>0</v>
      </c>
      <c r="EZ79" s="91"/>
    </row>
    <row r="80" spans="1:237" x14ac:dyDescent="0.25">
      <c r="B80" t="s">
        <v>197</v>
      </c>
      <c r="F80" s="1" t="s">
        <v>198</v>
      </c>
      <c r="J80" s="189" t="s">
        <v>314</v>
      </c>
      <c r="K80" s="190"/>
      <c r="L80" s="191"/>
      <c r="M80" s="75"/>
      <c r="N80" s="189" t="s">
        <v>315</v>
      </c>
      <c r="O80" s="62"/>
      <c r="P80" s="24"/>
      <c r="Q80" s="24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B47</f>
        <v>0</v>
      </c>
      <c r="F81" t="s">
        <v>173</v>
      </c>
      <c r="H81" s="146">
        <f>E75</f>
        <v>22617</v>
      </c>
      <c r="J81" s="192" t="s">
        <v>213</v>
      </c>
      <c r="K81" s="193"/>
      <c r="L81" s="194">
        <f>[4]Master!$AU$37</f>
        <v>547833</v>
      </c>
      <c r="M81" s="24"/>
      <c r="N81" s="192" t="s">
        <v>213</v>
      </c>
      <c r="O81" s="193"/>
      <c r="P81" s="194">
        <v>12956</v>
      </c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v>0</v>
      </c>
      <c r="F82" t="s">
        <v>174</v>
      </c>
      <c r="H82" s="148">
        <f>Feb!E72</f>
        <v>19947</v>
      </c>
      <c r="J82" s="192" t="s">
        <v>214</v>
      </c>
      <c r="K82" s="195"/>
      <c r="L82" s="196">
        <f>[3]Master!$AU$34</f>
        <v>528422</v>
      </c>
      <c r="M82" s="24"/>
      <c r="N82" s="192" t="s">
        <v>214</v>
      </c>
      <c r="O82" s="195"/>
      <c r="P82" s="196">
        <v>5530</v>
      </c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</f>
        <v>0</v>
      </c>
      <c r="E83" t="s">
        <v>176</v>
      </c>
      <c r="F83" t="s">
        <v>175</v>
      </c>
      <c r="H83" s="104">
        <f>(H81-H82)*1000</f>
        <v>2670000</v>
      </c>
      <c r="I83" t="s">
        <v>176</v>
      </c>
      <c r="J83" s="192" t="s">
        <v>175</v>
      </c>
      <c r="K83" s="192"/>
      <c r="L83" s="197">
        <f>L81-L82</f>
        <v>19411</v>
      </c>
      <c r="M83" s="24" t="s">
        <v>215</v>
      </c>
      <c r="N83" s="192" t="s">
        <v>175</v>
      </c>
      <c r="O83" s="192"/>
      <c r="P83" s="197">
        <f>P81-P82</f>
        <v>7426</v>
      </c>
      <c r="Q83" s="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customSheetViews>
    <customSheetView guid="{48545DB9-4D9D-4699-ACEC-DA6E2D3586A8}" scale="82" fitToPage="1" hiddenColumns="1">
      <pane xSplit="1" ySplit="6" topLeftCell="GI7" activePane="bottomRight" state="frozen"/>
      <selection pane="bottomRight" activeCell="GV8" sqref="GV8:GV36"/>
      <pageMargins left="0.70866141732283472" right="0.70866141732283472" top="0.74803149606299213" bottom="0.74803149606299213" header="0.31496062992125984" footer="0.31496062992125984"/>
      <pageSetup scale="10" orientation="landscape" r:id="rId1"/>
    </customSheetView>
    <customSheetView guid="{32ABFE17-599B-4D0B-A1DB-D95B181877FC}" scale="82" fitToPage="1" hiddenColumns="1">
      <pane xSplit="1" ySplit="6" topLeftCell="GI7" activePane="bottomRight" state="frozen"/>
      <selection pane="bottomRight" activeCell="GV8" sqref="GV8:GV36"/>
      <pageMargins left="0.70866141732283472" right="0.70866141732283472" top="0.74803149606299213" bottom="0.74803149606299213" header="0.31496062992125984" footer="0.31496062992125984"/>
      <pageSetup scale="10" orientation="landscape" r:id="rId2"/>
    </customSheetView>
  </customSheetViews>
  <mergeCells count="153"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EE4:EG4"/>
    <mergeCell ref="EH4:EJ4"/>
    <mergeCell ref="GQ3:GS3"/>
    <mergeCell ref="AT5:AU5"/>
    <mergeCell ref="AV5:AW5"/>
    <mergeCell ref="AX5:AZ5"/>
    <mergeCell ref="S5:T5"/>
    <mergeCell ref="U5:V5"/>
    <mergeCell ref="W5:X5"/>
    <mergeCell ref="Y5:Z5"/>
    <mergeCell ref="AA5:AB5"/>
    <mergeCell ref="AC5:AF5"/>
    <mergeCell ref="CU5:CX5"/>
    <mergeCell ref="CY5:DB5"/>
    <mergeCell ref="HH3:JV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HN4:HY4"/>
    <mergeCell ref="HZ4:HZ5"/>
    <mergeCell ref="IA4:IL4"/>
    <mergeCell ref="IM4:JD4"/>
    <mergeCell ref="JE4:JV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AG5:AJ5"/>
    <mergeCell ref="AL5:AO5"/>
    <mergeCell ref="AP5:AS5"/>
    <mergeCell ref="DC5:DF5"/>
    <mergeCell ref="DU5:DW5"/>
    <mergeCell ref="DX5:DZ5"/>
    <mergeCell ref="EA5:EC5"/>
    <mergeCell ref="BA5:BC5"/>
    <mergeCell ref="BS5:BT5"/>
    <mergeCell ref="BU5:BX5"/>
    <mergeCell ref="BY5:CB5"/>
    <mergeCell ref="CC5:CD5"/>
    <mergeCell ref="CE5:CF5"/>
    <mergeCell ref="CG5:CH5"/>
    <mergeCell ref="CI5:CL5"/>
    <mergeCell ref="CM5:CP5"/>
    <mergeCell ref="CQ5:CT5"/>
    <mergeCell ref="FN5:FP5"/>
    <mergeCell ref="FQ5:FS5"/>
    <mergeCell ref="HN5:HP5"/>
    <mergeCell ref="HQ5:HS5"/>
    <mergeCell ref="HT5:HV5"/>
    <mergeCell ref="HW5:HY5"/>
    <mergeCell ref="EE5:EG5"/>
    <mergeCell ref="EH5:EJ5"/>
    <mergeCell ref="EK5:EM5"/>
    <mergeCell ref="EO5:EQ5"/>
    <mergeCell ref="ER5:ET5"/>
    <mergeCell ref="EU5:EW5"/>
    <mergeCell ref="JK5:JM5"/>
    <mergeCell ref="JN5:JP5"/>
    <mergeCell ref="JQ5:JS5"/>
    <mergeCell ref="JT5:JV5"/>
    <mergeCell ref="FV6:FX6"/>
    <mergeCell ref="FY6:GA6"/>
    <mergeCell ref="GB6:GD6"/>
    <mergeCell ref="GE6:GG6"/>
    <mergeCell ref="GH6:GJ6"/>
    <mergeCell ref="GK6:GM6"/>
    <mergeCell ref="IS5:IU5"/>
    <mergeCell ref="IV5:IX5"/>
    <mergeCell ref="IY5:JA5"/>
    <mergeCell ref="JB5:JD5"/>
    <mergeCell ref="JE5:JG5"/>
    <mergeCell ref="JH5:JJ5"/>
    <mergeCell ref="IA5:IC5"/>
    <mergeCell ref="ID5:IF5"/>
    <mergeCell ref="IG5:II5"/>
    <mergeCell ref="IJ5:IL5"/>
    <mergeCell ref="IM5:IO5"/>
    <mergeCell ref="IP5:IR5"/>
    <mergeCell ref="GU6:GX6"/>
    <mergeCell ref="GY6:HB6"/>
    <mergeCell ref="BU41:BW41"/>
    <mergeCell ref="BY41:CA41"/>
    <mergeCell ref="DU41:DW41"/>
    <mergeCell ref="DX41:DZ41"/>
    <mergeCell ref="EA41:EC41"/>
    <mergeCell ref="EO41:EQ41"/>
    <mergeCell ref="ER41:ET41"/>
    <mergeCell ref="EU41:EZ41"/>
    <mergeCell ref="FE41:FG41"/>
    <mergeCell ref="FH41:FJ41"/>
    <mergeCell ref="FO41:FQ41"/>
    <mergeCell ref="DQ42:DT42"/>
    <mergeCell ref="FF42:FG43"/>
    <mergeCell ref="FH42:FI43"/>
    <mergeCell ref="FJ42:FK43"/>
    <mergeCell ref="FL42:FM43"/>
    <mergeCell ref="FN42:FN44"/>
    <mergeCell ref="DQ43:DR45"/>
    <mergeCell ref="FO42:FQ44"/>
    <mergeCell ref="FR42:FR43"/>
    <mergeCell ref="FS42:FU42"/>
    <mergeCell ref="AP48:AS48"/>
    <mergeCell ref="EE48:EG48"/>
    <mergeCell ref="EH48:EJ48"/>
    <mergeCell ref="EK48:EM48"/>
    <mergeCell ref="EV48:EW48"/>
    <mergeCell ref="DS43:DT45"/>
    <mergeCell ref="EZ43:EZ44"/>
    <mergeCell ref="FA43:FA44"/>
    <mergeCell ref="FB43:FB44"/>
    <mergeCell ref="EW45:EX45"/>
  </mergeCells>
  <pageMargins left="0.70866141732283472" right="0.70866141732283472" top="0.74803149606299213" bottom="0.74803149606299213" header="0.31496062992125984" footer="0.31496062992125984"/>
  <pageSetup scale="10" orientation="landscape"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2:CI71"/>
  <sheetViews>
    <sheetView zoomScale="85" zoomScaleNormal="85" workbookViewId="0">
      <pane xSplit="1" ySplit="6" topLeftCell="B34" activePane="bottomRight" state="frozen"/>
      <selection pane="topRight" activeCell="B1" sqref="B1"/>
      <selection pane="bottomLeft" activeCell="A7" sqref="A7"/>
      <selection pane="bottomRight" activeCell="V57" sqref="V57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hidden="1" customWidth="1"/>
    <col min="16" max="16" width="10.7109375" hidden="1" customWidth="1"/>
    <col min="17" max="17" width="10.85546875" hidden="1" customWidth="1"/>
    <col min="18" max="18" width="10.5703125" hidden="1" customWidth="1"/>
    <col min="19" max="19" width="11.28515625" hidden="1" customWidth="1"/>
    <col min="20" max="20" width="10.85546875" hidden="1" customWidth="1"/>
    <col min="21" max="21" width="11.28515625" hidden="1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2" width="10.42578125" customWidth="1"/>
    <col min="33" max="33" width="12.7109375" customWidth="1"/>
    <col min="34" max="34" width="10.85546875" hidden="1" customWidth="1"/>
    <col min="35" max="36" width="11.285156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2.42578125" bestFit="1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2.42578125" bestFit="1" customWidth="1"/>
    <col min="46" max="46" width="11.28515625" hidden="1" customWidth="1"/>
    <col min="47" max="47" width="11.42578125" hidden="1" customWidth="1"/>
    <col min="48" max="48" width="12" hidden="1" customWidth="1"/>
    <col min="49" max="50" width="11.28515625" hidden="1" customWidth="1"/>
    <col min="51" max="51" width="12.42578125" bestFit="1" customWidth="1"/>
    <col min="52" max="52" width="11.28515625" hidden="1" customWidth="1"/>
    <col min="53" max="53" width="11.42578125" hidden="1" customWidth="1"/>
    <col min="54" max="55" width="11.28515625" hidden="1" customWidth="1"/>
    <col min="56" max="56" width="12.42578125" bestFit="1" customWidth="1"/>
    <col min="57" max="58" width="12.42578125" hidden="1" customWidth="1"/>
    <col min="59" max="59" width="12.42578125" customWidth="1"/>
    <col min="60" max="60" width="10.5703125" bestFit="1" customWidth="1"/>
    <col min="61" max="63" width="5.7109375" customWidth="1"/>
    <col min="64" max="64" width="10.5703125" bestFit="1" customWidth="1"/>
    <col min="65" max="66" width="5.7109375" customWidth="1"/>
    <col min="67" max="67" width="9.5703125" bestFit="1" customWidth="1"/>
    <col min="68" max="68" width="5.7109375" customWidth="1"/>
    <col min="69" max="69" width="10.7109375" customWidth="1"/>
    <col min="70" max="70" width="5.7109375" customWidth="1"/>
    <col min="71" max="71" width="10.7109375" customWidth="1"/>
    <col min="72" max="72" width="5.7109375" customWidth="1"/>
    <col min="73" max="73" width="11.42578125" customWidth="1"/>
    <col min="74" max="74" width="58.42578125" hidden="1" customWidth="1"/>
    <col min="75" max="75" width="16.140625" hidden="1" customWidth="1"/>
    <col min="76" max="76" width="11.7109375" hidden="1" customWidth="1"/>
    <col min="77" max="77" width="9.140625" hidden="1" customWidth="1"/>
    <col min="78" max="80" width="10.5703125" hidden="1" customWidth="1"/>
    <col min="81" max="81" width="12.5703125" hidden="1" customWidth="1"/>
    <col min="82" max="82" width="9.140625" customWidth="1"/>
    <col min="83" max="83" width="10.28515625" bestFit="1" customWidth="1"/>
    <col min="84" max="84" width="11.5703125" bestFit="1" customWidth="1"/>
    <col min="87" max="87" width="11.5703125" bestFit="1" customWidth="1"/>
  </cols>
  <sheetData>
    <row r="2" spans="1:81" ht="26.25" x14ac:dyDescent="0.4">
      <c r="A2" s="499" t="s">
        <v>316</v>
      </c>
      <c r="B2" s="499"/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499"/>
      <c r="O2" s="499"/>
      <c r="P2" s="499"/>
      <c r="Q2" s="499"/>
      <c r="R2" s="499"/>
      <c r="S2" s="499"/>
      <c r="T2" s="499"/>
      <c r="U2" s="499"/>
      <c r="V2" s="499"/>
      <c r="W2" s="499"/>
      <c r="X2" s="499"/>
      <c r="Y2" s="499"/>
      <c r="Z2" s="499"/>
      <c r="AA2" s="499"/>
      <c r="AB2" s="499"/>
      <c r="AC2" s="499"/>
      <c r="AD2" s="499"/>
      <c r="AE2" s="499"/>
      <c r="AF2" s="499"/>
      <c r="AG2" s="499"/>
      <c r="AH2" s="499"/>
      <c r="AI2" s="499"/>
      <c r="AJ2" s="499"/>
      <c r="AK2" s="499"/>
      <c r="AL2" s="499"/>
      <c r="AM2" s="499"/>
      <c r="AN2" s="499"/>
      <c r="AO2" s="499"/>
      <c r="AP2" s="499"/>
      <c r="AQ2" s="499"/>
      <c r="AR2" s="499"/>
      <c r="AS2" s="499"/>
      <c r="AT2" s="499"/>
      <c r="AU2" s="499"/>
      <c r="AV2" s="499"/>
      <c r="AW2" s="499"/>
      <c r="AX2" s="499"/>
      <c r="AY2" s="499"/>
      <c r="AZ2" s="499"/>
      <c r="BA2" s="499"/>
      <c r="BB2" s="499"/>
      <c r="BC2" s="499"/>
      <c r="BD2" s="499"/>
      <c r="BE2" s="499"/>
      <c r="BF2" s="499"/>
      <c r="BG2" s="499"/>
      <c r="BH2" s="499"/>
      <c r="BI2" s="499"/>
      <c r="BJ2" s="499"/>
      <c r="BK2" s="499"/>
      <c r="BL2" s="499"/>
      <c r="BM2" s="499"/>
      <c r="BN2" s="499"/>
      <c r="BO2" s="499"/>
      <c r="BP2" s="499"/>
      <c r="BQ2" s="499"/>
      <c r="BR2" s="499"/>
      <c r="BS2" s="499"/>
      <c r="BT2" s="499"/>
      <c r="BU2" s="499"/>
    </row>
    <row r="4" spans="1:81" ht="15" customHeight="1" x14ac:dyDescent="0.25">
      <c r="A4" s="448" t="s">
        <v>1</v>
      </c>
      <c r="B4" s="455" t="s">
        <v>118</v>
      </c>
      <c r="C4" s="455" t="s">
        <v>119</v>
      </c>
      <c r="D4" s="465" t="s">
        <v>4</v>
      </c>
      <c r="E4" s="466"/>
      <c r="F4" s="466"/>
      <c r="G4" s="466"/>
      <c r="H4" s="466"/>
      <c r="I4" s="466"/>
      <c r="J4" s="466"/>
      <c r="K4" s="466"/>
      <c r="L4" s="466"/>
      <c r="M4" s="467"/>
      <c r="N4" s="468" t="s">
        <v>120</v>
      </c>
      <c r="O4" s="110"/>
      <c r="P4" s="110"/>
      <c r="Q4" s="110"/>
      <c r="R4" s="110"/>
      <c r="S4" s="110" t="s">
        <v>121</v>
      </c>
      <c r="T4" s="110"/>
      <c r="U4" s="110"/>
      <c r="V4" s="476" t="s">
        <v>121</v>
      </c>
      <c r="W4" s="460" t="s">
        <v>122</v>
      </c>
      <c r="X4" s="460"/>
      <c r="Y4" s="459" t="s">
        <v>123</v>
      </c>
      <c r="Z4" s="461" t="s">
        <v>124</v>
      </c>
      <c r="AA4" s="462" t="s">
        <v>125</v>
      </c>
      <c r="AB4" s="463" t="s">
        <v>126</v>
      </c>
      <c r="AC4" s="456" t="s">
        <v>127</v>
      </c>
      <c r="AD4" s="457" t="s">
        <v>200</v>
      </c>
      <c r="AE4" s="457" t="s">
        <v>223</v>
      </c>
      <c r="AF4" s="457" t="s">
        <v>248</v>
      </c>
      <c r="AG4" s="457" t="s">
        <v>249</v>
      </c>
      <c r="AH4" s="458" t="s">
        <v>128</v>
      </c>
      <c r="AI4" s="458"/>
      <c r="AJ4" s="458"/>
      <c r="AK4" s="454" t="s">
        <v>129</v>
      </c>
      <c r="AL4" s="454" t="s">
        <v>130</v>
      </c>
      <c r="AM4" s="454"/>
      <c r="AN4" s="454"/>
      <c r="AO4" s="454" t="s">
        <v>14</v>
      </c>
      <c r="AP4" s="459" t="s">
        <v>131</v>
      </c>
      <c r="AQ4" s="459"/>
      <c r="AR4" s="459"/>
      <c r="AS4" s="459" t="s">
        <v>17</v>
      </c>
      <c r="AT4" s="453" t="s">
        <v>132</v>
      </c>
      <c r="AU4" s="453"/>
      <c r="AV4" s="453"/>
      <c r="AW4" s="453"/>
      <c r="AX4" s="111"/>
      <c r="AY4" s="453" t="s">
        <v>15</v>
      </c>
      <c r="AZ4" s="453" t="s">
        <v>133</v>
      </c>
      <c r="BA4" s="453"/>
      <c r="BB4" s="453"/>
      <c r="BC4" s="111"/>
      <c r="BD4" s="453" t="s">
        <v>16</v>
      </c>
      <c r="BE4" s="505" t="s">
        <v>19</v>
      </c>
      <c r="BF4" s="506"/>
      <c r="BG4" s="459" t="s">
        <v>19</v>
      </c>
      <c r="BH4" s="477" t="s">
        <v>201</v>
      </c>
      <c r="BI4" s="478"/>
      <c r="BJ4" s="478"/>
      <c r="BK4" s="479"/>
      <c r="BL4" s="483" t="s">
        <v>134</v>
      </c>
      <c r="BM4" s="483"/>
      <c r="BN4" s="483"/>
      <c r="BO4" s="483"/>
      <c r="BP4" s="501" t="s">
        <v>19</v>
      </c>
      <c r="BQ4" s="501"/>
      <c r="BR4" s="501"/>
      <c r="BS4" s="502"/>
      <c r="BT4" s="455" t="s">
        <v>293</v>
      </c>
      <c r="BU4" s="455" t="s">
        <v>190</v>
      </c>
      <c r="BX4" s="455" t="s">
        <v>278</v>
      </c>
      <c r="BY4" s="455" t="s">
        <v>279</v>
      </c>
      <c r="BZ4" s="455" t="s">
        <v>204</v>
      </c>
      <c r="CA4" s="455" t="s">
        <v>260</v>
      </c>
      <c r="CB4" s="455" t="s">
        <v>261</v>
      </c>
      <c r="CC4" s="455" t="s">
        <v>280</v>
      </c>
    </row>
    <row r="5" spans="1:81" x14ac:dyDescent="0.25">
      <c r="A5" s="448"/>
      <c r="B5" s="455"/>
      <c r="C5" s="455"/>
      <c r="D5" s="471" t="s">
        <v>135</v>
      </c>
      <c r="E5" s="472"/>
      <c r="F5" s="472"/>
      <c r="G5" s="472"/>
      <c r="H5" s="472"/>
      <c r="I5" s="473"/>
      <c r="J5" s="474" t="s">
        <v>136</v>
      </c>
      <c r="K5" s="475"/>
      <c r="L5" s="474" t="s">
        <v>55</v>
      </c>
      <c r="M5" s="475"/>
      <c r="N5" s="469"/>
      <c r="O5" s="110"/>
      <c r="P5" s="110"/>
      <c r="Q5" s="110"/>
      <c r="R5" s="110"/>
      <c r="S5" s="110"/>
      <c r="T5" s="110"/>
      <c r="U5" s="110"/>
      <c r="V5" s="476"/>
      <c r="W5" s="460"/>
      <c r="X5" s="460"/>
      <c r="Y5" s="459"/>
      <c r="Z5" s="461"/>
      <c r="AA5" s="462"/>
      <c r="AB5" s="463"/>
      <c r="AC5" s="456"/>
      <c r="AD5" s="457"/>
      <c r="AE5" s="457"/>
      <c r="AF5" s="457"/>
      <c r="AG5" s="457"/>
      <c r="AH5" s="112"/>
      <c r="AI5" s="112"/>
      <c r="AJ5" s="112"/>
      <c r="AK5" s="454"/>
      <c r="AL5" s="113"/>
      <c r="AM5" s="113"/>
      <c r="AN5" s="113"/>
      <c r="AO5" s="454"/>
      <c r="AP5" s="114"/>
      <c r="AQ5" s="114"/>
      <c r="AR5" s="114"/>
      <c r="AS5" s="459"/>
      <c r="AT5" s="111"/>
      <c r="AU5" s="111"/>
      <c r="AV5" s="111"/>
      <c r="AW5" s="111"/>
      <c r="AX5" s="111"/>
      <c r="AY5" s="453"/>
      <c r="AZ5" s="111"/>
      <c r="BA5" s="111"/>
      <c r="BB5" s="111"/>
      <c r="BC5" s="111"/>
      <c r="BD5" s="453"/>
      <c r="BE5" s="218"/>
      <c r="BF5" s="218"/>
      <c r="BG5" s="459"/>
      <c r="BH5" s="480"/>
      <c r="BI5" s="481"/>
      <c r="BJ5" s="481"/>
      <c r="BK5" s="482"/>
      <c r="BL5" s="483"/>
      <c r="BM5" s="483"/>
      <c r="BN5" s="483"/>
      <c r="BO5" s="483"/>
      <c r="BP5" s="503"/>
      <c r="BQ5" s="503"/>
      <c r="BR5" s="503"/>
      <c r="BS5" s="504"/>
      <c r="BT5" s="455"/>
      <c r="BU5" s="455"/>
      <c r="BX5" s="455"/>
      <c r="BY5" s="455"/>
      <c r="BZ5" s="455"/>
      <c r="CA5" s="455"/>
      <c r="CB5" s="455"/>
      <c r="CC5" s="455"/>
    </row>
    <row r="6" spans="1:81" ht="60" x14ac:dyDescent="0.25">
      <c r="A6" s="448"/>
      <c r="B6" s="455"/>
      <c r="C6" s="455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70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76"/>
      <c r="W6" s="120" t="s">
        <v>62</v>
      </c>
      <c r="X6" s="121" t="s">
        <v>63</v>
      </c>
      <c r="Y6" s="459"/>
      <c r="Z6" s="461"/>
      <c r="AA6" s="462"/>
      <c r="AB6" s="463"/>
      <c r="AC6" s="456"/>
      <c r="AD6" s="457"/>
      <c r="AE6" s="457"/>
      <c r="AF6" s="457"/>
      <c r="AG6" s="457"/>
      <c r="AH6" s="112" t="s">
        <v>66</v>
      </c>
      <c r="AI6" s="112" t="s">
        <v>67</v>
      </c>
      <c r="AJ6" s="112" t="s">
        <v>147</v>
      </c>
      <c r="AK6" s="454"/>
      <c r="AL6" s="122" t="s">
        <v>148</v>
      </c>
      <c r="AM6" s="122" t="s">
        <v>149</v>
      </c>
      <c r="AN6" s="122" t="s">
        <v>150</v>
      </c>
      <c r="AO6" s="454"/>
      <c r="AP6" s="114" t="s">
        <v>99</v>
      </c>
      <c r="AQ6" s="114" t="s">
        <v>100</v>
      </c>
      <c r="AR6" s="114" t="s">
        <v>151</v>
      </c>
      <c r="AS6" s="459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453"/>
      <c r="AZ6" s="111" t="s">
        <v>152</v>
      </c>
      <c r="BA6" s="111" t="s">
        <v>153</v>
      </c>
      <c r="BB6" s="111" t="s">
        <v>155</v>
      </c>
      <c r="BC6" s="111" t="s">
        <v>151</v>
      </c>
      <c r="BD6" s="453"/>
      <c r="BE6" s="114" t="s">
        <v>329</v>
      </c>
      <c r="BF6" s="114" t="s">
        <v>330</v>
      </c>
      <c r="BG6" s="459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455"/>
      <c r="BU6" s="455"/>
      <c r="BX6" s="455"/>
      <c r="BY6" s="455"/>
      <c r="BZ6" s="455"/>
      <c r="CA6" s="455"/>
      <c r="CB6" s="455"/>
      <c r="CC6" s="455"/>
    </row>
    <row r="7" spans="1:81" x14ac:dyDescent="0.25">
      <c r="A7" s="124">
        <v>1</v>
      </c>
      <c r="B7" s="42">
        <f>Mar!G8</f>
        <v>315200.0000000007</v>
      </c>
      <c r="C7" s="42">
        <f>Mar!N8</f>
        <v>313000</v>
      </c>
      <c r="D7" s="42">
        <f>Mar!T8</f>
        <v>9701.2000000011176</v>
      </c>
      <c r="E7" s="42">
        <f>Mar!V8</f>
        <v>0</v>
      </c>
      <c r="F7" s="42">
        <f>Mar!AB8</f>
        <v>0</v>
      </c>
      <c r="G7" s="42">
        <f>Mar!X8</f>
        <v>7598.7999999981548</v>
      </c>
      <c r="H7" s="42">
        <f>Mar!AE8</f>
        <v>6099.9999999999091</v>
      </c>
      <c r="I7" s="42">
        <f>Mar!AI8</f>
        <v>15004.170000000364</v>
      </c>
      <c r="J7" s="42">
        <f>Mar!AN8</f>
        <v>6374.1699999996044</v>
      </c>
      <c r="K7" s="42">
        <f>Mar!AR8</f>
        <v>9299.9999999992724</v>
      </c>
      <c r="L7" s="42">
        <f>Mar!AZ8</f>
        <v>190</v>
      </c>
      <c r="M7" s="42">
        <f>Mar!BC8</f>
        <v>220</v>
      </c>
      <c r="N7" s="125">
        <f t="shared" ref="N7" si="0">SUM(D7:M7)</f>
        <v>54488.339999998425</v>
      </c>
      <c r="O7" s="125">
        <f>Mar!CA8</f>
        <v>546.89999999999372</v>
      </c>
      <c r="P7" s="125">
        <f>Mar!CD8</f>
        <v>413.5</v>
      </c>
      <c r="Q7" s="125">
        <f>Mar!CF8</f>
        <v>4300</v>
      </c>
      <c r="R7" s="125">
        <f>Mar!CH8</f>
        <v>0</v>
      </c>
      <c r="S7" s="125">
        <f>Mar!CK8</f>
        <v>14277.270000000079</v>
      </c>
      <c r="T7" s="125">
        <f>Mar!CO8</f>
        <v>7994.1700000001456</v>
      </c>
      <c r="U7" s="125">
        <f>Mar!CS8</f>
        <v>5471.1700000000073</v>
      </c>
      <c r="V7" s="126">
        <f>SUM(O7:U7)</f>
        <v>33003.01000000022</v>
      </c>
      <c r="W7" s="126">
        <f>Mar!CW8</f>
        <v>13187</v>
      </c>
      <c r="X7" s="126">
        <f>Mar!DA8</f>
        <v>5221</v>
      </c>
      <c r="Y7" s="126">
        <f t="shared" ref="Y7:Y36" si="1">W7+X7</f>
        <v>18408</v>
      </c>
      <c r="Z7" s="42">
        <f>Mar!BR8</f>
        <v>500</v>
      </c>
      <c r="AA7" s="126">
        <f>Mar!BG8</f>
        <v>2099.9999999999091</v>
      </c>
      <c r="AB7" s="126">
        <f>Mar!BJ8</f>
        <v>8100.0000000003638</v>
      </c>
      <c r="AC7" s="126">
        <f>Mar!BL8+Mar!BN8</f>
        <v>4930.0000000000318</v>
      </c>
      <c r="AD7" s="126">
        <f>Mar!DR8</f>
        <v>7600</v>
      </c>
      <c r="AE7" s="127">
        <f>Mar!DT8-Mar!DR48-Mar!DT48</f>
        <v>18630.999999999993</v>
      </c>
      <c r="AF7" s="127">
        <f>Mar!DR48+Mar!DT48</f>
        <v>69.000000000007944</v>
      </c>
      <c r="AG7" s="127">
        <f>Mar!HJ8-AE7</f>
        <v>80109.000000000029</v>
      </c>
      <c r="AH7" s="127">
        <f>Mar!DW8</f>
        <v>4600.0000000003638</v>
      </c>
      <c r="AI7" s="127">
        <f>Mar!DZ8</f>
        <v>7904.17</v>
      </c>
      <c r="AJ7" s="127">
        <f>Mar!EC8</f>
        <v>24064.17</v>
      </c>
      <c r="AK7" s="127">
        <f>SUM(AH7:AJ7)</f>
        <v>36568.34000000036</v>
      </c>
      <c r="AL7" s="127">
        <f>Mar!EG8</f>
        <v>7064.17</v>
      </c>
      <c r="AM7" s="127">
        <f>Mar!EJ8</f>
        <v>5904.17</v>
      </c>
      <c r="AN7" s="127">
        <f>Mar!EM8</f>
        <v>590.00000000003183</v>
      </c>
      <c r="AO7" s="127">
        <f>SUM(AL7:AN7)</f>
        <v>13558.340000000033</v>
      </c>
      <c r="AP7" s="127">
        <f>Mar!FX8</f>
        <v>5600</v>
      </c>
      <c r="AQ7" s="127">
        <f>Mar!GA8</f>
        <v>349.99999999972715</v>
      </c>
      <c r="AR7" s="127">
        <f>Mar!GG8</f>
        <v>5500.0000000006821</v>
      </c>
      <c r="AS7" s="127">
        <f>SUM(AP7:AR7)</f>
        <v>11450.000000000409</v>
      </c>
      <c r="AT7" s="127">
        <f>Mar!EQ8</f>
        <v>8904.17</v>
      </c>
      <c r="AU7" s="127">
        <f>Mar!ET8</f>
        <v>18799.999999999272</v>
      </c>
      <c r="AV7" s="127">
        <f>Mar!EW8</f>
        <v>8204.1699999997272</v>
      </c>
      <c r="AW7" s="127">
        <f>Mar!FL45</f>
        <v>11572.513640779234</v>
      </c>
      <c r="AX7" s="127">
        <f>Mar!GJ8</f>
        <v>1700.0000000000455</v>
      </c>
      <c r="AY7" s="127">
        <f>SUM(AT7:AX7)</f>
        <v>49180.853640778281</v>
      </c>
      <c r="AZ7" s="127">
        <f>Mar!FG8</f>
        <v>8604.17</v>
      </c>
      <c r="BA7" s="127">
        <f>Mar!FJ8</f>
        <v>13504.169999999636</v>
      </c>
      <c r="BB7" s="127">
        <f>Mar!FM45</f>
        <v>9935.8263592207641</v>
      </c>
      <c r="BC7" s="127">
        <f>Mar!GM8</f>
        <v>1500</v>
      </c>
      <c r="BD7" s="127">
        <f t="shared" ref="BD7:BD37" si="2">SUM(AZ7:BC7)</f>
        <v>33544.166359220399</v>
      </c>
      <c r="BE7" s="127">
        <f>Mar!GP8</f>
        <v>1010</v>
      </c>
      <c r="BF7" s="127">
        <f>Mar!GS8</f>
        <v>950</v>
      </c>
      <c r="BG7" s="127">
        <f>BE7+BF7</f>
        <v>1960</v>
      </c>
      <c r="BH7" s="127">
        <f t="shared" ref="BH7:BH37" si="3">Y7</f>
        <v>18408</v>
      </c>
      <c r="BI7" s="127"/>
      <c r="BJ7" s="127"/>
      <c r="BK7" s="127"/>
      <c r="BL7" s="128">
        <f>AS7+BG7</f>
        <v>13410.000000000409</v>
      </c>
      <c r="BM7" s="128"/>
      <c r="BN7" s="128"/>
      <c r="BO7" s="128"/>
      <c r="BP7" s="128"/>
      <c r="BQ7" s="128"/>
      <c r="BR7" s="128"/>
      <c r="BS7" s="128"/>
      <c r="BT7" s="42">
        <f>Mar!D46</f>
        <v>0</v>
      </c>
      <c r="BU7" s="42">
        <f>Mar!G46</f>
        <v>59000</v>
      </c>
      <c r="BV7" t="s">
        <v>305</v>
      </c>
      <c r="BX7" s="42">
        <f>Mar!HJ8</f>
        <v>98740.000000000015</v>
      </c>
      <c r="BY7" s="42">
        <f>Mar!HM8</f>
        <v>0</v>
      </c>
      <c r="BZ7" s="42">
        <f>Mar!HP8</f>
        <v>31546.67</v>
      </c>
      <c r="CA7" s="42">
        <f>Mar!HS8</f>
        <v>25256.670000000035</v>
      </c>
      <c r="CB7" s="42">
        <f>Mar!HV8</f>
        <v>23236.67</v>
      </c>
      <c r="CC7" s="42">
        <f>Mar!HY8</f>
        <v>18700</v>
      </c>
    </row>
    <row r="8" spans="1:81" x14ac:dyDescent="0.25">
      <c r="A8" s="26">
        <f>A7+1</f>
        <v>2</v>
      </c>
      <c r="B8" s="42">
        <f>Mar!G9</f>
        <v>322880.00000000105</v>
      </c>
      <c r="C8" s="42">
        <f>Mar!N9</f>
        <v>327000</v>
      </c>
      <c r="D8" s="42">
        <f>Mar!T9</f>
        <v>9968.3699999991804</v>
      </c>
      <c r="E8" s="42">
        <f>Mar!V9</f>
        <v>0</v>
      </c>
      <c r="F8" s="42">
        <f>Mar!AB9</f>
        <v>0</v>
      </c>
      <c r="G8" s="42">
        <f>Mar!X9</f>
        <v>7221.6300000013289</v>
      </c>
      <c r="H8" s="42">
        <f>Mar!AE9</f>
        <v>6800.0000000001819</v>
      </c>
      <c r="I8" s="42">
        <f>Mar!AI9</f>
        <v>17236.389999999818</v>
      </c>
      <c r="J8" s="42">
        <f>Mar!AN9</f>
        <v>6116.3899999996675</v>
      </c>
      <c r="K8" s="42">
        <f>Mar!AR9</f>
        <v>9300.0000000001819</v>
      </c>
      <c r="L8" s="42">
        <f>Mar!AZ9</f>
        <v>20</v>
      </c>
      <c r="M8" s="42">
        <f>Mar!BC9</f>
        <v>30</v>
      </c>
      <c r="N8" s="125">
        <f t="shared" ref="N8:N15" si="4">SUM(D8:M8)</f>
        <v>56692.780000000355</v>
      </c>
      <c r="O8" s="125">
        <f>Mar!CA9</f>
        <v>801.400000000001</v>
      </c>
      <c r="P8" s="125">
        <f>Mar!CD9</f>
        <v>2916.1999999999534</v>
      </c>
      <c r="Q8" s="125">
        <f>Mar!CF9</f>
        <v>4150</v>
      </c>
      <c r="R8" s="125">
        <f>Mar!CH9</f>
        <v>0</v>
      </c>
      <c r="S8" s="125">
        <f>Mar!CK9</f>
        <v>17384.989999999634</v>
      </c>
      <c r="T8" s="125">
        <f>Mar!CO9</f>
        <v>8183.3899999999348</v>
      </c>
      <c r="U8" s="125">
        <f>Mar!CS9</f>
        <v>6487.3900000000222</v>
      </c>
      <c r="V8" s="126">
        <f t="shared" ref="V8:V37" si="5">SUM(O8:U8)</f>
        <v>39923.369999999544</v>
      </c>
      <c r="W8" s="126">
        <f>Mar!CW9</f>
        <v>11235</v>
      </c>
      <c r="X8" s="126">
        <f>Mar!DA9</f>
        <v>4337</v>
      </c>
      <c r="Y8" s="126">
        <f t="shared" si="1"/>
        <v>15572</v>
      </c>
      <c r="Z8" s="42">
        <f>Mar!BR9</f>
        <v>299.99999999995453</v>
      </c>
      <c r="AA8" s="126">
        <f>Mar!BG9</f>
        <v>2200.0000000000455</v>
      </c>
      <c r="AB8" s="126">
        <f>Mar!BJ9</f>
        <v>7600.0000000003638</v>
      </c>
      <c r="AC8" s="126">
        <f>Mar!BL9+Mar!BN9</f>
        <v>5020.0000000000136</v>
      </c>
      <c r="AD8" s="126">
        <f>Mar!DR9</f>
        <v>6300</v>
      </c>
      <c r="AE8" s="127">
        <f>Mar!DT9-Mar!DR49-Mar!DT49</f>
        <v>17762</v>
      </c>
      <c r="AF8" s="127">
        <f>Mar!DR49+Mar!DT49</f>
        <v>38.000000000000256</v>
      </c>
      <c r="AG8" s="127">
        <f>Mar!HJ9-AE8</f>
        <v>74638.000000000087</v>
      </c>
      <c r="AH8" s="127">
        <f>Mar!DW9</f>
        <v>4599.9999999994543</v>
      </c>
      <c r="AI8" s="127">
        <f>Mar!DZ9</f>
        <v>7536.39</v>
      </c>
      <c r="AJ8" s="127">
        <f>Mar!EC9</f>
        <v>24696.39</v>
      </c>
      <c r="AK8" s="127">
        <f t="shared" ref="AK8:AK37" si="6">SUM(AH8:AJ8)</f>
        <v>36832.779999999453</v>
      </c>
      <c r="AL8" s="127">
        <f>Mar!EG9</f>
        <v>4696.3899999999994</v>
      </c>
      <c r="AM8" s="127">
        <f>Mar!EJ9</f>
        <v>4536.3900000000003</v>
      </c>
      <c r="AN8" s="127">
        <f>Mar!EM9</f>
        <v>149.99999999997726</v>
      </c>
      <c r="AO8" s="127">
        <f t="shared" ref="AO8:AO28" si="7">SUM(AL8:AN8)</f>
        <v>9382.779999999977</v>
      </c>
      <c r="AP8" s="127">
        <f>Mar!FX9</f>
        <v>4700</v>
      </c>
      <c r="AQ8" s="127">
        <f>Mar!GA9</f>
        <v>360.0000000001819</v>
      </c>
      <c r="AR8" s="127">
        <f>Mar!GG9</f>
        <v>4400.0000000005457</v>
      </c>
      <c r="AS8" s="127">
        <f t="shared" ref="AS8:AS37" si="8">SUM(AP8:AR8)</f>
        <v>9460.0000000007276</v>
      </c>
      <c r="AT8" s="127">
        <f>Mar!EQ9</f>
        <v>11536.39</v>
      </c>
      <c r="AU8" s="127">
        <f>Mar!ET9</f>
        <v>19200.000000000728</v>
      </c>
      <c r="AV8" s="127">
        <f>Mar!EW9</f>
        <v>9136.3899999999085</v>
      </c>
      <c r="AW8" s="127">
        <f>Mar!FL46</f>
        <v>13352.949182249751</v>
      </c>
      <c r="AX8" s="127">
        <f>Mar!GJ9</f>
        <v>1899.9999999998636</v>
      </c>
      <c r="AY8" s="127">
        <f t="shared" ref="AY8:AY37" si="9">SUM(AT8:AX8)</f>
        <v>55125.729182250252</v>
      </c>
      <c r="AZ8" s="127">
        <f>Mar!FG9</f>
        <v>10436.39</v>
      </c>
      <c r="BA8" s="127">
        <f>Mar!FJ9</f>
        <v>15736.390000000181</v>
      </c>
      <c r="BB8" s="127">
        <f>Mar!FM46</f>
        <v>10619.830817750249</v>
      </c>
      <c r="BC8" s="127">
        <f>Mar!GM9</f>
        <v>1299.9999999999545</v>
      </c>
      <c r="BD8" s="127">
        <f t="shared" si="2"/>
        <v>38092.610817750385</v>
      </c>
      <c r="BE8" s="127">
        <f>Mar!GP9</f>
        <v>0</v>
      </c>
      <c r="BF8" s="127">
        <f>Mar!GS9</f>
        <v>940</v>
      </c>
      <c r="BG8" s="127">
        <f t="shared" ref="BG8:BG37" si="10">BE8+BF8</f>
        <v>940</v>
      </c>
      <c r="BH8" s="127">
        <f t="shared" si="3"/>
        <v>15572</v>
      </c>
      <c r="BI8" s="127"/>
      <c r="BJ8" s="127"/>
      <c r="BK8" s="127"/>
      <c r="BL8" s="128">
        <f t="shared" ref="BL8:BL27" si="11">AS8+BG8</f>
        <v>10400.000000000728</v>
      </c>
      <c r="BM8" s="128"/>
      <c r="BN8" s="128"/>
      <c r="BO8" s="128"/>
      <c r="BP8" s="128"/>
      <c r="BQ8" s="128"/>
      <c r="BR8" s="128"/>
      <c r="BS8" s="128"/>
      <c r="BT8" s="42">
        <f>Mar!D47</f>
        <v>0</v>
      </c>
      <c r="BU8" s="42">
        <f>Mar!G47</f>
        <v>53000</v>
      </c>
      <c r="BV8" t="s">
        <v>305</v>
      </c>
      <c r="BX8" s="42">
        <f>Mar!HJ9</f>
        <v>92400.000000000087</v>
      </c>
      <c r="BY8" s="42">
        <f>Mar!HM9</f>
        <v>0</v>
      </c>
      <c r="BZ8" s="42">
        <f>Mar!HP9</f>
        <v>28713.33299999997</v>
      </c>
      <c r="CA8" s="42">
        <f>Mar!HS9</f>
        <v>23113.333000000002</v>
      </c>
      <c r="CB8" s="42">
        <f>Mar!HV9</f>
        <v>22773.333000000028</v>
      </c>
      <c r="CC8" s="42">
        <f>Mar!HY9</f>
        <v>17800</v>
      </c>
    </row>
    <row r="9" spans="1:81" x14ac:dyDescent="0.25">
      <c r="A9" s="26">
        <f t="shared" ref="A9:A37" si="12">A8+1</f>
        <v>3</v>
      </c>
      <c r="B9" s="42">
        <f>Mar!G10</f>
        <v>277759.99999999837</v>
      </c>
      <c r="C9" s="42">
        <f>Mar!N10</f>
        <v>275000</v>
      </c>
      <c r="D9" s="42">
        <f>Mar!T10</f>
        <v>514.58000000007451</v>
      </c>
      <c r="E9" s="42">
        <f>Mar!V10</f>
        <v>0</v>
      </c>
      <c r="F9" s="42">
        <f>Mar!AB10</f>
        <v>0</v>
      </c>
      <c r="G9" s="42">
        <f>Mar!X10</f>
        <v>2395.41999999978</v>
      </c>
      <c r="H9" s="42">
        <f>Mar!AE10</f>
        <v>299.99999999972715</v>
      </c>
      <c r="I9" s="42">
        <f>Mar!AI10</f>
        <v>759.2500000001819</v>
      </c>
      <c r="J9" s="42">
        <f>Mar!AN10</f>
        <v>2549.2500000006594</v>
      </c>
      <c r="K9" s="42">
        <f>Mar!AR10</f>
        <v>1400.0000000005457</v>
      </c>
      <c r="L9" s="42">
        <f>Mar!AZ10</f>
        <v>50</v>
      </c>
      <c r="M9" s="42">
        <f>Mar!BC10</f>
        <v>30</v>
      </c>
      <c r="N9" s="125">
        <f t="shared" si="4"/>
        <v>7998.5000000009686</v>
      </c>
      <c r="O9" s="125">
        <f>Mar!CA10</f>
        <v>649.20000000000755</v>
      </c>
      <c r="P9" s="125">
        <f>Mar!CD10</f>
        <v>1706.2000000000116</v>
      </c>
      <c r="Q9" s="125">
        <f>Mar!CF10</f>
        <v>4200</v>
      </c>
      <c r="R9" s="125">
        <f>Mar!CH10</f>
        <v>1310</v>
      </c>
      <c r="S9" s="125">
        <f>Mar!CK10</f>
        <v>12980.050000000065</v>
      </c>
      <c r="T9" s="125">
        <f>Mar!CO10</f>
        <v>5287.2499999999745</v>
      </c>
      <c r="U9" s="125">
        <f>Mar!CS10</f>
        <v>4106.2499999999345</v>
      </c>
      <c r="V9" s="126">
        <f t="shared" si="5"/>
        <v>30238.949999999993</v>
      </c>
      <c r="W9" s="126">
        <f>Mar!CW10</f>
        <v>11863</v>
      </c>
      <c r="X9" s="126">
        <f>Mar!DA10</f>
        <v>4612</v>
      </c>
      <c r="Y9" s="126">
        <f t="shared" si="1"/>
        <v>16475</v>
      </c>
      <c r="Z9" s="42">
        <f>Mar!BR10</f>
        <v>700.00000000004547</v>
      </c>
      <c r="AA9" s="126">
        <f>Mar!BG10</f>
        <v>2700.0000000000455</v>
      </c>
      <c r="AB9" s="126">
        <f>Mar!BJ10</f>
        <v>8000</v>
      </c>
      <c r="AC9" s="126">
        <f>Mar!BL10+Mar!BN10</f>
        <v>4410.0000000000227</v>
      </c>
      <c r="AD9" s="126">
        <f>Mar!DR10</f>
        <v>9100</v>
      </c>
      <c r="AE9" s="127">
        <f>Mar!DT10-Mar!DR50-Mar!DT50</f>
        <v>19505.000000000007</v>
      </c>
      <c r="AF9" s="127">
        <f>Mar!DR50+Mar!DT50</f>
        <v>94.999999999991758</v>
      </c>
      <c r="AG9" s="127">
        <f>Mar!HJ10-AE9</f>
        <v>75794.999999999709</v>
      </c>
      <c r="AH9" s="127">
        <f>Mar!DW10</f>
        <v>4700.0000000007276</v>
      </c>
      <c r="AI9" s="127">
        <f>Mar!DZ10</f>
        <v>7959.25</v>
      </c>
      <c r="AJ9" s="127">
        <f>Mar!EC10</f>
        <v>25119.25</v>
      </c>
      <c r="AK9" s="127">
        <f t="shared" si="6"/>
        <v>37778.500000000728</v>
      </c>
      <c r="AL9" s="127">
        <f>Mar!EG10</f>
        <v>5119.25</v>
      </c>
      <c r="AM9" s="127">
        <f>Mar!EJ10</f>
        <v>4959.25</v>
      </c>
      <c r="AN9" s="127">
        <f>Mar!EM10</f>
        <v>230.00000000001819</v>
      </c>
      <c r="AO9" s="127">
        <f t="shared" si="7"/>
        <v>10308.500000000018</v>
      </c>
      <c r="AP9" s="127">
        <f>Mar!FX10</f>
        <v>6200</v>
      </c>
      <c r="AQ9" s="127">
        <f>Mar!GA10</f>
        <v>689.9999999998181</v>
      </c>
      <c r="AR9" s="127">
        <f>Mar!GG10</f>
        <v>5900.0000000003183</v>
      </c>
      <c r="AS9" s="127">
        <f t="shared" si="8"/>
        <v>12790.000000000136</v>
      </c>
      <c r="AT9" s="127">
        <f>Mar!EQ10</f>
        <v>9959.25</v>
      </c>
      <c r="AU9" s="127">
        <f>Mar!ET10</f>
        <v>17899.999999999636</v>
      </c>
      <c r="AV9" s="127">
        <f>Mar!EW10</f>
        <v>7959.25</v>
      </c>
      <c r="AW9" s="127">
        <f>Mar!FL47</f>
        <v>14412.29314283804</v>
      </c>
      <c r="AX9" s="127">
        <f>Mar!GJ10</f>
        <v>2299.9999999999545</v>
      </c>
      <c r="AY9" s="127">
        <f t="shared" si="9"/>
        <v>52530.793142837632</v>
      </c>
      <c r="AZ9" s="127">
        <f>Mar!FG10</f>
        <v>9959.25</v>
      </c>
      <c r="BA9" s="127">
        <f>Mar!FJ10</f>
        <v>18959.25</v>
      </c>
      <c r="BB9" s="127">
        <f>Mar!FM47</f>
        <v>11506.206857161962</v>
      </c>
      <c r="BC9" s="127">
        <f>Mar!GM10</f>
        <v>1900.0000000000909</v>
      </c>
      <c r="BD9" s="127">
        <f t="shared" si="2"/>
        <v>42324.706857162048</v>
      </c>
      <c r="BE9" s="127">
        <f>Mar!GP10</f>
        <v>0</v>
      </c>
      <c r="BF9" s="127">
        <f>Mar!GS10</f>
        <v>1010</v>
      </c>
      <c r="BG9" s="127">
        <f t="shared" si="10"/>
        <v>1010</v>
      </c>
      <c r="BH9" s="127">
        <f t="shared" si="3"/>
        <v>16475</v>
      </c>
      <c r="BI9" s="127"/>
      <c r="BJ9" s="127"/>
      <c r="BK9" s="127"/>
      <c r="BL9" s="128">
        <f t="shared" si="11"/>
        <v>13800.000000000136</v>
      </c>
      <c r="BM9" s="128"/>
      <c r="BN9" s="128"/>
      <c r="BO9" s="128"/>
      <c r="BP9" s="128"/>
      <c r="BQ9" s="128"/>
      <c r="BR9" s="128"/>
      <c r="BS9" s="128"/>
      <c r="BT9" s="42">
        <f>Mar!D48</f>
        <v>0</v>
      </c>
      <c r="BU9" s="42">
        <f>Mar!G48</f>
        <v>54000</v>
      </c>
      <c r="BV9" t="s">
        <v>305</v>
      </c>
      <c r="BX9" s="42">
        <f>Mar!HJ10</f>
        <v>95299.999999999724</v>
      </c>
      <c r="BY9" s="42">
        <f>Mar!HM10</f>
        <v>0</v>
      </c>
      <c r="BZ9" s="42">
        <f>Mar!HP10</f>
        <v>28519.999999999989</v>
      </c>
      <c r="CA9" s="42">
        <f>Mar!HS10</f>
        <v>24359.999999999964</v>
      </c>
      <c r="CB9" s="42">
        <f>Mar!HV10</f>
        <v>22119.999999999956</v>
      </c>
      <c r="CC9" s="42">
        <f>Mar!HY10</f>
        <v>19600</v>
      </c>
    </row>
    <row r="10" spans="1:81" x14ac:dyDescent="0.25">
      <c r="A10" s="26">
        <f t="shared" si="12"/>
        <v>4</v>
      </c>
      <c r="B10" s="42">
        <f>Mar!G11</f>
        <v>281279.99999999523</v>
      </c>
      <c r="C10" s="42">
        <f>Mar!N11</f>
        <v>280000</v>
      </c>
      <c r="D10" s="42">
        <f>Mar!T11</f>
        <v>0</v>
      </c>
      <c r="E10" s="42">
        <f>Mar!V11</f>
        <v>0</v>
      </c>
      <c r="F10" s="42">
        <f>Mar!AB11</f>
        <v>3200</v>
      </c>
      <c r="G10" s="42">
        <f>Mar!X11</f>
        <v>5499.9999999989086</v>
      </c>
      <c r="H10" s="42">
        <f>Mar!AE11</f>
        <v>3900.0000000000909</v>
      </c>
      <c r="I10" s="42">
        <f>Mar!AI11</f>
        <v>8939.01</v>
      </c>
      <c r="J10" s="42">
        <f>Mar!AN11</f>
        <v>5769.0099999997956</v>
      </c>
      <c r="K10" s="42">
        <f>Mar!AR11</f>
        <v>6000</v>
      </c>
      <c r="L10" s="42">
        <f>Mar!AZ11</f>
        <v>250</v>
      </c>
      <c r="M10" s="42">
        <f>Mar!BC11</f>
        <v>290</v>
      </c>
      <c r="N10" s="125">
        <f t="shared" si="4"/>
        <v>33848.019999998796</v>
      </c>
      <c r="O10" s="125">
        <f>Mar!CA11</f>
        <v>773.59999999998763</v>
      </c>
      <c r="P10" s="125">
        <f>Mar!CD11</f>
        <v>0</v>
      </c>
      <c r="Q10" s="125">
        <f>Mar!CF11</f>
        <v>4944</v>
      </c>
      <c r="R10" s="125">
        <f>Mar!CH11</f>
        <v>992.90000000000146</v>
      </c>
      <c r="S10" s="125">
        <f>Mar!CK11</f>
        <v>16445.410000000666</v>
      </c>
      <c r="T10" s="125">
        <f>Mar!CO11</f>
        <v>6846.010000000153</v>
      </c>
      <c r="U10" s="125">
        <f>Mar!CS11</f>
        <v>6000.0100000001494</v>
      </c>
      <c r="V10" s="126">
        <f t="shared" si="5"/>
        <v>36001.930000000953</v>
      </c>
      <c r="W10" s="126">
        <f>Mar!CW11</f>
        <v>14367</v>
      </c>
      <c r="X10" s="126">
        <f>Mar!DA11</f>
        <v>5832</v>
      </c>
      <c r="Y10" s="126">
        <f t="shared" si="1"/>
        <v>20199</v>
      </c>
      <c r="Z10" s="42">
        <f>Mar!BR11</f>
        <v>699.99999999993179</v>
      </c>
      <c r="AA10" s="126">
        <f>Mar!BG11</f>
        <v>2699.9999999998181</v>
      </c>
      <c r="AB10" s="126">
        <f>Mar!BJ11</f>
        <v>8000</v>
      </c>
      <c r="AC10" s="126">
        <f>Mar!BL11+Mar!BN11</f>
        <v>4369.9999999999091</v>
      </c>
      <c r="AD10" s="126">
        <f>Mar!DR11</f>
        <v>8500</v>
      </c>
      <c r="AE10" s="127">
        <f>Mar!DT11-Mar!DR51-Mar!DT51</f>
        <v>17278.999999999996</v>
      </c>
      <c r="AF10" s="127">
        <f>Mar!DR51+Mar!DT51</f>
        <v>121.00000000000222</v>
      </c>
      <c r="AG10" s="127">
        <f>Mar!HJ11-AE10</f>
        <v>80421.000000000276</v>
      </c>
      <c r="AH10" s="127">
        <f>Mar!DW11</f>
        <v>4399.9999999996362</v>
      </c>
      <c r="AI10" s="127">
        <f>Mar!DZ11</f>
        <v>8439.01</v>
      </c>
      <c r="AJ10" s="127">
        <f>Mar!EC11</f>
        <v>24599.01</v>
      </c>
      <c r="AK10" s="127">
        <f t="shared" si="6"/>
        <v>37438.019999999633</v>
      </c>
      <c r="AL10" s="127">
        <f>Mar!EG11</f>
        <v>4599.01</v>
      </c>
      <c r="AM10" s="127">
        <f>Mar!EJ11</f>
        <v>5439.01</v>
      </c>
      <c r="AN10" s="127">
        <f>Mar!EM11</f>
        <v>330.00000000004093</v>
      </c>
      <c r="AO10" s="127">
        <f t="shared" si="7"/>
        <v>10368.02000000004</v>
      </c>
      <c r="AP10" s="127">
        <f>Mar!FX11</f>
        <v>6300</v>
      </c>
      <c r="AQ10" s="127">
        <f>Mar!GA11</f>
        <v>630.00000000027285</v>
      </c>
      <c r="AR10" s="127">
        <f>Mar!GG11</f>
        <v>5499.9999999990905</v>
      </c>
      <c r="AS10" s="127">
        <f t="shared" si="8"/>
        <v>12429.999999999363</v>
      </c>
      <c r="AT10" s="127">
        <f>Mar!EQ11</f>
        <v>6439.01</v>
      </c>
      <c r="AU10" s="127">
        <f>Mar!ET11</f>
        <v>2600.0000000003638</v>
      </c>
      <c r="AV10" s="127">
        <f>Mar!EW11</f>
        <v>2239.0100000001821</v>
      </c>
      <c r="AW10" s="127">
        <f>Mar!FL48</f>
        <v>4557.8454073404582</v>
      </c>
      <c r="AX10" s="127">
        <f>Mar!GJ11</f>
        <v>1800.0000000001819</v>
      </c>
      <c r="AY10" s="127">
        <f t="shared" si="9"/>
        <v>17635.865407341185</v>
      </c>
      <c r="AZ10" s="127">
        <f>Mar!FG11</f>
        <v>10572.34</v>
      </c>
      <c r="BA10" s="127">
        <f>Mar!FJ11</f>
        <v>17172.339999999454</v>
      </c>
      <c r="BB10" s="127">
        <f>Mar!FM48</f>
        <v>14453.504592659543</v>
      </c>
      <c r="BC10" s="127">
        <f>Mar!GM11</f>
        <v>1500</v>
      </c>
      <c r="BD10" s="127">
        <f t="shared" si="2"/>
        <v>43698.184592658996</v>
      </c>
      <c r="BE10" s="127">
        <f>Mar!GP11</f>
        <v>0</v>
      </c>
      <c r="BF10" s="127">
        <f>Mar!GS11</f>
        <v>570</v>
      </c>
      <c r="BG10" s="127">
        <f t="shared" si="10"/>
        <v>570</v>
      </c>
      <c r="BH10" s="127">
        <f t="shared" si="3"/>
        <v>20199</v>
      </c>
      <c r="BI10" s="127"/>
      <c r="BJ10" s="127"/>
      <c r="BK10" s="127"/>
      <c r="BL10" s="128">
        <f t="shared" si="11"/>
        <v>12999.999999999363</v>
      </c>
      <c r="BM10" s="128"/>
      <c r="BN10" s="128"/>
      <c r="BO10" s="128"/>
      <c r="BP10" s="128"/>
      <c r="BQ10" s="128"/>
      <c r="BR10" s="128"/>
      <c r="BS10" s="128"/>
      <c r="BT10" s="42">
        <f>Mar!D49</f>
        <v>0</v>
      </c>
      <c r="BU10" s="42">
        <f>Mar!G49</f>
        <v>53000</v>
      </c>
      <c r="BV10" t="s">
        <v>305</v>
      </c>
      <c r="BX10" s="42">
        <f>Mar!HJ11</f>
        <v>97700.000000000276</v>
      </c>
      <c r="BY10" s="42">
        <f>Mar!HM11</f>
        <v>0</v>
      </c>
      <c r="BZ10" s="42">
        <f>Mar!HP11</f>
        <v>31356.667000000012</v>
      </c>
      <c r="CA10" s="42">
        <f>Mar!HS11</f>
        <v>25466.667000000081</v>
      </c>
      <c r="CB10" s="42">
        <f>Mar!HV11</f>
        <v>23176.667000000005</v>
      </c>
      <c r="CC10" s="42">
        <f>Mar!HY11</f>
        <v>17400</v>
      </c>
    </row>
    <row r="11" spans="1:81" x14ac:dyDescent="0.25">
      <c r="A11" s="26">
        <f t="shared" si="12"/>
        <v>5</v>
      </c>
      <c r="B11" s="42">
        <f>Mar!G12</f>
        <v>318720.00000000116</v>
      </c>
      <c r="C11" s="42">
        <f>Mar!N12</f>
        <v>315000</v>
      </c>
      <c r="D11" s="42">
        <f>Mar!T12</f>
        <v>0</v>
      </c>
      <c r="E11" s="42">
        <f>Mar!V12</f>
        <v>0</v>
      </c>
      <c r="F11" s="42">
        <f>Mar!AB12</f>
        <v>4100</v>
      </c>
      <c r="G11" s="42">
        <f>Mar!X12</f>
        <v>7700.0000000010914</v>
      </c>
      <c r="H11" s="42">
        <f>Mar!AE12</f>
        <v>6800.0000000001819</v>
      </c>
      <c r="I11" s="42">
        <f>Mar!AI12</f>
        <v>15011.029999999819</v>
      </c>
      <c r="J11" s="42">
        <f>Mar!AN12</f>
        <v>6791.029999999937</v>
      </c>
      <c r="K11" s="42">
        <f>Mar!AR12</f>
        <v>9500</v>
      </c>
      <c r="L11" s="42">
        <f>Mar!AZ12</f>
        <v>330</v>
      </c>
      <c r="M11" s="42">
        <f>Mar!BC12</f>
        <v>600</v>
      </c>
      <c r="N11" s="125">
        <f t="shared" si="4"/>
        <v>50832.060000001031</v>
      </c>
      <c r="O11" s="125">
        <f>Mar!CA12</f>
        <v>744.79999999999791</v>
      </c>
      <c r="P11" s="125">
        <f>Mar!CD12</f>
        <v>0</v>
      </c>
      <c r="Q11" s="125">
        <f>Mar!CF12</f>
        <v>4320</v>
      </c>
      <c r="R11" s="125">
        <f>Mar!CH12</f>
        <v>602.5</v>
      </c>
      <c r="S11" s="125">
        <f>Mar!CK12</f>
        <v>15116.229999999276</v>
      </c>
      <c r="T11" s="125">
        <f>Mar!CO12</f>
        <v>6426.0299999997815</v>
      </c>
      <c r="U11" s="125">
        <f>Mar!CS12</f>
        <v>5461.0300000000907</v>
      </c>
      <c r="V11" s="126">
        <f t="shared" si="5"/>
        <v>32670.589999999142</v>
      </c>
      <c r="W11" s="126">
        <f>Mar!CW12</f>
        <v>13283</v>
      </c>
      <c r="X11" s="126">
        <f>Mar!DA12</f>
        <v>5191</v>
      </c>
      <c r="Y11" s="126">
        <f t="shared" si="1"/>
        <v>18474</v>
      </c>
      <c r="Z11" s="42">
        <f>Mar!BR12</f>
        <v>800.00000000006821</v>
      </c>
      <c r="AA11" s="126">
        <f>Mar!BG12</f>
        <v>2300.0000000001819</v>
      </c>
      <c r="AB11" s="126">
        <f>Mar!BJ12</f>
        <v>6899.9999999996362</v>
      </c>
      <c r="AC11" s="126">
        <f>Mar!BL12+Mar!BN12</f>
        <v>4719.9999999999955</v>
      </c>
      <c r="AD11" s="126">
        <f>Mar!DR12</f>
        <v>8900</v>
      </c>
      <c r="AE11" s="127">
        <f>Mar!DT12-Mar!DR52-Mar!DT52</f>
        <v>20736.999999999996</v>
      </c>
      <c r="AF11" s="127">
        <f>Mar!DR52+Mar!DT52</f>
        <v>63.000000000004164</v>
      </c>
      <c r="AG11" s="127">
        <f>Mar!HJ12-AE11</f>
        <v>77562.999999999724</v>
      </c>
      <c r="AH11" s="127">
        <f>Mar!DW12</f>
        <v>4600.0000000003638</v>
      </c>
      <c r="AI11" s="127">
        <f>Mar!DZ12</f>
        <v>7311.03</v>
      </c>
      <c r="AJ11" s="127">
        <f>Mar!EC12</f>
        <v>23471.03</v>
      </c>
      <c r="AK11" s="127">
        <f t="shared" si="6"/>
        <v>35382.060000000361</v>
      </c>
      <c r="AL11" s="127">
        <f>Mar!EG12</f>
        <v>4471.03</v>
      </c>
      <c r="AM11" s="127">
        <f>Mar!EJ12</f>
        <v>4311.03</v>
      </c>
      <c r="AN11" s="127">
        <f>Mar!EM12</f>
        <v>419.99999999995907</v>
      </c>
      <c r="AO11" s="127">
        <f t="shared" si="7"/>
        <v>9202.0599999999577</v>
      </c>
      <c r="AP11" s="127">
        <f>Mar!FX12</f>
        <v>6500</v>
      </c>
      <c r="AQ11" s="127">
        <f>Mar!GA12</f>
        <v>309.9999999996362</v>
      </c>
      <c r="AR11" s="127">
        <f>Mar!GG12</f>
        <v>6100.0000000001364</v>
      </c>
      <c r="AS11" s="127">
        <f t="shared" si="8"/>
        <v>12909.999999999773</v>
      </c>
      <c r="AT11" s="127">
        <f>Mar!EQ12</f>
        <v>9091.0300000000025</v>
      </c>
      <c r="AU11" s="127">
        <f>Mar!ET12</f>
        <v>8199.9999999989086</v>
      </c>
      <c r="AV11" s="127">
        <f>Mar!EW12</f>
        <v>6011.0299999998178</v>
      </c>
      <c r="AW11" s="127">
        <f>Mar!FL49</f>
        <v>12003.294282842549</v>
      </c>
      <c r="AX11" s="127">
        <f>Mar!GJ12</f>
        <v>2399.9999999998636</v>
      </c>
      <c r="AY11" s="127">
        <f t="shared" si="9"/>
        <v>37705.354282841137</v>
      </c>
      <c r="AZ11" s="127">
        <f>Mar!FG12</f>
        <v>14131.029999999999</v>
      </c>
      <c r="BA11" s="127">
        <f>Mar!FJ12</f>
        <v>20111.030000000726</v>
      </c>
      <c r="BB11" s="127">
        <f>Mar!FM49</f>
        <v>13218.76571715745</v>
      </c>
      <c r="BC11" s="127">
        <f>Mar!GM12</f>
        <v>2000</v>
      </c>
      <c r="BD11" s="127">
        <f t="shared" si="2"/>
        <v>49460.825717158179</v>
      </c>
      <c r="BE11" s="127">
        <f>Mar!GP12</f>
        <v>10</v>
      </c>
      <c r="BF11" s="127">
        <f>Mar!GS12</f>
        <v>90</v>
      </c>
      <c r="BG11" s="127">
        <f t="shared" si="10"/>
        <v>100</v>
      </c>
      <c r="BH11" s="127">
        <f t="shared" si="3"/>
        <v>18474</v>
      </c>
      <c r="BI11" s="127"/>
      <c r="BJ11" s="127"/>
      <c r="BK11" s="127"/>
      <c r="BL11" s="128">
        <f t="shared" si="11"/>
        <v>13009.999999999773</v>
      </c>
      <c r="BM11" s="128"/>
      <c r="BN11" s="128"/>
      <c r="BO11" s="128"/>
      <c r="BP11" s="128"/>
      <c r="BQ11" s="128"/>
      <c r="BR11" s="128"/>
      <c r="BS11" s="128"/>
      <c r="BT11" s="42">
        <f>Mar!D50</f>
        <v>0</v>
      </c>
      <c r="BU11" s="42">
        <f>Mar!G50</f>
        <v>50000</v>
      </c>
      <c r="BV11" t="s">
        <v>305</v>
      </c>
      <c r="BX11" s="42">
        <f>Mar!HJ12</f>
        <v>98299.999999999724</v>
      </c>
      <c r="BY11" s="42">
        <f>Mar!HM12</f>
        <v>0</v>
      </c>
      <c r="BZ11" s="42">
        <f>Mar!HP12</f>
        <v>31939.999999999964</v>
      </c>
      <c r="CA11" s="42">
        <f>Mar!HS12</f>
        <v>24099.999999999931</v>
      </c>
      <c r="CB11" s="42">
        <f>Mar!HV12</f>
        <v>22460.000000000058</v>
      </c>
      <c r="CC11" s="42">
        <f>Mar!HY12</f>
        <v>20800</v>
      </c>
    </row>
    <row r="12" spans="1:81" x14ac:dyDescent="0.25">
      <c r="A12" s="26">
        <f t="shared" si="12"/>
        <v>6</v>
      </c>
      <c r="B12" s="42">
        <f>Mar!G13</f>
        <v>319680.00000000757</v>
      </c>
      <c r="C12" s="42">
        <f>Mar!N13</f>
        <v>317000</v>
      </c>
      <c r="D12" s="42">
        <f>Mar!T13</f>
        <v>5000</v>
      </c>
      <c r="E12" s="42">
        <f>Mar!V13</f>
        <v>0</v>
      </c>
      <c r="F12" s="42">
        <f>Mar!AB13</f>
        <v>4800</v>
      </c>
      <c r="G12" s="42">
        <f>Mar!X13</f>
        <v>3099.9999999996362</v>
      </c>
      <c r="H12" s="42">
        <f>Mar!AE13</f>
        <v>7099.9999999999091</v>
      </c>
      <c r="I12" s="42">
        <f>Mar!AI13</f>
        <v>15396.919999999818</v>
      </c>
      <c r="J12" s="42">
        <f>Mar!AN13</f>
        <v>5396.9199999999864</v>
      </c>
      <c r="K12" s="42">
        <f>Mar!AR13</f>
        <v>9299.9999999992724</v>
      </c>
      <c r="L12" s="42">
        <f>Mar!AZ13</f>
        <v>160</v>
      </c>
      <c r="M12" s="42">
        <f>Mar!BC13</f>
        <v>60</v>
      </c>
      <c r="N12" s="125">
        <f t="shared" si="4"/>
        <v>50313.839999998621</v>
      </c>
      <c r="O12" s="125">
        <f>Mar!CA13</f>
        <v>756.10000000000355</v>
      </c>
      <c r="P12" s="125">
        <f>Mar!CD13</f>
        <v>264.40000000002328</v>
      </c>
      <c r="Q12" s="125">
        <f>Mar!CF13</f>
        <v>5129.1999999999534</v>
      </c>
      <c r="R12" s="125">
        <f>Mar!CH13</f>
        <v>259.59999999999854</v>
      </c>
      <c r="S12" s="125">
        <f>Mar!CK13</f>
        <v>15380.820000000505</v>
      </c>
      <c r="T12" s="125">
        <f>Mar!CO13</f>
        <v>5656.9200000000365</v>
      </c>
      <c r="U12" s="125">
        <f>Mar!CS13</f>
        <v>4891.9200000001638</v>
      </c>
      <c r="V12" s="126">
        <f t="shared" si="5"/>
        <v>32338.960000000683</v>
      </c>
      <c r="W12" s="126">
        <f>Mar!CW13</f>
        <v>15043</v>
      </c>
      <c r="X12" s="126">
        <f>Mar!DA13</f>
        <v>5077</v>
      </c>
      <c r="Y12" s="126">
        <f t="shared" si="1"/>
        <v>20120</v>
      </c>
      <c r="Z12" s="42">
        <f>Mar!BR13</f>
        <v>699.99999999993179</v>
      </c>
      <c r="AA12" s="126">
        <f>Mar!BG13</f>
        <v>2399.9999999998636</v>
      </c>
      <c r="AB12" s="126">
        <f>Mar!BJ13</f>
        <v>7500</v>
      </c>
      <c r="AC12" s="126">
        <f>Mar!BL13+Mar!BN13</f>
        <v>4600.0000000000819</v>
      </c>
      <c r="AD12" s="126">
        <f>Mar!DR13</f>
        <v>9100</v>
      </c>
      <c r="AE12" s="127">
        <f>Mar!DT13-Mar!DR53-Mar!DT53</f>
        <v>18612</v>
      </c>
      <c r="AF12" s="127">
        <f>Mar!DR53+Mar!DT53</f>
        <v>87.99999999999919</v>
      </c>
      <c r="AG12" s="127">
        <f>Mar!HJ13-AE12</f>
        <v>83088.000000000276</v>
      </c>
      <c r="AH12" s="127">
        <f>Mar!DW13</f>
        <v>2500</v>
      </c>
      <c r="AI12" s="127">
        <f>Mar!DZ13</f>
        <v>2696.92</v>
      </c>
      <c r="AJ12" s="127">
        <f>Mar!EC13</f>
        <v>11856.92</v>
      </c>
      <c r="AK12" s="127">
        <f t="shared" si="6"/>
        <v>17053.84</v>
      </c>
      <c r="AL12" s="127">
        <f>Mar!EG13</f>
        <v>3856.92</v>
      </c>
      <c r="AM12" s="127">
        <f>Mar!EJ13</f>
        <v>4696.92</v>
      </c>
      <c r="AN12" s="127">
        <f>Mar!EM13</f>
        <v>330.00000000004093</v>
      </c>
      <c r="AO12" s="127">
        <f t="shared" si="7"/>
        <v>8883.8400000000402</v>
      </c>
      <c r="AP12" s="127">
        <f>Mar!FX13</f>
        <v>7300</v>
      </c>
      <c r="AQ12" s="127">
        <f>Mar!GA13</f>
        <v>390</v>
      </c>
      <c r="AR12" s="127">
        <f>Mar!GG13</f>
        <v>7000.0000000002274</v>
      </c>
      <c r="AS12" s="127">
        <f t="shared" si="8"/>
        <v>14690.000000000227</v>
      </c>
      <c r="AT12" s="127">
        <f>Mar!EQ13</f>
        <v>7596.9199999999773</v>
      </c>
      <c r="AU12" s="127">
        <f>Mar!ET13</f>
        <v>10400.000000001455</v>
      </c>
      <c r="AV12" s="127">
        <f>Mar!EW13</f>
        <v>6096.920000000091</v>
      </c>
      <c r="AW12" s="127">
        <f>Mar!FL50</f>
        <v>11972.449073187148</v>
      </c>
      <c r="AX12" s="127">
        <f>Mar!GJ13</f>
        <v>1900.0000000000909</v>
      </c>
      <c r="AY12" s="127">
        <f t="shared" si="9"/>
        <v>37966.28907318876</v>
      </c>
      <c r="AZ12" s="127">
        <f>Mar!FG13</f>
        <v>12930.250000000022</v>
      </c>
      <c r="BA12" s="127">
        <f>Mar!FJ13</f>
        <v>15430.249999999454</v>
      </c>
      <c r="BB12" s="127">
        <f>Mar!FM50</f>
        <v>12554.72092681285</v>
      </c>
      <c r="BC12" s="127">
        <f>Mar!GM13</f>
        <v>1200.0000000000455</v>
      </c>
      <c r="BD12" s="127">
        <f t="shared" si="2"/>
        <v>42115.22092681237</v>
      </c>
      <c r="BE12" s="127">
        <f>Mar!GP13</f>
        <v>0</v>
      </c>
      <c r="BF12" s="127">
        <f>Mar!GS13</f>
        <v>110</v>
      </c>
      <c r="BG12" s="127">
        <f t="shared" si="10"/>
        <v>110</v>
      </c>
      <c r="BH12" s="127">
        <f t="shared" si="3"/>
        <v>20120</v>
      </c>
      <c r="BI12" s="127"/>
      <c r="BJ12" s="127"/>
      <c r="BK12" s="127"/>
      <c r="BL12" s="128">
        <f t="shared" si="11"/>
        <v>14800.000000000227</v>
      </c>
      <c r="BM12" s="128"/>
      <c r="BN12" s="128"/>
      <c r="BO12" s="128"/>
      <c r="BP12" s="128"/>
      <c r="BQ12" s="128"/>
      <c r="BR12" s="128"/>
      <c r="BS12" s="128"/>
      <c r="BT12" s="42">
        <f>Mar!D51</f>
        <v>0</v>
      </c>
      <c r="BU12" s="42">
        <f>Mar!G51</f>
        <v>30000</v>
      </c>
      <c r="BV12" t="s">
        <v>305</v>
      </c>
      <c r="BX12" s="42">
        <f>Mar!HJ13</f>
        <v>101700.00000000028</v>
      </c>
      <c r="BY12" s="42">
        <f>Mar!HM13</f>
        <v>0</v>
      </c>
      <c r="BZ12" s="42">
        <f>Mar!HP13</f>
        <v>36206.670000000006</v>
      </c>
      <c r="CA12" s="42">
        <f>Mar!HS13</f>
        <v>24176.670000000031</v>
      </c>
      <c r="CB12" s="42">
        <f>Mar!HV13</f>
        <v>22616.669999999969</v>
      </c>
      <c r="CC12" s="42">
        <f>Mar!HY13</f>
        <v>18700</v>
      </c>
    </row>
    <row r="13" spans="1:81" x14ac:dyDescent="0.25">
      <c r="A13" s="26">
        <f t="shared" si="12"/>
        <v>7</v>
      </c>
      <c r="B13" s="42">
        <f>Mar!G14</f>
        <v>261439.99999999505</v>
      </c>
      <c r="C13" s="42">
        <f>Mar!N14</f>
        <v>261000</v>
      </c>
      <c r="D13" s="42">
        <f>Mar!T14</f>
        <v>0</v>
      </c>
      <c r="E13" s="42">
        <f>Mar!V14</f>
        <v>0</v>
      </c>
      <c r="F13" s="42">
        <f>Mar!AB14</f>
        <v>4500</v>
      </c>
      <c r="G13" s="42">
        <f>Mar!X14</f>
        <v>7399.9999999996362</v>
      </c>
      <c r="H13" s="42">
        <f>Mar!AE14</f>
        <v>6099.9999999999091</v>
      </c>
      <c r="I13" s="42">
        <f>Mar!AI14</f>
        <v>14671.420000000546</v>
      </c>
      <c r="J13" s="42">
        <f>Mar!AN14</f>
        <v>4961.4199999996044</v>
      </c>
      <c r="K13" s="42">
        <f>Mar!AR14</f>
        <v>8400.0000000005457</v>
      </c>
      <c r="L13" s="42">
        <f>Mar!AZ14</f>
        <v>280</v>
      </c>
      <c r="M13" s="42">
        <f>Mar!BC14</f>
        <v>320</v>
      </c>
      <c r="N13" s="125">
        <f t="shared" si="4"/>
        <v>46632.840000000244</v>
      </c>
      <c r="O13" s="125">
        <f>Mar!CA14</f>
        <v>693.69999999997844</v>
      </c>
      <c r="P13" s="125">
        <f>Mar!CD14</f>
        <v>4062.3999999999651</v>
      </c>
      <c r="Q13" s="125">
        <f>Mar!CF14</f>
        <v>6017.5</v>
      </c>
      <c r="R13" s="125">
        <f>Mar!CH14</f>
        <v>228.80000000000291</v>
      </c>
      <c r="S13" s="125">
        <f>Mar!CK14</f>
        <v>14957.719999999221</v>
      </c>
      <c r="T13" s="125">
        <f>Mar!CO14</f>
        <v>6005.4199999999237</v>
      </c>
      <c r="U13" s="125">
        <f>Mar!CS14</f>
        <v>4881.4199999996727</v>
      </c>
      <c r="V13" s="126">
        <f t="shared" si="5"/>
        <v>36846.959999998762</v>
      </c>
      <c r="W13" s="126">
        <f>Mar!CW14</f>
        <v>12747</v>
      </c>
      <c r="X13" s="126">
        <f>Mar!DA14</f>
        <v>4673</v>
      </c>
      <c r="Y13" s="126">
        <f t="shared" si="1"/>
        <v>17420</v>
      </c>
      <c r="Z13" s="42">
        <f>Mar!BR14</f>
        <v>700.00000000004547</v>
      </c>
      <c r="AA13" s="126">
        <f>Mar!BG14</f>
        <v>2500</v>
      </c>
      <c r="AB13" s="126">
        <f>Mar!BJ14</f>
        <v>8000</v>
      </c>
      <c r="AC13" s="126">
        <f>Mar!BL14+Mar!BN14</f>
        <v>4509.9999999999864</v>
      </c>
      <c r="AD13" s="126">
        <f>Mar!DR14</f>
        <v>8500</v>
      </c>
      <c r="AE13" s="127">
        <f>Mar!DT14-Mar!DR54-Mar!DT54</f>
        <v>16519.000000000004</v>
      </c>
      <c r="AF13" s="127">
        <f>Mar!DR54+Mar!DT54</f>
        <v>80.99999999999774</v>
      </c>
      <c r="AG13" s="127">
        <f>Mar!HJ14-AE13</f>
        <v>55380.999999999636</v>
      </c>
      <c r="AH13" s="127">
        <f>Mar!DW14</f>
        <v>4299.9999999992724</v>
      </c>
      <c r="AI13" s="127">
        <f>Mar!DZ14</f>
        <v>5271.42</v>
      </c>
      <c r="AJ13" s="127">
        <f>Mar!EC14</f>
        <v>22431.42</v>
      </c>
      <c r="AK13" s="127">
        <f t="shared" si="6"/>
        <v>32002.839999999269</v>
      </c>
      <c r="AL13" s="127">
        <f>Mar!EG14</f>
        <v>5431.42</v>
      </c>
      <c r="AM13" s="127">
        <f>Mar!EJ14</f>
        <v>5271.42</v>
      </c>
      <c r="AN13" s="127">
        <f>Mar!EM14</f>
        <v>80.000000000040927</v>
      </c>
      <c r="AO13" s="127">
        <f t="shared" si="7"/>
        <v>10782.84000000004</v>
      </c>
      <c r="AP13" s="127">
        <f>Mar!FX14</f>
        <v>6200</v>
      </c>
      <c r="AQ13" s="127">
        <f>Mar!GA14</f>
        <v>300.00000000009095</v>
      </c>
      <c r="AR13" s="127">
        <f>Mar!GG14</f>
        <v>5499.9999999993179</v>
      </c>
      <c r="AS13" s="127">
        <f t="shared" si="8"/>
        <v>11999.999999999409</v>
      </c>
      <c r="AT13" s="127">
        <f>Mar!EQ14</f>
        <v>6306.4199999999964</v>
      </c>
      <c r="AU13" s="127">
        <f>Mar!ET14</f>
        <v>4799.9999999992724</v>
      </c>
      <c r="AV13" s="127">
        <f>Mar!EW14</f>
        <v>3471.4200000002729</v>
      </c>
      <c r="AW13" s="127">
        <f>Mar!FL51</f>
        <v>7076.4495754687005</v>
      </c>
      <c r="AX13" s="127">
        <f>Mar!GJ14</f>
        <v>1099.9999999999091</v>
      </c>
      <c r="AY13" s="127">
        <f t="shared" si="9"/>
        <v>22754.289575468152</v>
      </c>
      <c r="AZ13" s="127">
        <f>Mar!FG14</f>
        <v>8048.0900000000038</v>
      </c>
      <c r="BA13" s="127">
        <f>Mar!FJ14</f>
        <v>8683.0900000003639</v>
      </c>
      <c r="BB13" s="127">
        <f>Mar!FM51</f>
        <v>7278.0604245312998</v>
      </c>
      <c r="BC13" s="127">
        <f>Mar!GM14</f>
        <v>700.00000000004547</v>
      </c>
      <c r="BD13" s="127">
        <f t="shared" si="2"/>
        <v>24709.240424531716</v>
      </c>
      <c r="BE13" s="127">
        <f>Mar!GP14</f>
        <v>0</v>
      </c>
      <c r="BF13" s="127">
        <f>Mar!GS14</f>
        <v>100</v>
      </c>
      <c r="BG13" s="127">
        <f t="shared" si="10"/>
        <v>100</v>
      </c>
      <c r="BH13" s="127">
        <f t="shared" si="3"/>
        <v>17420</v>
      </c>
      <c r="BI13" s="127"/>
      <c r="BJ13" s="127"/>
      <c r="BK13" s="127"/>
      <c r="BL13" s="128">
        <f t="shared" si="11"/>
        <v>12099.999999999409</v>
      </c>
      <c r="BM13" s="128"/>
      <c r="BN13" s="128"/>
      <c r="BO13" s="128"/>
      <c r="BP13" s="128"/>
      <c r="BQ13" s="128"/>
      <c r="BR13" s="128"/>
      <c r="BS13" s="128"/>
      <c r="BT13" s="42">
        <f>Mar!D52</f>
        <v>0</v>
      </c>
      <c r="BU13" s="42">
        <f>Mar!G52</f>
        <v>38000</v>
      </c>
      <c r="BV13" t="s">
        <v>305</v>
      </c>
      <c r="BX13" s="42">
        <f>Mar!HJ14</f>
        <v>71899.999999999636</v>
      </c>
      <c r="BY13" s="42">
        <f>Mar!HM14</f>
        <v>0</v>
      </c>
      <c r="BZ13" s="42">
        <f>Mar!HP14</f>
        <v>23816.66700000003</v>
      </c>
      <c r="CA13" s="42">
        <f>Mar!HS14</f>
        <v>17186.667000000034</v>
      </c>
      <c r="CB13" s="42">
        <f>Mar!HV14</f>
        <v>14296.667000000045</v>
      </c>
      <c r="CC13" s="42">
        <f>Mar!HY14</f>
        <v>16600</v>
      </c>
    </row>
    <row r="14" spans="1:81" x14ac:dyDescent="0.25">
      <c r="A14" s="26">
        <f t="shared" si="12"/>
        <v>8</v>
      </c>
      <c r="B14" s="42">
        <f>Mar!G15</f>
        <v>331840.00000000745</v>
      </c>
      <c r="C14" s="42">
        <f>Mar!N15</f>
        <v>322000</v>
      </c>
      <c r="D14" s="42">
        <f>Mar!T15</f>
        <v>0</v>
      </c>
      <c r="E14" s="42">
        <f>Mar!V15</f>
        <v>0</v>
      </c>
      <c r="F14" s="42">
        <f>Mar!AB15</f>
        <v>4500</v>
      </c>
      <c r="G14" s="42">
        <f>Mar!X15</f>
        <v>7399.9999999996362</v>
      </c>
      <c r="H14" s="42">
        <f>Mar!AE15</f>
        <v>6800.0000000001819</v>
      </c>
      <c r="I14" s="42">
        <f>Mar!AI15</f>
        <v>15124.260000000182</v>
      </c>
      <c r="J14" s="42">
        <f>Mar!AN15</f>
        <v>5264.2600000000048</v>
      </c>
      <c r="K14" s="42">
        <f>Mar!AR15</f>
        <v>9199.9999999998181</v>
      </c>
      <c r="L14" s="42">
        <f>Mar!AZ15</f>
        <v>150</v>
      </c>
      <c r="M14" s="42">
        <f>Mar!BC15</f>
        <v>180</v>
      </c>
      <c r="N14" s="125">
        <f t="shared" si="4"/>
        <v>48618.519999999822</v>
      </c>
      <c r="O14" s="125">
        <f>Mar!CA15</f>
        <v>760.60000000001082</v>
      </c>
      <c r="P14" s="125">
        <f>Mar!CD15</f>
        <v>1252</v>
      </c>
      <c r="Q14" s="125">
        <f>Mar!CF15</f>
        <v>6315.0999999999767</v>
      </c>
      <c r="R14" s="125">
        <f>Mar!CH15</f>
        <v>0</v>
      </c>
      <c r="S14" s="125">
        <f>Mar!CK15</f>
        <v>15533.660000001153</v>
      </c>
      <c r="T14" s="125">
        <f>Mar!CO15</f>
        <v>7421.2600000002076</v>
      </c>
      <c r="U14" s="125">
        <f>Mar!CS15</f>
        <v>5695.2600000000948</v>
      </c>
      <c r="V14" s="126">
        <f t="shared" si="5"/>
        <v>36977.880000001445</v>
      </c>
      <c r="W14" s="126">
        <f>Mar!CW15</f>
        <v>16345</v>
      </c>
      <c r="X14" s="126">
        <f>Mar!DA15</f>
        <v>5286</v>
      </c>
      <c r="Y14" s="126">
        <f t="shared" si="1"/>
        <v>21631</v>
      </c>
      <c r="Z14" s="42">
        <f>Mar!BR15</f>
        <v>500</v>
      </c>
      <c r="AA14" s="126">
        <f>Mar!BG15</f>
        <v>2299.9999999999545</v>
      </c>
      <c r="AB14" s="126">
        <f>Mar!BJ15</f>
        <v>8000</v>
      </c>
      <c r="AC14" s="126">
        <f>Mar!BL15+Mar!BN15</f>
        <v>4559.9999999999955</v>
      </c>
      <c r="AD14" s="126">
        <f>Mar!DR15</f>
        <v>8000</v>
      </c>
      <c r="AE14" s="127">
        <f>Mar!DT15-Mar!DR55-Mar!DT55</f>
        <v>18739.999999999996</v>
      </c>
      <c r="AF14" s="127">
        <f>Mar!DR55+Mar!DT55</f>
        <v>60.000000000002274</v>
      </c>
      <c r="AG14" s="127">
        <f>Mar!HJ15-AE14</f>
        <v>85460.000000000276</v>
      </c>
      <c r="AH14" s="127">
        <f>Mar!DW15</f>
        <v>4800.0000000001819</v>
      </c>
      <c r="AI14" s="127">
        <f>Mar!DZ15</f>
        <v>8324.26</v>
      </c>
      <c r="AJ14" s="127">
        <f>Mar!EC15</f>
        <v>26484.26</v>
      </c>
      <c r="AK14" s="127">
        <f t="shared" si="6"/>
        <v>39608.520000000179</v>
      </c>
      <c r="AL14" s="127">
        <f>Mar!EG15</f>
        <v>4484.26</v>
      </c>
      <c r="AM14" s="127">
        <f>Mar!EJ15</f>
        <v>4324.26</v>
      </c>
      <c r="AN14" s="127">
        <f>Mar!EM15</f>
        <v>29.999999999972715</v>
      </c>
      <c r="AO14" s="127">
        <f t="shared" si="7"/>
        <v>8838.5199999999732</v>
      </c>
      <c r="AP14" s="127">
        <f>Mar!FX15</f>
        <v>8000</v>
      </c>
      <c r="AQ14" s="127">
        <f>Mar!GA15</f>
        <v>400.00000000009095</v>
      </c>
      <c r="AR14" s="127">
        <f>Mar!GG15</f>
        <v>7100.0000000008185</v>
      </c>
      <c r="AS14" s="127">
        <f t="shared" si="8"/>
        <v>15500.000000000909</v>
      </c>
      <c r="AT14" s="127">
        <f>Mar!EQ15</f>
        <v>8214.2600000000148</v>
      </c>
      <c r="AU14" s="127">
        <f>Mar!ET15</f>
        <v>11500</v>
      </c>
      <c r="AV14" s="127">
        <f>Mar!EW15</f>
        <v>8924.2599999999093</v>
      </c>
      <c r="AW14" s="127">
        <f>Mar!FL52</f>
        <v>12341.476526809398</v>
      </c>
      <c r="AX14" s="127">
        <f>Mar!GJ15</f>
        <v>2000</v>
      </c>
      <c r="AY14" s="127">
        <f t="shared" si="9"/>
        <v>42979.996526809322</v>
      </c>
      <c r="AZ14" s="127">
        <f>Mar!FG15</f>
        <v>12697.589999999986</v>
      </c>
      <c r="BA14" s="127">
        <f>Mar!FJ15</f>
        <v>17687.589999999454</v>
      </c>
      <c r="BB14" s="127">
        <f>Mar!FM52</f>
        <v>12570.373473190602</v>
      </c>
      <c r="BC14" s="127">
        <f>Mar!GM15</f>
        <v>1099.9999999999091</v>
      </c>
      <c r="BD14" s="127">
        <f t="shared" si="2"/>
        <v>44055.553473189953</v>
      </c>
      <c r="BE14" s="127">
        <f>Mar!GP15</f>
        <v>10</v>
      </c>
      <c r="BF14" s="127">
        <f>Mar!GS15</f>
        <v>0</v>
      </c>
      <c r="BG14" s="127">
        <f t="shared" si="10"/>
        <v>10</v>
      </c>
      <c r="BH14" s="127">
        <f t="shared" si="3"/>
        <v>21631</v>
      </c>
      <c r="BI14" s="127"/>
      <c r="BJ14" s="127"/>
      <c r="BK14" s="127"/>
      <c r="BL14" s="128">
        <f t="shared" si="11"/>
        <v>15510.000000000909</v>
      </c>
      <c r="BM14" s="128"/>
      <c r="BN14" s="128"/>
      <c r="BO14" s="128"/>
      <c r="BP14" s="128"/>
      <c r="BQ14" s="128"/>
      <c r="BR14" s="128"/>
      <c r="BS14" s="128"/>
      <c r="BT14" s="42">
        <f>Mar!D53</f>
        <v>0</v>
      </c>
      <c r="BU14" s="42">
        <f>Mar!G53</f>
        <v>54000</v>
      </c>
      <c r="BV14" t="s">
        <v>305</v>
      </c>
      <c r="BX14" s="42">
        <f>Mar!HJ15</f>
        <v>104200.00000000028</v>
      </c>
      <c r="BY14" s="42">
        <f>Mar!HM15</f>
        <v>0</v>
      </c>
      <c r="BZ14" s="42">
        <f>Mar!HP15</f>
        <v>38050.000000000044</v>
      </c>
      <c r="CA14" s="42">
        <f>Mar!HS15</f>
        <v>24249.999999999978</v>
      </c>
      <c r="CB14" s="42">
        <f>Mar!HV15</f>
        <v>23100</v>
      </c>
      <c r="CC14" s="42">
        <f>Mar!HY15</f>
        <v>18800</v>
      </c>
    </row>
    <row r="15" spans="1:81" x14ac:dyDescent="0.25">
      <c r="A15" s="26">
        <f t="shared" si="12"/>
        <v>9</v>
      </c>
      <c r="B15" s="42">
        <f>Mar!G16</f>
        <v>320639.99999999214</v>
      </c>
      <c r="C15" s="42">
        <f>Mar!N16</f>
        <v>320000</v>
      </c>
      <c r="D15" s="42">
        <f>Mar!T16</f>
        <v>0</v>
      </c>
      <c r="E15" s="42">
        <f>Mar!V16</f>
        <v>0</v>
      </c>
      <c r="F15" s="42">
        <f>Mar!AB16</f>
        <v>4600</v>
      </c>
      <c r="G15" s="42">
        <f>Mar!X16</f>
        <v>7600.0000000007276</v>
      </c>
      <c r="H15" s="42">
        <f>Mar!AE16</f>
        <v>6899.9999999996362</v>
      </c>
      <c r="I15" s="42">
        <f>Mar!AI16</f>
        <v>14819.3</v>
      </c>
      <c r="J15" s="42">
        <f>Mar!AN16</f>
        <v>5489.2999999999674</v>
      </c>
      <c r="K15" s="42">
        <f>Mar!AR16</f>
        <v>9000</v>
      </c>
      <c r="L15" s="42">
        <f>Mar!AZ16</f>
        <v>80</v>
      </c>
      <c r="M15" s="42">
        <f>Mar!BC16</f>
        <v>70</v>
      </c>
      <c r="N15" s="125">
        <f t="shared" si="4"/>
        <v>48558.600000000333</v>
      </c>
      <c r="O15" s="125">
        <f>Mar!CA16</f>
        <v>728.00000000000864</v>
      </c>
      <c r="P15" s="125">
        <f>Mar!CD16</f>
        <v>770.40000000002328</v>
      </c>
      <c r="Q15" s="125">
        <f>Mar!CF16</f>
        <v>6647.0999999999767</v>
      </c>
      <c r="R15" s="125">
        <f>Mar!CH16</f>
        <v>0</v>
      </c>
      <c r="S15" s="125">
        <f>Mar!CK16</f>
        <v>16321.299999999554</v>
      </c>
      <c r="T15" s="125">
        <f>Mar!CO16</f>
        <v>9164.2999999997992</v>
      </c>
      <c r="U15" s="125">
        <f>Mar!CS16</f>
        <v>6356.2999999998074</v>
      </c>
      <c r="V15" s="126">
        <f t="shared" si="5"/>
        <v>39987.399999999172</v>
      </c>
      <c r="W15" s="126">
        <f>Mar!CW16</f>
        <v>12668</v>
      </c>
      <c r="X15" s="126">
        <f>Mar!DA16</f>
        <v>4236</v>
      </c>
      <c r="Y15" s="126">
        <f t="shared" si="1"/>
        <v>16904</v>
      </c>
      <c r="Z15" s="42">
        <f>Mar!BR16</f>
        <v>200.00000000004547</v>
      </c>
      <c r="AA15" s="126">
        <f>Mar!BG16</f>
        <v>2700.0000000000455</v>
      </c>
      <c r="AB15" s="126">
        <f>Mar!BJ16</f>
        <v>8899.9999999996362</v>
      </c>
      <c r="AC15" s="126">
        <f>Mar!BL16+Mar!BN16</f>
        <v>4629.9999999999864</v>
      </c>
      <c r="AD15" s="126">
        <f>Mar!DR16</f>
        <v>6700</v>
      </c>
      <c r="AE15" s="127">
        <f>Mar!DT16-Mar!DR56-Mar!DT56</f>
        <v>19858</v>
      </c>
      <c r="AF15" s="127">
        <f>Mar!DR56+Mar!DT56</f>
        <v>41.999999999999815</v>
      </c>
      <c r="AG15" s="127">
        <f>Mar!HJ16-AE15</f>
        <v>75542.000000000087</v>
      </c>
      <c r="AH15" s="127">
        <f>Mar!DW16</f>
        <v>4600.0000000003638</v>
      </c>
      <c r="AI15" s="127">
        <f>Mar!DZ16</f>
        <v>7319.3</v>
      </c>
      <c r="AJ15" s="127">
        <f>Mar!EC16</f>
        <v>26479.3</v>
      </c>
      <c r="AK15" s="127">
        <f t="shared" si="6"/>
        <v>38398.600000000362</v>
      </c>
      <c r="AL15" s="127">
        <f>Mar!EG16</f>
        <v>4479.3</v>
      </c>
      <c r="AM15" s="127">
        <f>Mar!EJ16</f>
        <v>4319.3</v>
      </c>
      <c r="AN15" s="127">
        <f>Mar!EM16</f>
        <v>269.99999999998181</v>
      </c>
      <c r="AO15" s="127">
        <f t="shared" si="7"/>
        <v>9068.5999999999822</v>
      </c>
      <c r="AP15" s="127">
        <f>Mar!FX16</f>
        <v>6700</v>
      </c>
      <c r="AQ15" s="127">
        <f>Mar!GA16</f>
        <v>300.0000000001819</v>
      </c>
      <c r="AR15" s="127">
        <f>Mar!GG16</f>
        <v>5799.9999999988177</v>
      </c>
      <c r="AS15" s="127">
        <f t="shared" si="8"/>
        <v>12799.999999999</v>
      </c>
      <c r="AT15" s="127">
        <f>Mar!EQ16</f>
        <v>9154.3000000000065</v>
      </c>
      <c r="AU15" s="127">
        <f>Mar!ET16</f>
        <v>14399.999999999636</v>
      </c>
      <c r="AV15" s="127">
        <f>Mar!EW16</f>
        <v>9119.2999999997264</v>
      </c>
      <c r="AW15" s="127">
        <f>Mar!FL53</f>
        <v>12429.297912154165</v>
      </c>
      <c r="AX15" s="127">
        <f>Mar!GJ16</f>
        <v>2000</v>
      </c>
      <c r="AY15" s="127">
        <f t="shared" si="9"/>
        <v>47102.897912153538</v>
      </c>
      <c r="AZ15" s="127">
        <f>Mar!FG16</f>
        <v>12729.299999999992</v>
      </c>
      <c r="BA15" s="127">
        <f>Mar!FJ16</f>
        <v>17664.300000000363</v>
      </c>
      <c r="BB15" s="127">
        <f>Mar!FM53</f>
        <v>12454.302087845836</v>
      </c>
      <c r="BC15" s="127">
        <f>Mar!GM16</f>
        <v>1400.0000000000909</v>
      </c>
      <c r="BD15" s="127">
        <f t="shared" si="2"/>
        <v>44247.902087846276</v>
      </c>
      <c r="BE15" s="127">
        <f>Mar!GP16</f>
        <v>0</v>
      </c>
      <c r="BF15" s="127">
        <f>Mar!GS16</f>
        <v>0</v>
      </c>
      <c r="BG15" s="127">
        <f t="shared" si="10"/>
        <v>0</v>
      </c>
      <c r="BH15" s="127">
        <f t="shared" si="3"/>
        <v>16904</v>
      </c>
      <c r="BI15" s="127"/>
      <c r="BJ15" s="127"/>
      <c r="BK15" s="127"/>
      <c r="BL15" s="128">
        <f t="shared" si="11"/>
        <v>12799.999999999</v>
      </c>
      <c r="BM15" s="128"/>
      <c r="BN15" s="128"/>
      <c r="BO15" s="128"/>
      <c r="BP15" s="128"/>
      <c r="BQ15" s="128"/>
      <c r="BR15" s="128"/>
      <c r="BS15" s="128"/>
      <c r="BT15" s="42">
        <f>Mar!D54</f>
        <v>0</v>
      </c>
      <c r="BU15" s="42">
        <f>Mar!G54</f>
        <v>55000</v>
      </c>
      <c r="BV15" t="s">
        <v>305</v>
      </c>
      <c r="BW15" s="151"/>
      <c r="BX15" s="42">
        <f>Mar!HJ16</f>
        <v>95400.000000000087</v>
      </c>
      <c r="BY15" s="42">
        <f>Mar!HM16</f>
        <v>0</v>
      </c>
      <c r="BZ15" s="42">
        <f>Mar!HP16</f>
        <v>29083.333299999918</v>
      </c>
      <c r="CA15" s="42">
        <f>Mar!HS16</f>
        <v>24103.333300000013</v>
      </c>
      <c r="CB15" s="42">
        <f>Mar!HV16</f>
        <v>22313.333299999933</v>
      </c>
      <c r="CC15" s="42">
        <f>Mar!HY16</f>
        <v>19900</v>
      </c>
    </row>
    <row r="16" spans="1:81" x14ac:dyDescent="0.25">
      <c r="A16" s="26">
        <f t="shared" si="12"/>
        <v>10</v>
      </c>
      <c r="B16" s="42">
        <f>Mar!G17</f>
        <v>254400.00000000509</v>
      </c>
      <c r="C16" s="42">
        <f>Mar!N17</f>
        <v>253000</v>
      </c>
      <c r="D16" s="42">
        <f>Mar!T17</f>
        <v>0</v>
      </c>
      <c r="E16" s="42">
        <f>Mar!V17</f>
        <v>0</v>
      </c>
      <c r="F16" s="42">
        <f>Mar!AB17</f>
        <v>5300</v>
      </c>
      <c r="G16" s="42">
        <f>Mar!X17</f>
        <v>7300.0000000003638</v>
      </c>
      <c r="H16" s="42">
        <f>Mar!AE17</f>
        <v>7600.0000000003638</v>
      </c>
      <c r="I16" s="42">
        <f>Mar!AI17</f>
        <v>16241.989999999818</v>
      </c>
      <c r="J16" s="42">
        <f>Mar!AN17</f>
        <v>4881.9899999993722</v>
      </c>
      <c r="K16" s="42">
        <f>Mar!AR17</f>
        <v>10100.000000000364</v>
      </c>
      <c r="L16" s="42">
        <f>Mar!AZ17</f>
        <v>360</v>
      </c>
      <c r="M16" s="42">
        <f>Mar!BC17</f>
        <v>380</v>
      </c>
      <c r="N16" s="125">
        <f t="shared" ref="N16:N37" si="13">SUM(D16:M16)</f>
        <v>52163.98000000028</v>
      </c>
      <c r="O16" s="125">
        <f>Mar!CA17</f>
        <v>819.29999999999836</v>
      </c>
      <c r="P16" s="125">
        <f>Mar!CD17</f>
        <v>0</v>
      </c>
      <c r="Q16" s="125">
        <f>Mar!CF17</f>
        <v>6012.1000000000931</v>
      </c>
      <c r="R16" s="125">
        <f>Mar!CH17</f>
        <v>0</v>
      </c>
      <c r="S16" s="125">
        <f>Mar!CK17</f>
        <v>15642.690000000075</v>
      </c>
      <c r="T16" s="125">
        <f>Mar!CO17</f>
        <v>8700.9900000001053</v>
      </c>
      <c r="U16" s="125">
        <f>Mar!CS17</f>
        <v>6077.990000000058</v>
      </c>
      <c r="V16" s="126">
        <f t="shared" si="5"/>
        <v>37253.070000000327</v>
      </c>
      <c r="W16" s="126">
        <f>Mar!CW17</f>
        <v>12139</v>
      </c>
      <c r="X16" s="126">
        <f>Mar!DA17</f>
        <v>4157</v>
      </c>
      <c r="Y16" s="126">
        <f t="shared" si="1"/>
        <v>16296</v>
      </c>
      <c r="Z16" s="42">
        <f>Mar!BR17</f>
        <v>699.99999999993179</v>
      </c>
      <c r="AA16" s="126">
        <f>Mar!BG17</f>
        <v>2600.0000000001364</v>
      </c>
      <c r="AB16" s="126">
        <f>Mar!BJ17</f>
        <v>10399.999999999636</v>
      </c>
      <c r="AC16" s="126">
        <f>Mar!BL17+Mar!BN17+Mar!BP17</f>
        <v>4759.9999999999682</v>
      </c>
      <c r="AD16" s="126">
        <f>Mar!DR17</f>
        <v>8400</v>
      </c>
      <c r="AE16" s="127">
        <f>Mar!DT17-Mar!DR57-Mar!DT57</f>
        <v>18058</v>
      </c>
      <c r="AF16" s="127">
        <f>Mar!DR57+Mar!DT57</f>
        <v>41.999999999999815</v>
      </c>
      <c r="AG16" s="127">
        <f>Mar!HJ17-AE16</f>
        <v>10341.999999999636</v>
      </c>
      <c r="AH16" s="127">
        <f>Mar!DW17</f>
        <v>4199.9999999998181</v>
      </c>
      <c r="AI16" s="127">
        <f>Mar!DZ17</f>
        <v>5041.99</v>
      </c>
      <c r="AJ16" s="127">
        <f>Mar!EC17</f>
        <v>22201.99</v>
      </c>
      <c r="AK16" s="127">
        <f t="shared" si="6"/>
        <v>31443.979999999821</v>
      </c>
      <c r="AL16" s="127">
        <f>Mar!EG17</f>
        <v>5201.99</v>
      </c>
      <c r="AM16" s="127">
        <f>Mar!EJ17</f>
        <v>5041.99</v>
      </c>
      <c r="AN16" s="127">
        <f>Mar!EM17</f>
        <v>29.999999999972715</v>
      </c>
      <c r="AO16" s="127">
        <f t="shared" si="7"/>
        <v>10273.979999999972</v>
      </c>
      <c r="AP16" s="127">
        <f>Mar!FX17</f>
        <v>6900</v>
      </c>
      <c r="AQ16" s="127">
        <f>Mar!GA17</f>
        <v>399.9999999996362</v>
      </c>
      <c r="AR16" s="127">
        <f>Mar!GG17</f>
        <v>6300.0000000010914</v>
      </c>
      <c r="AS16" s="127">
        <f t="shared" si="8"/>
        <v>13600.000000000728</v>
      </c>
      <c r="AT16" s="127">
        <f>Mar!EQ17</f>
        <v>7856.989999999998</v>
      </c>
      <c r="AU16" s="127">
        <f>Mar!ET17</f>
        <v>15399.999999999636</v>
      </c>
      <c r="AV16" s="127">
        <f>Mar!EW17</f>
        <v>8641.9900000003636</v>
      </c>
      <c r="AW16" s="127">
        <f>Mar!FL54</f>
        <v>14101.423875493203</v>
      </c>
      <c r="AX16" s="127">
        <f>Mar!GJ17</f>
        <v>2400.0000000000909</v>
      </c>
      <c r="AY16" s="127">
        <f t="shared" si="9"/>
        <v>48400.403875493284</v>
      </c>
      <c r="AZ16" s="127">
        <f>Mar!FG17</f>
        <v>12731.990000000002</v>
      </c>
      <c r="BA16" s="127">
        <f>Mar!FJ17</f>
        <v>15846.990000000182</v>
      </c>
      <c r="BB16" s="127">
        <f>Mar!FM54</f>
        <v>11487.556124506795</v>
      </c>
      <c r="BC16" s="127">
        <f>Mar!GM17</f>
        <v>599.99999999990905</v>
      </c>
      <c r="BD16" s="127">
        <f t="shared" si="2"/>
        <v>40666.536124506893</v>
      </c>
      <c r="BE16" s="127">
        <f>Mar!GP17</f>
        <v>0</v>
      </c>
      <c r="BF16" s="127">
        <f>Mar!GS17</f>
        <v>0</v>
      </c>
      <c r="BG16" s="127">
        <f t="shared" si="10"/>
        <v>0</v>
      </c>
      <c r="BH16" s="127">
        <f t="shared" si="3"/>
        <v>16296</v>
      </c>
      <c r="BI16" s="127"/>
      <c r="BJ16" s="127"/>
      <c r="BK16" s="127"/>
      <c r="BL16" s="128">
        <f t="shared" si="11"/>
        <v>13600.000000000728</v>
      </c>
      <c r="BM16" s="128"/>
      <c r="BN16" s="128"/>
      <c r="BO16" s="128"/>
      <c r="BP16" s="128"/>
      <c r="BQ16" s="128"/>
      <c r="BR16" s="128"/>
      <c r="BS16" s="128"/>
      <c r="BT16" s="42">
        <f>Mar!D55</f>
        <v>0</v>
      </c>
      <c r="BU16" s="42">
        <f>Mar!G55</f>
        <v>51000</v>
      </c>
      <c r="BV16" t="s">
        <v>305</v>
      </c>
      <c r="BX16" s="42">
        <f>Mar!HJ17</f>
        <v>28399.999999999636</v>
      </c>
      <c r="BY16" s="42">
        <f>Mar!HM17</f>
        <v>0</v>
      </c>
      <c r="BZ16" s="42">
        <f>Mar!HP17</f>
        <v>7803.3000000001366</v>
      </c>
      <c r="CA16" s="42">
        <f>Mar!HS17</f>
        <v>933.30000000001814</v>
      </c>
      <c r="CB16" s="42">
        <f>Mar!HV17</f>
        <v>1563.3000000000136</v>
      </c>
      <c r="CC16" s="42">
        <f>Mar!HY17</f>
        <v>18100</v>
      </c>
    </row>
    <row r="17" spans="1:81" x14ac:dyDescent="0.25">
      <c r="A17" s="26">
        <f t="shared" si="12"/>
        <v>11</v>
      </c>
      <c r="B17" s="42">
        <f>Mar!G18</f>
        <v>305919.99999999098</v>
      </c>
      <c r="C17" s="42">
        <f>Mar!N18</f>
        <v>302000</v>
      </c>
      <c r="D17" s="42">
        <f>Mar!T18</f>
        <v>0</v>
      </c>
      <c r="E17" s="42">
        <f>Mar!V18</f>
        <v>0</v>
      </c>
      <c r="F17" s="42">
        <f>Mar!AB18</f>
        <v>5400</v>
      </c>
      <c r="G17" s="42">
        <f>Mar!X18</f>
        <v>7600</v>
      </c>
      <c r="H17" s="42">
        <f>Mar!AE18</f>
        <v>7899.9999999996362</v>
      </c>
      <c r="I17" s="42">
        <f>Mar!AI18</f>
        <v>17446.669999999998</v>
      </c>
      <c r="J17" s="42">
        <f>Mar!AN18</f>
        <v>5206.6700000006094</v>
      </c>
      <c r="K17" s="42">
        <f>Mar!AR18</f>
        <v>9599.9999999994543</v>
      </c>
      <c r="L17" s="42">
        <f>Mar!AZ18</f>
        <v>450</v>
      </c>
      <c r="M17" s="42">
        <f>Mar!BC18</f>
        <v>640</v>
      </c>
      <c r="N17" s="125">
        <f t="shared" si="13"/>
        <v>54243.339999999698</v>
      </c>
      <c r="O17" s="125">
        <f>Mar!CA18</f>
        <v>729.49999999997317</v>
      </c>
      <c r="P17" s="125">
        <f>Mar!CD18</f>
        <v>2585.7999999999884</v>
      </c>
      <c r="Q17" s="125">
        <f>Mar!CF18</f>
        <v>5880.5</v>
      </c>
      <c r="R17" s="125">
        <f>Mar!CH18</f>
        <v>0</v>
      </c>
      <c r="S17" s="125">
        <f>Mar!CK18</f>
        <v>16957.169999999805</v>
      </c>
      <c r="T17" s="125">
        <f>Mar!CO18</f>
        <v>8768.6700000001165</v>
      </c>
      <c r="U17" s="125">
        <f>Mar!CS18</f>
        <v>6221.670000000091</v>
      </c>
      <c r="V17" s="126">
        <f t="shared" si="5"/>
        <v>41143.309999999976</v>
      </c>
      <c r="W17" s="126">
        <f>Mar!CW18</f>
        <v>9674</v>
      </c>
      <c r="X17" s="126">
        <f>Mar!DA18</f>
        <v>3603</v>
      </c>
      <c r="Y17" s="126">
        <f t="shared" si="1"/>
        <v>13277</v>
      </c>
      <c r="Z17" s="42">
        <f>Mar!BR18</f>
        <v>700.00000000004547</v>
      </c>
      <c r="AA17" s="126">
        <f>Mar!BG18</f>
        <v>2599.9999999999091</v>
      </c>
      <c r="AB17" s="126">
        <f>Mar!BJ18</f>
        <v>8800.0000000010914</v>
      </c>
      <c r="AC17" s="126">
        <f>Mar!BL18+Mar!BN18+Mar!BP18</f>
        <v>4740.0000000000728</v>
      </c>
      <c r="AD17" s="126">
        <f>Mar!DR18</f>
        <v>8700</v>
      </c>
      <c r="AE17" s="127">
        <f>Mar!DT18-Mar!DR58-Mar!DT58</f>
        <v>16107.000000000004</v>
      </c>
      <c r="AF17" s="127">
        <f>Mar!DR58+Mar!DT58</f>
        <v>92.999999999996419</v>
      </c>
      <c r="AG17" s="127">
        <f>Mar!HJ18-AE17</f>
        <v>62393</v>
      </c>
      <c r="AH17" s="127">
        <f>Mar!DW18</f>
        <v>4600.0000000003638</v>
      </c>
      <c r="AI17" s="127">
        <f>Mar!DZ18</f>
        <v>6446.67</v>
      </c>
      <c r="AJ17" s="127">
        <f>Mar!EC18</f>
        <v>27606.67</v>
      </c>
      <c r="AK17" s="127">
        <f t="shared" si="6"/>
        <v>38653.34000000036</v>
      </c>
      <c r="AL17" s="127">
        <f>Mar!EG18</f>
        <v>17606.669999999998</v>
      </c>
      <c r="AM17" s="127">
        <f>Mar!EJ18</f>
        <v>8446.67</v>
      </c>
      <c r="AN17" s="127">
        <f>Mar!EM18</f>
        <v>509.99999999999091</v>
      </c>
      <c r="AO17" s="127">
        <f t="shared" si="7"/>
        <v>26563.339999999989</v>
      </c>
      <c r="AP17" s="127">
        <f>Mar!FX18</f>
        <v>4900</v>
      </c>
      <c r="AQ17" s="127">
        <f>Mar!GA18</f>
        <v>300.0000000001819</v>
      </c>
      <c r="AR17" s="127">
        <f>Mar!GG18</f>
        <v>4299.9999999997272</v>
      </c>
      <c r="AS17" s="127">
        <f t="shared" si="8"/>
        <v>9499.9999999999091</v>
      </c>
      <c r="AT17" s="127">
        <f>Mar!EQ18</f>
        <v>8406.6699999999801</v>
      </c>
      <c r="AU17" s="127">
        <f>Mar!ET18</f>
        <v>12700.000000000728</v>
      </c>
      <c r="AV17" s="127">
        <f>Mar!EW18</f>
        <v>8446.67</v>
      </c>
      <c r="AW17" s="127">
        <f>Mar!FL55</f>
        <v>14175.408892570669</v>
      </c>
      <c r="AX17" s="127">
        <f>Mar!GJ18</f>
        <v>1899.9999999998636</v>
      </c>
      <c r="AY17" s="127">
        <f t="shared" si="9"/>
        <v>45628.748892571239</v>
      </c>
      <c r="AZ17" s="127">
        <f>Mar!FG18</f>
        <v>12992.220000000019</v>
      </c>
      <c r="BA17" s="127">
        <f>Mar!FJ18</f>
        <v>19352.219999999634</v>
      </c>
      <c r="BB17" s="127">
        <f>Mar!FM55</f>
        <v>11223.481107429332</v>
      </c>
      <c r="BC17" s="127">
        <f>Mar!GM18</f>
        <v>1200.0000000000455</v>
      </c>
      <c r="BD17" s="127">
        <f t="shared" si="2"/>
        <v>44767.921107429029</v>
      </c>
      <c r="BE17" s="127">
        <f>Mar!GP18</f>
        <v>10</v>
      </c>
      <c r="BF17" s="127">
        <f>Mar!GS18</f>
        <v>0</v>
      </c>
      <c r="BG17" s="127">
        <f t="shared" si="10"/>
        <v>10</v>
      </c>
      <c r="BH17" s="127">
        <f t="shared" si="3"/>
        <v>13277</v>
      </c>
      <c r="BI17" s="127"/>
      <c r="BJ17" s="127"/>
      <c r="BK17" s="127"/>
      <c r="BL17" s="128">
        <f t="shared" si="11"/>
        <v>9509.9999999999091</v>
      </c>
      <c r="BM17" s="128"/>
      <c r="BN17" s="128"/>
      <c r="BO17" s="128"/>
      <c r="BP17" s="128"/>
      <c r="BQ17" s="128"/>
      <c r="BR17" s="128"/>
      <c r="BS17" s="128"/>
      <c r="BT17" s="42">
        <f>Mar!D56</f>
        <v>0</v>
      </c>
      <c r="BU17" s="42">
        <f>Mar!G56</f>
        <v>72000</v>
      </c>
      <c r="BV17" t="s">
        <v>305</v>
      </c>
      <c r="BX17" s="42">
        <f>Mar!HJ18</f>
        <v>78500</v>
      </c>
      <c r="BY17" s="42">
        <f>Mar!HM18</f>
        <v>0</v>
      </c>
      <c r="BZ17" s="42">
        <f>Mar!HP18</f>
        <v>28490.00000000008</v>
      </c>
      <c r="CA17" s="42">
        <f>Mar!HS18</f>
        <v>11639.999999999985</v>
      </c>
      <c r="CB17" s="42">
        <f>Mar!HV18</f>
        <v>22169.99999999996</v>
      </c>
      <c r="CC17" s="42">
        <f>Mar!HY18</f>
        <v>16200</v>
      </c>
    </row>
    <row r="18" spans="1:81" x14ac:dyDescent="0.25">
      <c r="A18" s="26">
        <f t="shared" si="12"/>
        <v>12</v>
      </c>
      <c r="B18" s="42">
        <f>Mar!G19</f>
        <v>331840.00000001467</v>
      </c>
      <c r="C18" s="42">
        <f>Mar!N19</f>
        <v>331000</v>
      </c>
      <c r="D18" s="42">
        <f>Mar!T19</f>
        <v>0</v>
      </c>
      <c r="E18" s="42">
        <f>Mar!V19</f>
        <v>0</v>
      </c>
      <c r="F18" s="42">
        <f>Mar!AB19</f>
        <v>5510</v>
      </c>
      <c r="G18" s="42">
        <f>Mar!X19</f>
        <v>7389.9999999996362</v>
      </c>
      <c r="H18" s="42">
        <f>Mar!AE19</f>
        <v>8100.0000000003638</v>
      </c>
      <c r="I18" s="42">
        <f>Mar!AI19</f>
        <v>18272.889999999818</v>
      </c>
      <c r="J18" s="42">
        <f>Mar!AN19</f>
        <v>4622.8900000000949</v>
      </c>
      <c r="K18" s="42">
        <f>Mar!AR19</f>
        <v>10000</v>
      </c>
      <c r="L18" s="42">
        <f>Mar!AZ19</f>
        <v>125.40000000002328</v>
      </c>
      <c r="M18" s="42">
        <f>Mar!BC19</f>
        <v>207.10000000000582</v>
      </c>
      <c r="N18" s="125">
        <f t="shared" si="13"/>
        <v>54228.279999999941</v>
      </c>
      <c r="O18" s="125">
        <f>Mar!CA19</f>
        <v>817.40000000002055</v>
      </c>
      <c r="P18" s="125">
        <f>Mar!CD19</f>
        <v>829.20000000001164</v>
      </c>
      <c r="Q18" s="125">
        <f>Mar!CF19</f>
        <v>6437.6999999999534</v>
      </c>
      <c r="R18" s="125">
        <f>Mar!CH19</f>
        <v>0.19999999999708962</v>
      </c>
      <c r="S18" s="125">
        <f>Mar!CK19</f>
        <v>16075.489999999689</v>
      </c>
      <c r="T18" s="125">
        <f>Mar!CO19</f>
        <v>9283.8899999997848</v>
      </c>
      <c r="U18" s="125">
        <f>Mar!CS19</f>
        <v>6417.890000000255</v>
      </c>
      <c r="V18" s="126">
        <f t="shared" si="5"/>
        <v>39861.769999999706</v>
      </c>
      <c r="W18" s="126">
        <f>Mar!CW19</f>
        <v>12672</v>
      </c>
      <c r="X18" s="126">
        <f>Mar!DA19</f>
        <v>4490</v>
      </c>
      <c r="Y18" s="126">
        <f t="shared" si="1"/>
        <v>17162</v>
      </c>
      <c r="Z18" s="42">
        <f>Mar!BR19</f>
        <v>809.99999999994543</v>
      </c>
      <c r="AA18" s="126">
        <f>Mar!BG19</f>
        <v>2599.9999999999091</v>
      </c>
      <c r="AB18" s="126">
        <f>Mar!BJ19</f>
        <v>9899.9999999996362</v>
      </c>
      <c r="AC18" s="126">
        <f>Mar!BL19+Mar!BN19+Mar!BP19</f>
        <v>4639.9999999999591</v>
      </c>
      <c r="AD18" s="126">
        <f>Mar!DR19</f>
        <v>9400</v>
      </c>
      <c r="AE18" s="127">
        <f>Mar!DT19-Mar!DR59-Mar!DT59</f>
        <v>17710.999999999993</v>
      </c>
      <c r="AF18" s="127">
        <f>Mar!DR59+Mar!DT59</f>
        <v>89.000000000005741</v>
      </c>
      <c r="AG18" s="127">
        <f>Mar!HJ19-AE18</f>
        <v>79089.000000000175</v>
      </c>
      <c r="AH18" s="127">
        <f>Mar!DW19</f>
        <v>4699.9999999998181</v>
      </c>
      <c r="AI18" s="127">
        <f>Mar!DZ19</f>
        <v>6572.89</v>
      </c>
      <c r="AJ18" s="127">
        <f>Mar!EC19</f>
        <v>26732.89</v>
      </c>
      <c r="AK18" s="127">
        <f t="shared" si="6"/>
        <v>38005.779999999817</v>
      </c>
      <c r="AL18" s="127">
        <f>Mar!EG19</f>
        <v>29732.89</v>
      </c>
      <c r="AM18" s="127">
        <f>Mar!EJ19</f>
        <v>10572.89</v>
      </c>
      <c r="AN18" s="127">
        <f>Mar!EM19</f>
        <v>750</v>
      </c>
      <c r="AO18" s="127">
        <f t="shared" si="7"/>
        <v>41055.78</v>
      </c>
      <c r="AP18" s="127">
        <f>Mar!FX19</f>
        <v>6200</v>
      </c>
      <c r="AQ18" s="127">
        <f>Mar!GA19</f>
        <v>300.0000000001819</v>
      </c>
      <c r="AR18" s="127">
        <f>Mar!GG19</f>
        <v>6000</v>
      </c>
      <c r="AS18" s="127">
        <f t="shared" si="8"/>
        <v>12500.000000000182</v>
      </c>
      <c r="AT18" s="127">
        <f>Mar!EQ19</f>
        <v>7422.8900000000222</v>
      </c>
      <c r="AU18" s="127">
        <f>Mar!ET19</f>
        <v>13500</v>
      </c>
      <c r="AV18" s="127">
        <f>Mar!EW19</f>
        <v>9072.89</v>
      </c>
      <c r="AW18" s="127">
        <f>Mar!FL56</f>
        <v>15657.698623458502</v>
      </c>
      <c r="AX18" s="127">
        <f>Mar!GJ19</f>
        <v>1900.0000000000909</v>
      </c>
      <c r="AY18" s="127">
        <f t="shared" si="9"/>
        <v>47553.478623458606</v>
      </c>
      <c r="AZ18" s="127">
        <f>Mar!FG19</f>
        <v>13172.889999999978</v>
      </c>
      <c r="BA18" s="127">
        <f>Mar!FJ19</f>
        <v>17522.89</v>
      </c>
      <c r="BB18" s="127">
        <f>Mar!FM56</f>
        <v>11938.081376541499</v>
      </c>
      <c r="BC18" s="127">
        <f>Mar!GM19</f>
        <v>1599.9999999999091</v>
      </c>
      <c r="BD18" s="127">
        <f t="shared" si="2"/>
        <v>44233.86137654139</v>
      </c>
      <c r="BE18" s="127">
        <f>Mar!GP19</f>
        <v>0</v>
      </c>
      <c r="BF18" s="127">
        <f>Mar!GS19</f>
        <v>0</v>
      </c>
      <c r="BG18" s="127">
        <f t="shared" si="10"/>
        <v>0</v>
      </c>
      <c r="BH18" s="127">
        <f t="shared" si="3"/>
        <v>17162</v>
      </c>
      <c r="BI18" s="127"/>
      <c r="BJ18" s="127"/>
      <c r="BK18" s="127"/>
      <c r="BL18" s="128">
        <f t="shared" si="11"/>
        <v>12500.000000000182</v>
      </c>
      <c r="BM18" s="128"/>
      <c r="BN18" s="128"/>
      <c r="BO18" s="128"/>
      <c r="BP18" s="128"/>
      <c r="BQ18" s="128"/>
      <c r="BR18" s="128"/>
      <c r="BS18" s="128"/>
      <c r="BT18" s="42">
        <f>Mar!D57</f>
        <v>0</v>
      </c>
      <c r="BU18" s="42">
        <f>Mar!G57</f>
        <v>87000</v>
      </c>
      <c r="BV18" t="s">
        <v>305</v>
      </c>
      <c r="BX18" s="42">
        <f>Mar!HJ19</f>
        <v>96800.000000000175</v>
      </c>
      <c r="BY18" s="42">
        <f>Mar!HM19</f>
        <v>0</v>
      </c>
      <c r="BZ18" s="42">
        <f>Mar!HP19</f>
        <v>33849.999999999964</v>
      </c>
      <c r="CA18" s="42">
        <f>Mar!HS19</f>
        <v>19549.999999999956</v>
      </c>
      <c r="CB18" s="42">
        <f>Mar!HV19</f>
        <v>25600.000000000022</v>
      </c>
      <c r="CC18" s="42">
        <f>Mar!HY19</f>
        <v>17800</v>
      </c>
    </row>
    <row r="19" spans="1:81" x14ac:dyDescent="0.25">
      <c r="A19" s="26">
        <f t="shared" si="12"/>
        <v>13</v>
      </c>
      <c r="B19" s="42">
        <f>Mar!G20</f>
        <v>320639.99999999581</v>
      </c>
      <c r="C19" s="42">
        <f>Mar!N20</f>
        <v>318000</v>
      </c>
      <c r="D19" s="42">
        <f>Mar!T20</f>
        <v>0</v>
      </c>
      <c r="E19" s="42">
        <f>Mar!V20</f>
        <v>0</v>
      </c>
      <c r="F19" s="42">
        <f>Mar!AB20</f>
        <v>4690</v>
      </c>
      <c r="G19" s="42">
        <f>Mar!X20</f>
        <v>7209.9999999996362</v>
      </c>
      <c r="H19" s="42">
        <f>Mar!AE20</f>
        <v>6399.9999999996362</v>
      </c>
      <c r="I19" s="42">
        <f>Mar!AI20</f>
        <v>13961.39</v>
      </c>
      <c r="J19" s="42">
        <f>Mar!AN20</f>
        <v>4331.3899999995901</v>
      </c>
      <c r="K19" s="42">
        <f>Mar!AR20</f>
        <v>8100.0000000003638</v>
      </c>
      <c r="L19" s="42">
        <f>Mar!AZ20</f>
        <v>124.59999999997672</v>
      </c>
      <c r="M19" s="42">
        <f>Mar!BC20</f>
        <v>82.899999999994179</v>
      </c>
      <c r="N19" s="125">
        <f t="shared" si="13"/>
        <v>44900.279999999198</v>
      </c>
      <c r="O19" s="125">
        <f>Mar!CA20</f>
        <v>826.70000000001664</v>
      </c>
      <c r="P19" s="125">
        <f>Mar!CD20</f>
        <v>585.79999999998836</v>
      </c>
      <c r="Q19" s="125">
        <f>Mar!CF20</f>
        <v>6170.9000000000233</v>
      </c>
      <c r="R19" s="125">
        <f>Mar!CH20</f>
        <v>0</v>
      </c>
      <c r="S19" s="125">
        <f>Mar!CK20</f>
        <v>15764.689999999182</v>
      </c>
      <c r="T19" s="125">
        <f>Mar!CO20</f>
        <v>8407.3899999999121</v>
      </c>
      <c r="U19" s="125">
        <f>Mar!CS20</f>
        <v>5553.3899999996438</v>
      </c>
      <c r="V19" s="126">
        <f t="shared" si="5"/>
        <v>37308.869999998766</v>
      </c>
      <c r="W19" s="126">
        <f>Mar!CW20</f>
        <v>11587</v>
      </c>
      <c r="X19" s="126">
        <f>Mar!DA20</f>
        <v>4137</v>
      </c>
      <c r="Y19" s="126">
        <f t="shared" si="1"/>
        <v>15724</v>
      </c>
      <c r="Z19" s="42">
        <f>Mar!BR20</f>
        <v>790.00000000007731</v>
      </c>
      <c r="AA19" s="126">
        <f>Mar!BG20</f>
        <v>2700.0000000000455</v>
      </c>
      <c r="AB19" s="126">
        <f>Mar!BJ20</f>
        <v>9899.9999999996362</v>
      </c>
      <c r="AC19" s="126">
        <f>Mar!BL20+Mar!BN20+Mar!BP20</f>
        <v>4739.9999999999682</v>
      </c>
      <c r="AD19" s="126">
        <f>Mar!DR20</f>
        <v>9100</v>
      </c>
      <c r="AE19" s="127">
        <f>Mar!DT20-Mar!DR60-Mar!DT60</f>
        <v>17812</v>
      </c>
      <c r="AF19" s="127">
        <f>Mar!DR60+Mar!DT60</f>
        <v>87.99999999999919</v>
      </c>
      <c r="AG19" s="127">
        <f>Mar!HJ20-AE19</f>
        <v>81688</v>
      </c>
      <c r="AH19" s="127">
        <f>Mar!DW20</f>
        <v>4800.0000000001819</v>
      </c>
      <c r="AI19" s="127">
        <f>Mar!DZ20</f>
        <v>5961.39</v>
      </c>
      <c r="AJ19" s="127">
        <f>Mar!EC20</f>
        <v>27121.39</v>
      </c>
      <c r="AK19" s="127">
        <f t="shared" si="6"/>
        <v>37882.780000000181</v>
      </c>
      <c r="AL19" s="127">
        <f>Mar!EG20</f>
        <v>33121.39</v>
      </c>
      <c r="AM19" s="127">
        <f>Mar!EJ20</f>
        <v>9961.39</v>
      </c>
      <c r="AN19" s="127">
        <f>Mar!EM20</f>
        <v>700.00000000004547</v>
      </c>
      <c r="AO19" s="127">
        <f t="shared" si="7"/>
        <v>43782.780000000042</v>
      </c>
      <c r="AP19" s="127">
        <f>Mar!FX20</f>
        <v>6100</v>
      </c>
      <c r="AQ19" s="127">
        <f>Mar!GA20</f>
        <v>299.99999999972715</v>
      </c>
      <c r="AR19" s="127">
        <f>Mar!GG20</f>
        <v>6000.0000000004547</v>
      </c>
      <c r="AS19" s="127">
        <f t="shared" si="8"/>
        <v>12400.000000000182</v>
      </c>
      <c r="AT19" s="127">
        <f>Mar!EQ20</f>
        <v>8816.3899999999885</v>
      </c>
      <c r="AU19" s="127">
        <f>Mar!ET20</f>
        <v>14399.999999999636</v>
      </c>
      <c r="AV19" s="127">
        <f>Mar!EW20</f>
        <v>8161.3899999998184</v>
      </c>
      <c r="AW19" s="127">
        <f>Mar!FL57</f>
        <v>15676.531763700819</v>
      </c>
      <c r="AX19" s="127">
        <f>Mar!GJ20</f>
        <v>1799.9999999999545</v>
      </c>
      <c r="AY19" s="127">
        <f t="shared" si="9"/>
        <v>48854.311763700214</v>
      </c>
      <c r="AZ19" s="127">
        <f>Mar!FG20</f>
        <v>12391.39000000001</v>
      </c>
      <c r="BA19" s="127">
        <f>Mar!FJ20</f>
        <v>17246.39</v>
      </c>
      <c r="BB19" s="127">
        <f>Mar!FM57</f>
        <v>14531.248236299181</v>
      </c>
      <c r="BC19" s="127">
        <f>Mar!GM20</f>
        <v>1799.9999999999545</v>
      </c>
      <c r="BD19" s="127">
        <f t="shared" si="2"/>
        <v>45969.028236299149</v>
      </c>
      <c r="BE19" s="127">
        <f>Mar!GP20</f>
        <v>0</v>
      </c>
      <c r="BF19" s="127">
        <f>Mar!GS20</f>
        <v>0</v>
      </c>
      <c r="BG19" s="127">
        <f t="shared" si="10"/>
        <v>0</v>
      </c>
      <c r="BH19" s="127">
        <f t="shared" si="3"/>
        <v>15724</v>
      </c>
      <c r="BI19" s="127"/>
      <c r="BJ19" s="127"/>
      <c r="BK19" s="127"/>
      <c r="BL19" s="128">
        <f t="shared" si="11"/>
        <v>12400.000000000182</v>
      </c>
      <c r="BM19" s="128"/>
      <c r="BN19" s="128"/>
      <c r="BO19" s="128"/>
      <c r="BP19" s="128"/>
      <c r="BQ19" s="128"/>
      <c r="BR19" s="128"/>
      <c r="BS19" s="128"/>
      <c r="BT19" s="42">
        <f>Mar!D58</f>
        <v>0</v>
      </c>
      <c r="BU19" s="42">
        <f>Mar!G58</f>
        <v>93000</v>
      </c>
      <c r="BV19" t="s">
        <v>305</v>
      </c>
      <c r="BW19" s="151"/>
      <c r="BX19" s="42">
        <f>Mar!HJ20</f>
        <v>99500</v>
      </c>
      <c r="BY19" s="42">
        <f>Mar!HM20</f>
        <v>0</v>
      </c>
      <c r="BZ19" s="42">
        <f>Mar!HP20</f>
        <v>32079.999999999913</v>
      </c>
      <c r="CA19" s="42">
        <f>Mar!HS20</f>
        <v>23360.000000000015</v>
      </c>
      <c r="CB19" s="42">
        <f>Mar!HV20</f>
        <v>26159.999999999967</v>
      </c>
      <c r="CC19" s="42">
        <f>Mar!HY20</f>
        <v>17900</v>
      </c>
    </row>
    <row r="20" spans="1:81" x14ac:dyDescent="0.25">
      <c r="A20" s="26">
        <f t="shared" si="12"/>
        <v>14</v>
      </c>
      <c r="B20" s="42">
        <f>Mar!G21</f>
        <v>334080.00000000175</v>
      </c>
      <c r="C20" s="42">
        <f>Mar!N21</f>
        <v>335000</v>
      </c>
      <c r="D20" s="42">
        <f>Mar!T21</f>
        <v>0</v>
      </c>
      <c r="E20" s="42">
        <f>Mar!V21</f>
        <v>0</v>
      </c>
      <c r="F20" s="42">
        <f>Mar!AB21</f>
        <v>5300</v>
      </c>
      <c r="G20" s="42">
        <f>Mar!X21</f>
        <v>8000.0000000010914</v>
      </c>
      <c r="H20" s="42">
        <f>Mar!AE21</f>
        <v>8200.0000000002728</v>
      </c>
      <c r="I20" s="42">
        <f>Mar!AI21</f>
        <v>18601.899999999638</v>
      </c>
      <c r="J20" s="42">
        <f>Mar!AN21</f>
        <v>4711.8999999996631</v>
      </c>
      <c r="K20" s="42">
        <f>Mar!AR21</f>
        <v>10199.999999999818</v>
      </c>
      <c r="L20" s="42">
        <f>Mar!AZ21</f>
        <v>110</v>
      </c>
      <c r="M20" s="42">
        <f>Mar!BC21</f>
        <v>100</v>
      </c>
      <c r="N20" s="125">
        <f t="shared" si="13"/>
        <v>55223.800000000476</v>
      </c>
      <c r="O20" s="125">
        <f>Mar!CA21</f>
        <v>721.59999999996671</v>
      </c>
      <c r="P20" s="125">
        <f>Mar!CD21</f>
        <v>3440.4000000000233</v>
      </c>
      <c r="Q20" s="125">
        <f>Mar!CF21</f>
        <v>6517.5999999999767</v>
      </c>
      <c r="R20" s="125">
        <f>Mar!CH21</f>
        <v>0</v>
      </c>
      <c r="S20" s="125">
        <f>Mar!CK21</f>
        <v>17210.300000001418</v>
      </c>
      <c r="T20" s="125">
        <f>Mar!CO21</f>
        <v>9168.9000000000979</v>
      </c>
      <c r="U20" s="125">
        <f>Mar!CS21</f>
        <v>6078.8999999999523</v>
      </c>
      <c r="V20" s="126">
        <f t="shared" si="5"/>
        <v>43137.70000000143</v>
      </c>
      <c r="W20" s="126">
        <f>Mar!CW21</f>
        <v>10135</v>
      </c>
      <c r="X20" s="126">
        <f>Mar!DA21</f>
        <v>3348</v>
      </c>
      <c r="Y20" s="126">
        <f t="shared" si="1"/>
        <v>13483</v>
      </c>
      <c r="Z20" s="42">
        <f>Mar!BR21</f>
        <v>599.99999999990905</v>
      </c>
      <c r="AA20" s="126">
        <f>Mar!BG21</f>
        <v>2900.0000000000909</v>
      </c>
      <c r="AB20" s="126">
        <f>Mar!BJ21</f>
        <v>9000</v>
      </c>
      <c r="AC20" s="126">
        <f>Mar!BL21+Mar!BN21+Mar!BP21</f>
        <v>4790.0000000000637</v>
      </c>
      <c r="AD20" s="126">
        <f>Mar!DR21</f>
        <v>8800</v>
      </c>
      <c r="AE20" s="127">
        <f>Mar!DT21-Mar!DR61-Mar!DT61</f>
        <v>19128.500000000007</v>
      </c>
      <c r="AF20" s="127">
        <f>Mar!DR61+Mar!DT61</f>
        <v>71.499999999993236</v>
      </c>
      <c r="AG20" s="127">
        <f>Mar!HJ21-AE20</f>
        <v>74371.5</v>
      </c>
      <c r="AH20" s="127">
        <f>Mar!DW21</f>
        <v>4500</v>
      </c>
      <c r="AI20" s="127">
        <f>Mar!DZ21</f>
        <v>6201.9</v>
      </c>
      <c r="AJ20" s="127">
        <f>Mar!EC21</f>
        <v>26361.9</v>
      </c>
      <c r="AK20" s="127">
        <f t="shared" si="6"/>
        <v>37063.800000000003</v>
      </c>
      <c r="AL20" s="127">
        <f>Mar!EG21</f>
        <v>32361.9</v>
      </c>
      <c r="AM20" s="127">
        <f>Mar!EJ21</f>
        <v>10201.9</v>
      </c>
      <c r="AN20" s="127">
        <f>Mar!EM21</f>
        <v>750</v>
      </c>
      <c r="AO20" s="127">
        <f t="shared" si="7"/>
        <v>43313.8</v>
      </c>
      <c r="AP20" s="127">
        <f>Mar!FX21</f>
        <v>4700</v>
      </c>
      <c r="AQ20" s="127">
        <f>Mar!GA21</f>
        <v>300.0000000001819</v>
      </c>
      <c r="AR20" s="127">
        <f>Mar!GG21</f>
        <v>4999.9999999995453</v>
      </c>
      <c r="AS20" s="127">
        <f t="shared" si="8"/>
        <v>9999.9999999997272</v>
      </c>
      <c r="AT20" s="127">
        <f>Mar!EQ21</f>
        <v>8976.9000000000051</v>
      </c>
      <c r="AU20" s="127">
        <f>Mar!ET21</f>
        <v>15399.999999999636</v>
      </c>
      <c r="AV20" s="127">
        <f>Mar!EW21</f>
        <v>8601.9000000000906</v>
      </c>
      <c r="AW20" s="127">
        <f>Mar!FL58</f>
        <v>15049.351782185338</v>
      </c>
      <c r="AX20" s="127">
        <f>Mar!GJ21</f>
        <v>1700.0000000000455</v>
      </c>
      <c r="AY20" s="127">
        <f t="shared" si="9"/>
        <v>49728.151782185116</v>
      </c>
      <c r="AZ20" s="127">
        <f>Mar!FG21</f>
        <v>13218.569999999994</v>
      </c>
      <c r="BA20" s="127">
        <f>Mar!FJ21</f>
        <v>18393.570000000545</v>
      </c>
      <c r="BB20" s="127">
        <f>Mar!FM58</f>
        <v>15146.118217814666</v>
      </c>
      <c r="BC20" s="127">
        <f>Mar!GM21</f>
        <v>1700.0000000000455</v>
      </c>
      <c r="BD20" s="127">
        <f t="shared" si="2"/>
        <v>48458.258217815252</v>
      </c>
      <c r="BE20" s="127">
        <f>Mar!GP21</f>
        <v>10</v>
      </c>
      <c r="BF20" s="127">
        <f>Mar!GS21</f>
        <v>0</v>
      </c>
      <c r="BG20" s="127">
        <f t="shared" si="10"/>
        <v>10</v>
      </c>
      <c r="BH20" s="127">
        <f t="shared" si="3"/>
        <v>13483</v>
      </c>
      <c r="BI20" s="127"/>
      <c r="BJ20" s="127"/>
      <c r="BK20" s="127"/>
      <c r="BL20" s="128">
        <f t="shared" si="11"/>
        <v>10009.999999999727</v>
      </c>
      <c r="BM20" s="128"/>
      <c r="BN20" s="128"/>
      <c r="BO20" s="128"/>
      <c r="BP20" s="128"/>
      <c r="BQ20" s="128"/>
      <c r="BR20" s="128"/>
      <c r="BS20" s="128"/>
      <c r="BT20" s="42">
        <f>Mar!D59</f>
        <v>0</v>
      </c>
      <c r="BU20" s="42">
        <f>Mar!G59</f>
        <v>86000</v>
      </c>
      <c r="BV20" t="s">
        <v>305</v>
      </c>
      <c r="BX20" s="42">
        <f>Mar!HJ21</f>
        <v>93500</v>
      </c>
      <c r="BY20" s="42">
        <f>Mar!HM21</f>
        <v>0</v>
      </c>
      <c r="BZ20" s="42">
        <f>Mar!HP21</f>
        <v>29749.999999999993</v>
      </c>
      <c r="CA20" s="42">
        <f>Mar!HS21</f>
        <v>21610.000000000015</v>
      </c>
      <c r="CB20" s="42">
        <f>Mar!HV21</f>
        <v>22940.000000000055</v>
      </c>
      <c r="CC20" s="42">
        <f>Mar!HY21</f>
        <v>19200</v>
      </c>
    </row>
    <row r="21" spans="1:81" x14ac:dyDescent="0.25">
      <c r="A21" s="26">
        <f t="shared" si="12"/>
        <v>15</v>
      </c>
      <c r="B21" s="42">
        <f>Mar!G22</f>
        <v>332799.99999999563</v>
      </c>
      <c r="C21" s="42">
        <f>Mar!N22</f>
        <v>332800</v>
      </c>
      <c r="D21" s="42">
        <f>Mar!T22</f>
        <v>0</v>
      </c>
      <c r="E21" s="42">
        <f>Mar!V22</f>
        <v>0</v>
      </c>
      <c r="F21" s="42">
        <f>Mar!AB22</f>
        <v>5340</v>
      </c>
      <c r="G21" s="42">
        <f>Mar!X22</f>
        <v>7459.9999999992724</v>
      </c>
      <c r="H21" s="42">
        <f>Mar!AE22</f>
        <v>8299.9999999997272</v>
      </c>
      <c r="I21" s="42">
        <f>Mar!AI22</f>
        <v>18696.350000000544</v>
      </c>
      <c r="J21" s="42">
        <f>Mar!AN22</f>
        <v>5296.3500000006961</v>
      </c>
      <c r="K21" s="42">
        <f>Mar!AR22</f>
        <v>9600.0000000003638</v>
      </c>
      <c r="L21" s="42">
        <f>Mar!AZ22</f>
        <v>393.52000000001863</v>
      </c>
      <c r="M21" s="42">
        <f>Mar!BC22</f>
        <v>653.30999999999767</v>
      </c>
      <c r="N21" s="125">
        <f t="shared" si="13"/>
        <v>55739.530000000617</v>
      </c>
      <c r="O21" s="125">
        <f>Mar!CA22</f>
        <v>641.70000000001437</v>
      </c>
      <c r="P21" s="125">
        <f>Mar!CD22</f>
        <v>3713.7999999999884</v>
      </c>
      <c r="Q21" s="125">
        <f>Mar!CF22</f>
        <v>6381.5</v>
      </c>
      <c r="R21" s="125">
        <f>Mar!CH22</f>
        <v>0.19999999999708962</v>
      </c>
      <c r="S21" s="125">
        <f>Mar!CK22</f>
        <v>17294.649999999401</v>
      </c>
      <c r="T21" s="125">
        <f>Mar!CO22</f>
        <v>9083.3500000002623</v>
      </c>
      <c r="U21" s="125">
        <f>Mar!CS22</f>
        <v>6127.3500000001313</v>
      </c>
      <c r="V21" s="126">
        <f t="shared" si="5"/>
        <v>43242.549999999792</v>
      </c>
      <c r="W21" s="126">
        <f>Mar!CW22</f>
        <v>11478</v>
      </c>
      <c r="X21" s="126">
        <f>Mar!DA22</f>
        <v>4015</v>
      </c>
      <c r="Y21" s="126">
        <f t="shared" si="1"/>
        <v>15493</v>
      </c>
      <c r="Z21" s="42">
        <f>Mar!BR22</f>
        <v>430.00000000006366</v>
      </c>
      <c r="AA21" s="126">
        <f>Mar!BG22</f>
        <v>2700.0000000000455</v>
      </c>
      <c r="AB21" s="126">
        <f>Mar!BJ22</f>
        <v>9800.0000000010914</v>
      </c>
      <c r="AC21" s="126">
        <f>Mar!BL22+Mar!BN22+Mar!BP22</f>
        <v>4769.9999999999682</v>
      </c>
      <c r="AD21" s="126">
        <f>Mar!DR22</f>
        <v>7900</v>
      </c>
      <c r="AE21" s="127">
        <f>Mar!DT22-Mar!DR62-Mar!DT62</f>
        <v>18628.499999999996</v>
      </c>
      <c r="AF21" s="127">
        <f>Mar!DR62+Mar!DT62</f>
        <v>71.500000000002117</v>
      </c>
      <c r="AG21" s="127">
        <f>Mar!HJ22-AE21</f>
        <v>73271.500000000087</v>
      </c>
      <c r="AH21" s="127">
        <f>Mar!DW22</f>
        <v>4699.9999999998181</v>
      </c>
      <c r="AI21" s="127">
        <f>Mar!DZ22</f>
        <v>6296.35</v>
      </c>
      <c r="AJ21" s="127">
        <f>Mar!EC22</f>
        <v>26456.35</v>
      </c>
      <c r="AK21" s="127">
        <f t="shared" si="6"/>
        <v>37452.699999999815</v>
      </c>
      <c r="AL21" s="127">
        <f>Mar!EG22</f>
        <v>35456.35</v>
      </c>
      <c r="AM21" s="127">
        <f>Mar!EJ22</f>
        <v>10296.35</v>
      </c>
      <c r="AN21" s="127">
        <f>Mar!EM22</f>
        <v>669.99999999995907</v>
      </c>
      <c r="AO21" s="127">
        <f t="shared" si="7"/>
        <v>46422.699999999953</v>
      </c>
      <c r="AP21" s="127">
        <f>Mar!FX22</f>
        <v>5400</v>
      </c>
      <c r="AQ21" s="127">
        <f>Mar!GA22</f>
        <v>400.00000000009095</v>
      </c>
      <c r="AR21" s="127">
        <f>Mar!GG22</f>
        <v>4900.0000000000909</v>
      </c>
      <c r="AS21" s="127">
        <f t="shared" si="8"/>
        <v>10700.000000000182</v>
      </c>
      <c r="AT21" s="127">
        <f>Mar!EQ22</f>
        <v>9096.349999999984</v>
      </c>
      <c r="AU21" s="127">
        <f>Mar!ET22</f>
        <v>15800.000000001091</v>
      </c>
      <c r="AV21" s="127">
        <f>Mar!EW22</f>
        <v>8496.3499999998185</v>
      </c>
      <c r="AW21" s="127">
        <f>Mar!FL59</f>
        <v>15114.262186795728</v>
      </c>
      <c r="AX21" s="127">
        <f>Mar!GJ22</f>
        <v>1799.9999999999545</v>
      </c>
      <c r="AY21" s="127">
        <f t="shared" si="9"/>
        <v>50306.962186796576</v>
      </c>
      <c r="AZ21" s="127">
        <f>Mar!FG22</f>
        <v>12929.680000000018</v>
      </c>
      <c r="BA21" s="127">
        <f>Mar!FJ22</f>
        <v>18229.68</v>
      </c>
      <c r="BB21" s="127">
        <f>Mar!FM59</f>
        <v>15911.767813204273</v>
      </c>
      <c r="BC21" s="127">
        <f>Mar!GM22</f>
        <v>1799.9999999999545</v>
      </c>
      <c r="BD21" s="127">
        <f t="shared" si="2"/>
        <v>48871.12781320425</v>
      </c>
      <c r="BE21" s="127">
        <f>Mar!GP22</f>
        <v>0</v>
      </c>
      <c r="BF21" s="127">
        <f>Mar!GS22</f>
        <v>0</v>
      </c>
      <c r="BG21" s="127">
        <f t="shared" si="10"/>
        <v>0</v>
      </c>
      <c r="BH21" s="127">
        <f t="shared" si="3"/>
        <v>15493</v>
      </c>
      <c r="BI21" s="127"/>
      <c r="BJ21" s="127"/>
      <c r="BK21" s="127"/>
      <c r="BL21" s="128">
        <f t="shared" si="11"/>
        <v>10700.000000000182</v>
      </c>
      <c r="BM21" s="128"/>
      <c r="BN21" s="128"/>
      <c r="BO21" s="128"/>
      <c r="BP21" s="128"/>
      <c r="BQ21" s="128"/>
      <c r="BR21" s="128"/>
      <c r="BS21" s="128"/>
      <c r="BT21" s="42">
        <f>Mar!D60</f>
        <v>0</v>
      </c>
      <c r="BU21" s="42">
        <f>Mar!G60</f>
        <v>93000</v>
      </c>
      <c r="BV21" t="s">
        <v>305</v>
      </c>
      <c r="BX21" s="42">
        <f>Mar!HJ22</f>
        <v>91900.000000000087</v>
      </c>
      <c r="BY21" s="42">
        <f>Mar!HM22</f>
        <v>0</v>
      </c>
      <c r="BZ21" s="42">
        <f>Mar!HP22</f>
        <v>28470</v>
      </c>
      <c r="CA21" s="42">
        <f>Mar!HS22</f>
        <v>22289.999999999964</v>
      </c>
      <c r="CB21" s="42">
        <f>Mar!HV22</f>
        <v>22439.999999999942</v>
      </c>
      <c r="CC21" s="42">
        <f>Mar!HY22</f>
        <v>18700</v>
      </c>
    </row>
    <row r="22" spans="1:81" x14ac:dyDescent="0.25">
      <c r="A22" s="26">
        <f t="shared" si="12"/>
        <v>16</v>
      </c>
      <c r="B22" s="42">
        <f>Mar!G23</f>
        <v>324479.99999999953</v>
      </c>
      <c r="C22" s="42">
        <f>Mar!N23</f>
        <v>324200</v>
      </c>
      <c r="D22" s="42">
        <f>Mar!T23</f>
        <v>0</v>
      </c>
      <c r="E22" s="42">
        <f>Mar!V23</f>
        <v>0</v>
      </c>
      <c r="F22" s="42">
        <f>Mar!AB23</f>
        <v>5270</v>
      </c>
      <c r="G22" s="42">
        <f>Mar!X23</f>
        <v>7730</v>
      </c>
      <c r="H22" s="42">
        <f>Mar!AE23</f>
        <v>7900.0000000000909</v>
      </c>
      <c r="I22" s="42">
        <f>Mar!AI23</f>
        <v>17565.049999999635</v>
      </c>
      <c r="J22" s="42">
        <f>Mar!AN23</f>
        <v>5765.050000000022</v>
      </c>
      <c r="K22" s="42">
        <f>Mar!AR23</f>
        <v>9599.9999999994543</v>
      </c>
      <c r="L22" s="42">
        <f>Mar!AZ23</f>
        <v>254.47999999998137</v>
      </c>
      <c r="M22" s="42">
        <f>Mar!BC23</f>
        <v>413.79000000000815</v>
      </c>
      <c r="N22" s="125">
        <f t="shared" si="13"/>
        <v>54498.369999999195</v>
      </c>
      <c r="O22" s="125">
        <f>Mar!CA23</f>
        <v>740.00000000000909</v>
      </c>
      <c r="P22" s="125">
        <f>Mar!CD23</f>
        <v>5410</v>
      </c>
      <c r="Q22" s="125">
        <f>Mar!CF23</f>
        <v>7980</v>
      </c>
      <c r="R22" s="125">
        <f>Mar!CH23</f>
        <v>0</v>
      </c>
      <c r="S22" s="125">
        <f>Mar!CK23</f>
        <v>16925.049999999988</v>
      </c>
      <c r="T22" s="125">
        <f>Mar!CO23</f>
        <v>7765.0499999999092</v>
      </c>
      <c r="U22" s="125">
        <f>Mar!CS23</f>
        <v>6065.0500000000911</v>
      </c>
      <c r="V22" s="126">
        <f t="shared" si="5"/>
        <v>44885.149999999994</v>
      </c>
      <c r="W22" s="126">
        <f>Mar!CW23</f>
        <v>11000</v>
      </c>
      <c r="X22" s="126">
        <f>Mar!DA23</f>
        <v>3900</v>
      </c>
      <c r="Y22" s="126">
        <f t="shared" si="1"/>
        <v>14900</v>
      </c>
      <c r="Z22" s="42">
        <f>Mar!BR23</f>
        <v>240.00000000000909</v>
      </c>
      <c r="AA22" s="126">
        <f>Mar!BG23</f>
        <v>2599.9999999999091</v>
      </c>
      <c r="AB22" s="126">
        <f>Mar!BJ23</f>
        <v>10099.999999998545</v>
      </c>
      <c r="AC22" s="126">
        <f>Mar!BL23+Mar!BN23+Mar!BP23</f>
        <v>4659.9999999999682</v>
      </c>
      <c r="AD22" s="126">
        <f>Mar!DR23</f>
        <v>6800</v>
      </c>
      <c r="AE22" s="127">
        <f>Mar!DT23-Mar!DR63-Mar!DT63</f>
        <v>19569</v>
      </c>
      <c r="AF22" s="127">
        <f>Mar!DR63+Mar!DT63</f>
        <v>30.999999999998806</v>
      </c>
      <c r="AG22" s="127">
        <f>Mar!HJ23-AE22</f>
        <v>69030.999999999913</v>
      </c>
      <c r="AH22" s="127">
        <f>Mar!DW23</f>
        <v>4500</v>
      </c>
      <c r="AI22" s="127">
        <f>Mar!DZ23</f>
        <v>6665.05</v>
      </c>
      <c r="AJ22" s="127">
        <f>Mar!EC23</f>
        <v>26825.05</v>
      </c>
      <c r="AK22" s="127">
        <f t="shared" si="6"/>
        <v>37990.1</v>
      </c>
      <c r="AL22" s="127">
        <f>Mar!EG23</f>
        <v>34825.050000000003</v>
      </c>
      <c r="AM22" s="127">
        <f>Mar!EJ23</f>
        <v>10665.05</v>
      </c>
      <c r="AN22" s="127">
        <f>Mar!EM23</f>
        <v>649.99999999997726</v>
      </c>
      <c r="AO22" s="127">
        <f t="shared" si="7"/>
        <v>46140.099999999984</v>
      </c>
      <c r="AP22" s="127">
        <f>Mar!FX23</f>
        <v>5100</v>
      </c>
      <c r="AQ22" s="127">
        <f>Mar!GA23</f>
        <v>299.99999999972715</v>
      </c>
      <c r="AR22" s="127">
        <f>Mar!GG23</f>
        <v>5099.9999999992269</v>
      </c>
      <c r="AS22" s="127">
        <f t="shared" si="8"/>
        <v>10499.999999998954</v>
      </c>
      <c r="AT22" s="127">
        <f>Mar!EQ23</f>
        <v>8510.0499999999993</v>
      </c>
      <c r="AU22" s="127">
        <f>Mar!ET23</f>
        <v>15500</v>
      </c>
      <c r="AV22" s="127">
        <f>Mar!EW23</f>
        <v>9165.0499999999993</v>
      </c>
      <c r="AW22" s="127">
        <f>Mar!FL60</f>
        <v>15742.177242545406</v>
      </c>
      <c r="AX22" s="127">
        <f>Mar!GJ23</f>
        <v>2000</v>
      </c>
      <c r="AY22" s="127">
        <f t="shared" si="9"/>
        <v>50917.277242545402</v>
      </c>
      <c r="AZ22" s="127">
        <f>Mar!FG23</f>
        <v>13268.380000000001</v>
      </c>
      <c r="BA22" s="127">
        <f>Mar!FJ23</f>
        <v>14613.38</v>
      </c>
      <c r="BB22" s="127">
        <f>Mar!FM60</f>
        <v>15036.252757454597</v>
      </c>
      <c r="BC22" s="127">
        <f>Mar!GM23</f>
        <v>1700.0000000000455</v>
      </c>
      <c r="BD22" s="127">
        <f t="shared" si="2"/>
        <v>44618.012757454642</v>
      </c>
      <c r="BE22" s="127">
        <f>Mar!GP23</f>
        <v>0</v>
      </c>
      <c r="BF22" s="127">
        <f>Mar!GS23</f>
        <v>0</v>
      </c>
      <c r="BG22" s="127">
        <f t="shared" si="10"/>
        <v>0</v>
      </c>
      <c r="BH22" s="127">
        <f t="shared" si="3"/>
        <v>14900</v>
      </c>
      <c r="BI22" s="127"/>
      <c r="BJ22" s="127"/>
      <c r="BK22" s="127"/>
      <c r="BL22" s="128">
        <f t="shared" si="11"/>
        <v>10499.999999998954</v>
      </c>
      <c r="BM22" s="128"/>
      <c r="BN22" s="128"/>
      <c r="BO22" s="128"/>
      <c r="BP22" s="128"/>
      <c r="BQ22" s="128"/>
      <c r="BR22" s="128"/>
      <c r="BS22" s="128"/>
      <c r="BT22" s="42">
        <f>Mar!D61</f>
        <v>0</v>
      </c>
      <c r="BU22" s="42">
        <f>Mar!G61</f>
        <v>93000</v>
      </c>
      <c r="BV22" t="s">
        <v>305</v>
      </c>
      <c r="BW22" s="151"/>
      <c r="BX22" s="42">
        <f>Mar!HJ23</f>
        <v>88599.999999999913</v>
      </c>
      <c r="BY22" s="42">
        <f>Mar!HM23</f>
        <v>0</v>
      </c>
      <c r="BZ22" s="42">
        <f>Mar!HP23</f>
        <v>25970</v>
      </c>
      <c r="CA22" s="42">
        <f>Mar!HS23</f>
        <v>20620.000000000004</v>
      </c>
      <c r="CB22" s="42">
        <f>Mar!HV23</f>
        <v>22410.00000000008</v>
      </c>
      <c r="CC22" s="42">
        <f>Mar!HY23</f>
        <v>19600</v>
      </c>
    </row>
    <row r="23" spans="1:81" x14ac:dyDescent="0.25">
      <c r="A23" s="26">
        <f t="shared" si="12"/>
        <v>17</v>
      </c>
      <c r="B23" s="42">
        <f>Mar!G24</f>
        <v>326400.00000000146</v>
      </c>
      <c r="C23" s="42">
        <f>Mar!N24</f>
        <v>323000</v>
      </c>
      <c r="D23" s="42">
        <f>Mar!T24</f>
        <v>0</v>
      </c>
      <c r="E23" s="42">
        <f>Mar!V24</f>
        <v>0</v>
      </c>
      <c r="F23" s="42">
        <f>Mar!AB24</f>
        <v>5690</v>
      </c>
      <c r="G23" s="42">
        <f>Mar!X24</f>
        <v>7810</v>
      </c>
      <c r="H23" s="42">
        <f>Mar!AE24</f>
        <v>8000</v>
      </c>
      <c r="I23" s="42">
        <f>Mar!AI24</f>
        <v>16688.400000000547</v>
      </c>
      <c r="J23" s="42">
        <f>Mar!AN24</f>
        <v>3648.3999999991947</v>
      </c>
      <c r="K23" s="42">
        <f>Mar!AR24</f>
        <v>9300.0000000001819</v>
      </c>
      <c r="L23" s="42">
        <f>Mar!AZ24</f>
        <v>192</v>
      </c>
      <c r="M23" s="42">
        <f>Mar!BC24</f>
        <v>62.899999999994179</v>
      </c>
      <c r="N23" s="125">
        <f t="shared" si="13"/>
        <v>51391.699999999917</v>
      </c>
      <c r="O23" s="125">
        <f>Mar!CA24</f>
        <v>765.69999999998117</v>
      </c>
      <c r="P23" s="125">
        <f>Mar!CD24</f>
        <v>4261.4000000000233</v>
      </c>
      <c r="Q23" s="125">
        <f>Mar!CF24</f>
        <v>8053.6999999999534</v>
      </c>
      <c r="R23" s="125">
        <f>Mar!CH24</f>
        <v>0</v>
      </c>
      <c r="S23" s="125">
        <f>Mar!CK24</f>
        <v>15902.69999999922</v>
      </c>
      <c r="T23" s="125">
        <f>Mar!CO24</f>
        <v>6678.3999999998723</v>
      </c>
      <c r="U23" s="125">
        <f>Mar!CS24</f>
        <v>5154.3999999999851</v>
      </c>
      <c r="V23" s="126">
        <f t="shared" si="5"/>
        <v>40816.299999999035</v>
      </c>
      <c r="W23" s="126">
        <f>Mar!CW24</f>
        <v>14454</v>
      </c>
      <c r="X23" s="126">
        <f>Mar!DA24</f>
        <v>4947</v>
      </c>
      <c r="Y23" s="126">
        <f t="shared" si="1"/>
        <v>19401</v>
      </c>
      <c r="Z23" s="42">
        <f>Mar!BR24</f>
        <v>629.99999999999545</v>
      </c>
      <c r="AA23" s="126">
        <f>Mar!BG24</f>
        <v>2799.9999999999545</v>
      </c>
      <c r="AB23" s="126">
        <f>Mar!BJ24</f>
        <v>10300.000000001091</v>
      </c>
      <c r="AC23" s="126">
        <f>Mar!BL24+Mar!BN24+Mar!BP24</f>
        <v>4810.0000000000819</v>
      </c>
      <c r="AD23" s="126">
        <f>Mar!DR24</f>
        <v>9200</v>
      </c>
      <c r="AE23" s="127">
        <f>Mar!DT24-Mar!DR64-Mar!DT64</f>
        <v>19732.999999999996</v>
      </c>
      <c r="AF23" s="127">
        <f>Mar!DR64+Mar!DT64</f>
        <v>67.000000000003723</v>
      </c>
      <c r="AG23" s="127">
        <f>Mar!HJ24-AE23</f>
        <v>71067.000000000175</v>
      </c>
      <c r="AH23" s="127">
        <f>Mar!DW24</f>
        <v>4599.9999999994543</v>
      </c>
      <c r="AI23" s="127">
        <f>Mar!DZ24</f>
        <v>5788.4</v>
      </c>
      <c r="AJ23" s="127">
        <f>Mar!EC24</f>
        <v>25948.400000000001</v>
      </c>
      <c r="AK23" s="127">
        <f t="shared" si="6"/>
        <v>36336.799999999457</v>
      </c>
      <c r="AL23" s="127">
        <f>Mar!EG24</f>
        <v>33948.400000000001</v>
      </c>
      <c r="AM23" s="127">
        <f>Mar!EJ24</f>
        <v>9788.4</v>
      </c>
      <c r="AN23" s="127">
        <f>Mar!EM24</f>
        <v>740.00000000000909</v>
      </c>
      <c r="AO23" s="127">
        <f t="shared" si="7"/>
        <v>44476.80000000001</v>
      </c>
      <c r="AP23" s="127">
        <f>Mar!FX24</f>
        <v>6300</v>
      </c>
      <c r="AQ23" s="127">
        <f>Mar!GA24</f>
        <v>300.0000000001819</v>
      </c>
      <c r="AR23" s="127">
        <f>Mar!GG24</f>
        <v>5900.0000000010004</v>
      </c>
      <c r="AS23" s="127">
        <f t="shared" si="8"/>
        <v>12500.000000001182</v>
      </c>
      <c r="AT23" s="127">
        <f>Mar!EQ24</f>
        <v>8728.4000000000269</v>
      </c>
      <c r="AU23" s="127">
        <f>Mar!ET24</f>
        <v>17000</v>
      </c>
      <c r="AV23" s="127">
        <f>Mar!EW24</f>
        <v>8588.4000000001815</v>
      </c>
      <c r="AW23" s="127">
        <f>Mar!FL61</f>
        <v>13727.840965137941</v>
      </c>
      <c r="AX23" s="127">
        <f>Mar!GJ24</f>
        <v>1799.9999999999545</v>
      </c>
      <c r="AY23" s="127">
        <f t="shared" si="9"/>
        <v>49844.640965138104</v>
      </c>
      <c r="AZ23" s="127">
        <f>Mar!FG24</f>
        <v>11628.399999999972</v>
      </c>
      <c r="BA23" s="127">
        <f>Mar!FJ24</f>
        <v>18168.399999999456</v>
      </c>
      <c r="BB23" s="127">
        <f>Mar!FM61</f>
        <v>12628.959034862057</v>
      </c>
      <c r="BC23" s="127">
        <f>Mar!GM24</f>
        <v>1600.0000000001364</v>
      </c>
      <c r="BD23" s="127">
        <f t="shared" si="2"/>
        <v>44025.759034861621</v>
      </c>
      <c r="BE23" s="127">
        <f>Mar!GP24</f>
        <v>0</v>
      </c>
      <c r="BF23" s="127">
        <f>Mar!GS24</f>
        <v>0</v>
      </c>
      <c r="BG23" s="127">
        <f t="shared" si="10"/>
        <v>0</v>
      </c>
      <c r="BH23" s="127">
        <f t="shared" si="3"/>
        <v>19401</v>
      </c>
      <c r="BI23" s="127"/>
      <c r="BJ23" s="127"/>
      <c r="BK23" s="127"/>
      <c r="BL23" s="128">
        <f t="shared" si="11"/>
        <v>12500.000000001182</v>
      </c>
      <c r="BM23" s="128"/>
      <c r="BN23" s="128"/>
      <c r="BO23" s="128"/>
      <c r="BP23" s="128"/>
      <c r="BQ23" s="128"/>
      <c r="BR23" s="128"/>
      <c r="BS23" s="128"/>
      <c r="BT23" s="42">
        <f>Mar!D62</f>
        <v>0</v>
      </c>
      <c r="BU23" s="42">
        <f>Mar!G62</f>
        <v>91000</v>
      </c>
      <c r="BV23" t="s">
        <v>305</v>
      </c>
      <c r="BX23" s="42">
        <f>Mar!HJ24</f>
        <v>90800.000000000175</v>
      </c>
      <c r="BY23" s="42">
        <f>Mar!HM24</f>
        <v>0</v>
      </c>
      <c r="BZ23" s="42">
        <f>Mar!HP24</f>
        <v>27840.000000000138</v>
      </c>
      <c r="CA23" s="42">
        <f>Mar!HS24</f>
        <v>20700.000000000044</v>
      </c>
      <c r="CB23" s="42">
        <f>Mar!HV24</f>
        <v>22459.999999999924</v>
      </c>
      <c r="CC23" s="42">
        <f>Mar!HY24</f>
        <v>19800</v>
      </c>
    </row>
    <row r="24" spans="1:81" x14ac:dyDescent="0.25">
      <c r="A24" s="26">
        <f t="shared" si="12"/>
        <v>18</v>
      </c>
      <c r="B24" s="42">
        <f>Mar!G25</f>
        <v>332159.99999999988</v>
      </c>
      <c r="C24" s="42">
        <f>Mar!N25</f>
        <v>325000</v>
      </c>
      <c r="D24" s="42">
        <f>Mar!T25</f>
        <v>0</v>
      </c>
      <c r="E24" s="42">
        <f>Mar!V25</f>
        <v>0</v>
      </c>
      <c r="F24" s="42">
        <f>Mar!AB25</f>
        <v>5300</v>
      </c>
      <c r="G24" s="42">
        <f>Mar!X25</f>
        <v>7499.9999999992724</v>
      </c>
      <c r="H24" s="42">
        <f>Mar!AE25</f>
        <v>6800.0000000001819</v>
      </c>
      <c r="I24" s="42">
        <f>Mar!AI25</f>
        <v>15634.829999999272</v>
      </c>
      <c r="J24" s="42">
        <f>Mar!AN25</f>
        <v>6044.8300000003683</v>
      </c>
      <c r="K24" s="42">
        <f>Mar!AR25</f>
        <v>14100.000000000364</v>
      </c>
      <c r="L24" s="42">
        <f>Mar!AZ25</f>
        <v>380</v>
      </c>
      <c r="M24" s="42">
        <f>Mar!BC25</f>
        <v>630</v>
      </c>
      <c r="N24" s="125">
        <f t="shared" si="13"/>
        <v>56389.659999999458</v>
      </c>
      <c r="O24" s="125">
        <f>Mar!CA25</f>
        <v>768.50000000001728</v>
      </c>
      <c r="P24" s="125">
        <f>Mar!CD25</f>
        <v>4077.1999999999534</v>
      </c>
      <c r="Q24" s="125">
        <f>Mar!CF25</f>
        <v>7542.4000000000233</v>
      </c>
      <c r="R24" s="125">
        <f>Mar!CH25</f>
        <v>0</v>
      </c>
      <c r="S24" s="125">
        <f>Mar!CK25</f>
        <v>15706.33000000122</v>
      </c>
      <c r="T24" s="125">
        <f>Mar!CO25</f>
        <v>6982.8300000001382</v>
      </c>
      <c r="U24" s="125">
        <f>Mar!CS25</f>
        <v>5597.8299999999199</v>
      </c>
      <c r="V24" s="126">
        <f t="shared" si="5"/>
        <v>40675.090000001277</v>
      </c>
      <c r="W24" s="126">
        <f>Mar!CW25</f>
        <v>14936</v>
      </c>
      <c r="X24" s="126">
        <f>Mar!DA25</f>
        <v>4993</v>
      </c>
      <c r="Y24" s="126">
        <f t="shared" si="1"/>
        <v>19929</v>
      </c>
      <c r="Z24" s="42">
        <f>Mar!BR25</f>
        <v>740.00000000000909</v>
      </c>
      <c r="AA24" s="126">
        <f>Mar!BG25</f>
        <v>2900.0000000000909</v>
      </c>
      <c r="AB24" s="126">
        <f>Mar!BJ25</f>
        <v>9799.9999999992724</v>
      </c>
      <c r="AC24" s="126">
        <f>Mar!BL25+Mar!BN25+Mar!BP25</f>
        <v>4649.9999999999864</v>
      </c>
      <c r="AD24" s="126">
        <f>Mar!DR25</f>
        <v>9100</v>
      </c>
      <c r="AE24" s="127">
        <f>Mar!DT25-Mar!DR65-Mar!DT65</f>
        <v>19462</v>
      </c>
      <c r="AF24" s="127">
        <f>Mar!DR65+Mar!DT65</f>
        <v>38.000000000000256</v>
      </c>
      <c r="AG24" s="127">
        <f>Mar!HJ25-AE24</f>
        <v>68437.999999999636</v>
      </c>
      <c r="AH24" s="127">
        <f>Mar!DW25</f>
        <v>4800.0000000001819</v>
      </c>
      <c r="AI24" s="127">
        <f>Mar!DZ25</f>
        <v>6334.83</v>
      </c>
      <c r="AJ24" s="127">
        <f>Mar!EC25</f>
        <v>27494.83</v>
      </c>
      <c r="AK24" s="127">
        <f t="shared" si="6"/>
        <v>38629.660000000185</v>
      </c>
      <c r="AL24" s="127">
        <f>Mar!EG25</f>
        <v>27494.83</v>
      </c>
      <c r="AM24" s="127">
        <f>Mar!EJ25</f>
        <v>10334.83</v>
      </c>
      <c r="AN24" s="127">
        <f>Mar!EM25</f>
        <v>600.00000000002274</v>
      </c>
      <c r="AO24" s="127">
        <f t="shared" si="7"/>
        <v>38429.660000000025</v>
      </c>
      <c r="AP24" s="127">
        <f>Mar!FX25</f>
        <v>7300</v>
      </c>
      <c r="AQ24" s="127">
        <f>Mar!GA25</f>
        <v>299.99999999972715</v>
      </c>
      <c r="AR24" s="127">
        <f>Mar!GG25</f>
        <v>6399.9999999996362</v>
      </c>
      <c r="AS24" s="127">
        <f t="shared" si="8"/>
        <v>13999.999999999363</v>
      </c>
      <c r="AT24" s="127">
        <f>Mar!EQ25</f>
        <v>8294.8299999999799</v>
      </c>
      <c r="AU24" s="127">
        <f>Mar!ET25</f>
        <v>17399.999999999636</v>
      </c>
      <c r="AV24" s="127">
        <f>Mar!EW25</f>
        <v>8934.829999999909</v>
      </c>
      <c r="AW24" s="127">
        <f>Mar!FL62</f>
        <v>14079.981068512034</v>
      </c>
      <c r="AX24" s="127">
        <f>Mar!GJ25</f>
        <v>1700.0000000000455</v>
      </c>
      <c r="AY24" s="127">
        <f t="shared" si="9"/>
        <v>50409.641068511599</v>
      </c>
      <c r="AZ24" s="127">
        <f>Mar!FG25</f>
        <v>12828.16000000002</v>
      </c>
      <c r="BA24" s="127">
        <f>Mar!FJ25</f>
        <v>18388.160000000367</v>
      </c>
      <c r="BB24" s="127">
        <f>Mar!FM62</f>
        <v>12043.008931487966</v>
      </c>
      <c r="BC24" s="127">
        <f>Mar!GM25</f>
        <v>1299.9999999999545</v>
      </c>
      <c r="BD24" s="127">
        <f t="shared" si="2"/>
        <v>44559.328931488308</v>
      </c>
      <c r="BE24" s="127">
        <f>Mar!GP25</f>
        <v>10</v>
      </c>
      <c r="BF24" s="127">
        <f>Mar!GS25</f>
        <v>0</v>
      </c>
      <c r="BG24" s="127">
        <f t="shared" si="10"/>
        <v>10</v>
      </c>
      <c r="BH24" s="127">
        <f t="shared" si="3"/>
        <v>19929</v>
      </c>
      <c r="BI24" s="127"/>
      <c r="BJ24" s="127"/>
      <c r="BK24" s="127"/>
      <c r="BL24" s="128">
        <f t="shared" si="11"/>
        <v>14009.999999999363</v>
      </c>
      <c r="BM24" s="128"/>
      <c r="BN24" s="128"/>
      <c r="BO24" s="128"/>
      <c r="BP24" s="128"/>
      <c r="BQ24" s="128"/>
      <c r="BR24" s="128"/>
      <c r="BS24" s="128"/>
      <c r="BT24" s="42">
        <f>Mar!D63</f>
        <v>0</v>
      </c>
      <c r="BU24" s="42">
        <f>Mar!G63</f>
        <v>86000</v>
      </c>
      <c r="BV24" t="s">
        <v>305</v>
      </c>
      <c r="BX24" s="42">
        <f>Mar!HJ25</f>
        <v>87899.999999999636</v>
      </c>
      <c r="BY24" s="42">
        <f>Mar!HM25</f>
        <v>0</v>
      </c>
      <c r="BZ24" s="42">
        <f>Mar!HP25</f>
        <v>22129.999999999862</v>
      </c>
      <c r="CA24" s="42">
        <f>Mar!HS25</f>
        <v>24409.999999999967</v>
      </c>
      <c r="CB24" s="42">
        <f>Mar!HV25</f>
        <v>21860.000000000015</v>
      </c>
      <c r="CC24" s="42">
        <f>Mar!HY25</f>
        <v>19500</v>
      </c>
    </row>
    <row r="25" spans="1:81" x14ac:dyDescent="0.25">
      <c r="A25" s="26">
        <f t="shared" si="12"/>
        <v>19</v>
      </c>
      <c r="B25" s="42">
        <f>Mar!G26</f>
        <v>294080.00000000536</v>
      </c>
      <c r="C25" s="42">
        <f>Mar!N26</f>
        <v>294000</v>
      </c>
      <c r="D25" s="42">
        <f>Mar!T26</f>
        <v>0</v>
      </c>
      <c r="E25" s="42">
        <f>Mar!V26</f>
        <v>0</v>
      </c>
      <c r="F25" s="42">
        <f>Mar!AB26</f>
        <v>5600</v>
      </c>
      <c r="G25" s="42">
        <f>Mar!X26</f>
        <v>7600.0000000007276</v>
      </c>
      <c r="H25" s="42">
        <f>Mar!AE26</f>
        <v>6900.0000000000909</v>
      </c>
      <c r="I25" s="42">
        <f>Mar!AI26</f>
        <v>16757.430000000546</v>
      </c>
      <c r="J25" s="42">
        <f>Mar!AN26</f>
        <v>6267.4300000008234</v>
      </c>
      <c r="K25" s="42">
        <f>Mar!AR26</f>
        <v>13500</v>
      </c>
      <c r="L25" s="42">
        <f>Mar!AZ26</f>
        <v>430</v>
      </c>
      <c r="M25" s="42">
        <f>Mar!BC26</f>
        <v>690</v>
      </c>
      <c r="N25" s="125">
        <f t="shared" si="13"/>
        <v>57744.860000002183</v>
      </c>
      <c r="O25" s="125">
        <f>Mar!CA26</f>
        <v>774.99999999997726</v>
      </c>
      <c r="P25" s="125">
        <f>Mar!CD26</f>
        <v>1383.5</v>
      </c>
      <c r="Q25" s="125">
        <f>Mar!CF26</f>
        <v>7135.8000000000466</v>
      </c>
      <c r="R25" s="125">
        <f>Mar!CH26</f>
        <v>0.29999999999563443</v>
      </c>
      <c r="S25" s="125">
        <f>Mar!CK26</f>
        <v>14772.429999998712</v>
      </c>
      <c r="T25" s="125">
        <f>Mar!CO26</f>
        <v>6070.4299999997384</v>
      </c>
      <c r="U25" s="125">
        <f>Mar!CS26</f>
        <v>5275.4300000001203</v>
      </c>
      <c r="V25" s="126">
        <f t="shared" si="5"/>
        <v>35412.889999998588</v>
      </c>
      <c r="W25" s="126">
        <f>Mar!CW26</f>
        <v>12097</v>
      </c>
      <c r="X25" s="126">
        <f>Mar!DA26</f>
        <v>4023</v>
      </c>
      <c r="Y25" s="126">
        <f t="shared" si="1"/>
        <v>16120</v>
      </c>
      <c r="Z25" s="42">
        <f>Mar!BR26</f>
        <v>559.99999999994543</v>
      </c>
      <c r="AA25" s="126">
        <f>Mar!BG26</f>
        <v>2599.9999999999091</v>
      </c>
      <c r="AB25" s="126">
        <f>Mar!BJ26</f>
        <v>9700.0000000007276</v>
      </c>
      <c r="AC25" s="126">
        <f>Mar!BL26+Mar!BN26+Mar!BP26</f>
        <v>4729.9999999999591</v>
      </c>
      <c r="AD25" s="126">
        <f>Mar!DR26</f>
        <v>9300</v>
      </c>
      <c r="AE25" s="127">
        <f>Mar!DT26-Mar!DR66-Mar!DT66</f>
        <v>19762</v>
      </c>
      <c r="AF25" s="127">
        <f>Mar!DR66+Mar!DT66</f>
        <v>38.000000000000256</v>
      </c>
      <c r="AG25" s="127">
        <f>Mar!HJ26-AE25</f>
        <v>40398.000000000306</v>
      </c>
      <c r="AH25" s="127">
        <f>Mar!DW26</f>
        <v>4300.0000000001819</v>
      </c>
      <c r="AI25" s="127">
        <f>Mar!DZ26</f>
        <v>6357.43</v>
      </c>
      <c r="AJ25" s="127">
        <f>Mar!EC26</f>
        <v>25517.43</v>
      </c>
      <c r="AK25" s="127">
        <f t="shared" si="6"/>
        <v>36174.860000000182</v>
      </c>
      <c r="AL25" s="127">
        <f>Mar!EG26</f>
        <v>30517.43</v>
      </c>
      <c r="AM25" s="127">
        <f>Mar!EJ26</f>
        <v>10357.43</v>
      </c>
      <c r="AN25" s="127">
        <f>Mar!EM26</f>
        <v>659.99999999996817</v>
      </c>
      <c r="AO25" s="127">
        <f t="shared" si="7"/>
        <v>41534.859999999971</v>
      </c>
      <c r="AP25" s="127">
        <f>Mar!FX26</f>
        <v>5800</v>
      </c>
      <c r="AQ25" s="127">
        <f>Mar!GA26</f>
        <v>300.0000000001819</v>
      </c>
      <c r="AR25" s="127">
        <f>Mar!GG26</f>
        <v>4000.0000000004547</v>
      </c>
      <c r="AS25" s="127">
        <f t="shared" si="8"/>
        <v>10100.000000000637</v>
      </c>
      <c r="AT25" s="127">
        <f>Mar!EQ26</f>
        <v>8217.4300000000148</v>
      </c>
      <c r="AU25" s="127">
        <f>Mar!ET26</f>
        <v>18500</v>
      </c>
      <c r="AV25" s="127">
        <f>Mar!EW26</f>
        <v>9157.4300000001822</v>
      </c>
      <c r="AW25" s="127">
        <f>Mar!FL63</f>
        <v>15122.157277118729</v>
      </c>
      <c r="AX25" s="127">
        <f>Mar!GJ26</f>
        <v>1299.9999999999545</v>
      </c>
      <c r="AY25" s="127">
        <f t="shared" si="9"/>
        <v>52297.017277118881</v>
      </c>
      <c r="AZ25" s="127">
        <f>Mar!FG26</f>
        <v>12117.429999999986</v>
      </c>
      <c r="BA25" s="127">
        <f>Mar!FJ26</f>
        <v>18977.43</v>
      </c>
      <c r="BB25" s="127">
        <f>Mar!FM63</f>
        <v>12212.702722881273</v>
      </c>
      <c r="BC25" s="127">
        <f>Mar!GM26</f>
        <v>1299.9999999999545</v>
      </c>
      <c r="BD25" s="127">
        <f t="shared" si="2"/>
        <v>44607.562722881215</v>
      </c>
      <c r="BE25" s="127">
        <f>Mar!GP26</f>
        <v>0</v>
      </c>
      <c r="BF25" s="127">
        <f>Mar!GS26</f>
        <v>0</v>
      </c>
      <c r="BG25" s="127">
        <f t="shared" si="10"/>
        <v>0</v>
      </c>
      <c r="BH25" s="127">
        <f t="shared" si="3"/>
        <v>16120</v>
      </c>
      <c r="BI25" s="127"/>
      <c r="BJ25" s="127"/>
      <c r="BK25" s="127"/>
      <c r="BL25" s="128">
        <f t="shared" si="11"/>
        <v>10100.000000000637</v>
      </c>
      <c r="BM25" s="128"/>
      <c r="BN25" s="128"/>
      <c r="BO25" s="128"/>
      <c r="BP25" s="128"/>
      <c r="BQ25" s="128"/>
      <c r="BR25" s="128"/>
      <c r="BS25" s="128"/>
      <c r="BT25" s="42">
        <f>Mar!D64</f>
        <v>0</v>
      </c>
      <c r="BU25" s="42">
        <f>Mar!G64</f>
        <v>87000</v>
      </c>
      <c r="BV25" t="s">
        <v>305</v>
      </c>
      <c r="BX25" s="42">
        <f>Mar!HJ26</f>
        <v>60160.000000000306</v>
      </c>
      <c r="BY25" s="42">
        <f>Mar!HM26</f>
        <v>0</v>
      </c>
      <c r="BZ25" s="42">
        <f>Mar!HP26</f>
        <v>20770.00000000008</v>
      </c>
      <c r="CA25" s="42">
        <f>Mar!HS26</f>
        <v>10070.000000000051</v>
      </c>
      <c r="CB25" s="42">
        <f>Mar!HV26</f>
        <v>9519.9999999999818</v>
      </c>
      <c r="CC25" s="42">
        <f>Mar!HY26</f>
        <v>19800</v>
      </c>
    </row>
    <row r="26" spans="1:81" x14ac:dyDescent="0.25">
      <c r="A26" s="26">
        <f t="shared" si="12"/>
        <v>20</v>
      </c>
      <c r="B26" s="42">
        <f>Mar!G27</f>
        <v>250879.99999999738</v>
      </c>
      <c r="C26" s="42">
        <f>Mar!N27</f>
        <v>248000</v>
      </c>
      <c r="D26" s="42">
        <f>Mar!T27</f>
        <v>0</v>
      </c>
      <c r="E26" s="42">
        <f>Mar!V27</f>
        <v>0</v>
      </c>
      <c r="F26" s="42">
        <f>Mar!AB27</f>
        <v>5000</v>
      </c>
      <c r="G26" s="42">
        <f>Mar!X27</f>
        <v>7500</v>
      </c>
      <c r="H26" s="42">
        <f>Mar!AE27</f>
        <v>4899.9999999996362</v>
      </c>
      <c r="I26" s="42">
        <f>Mar!AI27</f>
        <v>12172.379999999635</v>
      </c>
      <c r="J26" s="42">
        <f>Mar!AN27</f>
        <v>6182.3799999999719</v>
      </c>
      <c r="K26" s="42">
        <f>Mar!AR27</f>
        <v>8899.9999999996362</v>
      </c>
      <c r="L26" s="42">
        <f>Mar!AZ27</f>
        <v>440</v>
      </c>
      <c r="M26" s="42">
        <f>Mar!BC27</f>
        <v>670</v>
      </c>
      <c r="N26" s="125">
        <f t="shared" si="13"/>
        <v>45764.759999998874</v>
      </c>
      <c r="O26" s="125">
        <f>Mar!CA27</f>
        <v>203.20000000003802</v>
      </c>
      <c r="P26" s="125">
        <f>Mar!CD27</f>
        <v>512.5</v>
      </c>
      <c r="Q26" s="125">
        <f>Mar!CF27</f>
        <v>476</v>
      </c>
      <c r="R26" s="125">
        <f>Mar!CH27</f>
        <v>297.80000000000291</v>
      </c>
      <c r="S26" s="125">
        <f>Mar!CK27</f>
        <v>5169.1800000003259</v>
      </c>
      <c r="T26" s="125">
        <f>Mar!CO27</f>
        <v>924.38000000004365</v>
      </c>
      <c r="U26" s="125">
        <f>Mar!CS27</f>
        <v>1322.380000000182</v>
      </c>
      <c r="V26" s="126">
        <f t="shared" si="5"/>
        <v>8905.4400000005917</v>
      </c>
      <c r="W26" s="126">
        <f>Mar!CW27</f>
        <v>489</v>
      </c>
      <c r="X26" s="126">
        <f>Mar!DA27</f>
        <v>159</v>
      </c>
      <c r="Y26" s="126">
        <f t="shared" si="1"/>
        <v>648</v>
      </c>
      <c r="Z26" s="42">
        <f>Mar!BR27</f>
        <v>800.00000000006821</v>
      </c>
      <c r="AA26" s="126">
        <f>Mar!BG27</f>
        <v>2299.9999999999545</v>
      </c>
      <c r="AB26" s="126">
        <f>Mar!BJ27</f>
        <v>9100.0000000003638</v>
      </c>
      <c r="AC26" s="126">
        <f>Mar!BL27+Mar!BN27+Mar!BP27</f>
        <v>4289.9999999999591</v>
      </c>
      <c r="AD26" s="126">
        <f>Mar!DR27</f>
        <v>9600</v>
      </c>
      <c r="AE26" s="127">
        <f>Mar!DT27-Mar!DR67-Mar!DT67</f>
        <v>17697</v>
      </c>
      <c r="AF26" s="127">
        <f>Mar!DR67+Mar!DT67</f>
        <v>102.99999999999976</v>
      </c>
      <c r="AG26" s="127">
        <f>Mar!HJ27-AE26</f>
        <v>61942.999999999869</v>
      </c>
      <c r="AH26" s="127">
        <f>Mar!DW27</f>
        <v>4500</v>
      </c>
      <c r="AI26" s="127">
        <f>Mar!DZ27</f>
        <v>7272.38</v>
      </c>
      <c r="AJ26" s="127">
        <f>Mar!EC27</f>
        <v>26432.38</v>
      </c>
      <c r="AK26" s="127">
        <f t="shared" si="6"/>
        <v>38204.76</v>
      </c>
      <c r="AL26" s="127">
        <f>Mar!EG27</f>
        <v>30432.38</v>
      </c>
      <c r="AM26" s="127">
        <f>Mar!EJ27</f>
        <v>10272.379999999999</v>
      </c>
      <c r="AN26" s="127">
        <f>Mar!EM27</f>
        <v>640.00000000010004</v>
      </c>
      <c r="AO26" s="127">
        <f t="shared" si="7"/>
        <v>41344.760000000104</v>
      </c>
      <c r="AP26" s="127">
        <f>Mar!FX27</f>
        <v>100</v>
      </c>
      <c r="AQ26" s="127">
        <f>Mar!GA27</f>
        <v>99.999999999909051</v>
      </c>
      <c r="AR26" s="127">
        <f>Mar!GG27</f>
        <v>389.99999999919055</v>
      </c>
      <c r="AS26" s="127">
        <f t="shared" si="8"/>
        <v>589.9999999990996</v>
      </c>
      <c r="AT26" s="127">
        <f>Mar!EQ27</f>
        <v>7817.3799999999865</v>
      </c>
      <c r="AU26" s="127">
        <f>Mar!ET27</f>
        <v>18200.000000000728</v>
      </c>
      <c r="AV26" s="127">
        <f>Mar!EW27</f>
        <v>9072.3799999997264</v>
      </c>
      <c r="AW26" s="127">
        <f>Mar!FL64</f>
        <v>13874.690522877865</v>
      </c>
      <c r="AX26" s="127">
        <f>Mar!GJ27</f>
        <v>1205.0000000000409</v>
      </c>
      <c r="AY26" s="127">
        <f t="shared" si="9"/>
        <v>50169.450522878346</v>
      </c>
      <c r="AZ26" s="127">
        <f>Mar!FG27</f>
        <v>12109.050000000012</v>
      </c>
      <c r="BA26" s="127">
        <f>Mar!FJ27</f>
        <v>19054.049999999635</v>
      </c>
      <c r="BB26" s="127">
        <f>Mar!FM64</f>
        <v>13051.739477122137</v>
      </c>
      <c r="BC26" s="127">
        <f>Mar!GM27</f>
        <v>1205.0000000000409</v>
      </c>
      <c r="BD26" s="127">
        <f t="shared" si="2"/>
        <v>45419.83947712183</v>
      </c>
      <c r="BE26" s="127">
        <f>Mar!GP27</f>
        <v>0</v>
      </c>
      <c r="BF26" s="127">
        <f>Mar!GS27</f>
        <v>0</v>
      </c>
      <c r="BG26" s="127">
        <f t="shared" si="10"/>
        <v>0</v>
      </c>
      <c r="BH26" s="127">
        <f t="shared" si="3"/>
        <v>648</v>
      </c>
      <c r="BI26" s="127"/>
      <c r="BJ26" s="127"/>
      <c r="BK26" s="127"/>
      <c r="BL26" s="128">
        <f t="shared" si="11"/>
        <v>589.9999999990996</v>
      </c>
      <c r="BM26" s="128"/>
      <c r="BN26" s="128"/>
      <c r="BO26" s="128"/>
      <c r="BP26" s="128"/>
      <c r="BQ26" s="128"/>
      <c r="BR26" s="128"/>
      <c r="BS26" s="128"/>
      <c r="BT26" s="42">
        <f>Mar!D65</f>
        <v>0</v>
      </c>
      <c r="BU26" s="42">
        <f>Mar!G65</f>
        <v>86000</v>
      </c>
      <c r="BV26" t="s">
        <v>305</v>
      </c>
      <c r="BX26" s="42">
        <f>Mar!HJ27</f>
        <v>79639.999999999869</v>
      </c>
      <c r="BY26" s="42">
        <f>Mar!HM27</f>
        <v>0</v>
      </c>
      <c r="BZ26" s="42">
        <f>Mar!HP27</f>
        <v>26849.999999999869</v>
      </c>
      <c r="CA26" s="42">
        <f>Mar!HS27</f>
        <v>20459.999999999924</v>
      </c>
      <c r="CB26" s="42">
        <f>Mar!HV27</f>
        <v>14530.000000000087</v>
      </c>
      <c r="CC26" s="42">
        <f>Mar!HY27</f>
        <v>17800</v>
      </c>
    </row>
    <row r="27" spans="1:81" x14ac:dyDescent="0.25">
      <c r="A27" s="26">
        <f t="shared" si="12"/>
        <v>21</v>
      </c>
      <c r="B27" s="42">
        <f>Mar!G28</f>
        <v>255039.99999999724</v>
      </c>
      <c r="C27" s="42">
        <f>Mar!N28</f>
        <v>255000</v>
      </c>
      <c r="D27" s="42">
        <f>Mar!T28</f>
        <v>0</v>
      </c>
      <c r="E27" s="42">
        <f>Mar!V28</f>
        <v>0</v>
      </c>
      <c r="F27" s="42">
        <f>Mar!AB28</f>
        <v>5700</v>
      </c>
      <c r="G27" s="42">
        <f>Mar!X28</f>
        <v>8300</v>
      </c>
      <c r="H27" s="42">
        <f>Mar!AE28</f>
        <v>5300.0000000001819</v>
      </c>
      <c r="I27" s="42">
        <f>Mar!AI28</f>
        <v>13433.11</v>
      </c>
      <c r="J27" s="42">
        <f>Mar!AN28</f>
        <v>6113.1099999992184</v>
      </c>
      <c r="K27" s="42">
        <f>Mar!AR28</f>
        <v>9500</v>
      </c>
      <c r="L27" s="42">
        <f>Mar!AZ28</f>
        <v>450</v>
      </c>
      <c r="M27" s="42">
        <f>Mar!BC28</f>
        <v>690</v>
      </c>
      <c r="N27" s="125">
        <f t="shared" si="13"/>
        <v>49486.219999999405</v>
      </c>
      <c r="O27" s="125">
        <f>Mar!CA28</f>
        <v>682.99999999999272</v>
      </c>
      <c r="P27" s="125">
        <f>Mar!CD28</f>
        <v>4482.7000000000116</v>
      </c>
      <c r="Q27" s="125">
        <f>Mar!CF28</f>
        <v>5639</v>
      </c>
      <c r="R27" s="125">
        <f>Mar!CH28</f>
        <v>1343.7000000000044</v>
      </c>
      <c r="S27" s="125">
        <f>Mar!CK28</f>
        <v>18900.109999999644</v>
      </c>
      <c r="T27" s="125">
        <f>Mar!CO28</f>
        <v>6927.1100000001416</v>
      </c>
      <c r="U27" s="125">
        <f>Mar!CS28</f>
        <v>7371.1099999996468</v>
      </c>
      <c r="V27" s="126">
        <f t="shared" si="5"/>
        <v>45346.729999999436</v>
      </c>
      <c r="W27" s="126">
        <f>Mar!CW28</f>
        <v>473</v>
      </c>
      <c r="X27" s="126">
        <f>Mar!DA28</f>
        <v>163</v>
      </c>
      <c r="Y27" s="126">
        <f t="shared" si="1"/>
        <v>636</v>
      </c>
      <c r="Z27" s="42">
        <f>Mar!BR28</f>
        <v>799.99999999995453</v>
      </c>
      <c r="AA27" s="126">
        <f>Mar!BG28</f>
        <v>2800.0000000001819</v>
      </c>
      <c r="AB27" s="126">
        <f>Mar!BJ28</f>
        <v>10000</v>
      </c>
      <c r="AC27" s="126">
        <f>Mar!BL28+Mar!BN28+Mar!BP28</f>
        <v>4320.0000000001</v>
      </c>
      <c r="AD27" s="126">
        <f>Mar!DR28</f>
        <v>8600</v>
      </c>
      <c r="AE27" s="127">
        <f>Mar!DT28-Mar!DR68-Mar!DT68</f>
        <v>19005</v>
      </c>
      <c r="AF27" s="127">
        <f>Mar!DR68+Mar!DT68</f>
        <v>95.000000000000639</v>
      </c>
      <c r="AG27" s="127">
        <f>Mar!HJ28-AE27</f>
        <v>62995</v>
      </c>
      <c r="AH27" s="127">
        <f>Mar!DW28</f>
        <v>4199.9999999998181</v>
      </c>
      <c r="AI27" s="127">
        <f>Mar!DZ28</f>
        <v>5933.11</v>
      </c>
      <c r="AJ27" s="127">
        <f>Mar!EC28</f>
        <v>26093.11</v>
      </c>
      <c r="AK27" s="127">
        <f t="shared" si="6"/>
        <v>36226.219999999819</v>
      </c>
      <c r="AL27" s="127">
        <f>Mar!EG28</f>
        <v>31093.11</v>
      </c>
      <c r="AM27" s="127">
        <f>Mar!EJ28</f>
        <v>10933.11</v>
      </c>
      <c r="AN27" s="127">
        <f>Mar!EM28</f>
        <v>649.99999999997726</v>
      </c>
      <c r="AO27" s="127">
        <f t="shared" si="7"/>
        <v>42676.219999999979</v>
      </c>
      <c r="AP27" s="127">
        <f>Mar!FX28</f>
        <v>800</v>
      </c>
      <c r="AQ27" s="127">
        <f>Mar!GA28</f>
        <v>170.00000000027285</v>
      </c>
      <c r="AR27" s="127">
        <f>Mar!GG28</f>
        <v>610.00000000080945</v>
      </c>
      <c r="AS27" s="127">
        <f t="shared" si="8"/>
        <v>1580.0000000010823</v>
      </c>
      <c r="AT27" s="127">
        <f>Mar!EQ28</f>
        <v>7758.1099999999897</v>
      </c>
      <c r="AU27" s="127">
        <f>Mar!ET28</f>
        <v>18199.999999998909</v>
      </c>
      <c r="AV27" s="127">
        <f>Mar!EW28</f>
        <v>8633.1100000002734</v>
      </c>
      <c r="AW27" s="127">
        <f>Mar!FL65</f>
        <v>11724.627318008488</v>
      </c>
      <c r="AX27" s="127">
        <f>Mar!GJ28</f>
        <v>1699.9999999998181</v>
      </c>
      <c r="AY27" s="127">
        <f t="shared" si="9"/>
        <v>48015.84731800748</v>
      </c>
      <c r="AZ27" s="127">
        <f>Mar!FG28</f>
        <v>10683.110000000011</v>
      </c>
      <c r="BA27" s="127">
        <f>Mar!FJ28</f>
        <v>14608.110000000364</v>
      </c>
      <c r="BB27" s="127">
        <f>Mar!FM65</f>
        <v>10716.592681991515</v>
      </c>
      <c r="BC27" s="127">
        <f>Mar!GM28</f>
        <v>1390.0000000001</v>
      </c>
      <c r="BD27" s="127">
        <f t="shared" si="2"/>
        <v>37397.812681991993</v>
      </c>
      <c r="BE27" s="127">
        <f>Mar!GP28</f>
        <v>30</v>
      </c>
      <c r="BF27" s="127">
        <f>Mar!GS28</f>
        <v>30</v>
      </c>
      <c r="BG27" s="127">
        <f t="shared" si="10"/>
        <v>60</v>
      </c>
      <c r="BH27" s="127">
        <f t="shared" si="3"/>
        <v>636</v>
      </c>
      <c r="BI27" s="127"/>
      <c r="BJ27" s="127"/>
      <c r="BK27" s="127"/>
      <c r="BL27" s="128">
        <f t="shared" si="11"/>
        <v>1640.0000000010823</v>
      </c>
      <c r="BM27" s="128"/>
      <c r="BN27" s="128"/>
      <c r="BO27" s="128"/>
      <c r="BP27" s="128"/>
      <c r="BQ27" s="128"/>
      <c r="BR27" s="128"/>
      <c r="BS27" s="128"/>
      <c r="BT27" s="42">
        <f>Mar!D66</f>
        <v>0</v>
      </c>
      <c r="BU27" s="42">
        <f>Mar!G66</f>
        <v>115000</v>
      </c>
      <c r="BV27" t="s">
        <v>305</v>
      </c>
      <c r="BX27" s="42">
        <f>Mar!HJ28</f>
        <v>82000</v>
      </c>
      <c r="BY27" s="42">
        <f>Mar!HM28</f>
        <v>0</v>
      </c>
      <c r="BZ27" s="42">
        <f>Mar!HP28</f>
        <v>26860.000000000131</v>
      </c>
      <c r="CA27" s="42">
        <f>Mar!HS28</f>
        <v>19480.000000000018</v>
      </c>
      <c r="CB27" s="42">
        <f>Mar!HV28</f>
        <v>16559.999999999945</v>
      </c>
      <c r="CC27" s="42">
        <f>Mar!HY28</f>
        <v>19100</v>
      </c>
    </row>
    <row r="28" spans="1:81" x14ac:dyDescent="0.25">
      <c r="A28" s="26">
        <f t="shared" si="12"/>
        <v>22</v>
      </c>
      <c r="B28" s="42">
        <f>Mar!G29</f>
        <v>248319.99999999971</v>
      </c>
      <c r="C28" s="42">
        <f>Mar!N29</f>
        <v>246000</v>
      </c>
      <c r="D28" s="42">
        <f>Mar!T29</f>
        <v>0</v>
      </c>
      <c r="E28" s="42">
        <f>Mar!V29</f>
        <v>0</v>
      </c>
      <c r="F28" s="42">
        <f>Mar!AB29</f>
        <v>4100</v>
      </c>
      <c r="G28" s="42">
        <f>Mar!X29</f>
        <v>7900</v>
      </c>
      <c r="H28" s="42">
        <f>Mar!AE29</f>
        <v>6199.9999999998181</v>
      </c>
      <c r="I28" s="42">
        <f>Mar!AI29</f>
        <v>13035.87</v>
      </c>
      <c r="J28" s="42">
        <f>Mar!AN29</f>
        <v>6085.8700000000508</v>
      </c>
      <c r="K28" s="42">
        <f>Mar!AR29</f>
        <v>12600.000000000364</v>
      </c>
      <c r="L28" s="42">
        <f>Mar!AZ29</f>
        <v>440</v>
      </c>
      <c r="M28" s="42">
        <f>Mar!BC29</f>
        <v>690</v>
      </c>
      <c r="N28" s="125">
        <f t="shared" si="13"/>
        <v>51051.740000000238</v>
      </c>
      <c r="O28" s="125">
        <f>Mar!CA29</f>
        <v>754.099999999994</v>
      </c>
      <c r="P28" s="125">
        <f>Mar!CD29</f>
        <v>3818.5000000000582</v>
      </c>
      <c r="Q28" s="125">
        <f>Mar!CF29</f>
        <v>6187.4000000000233</v>
      </c>
      <c r="R28" s="125">
        <f>Mar!CH29</f>
        <v>1776.0999999999913</v>
      </c>
      <c r="S28" s="125">
        <f>Mar!CK29</f>
        <v>20011.770000001387</v>
      </c>
      <c r="T28" s="125">
        <f>Mar!CO29</f>
        <v>8152.8700000001891</v>
      </c>
      <c r="U28" s="125">
        <f>Mar!CS29</f>
        <v>7767.8699999999708</v>
      </c>
      <c r="V28" s="126">
        <f t="shared" si="5"/>
        <v>48468.610000001616</v>
      </c>
      <c r="W28" s="126">
        <f>Mar!CW29</f>
        <v>521</v>
      </c>
      <c r="X28" s="126">
        <f>Mar!DA29</f>
        <v>158</v>
      </c>
      <c r="Y28" s="126">
        <f t="shared" si="1"/>
        <v>679</v>
      </c>
      <c r="Z28" s="42">
        <f>Mar!BR29</f>
        <v>500</v>
      </c>
      <c r="AA28" s="126">
        <f>Mar!BG29</f>
        <v>2799.9999999999545</v>
      </c>
      <c r="AB28" s="126">
        <f>Mar!BJ29</f>
        <v>10899.999999999636</v>
      </c>
      <c r="AC28" s="126">
        <f>Mar!BL29+Mar!BN29+Mar!BP29</f>
        <v>4449.99999999995</v>
      </c>
      <c r="AD28" s="126">
        <f>Mar!DR29</f>
        <v>7900</v>
      </c>
      <c r="AE28" s="127">
        <f>Mar!DT29-Mar!DR69-Mar!DT69</f>
        <v>18848.000000000007</v>
      </c>
      <c r="AF28" s="127">
        <f>Mar!DR69+Mar!DT69</f>
        <v>51.999999999994273</v>
      </c>
      <c r="AG28" s="127">
        <f>Mar!HJ29-AE28</f>
        <v>53851.999999999818</v>
      </c>
      <c r="AH28" s="127">
        <f>Mar!DW29</f>
        <v>4500</v>
      </c>
      <c r="AI28" s="127">
        <f>Mar!DZ29</f>
        <v>6035.87</v>
      </c>
      <c r="AJ28" s="127">
        <f>Mar!EC29</f>
        <v>27195.87</v>
      </c>
      <c r="AK28" s="127">
        <f t="shared" si="6"/>
        <v>37731.74</v>
      </c>
      <c r="AL28" s="127">
        <f>Mar!EG29</f>
        <v>34195.869999999995</v>
      </c>
      <c r="AM28" s="127">
        <f>Mar!EJ29</f>
        <v>13035.87</v>
      </c>
      <c r="AN28" s="127">
        <f>Mar!EM29</f>
        <v>620.00000000000455</v>
      </c>
      <c r="AO28" s="127">
        <f t="shared" si="7"/>
        <v>47851.740000000005</v>
      </c>
      <c r="AP28" s="127">
        <f>Mar!FX29</f>
        <v>700</v>
      </c>
      <c r="AQ28" s="127">
        <f>Mar!GA29</f>
        <v>99.999999999636202</v>
      </c>
      <c r="AR28" s="127">
        <f>Mar!GG29</f>
        <v>2299.9999999994998</v>
      </c>
      <c r="AS28" s="127">
        <f t="shared" si="8"/>
        <v>3099.999999999136</v>
      </c>
      <c r="AT28" s="127">
        <f>Mar!EQ29</f>
        <v>8705.8700000000172</v>
      </c>
      <c r="AU28" s="127">
        <f>Mar!ET29</f>
        <v>18800.000000001091</v>
      </c>
      <c r="AV28" s="127">
        <f>Mar!EW29</f>
        <v>9135.8699999999099</v>
      </c>
      <c r="AW28" s="127">
        <f>Mar!FL66</f>
        <v>13145.988683887366</v>
      </c>
      <c r="AX28" s="127">
        <f>Mar!GJ29</f>
        <v>2200.0000000000455</v>
      </c>
      <c r="AY28" s="127">
        <f t="shared" si="9"/>
        <v>51987.728683888425</v>
      </c>
      <c r="AZ28" s="127">
        <f>Mar!FG29</f>
        <v>10455.869999999984</v>
      </c>
      <c r="BA28" s="127">
        <f>Mar!FJ29</f>
        <v>15525.869999999637</v>
      </c>
      <c r="BB28" s="127">
        <f>Mar!FM66</f>
        <v>12015.751316112634</v>
      </c>
      <c r="BC28" s="127">
        <f>Mar!GM29</f>
        <v>1900.0000000000909</v>
      </c>
      <c r="BD28" s="127">
        <f t="shared" si="2"/>
        <v>39897.49131611234</v>
      </c>
      <c r="BE28" s="127">
        <f>Mar!GP29</f>
        <v>1950</v>
      </c>
      <c r="BF28" s="127">
        <f>Mar!GS29</f>
        <v>300</v>
      </c>
      <c r="BG28" s="127">
        <f t="shared" si="10"/>
        <v>2250</v>
      </c>
      <c r="BH28" s="127">
        <f t="shared" si="3"/>
        <v>679</v>
      </c>
      <c r="BI28" s="127"/>
      <c r="BJ28" s="127"/>
      <c r="BK28" s="127"/>
      <c r="BL28" s="128"/>
      <c r="BM28" s="128"/>
      <c r="BN28" s="128"/>
      <c r="BO28" s="128"/>
      <c r="BP28" s="128"/>
      <c r="BQ28" s="128">
        <f>Mar!GP29+Mar!GS29+AS28</f>
        <v>5349.999999999136</v>
      </c>
      <c r="BR28" s="128"/>
      <c r="BS28" s="128"/>
      <c r="BT28" s="42">
        <f>Mar!D67</f>
        <v>0</v>
      </c>
      <c r="BU28" s="42">
        <f>Mar!G67</f>
        <v>134000</v>
      </c>
      <c r="BV28" t="s">
        <v>311</v>
      </c>
      <c r="BX28" s="42">
        <f>Mar!HJ29</f>
        <v>72699.999999999825</v>
      </c>
      <c r="BY28" s="42">
        <f>Mar!HM29</f>
        <v>0</v>
      </c>
      <c r="BZ28" s="42">
        <f>Mar!HP29</f>
        <v>19099.999999999854</v>
      </c>
      <c r="CA28" s="42">
        <f>Mar!HS29</f>
        <v>22899.999999999978</v>
      </c>
      <c r="CB28" s="42">
        <f>Mar!HV29</f>
        <v>11799.999999999955</v>
      </c>
      <c r="CC28" s="42">
        <f>Mar!HY29</f>
        <v>18900</v>
      </c>
    </row>
    <row r="29" spans="1:81" x14ac:dyDescent="0.25">
      <c r="A29" s="26">
        <f t="shared" si="12"/>
        <v>23</v>
      </c>
      <c r="B29" s="42">
        <f>Mar!G30</f>
        <v>245119.99999999898</v>
      </c>
      <c r="C29" s="42">
        <f>Mar!N30</f>
        <v>243000</v>
      </c>
      <c r="D29" s="42">
        <f>Mar!T30</f>
        <v>0</v>
      </c>
      <c r="E29" s="42">
        <f>Mar!V30</f>
        <v>0</v>
      </c>
      <c r="F29" s="42">
        <f>Mar!AB30</f>
        <v>5100</v>
      </c>
      <c r="G29" s="42">
        <f>Mar!X30</f>
        <v>9100.0000000007276</v>
      </c>
      <c r="H29" s="42">
        <f>Mar!AE30</f>
        <v>8100.0000000003638</v>
      </c>
      <c r="I29" s="42">
        <f>Mar!AI30</f>
        <v>17711.91</v>
      </c>
      <c r="J29" s="42">
        <f>Mar!AN30</f>
        <v>7731.9099999996633</v>
      </c>
      <c r="K29" s="42">
        <f>Mar!AR30</f>
        <v>10699.999999999818</v>
      </c>
      <c r="L29" s="42">
        <f>Mar!AZ30</f>
        <v>430</v>
      </c>
      <c r="M29" s="42">
        <f>Mar!BC30</f>
        <v>600</v>
      </c>
      <c r="N29" s="125">
        <f t="shared" si="13"/>
        <v>59473.820000000575</v>
      </c>
      <c r="O29" s="125">
        <f>Mar!CA30</f>
        <v>532.50000000002728</v>
      </c>
      <c r="P29" s="125">
        <f>Mar!CD30</f>
        <v>1422</v>
      </c>
      <c r="Q29" s="125">
        <f>Mar!CF30</f>
        <v>3123.7999999999302</v>
      </c>
      <c r="R29" s="125">
        <f>Mar!CH30</f>
        <v>1226.5</v>
      </c>
      <c r="S29" s="125">
        <f>Mar!CK30</f>
        <v>12989.409999999463</v>
      </c>
      <c r="T29" s="125">
        <f>Mar!CO30</f>
        <v>4926.9099999996906</v>
      </c>
      <c r="U29" s="125">
        <f>Mar!CS30</f>
        <v>4568.9099999999708</v>
      </c>
      <c r="V29" s="126">
        <f t="shared" si="5"/>
        <v>28790.029999999082</v>
      </c>
      <c r="W29" s="126">
        <f>Mar!CW30</f>
        <v>547</v>
      </c>
      <c r="X29" s="126">
        <f>Mar!DA30</f>
        <v>178</v>
      </c>
      <c r="Y29" s="126">
        <f t="shared" si="1"/>
        <v>725</v>
      </c>
      <c r="Z29" s="42">
        <f>Mar!BR30</f>
        <v>299.99999999995453</v>
      </c>
      <c r="AA29" s="126">
        <f>Mar!BG30</f>
        <v>2799.9999999999545</v>
      </c>
      <c r="AB29" s="126">
        <f>Mar!BJ30</f>
        <v>9699.9999999989086</v>
      </c>
      <c r="AC29" s="126">
        <f>Mar!BL30+Mar!BN30+Mar!BP30</f>
        <v>4580.0000000000182</v>
      </c>
      <c r="AD29" s="126">
        <f>Mar!DR30</f>
        <v>7700</v>
      </c>
      <c r="AE29" s="127">
        <f>Mar!DT30-Mar!DR70-Mar!DT70</f>
        <v>17182.999999999996</v>
      </c>
      <c r="AF29" s="127">
        <f>Mar!DR70+Mar!DT70</f>
        <v>17.000000000004789</v>
      </c>
      <c r="AG29" s="127">
        <f>Mar!HJ30-AE29</f>
        <v>61417.000000000364</v>
      </c>
      <c r="AH29" s="127">
        <f>Mar!DW30</f>
        <v>4300.0000000001819</v>
      </c>
      <c r="AI29" s="127">
        <f>Mar!DZ30</f>
        <v>6711.91</v>
      </c>
      <c r="AJ29" s="127">
        <f>Mar!EC30</f>
        <v>25871.91</v>
      </c>
      <c r="AK29" s="127">
        <f t="shared" si="6"/>
        <v>36883.820000000182</v>
      </c>
      <c r="AL29" s="127">
        <f>Mar!EG30</f>
        <v>34871.910000000003</v>
      </c>
      <c r="AM29" s="127">
        <f>Mar!EJ30</f>
        <v>12711.91</v>
      </c>
      <c r="AN29" s="127">
        <f>Mar!EM30</f>
        <v>620.00000000000455</v>
      </c>
      <c r="AO29" s="127">
        <f t="shared" ref="AO29:AO37" si="14">SUM(AL29:AN29)</f>
        <v>48203.820000000014</v>
      </c>
      <c r="AP29" s="127">
        <f>Mar!FX30</f>
        <v>800</v>
      </c>
      <c r="AQ29" s="127">
        <f>Mar!GA30</f>
        <v>190.0000000003638</v>
      </c>
      <c r="AR29" s="127">
        <f>Mar!GG30</f>
        <v>1899.9999999996362</v>
      </c>
      <c r="AS29" s="127">
        <f t="shared" si="8"/>
        <v>2890</v>
      </c>
      <c r="AT29" s="127">
        <f>Mar!EQ30</f>
        <v>7596.9099999999908</v>
      </c>
      <c r="AU29" s="127">
        <f>Mar!ET30</f>
        <v>18099.999999998545</v>
      </c>
      <c r="AV29" s="127">
        <f>Mar!EW30</f>
        <v>9111.9100000000908</v>
      </c>
      <c r="AW29" s="127">
        <f>Mar!FL67</f>
        <v>14952.172777646119</v>
      </c>
      <c r="AX29" s="127">
        <f>Mar!GJ30</f>
        <v>1600.0000000001364</v>
      </c>
      <c r="AY29" s="127">
        <f t="shared" si="9"/>
        <v>51360.992777644882</v>
      </c>
      <c r="AZ29" s="127">
        <f>Mar!FG30</f>
        <v>12021.910000000009</v>
      </c>
      <c r="BA29" s="127">
        <f>Mar!FJ30</f>
        <v>20206.910000000182</v>
      </c>
      <c r="BB29" s="127">
        <f>Mar!FM67</f>
        <v>13666.647222353882</v>
      </c>
      <c r="BC29" s="127">
        <f>Mar!GM30</f>
        <v>1399.9999999998636</v>
      </c>
      <c r="BD29" s="127">
        <f t="shared" si="2"/>
        <v>47295.467222353931</v>
      </c>
      <c r="BE29" s="127">
        <f>Mar!GP30</f>
        <v>1390</v>
      </c>
      <c r="BF29" s="127">
        <f>Mar!GS30</f>
        <v>410</v>
      </c>
      <c r="BG29" s="127">
        <f t="shared" si="10"/>
        <v>1800</v>
      </c>
      <c r="BH29" s="127">
        <f t="shared" si="3"/>
        <v>725</v>
      </c>
      <c r="BI29" s="127"/>
      <c r="BJ29" s="127"/>
      <c r="BK29" s="127"/>
      <c r="BL29" s="128"/>
      <c r="BM29" s="128"/>
      <c r="BN29" s="128"/>
      <c r="BO29" s="128"/>
      <c r="BP29" s="128"/>
      <c r="BQ29" s="128">
        <f>Mar!GP30+Mar!GS30+AS29</f>
        <v>4690</v>
      </c>
      <c r="BR29" s="128"/>
      <c r="BS29" s="128"/>
      <c r="BT29" s="42">
        <f>Mar!D68</f>
        <v>0</v>
      </c>
      <c r="BU29" s="42">
        <f>Mar!G68</f>
        <v>136000</v>
      </c>
      <c r="BV29" t="s">
        <v>311</v>
      </c>
      <c r="BX29" s="42">
        <f>Mar!HJ30</f>
        <v>78600.000000000364</v>
      </c>
      <c r="BY29" s="42">
        <f>Mar!HM30</f>
        <v>0</v>
      </c>
      <c r="BZ29" s="42">
        <f>Mar!HP30</f>
        <v>28049.999999999913</v>
      </c>
      <c r="CA29" s="42">
        <f>Mar!HS30</f>
        <v>21550.000000000069</v>
      </c>
      <c r="CB29" s="42">
        <f>Mar!HV30</f>
        <v>11800.000000000069</v>
      </c>
      <c r="CC29" s="42">
        <f>Mar!HY30</f>
        <v>17200</v>
      </c>
    </row>
    <row r="30" spans="1:81" x14ac:dyDescent="0.25">
      <c r="A30" s="26">
        <f t="shared" si="12"/>
        <v>24</v>
      </c>
      <c r="B30" s="42">
        <f>Mar!G31</f>
        <v>237440.00000000597</v>
      </c>
      <c r="C30" s="42">
        <f>Mar!N31</f>
        <v>235000</v>
      </c>
      <c r="D30" s="42">
        <f>Mar!T31</f>
        <v>0</v>
      </c>
      <c r="E30" s="42">
        <f>Mar!V31</f>
        <v>0</v>
      </c>
      <c r="F30" s="42">
        <f>Mar!AB31</f>
        <v>4800</v>
      </c>
      <c r="G30" s="42">
        <f>Mar!X31</f>
        <v>7999.9999999992724</v>
      </c>
      <c r="H30" s="42">
        <f>Mar!AE31</f>
        <v>7500</v>
      </c>
      <c r="I30" s="42">
        <f>Mar!AI31</f>
        <v>15778.050000000909</v>
      </c>
      <c r="J30" s="42">
        <f>Mar!AN31</f>
        <v>4648.050000000304</v>
      </c>
      <c r="K30" s="42">
        <f>Mar!AR31</f>
        <v>8199.9999999998181</v>
      </c>
      <c r="L30" s="42">
        <f>Mar!AZ31</f>
        <v>40</v>
      </c>
      <c r="M30" s="42">
        <f>Mar!BC31</f>
        <v>380</v>
      </c>
      <c r="N30" s="125">
        <f t="shared" si="13"/>
        <v>49346.100000000297</v>
      </c>
      <c r="O30" s="125">
        <f>Mar!CA31</f>
        <v>613.59999999996262</v>
      </c>
      <c r="P30" s="125">
        <f>Mar!CD31</f>
        <v>2705.2999999999302</v>
      </c>
      <c r="Q30" s="125">
        <f>Mar!CF31</f>
        <v>4998.9000000000233</v>
      </c>
      <c r="R30" s="125">
        <f>Mar!CH31</f>
        <v>255.10000000000582</v>
      </c>
      <c r="S30" s="125">
        <f>Mar!CK31</f>
        <v>18284.450000000837</v>
      </c>
      <c r="T30" s="125">
        <f>Mar!CO31</f>
        <v>6555.0500000000438</v>
      </c>
      <c r="U30" s="125">
        <f>Mar!CS31</f>
        <v>5778.05</v>
      </c>
      <c r="V30" s="126">
        <f t="shared" si="5"/>
        <v>39190.450000000805</v>
      </c>
      <c r="W30" s="126">
        <f>Mar!CW31</f>
        <v>504</v>
      </c>
      <c r="X30" s="126">
        <f>Mar!DA31</f>
        <v>179</v>
      </c>
      <c r="Y30" s="126">
        <f t="shared" si="1"/>
        <v>683</v>
      </c>
      <c r="Z30" s="42">
        <f>Mar!BR31</f>
        <v>700.00000000004547</v>
      </c>
      <c r="AA30" s="126">
        <f>Mar!BG31</f>
        <v>2599.9999999999091</v>
      </c>
      <c r="AB30" s="126">
        <f>Mar!BJ31</f>
        <v>10100.000000000364</v>
      </c>
      <c r="AC30" s="126">
        <f>Mar!BL31+Mar!BN31+Mar!BP31</f>
        <v>4030.0000000000136</v>
      </c>
      <c r="AD30" s="126">
        <f>Mar!DR31</f>
        <v>8300</v>
      </c>
      <c r="AE30" s="127">
        <f>Mar!DT31-Mar!DR71-Mar!DT71</f>
        <v>17239.999999999996</v>
      </c>
      <c r="AF30" s="127">
        <f>Mar!DR71+Mar!DT71</f>
        <v>60.000000000002274</v>
      </c>
      <c r="AG30" s="127">
        <f>Mar!HJ31-AE30</f>
        <v>68260</v>
      </c>
      <c r="AH30" s="127">
        <f>Mar!DW31</f>
        <v>4399.9999999996362</v>
      </c>
      <c r="AI30" s="127">
        <f>Mar!DZ31</f>
        <v>5278.05</v>
      </c>
      <c r="AJ30" s="127">
        <f>Mar!EC31</f>
        <v>25438.05</v>
      </c>
      <c r="AK30" s="127">
        <f t="shared" si="6"/>
        <v>35116.099999999635</v>
      </c>
      <c r="AL30" s="127">
        <f>Mar!EG31</f>
        <v>30438.05</v>
      </c>
      <c r="AM30" s="127">
        <f>Mar!EJ31</f>
        <v>11278.05</v>
      </c>
      <c r="AN30" s="127">
        <f>Mar!EM31</f>
        <v>620.00000000000455</v>
      </c>
      <c r="AO30" s="127">
        <f t="shared" si="14"/>
        <v>42336.100000000006</v>
      </c>
      <c r="AP30" s="127">
        <f>Mar!FX31</f>
        <v>1100</v>
      </c>
      <c r="AQ30" s="127">
        <f>Mar!GA31</f>
        <v>139.99999999990905</v>
      </c>
      <c r="AR30" s="127">
        <f>Mar!GG31</f>
        <v>3300.0000000006366</v>
      </c>
      <c r="AS30" s="127">
        <f t="shared" si="8"/>
        <v>4540.0000000005457</v>
      </c>
      <c r="AT30" s="127">
        <f>Mar!EQ31</f>
        <v>7128.050000000022</v>
      </c>
      <c r="AU30" s="127">
        <f>Mar!ET31</f>
        <v>16200.000000000728</v>
      </c>
      <c r="AV30" s="127">
        <f>Mar!EW31</f>
        <v>7778.05</v>
      </c>
      <c r="AW30" s="127">
        <f>Mar!FL68</f>
        <v>12681.537912187343</v>
      </c>
      <c r="AX30" s="127">
        <f>Mar!GJ31</f>
        <v>1799.9999999999545</v>
      </c>
      <c r="AY30" s="127">
        <f t="shared" si="9"/>
        <v>45587.637912188045</v>
      </c>
      <c r="AZ30" s="127">
        <f>Mar!FG31</f>
        <v>11144.719999999976</v>
      </c>
      <c r="BA30" s="127">
        <f>Mar!FJ31</f>
        <v>18694.719999999816</v>
      </c>
      <c r="BB30" s="127">
        <f>Mar!FM68</f>
        <v>11591.232087812656</v>
      </c>
      <c r="BC30" s="127">
        <f>Mar!GM31</f>
        <v>1600.0000000001364</v>
      </c>
      <c r="BD30" s="127">
        <f t="shared" si="2"/>
        <v>43030.672087812585</v>
      </c>
      <c r="BE30" s="127">
        <f>Mar!GP31</f>
        <v>2860</v>
      </c>
      <c r="BF30" s="127">
        <f>Mar!GS31</f>
        <v>460</v>
      </c>
      <c r="BG30" s="127">
        <f t="shared" si="10"/>
        <v>3320</v>
      </c>
      <c r="BH30" s="127">
        <f t="shared" si="3"/>
        <v>683</v>
      </c>
      <c r="BI30" s="127"/>
      <c r="BJ30" s="127"/>
      <c r="BK30" s="127"/>
      <c r="BL30" s="128"/>
      <c r="BM30" s="128"/>
      <c r="BN30" s="128"/>
      <c r="BO30" s="128"/>
      <c r="BP30" s="128"/>
      <c r="BQ30" s="128">
        <f>Mar!GP31+Mar!GS31+AS30</f>
        <v>7860.0000000005457</v>
      </c>
      <c r="BR30" s="128"/>
      <c r="BS30" s="128"/>
      <c r="BT30" s="42">
        <f>Mar!D69</f>
        <v>0</v>
      </c>
      <c r="BU30" s="42">
        <f>Mar!G69</f>
        <v>137000</v>
      </c>
      <c r="BV30" t="s">
        <v>311</v>
      </c>
      <c r="BX30" s="42">
        <f>Mar!HJ31</f>
        <v>85500</v>
      </c>
      <c r="BY30" s="42">
        <f>Mar!HM31</f>
        <v>0</v>
      </c>
      <c r="BZ30" s="42">
        <f>Mar!HP31</f>
        <v>26430.000000000182</v>
      </c>
      <c r="CA30" s="42">
        <f>Mar!HS31</f>
        <v>23800.000000000069</v>
      </c>
      <c r="CB30" s="42">
        <f>Mar!HV31</f>
        <v>17970.000000000029</v>
      </c>
      <c r="CC30" s="42">
        <f>Mar!HY31</f>
        <v>17300</v>
      </c>
    </row>
    <row r="31" spans="1:81" x14ac:dyDescent="0.25">
      <c r="A31" s="26">
        <f t="shared" si="12"/>
        <v>25</v>
      </c>
      <c r="B31" s="42">
        <f>Mar!G32</f>
        <v>222079.99999999447</v>
      </c>
      <c r="C31" s="42">
        <f>Mar!N32</f>
        <v>220000</v>
      </c>
      <c r="D31" s="42">
        <f>Mar!T32</f>
        <v>0</v>
      </c>
      <c r="E31" s="42">
        <f>Mar!V32</f>
        <v>0</v>
      </c>
      <c r="F31" s="42">
        <f>Mar!AB32</f>
        <v>4500</v>
      </c>
      <c r="G31" s="42">
        <f>Mar!X32</f>
        <v>7500</v>
      </c>
      <c r="H31" s="42">
        <f>Mar!AE32</f>
        <v>7199.9999999998181</v>
      </c>
      <c r="I31" s="42">
        <f>Mar!AI32</f>
        <v>14579.549999999635</v>
      </c>
      <c r="J31" s="42">
        <f>Mar!AN32</f>
        <v>4729.5500000003403</v>
      </c>
      <c r="K31" s="42">
        <f>Mar!AR32</f>
        <v>8500</v>
      </c>
      <c r="L31" s="42">
        <f>Mar!AZ32</f>
        <v>70</v>
      </c>
      <c r="M31" s="42">
        <f>Mar!BC32</f>
        <v>240</v>
      </c>
      <c r="N31" s="125">
        <f t="shared" si="13"/>
        <v>47319.099999999788</v>
      </c>
      <c r="O31" s="125">
        <f>Mar!CA32</f>
        <v>721.10000000003538</v>
      </c>
      <c r="P31" s="125">
        <f>Mar!CD32</f>
        <v>2806.5999999999767</v>
      </c>
      <c r="Q31" s="125">
        <f>Mar!CF32</f>
        <v>5733.1999999999534</v>
      </c>
      <c r="R31" s="125">
        <f>Mar!CH32</f>
        <v>0</v>
      </c>
      <c r="S31" s="125">
        <f>Mar!CK32</f>
        <v>20968.449999998364</v>
      </c>
      <c r="T31" s="125">
        <f>Mar!CO32</f>
        <v>8244.5500000000538</v>
      </c>
      <c r="U31" s="125">
        <f>Mar!CS32</f>
        <v>7269.5500000001457</v>
      </c>
      <c r="V31" s="126">
        <f t="shared" si="5"/>
        <v>45743.449999998527</v>
      </c>
      <c r="W31" s="126">
        <f>Mar!CW32</f>
        <v>563</v>
      </c>
      <c r="X31" s="126">
        <f>Mar!DA32</f>
        <v>190</v>
      </c>
      <c r="Y31" s="126">
        <f t="shared" si="1"/>
        <v>753</v>
      </c>
      <c r="Z31" s="42">
        <f>Mar!BR32</f>
        <v>700.00000000004547</v>
      </c>
      <c r="AA31" s="126">
        <f>Mar!BG32</f>
        <v>2700.0000000000455</v>
      </c>
      <c r="AB31" s="126">
        <f>Mar!BJ32</f>
        <v>8500</v>
      </c>
      <c r="AC31" s="126">
        <f>Mar!BL32+Mar!BN32+Mar!BP32</f>
        <v>4349.9999999999773</v>
      </c>
      <c r="AD31" s="126">
        <f>Mar!DR32</f>
        <v>8600</v>
      </c>
      <c r="AE31" s="127">
        <f>Mar!DT32-Mar!DR72-Mar!DT72</f>
        <v>17546.000000000011</v>
      </c>
      <c r="AF31" s="127">
        <f>Mar!DR72+Mar!DT72</f>
        <v>53.999999999989612</v>
      </c>
      <c r="AG31" s="127">
        <f>Mar!HJ32-AE31</f>
        <v>58053.999999999432</v>
      </c>
      <c r="AH31" s="127">
        <f>Mar!DW32</f>
        <v>3700.0000000007276</v>
      </c>
      <c r="AI31" s="127">
        <f>Mar!DZ32</f>
        <v>6179.55</v>
      </c>
      <c r="AJ31" s="127">
        <f>Mar!EC32</f>
        <v>23339.55</v>
      </c>
      <c r="AK31" s="127">
        <f t="shared" si="6"/>
        <v>33219.100000000726</v>
      </c>
      <c r="AL31" s="127">
        <f>Mar!EG32</f>
        <v>11339.55</v>
      </c>
      <c r="AM31" s="127">
        <f>Mar!EJ32</f>
        <v>8179.55</v>
      </c>
      <c r="AN31" s="127">
        <f>Mar!EM32</f>
        <v>339.99999999991815</v>
      </c>
      <c r="AO31" s="127">
        <f t="shared" si="14"/>
        <v>19859.099999999919</v>
      </c>
      <c r="AP31" s="127">
        <f>Mar!FX32</f>
        <v>600</v>
      </c>
      <c r="AQ31" s="127">
        <f>Mar!GA32</f>
        <v>89.999999999818101</v>
      </c>
      <c r="AR31" s="127">
        <f>Mar!GG32</f>
        <v>799.99999999972715</v>
      </c>
      <c r="AS31" s="127">
        <f t="shared" si="8"/>
        <v>1489.9999999995453</v>
      </c>
      <c r="AT31" s="127">
        <f>Mar!EQ32</f>
        <v>5214.5499999999683</v>
      </c>
      <c r="AU31" s="127">
        <f>Mar!ET32</f>
        <v>9399.9999999996362</v>
      </c>
      <c r="AV31" s="127">
        <f>Mar!EW32</f>
        <v>5779.5499999999092</v>
      </c>
      <c r="AW31" s="127">
        <f>Mar!FL69</f>
        <v>11426.59032832798</v>
      </c>
      <c r="AX31" s="127">
        <f>Mar!GJ32</f>
        <v>1099.9999999999091</v>
      </c>
      <c r="AY31" s="127">
        <f t="shared" si="9"/>
        <v>32920.6903283274</v>
      </c>
      <c r="AZ31" s="127">
        <f>Mar!FG32</f>
        <v>10656.22000000003</v>
      </c>
      <c r="BA31" s="127">
        <f>Mar!FJ32</f>
        <v>17191.219999999998</v>
      </c>
      <c r="BB31" s="127">
        <f>Mar!FM69</f>
        <v>10444.179671672018</v>
      </c>
      <c r="BC31" s="127">
        <f>Mar!GM32</f>
        <v>1500</v>
      </c>
      <c r="BD31" s="127">
        <f t="shared" si="2"/>
        <v>39791.619671672044</v>
      </c>
      <c r="BE31" s="127">
        <f>Mar!GP32</f>
        <v>370</v>
      </c>
      <c r="BF31" s="127">
        <f>Mar!GS32</f>
        <v>110</v>
      </c>
      <c r="BG31" s="127">
        <f t="shared" si="10"/>
        <v>480</v>
      </c>
      <c r="BH31" s="127">
        <f t="shared" si="3"/>
        <v>753</v>
      </c>
      <c r="BI31" s="127"/>
      <c r="BJ31" s="127"/>
      <c r="BK31" s="127"/>
      <c r="BL31" s="128"/>
      <c r="BM31" s="128"/>
      <c r="BN31" s="128"/>
      <c r="BO31" s="128"/>
      <c r="BP31" s="128"/>
      <c r="BQ31" s="128"/>
      <c r="BR31" s="128"/>
      <c r="BS31" s="128">
        <f>Mar!GP32+Mar!GS32+AS31</f>
        <v>1969.9999999995453</v>
      </c>
      <c r="BT31" s="42">
        <f>Mar!D70</f>
        <v>0</v>
      </c>
      <c r="BU31" s="42">
        <f>Mar!G70</f>
        <v>100000</v>
      </c>
      <c r="BV31" t="s">
        <v>312</v>
      </c>
      <c r="BX31" s="42">
        <f>Mar!HJ32</f>
        <v>75599.999999999447</v>
      </c>
      <c r="BY31" s="42">
        <f>Mar!HM32</f>
        <v>0</v>
      </c>
      <c r="BZ31" s="42">
        <f>Mar!HP32</f>
        <v>26560.000000000182</v>
      </c>
      <c r="CA31" s="42">
        <f>Mar!HS32</f>
        <v>23500</v>
      </c>
      <c r="CB31" s="42">
        <f>Mar!HV32</f>
        <v>7939.9999999999409</v>
      </c>
      <c r="CC31" s="42">
        <f>Mar!HY32</f>
        <v>17600</v>
      </c>
    </row>
    <row r="32" spans="1:81" x14ac:dyDescent="0.25">
      <c r="A32" s="26">
        <f t="shared" si="12"/>
        <v>26</v>
      </c>
      <c r="B32" s="42">
        <f>Mar!G33</f>
        <v>247040.00000000451</v>
      </c>
      <c r="C32" s="42">
        <f>Mar!N33</f>
        <v>252000</v>
      </c>
      <c r="D32" s="42">
        <f>Mar!T33</f>
        <v>0</v>
      </c>
      <c r="E32" s="42">
        <f>Mar!V33</f>
        <v>0</v>
      </c>
      <c r="F32" s="42">
        <f>Mar!AB33</f>
        <v>5000</v>
      </c>
      <c r="G32" s="42">
        <f>Mar!X33</f>
        <v>8100.0000000003638</v>
      </c>
      <c r="H32" s="42">
        <f>Mar!AE33</f>
        <v>8000</v>
      </c>
      <c r="I32" s="42">
        <f>Mar!AI33</f>
        <v>15102.989999998908</v>
      </c>
      <c r="J32" s="42">
        <f>Mar!AN33</f>
        <v>4882.9900000008138</v>
      </c>
      <c r="K32" s="42">
        <f>Mar!AR33</f>
        <v>9500</v>
      </c>
      <c r="L32" s="42">
        <f>Mar!AZ33</f>
        <v>400</v>
      </c>
      <c r="M32" s="42">
        <f>Mar!BC33</f>
        <v>560</v>
      </c>
      <c r="N32" s="125">
        <f t="shared" si="13"/>
        <v>51545.980000000083</v>
      </c>
      <c r="O32" s="125">
        <f>Mar!CA33</f>
        <v>687.89999999995644</v>
      </c>
      <c r="P32" s="125">
        <f>Mar!CD33</f>
        <v>2887.7000000000698</v>
      </c>
      <c r="Q32" s="125">
        <f>Mar!CF33</f>
        <v>6020.4000000000233</v>
      </c>
      <c r="R32" s="125">
        <f>Mar!CH33</f>
        <v>0</v>
      </c>
      <c r="S32" s="125">
        <f>Mar!CK33</f>
        <v>20895.090000000335</v>
      </c>
      <c r="T32" s="125">
        <f>Mar!CO33</f>
        <v>8075.9899999997742</v>
      </c>
      <c r="U32" s="125">
        <f>Mar!CS33</f>
        <v>7097.9900000001635</v>
      </c>
      <c r="V32" s="126">
        <f t="shared" si="5"/>
        <v>45665.07000000032</v>
      </c>
      <c r="W32" s="126">
        <f>Mar!CW33</f>
        <v>492</v>
      </c>
      <c r="X32" s="126">
        <f>Mar!DA33</f>
        <v>164</v>
      </c>
      <c r="Y32" s="126">
        <f t="shared" si="1"/>
        <v>656</v>
      </c>
      <c r="Z32" s="42">
        <f>Mar!BR33</f>
        <v>799.99999999995453</v>
      </c>
      <c r="AA32" s="126">
        <f>Mar!BG33</f>
        <v>2200.0000000000455</v>
      </c>
      <c r="AB32" s="126">
        <f>Mar!BJ33</f>
        <v>8500</v>
      </c>
      <c r="AC32" s="126">
        <f>Mar!BL33+Mar!BN33+Mar!BP33</f>
        <v>4419.9999999999591</v>
      </c>
      <c r="AD32" s="126">
        <f>Mar!DR33</f>
        <v>9000</v>
      </c>
      <c r="AE32" s="127">
        <f>Mar!DT33-Mar!DR73-Mar!DT73</f>
        <v>16511.999999999993</v>
      </c>
      <c r="AF32" s="127">
        <f>Mar!DR73+Mar!DT73</f>
        <v>88.000000000008072</v>
      </c>
      <c r="AG32" s="127">
        <f>Mar!HJ33-AE32</f>
        <v>68488</v>
      </c>
      <c r="AH32" s="127">
        <f>Mar!DW33</f>
        <v>3899.9999999996362</v>
      </c>
      <c r="AI32" s="127">
        <f>Mar!DZ33</f>
        <v>5902.99</v>
      </c>
      <c r="AJ32" s="127">
        <f>Mar!EC33</f>
        <v>25062.99</v>
      </c>
      <c r="AK32" s="127">
        <f t="shared" si="6"/>
        <v>34865.979999999639</v>
      </c>
      <c r="AL32" s="127">
        <f>Mar!EG33</f>
        <v>5062.99</v>
      </c>
      <c r="AM32" s="127">
        <f>Mar!EJ33</f>
        <v>4902.99</v>
      </c>
      <c r="AN32" s="127">
        <f>Mar!EM33</f>
        <v>150.00000000009095</v>
      </c>
      <c r="AO32" s="127">
        <f t="shared" si="14"/>
        <v>10115.980000000091</v>
      </c>
      <c r="AP32" s="127">
        <f>Mar!FX33</f>
        <v>900</v>
      </c>
      <c r="AQ32" s="127">
        <f>Mar!GA33</f>
        <v>150.00000000009095</v>
      </c>
      <c r="AR32" s="127">
        <f>Mar!GG33</f>
        <v>300.00000000063665</v>
      </c>
      <c r="AS32" s="127">
        <f t="shared" si="8"/>
        <v>1350.0000000007276</v>
      </c>
      <c r="AT32" s="127">
        <f>Mar!EQ33</f>
        <v>6857.9900000000407</v>
      </c>
      <c r="AU32" s="127">
        <f>Mar!ET33</f>
        <v>15700.000000000728</v>
      </c>
      <c r="AV32" s="127">
        <f>Mar!EW33</f>
        <v>9002.9899999999088</v>
      </c>
      <c r="AW32" s="127">
        <f>Mar!FL70</f>
        <v>16870.727448564103</v>
      </c>
      <c r="AX32" s="127">
        <f>Mar!GJ33</f>
        <v>1600.0000000001364</v>
      </c>
      <c r="AY32" s="127">
        <f t="shared" si="9"/>
        <v>50031.707448564921</v>
      </c>
      <c r="AZ32" s="127">
        <f>Mar!FG33</f>
        <v>10432.989999999958</v>
      </c>
      <c r="BA32" s="127">
        <f>Mar!FJ33</f>
        <v>15887.99</v>
      </c>
      <c r="BB32" s="127">
        <f>Mar!FM70</f>
        <v>15420.252551435902</v>
      </c>
      <c r="BC32" s="127">
        <f>Mar!GM33</f>
        <v>1799.9999999999545</v>
      </c>
      <c r="BD32" s="127">
        <f t="shared" si="2"/>
        <v>43541.232551435816</v>
      </c>
      <c r="BE32" s="127">
        <f>Mar!GP33</f>
        <v>10</v>
      </c>
      <c r="BF32" s="127">
        <f>Mar!GS33</f>
        <v>250</v>
      </c>
      <c r="BG32" s="127">
        <f t="shared" si="10"/>
        <v>260</v>
      </c>
      <c r="BH32" s="127">
        <f t="shared" si="3"/>
        <v>656</v>
      </c>
      <c r="BI32" s="127"/>
      <c r="BJ32" s="127"/>
      <c r="BK32" s="127"/>
      <c r="BL32" s="128"/>
      <c r="BM32" s="128"/>
      <c r="BN32" s="128"/>
      <c r="BO32" s="128"/>
      <c r="BP32" s="128"/>
      <c r="BQ32" s="128"/>
      <c r="BR32" s="128"/>
      <c r="BS32" s="128">
        <f>Mar!GP33+Mar!GS33+AS32</f>
        <v>1610.0000000007276</v>
      </c>
      <c r="BT32" s="42">
        <f>Mar!D71</f>
        <v>0</v>
      </c>
      <c r="BU32" s="42">
        <f>Mar!G71</f>
        <v>101000</v>
      </c>
      <c r="BV32" t="s">
        <v>312</v>
      </c>
      <c r="BX32" s="42">
        <f>Mar!HJ33</f>
        <v>85000</v>
      </c>
      <c r="BY32" s="42">
        <f>Mar!HM33</f>
        <v>0</v>
      </c>
      <c r="BZ32" s="42">
        <f>Mar!HP33</f>
        <v>28203.32999999982</v>
      </c>
      <c r="CA32" s="42">
        <f>Mar!HS33</f>
        <v>25003.33</v>
      </c>
      <c r="CB32" s="42">
        <f>Mar!HV33</f>
        <v>15193.330000000054</v>
      </c>
      <c r="CC32" s="42">
        <f>Mar!HY33</f>
        <v>16600</v>
      </c>
    </row>
    <row r="33" spans="1:87" x14ac:dyDescent="0.25">
      <c r="A33" s="26">
        <f t="shared" si="12"/>
        <v>27</v>
      </c>
      <c r="B33" s="42">
        <f>Mar!G34</f>
        <v>237535.99999998914</v>
      </c>
      <c r="C33" s="42">
        <f>Mar!N34</f>
        <v>247000</v>
      </c>
      <c r="D33" s="42">
        <f>Mar!T34</f>
        <v>0</v>
      </c>
      <c r="E33" s="42">
        <f>Mar!V34</f>
        <v>0</v>
      </c>
      <c r="F33" s="42">
        <f>Mar!AB34</f>
        <v>4300</v>
      </c>
      <c r="G33" s="42">
        <f>Mar!X34</f>
        <v>7999.9999999992724</v>
      </c>
      <c r="H33" s="42">
        <f>Mar!AE34</f>
        <v>7599.9999999999091</v>
      </c>
      <c r="I33" s="42">
        <f>Mar!AI34</f>
        <v>12754.040000000365</v>
      </c>
      <c r="J33" s="42">
        <f>Mar!AN34</f>
        <v>3114.0399999995088</v>
      </c>
      <c r="K33" s="42">
        <f>Mar!AR34</f>
        <v>9199.9999999998181</v>
      </c>
      <c r="L33" s="42">
        <f>Mar!AZ34</f>
        <v>390</v>
      </c>
      <c r="M33" s="42">
        <f>Mar!BC34</f>
        <v>540</v>
      </c>
      <c r="N33" s="125">
        <f t="shared" si="13"/>
        <v>45898.079999998874</v>
      </c>
      <c r="O33" s="125">
        <f>Mar!CA34</f>
        <v>635.10000000002265</v>
      </c>
      <c r="P33" s="125">
        <f>Mar!CD34</f>
        <v>2654</v>
      </c>
      <c r="Q33" s="125">
        <f>Mar!CF34</f>
        <v>5872.4000000000233</v>
      </c>
      <c r="R33" s="125">
        <f>Mar!CH34</f>
        <v>0</v>
      </c>
      <c r="S33" s="125">
        <f>Mar!CK34</f>
        <v>18668.939999999613</v>
      </c>
      <c r="T33" s="125">
        <f>Mar!CO34</f>
        <v>6672.0400000000291</v>
      </c>
      <c r="U33" s="125">
        <f>Mar!CS34</f>
        <v>5568.0399999997599</v>
      </c>
      <c r="V33" s="126">
        <f t="shared" si="5"/>
        <v>40070.519999999451</v>
      </c>
      <c r="W33" s="126">
        <f>Mar!CW34</f>
        <v>477</v>
      </c>
      <c r="X33" s="126">
        <f>Mar!DA34</f>
        <v>160</v>
      </c>
      <c r="Y33" s="126">
        <f t="shared" si="1"/>
        <v>637</v>
      </c>
      <c r="Z33" s="42">
        <f>Mar!BR34</f>
        <v>700.00000000004547</v>
      </c>
      <c r="AA33" s="126">
        <f>Mar!BG34</f>
        <v>2299.9999999999545</v>
      </c>
      <c r="AB33" s="126">
        <f>Mar!BJ34</f>
        <v>10800.000000001091</v>
      </c>
      <c r="AC33" s="126">
        <f>Mar!BL34+Mar!BN34+Mar!BP34</f>
        <v>4240.0000000000819</v>
      </c>
      <c r="AD33" s="126">
        <f>Mar!DR34</f>
        <v>9700</v>
      </c>
      <c r="AE33" s="127">
        <f>Mar!DT34-Mar!DR74-Mar!DT74</f>
        <v>17655</v>
      </c>
      <c r="AF33" s="127">
        <f>Mar!DR74+Mar!DT74</f>
        <v>45.000000000001705</v>
      </c>
      <c r="AG33" s="127">
        <f>Mar!HJ34-AE33</f>
        <v>59445.000000000364</v>
      </c>
      <c r="AH33" s="127">
        <f>Mar!DW34</f>
        <v>4399.9999999996362</v>
      </c>
      <c r="AI33" s="127">
        <f>Mar!DZ34</f>
        <v>4654.04</v>
      </c>
      <c r="AJ33" s="127">
        <f>Mar!EC34</f>
        <v>23814.04</v>
      </c>
      <c r="AK33" s="127">
        <f t="shared" si="6"/>
        <v>32868.079999999638</v>
      </c>
      <c r="AL33" s="127">
        <f>Mar!EG34</f>
        <v>2814.04</v>
      </c>
      <c r="AM33" s="127">
        <f>Mar!EJ34</f>
        <v>3654.04</v>
      </c>
      <c r="AN33" s="127">
        <f>Mar!EM34</f>
        <v>319.99999999993634</v>
      </c>
      <c r="AO33" s="127">
        <f t="shared" si="14"/>
        <v>6788.0799999999363</v>
      </c>
      <c r="AP33" s="127">
        <f>Mar!FX34</f>
        <v>10500</v>
      </c>
      <c r="AQ33" s="127">
        <f>Mar!GA34</f>
        <v>1990</v>
      </c>
      <c r="AR33" s="127">
        <f>Mar!GG34</f>
        <v>3799.9999999994998</v>
      </c>
      <c r="AS33" s="127">
        <f t="shared" si="8"/>
        <v>16289.9999999995</v>
      </c>
      <c r="AT33" s="127">
        <f>Mar!EQ34</f>
        <v>6609.0399999999845</v>
      </c>
      <c r="AU33" s="127">
        <f>Mar!ET34</f>
        <v>15699.999999998909</v>
      </c>
      <c r="AV33" s="127">
        <f>Mar!EW34</f>
        <v>7654.04</v>
      </c>
      <c r="AW33" s="127">
        <f>Mar!FL71</f>
        <v>14067.957190469009</v>
      </c>
      <c r="AX33" s="127">
        <f>Mar!GJ34+((Mar!GP34+Mar!GS34)*50/100)</f>
        <v>2204.9999999998181</v>
      </c>
      <c r="AY33" s="127">
        <f t="shared" si="9"/>
        <v>46236.037190467723</v>
      </c>
      <c r="AZ33" s="127">
        <f>Mar!FG34</f>
        <v>10317.370000000015</v>
      </c>
      <c r="BA33" s="127">
        <f>Mar!FJ34</f>
        <v>16372.370000000366</v>
      </c>
      <c r="BB33" s="127">
        <f>Mar!FM71</f>
        <v>12858.452809530996</v>
      </c>
      <c r="BC33" s="127">
        <f>Mar!GM34+((Mar!GP34+Mar!GS34)*50/100)</f>
        <v>2304.9999999999545</v>
      </c>
      <c r="BD33" s="127">
        <f t="shared" si="2"/>
        <v>41853.192809531334</v>
      </c>
      <c r="BE33" s="127">
        <f>Mar!GP34</f>
        <v>0</v>
      </c>
      <c r="BF33" s="127">
        <f>Mar!GS34</f>
        <v>1010</v>
      </c>
      <c r="BG33" s="127">
        <f t="shared" si="10"/>
        <v>1010</v>
      </c>
      <c r="BH33" s="127">
        <f t="shared" si="3"/>
        <v>637</v>
      </c>
      <c r="BI33" s="127"/>
      <c r="BJ33" s="127"/>
      <c r="BK33" s="127"/>
      <c r="BL33" s="128">
        <f>AS33-BO33</f>
        <v>11289.9999999995</v>
      </c>
      <c r="BM33" s="128"/>
      <c r="BN33" s="128"/>
      <c r="BO33" s="128">
        <f>5000</f>
        <v>5000</v>
      </c>
      <c r="BP33" s="128"/>
      <c r="BQ33" s="128"/>
      <c r="BR33" s="128"/>
      <c r="BS33" s="128">
        <f>Mar!GP34+Mar!GS34</f>
        <v>1010</v>
      </c>
      <c r="BT33" s="42">
        <f>Mar!D72</f>
        <v>0</v>
      </c>
      <c r="BU33" s="42">
        <f>Mar!G72</f>
        <v>99000</v>
      </c>
      <c r="BV33" t="s">
        <v>313</v>
      </c>
      <c r="BX33" s="42">
        <f>Mar!HJ34</f>
        <v>77100.000000000364</v>
      </c>
      <c r="BY33" s="42">
        <f>Mar!HM34</f>
        <v>0</v>
      </c>
      <c r="BZ33" s="42">
        <f>Mar!HP34</f>
        <v>24376.670000000093</v>
      </c>
      <c r="CA33" s="42">
        <f>Mar!HS34</f>
        <v>19176.669999999816</v>
      </c>
      <c r="CB33" s="42">
        <f>Mar!HV34</f>
        <v>15846.670000000004</v>
      </c>
      <c r="CC33" s="42">
        <f>Mar!HY34</f>
        <v>17700</v>
      </c>
    </row>
    <row r="34" spans="1:87" x14ac:dyDescent="0.25">
      <c r="A34" s="26">
        <f t="shared" si="12"/>
        <v>28</v>
      </c>
      <c r="B34" s="42">
        <f>Mar!G35</f>
        <v>295264.00000000652</v>
      </c>
      <c r="C34" s="42">
        <f>Mar!N35</f>
        <v>281000</v>
      </c>
      <c r="D34" s="42">
        <f>Mar!T35</f>
        <v>0</v>
      </c>
      <c r="E34" s="42">
        <f>Mar!V35</f>
        <v>0</v>
      </c>
      <c r="F34" s="42">
        <f>Mar!AB35</f>
        <v>5600</v>
      </c>
      <c r="G34" s="42">
        <f>Mar!X35</f>
        <v>8700.0000000010914</v>
      </c>
      <c r="H34" s="42">
        <f>Mar!AE35</f>
        <v>8300.0000000001819</v>
      </c>
      <c r="I34" s="42">
        <f>Mar!AI35</f>
        <v>17563.700000000365</v>
      </c>
      <c r="J34" s="42">
        <f>Mar!AN35</f>
        <v>6923.6999999990549</v>
      </c>
      <c r="K34" s="42">
        <f>Mar!AR35</f>
        <v>10199.999999999818</v>
      </c>
      <c r="L34" s="42">
        <f>Mar!AZ35</f>
        <v>160</v>
      </c>
      <c r="M34" s="42">
        <f>Mar!BC35</f>
        <v>70</v>
      </c>
      <c r="N34" s="125">
        <f t="shared" si="13"/>
        <v>57517.400000000511</v>
      </c>
      <c r="O34" s="125">
        <f>Mar!CA35</f>
        <v>882.99999999998136</v>
      </c>
      <c r="P34" s="125">
        <f>Mar!CD35</f>
        <v>202.5</v>
      </c>
      <c r="Q34" s="125">
        <f>Mar!CF35</f>
        <v>6179</v>
      </c>
      <c r="R34" s="125">
        <f>Mar!CH35</f>
        <v>0</v>
      </c>
      <c r="S34" s="125">
        <f>Mar!CK35</f>
        <v>22750.700000000092</v>
      </c>
      <c r="T34" s="125">
        <f>Mar!CO35</f>
        <v>11444.700000000223</v>
      </c>
      <c r="U34" s="125">
        <f>Mar!CS35</f>
        <v>9374.7000000000589</v>
      </c>
      <c r="V34" s="126">
        <f t="shared" si="5"/>
        <v>50834.600000000355</v>
      </c>
      <c r="W34" s="126">
        <f>Mar!CW35</f>
        <v>875</v>
      </c>
      <c r="X34" s="126">
        <f>Mar!DA35</f>
        <v>606</v>
      </c>
      <c r="Y34" s="126">
        <f t="shared" si="1"/>
        <v>1481</v>
      </c>
      <c r="Z34" s="42">
        <f>Mar!BR35</f>
        <v>699.99999999993179</v>
      </c>
      <c r="AA34" s="126">
        <f>Mar!BG35</f>
        <v>2700.0000000000455</v>
      </c>
      <c r="AB34" s="126">
        <f>Mar!BJ35</f>
        <v>10399.999999999636</v>
      </c>
      <c r="AC34" s="126">
        <f>Mar!BL35+Mar!BN35+Mar!BP35</f>
        <v>4539.9999999999227</v>
      </c>
      <c r="AD34" s="126">
        <f>Mar!DR35</f>
        <v>8200</v>
      </c>
      <c r="AE34" s="127">
        <f>Mar!DT35-Mar!DR75-Mar!DT75</f>
        <v>12910.999999999995</v>
      </c>
      <c r="AF34" s="127">
        <f>Mar!DR75+Mar!DT75</f>
        <v>89.000000000005741</v>
      </c>
      <c r="AG34" s="127">
        <f>Mar!HJ35-AE34</f>
        <v>61189.000000000371</v>
      </c>
      <c r="AH34" s="127">
        <f>Mar!DW35</f>
        <v>4600.0000000003638</v>
      </c>
      <c r="AI34" s="127">
        <f>Mar!DZ35</f>
        <v>7963.7</v>
      </c>
      <c r="AJ34" s="127">
        <f>Mar!EC35</f>
        <v>27123.7</v>
      </c>
      <c r="AK34" s="127">
        <f t="shared" si="6"/>
        <v>39687.400000000365</v>
      </c>
      <c r="AL34" s="127">
        <f>Mar!EG35</f>
        <v>26123.7</v>
      </c>
      <c r="AM34" s="127">
        <f>Mar!EJ35</f>
        <v>10963.7</v>
      </c>
      <c r="AN34" s="127">
        <f>Mar!EM35</f>
        <v>600.00000000002274</v>
      </c>
      <c r="AO34" s="127">
        <f t="shared" si="14"/>
        <v>37687.400000000023</v>
      </c>
      <c r="AP34" s="127">
        <f>Mar!FX35</f>
        <v>20800</v>
      </c>
      <c r="AQ34" s="127">
        <f>Mar!GA35</f>
        <v>4830.0000000001819</v>
      </c>
      <c r="AR34" s="127">
        <f>Mar!GG35</f>
        <v>4899.9999999991815</v>
      </c>
      <c r="AS34" s="127">
        <f t="shared" si="8"/>
        <v>30529.999999999363</v>
      </c>
      <c r="AT34" s="127">
        <f>Mar!EQ35</f>
        <v>10018.700000000008</v>
      </c>
      <c r="AU34" s="127">
        <f>Mar!ET35</f>
        <v>15500</v>
      </c>
      <c r="AV34" s="127">
        <f>Mar!EW35</f>
        <v>10563.69999999991</v>
      </c>
      <c r="AW34" s="127">
        <f>Mar!FL72</f>
        <v>14966.232161277117</v>
      </c>
      <c r="AX34" s="127">
        <f>Mar!GJ35+((Mar!GP35+Mar!GS35)*50/100)</f>
        <v>1890.0000000000909</v>
      </c>
      <c r="AY34" s="127">
        <f t="shared" si="9"/>
        <v>52938.632161277128</v>
      </c>
      <c r="AZ34" s="127">
        <f>Mar!FG35</f>
        <v>12627.029999999993</v>
      </c>
      <c r="BA34" s="127">
        <f>Mar!FJ35</f>
        <v>20582.029999999639</v>
      </c>
      <c r="BB34" s="127">
        <f>Mar!FM72</f>
        <v>13679.497838722888</v>
      </c>
      <c r="BC34" s="127">
        <f>Mar!GM35+((Mar!GP35+Mar!GS35)*50/100)</f>
        <v>1990</v>
      </c>
      <c r="BD34" s="127">
        <f t="shared" si="2"/>
        <v>48878.557838722525</v>
      </c>
      <c r="BE34" s="127">
        <f>Mar!GP35</f>
        <v>10</v>
      </c>
      <c r="BF34" s="127">
        <f>Mar!GS35</f>
        <v>970</v>
      </c>
      <c r="BG34" s="127">
        <f t="shared" si="10"/>
        <v>980</v>
      </c>
      <c r="BH34" s="127">
        <f t="shared" si="3"/>
        <v>1481</v>
      </c>
      <c r="BI34" s="127"/>
      <c r="BJ34" s="127"/>
      <c r="BK34" s="127"/>
      <c r="BL34" s="128">
        <f>AS34+BG34</f>
        <v>31509.999999999363</v>
      </c>
      <c r="BM34" s="128"/>
      <c r="BN34" s="128"/>
      <c r="BO34" s="128"/>
      <c r="BP34" s="128"/>
      <c r="BQ34" s="128"/>
      <c r="BR34" s="128"/>
      <c r="BS34" s="128"/>
      <c r="BT34" s="42">
        <f>Mar!D73</f>
        <v>0</v>
      </c>
      <c r="BU34" s="42">
        <f>Mar!G73</f>
        <v>126000</v>
      </c>
      <c r="BV34" t="s">
        <v>305</v>
      </c>
      <c r="BX34" s="42">
        <f>Mar!HJ35</f>
        <v>74100.000000000364</v>
      </c>
      <c r="BY34" s="42">
        <f>Mar!HM35</f>
        <v>0</v>
      </c>
      <c r="BZ34" s="42">
        <f>Mar!HP35</f>
        <v>22866.667000000092</v>
      </c>
      <c r="CA34" s="42">
        <f>Mar!HS35</f>
        <v>22566.66700000014</v>
      </c>
      <c r="CB34" s="42">
        <f>Mar!HV35</f>
        <v>15666.66699999993</v>
      </c>
      <c r="CC34" s="42">
        <f>Mar!HY35</f>
        <v>13000</v>
      </c>
    </row>
    <row r="35" spans="1:87" ht="15" customHeight="1" x14ac:dyDescent="0.25">
      <c r="A35" s="26">
        <f t="shared" si="12"/>
        <v>29</v>
      </c>
      <c r="B35" s="42">
        <f>Mar!G36</f>
        <v>274879.99999999371</v>
      </c>
      <c r="C35" s="42">
        <f>Mar!N36</f>
        <v>271000</v>
      </c>
      <c r="D35" s="42">
        <f>Mar!T36</f>
        <v>0</v>
      </c>
      <c r="E35" s="42">
        <f>Mar!V36</f>
        <v>0</v>
      </c>
      <c r="F35" s="42">
        <f>Mar!AB36</f>
        <v>5000</v>
      </c>
      <c r="G35" s="42">
        <f>Mar!X36</f>
        <v>7899.9999999996362</v>
      </c>
      <c r="H35" s="42">
        <f>Mar!AE36</f>
        <v>7400.0000000000909</v>
      </c>
      <c r="I35" s="42">
        <f>Mar!AI36</f>
        <v>14068.660000000364</v>
      </c>
      <c r="J35" s="42">
        <f>Mar!AN36</f>
        <v>4208.6600000003</v>
      </c>
      <c r="K35" s="42">
        <f>Mar!AR36</f>
        <v>9200.0000000007276</v>
      </c>
      <c r="L35" s="42">
        <f>Mar!AZ36</f>
        <v>80</v>
      </c>
      <c r="M35" s="42">
        <f>Mar!BC36</f>
        <v>110</v>
      </c>
      <c r="N35" s="125">
        <f t="shared" si="13"/>
        <v>47967.32000000112</v>
      </c>
      <c r="O35" s="125">
        <f>Mar!CA36</f>
        <v>955.30000000002246</v>
      </c>
      <c r="P35" s="125">
        <f>Mar!CD36</f>
        <v>1635.6999999999534</v>
      </c>
      <c r="Q35" s="125">
        <f>Mar!CF36</f>
        <v>6286.4000000000233</v>
      </c>
      <c r="R35" s="125">
        <f>Mar!CH36</f>
        <v>0</v>
      </c>
      <c r="S35" s="125">
        <f>Mar!CK36</f>
        <v>19343.359999999906</v>
      </c>
      <c r="T35" s="125">
        <f>Mar!CO36</f>
        <v>8310.6600000000981</v>
      </c>
      <c r="U35" s="125">
        <f>Mar!CS36</f>
        <v>6630.6600000002618</v>
      </c>
      <c r="V35" s="126">
        <f t="shared" si="5"/>
        <v>43162.080000000264</v>
      </c>
      <c r="W35" s="126">
        <f>Mar!CW36</f>
        <v>768</v>
      </c>
      <c r="X35" s="126">
        <f>Mar!DA36</f>
        <v>565</v>
      </c>
      <c r="Y35" s="126">
        <f t="shared" si="1"/>
        <v>1333</v>
      </c>
      <c r="Z35" s="42">
        <f>Mar!BR36</f>
        <v>300.00000000006821</v>
      </c>
      <c r="AA35" s="126">
        <f>Mar!BG36</f>
        <v>2599.9999999999091</v>
      </c>
      <c r="AB35" s="126">
        <f>Mar!BJ36</f>
        <v>10199.999999998909</v>
      </c>
      <c r="AC35" s="126">
        <f>Mar!BL36+Mar!BN36+Mar!BP36</f>
        <v>4059.9999999999955</v>
      </c>
      <c r="AD35" s="126">
        <f>Mar!DR36</f>
        <v>4400</v>
      </c>
      <c r="AE35" s="127">
        <f>Mar!DT36-Mar!DR76-Mar!DT76</f>
        <v>13089.000000000007</v>
      </c>
      <c r="AF35" s="127">
        <f>Mar!DR76+Mar!DT76</f>
        <v>10.999999999992127</v>
      </c>
      <c r="AG35" s="127">
        <f>Mar!HJ36-AE35</f>
        <v>80210.999999999272</v>
      </c>
      <c r="AH35" s="127">
        <f>Mar!DW36</f>
        <v>4699.9999999998181</v>
      </c>
      <c r="AI35" s="127">
        <f>Mar!DZ36</f>
        <v>5968.66</v>
      </c>
      <c r="AJ35" s="127">
        <f>Mar!EC36</f>
        <v>27128.66</v>
      </c>
      <c r="AK35" s="127">
        <f t="shared" si="6"/>
        <v>37797.319999999818</v>
      </c>
      <c r="AL35" s="127">
        <f>Mar!EG36</f>
        <v>29128.66</v>
      </c>
      <c r="AM35" s="127">
        <f>Mar!EJ36</f>
        <v>10968.66</v>
      </c>
      <c r="AN35" s="127">
        <f>Mar!EM36</f>
        <v>789.99999999996362</v>
      </c>
      <c r="AO35" s="127">
        <f t="shared" si="14"/>
        <v>40887.319999999963</v>
      </c>
      <c r="AP35" s="127">
        <f>Mar!FX36</f>
        <v>18500</v>
      </c>
      <c r="AQ35" s="127">
        <f>Mar!GA36</f>
        <v>4469.9999999999091</v>
      </c>
      <c r="AR35" s="127">
        <f>Mar!GG36</f>
        <v>4700.0000000000455</v>
      </c>
      <c r="AS35" s="127">
        <f t="shared" si="8"/>
        <v>27669.999999999956</v>
      </c>
      <c r="AT35" s="127">
        <f>Mar!EQ36</f>
        <v>6888.6600000000162</v>
      </c>
      <c r="AU35" s="127">
        <f>Mar!ET36</f>
        <v>17300.000000001091</v>
      </c>
      <c r="AV35" s="127">
        <f>Mar!EW36</f>
        <v>8568.6599999999089</v>
      </c>
      <c r="AW35" s="127">
        <f>Mar!FL73</f>
        <v>13014.804342159123</v>
      </c>
      <c r="AX35" s="127">
        <f>Mar!GJ36+((Mar!GP36+Mar!GS36)*50/100)</f>
        <v>2164.9999999999091</v>
      </c>
      <c r="AY35" s="127">
        <f t="shared" si="9"/>
        <v>47937.124342160052</v>
      </c>
      <c r="AZ35" s="127">
        <f>Mar!FG36</f>
        <v>11021.989999999983</v>
      </c>
      <c r="BA35" s="127">
        <f>Mar!FJ36</f>
        <v>19941.990000000002</v>
      </c>
      <c r="BB35" s="127">
        <f>Mar!FM73</f>
        <v>11895.84565784088</v>
      </c>
      <c r="BC35" s="127">
        <f>Mar!GM36+((Mar!GP36+Mar!GS36)*50/100)</f>
        <v>2265.0000000000455</v>
      </c>
      <c r="BD35" s="127">
        <f t="shared" si="2"/>
        <v>45124.825657840905</v>
      </c>
      <c r="BE35" s="127">
        <f>Mar!GP36</f>
        <v>0</v>
      </c>
      <c r="BF35" s="127">
        <f>Mar!GS36</f>
        <v>1130</v>
      </c>
      <c r="BG35" s="127">
        <f t="shared" si="10"/>
        <v>1130</v>
      </c>
      <c r="BH35" s="127">
        <f t="shared" si="3"/>
        <v>1333</v>
      </c>
      <c r="BI35" s="127"/>
      <c r="BJ35" s="127"/>
      <c r="BK35" s="127"/>
      <c r="BL35" s="128">
        <f t="shared" ref="BL35:BL37" si="15">AS35+BG35</f>
        <v>28799.999999999956</v>
      </c>
      <c r="BM35" s="128"/>
      <c r="BN35" s="128"/>
      <c r="BO35" s="128"/>
      <c r="BP35" s="128"/>
      <c r="BQ35" s="128"/>
      <c r="BR35" s="128"/>
      <c r="BS35" s="128"/>
      <c r="BT35" s="42">
        <f>Mar!D74</f>
        <v>0</v>
      </c>
      <c r="BU35" s="42">
        <f>Mar!G74</f>
        <v>133000</v>
      </c>
      <c r="BV35" t="s">
        <v>305</v>
      </c>
      <c r="BX35" s="42">
        <f>Mar!HJ36</f>
        <v>93299.999999999272</v>
      </c>
      <c r="BY35" s="42">
        <f>Mar!HM36</f>
        <v>0</v>
      </c>
      <c r="BZ35" s="42">
        <f>Mar!HP36</f>
        <v>31359.999999999909</v>
      </c>
      <c r="CA35" s="42">
        <f>Mar!HS36</f>
        <v>25460.000000000044</v>
      </c>
      <c r="CB35" s="42">
        <f>Mar!HV36</f>
        <v>23380.000000000004</v>
      </c>
      <c r="CC35" s="42">
        <f>Mar!HY36</f>
        <v>13100</v>
      </c>
    </row>
    <row r="36" spans="1:87" x14ac:dyDescent="0.25">
      <c r="A36" s="26">
        <f t="shared" si="12"/>
        <v>30</v>
      </c>
      <c r="B36" s="42">
        <f>Mar!G37</f>
        <v>292480.00000001048</v>
      </c>
      <c r="C36" s="42">
        <f>Mar!N37</f>
        <v>292000</v>
      </c>
      <c r="D36" s="42">
        <f>Mar!T37</f>
        <v>0</v>
      </c>
      <c r="E36" s="42">
        <f>Mar!V37</f>
        <v>0</v>
      </c>
      <c r="F36" s="42">
        <f>Mar!AB37</f>
        <v>5200</v>
      </c>
      <c r="G36" s="42">
        <f>Mar!X37</f>
        <v>8300</v>
      </c>
      <c r="H36" s="42">
        <f>Mar!AE37</f>
        <v>7899.9999999996362</v>
      </c>
      <c r="I36" s="42">
        <f>Mar!AI37</f>
        <v>15708.27</v>
      </c>
      <c r="J36" s="42">
        <f>Mar!AN37</f>
        <v>5088.2699999999732</v>
      </c>
      <c r="K36" s="42">
        <f>Mar!AR37</f>
        <v>9799.9999999992724</v>
      </c>
      <c r="L36" s="42">
        <f>Mar!AZ37</f>
        <v>400</v>
      </c>
      <c r="M36" s="42">
        <f>Mar!BC37</f>
        <v>570</v>
      </c>
      <c r="N36" s="125">
        <f t="shared" si="13"/>
        <v>52966.539999998888</v>
      </c>
      <c r="O36" s="125">
        <f>Mar!CA37</f>
        <v>942.90000000000873</v>
      </c>
      <c r="P36" s="125">
        <f>Mar!CD37</f>
        <v>1945.5</v>
      </c>
      <c r="Q36" s="125">
        <f>Mar!CF37</f>
        <v>6725.4000000000233</v>
      </c>
      <c r="R36" s="125">
        <f>Mar!CH37</f>
        <v>0</v>
      </c>
      <c r="S36" s="125">
        <f>Mar!CK37</f>
        <v>20445.370000000283</v>
      </c>
      <c r="T36" s="125">
        <f>Mar!CO37</f>
        <v>8602.2699999997785</v>
      </c>
      <c r="U36" s="125">
        <f>Mar!CS37</f>
        <v>7141.2699999999932</v>
      </c>
      <c r="V36" s="126">
        <f t="shared" si="5"/>
        <v>45802.710000000079</v>
      </c>
      <c r="W36" s="126">
        <f>Mar!CW37</f>
        <v>795</v>
      </c>
      <c r="X36" s="126">
        <f>Mar!DA37</f>
        <v>583</v>
      </c>
      <c r="Y36" s="126">
        <f t="shared" si="1"/>
        <v>1378</v>
      </c>
      <c r="Z36" s="42">
        <f>Mar!BR37</f>
        <v>299.99999999995453</v>
      </c>
      <c r="AA36" s="126">
        <f>Mar!BG37</f>
        <v>2800.0000000001819</v>
      </c>
      <c r="AB36" s="126">
        <f>Mar!BJ37</f>
        <v>10000</v>
      </c>
      <c r="AC36" s="126">
        <f>Mar!BL37+Mar!BN37+Mar!BP37</f>
        <v>4320.0000000000728</v>
      </c>
      <c r="AD36" s="126">
        <f>Mar!DR37</f>
        <v>4000</v>
      </c>
      <c r="AE36" s="127">
        <f>Mar!DT37-Mar!DR77-Mar!DT77</f>
        <v>11500</v>
      </c>
      <c r="AF36" s="127">
        <f>Mar!DR77+Mar!DT77</f>
        <v>0</v>
      </c>
      <c r="AG36" s="127">
        <f>Mar!HJ37-AE36</f>
        <v>87300.000000000175</v>
      </c>
      <c r="AH36" s="127">
        <f>Mar!DW37</f>
        <v>4600.0000000003638</v>
      </c>
      <c r="AI36" s="127">
        <f>Mar!DZ37</f>
        <v>7208.27</v>
      </c>
      <c r="AJ36" s="127">
        <f>Mar!EC37</f>
        <v>27368.27</v>
      </c>
      <c r="AK36" s="127">
        <f t="shared" si="6"/>
        <v>39176.540000000365</v>
      </c>
      <c r="AL36" s="127">
        <f>Mar!EG37</f>
        <v>29368.27</v>
      </c>
      <c r="AM36" s="127">
        <f>Mar!EJ37</f>
        <v>11208.27</v>
      </c>
      <c r="AN36" s="127">
        <f>Mar!EM37</f>
        <v>800.00000000006821</v>
      </c>
      <c r="AO36" s="127">
        <f t="shared" si="14"/>
        <v>41376.540000000066</v>
      </c>
      <c r="AP36" s="127">
        <f>Mar!FX37</f>
        <v>21300</v>
      </c>
      <c r="AQ36" s="127">
        <f>Mar!GA37</f>
        <v>4569.9999999999091</v>
      </c>
      <c r="AR36" s="127">
        <f>Mar!GG37</f>
        <v>4700.0000000002728</v>
      </c>
      <c r="AS36" s="127">
        <f t="shared" si="8"/>
        <v>30570.000000000182</v>
      </c>
      <c r="AT36" s="127">
        <f>Mar!EQ37</f>
        <v>7288.2699999999841</v>
      </c>
      <c r="AU36" s="127">
        <f>Mar!ET37</f>
        <v>17699.999999998909</v>
      </c>
      <c r="AV36" s="127">
        <f>Mar!EW37</f>
        <v>8708.27</v>
      </c>
      <c r="AW36" s="127">
        <f>Mar!EZ37</f>
        <v>11208.27</v>
      </c>
      <c r="AX36" s="127">
        <f>Mar!GJ37+((Mar!GP37+Mar!GS37)*50/100)</f>
        <v>2115.0000000001364</v>
      </c>
      <c r="AY36" s="127">
        <f t="shared" si="9"/>
        <v>47019.80999999903</v>
      </c>
      <c r="AZ36" s="127">
        <f>Mar!FG37</f>
        <v>11188.270000000017</v>
      </c>
      <c r="BA36" s="127">
        <f>Mar!FJ37</f>
        <v>19168.270000000546</v>
      </c>
      <c r="BB36" s="127">
        <f>Mar!FP37</f>
        <v>13268.27</v>
      </c>
      <c r="BC36" s="127">
        <f>Mar!GM37+((Mar!GP37+Mar!GS37)*50/100)</f>
        <v>2314.9999999999545</v>
      </c>
      <c r="BD36" s="127">
        <f t="shared" si="2"/>
        <v>45939.810000000522</v>
      </c>
      <c r="BE36" s="127">
        <f>Mar!GP37</f>
        <v>0</v>
      </c>
      <c r="BF36" s="127">
        <f>Mar!GS37</f>
        <v>1030</v>
      </c>
      <c r="BG36" s="127">
        <f t="shared" si="10"/>
        <v>1030</v>
      </c>
      <c r="BH36" s="127">
        <f t="shared" si="3"/>
        <v>1378</v>
      </c>
      <c r="BI36" s="127"/>
      <c r="BJ36" s="127"/>
      <c r="BK36" s="127"/>
      <c r="BL36" s="128">
        <f t="shared" si="15"/>
        <v>31600.000000000182</v>
      </c>
      <c r="BM36" s="128"/>
      <c r="BN36" s="128"/>
      <c r="BO36" s="128"/>
      <c r="BP36" s="128"/>
      <c r="BQ36" s="128"/>
      <c r="BR36" s="128"/>
      <c r="BS36" s="128"/>
      <c r="BT36" s="42">
        <f>Mar!D75</f>
        <v>0</v>
      </c>
      <c r="BU36" s="42">
        <f>Mar!G75</f>
        <v>133000</v>
      </c>
      <c r="BV36" t="s">
        <v>305</v>
      </c>
      <c r="BX36" s="42">
        <f>Mar!HJ37</f>
        <v>98800.000000000175</v>
      </c>
      <c r="BY36" s="42">
        <f>Mar!HM37</f>
        <v>0</v>
      </c>
      <c r="BZ36" s="42">
        <f>Mar!HP37</f>
        <v>35110</v>
      </c>
      <c r="CA36" s="42">
        <f>Mar!HS37</f>
        <v>26709.999999999909</v>
      </c>
      <c r="CB36" s="42">
        <f>Mar!HV37</f>
        <v>25480.000000000004</v>
      </c>
      <c r="CC36" s="42">
        <f>Mar!HY37</f>
        <v>11500</v>
      </c>
    </row>
    <row r="37" spans="1:87" x14ac:dyDescent="0.25">
      <c r="A37" s="26">
        <f t="shared" si="12"/>
        <v>31</v>
      </c>
      <c r="B37" s="42">
        <f>Mar!G38</f>
        <v>283839.99999999651</v>
      </c>
      <c r="C37" s="42">
        <f>Mar!N38</f>
        <v>288000</v>
      </c>
      <c r="D37" s="42">
        <f>Mar!T38</f>
        <v>0</v>
      </c>
      <c r="E37" s="42">
        <f>Mar!V38</f>
        <v>0</v>
      </c>
      <c r="F37" s="42">
        <f>Mar!AB38</f>
        <v>5310</v>
      </c>
      <c r="G37" s="42">
        <f>Mar!X38</f>
        <v>8589.9999999996362</v>
      </c>
      <c r="H37" s="42">
        <f>Mar!AE38</f>
        <v>8100.0000000003638</v>
      </c>
      <c r="I37" s="42">
        <f>Mar!AI38</f>
        <v>14817.97</v>
      </c>
      <c r="J37" s="42">
        <f>Mar!AN38</f>
        <v>4257.9700000004405</v>
      </c>
      <c r="K37" s="42">
        <f>Mar!AR38</f>
        <v>13840.000000000146</v>
      </c>
      <c r="L37" s="42">
        <f>Mar!AZ38</f>
        <v>392.28000000002794</v>
      </c>
      <c r="M37" s="42">
        <f>Mar!BC38</f>
        <v>568.05999999999767</v>
      </c>
      <c r="N37" s="125">
        <f t="shared" si="13"/>
        <v>55876.28000000061</v>
      </c>
      <c r="O37" s="125">
        <f>Mar!CA38</f>
        <v>899.09999999997581</v>
      </c>
      <c r="P37" s="125">
        <f>Mar!CD38</f>
        <v>1954.9000000000233</v>
      </c>
      <c r="Q37" s="125">
        <f>Mar!CF38</f>
        <v>7286.1999999999534</v>
      </c>
      <c r="R37" s="125">
        <f>Mar!CH38</f>
        <v>0</v>
      </c>
      <c r="S37" s="125">
        <f>Mar!CK38</f>
        <v>20278.870000000607</v>
      </c>
      <c r="T37" s="125">
        <f>Mar!CO38</f>
        <v>7838.9700000001858</v>
      </c>
      <c r="U37" s="125">
        <f>Mar!CS38</f>
        <v>6288.9700000000039</v>
      </c>
      <c r="V37" s="126">
        <f t="shared" si="5"/>
        <v>44547.010000000744</v>
      </c>
      <c r="W37" s="126">
        <f>Mar!CW38</f>
        <v>1809</v>
      </c>
      <c r="X37" s="126">
        <f>Mar!DA38</f>
        <v>2923</v>
      </c>
      <c r="Y37" s="126">
        <f>W37+X37</f>
        <v>4732</v>
      </c>
      <c r="Z37" s="42">
        <f>Mar!BR38</f>
        <v>279.99999999997272</v>
      </c>
      <c r="AA37" s="126">
        <f>Mar!BG38</f>
        <v>2399.9999999998636</v>
      </c>
      <c r="AB37" s="126">
        <f>Mar!BJ38</f>
        <v>9800.0000000010914</v>
      </c>
      <c r="AC37" s="126">
        <f>Mar!BL38+Mar!BN38+Mar!BP38</f>
        <v>4379.99999999995</v>
      </c>
      <c r="AD37" s="126">
        <f>Mar!DR38</f>
        <v>3100</v>
      </c>
      <c r="AE37" s="127">
        <f>Mar!DT38-Mar!DR78-Mar!DT78</f>
        <v>2200</v>
      </c>
      <c r="AF37" s="127">
        <f>Mar!DR78+Mar!DT78</f>
        <v>0</v>
      </c>
      <c r="AG37" s="127">
        <f>Mar!HJ38-AE37</f>
        <v>92900.000000000364</v>
      </c>
      <c r="AH37" s="127">
        <f>Mar!DW38</f>
        <v>4699.9999999998181</v>
      </c>
      <c r="AI37" s="127">
        <f>Mar!DZ38</f>
        <v>5317.97</v>
      </c>
      <c r="AJ37" s="127">
        <f>Mar!EC38</f>
        <v>25477.97</v>
      </c>
      <c r="AK37" s="127">
        <f t="shared" si="6"/>
        <v>35495.93999999982</v>
      </c>
      <c r="AL37" s="127">
        <f>Mar!EG38</f>
        <v>33477.97</v>
      </c>
      <c r="AM37" s="127">
        <f>Mar!EJ38</f>
        <v>9317.9699999999993</v>
      </c>
      <c r="AN37" s="127">
        <f>Mar!EM38</f>
        <v>699.99999999993179</v>
      </c>
      <c r="AO37" s="127">
        <f t="shared" si="14"/>
        <v>43495.939999999937</v>
      </c>
      <c r="AP37" s="127">
        <f>Mar!FX38</f>
        <v>22000</v>
      </c>
      <c r="AQ37" s="127">
        <f>Mar!GA38</f>
        <v>4800.0000000000909</v>
      </c>
      <c r="AR37" s="127">
        <f>Mar!GG38</f>
        <v>4999.9999999995453</v>
      </c>
      <c r="AS37" s="127">
        <f t="shared" si="8"/>
        <v>31799.999999999636</v>
      </c>
      <c r="AT37" s="127">
        <f>Mar!EQ38</f>
        <v>6232.9699999999639</v>
      </c>
      <c r="AU37" s="127">
        <f>Mar!ET38</f>
        <v>17800.000000001091</v>
      </c>
      <c r="AV37" s="127">
        <f>Mar!EW38</f>
        <v>8017.9700000002731</v>
      </c>
      <c r="AW37" s="127">
        <f>Mar!EZ38</f>
        <v>11317.97</v>
      </c>
      <c r="AX37" s="127">
        <f>Mar!GJ38</f>
        <v>1700.0000000000455</v>
      </c>
      <c r="AY37" s="127">
        <f t="shared" si="9"/>
        <v>45068.910000001371</v>
      </c>
      <c r="AZ37" s="127">
        <f>Mar!FG38</f>
        <v>9874.6400000000358</v>
      </c>
      <c r="BA37" s="127">
        <f>Mar!FJ38</f>
        <v>17289.64</v>
      </c>
      <c r="BB37" s="127">
        <f>Mar!FP38</f>
        <v>12789.64</v>
      </c>
      <c r="BC37" s="127">
        <f>Mar!GM38</f>
        <v>1700.0000000000455</v>
      </c>
      <c r="BD37" s="127">
        <f t="shared" si="2"/>
        <v>41653.920000000078</v>
      </c>
      <c r="BE37" s="127">
        <f>Mar!GP38</f>
        <v>10</v>
      </c>
      <c r="BF37" s="127">
        <f>Mar!GS38</f>
        <v>1100</v>
      </c>
      <c r="BG37" s="127">
        <f t="shared" si="10"/>
        <v>1110</v>
      </c>
      <c r="BH37" s="127">
        <f t="shared" si="3"/>
        <v>4732</v>
      </c>
      <c r="BI37" s="127"/>
      <c r="BJ37" s="127"/>
      <c r="BK37" s="127"/>
      <c r="BL37" s="128">
        <f t="shared" si="15"/>
        <v>32909.999999999636</v>
      </c>
      <c r="BM37" s="128"/>
      <c r="BN37" s="128"/>
      <c r="BO37" s="128"/>
      <c r="BP37" s="128"/>
      <c r="BQ37" s="128"/>
      <c r="BR37" s="128"/>
      <c r="BS37" s="128"/>
      <c r="BT37" s="42">
        <f>Mar!D76</f>
        <v>0</v>
      </c>
      <c r="BU37" s="42">
        <f>Mar!G76</f>
        <v>135000</v>
      </c>
      <c r="BV37" t="s">
        <v>305</v>
      </c>
      <c r="BX37" s="42">
        <f>Mar!HJ38</f>
        <v>95100.000000000364</v>
      </c>
      <c r="BY37" s="42">
        <f>Mar!HM38</f>
        <v>0</v>
      </c>
      <c r="BZ37" s="42">
        <f>Mar!HP38</f>
        <v>38770.000000000044</v>
      </c>
      <c r="CA37" s="42">
        <f>Mar!HS38</f>
        <v>26770.000000000044</v>
      </c>
      <c r="CB37" s="42">
        <f>Mar!HV38</f>
        <v>27360.000000000076</v>
      </c>
      <c r="CC37" s="42">
        <f>Mar!HY38</f>
        <v>2200</v>
      </c>
    </row>
    <row r="38" spans="1:87" x14ac:dyDescent="0.25">
      <c r="A38" s="129" t="s">
        <v>37</v>
      </c>
      <c r="B38" s="130">
        <f t="shared" ref="B38:AJ38" si="16">SUM(B7:B37)</f>
        <v>8996160.0000000037</v>
      </c>
      <c r="C38" s="130">
        <f t="shared" si="16"/>
        <v>8946000</v>
      </c>
      <c r="D38" s="130">
        <f t="shared" si="16"/>
        <v>25184.150000000373</v>
      </c>
      <c r="E38" s="130">
        <f t="shared" si="16"/>
        <v>0</v>
      </c>
      <c r="F38" s="130">
        <f t="shared" si="16"/>
        <v>138710</v>
      </c>
      <c r="G38" s="130">
        <f t="shared" si="16"/>
        <v>229405.84999999893</v>
      </c>
      <c r="H38" s="130">
        <f t="shared" si="16"/>
        <v>213400.00000000006</v>
      </c>
      <c r="I38" s="130">
        <f t="shared" si="16"/>
        <v>463555.15000000066</v>
      </c>
      <c r="J38" s="130">
        <f t="shared" si="16"/>
        <v>163455.14999999927</v>
      </c>
      <c r="K38" s="130">
        <f t="shared" si="16"/>
        <v>295639.99999999942</v>
      </c>
      <c r="L38" s="130">
        <f t="shared" si="16"/>
        <v>8022.2800000000279</v>
      </c>
      <c r="M38" s="130">
        <f t="shared" si="16"/>
        <v>11348.059999999998</v>
      </c>
      <c r="N38" s="130">
        <f t="shared" si="16"/>
        <v>1548720.6399999992</v>
      </c>
      <c r="O38" s="130">
        <f t="shared" si="16"/>
        <v>22570.499999999989</v>
      </c>
      <c r="P38" s="130">
        <f t="shared" si="16"/>
        <v>64700.099999999977</v>
      </c>
      <c r="Q38" s="130">
        <f t="shared" si="16"/>
        <v>178663.19999999995</v>
      </c>
      <c r="R38" s="130">
        <f t="shared" si="16"/>
        <v>8293.6999999999971</v>
      </c>
      <c r="S38" s="130">
        <f t="shared" si="16"/>
        <v>519354.64999999967</v>
      </c>
      <c r="T38" s="130">
        <f t="shared" si="16"/>
        <v>230570.15000000014</v>
      </c>
      <c r="U38" s="130">
        <f t="shared" si="16"/>
        <v>184100.15000000034</v>
      </c>
      <c r="V38" s="130">
        <f t="shared" si="16"/>
        <v>1208252.4500000002</v>
      </c>
      <c r="W38" s="130">
        <f t="shared" si="16"/>
        <v>249223</v>
      </c>
      <c r="X38" s="130">
        <f t="shared" si="16"/>
        <v>92106</v>
      </c>
      <c r="Y38" s="130">
        <f t="shared" si="16"/>
        <v>341329</v>
      </c>
      <c r="Z38" s="130">
        <f t="shared" si="16"/>
        <v>18179.999999999949</v>
      </c>
      <c r="AA38" s="130">
        <f t="shared" si="16"/>
        <v>79899.999999999869</v>
      </c>
      <c r="AB38" s="130">
        <f t="shared" si="16"/>
        <v>286700.00000000076</v>
      </c>
      <c r="AC38" s="130">
        <f t="shared" si="16"/>
        <v>141020</v>
      </c>
      <c r="AD38" s="130">
        <f t="shared" si="16"/>
        <v>248500</v>
      </c>
      <c r="AE38" s="130">
        <f t="shared" si="16"/>
        <v>535000</v>
      </c>
      <c r="AF38" s="130">
        <f t="shared" si="16"/>
        <v>1900.0000000000036</v>
      </c>
      <c r="AG38" s="130">
        <f t="shared" si="16"/>
        <v>2134140.0000000005</v>
      </c>
      <c r="AH38" s="130">
        <f t="shared" si="16"/>
        <v>137300.00000000017</v>
      </c>
      <c r="AI38" s="130">
        <f t="shared" si="16"/>
        <v>198855.14999999997</v>
      </c>
      <c r="AJ38" s="130">
        <f t="shared" si="16"/>
        <v>781815.15000000014</v>
      </c>
      <c r="AK38" s="130">
        <f t="shared" ref="AK38:BU38" si="17">SUM(AK7:AK37)</f>
        <v>1117970.3</v>
      </c>
      <c r="AL38" s="130">
        <f t="shared" si="17"/>
        <v>622815.15</v>
      </c>
      <c r="AM38" s="130">
        <f t="shared" si="17"/>
        <v>256855.15</v>
      </c>
      <c r="AN38" s="130">
        <f t="shared" si="17"/>
        <v>15340.000000000029</v>
      </c>
      <c r="AO38" s="130">
        <f t="shared" si="17"/>
        <v>895010.3</v>
      </c>
      <c r="AP38" s="130">
        <f t="shared" si="17"/>
        <v>214300</v>
      </c>
      <c r="AQ38" s="130">
        <f t="shared" si="17"/>
        <v>28529.999999999909</v>
      </c>
      <c r="AR38" s="130">
        <f t="shared" si="17"/>
        <v>139399.99999999985</v>
      </c>
      <c r="AS38" s="130">
        <f t="shared" si="17"/>
        <v>382229.99999999977</v>
      </c>
      <c r="AT38" s="130">
        <f t="shared" si="17"/>
        <v>249645.14999999997</v>
      </c>
      <c r="AU38" s="130">
        <f t="shared" si="17"/>
        <v>462000.00000000012</v>
      </c>
      <c r="AV38" s="130">
        <f t="shared" si="17"/>
        <v>250455.14999999988</v>
      </c>
      <c r="AW38" s="130">
        <f t="shared" si="17"/>
        <v>407416.97110659227</v>
      </c>
      <c r="AX38" s="130">
        <f t="shared" si="17"/>
        <v>56679.999999999905</v>
      </c>
      <c r="AY38" s="130">
        <f t="shared" si="17"/>
        <v>1426197.2711065921</v>
      </c>
      <c r="AZ38" s="130">
        <f t="shared" si="17"/>
        <v>359920.69</v>
      </c>
      <c r="BA38" s="130">
        <f t="shared" si="17"/>
        <v>536210.68999999994</v>
      </c>
      <c r="BB38" s="130">
        <f t="shared" si="17"/>
        <v>388148.86889340775</v>
      </c>
      <c r="BC38" s="130">
        <f t="shared" si="17"/>
        <v>48570.00000000024</v>
      </c>
      <c r="BD38" s="130">
        <f t="shared" si="17"/>
        <v>1332850.2488934076</v>
      </c>
      <c r="BE38" s="130">
        <f t="shared" si="17"/>
        <v>7690</v>
      </c>
      <c r="BF38" s="130">
        <f t="shared" si="17"/>
        <v>10570</v>
      </c>
      <c r="BG38" s="130">
        <f t="shared" si="17"/>
        <v>18260</v>
      </c>
      <c r="BH38" s="130">
        <f t="shared" si="17"/>
        <v>341329</v>
      </c>
      <c r="BI38" s="130">
        <f t="shared" si="17"/>
        <v>0</v>
      </c>
      <c r="BJ38" s="130">
        <f t="shared" si="17"/>
        <v>0</v>
      </c>
      <c r="BK38" s="130">
        <f t="shared" si="17"/>
        <v>0</v>
      </c>
      <c r="BL38" s="130">
        <f t="shared" si="17"/>
        <v>372999.99999999983</v>
      </c>
      <c r="BM38" s="130">
        <f t="shared" si="17"/>
        <v>0</v>
      </c>
      <c r="BN38" s="130">
        <f t="shared" si="17"/>
        <v>0</v>
      </c>
      <c r="BO38" s="130">
        <f t="shared" si="17"/>
        <v>5000</v>
      </c>
      <c r="BP38" s="130">
        <f t="shared" si="17"/>
        <v>0</v>
      </c>
      <c r="BQ38" s="130">
        <f t="shared" si="17"/>
        <v>17899.99999999968</v>
      </c>
      <c r="BR38" s="130">
        <f t="shared" si="17"/>
        <v>0</v>
      </c>
      <c r="BS38" s="130">
        <f t="shared" si="17"/>
        <v>4590.0000000002728</v>
      </c>
      <c r="BT38" s="130">
        <f t="shared" si="17"/>
        <v>0</v>
      </c>
      <c r="BU38" s="130">
        <f t="shared" si="17"/>
        <v>2720000</v>
      </c>
      <c r="BV38" s="164"/>
      <c r="BX38" s="130">
        <f t="shared" ref="BX38:CC38" si="18">SUM(BX7:BX37)</f>
        <v>2669140</v>
      </c>
      <c r="BY38" s="130">
        <f t="shared" si="18"/>
        <v>0</v>
      </c>
      <c r="BZ38" s="130">
        <f t="shared" si="18"/>
        <v>870923.30730000034</v>
      </c>
      <c r="CA38" s="130">
        <f t="shared" si="18"/>
        <v>664573.30729999987</v>
      </c>
      <c r="CB38" s="130">
        <f t="shared" si="18"/>
        <v>596743.30730000022</v>
      </c>
      <c r="CC38" s="130">
        <f t="shared" si="18"/>
        <v>536900</v>
      </c>
    </row>
    <row r="39" spans="1:87" x14ac:dyDescent="0.25">
      <c r="V39" s="91"/>
      <c r="W39" s="91"/>
      <c r="X39" s="91"/>
      <c r="Y39" s="91"/>
      <c r="Z39" s="15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  <c r="CE39" t="s">
        <v>122</v>
      </c>
      <c r="CF39" s="91">
        <f>Y38</f>
        <v>341329</v>
      </c>
      <c r="CH39" t="s">
        <v>332</v>
      </c>
      <c r="CI39" s="91">
        <f>BH38</f>
        <v>341329</v>
      </c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H40" s="6" t="s">
        <v>317</v>
      </c>
      <c r="BI40" s="403" t="s">
        <v>307</v>
      </c>
      <c r="BJ40" s="417"/>
      <c r="BK40" s="417"/>
      <c r="BL40" s="417"/>
      <c r="BM40" s="417"/>
      <c r="BN40" s="417"/>
      <c r="BO40" s="417"/>
      <c r="BP40" s="404"/>
      <c r="BU40" s="91"/>
      <c r="CE40" s="91" t="s">
        <v>17</v>
      </c>
      <c r="CF40" s="91">
        <f>AS38</f>
        <v>382229.99999999977</v>
      </c>
      <c r="CH40" t="s">
        <v>333</v>
      </c>
      <c r="CI40" s="91">
        <f>SUM(BL38:BO38)</f>
        <v>377999.99999999983</v>
      </c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91"/>
      <c r="AP41" s="3"/>
      <c r="AQ41" s="3"/>
      <c r="AR41" s="3"/>
      <c r="BH41" s="6">
        <v>1</v>
      </c>
      <c r="BI41" s="498" t="s">
        <v>305</v>
      </c>
      <c r="BJ41" s="498"/>
      <c r="BK41" s="498"/>
      <c r="BL41" s="498"/>
      <c r="BM41" s="498"/>
      <c r="BN41" s="498"/>
      <c r="BO41" s="498"/>
      <c r="BP41" s="498"/>
      <c r="BR41" s="91"/>
      <c r="BW41" t="s">
        <v>281</v>
      </c>
      <c r="BX41" s="91">
        <f>BX38</f>
        <v>2669140</v>
      </c>
      <c r="CE41" s="91" t="s">
        <v>19</v>
      </c>
      <c r="CF41" s="91">
        <f>BG38</f>
        <v>18260</v>
      </c>
      <c r="CH41" t="s">
        <v>331</v>
      </c>
      <c r="CI41" s="91">
        <f>SUM(BP38:BS38)</f>
        <v>22489.999999999953</v>
      </c>
    </row>
    <row r="42" spans="1:87" x14ac:dyDescent="0.25">
      <c r="B42" t="s">
        <v>106</v>
      </c>
      <c r="C42" s="24">
        <f>B38</f>
        <v>8996160.0000000037</v>
      </c>
      <c r="D42" s="91"/>
      <c r="N42" s="132"/>
      <c r="O42" s="132"/>
      <c r="P42" s="132"/>
      <c r="Q42" s="132"/>
      <c r="R42" s="132"/>
      <c r="S42" s="132"/>
      <c r="T42" s="132"/>
      <c r="U42" s="132"/>
      <c r="V42" s="497">
        <v>45748</v>
      </c>
      <c r="W42" s="497"/>
      <c r="X42" s="497"/>
      <c r="Y42" s="497"/>
      <c r="Z42" s="497"/>
      <c r="AA42" s="497"/>
      <c r="AB42" s="497"/>
      <c r="AC42" s="497"/>
      <c r="AD42" s="497"/>
      <c r="AK42" s="3"/>
      <c r="AL42" s="3"/>
      <c r="AM42" s="3"/>
      <c r="AN42" s="3"/>
      <c r="AO42" s="3"/>
      <c r="AP42" s="3"/>
      <c r="AQ42" s="3"/>
      <c r="AR42" s="3"/>
      <c r="BH42" s="6">
        <v>2</v>
      </c>
      <c r="BI42" s="498" t="s">
        <v>305</v>
      </c>
      <c r="BJ42" s="498"/>
      <c r="BK42" s="498"/>
      <c r="BL42" s="498"/>
      <c r="BM42" s="498"/>
      <c r="BN42" s="498"/>
      <c r="BO42" s="498"/>
      <c r="BP42" s="498"/>
      <c r="BW42" t="s">
        <v>258</v>
      </c>
      <c r="BX42" s="91">
        <f>BY38</f>
        <v>0</v>
      </c>
      <c r="CE42" s="91"/>
      <c r="CF42" s="151">
        <f>SUM(CF39:CF41)</f>
        <v>741818.99999999977</v>
      </c>
      <c r="CI42" s="151">
        <f>SUM(CI39:CI41)</f>
        <v>741818.99999999977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406" t="s">
        <v>158</v>
      </c>
      <c r="W43" s="406"/>
      <c r="X43" s="406"/>
      <c r="Y43" s="406"/>
      <c r="Z43" s="406"/>
      <c r="AA43" s="406" t="s">
        <v>159</v>
      </c>
      <c r="AB43" s="406"/>
      <c r="AC43" s="406"/>
      <c r="AD43" s="406"/>
      <c r="AK43" s="169"/>
      <c r="AL43" s="134"/>
      <c r="AM43" s="134"/>
      <c r="AN43" s="170"/>
      <c r="AO43" s="169"/>
      <c r="AP43" s="134"/>
      <c r="AQ43" s="134"/>
      <c r="AR43" s="134"/>
      <c r="BH43" s="6">
        <v>3</v>
      </c>
      <c r="BI43" s="498" t="s">
        <v>305</v>
      </c>
      <c r="BJ43" s="498"/>
      <c r="BK43" s="498"/>
      <c r="BL43" s="498"/>
      <c r="BM43" s="498"/>
      <c r="BN43" s="498"/>
      <c r="BO43" s="498"/>
      <c r="BP43" s="498"/>
      <c r="BW43" t="s">
        <v>204</v>
      </c>
      <c r="BX43" s="91">
        <f>BZ38</f>
        <v>870923.30730000034</v>
      </c>
      <c r="CE43" s="91"/>
    </row>
    <row r="44" spans="1:87" x14ac:dyDescent="0.25">
      <c r="B44" t="s">
        <v>120</v>
      </c>
      <c r="C44" s="24">
        <f>N38</f>
        <v>1548720.6399999992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H44" s="6">
        <v>4</v>
      </c>
      <c r="BI44" s="498" t="s">
        <v>305</v>
      </c>
      <c r="BJ44" s="498"/>
      <c r="BK44" s="498"/>
      <c r="BL44" s="498"/>
      <c r="BM44" s="498"/>
      <c r="BN44" s="498"/>
      <c r="BO44" s="498"/>
      <c r="BP44" s="498"/>
      <c r="BW44" t="s">
        <v>260</v>
      </c>
      <c r="BX44" s="91">
        <f>CA38</f>
        <v>664573.30729999987</v>
      </c>
      <c r="CE44" s="91"/>
    </row>
    <row r="45" spans="1:87" x14ac:dyDescent="0.25">
      <c r="B45" t="s">
        <v>157</v>
      </c>
      <c r="C45" s="24">
        <f>V38</f>
        <v>1208252.4500000002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H45" s="6">
        <v>5</v>
      </c>
      <c r="BI45" s="498" t="s">
        <v>305</v>
      </c>
      <c r="BJ45" s="498"/>
      <c r="BK45" s="498"/>
      <c r="BL45" s="498"/>
      <c r="BM45" s="498"/>
      <c r="BN45" s="498"/>
      <c r="BO45" s="498"/>
      <c r="BP45" s="498"/>
      <c r="BW45" t="s">
        <v>261</v>
      </c>
      <c r="BX45" s="91">
        <f>CB38</f>
        <v>596743.30730000022</v>
      </c>
      <c r="CE45" s="91"/>
    </row>
    <row r="46" spans="1:87" x14ac:dyDescent="0.25">
      <c r="B46" t="s">
        <v>160</v>
      </c>
      <c r="C46" s="24">
        <f>Y38</f>
        <v>341329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H46" s="6">
        <v>6</v>
      </c>
      <c r="BI46" s="498" t="s">
        <v>305</v>
      </c>
      <c r="BJ46" s="498"/>
      <c r="BK46" s="498"/>
      <c r="BL46" s="498"/>
      <c r="BM46" s="498"/>
      <c r="BN46" s="498"/>
      <c r="BO46" s="498"/>
      <c r="BP46" s="498"/>
      <c r="BW46" t="s">
        <v>282</v>
      </c>
      <c r="BX46" s="91">
        <f>CC38</f>
        <v>536900</v>
      </c>
      <c r="CE46" s="91"/>
      <c r="CF46" s="151"/>
    </row>
    <row r="47" spans="1:87" x14ac:dyDescent="0.25">
      <c r="B47" t="s">
        <v>128</v>
      </c>
      <c r="C47" s="24">
        <f>AK38</f>
        <v>1117970.3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H47" s="6">
        <v>7</v>
      </c>
      <c r="BI47" s="498" t="s">
        <v>305</v>
      </c>
      <c r="BJ47" s="498"/>
      <c r="BK47" s="498"/>
      <c r="BL47" s="498"/>
      <c r="BM47" s="498"/>
      <c r="BN47" s="498"/>
      <c r="BO47" s="498"/>
      <c r="BP47" s="498"/>
      <c r="CE47" s="91"/>
    </row>
    <row r="48" spans="1:87" x14ac:dyDescent="0.25">
      <c r="B48" t="s">
        <v>130</v>
      </c>
      <c r="C48" s="24">
        <f>AO38</f>
        <v>895010.3</v>
      </c>
      <c r="D48" s="91"/>
      <c r="N48" s="132"/>
      <c r="O48" s="132"/>
      <c r="P48" s="132"/>
      <c r="Q48" s="132"/>
      <c r="R48" s="132"/>
      <c r="S48" s="132"/>
      <c r="T48" s="132"/>
      <c r="U48" s="132"/>
      <c r="V48" s="406" t="s">
        <v>178</v>
      </c>
      <c r="W48" s="406"/>
      <c r="X48" s="406"/>
      <c r="Y48" s="406"/>
      <c r="Z48" s="406"/>
      <c r="AA48" s="406" t="s">
        <v>161</v>
      </c>
      <c r="AB48" s="406"/>
      <c r="AC48" s="406" t="s">
        <v>162</v>
      </c>
      <c r="AD48" s="406"/>
      <c r="BH48" s="6">
        <v>8</v>
      </c>
      <c r="BI48" s="498" t="s">
        <v>305</v>
      </c>
      <c r="BJ48" s="498"/>
      <c r="BK48" s="498"/>
      <c r="BL48" s="498"/>
      <c r="BM48" s="498"/>
      <c r="BN48" s="498"/>
      <c r="BO48" s="498"/>
      <c r="BP48" s="498"/>
      <c r="BW48" t="s">
        <v>98</v>
      </c>
      <c r="BX48" s="91">
        <f>BX41+BX42-BX43-BX44-BX45-BX46</f>
        <v>7.8099999343976378E-2</v>
      </c>
    </row>
    <row r="49" spans="2:68" x14ac:dyDescent="0.25">
      <c r="B49" t="s">
        <v>132</v>
      </c>
      <c r="C49" s="24">
        <f>AY38</f>
        <v>1426197.2711065921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H49" s="6">
        <v>9</v>
      </c>
      <c r="BI49" s="498" t="s">
        <v>305</v>
      </c>
      <c r="BJ49" s="498"/>
      <c r="BK49" s="498"/>
      <c r="BL49" s="498"/>
      <c r="BM49" s="498"/>
      <c r="BN49" s="498"/>
      <c r="BO49" s="498"/>
      <c r="BP49" s="498"/>
    </row>
    <row r="50" spans="2:68" x14ac:dyDescent="0.25">
      <c r="B50" t="s">
        <v>133</v>
      </c>
      <c r="C50" s="69">
        <f>BD38</f>
        <v>1332850.2488934076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H50" s="6">
        <v>10</v>
      </c>
      <c r="BI50" s="498" t="s">
        <v>305</v>
      </c>
      <c r="BJ50" s="498"/>
      <c r="BK50" s="498"/>
      <c r="BL50" s="498"/>
      <c r="BM50" s="498"/>
      <c r="BN50" s="498"/>
      <c r="BO50" s="498"/>
      <c r="BP50" s="498"/>
    </row>
    <row r="51" spans="2:68" x14ac:dyDescent="0.25">
      <c r="B51" t="s">
        <v>131</v>
      </c>
      <c r="C51" s="24">
        <f>SUM(AS7:AS27)+SUM(BL33:BO37)+SUM(BG7:BG27)</f>
        <v>377999.99999999983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AE51" s="151">
        <f>BL38+BO38-C51</f>
        <v>0</v>
      </c>
      <c r="BH51" s="6">
        <v>11</v>
      </c>
      <c r="BI51" s="498" t="s">
        <v>305</v>
      </c>
      <c r="BJ51" s="498"/>
      <c r="BK51" s="498"/>
      <c r="BL51" s="498"/>
      <c r="BM51" s="498"/>
      <c r="BN51" s="498"/>
      <c r="BO51" s="498"/>
      <c r="BP51" s="498"/>
    </row>
    <row r="52" spans="2:68" x14ac:dyDescent="0.25">
      <c r="B52" t="s">
        <v>19</v>
      </c>
      <c r="C52" s="24">
        <f>SUM(BP38:BS38)</f>
        <v>22489.999999999953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H52" s="6">
        <v>12</v>
      </c>
      <c r="BI52" s="498" t="s">
        <v>305</v>
      </c>
      <c r="BJ52" s="498"/>
      <c r="BK52" s="498"/>
      <c r="BL52" s="498"/>
      <c r="BM52" s="498"/>
      <c r="BN52" s="498"/>
      <c r="BO52" s="498"/>
      <c r="BP52" s="498"/>
    </row>
    <row r="53" spans="2:68" x14ac:dyDescent="0.25">
      <c r="B53" t="s">
        <v>163</v>
      </c>
      <c r="C53" s="24">
        <f>AA38</f>
        <v>79899.999999999869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H53" s="6">
        <v>13</v>
      </c>
      <c r="BI53" s="498" t="s">
        <v>305</v>
      </c>
      <c r="BJ53" s="498"/>
      <c r="BK53" s="498"/>
      <c r="BL53" s="498"/>
      <c r="BM53" s="498"/>
      <c r="BN53" s="498"/>
      <c r="BO53" s="498"/>
      <c r="BP53" s="498"/>
    </row>
    <row r="54" spans="2:68" x14ac:dyDescent="0.25">
      <c r="B54" t="s">
        <v>6</v>
      </c>
      <c r="C54" s="24">
        <f>AB38</f>
        <v>286700.00000000076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H54" s="6">
        <v>14</v>
      </c>
      <c r="BI54" s="498" t="s">
        <v>305</v>
      </c>
      <c r="BJ54" s="498"/>
      <c r="BK54" s="498"/>
      <c r="BL54" s="498"/>
      <c r="BM54" s="498"/>
      <c r="BN54" s="498"/>
      <c r="BO54" s="498"/>
      <c r="BP54" s="498"/>
    </row>
    <row r="55" spans="2:68" x14ac:dyDescent="0.25">
      <c r="B55" t="s">
        <v>164</v>
      </c>
      <c r="C55" s="24">
        <f>Z38</f>
        <v>18179.999999999949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H55" s="6">
        <v>15</v>
      </c>
      <c r="BI55" s="498" t="s">
        <v>305</v>
      </c>
      <c r="BJ55" s="498"/>
      <c r="BK55" s="498"/>
      <c r="BL55" s="498"/>
      <c r="BM55" s="498"/>
      <c r="BN55" s="498"/>
      <c r="BO55" s="498"/>
      <c r="BP55" s="498"/>
    </row>
    <row r="56" spans="2:68" x14ac:dyDescent="0.25">
      <c r="B56" t="s">
        <v>165</v>
      </c>
      <c r="C56" s="24">
        <f>AC38</f>
        <v>141020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H56" s="6">
        <v>16</v>
      </c>
      <c r="BI56" s="498" t="s">
        <v>305</v>
      </c>
      <c r="BJ56" s="498"/>
      <c r="BK56" s="498"/>
      <c r="BL56" s="498"/>
      <c r="BM56" s="498"/>
      <c r="BN56" s="498"/>
      <c r="BO56" s="498"/>
      <c r="BP56" s="498"/>
    </row>
    <row r="57" spans="2:68" x14ac:dyDescent="0.25">
      <c r="B57" t="s">
        <v>181</v>
      </c>
      <c r="C57" s="24">
        <f>AD38</f>
        <v>248500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H57" s="6">
        <v>17</v>
      </c>
      <c r="BI57" s="498" t="s">
        <v>305</v>
      </c>
      <c r="BJ57" s="498"/>
      <c r="BK57" s="498"/>
      <c r="BL57" s="498"/>
      <c r="BM57" s="498"/>
      <c r="BN57" s="498"/>
      <c r="BO57" s="498"/>
      <c r="BP57" s="498"/>
    </row>
    <row r="58" spans="2:68" x14ac:dyDescent="0.25">
      <c r="B58" t="s">
        <v>166</v>
      </c>
      <c r="C58" s="24">
        <f>AE38</f>
        <v>535000</v>
      </c>
      <c r="D58" s="91"/>
      <c r="N58" s="91"/>
      <c r="O58" s="91"/>
      <c r="P58" s="91"/>
      <c r="Q58" s="91"/>
      <c r="R58" s="91"/>
      <c r="S58" s="91"/>
      <c r="T58" s="91"/>
      <c r="U58" s="91"/>
      <c r="BH58" s="6">
        <v>18</v>
      </c>
      <c r="BI58" s="498" t="s">
        <v>305</v>
      </c>
      <c r="BJ58" s="498"/>
      <c r="BK58" s="498"/>
      <c r="BL58" s="498"/>
      <c r="BM58" s="498"/>
      <c r="BN58" s="498"/>
      <c r="BO58" s="498"/>
      <c r="BP58" s="498"/>
    </row>
    <row r="59" spans="2:68" x14ac:dyDescent="0.25">
      <c r="B59" t="s">
        <v>250</v>
      </c>
      <c r="C59" s="24">
        <f>AF38</f>
        <v>1900.0000000000036</v>
      </c>
      <c r="D59" s="91"/>
      <c r="N59" s="91"/>
      <c r="O59" s="91"/>
      <c r="P59" s="91"/>
      <c r="Q59" s="91"/>
      <c r="R59" s="91"/>
      <c r="S59" s="91"/>
      <c r="T59" s="91"/>
      <c r="U59" s="91"/>
      <c r="BH59" s="6">
        <v>19</v>
      </c>
      <c r="BI59" s="498" t="s">
        <v>305</v>
      </c>
      <c r="BJ59" s="498"/>
      <c r="BK59" s="498"/>
      <c r="BL59" s="498"/>
      <c r="BM59" s="498"/>
      <c r="BN59" s="498"/>
      <c r="BO59" s="498"/>
      <c r="BP59" s="498"/>
    </row>
    <row r="60" spans="2:68" x14ac:dyDescent="0.25">
      <c r="B60" t="s">
        <v>251</v>
      </c>
      <c r="C60" s="24">
        <f>AG38</f>
        <v>2134140.0000000005</v>
      </c>
      <c r="D60" s="91"/>
      <c r="N60" s="91"/>
      <c r="O60" s="91"/>
      <c r="P60" s="91"/>
      <c r="Q60" s="91"/>
      <c r="R60" s="91"/>
      <c r="S60" s="91"/>
      <c r="T60" s="91"/>
      <c r="U60" s="91"/>
      <c r="BH60" s="6">
        <v>20</v>
      </c>
      <c r="BI60" s="498" t="s">
        <v>305</v>
      </c>
      <c r="BJ60" s="498"/>
      <c r="BK60" s="498"/>
      <c r="BL60" s="498"/>
      <c r="BM60" s="498"/>
      <c r="BN60" s="498"/>
      <c r="BO60" s="498"/>
      <c r="BP60" s="498"/>
    </row>
    <row r="61" spans="2:68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H61" s="6">
        <v>21</v>
      </c>
      <c r="BI61" s="498" t="s">
        <v>305</v>
      </c>
      <c r="BJ61" s="498"/>
      <c r="BK61" s="498"/>
      <c r="BL61" s="498"/>
      <c r="BM61" s="498"/>
      <c r="BN61" s="498"/>
      <c r="BO61" s="498"/>
      <c r="BP61" s="498"/>
    </row>
    <row r="62" spans="2:68" x14ac:dyDescent="0.25">
      <c r="B62" t="s">
        <v>192</v>
      </c>
      <c r="C62" s="24">
        <f>BU38</f>
        <v>2720000</v>
      </c>
      <c r="D62" s="91"/>
      <c r="N62" s="3"/>
      <c r="O62" s="3"/>
      <c r="P62" s="3"/>
      <c r="Q62" s="3"/>
      <c r="R62" s="3"/>
      <c r="S62" s="3"/>
      <c r="T62" s="3"/>
      <c r="U62" s="3"/>
      <c r="BH62" s="6">
        <v>22</v>
      </c>
      <c r="BI62" s="498" t="s">
        <v>311</v>
      </c>
      <c r="BJ62" s="498"/>
      <c r="BK62" s="498"/>
      <c r="BL62" s="498"/>
      <c r="BM62" s="498"/>
      <c r="BN62" s="498"/>
      <c r="BO62" s="498"/>
      <c r="BP62" s="498"/>
    </row>
    <row r="63" spans="2:68" x14ac:dyDescent="0.25">
      <c r="B63" t="s">
        <v>167</v>
      </c>
      <c r="C63" s="24">
        <f>C42-C44-C45-C46-C47-C48-C49-C50-C51-C52-C53-C54-C55-C56-C57-C58-C61+C62-C59-C60</f>
        <v>-0.20999999577179551</v>
      </c>
      <c r="D63" s="3"/>
      <c r="N63" s="3"/>
      <c r="O63" s="3"/>
      <c r="P63" s="3"/>
      <c r="Q63" s="3"/>
      <c r="R63" s="3"/>
      <c r="S63" s="3"/>
      <c r="T63" s="3"/>
      <c r="U63" s="3"/>
      <c r="BH63" s="6">
        <v>23</v>
      </c>
      <c r="BI63" s="498" t="s">
        <v>311</v>
      </c>
      <c r="BJ63" s="498"/>
      <c r="BK63" s="498"/>
      <c r="BL63" s="498"/>
      <c r="BM63" s="498"/>
      <c r="BN63" s="498"/>
      <c r="BO63" s="498"/>
      <c r="BP63" s="498"/>
    </row>
    <row r="64" spans="2:68" x14ac:dyDescent="0.25">
      <c r="BH64" s="6">
        <v>24</v>
      </c>
      <c r="BI64" s="498" t="s">
        <v>311</v>
      </c>
      <c r="BJ64" s="498"/>
      <c r="BK64" s="498"/>
      <c r="BL64" s="498"/>
      <c r="BM64" s="498"/>
      <c r="BN64" s="498"/>
      <c r="BO64" s="498"/>
      <c r="BP64" s="498"/>
    </row>
    <row r="65" spans="2:68" x14ac:dyDescent="0.25">
      <c r="BH65" s="6">
        <v>25</v>
      </c>
      <c r="BI65" s="498" t="s">
        <v>312</v>
      </c>
      <c r="BJ65" s="498"/>
      <c r="BK65" s="498"/>
      <c r="BL65" s="498"/>
      <c r="BM65" s="498"/>
      <c r="BN65" s="498"/>
      <c r="BO65" s="498"/>
      <c r="BP65" s="498"/>
    </row>
    <row r="66" spans="2:68" x14ac:dyDescent="0.25">
      <c r="B66" s="3"/>
      <c r="C66" s="3"/>
      <c r="D66" s="151"/>
      <c r="BH66" s="6">
        <v>26</v>
      </c>
      <c r="BI66" s="498" t="s">
        <v>312</v>
      </c>
      <c r="BJ66" s="498"/>
      <c r="BK66" s="498"/>
      <c r="BL66" s="498"/>
      <c r="BM66" s="498"/>
      <c r="BN66" s="498"/>
      <c r="BO66" s="498"/>
      <c r="BP66" s="498"/>
    </row>
    <row r="67" spans="2:68" x14ac:dyDescent="0.25">
      <c r="BH67" s="6">
        <v>27</v>
      </c>
      <c r="BI67" s="498" t="s">
        <v>313</v>
      </c>
      <c r="BJ67" s="498"/>
      <c r="BK67" s="498"/>
      <c r="BL67" s="498"/>
      <c r="BM67" s="498"/>
      <c r="BN67" s="498"/>
      <c r="BO67" s="498"/>
      <c r="BP67" s="498"/>
    </row>
    <row r="68" spans="2:68" x14ac:dyDescent="0.25">
      <c r="BH68" s="6">
        <v>28</v>
      </c>
      <c r="BI68" s="498" t="s">
        <v>305</v>
      </c>
      <c r="BJ68" s="498"/>
      <c r="BK68" s="498"/>
      <c r="BL68" s="498"/>
      <c r="BM68" s="498"/>
      <c r="BN68" s="498"/>
      <c r="BO68" s="498"/>
      <c r="BP68" s="498"/>
    </row>
    <row r="69" spans="2:68" x14ac:dyDescent="0.25">
      <c r="BH69" s="6">
        <v>29</v>
      </c>
      <c r="BI69" s="498" t="s">
        <v>305</v>
      </c>
      <c r="BJ69" s="498"/>
      <c r="BK69" s="498"/>
      <c r="BL69" s="498"/>
      <c r="BM69" s="498"/>
      <c r="BN69" s="498"/>
      <c r="BO69" s="498"/>
      <c r="BP69" s="498"/>
    </row>
    <row r="70" spans="2:68" x14ac:dyDescent="0.25">
      <c r="BH70" s="6">
        <v>30</v>
      </c>
      <c r="BI70" s="498" t="s">
        <v>305</v>
      </c>
      <c r="BJ70" s="498"/>
      <c r="BK70" s="498"/>
      <c r="BL70" s="498"/>
      <c r="BM70" s="498"/>
      <c r="BN70" s="498"/>
      <c r="BO70" s="498"/>
      <c r="BP70" s="498"/>
    </row>
    <row r="71" spans="2:68" x14ac:dyDescent="0.25">
      <c r="BH71" s="6">
        <v>31</v>
      </c>
      <c r="BI71" s="498" t="s">
        <v>305</v>
      </c>
      <c r="BJ71" s="498"/>
      <c r="BK71" s="498"/>
      <c r="BL71" s="498"/>
      <c r="BM71" s="498"/>
      <c r="BN71" s="498"/>
      <c r="BO71" s="498"/>
      <c r="BP71" s="498"/>
    </row>
  </sheetData>
  <customSheetViews>
    <customSheetView guid="{48545DB9-4D9D-4699-ACEC-DA6E2D3586A8}" scale="85" fitToPage="1" hiddenColumns="1">
      <pane xSplit="1" ySplit="6" topLeftCell="B34" activePane="bottomRight" state="frozen"/>
      <selection pane="bottomRight" activeCell="V57" sqref="V57"/>
      <pageMargins left="0" right="0" top="0.74803149606299213" bottom="0.35433070866141736" header="0.31496062992125984" footer="0.31496062992125984"/>
      <pageSetup paperSize="9" scale="43" orientation="landscape" r:id="rId1"/>
    </customSheetView>
    <customSheetView guid="{32ABFE17-599B-4D0B-A1DB-D95B181877FC}" scale="85" fitToPage="1" hiddenColumns="1">
      <pane xSplit="1" ySplit="6" topLeftCell="B34" activePane="bottomRight" state="frozen"/>
      <selection pane="bottomRight" activeCell="V57" sqref="V57"/>
      <pageMargins left="0" right="0" top="0.74803149606299213" bottom="0.35433070866141736" header="0.31496062992125984" footer="0.31496062992125984"/>
      <pageSetup paperSize="9" scale="43" orientation="landscape" r:id="rId2"/>
    </customSheetView>
  </customSheetViews>
  <mergeCells count="81"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D5:I5"/>
    <mergeCell ref="J5:K5"/>
    <mergeCell ref="L5:M5"/>
    <mergeCell ref="BL4:BO5"/>
    <mergeCell ref="AS4:AS6"/>
    <mergeCell ref="AT4:AW4"/>
    <mergeCell ref="AY4:AY6"/>
    <mergeCell ref="AZ4:BB4"/>
    <mergeCell ref="BD4:BD6"/>
    <mergeCell ref="BH4:BK5"/>
    <mergeCell ref="BG4:BG6"/>
    <mergeCell ref="BE4:BF4"/>
    <mergeCell ref="AP4:AR4"/>
    <mergeCell ref="AA4:AA6"/>
    <mergeCell ref="AB4:AB6"/>
    <mergeCell ref="AC4:AC6"/>
    <mergeCell ref="AD4:AD6"/>
    <mergeCell ref="AE4:AE6"/>
    <mergeCell ref="AF4:AF6"/>
    <mergeCell ref="AG4:AG6"/>
    <mergeCell ref="AH4:AJ4"/>
    <mergeCell ref="AK4:AK6"/>
    <mergeCell ref="AL4:AN4"/>
    <mergeCell ref="AO4:AO6"/>
    <mergeCell ref="BZ4:BZ6"/>
    <mergeCell ref="CA4:CA6"/>
    <mergeCell ref="CB4:CB6"/>
    <mergeCell ref="CC4:CC6"/>
    <mergeCell ref="BT4:BT6"/>
    <mergeCell ref="BU4:BU6"/>
    <mergeCell ref="BX4:BX6"/>
    <mergeCell ref="BY4:BY6"/>
    <mergeCell ref="BI41:BP41"/>
    <mergeCell ref="BI42:BP42"/>
    <mergeCell ref="BI43:BP43"/>
    <mergeCell ref="V48:Z48"/>
    <mergeCell ref="AA48:AB48"/>
    <mergeCell ref="AC48:AD48"/>
    <mergeCell ref="V43:Z43"/>
    <mergeCell ref="AA43:AD43"/>
    <mergeCell ref="V42:AD42"/>
    <mergeCell ref="BI44:BP44"/>
    <mergeCell ref="BI45:BP45"/>
    <mergeCell ref="BI46:BP46"/>
    <mergeCell ref="BI47:BP47"/>
    <mergeCell ref="BI48:BP48"/>
    <mergeCell ref="BI55:BP55"/>
    <mergeCell ref="BI56:BP56"/>
    <mergeCell ref="BI57:BP57"/>
    <mergeCell ref="BI58:BP58"/>
    <mergeCell ref="BI49:BP49"/>
    <mergeCell ref="BI50:BP50"/>
    <mergeCell ref="BI51:BP51"/>
    <mergeCell ref="BI52:BP52"/>
    <mergeCell ref="BI53:BP53"/>
    <mergeCell ref="BP4:BS5"/>
    <mergeCell ref="BI69:BP69"/>
    <mergeCell ref="BI70:BP70"/>
    <mergeCell ref="BI71:BP71"/>
    <mergeCell ref="BI40:BP40"/>
    <mergeCell ref="BI64:BP64"/>
    <mergeCell ref="BI65:BP65"/>
    <mergeCell ref="BI66:BP66"/>
    <mergeCell ref="BI67:BP67"/>
    <mergeCell ref="BI68:BP68"/>
    <mergeCell ref="BI59:BP59"/>
    <mergeCell ref="BI60:BP60"/>
    <mergeCell ref="BI61:BP61"/>
    <mergeCell ref="BI62:BP62"/>
    <mergeCell ref="BI63:BP63"/>
    <mergeCell ref="BI54:BP54"/>
  </mergeCells>
  <pageMargins left="0" right="0" top="0.74803149606299213" bottom="0.35433070866141736" header="0.31496062992125984" footer="0.31496062992125984"/>
  <pageSetup paperSize="9" scale="43" orientation="landscape" r:id="rId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pageSetUpPr fitToPage="1"/>
  </sheetPr>
  <dimension ref="A1:XAO88"/>
  <sheetViews>
    <sheetView zoomScale="82" zoomScaleNormal="82" workbookViewId="0">
      <pane xSplit="1" ySplit="6" topLeftCell="GI7" activePane="bottomRight" state="frozen"/>
      <selection pane="topRight" activeCell="B1" sqref="B1"/>
      <selection pane="bottomLeft" activeCell="A7" sqref="A7"/>
      <selection pane="bottomRight" activeCell="GV29" sqref="GV29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4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1406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8.5703125" bestFit="1" customWidth="1"/>
    <col min="183" max="183" width="10.42578125" customWidth="1"/>
    <col min="184" max="185" width="10.7109375" bestFit="1" customWidth="1"/>
    <col min="186" max="186" width="8.42578125" customWidth="1"/>
    <col min="187" max="187" width="13.85546875" customWidth="1"/>
    <col min="188" max="188" width="12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4" width="1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2" width="7.42578125" bestFit="1" customWidth="1"/>
    <col min="233" max="233" width="11" bestFit="1" customWidth="1"/>
    <col min="234" max="234" width="5.5703125" bestFit="1" customWidth="1"/>
    <col min="235" max="235" width="7.28515625" bestFit="1" customWidth="1"/>
    <col min="236" max="236" width="11" bestFit="1" customWidth="1"/>
    <col min="237" max="237" width="24.140625" bestFit="1" customWidth="1"/>
    <col min="238" max="238" width="9.5703125" bestFit="1" customWidth="1"/>
    <col min="239" max="239" width="8.5703125" bestFit="1" customWidth="1"/>
    <col min="240" max="240" width="11" bestFit="1" customWidth="1"/>
    <col min="241" max="242" width="7.42578125" bestFit="1" customWidth="1"/>
    <col min="243" max="243" width="11" bestFit="1" customWidth="1"/>
    <col min="244" max="245" width="8.5703125" bestFit="1" customWidth="1"/>
    <col min="246" max="246" width="11" bestFit="1" customWidth="1"/>
    <col min="247" max="248" width="8.5703125" bestFit="1" customWidth="1"/>
    <col min="249" max="249" width="11" bestFit="1" customWidth="1"/>
    <col min="250" max="251" width="9.5703125" bestFit="1" customWidth="1"/>
    <col min="252" max="252" width="11" bestFit="1" customWidth="1"/>
    <col min="253" max="253" width="9.5703125" bestFit="1" customWidth="1"/>
    <col min="254" max="254" width="8.5703125" bestFit="1" customWidth="1"/>
    <col min="255" max="255" width="11" bestFit="1" customWidth="1"/>
    <col min="256" max="256" width="8.5703125" bestFit="1" customWidth="1"/>
    <col min="257" max="257" width="7.42578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9.5703125" bestFit="1" customWidth="1"/>
    <col min="263" max="263" width="7.42578125" bestFit="1" customWidth="1"/>
    <col min="264" max="264" width="11" bestFit="1" customWidth="1"/>
    <col min="265" max="266" width="8.5703125" bestFit="1" customWidth="1"/>
    <col min="267" max="267" width="11" bestFit="1" customWidth="1"/>
    <col min="268" max="269" width="9.5703125" bestFit="1" customWidth="1"/>
    <col min="270" max="270" width="11" bestFit="1" customWidth="1"/>
    <col min="271" max="271" width="9.5703125" bestFit="1" customWidth="1"/>
    <col min="272" max="272" width="8.5703125" bestFit="1" customWidth="1"/>
    <col min="273" max="273" width="11" bestFit="1" customWidth="1"/>
    <col min="274" max="275" width="8.5703125" bestFit="1" customWidth="1"/>
    <col min="276" max="276" width="11" bestFit="1" customWidth="1"/>
    <col min="277" max="277" width="9.5703125" bestFit="1" customWidth="1"/>
    <col min="278" max="278" width="10.5703125" bestFit="1" customWidth="1"/>
    <col min="279" max="279" width="11" bestFit="1" customWidth="1"/>
    <col min="280" max="280" width="7.42578125" bestFit="1" customWidth="1"/>
    <col min="281" max="281" width="7.28515625" bestFit="1" customWidth="1"/>
    <col min="282" max="282" width="11" bestFit="1" customWidth="1"/>
    <col min="283" max="283" width="8.5703125" bestFit="1" customWidth="1"/>
    <col min="284" max="284" width="7.42578125" bestFit="1" customWidth="1"/>
    <col min="285" max="285" width="11" bestFit="1" customWidth="1"/>
    <col min="286" max="286" width="12.140625" bestFit="1" customWidth="1"/>
    <col min="287" max="287" width="14.42578125" bestFit="1" customWidth="1"/>
    <col min="288" max="288" width="13.28515625" bestFit="1" customWidth="1"/>
    <col min="289" max="289" width="11.5703125" bestFit="1" customWidth="1"/>
    <col min="290" max="290" width="7.7109375" bestFit="1" customWidth="1"/>
    <col min="291" max="292" width="14.42578125" bestFit="1" customWidth="1"/>
    <col min="293" max="293" width="11.5703125" bestFit="1" customWidth="1"/>
    <col min="294" max="294" width="7.7109375" bestFit="1" customWidth="1"/>
    <col min="295" max="295" width="13.5703125" customWidth="1"/>
    <col min="296" max="296" width="15.28515625" customWidth="1"/>
    <col min="297" max="297" width="14.5703125" customWidth="1"/>
    <col min="298" max="298" width="13.28515625" bestFit="1" customWidth="1"/>
    <col min="299" max="299" width="7.7109375" bestFit="1" customWidth="1"/>
    <col min="300" max="300" width="12.7109375" bestFit="1" customWidth="1"/>
    <col min="301" max="301" width="11.7109375" bestFit="1" customWidth="1"/>
    <col min="302" max="302" width="11.5703125" bestFit="1" customWidth="1"/>
    <col min="303" max="303" width="5.28515625" bestFit="1" customWidth="1"/>
    <col min="304" max="304" width="13.28515625" bestFit="1" customWidth="1"/>
    <col min="305" max="305" width="13.5703125" bestFit="1" customWidth="1"/>
    <col min="306" max="306" width="10.5703125" bestFit="1" customWidth="1"/>
    <col min="307" max="307" width="13.28515625" bestFit="1" customWidth="1"/>
    <col min="308" max="308" width="11.5703125" bestFit="1" customWidth="1"/>
    <col min="309" max="309" width="10.5703125" bestFit="1" customWidth="1"/>
    <col min="310" max="310" width="16.140625" bestFit="1" customWidth="1"/>
    <col min="311" max="312" width="11.28515625" bestFit="1" customWidth="1"/>
    <col min="313" max="313" width="13.28515625" bestFit="1" customWidth="1"/>
    <col min="314" max="314" width="7.7109375" bestFit="1" customWidth="1"/>
    <col min="315" max="318" width="9.140625" hidden="1" customWidth="1"/>
    <col min="319" max="319" width="10.42578125" bestFit="1" customWidth="1"/>
    <col min="320" max="320" width="10.5703125" bestFit="1" customWidth="1"/>
    <col min="321" max="321" width="10.42578125" bestFit="1" customWidth="1"/>
    <col min="322" max="322" width="10.5703125" bestFit="1" customWidth="1"/>
    <col min="323" max="323" width="9.5703125" bestFit="1" customWidth="1"/>
    <col min="324" max="324" width="11.5703125" bestFit="1" customWidth="1"/>
    <col min="325" max="325" width="10.42578125" bestFit="1" customWidth="1"/>
    <col min="326" max="326" width="10.85546875" customWidth="1"/>
    <col min="327" max="328" width="9.85546875" bestFit="1" customWidth="1"/>
    <col min="329" max="329" width="13.5703125" bestFit="1" customWidth="1"/>
    <col min="330" max="330" width="7.7109375" bestFit="1" customWidth="1"/>
    <col min="331" max="331" width="13.28515625" bestFit="1" customWidth="1"/>
    <col min="332" max="332" width="11.5703125" bestFit="1" customWidth="1"/>
    <col min="333" max="333" width="10.42578125" bestFit="1" customWidth="1"/>
    <col min="334" max="334" width="7.7109375" bestFit="1" customWidth="1"/>
    <col min="335" max="335" width="11.5703125" bestFit="1" customWidth="1"/>
    <col min="336" max="336" width="10.85546875" bestFit="1" customWidth="1"/>
    <col min="337" max="337" width="13.28515625" bestFit="1" customWidth="1"/>
    <col min="338" max="338" width="10.85546875" bestFit="1" customWidth="1"/>
    <col min="339" max="340" width="7.5703125" bestFit="1" customWidth="1"/>
    <col min="341" max="342" width="10.42578125" bestFit="1" customWidth="1"/>
    <col min="343" max="343" width="11.5703125" bestFit="1" customWidth="1"/>
    <col min="344" max="344" width="5.28515625" bestFit="1" customWidth="1"/>
    <col min="345" max="345" width="10.28515625" bestFit="1" customWidth="1"/>
    <col min="346" max="346" width="10.42578125" bestFit="1" customWidth="1"/>
    <col min="347" max="347" width="11.5703125" bestFit="1" customWidth="1"/>
    <col min="348" max="348" width="5.28515625" bestFit="1" customWidth="1"/>
    <col min="349" max="351" width="11.5703125" bestFit="1" customWidth="1"/>
    <col min="352" max="352" width="5.28515625" bestFit="1" customWidth="1"/>
    <col min="353" max="354" width="10.42578125" bestFit="1" customWidth="1"/>
    <col min="355" max="355" width="11.5703125" bestFit="1" customWidth="1"/>
    <col min="356" max="356" width="5.28515625" bestFit="1" customWidth="1"/>
    <col min="357" max="357" width="14.28515625" bestFit="1" customWidth="1"/>
    <col min="358" max="358" width="13" bestFit="1" customWidth="1"/>
    <col min="359" max="359" width="11.5703125" bestFit="1" customWidth="1"/>
    <col min="360" max="360" width="8.85546875" bestFit="1" customWidth="1"/>
    <col min="361" max="361" width="14.42578125" bestFit="1" customWidth="1"/>
    <col min="362" max="362" width="10.42578125" bestFit="1" customWidth="1"/>
    <col min="363" max="363" width="12.28515625" bestFit="1" customWidth="1"/>
    <col min="364" max="364" width="13.85546875" bestFit="1" customWidth="1"/>
    <col min="365" max="365" width="11.28515625" customWidth="1"/>
    <col min="366" max="366" width="11.5703125" customWidth="1"/>
    <col min="367" max="367" width="13.42578125" bestFit="1" customWidth="1"/>
    <col min="368" max="368" width="10.42578125" customWidth="1"/>
    <col min="369" max="369" width="13.85546875" bestFit="1" customWidth="1"/>
    <col min="370" max="370" width="15.42578125" bestFit="1" customWidth="1"/>
    <col min="371" max="371" width="12.28515625" bestFit="1" customWidth="1"/>
    <col min="372" max="372" width="12.7109375" customWidth="1"/>
    <col min="373" max="373" width="10.7109375" bestFit="1" customWidth="1"/>
    <col min="374" max="374" width="9.85546875" customWidth="1"/>
    <col min="375" max="376" width="10.140625" bestFit="1" customWidth="1"/>
    <col min="377" max="377" width="7.5703125" bestFit="1" customWidth="1"/>
    <col min="378" max="378" width="9.42578125" bestFit="1" customWidth="1"/>
    <col min="379" max="379" width="14.5703125" bestFit="1" customWidth="1"/>
    <col min="380" max="380" width="14.85546875" customWidth="1"/>
    <col min="381" max="381" width="15.140625" bestFit="1" customWidth="1"/>
    <col min="382" max="382" width="12.140625" bestFit="1" customWidth="1"/>
    <col min="383" max="383" width="14.85546875" bestFit="1" customWidth="1"/>
    <col min="384" max="384" width="12.28515625" bestFit="1" customWidth="1"/>
    <col min="385" max="393" width="9.140625" hidden="1" customWidth="1"/>
    <col min="394" max="394" width="5.28515625" bestFit="1" customWidth="1"/>
    <col min="395" max="400" width="11.5703125" bestFit="1" customWidth="1"/>
    <col min="401" max="401" width="11.28515625" bestFit="1" customWidth="1"/>
    <col min="402" max="402" width="10.140625" bestFit="1" customWidth="1"/>
    <col min="403" max="403" width="11.5703125" bestFit="1" customWidth="1"/>
    <col min="404" max="404" width="16.140625" customWidth="1"/>
    <col min="405" max="405" width="13.42578125" customWidth="1"/>
    <col min="406" max="406" width="10.140625" bestFit="1" customWidth="1"/>
    <col min="407" max="407" width="12.85546875" bestFit="1" customWidth="1"/>
    <col min="408" max="408" width="12.28515625" bestFit="1" customWidth="1"/>
    <col min="409" max="409" width="11.28515625" bestFit="1" customWidth="1"/>
    <col min="410" max="410" width="11.5703125" bestFit="1" customWidth="1"/>
    <col min="411" max="411" width="10.85546875" bestFit="1" customWidth="1"/>
    <col min="412" max="412" width="11.28515625" bestFit="1" customWidth="1"/>
    <col min="413" max="413" width="10.140625" bestFit="1" customWidth="1"/>
    <col min="414" max="414" width="13.28515625" bestFit="1" customWidth="1"/>
    <col min="415" max="416" width="12.7109375" bestFit="1" customWidth="1"/>
    <col min="417" max="417" width="11" bestFit="1" customWidth="1"/>
    <col min="418" max="418" width="11.28515625" bestFit="1" customWidth="1"/>
    <col min="419" max="419" width="11.5703125" bestFit="1" customWidth="1"/>
    <col min="420" max="420" width="12.28515625" bestFit="1" customWidth="1"/>
    <col min="421" max="421" width="15.140625" bestFit="1" customWidth="1"/>
    <col min="422" max="422" width="14.42578125" bestFit="1" customWidth="1"/>
    <col min="423" max="423" width="12.28515625" bestFit="1" customWidth="1"/>
    <col min="424" max="424" width="15.140625" bestFit="1" customWidth="1"/>
    <col min="425" max="425" width="14.42578125" bestFit="1" customWidth="1"/>
    <col min="426" max="426" width="12.28515625" bestFit="1" customWidth="1"/>
    <col min="427" max="427" width="14.42578125" bestFit="1" customWidth="1"/>
    <col min="428" max="428" width="11.28515625" bestFit="1" customWidth="1"/>
    <col min="429" max="429" width="12.28515625" bestFit="1" customWidth="1"/>
    <col min="430" max="430" width="13" bestFit="1" customWidth="1"/>
    <col min="431" max="431" width="15.140625" bestFit="1" customWidth="1"/>
    <col min="432" max="432" width="12.28515625" bestFit="1" customWidth="1"/>
    <col min="433" max="433" width="13.85546875" bestFit="1" customWidth="1"/>
    <col min="434" max="434" width="11.28515625" bestFit="1" customWidth="1"/>
    <col min="435" max="435" width="12.28515625" bestFit="1" customWidth="1"/>
    <col min="436" max="436" width="13.85546875" bestFit="1" customWidth="1"/>
    <col min="437" max="438" width="15.140625" bestFit="1" customWidth="1"/>
    <col min="439" max="439" width="12.28515625" bestFit="1" customWidth="1"/>
    <col min="440" max="440" width="5.7109375" bestFit="1" customWidth="1"/>
    <col min="441" max="441" width="8.5703125" bestFit="1" customWidth="1"/>
    <col min="442" max="442" width="5.5703125" bestFit="1" customWidth="1"/>
    <col min="443" max="443" width="14.42578125" bestFit="1" customWidth="1"/>
    <col min="444" max="444" width="11.28515625" bestFit="1" customWidth="1"/>
    <col min="445" max="446" width="12.28515625" bestFit="1" customWidth="1"/>
    <col min="447" max="447" width="11.28515625" bestFit="1" customWidth="1"/>
    <col min="448" max="448" width="13.85546875" bestFit="1" customWidth="1"/>
    <col min="449" max="449" width="12" bestFit="1" customWidth="1"/>
    <col min="450" max="450" width="13.85546875" bestFit="1" customWidth="1"/>
    <col min="451" max="452" width="14.42578125" customWidth="1"/>
    <col min="453" max="453" width="10.140625" bestFit="1" customWidth="1"/>
    <col min="454" max="454" width="12.28515625" bestFit="1" customWidth="1"/>
    <col min="455" max="455" width="7.42578125" bestFit="1" customWidth="1"/>
    <col min="456" max="456" width="8.5703125" bestFit="1" customWidth="1"/>
    <col min="457" max="457" width="11.5703125" bestFit="1" customWidth="1"/>
    <col min="458" max="458" width="13.28515625" bestFit="1" customWidth="1"/>
    <col min="459" max="459" width="13.28515625" customWidth="1"/>
    <col min="460" max="460" width="13.140625" customWidth="1"/>
    <col min="461" max="461" width="12.7109375" bestFit="1" customWidth="1"/>
    <col min="462" max="462" width="13.28515625" bestFit="1" customWidth="1"/>
    <col min="463" max="465" width="13.28515625" customWidth="1"/>
    <col min="466" max="466" width="12.140625" bestFit="1" customWidth="1"/>
    <col min="467" max="467" width="12.7109375" bestFit="1" customWidth="1"/>
    <col min="468" max="468" width="11" customWidth="1"/>
    <col min="469" max="469" width="16.7109375" customWidth="1"/>
    <col min="470" max="470" width="17" customWidth="1"/>
    <col min="471" max="471" width="10.42578125" bestFit="1" customWidth="1"/>
    <col min="515" max="515" width="3.85546875" customWidth="1"/>
    <col min="516" max="516" width="15.28515625" bestFit="1" customWidth="1"/>
    <col min="517" max="517" width="12.28515625" customWidth="1"/>
    <col min="518" max="518" width="16.28515625" bestFit="1" customWidth="1"/>
    <col min="519" max="519" width="6.42578125" bestFit="1" customWidth="1"/>
    <col min="520" max="520" width="9.28515625" bestFit="1" customWidth="1"/>
    <col min="521" max="521" width="7.5703125" bestFit="1" customWidth="1"/>
    <col min="522" max="522" width="13.28515625" bestFit="1" customWidth="1"/>
    <col min="523" max="523" width="9.28515625" bestFit="1" customWidth="1"/>
    <col min="524" max="524" width="11.5703125" bestFit="1" customWidth="1"/>
    <col min="525" max="525" width="13.28515625" bestFit="1" customWidth="1"/>
    <col min="526" max="526" width="7.140625" bestFit="1" customWidth="1"/>
    <col min="527" max="527" width="12" bestFit="1" customWidth="1"/>
    <col min="528" max="528" width="13.28515625" bestFit="1" customWidth="1"/>
    <col min="529" max="529" width="7" bestFit="1" customWidth="1"/>
    <col min="530" max="530" width="12.7109375" bestFit="1" customWidth="1"/>
    <col min="531" max="531" width="11.5703125" bestFit="1" customWidth="1"/>
    <col min="532" max="532" width="10.5703125" bestFit="1" customWidth="1"/>
    <col min="533" max="534" width="15.7109375" bestFit="1" customWidth="1"/>
    <col min="535" max="535" width="11.5703125" bestFit="1" customWidth="1"/>
    <col min="536" max="536" width="7.7109375" bestFit="1" customWidth="1"/>
    <col min="537" max="537" width="15.140625" bestFit="1" customWidth="1"/>
    <col min="538" max="538" width="11.5703125" bestFit="1" customWidth="1"/>
    <col min="539" max="539" width="13.28515625" bestFit="1" customWidth="1"/>
    <col min="540" max="540" width="10.42578125" bestFit="1" customWidth="1"/>
    <col min="541" max="541" width="13.28515625" bestFit="1" customWidth="1"/>
    <col min="542" max="542" width="12.140625" bestFit="1" customWidth="1"/>
    <col min="543" max="543" width="14.42578125" bestFit="1" customWidth="1"/>
    <col min="544" max="544" width="13.28515625" bestFit="1" customWidth="1"/>
    <col min="545" max="545" width="11.5703125" bestFit="1" customWidth="1"/>
    <col min="546" max="546" width="7.7109375" bestFit="1" customWidth="1"/>
    <col min="547" max="548" width="14.42578125" bestFit="1" customWidth="1"/>
    <col min="549" max="549" width="11.5703125" bestFit="1" customWidth="1"/>
    <col min="550" max="550" width="7.7109375" bestFit="1" customWidth="1"/>
    <col min="551" max="551" width="13.5703125" customWidth="1"/>
    <col min="552" max="552" width="15.28515625" customWidth="1"/>
    <col min="553" max="553" width="14.5703125" customWidth="1"/>
    <col min="554" max="554" width="13.28515625" bestFit="1" customWidth="1"/>
    <col min="555" max="555" width="7.7109375" bestFit="1" customWidth="1"/>
    <col min="556" max="556" width="12.7109375" bestFit="1" customWidth="1"/>
    <col min="557" max="557" width="11.7109375" bestFit="1" customWidth="1"/>
    <col min="558" max="558" width="11.5703125" bestFit="1" customWidth="1"/>
    <col min="559" max="559" width="5.28515625" bestFit="1" customWidth="1"/>
    <col min="560" max="560" width="13.28515625" bestFit="1" customWidth="1"/>
    <col min="561" max="561" width="13.5703125" bestFit="1" customWidth="1"/>
    <col min="562" max="562" width="10.5703125" bestFit="1" customWidth="1"/>
    <col min="563" max="563" width="13.28515625" bestFit="1" customWidth="1"/>
    <col min="564" max="564" width="11.5703125" bestFit="1" customWidth="1"/>
    <col min="565" max="565" width="10.5703125" bestFit="1" customWidth="1"/>
    <col min="566" max="566" width="16.140625" bestFit="1" customWidth="1"/>
    <col min="567" max="568" width="11.28515625" bestFit="1" customWidth="1"/>
    <col min="569" max="569" width="13.28515625" bestFit="1" customWidth="1"/>
    <col min="570" max="570" width="7.7109375" bestFit="1" customWidth="1"/>
    <col min="571" max="574" width="9.140625" hidden="1" customWidth="1"/>
    <col min="575" max="575" width="10.42578125" bestFit="1" customWidth="1"/>
    <col min="576" max="576" width="10.5703125" bestFit="1" customWidth="1"/>
    <col min="577" max="577" width="10.42578125" bestFit="1" customWidth="1"/>
    <col min="578" max="578" width="10.5703125" bestFit="1" customWidth="1"/>
    <col min="579" max="579" width="9.5703125" bestFit="1" customWidth="1"/>
    <col min="580" max="580" width="11.5703125" bestFit="1" customWidth="1"/>
    <col min="581" max="581" width="10.42578125" bestFit="1" customWidth="1"/>
    <col min="582" max="582" width="10.85546875" customWidth="1"/>
    <col min="583" max="584" width="9.85546875" bestFit="1" customWidth="1"/>
    <col min="585" max="585" width="13.5703125" bestFit="1" customWidth="1"/>
    <col min="586" max="586" width="7.7109375" bestFit="1" customWidth="1"/>
    <col min="587" max="587" width="13.28515625" bestFit="1" customWidth="1"/>
    <col min="588" max="588" width="11.5703125" bestFit="1" customWidth="1"/>
    <col min="589" max="589" width="10.42578125" bestFit="1" customWidth="1"/>
    <col min="590" max="590" width="7.7109375" bestFit="1" customWidth="1"/>
    <col min="591" max="591" width="11.5703125" bestFit="1" customWidth="1"/>
    <col min="592" max="592" width="10.85546875" bestFit="1" customWidth="1"/>
    <col min="593" max="593" width="13.28515625" bestFit="1" customWidth="1"/>
    <col min="594" max="594" width="10.85546875" bestFit="1" customWidth="1"/>
    <col min="595" max="596" width="7.5703125" bestFit="1" customWidth="1"/>
    <col min="597" max="598" width="10.42578125" bestFit="1" customWidth="1"/>
    <col min="599" max="599" width="11.5703125" bestFit="1" customWidth="1"/>
    <col min="600" max="600" width="5.28515625" bestFit="1" customWidth="1"/>
    <col min="601" max="601" width="10.28515625" bestFit="1" customWidth="1"/>
    <col min="602" max="602" width="10.42578125" bestFit="1" customWidth="1"/>
    <col min="603" max="603" width="11.5703125" bestFit="1" customWidth="1"/>
    <col min="604" max="604" width="5.28515625" bestFit="1" customWidth="1"/>
    <col min="605" max="607" width="11.5703125" bestFit="1" customWidth="1"/>
    <col min="608" max="608" width="5.28515625" bestFit="1" customWidth="1"/>
    <col min="609" max="610" width="10.42578125" bestFit="1" customWidth="1"/>
    <col min="611" max="611" width="11.5703125" bestFit="1" customWidth="1"/>
    <col min="612" max="612" width="5.28515625" bestFit="1" customWidth="1"/>
    <col min="613" max="613" width="14.28515625" bestFit="1" customWidth="1"/>
    <col min="614" max="614" width="13" bestFit="1" customWidth="1"/>
    <col min="615" max="615" width="11.5703125" bestFit="1" customWidth="1"/>
    <col min="616" max="616" width="8.85546875" bestFit="1" customWidth="1"/>
    <col min="617" max="617" width="14.42578125" bestFit="1" customWidth="1"/>
    <col min="618" max="618" width="10.42578125" bestFit="1" customWidth="1"/>
    <col min="619" max="619" width="12.28515625" bestFit="1" customWidth="1"/>
    <col min="620" max="620" width="13.85546875" bestFit="1" customWidth="1"/>
    <col min="621" max="621" width="11.28515625" customWidth="1"/>
    <col min="622" max="622" width="11.5703125" customWidth="1"/>
    <col min="623" max="623" width="13.42578125" bestFit="1" customWidth="1"/>
    <col min="624" max="624" width="10.42578125" customWidth="1"/>
    <col min="625" max="625" width="13.85546875" bestFit="1" customWidth="1"/>
    <col min="626" max="626" width="15.42578125" bestFit="1" customWidth="1"/>
    <col min="627" max="627" width="12.28515625" bestFit="1" customWidth="1"/>
    <col min="628" max="628" width="12.7109375" customWidth="1"/>
    <col min="629" max="629" width="10.7109375" bestFit="1" customWidth="1"/>
    <col min="630" max="630" width="9.85546875" customWidth="1"/>
    <col min="631" max="632" width="10.140625" bestFit="1" customWidth="1"/>
    <col min="633" max="633" width="7.5703125" bestFit="1" customWidth="1"/>
    <col min="634" max="634" width="9.42578125" bestFit="1" customWidth="1"/>
    <col min="635" max="635" width="14.5703125" bestFit="1" customWidth="1"/>
    <col min="636" max="636" width="14.85546875" customWidth="1"/>
    <col min="637" max="637" width="15.140625" bestFit="1" customWidth="1"/>
    <col min="638" max="638" width="12.140625" bestFit="1" customWidth="1"/>
    <col min="639" max="639" width="14.85546875" bestFit="1" customWidth="1"/>
    <col min="640" max="640" width="12.28515625" bestFit="1" customWidth="1"/>
    <col min="641" max="649" width="9.140625" hidden="1" customWidth="1"/>
    <col min="650" max="650" width="5.28515625" bestFit="1" customWidth="1"/>
    <col min="651" max="656" width="11.5703125" bestFit="1" customWidth="1"/>
    <col min="657" max="657" width="11.28515625" bestFit="1" customWidth="1"/>
    <col min="658" max="658" width="10.140625" bestFit="1" customWidth="1"/>
    <col min="659" max="659" width="11.5703125" bestFit="1" customWidth="1"/>
    <col min="660" max="660" width="16.140625" customWidth="1"/>
    <col min="661" max="661" width="13.42578125" customWidth="1"/>
    <col min="662" max="662" width="10.140625" bestFit="1" customWidth="1"/>
    <col min="663" max="663" width="12.85546875" bestFit="1" customWidth="1"/>
    <col min="664" max="664" width="12.28515625" bestFit="1" customWidth="1"/>
    <col min="665" max="665" width="11.28515625" bestFit="1" customWidth="1"/>
    <col min="666" max="666" width="11.5703125" bestFit="1" customWidth="1"/>
    <col min="667" max="667" width="10.85546875" bestFit="1" customWidth="1"/>
    <col min="668" max="668" width="11.28515625" bestFit="1" customWidth="1"/>
    <col min="669" max="669" width="10.140625" bestFit="1" customWidth="1"/>
    <col min="670" max="670" width="13.28515625" bestFit="1" customWidth="1"/>
    <col min="671" max="672" width="12.7109375" bestFit="1" customWidth="1"/>
    <col min="673" max="673" width="11" bestFit="1" customWidth="1"/>
    <col min="674" max="674" width="11.28515625" bestFit="1" customWidth="1"/>
    <col min="675" max="675" width="11.5703125" bestFit="1" customWidth="1"/>
    <col min="676" max="676" width="12.28515625" bestFit="1" customWidth="1"/>
    <col min="677" max="677" width="15.140625" bestFit="1" customWidth="1"/>
    <col min="678" max="678" width="14.42578125" bestFit="1" customWidth="1"/>
    <col min="679" max="679" width="12.28515625" bestFit="1" customWidth="1"/>
    <col min="680" max="680" width="15.140625" bestFit="1" customWidth="1"/>
    <col min="681" max="681" width="14.42578125" bestFit="1" customWidth="1"/>
    <col min="682" max="682" width="12.28515625" bestFit="1" customWidth="1"/>
    <col min="683" max="683" width="14.42578125" bestFit="1" customWidth="1"/>
    <col min="684" max="684" width="11.28515625" bestFit="1" customWidth="1"/>
    <col min="685" max="685" width="12.28515625" bestFit="1" customWidth="1"/>
    <col min="686" max="686" width="13" bestFit="1" customWidth="1"/>
    <col min="687" max="687" width="15.140625" bestFit="1" customWidth="1"/>
    <col min="688" max="688" width="12.28515625" bestFit="1" customWidth="1"/>
    <col min="689" max="689" width="13.85546875" bestFit="1" customWidth="1"/>
    <col min="690" max="690" width="11.28515625" bestFit="1" customWidth="1"/>
    <col min="691" max="691" width="12.28515625" bestFit="1" customWidth="1"/>
    <col min="692" max="692" width="13.85546875" bestFit="1" customWidth="1"/>
    <col min="693" max="694" width="15.140625" bestFit="1" customWidth="1"/>
    <col min="695" max="695" width="12.28515625" bestFit="1" customWidth="1"/>
    <col min="696" max="696" width="5.7109375" bestFit="1" customWidth="1"/>
    <col min="697" max="697" width="8.5703125" bestFit="1" customWidth="1"/>
    <col min="698" max="698" width="5.5703125" bestFit="1" customWidth="1"/>
    <col min="699" max="699" width="14.42578125" bestFit="1" customWidth="1"/>
    <col min="700" max="700" width="11.28515625" bestFit="1" customWidth="1"/>
    <col min="701" max="702" width="12.28515625" bestFit="1" customWidth="1"/>
    <col min="703" max="703" width="11.28515625" bestFit="1" customWidth="1"/>
    <col min="704" max="704" width="13.85546875" bestFit="1" customWidth="1"/>
    <col min="705" max="705" width="12" bestFit="1" customWidth="1"/>
    <col min="706" max="706" width="13.85546875" bestFit="1" customWidth="1"/>
    <col min="707" max="708" width="14.42578125" customWidth="1"/>
    <col min="709" max="709" width="10.140625" bestFit="1" customWidth="1"/>
    <col min="710" max="710" width="12.28515625" bestFit="1" customWidth="1"/>
    <col min="711" max="711" width="7.42578125" bestFit="1" customWidth="1"/>
    <col min="712" max="712" width="8.5703125" bestFit="1" customWidth="1"/>
    <col min="713" max="713" width="11.5703125" bestFit="1" customWidth="1"/>
    <col min="714" max="714" width="13.28515625" bestFit="1" customWidth="1"/>
    <col min="715" max="715" width="13.28515625" customWidth="1"/>
    <col min="716" max="716" width="13.140625" customWidth="1"/>
    <col min="717" max="717" width="12.7109375" bestFit="1" customWidth="1"/>
    <col min="718" max="718" width="13.28515625" bestFit="1" customWidth="1"/>
    <col min="719" max="721" width="13.28515625" customWidth="1"/>
    <col min="722" max="722" width="12.140625" bestFit="1" customWidth="1"/>
    <col min="723" max="723" width="12.7109375" bestFit="1" customWidth="1"/>
    <col min="724" max="724" width="11" customWidth="1"/>
    <col min="725" max="725" width="16.7109375" customWidth="1"/>
    <col min="726" max="726" width="17" customWidth="1"/>
    <col min="727" max="727" width="10.42578125" bestFit="1" customWidth="1"/>
    <col min="771" max="771" width="3.85546875" customWidth="1"/>
    <col min="772" max="772" width="15.28515625" bestFit="1" customWidth="1"/>
    <col min="773" max="773" width="12.28515625" customWidth="1"/>
    <col min="774" max="774" width="16.28515625" bestFit="1" customWidth="1"/>
    <col min="775" max="775" width="6.42578125" bestFit="1" customWidth="1"/>
    <col min="776" max="776" width="9.28515625" bestFit="1" customWidth="1"/>
    <col min="777" max="777" width="7.5703125" bestFit="1" customWidth="1"/>
    <col min="778" max="778" width="13.28515625" bestFit="1" customWidth="1"/>
    <col min="779" max="779" width="9.28515625" bestFit="1" customWidth="1"/>
    <col min="780" max="780" width="11.5703125" bestFit="1" customWidth="1"/>
    <col min="781" max="781" width="13.28515625" bestFit="1" customWidth="1"/>
    <col min="782" max="782" width="7.140625" bestFit="1" customWidth="1"/>
    <col min="783" max="783" width="12" bestFit="1" customWidth="1"/>
    <col min="784" max="784" width="13.28515625" bestFit="1" customWidth="1"/>
    <col min="785" max="785" width="7" bestFit="1" customWidth="1"/>
    <col min="786" max="786" width="12.7109375" bestFit="1" customWidth="1"/>
    <col min="787" max="787" width="11.5703125" bestFit="1" customWidth="1"/>
    <col min="788" max="788" width="10.5703125" bestFit="1" customWidth="1"/>
    <col min="789" max="790" width="15.7109375" bestFit="1" customWidth="1"/>
    <col min="791" max="791" width="11.5703125" bestFit="1" customWidth="1"/>
    <col min="792" max="792" width="7.7109375" bestFit="1" customWidth="1"/>
    <col min="793" max="793" width="15.140625" bestFit="1" customWidth="1"/>
    <col min="794" max="794" width="11.5703125" bestFit="1" customWidth="1"/>
    <col min="795" max="795" width="13.28515625" bestFit="1" customWidth="1"/>
    <col min="796" max="796" width="10.42578125" bestFit="1" customWidth="1"/>
    <col min="797" max="797" width="13.28515625" bestFit="1" customWidth="1"/>
    <col min="798" max="798" width="12.140625" bestFit="1" customWidth="1"/>
    <col min="799" max="799" width="14.42578125" bestFit="1" customWidth="1"/>
    <col min="800" max="800" width="13.28515625" bestFit="1" customWidth="1"/>
    <col min="801" max="801" width="11.5703125" bestFit="1" customWidth="1"/>
    <col min="802" max="802" width="7.7109375" bestFit="1" customWidth="1"/>
    <col min="803" max="804" width="14.42578125" bestFit="1" customWidth="1"/>
    <col min="805" max="805" width="11.5703125" bestFit="1" customWidth="1"/>
    <col min="806" max="806" width="7.7109375" bestFit="1" customWidth="1"/>
    <col min="807" max="807" width="13.5703125" customWidth="1"/>
    <col min="808" max="808" width="15.28515625" customWidth="1"/>
    <col min="809" max="809" width="14.5703125" customWidth="1"/>
    <col min="810" max="810" width="13.28515625" bestFit="1" customWidth="1"/>
    <col min="811" max="811" width="7.7109375" bestFit="1" customWidth="1"/>
    <col min="812" max="812" width="12.7109375" bestFit="1" customWidth="1"/>
    <col min="813" max="813" width="11.7109375" bestFit="1" customWidth="1"/>
    <col min="814" max="814" width="11.5703125" bestFit="1" customWidth="1"/>
    <col min="815" max="815" width="5.28515625" bestFit="1" customWidth="1"/>
    <col min="816" max="816" width="13.28515625" bestFit="1" customWidth="1"/>
    <col min="817" max="817" width="13.5703125" bestFit="1" customWidth="1"/>
    <col min="818" max="818" width="10.5703125" bestFit="1" customWidth="1"/>
    <col min="819" max="819" width="13.28515625" bestFit="1" customWidth="1"/>
    <col min="820" max="820" width="11.5703125" bestFit="1" customWidth="1"/>
    <col min="821" max="821" width="10.5703125" bestFit="1" customWidth="1"/>
    <col min="822" max="822" width="16.140625" bestFit="1" customWidth="1"/>
    <col min="823" max="824" width="11.28515625" bestFit="1" customWidth="1"/>
    <col min="825" max="825" width="13.28515625" bestFit="1" customWidth="1"/>
    <col min="826" max="826" width="7.7109375" bestFit="1" customWidth="1"/>
    <col min="827" max="830" width="9.140625" hidden="1" customWidth="1"/>
    <col min="831" max="831" width="10.42578125" bestFit="1" customWidth="1"/>
    <col min="832" max="832" width="10.5703125" bestFit="1" customWidth="1"/>
    <col min="833" max="833" width="10.42578125" bestFit="1" customWidth="1"/>
    <col min="834" max="834" width="10.5703125" bestFit="1" customWidth="1"/>
    <col min="835" max="835" width="9.5703125" bestFit="1" customWidth="1"/>
    <col min="836" max="836" width="11.5703125" bestFit="1" customWidth="1"/>
    <col min="837" max="837" width="10.42578125" bestFit="1" customWidth="1"/>
    <col min="838" max="838" width="10.85546875" customWidth="1"/>
    <col min="839" max="840" width="9.85546875" bestFit="1" customWidth="1"/>
    <col min="841" max="841" width="13.5703125" bestFit="1" customWidth="1"/>
    <col min="842" max="842" width="7.7109375" bestFit="1" customWidth="1"/>
    <col min="843" max="843" width="13.28515625" bestFit="1" customWidth="1"/>
    <col min="844" max="844" width="11.5703125" bestFit="1" customWidth="1"/>
    <col min="845" max="845" width="10.42578125" bestFit="1" customWidth="1"/>
    <col min="846" max="846" width="7.7109375" bestFit="1" customWidth="1"/>
    <col min="847" max="847" width="11.5703125" bestFit="1" customWidth="1"/>
    <col min="848" max="848" width="10.85546875" bestFit="1" customWidth="1"/>
    <col min="849" max="849" width="13.28515625" bestFit="1" customWidth="1"/>
    <col min="850" max="850" width="10.85546875" bestFit="1" customWidth="1"/>
    <col min="851" max="852" width="7.5703125" bestFit="1" customWidth="1"/>
    <col min="853" max="854" width="10.42578125" bestFit="1" customWidth="1"/>
    <col min="855" max="855" width="11.5703125" bestFit="1" customWidth="1"/>
    <col min="856" max="856" width="5.28515625" bestFit="1" customWidth="1"/>
    <col min="857" max="857" width="10.28515625" bestFit="1" customWidth="1"/>
    <col min="858" max="858" width="10.42578125" bestFit="1" customWidth="1"/>
    <col min="859" max="859" width="11.5703125" bestFit="1" customWidth="1"/>
    <col min="860" max="860" width="5.28515625" bestFit="1" customWidth="1"/>
    <col min="861" max="863" width="11.5703125" bestFit="1" customWidth="1"/>
    <col min="864" max="864" width="5.28515625" bestFit="1" customWidth="1"/>
    <col min="865" max="866" width="10.42578125" bestFit="1" customWidth="1"/>
    <col min="867" max="867" width="11.5703125" bestFit="1" customWidth="1"/>
    <col min="868" max="868" width="5.28515625" bestFit="1" customWidth="1"/>
    <col min="869" max="869" width="14.28515625" bestFit="1" customWidth="1"/>
    <col min="870" max="870" width="13" bestFit="1" customWidth="1"/>
    <col min="871" max="871" width="11.5703125" bestFit="1" customWidth="1"/>
    <col min="872" max="872" width="8.85546875" bestFit="1" customWidth="1"/>
    <col min="873" max="873" width="14.42578125" bestFit="1" customWidth="1"/>
    <col min="874" max="874" width="10.42578125" bestFit="1" customWidth="1"/>
    <col min="875" max="875" width="12.28515625" bestFit="1" customWidth="1"/>
    <col min="876" max="876" width="13.85546875" bestFit="1" customWidth="1"/>
    <col min="877" max="877" width="11.28515625" customWidth="1"/>
    <col min="878" max="878" width="11.5703125" customWidth="1"/>
    <col min="879" max="879" width="13.42578125" bestFit="1" customWidth="1"/>
    <col min="880" max="880" width="10.42578125" customWidth="1"/>
    <col min="881" max="881" width="13.85546875" bestFit="1" customWidth="1"/>
    <col min="882" max="882" width="15.42578125" bestFit="1" customWidth="1"/>
    <col min="883" max="883" width="12.28515625" bestFit="1" customWidth="1"/>
    <col min="884" max="884" width="12.7109375" customWidth="1"/>
    <col min="885" max="885" width="10.7109375" bestFit="1" customWidth="1"/>
    <col min="886" max="886" width="9.85546875" customWidth="1"/>
    <col min="887" max="888" width="10.140625" bestFit="1" customWidth="1"/>
    <col min="889" max="889" width="7.5703125" bestFit="1" customWidth="1"/>
    <col min="890" max="890" width="9.42578125" bestFit="1" customWidth="1"/>
    <col min="891" max="891" width="14.5703125" bestFit="1" customWidth="1"/>
    <col min="892" max="892" width="14.85546875" customWidth="1"/>
    <col min="893" max="893" width="15.140625" bestFit="1" customWidth="1"/>
    <col min="894" max="894" width="12.140625" bestFit="1" customWidth="1"/>
    <col min="895" max="895" width="14.85546875" bestFit="1" customWidth="1"/>
    <col min="896" max="896" width="12.28515625" bestFit="1" customWidth="1"/>
    <col min="897" max="905" width="9.140625" hidden="1" customWidth="1"/>
    <col min="906" max="906" width="5.28515625" bestFit="1" customWidth="1"/>
    <col min="907" max="912" width="11.5703125" bestFit="1" customWidth="1"/>
    <col min="913" max="913" width="11.28515625" bestFit="1" customWidth="1"/>
    <col min="914" max="914" width="10.140625" bestFit="1" customWidth="1"/>
    <col min="915" max="915" width="11.5703125" bestFit="1" customWidth="1"/>
    <col min="916" max="916" width="16.140625" customWidth="1"/>
    <col min="917" max="917" width="13.42578125" customWidth="1"/>
    <col min="918" max="918" width="10.140625" bestFit="1" customWidth="1"/>
    <col min="919" max="919" width="12.85546875" bestFit="1" customWidth="1"/>
    <col min="920" max="920" width="12.28515625" bestFit="1" customWidth="1"/>
    <col min="921" max="921" width="11.28515625" bestFit="1" customWidth="1"/>
    <col min="922" max="922" width="11.5703125" bestFit="1" customWidth="1"/>
    <col min="923" max="923" width="10.85546875" bestFit="1" customWidth="1"/>
    <col min="924" max="924" width="11.28515625" bestFit="1" customWidth="1"/>
    <col min="925" max="925" width="10.140625" bestFit="1" customWidth="1"/>
    <col min="926" max="926" width="13.28515625" bestFit="1" customWidth="1"/>
    <col min="927" max="928" width="12.7109375" bestFit="1" customWidth="1"/>
    <col min="929" max="929" width="11" bestFit="1" customWidth="1"/>
    <col min="930" max="930" width="11.28515625" bestFit="1" customWidth="1"/>
    <col min="931" max="931" width="11.5703125" bestFit="1" customWidth="1"/>
    <col min="932" max="932" width="12.28515625" bestFit="1" customWidth="1"/>
    <col min="933" max="933" width="15.140625" bestFit="1" customWidth="1"/>
    <col min="934" max="934" width="14.42578125" bestFit="1" customWidth="1"/>
    <col min="935" max="935" width="12.28515625" bestFit="1" customWidth="1"/>
    <col min="936" max="936" width="15.140625" bestFit="1" customWidth="1"/>
    <col min="937" max="937" width="14.42578125" bestFit="1" customWidth="1"/>
    <col min="938" max="938" width="12.28515625" bestFit="1" customWidth="1"/>
    <col min="939" max="939" width="14.42578125" bestFit="1" customWidth="1"/>
    <col min="940" max="940" width="11.28515625" bestFit="1" customWidth="1"/>
    <col min="941" max="941" width="12.28515625" bestFit="1" customWidth="1"/>
    <col min="942" max="942" width="13" bestFit="1" customWidth="1"/>
    <col min="943" max="943" width="15.140625" bestFit="1" customWidth="1"/>
    <col min="944" max="944" width="12.28515625" bestFit="1" customWidth="1"/>
    <col min="945" max="945" width="13.85546875" bestFit="1" customWidth="1"/>
    <col min="946" max="946" width="11.28515625" bestFit="1" customWidth="1"/>
    <col min="947" max="947" width="12.28515625" bestFit="1" customWidth="1"/>
    <col min="948" max="948" width="13.85546875" bestFit="1" customWidth="1"/>
    <col min="949" max="950" width="15.140625" bestFit="1" customWidth="1"/>
    <col min="951" max="951" width="12.28515625" bestFit="1" customWidth="1"/>
    <col min="952" max="952" width="5.7109375" bestFit="1" customWidth="1"/>
    <col min="953" max="953" width="8.5703125" bestFit="1" customWidth="1"/>
    <col min="954" max="954" width="5.5703125" bestFit="1" customWidth="1"/>
    <col min="955" max="955" width="14.42578125" bestFit="1" customWidth="1"/>
    <col min="956" max="956" width="11.28515625" bestFit="1" customWidth="1"/>
    <col min="957" max="958" width="12.28515625" bestFit="1" customWidth="1"/>
    <col min="959" max="959" width="11.28515625" bestFit="1" customWidth="1"/>
    <col min="960" max="960" width="13.85546875" bestFit="1" customWidth="1"/>
    <col min="961" max="961" width="12" bestFit="1" customWidth="1"/>
    <col min="962" max="962" width="13.85546875" bestFit="1" customWidth="1"/>
    <col min="963" max="964" width="14.42578125" customWidth="1"/>
    <col min="965" max="965" width="10.140625" bestFit="1" customWidth="1"/>
    <col min="966" max="966" width="12.28515625" bestFit="1" customWidth="1"/>
    <col min="967" max="967" width="7.42578125" bestFit="1" customWidth="1"/>
    <col min="968" max="968" width="8.5703125" bestFit="1" customWidth="1"/>
    <col min="969" max="969" width="11.5703125" bestFit="1" customWidth="1"/>
    <col min="970" max="970" width="13.28515625" bestFit="1" customWidth="1"/>
    <col min="971" max="971" width="13.28515625" customWidth="1"/>
    <col min="972" max="972" width="13.140625" customWidth="1"/>
    <col min="973" max="973" width="12.7109375" bestFit="1" customWidth="1"/>
    <col min="974" max="974" width="13.28515625" bestFit="1" customWidth="1"/>
    <col min="975" max="977" width="13.28515625" customWidth="1"/>
    <col min="978" max="978" width="12.140625" bestFit="1" customWidth="1"/>
    <col min="979" max="979" width="12.7109375" bestFit="1" customWidth="1"/>
    <col min="980" max="980" width="11" customWidth="1"/>
    <col min="981" max="981" width="16.7109375" customWidth="1"/>
    <col min="982" max="982" width="17" customWidth="1"/>
    <col min="983" max="983" width="10.42578125" bestFit="1" customWidth="1"/>
    <col min="1027" max="1027" width="3.85546875" customWidth="1"/>
    <col min="1028" max="1028" width="15.28515625" bestFit="1" customWidth="1"/>
    <col min="1029" max="1029" width="12.28515625" customWidth="1"/>
    <col min="1030" max="1030" width="16.28515625" bestFit="1" customWidth="1"/>
    <col min="1031" max="1031" width="6.42578125" bestFit="1" customWidth="1"/>
    <col min="1032" max="1032" width="9.28515625" bestFit="1" customWidth="1"/>
    <col min="1033" max="1033" width="7.5703125" bestFit="1" customWidth="1"/>
    <col min="1034" max="1034" width="13.28515625" bestFit="1" customWidth="1"/>
    <col min="1035" max="1035" width="9.28515625" bestFit="1" customWidth="1"/>
    <col min="1036" max="1036" width="11.5703125" bestFit="1" customWidth="1"/>
    <col min="1037" max="1037" width="13.28515625" bestFit="1" customWidth="1"/>
    <col min="1038" max="1038" width="7.140625" bestFit="1" customWidth="1"/>
    <col min="1039" max="1039" width="12" bestFit="1" customWidth="1"/>
    <col min="1040" max="1040" width="13.28515625" bestFit="1" customWidth="1"/>
    <col min="1041" max="1041" width="7" bestFit="1" customWidth="1"/>
    <col min="1042" max="1042" width="12.7109375" bestFit="1" customWidth="1"/>
    <col min="1043" max="1043" width="11.5703125" bestFit="1" customWidth="1"/>
    <col min="1044" max="1044" width="10.5703125" bestFit="1" customWidth="1"/>
    <col min="1045" max="1046" width="15.7109375" bestFit="1" customWidth="1"/>
    <col min="1047" max="1047" width="11.5703125" bestFit="1" customWidth="1"/>
    <col min="1048" max="1048" width="7.7109375" bestFit="1" customWidth="1"/>
    <col min="1049" max="1049" width="15.140625" bestFit="1" customWidth="1"/>
    <col min="1050" max="1050" width="11.5703125" bestFit="1" customWidth="1"/>
    <col min="1051" max="1051" width="13.28515625" bestFit="1" customWidth="1"/>
    <col min="1052" max="1052" width="10.42578125" bestFit="1" customWidth="1"/>
    <col min="1053" max="1053" width="13.28515625" bestFit="1" customWidth="1"/>
    <col min="1054" max="1054" width="12.140625" bestFit="1" customWidth="1"/>
    <col min="1055" max="1055" width="14.42578125" bestFit="1" customWidth="1"/>
    <col min="1056" max="1056" width="13.28515625" bestFit="1" customWidth="1"/>
    <col min="1057" max="1057" width="11.5703125" bestFit="1" customWidth="1"/>
    <col min="1058" max="1058" width="7.7109375" bestFit="1" customWidth="1"/>
    <col min="1059" max="1060" width="14.42578125" bestFit="1" customWidth="1"/>
    <col min="1061" max="1061" width="11.5703125" bestFit="1" customWidth="1"/>
    <col min="1062" max="1062" width="7.7109375" bestFit="1" customWidth="1"/>
    <col min="1063" max="1063" width="13.5703125" customWidth="1"/>
    <col min="1064" max="1064" width="15.28515625" customWidth="1"/>
    <col min="1065" max="1065" width="14.5703125" customWidth="1"/>
    <col min="1066" max="1066" width="13.28515625" bestFit="1" customWidth="1"/>
    <col min="1067" max="1067" width="7.7109375" bestFit="1" customWidth="1"/>
    <col min="1068" max="1068" width="12.7109375" bestFit="1" customWidth="1"/>
    <col min="1069" max="1069" width="11.7109375" bestFit="1" customWidth="1"/>
    <col min="1070" max="1070" width="11.5703125" bestFit="1" customWidth="1"/>
    <col min="1071" max="1071" width="5.28515625" bestFit="1" customWidth="1"/>
    <col min="1072" max="1072" width="13.28515625" bestFit="1" customWidth="1"/>
    <col min="1073" max="1073" width="13.5703125" bestFit="1" customWidth="1"/>
    <col min="1074" max="1074" width="10.5703125" bestFit="1" customWidth="1"/>
    <col min="1075" max="1075" width="13.28515625" bestFit="1" customWidth="1"/>
    <col min="1076" max="1076" width="11.5703125" bestFit="1" customWidth="1"/>
    <col min="1077" max="1077" width="10.5703125" bestFit="1" customWidth="1"/>
    <col min="1078" max="1078" width="16.140625" bestFit="1" customWidth="1"/>
    <col min="1079" max="1080" width="11.28515625" bestFit="1" customWidth="1"/>
    <col min="1081" max="1081" width="13.28515625" bestFit="1" customWidth="1"/>
    <col min="1082" max="1082" width="7.7109375" bestFit="1" customWidth="1"/>
    <col min="1083" max="1086" width="9.140625" hidden="1" customWidth="1"/>
    <col min="1087" max="1087" width="10.42578125" bestFit="1" customWidth="1"/>
    <col min="1088" max="1088" width="10.5703125" bestFit="1" customWidth="1"/>
    <col min="1089" max="1089" width="10.42578125" bestFit="1" customWidth="1"/>
    <col min="1090" max="1090" width="10.5703125" bestFit="1" customWidth="1"/>
    <col min="1091" max="1091" width="9.5703125" bestFit="1" customWidth="1"/>
    <col min="1092" max="1092" width="11.5703125" bestFit="1" customWidth="1"/>
    <col min="1093" max="1093" width="10.42578125" bestFit="1" customWidth="1"/>
    <col min="1094" max="1094" width="10.85546875" customWidth="1"/>
    <col min="1095" max="1096" width="9.85546875" bestFit="1" customWidth="1"/>
    <col min="1097" max="1097" width="13.5703125" bestFit="1" customWidth="1"/>
    <col min="1098" max="1098" width="7.7109375" bestFit="1" customWidth="1"/>
    <col min="1099" max="1099" width="13.28515625" bestFit="1" customWidth="1"/>
    <col min="1100" max="1100" width="11.5703125" bestFit="1" customWidth="1"/>
    <col min="1101" max="1101" width="10.42578125" bestFit="1" customWidth="1"/>
    <col min="1102" max="1102" width="7.7109375" bestFit="1" customWidth="1"/>
    <col min="1103" max="1103" width="11.5703125" bestFit="1" customWidth="1"/>
    <col min="1104" max="1104" width="10.85546875" bestFit="1" customWidth="1"/>
    <col min="1105" max="1105" width="13.28515625" bestFit="1" customWidth="1"/>
    <col min="1106" max="1106" width="10.85546875" bestFit="1" customWidth="1"/>
    <col min="1107" max="1108" width="7.5703125" bestFit="1" customWidth="1"/>
    <col min="1109" max="1110" width="10.42578125" bestFit="1" customWidth="1"/>
    <col min="1111" max="1111" width="11.5703125" bestFit="1" customWidth="1"/>
    <col min="1112" max="1112" width="5.28515625" bestFit="1" customWidth="1"/>
    <col min="1113" max="1113" width="10.28515625" bestFit="1" customWidth="1"/>
    <col min="1114" max="1114" width="10.42578125" bestFit="1" customWidth="1"/>
    <col min="1115" max="1115" width="11.5703125" bestFit="1" customWidth="1"/>
    <col min="1116" max="1116" width="5.28515625" bestFit="1" customWidth="1"/>
    <col min="1117" max="1119" width="11.5703125" bestFit="1" customWidth="1"/>
    <col min="1120" max="1120" width="5.28515625" bestFit="1" customWidth="1"/>
    <col min="1121" max="1122" width="10.42578125" bestFit="1" customWidth="1"/>
    <col min="1123" max="1123" width="11.5703125" bestFit="1" customWidth="1"/>
    <col min="1124" max="1124" width="5.28515625" bestFit="1" customWidth="1"/>
    <col min="1125" max="1125" width="14.28515625" bestFit="1" customWidth="1"/>
    <col min="1126" max="1126" width="13" bestFit="1" customWidth="1"/>
    <col min="1127" max="1127" width="11.5703125" bestFit="1" customWidth="1"/>
    <col min="1128" max="1128" width="8.85546875" bestFit="1" customWidth="1"/>
    <col min="1129" max="1129" width="14.42578125" bestFit="1" customWidth="1"/>
    <col min="1130" max="1130" width="10.42578125" bestFit="1" customWidth="1"/>
    <col min="1131" max="1131" width="12.28515625" bestFit="1" customWidth="1"/>
    <col min="1132" max="1132" width="13.85546875" bestFit="1" customWidth="1"/>
    <col min="1133" max="1133" width="11.28515625" customWidth="1"/>
    <col min="1134" max="1134" width="11.5703125" customWidth="1"/>
    <col min="1135" max="1135" width="13.42578125" bestFit="1" customWidth="1"/>
    <col min="1136" max="1136" width="10.42578125" customWidth="1"/>
    <col min="1137" max="1137" width="13.85546875" bestFit="1" customWidth="1"/>
    <col min="1138" max="1138" width="15.42578125" bestFit="1" customWidth="1"/>
    <col min="1139" max="1139" width="12.28515625" bestFit="1" customWidth="1"/>
    <col min="1140" max="1140" width="12.7109375" customWidth="1"/>
    <col min="1141" max="1141" width="10.7109375" bestFit="1" customWidth="1"/>
    <col min="1142" max="1142" width="9.85546875" customWidth="1"/>
    <col min="1143" max="1144" width="10.140625" bestFit="1" customWidth="1"/>
    <col min="1145" max="1145" width="7.5703125" bestFit="1" customWidth="1"/>
    <col min="1146" max="1146" width="9.42578125" bestFit="1" customWidth="1"/>
    <col min="1147" max="1147" width="14.5703125" bestFit="1" customWidth="1"/>
    <col min="1148" max="1148" width="14.85546875" customWidth="1"/>
    <col min="1149" max="1149" width="15.140625" bestFit="1" customWidth="1"/>
    <col min="1150" max="1150" width="12.140625" bestFit="1" customWidth="1"/>
    <col min="1151" max="1151" width="14.85546875" bestFit="1" customWidth="1"/>
    <col min="1152" max="1152" width="12.28515625" bestFit="1" customWidth="1"/>
    <col min="1153" max="1161" width="9.140625" hidden="1" customWidth="1"/>
    <col min="1162" max="1162" width="5.28515625" bestFit="1" customWidth="1"/>
    <col min="1163" max="1168" width="11.5703125" bestFit="1" customWidth="1"/>
    <col min="1169" max="1169" width="11.28515625" bestFit="1" customWidth="1"/>
    <col min="1170" max="1170" width="10.140625" bestFit="1" customWidth="1"/>
    <col min="1171" max="1171" width="11.5703125" bestFit="1" customWidth="1"/>
    <col min="1172" max="1172" width="16.140625" customWidth="1"/>
    <col min="1173" max="1173" width="13.42578125" customWidth="1"/>
    <col min="1174" max="1174" width="10.140625" bestFit="1" customWidth="1"/>
    <col min="1175" max="1175" width="12.85546875" bestFit="1" customWidth="1"/>
    <col min="1176" max="1176" width="12.28515625" bestFit="1" customWidth="1"/>
    <col min="1177" max="1177" width="11.28515625" bestFit="1" customWidth="1"/>
    <col min="1178" max="1178" width="11.5703125" bestFit="1" customWidth="1"/>
    <col min="1179" max="1179" width="10.85546875" bestFit="1" customWidth="1"/>
    <col min="1180" max="1180" width="11.28515625" bestFit="1" customWidth="1"/>
    <col min="1181" max="1181" width="10.140625" bestFit="1" customWidth="1"/>
    <col min="1182" max="1182" width="13.28515625" bestFit="1" customWidth="1"/>
    <col min="1183" max="1184" width="12.7109375" bestFit="1" customWidth="1"/>
    <col min="1185" max="1185" width="11" bestFit="1" customWidth="1"/>
    <col min="1186" max="1186" width="11.28515625" bestFit="1" customWidth="1"/>
    <col min="1187" max="1187" width="11.5703125" bestFit="1" customWidth="1"/>
    <col min="1188" max="1188" width="12.28515625" bestFit="1" customWidth="1"/>
    <col min="1189" max="1189" width="15.140625" bestFit="1" customWidth="1"/>
    <col min="1190" max="1190" width="14.42578125" bestFit="1" customWidth="1"/>
    <col min="1191" max="1191" width="12.28515625" bestFit="1" customWidth="1"/>
    <col min="1192" max="1192" width="15.140625" bestFit="1" customWidth="1"/>
    <col min="1193" max="1193" width="14.42578125" bestFit="1" customWidth="1"/>
    <col min="1194" max="1194" width="12.28515625" bestFit="1" customWidth="1"/>
    <col min="1195" max="1195" width="14.42578125" bestFit="1" customWidth="1"/>
    <col min="1196" max="1196" width="11.28515625" bestFit="1" customWidth="1"/>
    <col min="1197" max="1197" width="12.28515625" bestFit="1" customWidth="1"/>
    <col min="1198" max="1198" width="13" bestFit="1" customWidth="1"/>
    <col min="1199" max="1199" width="15.140625" bestFit="1" customWidth="1"/>
    <col min="1200" max="1200" width="12.28515625" bestFit="1" customWidth="1"/>
    <col min="1201" max="1201" width="13.85546875" bestFit="1" customWidth="1"/>
    <col min="1202" max="1202" width="11.28515625" bestFit="1" customWidth="1"/>
    <col min="1203" max="1203" width="12.28515625" bestFit="1" customWidth="1"/>
    <col min="1204" max="1204" width="13.85546875" bestFit="1" customWidth="1"/>
    <col min="1205" max="1206" width="15.140625" bestFit="1" customWidth="1"/>
    <col min="1207" max="1207" width="12.28515625" bestFit="1" customWidth="1"/>
    <col min="1208" max="1208" width="5.7109375" bestFit="1" customWidth="1"/>
    <col min="1209" max="1209" width="8.5703125" bestFit="1" customWidth="1"/>
    <col min="1210" max="1210" width="5.5703125" bestFit="1" customWidth="1"/>
    <col min="1211" max="1211" width="14.42578125" bestFit="1" customWidth="1"/>
    <col min="1212" max="1212" width="11.28515625" bestFit="1" customWidth="1"/>
    <col min="1213" max="1214" width="12.28515625" bestFit="1" customWidth="1"/>
    <col min="1215" max="1215" width="11.28515625" bestFit="1" customWidth="1"/>
    <col min="1216" max="1216" width="13.85546875" bestFit="1" customWidth="1"/>
    <col min="1217" max="1217" width="12" bestFit="1" customWidth="1"/>
    <col min="1218" max="1218" width="13.85546875" bestFit="1" customWidth="1"/>
    <col min="1219" max="1220" width="14.42578125" customWidth="1"/>
    <col min="1221" max="1221" width="10.140625" bestFit="1" customWidth="1"/>
    <col min="1222" max="1222" width="12.28515625" bestFit="1" customWidth="1"/>
    <col min="1223" max="1223" width="7.42578125" bestFit="1" customWidth="1"/>
    <col min="1224" max="1224" width="8.5703125" bestFit="1" customWidth="1"/>
    <col min="1225" max="1225" width="11.5703125" bestFit="1" customWidth="1"/>
    <col min="1226" max="1226" width="13.28515625" bestFit="1" customWidth="1"/>
    <col min="1227" max="1227" width="13.28515625" customWidth="1"/>
    <col min="1228" max="1228" width="13.140625" customWidth="1"/>
    <col min="1229" max="1229" width="12.7109375" bestFit="1" customWidth="1"/>
    <col min="1230" max="1230" width="13.28515625" bestFit="1" customWidth="1"/>
    <col min="1231" max="1233" width="13.28515625" customWidth="1"/>
    <col min="1234" max="1234" width="12.140625" bestFit="1" customWidth="1"/>
    <col min="1235" max="1235" width="12.7109375" bestFit="1" customWidth="1"/>
    <col min="1236" max="1236" width="11" customWidth="1"/>
    <col min="1237" max="1237" width="16.7109375" customWidth="1"/>
    <col min="1238" max="1238" width="17" customWidth="1"/>
    <col min="1239" max="1239" width="10.42578125" bestFit="1" customWidth="1"/>
    <col min="1283" max="1283" width="3.85546875" customWidth="1"/>
    <col min="1284" max="1284" width="15.28515625" bestFit="1" customWidth="1"/>
    <col min="1285" max="1285" width="12.28515625" customWidth="1"/>
    <col min="1286" max="1286" width="16.28515625" bestFit="1" customWidth="1"/>
    <col min="1287" max="1287" width="6.42578125" bestFit="1" customWidth="1"/>
    <col min="1288" max="1288" width="9.28515625" bestFit="1" customWidth="1"/>
    <col min="1289" max="1289" width="7.5703125" bestFit="1" customWidth="1"/>
    <col min="1290" max="1290" width="13.28515625" bestFit="1" customWidth="1"/>
    <col min="1291" max="1291" width="9.28515625" bestFit="1" customWidth="1"/>
    <col min="1292" max="1292" width="11.5703125" bestFit="1" customWidth="1"/>
    <col min="1293" max="1293" width="13.28515625" bestFit="1" customWidth="1"/>
    <col min="1294" max="1294" width="7.140625" bestFit="1" customWidth="1"/>
    <col min="1295" max="1295" width="12" bestFit="1" customWidth="1"/>
    <col min="1296" max="1296" width="13.28515625" bestFit="1" customWidth="1"/>
    <col min="1297" max="1297" width="7" bestFit="1" customWidth="1"/>
    <col min="1298" max="1298" width="12.7109375" bestFit="1" customWidth="1"/>
    <col min="1299" max="1299" width="11.5703125" bestFit="1" customWidth="1"/>
    <col min="1300" max="1300" width="10.5703125" bestFit="1" customWidth="1"/>
    <col min="1301" max="1302" width="15.7109375" bestFit="1" customWidth="1"/>
    <col min="1303" max="1303" width="11.5703125" bestFit="1" customWidth="1"/>
    <col min="1304" max="1304" width="7.7109375" bestFit="1" customWidth="1"/>
    <col min="1305" max="1305" width="15.140625" bestFit="1" customWidth="1"/>
    <col min="1306" max="1306" width="11.5703125" bestFit="1" customWidth="1"/>
    <col min="1307" max="1307" width="13.28515625" bestFit="1" customWidth="1"/>
    <col min="1308" max="1308" width="10.42578125" bestFit="1" customWidth="1"/>
    <col min="1309" max="1309" width="13.28515625" bestFit="1" customWidth="1"/>
    <col min="1310" max="1310" width="12.140625" bestFit="1" customWidth="1"/>
    <col min="1311" max="1311" width="14.42578125" bestFit="1" customWidth="1"/>
    <col min="1312" max="1312" width="13.28515625" bestFit="1" customWidth="1"/>
    <col min="1313" max="1313" width="11.5703125" bestFit="1" customWidth="1"/>
    <col min="1314" max="1314" width="7.7109375" bestFit="1" customWidth="1"/>
    <col min="1315" max="1316" width="14.42578125" bestFit="1" customWidth="1"/>
    <col min="1317" max="1317" width="11.5703125" bestFit="1" customWidth="1"/>
    <col min="1318" max="1318" width="7.7109375" bestFit="1" customWidth="1"/>
    <col min="1319" max="1319" width="13.5703125" customWidth="1"/>
    <col min="1320" max="1320" width="15.28515625" customWidth="1"/>
    <col min="1321" max="1321" width="14.5703125" customWidth="1"/>
    <col min="1322" max="1322" width="13.28515625" bestFit="1" customWidth="1"/>
    <col min="1323" max="1323" width="7.7109375" bestFit="1" customWidth="1"/>
    <col min="1324" max="1324" width="12.7109375" bestFit="1" customWidth="1"/>
    <col min="1325" max="1325" width="11.7109375" bestFit="1" customWidth="1"/>
    <col min="1326" max="1326" width="11.5703125" bestFit="1" customWidth="1"/>
    <col min="1327" max="1327" width="5.28515625" bestFit="1" customWidth="1"/>
    <col min="1328" max="1328" width="13.28515625" bestFit="1" customWidth="1"/>
    <col min="1329" max="1329" width="13.5703125" bestFit="1" customWidth="1"/>
    <col min="1330" max="1330" width="10.5703125" bestFit="1" customWidth="1"/>
    <col min="1331" max="1331" width="13.28515625" bestFit="1" customWidth="1"/>
    <col min="1332" max="1332" width="11.5703125" bestFit="1" customWidth="1"/>
    <col min="1333" max="1333" width="10.5703125" bestFit="1" customWidth="1"/>
    <col min="1334" max="1334" width="16.140625" bestFit="1" customWidth="1"/>
    <col min="1335" max="1336" width="11.28515625" bestFit="1" customWidth="1"/>
    <col min="1337" max="1337" width="13.28515625" bestFit="1" customWidth="1"/>
    <col min="1338" max="1338" width="7.7109375" bestFit="1" customWidth="1"/>
    <col min="1339" max="1342" width="9.140625" hidden="1" customWidth="1"/>
    <col min="1343" max="1343" width="10.42578125" bestFit="1" customWidth="1"/>
    <col min="1344" max="1344" width="10.5703125" bestFit="1" customWidth="1"/>
    <col min="1345" max="1345" width="10.42578125" bestFit="1" customWidth="1"/>
    <col min="1346" max="1346" width="10.5703125" bestFit="1" customWidth="1"/>
    <col min="1347" max="1347" width="9.5703125" bestFit="1" customWidth="1"/>
    <col min="1348" max="1348" width="11.5703125" bestFit="1" customWidth="1"/>
    <col min="1349" max="1349" width="10.42578125" bestFit="1" customWidth="1"/>
    <col min="1350" max="1350" width="10.85546875" customWidth="1"/>
    <col min="1351" max="1352" width="9.85546875" bestFit="1" customWidth="1"/>
    <col min="1353" max="1353" width="13.5703125" bestFit="1" customWidth="1"/>
    <col min="1354" max="1354" width="7.7109375" bestFit="1" customWidth="1"/>
    <col min="1355" max="1355" width="13.28515625" bestFit="1" customWidth="1"/>
    <col min="1356" max="1356" width="11.5703125" bestFit="1" customWidth="1"/>
    <col min="1357" max="1357" width="10.42578125" bestFit="1" customWidth="1"/>
    <col min="1358" max="1358" width="7.7109375" bestFit="1" customWidth="1"/>
    <col min="1359" max="1359" width="11.5703125" bestFit="1" customWidth="1"/>
    <col min="1360" max="1360" width="10.85546875" bestFit="1" customWidth="1"/>
    <col min="1361" max="1361" width="13.28515625" bestFit="1" customWidth="1"/>
    <col min="1362" max="1362" width="10.85546875" bestFit="1" customWidth="1"/>
    <col min="1363" max="1364" width="7.5703125" bestFit="1" customWidth="1"/>
    <col min="1365" max="1366" width="10.42578125" bestFit="1" customWidth="1"/>
    <col min="1367" max="1367" width="11.5703125" bestFit="1" customWidth="1"/>
    <col min="1368" max="1368" width="5.28515625" bestFit="1" customWidth="1"/>
    <col min="1369" max="1369" width="10.28515625" bestFit="1" customWidth="1"/>
    <col min="1370" max="1370" width="10.42578125" bestFit="1" customWidth="1"/>
    <col min="1371" max="1371" width="11.5703125" bestFit="1" customWidth="1"/>
    <col min="1372" max="1372" width="5.28515625" bestFit="1" customWidth="1"/>
    <col min="1373" max="1375" width="11.5703125" bestFit="1" customWidth="1"/>
    <col min="1376" max="1376" width="5.28515625" bestFit="1" customWidth="1"/>
    <col min="1377" max="1378" width="10.42578125" bestFit="1" customWidth="1"/>
    <col min="1379" max="1379" width="11.5703125" bestFit="1" customWidth="1"/>
    <col min="1380" max="1380" width="5.28515625" bestFit="1" customWidth="1"/>
    <col min="1381" max="1381" width="14.28515625" bestFit="1" customWidth="1"/>
    <col min="1382" max="1382" width="13" bestFit="1" customWidth="1"/>
    <col min="1383" max="1383" width="11.5703125" bestFit="1" customWidth="1"/>
    <col min="1384" max="1384" width="8.85546875" bestFit="1" customWidth="1"/>
    <col min="1385" max="1385" width="14.42578125" bestFit="1" customWidth="1"/>
    <col min="1386" max="1386" width="10.42578125" bestFit="1" customWidth="1"/>
    <col min="1387" max="1387" width="12.28515625" bestFit="1" customWidth="1"/>
    <col min="1388" max="1388" width="13.85546875" bestFit="1" customWidth="1"/>
    <col min="1389" max="1389" width="11.28515625" customWidth="1"/>
    <col min="1390" max="1390" width="11.5703125" customWidth="1"/>
    <col min="1391" max="1391" width="13.42578125" bestFit="1" customWidth="1"/>
    <col min="1392" max="1392" width="10.42578125" customWidth="1"/>
    <col min="1393" max="1393" width="13.85546875" bestFit="1" customWidth="1"/>
    <col min="1394" max="1394" width="15.42578125" bestFit="1" customWidth="1"/>
    <col min="1395" max="1395" width="12.28515625" bestFit="1" customWidth="1"/>
    <col min="1396" max="1396" width="12.7109375" customWidth="1"/>
    <col min="1397" max="1397" width="10.7109375" bestFit="1" customWidth="1"/>
    <col min="1398" max="1398" width="9.85546875" customWidth="1"/>
    <col min="1399" max="1400" width="10.140625" bestFit="1" customWidth="1"/>
    <col min="1401" max="1401" width="7.5703125" bestFit="1" customWidth="1"/>
    <col min="1402" max="1402" width="9.42578125" bestFit="1" customWidth="1"/>
    <col min="1403" max="1403" width="14.5703125" bestFit="1" customWidth="1"/>
    <col min="1404" max="1404" width="14.85546875" customWidth="1"/>
    <col min="1405" max="1405" width="15.140625" bestFit="1" customWidth="1"/>
    <col min="1406" max="1406" width="12.140625" bestFit="1" customWidth="1"/>
    <col min="1407" max="1407" width="14.85546875" bestFit="1" customWidth="1"/>
    <col min="1408" max="1408" width="12.28515625" bestFit="1" customWidth="1"/>
    <col min="1409" max="1417" width="9.140625" hidden="1" customWidth="1"/>
    <col min="1418" max="1418" width="5.28515625" bestFit="1" customWidth="1"/>
    <col min="1419" max="1424" width="11.5703125" bestFit="1" customWidth="1"/>
    <col min="1425" max="1425" width="11.28515625" bestFit="1" customWidth="1"/>
    <col min="1426" max="1426" width="10.140625" bestFit="1" customWidth="1"/>
    <col min="1427" max="1427" width="11.5703125" bestFit="1" customWidth="1"/>
    <col min="1428" max="1428" width="16.140625" customWidth="1"/>
    <col min="1429" max="1429" width="13.42578125" customWidth="1"/>
    <col min="1430" max="1430" width="10.140625" bestFit="1" customWidth="1"/>
    <col min="1431" max="1431" width="12.85546875" bestFit="1" customWidth="1"/>
    <col min="1432" max="1432" width="12.28515625" bestFit="1" customWidth="1"/>
    <col min="1433" max="1433" width="11.28515625" bestFit="1" customWidth="1"/>
    <col min="1434" max="1434" width="11.5703125" bestFit="1" customWidth="1"/>
    <col min="1435" max="1435" width="10.85546875" bestFit="1" customWidth="1"/>
    <col min="1436" max="1436" width="11.28515625" bestFit="1" customWidth="1"/>
    <col min="1437" max="1437" width="10.140625" bestFit="1" customWidth="1"/>
    <col min="1438" max="1438" width="13.28515625" bestFit="1" customWidth="1"/>
    <col min="1439" max="1440" width="12.7109375" bestFit="1" customWidth="1"/>
    <col min="1441" max="1441" width="11" bestFit="1" customWidth="1"/>
    <col min="1442" max="1442" width="11.28515625" bestFit="1" customWidth="1"/>
    <col min="1443" max="1443" width="11.5703125" bestFit="1" customWidth="1"/>
    <col min="1444" max="1444" width="12.28515625" bestFit="1" customWidth="1"/>
    <col min="1445" max="1445" width="15.140625" bestFit="1" customWidth="1"/>
    <col min="1446" max="1446" width="14.42578125" bestFit="1" customWidth="1"/>
    <col min="1447" max="1447" width="12.28515625" bestFit="1" customWidth="1"/>
    <col min="1448" max="1448" width="15.140625" bestFit="1" customWidth="1"/>
    <col min="1449" max="1449" width="14.42578125" bestFit="1" customWidth="1"/>
    <col min="1450" max="1450" width="12.28515625" bestFit="1" customWidth="1"/>
    <col min="1451" max="1451" width="14.42578125" bestFit="1" customWidth="1"/>
    <col min="1452" max="1452" width="11.28515625" bestFit="1" customWidth="1"/>
    <col min="1453" max="1453" width="12.28515625" bestFit="1" customWidth="1"/>
    <col min="1454" max="1454" width="13" bestFit="1" customWidth="1"/>
    <col min="1455" max="1455" width="15.140625" bestFit="1" customWidth="1"/>
    <col min="1456" max="1456" width="12.28515625" bestFit="1" customWidth="1"/>
    <col min="1457" max="1457" width="13.85546875" bestFit="1" customWidth="1"/>
    <col min="1458" max="1458" width="11.28515625" bestFit="1" customWidth="1"/>
    <col min="1459" max="1459" width="12.28515625" bestFit="1" customWidth="1"/>
    <col min="1460" max="1460" width="13.85546875" bestFit="1" customWidth="1"/>
    <col min="1461" max="1462" width="15.140625" bestFit="1" customWidth="1"/>
    <col min="1463" max="1463" width="12.28515625" bestFit="1" customWidth="1"/>
    <col min="1464" max="1464" width="5.7109375" bestFit="1" customWidth="1"/>
    <col min="1465" max="1465" width="8.5703125" bestFit="1" customWidth="1"/>
    <col min="1466" max="1466" width="5.5703125" bestFit="1" customWidth="1"/>
    <col min="1467" max="1467" width="14.42578125" bestFit="1" customWidth="1"/>
    <col min="1468" max="1468" width="11.28515625" bestFit="1" customWidth="1"/>
    <col min="1469" max="1470" width="12.28515625" bestFit="1" customWidth="1"/>
    <col min="1471" max="1471" width="11.28515625" bestFit="1" customWidth="1"/>
    <col min="1472" max="1472" width="13.85546875" bestFit="1" customWidth="1"/>
    <col min="1473" max="1473" width="12" bestFit="1" customWidth="1"/>
    <col min="1474" max="1474" width="13.85546875" bestFit="1" customWidth="1"/>
    <col min="1475" max="1476" width="14.42578125" customWidth="1"/>
    <col min="1477" max="1477" width="10.140625" bestFit="1" customWidth="1"/>
    <col min="1478" max="1478" width="12.28515625" bestFit="1" customWidth="1"/>
    <col min="1479" max="1479" width="7.42578125" bestFit="1" customWidth="1"/>
    <col min="1480" max="1480" width="8.5703125" bestFit="1" customWidth="1"/>
    <col min="1481" max="1481" width="11.5703125" bestFit="1" customWidth="1"/>
    <col min="1482" max="1482" width="13.28515625" bestFit="1" customWidth="1"/>
    <col min="1483" max="1483" width="13.28515625" customWidth="1"/>
    <col min="1484" max="1484" width="13.140625" customWidth="1"/>
    <col min="1485" max="1485" width="12.7109375" bestFit="1" customWidth="1"/>
    <col min="1486" max="1486" width="13.28515625" bestFit="1" customWidth="1"/>
    <col min="1487" max="1489" width="13.28515625" customWidth="1"/>
    <col min="1490" max="1490" width="12.140625" bestFit="1" customWidth="1"/>
    <col min="1491" max="1491" width="12.7109375" bestFit="1" customWidth="1"/>
    <col min="1492" max="1492" width="11" customWidth="1"/>
    <col min="1493" max="1493" width="16.7109375" customWidth="1"/>
    <col min="1494" max="1494" width="17" customWidth="1"/>
    <col min="1495" max="1495" width="10.42578125" bestFit="1" customWidth="1"/>
    <col min="1539" max="1539" width="3.85546875" customWidth="1"/>
    <col min="1540" max="1540" width="15.28515625" bestFit="1" customWidth="1"/>
    <col min="1541" max="1541" width="12.28515625" customWidth="1"/>
    <col min="1542" max="1542" width="16.28515625" bestFit="1" customWidth="1"/>
    <col min="1543" max="1543" width="6.42578125" bestFit="1" customWidth="1"/>
    <col min="1544" max="1544" width="9.28515625" bestFit="1" customWidth="1"/>
    <col min="1545" max="1545" width="7.5703125" bestFit="1" customWidth="1"/>
    <col min="1546" max="1546" width="13.28515625" bestFit="1" customWidth="1"/>
    <col min="1547" max="1547" width="9.28515625" bestFit="1" customWidth="1"/>
    <col min="1548" max="1548" width="11.5703125" bestFit="1" customWidth="1"/>
    <col min="1549" max="1549" width="13.28515625" bestFit="1" customWidth="1"/>
    <col min="1550" max="1550" width="7.140625" bestFit="1" customWidth="1"/>
    <col min="1551" max="1551" width="12" bestFit="1" customWidth="1"/>
    <col min="1552" max="1552" width="13.28515625" bestFit="1" customWidth="1"/>
    <col min="1553" max="1553" width="7" bestFit="1" customWidth="1"/>
    <col min="1554" max="1554" width="12.7109375" bestFit="1" customWidth="1"/>
    <col min="1555" max="1555" width="11.5703125" bestFit="1" customWidth="1"/>
    <col min="1556" max="1556" width="10.5703125" bestFit="1" customWidth="1"/>
    <col min="1557" max="1558" width="15.7109375" bestFit="1" customWidth="1"/>
    <col min="1559" max="1559" width="11.5703125" bestFit="1" customWidth="1"/>
    <col min="1560" max="1560" width="7.7109375" bestFit="1" customWidth="1"/>
    <col min="1561" max="1561" width="15.140625" bestFit="1" customWidth="1"/>
    <col min="1562" max="1562" width="11.5703125" bestFit="1" customWidth="1"/>
    <col min="1563" max="1563" width="13.28515625" bestFit="1" customWidth="1"/>
    <col min="1564" max="1564" width="10.42578125" bestFit="1" customWidth="1"/>
    <col min="1565" max="1565" width="13.28515625" bestFit="1" customWidth="1"/>
    <col min="1566" max="1566" width="12.140625" bestFit="1" customWidth="1"/>
    <col min="1567" max="1567" width="14.42578125" bestFit="1" customWidth="1"/>
    <col min="1568" max="1568" width="13.28515625" bestFit="1" customWidth="1"/>
    <col min="1569" max="1569" width="11.5703125" bestFit="1" customWidth="1"/>
    <col min="1570" max="1570" width="7.7109375" bestFit="1" customWidth="1"/>
    <col min="1571" max="1572" width="14.42578125" bestFit="1" customWidth="1"/>
    <col min="1573" max="1573" width="11.5703125" bestFit="1" customWidth="1"/>
    <col min="1574" max="1574" width="7.7109375" bestFit="1" customWidth="1"/>
    <col min="1575" max="1575" width="13.5703125" customWidth="1"/>
    <col min="1576" max="1576" width="15.28515625" customWidth="1"/>
    <col min="1577" max="1577" width="14.5703125" customWidth="1"/>
    <col min="1578" max="1578" width="13.28515625" bestFit="1" customWidth="1"/>
    <col min="1579" max="1579" width="7.7109375" bestFit="1" customWidth="1"/>
    <col min="1580" max="1580" width="12.7109375" bestFit="1" customWidth="1"/>
    <col min="1581" max="1581" width="11.7109375" bestFit="1" customWidth="1"/>
    <col min="1582" max="1582" width="11.5703125" bestFit="1" customWidth="1"/>
    <col min="1583" max="1583" width="5.28515625" bestFit="1" customWidth="1"/>
    <col min="1584" max="1584" width="13.28515625" bestFit="1" customWidth="1"/>
    <col min="1585" max="1585" width="13.5703125" bestFit="1" customWidth="1"/>
    <col min="1586" max="1586" width="10.5703125" bestFit="1" customWidth="1"/>
    <col min="1587" max="1587" width="13.28515625" bestFit="1" customWidth="1"/>
    <col min="1588" max="1588" width="11.5703125" bestFit="1" customWidth="1"/>
    <col min="1589" max="1589" width="10.5703125" bestFit="1" customWidth="1"/>
    <col min="1590" max="1590" width="16.140625" bestFit="1" customWidth="1"/>
    <col min="1591" max="1592" width="11.28515625" bestFit="1" customWidth="1"/>
    <col min="1593" max="1593" width="13.28515625" bestFit="1" customWidth="1"/>
    <col min="1594" max="1594" width="7.7109375" bestFit="1" customWidth="1"/>
    <col min="1595" max="1598" width="9.140625" hidden="1" customWidth="1"/>
    <col min="1599" max="1599" width="10.42578125" bestFit="1" customWidth="1"/>
    <col min="1600" max="1600" width="10.5703125" bestFit="1" customWidth="1"/>
    <col min="1601" max="1601" width="10.42578125" bestFit="1" customWidth="1"/>
    <col min="1602" max="1602" width="10.5703125" bestFit="1" customWidth="1"/>
    <col min="1603" max="1603" width="9.5703125" bestFit="1" customWidth="1"/>
    <col min="1604" max="1604" width="11.5703125" bestFit="1" customWidth="1"/>
    <col min="1605" max="1605" width="10.42578125" bestFit="1" customWidth="1"/>
    <col min="1606" max="1606" width="10.85546875" customWidth="1"/>
    <col min="1607" max="1608" width="9.85546875" bestFit="1" customWidth="1"/>
    <col min="1609" max="1609" width="13.5703125" bestFit="1" customWidth="1"/>
    <col min="1610" max="1610" width="7.7109375" bestFit="1" customWidth="1"/>
    <col min="1611" max="1611" width="13.28515625" bestFit="1" customWidth="1"/>
    <col min="1612" max="1612" width="11.5703125" bestFit="1" customWidth="1"/>
    <col min="1613" max="1613" width="10.42578125" bestFit="1" customWidth="1"/>
    <col min="1614" max="1614" width="7.7109375" bestFit="1" customWidth="1"/>
    <col min="1615" max="1615" width="11.5703125" bestFit="1" customWidth="1"/>
    <col min="1616" max="1616" width="10.85546875" bestFit="1" customWidth="1"/>
    <col min="1617" max="1617" width="13.28515625" bestFit="1" customWidth="1"/>
    <col min="1618" max="1618" width="10.85546875" bestFit="1" customWidth="1"/>
    <col min="1619" max="1620" width="7.5703125" bestFit="1" customWidth="1"/>
    <col min="1621" max="1622" width="10.42578125" bestFit="1" customWidth="1"/>
    <col min="1623" max="1623" width="11.5703125" bestFit="1" customWidth="1"/>
    <col min="1624" max="1624" width="5.28515625" bestFit="1" customWidth="1"/>
    <col min="1625" max="1625" width="10.28515625" bestFit="1" customWidth="1"/>
    <col min="1626" max="1626" width="10.42578125" bestFit="1" customWidth="1"/>
    <col min="1627" max="1627" width="11.5703125" bestFit="1" customWidth="1"/>
    <col min="1628" max="1628" width="5.28515625" bestFit="1" customWidth="1"/>
    <col min="1629" max="1631" width="11.5703125" bestFit="1" customWidth="1"/>
    <col min="1632" max="1632" width="5.28515625" bestFit="1" customWidth="1"/>
    <col min="1633" max="1634" width="10.42578125" bestFit="1" customWidth="1"/>
    <col min="1635" max="1635" width="11.5703125" bestFit="1" customWidth="1"/>
    <col min="1636" max="1636" width="5.28515625" bestFit="1" customWidth="1"/>
    <col min="1637" max="1637" width="14.28515625" bestFit="1" customWidth="1"/>
    <col min="1638" max="1638" width="13" bestFit="1" customWidth="1"/>
    <col min="1639" max="1639" width="11.5703125" bestFit="1" customWidth="1"/>
    <col min="1640" max="1640" width="8.85546875" bestFit="1" customWidth="1"/>
    <col min="1641" max="1641" width="14.42578125" bestFit="1" customWidth="1"/>
    <col min="1642" max="1642" width="10.42578125" bestFit="1" customWidth="1"/>
    <col min="1643" max="1643" width="12.28515625" bestFit="1" customWidth="1"/>
    <col min="1644" max="1644" width="13.85546875" bestFit="1" customWidth="1"/>
    <col min="1645" max="1645" width="11.28515625" customWidth="1"/>
    <col min="1646" max="1646" width="11.5703125" customWidth="1"/>
    <col min="1647" max="1647" width="13.42578125" bestFit="1" customWidth="1"/>
    <col min="1648" max="1648" width="10.42578125" customWidth="1"/>
    <col min="1649" max="1649" width="13.85546875" bestFit="1" customWidth="1"/>
    <col min="1650" max="1650" width="15.42578125" bestFit="1" customWidth="1"/>
    <col min="1651" max="1651" width="12.28515625" bestFit="1" customWidth="1"/>
    <col min="1652" max="1652" width="12.7109375" customWidth="1"/>
    <col min="1653" max="1653" width="10.7109375" bestFit="1" customWidth="1"/>
    <col min="1654" max="1654" width="9.85546875" customWidth="1"/>
    <col min="1655" max="1656" width="10.140625" bestFit="1" customWidth="1"/>
    <col min="1657" max="1657" width="7.5703125" bestFit="1" customWidth="1"/>
    <col min="1658" max="1658" width="9.42578125" bestFit="1" customWidth="1"/>
    <col min="1659" max="1659" width="14.5703125" bestFit="1" customWidth="1"/>
    <col min="1660" max="1660" width="14.85546875" customWidth="1"/>
    <col min="1661" max="1661" width="15.140625" bestFit="1" customWidth="1"/>
    <col min="1662" max="1662" width="12.140625" bestFit="1" customWidth="1"/>
    <col min="1663" max="1663" width="14.85546875" bestFit="1" customWidth="1"/>
    <col min="1664" max="1664" width="12.28515625" bestFit="1" customWidth="1"/>
    <col min="1665" max="1673" width="9.140625" hidden="1" customWidth="1"/>
    <col min="1674" max="1674" width="5.28515625" bestFit="1" customWidth="1"/>
    <col min="1675" max="1680" width="11.5703125" bestFit="1" customWidth="1"/>
    <col min="1681" max="1681" width="11.28515625" bestFit="1" customWidth="1"/>
    <col min="1682" max="1682" width="10.140625" bestFit="1" customWidth="1"/>
    <col min="1683" max="1683" width="11.5703125" bestFit="1" customWidth="1"/>
    <col min="1684" max="1684" width="16.140625" customWidth="1"/>
    <col min="1685" max="1685" width="13.42578125" customWidth="1"/>
    <col min="1686" max="1686" width="10.140625" bestFit="1" customWidth="1"/>
    <col min="1687" max="1687" width="12.85546875" bestFit="1" customWidth="1"/>
    <col min="1688" max="1688" width="12.28515625" bestFit="1" customWidth="1"/>
    <col min="1689" max="1689" width="11.28515625" bestFit="1" customWidth="1"/>
    <col min="1690" max="1690" width="11.5703125" bestFit="1" customWidth="1"/>
    <col min="1691" max="1691" width="10.85546875" bestFit="1" customWidth="1"/>
    <col min="1692" max="1692" width="11.28515625" bestFit="1" customWidth="1"/>
    <col min="1693" max="1693" width="10.140625" bestFit="1" customWidth="1"/>
    <col min="1694" max="1694" width="13.28515625" bestFit="1" customWidth="1"/>
    <col min="1695" max="1696" width="12.7109375" bestFit="1" customWidth="1"/>
    <col min="1697" max="1697" width="11" bestFit="1" customWidth="1"/>
    <col min="1698" max="1698" width="11.28515625" bestFit="1" customWidth="1"/>
    <col min="1699" max="1699" width="11.5703125" bestFit="1" customWidth="1"/>
    <col min="1700" max="1700" width="12.28515625" bestFit="1" customWidth="1"/>
    <col min="1701" max="1701" width="15.140625" bestFit="1" customWidth="1"/>
    <col min="1702" max="1702" width="14.42578125" bestFit="1" customWidth="1"/>
    <col min="1703" max="1703" width="12.28515625" bestFit="1" customWidth="1"/>
    <col min="1704" max="1704" width="15.140625" bestFit="1" customWidth="1"/>
    <col min="1705" max="1705" width="14.42578125" bestFit="1" customWidth="1"/>
    <col min="1706" max="1706" width="12.28515625" bestFit="1" customWidth="1"/>
    <col min="1707" max="1707" width="14.42578125" bestFit="1" customWidth="1"/>
    <col min="1708" max="1708" width="11.28515625" bestFit="1" customWidth="1"/>
    <col min="1709" max="1709" width="12.28515625" bestFit="1" customWidth="1"/>
    <col min="1710" max="1710" width="13" bestFit="1" customWidth="1"/>
    <col min="1711" max="1711" width="15.140625" bestFit="1" customWidth="1"/>
    <col min="1712" max="1712" width="12.28515625" bestFit="1" customWidth="1"/>
    <col min="1713" max="1713" width="13.85546875" bestFit="1" customWidth="1"/>
    <col min="1714" max="1714" width="11.28515625" bestFit="1" customWidth="1"/>
    <col min="1715" max="1715" width="12.28515625" bestFit="1" customWidth="1"/>
    <col min="1716" max="1716" width="13.85546875" bestFit="1" customWidth="1"/>
    <col min="1717" max="1718" width="15.140625" bestFit="1" customWidth="1"/>
    <col min="1719" max="1719" width="12.28515625" bestFit="1" customWidth="1"/>
    <col min="1720" max="1720" width="5.7109375" bestFit="1" customWidth="1"/>
    <col min="1721" max="1721" width="8.5703125" bestFit="1" customWidth="1"/>
    <col min="1722" max="1722" width="5.5703125" bestFit="1" customWidth="1"/>
    <col min="1723" max="1723" width="14.42578125" bestFit="1" customWidth="1"/>
    <col min="1724" max="1724" width="11.28515625" bestFit="1" customWidth="1"/>
    <col min="1725" max="1726" width="12.28515625" bestFit="1" customWidth="1"/>
    <col min="1727" max="1727" width="11.28515625" bestFit="1" customWidth="1"/>
    <col min="1728" max="1728" width="13.85546875" bestFit="1" customWidth="1"/>
    <col min="1729" max="1729" width="12" bestFit="1" customWidth="1"/>
    <col min="1730" max="1730" width="13.85546875" bestFit="1" customWidth="1"/>
    <col min="1731" max="1732" width="14.42578125" customWidth="1"/>
    <col min="1733" max="1733" width="10.140625" bestFit="1" customWidth="1"/>
    <col min="1734" max="1734" width="12.28515625" bestFit="1" customWidth="1"/>
    <col min="1735" max="1735" width="7.42578125" bestFit="1" customWidth="1"/>
    <col min="1736" max="1736" width="8.5703125" bestFit="1" customWidth="1"/>
    <col min="1737" max="1737" width="11.5703125" bestFit="1" customWidth="1"/>
    <col min="1738" max="1738" width="13.28515625" bestFit="1" customWidth="1"/>
    <col min="1739" max="1739" width="13.28515625" customWidth="1"/>
    <col min="1740" max="1740" width="13.140625" customWidth="1"/>
    <col min="1741" max="1741" width="12.7109375" bestFit="1" customWidth="1"/>
    <col min="1742" max="1742" width="13.28515625" bestFit="1" customWidth="1"/>
    <col min="1743" max="1745" width="13.28515625" customWidth="1"/>
    <col min="1746" max="1746" width="12.140625" bestFit="1" customWidth="1"/>
    <col min="1747" max="1747" width="12.7109375" bestFit="1" customWidth="1"/>
    <col min="1748" max="1748" width="11" customWidth="1"/>
    <col min="1749" max="1749" width="16.7109375" customWidth="1"/>
    <col min="1750" max="1750" width="17" customWidth="1"/>
    <col min="1751" max="1751" width="10.42578125" bestFit="1" customWidth="1"/>
    <col min="1795" max="1795" width="3.85546875" customWidth="1"/>
    <col min="1796" max="1796" width="15.28515625" bestFit="1" customWidth="1"/>
    <col min="1797" max="1797" width="12.28515625" customWidth="1"/>
    <col min="1798" max="1798" width="16.28515625" bestFit="1" customWidth="1"/>
    <col min="1799" max="1799" width="6.42578125" bestFit="1" customWidth="1"/>
    <col min="1800" max="1800" width="9.28515625" bestFit="1" customWidth="1"/>
    <col min="1801" max="1801" width="7.5703125" bestFit="1" customWidth="1"/>
    <col min="1802" max="1802" width="13.28515625" bestFit="1" customWidth="1"/>
    <col min="1803" max="1803" width="9.28515625" bestFit="1" customWidth="1"/>
    <col min="1804" max="1804" width="11.5703125" bestFit="1" customWidth="1"/>
    <col min="1805" max="1805" width="13.28515625" bestFit="1" customWidth="1"/>
    <col min="1806" max="1806" width="7.140625" bestFit="1" customWidth="1"/>
    <col min="1807" max="1807" width="12" bestFit="1" customWidth="1"/>
    <col min="1808" max="1808" width="13.28515625" bestFit="1" customWidth="1"/>
    <col min="1809" max="1809" width="7" bestFit="1" customWidth="1"/>
    <col min="1810" max="1810" width="12.7109375" bestFit="1" customWidth="1"/>
    <col min="1811" max="1811" width="11.5703125" bestFit="1" customWidth="1"/>
    <col min="1812" max="1812" width="10.5703125" bestFit="1" customWidth="1"/>
    <col min="1813" max="1814" width="15.7109375" bestFit="1" customWidth="1"/>
    <col min="1815" max="1815" width="11.5703125" bestFit="1" customWidth="1"/>
    <col min="1816" max="1816" width="7.7109375" bestFit="1" customWidth="1"/>
    <col min="1817" max="1817" width="15.140625" bestFit="1" customWidth="1"/>
    <col min="1818" max="1818" width="11.5703125" bestFit="1" customWidth="1"/>
    <col min="1819" max="1819" width="13.28515625" bestFit="1" customWidth="1"/>
    <col min="1820" max="1820" width="10.42578125" bestFit="1" customWidth="1"/>
    <col min="1821" max="1821" width="13.28515625" bestFit="1" customWidth="1"/>
    <col min="1822" max="1822" width="12.140625" bestFit="1" customWidth="1"/>
    <col min="1823" max="1823" width="14.42578125" bestFit="1" customWidth="1"/>
    <col min="1824" max="1824" width="13.28515625" bestFit="1" customWidth="1"/>
    <col min="1825" max="1825" width="11.5703125" bestFit="1" customWidth="1"/>
    <col min="1826" max="1826" width="7.7109375" bestFit="1" customWidth="1"/>
    <col min="1827" max="1828" width="14.42578125" bestFit="1" customWidth="1"/>
    <col min="1829" max="1829" width="11.5703125" bestFit="1" customWidth="1"/>
    <col min="1830" max="1830" width="7.7109375" bestFit="1" customWidth="1"/>
    <col min="1831" max="1831" width="13.5703125" customWidth="1"/>
    <col min="1832" max="1832" width="15.28515625" customWidth="1"/>
    <col min="1833" max="1833" width="14.5703125" customWidth="1"/>
    <col min="1834" max="1834" width="13.28515625" bestFit="1" customWidth="1"/>
    <col min="1835" max="1835" width="7.7109375" bestFit="1" customWidth="1"/>
    <col min="1836" max="1836" width="12.7109375" bestFit="1" customWidth="1"/>
    <col min="1837" max="1837" width="11.7109375" bestFit="1" customWidth="1"/>
    <col min="1838" max="1838" width="11.5703125" bestFit="1" customWidth="1"/>
    <col min="1839" max="1839" width="5.28515625" bestFit="1" customWidth="1"/>
    <col min="1840" max="1840" width="13.28515625" bestFit="1" customWidth="1"/>
    <col min="1841" max="1841" width="13.5703125" bestFit="1" customWidth="1"/>
    <col min="1842" max="1842" width="10.5703125" bestFit="1" customWidth="1"/>
    <col min="1843" max="1843" width="13.28515625" bestFit="1" customWidth="1"/>
    <col min="1844" max="1844" width="11.5703125" bestFit="1" customWidth="1"/>
    <col min="1845" max="1845" width="10.5703125" bestFit="1" customWidth="1"/>
    <col min="1846" max="1846" width="16.140625" bestFit="1" customWidth="1"/>
    <col min="1847" max="1848" width="11.28515625" bestFit="1" customWidth="1"/>
    <col min="1849" max="1849" width="13.28515625" bestFit="1" customWidth="1"/>
    <col min="1850" max="1850" width="7.7109375" bestFit="1" customWidth="1"/>
    <col min="1851" max="1854" width="9.140625" hidden="1" customWidth="1"/>
    <col min="1855" max="1855" width="10.42578125" bestFit="1" customWidth="1"/>
    <col min="1856" max="1856" width="10.5703125" bestFit="1" customWidth="1"/>
    <col min="1857" max="1857" width="10.42578125" bestFit="1" customWidth="1"/>
    <col min="1858" max="1858" width="10.5703125" bestFit="1" customWidth="1"/>
    <col min="1859" max="1859" width="9.5703125" bestFit="1" customWidth="1"/>
    <col min="1860" max="1860" width="11.5703125" bestFit="1" customWidth="1"/>
    <col min="1861" max="1861" width="10.42578125" bestFit="1" customWidth="1"/>
    <col min="1862" max="1862" width="10.85546875" customWidth="1"/>
    <col min="1863" max="1864" width="9.85546875" bestFit="1" customWidth="1"/>
    <col min="1865" max="1865" width="13.5703125" bestFit="1" customWidth="1"/>
    <col min="1866" max="1866" width="7.7109375" bestFit="1" customWidth="1"/>
    <col min="1867" max="1867" width="13.28515625" bestFit="1" customWidth="1"/>
    <col min="1868" max="1868" width="11.5703125" bestFit="1" customWidth="1"/>
    <col min="1869" max="1869" width="10.42578125" bestFit="1" customWidth="1"/>
    <col min="1870" max="1870" width="7.7109375" bestFit="1" customWidth="1"/>
    <col min="1871" max="1871" width="11.5703125" bestFit="1" customWidth="1"/>
    <col min="1872" max="1872" width="10.85546875" bestFit="1" customWidth="1"/>
    <col min="1873" max="1873" width="13.28515625" bestFit="1" customWidth="1"/>
    <col min="1874" max="1874" width="10.85546875" bestFit="1" customWidth="1"/>
    <col min="1875" max="1876" width="7.5703125" bestFit="1" customWidth="1"/>
    <col min="1877" max="1878" width="10.42578125" bestFit="1" customWidth="1"/>
    <col min="1879" max="1879" width="11.5703125" bestFit="1" customWidth="1"/>
    <col min="1880" max="1880" width="5.28515625" bestFit="1" customWidth="1"/>
    <col min="1881" max="1881" width="10.28515625" bestFit="1" customWidth="1"/>
    <col min="1882" max="1882" width="10.42578125" bestFit="1" customWidth="1"/>
    <col min="1883" max="1883" width="11.5703125" bestFit="1" customWidth="1"/>
    <col min="1884" max="1884" width="5.28515625" bestFit="1" customWidth="1"/>
    <col min="1885" max="1887" width="11.5703125" bestFit="1" customWidth="1"/>
    <col min="1888" max="1888" width="5.28515625" bestFit="1" customWidth="1"/>
    <col min="1889" max="1890" width="10.42578125" bestFit="1" customWidth="1"/>
    <col min="1891" max="1891" width="11.5703125" bestFit="1" customWidth="1"/>
    <col min="1892" max="1892" width="5.28515625" bestFit="1" customWidth="1"/>
    <col min="1893" max="1893" width="14.28515625" bestFit="1" customWidth="1"/>
    <col min="1894" max="1894" width="13" bestFit="1" customWidth="1"/>
    <col min="1895" max="1895" width="11.5703125" bestFit="1" customWidth="1"/>
    <col min="1896" max="1896" width="8.85546875" bestFit="1" customWidth="1"/>
    <col min="1897" max="1897" width="14.42578125" bestFit="1" customWidth="1"/>
    <col min="1898" max="1898" width="10.42578125" bestFit="1" customWidth="1"/>
    <col min="1899" max="1899" width="12.28515625" bestFit="1" customWidth="1"/>
    <col min="1900" max="1900" width="13.85546875" bestFit="1" customWidth="1"/>
    <col min="1901" max="1901" width="11.28515625" customWidth="1"/>
    <col min="1902" max="1902" width="11.5703125" customWidth="1"/>
    <col min="1903" max="1903" width="13.42578125" bestFit="1" customWidth="1"/>
    <col min="1904" max="1904" width="10.42578125" customWidth="1"/>
    <col min="1905" max="1905" width="13.85546875" bestFit="1" customWidth="1"/>
    <col min="1906" max="1906" width="15.42578125" bestFit="1" customWidth="1"/>
    <col min="1907" max="1907" width="12.28515625" bestFit="1" customWidth="1"/>
    <col min="1908" max="1908" width="12.7109375" customWidth="1"/>
    <col min="1909" max="1909" width="10.7109375" bestFit="1" customWidth="1"/>
    <col min="1910" max="1910" width="9.85546875" customWidth="1"/>
    <col min="1911" max="1912" width="10.140625" bestFit="1" customWidth="1"/>
    <col min="1913" max="1913" width="7.5703125" bestFit="1" customWidth="1"/>
    <col min="1914" max="1914" width="9.42578125" bestFit="1" customWidth="1"/>
    <col min="1915" max="1915" width="14.5703125" bestFit="1" customWidth="1"/>
    <col min="1916" max="1916" width="14.85546875" customWidth="1"/>
    <col min="1917" max="1917" width="15.140625" bestFit="1" customWidth="1"/>
    <col min="1918" max="1918" width="12.140625" bestFit="1" customWidth="1"/>
    <col min="1919" max="1919" width="14.85546875" bestFit="1" customWidth="1"/>
    <col min="1920" max="1920" width="12.28515625" bestFit="1" customWidth="1"/>
    <col min="1921" max="1929" width="9.140625" hidden="1" customWidth="1"/>
    <col min="1930" max="1930" width="5.28515625" bestFit="1" customWidth="1"/>
    <col min="1931" max="1936" width="11.5703125" bestFit="1" customWidth="1"/>
    <col min="1937" max="1937" width="11.28515625" bestFit="1" customWidth="1"/>
    <col min="1938" max="1938" width="10.140625" bestFit="1" customWidth="1"/>
    <col min="1939" max="1939" width="11.5703125" bestFit="1" customWidth="1"/>
    <col min="1940" max="1940" width="16.140625" customWidth="1"/>
    <col min="1941" max="1941" width="13.42578125" customWidth="1"/>
    <col min="1942" max="1942" width="10.140625" bestFit="1" customWidth="1"/>
    <col min="1943" max="1943" width="12.85546875" bestFit="1" customWidth="1"/>
    <col min="1944" max="1944" width="12.28515625" bestFit="1" customWidth="1"/>
    <col min="1945" max="1945" width="11.28515625" bestFit="1" customWidth="1"/>
    <col min="1946" max="1946" width="11.5703125" bestFit="1" customWidth="1"/>
    <col min="1947" max="1947" width="10.85546875" bestFit="1" customWidth="1"/>
    <col min="1948" max="1948" width="11.28515625" bestFit="1" customWidth="1"/>
    <col min="1949" max="1949" width="10.140625" bestFit="1" customWidth="1"/>
    <col min="1950" max="1950" width="13.28515625" bestFit="1" customWidth="1"/>
    <col min="1951" max="1952" width="12.7109375" bestFit="1" customWidth="1"/>
    <col min="1953" max="1953" width="11" bestFit="1" customWidth="1"/>
    <col min="1954" max="1954" width="11.28515625" bestFit="1" customWidth="1"/>
    <col min="1955" max="1955" width="11.5703125" bestFit="1" customWidth="1"/>
    <col min="1956" max="1956" width="12.28515625" bestFit="1" customWidth="1"/>
    <col min="1957" max="1957" width="15.140625" bestFit="1" customWidth="1"/>
    <col min="1958" max="1958" width="14.42578125" bestFit="1" customWidth="1"/>
    <col min="1959" max="1959" width="12.28515625" bestFit="1" customWidth="1"/>
    <col min="1960" max="1960" width="15.140625" bestFit="1" customWidth="1"/>
    <col min="1961" max="1961" width="14.42578125" bestFit="1" customWidth="1"/>
    <col min="1962" max="1962" width="12.28515625" bestFit="1" customWidth="1"/>
    <col min="1963" max="1963" width="14.42578125" bestFit="1" customWidth="1"/>
    <col min="1964" max="1964" width="11.28515625" bestFit="1" customWidth="1"/>
    <col min="1965" max="1965" width="12.28515625" bestFit="1" customWidth="1"/>
    <col min="1966" max="1966" width="13" bestFit="1" customWidth="1"/>
    <col min="1967" max="1967" width="15.140625" bestFit="1" customWidth="1"/>
    <col min="1968" max="1968" width="12.28515625" bestFit="1" customWidth="1"/>
    <col min="1969" max="1969" width="13.85546875" bestFit="1" customWidth="1"/>
    <col min="1970" max="1970" width="11.28515625" bestFit="1" customWidth="1"/>
    <col min="1971" max="1971" width="12.28515625" bestFit="1" customWidth="1"/>
    <col min="1972" max="1972" width="13.85546875" bestFit="1" customWidth="1"/>
    <col min="1973" max="1974" width="15.140625" bestFit="1" customWidth="1"/>
    <col min="1975" max="1975" width="12.28515625" bestFit="1" customWidth="1"/>
    <col min="1976" max="1976" width="5.7109375" bestFit="1" customWidth="1"/>
    <col min="1977" max="1977" width="8.5703125" bestFit="1" customWidth="1"/>
    <col min="1978" max="1978" width="5.5703125" bestFit="1" customWidth="1"/>
    <col min="1979" max="1979" width="14.42578125" bestFit="1" customWidth="1"/>
    <col min="1980" max="1980" width="11.28515625" bestFit="1" customWidth="1"/>
    <col min="1981" max="1982" width="12.28515625" bestFit="1" customWidth="1"/>
    <col min="1983" max="1983" width="11.28515625" bestFit="1" customWidth="1"/>
    <col min="1984" max="1984" width="13.85546875" bestFit="1" customWidth="1"/>
    <col min="1985" max="1985" width="12" bestFit="1" customWidth="1"/>
    <col min="1986" max="1986" width="13.85546875" bestFit="1" customWidth="1"/>
    <col min="1987" max="1988" width="14.42578125" customWidth="1"/>
    <col min="1989" max="1989" width="10.140625" bestFit="1" customWidth="1"/>
    <col min="1990" max="1990" width="12.28515625" bestFit="1" customWidth="1"/>
    <col min="1991" max="1991" width="7.42578125" bestFit="1" customWidth="1"/>
    <col min="1992" max="1992" width="8.5703125" bestFit="1" customWidth="1"/>
    <col min="1993" max="1993" width="11.5703125" bestFit="1" customWidth="1"/>
    <col min="1994" max="1994" width="13.28515625" bestFit="1" customWidth="1"/>
    <col min="1995" max="1995" width="13.28515625" customWidth="1"/>
    <col min="1996" max="1996" width="13.140625" customWidth="1"/>
    <col min="1997" max="1997" width="12.7109375" bestFit="1" customWidth="1"/>
    <col min="1998" max="1998" width="13.28515625" bestFit="1" customWidth="1"/>
    <col min="1999" max="2001" width="13.28515625" customWidth="1"/>
    <col min="2002" max="2002" width="12.140625" bestFit="1" customWidth="1"/>
    <col min="2003" max="2003" width="12.7109375" bestFit="1" customWidth="1"/>
    <col min="2004" max="2004" width="11" customWidth="1"/>
    <col min="2005" max="2005" width="16.7109375" customWidth="1"/>
    <col min="2006" max="2006" width="17" customWidth="1"/>
    <col min="2007" max="2007" width="10.42578125" bestFit="1" customWidth="1"/>
    <col min="2051" max="2051" width="3.85546875" customWidth="1"/>
    <col min="2052" max="2052" width="15.28515625" bestFit="1" customWidth="1"/>
    <col min="2053" max="2053" width="12.28515625" customWidth="1"/>
    <col min="2054" max="2054" width="16.28515625" bestFit="1" customWidth="1"/>
    <col min="2055" max="2055" width="6.42578125" bestFit="1" customWidth="1"/>
    <col min="2056" max="2056" width="9.28515625" bestFit="1" customWidth="1"/>
    <col min="2057" max="2057" width="7.5703125" bestFit="1" customWidth="1"/>
    <col min="2058" max="2058" width="13.28515625" bestFit="1" customWidth="1"/>
    <col min="2059" max="2059" width="9.28515625" bestFit="1" customWidth="1"/>
    <col min="2060" max="2060" width="11.5703125" bestFit="1" customWidth="1"/>
    <col min="2061" max="2061" width="13.28515625" bestFit="1" customWidth="1"/>
    <col min="2062" max="2062" width="7.140625" bestFit="1" customWidth="1"/>
    <col min="2063" max="2063" width="12" bestFit="1" customWidth="1"/>
    <col min="2064" max="2064" width="13.28515625" bestFit="1" customWidth="1"/>
    <col min="2065" max="2065" width="7" bestFit="1" customWidth="1"/>
    <col min="2066" max="2066" width="12.7109375" bestFit="1" customWidth="1"/>
    <col min="2067" max="2067" width="11.5703125" bestFit="1" customWidth="1"/>
    <col min="2068" max="2068" width="10.5703125" bestFit="1" customWidth="1"/>
    <col min="2069" max="2070" width="15.7109375" bestFit="1" customWidth="1"/>
    <col min="2071" max="2071" width="11.5703125" bestFit="1" customWidth="1"/>
    <col min="2072" max="2072" width="7.7109375" bestFit="1" customWidth="1"/>
    <col min="2073" max="2073" width="15.140625" bestFit="1" customWidth="1"/>
    <col min="2074" max="2074" width="11.5703125" bestFit="1" customWidth="1"/>
    <col min="2075" max="2075" width="13.28515625" bestFit="1" customWidth="1"/>
    <col min="2076" max="2076" width="10.42578125" bestFit="1" customWidth="1"/>
    <col min="2077" max="2077" width="13.28515625" bestFit="1" customWidth="1"/>
    <col min="2078" max="2078" width="12.140625" bestFit="1" customWidth="1"/>
    <col min="2079" max="2079" width="14.42578125" bestFit="1" customWidth="1"/>
    <col min="2080" max="2080" width="13.28515625" bestFit="1" customWidth="1"/>
    <col min="2081" max="2081" width="11.5703125" bestFit="1" customWidth="1"/>
    <col min="2082" max="2082" width="7.7109375" bestFit="1" customWidth="1"/>
    <col min="2083" max="2084" width="14.42578125" bestFit="1" customWidth="1"/>
    <col min="2085" max="2085" width="11.5703125" bestFit="1" customWidth="1"/>
    <col min="2086" max="2086" width="7.7109375" bestFit="1" customWidth="1"/>
    <col min="2087" max="2087" width="13.5703125" customWidth="1"/>
    <col min="2088" max="2088" width="15.28515625" customWidth="1"/>
    <col min="2089" max="2089" width="14.5703125" customWidth="1"/>
    <col min="2090" max="2090" width="13.28515625" bestFit="1" customWidth="1"/>
    <col min="2091" max="2091" width="7.7109375" bestFit="1" customWidth="1"/>
    <col min="2092" max="2092" width="12.7109375" bestFit="1" customWidth="1"/>
    <col min="2093" max="2093" width="11.7109375" bestFit="1" customWidth="1"/>
    <col min="2094" max="2094" width="11.5703125" bestFit="1" customWidth="1"/>
    <col min="2095" max="2095" width="5.28515625" bestFit="1" customWidth="1"/>
    <col min="2096" max="2096" width="13.28515625" bestFit="1" customWidth="1"/>
    <col min="2097" max="2097" width="13.5703125" bestFit="1" customWidth="1"/>
    <col min="2098" max="2098" width="10.5703125" bestFit="1" customWidth="1"/>
    <col min="2099" max="2099" width="13.28515625" bestFit="1" customWidth="1"/>
    <col min="2100" max="2100" width="11.5703125" bestFit="1" customWidth="1"/>
    <col min="2101" max="2101" width="10.5703125" bestFit="1" customWidth="1"/>
    <col min="2102" max="2102" width="16.140625" bestFit="1" customWidth="1"/>
    <col min="2103" max="2104" width="11.28515625" bestFit="1" customWidth="1"/>
    <col min="2105" max="2105" width="13.28515625" bestFit="1" customWidth="1"/>
    <col min="2106" max="2106" width="7.7109375" bestFit="1" customWidth="1"/>
    <col min="2107" max="2110" width="9.140625" hidden="1" customWidth="1"/>
    <col min="2111" max="2111" width="10.42578125" bestFit="1" customWidth="1"/>
    <col min="2112" max="2112" width="10.5703125" bestFit="1" customWidth="1"/>
    <col min="2113" max="2113" width="10.42578125" bestFit="1" customWidth="1"/>
    <col min="2114" max="2114" width="10.5703125" bestFit="1" customWidth="1"/>
    <col min="2115" max="2115" width="9.5703125" bestFit="1" customWidth="1"/>
    <col min="2116" max="2116" width="11.5703125" bestFit="1" customWidth="1"/>
    <col min="2117" max="2117" width="10.42578125" bestFit="1" customWidth="1"/>
    <col min="2118" max="2118" width="10.85546875" customWidth="1"/>
    <col min="2119" max="2120" width="9.85546875" bestFit="1" customWidth="1"/>
    <col min="2121" max="2121" width="13.5703125" bestFit="1" customWidth="1"/>
    <col min="2122" max="2122" width="7.7109375" bestFit="1" customWidth="1"/>
    <col min="2123" max="2123" width="13.28515625" bestFit="1" customWidth="1"/>
    <col min="2124" max="2124" width="11.5703125" bestFit="1" customWidth="1"/>
    <col min="2125" max="2125" width="10.42578125" bestFit="1" customWidth="1"/>
    <col min="2126" max="2126" width="7.7109375" bestFit="1" customWidth="1"/>
    <col min="2127" max="2127" width="11.5703125" bestFit="1" customWidth="1"/>
    <col min="2128" max="2128" width="10.85546875" bestFit="1" customWidth="1"/>
    <col min="2129" max="2129" width="13.28515625" bestFit="1" customWidth="1"/>
    <col min="2130" max="2130" width="10.85546875" bestFit="1" customWidth="1"/>
    <col min="2131" max="2132" width="7.5703125" bestFit="1" customWidth="1"/>
    <col min="2133" max="2134" width="10.42578125" bestFit="1" customWidth="1"/>
    <col min="2135" max="2135" width="11.5703125" bestFit="1" customWidth="1"/>
    <col min="2136" max="2136" width="5.28515625" bestFit="1" customWidth="1"/>
    <col min="2137" max="2137" width="10.28515625" bestFit="1" customWidth="1"/>
    <col min="2138" max="2138" width="10.42578125" bestFit="1" customWidth="1"/>
    <col min="2139" max="2139" width="11.5703125" bestFit="1" customWidth="1"/>
    <col min="2140" max="2140" width="5.28515625" bestFit="1" customWidth="1"/>
    <col min="2141" max="2143" width="11.5703125" bestFit="1" customWidth="1"/>
    <col min="2144" max="2144" width="5.28515625" bestFit="1" customWidth="1"/>
    <col min="2145" max="2146" width="10.42578125" bestFit="1" customWidth="1"/>
    <col min="2147" max="2147" width="11.5703125" bestFit="1" customWidth="1"/>
    <col min="2148" max="2148" width="5.28515625" bestFit="1" customWidth="1"/>
    <col min="2149" max="2149" width="14.28515625" bestFit="1" customWidth="1"/>
    <col min="2150" max="2150" width="13" bestFit="1" customWidth="1"/>
    <col min="2151" max="2151" width="11.5703125" bestFit="1" customWidth="1"/>
    <col min="2152" max="2152" width="8.85546875" bestFit="1" customWidth="1"/>
    <col min="2153" max="2153" width="14.42578125" bestFit="1" customWidth="1"/>
    <col min="2154" max="2154" width="10.42578125" bestFit="1" customWidth="1"/>
    <col min="2155" max="2155" width="12.28515625" bestFit="1" customWidth="1"/>
    <col min="2156" max="2156" width="13.85546875" bestFit="1" customWidth="1"/>
    <col min="2157" max="2157" width="11.28515625" customWidth="1"/>
    <col min="2158" max="2158" width="11.5703125" customWidth="1"/>
    <col min="2159" max="2159" width="13.42578125" bestFit="1" customWidth="1"/>
    <col min="2160" max="2160" width="10.42578125" customWidth="1"/>
    <col min="2161" max="2161" width="13.85546875" bestFit="1" customWidth="1"/>
    <col min="2162" max="2162" width="15.42578125" bestFit="1" customWidth="1"/>
    <col min="2163" max="2163" width="12.28515625" bestFit="1" customWidth="1"/>
    <col min="2164" max="2164" width="12.7109375" customWidth="1"/>
    <col min="2165" max="2165" width="10.7109375" bestFit="1" customWidth="1"/>
    <col min="2166" max="2166" width="9.85546875" customWidth="1"/>
    <col min="2167" max="2168" width="10.140625" bestFit="1" customWidth="1"/>
    <col min="2169" max="2169" width="7.5703125" bestFit="1" customWidth="1"/>
    <col min="2170" max="2170" width="9.42578125" bestFit="1" customWidth="1"/>
    <col min="2171" max="2171" width="14.5703125" bestFit="1" customWidth="1"/>
    <col min="2172" max="2172" width="14.85546875" customWidth="1"/>
    <col min="2173" max="2173" width="15.140625" bestFit="1" customWidth="1"/>
    <col min="2174" max="2174" width="12.140625" bestFit="1" customWidth="1"/>
    <col min="2175" max="2175" width="14.85546875" bestFit="1" customWidth="1"/>
    <col min="2176" max="2176" width="12.28515625" bestFit="1" customWidth="1"/>
    <col min="2177" max="2185" width="9.140625" hidden="1" customWidth="1"/>
    <col min="2186" max="2186" width="5.28515625" bestFit="1" customWidth="1"/>
    <col min="2187" max="2192" width="11.5703125" bestFit="1" customWidth="1"/>
    <col min="2193" max="2193" width="11.28515625" bestFit="1" customWidth="1"/>
    <col min="2194" max="2194" width="10.140625" bestFit="1" customWidth="1"/>
    <col min="2195" max="2195" width="11.5703125" bestFit="1" customWidth="1"/>
    <col min="2196" max="2196" width="16.140625" customWidth="1"/>
    <col min="2197" max="2197" width="13.42578125" customWidth="1"/>
    <col min="2198" max="2198" width="10.140625" bestFit="1" customWidth="1"/>
    <col min="2199" max="2199" width="12.85546875" bestFit="1" customWidth="1"/>
    <col min="2200" max="2200" width="12.28515625" bestFit="1" customWidth="1"/>
    <col min="2201" max="2201" width="11.28515625" bestFit="1" customWidth="1"/>
    <col min="2202" max="2202" width="11.5703125" bestFit="1" customWidth="1"/>
    <col min="2203" max="2203" width="10.85546875" bestFit="1" customWidth="1"/>
    <col min="2204" max="2204" width="11.28515625" bestFit="1" customWidth="1"/>
    <col min="2205" max="2205" width="10.140625" bestFit="1" customWidth="1"/>
    <col min="2206" max="2206" width="13.28515625" bestFit="1" customWidth="1"/>
    <col min="2207" max="2208" width="12.7109375" bestFit="1" customWidth="1"/>
    <col min="2209" max="2209" width="11" bestFit="1" customWidth="1"/>
    <col min="2210" max="2210" width="11.28515625" bestFit="1" customWidth="1"/>
    <col min="2211" max="2211" width="11.5703125" bestFit="1" customWidth="1"/>
    <col min="2212" max="2212" width="12.28515625" bestFit="1" customWidth="1"/>
    <col min="2213" max="2213" width="15.140625" bestFit="1" customWidth="1"/>
    <col min="2214" max="2214" width="14.42578125" bestFit="1" customWidth="1"/>
    <col min="2215" max="2215" width="12.28515625" bestFit="1" customWidth="1"/>
    <col min="2216" max="2216" width="15.140625" bestFit="1" customWidth="1"/>
    <col min="2217" max="2217" width="14.42578125" bestFit="1" customWidth="1"/>
    <col min="2218" max="2218" width="12.28515625" bestFit="1" customWidth="1"/>
    <col min="2219" max="2219" width="14.42578125" bestFit="1" customWidth="1"/>
    <col min="2220" max="2220" width="11.28515625" bestFit="1" customWidth="1"/>
    <col min="2221" max="2221" width="12.28515625" bestFit="1" customWidth="1"/>
    <col min="2222" max="2222" width="13" bestFit="1" customWidth="1"/>
    <col min="2223" max="2223" width="15.140625" bestFit="1" customWidth="1"/>
    <col min="2224" max="2224" width="12.28515625" bestFit="1" customWidth="1"/>
    <col min="2225" max="2225" width="13.85546875" bestFit="1" customWidth="1"/>
    <col min="2226" max="2226" width="11.28515625" bestFit="1" customWidth="1"/>
    <col min="2227" max="2227" width="12.28515625" bestFit="1" customWidth="1"/>
    <col min="2228" max="2228" width="13.85546875" bestFit="1" customWidth="1"/>
    <col min="2229" max="2230" width="15.140625" bestFit="1" customWidth="1"/>
    <col min="2231" max="2231" width="12.28515625" bestFit="1" customWidth="1"/>
    <col min="2232" max="2232" width="5.7109375" bestFit="1" customWidth="1"/>
    <col min="2233" max="2233" width="8.5703125" bestFit="1" customWidth="1"/>
    <col min="2234" max="2234" width="5.5703125" bestFit="1" customWidth="1"/>
    <col min="2235" max="2235" width="14.42578125" bestFit="1" customWidth="1"/>
    <col min="2236" max="2236" width="11.28515625" bestFit="1" customWidth="1"/>
    <col min="2237" max="2238" width="12.28515625" bestFit="1" customWidth="1"/>
    <col min="2239" max="2239" width="11.28515625" bestFit="1" customWidth="1"/>
    <col min="2240" max="2240" width="13.85546875" bestFit="1" customWidth="1"/>
    <col min="2241" max="2241" width="12" bestFit="1" customWidth="1"/>
    <col min="2242" max="2242" width="13.85546875" bestFit="1" customWidth="1"/>
    <col min="2243" max="2244" width="14.42578125" customWidth="1"/>
    <col min="2245" max="2245" width="10.140625" bestFit="1" customWidth="1"/>
    <col min="2246" max="2246" width="12.28515625" bestFit="1" customWidth="1"/>
    <col min="2247" max="2247" width="7.42578125" bestFit="1" customWidth="1"/>
    <col min="2248" max="2248" width="8.5703125" bestFit="1" customWidth="1"/>
    <col min="2249" max="2249" width="11.5703125" bestFit="1" customWidth="1"/>
    <col min="2250" max="2250" width="13.28515625" bestFit="1" customWidth="1"/>
    <col min="2251" max="2251" width="13.28515625" customWidth="1"/>
    <col min="2252" max="2252" width="13.140625" customWidth="1"/>
    <col min="2253" max="2253" width="12.7109375" bestFit="1" customWidth="1"/>
    <col min="2254" max="2254" width="13.28515625" bestFit="1" customWidth="1"/>
    <col min="2255" max="2257" width="13.28515625" customWidth="1"/>
    <col min="2258" max="2258" width="12.140625" bestFit="1" customWidth="1"/>
    <col min="2259" max="2259" width="12.7109375" bestFit="1" customWidth="1"/>
    <col min="2260" max="2260" width="11" customWidth="1"/>
    <col min="2261" max="2261" width="16.7109375" customWidth="1"/>
    <col min="2262" max="2262" width="17" customWidth="1"/>
    <col min="2263" max="2263" width="10.42578125" bestFit="1" customWidth="1"/>
    <col min="2307" max="2307" width="3.85546875" customWidth="1"/>
    <col min="2308" max="2308" width="15.28515625" bestFit="1" customWidth="1"/>
    <col min="2309" max="2309" width="12.28515625" customWidth="1"/>
    <col min="2310" max="2310" width="16.28515625" bestFit="1" customWidth="1"/>
    <col min="2311" max="2311" width="6.42578125" bestFit="1" customWidth="1"/>
    <col min="2312" max="2312" width="9.28515625" bestFit="1" customWidth="1"/>
    <col min="2313" max="2313" width="7.5703125" bestFit="1" customWidth="1"/>
    <col min="2314" max="2314" width="13.28515625" bestFit="1" customWidth="1"/>
    <col min="2315" max="2315" width="9.28515625" bestFit="1" customWidth="1"/>
    <col min="2316" max="2316" width="11.5703125" bestFit="1" customWidth="1"/>
    <col min="2317" max="2317" width="13.28515625" bestFit="1" customWidth="1"/>
    <col min="2318" max="2318" width="7.140625" bestFit="1" customWidth="1"/>
    <col min="2319" max="2319" width="12" bestFit="1" customWidth="1"/>
    <col min="2320" max="2320" width="13.28515625" bestFit="1" customWidth="1"/>
    <col min="2321" max="2321" width="7" bestFit="1" customWidth="1"/>
    <col min="2322" max="2322" width="12.7109375" bestFit="1" customWidth="1"/>
    <col min="2323" max="2323" width="11.5703125" bestFit="1" customWidth="1"/>
    <col min="2324" max="2324" width="10.5703125" bestFit="1" customWidth="1"/>
    <col min="2325" max="2326" width="15.7109375" bestFit="1" customWidth="1"/>
    <col min="2327" max="2327" width="11.5703125" bestFit="1" customWidth="1"/>
    <col min="2328" max="2328" width="7.7109375" bestFit="1" customWidth="1"/>
    <col min="2329" max="2329" width="15.140625" bestFit="1" customWidth="1"/>
    <col min="2330" max="2330" width="11.5703125" bestFit="1" customWidth="1"/>
    <col min="2331" max="2331" width="13.28515625" bestFit="1" customWidth="1"/>
    <col min="2332" max="2332" width="10.42578125" bestFit="1" customWidth="1"/>
    <col min="2333" max="2333" width="13.28515625" bestFit="1" customWidth="1"/>
    <col min="2334" max="2334" width="12.140625" bestFit="1" customWidth="1"/>
    <col min="2335" max="2335" width="14.42578125" bestFit="1" customWidth="1"/>
    <col min="2336" max="2336" width="13.28515625" bestFit="1" customWidth="1"/>
    <col min="2337" max="2337" width="11.5703125" bestFit="1" customWidth="1"/>
    <col min="2338" max="2338" width="7.7109375" bestFit="1" customWidth="1"/>
    <col min="2339" max="2340" width="14.42578125" bestFit="1" customWidth="1"/>
    <col min="2341" max="2341" width="11.5703125" bestFit="1" customWidth="1"/>
    <col min="2342" max="2342" width="7.7109375" bestFit="1" customWidth="1"/>
    <col min="2343" max="2343" width="13.5703125" customWidth="1"/>
    <col min="2344" max="2344" width="15.28515625" customWidth="1"/>
    <col min="2345" max="2345" width="14.5703125" customWidth="1"/>
    <col min="2346" max="2346" width="13.28515625" bestFit="1" customWidth="1"/>
    <col min="2347" max="2347" width="7.7109375" bestFit="1" customWidth="1"/>
    <col min="2348" max="2348" width="12.7109375" bestFit="1" customWidth="1"/>
    <col min="2349" max="2349" width="11.7109375" bestFit="1" customWidth="1"/>
    <col min="2350" max="2350" width="11.5703125" bestFit="1" customWidth="1"/>
    <col min="2351" max="2351" width="5.28515625" bestFit="1" customWidth="1"/>
    <col min="2352" max="2352" width="13.28515625" bestFit="1" customWidth="1"/>
    <col min="2353" max="2353" width="13.5703125" bestFit="1" customWidth="1"/>
    <col min="2354" max="2354" width="10.5703125" bestFit="1" customWidth="1"/>
    <col min="2355" max="2355" width="13.28515625" bestFit="1" customWidth="1"/>
    <col min="2356" max="2356" width="11.5703125" bestFit="1" customWidth="1"/>
    <col min="2357" max="2357" width="10.5703125" bestFit="1" customWidth="1"/>
    <col min="2358" max="2358" width="16.140625" bestFit="1" customWidth="1"/>
    <col min="2359" max="2360" width="11.28515625" bestFit="1" customWidth="1"/>
    <col min="2361" max="2361" width="13.28515625" bestFit="1" customWidth="1"/>
    <col min="2362" max="2362" width="7.7109375" bestFit="1" customWidth="1"/>
    <col min="2363" max="2366" width="9.140625" hidden="1" customWidth="1"/>
    <col min="2367" max="2367" width="10.42578125" bestFit="1" customWidth="1"/>
    <col min="2368" max="2368" width="10.5703125" bestFit="1" customWidth="1"/>
    <col min="2369" max="2369" width="10.42578125" bestFit="1" customWidth="1"/>
    <col min="2370" max="2370" width="10.5703125" bestFit="1" customWidth="1"/>
    <col min="2371" max="2371" width="9.5703125" bestFit="1" customWidth="1"/>
    <col min="2372" max="2372" width="11.5703125" bestFit="1" customWidth="1"/>
    <col min="2373" max="2373" width="10.42578125" bestFit="1" customWidth="1"/>
    <col min="2374" max="2374" width="10.85546875" customWidth="1"/>
    <col min="2375" max="2376" width="9.85546875" bestFit="1" customWidth="1"/>
    <col min="2377" max="2377" width="13.5703125" bestFit="1" customWidth="1"/>
    <col min="2378" max="2378" width="7.7109375" bestFit="1" customWidth="1"/>
    <col min="2379" max="2379" width="13.28515625" bestFit="1" customWidth="1"/>
    <col min="2380" max="2380" width="11.5703125" bestFit="1" customWidth="1"/>
    <col min="2381" max="2381" width="10.42578125" bestFit="1" customWidth="1"/>
    <col min="2382" max="2382" width="7.7109375" bestFit="1" customWidth="1"/>
    <col min="2383" max="2383" width="11.5703125" bestFit="1" customWidth="1"/>
    <col min="2384" max="2384" width="10.85546875" bestFit="1" customWidth="1"/>
    <col min="2385" max="2385" width="13.28515625" bestFit="1" customWidth="1"/>
    <col min="2386" max="2386" width="10.85546875" bestFit="1" customWidth="1"/>
    <col min="2387" max="2388" width="7.5703125" bestFit="1" customWidth="1"/>
    <col min="2389" max="2390" width="10.42578125" bestFit="1" customWidth="1"/>
    <col min="2391" max="2391" width="11.5703125" bestFit="1" customWidth="1"/>
    <col min="2392" max="2392" width="5.28515625" bestFit="1" customWidth="1"/>
    <col min="2393" max="2393" width="10.28515625" bestFit="1" customWidth="1"/>
    <col min="2394" max="2394" width="10.42578125" bestFit="1" customWidth="1"/>
    <col min="2395" max="2395" width="11.5703125" bestFit="1" customWidth="1"/>
    <col min="2396" max="2396" width="5.28515625" bestFit="1" customWidth="1"/>
    <col min="2397" max="2399" width="11.5703125" bestFit="1" customWidth="1"/>
    <col min="2400" max="2400" width="5.28515625" bestFit="1" customWidth="1"/>
    <col min="2401" max="2402" width="10.42578125" bestFit="1" customWidth="1"/>
    <col min="2403" max="2403" width="11.5703125" bestFit="1" customWidth="1"/>
    <col min="2404" max="2404" width="5.28515625" bestFit="1" customWidth="1"/>
    <col min="2405" max="2405" width="14.28515625" bestFit="1" customWidth="1"/>
    <col min="2406" max="2406" width="13" bestFit="1" customWidth="1"/>
    <col min="2407" max="2407" width="11.5703125" bestFit="1" customWidth="1"/>
    <col min="2408" max="2408" width="8.85546875" bestFit="1" customWidth="1"/>
    <col min="2409" max="2409" width="14.42578125" bestFit="1" customWidth="1"/>
    <col min="2410" max="2410" width="10.42578125" bestFit="1" customWidth="1"/>
    <col min="2411" max="2411" width="12.28515625" bestFit="1" customWidth="1"/>
    <col min="2412" max="2412" width="13.85546875" bestFit="1" customWidth="1"/>
    <col min="2413" max="2413" width="11.28515625" customWidth="1"/>
    <col min="2414" max="2414" width="11.5703125" customWidth="1"/>
    <col min="2415" max="2415" width="13.42578125" bestFit="1" customWidth="1"/>
    <col min="2416" max="2416" width="10.42578125" customWidth="1"/>
    <col min="2417" max="2417" width="13.85546875" bestFit="1" customWidth="1"/>
    <col min="2418" max="2418" width="15.42578125" bestFit="1" customWidth="1"/>
    <col min="2419" max="2419" width="12.28515625" bestFit="1" customWidth="1"/>
    <col min="2420" max="2420" width="12.7109375" customWidth="1"/>
    <col min="2421" max="2421" width="10.7109375" bestFit="1" customWidth="1"/>
    <col min="2422" max="2422" width="9.85546875" customWidth="1"/>
    <col min="2423" max="2424" width="10.140625" bestFit="1" customWidth="1"/>
    <col min="2425" max="2425" width="7.5703125" bestFit="1" customWidth="1"/>
    <col min="2426" max="2426" width="9.42578125" bestFit="1" customWidth="1"/>
    <col min="2427" max="2427" width="14.5703125" bestFit="1" customWidth="1"/>
    <col min="2428" max="2428" width="14.85546875" customWidth="1"/>
    <col min="2429" max="2429" width="15.140625" bestFit="1" customWidth="1"/>
    <col min="2430" max="2430" width="12.140625" bestFit="1" customWidth="1"/>
    <col min="2431" max="2431" width="14.85546875" bestFit="1" customWidth="1"/>
    <col min="2432" max="2432" width="12.28515625" bestFit="1" customWidth="1"/>
    <col min="2433" max="2441" width="9.140625" hidden="1" customWidth="1"/>
    <col min="2442" max="2442" width="5.28515625" bestFit="1" customWidth="1"/>
    <col min="2443" max="2448" width="11.5703125" bestFit="1" customWidth="1"/>
    <col min="2449" max="2449" width="11.28515625" bestFit="1" customWidth="1"/>
    <col min="2450" max="2450" width="10.140625" bestFit="1" customWidth="1"/>
    <col min="2451" max="2451" width="11.5703125" bestFit="1" customWidth="1"/>
    <col min="2452" max="2452" width="16.140625" customWidth="1"/>
    <col min="2453" max="2453" width="13.42578125" customWidth="1"/>
    <col min="2454" max="2454" width="10.140625" bestFit="1" customWidth="1"/>
    <col min="2455" max="2455" width="12.85546875" bestFit="1" customWidth="1"/>
    <col min="2456" max="2456" width="12.28515625" bestFit="1" customWidth="1"/>
    <col min="2457" max="2457" width="11.28515625" bestFit="1" customWidth="1"/>
    <col min="2458" max="2458" width="11.5703125" bestFit="1" customWidth="1"/>
    <col min="2459" max="2459" width="10.85546875" bestFit="1" customWidth="1"/>
    <col min="2460" max="2460" width="11.28515625" bestFit="1" customWidth="1"/>
    <col min="2461" max="2461" width="10.140625" bestFit="1" customWidth="1"/>
    <col min="2462" max="2462" width="13.28515625" bestFit="1" customWidth="1"/>
    <col min="2463" max="2464" width="12.7109375" bestFit="1" customWidth="1"/>
    <col min="2465" max="2465" width="11" bestFit="1" customWidth="1"/>
    <col min="2466" max="2466" width="11.28515625" bestFit="1" customWidth="1"/>
    <col min="2467" max="2467" width="11.5703125" bestFit="1" customWidth="1"/>
    <col min="2468" max="2468" width="12.28515625" bestFit="1" customWidth="1"/>
    <col min="2469" max="2469" width="15.140625" bestFit="1" customWidth="1"/>
    <col min="2470" max="2470" width="14.42578125" bestFit="1" customWidth="1"/>
    <col min="2471" max="2471" width="12.28515625" bestFit="1" customWidth="1"/>
    <col min="2472" max="2472" width="15.140625" bestFit="1" customWidth="1"/>
    <col min="2473" max="2473" width="14.42578125" bestFit="1" customWidth="1"/>
    <col min="2474" max="2474" width="12.28515625" bestFit="1" customWidth="1"/>
    <col min="2475" max="2475" width="14.42578125" bestFit="1" customWidth="1"/>
    <col min="2476" max="2476" width="11.28515625" bestFit="1" customWidth="1"/>
    <col min="2477" max="2477" width="12.28515625" bestFit="1" customWidth="1"/>
    <col min="2478" max="2478" width="13" bestFit="1" customWidth="1"/>
    <col min="2479" max="2479" width="15.140625" bestFit="1" customWidth="1"/>
    <col min="2480" max="2480" width="12.28515625" bestFit="1" customWidth="1"/>
    <col min="2481" max="2481" width="13.85546875" bestFit="1" customWidth="1"/>
    <col min="2482" max="2482" width="11.28515625" bestFit="1" customWidth="1"/>
    <col min="2483" max="2483" width="12.28515625" bestFit="1" customWidth="1"/>
    <col min="2484" max="2484" width="13.85546875" bestFit="1" customWidth="1"/>
    <col min="2485" max="2486" width="15.140625" bestFit="1" customWidth="1"/>
    <col min="2487" max="2487" width="12.28515625" bestFit="1" customWidth="1"/>
    <col min="2488" max="2488" width="5.7109375" bestFit="1" customWidth="1"/>
    <col min="2489" max="2489" width="8.5703125" bestFit="1" customWidth="1"/>
    <col min="2490" max="2490" width="5.5703125" bestFit="1" customWidth="1"/>
    <col min="2491" max="2491" width="14.42578125" bestFit="1" customWidth="1"/>
    <col min="2492" max="2492" width="11.28515625" bestFit="1" customWidth="1"/>
    <col min="2493" max="2494" width="12.28515625" bestFit="1" customWidth="1"/>
    <col min="2495" max="2495" width="11.28515625" bestFit="1" customWidth="1"/>
    <col min="2496" max="2496" width="13.85546875" bestFit="1" customWidth="1"/>
    <col min="2497" max="2497" width="12" bestFit="1" customWidth="1"/>
    <col min="2498" max="2498" width="13.85546875" bestFit="1" customWidth="1"/>
    <col min="2499" max="2500" width="14.42578125" customWidth="1"/>
    <col min="2501" max="2501" width="10.140625" bestFit="1" customWidth="1"/>
    <col min="2502" max="2502" width="12.28515625" bestFit="1" customWidth="1"/>
    <col min="2503" max="2503" width="7.42578125" bestFit="1" customWidth="1"/>
    <col min="2504" max="2504" width="8.5703125" bestFit="1" customWidth="1"/>
    <col min="2505" max="2505" width="11.5703125" bestFit="1" customWidth="1"/>
    <col min="2506" max="2506" width="13.28515625" bestFit="1" customWidth="1"/>
    <col min="2507" max="2507" width="13.28515625" customWidth="1"/>
    <col min="2508" max="2508" width="13.140625" customWidth="1"/>
    <col min="2509" max="2509" width="12.7109375" bestFit="1" customWidth="1"/>
    <col min="2510" max="2510" width="13.28515625" bestFit="1" customWidth="1"/>
    <col min="2511" max="2513" width="13.28515625" customWidth="1"/>
    <col min="2514" max="2514" width="12.140625" bestFit="1" customWidth="1"/>
    <col min="2515" max="2515" width="12.7109375" bestFit="1" customWidth="1"/>
    <col min="2516" max="2516" width="11" customWidth="1"/>
    <col min="2517" max="2517" width="16.7109375" customWidth="1"/>
    <col min="2518" max="2518" width="17" customWidth="1"/>
    <col min="2519" max="2519" width="10.42578125" bestFit="1" customWidth="1"/>
    <col min="2563" max="2563" width="3.85546875" customWidth="1"/>
    <col min="2564" max="2564" width="15.28515625" bestFit="1" customWidth="1"/>
    <col min="2565" max="2565" width="12.28515625" customWidth="1"/>
    <col min="2566" max="2566" width="16.28515625" bestFit="1" customWidth="1"/>
    <col min="2567" max="2567" width="6.42578125" bestFit="1" customWidth="1"/>
    <col min="2568" max="2568" width="9.28515625" bestFit="1" customWidth="1"/>
    <col min="2569" max="2569" width="7.5703125" bestFit="1" customWidth="1"/>
    <col min="2570" max="2570" width="13.28515625" bestFit="1" customWidth="1"/>
    <col min="2571" max="2571" width="9.28515625" bestFit="1" customWidth="1"/>
    <col min="2572" max="2572" width="11.5703125" bestFit="1" customWidth="1"/>
    <col min="2573" max="2573" width="13.28515625" bestFit="1" customWidth="1"/>
    <col min="2574" max="2574" width="7.140625" bestFit="1" customWidth="1"/>
    <col min="2575" max="2575" width="12" bestFit="1" customWidth="1"/>
    <col min="2576" max="2576" width="13.28515625" bestFit="1" customWidth="1"/>
    <col min="2577" max="2577" width="7" bestFit="1" customWidth="1"/>
    <col min="2578" max="2578" width="12.7109375" bestFit="1" customWidth="1"/>
    <col min="2579" max="2579" width="11.5703125" bestFit="1" customWidth="1"/>
    <col min="2580" max="2580" width="10.5703125" bestFit="1" customWidth="1"/>
    <col min="2581" max="2582" width="15.7109375" bestFit="1" customWidth="1"/>
    <col min="2583" max="2583" width="11.5703125" bestFit="1" customWidth="1"/>
    <col min="2584" max="2584" width="7.7109375" bestFit="1" customWidth="1"/>
    <col min="2585" max="2585" width="15.140625" bestFit="1" customWidth="1"/>
    <col min="2586" max="2586" width="11.5703125" bestFit="1" customWidth="1"/>
    <col min="2587" max="2587" width="13.28515625" bestFit="1" customWidth="1"/>
    <col min="2588" max="2588" width="10.42578125" bestFit="1" customWidth="1"/>
    <col min="2589" max="2589" width="13.28515625" bestFit="1" customWidth="1"/>
    <col min="2590" max="2590" width="12.140625" bestFit="1" customWidth="1"/>
    <col min="2591" max="2591" width="14.42578125" bestFit="1" customWidth="1"/>
    <col min="2592" max="2592" width="13.28515625" bestFit="1" customWidth="1"/>
    <col min="2593" max="2593" width="11.5703125" bestFit="1" customWidth="1"/>
    <col min="2594" max="2594" width="7.7109375" bestFit="1" customWidth="1"/>
    <col min="2595" max="2596" width="14.42578125" bestFit="1" customWidth="1"/>
    <col min="2597" max="2597" width="11.5703125" bestFit="1" customWidth="1"/>
    <col min="2598" max="2598" width="7.7109375" bestFit="1" customWidth="1"/>
    <col min="2599" max="2599" width="13.5703125" customWidth="1"/>
    <col min="2600" max="2600" width="15.28515625" customWidth="1"/>
    <col min="2601" max="2601" width="14.5703125" customWidth="1"/>
    <col min="2602" max="2602" width="13.28515625" bestFit="1" customWidth="1"/>
    <col min="2603" max="2603" width="7.7109375" bestFit="1" customWidth="1"/>
    <col min="2604" max="2604" width="12.7109375" bestFit="1" customWidth="1"/>
    <col min="2605" max="2605" width="11.7109375" bestFit="1" customWidth="1"/>
    <col min="2606" max="2606" width="11.5703125" bestFit="1" customWidth="1"/>
    <col min="2607" max="2607" width="5.28515625" bestFit="1" customWidth="1"/>
    <col min="2608" max="2608" width="13.28515625" bestFit="1" customWidth="1"/>
    <col min="2609" max="2609" width="13.5703125" bestFit="1" customWidth="1"/>
    <col min="2610" max="2610" width="10.5703125" bestFit="1" customWidth="1"/>
    <col min="2611" max="2611" width="13.28515625" bestFit="1" customWidth="1"/>
    <col min="2612" max="2612" width="11.5703125" bestFit="1" customWidth="1"/>
    <col min="2613" max="2613" width="10.5703125" bestFit="1" customWidth="1"/>
    <col min="2614" max="2614" width="16.140625" bestFit="1" customWidth="1"/>
    <col min="2615" max="2616" width="11.28515625" bestFit="1" customWidth="1"/>
    <col min="2617" max="2617" width="13.28515625" bestFit="1" customWidth="1"/>
    <col min="2618" max="2618" width="7.7109375" bestFit="1" customWidth="1"/>
    <col min="2619" max="2622" width="9.140625" hidden="1" customWidth="1"/>
    <col min="2623" max="2623" width="10.42578125" bestFit="1" customWidth="1"/>
    <col min="2624" max="2624" width="10.5703125" bestFit="1" customWidth="1"/>
    <col min="2625" max="2625" width="10.42578125" bestFit="1" customWidth="1"/>
    <col min="2626" max="2626" width="10.5703125" bestFit="1" customWidth="1"/>
    <col min="2627" max="2627" width="9.5703125" bestFit="1" customWidth="1"/>
    <col min="2628" max="2628" width="11.5703125" bestFit="1" customWidth="1"/>
    <col min="2629" max="2629" width="10.42578125" bestFit="1" customWidth="1"/>
    <col min="2630" max="2630" width="10.85546875" customWidth="1"/>
    <col min="2631" max="2632" width="9.85546875" bestFit="1" customWidth="1"/>
    <col min="2633" max="2633" width="13.5703125" bestFit="1" customWidth="1"/>
    <col min="2634" max="2634" width="7.7109375" bestFit="1" customWidth="1"/>
    <col min="2635" max="2635" width="13.28515625" bestFit="1" customWidth="1"/>
    <col min="2636" max="2636" width="11.5703125" bestFit="1" customWidth="1"/>
    <col min="2637" max="2637" width="10.42578125" bestFit="1" customWidth="1"/>
    <col min="2638" max="2638" width="7.7109375" bestFit="1" customWidth="1"/>
    <col min="2639" max="2639" width="11.5703125" bestFit="1" customWidth="1"/>
    <col min="2640" max="2640" width="10.85546875" bestFit="1" customWidth="1"/>
    <col min="2641" max="2641" width="13.28515625" bestFit="1" customWidth="1"/>
    <col min="2642" max="2642" width="10.85546875" bestFit="1" customWidth="1"/>
    <col min="2643" max="2644" width="7.5703125" bestFit="1" customWidth="1"/>
    <col min="2645" max="2646" width="10.42578125" bestFit="1" customWidth="1"/>
    <col min="2647" max="2647" width="11.5703125" bestFit="1" customWidth="1"/>
    <col min="2648" max="2648" width="5.28515625" bestFit="1" customWidth="1"/>
    <col min="2649" max="2649" width="10.28515625" bestFit="1" customWidth="1"/>
    <col min="2650" max="2650" width="10.42578125" bestFit="1" customWidth="1"/>
    <col min="2651" max="2651" width="11.5703125" bestFit="1" customWidth="1"/>
    <col min="2652" max="2652" width="5.28515625" bestFit="1" customWidth="1"/>
    <col min="2653" max="2655" width="11.5703125" bestFit="1" customWidth="1"/>
    <col min="2656" max="2656" width="5.28515625" bestFit="1" customWidth="1"/>
    <col min="2657" max="2658" width="10.42578125" bestFit="1" customWidth="1"/>
    <col min="2659" max="2659" width="11.5703125" bestFit="1" customWidth="1"/>
    <col min="2660" max="2660" width="5.28515625" bestFit="1" customWidth="1"/>
    <col min="2661" max="2661" width="14.28515625" bestFit="1" customWidth="1"/>
    <col min="2662" max="2662" width="13" bestFit="1" customWidth="1"/>
    <col min="2663" max="2663" width="11.5703125" bestFit="1" customWidth="1"/>
    <col min="2664" max="2664" width="8.85546875" bestFit="1" customWidth="1"/>
    <col min="2665" max="2665" width="14.42578125" bestFit="1" customWidth="1"/>
    <col min="2666" max="2666" width="10.42578125" bestFit="1" customWidth="1"/>
    <col min="2667" max="2667" width="12.28515625" bestFit="1" customWidth="1"/>
    <col min="2668" max="2668" width="13.85546875" bestFit="1" customWidth="1"/>
    <col min="2669" max="2669" width="11.28515625" customWidth="1"/>
    <col min="2670" max="2670" width="11.5703125" customWidth="1"/>
    <col min="2671" max="2671" width="13.42578125" bestFit="1" customWidth="1"/>
    <col min="2672" max="2672" width="10.42578125" customWidth="1"/>
    <col min="2673" max="2673" width="13.85546875" bestFit="1" customWidth="1"/>
    <col min="2674" max="2674" width="15.42578125" bestFit="1" customWidth="1"/>
    <col min="2675" max="2675" width="12.28515625" bestFit="1" customWidth="1"/>
    <col min="2676" max="2676" width="12.7109375" customWidth="1"/>
    <col min="2677" max="2677" width="10.7109375" bestFit="1" customWidth="1"/>
    <col min="2678" max="2678" width="9.85546875" customWidth="1"/>
    <col min="2679" max="2680" width="10.140625" bestFit="1" customWidth="1"/>
    <col min="2681" max="2681" width="7.5703125" bestFit="1" customWidth="1"/>
    <col min="2682" max="2682" width="9.42578125" bestFit="1" customWidth="1"/>
    <col min="2683" max="2683" width="14.5703125" bestFit="1" customWidth="1"/>
    <col min="2684" max="2684" width="14.85546875" customWidth="1"/>
    <col min="2685" max="2685" width="15.140625" bestFit="1" customWidth="1"/>
    <col min="2686" max="2686" width="12.140625" bestFit="1" customWidth="1"/>
    <col min="2687" max="2687" width="14.85546875" bestFit="1" customWidth="1"/>
    <col min="2688" max="2688" width="12.28515625" bestFit="1" customWidth="1"/>
    <col min="2689" max="2697" width="9.140625" hidden="1" customWidth="1"/>
    <col min="2698" max="2698" width="5.28515625" bestFit="1" customWidth="1"/>
    <col min="2699" max="2704" width="11.5703125" bestFit="1" customWidth="1"/>
    <col min="2705" max="2705" width="11.28515625" bestFit="1" customWidth="1"/>
    <col min="2706" max="2706" width="10.140625" bestFit="1" customWidth="1"/>
    <col min="2707" max="2707" width="11.5703125" bestFit="1" customWidth="1"/>
    <col min="2708" max="2708" width="16.140625" customWidth="1"/>
    <col min="2709" max="2709" width="13.42578125" customWidth="1"/>
    <col min="2710" max="2710" width="10.140625" bestFit="1" customWidth="1"/>
    <col min="2711" max="2711" width="12.85546875" bestFit="1" customWidth="1"/>
    <col min="2712" max="2712" width="12.28515625" bestFit="1" customWidth="1"/>
    <col min="2713" max="2713" width="11.28515625" bestFit="1" customWidth="1"/>
    <col min="2714" max="2714" width="11.5703125" bestFit="1" customWidth="1"/>
    <col min="2715" max="2715" width="10.85546875" bestFit="1" customWidth="1"/>
    <col min="2716" max="2716" width="11.28515625" bestFit="1" customWidth="1"/>
    <col min="2717" max="2717" width="10.140625" bestFit="1" customWidth="1"/>
    <col min="2718" max="2718" width="13.28515625" bestFit="1" customWidth="1"/>
    <col min="2719" max="2720" width="12.7109375" bestFit="1" customWidth="1"/>
    <col min="2721" max="2721" width="11" bestFit="1" customWidth="1"/>
    <col min="2722" max="2722" width="11.28515625" bestFit="1" customWidth="1"/>
    <col min="2723" max="2723" width="11.5703125" bestFit="1" customWidth="1"/>
    <col min="2724" max="2724" width="12.28515625" bestFit="1" customWidth="1"/>
    <col min="2725" max="2725" width="15.140625" bestFit="1" customWidth="1"/>
    <col min="2726" max="2726" width="14.42578125" bestFit="1" customWidth="1"/>
    <col min="2727" max="2727" width="12.28515625" bestFit="1" customWidth="1"/>
    <col min="2728" max="2728" width="15.140625" bestFit="1" customWidth="1"/>
    <col min="2729" max="2729" width="14.42578125" bestFit="1" customWidth="1"/>
    <col min="2730" max="2730" width="12.28515625" bestFit="1" customWidth="1"/>
    <col min="2731" max="2731" width="14.42578125" bestFit="1" customWidth="1"/>
    <col min="2732" max="2732" width="11.28515625" bestFit="1" customWidth="1"/>
    <col min="2733" max="2733" width="12.28515625" bestFit="1" customWidth="1"/>
    <col min="2734" max="2734" width="13" bestFit="1" customWidth="1"/>
    <col min="2735" max="2735" width="15.140625" bestFit="1" customWidth="1"/>
    <col min="2736" max="2736" width="12.28515625" bestFit="1" customWidth="1"/>
    <col min="2737" max="2737" width="13.85546875" bestFit="1" customWidth="1"/>
    <col min="2738" max="2738" width="11.28515625" bestFit="1" customWidth="1"/>
    <col min="2739" max="2739" width="12.28515625" bestFit="1" customWidth="1"/>
    <col min="2740" max="2740" width="13.85546875" bestFit="1" customWidth="1"/>
    <col min="2741" max="2742" width="15.140625" bestFit="1" customWidth="1"/>
    <col min="2743" max="2743" width="12.28515625" bestFit="1" customWidth="1"/>
    <col min="2744" max="2744" width="5.7109375" bestFit="1" customWidth="1"/>
    <col min="2745" max="2745" width="8.5703125" bestFit="1" customWidth="1"/>
    <col min="2746" max="2746" width="5.5703125" bestFit="1" customWidth="1"/>
    <col min="2747" max="2747" width="14.42578125" bestFit="1" customWidth="1"/>
    <col min="2748" max="2748" width="11.28515625" bestFit="1" customWidth="1"/>
    <col min="2749" max="2750" width="12.28515625" bestFit="1" customWidth="1"/>
    <col min="2751" max="2751" width="11.28515625" bestFit="1" customWidth="1"/>
    <col min="2752" max="2752" width="13.85546875" bestFit="1" customWidth="1"/>
    <col min="2753" max="2753" width="12" bestFit="1" customWidth="1"/>
    <col min="2754" max="2754" width="13.85546875" bestFit="1" customWidth="1"/>
    <col min="2755" max="2756" width="14.42578125" customWidth="1"/>
    <col min="2757" max="2757" width="10.140625" bestFit="1" customWidth="1"/>
    <col min="2758" max="2758" width="12.28515625" bestFit="1" customWidth="1"/>
    <col min="2759" max="2759" width="7.42578125" bestFit="1" customWidth="1"/>
    <col min="2760" max="2760" width="8.5703125" bestFit="1" customWidth="1"/>
    <col min="2761" max="2761" width="11.5703125" bestFit="1" customWidth="1"/>
    <col min="2762" max="2762" width="13.28515625" bestFit="1" customWidth="1"/>
    <col min="2763" max="2763" width="13.28515625" customWidth="1"/>
    <col min="2764" max="2764" width="13.140625" customWidth="1"/>
    <col min="2765" max="2765" width="12.7109375" bestFit="1" customWidth="1"/>
    <col min="2766" max="2766" width="13.28515625" bestFit="1" customWidth="1"/>
    <col min="2767" max="2769" width="13.28515625" customWidth="1"/>
    <col min="2770" max="2770" width="12.140625" bestFit="1" customWidth="1"/>
    <col min="2771" max="2771" width="12.7109375" bestFit="1" customWidth="1"/>
    <col min="2772" max="2772" width="11" customWidth="1"/>
    <col min="2773" max="2773" width="16.7109375" customWidth="1"/>
    <col min="2774" max="2774" width="17" customWidth="1"/>
    <col min="2775" max="2775" width="10.42578125" bestFit="1" customWidth="1"/>
    <col min="2819" max="2819" width="3.85546875" customWidth="1"/>
    <col min="2820" max="2820" width="15.28515625" bestFit="1" customWidth="1"/>
    <col min="2821" max="2821" width="12.28515625" customWidth="1"/>
    <col min="2822" max="2822" width="16.28515625" bestFit="1" customWidth="1"/>
    <col min="2823" max="2823" width="6.42578125" bestFit="1" customWidth="1"/>
    <col min="2824" max="2824" width="9.28515625" bestFit="1" customWidth="1"/>
    <col min="2825" max="2825" width="7.5703125" bestFit="1" customWidth="1"/>
    <col min="2826" max="2826" width="13.28515625" bestFit="1" customWidth="1"/>
    <col min="2827" max="2827" width="9.28515625" bestFit="1" customWidth="1"/>
    <col min="2828" max="2828" width="11.5703125" bestFit="1" customWidth="1"/>
    <col min="2829" max="2829" width="13.28515625" bestFit="1" customWidth="1"/>
    <col min="2830" max="2830" width="7.140625" bestFit="1" customWidth="1"/>
    <col min="2831" max="2831" width="12" bestFit="1" customWidth="1"/>
    <col min="2832" max="2832" width="13.28515625" bestFit="1" customWidth="1"/>
    <col min="2833" max="2833" width="7" bestFit="1" customWidth="1"/>
    <col min="2834" max="2834" width="12.7109375" bestFit="1" customWidth="1"/>
    <col min="2835" max="2835" width="11.5703125" bestFit="1" customWidth="1"/>
    <col min="2836" max="2836" width="10.5703125" bestFit="1" customWidth="1"/>
    <col min="2837" max="2838" width="15.7109375" bestFit="1" customWidth="1"/>
    <col min="2839" max="2839" width="11.5703125" bestFit="1" customWidth="1"/>
    <col min="2840" max="2840" width="7.7109375" bestFit="1" customWidth="1"/>
    <col min="2841" max="2841" width="15.140625" bestFit="1" customWidth="1"/>
    <col min="2842" max="2842" width="11.5703125" bestFit="1" customWidth="1"/>
    <col min="2843" max="2843" width="13.28515625" bestFit="1" customWidth="1"/>
    <col min="2844" max="2844" width="10.42578125" bestFit="1" customWidth="1"/>
    <col min="2845" max="2845" width="13.28515625" bestFit="1" customWidth="1"/>
    <col min="2846" max="2846" width="12.140625" bestFit="1" customWidth="1"/>
    <col min="2847" max="2847" width="14.42578125" bestFit="1" customWidth="1"/>
    <col min="2848" max="2848" width="13.28515625" bestFit="1" customWidth="1"/>
    <col min="2849" max="2849" width="11.5703125" bestFit="1" customWidth="1"/>
    <col min="2850" max="2850" width="7.7109375" bestFit="1" customWidth="1"/>
    <col min="2851" max="2852" width="14.42578125" bestFit="1" customWidth="1"/>
    <col min="2853" max="2853" width="11.5703125" bestFit="1" customWidth="1"/>
    <col min="2854" max="2854" width="7.7109375" bestFit="1" customWidth="1"/>
    <col min="2855" max="2855" width="13.5703125" customWidth="1"/>
    <col min="2856" max="2856" width="15.28515625" customWidth="1"/>
    <col min="2857" max="2857" width="14.5703125" customWidth="1"/>
    <col min="2858" max="2858" width="13.28515625" bestFit="1" customWidth="1"/>
    <col min="2859" max="2859" width="7.7109375" bestFit="1" customWidth="1"/>
    <col min="2860" max="2860" width="12.7109375" bestFit="1" customWidth="1"/>
    <col min="2861" max="2861" width="11.7109375" bestFit="1" customWidth="1"/>
    <col min="2862" max="2862" width="11.5703125" bestFit="1" customWidth="1"/>
    <col min="2863" max="2863" width="5.28515625" bestFit="1" customWidth="1"/>
    <col min="2864" max="2864" width="13.28515625" bestFit="1" customWidth="1"/>
    <col min="2865" max="2865" width="13.5703125" bestFit="1" customWidth="1"/>
    <col min="2866" max="2866" width="10.5703125" bestFit="1" customWidth="1"/>
    <col min="2867" max="2867" width="13.28515625" bestFit="1" customWidth="1"/>
    <col min="2868" max="2868" width="11.5703125" bestFit="1" customWidth="1"/>
    <col min="2869" max="2869" width="10.5703125" bestFit="1" customWidth="1"/>
    <col min="2870" max="2870" width="16.140625" bestFit="1" customWidth="1"/>
    <col min="2871" max="2872" width="11.28515625" bestFit="1" customWidth="1"/>
    <col min="2873" max="2873" width="13.28515625" bestFit="1" customWidth="1"/>
    <col min="2874" max="2874" width="7.7109375" bestFit="1" customWidth="1"/>
    <col min="2875" max="2878" width="9.140625" hidden="1" customWidth="1"/>
    <col min="2879" max="2879" width="10.42578125" bestFit="1" customWidth="1"/>
    <col min="2880" max="2880" width="10.5703125" bestFit="1" customWidth="1"/>
    <col min="2881" max="2881" width="10.42578125" bestFit="1" customWidth="1"/>
    <col min="2882" max="2882" width="10.5703125" bestFit="1" customWidth="1"/>
    <col min="2883" max="2883" width="9.5703125" bestFit="1" customWidth="1"/>
    <col min="2884" max="2884" width="11.5703125" bestFit="1" customWidth="1"/>
    <col min="2885" max="2885" width="10.42578125" bestFit="1" customWidth="1"/>
    <col min="2886" max="2886" width="10.85546875" customWidth="1"/>
    <col min="2887" max="2888" width="9.85546875" bestFit="1" customWidth="1"/>
    <col min="2889" max="2889" width="13.5703125" bestFit="1" customWidth="1"/>
    <col min="2890" max="2890" width="7.7109375" bestFit="1" customWidth="1"/>
    <col min="2891" max="2891" width="13.28515625" bestFit="1" customWidth="1"/>
    <col min="2892" max="2892" width="11.5703125" bestFit="1" customWidth="1"/>
    <col min="2893" max="2893" width="10.42578125" bestFit="1" customWidth="1"/>
    <col min="2894" max="2894" width="7.7109375" bestFit="1" customWidth="1"/>
    <col min="2895" max="2895" width="11.5703125" bestFit="1" customWidth="1"/>
    <col min="2896" max="2896" width="10.85546875" bestFit="1" customWidth="1"/>
    <col min="2897" max="2897" width="13.28515625" bestFit="1" customWidth="1"/>
    <col min="2898" max="2898" width="10.85546875" bestFit="1" customWidth="1"/>
    <col min="2899" max="2900" width="7.5703125" bestFit="1" customWidth="1"/>
    <col min="2901" max="2902" width="10.42578125" bestFit="1" customWidth="1"/>
    <col min="2903" max="2903" width="11.5703125" bestFit="1" customWidth="1"/>
    <col min="2904" max="2904" width="5.28515625" bestFit="1" customWidth="1"/>
    <col min="2905" max="2905" width="10.28515625" bestFit="1" customWidth="1"/>
    <col min="2906" max="2906" width="10.42578125" bestFit="1" customWidth="1"/>
    <col min="2907" max="2907" width="11.5703125" bestFit="1" customWidth="1"/>
    <col min="2908" max="2908" width="5.28515625" bestFit="1" customWidth="1"/>
    <col min="2909" max="2911" width="11.5703125" bestFit="1" customWidth="1"/>
    <col min="2912" max="2912" width="5.28515625" bestFit="1" customWidth="1"/>
    <col min="2913" max="2914" width="10.42578125" bestFit="1" customWidth="1"/>
    <col min="2915" max="2915" width="11.5703125" bestFit="1" customWidth="1"/>
    <col min="2916" max="2916" width="5.28515625" bestFit="1" customWidth="1"/>
    <col min="2917" max="2917" width="14.28515625" bestFit="1" customWidth="1"/>
    <col min="2918" max="2918" width="13" bestFit="1" customWidth="1"/>
    <col min="2919" max="2919" width="11.5703125" bestFit="1" customWidth="1"/>
    <col min="2920" max="2920" width="8.85546875" bestFit="1" customWidth="1"/>
    <col min="2921" max="2921" width="14.42578125" bestFit="1" customWidth="1"/>
    <col min="2922" max="2922" width="10.42578125" bestFit="1" customWidth="1"/>
    <col min="2923" max="2923" width="12.28515625" bestFit="1" customWidth="1"/>
    <col min="2924" max="2924" width="13.85546875" bestFit="1" customWidth="1"/>
    <col min="2925" max="2925" width="11.28515625" customWidth="1"/>
    <col min="2926" max="2926" width="11.5703125" customWidth="1"/>
    <col min="2927" max="2927" width="13.42578125" bestFit="1" customWidth="1"/>
    <col min="2928" max="2928" width="10.42578125" customWidth="1"/>
    <col min="2929" max="2929" width="13.85546875" bestFit="1" customWidth="1"/>
    <col min="2930" max="2930" width="15.42578125" bestFit="1" customWidth="1"/>
    <col min="2931" max="2931" width="12.28515625" bestFit="1" customWidth="1"/>
    <col min="2932" max="2932" width="12.7109375" customWidth="1"/>
    <col min="2933" max="2933" width="10.7109375" bestFit="1" customWidth="1"/>
    <col min="2934" max="2934" width="9.85546875" customWidth="1"/>
    <col min="2935" max="2936" width="10.140625" bestFit="1" customWidth="1"/>
    <col min="2937" max="2937" width="7.5703125" bestFit="1" customWidth="1"/>
    <col min="2938" max="2938" width="9.42578125" bestFit="1" customWidth="1"/>
    <col min="2939" max="2939" width="14.5703125" bestFit="1" customWidth="1"/>
    <col min="2940" max="2940" width="14.85546875" customWidth="1"/>
    <col min="2941" max="2941" width="15.140625" bestFit="1" customWidth="1"/>
    <col min="2942" max="2942" width="12.140625" bestFit="1" customWidth="1"/>
    <col min="2943" max="2943" width="14.85546875" bestFit="1" customWidth="1"/>
    <col min="2944" max="2944" width="12.28515625" bestFit="1" customWidth="1"/>
    <col min="2945" max="2953" width="9.140625" hidden="1" customWidth="1"/>
    <col min="2954" max="2954" width="5.28515625" bestFit="1" customWidth="1"/>
    <col min="2955" max="2960" width="11.5703125" bestFit="1" customWidth="1"/>
    <col min="2961" max="2961" width="11.28515625" bestFit="1" customWidth="1"/>
    <col min="2962" max="2962" width="10.140625" bestFit="1" customWidth="1"/>
    <col min="2963" max="2963" width="11.5703125" bestFit="1" customWidth="1"/>
    <col min="2964" max="2964" width="16.140625" customWidth="1"/>
    <col min="2965" max="2965" width="13.42578125" customWidth="1"/>
    <col min="2966" max="2966" width="10.140625" bestFit="1" customWidth="1"/>
    <col min="2967" max="2967" width="12.85546875" bestFit="1" customWidth="1"/>
    <col min="2968" max="2968" width="12.28515625" bestFit="1" customWidth="1"/>
    <col min="2969" max="2969" width="11.28515625" bestFit="1" customWidth="1"/>
    <col min="2970" max="2970" width="11.5703125" bestFit="1" customWidth="1"/>
    <col min="2971" max="2971" width="10.85546875" bestFit="1" customWidth="1"/>
    <col min="2972" max="2972" width="11.28515625" bestFit="1" customWidth="1"/>
    <col min="2973" max="2973" width="10.140625" bestFit="1" customWidth="1"/>
    <col min="2974" max="2974" width="13.28515625" bestFit="1" customWidth="1"/>
    <col min="2975" max="2976" width="12.7109375" bestFit="1" customWidth="1"/>
    <col min="2977" max="2977" width="11" bestFit="1" customWidth="1"/>
    <col min="2978" max="2978" width="11.28515625" bestFit="1" customWidth="1"/>
    <col min="2979" max="2979" width="11.5703125" bestFit="1" customWidth="1"/>
    <col min="2980" max="2980" width="12.28515625" bestFit="1" customWidth="1"/>
    <col min="2981" max="2981" width="15.140625" bestFit="1" customWidth="1"/>
    <col min="2982" max="2982" width="14.42578125" bestFit="1" customWidth="1"/>
    <col min="2983" max="2983" width="12.28515625" bestFit="1" customWidth="1"/>
    <col min="2984" max="2984" width="15.140625" bestFit="1" customWidth="1"/>
    <col min="2985" max="2985" width="14.42578125" bestFit="1" customWidth="1"/>
    <col min="2986" max="2986" width="12.28515625" bestFit="1" customWidth="1"/>
    <col min="2987" max="2987" width="14.42578125" bestFit="1" customWidth="1"/>
    <col min="2988" max="2988" width="11.28515625" bestFit="1" customWidth="1"/>
    <col min="2989" max="2989" width="12.28515625" bestFit="1" customWidth="1"/>
    <col min="2990" max="2990" width="13" bestFit="1" customWidth="1"/>
    <col min="2991" max="2991" width="15.140625" bestFit="1" customWidth="1"/>
    <col min="2992" max="2992" width="12.28515625" bestFit="1" customWidth="1"/>
    <col min="2993" max="2993" width="13.85546875" bestFit="1" customWidth="1"/>
    <col min="2994" max="2994" width="11.28515625" bestFit="1" customWidth="1"/>
    <col min="2995" max="2995" width="12.28515625" bestFit="1" customWidth="1"/>
    <col min="2996" max="2996" width="13.85546875" bestFit="1" customWidth="1"/>
    <col min="2997" max="2998" width="15.140625" bestFit="1" customWidth="1"/>
    <col min="2999" max="2999" width="12.28515625" bestFit="1" customWidth="1"/>
    <col min="3000" max="3000" width="5.7109375" bestFit="1" customWidth="1"/>
    <col min="3001" max="3001" width="8.5703125" bestFit="1" customWidth="1"/>
    <col min="3002" max="3002" width="5.5703125" bestFit="1" customWidth="1"/>
    <col min="3003" max="3003" width="14.42578125" bestFit="1" customWidth="1"/>
    <col min="3004" max="3004" width="11.28515625" bestFit="1" customWidth="1"/>
    <col min="3005" max="3006" width="12.28515625" bestFit="1" customWidth="1"/>
    <col min="3007" max="3007" width="11.28515625" bestFit="1" customWidth="1"/>
    <col min="3008" max="3008" width="13.85546875" bestFit="1" customWidth="1"/>
    <col min="3009" max="3009" width="12" bestFit="1" customWidth="1"/>
    <col min="3010" max="3010" width="13.85546875" bestFit="1" customWidth="1"/>
    <col min="3011" max="3012" width="14.42578125" customWidth="1"/>
    <col min="3013" max="3013" width="10.140625" bestFit="1" customWidth="1"/>
    <col min="3014" max="3014" width="12.28515625" bestFit="1" customWidth="1"/>
    <col min="3015" max="3015" width="7.42578125" bestFit="1" customWidth="1"/>
    <col min="3016" max="3016" width="8.5703125" bestFit="1" customWidth="1"/>
    <col min="3017" max="3017" width="11.5703125" bestFit="1" customWidth="1"/>
    <col min="3018" max="3018" width="13.28515625" bestFit="1" customWidth="1"/>
    <col min="3019" max="3019" width="13.28515625" customWidth="1"/>
    <col min="3020" max="3020" width="13.140625" customWidth="1"/>
    <col min="3021" max="3021" width="12.7109375" bestFit="1" customWidth="1"/>
    <col min="3022" max="3022" width="13.28515625" bestFit="1" customWidth="1"/>
    <col min="3023" max="3025" width="13.28515625" customWidth="1"/>
    <col min="3026" max="3026" width="12.140625" bestFit="1" customWidth="1"/>
    <col min="3027" max="3027" width="12.7109375" bestFit="1" customWidth="1"/>
    <col min="3028" max="3028" width="11" customWidth="1"/>
    <col min="3029" max="3029" width="16.7109375" customWidth="1"/>
    <col min="3030" max="3030" width="17" customWidth="1"/>
    <col min="3031" max="3031" width="10.42578125" bestFit="1" customWidth="1"/>
    <col min="3075" max="3075" width="3.85546875" customWidth="1"/>
    <col min="3076" max="3076" width="15.28515625" bestFit="1" customWidth="1"/>
    <col min="3077" max="3077" width="12.28515625" customWidth="1"/>
    <col min="3078" max="3078" width="16.28515625" bestFit="1" customWidth="1"/>
    <col min="3079" max="3079" width="6.42578125" bestFit="1" customWidth="1"/>
    <col min="3080" max="3080" width="9.28515625" bestFit="1" customWidth="1"/>
    <col min="3081" max="3081" width="7.5703125" bestFit="1" customWidth="1"/>
    <col min="3082" max="3082" width="13.28515625" bestFit="1" customWidth="1"/>
    <col min="3083" max="3083" width="9.28515625" bestFit="1" customWidth="1"/>
    <col min="3084" max="3084" width="11.5703125" bestFit="1" customWidth="1"/>
    <col min="3085" max="3085" width="13.28515625" bestFit="1" customWidth="1"/>
    <col min="3086" max="3086" width="7.140625" bestFit="1" customWidth="1"/>
    <col min="3087" max="3087" width="12" bestFit="1" customWidth="1"/>
    <col min="3088" max="3088" width="13.28515625" bestFit="1" customWidth="1"/>
    <col min="3089" max="3089" width="7" bestFit="1" customWidth="1"/>
    <col min="3090" max="3090" width="12.7109375" bestFit="1" customWidth="1"/>
    <col min="3091" max="3091" width="11.5703125" bestFit="1" customWidth="1"/>
    <col min="3092" max="3092" width="10.5703125" bestFit="1" customWidth="1"/>
    <col min="3093" max="3094" width="15.7109375" bestFit="1" customWidth="1"/>
    <col min="3095" max="3095" width="11.5703125" bestFit="1" customWidth="1"/>
    <col min="3096" max="3096" width="7.7109375" bestFit="1" customWidth="1"/>
    <col min="3097" max="3097" width="15.140625" bestFit="1" customWidth="1"/>
    <col min="3098" max="3098" width="11.5703125" bestFit="1" customWidth="1"/>
    <col min="3099" max="3099" width="13.28515625" bestFit="1" customWidth="1"/>
    <col min="3100" max="3100" width="10.42578125" bestFit="1" customWidth="1"/>
    <col min="3101" max="3101" width="13.28515625" bestFit="1" customWidth="1"/>
    <col min="3102" max="3102" width="12.140625" bestFit="1" customWidth="1"/>
    <col min="3103" max="3103" width="14.42578125" bestFit="1" customWidth="1"/>
    <col min="3104" max="3104" width="13.28515625" bestFit="1" customWidth="1"/>
    <col min="3105" max="3105" width="11.5703125" bestFit="1" customWidth="1"/>
    <col min="3106" max="3106" width="7.7109375" bestFit="1" customWidth="1"/>
    <col min="3107" max="3108" width="14.42578125" bestFit="1" customWidth="1"/>
    <col min="3109" max="3109" width="11.5703125" bestFit="1" customWidth="1"/>
    <col min="3110" max="3110" width="7.7109375" bestFit="1" customWidth="1"/>
    <col min="3111" max="3111" width="13.5703125" customWidth="1"/>
    <col min="3112" max="3112" width="15.28515625" customWidth="1"/>
    <col min="3113" max="3113" width="14.5703125" customWidth="1"/>
    <col min="3114" max="3114" width="13.28515625" bestFit="1" customWidth="1"/>
    <col min="3115" max="3115" width="7.7109375" bestFit="1" customWidth="1"/>
    <col min="3116" max="3116" width="12.7109375" bestFit="1" customWidth="1"/>
    <col min="3117" max="3117" width="11.7109375" bestFit="1" customWidth="1"/>
    <col min="3118" max="3118" width="11.5703125" bestFit="1" customWidth="1"/>
    <col min="3119" max="3119" width="5.28515625" bestFit="1" customWidth="1"/>
    <col min="3120" max="3120" width="13.28515625" bestFit="1" customWidth="1"/>
    <col min="3121" max="3121" width="13.5703125" bestFit="1" customWidth="1"/>
    <col min="3122" max="3122" width="10.5703125" bestFit="1" customWidth="1"/>
    <col min="3123" max="3123" width="13.28515625" bestFit="1" customWidth="1"/>
    <col min="3124" max="3124" width="11.5703125" bestFit="1" customWidth="1"/>
    <col min="3125" max="3125" width="10.5703125" bestFit="1" customWidth="1"/>
    <col min="3126" max="3126" width="16.140625" bestFit="1" customWidth="1"/>
    <col min="3127" max="3128" width="11.28515625" bestFit="1" customWidth="1"/>
    <col min="3129" max="3129" width="13.28515625" bestFit="1" customWidth="1"/>
    <col min="3130" max="3130" width="7.7109375" bestFit="1" customWidth="1"/>
    <col min="3131" max="3134" width="9.140625" hidden="1" customWidth="1"/>
    <col min="3135" max="3135" width="10.42578125" bestFit="1" customWidth="1"/>
    <col min="3136" max="3136" width="10.5703125" bestFit="1" customWidth="1"/>
    <col min="3137" max="3137" width="10.42578125" bestFit="1" customWidth="1"/>
    <col min="3138" max="3138" width="10.5703125" bestFit="1" customWidth="1"/>
    <col min="3139" max="3139" width="9.5703125" bestFit="1" customWidth="1"/>
    <col min="3140" max="3140" width="11.5703125" bestFit="1" customWidth="1"/>
    <col min="3141" max="3141" width="10.42578125" bestFit="1" customWidth="1"/>
    <col min="3142" max="3142" width="10.85546875" customWidth="1"/>
    <col min="3143" max="3144" width="9.85546875" bestFit="1" customWidth="1"/>
    <col min="3145" max="3145" width="13.5703125" bestFit="1" customWidth="1"/>
    <col min="3146" max="3146" width="7.7109375" bestFit="1" customWidth="1"/>
    <col min="3147" max="3147" width="13.28515625" bestFit="1" customWidth="1"/>
    <col min="3148" max="3148" width="11.5703125" bestFit="1" customWidth="1"/>
    <col min="3149" max="3149" width="10.42578125" bestFit="1" customWidth="1"/>
    <col min="3150" max="3150" width="7.7109375" bestFit="1" customWidth="1"/>
    <col min="3151" max="3151" width="11.5703125" bestFit="1" customWidth="1"/>
    <col min="3152" max="3152" width="10.85546875" bestFit="1" customWidth="1"/>
    <col min="3153" max="3153" width="13.28515625" bestFit="1" customWidth="1"/>
    <col min="3154" max="3154" width="10.85546875" bestFit="1" customWidth="1"/>
    <col min="3155" max="3156" width="7.5703125" bestFit="1" customWidth="1"/>
    <col min="3157" max="3158" width="10.42578125" bestFit="1" customWidth="1"/>
    <col min="3159" max="3159" width="11.5703125" bestFit="1" customWidth="1"/>
    <col min="3160" max="3160" width="5.28515625" bestFit="1" customWidth="1"/>
    <col min="3161" max="3161" width="10.28515625" bestFit="1" customWidth="1"/>
    <col min="3162" max="3162" width="10.42578125" bestFit="1" customWidth="1"/>
    <col min="3163" max="3163" width="11.5703125" bestFit="1" customWidth="1"/>
    <col min="3164" max="3164" width="5.28515625" bestFit="1" customWidth="1"/>
    <col min="3165" max="3167" width="11.5703125" bestFit="1" customWidth="1"/>
    <col min="3168" max="3168" width="5.28515625" bestFit="1" customWidth="1"/>
    <col min="3169" max="3170" width="10.42578125" bestFit="1" customWidth="1"/>
    <col min="3171" max="3171" width="11.5703125" bestFit="1" customWidth="1"/>
    <col min="3172" max="3172" width="5.28515625" bestFit="1" customWidth="1"/>
    <col min="3173" max="3173" width="14.28515625" bestFit="1" customWidth="1"/>
    <col min="3174" max="3174" width="13" bestFit="1" customWidth="1"/>
    <col min="3175" max="3175" width="11.5703125" bestFit="1" customWidth="1"/>
    <col min="3176" max="3176" width="8.85546875" bestFit="1" customWidth="1"/>
    <col min="3177" max="3177" width="14.42578125" bestFit="1" customWidth="1"/>
    <col min="3178" max="3178" width="10.42578125" bestFit="1" customWidth="1"/>
    <col min="3179" max="3179" width="12.28515625" bestFit="1" customWidth="1"/>
    <col min="3180" max="3180" width="13.85546875" bestFit="1" customWidth="1"/>
    <col min="3181" max="3181" width="11.28515625" customWidth="1"/>
    <col min="3182" max="3182" width="11.5703125" customWidth="1"/>
    <col min="3183" max="3183" width="13.42578125" bestFit="1" customWidth="1"/>
    <col min="3184" max="3184" width="10.42578125" customWidth="1"/>
    <col min="3185" max="3185" width="13.85546875" bestFit="1" customWidth="1"/>
    <col min="3186" max="3186" width="15.42578125" bestFit="1" customWidth="1"/>
    <col min="3187" max="3187" width="12.28515625" bestFit="1" customWidth="1"/>
    <col min="3188" max="3188" width="12.7109375" customWidth="1"/>
    <col min="3189" max="3189" width="10.7109375" bestFit="1" customWidth="1"/>
    <col min="3190" max="3190" width="9.85546875" customWidth="1"/>
    <col min="3191" max="3192" width="10.140625" bestFit="1" customWidth="1"/>
    <col min="3193" max="3193" width="7.5703125" bestFit="1" customWidth="1"/>
    <col min="3194" max="3194" width="9.42578125" bestFit="1" customWidth="1"/>
    <col min="3195" max="3195" width="14.5703125" bestFit="1" customWidth="1"/>
    <col min="3196" max="3196" width="14.85546875" customWidth="1"/>
    <col min="3197" max="3197" width="15.140625" bestFit="1" customWidth="1"/>
    <col min="3198" max="3198" width="12.140625" bestFit="1" customWidth="1"/>
    <col min="3199" max="3199" width="14.85546875" bestFit="1" customWidth="1"/>
    <col min="3200" max="3200" width="12.28515625" bestFit="1" customWidth="1"/>
    <col min="3201" max="3209" width="9.140625" hidden="1" customWidth="1"/>
    <col min="3210" max="3210" width="5.28515625" bestFit="1" customWidth="1"/>
    <col min="3211" max="3216" width="11.5703125" bestFit="1" customWidth="1"/>
    <col min="3217" max="3217" width="11.28515625" bestFit="1" customWidth="1"/>
    <col min="3218" max="3218" width="10.140625" bestFit="1" customWidth="1"/>
    <col min="3219" max="3219" width="11.5703125" bestFit="1" customWidth="1"/>
    <col min="3220" max="3220" width="16.140625" customWidth="1"/>
    <col min="3221" max="3221" width="13.42578125" customWidth="1"/>
    <col min="3222" max="3222" width="10.140625" bestFit="1" customWidth="1"/>
    <col min="3223" max="3223" width="12.85546875" bestFit="1" customWidth="1"/>
    <col min="3224" max="3224" width="12.28515625" bestFit="1" customWidth="1"/>
    <col min="3225" max="3225" width="11.28515625" bestFit="1" customWidth="1"/>
    <col min="3226" max="3226" width="11.5703125" bestFit="1" customWidth="1"/>
    <col min="3227" max="3227" width="10.85546875" bestFit="1" customWidth="1"/>
    <col min="3228" max="3228" width="11.28515625" bestFit="1" customWidth="1"/>
    <col min="3229" max="3229" width="10.140625" bestFit="1" customWidth="1"/>
    <col min="3230" max="3230" width="13.28515625" bestFit="1" customWidth="1"/>
    <col min="3231" max="3232" width="12.7109375" bestFit="1" customWidth="1"/>
    <col min="3233" max="3233" width="11" bestFit="1" customWidth="1"/>
    <col min="3234" max="3234" width="11.28515625" bestFit="1" customWidth="1"/>
    <col min="3235" max="3235" width="11.5703125" bestFit="1" customWidth="1"/>
    <col min="3236" max="3236" width="12.28515625" bestFit="1" customWidth="1"/>
    <col min="3237" max="3237" width="15.140625" bestFit="1" customWidth="1"/>
    <col min="3238" max="3238" width="14.42578125" bestFit="1" customWidth="1"/>
    <col min="3239" max="3239" width="12.28515625" bestFit="1" customWidth="1"/>
    <col min="3240" max="3240" width="15.140625" bestFit="1" customWidth="1"/>
    <col min="3241" max="3241" width="14.42578125" bestFit="1" customWidth="1"/>
    <col min="3242" max="3242" width="12.28515625" bestFit="1" customWidth="1"/>
    <col min="3243" max="3243" width="14.42578125" bestFit="1" customWidth="1"/>
    <col min="3244" max="3244" width="11.28515625" bestFit="1" customWidth="1"/>
    <col min="3245" max="3245" width="12.28515625" bestFit="1" customWidth="1"/>
    <col min="3246" max="3246" width="13" bestFit="1" customWidth="1"/>
    <col min="3247" max="3247" width="15.140625" bestFit="1" customWidth="1"/>
    <col min="3248" max="3248" width="12.28515625" bestFit="1" customWidth="1"/>
    <col min="3249" max="3249" width="13.85546875" bestFit="1" customWidth="1"/>
    <col min="3250" max="3250" width="11.28515625" bestFit="1" customWidth="1"/>
    <col min="3251" max="3251" width="12.28515625" bestFit="1" customWidth="1"/>
    <col min="3252" max="3252" width="13.85546875" bestFit="1" customWidth="1"/>
    <col min="3253" max="3254" width="15.140625" bestFit="1" customWidth="1"/>
    <col min="3255" max="3255" width="12.28515625" bestFit="1" customWidth="1"/>
    <col min="3256" max="3256" width="5.7109375" bestFit="1" customWidth="1"/>
    <col min="3257" max="3257" width="8.5703125" bestFit="1" customWidth="1"/>
    <col min="3258" max="3258" width="5.5703125" bestFit="1" customWidth="1"/>
    <col min="3259" max="3259" width="14.42578125" bestFit="1" customWidth="1"/>
    <col min="3260" max="3260" width="11.28515625" bestFit="1" customWidth="1"/>
    <col min="3261" max="3262" width="12.28515625" bestFit="1" customWidth="1"/>
    <col min="3263" max="3263" width="11.28515625" bestFit="1" customWidth="1"/>
    <col min="3264" max="3264" width="13.85546875" bestFit="1" customWidth="1"/>
    <col min="3265" max="3265" width="12" bestFit="1" customWidth="1"/>
    <col min="3266" max="3266" width="13.85546875" bestFit="1" customWidth="1"/>
    <col min="3267" max="3268" width="14.42578125" customWidth="1"/>
    <col min="3269" max="3269" width="10.140625" bestFit="1" customWidth="1"/>
    <col min="3270" max="3270" width="12.28515625" bestFit="1" customWidth="1"/>
    <col min="3271" max="3271" width="7.42578125" bestFit="1" customWidth="1"/>
    <col min="3272" max="3272" width="8.5703125" bestFit="1" customWidth="1"/>
    <col min="3273" max="3273" width="11.5703125" bestFit="1" customWidth="1"/>
    <col min="3274" max="3274" width="13.28515625" bestFit="1" customWidth="1"/>
    <col min="3275" max="3275" width="13.28515625" customWidth="1"/>
    <col min="3276" max="3276" width="13.140625" customWidth="1"/>
    <col min="3277" max="3277" width="12.7109375" bestFit="1" customWidth="1"/>
    <col min="3278" max="3278" width="13.28515625" bestFit="1" customWidth="1"/>
    <col min="3279" max="3281" width="13.28515625" customWidth="1"/>
    <col min="3282" max="3282" width="12.140625" bestFit="1" customWidth="1"/>
    <col min="3283" max="3283" width="12.7109375" bestFit="1" customWidth="1"/>
    <col min="3284" max="3284" width="11" customWidth="1"/>
    <col min="3285" max="3285" width="16.7109375" customWidth="1"/>
    <col min="3286" max="3286" width="17" customWidth="1"/>
    <col min="3287" max="3287" width="10.42578125" bestFit="1" customWidth="1"/>
    <col min="3331" max="3331" width="3.85546875" customWidth="1"/>
    <col min="3332" max="3332" width="15.28515625" bestFit="1" customWidth="1"/>
    <col min="3333" max="3333" width="12.28515625" customWidth="1"/>
    <col min="3334" max="3334" width="16.28515625" bestFit="1" customWidth="1"/>
    <col min="3335" max="3335" width="6.42578125" bestFit="1" customWidth="1"/>
    <col min="3336" max="3336" width="9.28515625" bestFit="1" customWidth="1"/>
    <col min="3337" max="3337" width="7.5703125" bestFit="1" customWidth="1"/>
    <col min="3338" max="3338" width="13.28515625" bestFit="1" customWidth="1"/>
    <col min="3339" max="3339" width="9.28515625" bestFit="1" customWidth="1"/>
    <col min="3340" max="3340" width="11.5703125" bestFit="1" customWidth="1"/>
    <col min="3341" max="3341" width="13.28515625" bestFit="1" customWidth="1"/>
    <col min="3342" max="3342" width="7.140625" bestFit="1" customWidth="1"/>
    <col min="3343" max="3343" width="12" bestFit="1" customWidth="1"/>
    <col min="3344" max="3344" width="13.28515625" bestFit="1" customWidth="1"/>
    <col min="3345" max="3345" width="7" bestFit="1" customWidth="1"/>
    <col min="3346" max="3346" width="12.7109375" bestFit="1" customWidth="1"/>
    <col min="3347" max="3347" width="11.5703125" bestFit="1" customWidth="1"/>
    <col min="3348" max="3348" width="10.5703125" bestFit="1" customWidth="1"/>
    <col min="3349" max="3350" width="15.7109375" bestFit="1" customWidth="1"/>
    <col min="3351" max="3351" width="11.5703125" bestFit="1" customWidth="1"/>
    <col min="3352" max="3352" width="7.7109375" bestFit="1" customWidth="1"/>
    <col min="3353" max="3353" width="15.140625" bestFit="1" customWidth="1"/>
    <col min="3354" max="3354" width="11.5703125" bestFit="1" customWidth="1"/>
    <col min="3355" max="3355" width="13.28515625" bestFit="1" customWidth="1"/>
    <col min="3356" max="3356" width="10.42578125" bestFit="1" customWidth="1"/>
    <col min="3357" max="3357" width="13.28515625" bestFit="1" customWidth="1"/>
    <col min="3358" max="3358" width="12.140625" bestFit="1" customWidth="1"/>
    <col min="3359" max="3359" width="14.42578125" bestFit="1" customWidth="1"/>
    <col min="3360" max="3360" width="13.28515625" bestFit="1" customWidth="1"/>
    <col min="3361" max="3361" width="11.5703125" bestFit="1" customWidth="1"/>
    <col min="3362" max="3362" width="7.7109375" bestFit="1" customWidth="1"/>
    <col min="3363" max="3364" width="14.42578125" bestFit="1" customWidth="1"/>
    <col min="3365" max="3365" width="11.5703125" bestFit="1" customWidth="1"/>
    <col min="3366" max="3366" width="7.7109375" bestFit="1" customWidth="1"/>
    <col min="3367" max="3367" width="13.5703125" customWidth="1"/>
    <col min="3368" max="3368" width="15.28515625" customWidth="1"/>
    <col min="3369" max="3369" width="14.5703125" customWidth="1"/>
    <col min="3370" max="3370" width="13.28515625" bestFit="1" customWidth="1"/>
    <col min="3371" max="3371" width="7.7109375" bestFit="1" customWidth="1"/>
    <col min="3372" max="3372" width="12.7109375" bestFit="1" customWidth="1"/>
    <col min="3373" max="3373" width="11.7109375" bestFit="1" customWidth="1"/>
    <col min="3374" max="3374" width="11.5703125" bestFit="1" customWidth="1"/>
    <col min="3375" max="3375" width="5.28515625" bestFit="1" customWidth="1"/>
    <col min="3376" max="3376" width="13.28515625" bestFit="1" customWidth="1"/>
    <col min="3377" max="3377" width="13.5703125" bestFit="1" customWidth="1"/>
    <col min="3378" max="3378" width="10.5703125" bestFit="1" customWidth="1"/>
    <col min="3379" max="3379" width="13.28515625" bestFit="1" customWidth="1"/>
    <col min="3380" max="3380" width="11.5703125" bestFit="1" customWidth="1"/>
    <col min="3381" max="3381" width="10.5703125" bestFit="1" customWidth="1"/>
    <col min="3382" max="3382" width="16.140625" bestFit="1" customWidth="1"/>
    <col min="3383" max="3384" width="11.28515625" bestFit="1" customWidth="1"/>
    <col min="3385" max="3385" width="13.28515625" bestFit="1" customWidth="1"/>
    <col min="3386" max="3386" width="7.7109375" bestFit="1" customWidth="1"/>
    <col min="3387" max="3390" width="9.140625" hidden="1" customWidth="1"/>
    <col min="3391" max="3391" width="10.42578125" bestFit="1" customWidth="1"/>
    <col min="3392" max="3392" width="10.5703125" bestFit="1" customWidth="1"/>
    <col min="3393" max="3393" width="10.42578125" bestFit="1" customWidth="1"/>
    <col min="3394" max="3394" width="10.5703125" bestFit="1" customWidth="1"/>
    <col min="3395" max="3395" width="9.5703125" bestFit="1" customWidth="1"/>
    <col min="3396" max="3396" width="11.5703125" bestFit="1" customWidth="1"/>
    <col min="3397" max="3397" width="10.42578125" bestFit="1" customWidth="1"/>
    <col min="3398" max="3398" width="10.85546875" customWidth="1"/>
    <col min="3399" max="3400" width="9.85546875" bestFit="1" customWidth="1"/>
    <col min="3401" max="3401" width="13.5703125" bestFit="1" customWidth="1"/>
    <col min="3402" max="3402" width="7.7109375" bestFit="1" customWidth="1"/>
    <col min="3403" max="3403" width="13.28515625" bestFit="1" customWidth="1"/>
    <col min="3404" max="3404" width="11.5703125" bestFit="1" customWidth="1"/>
    <col min="3405" max="3405" width="10.42578125" bestFit="1" customWidth="1"/>
    <col min="3406" max="3406" width="7.7109375" bestFit="1" customWidth="1"/>
    <col min="3407" max="3407" width="11.5703125" bestFit="1" customWidth="1"/>
    <col min="3408" max="3408" width="10.85546875" bestFit="1" customWidth="1"/>
    <col min="3409" max="3409" width="13.28515625" bestFit="1" customWidth="1"/>
    <col min="3410" max="3410" width="10.85546875" bestFit="1" customWidth="1"/>
    <col min="3411" max="3412" width="7.5703125" bestFit="1" customWidth="1"/>
    <col min="3413" max="3414" width="10.42578125" bestFit="1" customWidth="1"/>
    <col min="3415" max="3415" width="11.5703125" bestFit="1" customWidth="1"/>
    <col min="3416" max="3416" width="5.28515625" bestFit="1" customWidth="1"/>
    <col min="3417" max="3417" width="10.28515625" bestFit="1" customWidth="1"/>
    <col min="3418" max="3418" width="10.42578125" bestFit="1" customWidth="1"/>
    <col min="3419" max="3419" width="11.5703125" bestFit="1" customWidth="1"/>
    <col min="3420" max="3420" width="5.28515625" bestFit="1" customWidth="1"/>
    <col min="3421" max="3423" width="11.5703125" bestFit="1" customWidth="1"/>
    <col min="3424" max="3424" width="5.28515625" bestFit="1" customWidth="1"/>
    <col min="3425" max="3426" width="10.42578125" bestFit="1" customWidth="1"/>
    <col min="3427" max="3427" width="11.5703125" bestFit="1" customWidth="1"/>
    <col min="3428" max="3428" width="5.28515625" bestFit="1" customWidth="1"/>
    <col min="3429" max="3429" width="14.28515625" bestFit="1" customWidth="1"/>
    <col min="3430" max="3430" width="13" bestFit="1" customWidth="1"/>
    <col min="3431" max="3431" width="11.5703125" bestFit="1" customWidth="1"/>
    <col min="3432" max="3432" width="8.85546875" bestFit="1" customWidth="1"/>
    <col min="3433" max="3433" width="14.42578125" bestFit="1" customWidth="1"/>
    <col min="3434" max="3434" width="10.42578125" bestFit="1" customWidth="1"/>
    <col min="3435" max="3435" width="12.28515625" bestFit="1" customWidth="1"/>
    <col min="3436" max="3436" width="13.85546875" bestFit="1" customWidth="1"/>
    <col min="3437" max="3437" width="11.28515625" customWidth="1"/>
    <col min="3438" max="3438" width="11.5703125" customWidth="1"/>
    <col min="3439" max="3439" width="13.42578125" bestFit="1" customWidth="1"/>
    <col min="3440" max="3440" width="10.42578125" customWidth="1"/>
    <col min="3441" max="3441" width="13.85546875" bestFit="1" customWidth="1"/>
    <col min="3442" max="3442" width="15.42578125" bestFit="1" customWidth="1"/>
    <col min="3443" max="3443" width="12.28515625" bestFit="1" customWidth="1"/>
    <col min="3444" max="3444" width="12.7109375" customWidth="1"/>
    <col min="3445" max="3445" width="10.7109375" bestFit="1" customWidth="1"/>
    <col min="3446" max="3446" width="9.85546875" customWidth="1"/>
    <col min="3447" max="3448" width="10.140625" bestFit="1" customWidth="1"/>
    <col min="3449" max="3449" width="7.5703125" bestFit="1" customWidth="1"/>
    <col min="3450" max="3450" width="9.42578125" bestFit="1" customWidth="1"/>
    <col min="3451" max="3451" width="14.5703125" bestFit="1" customWidth="1"/>
    <col min="3452" max="3452" width="14.85546875" customWidth="1"/>
    <col min="3453" max="3453" width="15.140625" bestFit="1" customWidth="1"/>
    <col min="3454" max="3454" width="12.140625" bestFit="1" customWidth="1"/>
    <col min="3455" max="3455" width="14.85546875" bestFit="1" customWidth="1"/>
    <col min="3456" max="3456" width="12.28515625" bestFit="1" customWidth="1"/>
    <col min="3457" max="3465" width="9.140625" hidden="1" customWidth="1"/>
    <col min="3466" max="3466" width="5.28515625" bestFit="1" customWidth="1"/>
    <col min="3467" max="3472" width="11.5703125" bestFit="1" customWidth="1"/>
    <col min="3473" max="3473" width="11.28515625" bestFit="1" customWidth="1"/>
    <col min="3474" max="3474" width="10.140625" bestFit="1" customWidth="1"/>
    <col min="3475" max="3475" width="11.5703125" bestFit="1" customWidth="1"/>
    <col min="3476" max="3476" width="16.140625" customWidth="1"/>
    <col min="3477" max="3477" width="13.42578125" customWidth="1"/>
    <col min="3478" max="3478" width="10.140625" bestFit="1" customWidth="1"/>
    <col min="3479" max="3479" width="12.85546875" bestFit="1" customWidth="1"/>
    <col min="3480" max="3480" width="12.28515625" bestFit="1" customWidth="1"/>
    <col min="3481" max="3481" width="11.28515625" bestFit="1" customWidth="1"/>
    <col min="3482" max="3482" width="11.5703125" bestFit="1" customWidth="1"/>
    <col min="3483" max="3483" width="10.85546875" bestFit="1" customWidth="1"/>
    <col min="3484" max="3484" width="11.28515625" bestFit="1" customWidth="1"/>
    <col min="3485" max="3485" width="10.140625" bestFit="1" customWidth="1"/>
    <col min="3486" max="3486" width="13.28515625" bestFit="1" customWidth="1"/>
    <col min="3487" max="3488" width="12.7109375" bestFit="1" customWidth="1"/>
    <col min="3489" max="3489" width="11" bestFit="1" customWidth="1"/>
    <col min="3490" max="3490" width="11.28515625" bestFit="1" customWidth="1"/>
    <col min="3491" max="3491" width="11.5703125" bestFit="1" customWidth="1"/>
    <col min="3492" max="3492" width="12.28515625" bestFit="1" customWidth="1"/>
    <col min="3493" max="3493" width="15.140625" bestFit="1" customWidth="1"/>
    <col min="3494" max="3494" width="14.42578125" bestFit="1" customWidth="1"/>
    <col min="3495" max="3495" width="12.28515625" bestFit="1" customWidth="1"/>
    <col min="3496" max="3496" width="15.140625" bestFit="1" customWidth="1"/>
    <col min="3497" max="3497" width="14.42578125" bestFit="1" customWidth="1"/>
    <col min="3498" max="3498" width="12.28515625" bestFit="1" customWidth="1"/>
    <col min="3499" max="3499" width="14.42578125" bestFit="1" customWidth="1"/>
    <col min="3500" max="3500" width="11.28515625" bestFit="1" customWidth="1"/>
    <col min="3501" max="3501" width="12.28515625" bestFit="1" customWidth="1"/>
    <col min="3502" max="3502" width="13" bestFit="1" customWidth="1"/>
    <col min="3503" max="3503" width="15.140625" bestFit="1" customWidth="1"/>
    <col min="3504" max="3504" width="12.28515625" bestFit="1" customWidth="1"/>
    <col min="3505" max="3505" width="13.85546875" bestFit="1" customWidth="1"/>
    <col min="3506" max="3506" width="11.28515625" bestFit="1" customWidth="1"/>
    <col min="3507" max="3507" width="12.28515625" bestFit="1" customWidth="1"/>
    <col min="3508" max="3508" width="13.85546875" bestFit="1" customWidth="1"/>
    <col min="3509" max="3510" width="15.140625" bestFit="1" customWidth="1"/>
    <col min="3511" max="3511" width="12.28515625" bestFit="1" customWidth="1"/>
    <col min="3512" max="3512" width="5.7109375" bestFit="1" customWidth="1"/>
    <col min="3513" max="3513" width="8.5703125" bestFit="1" customWidth="1"/>
    <col min="3514" max="3514" width="5.5703125" bestFit="1" customWidth="1"/>
    <col min="3515" max="3515" width="14.42578125" bestFit="1" customWidth="1"/>
    <col min="3516" max="3516" width="11.28515625" bestFit="1" customWidth="1"/>
    <col min="3517" max="3518" width="12.28515625" bestFit="1" customWidth="1"/>
    <col min="3519" max="3519" width="11.28515625" bestFit="1" customWidth="1"/>
    <col min="3520" max="3520" width="13.85546875" bestFit="1" customWidth="1"/>
    <col min="3521" max="3521" width="12" bestFit="1" customWidth="1"/>
    <col min="3522" max="3522" width="13.85546875" bestFit="1" customWidth="1"/>
    <col min="3523" max="3524" width="14.42578125" customWidth="1"/>
    <col min="3525" max="3525" width="10.140625" bestFit="1" customWidth="1"/>
    <col min="3526" max="3526" width="12.28515625" bestFit="1" customWidth="1"/>
    <col min="3527" max="3527" width="7.42578125" bestFit="1" customWidth="1"/>
    <col min="3528" max="3528" width="8.5703125" bestFit="1" customWidth="1"/>
    <col min="3529" max="3529" width="11.5703125" bestFit="1" customWidth="1"/>
    <col min="3530" max="3530" width="13.28515625" bestFit="1" customWidth="1"/>
    <col min="3531" max="3531" width="13.28515625" customWidth="1"/>
    <col min="3532" max="3532" width="13.140625" customWidth="1"/>
    <col min="3533" max="3533" width="12.7109375" bestFit="1" customWidth="1"/>
    <col min="3534" max="3534" width="13.28515625" bestFit="1" customWidth="1"/>
    <col min="3535" max="3537" width="13.28515625" customWidth="1"/>
    <col min="3538" max="3538" width="12.140625" bestFit="1" customWidth="1"/>
    <col min="3539" max="3539" width="12.7109375" bestFit="1" customWidth="1"/>
    <col min="3540" max="3540" width="11" customWidth="1"/>
    <col min="3541" max="3541" width="16.7109375" customWidth="1"/>
    <col min="3542" max="3542" width="17" customWidth="1"/>
    <col min="3543" max="3543" width="10.42578125" bestFit="1" customWidth="1"/>
    <col min="3587" max="3587" width="3.85546875" customWidth="1"/>
    <col min="3588" max="3588" width="15.28515625" bestFit="1" customWidth="1"/>
    <col min="3589" max="3589" width="12.28515625" customWidth="1"/>
    <col min="3590" max="3590" width="16.28515625" bestFit="1" customWidth="1"/>
    <col min="3591" max="3591" width="6.42578125" bestFit="1" customWidth="1"/>
    <col min="3592" max="3592" width="9.28515625" bestFit="1" customWidth="1"/>
    <col min="3593" max="3593" width="7.5703125" bestFit="1" customWidth="1"/>
    <col min="3594" max="3594" width="13.28515625" bestFit="1" customWidth="1"/>
    <col min="3595" max="3595" width="9.28515625" bestFit="1" customWidth="1"/>
    <col min="3596" max="3596" width="11.5703125" bestFit="1" customWidth="1"/>
    <col min="3597" max="3597" width="13.28515625" bestFit="1" customWidth="1"/>
    <col min="3598" max="3598" width="7.140625" bestFit="1" customWidth="1"/>
    <col min="3599" max="3599" width="12" bestFit="1" customWidth="1"/>
    <col min="3600" max="3600" width="13.28515625" bestFit="1" customWidth="1"/>
    <col min="3601" max="3601" width="7" bestFit="1" customWidth="1"/>
    <col min="3602" max="3602" width="12.7109375" bestFit="1" customWidth="1"/>
    <col min="3603" max="3603" width="11.5703125" bestFit="1" customWidth="1"/>
    <col min="3604" max="3604" width="10.5703125" bestFit="1" customWidth="1"/>
    <col min="3605" max="3606" width="15.7109375" bestFit="1" customWidth="1"/>
    <col min="3607" max="3607" width="11.5703125" bestFit="1" customWidth="1"/>
    <col min="3608" max="3608" width="7.7109375" bestFit="1" customWidth="1"/>
    <col min="3609" max="3609" width="15.140625" bestFit="1" customWidth="1"/>
    <col min="3610" max="3610" width="11.5703125" bestFit="1" customWidth="1"/>
    <col min="3611" max="3611" width="13.28515625" bestFit="1" customWidth="1"/>
    <col min="3612" max="3612" width="10.42578125" bestFit="1" customWidth="1"/>
    <col min="3613" max="3613" width="13.28515625" bestFit="1" customWidth="1"/>
    <col min="3614" max="3614" width="12.140625" bestFit="1" customWidth="1"/>
    <col min="3615" max="3615" width="14.42578125" bestFit="1" customWidth="1"/>
    <col min="3616" max="3616" width="13.28515625" bestFit="1" customWidth="1"/>
    <col min="3617" max="3617" width="11.5703125" bestFit="1" customWidth="1"/>
    <col min="3618" max="3618" width="7.7109375" bestFit="1" customWidth="1"/>
    <col min="3619" max="3620" width="14.42578125" bestFit="1" customWidth="1"/>
    <col min="3621" max="3621" width="11.5703125" bestFit="1" customWidth="1"/>
    <col min="3622" max="3622" width="7.7109375" bestFit="1" customWidth="1"/>
    <col min="3623" max="3623" width="13.5703125" customWidth="1"/>
    <col min="3624" max="3624" width="15.28515625" customWidth="1"/>
    <col min="3625" max="3625" width="14.5703125" customWidth="1"/>
    <col min="3626" max="3626" width="13.28515625" bestFit="1" customWidth="1"/>
    <col min="3627" max="3627" width="7.7109375" bestFit="1" customWidth="1"/>
    <col min="3628" max="3628" width="12.7109375" bestFit="1" customWidth="1"/>
    <col min="3629" max="3629" width="11.7109375" bestFit="1" customWidth="1"/>
    <col min="3630" max="3630" width="11.5703125" bestFit="1" customWidth="1"/>
    <col min="3631" max="3631" width="5.28515625" bestFit="1" customWidth="1"/>
    <col min="3632" max="3632" width="13.28515625" bestFit="1" customWidth="1"/>
    <col min="3633" max="3633" width="13.5703125" bestFit="1" customWidth="1"/>
    <col min="3634" max="3634" width="10.5703125" bestFit="1" customWidth="1"/>
    <col min="3635" max="3635" width="13.28515625" bestFit="1" customWidth="1"/>
    <col min="3636" max="3636" width="11.5703125" bestFit="1" customWidth="1"/>
    <col min="3637" max="3637" width="10.5703125" bestFit="1" customWidth="1"/>
    <col min="3638" max="3638" width="16.140625" bestFit="1" customWidth="1"/>
    <col min="3639" max="3640" width="11.28515625" bestFit="1" customWidth="1"/>
    <col min="3641" max="3641" width="13.28515625" bestFit="1" customWidth="1"/>
    <col min="3642" max="3642" width="7.7109375" bestFit="1" customWidth="1"/>
    <col min="3643" max="3646" width="9.140625" hidden="1" customWidth="1"/>
    <col min="3647" max="3647" width="10.42578125" bestFit="1" customWidth="1"/>
    <col min="3648" max="3648" width="10.5703125" bestFit="1" customWidth="1"/>
    <col min="3649" max="3649" width="10.42578125" bestFit="1" customWidth="1"/>
    <col min="3650" max="3650" width="10.5703125" bestFit="1" customWidth="1"/>
    <col min="3651" max="3651" width="9.5703125" bestFit="1" customWidth="1"/>
    <col min="3652" max="3652" width="11.5703125" bestFit="1" customWidth="1"/>
    <col min="3653" max="3653" width="10.42578125" bestFit="1" customWidth="1"/>
    <col min="3654" max="3654" width="10.85546875" customWidth="1"/>
    <col min="3655" max="3656" width="9.85546875" bestFit="1" customWidth="1"/>
    <col min="3657" max="3657" width="13.5703125" bestFit="1" customWidth="1"/>
    <col min="3658" max="3658" width="7.7109375" bestFit="1" customWidth="1"/>
    <col min="3659" max="3659" width="13.28515625" bestFit="1" customWidth="1"/>
    <col min="3660" max="3660" width="11.5703125" bestFit="1" customWidth="1"/>
    <col min="3661" max="3661" width="10.42578125" bestFit="1" customWidth="1"/>
    <col min="3662" max="3662" width="7.7109375" bestFit="1" customWidth="1"/>
    <col min="3663" max="3663" width="11.5703125" bestFit="1" customWidth="1"/>
    <col min="3664" max="3664" width="10.85546875" bestFit="1" customWidth="1"/>
    <col min="3665" max="3665" width="13.28515625" bestFit="1" customWidth="1"/>
    <col min="3666" max="3666" width="10.85546875" bestFit="1" customWidth="1"/>
    <col min="3667" max="3668" width="7.5703125" bestFit="1" customWidth="1"/>
    <col min="3669" max="3670" width="10.42578125" bestFit="1" customWidth="1"/>
    <col min="3671" max="3671" width="11.5703125" bestFit="1" customWidth="1"/>
    <col min="3672" max="3672" width="5.28515625" bestFit="1" customWidth="1"/>
    <col min="3673" max="3673" width="10.28515625" bestFit="1" customWidth="1"/>
    <col min="3674" max="3674" width="10.42578125" bestFit="1" customWidth="1"/>
    <col min="3675" max="3675" width="11.5703125" bestFit="1" customWidth="1"/>
    <col min="3676" max="3676" width="5.28515625" bestFit="1" customWidth="1"/>
    <col min="3677" max="3679" width="11.5703125" bestFit="1" customWidth="1"/>
    <col min="3680" max="3680" width="5.28515625" bestFit="1" customWidth="1"/>
    <col min="3681" max="3682" width="10.42578125" bestFit="1" customWidth="1"/>
    <col min="3683" max="3683" width="11.5703125" bestFit="1" customWidth="1"/>
    <col min="3684" max="3684" width="5.28515625" bestFit="1" customWidth="1"/>
    <col min="3685" max="3685" width="14.28515625" bestFit="1" customWidth="1"/>
    <col min="3686" max="3686" width="13" bestFit="1" customWidth="1"/>
    <col min="3687" max="3687" width="11.5703125" bestFit="1" customWidth="1"/>
    <col min="3688" max="3688" width="8.85546875" bestFit="1" customWidth="1"/>
    <col min="3689" max="3689" width="14.42578125" bestFit="1" customWidth="1"/>
    <col min="3690" max="3690" width="10.42578125" bestFit="1" customWidth="1"/>
    <col min="3691" max="3691" width="12.28515625" bestFit="1" customWidth="1"/>
    <col min="3692" max="3692" width="13.85546875" bestFit="1" customWidth="1"/>
    <col min="3693" max="3693" width="11.28515625" customWidth="1"/>
    <col min="3694" max="3694" width="11.5703125" customWidth="1"/>
    <col min="3695" max="3695" width="13.42578125" bestFit="1" customWidth="1"/>
    <col min="3696" max="3696" width="10.42578125" customWidth="1"/>
    <col min="3697" max="3697" width="13.85546875" bestFit="1" customWidth="1"/>
    <col min="3698" max="3698" width="15.42578125" bestFit="1" customWidth="1"/>
    <col min="3699" max="3699" width="12.28515625" bestFit="1" customWidth="1"/>
    <col min="3700" max="3700" width="12.7109375" customWidth="1"/>
    <col min="3701" max="3701" width="10.7109375" bestFit="1" customWidth="1"/>
    <col min="3702" max="3702" width="9.85546875" customWidth="1"/>
    <col min="3703" max="3704" width="10.140625" bestFit="1" customWidth="1"/>
    <col min="3705" max="3705" width="7.5703125" bestFit="1" customWidth="1"/>
    <col min="3706" max="3706" width="9.42578125" bestFit="1" customWidth="1"/>
    <col min="3707" max="3707" width="14.5703125" bestFit="1" customWidth="1"/>
    <col min="3708" max="3708" width="14.85546875" customWidth="1"/>
    <col min="3709" max="3709" width="15.140625" bestFit="1" customWidth="1"/>
    <col min="3710" max="3710" width="12.140625" bestFit="1" customWidth="1"/>
    <col min="3711" max="3711" width="14.85546875" bestFit="1" customWidth="1"/>
    <col min="3712" max="3712" width="12.28515625" bestFit="1" customWidth="1"/>
    <col min="3713" max="3721" width="9.140625" hidden="1" customWidth="1"/>
    <col min="3722" max="3722" width="5.28515625" bestFit="1" customWidth="1"/>
    <col min="3723" max="3728" width="11.5703125" bestFit="1" customWidth="1"/>
    <col min="3729" max="3729" width="11.28515625" bestFit="1" customWidth="1"/>
    <col min="3730" max="3730" width="10.140625" bestFit="1" customWidth="1"/>
    <col min="3731" max="3731" width="11.5703125" bestFit="1" customWidth="1"/>
    <col min="3732" max="3732" width="16.140625" customWidth="1"/>
    <col min="3733" max="3733" width="13.42578125" customWidth="1"/>
    <col min="3734" max="3734" width="10.140625" bestFit="1" customWidth="1"/>
    <col min="3735" max="3735" width="12.85546875" bestFit="1" customWidth="1"/>
    <col min="3736" max="3736" width="12.28515625" bestFit="1" customWidth="1"/>
    <col min="3737" max="3737" width="11.28515625" bestFit="1" customWidth="1"/>
    <col min="3738" max="3738" width="11.5703125" bestFit="1" customWidth="1"/>
    <col min="3739" max="3739" width="10.85546875" bestFit="1" customWidth="1"/>
    <col min="3740" max="3740" width="11.28515625" bestFit="1" customWidth="1"/>
    <col min="3741" max="3741" width="10.140625" bestFit="1" customWidth="1"/>
    <col min="3742" max="3742" width="13.28515625" bestFit="1" customWidth="1"/>
    <col min="3743" max="3744" width="12.7109375" bestFit="1" customWidth="1"/>
    <col min="3745" max="3745" width="11" bestFit="1" customWidth="1"/>
    <col min="3746" max="3746" width="11.28515625" bestFit="1" customWidth="1"/>
    <col min="3747" max="3747" width="11.5703125" bestFit="1" customWidth="1"/>
    <col min="3748" max="3748" width="12.28515625" bestFit="1" customWidth="1"/>
    <col min="3749" max="3749" width="15.140625" bestFit="1" customWidth="1"/>
    <col min="3750" max="3750" width="14.42578125" bestFit="1" customWidth="1"/>
    <col min="3751" max="3751" width="12.28515625" bestFit="1" customWidth="1"/>
    <col min="3752" max="3752" width="15.140625" bestFit="1" customWidth="1"/>
    <col min="3753" max="3753" width="14.42578125" bestFit="1" customWidth="1"/>
    <col min="3754" max="3754" width="12.28515625" bestFit="1" customWidth="1"/>
    <col min="3755" max="3755" width="14.42578125" bestFit="1" customWidth="1"/>
    <col min="3756" max="3756" width="11.28515625" bestFit="1" customWidth="1"/>
    <col min="3757" max="3757" width="12.28515625" bestFit="1" customWidth="1"/>
    <col min="3758" max="3758" width="13" bestFit="1" customWidth="1"/>
    <col min="3759" max="3759" width="15.140625" bestFit="1" customWidth="1"/>
    <col min="3760" max="3760" width="12.28515625" bestFit="1" customWidth="1"/>
    <col min="3761" max="3761" width="13.85546875" bestFit="1" customWidth="1"/>
    <col min="3762" max="3762" width="11.28515625" bestFit="1" customWidth="1"/>
    <col min="3763" max="3763" width="12.28515625" bestFit="1" customWidth="1"/>
    <col min="3764" max="3764" width="13.85546875" bestFit="1" customWidth="1"/>
    <col min="3765" max="3766" width="15.140625" bestFit="1" customWidth="1"/>
    <col min="3767" max="3767" width="12.28515625" bestFit="1" customWidth="1"/>
    <col min="3768" max="3768" width="5.7109375" bestFit="1" customWidth="1"/>
    <col min="3769" max="3769" width="8.5703125" bestFit="1" customWidth="1"/>
    <col min="3770" max="3770" width="5.5703125" bestFit="1" customWidth="1"/>
    <col min="3771" max="3771" width="14.42578125" bestFit="1" customWidth="1"/>
    <col min="3772" max="3772" width="11.28515625" bestFit="1" customWidth="1"/>
    <col min="3773" max="3774" width="12.28515625" bestFit="1" customWidth="1"/>
    <col min="3775" max="3775" width="11.28515625" bestFit="1" customWidth="1"/>
    <col min="3776" max="3776" width="13.85546875" bestFit="1" customWidth="1"/>
    <col min="3777" max="3777" width="12" bestFit="1" customWidth="1"/>
    <col min="3778" max="3778" width="13.85546875" bestFit="1" customWidth="1"/>
    <col min="3779" max="3780" width="14.42578125" customWidth="1"/>
    <col min="3781" max="3781" width="10.140625" bestFit="1" customWidth="1"/>
    <col min="3782" max="3782" width="12.28515625" bestFit="1" customWidth="1"/>
    <col min="3783" max="3783" width="7.42578125" bestFit="1" customWidth="1"/>
    <col min="3784" max="3784" width="8.5703125" bestFit="1" customWidth="1"/>
    <col min="3785" max="3785" width="11.5703125" bestFit="1" customWidth="1"/>
    <col min="3786" max="3786" width="13.28515625" bestFit="1" customWidth="1"/>
    <col min="3787" max="3787" width="13.28515625" customWidth="1"/>
    <col min="3788" max="3788" width="13.140625" customWidth="1"/>
    <col min="3789" max="3789" width="12.7109375" bestFit="1" customWidth="1"/>
    <col min="3790" max="3790" width="13.28515625" bestFit="1" customWidth="1"/>
    <col min="3791" max="3793" width="13.28515625" customWidth="1"/>
    <col min="3794" max="3794" width="12.140625" bestFit="1" customWidth="1"/>
    <col min="3795" max="3795" width="12.7109375" bestFit="1" customWidth="1"/>
    <col min="3796" max="3796" width="11" customWidth="1"/>
    <col min="3797" max="3797" width="16.7109375" customWidth="1"/>
    <col min="3798" max="3798" width="17" customWidth="1"/>
    <col min="3799" max="3799" width="10.42578125" bestFit="1" customWidth="1"/>
    <col min="3843" max="3843" width="3.85546875" customWidth="1"/>
    <col min="3844" max="3844" width="15.28515625" bestFit="1" customWidth="1"/>
    <col min="3845" max="3845" width="12.28515625" customWidth="1"/>
    <col min="3846" max="3846" width="16.28515625" bestFit="1" customWidth="1"/>
    <col min="3847" max="3847" width="6.42578125" bestFit="1" customWidth="1"/>
    <col min="3848" max="3848" width="9.28515625" bestFit="1" customWidth="1"/>
    <col min="3849" max="3849" width="7.5703125" bestFit="1" customWidth="1"/>
    <col min="3850" max="3850" width="13.28515625" bestFit="1" customWidth="1"/>
    <col min="3851" max="3851" width="9.28515625" bestFit="1" customWidth="1"/>
    <col min="3852" max="3852" width="11.5703125" bestFit="1" customWidth="1"/>
    <col min="3853" max="3853" width="13.28515625" bestFit="1" customWidth="1"/>
    <col min="3854" max="3854" width="7.140625" bestFit="1" customWidth="1"/>
    <col min="3855" max="3855" width="12" bestFit="1" customWidth="1"/>
    <col min="3856" max="3856" width="13.28515625" bestFit="1" customWidth="1"/>
    <col min="3857" max="3857" width="7" bestFit="1" customWidth="1"/>
    <col min="3858" max="3858" width="12.7109375" bestFit="1" customWidth="1"/>
    <col min="3859" max="3859" width="11.5703125" bestFit="1" customWidth="1"/>
    <col min="3860" max="3860" width="10.5703125" bestFit="1" customWidth="1"/>
    <col min="3861" max="3862" width="15.7109375" bestFit="1" customWidth="1"/>
    <col min="3863" max="3863" width="11.5703125" bestFit="1" customWidth="1"/>
    <col min="3864" max="3864" width="7.7109375" bestFit="1" customWidth="1"/>
    <col min="3865" max="3865" width="15.140625" bestFit="1" customWidth="1"/>
    <col min="3866" max="3866" width="11.5703125" bestFit="1" customWidth="1"/>
    <col min="3867" max="3867" width="13.28515625" bestFit="1" customWidth="1"/>
    <col min="3868" max="3868" width="10.42578125" bestFit="1" customWidth="1"/>
    <col min="3869" max="3869" width="13.28515625" bestFit="1" customWidth="1"/>
    <col min="3870" max="3870" width="12.140625" bestFit="1" customWidth="1"/>
    <col min="3871" max="3871" width="14.42578125" bestFit="1" customWidth="1"/>
    <col min="3872" max="3872" width="13.28515625" bestFit="1" customWidth="1"/>
    <col min="3873" max="3873" width="11.5703125" bestFit="1" customWidth="1"/>
    <col min="3874" max="3874" width="7.7109375" bestFit="1" customWidth="1"/>
    <col min="3875" max="3876" width="14.42578125" bestFit="1" customWidth="1"/>
    <col min="3877" max="3877" width="11.5703125" bestFit="1" customWidth="1"/>
    <col min="3878" max="3878" width="7.7109375" bestFit="1" customWidth="1"/>
    <col min="3879" max="3879" width="13.5703125" customWidth="1"/>
    <col min="3880" max="3880" width="15.28515625" customWidth="1"/>
    <col min="3881" max="3881" width="14.5703125" customWidth="1"/>
    <col min="3882" max="3882" width="13.28515625" bestFit="1" customWidth="1"/>
    <col min="3883" max="3883" width="7.7109375" bestFit="1" customWidth="1"/>
    <col min="3884" max="3884" width="12.7109375" bestFit="1" customWidth="1"/>
    <col min="3885" max="3885" width="11.7109375" bestFit="1" customWidth="1"/>
    <col min="3886" max="3886" width="11.5703125" bestFit="1" customWidth="1"/>
    <col min="3887" max="3887" width="5.28515625" bestFit="1" customWidth="1"/>
    <col min="3888" max="3888" width="13.28515625" bestFit="1" customWidth="1"/>
    <col min="3889" max="3889" width="13.5703125" bestFit="1" customWidth="1"/>
    <col min="3890" max="3890" width="10.5703125" bestFit="1" customWidth="1"/>
    <col min="3891" max="3891" width="13.28515625" bestFit="1" customWidth="1"/>
    <col min="3892" max="3892" width="11.5703125" bestFit="1" customWidth="1"/>
    <col min="3893" max="3893" width="10.5703125" bestFit="1" customWidth="1"/>
    <col min="3894" max="3894" width="16.140625" bestFit="1" customWidth="1"/>
    <col min="3895" max="3896" width="11.28515625" bestFit="1" customWidth="1"/>
    <col min="3897" max="3897" width="13.28515625" bestFit="1" customWidth="1"/>
    <col min="3898" max="3898" width="7.7109375" bestFit="1" customWidth="1"/>
    <col min="3899" max="3902" width="9.140625" hidden="1" customWidth="1"/>
    <col min="3903" max="3903" width="10.42578125" bestFit="1" customWidth="1"/>
    <col min="3904" max="3904" width="10.5703125" bestFit="1" customWidth="1"/>
    <col min="3905" max="3905" width="10.42578125" bestFit="1" customWidth="1"/>
    <col min="3906" max="3906" width="10.5703125" bestFit="1" customWidth="1"/>
    <col min="3907" max="3907" width="9.5703125" bestFit="1" customWidth="1"/>
    <col min="3908" max="3908" width="11.5703125" bestFit="1" customWidth="1"/>
    <col min="3909" max="3909" width="10.42578125" bestFit="1" customWidth="1"/>
    <col min="3910" max="3910" width="10.85546875" customWidth="1"/>
    <col min="3911" max="3912" width="9.85546875" bestFit="1" customWidth="1"/>
    <col min="3913" max="3913" width="13.5703125" bestFit="1" customWidth="1"/>
    <col min="3914" max="3914" width="7.7109375" bestFit="1" customWidth="1"/>
    <col min="3915" max="3915" width="13.28515625" bestFit="1" customWidth="1"/>
    <col min="3916" max="3916" width="11.5703125" bestFit="1" customWidth="1"/>
    <col min="3917" max="3917" width="10.42578125" bestFit="1" customWidth="1"/>
    <col min="3918" max="3918" width="7.7109375" bestFit="1" customWidth="1"/>
    <col min="3919" max="3919" width="11.5703125" bestFit="1" customWidth="1"/>
    <col min="3920" max="3920" width="10.85546875" bestFit="1" customWidth="1"/>
    <col min="3921" max="3921" width="13.28515625" bestFit="1" customWidth="1"/>
    <col min="3922" max="3922" width="10.85546875" bestFit="1" customWidth="1"/>
    <col min="3923" max="3924" width="7.5703125" bestFit="1" customWidth="1"/>
    <col min="3925" max="3926" width="10.42578125" bestFit="1" customWidth="1"/>
    <col min="3927" max="3927" width="11.5703125" bestFit="1" customWidth="1"/>
    <col min="3928" max="3928" width="5.28515625" bestFit="1" customWidth="1"/>
    <col min="3929" max="3929" width="10.28515625" bestFit="1" customWidth="1"/>
    <col min="3930" max="3930" width="10.42578125" bestFit="1" customWidth="1"/>
    <col min="3931" max="3931" width="11.5703125" bestFit="1" customWidth="1"/>
    <col min="3932" max="3932" width="5.28515625" bestFit="1" customWidth="1"/>
    <col min="3933" max="3935" width="11.5703125" bestFit="1" customWidth="1"/>
    <col min="3936" max="3936" width="5.28515625" bestFit="1" customWidth="1"/>
    <col min="3937" max="3938" width="10.42578125" bestFit="1" customWidth="1"/>
    <col min="3939" max="3939" width="11.5703125" bestFit="1" customWidth="1"/>
    <col min="3940" max="3940" width="5.28515625" bestFit="1" customWidth="1"/>
    <col min="3941" max="3941" width="14.28515625" bestFit="1" customWidth="1"/>
    <col min="3942" max="3942" width="13" bestFit="1" customWidth="1"/>
    <col min="3943" max="3943" width="11.5703125" bestFit="1" customWidth="1"/>
    <col min="3944" max="3944" width="8.85546875" bestFit="1" customWidth="1"/>
    <col min="3945" max="3945" width="14.42578125" bestFit="1" customWidth="1"/>
    <col min="3946" max="3946" width="10.42578125" bestFit="1" customWidth="1"/>
    <col min="3947" max="3947" width="12.28515625" bestFit="1" customWidth="1"/>
    <col min="3948" max="3948" width="13.85546875" bestFit="1" customWidth="1"/>
    <col min="3949" max="3949" width="11.28515625" customWidth="1"/>
    <col min="3950" max="3950" width="11.5703125" customWidth="1"/>
    <col min="3951" max="3951" width="13.42578125" bestFit="1" customWidth="1"/>
    <col min="3952" max="3952" width="10.42578125" customWidth="1"/>
    <col min="3953" max="3953" width="13.85546875" bestFit="1" customWidth="1"/>
    <col min="3954" max="3954" width="15.42578125" bestFit="1" customWidth="1"/>
    <col min="3955" max="3955" width="12.28515625" bestFit="1" customWidth="1"/>
    <col min="3956" max="3956" width="12.7109375" customWidth="1"/>
    <col min="3957" max="3957" width="10.7109375" bestFit="1" customWidth="1"/>
    <col min="3958" max="3958" width="9.85546875" customWidth="1"/>
    <col min="3959" max="3960" width="10.140625" bestFit="1" customWidth="1"/>
    <col min="3961" max="3961" width="7.5703125" bestFit="1" customWidth="1"/>
    <col min="3962" max="3962" width="9.42578125" bestFit="1" customWidth="1"/>
    <col min="3963" max="3963" width="14.5703125" bestFit="1" customWidth="1"/>
    <col min="3964" max="3964" width="14.85546875" customWidth="1"/>
    <col min="3965" max="3965" width="15.140625" bestFit="1" customWidth="1"/>
    <col min="3966" max="3966" width="12.140625" bestFit="1" customWidth="1"/>
    <col min="3967" max="3967" width="14.85546875" bestFit="1" customWidth="1"/>
    <col min="3968" max="3968" width="12.28515625" bestFit="1" customWidth="1"/>
    <col min="3969" max="3977" width="9.140625" hidden="1" customWidth="1"/>
    <col min="3978" max="3978" width="5.28515625" bestFit="1" customWidth="1"/>
    <col min="3979" max="3984" width="11.5703125" bestFit="1" customWidth="1"/>
    <col min="3985" max="3985" width="11.28515625" bestFit="1" customWidth="1"/>
    <col min="3986" max="3986" width="10.140625" bestFit="1" customWidth="1"/>
    <col min="3987" max="3987" width="11.5703125" bestFit="1" customWidth="1"/>
    <col min="3988" max="3988" width="16.140625" customWidth="1"/>
    <col min="3989" max="3989" width="13.42578125" customWidth="1"/>
    <col min="3990" max="3990" width="10.140625" bestFit="1" customWidth="1"/>
    <col min="3991" max="3991" width="12.85546875" bestFit="1" customWidth="1"/>
    <col min="3992" max="3992" width="12.28515625" bestFit="1" customWidth="1"/>
    <col min="3993" max="3993" width="11.28515625" bestFit="1" customWidth="1"/>
    <col min="3994" max="3994" width="11.5703125" bestFit="1" customWidth="1"/>
    <col min="3995" max="3995" width="10.85546875" bestFit="1" customWidth="1"/>
    <col min="3996" max="3996" width="11.28515625" bestFit="1" customWidth="1"/>
    <col min="3997" max="3997" width="10.140625" bestFit="1" customWidth="1"/>
    <col min="3998" max="3998" width="13.28515625" bestFit="1" customWidth="1"/>
    <col min="3999" max="4000" width="12.7109375" bestFit="1" customWidth="1"/>
    <col min="4001" max="4001" width="11" bestFit="1" customWidth="1"/>
    <col min="4002" max="4002" width="11.28515625" bestFit="1" customWidth="1"/>
    <col min="4003" max="4003" width="11.5703125" bestFit="1" customWidth="1"/>
    <col min="4004" max="4004" width="12.28515625" bestFit="1" customWidth="1"/>
    <col min="4005" max="4005" width="15.140625" bestFit="1" customWidth="1"/>
    <col min="4006" max="4006" width="14.42578125" bestFit="1" customWidth="1"/>
    <col min="4007" max="4007" width="12.28515625" bestFit="1" customWidth="1"/>
    <col min="4008" max="4008" width="15.140625" bestFit="1" customWidth="1"/>
    <col min="4009" max="4009" width="14.42578125" bestFit="1" customWidth="1"/>
    <col min="4010" max="4010" width="12.28515625" bestFit="1" customWidth="1"/>
    <col min="4011" max="4011" width="14.42578125" bestFit="1" customWidth="1"/>
    <col min="4012" max="4012" width="11.28515625" bestFit="1" customWidth="1"/>
    <col min="4013" max="4013" width="12.28515625" bestFit="1" customWidth="1"/>
    <col min="4014" max="4014" width="13" bestFit="1" customWidth="1"/>
    <col min="4015" max="4015" width="15.140625" bestFit="1" customWidth="1"/>
    <col min="4016" max="4016" width="12.28515625" bestFit="1" customWidth="1"/>
    <col min="4017" max="4017" width="13.85546875" bestFit="1" customWidth="1"/>
    <col min="4018" max="4018" width="11.28515625" bestFit="1" customWidth="1"/>
    <col min="4019" max="4019" width="12.28515625" bestFit="1" customWidth="1"/>
    <col min="4020" max="4020" width="13.85546875" bestFit="1" customWidth="1"/>
    <col min="4021" max="4022" width="15.140625" bestFit="1" customWidth="1"/>
    <col min="4023" max="4023" width="12.28515625" bestFit="1" customWidth="1"/>
    <col min="4024" max="4024" width="5.7109375" bestFit="1" customWidth="1"/>
    <col min="4025" max="4025" width="8.5703125" bestFit="1" customWidth="1"/>
    <col min="4026" max="4026" width="5.5703125" bestFit="1" customWidth="1"/>
    <col min="4027" max="4027" width="14.42578125" bestFit="1" customWidth="1"/>
    <col min="4028" max="4028" width="11.28515625" bestFit="1" customWidth="1"/>
    <col min="4029" max="4030" width="12.28515625" bestFit="1" customWidth="1"/>
    <col min="4031" max="4031" width="11.28515625" bestFit="1" customWidth="1"/>
    <col min="4032" max="4032" width="13.85546875" bestFit="1" customWidth="1"/>
    <col min="4033" max="4033" width="12" bestFit="1" customWidth="1"/>
    <col min="4034" max="4034" width="13.85546875" bestFit="1" customWidth="1"/>
    <col min="4035" max="4036" width="14.42578125" customWidth="1"/>
    <col min="4037" max="4037" width="10.140625" bestFit="1" customWidth="1"/>
    <col min="4038" max="4038" width="12.28515625" bestFit="1" customWidth="1"/>
    <col min="4039" max="4039" width="7.42578125" bestFit="1" customWidth="1"/>
    <col min="4040" max="4040" width="8.5703125" bestFit="1" customWidth="1"/>
    <col min="4041" max="4041" width="11.5703125" bestFit="1" customWidth="1"/>
    <col min="4042" max="4042" width="13.28515625" bestFit="1" customWidth="1"/>
    <col min="4043" max="4043" width="13.28515625" customWidth="1"/>
    <col min="4044" max="4044" width="13.140625" customWidth="1"/>
    <col min="4045" max="4045" width="12.7109375" bestFit="1" customWidth="1"/>
    <col min="4046" max="4046" width="13.28515625" bestFit="1" customWidth="1"/>
    <col min="4047" max="4049" width="13.28515625" customWidth="1"/>
    <col min="4050" max="4050" width="12.140625" bestFit="1" customWidth="1"/>
    <col min="4051" max="4051" width="12.7109375" bestFit="1" customWidth="1"/>
    <col min="4052" max="4052" width="11" customWidth="1"/>
    <col min="4053" max="4053" width="16.7109375" customWidth="1"/>
    <col min="4054" max="4054" width="17" customWidth="1"/>
    <col min="4055" max="4055" width="10.42578125" bestFit="1" customWidth="1"/>
    <col min="4099" max="4099" width="3.85546875" customWidth="1"/>
    <col min="4100" max="4100" width="15.28515625" bestFit="1" customWidth="1"/>
    <col min="4101" max="4101" width="12.28515625" customWidth="1"/>
    <col min="4102" max="4102" width="16.28515625" bestFit="1" customWidth="1"/>
    <col min="4103" max="4103" width="6.42578125" bestFit="1" customWidth="1"/>
    <col min="4104" max="4104" width="9.28515625" bestFit="1" customWidth="1"/>
    <col min="4105" max="4105" width="7.5703125" bestFit="1" customWidth="1"/>
    <col min="4106" max="4106" width="13.28515625" bestFit="1" customWidth="1"/>
    <col min="4107" max="4107" width="9.28515625" bestFit="1" customWidth="1"/>
    <col min="4108" max="4108" width="11.5703125" bestFit="1" customWidth="1"/>
    <col min="4109" max="4109" width="13.28515625" bestFit="1" customWidth="1"/>
    <col min="4110" max="4110" width="7.140625" bestFit="1" customWidth="1"/>
    <col min="4111" max="4111" width="12" bestFit="1" customWidth="1"/>
    <col min="4112" max="4112" width="13.28515625" bestFit="1" customWidth="1"/>
    <col min="4113" max="4113" width="7" bestFit="1" customWidth="1"/>
    <col min="4114" max="4114" width="12.7109375" bestFit="1" customWidth="1"/>
    <col min="4115" max="4115" width="11.5703125" bestFit="1" customWidth="1"/>
    <col min="4116" max="4116" width="10.5703125" bestFit="1" customWidth="1"/>
    <col min="4117" max="4118" width="15.7109375" bestFit="1" customWidth="1"/>
    <col min="4119" max="4119" width="11.5703125" bestFit="1" customWidth="1"/>
    <col min="4120" max="4120" width="7.7109375" bestFit="1" customWidth="1"/>
    <col min="4121" max="4121" width="15.140625" bestFit="1" customWidth="1"/>
    <col min="4122" max="4122" width="11.5703125" bestFit="1" customWidth="1"/>
    <col min="4123" max="4123" width="13.28515625" bestFit="1" customWidth="1"/>
    <col min="4124" max="4124" width="10.42578125" bestFit="1" customWidth="1"/>
    <col min="4125" max="4125" width="13.28515625" bestFit="1" customWidth="1"/>
    <col min="4126" max="4126" width="12.140625" bestFit="1" customWidth="1"/>
    <col min="4127" max="4127" width="14.42578125" bestFit="1" customWidth="1"/>
    <col min="4128" max="4128" width="13.28515625" bestFit="1" customWidth="1"/>
    <col min="4129" max="4129" width="11.5703125" bestFit="1" customWidth="1"/>
    <col min="4130" max="4130" width="7.7109375" bestFit="1" customWidth="1"/>
    <col min="4131" max="4132" width="14.42578125" bestFit="1" customWidth="1"/>
    <col min="4133" max="4133" width="11.5703125" bestFit="1" customWidth="1"/>
    <col min="4134" max="4134" width="7.7109375" bestFit="1" customWidth="1"/>
    <col min="4135" max="4135" width="13.5703125" customWidth="1"/>
    <col min="4136" max="4136" width="15.28515625" customWidth="1"/>
    <col min="4137" max="4137" width="14.5703125" customWidth="1"/>
    <col min="4138" max="4138" width="13.28515625" bestFit="1" customWidth="1"/>
    <col min="4139" max="4139" width="7.7109375" bestFit="1" customWidth="1"/>
    <col min="4140" max="4140" width="12.7109375" bestFit="1" customWidth="1"/>
    <col min="4141" max="4141" width="11.7109375" bestFit="1" customWidth="1"/>
    <col min="4142" max="4142" width="11.5703125" bestFit="1" customWidth="1"/>
    <col min="4143" max="4143" width="5.28515625" bestFit="1" customWidth="1"/>
    <col min="4144" max="4144" width="13.28515625" bestFit="1" customWidth="1"/>
    <col min="4145" max="4145" width="13.5703125" bestFit="1" customWidth="1"/>
    <col min="4146" max="4146" width="10.5703125" bestFit="1" customWidth="1"/>
    <col min="4147" max="4147" width="13.28515625" bestFit="1" customWidth="1"/>
    <col min="4148" max="4148" width="11.5703125" bestFit="1" customWidth="1"/>
    <col min="4149" max="4149" width="10.5703125" bestFit="1" customWidth="1"/>
    <col min="4150" max="4150" width="16.140625" bestFit="1" customWidth="1"/>
    <col min="4151" max="4152" width="11.28515625" bestFit="1" customWidth="1"/>
    <col min="4153" max="4153" width="13.28515625" bestFit="1" customWidth="1"/>
    <col min="4154" max="4154" width="7.7109375" bestFit="1" customWidth="1"/>
    <col min="4155" max="4158" width="9.140625" hidden="1" customWidth="1"/>
    <col min="4159" max="4159" width="10.42578125" bestFit="1" customWidth="1"/>
    <col min="4160" max="4160" width="10.5703125" bestFit="1" customWidth="1"/>
    <col min="4161" max="4161" width="10.42578125" bestFit="1" customWidth="1"/>
    <col min="4162" max="4162" width="10.5703125" bestFit="1" customWidth="1"/>
    <col min="4163" max="4163" width="9.5703125" bestFit="1" customWidth="1"/>
    <col min="4164" max="4164" width="11.5703125" bestFit="1" customWidth="1"/>
    <col min="4165" max="4165" width="10.42578125" bestFit="1" customWidth="1"/>
    <col min="4166" max="4166" width="10.85546875" customWidth="1"/>
    <col min="4167" max="4168" width="9.85546875" bestFit="1" customWidth="1"/>
    <col min="4169" max="4169" width="13.5703125" bestFit="1" customWidth="1"/>
    <col min="4170" max="4170" width="7.7109375" bestFit="1" customWidth="1"/>
    <col min="4171" max="4171" width="13.28515625" bestFit="1" customWidth="1"/>
    <col min="4172" max="4172" width="11.5703125" bestFit="1" customWidth="1"/>
    <col min="4173" max="4173" width="10.42578125" bestFit="1" customWidth="1"/>
    <col min="4174" max="4174" width="7.7109375" bestFit="1" customWidth="1"/>
    <col min="4175" max="4175" width="11.5703125" bestFit="1" customWidth="1"/>
    <col min="4176" max="4176" width="10.85546875" bestFit="1" customWidth="1"/>
    <col min="4177" max="4177" width="13.28515625" bestFit="1" customWidth="1"/>
    <col min="4178" max="4178" width="10.85546875" bestFit="1" customWidth="1"/>
    <col min="4179" max="4180" width="7.5703125" bestFit="1" customWidth="1"/>
    <col min="4181" max="4182" width="10.42578125" bestFit="1" customWidth="1"/>
    <col min="4183" max="4183" width="11.5703125" bestFit="1" customWidth="1"/>
    <col min="4184" max="4184" width="5.28515625" bestFit="1" customWidth="1"/>
    <col min="4185" max="4185" width="10.28515625" bestFit="1" customWidth="1"/>
    <col min="4186" max="4186" width="10.42578125" bestFit="1" customWidth="1"/>
    <col min="4187" max="4187" width="11.5703125" bestFit="1" customWidth="1"/>
    <col min="4188" max="4188" width="5.28515625" bestFit="1" customWidth="1"/>
    <col min="4189" max="4191" width="11.5703125" bestFit="1" customWidth="1"/>
    <col min="4192" max="4192" width="5.28515625" bestFit="1" customWidth="1"/>
    <col min="4193" max="4194" width="10.42578125" bestFit="1" customWidth="1"/>
    <col min="4195" max="4195" width="11.5703125" bestFit="1" customWidth="1"/>
    <col min="4196" max="4196" width="5.28515625" bestFit="1" customWidth="1"/>
    <col min="4197" max="4197" width="14.28515625" bestFit="1" customWidth="1"/>
    <col min="4198" max="4198" width="13" bestFit="1" customWidth="1"/>
    <col min="4199" max="4199" width="11.5703125" bestFit="1" customWidth="1"/>
    <col min="4200" max="4200" width="8.85546875" bestFit="1" customWidth="1"/>
    <col min="4201" max="4201" width="14.42578125" bestFit="1" customWidth="1"/>
    <col min="4202" max="4202" width="10.42578125" bestFit="1" customWidth="1"/>
    <col min="4203" max="4203" width="12.28515625" bestFit="1" customWidth="1"/>
    <col min="4204" max="4204" width="13.85546875" bestFit="1" customWidth="1"/>
    <col min="4205" max="4205" width="11.28515625" customWidth="1"/>
    <col min="4206" max="4206" width="11.5703125" customWidth="1"/>
    <col min="4207" max="4207" width="13.42578125" bestFit="1" customWidth="1"/>
    <col min="4208" max="4208" width="10.42578125" customWidth="1"/>
    <col min="4209" max="4209" width="13.85546875" bestFit="1" customWidth="1"/>
    <col min="4210" max="4210" width="15.42578125" bestFit="1" customWidth="1"/>
    <col min="4211" max="4211" width="12.28515625" bestFit="1" customWidth="1"/>
    <col min="4212" max="4212" width="12.7109375" customWidth="1"/>
    <col min="4213" max="4213" width="10.7109375" bestFit="1" customWidth="1"/>
    <col min="4214" max="4214" width="9.85546875" customWidth="1"/>
    <col min="4215" max="4216" width="10.140625" bestFit="1" customWidth="1"/>
    <col min="4217" max="4217" width="7.5703125" bestFit="1" customWidth="1"/>
    <col min="4218" max="4218" width="9.42578125" bestFit="1" customWidth="1"/>
    <col min="4219" max="4219" width="14.5703125" bestFit="1" customWidth="1"/>
    <col min="4220" max="4220" width="14.85546875" customWidth="1"/>
    <col min="4221" max="4221" width="15.140625" bestFit="1" customWidth="1"/>
    <col min="4222" max="4222" width="12.140625" bestFit="1" customWidth="1"/>
    <col min="4223" max="4223" width="14.85546875" bestFit="1" customWidth="1"/>
    <col min="4224" max="4224" width="12.28515625" bestFit="1" customWidth="1"/>
    <col min="4225" max="4233" width="9.140625" hidden="1" customWidth="1"/>
    <col min="4234" max="4234" width="5.28515625" bestFit="1" customWidth="1"/>
    <col min="4235" max="4240" width="11.5703125" bestFit="1" customWidth="1"/>
    <col min="4241" max="4241" width="11.28515625" bestFit="1" customWidth="1"/>
    <col min="4242" max="4242" width="10.140625" bestFit="1" customWidth="1"/>
    <col min="4243" max="4243" width="11.5703125" bestFit="1" customWidth="1"/>
    <col min="4244" max="4244" width="16.140625" customWidth="1"/>
    <col min="4245" max="4245" width="13.42578125" customWidth="1"/>
    <col min="4246" max="4246" width="10.140625" bestFit="1" customWidth="1"/>
    <col min="4247" max="4247" width="12.85546875" bestFit="1" customWidth="1"/>
    <col min="4248" max="4248" width="12.28515625" bestFit="1" customWidth="1"/>
    <col min="4249" max="4249" width="11.28515625" bestFit="1" customWidth="1"/>
    <col min="4250" max="4250" width="11.5703125" bestFit="1" customWidth="1"/>
    <col min="4251" max="4251" width="10.85546875" bestFit="1" customWidth="1"/>
    <col min="4252" max="4252" width="11.28515625" bestFit="1" customWidth="1"/>
    <col min="4253" max="4253" width="10.140625" bestFit="1" customWidth="1"/>
    <col min="4254" max="4254" width="13.28515625" bestFit="1" customWidth="1"/>
    <col min="4255" max="4256" width="12.7109375" bestFit="1" customWidth="1"/>
    <col min="4257" max="4257" width="11" bestFit="1" customWidth="1"/>
    <col min="4258" max="4258" width="11.28515625" bestFit="1" customWidth="1"/>
    <col min="4259" max="4259" width="11.5703125" bestFit="1" customWidth="1"/>
    <col min="4260" max="4260" width="12.28515625" bestFit="1" customWidth="1"/>
    <col min="4261" max="4261" width="15.140625" bestFit="1" customWidth="1"/>
    <col min="4262" max="4262" width="14.42578125" bestFit="1" customWidth="1"/>
    <col min="4263" max="4263" width="12.28515625" bestFit="1" customWidth="1"/>
    <col min="4264" max="4264" width="15.140625" bestFit="1" customWidth="1"/>
    <col min="4265" max="4265" width="14.42578125" bestFit="1" customWidth="1"/>
    <col min="4266" max="4266" width="12.28515625" bestFit="1" customWidth="1"/>
    <col min="4267" max="4267" width="14.42578125" bestFit="1" customWidth="1"/>
    <col min="4268" max="4268" width="11.28515625" bestFit="1" customWidth="1"/>
    <col min="4269" max="4269" width="12.28515625" bestFit="1" customWidth="1"/>
    <col min="4270" max="4270" width="13" bestFit="1" customWidth="1"/>
    <col min="4271" max="4271" width="15.140625" bestFit="1" customWidth="1"/>
    <col min="4272" max="4272" width="12.28515625" bestFit="1" customWidth="1"/>
    <col min="4273" max="4273" width="13.85546875" bestFit="1" customWidth="1"/>
    <col min="4274" max="4274" width="11.28515625" bestFit="1" customWidth="1"/>
    <col min="4275" max="4275" width="12.28515625" bestFit="1" customWidth="1"/>
    <col min="4276" max="4276" width="13.85546875" bestFit="1" customWidth="1"/>
    <col min="4277" max="4278" width="15.140625" bestFit="1" customWidth="1"/>
    <col min="4279" max="4279" width="12.28515625" bestFit="1" customWidth="1"/>
    <col min="4280" max="4280" width="5.7109375" bestFit="1" customWidth="1"/>
    <col min="4281" max="4281" width="8.5703125" bestFit="1" customWidth="1"/>
    <col min="4282" max="4282" width="5.5703125" bestFit="1" customWidth="1"/>
    <col min="4283" max="4283" width="14.42578125" bestFit="1" customWidth="1"/>
    <col min="4284" max="4284" width="11.28515625" bestFit="1" customWidth="1"/>
    <col min="4285" max="4286" width="12.28515625" bestFit="1" customWidth="1"/>
    <col min="4287" max="4287" width="11.28515625" bestFit="1" customWidth="1"/>
    <col min="4288" max="4288" width="13.85546875" bestFit="1" customWidth="1"/>
    <col min="4289" max="4289" width="12" bestFit="1" customWidth="1"/>
    <col min="4290" max="4290" width="13.85546875" bestFit="1" customWidth="1"/>
    <col min="4291" max="4292" width="14.42578125" customWidth="1"/>
    <col min="4293" max="4293" width="10.140625" bestFit="1" customWidth="1"/>
    <col min="4294" max="4294" width="12.28515625" bestFit="1" customWidth="1"/>
    <col min="4295" max="4295" width="7.42578125" bestFit="1" customWidth="1"/>
    <col min="4296" max="4296" width="8.5703125" bestFit="1" customWidth="1"/>
    <col min="4297" max="4297" width="11.5703125" bestFit="1" customWidth="1"/>
    <col min="4298" max="4298" width="13.28515625" bestFit="1" customWidth="1"/>
    <col min="4299" max="4299" width="13.28515625" customWidth="1"/>
    <col min="4300" max="4300" width="13.140625" customWidth="1"/>
    <col min="4301" max="4301" width="12.7109375" bestFit="1" customWidth="1"/>
    <col min="4302" max="4302" width="13.28515625" bestFit="1" customWidth="1"/>
    <col min="4303" max="4305" width="13.28515625" customWidth="1"/>
    <col min="4306" max="4306" width="12.140625" bestFit="1" customWidth="1"/>
    <col min="4307" max="4307" width="12.7109375" bestFit="1" customWidth="1"/>
    <col min="4308" max="4308" width="11" customWidth="1"/>
    <col min="4309" max="4309" width="16.7109375" customWidth="1"/>
    <col min="4310" max="4310" width="17" customWidth="1"/>
    <col min="4311" max="4311" width="10.42578125" bestFit="1" customWidth="1"/>
    <col min="4355" max="4355" width="3.85546875" customWidth="1"/>
    <col min="4356" max="4356" width="15.28515625" bestFit="1" customWidth="1"/>
    <col min="4357" max="4357" width="12.28515625" customWidth="1"/>
    <col min="4358" max="4358" width="16.28515625" bestFit="1" customWidth="1"/>
    <col min="4359" max="4359" width="6.42578125" bestFit="1" customWidth="1"/>
    <col min="4360" max="4360" width="9.28515625" bestFit="1" customWidth="1"/>
    <col min="4361" max="4361" width="7.5703125" bestFit="1" customWidth="1"/>
    <col min="4362" max="4362" width="13.28515625" bestFit="1" customWidth="1"/>
    <col min="4363" max="4363" width="9.28515625" bestFit="1" customWidth="1"/>
    <col min="4364" max="4364" width="11.5703125" bestFit="1" customWidth="1"/>
    <col min="4365" max="4365" width="13.28515625" bestFit="1" customWidth="1"/>
    <col min="4366" max="4366" width="7.140625" bestFit="1" customWidth="1"/>
    <col min="4367" max="4367" width="12" bestFit="1" customWidth="1"/>
    <col min="4368" max="4368" width="13.28515625" bestFit="1" customWidth="1"/>
    <col min="4369" max="4369" width="7" bestFit="1" customWidth="1"/>
    <col min="4370" max="4370" width="12.7109375" bestFit="1" customWidth="1"/>
    <col min="4371" max="4371" width="11.5703125" bestFit="1" customWidth="1"/>
    <col min="4372" max="4372" width="10.5703125" bestFit="1" customWidth="1"/>
    <col min="4373" max="4374" width="15.7109375" bestFit="1" customWidth="1"/>
    <col min="4375" max="4375" width="11.5703125" bestFit="1" customWidth="1"/>
    <col min="4376" max="4376" width="7.7109375" bestFit="1" customWidth="1"/>
    <col min="4377" max="4377" width="15.140625" bestFit="1" customWidth="1"/>
    <col min="4378" max="4378" width="11.5703125" bestFit="1" customWidth="1"/>
    <col min="4379" max="4379" width="13.28515625" bestFit="1" customWidth="1"/>
    <col min="4380" max="4380" width="10.42578125" bestFit="1" customWidth="1"/>
    <col min="4381" max="4381" width="13.28515625" bestFit="1" customWidth="1"/>
    <col min="4382" max="4382" width="12.140625" bestFit="1" customWidth="1"/>
    <col min="4383" max="4383" width="14.42578125" bestFit="1" customWidth="1"/>
    <col min="4384" max="4384" width="13.28515625" bestFit="1" customWidth="1"/>
    <col min="4385" max="4385" width="11.5703125" bestFit="1" customWidth="1"/>
    <col min="4386" max="4386" width="7.7109375" bestFit="1" customWidth="1"/>
    <col min="4387" max="4388" width="14.42578125" bestFit="1" customWidth="1"/>
    <col min="4389" max="4389" width="11.5703125" bestFit="1" customWidth="1"/>
    <col min="4390" max="4390" width="7.7109375" bestFit="1" customWidth="1"/>
    <col min="4391" max="4391" width="13.5703125" customWidth="1"/>
    <col min="4392" max="4392" width="15.28515625" customWidth="1"/>
    <col min="4393" max="4393" width="14.5703125" customWidth="1"/>
    <col min="4394" max="4394" width="13.28515625" bestFit="1" customWidth="1"/>
    <col min="4395" max="4395" width="7.7109375" bestFit="1" customWidth="1"/>
    <col min="4396" max="4396" width="12.7109375" bestFit="1" customWidth="1"/>
    <col min="4397" max="4397" width="11.7109375" bestFit="1" customWidth="1"/>
    <col min="4398" max="4398" width="11.5703125" bestFit="1" customWidth="1"/>
    <col min="4399" max="4399" width="5.28515625" bestFit="1" customWidth="1"/>
    <col min="4400" max="4400" width="13.28515625" bestFit="1" customWidth="1"/>
    <col min="4401" max="4401" width="13.5703125" bestFit="1" customWidth="1"/>
    <col min="4402" max="4402" width="10.5703125" bestFit="1" customWidth="1"/>
    <col min="4403" max="4403" width="13.28515625" bestFit="1" customWidth="1"/>
    <col min="4404" max="4404" width="11.5703125" bestFit="1" customWidth="1"/>
    <col min="4405" max="4405" width="10.5703125" bestFit="1" customWidth="1"/>
    <col min="4406" max="4406" width="16.140625" bestFit="1" customWidth="1"/>
    <col min="4407" max="4408" width="11.28515625" bestFit="1" customWidth="1"/>
    <col min="4409" max="4409" width="13.28515625" bestFit="1" customWidth="1"/>
    <col min="4410" max="4410" width="7.7109375" bestFit="1" customWidth="1"/>
    <col min="4411" max="4414" width="9.140625" hidden="1" customWidth="1"/>
    <col min="4415" max="4415" width="10.42578125" bestFit="1" customWidth="1"/>
    <col min="4416" max="4416" width="10.5703125" bestFit="1" customWidth="1"/>
    <col min="4417" max="4417" width="10.42578125" bestFit="1" customWidth="1"/>
    <col min="4418" max="4418" width="10.5703125" bestFit="1" customWidth="1"/>
    <col min="4419" max="4419" width="9.5703125" bestFit="1" customWidth="1"/>
    <col min="4420" max="4420" width="11.5703125" bestFit="1" customWidth="1"/>
    <col min="4421" max="4421" width="10.42578125" bestFit="1" customWidth="1"/>
    <col min="4422" max="4422" width="10.85546875" customWidth="1"/>
    <col min="4423" max="4424" width="9.85546875" bestFit="1" customWidth="1"/>
    <col min="4425" max="4425" width="13.5703125" bestFit="1" customWidth="1"/>
    <col min="4426" max="4426" width="7.7109375" bestFit="1" customWidth="1"/>
    <col min="4427" max="4427" width="13.28515625" bestFit="1" customWidth="1"/>
    <col min="4428" max="4428" width="11.5703125" bestFit="1" customWidth="1"/>
    <col min="4429" max="4429" width="10.42578125" bestFit="1" customWidth="1"/>
    <col min="4430" max="4430" width="7.7109375" bestFit="1" customWidth="1"/>
    <col min="4431" max="4431" width="11.5703125" bestFit="1" customWidth="1"/>
    <col min="4432" max="4432" width="10.85546875" bestFit="1" customWidth="1"/>
    <col min="4433" max="4433" width="13.28515625" bestFit="1" customWidth="1"/>
    <col min="4434" max="4434" width="10.85546875" bestFit="1" customWidth="1"/>
    <col min="4435" max="4436" width="7.5703125" bestFit="1" customWidth="1"/>
    <col min="4437" max="4438" width="10.42578125" bestFit="1" customWidth="1"/>
    <col min="4439" max="4439" width="11.5703125" bestFit="1" customWidth="1"/>
    <col min="4440" max="4440" width="5.28515625" bestFit="1" customWidth="1"/>
    <col min="4441" max="4441" width="10.28515625" bestFit="1" customWidth="1"/>
    <col min="4442" max="4442" width="10.42578125" bestFit="1" customWidth="1"/>
    <col min="4443" max="4443" width="11.5703125" bestFit="1" customWidth="1"/>
    <col min="4444" max="4444" width="5.28515625" bestFit="1" customWidth="1"/>
    <col min="4445" max="4447" width="11.5703125" bestFit="1" customWidth="1"/>
    <col min="4448" max="4448" width="5.28515625" bestFit="1" customWidth="1"/>
    <col min="4449" max="4450" width="10.42578125" bestFit="1" customWidth="1"/>
    <col min="4451" max="4451" width="11.5703125" bestFit="1" customWidth="1"/>
    <col min="4452" max="4452" width="5.28515625" bestFit="1" customWidth="1"/>
    <col min="4453" max="4453" width="14.28515625" bestFit="1" customWidth="1"/>
    <col min="4454" max="4454" width="13" bestFit="1" customWidth="1"/>
    <col min="4455" max="4455" width="11.5703125" bestFit="1" customWidth="1"/>
    <col min="4456" max="4456" width="8.85546875" bestFit="1" customWidth="1"/>
    <col min="4457" max="4457" width="14.42578125" bestFit="1" customWidth="1"/>
    <col min="4458" max="4458" width="10.42578125" bestFit="1" customWidth="1"/>
    <col min="4459" max="4459" width="12.28515625" bestFit="1" customWidth="1"/>
    <col min="4460" max="4460" width="13.85546875" bestFit="1" customWidth="1"/>
    <col min="4461" max="4461" width="11.28515625" customWidth="1"/>
    <col min="4462" max="4462" width="11.5703125" customWidth="1"/>
    <col min="4463" max="4463" width="13.42578125" bestFit="1" customWidth="1"/>
    <col min="4464" max="4464" width="10.42578125" customWidth="1"/>
    <col min="4465" max="4465" width="13.85546875" bestFit="1" customWidth="1"/>
    <col min="4466" max="4466" width="15.42578125" bestFit="1" customWidth="1"/>
    <col min="4467" max="4467" width="12.28515625" bestFit="1" customWidth="1"/>
    <col min="4468" max="4468" width="12.7109375" customWidth="1"/>
    <col min="4469" max="4469" width="10.7109375" bestFit="1" customWidth="1"/>
    <col min="4470" max="4470" width="9.85546875" customWidth="1"/>
    <col min="4471" max="4472" width="10.140625" bestFit="1" customWidth="1"/>
    <col min="4473" max="4473" width="7.5703125" bestFit="1" customWidth="1"/>
    <col min="4474" max="4474" width="9.42578125" bestFit="1" customWidth="1"/>
    <col min="4475" max="4475" width="14.5703125" bestFit="1" customWidth="1"/>
    <col min="4476" max="4476" width="14.85546875" customWidth="1"/>
    <col min="4477" max="4477" width="15.140625" bestFit="1" customWidth="1"/>
    <col min="4478" max="4478" width="12.140625" bestFit="1" customWidth="1"/>
    <col min="4479" max="4479" width="14.85546875" bestFit="1" customWidth="1"/>
    <col min="4480" max="4480" width="12.28515625" bestFit="1" customWidth="1"/>
    <col min="4481" max="4489" width="9.140625" hidden="1" customWidth="1"/>
    <col min="4490" max="4490" width="5.28515625" bestFit="1" customWidth="1"/>
    <col min="4491" max="4496" width="11.5703125" bestFit="1" customWidth="1"/>
    <col min="4497" max="4497" width="11.28515625" bestFit="1" customWidth="1"/>
    <col min="4498" max="4498" width="10.140625" bestFit="1" customWidth="1"/>
    <col min="4499" max="4499" width="11.5703125" bestFit="1" customWidth="1"/>
    <col min="4500" max="4500" width="16.140625" customWidth="1"/>
    <col min="4501" max="4501" width="13.42578125" customWidth="1"/>
    <col min="4502" max="4502" width="10.140625" bestFit="1" customWidth="1"/>
    <col min="4503" max="4503" width="12.85546875" bestFit="1" customWidth="1"/>
    <col min="4504" max="4504" width="12.28515625" bestFit="1" customWidth="1"/>
    <col min="4505" max="4505" width="11.28515625" bestFit="1" customWidth="1"/>
    <col min="4506" max="4506" width="11.5703125" bestFit="1" customWidth="1"/>
    <col min="4507" max="4507" width="10.85546875" bestFit="1" customWidth="1"/>
    <col min="4508" max="4508" width="11.28515625" bestFit="1" customWidth="1"/>
    <col min="4509" max="4509" width="10.140625" bestFit="1" customWidth="1"/>
    <col min="4510" max="4510" width="13.28515625" bestFit="1" customWidth="1"/>
    <col min="4511" max="4512" width="12.7109375" bestFit="1" customWidth="1"/>
    <col min="4513" max="4513" width="11" bestFit="1" customWidth="1"/>
    <col min="4514" max="4514" width="11.28515625" bestFit="1" customWidth="1"/>
    <col min="4515" max="4515" width="11.5703125" bestFit="1" customWidth="1"/>
    <col min="4516" max="4516" width="12.28515625" bestFit="1" customWidth="1"/>
    <col min="4517" max="4517" width="15.140625" bestFit="1" customWidth="1"/>
    <col min="4518" max="4518" width="14.42578125" bestFit="1" customWidth="1"/>
    <col min="4519" max="4519" width="12.28515625" bestFit="1" customWidth="1"/>
    <col min="4520" max="4520" width="15.140625" bestFit="1" customWidth="1"/>
    <col min="4521" max="4521" width="14.42578125" bestFit="1" customWidth="1"/>
    <col min="4522" max="4522" width="12.28515625" bestFit="1" customWidth="1"/>
    <col min="4523" max="4523" width="14.42578125" bestFit="1" customWidth="1"/>
    <col min="4524" max="4524" width="11.28515625" bestFit="1" customWidth="1"/>
    <col min="4525" max="4525" width="12.28515625" bestFit="1" customWidth="1"/>
    <col min="4526" max="4526" width="13" bestFit="1" customWidth="1"/>
    <col min="4527" max="4527" width="15.140625" bestFit="1" customWidth="1"/>
    <col min="4528" max="4528" width="12.28515625" bestFit="1" customWidth="1"/>
    <col min="4529" max="4529" width="13.85546875" bestFit="1" customWidth="1"/>
    <col min="4530" max="4530" width="11.28515625" bestFit="1" customWidth="1"/>
    <col min="4531" max="4531" width="12.28515625" bestFit="1" customWidth="1"/>
    <col min="4532" max="4532" width="13.85546875" bestFit="1" customWidth="1"/>
    <col min="4533" max="4534" width="15.140625" bestFit="1" customWidth="1"/>
    <col min="4535" max="4535" width="12.28515625" bestFit="1" customWidth="1"/>
    <col min="4536" max="4536" width="5.7109375" bestFit="1" customWidth="1"/>
    <col min="4537" max="4537" width="8.5703125" bestFit="1" customWidth="1"/>
    <col min="4538" max="4538" width="5.5703125" bestFit="1" customWidth="1"/>
    <col min="4539" max="4539" width="14.42578125" bestFit="1" customWidth="1"/>
    <col min="4540" max="4540" width="11.28515625" bestFit="1" customWidth="1"/>
    <col min="4541" max="4542" width="12.28515625" bestFit="1" customWidth="1"/>
    <col min="4543" max="4543" width="11.28515625" bestFit="1" customWidth="1"/>
    <col min="4544" max="4544" width="13.85546875" bestFit="1" customWidth="1"/>
    <col min="4545" max="4545" width="12" bestFit="1" customWidth="1"/>
    <col min="4546" max="4546" width="13.85546875" bestFit="1" customWidth="1"/>
    <col min="4547" max="4548" width="14.42578125" customWidth="1"/>
    <col min="4549" max="4549" width="10.140625" bestFit="1" customWidth="1"/>
    <col min="4550" max="4550" width="12.28515625" bestFit="1" customWidth="1"/>
    <col min="4551" max="4551" width="7.42578125" bestFit="1" customWidth="1"/>
    <col min="4552" max="4552" width="8.5703125" bestFit="1" customWidth="1"/>
    <col min="4553" max="4553" width="11.5703125" bestFit="1" customWidth="1"/>
    <col min="4554" max="4554" width="13.28515625" bestFit="1" customWidth="1"/>
    <col min="4555" max="4555" width="13.28515625" customWidth="1"/>
    <col min="4556" max="4556" width="13.140625" customWidth="1"/>
    <col min="4557" max="4557" width="12.7109375" bestFit="1" customWidth="1"/>
    <col min="4558" max="4558" width="13.28515625" bestFit="1" customWidth="1"/>
    <col min="4559" max="4561" width="13.28515625" customWidth="1"/>
    <col min="4562" max="4562" width="12.140625" bestFit="1" customWidth="1"/>
    <col min="4563" max="4563" width="12.7109375" bestFit="1" customWidth="1"/>
    <col min="4564" max="4564" width="11" customWidth="1"/>
    <col min="4565" max="4565" width="16.7109375" customWidth="1"/>
    <col min="4566" max="4566" width="17" customWidth="1"/>
    <col min="4567" max="4567" width="10.42578125" bestFit="1" customWidth="1"/>
    <col min="4611" max="4611" width="3.85546875" customWidth="1"/>
    <col min="4612" max="4612" width="15.28515625" bestFit="1" customWidth="1"/>
    <col min="4613" max="4613" width="12.28515625" customWidth="1"/>
    <col min="4614" max="4614" width="16.28515625" bestFit="1" customWidth="1"/>
    <col min="4615" max="4615" width="6.42578125" bestFit="1" customWidth="1"/>
    <col min="4616" max="4616" width="9.28515625" bestFit="1" customWidth="1"/>
    <col min="4617" max="4617" width="7.5703125" bestFit="1" customWidth="1"/>
    <col min="4618" max="4618" width="13.28515625" bestFit="1" customWidth="1"/>
    <col min="4619" max="4619" width="9.28515625" bestFit="1" customWidth="1"/>
    <col min="4620" max="4620" width="11.5703125" bestFit="1" customWidth="1"/>
    <col min="4621" max="4621" width="13.28515625" bestFit="1" customWidth="1"/>
    <col min="4622" max="4622" width="7.140625" bestFit="1" customWidth="1"/>
    <col min="4623" max="4623" width="12" bestFit="1" customWidth="1"/>
    <col min="4624" max="4624" width="13.28515625" bestFit="1" customWidth="1"/>
    <col min="4625" max="4625" width="7" bestFit="1" customWidth="1"/>
    <col min="4626" max="4626" width="12.7109375" bestFit="1" customWidth="1"/>
    <col min="4627" max="4627" width="11.5703125" bestFit="1" customWidth="1"/>
    <col min="4628" max="4628" width="10.5703125" bestFit="1" customWidth="1"/>
    <col min="4629" max="4630" width="15.7109375" bestFit="1" customWidth="1"/>
    <col min="4631" max="4631" width="11.5703125" bestFit="1" customWidth="1"/>
    <col min="4632" max="4632" width="7.7109375" bestFit="1" customWidth="1"/>
    <col min="4633" max="4633" width="15.140625" bestFit="1" customWidth="1"/>
    <col min="4634" max="4634" width="11.5703125" bestFit="1" customWidth="1"/>
    <col min="4635" max="4635" width="13.28515625" bestFit="1" customWidth="1"/>
    <col min="4636" max="4636" width="10.42578125" bestFit="1" customWidth="1"/>
    <col min="4637" max="4637" width="13.28515625" bestFit="1" customWidth="1"/>
    <col min="4638" max="4638" width="12.140625" bestFit="1" customWidth="1"/>
    <col min="4639" max="4639" width="14.42578125" bestFit="1" customWidth="1"/>
    <col min="4640" max="4640" width="13.28515625" bestFit="1" customWidth="1"/>
    <col min="4641" max="4641" width="11.5703125" bestFit="1" customWidth="1"/>
    <col min="4642" max="4642" width="7.7109375" bestFit="1" customWidth="1"/>
    <col min="4643" max="4644" width="14.42578125" bestFit="1" customWidth="1"/>
    <col min="4645" max="4645" width="11.5703125" bestFit="1" customWidth="1"/>
    <col min="4646" max="4646" width="7.7109375" bestFit="1" customWidth="1"/>
    <col min="4647" max="4647" width="13.5703125" customWidth="1"/>
    <col min="4648" max="4648" width="15.28515625" customWidth="1"/>
    <col min="4649" max="4649" width="14.5703125" customWidth="1"/>
    <col min="4650" max="4650" width="13.28515625" bestFit="1" customWidth="1"/>
    <col min="4651" max="4651" width="7.7109375" bestFit="1" customWidth="1"/>
    <col min="4652" max="4652" width="12.7109375" bestFit="1" customWidth="1"/>
    <col min="4653" max="4653" width="11.7109375" bestFit="1" customWidth="1"/>
    <col min="4654" max="4654" width="11.5703125" bestFit="1" customWidth="1"/>
    <col min="4655" max="4655" width="5.28515625" bestFit="1" customWidth="1"/>
    <col min="4656" max="4656" width="13.28515625" bestFit="1" customWidth="1"/>
    <col min="4657" max="4657" width="13.5703125" bestFit="1" customWidth="1"/>
    <col min="4658" max="4658" width="10.5703125" bestFit="1" customWidth="1"/>
    <col min="4659" max="4659" width="13.28515625" bestFit="1" customWidth="1"/>
    <col min="4660" max="4660" width="11.5703125" bestFit="1" customWidth="1"/>
    <col min="4661" max="4661" width="10.5703125" bestFit="1" customWidth="1"/>
    <col min="4662" max="4662" width="16.140625" bestFit="1" customWidth="1"/>
    <col min="4663" max="4664" width="11.28515625" bestFit="1" customWidth="1"/>
    <col min="4665" max="4665" width="13.28515625" bestFit="1" customWidth="1"/>
    <col min="4666" max="4666" width="7.7109375" bestFit="1" customWidth="1"/>
    <col min="4667" max="4670" width="9.140625" hidden="1" customWidth="1"/>
    <col min="4671" max="4671" width="10.42578125" bestFit="1" customWidth="1"/>
    <col min="4672" max="4672" width="10.5703125" bestFit="1" customWidth="1"/>
    <col min="4673" max="4673" width="10.42578125" bestFit="1" customWidth="1"/>
    <col min="4674" max="4674" width="10.5703125" bestFit="1" customWidth="1"/>
    <col min="4675" max="4675" width="9.5703125" bestFit="1" customWidth="1"/>
    <col min="4676" max="4676" width="11.5703125" bestFit="1" customWidth="1"/>
    <col min="4677" max="4677" width="10.42578125" bestFit="1" customWidth="1"/>
    <col min="4678" max="4678" width="10.85546875" customWidth="1"/>
    <col min="4679" max="4680" width="9.85546875" bestFit="1" customWidth="1"/>
    <col min="4681" max="4681" width="13.5703125" bestFit="1" customWidth="1"/>
    <col min="4682" max="4682" width="7.7109375" bestFit="1" customWidth="1"/>
    <col min="4683" max="4683" width="13.28515625" bestFit="1" customWidth="1"/>
    <col min="4684" max="4684" width="11.5703125" bestFit="1" customWidth="1"/>
    <col min="4685" max="4685" width="10.42578125" bestFit="1" customWidth="1"/>
    <col min="4686" max="4686" width="7.7109375" bestFit="1" customWidth="1"/>
    <col min="4687" max="4687" width="11.5703125" bestFit="1" customWidth="1"/>
    <col min="4688" max="4688" width="10.85546875" bestFit="1" customWidth="1"/>
    <col min="4689" max="4689" width="13.28515625" bestFit="1" customWidth="1"/>
    <col min="4690" max="4690" width="10.85546875" bestFit="1" customWidth="1"/>
    <col min="4691" max="4692" width="7.5703125" bestFit="1" customWidth="1"/>
    <col min="4693" max="4694" width="10.42578125" bestFit="1" customWidth="1"/>
    <col min="4695" max="4695" width="11.5703125" bestFit="1" customWidth="1"/>
    <col min="4696" max="4696" width="5.28515625" bestFit="1" customWidth="1"/>
    <col min="4697" max="4697" width="10.28515625" bestFit="1" customWidth="1"/>
    <col min="4698" max="4698" width="10.42578125" bestFit="1" customWidth="1"/>
    <col min="4699" max="4699" width="11.5703125" bestFit="1" customWidth="1"/>
    <col min="4700" max="4700" width="5.28515625" bestFit="1" customWidth="1"/>
    <col min="4701" max="4703" width="11.5703125" bestFit="1" customWidth="1"/>
    <col min="4704" max="4704" width="5.28515625" bestFit="1" customWidth="1"/>
    <col min="4705" max="4706" width="10.42578125" bestFit="1" customWidth="1"/>
    <col min="4707" max="4707" width="11.5703125" bestFit="1" customWidth="1"/>
    <col min="4708" max="4708" width="5.28515625" bestFit="1" customWidth="1"/>
    <col min="4709" max="4709" width="14.28515625" bestFit="1" customWidth="1"/>
    <col min="4710" max="4710" width="13" bestFit="1" customWidth="1"/>
    <col min="4711" max="4711" width="11.5703125" bestFit="1" customWidth="1"/>
    <col min="4712" max="4712" width="8.85546875" bestFit="1" customWidth="1"/>
    <col min="4713" max="4713" width="14.42578125" bestFit="1" customWidth="1"/>
    <col min="4714" max="4714" width="10.42578125" bestFit="1" customWidth="1"/>
    <col min="4715" max="4715" width="12.28515625" bestFit="1" customWidth="1"/>
    <col min="4716" max="4716" width="13.85546875" bestFit="1" customWidth="1"/>
    <col min="4717" max="4717" width="11.28515625" customWidth="1"/>
    <col min="4718" max="4718" width="11.5703125" customWidth="1"/>
    <col min="4719" max="4719" width="13.42578125" bestFit="1" customWidth="1"/>
    <col min="4720" max="4720" width="10.42578125" customWidth="1"/>
    <col min="4721" max="4721" width="13.85546875" bestFit="1" customWidth="1"/>
    <col min="4722" max="4722" width="15.42578125" bestFit="1" customWidth="1"/>
    <col min="4723" max="4723" width="12.28515625" bestFit="1" customWidth="1"/>
    <col min="4724" max="4724" width="12.7109375" customWidth="1"/>
    <col min="4725" max="4725" width="10.7109375" bestFit="1" customWidth="1"/>
    <col min="4726" max="4726" width="9.85546875" customWidth="1"/>
    <col min="4727" max="4728" width="10.140625" bestFit="1" customWidth="1"/>
    <col min="4729" max="4729" width="7.5703125" bestFit="1" customWidth="1"/>
    <col min="4730" max="4730" width="9.42578125" bestFit="1" customWidth="1"/>
    <col min="4731" max="4731" width="14.5703125" bestFit="1" customWidth="1"/>
    <col min="4732" max="4732" width="14.85546875" customWidth="1"/>
    <col min="4733" max="4733" width="15.140625" bestFit="1" customWidth="1"/>
    <col min="4734" max="4734" width="12.140625" bestFit="1" customWidth="1"/>
    <col min="4735" max="4735" width="14.85546875" bestFit="1" customWidth="1"/>
    <col min="4736" max="4736" width="12.28515625" bestFit="1" customWidth="1"/>
    <col min="4737" max="4745" width="9.140625" hidden="1" customWidth="1"/>
    <col min="4746" max="4746" width="5.28515625" bestFit="1" customWidth="1"/>
    <col min="4747" max="4752" width="11.5703125" bestFit="1" customWidth="1"/>
    <col min="4753" max="4753" width="11.28515625" bestFit="1" customWidth="1"/>
    <col min="4754" max="4754" width="10.140625" bestFit="1" customWidth="1"/>
    <col min="4755" max="4755" width="11.5703125" bestFit="1" customWidth="1"/>
    <col min="4756" max="4756" width="16.140625" customWidth="1"/>
    <col min="4757" max="4757" width="13.42578125" customWidth="1"/>
    <col min="4758" max="4758" width="10.140625" bestFit="1" customWidth="1"/>
    <col min="4759" max="4759" width="12.85546875" bestFit="1" customWidth="1"/>
    <col min="4760" max="4760" width="12.28515625" bestFit="1" customWidth="1"/>
    <col min="4761" max="4761" width="11.28515625" bestFit="1" customWidth="1"/>
    <col min="4762" max="4762" width="11.5703125" bestFit="1" customWidth="1"/>
    <col min="4763" max="4763" width="10.85546875" bestFit="1" customWidth="1"/>
    <col min="4764" max="4764" width="11.28515625" bestFit="1" customWidth="1"/>
    <col min="4765" max="4765" width="10.140625" bestFit="1" customWidth="1"/>
    <col min="4766" max="4766" width="13.28515625" bestFit="1" customWidth="1"/>
    <col min="4767" max="4768" width="12.7109375" bestFit="1" customWidth="1"/>
    <col min="4769" max="4769" width="11" bestFit="1" customWidth="1"/>
    <col min="4770" max="4770" width="11.28515625" bestFit="1" customWidth="1"/>
    <col min="4771" max="4771" width="11.5703125" bestFit="1" customWidth="1"/>
    <col min="4772" max="4772" width="12.28515625" bestFit="1" customWidth="1"/>
    <col min="4773" max="4773" width="15.140625" bestFit="1" customWidth="1"/>
    <col min="4774" max="4774" width="14.42578125" bestFit="1" customWidth="1"/>
    <col min="4775" max="4775" width="12.28515625" bestFit="1" customWidth="1"/>
    <col min="4776" max="4776" width="15.140625" bestFit="1" customWidth="1"/>
    <col min="4777" max="4777" width="14.42578125" bestFit="1" customWidth="1"/>
    <col min="4778" max="4778" width="12.28515625" bestFit="1" customWidth="1"/>
    <col min="4779" max="4779" width="14.42578125" bestFit="1" customWidth="1"/>
    <col min="4780" max="4780" width="11.28515625" bestFit="1" customWidth="1"/>
    <col min="4781" max="4781" width="12.28515625" bestFit="1" customWidth="1"/>
    <col min="4782" max="4782" width="13" bestFit="1" customWidth="1"/>
    <col min="4783" max="4783" width="15.140625" bestFit="1" customWidth="1"/>
    <col min="4784" max="4784" width="12.28515625" bestFit="1" customWidth="1"/>
    <col min="4785" max="4785" width="13.85546875" bestFit="1" customWidth="1"/>
    <col min="4786" max="4786" width="11.28515625" bestFit="1" customWidth="1"/>
    <col min="4787" max="4787" width="12.28515625" bestFit="1" customWidth="1"/>
    <col min="4788" max="4788" width="13.85546875" bestFit="1" customWidth="1"/>
    <col min="4789" max="4790" width="15.140625" bestFit="1" customWidth="1"/>
    <col min="4791" max="4791" width="12.28515625" bestFit="1" customWidth="1"/>
    <col min="4792" max="4792" width="5.7109375" bestFit="1" customWidth="1"/>
    <col min="4793" max="4793" width="8.5703125" bestFit="1" customWidth="1"/>
    <col min="4794" max="4794" width="5.5703125" bestFit="1" customWidth="1"/>
    <col min="4795" max="4795" width="14.42578125" bestFit="1" customWidth="1"/>
    <col min="4796" max="4796" width="11.28515625" bestFit="1" customWidth="1"/>
    <col min="4797" max="4798" width="12.28515625" bestFit="1" customWidth="1"/>
    <col min="4799" max="4799" width="11.28515625" bestFit="1" customWidth="1"/>
    <col min="4800" max="4800" width="13.85546875" bestFit="1" customWidth="1"/>
    <col min="4801" max="4801" width="12" bestFit="1" customWidth="1"/>
    <col min="4802" max="4802" width="13.85546875" bestFit="1" customWidth="1"/>
    <col min="4803" max="4804" width="14.42578125" customWidth="1"/>
    <col min="4805" max="4805" width="10.140625" bestFit="1" customWidth="1"/>
    <col min="4806" max="4806" width="12.28515625" bestFit="1" customWidth="1"/>
    <col min="4807" max="4807" width="7.42578125" bestFit="1" customWidth="1"/>
    <col min="4808" max="4808" width="8.5703125" bestFit="1" customWidth="1"/>
    <col min="4809" max="4809" width="11.5703125" bestFit="1" customWidth="1"/>
    <col min="4810" max="4810" width="13.28515625" bestFit="1" customWidth="1"/>
    <col min="4811" max="4811" width="13.28515625" customWidth="1"/>
    <col min="4812" max="4812" width="13.140625" customWidth="1"/>
    <col min="4813" max="4813" width="12.7109375" bestFit="1" customWidth="1"/>
    <col min="4814" max="4814" width="13.28515625" bestFit="1" customWidth="1"/>
    <col min="4815" max="4817" width="13.28515625" customWidth="1"/>
    <col min="4818" max="4818" width="12.140625" bestFit="1" customWidth="1"/>
    <col min="4819" max="4819" width="12.7109375" bestFit="1" customWidth="1"/>
    <col min="4820" max="4820" width="11" customWidth="1"/>
    <col min="4821" max="4821" width="16.7109375" customWidth="1"/>
    <col min="4822" max="4822" width="17" customWidth="1"/>
    <col min="4823" max="4823" width="10.42578125" bestFit="1" customWidth="1"/>
    <col min="4867" max="4867" width="3.85546875" customWidth="1"/>
    <col min="4868" max="4868" width="15.28515625" bestFit="1" customWidth="1"/>
    <col min="4869" max="4869" width="12.28515625" customWidth="1"/>
    <col min="4870" max="4870" width="16.28515625" bestFit="1" customWidth="1"/>
    <col min="4871" max="4871" width="6.42578125" bestFit="1" customWidth="1"/>
    <col min="4872" max="4872" width="9.28515625" bestFit="1" customWidth="1"/>
    <col min="4873" max="4873" width="7.5703125" bestFit="1" customWidth="1"/>
    <col min="4874" max="4874" width="13.28515625" bestFit="1" customWidth="1"/>
    <col min="4875" max="4875" width="9.28515625" bestFit="1" customWidth="1"/>
    <col min="4876" max="4876" width="11.5703125" bestFit="1" customWidth="1"/>
    <col min="4877" max="4877" width="13.28515625" bestFit="1" customWidth="1"/>
    <col min="4878" max="4878" width="7.140625" bestFit="1" customWidth="1"/>
    <col min="4879" max="4879" width="12" bestFit="1" customWidth="1"/>
    <col min="4880" max="4880" width="13.28515625" bestFit="1" customWidth="1"/>
    <col min="4881" max="4881" width="7" bestFit="1" customWidth="1"/>
    <col min="4882" max="4882" width="12.7109375" bestFit="1" customWidth="1"/>
    <col min="4883" max="4883" width="11.5703125" bestFit="1" customWidth="1"/>
    <col min="4884" max="4884" width="10.5703125" bestFit="1" customWidth="1"/>
    <col min="4885" max="4886" width="15.7109375" bestFit="1" customWidth="1"/>
    <col min="4887" max="4887" width="11.5703125" bestFit="1" customWidth="1"/>
    <col min="4888" max="4888" width="7.7109375" bestFit="1" customWidth="1"/>
    <col min="4889" max="4889" width="15.140625" bestFit="1" customWidth="1"/>
    <col min="4890" max="4890" width="11.5703125" bestFit="1" customWidth="1"/>
    <col min="4891" max="4891" width="13.28515625" bestFit="1" customWidth="1"/>
    <col min="4892" max="4892" width="10.42578125" bestFit="1" customWidth="1"/>
    <col min="4893" max="4893" width="13.28515625" bestFit="1" customWidth="1"/>
    <col min="4894" max="4894" width="12.140625" bestFit="1" customWidth="1"/>
    <col min="4895" max="4895" width="14.42578125" bestFit="1" customWidth="1"/>
    <col min="4896" max="4896" width="13.28515625" bestFit="1" customWidth="1"/>
    <col min="4897" max="4897" width="11.5703125" bestFit="1" customWidth="1"/>
    <col min="4898" max="4898" width="7.7109375" bestFit="1" customWidth="1"/>
    <col min="4899" max="4900" width="14.42578125" bestFit="1" customWidth="1"/>
    <col min="4901" max="4901" width="11.5703125" bestFit="1" customWidth="1"/>
    <col min="4902" max="4902" width="7.7109375" bestFit="1" customWidth="1"/>
    <col min="4903" max="4903" width="13.5703125" customWidth="1"/>
    <col min="4904" max="4904" width="15.28515625" customWidth="1"/>
    <col min="4905" max="4905" width="14.5703125" customWidth="1"/>
    <col min="4906" max="4906" width="13.28515625" bestFit="1" customWidth="1"/>
    <col min="4907" max="4907" width="7.7109375" bestFit="1" customWidth="1"/>
    <col min="4908" max="4908" width="12.7109375" bestFit="1" customWidth="1"/>
    <col min="4909" max="4909" width="11.7109375" bestFit="1" customWidth="1"/>
    <col min="4910" max="4910" width="11.5703125" bestFit="1" customWidth="1"/>
    <col min="4911" max="4911" width="5.28515625" bestFit="1" customWidth="1"/>
    <col min="4912" max="4912" width="13.28515625" bestFit="1" customWidth="1"/>
    <col min="4913" max="4913" width="13.5703125" bestFit="1" customWidth="1"/>
    <col min="4914" max="4914" width="10.5703125" bestFit="1" customWidth="1"/>
    <col min="4915" max="4915" width="13.28515625" bestFit="1" customWidth="1"/>
    <col min="4916" max="4916" width="11.5703125" bestFit="1" customWidth="1"/>
    <col min="4917" max="4917" width="10.5703125" bestFit="1" customWidth="1"/>
    <col min="4918" max="4918" width="16.140625" bestFit="1" customWidth="1"/>
    <col min="4919" max="4920" width="11.28515625" bestFit="1" customWidth="1"/>
    <col min="4921" max="4921" width="13.28515625" bestFit="1" customWidth="1"/>
    <col min="4922" max="4922" width="7.7109375" bestFit="1" customWidth="1"/>
    <col min="4923" max="4926" width="9.140625" hidden="1" customWidth="1"/>
    <col min="4927" max="4927" width="10.42578125" bestFit="1" customWidth="1"/>
    <col min="4928" max="4928" width="10.5703125" bestFit="1" customWidth="1"/>
    <col min="4929" max="4929" width="10.42578125" bestFit="1" customWidth="1"/>
    <col min="4930" max="4930" width="10.5703125" bestFit="1" customWidth="1"/>
    <col min="4931" max="4931" width="9.5703125" bestFit="1" customWidth="1"/>
    <col min="4932" max="4932" width="11.5703125" bestFit="1" customWidth="1"/>
    <col min="4933" max="4933" width="10.42578125" bestFit="1" customWidth="1"/>
    <col min="4934" max="4934" width="10.85546875" customWidth="1"/>
    <col min="4935" max="4936" width="9.85546875" bestFit="1" customWidth="1"/>
    <col min="4937" max="4937" width="13.5703125" bestFit="1" customWidth="1"/>
    <col min="4938" max="4938" width="7.7109375" bestFit="1" customWidth="1"/>
    <col min="4939" max="4939" width="13.28515625" bestFit="1" customWidth="1"/>
    <col min="4940" max="4940" width="11.5703125" bestFit="1" customWidth="1"/>
    <col min="4941" max="4941" width="10.42578125" bestFit="1" customWidth="1"/>
    <col min="4942" max="4942" width="7.7109375" bestFit="1" customWidth="1"/>
    <col min="4943" max="4943" width="11.5703125" bestFit="1" customWidth="1"/>
    <col min="4944" max="4944" width="10.85546875" bestFit="1" customWidth="1"/>
    <col min="4945" max="4945" width="13.28515625" bestFit="1" customWidth="1"/>
    <col min="4946" max="4946" width="10.85546875" bestFit="1" customWidth="1"/>
    <col min="4947" max="4948" width="7.5703125" bestFit="1" customWidth="1"/>
    <col min="4949" max="4950" width="10.42578125" bestFit="1" customWidth="1"/>
    <col min="4951" max="4951" width="11.5703125" bestFit="1" customWidth="1"/>
    <col min="4952" max="4952" width="5.28515625" bestFit="1" customWidth="1"/>
    <col min="4953" max="4953" width="10.28515625" bestFit="1" customWidth="1"/>
    <col min="4954" max="4954" width="10.42578125" bestFit="1" customWidth="1"/>
    <col min="4955" max="4955" width="11.5703125" bestFit="1" customWidth="1"/>
    <col min="4956" max="4956" width="5.28515625" bestFit="1" customWidth="1"/>
    <col min="4957" max="4959" width="11.5703125" bestFit="1" customWidth="1"/>
    <col min="4960" max="4960" width="5.28515625" bestFit="1" customWidth="1"/>
    <col min="4961" max="4962" width="10.42578125" bestFit="1" customWidth="1"/>
    <col min="4963" max="4963" width="11.5703125" bestFit="1" customWidth="1"/>
    <col min="4964" max="4964" width="5.28515625" bestFit="1" customWidth="1"/>
    <col min="4965" max="4965" width="14.28515625" bestFit="1" customWidth="1"/>
    <col min="4966" max="4966" width="13" bestFit="1" customWidth="1"/>
    <col min="4967" max="4967" width="11.5703125" bestFit="1" customWidth="1"/>
    <col min="4968" max="4968" width="8.85546875" bestFit="1" customWidth="1"/>
    <col min="4969" max="4969" width="14.42578125" bestFit="1" customWidth="1"/>
    <col min="4970" max="4970" width="10.42578125" bestFit="1" customWidth="1"/>
    <col min="4971" max="4971" width="12.28515625" bestFit="1" customWidth="1"/>
    <col min="4972" max="4972" width="13.85546875" bestFit="1" customWidth="1"/>
    <col min="4973" max="4973" width="11.28515625" customWidth="1"/>
    <col min="4974" max="4974" width="11.5703125" customWidth="1"/>
    <col min="4975" max="4975" width="13.42578125" bestFit="1" customWidth="1"/>
    <col min="4976" max="4976" width="10.42578125" customWidth="1"/>
    <col min="4977" max="4977" width="13.85546875" bestFit="1" customWidth="1"/>
    <col min="4978" max="4978" width="15.42578125" bestFit="1" customWidth="1"/>
    <col min="4979" max="4979" width="12.28515625" bestFit="1" customWidth="1"/>
    <col min="4980" max="4980" width="12.7109375" customWidth="1"/>
    <col min="4981" max="4981" width="10.7109375" bestFit="1" customWidth="1"/>
    <col min="4982" max="4982" width="9.85546875" customWidth="1"/>
    <col min="4983" max="4984" width="10.140625" bestFit="1" customWidth="1"/>
    <col min="4985" max="4985" width="7.5703125" bestFit="1" customWidth="1"/>
    <col min="4986" max="4986" width="9.42578125" bestFit="1" customWidth="1"/>
    <col min="4987" max="4987" width="14.5703125" bestFit="1" customWidth="1"/>
    <col min="4988" max="4988" width="14.85546875" customWidth="1"/>
    <col min="4989" max="4989" width="15.140625" bestFit="1" customWidth="1"/>
    <col min="4990" max="4990" width="12.140625" bestFit="1" customWidth="1"/>
    <col min="4991" max="4991" width="14.85546875" bestFit="1" customWidth="1"/>
    <col min="4992" max="4992" width="12.28515625" bestFit="1" customWidth="1"/>
    <col min="4993" max="5001" width="9.140625" hidden="1" customWidth="1"/>
    <col min="5002" max="5002" width="5.28515625" bestFit="1" customWidth="1"/>
    <col min="5003" max="5008" width="11.5703125" bestFit="1" customWidth="1"/>
    <col min="5009" max="5009" width="11.28515625" bestFit="1" customWidth="1"/>
    <col min="5010" max="5010" width="10.140625" bestFit="1" customWidth="1"/>
    <col min="5011" max="5011" width="11.5703125" bestFit="1" customWidth="1"/>
    <col min="5012" max="5012" width="16.140625" customWidth="1"/>
    <col min="5013" max="5013" width="13.42578125" customWidth="1"/>
    <col min="5014" max="5014" width="10.140625" bestFit="1" customWidth="1"/>
    <col min="5015" max="5015" width="12.85546875" bestFit="1" customWidth="1"/>
    <col min="5016" max="5016" width="12.28515625" bestFit="1" customWidth="1"/>
    <col min="5017" max="5017" width="11.28515625" bestFit="1" customWidth="1"/>
    <col min="5018" max="5018" width="11.5703125" bestFit="1" customWidth="1"/>
    <col min="5019" max="5019" width="10.85546875" bestFit="1" customWidth="1"/>
    <col min="5020" max="5020" width="11.28515625" bestFit="1" customWidth="1"/>
    <col min="5021" max="5021" width="10.140625" bestFit="1" customWidth="1"/>
    <col min="5022" max="5022" width="13.28515625" bestFit="1" customWidth="1"/>
    <col min="5023" max="5024" width="12.7109375" bestFit="1" customWidth="1"/>
    <col min="5025" max="5025" width="11" bestFit="1" customWidth="1"/>
    <col min="5026" max="5026" width="11.28515625" bestFit="1" customWidth="1"/>
    <col min="5027" max="5027" width="11.5703125" bestFit="1" customWidth="1"/>
    <col min="5028" max="5028" width="12.28515625" bestFit="1" customWidth="1"/>
    <col min="5029" max="5029" width="15.140625" bestFit="1" customWidth="1"/>
    <col min="5030" max="5030" width="14.42578125" bestFit="1" customWidth="1"/>
    <col min="5031" max="5031" width="12.28515625" bestFit="1" customWidth="1"/>
    <col min="5032" max="5032" width="15.140625" bestFit="1" customWidth="1"/>
    <col min="5033" max="5033" width="14.42578125" bestFit="1" customWidth="1"/>
    <col min="5034" max="5034" width="12.28515625" bestFit="1" customWidth="1"/>
    <col min="5035" max="5035" width="14.42578125" bestFit="1" customWidth="1"/>
    <col min="5036" max="5036" width="11.28515625" bestFit="1" customWidth="1"/>
    <col min="5037" max="5037" width="12.28515625" bestFit="1" customWidth="1"/>
    <col min="5038" max="5038" width="13" bestFit="1" customWidth="1"/>
    <col min="5039" max="5039" width="15.140625" bestFit="1" customWidth="1"/>
    <col min="5040" max="5040" width="12.28515625" bestFit="1" customWidth="1"/>
    <col min="5041" max="5041" width="13.85546875" bestFit="1" customWidth="1"/>
    <col min="5042" max="5042" width="11.28515625" bestFit="1" customWidth="1"/>
    <col min="5043" max="5043" width="12.28515625" bestFit="1" customWidth="1"/>
    <col min="5044" max="5044" width="13.85546875" bestFit="1" customWidth="1"/>
    <col min="5045" max="5046" width="15.140625" bestFit="1" customWidth="1"/>
    <col min="5047" max="5047" width="12.28515625" bestFit="1" customWidth="1"/>
    <col min="5048" max="5048" width="5.7109375" bestFit="1" customWidth="1"/>
    <col min="5049" max="5049" width="8.5703125" bestFit="1" customWidth="1"/>
    <col min="5050" max="5050" width="5.5703125" bestFit="1" customWidth="1"/>
    <col min="5051" max="5051" width="14.42578125" bestFit="1" customWidth="1"/>
    <col min="5052" max="5052" width="11.28515625" bestFit="1" customWidth="1"/>
    <col min="5053" max="5054" width="12.28515625" bestFit="1" customWidth="1"/>
    <col min="5055" max="5055" width="11.28515625" bestFit="1" customWidth="1"/>
    <col min="5056" max="5056" width="13.85546875" bestFit="1" customWidth="1"/>
    <col min="5057" max="5057" width="12" bestFit="1" customWidth="1"/>
    <col min="5058" max="5058" width="13.85546875" bestFit="1" customWidth="1"/>
    <col min="5059" max="5060" width="14.42578125" customWidth="1"/>
    <col min="5061" max="5061" width="10.140625" bestFit="1" customWidth="1"/>
    <col min="5062" max="5062" width="12.28515625" bestFit="1" customWidth="1"/>
    <col min="5063" max="5063" width="7.42578125" bestFit="1" customWidth="1"/>
    <col min="5064" max="5064" width="8.5703125" bestFit="1" customWidth="1"/>
    <col min="5065" max="5065" width="11.5703125" bestFit="1" customWidth="1"/>
    <col min="5066" max="5066" width="13.28515625" bestFit="1" customWidth="1"/>
    <col min="5067" max="5067" width="13.28515625" customWidth="1"/>
    <col min="5068" max="5068" width="13.140625" customWidth="1"/>
    <col min="5069" max="5069" width="12.7109375" bestFit="1" customWidth="1"/>
    <col min="5070" max="5070" width="13.28515625" bestFit="1" customWidth="1"/>
    <col min="5071" max="5073" width="13.28515625" customWidth="1"/>
    <col min="5074" max="5074" width="12.140625" bestFit="1" customWidth="1"/>
    <col min="5075" max="5075" width="12.7109375" bestFit="1" customWidth="1"/>
    <col min="5076" max="5076" width="11" customWidth="1"/>
    <col min="5077" max="5077" width="16.7109375" customWidth="1"/>
    <col min="5078" max="5078" width="17" customWidth="1"/>
    <col min="5079" max="5079" width="10.42578125" bestFit="1" customWidth="1"/>
    <col min="5123" max="5123" width="3.85546875" customWidth="1"/>
    <col min="5124" max="5124" width="15.28515625" bestFit="1" customWidth="1"/>
    <col min="5125" max="5125" width="12.28515625" customWidth="1"/>
    <col min="5126" max="5126" width="16.28515625" bestFit="1" customWidth="1"/>
    <col min="5127" max="5127" width="6.42578125" bestFit="1" customWidth="1"/>
    <col min="5128" max="5128" width="9.28515625" bestFit="1" customWidth="1"/>
    <col min="5129" max="5129" width="7.5703125" bestFit="1" customWidth="1"/>
    <col min="5130" max="5130" width="13.28515625" bestFit="1" customWidth="1"/>
    <col min="5131" max="5131" width="9.28515625" bestFit="1" customWidth="1"/>
    <col min="5132" max="5132" width="11.5703125" bestFit="1" customWidth="1"/>
    <col min="5133" max="5133" width="13.28515625" bestFit="1" customWidth="1"/>
    <col min="5134" max="5134" width="7.140625" bestFit="1" customWidth="1"/>
    <col min="5135" max="5135" width="12" bestFit="1" customWidth="1"/>
    <col min="5136" max="5136" width="13.28515625" bestFit="1" customWidth="1"/>
    <col min="5137" max="5137" width="7" bestFit="1" customWidth="1"/>
    <col min="5138" max="5138" width="12.7109375" bestFit="1" customWidth="1"/>
    <col min="5139" max="5139" width="11.5703125" bestFit="1" customWidth="1"/>
    <col min="5140" max="5140" width="10.5703125" bestFit="1" customWidth="1"/>
    <col min="5141" max="5142" width="15.7109375" bestFit="1" customWidth="1"/>
    <col min="5143" max="5143" width="11.5703125" bestFit="1" customWidth="1"/>
    <col min="5144" max="5144" width="7.7109375" bestFit="1" customWidth="1"/>
    <col min="5145" max="5145" width="15.140625" bestFit="1" customWidth="1"/>
    <col min="5146" max="5146" width="11.5703125" bestFit="1" customWidth="1"/>
    <col min="5147" max="5147" width="13.28515625" bestFit="1" customWidth="1"/>
    <col min="5148" max="5148" width="10.42578125" bestFit="1" customWidth="1"/>
    <col min="5149" max="5149" width="13.28515625" bestFit="1" customWidth="1"/>
    <col min="5150" max="5150" width="12.140625" bestFit="1" customWidth="1"/>
    <col min="5151" max="5151" width="14.42578125" bestFit="1" customWidth="1"/>
    <col min="5152" max="5152" width="13.28515625" bestFit="1" customWidth="1"/>
    <col min="5153" max="5153" width="11.5703125" bestFit="1" customWidth="1"/>
    <col min="5154" max="5154" width="7.7109375" bestFit="1" customWidth="1"/>
    <col min="5155" max="5156" width="14.42578125" bestFit="1" customWidth="1"/>
    <col min="5157" max="5157" width="11.5703125" bestFit="1" customWidth="1"/>
    <col min="5158" max="5158" width="7.7109375" bestFit="1" customWidth="1"/>
    <col min="5159" max="5159" width="13.5703125" customWidth="1"/>
    <col min="5160" max="5160" width="15.28515625" customWidth="1"/>
    <col min="5161" max="5161" width="14.5703125" customWidth="1"/>
    <col min="5162" max="5162" width="13.28515625" bestFit="1" customWidth="1"/>
    <col min="5163" max="5163" width="7.7109375" bestFit="1" customWidth="1"/>
    <col min="5164" max="5164" width="12.7109375" bestFit="1" customWidth="1"/>
    <col min="5165" max="5165" width="11.7109375" bestFit="1" customWidth="1"/>
    <col min="5166" max="5166" width="11.5703125" bestFit="1" customWidth="1"/>
    <col min="5167" max="5167" width="5.28515625" bestFit="1" customWidth="1"/>
    <col min="5168" max="5168" width="13.28515625" bestFit="1" customWidth="1"/>
    <col min="5169" max="5169" width="13.5703125" bestFit="1" customWidth="1"/>
    <col min="5170" max="5170" width="10.5703125" bestFit="1" customWidth="1"/>
    <col min="5171" max="5171" width="13.28515625" bestFit="1" customWidth="1"/>
    <col min="5172" max="5172" width="11.5703125" bestFit="1" customWidth="1"/>
    <col min="5173" max="5173" width="10.5703125" bestFit="1" customWidth="1"/>
    <col min="5174" max="5174" width="16.140625" bestFit="1" customWidth="1"/>
    <col min="5175" max="5176" width="11.28515625" bestFit="1" customWidth="1"/>
    <col min="5177" max="5177" width="13.28515625" bestFit="1" customWidth="1"/>
    <col min="5178" max="5178" width="7.7109375" bestFit="1" customWidth="1"/>
    <col min="5179" max="5182" width="9.140625" hidden="1" customWidth="1"/>
    <col min="5183" max="5183" width="10.42578125" bestFit="1" customWidth="1"/>
    <col min="5184" max="5184" width="10.5703125" bestFit="1" customWidth="1"/>
    <col min="5185" max="5185" width="10.42578125" bestFit="1" customWidth="1"/>
    <col min="5186" max="5186" width="10.5703125" bestFit="1" customWidth="1"/>
    <col min="5187" max="5187" width="9.5703125" bestFit="1" customWidth="1"/>
    <col min="5188" max="5188" width="11.5703125" bestFit="1" customWidth="1"/>
    <col min="5189" max="5189" width="10.42578125" bestFit="1" customWidth="1"/>
    <col min="5190" max="5190" width="10.85546875" customWidth="1"/>
    <col min="5191" max="5192" width="9.85546875" bestFit="1" customWidth="1"/>
    <col min="5193" max="5193" width="13.5703125" bestFit="1" customWidth="1"/>
    <col min="5194" max="5194" width="7.7109375" bestFit="1" customWidth="1"/>
    <col min="5195" max="5195" width="13.28515625" bestFit="1" customWidth="1"/>
    <col min="5196" max="5196" width="11.5703125" bestFit="1" customWidth="1"/>
    <col min="5197" max="5197" width="10.42578125" bestFit="1" customWidth="1"/>
    <col min="5198" max="5198" width="7.7109375" bestFit="1" customWidth="1"/>
    <col min="5199" max="5199" width="11.5703125" bestFit="1" customWidth="1"/>
    <col min="5200" max="5200" width="10.85546875" bestFit="1" customWidth="1"/>
    <col min="5201" max="5201" width="13.28515625" bestFit="1" customWidth="1"/>
    <col min="5202" max="5202" width="10.85546875" bestFit="1" customWidth="1"/>
    <col min="5203" max="5204" width="7.5703125" bestFit="1" customWidth="1"/>
    <col min="5205" max="5206" width="10.42578125" bestFit="1" customWidth="1"/>
    <col min="5207" max="5207" width="11.5703125" bestFit="1" customWidth="1"/>
    <col min="5208" max="5208" width="5.28515625" bestFit="1" customWidth="1"/>
    <col min="5209" max="5209" width="10.28515625" bestFit="1" customWidth="1"/>
    <col min="5210" max="5210" width="10.42578125" bestFit="1" customWidth="1"/>
    <col min="5211" max="5211" width="11.5703125" bestFit="1" customWidth="1"/>
    <col min="5212" max="5212" width="5.28515625" bestFit="1" customWidth="1"/>
    <col min="5213" max="5215" width="11.5703125" bestFit="1" customWidth="1"/>
    <col min="5216" max="5216" width="5.28515625" bestFit="1" customWidth="1"/>
    <col min="5217" max="5218" width="10.42578125" bestFit="1" customWidth="1"/>
    <col min="5219" max="5219" width="11.5703125" bestFit="1" customWidth="1"/>
    <col min="5220" max="5220" width="5.28515625" bestFit="1" customWidth="1"/>
    <col min="5221" max="5221" width="14.28515625" bestFit="1" customWidth="1"/>
    <col min="5222" max="5222" width="13" bestFit="1" customWidth="1"/>
    <col min="5223" max="5223" width="11.5703125" bestFit="1" customWidth="1"/>
    <col min="5224" max="5224" width="8.85546875" bestFit="1" customWidth="1"/>
    <col min="5225" max="5225" width="14.42578125" bestFit="1" customWidth="1"/>
    <col min="5226" max="5226" width="10.42578125" bestFit="1" customWidth="1"/>
    <col min="5227" max="5227" width="12.28515625" bestFit="1" customWidth="1"/>
    <col min="5228" max="5228" width="13.85546875" bestFit="1" customWidth="1"/>
    <col min="5229" max="5229" width="11.28515625" customWidth="1"/>
    <col min="5230" max="5230" width="11.5703125" customWidth="1"/>
    <col min="5231" max="5231" width="13.42578125" bestFit="1" customWidth="1"/>
    <col min="5232" max="5232" width="10.42578125" customWidth="1"/>
    <col min="5233" max="5233" width="13.85546875" bestFit="1" customWidth="1"/>
    <col min="5234" max="5234" width="15.42578125" bestFit="1" customWidth="1"/>
    <col min="5235" max="5235" width="12.28515625" bestFit="1" customWidth="1"/>
    <col min="5236" max="5236" width="12.7109375" customWidth="1"/>
    <col min="5237" max="5237" width="10.7109375" bestFit="1" customWidth="1"/>
    <col min="5238" max="5238" width="9.85546875" customWidth="1"/>
    <col min="5239" max="5240" width="10.140625" bestFit="1" customWidth="1"/>
    <col min="5241" max="5241" width="7.5703125" bestFit="1" customWidth="1"/>
    <col min="5242" max="5242" width="9.42578125" bestFit="1" customWidth="1"/>
    <col min="5243" max="5243" width="14.5703125" bestFit="1" customWidth="1"/>
    <col min="5244" max="5244" width="14.85546875" customWidth="1"/>
    <col min="5245" max="5245" width="15.140625" bestFit="1" customWidth="1"/>
    <col min="5246" max="5246" width="12.140625" bestFit="1" customWidth="1"/>
    <col min="5247" max="5247" width="14.85546875" bestFit="1" customWidth="1"/>
    <col min="5248" max="5248" width="12.28515625" bestFit="1" customWidth="1"/>
    <col min="5249" max="5257" width="9.140625" hidden="1" customWidth="1"/>
    <col min="5258" max="5258" width="5.28515625" bestFit="1" customWidth="1"/>
    <col min="5259" max="5264" width="11.5703125" bestFit="1" customWidth="1"/>
    <col min="5265" max="5265" width="11.28515625" bestFit="1" customWidth="1"/>
    <col min="5266" max="5266" width="10.140625" bestFit="1" customWidth="1"/>
    <col min="5267" max="5267" width="11.5703125" bestFit="1" customWidth="1"/>
    <col min="5268" max="5268" width="16.140625" customWidth="1"/>
    <col min="5269" max="5269" width="13.42578125" customWidth="1"/>
    <col min="5270" max="5270" width="10.140625" bestFit="1" customWidth="1"/>
    <col min="5271" max="5271" width="12.85546875" bestFit="1" customWidth="1"/>
    <col min="5272" max="5272" width="12.28515625" bestFit="1" customWidth="1"/>
    <col min="5273" max="5273" width="11.28515625" bestFit="1" customWidth="1"/>
    <col min="5274" max="5274" width="11.5703125" bestFit="1" customWidth="1"/>
    <col min="5275" max="5275" width="10.85546875" bestFit="1" customWidth="1"/>
    <col min="5276" max="5276" width="11.28515625" bestFit="1" customWidth="1"/>
    <col min="5277" max="5277" width="10.140625" bestFit="1" customWidth="1"/>
    <col min="5278" max="5278" width="13.28515625" bestFit="1" customWidth="1"/>
    <col min="5279" max="5280" width="12.7109375" bestFit="1" customWidth="1"/>
    <col min="5281" max="5281" width="11" bestFit="1" customWidth="1"/>
    <col min="5282" max="5282" width="11.28515625" bestFit="1" customWidth="1"/>
    <col min="5283" max="5283" width="11.5703125" bestFit="1" customWidth="1"/>
    <col min="5284" max="5284" width="12.28515625" bestFit="1" customWidth="1"/>
    <col min="5285" max="5285" width="15.140625" bestFit="1" customWidth="1"/>
    <col min="5286" max="5286" width="14.42578125" bestFit="1" customWidth="1"/>
    <col min="5287" max="5287" width="12.28515625" bestFit="1" customWidth="1"/>
    <col min="5288" max="5288" width="15.140625" bestFit="1" customWidth="1"/>
    <col min="5289" max="5289" width="14.42578125" bestFit="1" customWidth="1"/>
    <col min="5290" max="5290" width="12.28515625" bestFit="1" customWidth="1"/>
    <col min="5291" max="5291" width="14.42578125" bestFit="1" customWidth="1"/>
    <col min="5292" max="5292" width="11.28515625" bestFit="1" customWidth="1"/>
    <col min="5293" max="5293" width="12.28515625" bestFit="1" customWidth="1"/>
    <col min="5294" max="5294" width="13" bestFit="1" customWidth="1"/>
    <col min="5295" max="5295" width="15.140625" bestFit="1" customWidth="1"/>
    <col min="5296" max="5296" width="12.28515625" bestFit="1" customWidth="1"/>
    <col min="5297" max="5297" width="13.85546875" bestFit="1" customWidth="1"/>
    <col min="5298" max="5298" width="11.28515625" bestFit="1" customWidth="1"/>
    <col min="5299" max="5299" width="12.28515625" bestFit="1" customWidth="1"/>
    <col min="5300" max="5300" width="13.85546875" bestFit="1" customWidth="1"/>
    <col min="5301" max="5302" width="15.140625" bestFit="1" customWidth="1"/>
    <col min="5303" max="5303" width="12.28515625" bestFit="1" customWidth="1"/>
    <col min="5304" max="5304" width="5.7109375" bestFit="1" customWidth="1"/>
    <col min="5305" max="5305" width="8.5703125" bestFit="1" customWidth="1"/>
    <col min="5306" max="5306" width="5.5703125" bestFit="1" customWidth="1"/>
    <col min="5307" max="5307" width="14.42578125" bestFit="1" customWidth="1"/>
    <col min="5308" max="5308" width="11.28515625" bestFit="1" customWidth="1"/>
    <col min="5309" max="5310" width="12.28515625" bestFit="1" customWidth="1"/>
    <col min="5311" max="5311" width="11.28515625" bestFit="1" customWidth="1"/>
    <col min="5312" max="5312" width="13.85546875" bestFit="1" customWidth="1"/>
    <col min="5313" max="5313" width="12" bestFit="1" customWidth="1"/>
    <col min="5314" max="5314" width="13.85546875" bestFit="1" customWidth="1"/>
    <col min="5315" max="5316" width="14.42578125" customWidth="1"/>
    <col min="5317" max="5317" width="10.140625" bestFit="1" customWidth="1"/>
    <col min="5318" max="5318" width="12.28515625" bestFit="1" customWidth="1"/>
    <col min="5319" max="5319" width="7.42578125" bestFit="1" customWidth="1"/>
    <col min="5320" max="5320" width="8.5703125" bestFit="1" customWidth="1"/>
    <col min="5321" max="5321" width="11.5703125" bestFit="1" customWidth="1"/>
    <col min="5322" max="5322" width="13.28515625" bestFit="1" customWidth="1"/>
    <col min="5323" max="5323" width="13.28515625" customWidth="1"/>
    <col min="5324" max="5324" width="13.140625" customWidth="1"/>
    <col min="5325" max="5325" width="12.7109375" bestFit="1" customWidth="1"/>
    <col min="5326" max="5326" width="13.28515625" bestFit="1" customWidth="1"/>
    <col min="5327" max="5329" width="13.28515625" customWidth="1"/>
    <col min="5330" max="5330" width="12.140625" bestFit="1" customWidth="1"/>
    <col min="5331" max="5331" width="12.7109375" bestFit="1" customWidth="1"/>
    <col min="5332" max="5332" width="11" customWidth="1"/>
    <col min="5333" max="5333" width="16.7109375" customWidth="1"/>
    <col min="5334" max="5334" width="17" customWidth="1"/>
    <col min="5335" max="5335" width="10.42578125" bestFit="1" customWidth="1"/>
    <col min="5379" max="5379" width="3.85546875" customWidth="1"/>
    <col min="5380" max="5380" width="15.28515625" bestFit="1" customWidth="1"/>
    <col min="5381" max="5381" width="12.28515625" customWidth="1"/>
    <col min="5382" max="5382" width="16.28515625" bestFit="1" customWidth="1"/>
    <col min="5383" max="5383" width="6.42578125" bestFit="1" customWidth="1"/>
    <col min="5384" max="5384" width="9.28515625" bestFit="1" customWidth="1"/>
    <col min="5385" max="5385" width="7.5703125" bestFit="1" customWidth="1"/>
    <col min="5386" max="5386" width="13.28515625" bestFit="1" customWidth="1"/>
    <col min="5387" max="5387" width="9.28515625" bestFit="1" customWidth="1"/>
    <col min="5388" max="5388" width="11.5703125" bestFit="1" customWidth="1"/>
    <col min="5389" max="5389" width="13.28515625" bestFit="1" customWidth="1"/>
    <col min="5390" max="5390" width="7.140625" bestFit="1" customWidth="1"/>
    <col min="5391" max="5391" width="12" bestFit="1" customWidth="1"/>
    <col min="5392" max="5392" width="13.28515625" bestFit="1" customWidth="1"/>
    <col min="5393" max="5393" width="7" bestFit="1" customWidth="1"/>
    <col min="5394" max="5394" width="12.7109375" bestFit="1" customWidth="1"/>
    <col min="5395" max="5395" width="11.5703125" bestFit="1" customWidth="1"/>
    <col min="5396" max="5396" width="10.5703125" bestFit="1" customWidth="1"/>
    <col min="5397" max="5398" width="15.7109375" bestFit="1" customWidth="1"/>
    <col min="5399" max="5399" width="11.5703125" bestFit="1" customWidth="1"/>
    <col min="5400" max="5400" width="7.7109375" bestFit="1" customWidth="1"/>
    <col min="5401" max="5401" width="15.140625" bestFit="1" customWidth="1"/>
    <col min="5402" max="5402" width="11.5703125" bestFit="1" customWidth="1"/>
    <col min="5403" max="5403" width="13.28515625" bestFit="1" customWidth="1"/>
    <col min="5404" max="5404" width="10.42578125" bestFit="1" customWidth="1"/>
    <col min="5405" max="5405" width="13.28515625" bestFit="1" customWidth="1"/>
    <col min="5406" max="5406" width="12.140625" bestFit="1" customWidth="1"/>
    <col min="5407" max="5407" width="14.42578125" bestFit="1" customWidth="1"/>
    <col min="5408" max="5408" width="13.28515625" bestFit="1" customWidth="1"/>
    <col min="5409" max="5409" width="11.5703125" bestFit="1" customWidth="1"/>
    <col min="5410" max="5410" width="7.7109375" bestFit="1" customWidth="1"/>
    <col min="5411" max="5412" width="14.42578125" bestFit="1" customWidth="1"/>
    <col min="5413" max="5413" width="11.5703125" bestFit="1" customWidth="1"/>
    <col min="5414" max="5414" width="7.7109375" bestFit="1" customWidth="1"/>
    <col min="5415" max="5415" width="13.5703125" customWidth="1"/>
    <col min="5416" max="5416" width="15.28515625" customWidth="1"/>
    <col min="5417" max="5417" width="14.5703125" customWidth="1"/>
    <col min="5418" max="5418" width="13.28515625" bestFit="1" customWidth="1"/>
    <col min="5419" max="5419" width="7.7109375" bestFit="1" customWidth="1"/>
    <col min="5420" max="5420" width="12.7109375" bestFit="1" customWidth="1"/>
    <col min="5421" max="5421" width="11.7109375" bestFit="1" customWidth="1"/>
    <col min="5422" max="5422" width="11.5703125" bestFit="1" customWidth="1"/>
    <col min="5423" max="5423" width="5.28515625" bestFit="1" customWidth="1"/>
    <col min="5424" max="5424" width="13.28515625" bestFit="1" customWidth="1"/>
    <col min="5425" max="5425" width="13.5703125" bestFit="1" customWidth="1"/>
    <col min="5426" max="5426" width="10.5703125" bestFit="1" customWidth="1"/>
    <col min="5427" max="5427" width="13.28515625" bestFit="1" customWidth="1"/>
    <col min="5428" max="5428" width="11.5703125" bestFit="1" customWidth="1"/>
    <col min="5429" max="5429" width="10.5703125" bestFit="1" customWidth="1"/>
    <col min="5430" max="5430" width="16.140625" bestFit="1" customWidth="1"/>
    <col min="5431" max="5432" width="11.28515625" bestFit="1" customWidth="1"/>
    <col min="5433" max="5433" width="13.28515625" bestFit="1" customWidth="1"/>
    <col min="5434" max="5434" width="7.7109375" bestFit="1" customWidth="1"/>
    <col min="5435" max="5438" width="9.140625" hidden="1" customWidth="1"/>
    <col min="5439" max="5439" width="10.42578125" bestFit="1" customWidth="1"/>
    <col min="5440" max="5440" width="10.5703125" bestFit="1" customWidth="1"/>
    <col min="5441" max="5441" width="10.42578125" bestFit="1" customWidth="1"/>
    <col min="5442" max="5442" width="10.5703125" bestFit="1" customWidth="1"/>
    <col min="5443" max="5443" width="9.5703125" bestFit="1" customWidth="1"/>
    <col min="5444" max="5444" width="11.5703125" bestFit="1" customWidth="1"/>
    <col min="5445" max="5445" width="10.42578125" bestFit="1" customWidth="1"/>
    <col min="5446" max="5446" width="10.85546875" customWidth="1"/>
    <col min="5447" max="5448" width="9.85546875" bestFit="1" customWidth="1"/>
    <col min="5449" max="5449" width="13.5703125" bestFit="1" customWidth="1"/>
    <col min="5450" max="5450" width="7.7109375" bestFit="1" customWidth="1"/>
    <col min="5451" max="5451" width="13.28515625" bestFit="1" customWidth="1"/>
    <col min="5452" max="5452" width="11.5703125" bestFit="1" customWidth="1"/>
    <col min="5453" max="5453" width="10.42578125" bestFit="1" customWidth="1"/>
    <col min="5454" max="5454" width="7.7109375" bestFit="1" customWidth="1"/>
    <col min="5455" max="5455" width="11.5703125" bestFit="1" customWidth="1"/>
    <col min="5456" max="5456" width="10.85546875" bestFit="1" customWidth="1"/>
    <col min="5457" max="5457" width="13.28515625" bestFit="1" customWidth="1"/>
    <col min="5458" max="5458" width="10.85546875" bestFit="1" customWidth="1"/>
    <col min="5459" max="5460" width="7.5703125" bestFit="1" customWidth="1"/>
    <col min="5461" max="5462" width="10.42578125" bestFit="1" customWidth="1"/>
    <col min="5463" max="5463" width="11.5703125" bestFit="1" customWidth="1"/>
    <col min="5464" max="5464" width="5.28515625" bestFit="1" customWidth="1"/>
    <col min="5465" max="5465" width="10.28515625" bestFit="1" customWidth="1"/>
    <col min="5466" max="5466" width="10.42578125" bestFit="1" customWidth="1"/>
    <col min="5467" max="5467" width="11.5703125" bestFit="1" customWidth="1"/>
    <col min="5468" max="5468" width="5.28515625" bestFit="1" customWidth="1"/>
    <col min="5469" max="5471" width="11.5703125" bestFit="1" customWidth="1"/>
    <col min="5472" max="5472" width="5.28515625" bestFit="1" customWidth="1"/>
    <col min="5473" max="5474" width="10.42578125" bestFit="1" customWidth="1"/>
    <col min="5475" max="5475" width="11.5703125" bestFit="1" customWidth="1"/>
    <col min="5476" max="5476" width="5.28515625" bestFit="1" customWidth="1"/>
    <col min="5477" max="5477" width="14.28515625" bestFit="1" customWidth="1"/>
    <col min="5478" max="5478" width="13" bestFit="1" customWidth="1"/>
    <col min="5479" max="5479" width="11.5703125" bestFit="1" customWidth="1"/>
    <col min="5480" max="5480" width="8.85546875" bestFit="1" customWidth="1"/>
    <col min="5481" max="5481" width="14.42578125" bestFit="1" customWidth="1"/>
    <col min="5482" max="5482" width="10.42578125" bestFit="1" customWidth="1"/>
    <col min="5483" max="5483" width="12.28515625" bestFit="1" customWidth="1"/>
    <col min="5484" max="5484" width="13.85546875" bestFit="1" customWidth="1"/>
    <col min="5485" max="5485" width="11.28515625" customWidth="1"/>
    <col min="5486" max="5486" width="11.5703125" customWidth="1"/>
    <col min="5487" max="5487" width="13.42578125" bestFit="1" customWidth="1"/>
    <col min="5488" max="5488" width="10.42578125" customWidth="1"/>
    <col min="5489" max="5489" width="13.85546875" bestFit="1" customWidth="1"/>
    <col min="5490" max="5490" width="15.42578125" bestFit="1" customWidth="1"/>
    <col min="5491" max="5491" width="12.28515625" bestFit="1" customWidth="1"/>
    <col min="5492" max="5492" width="12.7109375" customWidth="1"/>
    <col min="5493" max="5493" width="10.7109375" bestFit="1" customWidth="1"/>
    <col min="5494" max="5494" width="9.85546875" customWidth="1"/>
    <col min="5495" max="5496" width="10.140625" bestFit="1" customWidth="1"/>
    <col min="5497" max="5497" width="7.5703125" bestFit="1" customWidth="1"/>
    <col min="5498" max="5498" width="9.42578125" bestFit="1" customWidth="1"/>
    <col min="5499" max="5499" width="14.5703125" bestFit="1" customWidth="1"/>
    <col min="5500" max="5500" width="14.85546875" customWidth="1"/>
    <col min="5501" max="5501" width="15.140625" bestFit="1" customWidth="1"/>
    <col min="5502" max="5502" width="12.140625" bestFit="1" customWidth="1"/>
    <col min="5503" max="5503" width="14.85546875" bestFit="1" customWidth="1"/>
    <col min="5504" max="5504" width="12.28515625" bestFit="1" customWidth="1"/>
    <col min="5505" max="5513" width="9.140625" hidden="1" customWidth="1"/>
    <col min="5514" max="5514" width="5.28515625" bestFit="1" customWidth="1"/>
    <col min="5515" max="5520" width="11.5703125" bestFit="1" customWidth="1"/>
    <col min="5521" max="5521" width="11.28515625" bestFit="1" customWidth="1"/>
    <col min="5522" max="5522" width="10.140625" bestFit="1" customWidth="1"/>
    <col min="5523" max="5523" width="11.5703125" bestFit="1" customWidth="1"/>
    <col min="5524" max="5524" width="16.140625" customWidth="1"/>
    <col min="5525" max="5525" width="13.42578125" customWidth="1"/>
    <col min="5526" max="5526" width="10.140625" bestFit="1" customWidth="1"/>
    <col min="5527" max="5527" width="12.85546875" bestFit="1" customWidth="1"/>
    <col min="5528" max="5528" width="12.28515625" bestFit="1" customWidth="1"/>
    <col min="5529" max="5529" width="11.28515625" bestFit="1" customWidth="1"/>
    <col min="5530" max="5530" width="11.5703125" bestFit="1" customWidth="1"/>
    <col min="5531" max="5531" width="10.85546875" bestFit="1" customWidth="1"/>
    <col min="5532" max="5532" width="11.28515625" bestFit="1" customWidth="1"/>
    <col min="5533" max="5533" width="10.140625" bestFit="1" customWidth="1"/>
    <col min="5534" max="5534" width="13.28515625" bestFit="1" customWidth="1"/>
    <col min="5535" max="5536" width="12.7109375" bestFit="1" customWidth="1"/>
    <col min="5537" max="5537" width="11" bestFit="1" customWidth="1"/>
    <col min="5538" max="5538" width="11.28515625" bestFit="1" customWidth="1"/>
    <col min="5539" max="5539" width="11.5703125" bestFit="1" customWidth="1"/>
    <col min="5540" max="5540" width="12.28515625" bestFit="1" customWidth="1"/>
    <col min="5541" max="5541" width="15.140625" bestFit="1" customWidth="1"/>
    <col min="5542" max="5542" width="14.42578125" bestFit="1" customWidth="1"/>
    <col min="5543" max="5543" width="12.28515625" bestFit="1" customWidth="1"/>
    <col min="5544" max="5544" width="15.140625" bestFit="1" customWidth="1"/>
    <col min="5545" max="5545" width="14.42578125" bestFit="1" customWidth="1"/>
    <col min="5546" max="5546" width="12.28515625" bestFit="1" customWidth="1"/>
    <col min="5547" max="5547" width="14.42578125" bestFit="1" customWidth="1"/>
    <col min="5548" max="5548" width="11.28515625" bestFit="1" customWidth="1"/>
    <col min="5549" max="5549" width="12.28515625" bestFit="1" customWidth="1"/>
    <col min="5550" max="5550" width="13" bestFit="1" customWidth="1"/>
    <col min="5551" max="5551" width="15.140625" bestFit="1" customWidth="1"/>
    <col min="5552" max="5552" width="12.28515625" bestFit="1" customWidth="1"/>
    <col min="5553" max="5553" width="13.85546875" bestFit="1" customWidth="1"/>
    <col min="5554" max="5554" width="11.28515625" bestFit="1" customWidth="1"/>
    <col min="5555" max="5555" width="12.28515625" bestFit="1" customWidth="1"/>
    <col min="5556" max="5556" width="13.85546875" bestFit="1" customWidth="1"/>
    <col min="5557" max="5558" width="15.140625" bestFit="1" customWidth="1"/>
    <col min="5559" max="5559" width="12.28515625" bestFit="1" customWidth="1"/>
    <col min="5560" max="5560" width="5.7109375" bestFit="1" customWidth="1"/>
    <col min="5561" max="5561" width="8.5703125" bestFit="1" customWidth="1"/>
    <col min="5562" max="5562" width="5.5703125" bestFit="1" customWidth="1"/>
    <col min="5563" max="5563" width="14.42578125" bestFit="1" customWidth="1"/>
    <col min="5564" max="5564" width="11.28515625" bestFit="1" customWidth="1"/>
    <col min="5565" max="5566" width="12.28515625" bestFit="1" customWidth="1"/>
    <col min="5567" max="5567" width="11.28515625" bestFit="1" customWidth="1"/>
    <col min="5568" max="5568" width="13.85546875" bestFit="1" customWidth="1"/>
    <col min="5569" max="5569" width="12" bestFit="1" customWidth="1"/>
    <col min="5570" max="5570" width="13.85546875" bestFit="1" customWidth="1"/>
    <col min="5571" max="5572" width="14.42578125" customWidth="1"/>
    <col min="5573" max="5573" width="10.140625" bestFit="1" customWidth="1"/>
    <col min="5574" max="5574" width="12.28515625" bestFit="1" customWidth="1"/>
    <col min="5575" max="5575" width="7.42578125" bestFit="1" customWidth="1"/>
    <col min="5576" max="5576" width="8.5703125" bestFit="1" customWidth="1"/>
    <col min="5577" max="5577" width="11.5703125" bestFit="1" customWidth="1"/>
    <col min="5578" max="5578" width="13.28515625" bestFit="1" customWidth="1"/>
    <col min="5579" max="5579" width="13.28515625" customWidth="1"/>
    <col min="5580" max="5580" width="13.140625" customWidth="1"/>
    <col min="5581" max="5581" width="12.7109375" bestFit="1" customWidth="1"/>
    <col min="5582" max="5582" width="13.28515625" bestFit="1" customWidth="1"/>
    <col min="5583" max="5585" width="13.28515625" customWidth="1"/>
    <col min="5586" max="5586" width="12.140625" bestFit="1" customWidth="1"/>
    <col min="5587" max="5587" width="12.7109375" bestFit="1" customWidth="1"/>
    <col min="5588" max="5588" width="11" customWidth="1"/>
    <col min="5589" max="5589" width="16.7109375" customWidth="1"/>
    <col min="5590" max="5590" width="17" customWidth="1"/>
    <col min="5591" max="5591" width="10.42578125" bestFit="1" customWidth="1"/>
    <col min="5635" max="5635" width="3.85546875" customWidth="1"/>
    <col min="5636" max="5636" width="15.28515625" bestFit="1" customWidth="1"/>
    <col min="5637" max="5637" width="12.28515625" customWidth="1"/>
    <col min="5638" max="5638" width="16.28515625" bestFit="1" customWidth="1"/>
    <col min="5639" max="5639" width="6.42578125" bestFit="1" customWidth="1"/>
    <col min="5640" max="5640" width="9.28515625" bestFit="1" customWidth="1"/>
    <col min="5641" max="5641" width="7.5703125" bestFit="1" customWidth="1"/>
    <col min="5642" max="5642" width="13.28515625" bestFit="1" customWidth="1"/>
    <col min="5643" max="5643" width="9.28515625" bestFit="1" customWidth="1"/>
    <col min="5644" max="5644" width="11.5703125" bestFit="1" customWidth="1"/>
    <col min="5645" max="5645" width="13.28515625" bestFit="1" customWidth="1"/>
    <col min="5646" max="5646" width="7.140625" bestFit="1" customWidth="1"/>
    <col min="5647" max="5647" width="12" bestFit="1" customWidth="1"/>
    <col min="5648" max="5648" width="13.28515625" bestFit="1" customWidth="1"/>
    <col min="5649" max="5649" width="7" bestFit="1" customWidth="1"/>
    <col min="5650" max="5650" width="12.7109375" bestFit="1" customWidth="1"/>
    <col min="5651" max="5651" width="11.5703125" bestFit="1" customWidth="1"/>
    <col min="5652" max="5652" width="10.5703125" bestFit="1" customWidth="1"/>
    <col min="5653" max="5654" width="15.7109375" bestFit="1" customWidth="1"/>
    <col min="5655" max="5655" width="11.5703125" bestFit="1" customWidth="1"/>
    <col min="5656" max="5656" width="7.7109375" bestFit="1" customWidth="1"/>
    <col min="5657" max="5657" width="15.140625" bestFit="1" customWidth="1"/>
    <col min="5658" max="5658" width="11.5703125" bestFit="1" customWidth="1"/>
    <col min="5659" max="5659" width="13.28515625" bestFit="1" customWidth="1"/>
    <col min="5660" max="5660" width="10.42578125" bestFit="1" customWidth="1"/>
    <col min="5661" max="5661" width="13.28515625" bestFit="1" customWidth="1"/>
    <col min="5662" max="5662" width="12.140625" bestFit="1" customWidth="1"/>
    <col min="5663" max="5663" width="14.42578125" bestFit="1" customWidth="1"/>
    <col min="5664" max="5664" width="13.28515625" bestFit="1" customWidth="1"/>
    <col min="5665" max="5665" width="11.5703125" bestFit="1" customWidth="1"/>
    <col min="5666" max="5666" width="7.7109375" bestFit="1" customWidth="1"/>
    <col min="5667" max="5668" width="14.42578125" bestFit="1" customWidth="1"/>
    <col min="5669" max="5669" width="11.5703125" bestFit="1" customWidth="1"/>
    <col min="5670" max="5670" width="7.7109375" bestFit="1" customWidth="1"/>
    <col min="5671" max="5671" width="13.5703125" customWidth="1"/>
    <col min="5672" max="5672" width="15.28515625" customWidth="1"/>
    <col min="5673" max="5673" width="14.5703125" customWidth="1"/>
    <col min="5674" max="5674" width="13.28515625" bestFit="1" customWidth="1"/>
    <col min="5675" max="5675" width="7.7109375" bestFit="1" customWidth="1"/>
    <col min="5676" max="5676" width="12.7109375" bestFit="1" customWidth="1"/>
    <col min="5677" max="5677" width="11.7109375" bestFit="1" customWidth="1"/>
    <col min="5678" max="5678" width="11.5703125" bestFit="1" customWidth="1"/>
    <col min="5679" max="5679" width="5.28515625" bestFit="1" customWidth="1"/>
    <col min="5680" max="5680" width="13.28515625" bestFit="1" customWidth="1"/>
    <col min="5681" max="5681" width="13.5703125" bestFit="1" customWidth="1"/>
    <col min="5682" max="5682" width="10.5703125" bestFit="1" customWidth="1"/>
    <col min="5683" max="5683" width="13.28515625" bestFit="1" customWidth="1"/>
    <col min="5684" max="5684" width="11.5703125" bestFit="1" customWidth="1"/>
    <col min="5685" max="5685" width="10.5703125" bestFit="1" customWidth="1"/>
    <col min="5686" max="5686" width="16.140625" bestFit="1" customWidth="1"/>
    <col min="5687" max="5688" width="11.28515625" bestFit="1" customWidth="1"/>
    <col min="5689" max="5689" width="13.28515625" bestFit="1" customWidth="1"/>
    <col min="5690" max="5690" width="7.7109375" bestFit="1" customWidth="1"/>
    <col min="5691" max="5694" width="9.140625" hidden="1" customWidth="1"/>
    <col min="5695" max="5695" width="10.42578125" bestFit="1" customWidth="1"/>
    <col min="5696" max="5696" width="10.5703125" bestFit="1" customWidth="1"/>
    <col min="5697" max="5697" width="10.42578125" bestFit="1" customWidth="1"/>
    <col min="5698" max="5698" width="10.5703125" bestFit="1" customWidth="1"/>
    <col min="5699" max="5699" width="9.5703125" bestFit="1" customWidth="1"/>
    <col min="5700" max="5700" width="11.5703125" bestFit="1" customWidth="1"/>
    <col min="5701" max="5701" width="10.42578125" bestFit="1" customWidth="1"/>
    <col min="5702" max="5702" width="10.85546875" customWidth="1"/>
    <col min="5703" max="5704" width="9.85546875" bestFit="1" customWidth="1"/>
    <col min="5705" max="5705" width="13.5703125" bestFit="1" customWidth="1"/>
    <col min="5706" max="5706" width="7.7109375" bestFit="1" customWidth="1"/>
    <col min="5707" max="5707" width="13.28515625" bestFit="1" customWidth="1"/>
    <col min="5708" max="5708" width="11.5703125" bestFit="1" customWidth="1"/>
    <col min="5709" max="5709" width="10.42578125" bestFit="1" customWidth="1"/>
    <col min="5710" max="5710" width="7.7109375" bestFit="1" customWidth="1"/>
    <col min="5711" max="5711" width="11.5703125" bestFit="1" customWidth="1"/>
    <col min="5712" max="5712" width="10.85546875" bestFit="1" customWidth="1"/>
    <col min="5713" max="5713" width="13.28515625" bestFit="1" customWidth="1"/>
    <col min="5714" max="5714" width="10.85546875" bestFit="1" customWidth="1"/>
    <col min="5715" max="5716" width="7.5703125" bestFit="1" customWidth="1"/>
    <col min="5717" max="5718" width="10.42578125" bestFit="1" customWidth="1"/>
    <col min="5719" max="5719" width="11.5703125" bestFit="1" customWidth="1"/>
    <col min="5720" max="5720" width="5.28515625" bestFit="1" customWidth="1"/>
    <col min="5721" max="5721" width="10.28515625" bestFit="1" customWidth="1"/>
    <col min="5722" max="5722" width="10.42578125" bestFit="1" customWidth="1"/>
    <col min="5723" max="5723" width="11.5703125" bestFit="1" customWidth="1"/>
    <col min="5724" max="5724" width="5.28515625" bestFit="1" customWidth="1"/>
    <col min="5725" max="5727" width="11.5703125" bestFit="1" customWidth="1"/>
    <col min="5728" max="5728" width="5.28515625" bestFit="1" customWidth="1"/>
    <col min="5729" max="5730" width="10.42578125" bestFit="1" customWidth="1"/>
    <col min="5731" max="5731" width="11.5703125" bestFit="1" customWidth="1"/>
    <col min="5732" max="5732" width="5.28515625" bestFit="1" customWidth="1"/>
    <col min="5733" max="5733" width="14.28515625" bestFit="1" customWidth="1"/>
    <col min="5734" max="5734" width="13" bestFit="1" customWidth="1"/>
    <col min="5735" max="5735" width="11.5703125" bestFit="1" customWidth="1"/>
    <col min="5736" max="5736" width="8.85546875" bestFit="1" customWidth="1"/>
    <col min="5737" max="5737" width="14.42578125" bestFit="1" customWidth="1"/>
    <col min="5738" max="5738" width="10.42578125" bestFit="1" customWidth="1"/>
    <col min="5739" max="5739" width="12.28515625" bestFit="1" customWidth="1"/>
    <col min="5740" max="5740" width="13.85546875" bestFit="1" customWidth="1"/>
    <col min="5741" max="5741" width="11.28515625" customWidth="1"/>
    <col min="5742" max="5742" width="11.5703125" customWidth="1"/>
    <col min="5743" max="5743" width="13.42578125" bestFit="1" customWidth="1"/>
    <col min="5744" max="5744" width="10.42578125" customWidth="1"/>
    <col min="5745" max="5745" width="13.85546875" bestFit="1" customWidth="1"/>
    <col min="5746" max="5746" width="15.42578125" bestFit="1" customWidth="1"/>
    <col min="5747" max="5747" width="12.28515625" bestFit="1" customWidth="1"/>
    <col min="5748" max="5748" width="12.7109375" customWidth="1"/>
    <col min="5749" max="5749" width="10.7109375" bestFit="1" customWidth="1"/>
    <col min="5750" max="5750" width="9.85546875" customWidth="1"/>
    <col min="5751" max="5752" width="10.140625" bestFit="1" customWidth="1"/>
    <col min="5753" max="5753" width="7.5703125" bestFit="1" customWidth="1"/>
    <col min="5754" max="5754" width="9.42578125" bestFit="1" customWidth="1"/>
    <col min="5755" max="5755" width="14.5703125" bestFit="1" customWidth="1"/>
    <col min="5756" max="5756" width="14.85546875" customWidth="1"/>
    <col min="5757" max="5757" width="15.140625" bestFit="1" customWidth="1"/>
    <col min="5758" max="5758" width="12.140625" bestFit="1" customWidth="1"/>
    <col min="5759" max="5759" width="14.85546875" bestFit="1" customWidth="1"/>
    <col min="5760" max="5760" width="12.28515625" bestFit="1" customWidth="1"/>
    <col min="5761" max="5769" width="9.140625" hidden="1" customWidth="1"/>
    <col min="5770" max="5770" width="5.28515625" bestFit="1" customWidth="1"/>
    <col min="5771" max="5776" width="11.5703125" bestFit="1" customWidth="1"/>
    <col min="5777" max="5777" width="11.28515625" bestFit="1" customWidth="1"/>
    <col min="5778" max="5778" width="10.140625" bestFit="1" customWidth="1"/>
    <col min="5779" max="5779" width="11.5703125" bestFit="1" customWidth="1"/>
    <col min="5780" max="5780" width="16.140625" customWidth="1"/>
    <col min="5781" max="5781" width="13.42578125" customWidth="1"/>
    <col min="5782" max="5782" width="10.140625" bestFit="1" customWidth="1"/>
    <col min="5783" max="5783" width="12.85546875" bestFit="1" customWidth="1"/>
    <col min="5784" max="5784" width="12.28515625" bestFit="1" customWidth="1"/>
    <col min="5785" max="5785" width="11.28515625" bestFit="1" customWidth="1"/>
    <col min="5786" max="5786" width="11.5703125" bestFit="1" customWidth="1"/>
    <col min="5787" max="5787" width="10.85546875" bestFit="1" customWidth="1"/>
    <col min="5788" max="5788" width="11.28515625" bestFit="1" customWidth="1"/>
    <col min="5789" max="5789" width="10.140625" bestFit="1" customWidth="1"/>
    <col min="5790" max="5790" width="13.28515625" bestFit="1" customWidth="1"/>
    <col min="5791" max="5792" width="12.7109375" bestFit="1" customWidth="1"/>
    <col min="5793" max="5793" width="11" bestFit="1" customWidth="1"/>
    <col min="5794" max="5794" width="11.28515625" bestFit="1" customWidth="1"/>
    <col min="5795" max="5795" width="11.5703125" bestFit="1" customWidth="1"/>
    <col min="5796" max="5796" width="12.28515625" bestFit="1" customWidth="1"/>
    <col min="5797" max="5797" width="15.140625" bestFit="1" customWidth="1"/>
    <col min="5798" max="5798" width="14.42578125" bestFit="1" customWidth="1"/>
    <col min="5799" max="5799" width="12.28515625" bestFit="1" customWidth="1"/>
    <col min="5800" max="5800" width="15.140625" bestFit="1" customWidth="1"/>
    <col min="5801" max="5801" width="14.42578125" bestFit="1" customWidth="1"/>
    <col min="5802" max="5802" width="12.28515625" bestFit="1" customWidth="1"/>
    <col min="5803" max="5803" width="14.42578125" bestFit="1" customWidth="1"/>
    <col min="5804" max="5804" width="11.28515625" bestFit="1" customWidth="1"/>
    <col min="5805" max="5805" width="12.28515625" bestFit="1" customWidth="1"/>
    <col min="5806" max="5806" width="13" bestFit="1" customWidth="1"/>
    <col min="5807" max="5807" width="15.140625" bestFit="1" customWidth="1"/>
    <col min="5808" max="5808" width="12.28515625" bestFit="1" customWidth="1"/>
    <col min="5809" max="5809" width="13.85546875" bestFit="1" customWidth="1"/>
    <col min="5810" max="5810" width="11.28515625" bestFit="1" customWidth="1"/>
    <col min="5811" max="5811" width="12.28515625" bestFit="1" customWidth="1"/>
    <col min="5812" max="5812" width="13.85546875" bestFit="1" customWidth="1"/>
    <col min="5813" max="5814" width="15.140625" bestFit="1" customWidth="1"/>
    <col min="5815" max="5815" width="12.28515625" bestFit="1" customWidth="1"/>
    <col min="5816" max="5816" width="5.7109375" bestFit="1" customWidth="1"/>
    <col min="5817" max="5817" width="8.5703125" bestFit="1" customWidth="1"/>
    <col min="5818" max="5818" width="5.5703125" bestFit="1" customWidth="1"/>
    <col min="5819" max="5819" width="14.42578125" bestFit="1" customWidth="1"/>
    <col min="5820" max="5820" width="11.28515625" bestFit="1" customWidth="1"/>
    <col min="5821" max="5822" width="12.28515625" bestFit="1" customWidth="1"/>
    <col min="5823" max="5823" width="11.28515625" bestFit="1" customWidth="1"/>
    <col min="5824" max="5824" width="13.85546875" bestFit="1" customWidth="1"/>
    <col min="5825" max="5825" width="12" bestFit="1" customWidth="1"/>
    <col min="5826" max="5826" width="13.85546875" bestFit="1" customWidth="1"/>
    <col min="5827" max="5828" width="14.42578125" customWidth="1"/>
    <col min="5829" max="5829" width="10.140625" bestFit="1" customWidth="1"/>
    <col min="5830" max="5830" width="12.28515625" bestFit="1" customWidth="1"/>
    <col min="5831" max="5831" width="7.42578125" bestFit="1" customWidth="1"/>
    <col min="5832" max="5832" width="8.5703125" bestFit="1" customWidth="1"/>
    <col min="5833" max="5833" width="11.5703125" bestFit="1" customWidth="1"/>
    <col min="5834" max="5834" width="13.28515625" bestFit="1" customWidth="1"/>
    <col min="5835" max="5835" width="13.28515625" customWidth="1"/>
    <col min="5836" max="5836" width="13.140625" customWidth="1"/>
    <col min="5837" max="5837" width="12.7109375" bestFit="1" customWidth="1"/>
    <col min="5838" max="5838" width="13.28515625" bestFit="1" customWidth="1"/>
    <col min="5839" max="5841" width="13.28515625" customWidth="1"/>
    <col min="5842" max="5842" width="12.140625" bestFit="1" customWidth="1"/>
    <col min="5843" max="5843" width="12.7109375" bestFit="1" customWidth="1"/>
    <col min="5844" max="5844" width="11" customWidth="1"/>
    <col min="5845" max="5845" width="16.7109375" customWidth="1"/>
    <col min="5846" max="5846" width="17" customWidth="1"/>
    <col min="5847" max="5847" width="10.42578125" bestFit="1" customWidth="1"/>
    <col min="5891" max="5891" width="3.85546875" customWidth="1"/>
    <col min="5892" max="5892" width="15.28515625" bestFit="1" customWidth="1"/>
    <col min="5893" max="5893" width="12.28515625" customWidth="1"/>
    <col min="5894" max="5894" width="16.28515625" bestFit="1" customWidth="1"/>
    <col min="5895" max="5895" width="6.42578125" bestFit="1" customWidth="1"/>
    <col min="5896" max="5896" width="9.28515625" bestFit="1" customWidth="1"/>
    <col min="5897" max="5897" width="7.5703125" bestFit="1" customWidth="1"/>
    <col min="5898" max="5898" width="13.28515625" bestFit="1" customWidth="1"/>
    <col min="5899" max="5899" width="9.28515625" bestFit="1" customWidth="1"/>
    <col min="5900" max="5900" width="11.5703125" bestFit="1" customWidth="1"/>
    <col min="5901" max="5901" width="13.28515625" bestFit="1" customWidth="1"/>
    <col min="5902" max="5902" width="7.140625" bestFit="1" customWidth="1"/>
    <col min="5903" max="5903" width="12" bestFit="1" customWidth="1"/>
    <col min="5904" max="5904" width="13.28515625" bestFit="1" customWidth="1"/>
    <col min="5905" max="5905" width="7" bestFit="1" customWidth="1"/>
    <col min="5906" max="5906" width="12.7109375" bestFit="1" customWidth="1"/>
    <col min="5907" max="5907" width="11.5703125" bestFit="1" customWidth="1"/>
    <col min="5908" max="5908" width="10.5703125" bestFit="1" customWidth="1"/>
    <col min="5909" max="5910" width="15.7109375" bestFit="1" customWidth="1"/>
    <col min="5911" max="5911" width="11.5703125" bestFit="1" customWidth="1"/>
    <col min="5912" max="5912" width="7.7109375" bestFit="1" customWidth="1"/>
    <col min="5913" max="5913" width="15.140625" bestFit="1" customWidth="1"/>
    <col min="5914" max="5914" width="11.5703125" bestFit="1" customWidth="1"/>
    <col min="5915" max="5915" width="13.28515625" bestFit="1" customWidth="1"/>
    <col min="5916" max="5916" width="10.42578125" bestFit="1" customWidth="1"/>
    <col min="5917" max="5917" width="13.28515625" bestFit="1" customWidth="1"/>
    <col min="5918" max="5918" width="12.140625" bestFit="1" customWidth="1"/>
    <col min="5919" max="5919" width="14.42578125" bestFit="1" customWidth="1"/>
    <col min="5920" max="5920" width="13.28515625" bestFit="1" customWidth="1"/>
    <col min="5921" max="5921" width="11.5703125" bestFit="1" customWidth="1"/>
    <col min="5922" max="5922" width="7.7109375" bestFit="1" customWidth="1"/>
    <col min="5923" max="5924" width="14.42578125" bestFit="1" customWidth="1"/>
    <col min="5925" max="5925" width="11.5703125" bestFit="1" customWidth="1"/>
    <col min="5926" max="5926" width="7.7109375" bestFit="1" customWidth="1"/>
    <col min="5927" max="5927" width="13.5703125" customWidth="1"/>
    <col min="5928" max="5928" width="15.28515625" customWidth="1"/>
    <col min="5929" max="5929" width="14.5703125" customWidth="1"/>
    <col min="5930" max="5930" width="13.28515625" bestFit="1" customWidth="1"/>
    <col min="5931" max="5931" width="7.7109375" bestFit="1" customWidth="1"/>
    <col min="5932" max="5932" width="12.7109375" bestFit="1" customWidth="1"/>
    <col min="5933" max="5933" width="11.7109375" bestFit="1" customWidth="1"/>
    <col min="5934" max="5934" width="11.5703125" bestFit="1" customWidth="1"/>
    <col min="5935" max="5935" width="5.28515625" bestFit="1" customWidth="1"/>
    <col min="5936" max="5936" width="13.28515625" bestFit="1" customWidth="1"/>
    <col min="5937" max="5937" width="13.5703125" bestFit="1" customWidth="1"/>
    <col min="5938" max="5938" width="10.5703125" bestFit="1" customWidth="1"/>
    <col min="5939" max="5939" width="13.28515625" bestFit="1" customWidth="1"/>
    <col min="5940" max="5940" width="11.5703125" bestFit="1" customWidth="1"/>
    <col min="5941" max="5941" width="10.5703125" bestFit="1" customWidth="1"/>
    <col min="5942" max="5942" width="16.140625" bestFit="1" customWidth="1"/>
    <col min="5943" max="5944" width="11.28515625" bestFit="1" customWidth="1"/>
    <col min="5945" max="5945" width="13.28515625" bestFit="1" customWidth="1"/>
    <col min="5946" max="5946" width="7.7109375" bestFit="1" customWidth="1"/>
    <col min="5947" max="5950" width="9.140625" hidden="1" customWidth="1"/>
    <col min="5951" max="5951" width="10.42578125" bestFit="1" customWidth="1"/>
    <col min="5952" max="5952" width="10.5703125" bestFit="1" customWidth="1"/>
    <col min="5953" max="5953" width="10.42578125" bestFit="1" customWidth="1"/>
    <col min="5954" max="5954" width="10.5703125" bestFit="1" customWidth="1"/>
    <col min="5955" max="5955" width="9.5703125" bestFit="1" customWidth="1"/>
    <col min="5956" max="5956" width="11.5703125" bestFit="1" customWidth="1"/>
    <col min="5957" max="5957" width="10.42578125" bestFit="1" customWidth="1"/>
    <col min="5958" max="5958" width="10.85546875" customWidth="1"/>
    <col min="5959" max="5960" width="9.85546875" bestFit="1" customWidth="1"/>
    <col min="5961" max="5961" width="13.5703125" bestFit="1" customWidth="1"/>
    <col min="5962" max="5962" width="7.7109375" bestFit="1" customWidth="1"/>
    <col min="5963" max="5963" width="13.28515625" bestFit="1" customWidth="1"/>
    <col min="5964" max="5964" width="11.5703125" bestFit="1" customWidth="1"/>
    <col min="5965" max="5965" width="10.42578125" bestFit="1" customWidth="1"/>
    <col min="5966" max="5966" width="7.7109375" bestFit="1" customWidth="1"/>
    <col min="5967" max="5967" width="11.5703125" bestFit="1" customWidth="1"/>
    <col min="5968" max="5968" width="10.85546875" bestFit="1" customWidth="1"/>
    <col min="5969" max="5969" width="13.28515625" bestFit="1" customWidth="1"/>
    <col min="5970" max="5970" width="10.85546875" bestFit="1" customWidth="1"/>
    <col min="5971" max="5972" width="7.5703125" bestFit="1" customWidth="1"/>
    <col min="5973" max="5974" width="10.42578125" bestFit="1" customWidth="1"/>
    <col min="5975" max="5975" width="11.5703125" bestFit="1" customWidth="1"/>
    <col min="5976" max="5976" width="5.28515625" bestFit="1" customWidth="1"/>
    <col min="5977" max="5977" width="10.28515625" bestFit="1" customWidth="1"/>
    <col min="5978" max="5978" width="10.42578125" bestFit="1" customWidth="1"/>
    <col min="5979" max="5979" width="11.5703125" bestFit="1" customWidth="1"/>
    <col min="5980" max="5980" width="5.28515625" bestFit="1" customWidth="1"/>
    <col min="5981" max="5983" width="11.5703125" bestFit="1" customWidth="1"/>
    <col min="5984" max="5984" width="5.28515625" bestFit="1" customWidth="1"/>
    <col min="5985" max="5986" width="10.42578125" bestFit="1" customWidth="1"/>
    <col min="5987" max="5987" width="11.5703125" bestFit="1" customWidth="1"/>
    <col min="5988" max="5988" width="5.28515625" bestFit="1" customWidth="1"/>
    <col min="5989" max="5989" width="14.28515625" bestFit="1" customWidth="1"/>
    <col min="5990" max="5990" width="13" bestFit="1" customWidth="1"/>
    <col min="5991" max="5991" width="11.5703125" bestFit="1" customWidth="1"/>
    <col min="5992" max="5992" width="8.85546875" bestFit="1" customWidth="1"/>
    <col min="5993" max="5993" width="14.42578125" bestFit="1" customWidth="1"/>
    <col min="5994" max="5994" width="10.42578125" bestFit="1" customWidth="1"/>
    <col min="5995" max="5995" width="12.28515625" bestFit="1" customWidth="1"/>
    <col min="5996" max="5996" width="13.85546875" bestFit="1" customWidth="1"/>
    <col min="5997" max="5997" width="11.28515625" customWidth="1"/>
    <col min="5998" max="5998" width="11.5703125" customWidth="1"/>
    <col min="5999" max="5999" width="13.42578125" bestFit="1" customWidth="1"/>
    <col min="6000" max="6000" width="10.42578125" customWidth="1"/>
    <col min="6001" max="6001" width="13.85546875" bestFit="1" customWidth="1"/>
    <col min="6002" max="6002" width="15.42578125" bestFit="1" customWidth="1"/>
    <col min="6003" max="6003" width="12.28515625" bestFit="1" customWidth="1"/>
    <col min="6004" max="6004" width="12.7109375" customWidth="1"/>
    <col min="6005" max="6005" width="10.7109375" bestFit="1" customWidth="1"/>
    <col min="6006" max="6006" width="9.85546875" customWidth="1"/>
    <col min="6007" max="6008" width="10.140625" bestFit="1" customWidth="1"/>
    <col min="6009" max="6009" width="7.5703125" bestFit="1" customWidth="1"/>
    <col min="6010" max="6010" width="9.42578125" bestFit="1" customWidth="1"/>
    <col min="6011" max="6011" width="14.5703125" bestFit="1" customWidth="1"/>
    <col min="6012" max="6012" width="14.85546875" customWidth="1"/>
    <col min="6013" max="6013" width="15.140625" bestFit="1" customWidth="1"/>
    <col min="6014" max="6014" width="12.140625" bestFit="1" customWidth="1"/>
    <col min="6015" max="6015" width="14.85546875" bestFit="1" customWidth="1"/>
    <col min="6016" max="6016" width="12.28515625" bestFit="1" customWidth="1"/>
    <col min="6017" max="6025" width="9.140625" hidden="1" customWidth="1"/>
    <col min="6026" max="6026" width="5.28515625" bestFit="1" customWidth="1"/>
    <col min="6027" max="6032" width="11.5703125" bestFit="1" customWidth="1"/>
    <col min="6033" max="6033" width="11.28515625" bestFit="1" customWidth="1"/>
    <col min="6034" max="6034" width="10.140625" bestFit="1" customWidth="1"/>
    <col min="6035" max="6035" width="11.5703125" bestFit="1" customWidth="1"/>
    <col min="6036" max="6036" width="16.140625" customWidth="1"/>
    <col min="6037" max="6037" width="13.42578125" customWidth="1"/>
    <col min="6038" max="6038" width="10.140625" bestFit="1" customWidth="1"/>
    <col min="6039" max="6039" width="12.85546875" bestFit="1" customWidth="1"/>
    <col min="6040" max="6040" width="12.28515625" bestFit="1" customWidth="1"/>
    <col min="6041" max="6041" width="11.28515625" bestFit="1" customWidth="1"/>
    <col min="6042" max="6042" width="11.5703125" bestFit="1" customWidth="1"/>
    <col min="6043" max="6043" width="10.85546875" bestFit="1" customWidth="1"/>
    <col min="6044" max="6044" width="11.28515625" bestFit="1" customWidth="1"/>
    <col min="6045" max="6045" width="10.140625" bestFit="1" customWidth="1"/>
    <col min="6046" max="6046" width="13.28515625" bestFit="1" customWidth="1"/>
    <col min="6047" max="6048" width="12.7109375" bestFit="1" customWidth="1"/>
    <col min="6049" max="6049" width="11" bestFit="1" customWidth="1"/>
    <col min="6050" max="6050" width="11.28515625" bestFit="1" customWidth="1"/>
    <col min="6051" max="6051" width="11.5703125" bestFit="1" customWidth="1"/>
    <col min="6052" max="6052" width="12.28515625" bestFit="1" customWidth="1"/>
    <col min="6053" max="6053" width="15.140625" bestFit="1" customWidth="1"/>
    <col min="6054" max="6054" width="14.42578125" bestFit="1" customWidth="1"/>
    <col min="6055" max="6055" width="12.28515625" bestFit="1" customWidth="1"/>
    <col min="6056" max="6056" width="15.140625" bestFit="1" customWidth="1"/>
    <col min="6057" max="6057" width="14.42578125" bestFit="1" customWidth="1"/>
    <col min="6058" max="6058" width="12.28515625" bestFit="1" customWidth="1"/>
    <col min="6059" max="6059" width="14.42578125" bestFit="1" customWidth="1"/>
    <col min="6060" max="6060" width="11.28515625" bestFit="1" customWidth="1"/>
    <col min="6061" max="6061" width="12.28515625" bestFit="1" customWidth="1"/>
    <col min="6062" max="6062" width="13" bestFit="1" customWidth="1"/>
    <col min="6063" max="6063" width="15.140625" bestFit="1" customWidth="1"/>
    <col min="6064" max="6064" width="12.28515625" bestFit="1" customWidth="1"/>
    <col min="6065" max="6065" width="13.85546875" bestFit="1" customWidth="1"/>
    <col min="6066" max="6066" width="11.28515625" bestFit="1" customWidth="1"/>
    <col min="6067" max="6067" width="12.28515625" bestFit="1" customWidth="1"/>
    <col min="6068" max="6068" width="13.85546875" bestFit="1" customWidth="1"/>
    <col min="6069" max="6070" width="15.140625" bestFit="1" customWidth="1"/>
    <col min="6071" max="6071" width="12.28515625" bestFit="1" customWidth="1"/>
    <col min="6072" max="6072" width="5.7109375" bestFit="1" customWidth="1"/>
    <col min="6073" max="6073" width="8.5703125" bestFit="1" customWidth="1"/>
    <col min="6074" max="6074" width="5.5703125" bestFit="1" customWidth="1"/>
    <col min="6075" max="6075" width="14.42578125" bestFit="1" customWidth="1"/>
    <col min="6076" max="6076" width="11.28515625" bestFit="1" customWidth="1"/>
    <col min="6077" max="6078" width="12.28515625" bestFit="1" customWidth="1"/>
    <col min="6079" max="6079" width="11.28515625" bestFit="1" customWidth="1"/>
    <col min="6080" max="6080" width="13.85546875" bestFit="1" customWidth="1"/>
    <col min="6081" max="6081" width="12" bestFit="1" customWidth="1"/>
    <col min="6082" max="6082" width="13.85546875" bestFit="1" customWidth="1"/>
    <col min="6083" max="6084" width="14.42578125" customWidth="1"/>
    <col min="6085" max="6085" width="10.140625" bestFit="1" customWidth="1"/>
    <col min="6086" max="6086" width="12.28515625" bestFit="1" customWidth="1"/>
    <col min="6087" max="6087" width="7.42578125" bestFit="1" customWidth="1"/>
    <col min="6088" max="6088" width="8.5703125" bestFit="1" customWidth="1"/>
    <col min="6089" max="6089" width="11.5703125" bestFit="1" customWidth="1"/>
    <col min="6090" max="6090" width="13.28515625" bestFit="1" customWidth="1"/>
    <col min="6091" max="6091" width="13.28515625" customWidth="1"/>
    <col min="6092" max="6092" width="13.140625" customWidth="1"/>
    <col min="6093" max="6093" width="12.7109375" bestFit="1" customWidth="1"/>
    <col min="6094" max="6094" width="13.28515625" bestFit="1" customWidth="1"/>
    <col min="6095" max="6097" width="13.28515625" customWidth="1"/>
    <col min="6098" max="6098" width="12.140625" bestFit="1" customWidth="1"/>
    <col min="6099" max="6099" width="12.7109375" bestFit="1" customWidth="1"/>
    <col min="6100" max="6100" width="11" customWidth="1"/>
    <col min="6101" max="6101" width="16.7109375" customWidth="1"/>
    <col min="6102" max="6102" width="17" customWidth="1"/>
    <col min="6103" max="6103" width="10.42578125" bestFit="1" customWidth="1"/>
    <col min="6147" max="6147" width="3.85546875" customWidth="1"/>
    <col min="6148" max="6148" width="15.28515625" bestFit="1" customWidth="1"/>
    <col min="6149" max="6149" width="12.28515625" customWidth="1"/>
    <col min="6150" max="6150" width="16.28515625" bestFit="1" customWidth="1"/>
    <col min="6151" max="6151" width="6.42578125" bestFit="1" customWidth="1"/>
    <col min="6152" max="6152" width="9.28515625" bestFit="1" customWidth="1"/>
    <col min="6153" max="6153" width="7.5703125" bestFit="1" customWidth="1"/>
    <col min="6154" max="6154" width="13.28515625" bestFit="1" customWidth="1"/>
    <col min="6155" max="6155" width="9.28515625" bestFit="1" customWidth="1"/>
    <col min="6156" max="6156" width="11.5703125" bestFit="1" customWidth="1"/>
    <col min="6157" max="6157" width="13.28515625" bestFit="1" customWidth="1"/>
    <col min="6158" max="6158" width="7.140625" bestFit="1" customWidth="1"/>
    <col min="6159" max="6159" width="12" bestFit="1" customWidth="1"/>
    <col min="6160" max="6160" width="13.28515625" bestFit="1" customWidth="1"/>
    <col min="6161" max="6161" width="7" bestFit="1" customWidth="1"/>
    <col min="6162" max="6162" width="12.7109375" bestFit="1" customWidth="1"/>
    <col min="6163" max="6163" width="11.5703125" bestFit="1" customWidth="1"/>
    <col min="6164" max="6164" width="10.5703125" bestFit="1" customWidth="1"/>
    <col min="6165" max="6166" width="15.7109375" bestFit="1" customWidth="1"/>
    <col min="6167" max="6167" width="11.5703125" bestFit="1" customWidth="1"/>
    <col min="6168" max="6168" width="7.7109375" bestFit="1" customWidth="1"/>
    <col min="6169" max="6169" width="15.140625" bestFit="1" customWidth="1"/>
    <col min="6170" max="6170" width="11.5703125" bestFit="1" customWidth="1"/>
    <col min="6171" max="6171" width="13.28515625" bestFit="1" customWidth="1"/>
    <col min="6172" max="6172" width="10.42578125" bestFit="1" customWidth="1"/>
    <col min="6173" max="6173" width="13.28515625" bestFit="1" customWidth="1"/>
    <col min="6174" max="6174" width="12.140625" bestFit="1" customWidth="1"/>
    <col min="6175" max="6175" width="14.42578125" bestFit="1" customWidth="1"/>
    <col min="6176" max="6176" width="13.28515625" bestFit="1" customWidth="1"/>
    <col min="6177" max="6177" width="11.5703125" bestFit="1" customWidth="1"/>
    <col min="6178" max="6178" width="7.7109375" bestFit="1" customWidth="1"/>
    <col min="6179" max="6180" width="14.42578125" bestFit="1" customWidth="1"/>
    <col min="6181" max="6181" width="11.5703125" bestFit="1" customWidth="1"/>
    <col min="6182" max="6182" width="7.7109375" bestFit="1" customWidth="1"/>
    <col min="6183" max="6183" width="13.5703125" customWidth="1"/>
    <col min="6184" max="6184" width="15.28515625" customWidth="1"/>
    <col min="6185" max="6185" width="14.5703125" customWidth="1"/>
    <col min="6186" max="6186" width="13.28515625" bestFit="1" customWidth="1"/>
    <col min="6187" max="6187" width="7.7109375" bestFit="1" customWidth="1"/>
    <col min="6188" max="6188" width="12.7109375" bestFit="1" customWidth="1"/>
    <col min="6189" max="6189" width="11.7109375" bestFit="1" customWidth="1"/>
    <col min="6190" max="6190" width="11.5703125" bestFit="1" customWidth="1"/>
    <col min="6191" max="6191" width="5.28515625" bestFit="1" customWidth="1"/>
    <col min="6192" max="6192" width="13.28515625" bestFit="1" customWidth="1"/>
    <col min="6193" max="6193" width="13.5703125" bestFit="1" customWidth="1"/>
    <col min="6194" max="6194" width="10.5703125" bestFit="1" customWidth="1"/>
    <col min="6195" max="6195" width="13.28515625" bestFit="1" customWidth="1"/>
    <col min="6196" max="6196" width="11.5703125" bestFit="1" customWidth="1"/>
    <col min="6197" max="6197" width="10.5703125" bestFit="1" customWidth="1"/>
    <col min="6198" max="6198" width="16.140625" bestFit="1" customWidth="1"/>
    <col min="6199" max="6200" width="11.28515625" bestFit="1" customWidth="1"/>
    <col min="6201" max="6201" width="13.28515625" bestFit="1" customWidth="1"/>
    <col min="6202" max="6202" width="7.7109375" bestFit="1" customWidth="1"/>
    <col min="6203" max="6206" width="9.140625" hidden="1" customWidth="1"/>
    <col min="6207" max="6207" width="10.42578125" bestFit="1" customWidth="1"/>
    <col min="6208" max="6208" width="10.5703125" bestFit="1" customWidth="1"/>
    <col min="6209" max="6209" width="10.42578125" bestFit="1" customWidth="1"/>
    <col min="6210" max="6210" width="10.5703125" bestFit="1" customWidth="1"/>
    <col min="6211" max="6211" width="9.5703125" bestFit="1" customWidth="1"/>
    <col min="6212" max="6212" width="11.5703125" bestFit="1" customWidth="1"/>
    <col min="6213" max="6213" width="10.42578125" bestFit="1" customWidth="1"/>
    <col min="6214" max="6214" width="10.85546875" customWidth="1"/>
    <col min="6215" max="6216" width="9.85546875" bestFit="1" customWidth="1"/>
    <col min="6217" max="6217" width="13.5703125" bestFit="1" customWidth="1"/>
    <col min="6218" max="6218" width="7.7109375" bestFit="1" customWidth="1"/>
    <col min="6219" max="6219" width="13.28515625" bestFit="1" customWidth="1"/>
    <col min="6220" max="6220" width="11.5703125" bestFit="1" customWidth="1"/>
    <col min="6221" max="6221" width="10.42578125" bestFit="1" customWidth="1"/>
    <col min="6222" max="6222" width="7.7109375" bestFit="1" customWidth="1"/>
    <col min="6223" max="6223" width="11.5703125" bestFit="1" customWidth="1"/>
    <col min="6224" max="6224" width="10.85546875" bestFit="1" customWidth="1"/>
    <col min="6225" max="6225" width="13.28515625" bestFit="1" customWidth="1"/>
    <col min="6226" max="6226" width="10.85546875" bestFit="1" customWidth="1"/>
    <col min="6227" max="6228" width="7.5703125" bestFit="1" customWidth="1"/>
    <col min="6229" max="6230" width="10.42578125" bestFit="1" customWidth="1"/>
    <col min="6231" max="6231" width="11.5703125" bestFit="1" customWidth="1"/>
    <col min="6232" max="6232" width="5.28515625" bestFit="1" customWidth="1"/>
    <col min="6233" max="6233" width="10.28515625" bestFit="1" customWidth="1"/>
    <col min="6234" max="6234" width="10.42578125" bestFit="1" customWidth="1"/>
    <col min="6235" max="6235" width="11.5703125" bestFit="1" customWidth="1"/>
    <col min="6236" max="6236" width="5.28515625" bestFit="1" customWidth="1"/>
    <col min="6237" max="6239" width="11.5703125" bestFit="1" customWidth="1"/>
    <col min="6240" max="6240" width="5.28515625" bestFit="1" customWidth="1"/>
    <col min="6241" max="6242" width="10.42578125" bestFit="1" customWidth="1"/>
    <col min="6243" max="6243" width="11.5703125" bestFit="1" customWidth="1"/>
    <col min="6244" max="6244" width="5.28515625" bestFit="1" customWidth="1"/>
    <col min="6245" max="6245" width="14.28515625" bestFit="1" customWidth="1"/>
    <col min="6246" max="6246" width="13" bestFit="1" customWidth="1"/>
    <col min="6247" max="6247" width="11.5703125" bestFit="1" customWidth="1"/>
    <col min="6248" max="6248" width="8.85546875" bestFit="1" customWidth="1"/>
    <col min="6249" max="6249" width="14.42578125" bestFit="1" customWidth="1"/>
    <col min="6250" max="6250" width="10.42578125" bestFit="1" customWidth="1"/>
    <col min="6251" max="6251" width="12.28515625" bestFit="1" customWidth="1"/>
    <col min="6252" max="6252" width="13.85546875" bestFit="1" customWidth="1"/>
    <col min="6253" max="6253" width="11.28515625" customWidth="1"/>
    <col min="6254" max="6254" width="11.5703125" customWidth="1"/>
    <col min="6255" max="6255" width="13.42578125" bestFit="1" customWidth="1"/>
    <col min="6256" max="6256" width="10.42578125" customWidth="1"/>
    <col min="6257" max="6257" width="13.85546875" bestFit="1" customWidth="1"/>
    <col min="6258" max="6258" width="15.42578125" bestFit="1" customWidth="1"/>
    <col min="6259" max="6259" width="12.28515625" bestFit="1" customWidth="1"/>
    <col min="6260" max="6260" width="12.7109375" customWidth="1"/>
    <col min="6261" max="6261" width="10.7109375" bestFit="1" customWidth="1"/>
    <col min="6262" max="6262" width="9.85546875" customWidth="1"/>
    <col min="6263" max="6264" width="10.140625" bestFit="1" customWidth="1"/>
    <col min="6265" max="6265" width="7.5703125" bestFit="1" customWidth="1"/>
    <col min="6266" max="6266" width="9.42578125" bestFit="1" customWidth="1"/>
    <col min="6267" max="6267" width="14.5703125" bestFit="1" customWidth="1"/>
    <col min="6268" max="6268" width="14.85546875" customWidth="1"/>
    <col min="6269" max="6269" width="15.140625" bestFit="1" customWidth="1"/>
    <col min="6270" max="6270" width="12.140625" bestFit="1" customWidth="1"/>
    <col min="6271" max="6271" width="14.85546875" bestFit="1" customWidth="1"/>
    <col min="6272" max="6272" width="12.28515625" bestFit="1" customWidth="1"/>
    <col min="6273" max="6281" width="9.140625" hidden="1" customWidth="1"/>
    <col min="6282" max="6282" width="5.28515625" bestFit="1" customWidth="1"/>
    <col min="6283" max="6288" width="11.5703125" bestFit="1" customWidth="1"/>
    <col min="6289" max="6289" width="11.28515625" bestFit="1" customWidth="1"/>
    <col min="6290" max="6290" width="10.140625" bestFit="1" customWidth="1"/>
    <col min="6291" max="6291" width="11.5703125" bestFit="1" customWidth="1"/>
    <col min="6292" max="6292" width="16.140625" customWidth="1"/>
    <col min="6293" max="6293" width="13.42578125" customWidth="1"/>
    <col min="6294" max="6294" width="10.140625" bestFit="1" customWidth="1"/>
    <col min="6295" max="6295" width="12.85546875" bestFit="1" customWidth="1"/>
    <col min="6296" max="6296" width="12.28515625" bestFit="1" customWidth="1"/>
    <col min="6297" max="6297" width="11.28515625" bestFit="1" customWidth="1"/>
    <col min="6298" max="6298" width="11.5703125" bestFit="1" customWidth="1"/>
    <col min="6299" max="6299" width="10.85546875" bestFit="1" customWidth="1"/>
    <col min="6300" max="6300" width="11.28515625" bestFit="1" customWidth="1"/>
    <col min="6301" max="6301" width="10.140625" bestFit="1" customWidth="1"/>
    <col min="6302" max="6302" width="13.28515625" bestFit="1" customWidth="1"/>
    <col min="6303" max="6304" width="12.7109375" bestFit="1" customWidth="1"/>
    <col min="6305" max="6305" width="11" bestFit="1" customWidth="1"/>
    <col min="6306" max="6306" width="11.28515625" bestFit="1" customWidth="1"/>
    <col min="6307" max="6307" width="11.5703125" bestFit="1" customWidth="1"/>
    <col min="6308" max="6308" width="12.28515625" bestFit="1" customWidth="1"/>
    <col min="6309" max="6309" width="15.140625" bestFit="1" customWidth="1"/>
    <col min="6310" max="6310" width="14.42578125" bestFit="1" customWidth="1"/>
    <col min="6311" max="6311" width="12.28515625" bestFit="1" customWidth="1"/>
    <col min="6312" max="6312" width="15.140625" bestFit="1" customWidth="1"/>
    <col min="6313" max="6313" width="14.42578125" bestFit="1" customWidth="1"/>
    <col min="6314" max="6314" width="12.28515625" bestFit="1" customWidth="1"/>
    <col min="6315" max="6315" width="14.42578125" bestFit="1" customWidth="1"/>
    <col min="6316" max="6316" width="11.28515625" bestFit="1" customWidth="1"/>
    <col min="6317" max="6317" width="12.28515625" bestFit="1" customWidth="1"/>
    <col min="6318" max="6318" width="13" bestFit="1" customWidth="1"/>
    <col min="6319" max="6319" width="15.140625" bestFit="1" customWidth="1"/>
    <col min="6320" max="6320" width="12.28515625" bestFit="1" customWidth="1"/>
    <col min="6321" max="6321" width="13.85546875" bestFit="1" customWidth="1"/>
    <col min="6322" max="6322" width="11.28515625" bestFit="1" customWidth="1"/>
    <col min="6323" max="6323" width="12.28515625" bestFit="1" customWidth="1"/>
    <col min="6324" max="6324" width="13.85546875" bestFit="1" customWidth="1"/>
    <col min="6325" max="6326" width="15.140625" bestFit="1" customWidth="1"/>
    <col min="6327" max="6327" width="12.28515625" bestFit="1" customWidth="1"/>
    <col min="6328" max="6328" width="5.7109375" bestFit="1" customWidth="1"/>
    <col min="6329" max="6329" width="8.5703125" bestFit="1" customWidth="1"/>
    <col min="6330" max="6330" width="5.5703125" bestFit="1" customWidth="1"/>
    <col min="6331" max="6331" width="14.42578125" bestFit="1" customWidth="1"/>
    <col min="6332" max="6332" width="11.28515625" bestFit="1" customWidth="1"/>
    <col min="6333" max="6334" width="12.28515625" bestFit="1" customWidth="1"/>
    <col min="6335" max="6335" width="11.28515625" bestFit="1" customWidth="1"/>
    <col min="6336" max="6336" width="13.85546875" bestFit="1" customWidth="1"/>
    <col min="6337" max="6337" width="12" bestFit="1" customWidth="1"/>
    <col min="6338" max="6338" width="13.85546875" bestFit="1" customWidth="1"/>
    <col min="6339" max="6340" width="14.42578125" customWidth="1"/>
    <col min="6341" max="6341" width="10.140625" bestFit="1" customWidth="1"/>
    <col min="6342" max="6342" width="12.28515625" bestFit="1" customWidth="1"/>
    <col min="6343" max="6343" width="7.42578125" bestFit="1" customWidth="1"/>
    <col min="6344" max="6344" width="8.5703125" bestFit="1" customWidth="1"/>
    <col min="6345" max="6345" width="11.5703125" bestFit="1" customWidth="1"/>
    <col min="6346" max="6346" width="13.28515625" bestFit="1" customWidth="1"/>
    <col min="6347" max="6347" width="13.28515625" customWidth="1"/>
    <col min="6348" max="6348" width="13.140625" customWidth="1"/>
    <col min="6349" max="6349" width="12.7109375" bestFit="1" customWidth="1"/>
    <col min="6350" max="6350" width="13.28515625" bestFit="1" customWidth="1"/>
    <col min="6351" max="6353" width="13.28515625" customWidth="1"/>
    <col min="6354" max="6354" width="12.140625" bestFit="1" customWidth="1"/>
    <col min="6355" max="6355" width="12.7109375" bestFit="1" customWidth="1"/>
    <col min="6356" max="6356" width="11" customWidth="1"/>
    <col min="6357" max="6357" width="16.7109375" customWidth="1"/>
    <col min="6358" max="6358" width="17" customWidth="1"/>
    <col min="6359" max="6359" width="10.42578125" bestFit="1" customWidth="1"/>
    <col min="6403" max="6403" width="3.85546875" customWidth="1"/>
    <col min="6404" max="6404" width="15.28515625" bestFit="1" customWidth="1"/>
    <col min="6405" max="6405" width="12.28515625" customWidth="1"/>
    <col min="6406" max="6406" width="16.28515625" bestFit="1" customWidth="1"/>
    <col min="6407" max="6407" width="6.42578125" bestFit="1" customWidth="1"/>
    <col min="6408" max="6408" width="9.28515625" bestFit="1" customWidth="1"/>
    <col min="6409" max="6409" width="7.5703125" bestFit="1" customWidth="1"/>
    <col min="6410" max="6410" width="13.28515625" bestFit="1" customWidth="1"/>
    <col min="6411" max="6411" width="9.28515625" bestFit="1" customWidth="1"/>
    <col min="6412" max="6412" width="11.5703125" bestFit="1" customWidth="1"/>
    <col min="6413" max="6413" width="13.28515625" bestFit="1" customWidth="1"/>
    <col min="6414" max="6414" width="7.140625" bestFit="1" customWidth="1"/>
    <col min="6415" max="6415" width="12" bestFit="1" customWidth="1"/>
    <col min="6416" max="6416" width="13.28515625" bestFit="1" customWidth="1"/>
    <col min="6417" max="6417" width="7" bestFit="1" customWidth="1"/>
    <col min="6418" max="6418" width="12.7109375" bestFit="1" customWidth="1"/>
    <col min="6419" max="6419" width="11.5703125" bestFit="1" customWidth="1"/>
    <col min="6420" max="6420" width="10.5703125" bestFit="1" customWidth="1"/>
    <col min="6421" max="6422" width="15.7109375" bestFit="1" customWidth="1"/>
    <col min="6423" max="6423" width="11.5703125" bestFit="1" customWidth="1"/>
    <col min="6424" max="6424" width="7.7109375" bestFit="1" customWidth="1"/>
    <col min="6425" max="6425" width="15.140625" bestFit="1" customWidth="1"/>
    <col min="6426" max="6426" width="11.5703125" bestFit="1" customWidth="1"/>
    <col min="6427" max="6427" width="13.28515625" bestFit="1" customWidth="1"/>
    <col min="6428" max="6428" width="10.42578125" bestFit="1" customWidth="1"/>
    <col min="6429" max="6429" width="13.28515625" bestFit="1" customWidth="1"/>
    <col min="6430" max="6430" width="12.140625" bestFit="1" customWidth="1"/>
    <col min="6431" max="6431" width="14.42578125" bestFit="1" customWidth="1"/>
    <col min="6432" max="6432" width="13.28515625" bestFit="1" customWidth="1"/>
    <col min="6433" max="6433" width="11.5703125" bestFit="1" customWidth="1"/>
    <col min="6434" max="6434" width="7.7109375" bestFit="1" customWidth="1"/>
    <col min="6435" max="6436" width="14.42578125" bestFit="1" customWidth="1"/>
    <col min="6437" max="6437" width="11.5703125" bestFit="1" customWidth="1"/>
    <col min="6438" max="6438" width="7.7109375" bestFit="1" customWidth="1"/>
    <col min="6439" max="6439" width="13.5703125" customWidth="1"/>
    <col min="6440" max="6440" width="15.28515625" customWidth="1"/>
    <col min="6441" max="6441" width="14.5703125" customWidth="1"/>
    <col min="6442" max="6442" width="13.28515625" bestFit="1" customWidth="1"/>
    <col min="6443" max="6443" width="7.7109375" bestFit="1" customWidth="1"/>
    <col min="6444" max="6444" width="12.7109375" bestFit="1" customWidth="1"/>
    <col min="6445" max="6445" width="11.7109375" bestFit="1" customWidth="1"/>
    <col min="6446" max="6446" width="11.5703125" bestFit="1" customWidth="1"/>
    <col min="6447" max="6447" width="5.28515625" bestFit="1" customWidth="1"/>
    <col min="6448" max="6448" width="13.28515625" bestFit="1" customWidth="1"/>
    <col min="6449" max="6449" width="13.5703125" bestFit="1" customWidth="1"/>
    <col min="6450" max="6450" width="10.5703125" bestFit="1" customWidth="1"/>
    <col min="6451" max="6451" width="13.28515625" bestFit="1" customWidth="1"/>
    <col min="6452" max="6452" width="11.5703125" bestFit="1" customWidth="1"/>
    <col min="6453" max="6453" width="10.5703125" bestFit="1" customWidth="1"/>
    <col min="6454" max="6454" width="16.140625" bestFit="1" customWidth="1"/>
    <col min="6455" max="6456" width="11.28515625" bestFit="1" customWidth="1"/>
    <col min="6457" max="6457" width="13.28515625" bestFit="1" customWidth="1"/>
    <col min="6458" max="6458" width="7.7109375" bestFit="1" customWidth="1"/>
    <col min="6459" max="6462" width="9.140625" hidden="1" customWidth="1"/>
    <col min="6463" max="6463" width="10.42578125" bestFit="1" customWidth="1"/>
    <col min="6464" max="6464" width="10.5703125" bestFit="1" customWidth="1"/>
    <col min="6465" max="6465" width="10.42578125" bestFit="1" customWidth="1"/>
    <col min="6466" max="6466" width="10.5703125" bestFit="1" customWidth="1"/>
    <col min="6467" max="6467" width="9.5703125" bestFit="1" customWidth="1"/>
    <col min="6468" max="6468" width="11.5703125" bestFit="1" customWidth="1"/>
    <col min="6469" max="6469" width="10.42578125" bestFit="1" customWidth="1"/>
    <col min="6470" max="6470" width="10.85546875" customWidth="1"/>
    <col min="6471" max="6472" width="9.85546875" bestFit="1" customWidth="1"/>
    <col min="6473" max="6473" width="13.5703125" bestFit="1" customWidth="1"/>
    <col min="6474" max="6474" width="7.7109375" bestFit="1" customWidth="1"/>
    <col min="6475" max="6475" width="13.28515625" bestFit="1" customWidth="1"/>
    <col min="6476" max="6476" width="11.5703125" bestFit="1" customWidth="1"/>
    <col min="6477" max="6477" width="10.42578125" bestFit="1" customWidth="1"/>
    <col min="6478" max="6478" width="7.7109375" bestFit="1" customWidth="1"/>
    <col min="6479" max="6479" width="11.5703125" bestFit="1" customWidth="1"/>
    <col min="6480" max="6480" width="10.85546875" bestFit="1" customWidth="1"/>
    <col min="6481" max="6481" width="13.28515625" bestFit="1" customWidth="1"/>
    <col min="6482" max="6482" width="10.85546875" bestFit="1" customWidth="1"/>
    <col min="6483" max="6484" width="7.5703125" bestFit="1" customWidth="1"/>
    <col min="6485" max="6486" width="10.42578125" bestFit="1" customWidth="1"/>
    <col min="6487" max="6487" width="11.5703125" bestFit="1" customWidth="1"/>
    <col min="6488" max="6488" width="5.28515625" bestFit="1" customWidth="1"/>
    <col min="6489" max="6489" width="10.28515625" bestFit="1" customWidth="1"/>
    <col min="6490" max="6490" width="10.42578125" bestFit="1" customWidth="1"/>
    <col min="6491" max="6491" width="11.5703125" bestFit="1" customWidth="1"/>
    <col min="6492" max="6492" width="5.28515625" bestFit="1" customWidth="1"/>
    <col min="6493" max="6495" width="11.5703125" bestFit="1" customWidth="1"/>
    <col min="6496" max="6496" width="5.28515625" bestFit="1" customWidth="1"/>
    <col min="6497" max="6498" width="10.42578125" bestFit="1" customWidth="1"/>
    <col min="6499" max="6499" width="11.5703125" bestFit="1" customWidth="1"/>
    <col min="6500" max="6500" width="5.28515625" bestFit="1" customWidth="1"/>
    <col min="6501" max="6501" width="14.28515625" bestFit="1" customWidth="1"/>
    <col min="6502" max="6502" width="13" bestFit="1" customWidth="1"/>
    <col min="6503" max="6503" width="11.5703125" bestFit="1" customWidth="1"/>
    <col min="6504" max="6504" width="8.85546875" bestFit="1" customWidth="1"/>
    <col min="6505" max="6505" width="14.42578125" bestFit="1" customWidth="1"/>
    <col min="6506" max="6506" width="10.42578125" bestFit="1" customWidth="1"/>
    <col min="6507" max="6507" width="12.28515625" bestFit="1" customWidth="1"/>
    <col min="6508" max="6508" width="13.85546875" bestFit="1" customWidth="1"/>
    <col min="6509" max="6509" width="11.28515625" customWidth="1"/>
    <col min="6510" max="6510" width="11.5703125" customWidth="1"/>
    <col min="6511" max="6511" width="13.42578125" bestFit="1" customWidth="1"/>
    <col min="6512" max="6512" width="10.42578125" customWidth="1"/>
    <col min="6513" max="6513" width="13.85546875" bestFit="1" customWidth="1"/>
    <col min="6514" max="6514" width="15.42578125" bestFit="1" customWidth="1"/>
    <col min="6515" max="6515" width="12.28515625" bestFit="1" customWidth="1"/>
    <col min="6516" max="6516" width="12.7109375" customWidth="1"/>
    <col min="6517" max="6517" width="10.7109375" bestFit="1" customWidth="1"/>
    <col min="6518" max="6518" width="9.85546875" customWidth="1"/>
    <col min="6519" max="6520" width="10.140625" bestFit="1" customWidth="1"/>
    <col min="6521" max="6521" width="7.5703125" bestFit="1" customWidth="1"/>
    <col min="6522" max="6522" width="9.42578125" bestFit="1" customWidth="1"/>
    <col min="6523" max="6523" width="14.5703125" bestFit="1" customWidth="1"/>
    <col min="6524" max="6524" width="14.85546875" customWidth="1"/>
    <col min="6525" max="6525" width="15.140625" bestFit="1" customWidth="1"/>
    <col min="6526" max="6526" width="12.140625" bestFit="1" customWidth="1"/>
    <col min="6527" max="6527" width="14.85546875" bestFit="1" customWidth="1"/>
    <col min="6528" max="6528" width="12.28515625" bestFit="1" customWidth="1"/>
    <col min="6529" max="6537" width="9.140625" hidden="1" customWidth="1"/>
    <col min="6538" max="6538" width="5.28515625" bestFit="1" customWidth="1"/>
    <col min="6539" max="6544" width="11.5703125" bestFit="1" customWidth="1"/>
    <col min="6545" max="6545" width="11.28515625" bestFit="1" customWidth="1"/>
    <col min="6546" max="6546" width="10.140625" bestFit="1" customWidth="1"/>
    <col min="6547" max="6547" width="11.5703125" bestFit="1" customWidth="1"/>
    <col min="6548" max="6548" width="16.140625" customWidth="1"/>
    <col min="6549" max="6549" width="13.42578125" customWidth="1"/>
    <col min="6550" max="6550" width="10.140625" bestFit="1" customWidth="1"/>
    <col min="6551" max="6551" width="12.85546875" bestFit="1" customWidth="1"/>
    <col min="6552" max="6552" width="12.28515625" bestFit="1" customWidth="1"/>
    <col min="6553" max="6553" width="11.28515625" bestFit="1" customWidth="1"/>
    <col min="6554" max="6554" width="11.5703125" bestFit="1" customWidth="1"/>
    <col min="6555" max="6555" width="10.85546875" bestFit="1" customWidth="1"/>
    <col min="6556" max="6556" width="11.28515625" bestFit="1" customWidth="1"/>
    <col min="6557" max="6557" width="10.140625" bestFit="1" customWidth="1"/>
    <col min="6558" max="6558" width="13.28515625" bestFit="1" customWidth="1"/>
    <col min="6559" max="6560" width="12.7109375" bestFit="1" customWidth="1"/>
    <col min="6561" max="6561" width="11" bestFit="1" customWidth="1"/>
    <col min="6562" max="6562" width="11.28515625" bestFit="1" customWidth="1"/>
    <col min="6563" max="6563" width="11.5703125" bestFit="1" customWidth="1"/>
    <col min="6564" max="6564" width="12.28515625" bestFit="1" customWidth="1"/>
    <col min="6565" max="6565" width="15.140625" bestFit="1" customWidth="1"/>
    <col min="6566" max="6566" width="14.42578125" bestFit="1" customWidth="1"/>
    <col min="6567" max="6567" width="12.28515625" bestFit="1" customWidth="1"/>
    <col min="6568" max="6568" width="15.140625" bestFit="1" customWidth="1"/>
    <col min="6569" max="6569" width="14.42578125" bestFit="1" customWidth="1"/>
    <col min="6570" max="6570" width="12.28515625" bestFit="1" customWidth="1"/>
    <col min="6571" max="6571" width="14.42578125" bestFit="1" customWidth="1"/>
    <col min="6572" max="6572" width="11.28515625" bestFit="1" customWidth="1"/>
    <col min="6573" max="6573" width="12.28515625" bestFit="1" customWidth="1"/>
    <col min="6574" max="6574" width="13" bestFit="1" customWidth="1"/>
    <col min="6575" max="6575" width="15.140625" bestFit="1" customWidth="1"/>
    <col min="6576" max="6576" width="12.28515625" bestFit="1" customWidth="1"/>
    <col min="6577" max="6577" width="13.85546875" bestFit="1" customWidth="1"/>
    <col min="6578" max="6578" width="11.28515625" bestFit="1" customWidth="1"/>
    <col min="6579" max="6579" width="12.28515625" bestFit="1" customWidth="1"/>
    <col min="6580" max="6580" width="13.85546875" bestFit="1" customWidth="1"/>
    <col min="6581" max="6582" width="15.140625" bestFit="1" customWidth="1"/>
    <col min="6583" max="6583" width="12.28515625" bestFit="1" customWidth="1"/>
    <col min="6584" max="6584" width="5.7109375" bestFit="1" customWidth="1"/>
    <col min="6585" max="6585" width="8.5703125" bestFit="1" customWidth="1"/>
    <col min="6586" max="6586" width="5.5703125" bestFit="1" customWidth="1"/>
    <col min="6587" max="6587" width="14.42578125" bestFit="1" customWidth="1"/>
    <col min="6588" max="6588" width="11.28515625" bestFit="1" customWidth="1"/>
    <col min="6589" max="6590" width="12.28515625" bestFit="1" customWidth="1"/>
    <col min="6591" max="6591" width="11.28515625" bestFit="1" customWidth="1"/>
    <col min="6592" max="6592" width="13.85546875" bestFit="1" customWidth="1"/>
    <col min="6593" max="6593" width="12" bestFit="1" customWidth="1"/>
    <col min="6594" max="6594" width="13.85546875" bestFit="1" customWidth="1"/>
    <col min="6595" max="6596" width="14.42578125" customWidth="1"/>
    <col min="6597" max="6597" width="10.140625" bestFit="1" customWidth="1"/>
    <col min="6598" max="6598" width="12.28515625" bestFit="1" customWidth="1"/>
    <col min="6599" max="6599" width="7.42578125" bestFit="1" customWidth="1"/>
    <col min="6600" max="6600" width="8.5703125" bestFit="1" customWidth="1"/>
    <col min="6601" max="6601" width="11.5703125" bestFit="1" customWidth="1"/>
    <col min="6602" max="6602" width="13.28515625" bestFit="1" customWidth="1"/>
    <col min="6603" max="6603" width="13.28515625" customWidth="1"/>
    <col min="6604" max="6604" width="13.140625" customWidth="1"/>
    <col min="6605" max="6605" width="12.7109375" bestFit="1" customWidth="1"/>
    <col min="6606" max="6606" width="13.28515625" bestFit="1" customWidth="1"/>
    <col min="6607" max="6609" width="13.28515625" customWidth="1"/>
    <col min="6610" max="6610" width="12.140625" bestFit="1" customWidth="1"/>
    <col min="6611" max="6611" width="12.7109375" bestFit="1" customWidth="1"/>
    <col min="6612" max="6612" width="11" customWidth="1"/>
    <col min="6613" max="6613" width="16.7109375" customWidth="1"/>
    <col min="6614" max="6614" width="17" customWidth="1"/>
    <col min="6615" max="6615" width="10.42578125" bestFit="1" customWidth="1"/>
    <col min="6659" max="6659" width="3.85546875" customWidth="1"/>
    <col min="6660" max="6660" width="15.28515625" bestFit="1" customWidth="1"/>
    <col min="6661" max="6661" width="12.28515625" customWidth="1"/>
    <col min="6662" max="6662" width="16.28515625" bestFit="1" customWidth="1"/>
    <col min="6663" max="6663" width="6.42578125" bestFit="1" customWidth="1"/>
    <col min="6664" max="6664" width="9.28515625" bestFit="1" customWidth="1"/>
    <col min="6665" max="6665" width="7.5703125" bestFit="1" customWidth="1"/>
    <col min="6666" max="6666" width="13.28515625" bestFit="1" customWidth="1"/>
    <col min="6667" max="6667" width="9.28515625" bestFit="1" customWidth="1"/>
    <col min="6668" max="6668" width="11.5703125" bestFit="1" customWidth="1"/>
    <col min="6669" max="6669" width="13.28515625" bestFit="1" customWidth="1"/>
    <col min="6670" max="6670" width="7.140625" bestFit="1" customWidth="1"/>
    <col min="6671" max="6671" width="12" bestFit="1" customWidth="1"/>
    <col min="6672" max="6672" width="13.28515625" bestFit="1" customWidth="1"/>
    <col min="6673" max="6673" width="7" bestFit="1" customWidth="1"/>
    <col min="6674" max="6674" width="12.7109375" bestFit="1" customWidth="1"/>
    <col min="6675" max="6675" width="11.5703125" bestFit="1" customWidth="1"/>
    <col min="6676" max="6676" width="10.5703125" bestFit="1" customWidth="1"/>
    <col min="6677" max="6678" width="15.7109375" bestFit="1" customWidth="1"/>
    <col min="6679" max="6679" width="11.5703125" bestFit="1" customWidth="1"/>
    <col min="6680" max="6680" width="7.7109375" bestFit="1" customWidth="1"/>
    <col min="6681" max="6681" width="15.140625" bestFit="1" customWidth="1"/>
    <col min="6682" max="6682" width="11.5703125" bestFit="1" customWidth="1"/>
    <col min="6683" max="6683" width="13.28515625" bestFit="1" customWidth="1"/>
    <col min="6684" max="6684" width="10.42578125" bestFit="1" customWidth="1"/>
    <col min="6685" max="6685" width="13.28515625" bestFit="1" customWidth="1"/>
    <col min="6686" max="6686" width="12.140625" bestFit="1" customWidth="1"/>
    <col min="6687" max="6687" width="14.42578125" bestFit="1" customWidth="1"/>
    <col min="6688" max="6688" width="13.28515625" bestFit="1" customWidth="1"/>
    <col min="6689" max="6689" width="11.5703125" bestFit="1" customWidth="1"/>
    <col min="6690" max="6690" width="7.7109375" bestFit="1" customWidth="1"/>
    <col min="6691" max="6692" width="14.42578125" bestFit="1" customWidth="1"/>
    <col min="6693" max="6693" width="11.5703125" bestFit="1" customWidth="1"/>
    <col min="6694" max="6694" width="7.7109375" bestFit="1" customWidth="1"/>
    <col min="6695" max="6695" width="13.5703125" customWidth="1"/>
    <col min="6696" max="6696" width="15.28515625" customWidth="1"/>
    <col min="6697" max="6697" width="14.5703125" customWidth="1"/>
    <col min="6698" max="6698" width="13.28515625" bestFit="1" customWidth="1"/>
    <col min="6699" max="6699" width="7.7109375" bestFit="1" customWidth="1"/>
    <col min="6700" max="6700" width="12.7109375" bestFit="1" customWidth="1"/>
    <col min="6701" max="6701" width="11.7109375" bestFit="1" customWidth="1"/>
    <col min="6702" max="6702" width="11.5703125" bestFit="1" customWidth="1"/>
    <col min="6703" max="6703" width="5.28515625" bestFit="1" customWidth="1"/>
    <col min="6704" max="6704" width="13.28515625" bestFit="1" customWidth="1"/>
    <col min="6705" max="6705" width="13.5703125" bestFit="1" customWidth="1"/>
    <col min="6706" max="6706" width="10.5703125" bestFit="1" customWidth="1"/>
    <col min="6707" max="6707" width="13.28515625" bestFit="1" customWidth="1"/>
    <col min="6708" max="6708" width="11.5703125" bestFit="1" customWidth="1"/>
    <col min="6709" max="6709" width="10.5703125" bestFit="1" customWidth="1"/>
    <col min="6710" max="6710" width="16.140625" bestFit="1" customWidth="1"/>
    <col min="6711" max="6712" width="11.28515625" bestFit="1" customWidth="1"/>
    <col min="6713" max="6713" width="13.28515625" bestFit="1" customWidth="1"/>
    <col min="6714" max="6714" width="7.7109375" bestFit="1" customWidth="1"/>
    <col min="6715" max="6718" width="9.140625" hidden="1" customWidth="1"/>
    <col min="6719" max="6719" width="10.42578125" bestFit="1" customWidth="1"/>
    <col min="6720" max="6720" width="10.5703125" bestFit="1" customWidth="1"/>
    <col min="6721" max="6721" width="10.42578125" bestFit="1" customWidth="1"/>
    <col min="6722" max="6722" width="10.5703125" bestFit="1" customWidth="1"/>
    <col min="6723" max="6723" width="9.5703125" bestFit="1" customWidth="1"/>
    <col min="6724" max="6724" width="11.5703125" bestFit="1" customWidth="1"/>
    <col min="6725" max="6725" width="10.42578125" bestFit="1" customWidth="1"/>
    <col min="6726" max="6726" width="10.85546875" customWidth="1"/>
    <col min="6727" max="6728" width="9.85546875" bestFit="1" customWidth="1"/>
    <col min="6729" max="6729" width="13.5703125" bestFit="1" customWidth="1"/>
    <col min="6730" max="6730" width="7.7109375" bestFit="1" customWidth="1"/>
    <col min="6731" max="6731" width="13.28515625" bestFit="1" customWidth="1"/>
    <col min="6732" max="6732" width="11.5703125" bestFit="1" customWidth="1"/>
    <col min="6733" max="6733" width="10.42578125" bestFit="1" customWidth="1"/>
    <col min="6734" max="6734" width="7.7109375" bestFit="1" customWidth="1"/>
    <col min="6735" max="6735" width="11.5703125" bestFit="1" customWidth="1"/>
    <col min="6736" max="6736" width="10.85546875" bestFit="1" customWidth="1"/>
    <col min="6737" max="6737" width="13.28515625" bestFit="1" customWidth="1"/>
    <col min="6738" max="6738" width="10.85546875" bestFit="1" customWidth="1"/>
    <col min="6739" max="6740" width="7.5703125" bestFit="1" customWidth="1"/>
    <col min="6741" max="6742" width="10.42578125" bestFit="1" customWidth="1"/>
    <col min="6743" max="6743" width="11.5703125" bestFit="1" customWidth="1"/>
    <col min="6744" max="6744" width="5.28515625" bestFit="1" customWidth="1"/>
    <col min="6745" max="6745" width="10.28515625" bestFit="1" customWidth="1"/>
    <col min="6746" max="6746" width="10.42578125" bestFit="1" customWidth="1"/>
    <col min="6747" max="6747" width="11.5703125" bestFit="1" customWidth="1"/>
    <col min="6748" max="6748" width="5.28515625" bestFit="1" customWidth="1"/>
    <col min="6749" max="6751" width="11.5703125" bestFit="1" customWidth="1"/>
    <col min="6752" max="6752" width="5.28515625" bestFit="1" customWidth="1"/>
    <col min="6753" max="6754" width="10.42578125" bestFit="1" customWidth="1"/>
    <col min="6755" max="6755" width="11.5703125" bestFit="1" customWidth="1"/>
    <col min="6756" max="6756" width="5.28515625" bestFit="1" customWidth="1"/>
    <col min="6757" max="6757" width="14.28515625" bestFit="1" customWidth="1"/>
    <col min="6758" max="6758" width="13" bestFit="1" customWidth="1"/>
    <col min="6759" max="6759" width="11.5703125" bestFit="1" customWidth="1"/>
    <col min="6760" max="6760" width="8.85546875" bestFit="1" customWidth="1"/>
    <col min="6761" max="6761" width="14.42578125" bestFit="1" customWidth="1"/>
    <col min="6762" max="6762" width="10.42578125" bestFit="1" customWidth="1"/>
    <col min="6763" max="6763" width="12.28515625" bestFit="1" customWidth="1"/>
    <col min="6764" max="6764" width="13.85546875" bestFit="1" customWidth="1"/>
    <col min="6765" max="6765" width="11.28515625" customWidth="1"/>
    <col min="6766" max="6766" width="11.5703125" customWidth="1"/>
    <col min="6767" max="6767" width="13.42578125" bestFit="1" customWidth="1"/>
    <col min="6768" max="6768" width="10.42578125" customWidth="1"/>
    <col min="6769" max="6769" width="13.85546875" bestFit="1" customWidth="1"/>
    <col min="6770" max="6770" width="15.42578125" bestFit="1" customWidth="1"/>
    <col min="6771" max="6771" width="12.28515625" bestFit="1" customWidth="1"/>
    <col min="6772" max="6772" width="12.7109375" customWidth="1"/>
    <col min="6773" max="6773" width="10.7109375" bestFit="1" customWidth="1"/>
    <col min="6774" max="6774" width="9.85546875" customWidth="1"/>
    <col min="6775" max="6776" width="10.140625" bestFit="1" customWidth="1"/>
    <col min="6777" max="6777" width="7.5703125" bestFit="1" customWidth="1"/>
    <col min="6778" max="6778" width="9.42578125" bestFit="1" customWidth="1"/>
    <col min="6779" max="6779" width="14.5703125" bestFit="1" customWidth="1"/>
    <col min="6780" max="6780" width="14.85546875" customWidth="1"/>
    <col min="6781" max="6781" width="15.140625" bestFit="1" customWidth="1"/>
    <col min="6782" max="6782" width="12.140625" bestFit="1" customWidth="1"/>
    <col min="6783" max="6783" width="14.85546875" bestFit="1" customWidth="1"/>
    <col min="6784" max="6784" width="12.28515625" bestFit="1" customWidth="1"/>
    <col min="6785" max="6793" width="9.140625" hidden="1" customWidth="1"/>
    <col min="6794" max="6794" width="5.28515625" bestFit="1" customWidth="1"/>
    <col min="6795" max="6800" width="11.5703125" bestFit="1" customWidth="1"/>
    <col min="6801" max="6801" width="11.28515625" bestFit="1" customWidth="1"/>
    <col min="6802" max="6802" width="10.140625" bestFit="1" customWidth="1"/>
    <col min="6803" max="6803" width="11.5703125" bestFit="1" customWidth="1"/>
    <col min="6804" max="6804" width="16.140625" customWidth="1"/>
    <col min="6805" max="6805" width="13.42578125" customWidth="1"/>
    <col min="6806" max="6806" width="10.140625" bestFit="1" customWidth="1"/>
    <col min="6807" max="6807" width="12.85546875" bestFit="1" customWidth="1"/>
    <col min="6808" max="6808" width="12.28515625" bestFit="1" customWidth="1"/>
    <col min="6809" max="6809" width="11.28515625" bestFit="1" customWidth="1"/>
    <col min="6810" max="6810" width="11.5703125" bestFit="1" customWidth="1"/>
    <col min="6811" max="6811" width="10.85546875" bestFit="1" customWidth="1"/>
    <col min="6812" max="6812" width="11.28515625" bestFit="1" customWidth="1"/>
    <col min="6813" max="6813" width="10.140625" bestFit="1" customWidth="1"/>
    <col min="6814" max="6814" width="13.28515625" bestFit="1" customWidth="1"/>
    <col min="6815" max="6816" width="12.7109375" bestFit="1" customWidth="1"/>
    <col min="6817" max="6817" width="11" bestFit="1" customWidth="1"/>
    <col min="6818" max="6818" width="11.28515625" bestFit="1" customWidth="1"/>
    <col min="6819" max="6819" width="11.5703125" bestFit="1" customWidth="1"/>
    <col min="6820" max="6820" width="12.28515625" bestFit="1" customWidth="1"/>
    <col min="6821" max="6821" width="15.140625" bestFit="1" customWidth="1"/>
    <col min="6822" max="6822" width="14.42578125" bestFit="1" customWidth="1"/>
    <col min="6823" max="6823" width="12.28515625" bestFit="1" customWidth="1"/>
    <col min="6824" max="6824" width="15.140625" bestFit="1" customWidth="1"/>
    <col min="6825" max="6825" width="14.42578125" bestFit="1" customWidth="1"/>
    <col min="6826" max="6826" width="12.28515625" bestFit="1" customWidth="1"/>
    <col min="6827" max="6827" width="14.42578125" bestFit="1" customWidth="1"/>
    <col min="6828" max="6828" width="11.28515625" bestFit="1" customWidth="1"/>
    <col min="6829" max="6829" width="12.28515625" bestFit="1" customWidth="1"/>
    <col min="6830" max="6830" width="13" bestFit="1" customWidth="1"/>
    <col min="6831" max="6831" width="15.140625" bestFit="1" customWidth="1"/>
    <col min="6832" max="6832" width="12.28515625" bestFit="1" customWidth="1"/>
    <col min="6833" max="6833" width="13.85546875" bestFit="1" customWidth="1"/>
    <col min="6834" max="6834" width="11.28515625" bestFit="1" customWidth="1"/>
    <col min="6835" max="6835" width="12.28515625" bestFit="1" customWidth="1"/>
    <col min="6836" max="6836" width="13.85546875" bestFit="1" customWidth="1"/>
    <col min="6837" max="6838" width="15.140625" bestFit="1" customWidth="1"/>
    <col min="6839" max="6839" width="12.28515625" bestFit="1" customWidth="1"/>
    <col min="6840" max="6840" width="5.7109375" bestFit="1" customWidth="1"/>
    <col min="6841" max="6841" width="8.5703125" bestFit="1" customWidth="1"/>
    <col min="6842" max="6842" width="5.5703125" bestFit="1" customWidth="1"/>
    <col min="6843" max="6843" width="14.42578125" bestFit="1" customWidth="1"/>
    <col min="6844" max="6844" width="11.28515625" bestFit="1" customWidth="1"/>
    <col min="6845" max="6846" width="12.28515625" bestFit="1" customWidth="1"/>
    <col min="6847" max="6847" width="11.28515625" bestFit="1" customWidth="1"/>
    <col min="6848" max="6848" width="13.85546875" bestFit="1" customWidth="1"/>
    <col min="6849" max="6849" width="12" bestFit="1" customWidth="1"/>
    <col min="6850" max="6850" width="13.85546875" bestFit="1" customWidth="1"/>
    <col min="6851" max="6852" width="14.42578125" customWidth="1"/>
    <col min="6853" max="6853" width="10.140625" bestFit="1" customWidth="1"/>
    <col min="6854" max="6854" width="12.28515625" bestFit="1" customWidth="1"/>
    <col min="6855" max="6855" width="7.42578125" bestFit="1" customWidth="1"/>
    <col min="6856" max="6856" width="8.5703125" bestFit="1" customWidth="1"/>
    <col min="6857" max="6857" width="11.5703125" bestFit="1" customWidth="1"/>
    <col min="6858" max="6858" width="13.28515625" bestFit="1" customWidth="1"/>
    <col min="6859" max="6859" width="13.28515625" customWidth="1"/>
    <col min="6860" max="6860" width="13.140625" customWidth="1"/>
    <col min="6861" max="6861" width="12.7109375" bestFit="1" customWidth="1"/>
    <col min="6862" max="6862" width="13.28515625" bestFit="1" customWidth="1"/>
    <col min="6863" max="6865" width="13.28515625" customWidth="1"/>
    <col min="6866" max="6866" width="12.140625" bestFit="1" customWidth="1"/>
    <col min="6867" max="6867" width="12.7109375" bestFit="1" customWidth="1"/>
    <col min="6868" max="6868" width="11" customWidth="1"/>
    <col min="6869" max="6869" width="16.7109375" customWidth="1"/>
    <col min="6870" max="6870" width="17" customWidth="1"/>
    <col min="6871" max="6871" width="10.42578125" bestFit="1" customWidth="1"/>
    <col min="6915" max="6915" width="3.85546875" customWidth="1"/>
    <col min="6916" max="6916" width="15.28515625" bestFit="1" customWidth="1"/>
    <col min="6917" max="6917" width="12.28515625" customWidth="1"/>
    <col min="6918" max="6918" width="16.28515625" bestFit="1" customWidth="1"/>
    <col min="6919" max="6919" width="6.42578125" bestFit="1" customWidth="1"/>
    <col min="6920" max="6920" width="9.28515625" bestFit="1" customWidth="1"/>
    <col min="6921" max="6921" width="7.5703125" bestFit="1" customWidth="1"/>
    <col min="6922" max="6922" width="13.28515625" bestFit="1" customWidth="1"/>
    <col min="6923" max="6923" width="9.28515625" bestFit="1" customWidth="1"/>
    <col min="6924" max="6924" width="11.5703125" bestFit="1" customWidth="1"/>
    <col min="6925" max="6925" width="13.28515625" bestFit="1" customWidth="1"/>
    <col min="6926" max="6926" width="7.140625" bestFit="1" customWidth="1"/>
    <col min="6927" max="6927" width="12" bestFit="1" customWidth="1"/>
    <col min="6928" max="6928" width="13.28515625" bestFit="1" customWidth="1"/>
    <col min="6929" max="6929" width="7" bestFit="1" customWidth="1"/>
    <col min="6930" max="6930" width="12.7109375" bestFit="1" customWidth="1"/>
    <col min="6931" max="6931" width="11.5703125" bestFit="1" customWidth="1"/>
    <col min="6932" max="6932" width="10.5703125" bestFit="1" customWidth="1"/>
    <col min="6933" max="6934" width="15.7109375" bestFit="1" customWidth="1"/>
    <col min="6935" max="6935" width="11.5703125" bestFit="1" customWidth="1"/>
    <col min="6936" max="6936" width="7.7109375" bestFit="1" customWidth="1"/>
    <col min="6937" max="6937" width="15.140625" bestFit="1" customWidth="1"/>
    <col min="6938" max="6938" width="11.5703125" bestFit="1" customWidth="1"/>
    <col min="6939" max="6939" width="13.28515625" bestFit="1" customWidth="1"/>
    <col min="6940" max="6940" width="10.42578125" bestFit="1" customWidth="1"/>
    <col min="6941" max="6941" width="13.28515625" bestFit="1" customWidth="1"/>
    <col min="6942" max="6942" width="12.140625" bestFit="1" customWidth="1"/>
    <col min="6943" max="6943" width="14.42578125" bestFit="1" customWidth="1"/>
    <col min="6944" max="6944" width="13.28515625" bestFit="1" customWidth="1"/>
    <col min="6945" max="6945" width="11.5703125" bestFit="1" customWidth="1"/>
    <col min="6946" max="6946" width="7.7109375" bestFit="1" customWidth="1"/>
    <col min="6947" max="6948" width="14.42578125" bestFit="1" customWidth="1"/>
    <col min="6949" max="6949" width="11.5703125" bestFit="1" customWidth="1"/>
    <col min="6950" max="6950" width="7.7109375" bestFit="1" customWidth="1"/>
    <col min="6951" max="6951" width="13.5703125" customWidth="1"/>
    <col min="6952" max="6952" width="15.28515625" customWidth="1"/>
    <col min="6953" max="6953" width="14.5703125" customWidth="1"/>
    <col min="6954" max="6954" width="13.28515625" bestFit="1" customWidth="1"/>
    <col min="6955" max="6955" width="7.7109375" bestFit="1" customWidth="1"/>
    <col min="6956" max="6956" width="12.7109375" bestFit="1" customWidth="1"/>
    <col min="6957" max="6957" width="11.7109375" bestFit="1" customWidth="1"/>
    <col min="6958" max="6958" width="11.5703125" bestFit="1" customWidth="1"/>
    <col min="6959" max="6959" width="5.28515625" bestFit="1" customWidth="1"/>
    <col min="6960" max="6960" width="13.28515625" bestFit="1" customWidth="1"/>
    <col min="6961" max="6961" width="13.5703125" bestFit="1" customWidth="1"/>
    <col min="6962" max="6962" width="10.5703125" bestFit="1" customWidth="1"/>
    <col min="6963" max="6963" width="13.28515625" bestFit="1" customWidth="1"/>
    <col min="6964" max="6964" width="11.5703125" bestFit="1" customWidth="1"/>
    <col min="6965" max="6965" width="10.5703125" bestFit="1" customWidth="1"/>
    <col min="6966" max="6966" width="16.140625" bestFit="1" customWidth="1"/>
    <col min="6967" max="6968" width="11.28515625" bestFit="1" customWidth="1"/>
    <col min="6969" max="6969" width="13.28515625" bestFit="1" customWidth="1"/>
    <col min="6970" max="6970" width="7.7109375" bestFit="1" customWidth="1"/>
    <col min="6971" max="6974" width="9.140625" hidden="1" customWidth="1"/>
    <col min="6975" max="6975" width="10.42578125" bestFit="1" customWidth="1"/>
    <col min="6976" max="6976" width="10.5703125" bestFit="1" customWidth="1"/>
    <col min="6977" max="6977" width="10.42578125" bestFit="1" customWidth="1"/>
    <col min="6978" max="6978" width="10.5703125" bestFit="1" customWidth="1"/>
    <col min="6979" max="6979" width="9.5703125" bestFit="1" customWidth="1"/>
    <col min="6980" max="6980" width="11.5703125" bestFit="1" customWidth="1"/>
    <col min="6981" max="6981" width="10.42578125" bestFit="1" customWidth="1"/>
    <col min="6982" max="6982" width="10.85546875" customWidth="1"/>
    <col min="6983" max="6984" width="9.85546875" bestFit="1" customWidth="1"/>
    <col min="6985" max="6985" width="13.5703125" bestFit="1" customWidth="1"/>
    <col min="6986" max="6986" width="7.7109375" bestFit="1" customWidth="1"/>
    <col min="6987" max="6987" width="13.28515625" bestFit="1" customWidth="1"/>
    <col min="6988" max="6988" width="11.5703125" bestFit="1" customWidth="1"/>
    <col min="6989" max="6989" width="10.42578125" bestFit="1" customWidth="1"/>
    <col min="6990" max="6990" width="7.7109375" bestFit="1" customWidth="1"/>
    <col min="6991" max="6991" width="11.5703125" bestFit="1" customWidth="1"/>
    <col min="6992" max="6992" width="10.85546875" bestFit="1" customWidth="1"/>
    <col min="6993" max="6993" width="13.28515625" bestFit="1" customWidth="1"/>
    <col min="6994" max="6994" width="10.85546875" bestFit="1" customWidth="1"/>
    <col min="6995" max="6996" width="7.5703125" bestFit="1" customWidth="1"/>
    <col min="6997" max="6998" width="10.42578125" bestFit="1" customWidth="1"/>
    <col min="6999" max="6999" width="11.5703125" bestFit="1" customWidth="1"/>
    <col min="7000" max="7000" width="5.28515625" bestFit="1" customWidth="1"/>
    <col min="7001" max="7001" width="10.28515625" bestFit="1" customWidth="1"/>
    <col min="7002" max="7002" width="10.42578125" bestFit="1" customWidth="1"/>
    <col min="7003" max="7003" width="11.5703125" bestFit="1" customWidth="1"/>
    <col min="7004" max="7004" width="5.28515625" bestFit="1" customWidth="1"/>
    <col min="7005" max="7007" width="11.5703125" bestFit="1" customWidth="1"/>
    <col min="7008" max="7008" width="5.28515625" bestFit="1" customWidth="1"/>
    <col min="7009" max="7010" width="10.42578125" bestFit="1" customWidth="1"/>
    <col min="7011" max="7011" width="11.5703125" bestFit="1" customWidth="1"/>
    <col min="7012" max="7012" width="5.28515625" bestFit="1" customWidth="1"/>
    <col min="7013" max="7013" width="14.28515625" bestFit="1" customWidth="1"/>
    <col min="7014" max="7014" width="13" bestFit="1" customWidth="1"/>
    <col min="7015" max="7015" width="11.5703125" bestFit="1" customWidth="1"/>
    <col min="7016" max="7016" width="8.85546875" bestFit="1" customWidth="1"/>
    <col min="7017" max="7017" width="14.42578125" bestFit="1" customWidth="1"/>
    <col min="7018" max="7018" width="10.42578125" bestFit="1" customWidth="1"/>
    <col min="7019" max="7019" width="12.28515625" bestFit="1" customWidth="1"/>
    <col min="7020" max="7020" width="13.85546875" bestFit="1" customWidth="1"/>
    <col min="7021" max="7021" width="11.28515625" customWidth="1"/>
    <col min="7022" max="7022" width="11.5703125" customWidth="1"/>
    <col min="7023" max="7023" width="13.42578125" bestFit="1" customWidth="1"/>
    <col min="7024" max="7024" width="10.42578125" customWidth="1"/>
    <col min="7025" max="7025" width="13.85546875" bestFit="1" customWidth="1"/>
    <col min="7026" max="7026" width="15.42578125" bestFit="1" customWidth="1"/>
    <col min="7027" max="7027" width="12.28515625" bestFit="1" customWidth="1"/>
    <col min="7028" max="7028" width="12.7109375" customWidth="1"/>
    <col min="7029" max="7029" width="10.7109375" bestFit="1" customWidth="1"/>
    <col min="7030" max="7030" width="9.85546875" customWidth="1"/>
    <col min="7031" max="7032" width="10.140625" bestFit="1" customWidth="1"/>
    <col min="7033" max="7033" width="7.5703125" bestFit="1" customWidth="1"/>
    <col min="7034" max="7034" width="9.42578125" bestFit="1" customWidth="1"/>
    <col min="7035" max="7035" width="14.5703125" bestFit="1" customWidth="1"/>
    <col min="7036" max="7036" width="14.85546875" customWidth="1"/>
    <col min="7037" max="7037" width="15.140625" bestFit="1" customWidth="1"/>
    <col min="7038" max="7038" width="12.140625" bestFit="1" customWidth="1"/>
    <col min="7039" max="7039" width="14.85546875" bestFit="1" customWidth="1"/>
    <col min="7040" max="7040" width="12.28515625" bestFit="1" customWidth="1"/>
    <col min="7041" max="7049" width="9.140625" hidden="1" customWidth="1"/>
    <col min="7050" max="7050" width="5.28515625" bestFit="1" customWidth="1"/>
    <col min="7051" max="7056" width="11.5703125" bestFit="1" customWidth="1"/>
    <col min="7057" max="7057" width="11.28515625" bestFit="1" customWidth="1"/>
    <col min="7058" max="7058" width="10.140625" bestFit="1" customWidth="1"/>
    <col min="7059" max="7059" width="11.5703125" bestFit="1" customWidth="1"/>
    <col min="7060" max="7060" width="16.140625" customWidth="1"/>
    <col min="7061" max="7061" width="13.42578125" customWidth="1"/>
    <col min="7062" max="7062" width="10.140625" bestFit="1" customWidth="1"/>
    <col min="7063" max="7063" width="12.85546875" bestFit="1" customWidth="1"/>
    <col min="7064" max="7064" width="12.28515625" bestFit="1" customWidth="1"/>
    <col min="7065" max="7065" width="11.28515625" bestFit="1" customWidth="1"/>
    <col min="7066" max="7066" width="11.5703125" bestFit="1" customWidth="1"/>
    <col min="7067" max="7067" width="10.85546875" bestFit="1" customWidth="1"/>
    <col min="7068" max="7068" width="11.28515625" bestFit="1" customWidth="1"/>
    <col min="7069" max="7069" width="10.140625" bestFit="1" customWidth="1"/>
    <col min="7070" max="7070" width="13.28515625" bestFit="1" customWidth="1"/>
    <col min="7071" max="7072" width="12.7109375" bestFit="1" customWidth="1"/>
    <col min="7073" max="7073" width="11" bestFit="1" customWidth="1"/>
    <col min="7074" max="7074" width="11.28515625" bestFit="1" customWidth="1"/>
    <col min="7075" max="7075" width="11.5703125" bestFit="1" customWidth="1"/>
    <col min="7076" max="7076" width="12.28515625" bestFit="1" customWidth="1"/>
    <col min="7077" max="7077" width="15.140625" bestFit="1" customWidth="1"/>
    <col min="7078" max="7078" width="14.42578125" bestFit="1" customWidth="1"/>
    <col min="7079" max="7079" width="12.28515625" bestFit="1" customWidth="1"/>
    <col min="7080" max="7080" width="15.140625" bestFit="1" customWidth="1"/>
    <col min="7081" max="7081" width="14.42578125" bestFit="1" customWidth="1"/>
    <col min="7082" max="7082" width="12.28515625" bestFit="1" customWidth="1"/>
    <col min="7083" max="7083" width="14.42578125" bestFit="1" customWidth="1"/>
    <col min="7084" max="7084" width="11.28515625" bestFit="1" customWidth="1"/>
    <col min="7085" max="7085" width="12.28515625" bestFit="1" customWidth="1"/>
    <col min="7086" max="7086" width="13" bestFit="1" customWidth="1"/>
    <col min="7087" max="7087" width="15.140625" bestFit="1" customWidth="1"/>
    <col min="7088" max="7088" width="12.28515625" bestFit="1" customWidth="1"/>
    <col min="7089" max="7089" width="13.85546875" bestFit="1" customWidth="1"/>
    <col min="7090" max="7090" width="11.28515625" bestFit="1" customWidth="1"/>
    <col min="7091" max="7091" width="12.28515625" bestFit="1" customWidth="1"/>
    <col min="7092" max="7092" width="13.85546875" bestFit="1" customWidth="1"/>
    <col min="7093" max="7094" width="15.140625" bestFit="1" customWidth="1"/>
    <col min="7095" max="7095" width="12.28515625" bestFit="1" customWidth="1"/>
    <col min="7096" max="7096" width="5.7109375" bestFit="1" customWidth="1"/>
    <col min="7097" max="7097" width="8.5703125" bestFit="1" customWidth="1"/>
    <col min="7098" max="7098" width="5.5703125" bestFit="1" customWidth="1"/>
    <col min="7099" max="7099" width="14.42578125" bestFit="1" customWidth="1"/>
    <col min="7100" max="7100" width="11.28515625" bestFit="1" customWidth="1"/>
    <col min="7101" max="7102" width="12.28515625" bestFit="1" customWidth="1"/>
    <col min="7103" max="7103" width="11.28515625" bestFit="1" customWidth="1"/>
    <col min="7104" max="7104" width="13.85546875" bestFit="1" customWidth="1"/>
    <col min="7105" max="7105" width="12" bestFit="1" customWidth="1"/>
    <col min="7106" max="7106" width="13.85546875" bestFit="1" customWidth="1"/>
    <col min="7107" max="7108" width="14.42578125" customWidth="1"/>
    <col min="7109" max="7109" width="10.140625" bestFit="1" customWidth="1"/>
    <col min="7110" max="7110" width="12.28515625" bestFit="1" customWidth="1"/>
    <col min="7111" max="7111" width="7.42578125" bestFit="1" customWidth="1"/>
    <col min="7112" max="7112" width="8.5703125" bestFit="1" customWidth="1"/>
    <col min="7113" max="7113" width="11.5703125" bestFit="1" customWidth="1"/>
    <col min="7114" max="7114" width="13.28515625" bestFit="1" customWidth="1"/>
    <col min="7115" max="7115" width="13.28515625" customWidth="1"/>
    <col min="7116" max="7116" width="13.140625" customWidth="1"/>
    <col min="7117" max="7117" width="12.7109375" bestFit="1" customWidth="1"/>
    <col min="7118" max="7118" width="13.28515625" bestFit="1" customWidth="1"/>
    <col min="7119" max="7121" width="13.28515625" customWidth="1"/>
    <col min="7122" max="7122" width="12.140625" bestFit="1" customWidth="1"/>
    <col min="7123" max="7123" width="12.7109375" bestFit="1" customWidth="1"/>
    <col min="7124" max="7124" width="11" customWidth="1"/>
    <col min="7125" max="7125" width="16.7109375" customWidth="1"/>
    <col min="7126" max="7126" width="17" customWidth="1"/>
    <col min="7127" max="7127" width="10.42578125" bestFit="1" customWidth="1"/>
    <col min="7171" max="7171" width="3.85546875" customWidth="1"/>
    <col min="7172" max="7172" width="15.28515625" bestFit="1" customWidth="1"/>
    <col min="7173" max="7173" width="12.28515625" customWidth="1"/>
    <col min="7174" max="7174" width="16.28515625" bestFit="1" customWidth="1"/>
    <col min="7175" max="7175" width="6.42578125" bestFit="1" customWidth="1"/>
    <col min="7176" max="7176" width="9.28515625" bestFit="1" customWidth="1"/>
    <col min="7177" max="7177" width="7.5703125" bestFit="1" customWidth="1"/>
    <col min="7178" max="7178" width="13.28515625" bestFit="1" customWidth="1"/>
    <col min="7179" max="7179" width="9.28515625" bestFit="1" customWidth="1"/>
    <col min="7180" max="7180" width="11.5703125" bestFit="1" customWidth="1"/>
    <col min="7181" max="7181" width="13.28515625" bestFit="1" customWidth="1"/>
    <col min="7182" max="7182" width="7.140625" bestFit="1" customWidth="1"/>
    <col min="7183" max="7183" width="12" bestFit="1" customWidth="1"/>
    <col min="7184" max="7184" width="13.28515625" bestFit="1" customWidth="1"/>
    <col min="7185" max="7185" width="7" bestFit="1" customWidth="1"/>
    <col min="7186" max="7186" width="12.7109375" bestFit="1" customWidth="1"/>
    <col min="7187" max="7187" width="11.5703125" bestFit="1" customWidth="1"/>
    <col min="7188" max="7188" width="10.5703125" bestFit="1" customWidth="1"/>
    <col min="7189" max="7190" width="15.7109375" bestFit="1" customWidth="1"/>
    <col min="7191" max="7191" width="11.5703125" bestFit="1" customWidth="1"/>
    <col min="7192" max="7192" width="7.7109375" bestFit="1" customWidth="1"/>
    <col min="7193" max="7193" width="15.140625" bestFit="1" customWidth="1"/>
    <col min="7194" max="7194" width="11.5703125" bestFit="1" customWidth="1"/>
    <col min="7195" max="7195" width="13.28515625" bestFit="1" customWidth="1"/>
    <col min="7196" max="7196" width="10.42578125" bestFit="1" customWidth="1"/>
    <col min="7197" max="7197" width="13.28515625" bestFit="1" customWidth="1"/>
    <col min="7198" max="7198" width="12.140625" bestFit="1" customWidth="1"/>
    <col min="7199" max="7199" width="14.42578125" bestFit="1" customWidth="1"/>
    <col min="7200" max="7200" width="13.28515625" bestFit="1" customWidth="1"/>
    <col min="7201" max="7201" width="11.5703125" bestFit="1" customWidth="1"/>
    <col min="7202" max="7202" width="7.7109375" bestFit="1" customWidth="1"/>
    <col min="7203" max="7204" width="14.42578125" bestFit="1" customWidth="1"/>
    <col min="7205" max="7205" width="11.5703125" bestFit="1" customWidth="1"/>
    <col min="7206" max="7206" width="7.7109375" bestFit="1" customWidth="1"/>
    <col min="7207" max="7207" width="13.5703125" customWidth="1"/>
    <col min="7208" max="7208" width="15.28515625" customWidth="1"/>
    <col min="7209" max="7209" width="14.5703125" customWidth="1"/>
    <col min="7210" max="7210" width="13.28515625" bestFit="1" customWidth="1"/>
    <col min="7211" max="7211" width="7.7109375" bestFit="1" customWidth="1"/>
    <col min="7212" max="7212" width="12.7109375" bestFit="1" customWidth="1"/>
    <col min="7213" max="7213" width="11.7109375" bestFit="1" customWidth="1"/>
    <col min="7214" max="7214" width="11.5703125" bestFit="1" customWidth="1"/>
    <col min="7215" max="7215" width="5.28515625" bestFit="1" customWidth="1"/>
    <col min="7216" max="7216" width="13.28515625" bestFit="1" customWidth="1"/>
    <col min="7217" max="7217" width="13.5703125" bestFit="1" customWidth="1"/>
    <col min="7218" max="7218" width="10.5703125" bestFit="1" customWidth="1"/>
    <col min="7219" max="7219" width="13.28515625" bestFit="1" customWidth="1"/>
    <col min="7220" max="7220" width="11.5703125" bestFit="1" customWidth="1"/>
    <col min="7221" max="7221" width="10.5703125" bestFit="1" customWidth="1"/>
    <col min="7222" max="7222" width="16.140625" bestFit="1" customWidth="1"/>
    <col min="7223" max="7224" width="11.28515625" bestFit="1" customWidth="1"/>
    <col min="7225" max="7225" width="13.28515625" bestFit="1" customWidth="1"/>
    <col min="7226" max="7226" width="7.7109375" bestFit="1" customWidth="1"/>
    <col min="7227" max="7230" width="9.140625" hidden="1" customWidth="1"/>
    <col min="7231" max="7231" width="10.42578125" bestFit="1" customWidth="1"/>
    <col min="7232" max="7232" width="10.5703125" bestFit="1" customWidth="1"/>
    <col min="7233" max="7233" width="10.42578125" bestFit="1" customWidth="1"/>
    <col min="7234" max="7234" width="10.5703125" bestFit="1" customWidth="1"/>
    <col min="7235" max="7235" width="9.5703125" bestFit="1" customWidth="1"/>
    <col min="7236" max="7236" width="11.5703125" bestFit="1" customWidth="1"/>
    <col min="7237" max="7237" width="10.42578125" bestFit="1" customWidth="1"/>
    <col min="7238" max="7238" width="10.85546875" customWidth="1"/>
    <col min="7239" max="7240" width="9.85546875" bestFit="1" customWidth="1"/>
    <col min="7241" max="7241" width="13.5703125" bestFit="1" customWidth="1"/>
    <col min="7242" max="7242" width="7.7109375" bestFit="1" customWidth="1"/>
    <col min="7243" max="7243" width="13.28515625" bestFit="1" customWidth="1"/>
    <col min="7244" max="7244" width="11.5703125" bestFit="1" customWidth="1"/>
    <col min="7245" max="7245" width="10.42578125" bestFit="1" customWidth="1"/>
    <col min="7246" max="7246" width="7.7109375" bestFit="1" customWidth="1"/>
    <col min="7247" max="7247" width="11.5703125" bestFit="1" customWidth="1"/>
    <col min="7248" max="7248" width="10.85546875" bestFit="1" customWidth="1"/>
    <col min="7249" max="7249" width="13.28515625" bestFit="1" customWidth="1"/>
    <col min="7250" max="7250" width="10.85546875" bestFit="1" customWidth="1"/>
    <col min="7251" max="7252" width="7.5703125" bestFit="1" customWidth="1"/>
    <col min="7253" max="7254" width="10.42578125" bestFit="1" customWidth="1"/>
    <col min="7255" max="7255" width="11.5703125" bestFit="1" customWidth="1"/>
    <col min="7256" max="7256" width="5.28515625" bestFit="1" customWidth="1"/>
    <col min="7257" max="7257" width="10.28515625" bestFit="1" customWidth="1"/>
    <col min="7258" max="7258" width="10.42578125" bestFit="1" customWidth="1"/>
    <col min="7259" max="7259" width="11.5703125" bestFit="1" customWidth="1"/>
    <col min="7260" max="7260" width="5.28515625" bestFit="1" customWidth="1"/>
    <col min="7261" max="7263" width="11.5703125" bestFit="1" customWidth="1"/>
    <col min="7264" max="7264" width="5.28515625" bestFit="1" customWidth="1"/>
    <col min="7265" max="7266" width="10.42578125" bestFit="1" customWidth="1"/>
    <col min="7267" max="7267" width="11.5703125" bestFit="1" customWidth="1"/>
    <col min="7268" max="7268" width="5.28515625" bestFit="1" customWidth="1"/>
    <col min="7269" max="7269" width="14.28515625" bestFit="1" customWidth="1"/>
    <col min="7270" max="7270" width="13" bestFit="1" customWidth="1"/>
    <col min="7271" max="7271" width="11.5703125" bestFit="1" customWidth="1"/>
    <col min="7272" max="7272" width="8.85546875" bestFit="1" customWidth="1"/>
    <col min="7273" max="7273" width="14.42578125" bestFit="1" customWidth="1"/>
    <col min="7274" max="7274" width="10.42578125" bestFit="1" customWidth="1"/>
    <col min="7275" max="7275" width="12.28515625" bestFit="1" customWidth="1"/>
    <col min="7276" max="7276" width="13.85546875" bestFit="1" customWidth="1"/>
    <col min="7277" max="7277" width="11.28515625" customWidth="1"/>
    <col min="7278" max="7278" width="11.5703125" customWidth="1"/>
    <col min="7279" max="7279" width="13.42578125" bestFit="1" customWidth="1"/>
    <col min="7280" max="7280" width="10.42578125" customWidth="1"/>
    <col min="7281" max="7281" width="13.85546875" bestFit="1" customWidth="1"/>
    <col min="7282" max="7282" width="15.42578125" bestFit="1" customWidth="1"/>
    <col min="7283" max="7283" width="12.28515625" bestFit="1" customWidth="1"/>
    <col min="7284" max="7284" width="12.7109375" customWidth="1"/>
    <col min="7285" max="7285" width="10.7109375" bestFit="1" customWidth="1"/>
    <col min="7286" max="7286" width="9.85546875" customWidth="1"/>
    <col min="7287" max="7288" width="10.140625" bestFit="1" customWidth="1"/>
    <col min="7289" max="7289" width="7.5703125" bestFit="1" customWidth="1"/>
    <col min="7290" max="7290" width="9.42578125" bestFit="1" customWidth="1"/>
    <col min="7291" max="7291" width="14.5703125" bestFit="1" customWidth="1"/>
    <col min="7292" max="7292" width="14.85546875" customWidth="1"/>
    <col min="7293" max="7293" width="15.140625" bestFit="1" customWidth="1"/>
    <col min="7294" max="7294" width="12.140625" bestFit="1" customWidth="1"/>
    <col min="7295" max="7295" width="14.85546875" bestFit="1" customWidth="1"/>
    <col min="7296" max="7296" width="12.28515625" bestFit="1" customWidth="1"/>
    <col min="7297" max="7305" width="9.140625" hidden="1" customWidth="1"/>
    <col min="7306" max="7306" width="5.28515625" bestFit="1" customWidth="1"/>
    <col min="7307" max="7312" width="11.5703125" bestFit="1" customWidth="1"/>
    <col min="7313" max="7313" width="11.28515625" bestFit="1" customWidth="1"/>
    <col min="7314" max="7314" width="10.140625" bestFit="1" customWidth="1"/>
    <col min="7315" max="7315" width="11.5703125" bestFit="1" customWidth="1"/>
    <col min="7316" max="7316" width="16.140625" customWidth="1"/>
    <col min="7317" max="7317" width="13.42578125" customWidth="1"/>
    <col min="7318" max="7318" width="10.140625" bestFit="1" customWidth="1"/>
    <col min="7319" max="7319" width="12.85546875" bestFit="1" customWidth="1"/>
    <col min="7320" max="7320" width="12.28515625" bestFit="1" customWidth="1"/>
    <col min="7321" max="7321" width="11.28515625" bestFit="1" customWidth="1"/>
    <col min="7322" max="7322" width="11.5703125" bestFit="1" customWidth="1"/>
    <col min="7323" max="7323" width="10.85546875" bestFit="1" customWidth="1"/>
    <col min="7324" max="7324" width="11.28515625" bestFit="1" customWidth="1"/>
    <col min="7325" max="7325" width="10.140625" bestFit="1" customWidth="1"/>
    <col min="7326" max="7326" width="13.28515625" bestFit="1" customWidth="1"/>
    <col min="7327" max="7328" width="12.7109375" bestFit="1" customWidth="1"/>
    <col min="7329" max="7329" width="11" bestFit="1" customWidth="1"/>
    <col min="7330" max="7330" width="11.28515625" bestFit="1" customWidth="1"/>
    <col min="7331" max="7331" width="11.5703125" bestFit="1" customWidth="1"/>
    <col min="7332" max="7332" width="12.28515625" bestFit="1" customWidth="1"/>
    <col min="7333" max="7333" width="15.140625" bestFit="1" customWidth="1"/>
    <col min="7334" max="7334" width="14.42578125" bestFit="1" customWidth="1"/>
    <col min="7335" max="7335" width="12.28515625" bestFit="1" customWidth="1"/>
    <col min="7336" max="7336" width="15.140625" bestFit="1" customWidth="1"/>
    <col min="7337" max="7337" width="14.42578125" bestFit="1" customWidth="1"/>
    <col min="7338" max="7338" width="12.28515625" bestFit="1" customWidth="1"/>
    <col min="7339" max="7339" width="14.42578125" bestFit="1" customWidth="1"/>
    <col min="7340" max="7340" width="11.28515625" bestFit="1" customWidth="1"/>
    <col min="7341" max="7341" width="12.28515625" bestFit="1" customWidth="1"/>
    <col min="7342" max="7342" width="13" bestFit="1" customWidth="1"/>
    <col min="7343" max="7343" width="15.140625" bestFit="1" customWidth="1"/>
    <col min="7344" max="7344" width="12.28515625" bestFit="1" customWidth="1"/>
    <col min="7345" max="7345" width="13.85546875" bestFit="1" customWidth="1"/>
    <col min="7346" max="7346" width="11.28515625" bestFit="1" customWidth="1"/>
    <col min="7347" max="7347" width="12.28515625" bestFit="1" customWidth="1"/>
    <col min="7348" max="7348" width="13.85546875" bestFit="1" customWidth="1"/>
    <col min="7349" max="7350" width="15.140625" bestFit="1" customWidth="1"/>
    <col min="7351" max="7351" width="12.28515625" bestFit="1" customWidth="1"/>
    <col min="7352" max="7352" width="5.7109375" bestFit="1" customWidth="1"/>
    <col min="7353" max="7353" width="8.5703125" bestFit="1" customWidth="1"/>
    <col min="7354" max="7354" width="5.5703125" bestFit="1" customWidth="1"/>
    <col min="7355" max="7355" width="14.42578125" bestFit="1" customWidth="1"/>
    <col min="7356" max="7356" width="11.28515625" bestFit="1" customWidth="1"/>
    <col min="7357" max="7358" width="12.28515625" bestFit="1" customWidth="1"/>
    <col min="7359" max="7359" width="11.28515625" bestFit="1" customWidth="1"/>
    <col min="7360" max="7360" width="13.85546875" bestFit="1" customWidth="1"/>
    <col min="7361" max="7361" width="12" bestFit="1" customWidth="1"/>
    <col min="7362" max="7362" width="13.85546875" bestFit="1" customWidth="1"/>
    <col min="7363" max="7364" width="14.42578125" customWidth="1"/>
    <col min="7365" max="7365" width="10.140625" bestFit="1" customWidth="1"/>
    <col min="7366" max="7366" width="12.28515625" bestFit="1" customWidth="1"/>
    <col min="7367" max="7367" width="7.42578125" bestFit="1" customWidth="1"/>
    <col min="7368" max="7368" width="8.5703125" bestFit="1" customWidth="1"/>
    <col min="7369" max="7369" width="11.5703125" bestFit="1" customWidth="1"/>
    <col min="7370" max="7370" width="13.28515625" bestFit="1" customWidth="1"/>
    <col min="7371" max="7371" width="13.28515625" customWidth="1"/>
    <col min="7372" max="7372" width="13.140625" customWidth="1"/>
    <col min="7373" max="7373" width="12.7109375" bestFit="1" customWidth="1"/>
    <col min="7374" max="7374" width="13.28515625" bestFit="1" customWidth="1"/>
    <col min="7375" max="7377" width="13.28515625" customWidth="1"/>
    <col min="7378" max="7378" width="12.140625" bestFit="1" customWidth="1"/>
    <col min="7379" max="7379" width="12.7109375" bestFit="1" customWidth="1"/>
    <col min="7380" max="7380" width="11" customWidth="1"/>
    <col min="7381" max="7381" width="16.7109375" customWidth="1"/>
    <col min="7382" max="7382" width="17" customWidth="1"/>
    <col min="7383" max="7383" width="10.42578125" bestFit="1" customWidth="1"/>
    <col min="7427" max="7427" width="3.85546875" customWidth="1"/>
    <col min="7428" max="7428" width="15.28515625" bestFit="1" customWidth="1"/>
    <col min="7429" max="7429" width="12.28515625" customWidth="1"/>
    <col min="7430" max="7430" width="16.28515625" bestFit="1" customWidth="1"/>
    <col min="7431" max="7431" width="6.42578125" bestFit="1" customWidth="1"/>
    <col min="7432" max="7432" width="9.28515625" bestFit="1" customWidth="1"/>
    <col min="7433" max="7433" width="7.5703125" bestFit="1" customWidth="1"/>
    <col min="7434" max="7434" width="13.28515625" bestFit="1" customWidth="1"/>
    <col min="7435" max="7435" width="9.28515625" bestFit="1" customWidth="1"/>
    <col min="7436" max="7436" width="11.5703125" bestFit="1" customWidth="1"/>
    <col min="7437" max="7437" width="13.28515625" bestFit="1" customWidth="1"/>
    <col min="7438" max="7438" width="7.140625" bestFit="1" customWidth="1"/>
    <col min="7439" max="7439" width="12" bestFit="1" customWidth="1"/>
    <col min="7440" max="7440" width="13.28515625" bestFit="1" customWidth="1"/>
    <col min="7441" max="7441" width="7" bestFit="1" customWidth="1"/>
    <col min="7442" max="7442" width="12.7109375" bestFit="1" customWidth="1"/>
    <col min="7443" max="7443" width="11.5703125" bestFit="1" customWidth="1"/>
    <col min="7444" max="7444" width="10.5703125" bestFit="1" customWidth="1"/>
    <col min="7445" max="7446" width="15.7109375" bestFit="1" customWidth="1"/>
    <col min="7447" max="7447" width="11.5703125" bestFit="1" customWidth="1"/>
    <col min="7448" max="7448" width="7.7109375" bestFit="1" customWidth="1"/>
    <col min="7449" max="7449" width="15.140625" bestFit="1" customWidth="1"/>
    <col min="7450" max="7450" width="11.5703125" bestFit="1" customWidth="1"/>
    <col min="7451" max="7451" width="13.28515625" bestFit="1" customWidth="1"/>
    <col min="7452" max="7452" width="10.42578125" bestFit="1" customWidth="1"/>
    <col min="7453" max="7453" width="13.28515625" bestFit="1" customWidth="1"/>
    <col min="7454" max="7454" width="12.140625" bestFit="1" customWidth="1"/>
    <col min="7455" max="7455" width="14.42578125" bestFit="1" customWidth="1"/>
    <col min="7456" max="7456" width="13.28515625" bestFit="1" customWidth="1"/>
    <col min="7457" max="7457" width="11.5703125" bestFit="1" customWidth="1"/>
    <col min="7458" max="7458" width="7.7109375" bestFit="1" customWidth="1"/>
    <col min="7459" max="7460" width="14.42578125" bestFit="1" customWidth="1"/>
    <col min="7461" max="7461" width="11.5703125" bestFit="1" customWidth="1"/>
    <col min="7462" max="7462" width="7.7109375" bestFit="1" customWidth="1"/>
    <col min="7463" max="7463" width="13.5703125" customWidth="1"/>
    <col min="7464" max="7464" width="15.28515625" customWidth="1"/>
    <col min="7465" max="7465" width="14.5703125" customWidth="1"/>
    <col min="7466" max="7466" width="13.28515625" bestFit="1" customWidth="1"/>
    <col min="7467" max="7467" width="7.7109375" bestFit="1" customWidth="1"/>
    <col min="7468" max="7468" width="12.7109375" bestFit="1" customWidth="1"/>
    <col min="7469" max="7469" width="11.7109375" bestFit="1" customWidth="1"/>
    <col min="7470" max="7470" width="11.5703125" bestFit="1" customWidth="1"/>
    <col min="7471" max="7471" width="5.28515625" bestFit="1" customWidth="1"/>
    <col min="7472" max="7472" width="13.28515625" bestFit="1" customWidth="1"/>
    <col min="7473" max="7473" width="13.5703125" bestFit="1" customWidth="1"/>
    <col min="7474" max="7474" width="10.5703125" bestFit="1" customWidth="1"/>
    <col min="7475" max="7475" width="13.28515625" bestFit="1" customWidth="1"/>
    <col min="7476" max="7476" width="11.5703125" bestFit="1" customWidth="1"/>
    <col min="7477" max="7477" width="10.5703125" bestFit="1" customWidth="1"/>
    <col min="7478" max="7478" width="16.140625" bestFit="1" customWidth="1"/>
    <col min="7479" max="7480" width="11.28515625" bestFit="1" customWidth="1"/>
    <col min="7481" max="7481" width="13.28515625" bestFit="1" customWidth="1"/>
    <col min="7482" max="7482" width="7.7109375" bestFit="1" customWidth="1"/>
    <col min="7483" max="7486" width="9.140625" hidden="1" customWidth="1"/>
    <col min="7487" max="7487" width="10.42578125" bestFit="1" customWidth="1"/>
    <col min="7488" max="7488" width="10.5703125" bestFit="1" customWidth="1"/>
    <col min="7489" max="7489" width="10.42578125" bestFit="1" customWidth="1"/>
    <col min="7490" max="7490" width="10.5703125" bestFit="1" customWidth="1"/>
    <col min="7491" max="7491" width="9.5703125" bestFit="1" customWidth="1"/>
    <col min="7492" max="7492" width="11.5703125" bestFit="1" customWidth="1"/>
    <col min="7493" max="7493" width="10.42578125" bestFit="1" customWidth="1"/>
    <col min="7494" max="7494" width="10.85546875" customWidth="1"/>
    <col min="7495" max="7496" width="9.85546875" bestFit="1" customWidth="1"/>
    <col min="7497" max="7497" width="13.5703125" bestFit="1" customWidth="1"/>
    <col min="7498" max="7498" width="7.7109375" bestFit="1" customWidth="1"/>
    <col min="7499" max="7499" width="13.28515625" bestFit="1" customWidth="1"/>
    <col min="7500" max="7500" width="11.5703125" bestFit="1" customWidth="1"/>
    <col min="7501" max="7501" width="10.42578125" bestFit="1" customWidth="1"/>
    <col min="7502" max="7502" width="7.7109375" bestFit="1" customWidth="1"/>
    <col min="7503" max="7503" width="11.5703125" bestFit="1" customWidth="1"/>
    <col min="7504" max="7504" width="10.85546875" bestFit="1" customWidth="1"/>
    <col min="7505" max="7505" width="13.28515625" bestFit="1" customWidth="1"/>
    <col min="7506" max="7506" width="10.85546875" bestFit="1" customWidth="1"/>
    <col min="7507" max="7508" width="7.5703125" bestFit="1" customWidth="1"/>
    <col min="7509" max="7510" width="10.42578125" bestFit="1" customWidth="1"/>
    <col min="7511" max="7511" width="11.5703125" bestFit="1" customWidth="1"/>
    <col min="7512" max="7512" width="5.28515625" bestFit="1" customWidth="1"/>
    <col min="7513" max="7513" width="10.28515625" bestFit="1" customWidth="1"/>
    <col min="7514" max="7514" width="10.42578125" bestFit="1" customWidth="1"/>
    <col min="7515" max="7515" width="11.5703125" bestFit="1" customWidth="1"/>
    <col min="7516" max="7516" width="5.28515625" bestFit="1" customWidth="1"/>
    <col min="7517" max="7519" width="11.5703125" bestFit="1" customWidth="1"/>
    <col min="7520" max="7520" width="5.28515625" bestFit="1" customWidth="1"/>
    <col min="7521" max="7522" width="10.42578125" bestFit="1" customWidth="1"/>
    <col min="7523" max="7523" width="11.5703125" bestFit="1" customWidth="1"/>
    <col min="7524" max="7524" width="5.28515625" bestFit="1" customWidth="1"/>
    <col min="7525" max="7525" width="14.28515625" bestFit="1" customWidth="1"/>
    <col min="7526" max="7526" width="13" bestFit="1" customWidth="1"/>
    <col min="7527" max="7527" width="11.5703125" bestFit="1" customWidth="1"/>
    <col min="7528" max="7528" width="8.85546875" bestFit="1" customWidth="1"/>
    <col min="7529" max="7529" width="14.42578125" bestFit="1" customWidth="1"/>
    <col min="7530" max="7530" width="10.42578125" bestFit="1" customWidth="1"/>
    <col min="7531" max="7531" width="12.28515625" bestFit="1" customWidth="1"/>
    <col min="7532" max="7532" width="13.85546875" bestFit="1" customWidth="1"/>
    <col min="7533" max="7533" width="11.28515625" customWidth="1"/>
    <col min="7534" max="7534" width="11.5703125" customWidth="1"/>
    <col min="7535" max="7535" width="13.42578125" bestFit="1" customWidth="1"/>
    <col min="7536" max="7536" width="10.42578125" customWidth="1"/>
    <col min="7537" max="7537" width="13.85546875" bestFit="1" customWidth="1"/>
    <col min="7538" max="7538" width="15.42578125" bestFit="1" customWidth="1"/>
    <col min="7539" max="7539" width="12.28515625" bestFit="1" customWidth="1"/>
    <col min="7540" max="7540" width="12.7109375" customWidth="1"/>
    <col min="7541" max="7541" width="10.7109375" bestFit="1" customWidth="1"/>
    <col min="7542" max="7542" width="9.85546875" customWidth="1"/>
    <col min="7543" max="7544" width="10.140625" bestFit="1" customWidth="1"/>
    <col min="7545" max="7545" width="7.5703125" bestFit="1" customWidth="1"/>
    <col min="7546" max="7546" width="9.42578125" bestFit="1" customWidth="1"/>
    <col min="7547" max="7547" width="14.5703125" bestFit="1" customWidth="1"/>
    <col min="7548" max="7548" width="14.85546875" customWidth="1"/>
    <col min="7549" max="7549" width="15.140625" bestFit="1" customWidth="1"/>
    <col min="7550" max="7550" width="12.140625" bestFit="1" customWidth="1"/>
    <col min="7551" max="7551" width="14.85546875" bestFit="1" customWidth="1"/>
    <col min="7552" max="7552" width="12.28515625" bestFit="1" customWidth="1"/>
    <col min="7553" max="7561" width="9.140625" hidden="1" customWidth="1"/>
    <col min="7562" max="7562" width="5.28515625" bestFit="1" customWidth="1"/>
    <col min="7563" max="7568" width="11.5703125" bestFit="1" customWidth="1"/>
    <col min="7569" max="7569" width="11.28515625" bestFit="1" customWidth="1"/>
    <col min="7570" max="7570" width="10.140625" bestFit="1" customWidth="1"/>
    <col min="7571" max="7571" width="11.5703125" bestFit="1" customWidth="1"/>
    <col min="7572" max="7572" width="16.140625" customWidth="1"/>
    <col min="7573" max="7573" width="13.42578125" customWidth="1"/>
    <col min="7574" max="7574" width="10.140625" bestFit="1" customWidth="1"/>
    <col min="7575" max="7575" width="12.85546875" bestFit="1" customWidth="1"/>
    <col min="7576" max="7576" width="12.28515625" bestFit="1" customWidth="1"/>
    <col min="7577" max="7577" width="11.28515625" bestFit="1" customWidth="1"/>
    <col min="7578" max="7578" width="11.5703125" bestFit="1" customWidth="1"/>
    <col min="7579" max="7579" width="10.85546875" bestFit="1" customWidth="1"/>
    <col min="7580" max="7580" width="11.28515625" bestFit="1" customWidth="1"/>
    <col min="7581" max="7581" width="10.140625" bestFit="1" customWidth="1"/>
    <col min="7582" max="7582" width="13.28515625" bestFit="1" customWidth="1"/>
    <col min="7583" max="7584" width="12.7109375" bestFit="1" customWidth="1"/>
    <col min="7585" max="7585" width="11" bestFit="1" customWidth="1"/>
    <col min="7586" max="7586" width="11.28515625" bestFit="1" customWidth="1"/>
    <col min="7587" max="7587" width="11.5703125" bestFit="1" customWidth="1"/>
    <col min="7588" max="7588" width="12.28515625" bestFit="1" customWidth="1"/>
    <col min="7589" max="7589" width="15.140625" bestFit="1" customWidth="1"/>
    <col min="7590" max="7590" width="14.42578125" bestFit="1" customWidth="1"/>
    <col min="7591" max="7591" width="12.28515625" bestFit="1" customWidth="1"/>
    <col min="7592" max="7592" width="15.140625" bestFit="1" customWidth="1"/>
    <col min="7593" max="7593" width="14.42578125" bestFit="1" customWidth="1"/>
    <col min="7594" max="7594" width="12.28515625" bestFit="1" customWidth="1"/>
    <col min="7595" max="7595" width="14.42578125" bestFit="1" customWidth="1"/>
    <col min="7596" max="7596" width="11.28515625" bestFit="1" customWidth="1"/>
    <col min="7597" max="7597" width="12.28515625" bestFit="1" customWidth="1"/>
    <col min="7598" max="7598" width="13" bestFit="1" customWidth="1"/>
    <col min="7599" max="7599" width="15.140625" bestFit="1" customWidth="1"/>
    <col min="7600" max="7600" width="12.28515625" bestFit="1" customWidth="1"/>
    <col min="7601" max="7601" width="13.85546875" bestFit="1" customWidth="1"/>
    <col min="7602" max="7602" width="11.28515625" bestFit="1" customWidth="1"/>
    <col min="7603" max="7603" width="12.28515625" bestFit="1" customWidth="1"/>
    <col min="7604" max="7604" width="13.85546875" bestFit="1" customWidth="1"/>
    <col min="7605" max="7606" width="15.140625" bestFit="1" customWidth="1"/>
    <col min="7607" max="7607" width="12.28515625" bestFit="1" customWidth="1"/>
    <col min="7608" max="7608" width="5.7109375" bestFit="1" customWidth="1"/>
    <col min="7609" max="7609" width="8.5703125" bestFit="1" customWidth="1"/>
    <col min="7610" max="7610" width="5.5703125" bestFit="1" customWidth="1"/>
    <col min="7611" max="7611" width="14.42578125" bestFit="1" customWidth="1"/>
    <col min="7612" max="7612" width="11.28515625" bestFit="1" customWidth="1"/>
    <col min="7613" max="7614" width="12.28515625" bestFit="1" customWidth="1"/>
    <col min="7615" max="7615" width="11.28515625" bestFit="1" customWidth="1"/>
    <col min="7616" max="7616" width="13.85546875" bestFit="1" customWidth="1"/>
    <col min="7617" max="7617" width="12" bestFit="1" customWidth="1"/>
    <col min="7618" max="7618" width="13.85546875" bestFit="1" customWidth="1"/>
    <col min="7619" max="7620" width="14.42578125" customWidth="1"/>
    <col min="7621" max="7621" width="10.140625" bestFit="1" customWidth="1"/>
    <col min="7622" max="7622" width="12.28515625" bestFit="1" customWidth="1"/>
    <col min="7623" max="7623" width="7.42578125" bestFit="1" customWidth="1"/>
    <col min="7624" max="7624" width="8.5703125" bestFit="1" customWidth="1"/>
    <col min="7625" max="7625" width="11.5703125" bestFit="1" customWidth="1"/>
    <col min="7626" max="7626" width="13.28515625" bestFit="1" customWidth="1"/>
    <col min="7627" max="7627" width="13.28515625" customWidth="1"/>
    <col min="7628" max="7628" width="13.140625" customWidth="1"/>
    <col min="7629" max="7629" width="12.7109375" bestFit="1" customWidth="1"/>
    <col min="7630" max="7630" width="13.28515625" bestFit="1" customWidth="1"/>
    <col min="7631" max="7633" width="13.28515625" customWidth="1"/>
    <col min="7634" max="7634" width="12.140625" bestFit="1" customWidth="1"/>
    <col min="7635" max="7635" width="12.7109375" bestFit="1" customWidth="1"/>
    <col min="7636" max="7636" width="11" customWidth="1"/>
    <col min="7637" max="7637" width="16.7109375" customWidth="1"/>
    <col min="7638" max="7638" width="17" customWidth="1"/>
    <col min="7639" max="7639" width="10.42578125" bestFit="1" customWidth="1"/>
    <col min="7683" max="7683" width="3.85546875" customWidth="1"/>
    <col min="7684" max="7684" width="15.28515625" bestFit="1" customWidth="1"/>
    <col min="7685" max="7685" width="12.28515625" customWidth="1"/>
    <col min="7686" max="7686" width="16.28515625" bestFit="1" customWidth="1"/>
    <col min="7687" max="7687" width="6.42578125" bestFit="1" customWidth="1"/>
    <col min="7688" max="7688" width="9.28515625" bestFit="1" customWidth="1"/>
    <col min="7689" max="7689" width="7.5703125" bestFit="1" customWidth="1"/>
    <col min="7690" max="7690" width="13.28515625" bestFit="1" customWidth="1"/>
    <col min="7691" max="7691" width="9.28515625" bestFit="1" customWidth="1"/>
    <col min="7692" max="7692" width="11.5703125" bestFit="1" customWidth="1"/>
    <col min="7693" max="7693" width="13.28515625" bestFit="1" customWidth="1"/>
    <col min="7694" max="7694" width="7.140625" bestFit="1" customWidth="1"/>
    <col min="7695" max="7695" width="12" bestFit="1" customWidth="1"/>
    <col min="7696" max="7696" width="13.28515625" bestFit="1" customWidth="1"/>
    <col min="7697" max="7697" width="7" bestFit="1" customWidth="1"/>
    <col min="7698" max="7698" width="12.7109375" bestFit="1" customWidth="1"/>
    <col min="7699" max="7699" width="11.5703125" bestFit="1" customWidth="1"/>
    <col min="7700" max="7700" width="10.5703125" bestFit="1" customWidth="1"/>
    <col min="7701" max="7702" width="15.7109375" bestFit="1" customWidth="1"/>
    <col min="7703" max="7703" width="11.5703125" bestFit="1" customWidth="1"/>
    <col min="7704" max="7704" width="7.7109375" bestFit="1" customWidth="1"/>
    <col min="7705" max="7705" width="15.140625" bestFit="1" customWidth="1"/>
    <col min="7706" max="7706" width="11.5703125" bestFit="1" customWidth="1"/>
    <col min="7707" max="7707" width="13.28515625" bestFit="1" customWidth="1"/>
    <col min="7708" max="7708" width="10.42578125" bestFit="1" customWidth="1"/>
    <col min="7709" max="7709" width="13.28515625" bestFit="1" customWidth="1"/>
    <col min="7710" max="7710" width="12.140625" bestFit="1" customWidth="1"/>
    <col min="7711" max="7711" width="14.42578125" bestFit="1" customWidth="1"/>
    <col min="7712" max="7712" width="13.28515625" bestFit="1" customWidth="1"/>
    <col min="7713" max="7713" width="11.5703125" bestFit="1" customWidth="1"/>
    <col min="7714" max="7714" width="7.7109375" bestFit="1" customWidth="1"/>
    <col min="7715" max="7716" width="14.42578125" bestFit="1" customWidth="1"/>
    <col min="7717" max="7717" width="11.5703125" bestFit="1" customWidth="1"/>
    <col min="7718" max="7718" width="7.7109375" bestFit="1" customWidth="1"/>
    <col min="7719" max="7719" width="13.5703125" customWidth="1"/>
    <col min="7720" max="7720" width="15.28515625" customWidth="1"/>
    <col min="7721" max="7721" width="14.5703125" customWidth="1"/>
    <col min="7722" max="7722" width="13.28515625" bestFit="1" customWidth="1"/>
    <col min="7723" max="7723" width="7.7109375" bestFit="1" customWidth="1"/>
    <col min="7724" max="7724" width="12.7109375" bestFit="1" customWidth="1"/>
    <col min="7725" max="7725" width="11.7109375" bestFit="1" customWidth="1"/>
    <col min="7726" max="7726" width="11.5703125" bestFit="1" customWidth="1"/>
    <col min="7727" max="7727" width="5.28515625" bestFit="1" customWidth="1"/>
    <col min="7728" max="7728" width="13.28515625" bestFit="1" customWidth="1"/>
    <col min="7729" max="7729" width="13.5703125" bestFit="1" customWidth="1"/>
    <col min="7730" max="7730" width="10.5703125" bestFit="1" customWidth="1"/>
    <col min="7731" max="7731" width="13.28515625" bestFit="1" customWidth="1"/>
    <col min="7732" max="7732" width="11.5703125" bestFit="1" customWidth="1"/>
    <col min="7733" max="7733" width="10.5703125" bestFit="1" customWidth="1"/>
    <col min="7734" max="7734" width="16.140625" bestFit="1" customWidth="1"/>
    <col min="7735" max="7736" width="11.28515625" bestFit="1" customWidth="1"/>
    <col min="7737" max="7737" width="13.28515625" bestFit="1" customWidth="1"/>
    <col min="7738" max="7738" width="7.7109375" bestFit="1" customWidth="1"/>
    <col min="7739" max="7742" width="9.140625" hidden="1" customWidth="1"/>
    <col min="7743" max="7743" width="10.42578125" bestFit="1" customWidth="1"/>
    <col min="7744" max="7744" width="10.5703125" bestFit="1" customWidth="1"/>
    <col min="7745" max="7745" width="10.42578125" bestFit="1" customWidth="1"/>
    <col min="7746" max="7746" width="10.5703125" bestFit="1" customWidth="1"/>
    <col min="7747" max="7747" width="9.5703125" bestFit="1" customWidth="1"/>
    <col min="7748" max="7748" width="11.5703125" bestFit="1" customWidth="1"/>
    <col min="7749" max="7749" width="10.42578125" bestFit="1" customWidth="1"/>
    <col min="7750" max="7750" width="10.85546875" customWidth="1"/>
    <col min="7751" max="7752" width="9.85546875" bestFit="1" customWidth="1"/>
    <col min="7753" max="7753" width="13.5703125" bestFit="1" customWidth="1"/>
    <col min="7754" max="7754" width="7.7109375" bestFit="1" customWidth="1"/>
    <col min="7755" max="7755" width="13.28515625" bestFit="1" customWidth="1"/>
    <col min="7756" max="7756" width="11.5703125" bestFit="1" customWidth="1"/>
    <col min="7757" max="7757" width="10.42578125" bestFit="1" customWidth="1"/>
    <col min="7758" max="7758" width="7.7109375" bestFit="1" customWidth="1"/>
    <col min="7759" max="7759" width="11.5703125" bestFit="1" customWidth="1"/>
    <col min="7760" max="7760" width="10.85546875" bestFit="1" customWidth="1"/>
    <col min="7761" max="7761" width="13.28515625" bestFit="1" customWidth="1"/>
    <col min="7762" max="7762" width="10.85546875" bestFit="1" customWidth="1"/>
    <col min="7763" max="7764" width="7.5703125" bestFit="1" customWidth="1"/>
    <col min="7765" max="7766" width="10.42578125" bestFit="1" customWidth="1"/>
    <col min="7767" max="7767" width="11.5703125" bestFit="1" customWidth="1"/>
    <col min="7768" max="7768" width="5.28515625" bestFit="1" customWidth="1"/>
    <col min="7769" max="7769" width="10.28515625" bestFit="1" customWidth="1"/>
    <col min="7770" max="7770" width="10.42578125" bestFit="1" customWidth="1"/>
    <col min="7771" max="7771" width="11.5703125" bestFit="1" customWidth="1"/>
    <col min="7772" max="7772" width="5.28515625" bestFit="1" customWidth="1"/>
    <col min="7773" max="7775" width="11.5703125" bestFit="1" customWidth="1"/>
    <col min="7776" max="7776" width="5.28515625" bestFit="1" customWidth="1"/>
    <col min="7777" max="7778" width="10.42578125" bestFit="1" customWidth="1"/>
    <col min="7779" max="7779" width="11.5703125" bestFit="1" customWidth="1"/>
    <col min="7780" max="7780" width="5.28515625" bestFit="1" customWidth="1"/>
    <col min="7781" max="7781" width="14.28515625" bestFit="1" customWidth="1"/>
    <col min="7782" max="7782" width="13" bestFit="1" customWidth="1"/>
    <col min="7783" max="7783" width="11.5703125" bestFit="1" customWidth="1"/>
    <col min="7784" max="7784" width="8.85546875" bestFit="1" customWidth="1"/>
    <col min="7785" max="7785" width="14.42578125" bestFit="1" customWidth="1"/>
    <col min="7786" max="7786" width="10.42578125" bestFit="1" customWidth="1"/>
    <col min="7787" max="7787" width="12.28515625" bestFit="1" customWidth="1"/>
    <col min="7788" max="7788" width="13.85546875" bestFit="1" customWidth="1"/>
    <col min="7789" max="7789" width="11.28515625" customWidth="1"/>
    <col min="7790" max="7790" width="11.5703125" customWidth="1"/>
    <col min="7791" max="7791" width="13.42578125" bestFit="1" customWidth="1"/>
    <col min="7792" max="7792" width="10.42578125" customWidth="1"/>
    <col min="7793" max="7793" width="13.85546875" bestFit="1" customWidth="1"/>
    <col min="7794" max="7794" width="15.42578125" bestFit="1" customWidth="1"/>
    <col min="7795" max="7795" width="12.28515625" bestFit="1" customWidth="1"/>
    <col min="7796" max="7796" width="12.7109375" customWidth="1"/>
    <col min="7797" max="7797" width="10.7109375" bestFit="1" customWidth="1"/>
    <col min="7798" max="7798" width="9.85546875" customWidth="1"/>
    <col min="7799" max="7800" width="10.140625" bestFit="1" customWidth="1"/>
    <col min="7801" max="7801" width="7.5703125" bestFit="1" customWidth="1"/>
    <col min="7802" max="7802" width="9.42578125" bestFit="1" customWidth="1"/>
    <col min="7803" max="7803" width="14.5703125" bestFit="1" customWidth="1"/>
    <col min="7804" max="7804" width="14.85546875" customWidth="1"/>
    <col min="7805" max="7805" width="15.140625" bestFit="1" customWidth="1"/>
    <col min="7806" max="7806" width="12.140625" bestFit="1" customWidth="1"/>
    <col min="7807" max="7807" width="14.85546875" bestFit="1" customWidth="1"/>
    <col min="7808" max="7808" width="12.28515625" bestFit="1" customWidth="1"/>
    <col min="7809" max="7817" width="9.140625" hidden="1" customWidth="1"/>
    <col min="7818" max="7818" width="5.28515625" bestFit="1" customWidth="1"/>
    <col min="7819" max="7824" width="11.5703125" bestFit="1" customWidth="1"/>
    <col min="7825" max="7825" width="11.28515625" bestFit="1" customWidth="1"/>
    <col min="7826" max="7826" width="10.140625" bestFit="1" customWidth="1"/>
    <col min="7827" max="7827" width="11.5703125" bestFit="1" customWidth="1"/>
    <col min="7828" max="7828" width="16.140625" customWidth="1"/>
    <col min="7829" max="7829" width="13.42578125" customWidth="1"/>
    <col min="7830" max="7830" width="10.140625" bestFit="1" customWidth="1"/>
    <col min="7831" max="7831" width="12.85546875" bestFit="1" customWidth="1"/>
    <col min="7832" max="7832" width="12.28515625" bestFit="1" customWidth="1"/>
    <col min="7833" max="7833" width="11.28515625" bestFit="1" customWidth="1"/>
    <col min="7834" max="7834" width="11.5703125" bestFit="1" customWidth="1"/>
    <col min="7835" max="7835" width="10.85546875" bestFit="1" customWidth="1"/>
    <col min="7836" max="7836" width="11.28515625" bestFit="1" customWidth="1"/>
    <col min="7837" max="7837" width="10.140625" bestFit="1" customWidth="1"/>
    <col min="7838" max="7838" width="13.28515625" bestFit="1" customWidth="1"/>
    <col min="7839" max="7840" width="12.7109375" bestFit="1" customWidth="1"/>
    <col min="7841" max="7841" width="11" bestFit="1" customWidth="1"/>
    <col min="7842" max="7842" width="11.28515625" bestFit="1" customWidth="1"/>
    <col min="7843" max="7843" width="11.5703125" bestFit="1" customWidth="1"/>
    <col min="7844" max="7844" width="12.28515625" bestFit="1" customWidth="1"/>
    <col min="7845" max="7845" width="15.140625" bestFit="1" customWidth="1"/>
    <col min="7846" max="7846" width="14.42578125" bestFit="1" customWidth="1"/>
    <col min="7847" max="7847" width="12.28515625" bestFit="1" customWidth="1"/>
    <col min="7848" max="7848" width="15.140625" bestFit="1" customWidth="1"/>
    <col min="7849" max="7849" width="14.42578125" bestFit="1" customWidth="1"/>
    <col min="7850" max="7850" width="12.28515625" bestFit="1" customWidth="1"/>
    <col min="7851" max="7851" width="14.42578125" bestFit="1" customWidth="1"/>
    <col min="7852" max="7852" width="11.28515625" bestFit="1" customWidth="1"/>
    <col min="7853" max="7853" width="12.28515625" bestFit="1" customWidth="1"/>
    <col min="7854" max="7854" width="13" bestFit="1" customWidth="1"/>
    <col min="7855" max="7855" width="15.140625" bestFit="1" customWidth="1"/>
    <col min="7856" max="7856" width="12.28515625" bestFit="1" customWidth="1"/>
    <col min="7857" max="7857" width="13.85546875" bestFit="1" customWidth="1"/>
    <col min="7858" max="7858" width="11.28515625" bestFit="1" customWidth="1"/>
    <col min="7859" max="7859" width="12.28515625" bestFit="1" customWidth="1"/>
    <col min="7860" max="7860" width="13.85546875" bestFit="1" customWidth="1"/>
    <col min="7861" max="7862" width="15.140625" bestFit="1" customWidth="1"/>
    <col min="7863" max="7863" width="12.28515625" bestFit="1" customWidth="1"/>
    <col min="7864" max="7864" width="5.7109375" bestFit="1" customWidth="1"/>
    <col min="7865" max="7865" width="8.5703125" bestFit="1" customWidth="1"/>
    <col min="7866" max="7866" width="5.5703125" bestFit="1" customWidth="1"/>
    <col min="7867" max="7867" width="14.42578125" bestFit="1" customWidth="1"/>
    <col min="7868" max="7868" width="11.28515625" bestFit="1" customWidth="1"/>
    <col min="7869" max="7870" width="12.28515625" bestFit="1" customWidth="1"/>
    <col min="7871" max="7871" width="11.28515625" bestFit="1" customWidth="1"/>
    <col min="7872" max="7872" width="13.85546875" bestFit="1" customWidth="1"/>
    <col min="7873" max="7873" width="12" bestFit="1" customWidth="1"/>
    <col min="7874" max="7874" width="13.85546875" bestFit="1" customWidth="1"/>
    <col min="7875" max="7876" width="14.42578125" customWidth="1"/>
    <col min="7877" max="7877" width="10.140625" bestFit="1" customWidth="1"/>
    <col min="7878" max="7878" width="12.28515625" bestFit="1" customWidth="1"/>
    <col min="7879" max="7879" width="7.42578125" bestFit="1" customWidth="1"/>
    <col min="7880" max="7880" width="8.5703125" bestFit="1" customWidth="1"/>
    <col min="7881" max="7881" width="11.5703125" bestFit="1" customWidth="1"/>
    <col min="7882" max="7882" width="13.28515625" bestFit="1" customWidth="1"/>
    <col min="7883" max="7883" width="13.28515625" customWidth="1"/>
    <col min="7884" max="7884" width="13.140625" customWidth="1"/>
    <col min="7885" max="7885" width="12.7109375" bestFit="1" customWidth="1"/>
    <col min="7886" max="7886" width="13.28515625" bestFit="1" customWidth="1"/>
    <col min="7887" max="7889" width="13.28515625" customWidth="1"/>
    <col min="7890" max="7890" width="12.140625" bestFit="1" customWidth="1"/>
    <col min="7891" max="7891" width="12.7109375" bestFit="1" customWidth="1"/>
    <col min="7892" max="7892" width="11" customWidth="1"/>
    <col min="7893" max="7893" width="16.7109375" customWidth="1"/>
    <col min="7894" max="7894" width="17" customWidth="1"/>
    <col min="7895" max="7895" width="10.42578125" bestFit="1" customWidth="1"/>
    <col min="7939" max="7939" width="3.85546875" customWidth="1"/>
    <col min="7940" max="7940" width="15.28515625" bestFit="1" customWidth="1"/>
    <col min="7941" max="7941" width="12.28515625" customWidth="1"/>
    <col min="7942" max="7942" width="16.28515625" bestFit="1" customWidth="1"/>
    <col min="7943" max="7943" width="6.42578125" bestFit="1" customWidth="1"/>
    <col min="7944" max="7944" width="9.28515625" bestFit="1" customWidth="1"/>
    <col min="7945" max="7945" width="7.5703125" bestFit="1" customWidth="1"/>
    <col min="7946" max="7946" width="13.28515625" bestFit="1" customWidth="1"/>
    <col min="7947" max="7947" width="9.28515625" bestFit="1" customWidth="1"/>
    <col min="7948" max="7948" width="11.5703125" bestFit="1" customWidth="1"/>
    <col min="7949" max="7949" width="13.28515625" bestFit="1" customWidth="1"/>
    <col min="7950" max="7950" width="7.140625" bestFit="1" customWidth="1"/>
    <col min="7951" max="7951" width="12" bestFit="1" customWidth="1"/>
    <col min="7952" max="7952" width="13.28515625" bestFit="1" customWidth="1"/>
    <col min="7953" max="7953" width="7" bestFit="1" customWidth="1"/>
    <col min="7954" max="7954" width="12.7109375" bestFit="1" customWidth="1"/>
    <col min="7955" max="7955" width="11.5703125" bestFit="1" customWidth="1"/>
    <col min="7956" max="7956" width="10.5703125" bestFit="1" customWidth="1"/>
    <col min="7957" max="7958" width="15.7109375" bestFit="1" customWidth="1"/>
    <col min="7959" max="7959" width="11.5703125" bestFit="1" customWidth="1"/>
    <col min="7960" max="7960" width="7.7109375" bestFit="1" customWidth="1"/>
    <col min="7961" max="7961" width="15.140625" bestFit="1" customWidth="1"/>
    <col min="7962" max="7962" width="11.5703125" bestFit="1" customWidth="1"/>
    <col min="7963" max="7963" width="13.28515625" bestFit="1" customWidth="1"/>
    <col min="7964" max="7964" width="10.42578125" bestFit="1" customWidth="1"/>
    <col min="7965" max="7965" width="13.28515625" bestFit="1" customWidth="1"/>
    <col min="7966" max="7966" width="12.140625" bestFit="1" customWidth="1"/>
    <col min="7967" max="7967" width="14.42578125" bestFit="1" customWidth="1"/>
    <col min="7968" max="7968" width="13.28515625" bestFit="1" customWidth="1"/>
    <col min="7969" max="7969" width="11.5703125" bestFit="1" customWidth="1"/>
    <col min="7970" max="7970" width="7.7109375" bestFit="1" customWidth="1"/>
    <col min="7971" max="7972" width="14.42578125" bestFit="1" customWidth="1"/>
    <col min="7973" max="7973" width="11.5703125" bestFit="1" customWidth="1"/>
    <col min="7974" max="7974" width="7.7109375" bestFit="1" customWidth="1"/>
    <col min="7975" max="7975" width="13.5703125" customWidth="1"/>
    <col min="7976" max="7976" width="15.28515625" customWidth="1"/>
    <col min="7977" max="7977" width="14.5703125" customWidth="1"/>
    <col min="7978" max="7978" width="13.28515625" bestFit="1" customWidth="1"/>
    <col min="7979" max="7979" width="7.7109375" bestFit="1" customWidth="1"/>
    <col min="7980" max="7980" width="12.7109375" bestFit="1" customWidth="1"/>
    <col min="7981" max="7981" width="11.7109375" bestFit="1" customWidth="1"/>
    <col min="7982" max="7982" width="11.5703125" bestFit="1" customWidth="1"/>
    <col min="7983" max="7983" width="5.28515625" bestFit="1" customWidth="1"/>
    <col min="7984" max="7984" width="13.28515625" bestFit="1" customWidth="1"/>
    <col min="7985" max="7985" width="13.5703125" bestFit="1" customWidth="1"/>
    <col min="7986" max="7986" width="10.5703125" bestFit="1" customWidth="1"/>
    <col min="7987" max="7987" width="13.28515625" bestFit="1" customWidth="1"/>
    <col min="7988" max="7988" width="11.5703125" bestFit="1" customWidth="1"/>
    <col min="7989" max="7989" width="10.5703125" bestFit="1" customWidth="1"/>
    <col min="7990" max="7990" width="16.140625" bestFit="1" customWidth="1"/>
    <col min="7991" max="7992" width="11.28515625" bestFit="1" customWidth="1"/>
    <col min="7993" max="7993" width="13.28515625" bestFit="1" customWidth="1"/>
    <col min="7994" max="7994" width="7.7109375" bestFit="1" customWidth="1"/>
    <col min="7995" max="7998" width="9.140625" hidden="1" customWidth="1"/>
    <col min="7999" max="7999" width="10.42578125" bestFit="1" customWidth="1"/>
    <col min="8000" max="8000" width="10.5703125" bestFit="1" customWidth="1"/>
    <col min="8001" max="8001" width="10.42578125" bestFit="1" customWidth="1"/>
    <col min="8002" max="8002" width="10.5703125" bestFit="1" customWidth="1"/>
    <col min="8003" max="8003" width="9.5703125" bestFit="1" customWidth="1"/>
    <col min="8004" max="8004" width="11.5703125" bestFit="1" customWidth="1"/>
    <col min="8005" max="8005" width="10.42578125" bestFit="1" customWidth="1"/>
    <col min="8006" max="8006" width="10.85546875" customWidth="1"/>
    <col min="8007" max="8008" width="9.85546875" bestFit="1" customWidth="1"/>
    <col min="8009" max="8009" width="13.5703125" bestFit="1" customWidth="1"/>
    <col min="8010" max="8010" width="7.7109375" bestFit="1" customWidth="1"/>
    <col min="8011" max="8011" width="13.28515625" bestFit="1" customWidth="1"/>
    <col min="8012" max="8012" width="11.5703125" bestFit="1" customWidth="1"/>
    <col min="8013" max="8013" width="10.42578125" bestFit="1" customWidth="1"/>
    <col min="8014" max="8014" width="7.7109375" bestFit="1" customWidth="1"/>
    <col min="8015" max="8015" width="11.5703125" bestFit="1" customWidth="1"/>
    <col min="8016" max="8016" width="10.85546875" bestFit="1" customWidth="1"/>
    <col min="8017" max="8017" width="13.28515625" bestFit="1" customWidth="1"/>
    <col min="8018" max="8018" width="10.85546875" bestFit="1" customWidth="1"/>
    <col min="8019" max="8020" width="7.5703125" bestFit="1" customWidth="1"/>
    <col min="8021" max="8022" width="10.42578125" bestFit="1" customWidth="1"/>
    <col min="8023" max="8023" width="11.5703125" bestFit="1" customWidth="1"/>
    <col min="8024" max="8024" width="5.28515625" bestFit="1" customWidth="1"/>
    <col min="8025" max="8025" width="10.28515625" bestFit="1" customWidth="1"/>
    <col min="8026" max="8026" width="10.42578125" bestFit="1" customWidth="1"/>
    <col min="8027" max="8027" width="11.5703125" bestFit="1" customWidth="1"/>
    <col min="8028" max="8028" width="5.28515625" bestFit="1" customWidth="1"/>
    <col min="8029" max="8031" width="11.5703125" bestFit="1" customWidth="1"/>
    <col min="8032" max="8032" width="5.28515625" bestFit="1" customWidth="1"/>
    <col min="8033" max="8034" width="10.42578125" bestFit="1" customWidth="1"/>
    <col min="8035" max="8035" width="11.5703125" bestFit="1" customWidth="1"/>
    <col min="8036" max="8036" width="5.28515625" bestFit="1" customWidth="1"/>
    <col min="8037" max="8037" width="14.28515625" bestFit="1" customWidth="1"/>
    <col min="8038" max="8038" width="13" bestFit="1" customWidth="1"/>
    <col min="8039" max="8039" width="11.5703125" bestFit="1" customWidth="1"/>
    <col min="8040" max="8040" width="8.85546875" bestFit="1" customWidth="1"/>
    <col min="8041" max="8041" width="14.42578125" bestFit="1" customWidth="1"/>
    <col min="8042" max="8042" width="10.42578125" bestFit="1" customWidth="1"/>
    <col min="8043" max="8043" width="12.28515625" bestFit="1" customWidth="1"/>
    <col min="8044" max="8044" width="13.85546875" bestFit="1" customWidth="1"/>
    <col min="8045" max="8045" width="11.28515625" customWidth="1"/>
    <col min="8046" max="8046" width="11.5703125" customWidth="1"/>
    <col min="8047" max="8047" width="13.42578125" bestFit="1" customWidth="1"/>
    <col min="8048" max="8048" width="10.42578125" customWidth="1"/>
    <col min="8049" max="8049" width="13.85546875" bestFit="1" customWidth="1"/>
    <col min="8050" max="8050" width="15.42578125" bestFit="1" customWidth="1"/>
    <col min="8051" max="8051" width="12.28515625" bestFit="1" customWidth="1"/>
    <col min="8052" max="8052" width="12.7109375" customWidth="1"/>
    <col min="8053" max="8053" width="10.7109375" bestFit="1" customWidth="1"/>
    <col min="8054" max="8054" width="9.85546875" customWidth="1"/>
    <col min="8055" max="8056" width="10.140625" bestFit="1" customWidth="1"/>
    <col min="8057" max="8057" width="7.5703125" bestFit="1" customWidth="1"/>
    <col min="8058" max="8058" width="9.42578125" bestFit="1" customWidth="1"/>
    <col min="8059" max="8059" width="14.5703125" bestFit="1" customWidth="1"/>
    <col min="8060" max="8060" width="14.85546875" customWidth="1"/>
    <col min="8061" max="8061" width="15.140625" bestFit="1" customWidth="1"/>
    <col min="8062" max="8062" width="12.140625" bestFit="1" customWidth="1"/>
    <col min="8063" max="8063" width="14.85546875" bestFit="1" customWidth="1"/>
    <col min="8064" max="8064" width="12.28515625" bestFit="1" customWidth="1"/>
    <col min="8065" max="8073" width="9.140625" hidden="1" customWidth="1"/>
    <col min="8074" max="8074" width="5.28515625" bestFit="1" customWidth="1"/>
    <col min="8075" max="8080" width="11.5703125" bestFit="1" customWidth="1"/>
    <col min="8081" max="8081" width="11.28515625" bestFit="1" customWidth="1"/>
    <col min="8082" max="8082" width="10.140625" bestFit="1" customWidth="1"/>
    <col min="8083" max="8083" width="11.5703125" bestFit="1" customWidth="1"/>
    <col min="8084" max="8084" width="16.140625" customWidth="1"/>
    <col min="8085" max="8085" width="13.42578125" customWidth="1"/>
    <col min="8086" max="8086" width="10.140625" bestFit="1" customWidth="1"/>
    <col min="8087" max="8087" width="12.85546875" bestFit="1" customWidth="1"/>
    <col min="8088" max="8088" width="12.28515625" bestFit="1" customWidth="1"/>
    <col min="8089" max="8089" width="11.28515625" bestFit="1" customWidth="1"/>
    <col min="8090" max="8090" width="11.5703125" bestFit="1" customWidth="1"/>
    <col min="8091" max="8091" width="10.85546875" bestFit="1" customWidth="1"/>
    <col min="8092" max="8092" width="11.28515625" bestFit="1" customWidth="1"/>
    <col min="8093" max="8093" width="10.140625" bestFit="1" customWidth="1"/>
    <col min="8094" max="8094" width="13.28515625" bestFit="1" customWidth="1"/>
    <col min="8095" max="8096" width="12.7109375" bestFit="1" customWidth="1"/>
    <col min="8097" max="8097" width="11" bestFit="1" customWidth="1"/>
    <col min="8098" max="8098" width="11.28515625" bestFit="1" customWidth="1"/>
    <col min="8099" max="8099" width="11.5703125" bestFit="1" customWidth="1"/>
    <col min="8100" max="8100" width="12.28515625" bestFit="1" customWidth="1"/>
    <col min="8101" max="8101" width="15.140625" bestFit="1" customWidth="1"/>
    <col min="8102" max="8102" width="14.42578125" bestFit="1" customWidth="1"/>
    <col min="8103" max="8103" width="12.28515625" bestFit="1" customWidth="1"/>
    <col min="8104" max="8104" width="15.140625" bestFit="1" customWidth="1"/>
    <col min="8105" max="8105" width="14.42578125" bestFit="1" customWidth="1"/>
    <col min="8106" max="8106" width="12.28515625" bestFit="1" customWidth="1"/>
    <col min="8107" max="8107" width="14.42578125" bestFit="1" customWidth="1"/>
    <col min="8108" max="8108" width="11.28515625" bestFit="1" customWidth="1"/>
    <col min="8109" max="8109" width="12.28515625" bestFit="1" customWidth="1"/>
    <col min="8110" max="8110" width="13" bestFit="1" customWidth="1"/>
    <col min="8111" max="8111" width="15.140625" bestFit="1" customWidth="1"/>
    <col min="8112" max="8112" width="12.28515625" bestFit="1" customWidth="1"/>
    <col min="8113" max="8113" width="13.85546875" bestFit="1" customWidth="1"/>
    <col min="8114" max="8114" width="11.28515625" bestFit="1" customWidth="1"/>
    <col min="8115" max="8115" width="12.28515625" bestFit="1" customWidth="1"/>
    <col min="8116" max="8116" width="13.85546875" bestFit="1" customWidth="1"/>
    <col min="8117" max="8118" width="15.140625" bestFit="1" customWidth="1"/>
    <col min="8119" max="8119" width="12.28515625" bestFit="1" customWidth="1"/>
    <col min="8120" max="8120" width="5.7109375" bestFit="1" customWidth="1"/>
    <col min="8121" max="8121" width="8.5703125" bestFit="1" customWidth="1"/>
    <col min="8122" max="8122" width="5.5703125" bestFit="1" customWidth="1"/>
    <col min="8123" max="8123" width="14.42578125" bestFit="1" customWidth="1"/>
    <col min="8124" max="8124" width="11.28515625" bestFit="1" customWidth="1"/>
    <col min="8125" max="8126" width="12.28515625" bestFit="1" customWidth="1"/>
    <col min="8127" max="8127" width="11.28515625" bestFit="1" customWidth="1"/>
    <col min="8128" max="8128" width="13.85546875" bestFit="1" customWidth="1"/>
    <col min="8129" max="8129" width="12" bestFit="1" customWidth="1"/>
    <col min="8130" max="8130" width="13.85546875" bestFit="1" customWidth="1"/>
    <col min="8131" max="8132" width="14.42578125" customWidth="1"/>
    <col min="8133" max="8133" width="10.140625" bestFit="1" customWidth="1"/>
    <col min="8134" max="8134" width="12.28515625" bestFit="1" customWidth="1"/>
    <col min="8135" max="8135" width="7.42578125" bestFit="1" customWidth="1"/>
    <col min="8136" max="8136" width="8.5703125" bestFit="1" customWidth="1"/>
    <col min="8137" max="8137" width="11.5703125" bestFit="1" customWidth="1"/>
    <col min="8138" max="8138" width="13.28515625" bestFit="1" customWidth="1"/>
    <col min="8139" max="8139" width="13.28515625" customWidth="1"/>
    <col min="8140" max="8140" width="13.140625" customWidth="1"/>
    <col min="8141" max="8141" width="12.7109375" bestFit="1" customWidth="1"/>
    <col min="8142" max="8142" width="13.28515625" bestFit="1" customWidth="1"/>
    <col min="8143" max="8145" width="13.28515625" customWidth="1"/>
    <col min="8146" max="8146" width="12.140625" bestFit="1" customWidth="1"/>
    <col min="8147" max="8147" width="12.7109375" bestFit="1" customWidth="1"/>
    <col min="8148" max="8148" width="11" customWidth="1"/>
    <col min="8149" max="8149" width="16.7109375" customWidth="1"/>
    <col min="8150" max="8150" width="17" customWidth="1"/>
    <col min="8151" max="8151" width="10.42578125" bestFit="1" customWidth="1"/>
    <col min="8195" max="8195" width="3.85546875" customWidth="1"/>
    <col min="8196" max="8196" width="15.28515625" bestFit="1" customWidth="1"/>
    <col min="8197" max="8197" width="12.28515625" customWidth="1"/>
    <col min="8198" max="8198" width="16.28515625" bestFit="1" customWidth="1"/>
    <col min="8199" max="8199" width="6.42578125" bestFit="1" customWidth="1"/>
    <col min="8200" max="8200" width="9.28515625" bestFit="1" customWidth="1"/>
    <col min="8201" max="8201" width="7.5703125" bestFit="1" customWidth="1"/>
    <col min="8202" max="8202" width="13.28515625" bestFit="1" customWidth="1"/>
    <col min="8203" max="8203" width="9.28515625" bestFit="1" customWidth="1"/>
    <col min="8204" max="8204" width="11.5703125" bestFit="1" customWidth="1"/>
    <col min="8205" max="8205" width="13.28515625" bestFit="1" customWidth="1"/>
    <col min="8206" max="8206" width="7.140625" bestFit="1" customWidth="1"/>
    <col min="8207" max="8207" width="12" bestFit="1" customWidth="1"/>
    <col min="8208" max="8208" width="13.28515625" bestFit="1" customWidth="1"/>
    <col min="8209" max="8209" width="7" bestFit="1" customWidth="1"/>
    <col min="8210" max="8210" width="12.7109375" bestFit="1" customWidth="1"/>
    <col min="8211" max="8211" width="11.5703125" bestFit="1" customWidth="1"/>
    <col min="8212" max="8212" width="10.5703125" bestFit="1" customWidth="1"/>
    <col min="8213" max="8214" width="15.7109375" bestFit="1" customWidth="1"/>
    <col min="8215" max="8215" width="11.5703125" bestFit="1" customWidth="1"/>
    <col min="8216" max="8216" width="7.7109375" bestFit="1" customWidth="1"/>
    <col min="8217" max="8217" width="15.140625" bestFit="1" customWidth="1"/>
    <col min="8218" max="8218" width="11.5703125" bestFit="1" customWidth="1"/>
    <col min="8219" max="8219" width="13.28515625" bestFit="1" customWidth="1"/>
    <col min="8220" max="8220" width="10.42578125" bestFit="1" customWidth="1"/>
    <col min="8221" max="8221" width="13.28515625" bestFit="1" customWidth="1"/>
    <col min="8222" max="8222" width="12.140625" bestFit="1" customWidth="1"/>
    <col min="8223" max="8223" width="14.42578125" bestFit="1" customWidth="1"/>
    <col min="8224" max="8224" width="13.28515625" bestFit="1" customWidth="1"/>
    <col min="8225" max="8225" width="11.5703125" bestFit="1" customWidth="1"/>
    <col min="8226" max="8226" width="7.7109375" bestFit="1" customWidth="1"/>
    <col min="8227" max="8228" width="14.42578125" bestFit="1" customWidth="1"/>
    <col min="8229" max="8229" width="11.5703125" bestFit="1" customWidth="1"/>
    <col min="8230" max="8230" width="7.7109375" bestFit="1" customWidth="1"/>
    <col min="8231" max="8231" width="13.5703125" customWidth="1"/>
    <col min="8232" max="8232" width="15.28515625" customWidth="1"/>
    <col min="8233" max="8233" width="14.5703125" customWidth="1"/>
    <col min="8234" max="8234" width="13.28515625" bestFit="1" customWidth="1"/>
    <col min="8235" max="8235" width="7.7109375" bestFit="1" customWidth="1"/>
    <col min="8236" max="8236" width="12.7109375" bestFit="1" customWidth="1"/>
    <col min="8237" max="8237" width="11.7109375" bestFit="1" customWidth="1"/>
    <col min="8238" max="8238" width="11.5703125" bestFit="1" customWidth="1"/>
    <col min="8239" max="8239" width="5.28515625" bestFit="1" customWidth="1"/>
    <col min="8240" max="8240" width="13.28515625" bestFit="1" customWidth="1"/>
    <col min="8241" max="8241" width="13.5703125" bestFit="1" customWidth="1"/>
    <col min="8242" max="8242" width="10.5703125" bestFit="1" customWidth="1"/>
    <col min="8243" max="8243" width="13.28515625" bestFit="1" customWidth="1"/>
    <col min="8244" max="8244" width="11.5703125" bestFit="1" customWidth="1"/>
    <col min="8245" max="8245" width="10.5703125" bestFit="1" customWidth="1"/>
    <col min="8246" max="8246" width="16.140625" bestFit="1" customWidth="1"/>
    <col min="8247" max="8248" width="11.28515625" bestFit="1" customWidth="1"/>
    <col min="8249" max="8249" width="13.28515625" bestFit="1" customWidth="1"/>
    <col min="8250" max="8250" width="7.7109375" bestFit="1" customWidth="1"/>
    <col min="8251" max="8254" width="9.140625" hidden="1" customWidth="1"/>
    <col min="8255" max="8255" width="10.42578125" bestFit="1" customWidth="1"/>
    <col min="8256" max="8256" width="10.5703125" bestFit="1" customWidth="1"/>
    <col min="8257" max="8257" width="10.42578125" bestFit="1" customWidth="1"/>
    <col min="8258" max="8258" width="10.5703125" bestFit="1" customWidth="1"/>
    <col min="8259" max="8259" width="9.5703125" bestFit="1" customWidth="1"/>
    <col min="8260" max="8260" width="11.5703125" bestFit="1" customWidth="1"/>
    <col min="8261" max="8261" width="10.42578125" bestFit="1" customWidth="1"/>
    <col min="8262" max="8262" width="10.85546875" customWidth="1"/>
    <col min="8263" max="8264" width="9.85546875" bestFit="1" customWidth="1"/>
    <col min="8265" max="8265" width="13.5703125" bestFit="1" customWidth="1"/>
    <col min="8266" max="8266" width="7.7109375" bestFit="1" customWidth="1"/>
    <col min="8267" max="8267" width="13.28515625" bestFit="1" customWidth="1"/>
    <col min="8268" max="8268" width="11.5703125" bestFit="1" customWidth="1"/>
    <col min="8269" max="8269" width="10.42578125" bestFit="1" customWidth="1"/>
    <col min="8270" max="8270" width="7.7109375" bestFit="1" customWidth="1"/>
    <col min="8271" max="8271" width="11.5703125" bestFit="1" customWidth="1"/>
    <col min="8272" max="8272" width="10.85546875" bestFit="1" customWidth="1"/>
    <col min="8273" max="8273" width="13.28515625" bestFit="1" customWidth="1"/>
    <col min="8274" max="8274" width="10.85546875" bestFit="1" customWidth="1"/>
    <col min="8275" max="8276" width="7.5703125" bestFit="1" customWidth="1"/>
    <col min="8277" max="8278" width="10.42578125" bestFit="1" customWidth="1"/>
    <col min="8279" max="8279" width="11.5703125" bestFit="1" customWidth="1"/>
    <col min="8280" max="8280" width="5.28515625" bestFit="1" customWidth="1"/>
    <col min="8281" max="8281" width="10.28515625" bestFit="1" customWidth="1"/>
    <col min="8282" max="8282" width="10.42578125" bestFit="1" customWidth="1"/>
    <col min="8283" max="8283" width="11.5703125" bestFit="1" customWidth="1"/>
    <col min="8284" max="8284" width="5.28515625" bestFit="1" customWidth="1"/>
    <col min="8285" max="8287" width="11.5703125" bestFit="1" customWidth="1"/>
    <col min="8288" max="8288" width="5.28515625" bestFit="1" customWidth="1"/>
    <col min="8289" max="8290" width="10.42578125" bestFit="1" customWidth="1"/>
    <col min="8291" max="8291" width="11.5703125" bestFit="1" customWidth="1"/>
    <col min="8292" max="8292" width="5.28515625" bestFit="1" customWidth="1"/>
    <col min="8293" max="8293" width="14.28515625" bestFit="1" customWidth="1"/>
    <col min="8294" max="8294" width="13" bestFit="1" customWidth="1"/>
    <col min="8295" max="8295" width="11.5703125" bestFit="1" customWidth="1"/>
    <col min="8296" max="8296" width="8.85546875" bestFit="1" customWidth="1"/>
    <col min="8297" max="8297" width="14.42578125" bestFit="1" customWidth="1"/>
    <col min="8298" max="8298" width="10.42578125" bestFit="1" customWidth="1"/>
    <col min="8299" max="8299" width="12.28515625" bestFit="1" customWidth="1"/>
    <col min="8300" max="8300" width="13.85546875" bestFit="1" customWidth="1"/>
    <col min="8301" max="8301" width="11.28515625" customWidth="1"/>
    <col min="8302" max="8302" width="11.5703125" customWidth="1"/>
    <col min="8303" max="8303" width="13.42578125" bestFit="1" customWidth="1"/>
    <col min="8304" max="8304" width="10.42578125" customWidth="1"/>
    <col min="8305" max="8305" width="13.85546875" bestFit="1" customWidth="1"/>
    <col min="8306" max="8306" width="15.42578125" bestFit="1" customWidth="1"/>
    <col min="8307" max="8307" width="12.28515625" bestFit="1" customWidth="1"/>
    <col min="8308" max="8308" width="12.7109375" customWidth="1"/>
    <col min="8309" max="8309" width="10.7109375" bestFit="1" customWidth="1"/>
    <col min="8310" max="8310" width="9.85546875" customWidth="1"/>
    <col min="8311" max="8312" width="10.140625" bestFit="1" customWidth="1"/>
    <col min="8313" max="8313" width="7.5703125" bestFit="1" customWidth="1"/>
    <col min="8314" max="8314" width="9.42578125" bestFit="1" customWidth="1"/>
    <col min="8315" max="8315" width="14.5703125" bestFit="1" customWidth="1"/>
    <col min="8316" max="8316" width="14.85546875" customWidth="1"/>
    <col min="8317" max="8317" width="15.140625" bestFit="1" customWidth="1"/>
    <col min="8318" max="8318" width="12.140625" bestFit="1" customWidth="1"/>
    <col min="8319" max="8319" width="14.85546875" bestFit="1" customWidth="1"/>
    <col min="8320" max="8320" width="12.28515625" bestFit="1" customWidth="1"/>
    <col min="8321" max="8329" width="9.140625" hidden="1" customWidth="1"/>
    <col min="8330" max="8330" width="5.28515625" bestFit="1" customWidth="1"/>
    <col min="8331" max="8336" width="11.5703125" bestFit="1" customWidth="1"/>
    <col min="8337" max="8337" width="11.28515625" bestFit="1" customWidth="1"/>
    <col min="8338" max="8338" width="10.140625" bestFit="1" customWidth="1"/>
    <col min="8339" max="8339" width="11.5703125" bestFit="1" customWidth="1"/>
    <col min="8340" max="8340" width="16.140625" customWidth="1"/>
    <col min="8341" max="8341" width="13.42578125" customWidth="1"/>
    <col min="8342" max="8342" width="10.140625" bestFit="1" customWidth="1"/>
    <col min="8343" max="8343" width="12.85546875" bestFit="1" customWidth="1"/>
    <col min="8344" max="8344" width="12.28515625" bestFit="1" customWidth="1"/>
    <col min="8345" max="8345" width="11.28515625" bestFit="1" customWidth="1"/>
    <col min="8346" max="8346" width="11.5703125" bestFit="1" customWidth="1"/>
    <col min="8347" max="8347" width="10.85546875" bestFit="1" customWidth="1"/>
    <col min="8348" max="8348" width="11.28515625" bestFit="1" customWidth="1"/>
    <col min="8349" max="8349" width="10.140625" bestFit="1" customWidth="1"/>
    <col min="8350" max="8350" width="13.28515625" bestFit="1" customWidth="1"/>
    <col min="8351" max="8352" width="12.7109375" bestFit="1" customWidth="1"/>
    <col min="8353" max="8353" width="11" bestFit="1" customWidth="1"/>
    <col min="8354" max="8354" width="11.28515625" bestFit="1" customWidth="1"/>
    <col min="8355" max="8355" width="11.5703125" bestFit="1" customWidth="1"/>
    <col min="8356" max="8356" width="12.28515625" bestFit="1" customWidth="1"/>
    <col min="8357" max="8357" width="15.140625" bestFit="1" customWidth="1"/>
    <col min="8358" max="8358" width="14.42578125" bestFit="1" customWidth="1"/>
    <col min="8359" max="8359" width="12.28515625" bestFit="1" customWidth="1"/>
    <col min="8360" max="8360" width="15.140625" bestFit="1" customWidth="1"/>
    <col min="8361" max="8361" width="14.42578125" bestFit="1" customWidth="1"/>
    <col min="8362" max="8362" width="12.28515625" bestFit="1" customWidth="1"/>
    <col min="8363" max="8363" width="14.42578125" bestFit="1" customWidth="1"/>
    <col min="8364" max="8364" width="11.28515625" bestFit="1" customWidth="1"/>
    <col min="8365" max="8365" width="12.28515625" bestFit="1" customWidth="1"/>
    <col min="8366" max="8366" width="13" bestFit="1" customWidth="1"/>
    <col min="8367" max="8367" width="15.140625" bestFit="1" customWidth="1"/>
    <col min="8368" max="8368" width="12.28515625" bestFit="1" customWidth="1"/>
    <col min="8369" max="8369" width="13.85546875" bestFit="1" customWidth="1"/>
    <col min="8370" max="8370" width="11.28515625" bestFit="1" customWidth="1"/>
    <col min="8371" max="8371" width="12.28515625" bestFit="1" customWidth="1"/>
    <col min="8372" max="8372" width="13.85546875" bestFit="1" customWidth="1"/>
    <col min="8373" max="8374" width="15.140625" bestFit="1" customWidth="1"/>
    <col min="8375" max="8375" width="12.28515625" bestFit="1" customWidth="1"/>
    <col min="8376" max="8376" width="5.7109375" bestFit="1" customWidth="1"/>
    <col min="8377" max="8377" width="8.5703125" bestFit="1" customWidth="1"/>
    <col min="8378" max="8378" width="5.5703125" bestFit="1" customWidth="1"/>
    <col min="8379" max="8379" width="14.42578125" bestFit="1" customWidth="1"/>
    <col min="8380" max="8380" width="11.28515625" bestFit="1" customWidth="1"/>
    <col min="8381" max="8382" width="12.28515625" bestFit="1" customWidth="1"/>
    <col min="8383" max="8383" width="11.28515625" bestFit="1" customWidth="1"/>
    <col min="8384" max="8384" width="13.85546875" bestFit="1" customWidth="1"/>
    <col min="8385" max="8385" width="12" bestFit="1" customWidth="1"/>
    <col min="8386" max="8386" width="13.85546875" bestFit="1" customWidth="1"/>
    <col min="8387" max="8388" width="14.42578125" customWidth="1"/>
    <col min="8389" max="8389" width="10.140625" bestFit="1" customWidth="1"/>
    <col min="8390" max="8390" width="12.28515625" bestFit="1" customWidth="1"/>
    <col min="8391" max="8391" width="7.42578125" bestFit="1" customWidth="1"/>
    <col min="8392" max="8392" width="8.5703125" bestFit="1" customWidth="1"/>
    <col min="8393" max="8393" width="11.5703125" bestFit="1" customWidth="1"/>
    <col min="8394" max="8394" width="13.28515625" bestFit="1" customWidth="1"/>
    <col min="8395" max="8395" width="13.28515625" customWidth="1"/>
    <col min="8396" max="8396" width="13.140625" customWidth="1"/>
    <col min="8397" max="8397" width="12.7109375" bestFit="1" customWidth="1"/>
    <col min="8398" max="8398" width="13.28515625" bestFit="1" customWidth="1"/>
    <col min="8399" max="8401" width="13.28515625" customWidth="1"/>
    <col min="8402" max="8402" width="12.140625" bestFit="1" customWidth="1"/>
    <col min="8403" max="8403" width="12.7109375" bestFit="1" customWidth="1"/>
    <col min="8404" max="8404" width="11" customWidth="1"/>
    <col min="8405" max="8405" width="16.7109375" customWidth="1"/>
    <col min="8406" max="8406" width="17" customWidth="1"/>
    <col min="8407" max="8407" width="10.42578125" bestFit="1" customWidth="1"/>
    <col min="8451" max="8451" width="3.85546875" customWidth="1"/>
    <col min="8452" max="8452" width="15.28515625" bestFit="1" customWidth="1"/>
    <col min="8453" max="8453" width="12.28515625" customWidth="1"/>
    <col min="8454" max="8454" width="16.28515625" bestFit="1" customWidth="1"/>
    <col min="8455" max="8455" width="6.42578125" bestFit="1" customWidth="1"/>
    <col min="8456" max="8456" width="9.28515625" bestFit="1" customWidth="1"/>
    <col min="8457" max="8457" width="7.5703125" bestFit="1" customWidth="1"/>
    <col min="8458" max="8458" width="13.28515625" bestFit="1" customWidth="1"/>
    <col min="8459" max="8459" width="9.28515625" bestFit="1" customWidth="1"/>
    <col min="8460" max="8460" width="11.5703125" bestFit="1" customWidth="1"/>
    <col min="8461" max="8461" width="13.28515625" bestFit="1" customWidth="1"/>
    <col min="8462" max="8462" width="7.140625" bestFit="1" customWidth="1"/>
    <col min="8463" max="8463" width="12" bestFit="1" customWidth="1"/>
    <col min="8464" max="8464" width="13.28515625" bestFit="1" customWidth="1"/>
    <col min="8465" max="8465" width="7" bestFit="1" customWidth="1"/>
    <col min="8466" max="8466" width="12.7109375" bestFit="1" customWidth="1"/>
    <col min="8467" max="8467" width="11.5703125" bestFit="1" customWidth="1"/>
    <col min="8468" max="8468" width="10.5703125" bestFit="1" customWidth="1"/>
    <col min="8469" max="8470" width="15.7109375" bestFit="1" customWidth="1"/>
    <col min="8471" max="8471" width="11.5703125" bestFit="1" customWidth="1"/>
    <col min="8472" max="8472" width="7.7109375" bestFit="1" customWidth="1"/>
    <col min="8473" max="8473" width="15.140625" bestFit="1" customWidth="1"/>
    <col min="8474" max="8474" width="11.5703125" bestFit="1" customWidth="1"/>
    <col min="8475" max="8475" width="13.28515625" bestFit="1" customWidth="1"/>
    <col min="8476" max="8476" width="10.42578125" bestFit="1" customWidth="1"/>
    <col min="8477" max="8477" width="13.28515625" bestFit="1" customWidth="1"/>
    <col min="8478" max="8478" width="12.140625" bestFit="1" customWidth="1"/>
    <col min="8479" max="8479" width="14.42578125" bestFit="1" customWidth="1"/>
    <col min="8480" max="8480" width="13.28515625" bestFit="1" customWidth="1"/>
    <col min="8481" max="8481" width="11.5703125" bestFit="1" customWidth="1"/>
    <col min="8482" max="8482" width="7.7109375" bestFit="1" customWidth="1"/>
    <col min="8483" max="8484" width="14.42578125" bestFit="1" customWidth="1"/>
    <col min="8485" max="8485" width="11.5703125" bestFit="1" customWidth="1"/>
    <col min="8486" max="8486" width="7.7109375" bestFit="1" customWidth="1"/>
    <col min="8487" max="8487" width="13.5703125" customWidth="1"/>
    <col min="8488" max="8488" width="15.28515625" customWidth="1"/>
    <col min="8489" max="8489" width="14.5703125" customWidth="1"/>
    <col min="8490" max="8490" width="13.28515625" bestFit="1" customWidth="1"/>
    <col min="8491" max="8491" width="7.7109375" bestFit="1" customWidth="1"/>
    <col min="8492" max="8492" width="12.7109375" bestFit="1" customWidth="1"/>
    <col min="8493" max="8493" width="11.7109375" bestFit="1" customWidth="1"/>
    <col min="8494" max="8494" width="11.5703125" bestFit="1" customWidth="1"/>
    <col min="8495" max="8495" width="5.28515625" bestFit="1" customWidth="1"/>
    <col min="8496" max="8496" width="13.28515625" bestFit="1" customWidth="1"/>
    <col min="8497" max="8497" width="13.5703125" bestFit="1" customWidth="1"/>
    <col min="8498" max="8498" width="10.5703125" bestFit="1" customWidth="1"/>
    <col min="8499" max="8499" width="13.28515625" bestFit="1" customWidth="1"/>
    <col min="8500" max="8500" width="11.5703125" bestFit="1" customWidth="1"/>
    <col min="8501" max="8501" width="10.5703125" bestFit="1" customWidth="1"/>
    <col min="8502" max="8502" width="16.140625" bestFit="1" customWidth="1"/>
    <col min="8503" max="8504" width="11.28515625" bestFit="1" customWidth="1"/>
    <col min="8505" max="8505" width="13.28515625" bestFit="1" customWidth="1"/>
    <col min="8506" max="8506" width="7.7109375" bestFit="1" customWidth="1"/>
    <col min="8507" max="8510" width="9.140625" hidden="1" customWidth="1"/>
    <col min="8511" max="8511" width="10.42578125" bestFit="1" customWidth="1"/>
    <col min="8512" max="8512" width="10.5703125" bestFit="1" customWidth="1"/>
    <col min="8513" max="8513" width="10.42578125" bestFit="1" customWidth="1"/>
    <col min="8514" max="8514" width="10.5703125" bestFit="1" customWidth="1"/>
    <col min="8515" max="8515" width="9.5703125" bestFit="1" customWidth="1"/>
    <col min="8516" max="8516" width="11.5703125" bestFit="1" customWidth="1"/>
    <col min="8517" max="8517" width="10.42578125" bestFit="1" customWidth="1"/>
    <col min="8518" max="8518" width="10.85546875" customWidth="1"/>
    <col min="8519" max="8520" width="9.85546875" bestFit="1" customWidth="1"/>
    <col min="8521" max="8521" width="13.5703125" bestFit="1" customWidth="1"/>
    <col min="8522" max="8522" width="7.7109375" bestFit="1" customWidth="1"/>
    <col min="8523" max="8523" width="13.28515625" bestFit="1" customWidth="1"/>
    <col min="8524" max="8524" width="11.5703125" bestFit="1" customWidth="1"/>
    <col min="8525" max="8525" width="10.42578125" bestFit="1" customWidth="1"/>
    <col min="8526" max="8526" width="7.7109375" bestFit="1" customWidth="1"/>
    <col min="8527" max="8527" width="11.5703125" bestFit="1" customWidth="1"/>
    <col min="8528" max="8528" width="10.85546875" bestFit="1" customWidth="1"/>
    <col min="8529" max="8529" width="13.28515625" bestFit="1" customWidth="1"/>
    <col min="8530" max="8530" width="10.85546875" bestFit="1" customWidth="1"/>
    <col min="8531" max="8532" width="7.5703125" bestFit="1" customWidth="1"/>
    <col min="8533" max="8534" width="10.42578125" bestFit="1" customWidth="1"/>
    <col min="8535" max="8535" width="11.5703125" bestFit="1" customWidth="1"/>
    <col min="8536" max="8536" width="5.28515625" bestFit="1" customWidth="1"/>
    <col min="8537" max="8537" width="10.28515625" bestFit="1" customWidth="1"/>
    <col min="8538" max="8538" width="10.42578125" bestFit="1" customWidth="1"/>
    <col min="8539" max="8539" width="11.5703125" bestFit="1" customWidth="1"/>
    <col min="8540" max="8540" width="5.28515625" bestFit="1" customWidth="1"/>
    <col min="8541" max="8543" width="11.5703125" bestFit="1" customWidth="1"/>
    <col min="8544" max="8544" width="5.28515625" bestFit="1" customWidth="1"/>
    <col min="8545" max="8546" width="10.42578125" bestFit="1" customWidth="1"/>
    <col min="8547" max="8547" width="11.5703125" bestFit="1" customWidth="1"/>
    <col min="8548" max="8548" width="5.28515625" bestFit="1" customWidth="1"/>
    <col min="8549" max="8549" width="14.28515625" bestFit="1" customWidth="1"/>
    <col min="8550" max="8550" width="13" bestFit="1" customWidth="1"/>
    <col min="8551" max="8551" width="11.5703125" bestFit="1" customWidth="1"/>
    <col min="8552" max="8552" width="8.85546875" bestFit="1" customWidth="1"/>
    <col min="8553" max="8553" width="14.42578125" bestFit="1" customWidth="1"/>
    <col min="8554" max="8554" width="10.42578125" bestFit="1" customWidth="1"/>
    <col min="8555" max="8555" width="12.28515625" bestFit="1" customWidth="1"/>
    <col min="8556" max="8556" width="13.85546875" bestFit="1" customWidth="1"/>
    <col min="8557" max="8557" width="11.28515625" customWidth="1"/>
    <col min="8558" max="8558" width="11.5703125" customWidth="1"/>
    <col min="8559" max="8559" width="13.42578125" bestFit="1" customWidth="1"/>
    <col min="8560" max="8560" width="10.42578125" customWidth="1"/>
    <col min="8561" max="8561" width="13.85546875" bestFit="1" customWidth="1"/>
    <col min="8562" max="8562" width="15.42578125" bestFit="1" customWidth="1"/>
    <col min="8563" max="8563" width="12.28515625" bestFit="1" customWidth="1"/>
    <col min="8564" max="8564" width="12.7109375" customWidth="1"/>
    <col min="8565" max="8565" width="10.7109375" bestFit="1" customWidth="1"/>
    <col min="8566" max="8566" width="9.85546875" customWidth="1"/>
    <col min="8567" max="8568" width="10.140625" bestFit="1" customWidth="1"/>
    <col min="8569" max="8569" width="7.5703125" bestFit="1" customWidth="1"/>
    <col min="8570" max="8570" width="9.42578125" bestFit="1" customWidth="1"/>
    <col min="8571" max="8571" width="14.5703125" bestFit="1" customWidth="1"/>
    <col min="8572" max="8572" width="14.85546875" customWidth="1"/>
    <col min="8573" max="8573" width="15.140625" bestFit="1" customWidth="1"/>
    <col min="8574" max="8574" width="12.140625" bestFit="1" customWidth="1"/>
    <col min="8575" max="8575" width="14.85546875" bestFit="1" customWidth="1"/>
    <col min="8576" max="8576" width="12.28515625" bestFit="1" customWidth="1"/>
    <col min="8577" max="8585" width="9.140625" hidden="1" customWidth="1"/>
    <col min="8586" max="8586" width="5.28515625" bestFit="1" customWidth="1"/>
    <col min="8587" max="8592" width="11.5703125" bestFit="1" customWidth="1"/>
    <col min="8593" max="8593" width="11.28515625" bestFit="1" customWidth="1"/>
    <col min="8594" max="8594" width="10.140625" bestFit="1" customWidth="1"/>
    <col min="8595" max="8595" width="11.5703125" bestFit="1" customWidth="1"/>
    <col min="8596" max="8596" width="16.140625" customWidth="1"/>
    <col min="8597" max="8597" width="13.42578125" customWidth="1"/>
    <col min="8598" max="8598" width="10.140625" bestFit="1" customWidth="1"/>
    <col min="8599" max="8599" width="12.85546875" bestFit="1" customWidth="1"/>
    <col min="8600" max="8600" width="12.28515625" bestFit="1" customWidth="1"/>
    <col min="8601" max="8601" width="11.28515625" bestFit="1" customWidth="1"/>
    <col min="8602" max="8602" width="11.5703125" bestFit="1" customWidth="1"/>
    <col min="8603" max="8603" width="10.85546875" bestFit="1" customWidth="1"/>
    <col min="8604" max="8604" width="11.28515625" bestFit="1" customWidth="1"/>
    <col min="8605" max="8605" width="10.140625" bestFit="1" customWidth="1"/>
    <col min="8606" max="8606" width="13.28515625" bestFit="1" customWidth="1"/>
    <col min="8607" max="8608" width="12.7109375" bestFit="1" customWidth="1"/>
    <col min="8609" max="8609" width="11" bestFit="1" customWidth="1"/>
    <col min="8610" max="8610" width="11.28515625" bestFit="1" customWidth="1"/>
    <col min="8611" max="8611" width="11.5703125" bestFit="1" customWidth="1"/>
    <col min="8612" max="8612" width="12.28515625" bestFit="1" customWidth="1"/>
    <col min="8613" max="8613" width="15.140625" bestFit="1" customWidth="1"/>
    <col min="8614" max="8614" width="14.42578125" bestFit="1" customWidth="1"/>
    <col min="8615" max="8615" width="12.28515625" bestFit="1" customWidth="1"/>
    <col min="8616" max="8616" width="15.140625" bestFit="1" customWidth="1"/>
    <col min="8617" max="8617" width="14.42578125" bestFit="1" customWidth="1"/>
    <col min="8618" max="8618" width="12.28515625" bestFit="1" customWidth="1"/>
    <col min="8619" max="8619" width="14.42578125" bestFit="1" customWidth="1"/>
    <col min="8620" max="8620" width="11.28515625" bestFit="1" customWidth="1"/>
    <col min="8621" max="8621" width="12.28515625" bestFit="1" customWidth="1"/>
    <col min="8622" max="8622" width="13" bestFit="1" customWidth="1"/>
    <col min="8623" max="8623" width="15.140625" bestFit="1" customWidth="1"/>
    <col min="8624" max="8624" width="12.28515625" bestFit="1" customWidth="1"/>
    <col min="8625" max="8625" width="13.85546875" bestFit="1" customWidth="1"/>
    <col min="8626" max="8626" width="11.28515625" bestFit="1" customWidth="1"/>
    <col min="8627" max="8627" width="12.28515625" bestFit="1" customWidth="1"/>
    <col min="8628" max="8628" width="13.85546875" bestFit="1" customWidth="1"/>
    <col min="8629" max="8630" width="15.140625" bestFit="1" customWidth="1"/>
    <col min="8631" max="8631" width="12.28515625" bestFit="1" customWidth="1"/>
    <col min="8632" max="8632" width="5.7109375" bestFit="1" customWidth="1"/>
    <col min="8633" max="8633" width="8.5703125" bestFit="1" customWidth="1"/>
    <col min="8634" max="8634" width="5.5703125" bestFit="1" customWidth="1"/>
    <col min="8635" max="8635" width="14.42578125" bestFit="1" customWidth="1"/>
    <col min="8636" max="8636" width="11.28515625" bestFit="1" customWidth="1"/>
    <col min="8637" max="8638" width="12.28515625" bestFit="1" customWidth="1"/>
    <col min="8639" max="8639" width="11.28515625" bestFit="1" customWidth="1"/>
    <col min="8640" max="8640" width="13.85546875" bestFit="1" customWidth="1"/>
    <col min="8641" max="8641" width="12" bestFit="1" customWidth="1"/>
    <col min="8642" max="8642" width="13.85546875" bestFit="1" customWidth="1"/>
    <col min="8643" max="8644" width="14.42578125" customWidth="1"/>
    <col min="8645" max="8645" width="10.140625" bestFit="1" customWidth="1"/>
    <col min="8646" max="8646" width="12.28515625" bestFit="1" customWidth="1"/>
    <col min="8647" max="8647" width="7.42578125" bestFit="1" customWidth="1"/>
    <col min="8648" max="8648" width="8.5703125" bestFit="1" customWidth="1"/>
    <col min="8649" max="8649" width="11.5703125" bestFit="1" customWidth="1"/>
    <col min="8650" max="8650" width="13.28515625" bestFit="1" customWidth="1"/>
    <col min="8651" max="8651" width="13.28515625" customWidth="1"/>
    <col min="8652" max="8652" width="13.140625" customWidth="1"/>
    <col min="8653" max="8653" width="12.7109375" bestFit="1" customWidth="1"/>
    <col min="8654" max="8654" width="13.28515625" bestFit="1" customWidth="1"/>
    <col min="8655" max="8657" width="13.28515625" customWidth="1"/>
    <col min="8658" max="8658" width="12.140625" bestFit="1" customWidth="1"/>
    <col min="8659" max="8659" width="12.7109375" bestFit="1" customWidth="1"/>
    <col min="8660" max="8660" width="11" customWidth="1"/>
    <col min="8661" max="8661" width="16.7109375" customWidth="1"/>
    <col min="8662" max="8662" width="17" customWidth="1"/>
    <col min="8663" max="8663" width="10.42578125" bestFit="1" customWidth="1"/>
    <col min="8707" max="8707" width="3.85546875" customWidth="1"/>
    <col min="8708" max="8708" width="15.28515625" bestFit="1" customWidth="1"/>
    <col min="8709" max="8709" width="12.28515625" customWidth="1"/>
    <col min="8710" max="8710" width="16.28515625" bestFit="1" customWidth="1"/>
    <col min="8711" max="8711" width="6.42578125" bestFit="1" customWidth="1"/>
    <col min="8712" max="8712" width="9.28515625" bestFit="1" customWidth="1"/>
    <col min="8713" max="8713" width="7.5703125" bestFit="1" customWidth="1"/>
    <col min="8714" max="8714" width="13.28515625" bestFit="1" customWidth="1"/>
    <col min="8715" max="8715" width="9.28515625" bestFit="1" customWidth="1"/>
    <col min="8716" max="8716" width="11.5703125" bestFit="1" customWidth="1"/>
    <col min="8717" max="8717" width="13.28515625" bestFit="1" customWidth="1"/>
    <col min="8718" max="8718" width="7.140625" bestFit="1" customWidth="1"/>
    <col min="8719" max="8719" width="12" bestFit="1" customWidth="1"/>
    <col min="8720" max="8720" width="13.28515625" bestFit="1" customWidth="1"/>
    <col min="8721" max="8721" width="7" bestFit="1" customWidth="1"/>
    <col min="8722" max="8722" width="12.7109375" bestFit="1" customWidth="1"/>
    <col min="8723" max="8723" width="11.5703125" bestFit="1" customWidth="1"/>
    <col min="8724" max="8724" width="10.5703125" bestFit="1" customWidth="1"/>
    <col min="8725" max="8726" width="15.7109375" bestFit="1" customWidth="1"/>
    <col min="8727" max="8727" width="11.5703125" bestFit="1" customWidth="1"/>
    <col min="8728" max="8728" width="7.7109375" bestFit="1" customWidth="1"/>
    <col min="8729" max="8729" width="15.140625" bestFit="1" customWidth="1"/>
    <col min="8730" max="8730" width="11.5703125" bestFit="1" customWidth="1"/>
    <col min="8731" max="8731" width="13.28515625" bestFit="1" customWidth="1"/>
    <col min="8732" max="8732" width="10.42578125" bestFit="1" customWidth="1"/>
    <col min="8733" max="8733" width="13.28515625" bestFit="1" customWidth="1"/>
    <col min="8734" max="8734" width="12.140625" bestFit="1" customWidth="1"/>
    <col min="8735" max="8735" width="14.42578125" bestFit="1" customWidth="1"/>
    <col min="8736" max="8736" width="13.28515625" bestFit="1" customWidth="1"/>
    <col min="8737" max="8737" width="11.5703125" bestFit="1" customWidth="1"/>
    <col min="8738" max="8738" width="7.7109375" bestFit="1" customWidth="1"/>
    <col min="8739" max="8740" width="14.42578125" bestFit="1" customWidth="1"/>
    <col min="8741" max="8741" width="11.5703125" bestFit="1" customWidth="1"/>
    <col min="8742" max="8742" width="7.7109375" bestFit="1" customWidth="1"/>
    <col min="8743" max="8743" width="13.5703125" customWidth="1"/>
    <col min="8744" max="8744" width="15.28515625" customWidth="1"/>
    <col min="8745" max="8745" width="14.5703125" customWidth="1"/>
    <col min="8746" max="8746" width="13.28515625" bestFit="1" customWidth="1"/>
    <col min="8747" max="8747" width="7.7109375" bestFit="1" customWidth="1"/>
    <col min="8748" max="8748" width="12.7109375" bestFit="1" customWidth="1"/>
    <col min="8749" max="8749" width="11.7109375" bestFit="1" customWidth="1"/>
    <col min="8750" max="8750" width="11.5703125" bestFit="1" customWidth="1"/>
    <col min="8751" max="8751" width="5.28515625" bestFit="1" customWidth="1"/>
    <col min="8752" max="8752" width="13.28515625" bestFit="1" customWidth="1"/>
    <col min="8753" max="8753" width="13.5703125" bestFit="1" customWidth="1"/>
    <col min="8754" max="8754" width="10.5703125" bestFit="1" customWidth="1"/>
    <col min="8755" max="8755" width="13.28515625" bestFit="1" customWidth="1"/>
    <col min="8756" max="8756" width="11.5703125" bestFit="1" customWidth="1"/>
    <col min="8757" max="8757" width="10.5703125" bestFit="1" customWidth="1"/>
    <col min="8758" max="8758" width="16.140625" bestFit="1" customWidth="1"/>
    <col min="8759" max="8760" width="11.28515625" bestFit="1" customWidth="1"/>
    <col min="8761" max="8761" width="13.28515625" bestFit="1" customWidth="1"/>
    <col min="8762" max="8762" width="7.7109375" bestFit="1" customWidth="1"/>
    <col min="8763" max="8766" width="9.140625" hidden="1" customWidth="1"/>
    <col min="8767" max="8767" width="10.42578125" bestFit="1" customWidth="1"/>
    <col min="8768" max="8768" width="10.5703125" bestFit="1" customWidth="1"/>
    <col min="8769" max="8769" width="10.42578125" bestFit="1" customWidth="1"/>
    <col min="8770" max="8770" width="10.5703125" bestFit="1" customWidth="1"/>
    <col min="8771" max="8771" width="9.5703125" bestFit="1" customWidth="1"/>
    <col min="8772" max="8772" width="11.5703125" bestFit="1" customWidth="1"/>
    <col min="8773" max="8773" width="10.42578125" bestFit="1" customWidth="1"/>
    <col min="8774" max="8774" width="10.85546875" customWidth="1"/>
    <col min="8775" max="8776" width="9.85546875" bestFit="1" customWidth="1"/>
    <col min="8777" max="8777" width="13.5703125" bestFit="1" customWidth="1"/>
    <col min="8778" max="8778" width="7.7109375" bestFit="1" customWidth="1"/>
    <col min="8779" max="8779" width="13.28515625" bestFit="1" customWidth="1"/>
    <col min="8780" max="8780" width="11.5703125" bestFit="1" customWidth="1"/>
    <col min="8781" max="8781" width="10.42578125" bestFit="1" customWidth="1"/>
    <col min="8782" max="8782" width="7.7109375" bestFit="1" customWidth="1"/>
    <col min="8783" max="8783" width="11.5703125" bestFit="1" customWidth="1"/>
    <col min="8784" max="8784" width="10.85546875" bestFit="1" customWidth="1"/>
    <col min="8785" max="8785" width="13.28515625" bestFit="1" customWidth="1"/>
    <col min="8786" max="8786" width="10.85546875" bestFit="1" customWidth="1"/>
    <col min="8787" max="8788" width="7.5703125" bestFit="1" customWidth="1"/>
    <col min="8789" max="8790" width="10.42578125" bestFit="1" customWidth="1"/>
    <col min="8791" max="8791" width="11.5703125" bestFit="1" customWidth="1"/>
    <col min="8792" max="8792" width="5.28515625" bestFit="1" customWidth="1"/>
    <col min="8793" max="8793" width="10.28515625" bestFit="1" customWidth="1"/>
    <col min="8794" max="8794" width="10.42578125" bestFit="1" customWidth="1"/>
    <col min="8795" max="8795" width="11.5703125" bestFit="1" customWidth="1"/>
    <col min="8796" max="8796" width="5.28515625" bestFit="1" customWidth="1"/>
    <col min="8797" max="8799" width="11.5703125" bestFit="1" customWidth="1"/>
    <col min="8800" max="8800" width="5.28515625" bestFit="1" customWidth="1"/>
    <col min="8801" max="8802" width="10.42578125" bestFit="1" customWidth="1"/>
    <col min="8803" max="8803" width="11.5703125" bestFit="1" customWidth="1"/>
    <col min="8804" max="8804" width="5.28515625" bestFit="1" customWidth="1"/>
    <col min="8805" max="8805" width="14.28515625" bestFit="1" customWidth="1"/>
    <col min="8806" max="8806" width="13" bestFit="1" customWidth="1"/>
    <col min="8807" max="8807" width="11.5703125" bestFit="1" customWidth="1"/>
    <col min="8808" max="8808" width="8.85546875" bestFit="1" customWidth="1"/>
    <col min="8809" max="8809" width="14.42578125" bestFit="1" customWidth="1"/>
    <col min="8810" max="8810" width="10.42578125" bestFit="1" customWidth="1"/>
    <col min="8811" max="8811" width="12.28515625" bestFit="1" customWidth="1"/>
    <col min="8812" max="8812" width="13.85546875" bestFit="1" customWidth="1"/>
    <col min="8813" max="8813" width="11.28515625" customWidth="1"/>
    <col min="8814" max="8814" width="11.5703125" customWidth="1"/>
    <col min="8815" max="8815" width="13.42578125" bestFit="1" customWidth="1"/>
    <col min="8816" max="8816" width="10.42578125" customWidth="1"/>
    <col min="8817" max="8817" width="13.85546875" bestFit="1" customWidth="1"/>
    <col min="8818" max="8818" width="15.42578125" bestFit="1" customWidth="1"/>
    <col min="8819" max="8819" width="12.28515625" bestFit="1" customWidth="1"/>
    <col min="8820" max="8820" width="12.7109375" customWidth="1"/>
    <col min="8821" max="8821" width="10.7109375" bestFit="1" customWidth="1"/>
    <col min="8822" max="8822" width="9.85546875" customWidth="1"/>
    <col min="8823" max="8824" width="10.140625" bestFit="1" customWidth="1"/>
    <col min="8825" max="8825" width="7.5703125" bestFit="1" customWidth="1"/>
    <col min="8826" max="8826" width="9.42578125" bestFit="1" customWidth="1"/>
    <col min="8827" max="8827" width="14.5703125" bestFit="1" customWidth="1"/>
    <col min="8828" max="8828" width="14.85546875" customWidth="1"/>
    <col min="8829" max="8829" width="15.140625" bestFit="1" customWidth="1"/>
    <col min="8830" max="8830" width="12.140625" bestFit="1" customWidth="1"/>
    <col min="8831" max="8831" width="14.85546875" bestFit="1" customWidth="1"/>
    <col min="8832" max="8832" width="12.28515625" bestFit="1" customWidth="1"/>
    <col min="8833" max="8841" width="9.140625" hidden="1" customWidth="1"/>
    <col min="8842" max="8842" width="5.28515625" bestFit="1" customWidth="1"/>
    <col min="8843" max="8848" width="11.5703125" bestFit="1" customWidth="1"/>
    <col min="8849" max="8849" width="11.28515625" bestFit="1" customWidth="1"/>
    <col min="8850" max="8850" width="10.140625" bestFit="1" customWidth="1"/>
    <col min="8851" max="8851" width="11.5703125" bestFit="1" customWidth="1"/>
    <col min="8852" max="8852" width="16.140625" customWidth="1"/>
    <col min="8853" max="8853" width="13.42578125" customWidth="1"/>
    <col min="8854" max="8854" width="10.140625" bestFit="1" customWidth="1"/>
    <col min="8855" max="8855" width="12.85546875" bestFit="1" customWidth="1"/>
    <col min="8856" max="8856" width="12.28515625" bestFit="1" customWidth="1"/>
    <col min="8857" max="8857" width="11.28515625" bestFit="1" customWidth="1"/>
    <col min="8858" max="8858" width="11.5703125" bestFit="1" customWidth="1"/>
    <col min="8859" max="8859" width="10.85546875" bestFit="1" customWidth="1"/>
    <col min="8860" max="8860" width="11.28515625" bestFit="1" customWidth="1"/>
    <col min="8861" max="8861" width="10.140625" bestFit="1" customWidth="1"/>
    <col min="8862" max="8862" width="13.28515625" bestFit="1" customWidth="1"/>
    <col min="8863" max="8864" width="12.7109375" bestFit="1" customWidth="1"/>
    <col min="8865" max="8865" width="11" bestFit="1" customWidth="1"/>
    <col min="8866" max="8866" width="11.28515625" bestFit="1" customWidth="1"/>
    <col min="8867" max="8867" width="11.5703125" bestFit="1" customWidth="1"/>
    <col min="8868" max="8868" width="12.28515625" bestFit="1" customWidth="1"/>
    <col min="8869" max="8869" width="15.140625" bestFit="1" customWidth="1"/>
    <col min="8870" max="8870" width="14.42578125" bestFit="1" customWidth="1"/>
    <col min="8871" max="8871" width="12.28515625" bestFit="1" customWidth="1"/>
    <col min="8872" max="8872" width="15.140625" bestFit="1" customWidth="1"/>
    <col min="8873" max="8873" width="14.42578125" bestFit="1" customWidth="1"/>
    <col min="8874" max="8874" width="12.28515625" bestFit="1" customWidth="1"/>
    <col min="8875" max="8875" width="14.42578125" bestFit="1" customWidth="1"/>
    <col min="8876" max="8876" width="11.28515625" bestFit="1" customWidth="1"/>
    <col min="8877" max="8877" width="12.28515625" bestFit="1" customWidth="1"/>
    <col min="8878" max="8878" width="13" bestFit="1" customWidth="1"/>
    <col min="8879" max="8879" width="15.140625" bestFit="1" customWidth="1"/>
    <col min="8880" max="8880" width="12.28515625" bestFit="1" customWidth="1"/>
    <col min="8881" max="8881" width="13.85546875" bestFit="1" customWidth="1"/>
    <col min="8882" max="8882" width="11.28515625" bestFit="1" customWidth="1"/>
    <col min="8883" max="8883" width="12.28515625" bestFit="1" customWidth="1"/>
    <col min="8884" max="8884" width="13.85546875" bestFit="1" customWidth="1"/>
    <col min="8885" max="8886" width="15.140625" bestFit="1" customWidth="1"/>
    <col min="8887" max="8887" width="12.28515625" bestFit="1" customWidth="1"/>
    <col min="8888" max="8888" width="5.7109375" bestFit="1" customWidth="1"/>
    <col min="8889" max="8889" width="8.5703125" bestFit="1" customWidth="1"/>
    <col min="8890" max="8890" width="5.5703125" bestFit="1" customWidth="1"/>
    <col min="8891" max="8891" width="14.42578125" bestFit="1" customWidth="1"/>
    <col min="8892" max="8892" width="11.28515625" bestFit="1" customWidth="1"/>
    <col min="8893" max="8894" width="12.28515625" bestFit="1" customWidth="1"/>
    <col min="8895" max="8895" width="11.28515625" bestFit="1" customWidth="1"/>
    <col min="8896" max="8896" width="13.85546875" bestFit="1" customWidth="1"/>
    <col min="8897" max="8897" width="12" bestFit="1" customWidth="1"/>
    <col min="8898" max="8898" width="13.85546875" bestFit="1" customWidth="1"/>
    <col min="8899" max="8900" width="14.42578125" customWidth="1"/>
    <col min="8901" max="8901" width="10.140625" bestFit="1" customWidth="1"/>
    <col min="8902" max="8902" width="12.28515625" bestFit="1" customWidth="1"/>
    <col min="8903" max="8903" width="7.42578125" bestFit="1" customWidth="1"/>
    <col min="8904" max="8904" width="8.5703125" bestFit="1" customWidth="1"/>
    <col min="8905" max="8905" width="11.5703125" bestFit="1" customWidth="1"/>
    <col min="8906" max="8906" width="13.28515625" bestFit="1" customWidth="1"/>
    <col min="8907" max="8907" width="13.28515625" customWidth="1"/>
    <col min="8908" max="8908" width="13.140625" customWidth="1"/>
    <col min="8909" max="8909" width="12.7109375" bestFit="1" customWidth="1"/>
    <col min="8910" max="8910" width="13.28515625" bestFit="1" customWidth="1"/>
    <col min="8911" max="8913" width="13.28515625" customWidth="1"/>
    <col min="8914" max="8914" width="12.140625" bestFit="1" customWidth="1"/>
    <col min="8915" max="8915" width="12.7109375" bestFit="1" customWidth="1"/>
    <col min="8916" max="8916" width="11" customWidth="1"/>
    <col min="8917" max="8917" width="16.7109375" customWidth="1"/>
    <col min="8918" max="8918" width="17" customWidth="1"/>
    <col min="8919" max="8919" width="10.42578125" bestFit="1" customWidth="1"/>
    <col min="8963" max="8963" width="3.85546875" customWidth="1"/>
    <col min="8964" max="8964" width="15.28515625" bestFit="1" customWidth="1"/>
    <col min="8965" max="8965" width="12.28515625" customWidth="1"/>
    <col min="8966" max="8966" width="16.28515625" bestFit="1" customWidth="1"/>
    <col min="8967" max="8967" width="6.42578125" bestFit="1" customWidth="1"/>
    <col min="8968" max="8968" width="9.28515625" bestFit="1" customWidth="1"/>
    <col min="8969" max="8969" width="7.5703125" bestFit="1" customWidth="1"/>
    <col min="8970" max="8970" width="13.28515625" bestFit="1" customWidth="1"/>
    <col min="8971" max="8971" width="9.28515625" bestFit="1" customWidth="1"/>
    <col min="8972" max="8972" width="11.5703125" bestFit="1" customWidth="1"/>
    <col min="8973" max="8973" width="13.28515625" bestFit="1" customWidth="1"/>
    <col min="8974" max="8974" width="7.140625" bestFit="1" customWidth="1"/>
    <col min="8975" max="8975" width="12" bestFit="1" customWidth="1"/>
    <col min="8976" max="8976" width="13.28515625" bestFit="1" customWidth="1"/>
    <col min="8977" max="8977" width="7" bestFit="1" customWidth="1"/>
    <col min="8978" max="8978" width="12.7109375" bestFit="1" customWidth="1"/>
    <col min="8979" max="8979" width="11.5703125" bestFit="1" customWidth="1"/>
    <col min="8980" max="8980" width="10.5703125" bestFit="1" customWidth="1"/>
    <col min="8981" max="8982" width="15.7109375" bestFit="1" customWidth="1"/>
    <col min="8983" max="8983" width="11.5703125" bestFit="1" customWidth="1"/>
    <col min="8984" max="8984" width="7.7109375" bestFit="1" customWidth="1"/>
    <col min="8985" max="8985" width="15.140625" bestFit="1" customWidth="1"/>
    <col min="8986" max="8986" width="11.5703125" bestFit="1" customWidth="1"/>
    <col min="8987" max="8987" width="13.28515625" bestFit="1" customWidth="1"/>
    <col min="8988" max="8988" width="10.42578125" bestFit="1" customWidth="1"/>
    <col min="8989" max="8989" width="13.28515625" bestFit="1" customWidth="1"/>
    <col min="8990" max="8990" width="12.140625" bestFit="1" customWidth="1"/>
    <col min="8991" max="8991" width="14.42578125" bestFit="1" customWidth="1"/>
    <col min="8992" max="8992" width="13.28515625" bestFit="1" customWidth="1"/>
    <col min="8993" max="8993" width="11.5703125" bestFit="1" customWidth="1"/>
    <col min="8994" max="8994" width="7.7109375" bestFit="1" customWidth="1"/>
    <col min="8995" max="8996" width="14.42578125" bestFit="1" customWidth="1"/>
    <col min="8997" max="8997" width="11.5703125" bestFit="1" customWidth="1"/>
    <col min="8998" max="8998" width="7.7109375" bestFit="1" customWidth="1"/>
    <col min="8999" max="8999" width="13.5703125" customWidth="1"/>
    <col min="9000" max="9000" width="15.28515625" customWidth="1"/>
    <col min="9001" max="9001" width="14.5703125" customWidth="1"/>
    <col min="9002" max="9002" width="13.28515625" bestFit="1" customWidth="1"/>
    <col min="9003" max="9003" width="7.7109375" bestFit="1" customWidth="1"/>
    <col min="9004" max="9004" width="12.7109375" bestFit="1" customWidth="1"/>
    <col min="9005" max="9005" width="11.7109375" bestFit="1" customWidth="1"/>
    <col min="9006" max="9006" width="11.5703125" bestFit="1" customWidth="1"/>
    <col min="9007" max="9007" width="5.28515625" bestFit="1" customWidth="1"/>
    <col min="9008" max="9008" width="13.28515625" bestFit="1" customWidth="1"/>
    <col min="9009" max="9009" width="13.5703125" bestFit="1" customWidth="1"/>
    <col min="9010" max="9010" width="10.5703125" bestFit="1" customWidth="1"/>
    <col min="9011" max="9011" width="13.28515625" bestFit="1" customWidth="1"/>
    <col min="9012" max="9012" width="11.5703125" bestFit="1" customWidth="1"/>
    <col min="9013" max="9013" width="10.5703125" bestFit="1" customWidth="1"/>
    <col min="9014" max="9014" width="16.140625" bestFit="1" customWidth="1"/>
    <col min="9015" max="9016" width="11.28515625" bestFit="1" customWidth="1"/>
    <col min="9017" max="9017" width="13.28515625" bestFit="1" customWidth="1"/>
    <col min="9018" max="9018" width="7.7109375" bestFit="1" customWidth="1"/>
    <col min="9019" max="9022" width="9.140625" hidden="1" customWidth="1"/>
    <col min="9023" max="9023" width="10.42578125" bestFit="1" customWidth="1"/>
    <col min="9024" max="9024" width="10.5703125" bestFit="1" customWidth="1"/>
    <col min="9025" max="9025" width="10.42578125" bestFit="1" customWidth="1"/>
    <col min="9026" max="9026" width="10.5703125" bestFit="1" customWidth="1"/>
    <col min="9027" max="9027" width="9.5703125" bestFit="1" customWidth="1"/>
    <col min="9028" max="9028" width="11.5703125" bestFit="1" customWidth="1"/>
    <col min="9029" max="9029" width="10.42578125" bestFit="1" customWidth="1"/>
    <col min="9030" max="9030" width="10.85546875" customWidth="1"/>
    <col min="9031" max="9032" width="9.85546875" bestFit="1" customWidth="1"/>
    <col min="9033" max="9033" width="13.5703125" bestFit="1" customWidth="1"/>
    <col min="9034" max="9034" width="7.7109375" bestFit="1" customWidth="1"/>
    <col min="9035" max="9035" width="13.28515625" bestFit="1" customWidth="1"/>
    <col min="9036" max="9036" width="11.5703125" bestFit="1" customWidth="1"/>
    <col min="9037" max="9037" width="10.42578125" bestFit="1" customWidth="1"/>
    <col min="9038" max="9038" width="7.7109375" bestFit="1" customWidth="1"/>
    <col min="9039" max="9039" width="11.5703125" bestFit="1" customWidth="1"/>
    <col min="9040" max="9040" width="10.85546875" bestFit="1" customWidth="1"/>
    <col min="9041" max="9041" width="13.28515625" bestFit="1" customWidth="1"/>
    <col min="9042" max="9042" width="10.85546875" bestFit="1" customWidth="1"/>
    <col min="9043" max="9044" width="7.5703125" bestFit="1" customWidth="1"/>
    <col min="9045" max="9046" width="10.42578125" bestFit="1" customWidth="1"/>
    <col min="9047" max="9047" width="11.5703125" bestFit="1" customWidth="1"/>
    <col min="9048" max="9048" width="5.28515625" bestFit="1" customWidth="1"/>
    <col min="9049" max="9049" width="10.28515625" bestFit="1" customWidth="1"/>
    <col min="9050" max="9050" width="10.42578125" bestFit="1" customWidth="1"/>
    <col min="9051" max="9051" width="11.5703125" bestFit="1" customWidth="1"/>
    <col min="9052" max="9052" width="5.28515625" bestFit="1" customWidth="1"/>
    <col min="9053" max="9055" width="11.5703125" bestFit="1" customWidth="1"/>
    <col min="9056" max="9056" width="5.28515625" bestFit="1" customWidth="1"/>
    <col min="9057" max="9058" width="10.42578125" bestFit="1" customWidth="1"/>
    <col min="9059" max="9059" width="11.5703125" bestFit="1" customWidth="1"/>
    <col min="9060" max="9060" width="5.28515625" bestFit="1" customWidth="1"/>
    <col min="9061" max="9061" width="14.28515625" bestFit="1" customWidth="1"/>
    <col min="9062" max="9062" width="13" bestFit="1" customWidth="1"/>
    <col min="9063" max="9063" width="11.5703125" bestFit="1" customWidth="1"/>
    <col min="9064" max="9064" width="8.85546875" bestFit="1" customWidth="1"/>
    <col min="9065" max="9065" width="14.42578125" bestFit="1" customWidth="1"/>
    <col min="9066" max="9066" width="10.42578125" bestFit="1" customWidth="1"/>
    <col min="9067" max="9067" width="12.28515625" bestFit="1" customWidth="1"/>
    <col min="9068" max="9068" width="13.85546875" bestFit="1" customWidth="1"/>
    <col min="9069" max="9069" width="11.28515625" customWidth="1"/>
    <col min="9070" max="9070" width="11.5703125" customWidth="1"/>
    <col min="9071" max="9071" width="13.42578125" bestFit="1" customWidth="1"/>
    <col min="9072" max="9072" width="10.42578125" customWidth="1"/>
    <col min="9073" max="9073" width="13.85546875" bestFit="1" customWidth="1"/>
    <col min="9074" max="9074" width="15.42578125" bestFit="1" customWidth="1"/>
    <col min="9075" max="9075" width="12.28515625" bestFit="1" customWidth="1"/>
    <col min="9076" max="9076" width="12.7109375" customWidth="1"/>
    <col min="9077" max="9077" width="10.7109375" bestFit="1" customWidth="1"/>
    <col min="9078" max="9078" width="9.85546875" customWidth="1"/>
    <col min="9079" max="9080" width="10.140625" bestFit="1" customWidth="1"/>
    <col min="9081" max="9081" width="7.5703125" bestFit="1" customWidth="1"/>
    <col min="9082" max="9082" width="9.42578125" bestFit="1" customWidth="1"/>
    <col min="9083" max="9083" width="14.5703125" bestFit="1" customWidth="1"/>
    <col min="9084" max="9084" width="14.85546875" customWidth="1"/>
    <col min="9085" max="9085" width="15.140625" bestFit="1" customWidth="1"/>
    <col min="9086" max="9086" width="12.140625" bestFit="1" customWidth="1"/>
    <col min="9087" max="9087" width="14.85546875" bestFit="1" customWidth="1"/>
    <col min="9088" max="9088" width="12.28515625" bestFit="1" customWidth="1"/>
    <col min="9089" max="9097" width="9.140625" hidden="1" customWidth="1"/>
    <col min="9098" max="9098" width="5.28515625" bestFit="1" customWidth="1"/>
    <col min="9099" max="9104" width="11.5703125" bestFit="1" customWidth="1"/>
    <col min="9105" max="9105" width="11.28515625" bestFit="1" customWidth="1"/>
    <col min="9106" max="9106" width="10.140625" bestFit="1" customWidth="1"/>
    <col min="9107" max="9107" width="11.5703125" bestFit="1" customWidth="1"/>
    <col min="9108" max="9108" width="16.140625" customWidth="1"/>
    <col min="9109" max="9109" width="13.42578125" customWidth="1"/>
    <col min="9110" max="9110" width="10.140625" bestFit="1" customWidth="1"/>
    <col min="9111" max="9111" width="12.85546875" bestFit="1" customWidth="1"/>
    <col min="9112" max="9112" width="12.28515625" bestFit="1" customWidth="1"/>
    <col min="9113" max="9113" width="11.28515625" bestFit="1" customWidth="1"/>
    <col min="9114" max="9114" width="11.5703125" bestFit="1" customWidth="1"/>
    <col min="9115" max="9115" width="10.85546875" bestFit="1" customWidth="1"/>
    <col min="9116" max="9116" width="11.28515625" bestFit="1" customWidth="1"/>
    <col min="9117" max="9117" width="10.140625" bestFit="1" customWidth="1"/>
    <col min="9118" max="9118" width="13.28515625" bestFit="1" customWidth="1"/>
    <col min="9119" max="9120" width="12.7109375" bestFit="1" customWidth="1"/>
    <col min="9121" max="9121" width="11" bestFit="1" customWidth="1"/>
    <col min="9122" max="9122" width="11.28515625" bestFit="1" customWidth="1"/>
    <col min="9123" max="9123" width="11.5703125" bestFit="1" customWidth="1"/>
    <col min="9124" max="9124" width="12.28515625" bestFit="1" customWidth="1"/>
    <col min="9125" max="9125" width="15.140625" bestFit="1" customWidth="1"/>
    <col min="9126" max="9126" width="14.42578125" bestFit="1" customWidth="1"/>
    <col min="9127" max="9127" width="12.28515625" bestFit="1" customWidth="1"/>
    <col min="9128" max="9128" width="15.140625" bestFit="1" customWidth="1"/>
    <col min="9129" max="9129" width="14.42578125" bestFit="1" customWidth="1"/>
    <col min="9130" max="9130" width="12.28515625" bestFit="1" customWidth="1"/>
    <col min="9131" max="9131" width="14.42578125" bestFit="1" customWidth="1"/>
    <col min="9132" max="9132" width="11.28515625" bestFit="1" customWidth="1"/>
    <col min="9133" max="9133" width="12.28515625" bestFit="1" customWidth="1"/>
    <col min="9134" max="9134" width="13" bestFit="1" customWidth="1"/>
    <col min="9135" max="9135" width="15.140625" bestFit="1" customWidth="1"/>
    <col min="9136" max="9136" width="12.28515625" bestFit="1" customWidth="1"/>
    <col min="9137" max="9137" width="13.85546875" bestFit="1" customWidth="1"/>
    <col min="9138" max="9138" width="11.28515625" bestFit="1" customWidth="1"/>
    <col min="9139" max="9139" width="12.28515625" bestFit="1" customWidth="1"/>
    <col min="9140" max="9140" width="13.85546875" bestFit="1" customWidth="1"/>
    <col min="9141" max="9142" width="15.140625" bestFit="1" customWidth="1"/>
    <col min="9143" max="9143" width="12.28515625" bestFit="1" customWidth="1"/>
    <col min="9144" max="9144" width="5.7109375" bestFit="1" customWidth="1"/>
    <col min="9145" max="9145" width="8.5703125" bestFit="1" customWidth="1"/>
    <col min="9146" max="9146" width="5.5703125" bestFit="1" customWidth="1"/>
    <col min="9147" max="9147" width="14.42578125" bestFit="1" customWidth="1"/>
    <col min="9148" max="9148" width="11.28515625" bestFit="1" customWidth="1"/>
    <col min="9149" max="9150" width="12.28515625" bestFit="1" customWidth="1"/>
    <col min="9151" max="9151" width="11.28515625" bestFit="1" customWidth="1"/>
    <col min="9152" max="9152" width="13.85546875" bestFit="1" customWidth="1"/>
    <col min="9153" max="9153" width="12" bestFit="1" customWidth="1"/>
    <col min="9154" max="9154" width="13.85546875" bestFit="1" customWidth="1"/>
    <col min="9155" max="9156" width="14.42578125" customWidth="1"/>
    <col min="9157" max="9157" width="10.140625" bestFit="1" customWidth="1"/>
    <col min="9158" max="9158" width="12.28515625" bestFit="1" customWidth="1"/>
    <col min="9159" max="9159" width="7.42578125" bestFit="1" customWidth="1"/>
    <col min="9160" max="9160" width="8.5703125" bestFit="1" customWidth="1"/>
    <col min="9161" max="9161" width="11.5703125" bestFit="1" customWidth="1"/>
    <col min="9162" max="9162" width="13.28515625" bestFit="1" customWidth="1"/>
    <col min="9163" max="9163" width="13.28515625" customWidth="1"/>
    <col min="9164" max="9164" width="13.140625" customWidth="1"/>
    <col min="9165" max="9165" width="12.7109375" bestFit="1" customWidth="1"/>
    <col min="9166" max="9166" width="13.28515625" bestFit="1" customWidth="1"/>
    <col min="9167" max="9169" width="13.28515625" customWidth="1"/>
    <col min="9170" max="9170" width="12.140625" bestFit="1" customWidth="1"/>
    <col min="9171" max="9171" width="12.7109375" bestFit="1" customWidth="1"/>
    <col min="9172" max="9172" width="11" customWidth="1"/>
    <col min="9173" max="9173" width="16.7109375" customWidth="1"/>
    <col min="9174" max="9174" width="17" customWidth="1"/>
    <col min="9175" max="9175" width="10.42578125" bestFit="1" customWidth="1"/>
    <col min="9219" max="9219" width="3.85546875" customWidth="1"/>
    <col min="9220" max="9220" width="15.28515625" bestFit="1" customWidth="1"/>
    <col min="9221" max="9221" width="12.28515625" customWidth="1"/>
    <col min="9222" max="9222" width="16.28515625" bestFit="1" customWidth="1"/>
    <col min="9223" max="9223" width="6.42578125" bestFit="1" customWidth="1"/>
    <col min="9224" max="9224" width="9.28515625" bestFit="1" customWidth="1"/>
    <col min="9225" max="9225" width="7.5703125" bestFit="1" customWidth="1"/>
    <col min="9226" max="9226" width="13.28515625" bestFit="1" customWidth="1"/>
    <col min="9227" max="9227" width="9.28515625" bestFit="1" customWidth="1"/>
    <col min="9228" max="9228" width="11.5703125" bestFit="1" customWidth="1"/>
    <col min="9229" max="9229" width="13.28515625" bestFit="1" customWidth="1"/>
    <col min="9230" max="9230" width="7.140625" bestFit="1" customWidth="1"/>
    <col min="9231" max="9231" width="12" bestFit="1" customWidth="1"/>
    <col min="9232" max="9232" width="13.28515625" bestFit="1" customWidth="1"/>
    <col min="9233" max="9233" width="7" bestFit="1" customWidth="1"/>
    <col min="9234" max="9234" width="12.7109375" bestFit="1" customWidth="1"/>
    <col min="9235" max="9235" width="11.5703125" bestFit="1" customWidth="1"/>
    <col min="9236" max="9236" width="10.5703125" bestFit="1" customWidth="1"/>
    <col min="9237" max="9238" width="15.7109375" bestFit="1" customWidth="1"/>
    <col min="9239" max="9239" width="11.5703125" bestFit="1" customWidth="1"/>
    <col min="9240" max="9240" width="7.7109375" bestFit="1" customWidth="1"/>
    <col min="9241" max="9241" width="15.140625" bestFit="1" customWidth="1"/>
    <col min="9242" max="9242" width="11.5703125" bestFit="1" customWidth="1"/>
    <col min="9243" max="9243" width="13.28515625" bestFit="1" customWidth="1"/>
    <col min="9244" max="9244" width="10.42578125" bestFit="1" customWidth="1"/>
    <col min="9245" max="9245" width="13.28515625" bestFit="1" customWidth="1"/>
    <col min="9246" max="9246" width="12.140625" bestFit="1" customWidth="1"/>
    <col min="9247" max="9247" width="14.42578125" bestFit="1" customWidth="1"/>
    <col min="9248" max="9248" width="13.28515625" bestFit="1" customWidth="1"/>
    <col min="9249" max="9249" width="11.5703125" bestFit="1" customWidth="1"/>
    <col min="9250" max="9250" width="7.7109375" bestFit="1" customWidth="1"/>
    <col min="9251" max="9252" width="14.42578125" bestFit="1" customWidth="1"/>
    <col min="9253" max="9253" width="11.5703125" bestFit="1" customWidth="1"/>
    <col min="9254" max="9254" width="7.7109375" bestFit="1" customWidth="1"/>
    <col min="9255" max="9255" width="13.5703125" customWidth="1"/>
    <col min="9256" max="9256" width="15.28515625" customWidth="1"/>
    <col min="9257" max="9257" width="14.5703125" customWidth="1"/>
    <col min="9258" max="9258" width="13.28515625" bestFit="1" customWidth="1"/>
    <col min="9259" max="9259" width="7.7109375" bestFit="1" customWidth="1"/>
    <col min="9260" max="9260" width="12.7109375" bestFit="1" customWidth="1"/>
    <col min="9261" max="9261" width="11.7109375" bestFit="1" customWidth="1"/>
    <col min="9262" max="9262" width="11.5703125" bestFit="1" customWidth="1"/>
    <col min="9263" max="9263" width="5.28515625" bestFit="1" customWidth="1"/>
    <col min="9264" max="9264" width="13.28515625" bestFit="1" customWidth="1"/>
    <col min="9265" max="9265" width="13.5703125" bestFit="1" customWidth="1"/>
    <col min="9266" max="9266" width="10.5703125" bestFit="1" customWidth="1"/>
    <col min="9267" max="9267" width="13.28515625" bestFit="1" customWidth="1"/>
    <col min="9268" max="9268" width="11.5703125" bestFit="1" customWidth="1"/>
    <col min="9269" max="9269" width="10.5703125" bestFit="1" customWidth="1"/>
    <col min="9270" max="9270" width="16.140625" bestFit="1" customWidth="1"/>
    <col min="9271" max="9272" width="11.28515625" bestFit="1" customWidth="1"/>
    <col min="9273" max="9273" width="13.28515625" bestFit="1" customWidth="1"/>
    <col min="9274" max="9274" width="7.7109375" bestFit="1" customWidth="1"/>
    <col min="9275" max="9278" width="9.140625" hidden="1" customWidth="1"/>
    <col min="9279" max="9279" width="10.42578125" bestFit="1" customWidth="1"/>
    <col min="9280" max="9280" width="10.5703125" bestFit="1" customWidth="1"/>
    <col min="9281" max="9281" width="10.42578125" bestFit="1" customWidth="1"/>
    <col min="9282" max="9282" width="10.5703125" bestFit="1" customWidth="1"/>
    <col min="9283" max="9283" width="9.5703125" bestFit="1" customWidth="1"/>
    <col min="9284" max="9284" width="11.5703125" bestFit="1" customWidth="1"/>
    <col min="9285" max="9285" width="10.42578125" bestFit="1" customWidth="1"/>
    <col min="9286" max="9286" width="10.85546875" customWidth="1"/>
    <col min="9287" max="9288" width="9.85546875" bestFit="1" customWidth="1"/>
    <col min="9289" max="9289" width="13.5703125" bestFit="1" customWidth="1"/>
    <col min="9290" max="9290" width="7.7109375" bestFit="1" customWidth="1"/>
    <col min="9291" max="9291" width="13.28515625" bestFit="1" customWidth="1"/>
    <col min="9292" max="9292" width="11.5703125" bestFit="1" customWidth="1"/>
    <col min="9293" max="9293" width="10.42578125" bestFit="1" customWidth="1"/>
    <col min="9294" max="9294" width="7.7109375" bestFit="1" customWidth="1"/>
    <col min="9295" max="9295" width="11.5703125" bestFit="1" customWidth="1"/>
    <col min="9296" max="9296" width="10.85546875" bestFit="1" customWidth="1"/>
    <col min="9297" max="9297" width="13.28515625" bestFit="1" customWidth="1"/>
    <col min="9298" max="9298" width="10.85546875" bestFit="1" customWidth="1"/>
    <col min="9299" max="9300" width="7.5703125" bestFit="1" customWidth="1"/>
    <col min="9301" max="9302" width="10.42578125" bestFit="1" customWidth="1"/>
    <col min="9303" max="9303" width="11.5703125" bestFit="1" customWidth="1"/>
    <col min="9304" max="9304" width="5.28515625" bestFit="1" customWidth="1"/>
    <col min="9305" max="9305" width="10.28515625" bestFit="1" customWidth="1"/>
    <col min="9306" max="9306" width="10.42578125" bestFit="1" customWidth="1"/>
    <col min="9307" max="9307" width="11.5703125" bestFit="1" customWidth="1"/>
    <col min="9308" max="9308" width="5.28515625" bestFit="1" customWidth="1"/>
    <col min="9309" max="9311" width="11.5703125" bestFit="1" customWidth="1"/>
    <col min="9312" max="9312" width="5.28515625" bestFit="1" customWidth="1"/>
    <col min="9313" max="9314" width="10.42578125" bestFit="1" customWidth="1"/>
    <col min="9315" max="9315" width="11.5703125" bestFit="1" customWidth="1"/>
    <col min="9316" max="9316" width="5.28515625" bestFit="1" customWidth="1"/>
    <col min="9317" max="9317" width="14.28515625" bestFit="1" customWidth="1"/>
    <col min="9318" max="9318" width="13" bestFit="1" customWidth="1"/>
    <col min="9319" max="9319" width="11.5703125" bestFit="1" customWidth="1"/>
    <col min="9320" max="9320" width="8.85546875" bestFit="1" customWidth="1"/>
    <col min="9321" max="9321" width="14.42578125" bestFit="1" customWidth="1"/>
    <col min="9322" max="9322" width="10.42578125" bestFit="1" customWidth="1"/>
    <col min="9323" max="9323" width="12.28515625" bestFit="1" customWidth="1"/>
    <col min="9324" max="9324" width="13.85546875" bestFit="1" customWidth="1"/>
    <col min="9325" max="9325" width="11.28515625" customWidth="1"/>
    <col min="9326" max="9326" width="11.5703125" customWidth="1"/>
    <col min="9327" max="9327" width="13.42578125" bestFit="1" customWidth="1"/>
    <col min="9328" max="9328" width="10.42578125" customWidth="1"/>
    <col min="9329" max="9329" width="13.85546875" bestFit="1" customWidth="1"/>
    <col min="9330" max="9330" width="15.42578125" bestFit="1" customWidth="1"/>
    <col min="9331" max="9331" width="12.28515625" bestFit="1" customWidth="1"/>
    <col min="9332" max="9332" width="12.7109375" customWidth="1"/>
    <col min="9333" max="9333" width="10.7109375" bestFit="1" customWidth="1"/>
    <col min="9334" max="9334" width="9.85546875" customWidth="1"/>
    <col min="9335" max="9336" width="10.140625" bestFit="1" customWidth="1"/>
    <col min="9337" max="9337" width="7.5703125" bestFit="1" customWidth="1"/>
    <col min="9338" max="9338" width="9.42578125" bestFit="1" customWidth="1"/>
    <col min="9339" max="9339" width="14.5703125" bestFit="1" customWidth="1"/>
    <col min="9340" max="9340" width="14.85546875" customWidth="1"/>
    <col min="9341" max="9341" width="15.140625" bestFit="1" customWidth="1"/>
    <col min="9342" max="9342" width="12.140625" bestFit="1" customWidth="1"/>
    <col min="9343" max="9343" width="14.85546875" bestFit="1" customWidth="1"/>
    <col min="9344" max="9344" width="12.28515625" bestFit="1" customWidth="1"/>
    <col min="9345" max="9353" width="9.140625" hidden="1" customWidth="1"/>
    <col min="9354" max="9354" width="5.28515625" bestFit="1" customWidth="1"/>
    <col min="9355" max="9360" width="11.5703125" bestFit="1" customWidth="1"/>
    <col min="9361" max="9361" width="11.28515625" bestFit="1" customWidth="1"/>
    <col min="9362" max="9362" width="10.140625" bestFit="1" customWidth="1"/>
    <col min="9363" max="9363" width="11.5703125" bestFit="1" customWidth="1"/>
    <col min="9364" max="9364" width="16.140625" customWidth="1"/>
    <col min="9365" max="9365" width="13.42578125" customWidth="1"/>
    <col min="9366" max="9366" width="10.140625" bestFit="1" customWidth="1"/>
    <col min="9367" max="9367" width="12.85546875" bestFit="1" customWidth="1"/>
    <col min="9368" max="9368" width="12.28515625" bestFit="1" customWidth="1"/>
    <col min="9369" max="9369" width="11.28515625" bestFit="1" customWidth="1"/>
    <col min="9370" max="9370" width="11.5703125" bestFit="1" customWidth="1"/>
    <col min="9371" max="9371" width="10.85546875" bestFit="1" customWidth="1"/>
    <col min="9372" max="9372" width="11.28515625" bestFit="1" customWidth="1"/>
    <col min="9373" max="9373" width="10.140625" bestFit="1" customWidth="1"/>
    <col min="9374" max="9374" width="13.28515625" bestFit="1" customWidth="1"/>
    <col min="9375" max="9376" width="12.7109375" bestFit="1" customWidth="1"/>
    <col min="9377" max="9377" width="11" bestFit="1" customWidth="1"/>
    <col min="9378" max="9378" width="11.28515625" bestFit="1" customWidth="1"/>
    <col min="9379" max="9379" width="11.5703125" bestFit="1" customWidth="1"/>
    <col min="9380" max="9380" width="12.28515625" bestFit="1" customWidth="1"/>
    <col min="9381" max="9381" width="15.140625" bestFit="1" customWidth="1"/>
    <col min="9382" max="9382" width="14.42578125" bestFit="1" customWidth="1"/>
    <col min="9383" max="9383" width="12.28515625" bestFit="1" customWidth="1"/>
    <col min="9384" max="9384" width="15.140625" bestFit="1" customWidth="1"/>
    <col min="9385" max="9385" width="14.42578125" bestFit="1" customWidth="1"/>
    <col min="9386" max="9386" width="12.28515625" bestFit="1" customWidth="1"/>
    <col min="9387" max="9387" width="14.42578125" bestFit="1" customWidth="1"/>
    <col min="9388" max="9388" width="11.28515625" bestFit="1" customWidth="1"/>
    <col min="9389" max="9389" width="12.28515625" bestFit="1" customWidth="1"/>
    <col min="9390" max="9390" width="13" bestFit="1" customWidth="1"/>
    <col min="9391" max="9391" width="15.140625" bestFit="1" customWidth="1"/>
    <col min="9392" max="9392" width="12.28515625" bestFit="1" customWidth="1"/>
    <col min="9393" max="9393" width="13.85546875" bestFit="1" customWidth="1"/>
    <col min="9394" max="9394" width="11.28515625" bestFit="1" customWidth="1"/>
    <col min="9395" max="9395" width="12.28515625" bestFit="1" customWidth="1"/>
    <col min="9396" max="9396" width="13.85546875" bestFit="1" customWidth="1"/>
    <col min="9397" max="9398" width="15.140625" bestFit="1" customWidth="1"/>
    <col min="9399" max="9399" width="12.28515625" bestFit="1" customWidth="1"/>
    <col min="9400" max="9400" width="5.7109375" bestFit="1" customWidth="1"/>
    <col min="9401" max="9401" width="8.5703125" bestFit="1" customWidth="1"/>
    <col min="9402" max="9402" width="5.5703125" bestFit="1" customWidth="1"/>
    <col min="9403" max="9403" width="14.42578125" bestFit="1" customWidth="1"/>
    <col min="9404" max="9404" width="11.28515625" bestFit="1" customWidth="1"/>
    <col min="9405" max="9406" width="12.28515625" bestFit="1" customWidth="1"/>
    <col min="9407" max="9407" width="11.28515625" bestFit="1" customWidth="1"/>
    <col min="9408" max="9408" width="13.85546875" bestFit="1" customWidth="1"/>
    <col min="9409" max="9409" width="12" bestFit="1" customWidth="1"/>
    <col min="9410" max="9410" width="13.85546875" bestFit="1" customWidth="1"/>
    <col min="9411" max="9412" width="14.42578125" customWidth="1"/>
    <col min="9413" max="9413" width="10.140625" bestFit="1" customWidth="1"/>
    <col min="9414" max="9414" width="12.28515625" bestFit="1" customWidth="1"/>
    <col min="9415" max="9415" width="7.42578125" bestFit="1" customWidth="1"/>
    <col min="9416" max="9416" width="8.5703125" bestFit="1" customWidth="1"/>
    <col min="9417" max="9417" width="11.5703125" bestFit="1" customWidth="1"/>
    <col min="9418" max="9418" width="13.28515625" bestFit="1" customWidth="1"/>
    <col min="9419" max="9419" width="13.28515625" customWidth="1"/>
    <col min="9420" max="9420" width="13.140625" customWidth="1"/>
    <col min="9421" max="9421" width="12.7109375" bestFit="1" customWidth="1"/>
    <col min="9422" max="9422" width="13.28515625" bestFit="1" customWidth="1"/>
    <col min="9423" max="9425" width="13.28515625" customWidth="1"/>
    <col min="9426" max="9426" width="12.140625" bestFit="1" customWidth="1"/>
    <col min="9427" max="9427" width="12.7109375" bestFit="1" customWidth="1"/>
    <col min="9428" max="9428" width="11" customWidth="1"/>
    <col min="9429" max="9429" width="16.7109375" customWidth="1"/>
    <col min="9430" max="9430" width="17" customWidth="1"/>
    <col min="9431" max="9431" width="10.42578125" bestFit="1" customWidth="1"/>
    <col min="9475" max="9475" width="3.85546875" customWidth="1"/>
    <col min="9476" max="9476" width="15.28515625" bestFit="1" customWidth="1"/>
    <col min="9477" max="9477" width="12.28515625" customWidth="1"/>
    <col min="9478" max="9478" width="16.28515625" bestFit="1" customWidth="1"/>
    <col min="9479" max="9479" width="6.42578125" bestFit="1" customWidth="1"/>
    <col min="9480" max="9480" width="9.28515625" bestFit="1" customWidth="1"/>
    <col min="9481" max="9481" width="7.5703125" bestFit="1" customWidth="1"/>
    <col min="9482" max="9482" width="13.28515625" bestFit="1" customWidth="1"/>
    <col min="9483" max="9483" width="9.28515625" bestFit="1" customWidth="1"/>
    <col min="9484" max="9484" width="11.5703125" bestFit="1" customWidth="1"/>
    <col min="9485" max="9485" width="13.28515625" bestFit="1" customWidth="1"/>
    <col min="9486" max="9486" width="7.140625" bestFit="1" customWidth="1"/>
    <col min="9487" max="9487" width="12" bestFit="1" customWidth="1"/>
    <col min="9488" max="9488" width="13.28515625" bestFit="1" customWidth="1"/>
    <col min="9489" max="9489" width="7" bestFit="1" customWidth="1"/>
    <col min="9490" max="9490" width="12.7109375" bestFit="1" customWidth="1"/>
    <col min="9491" max="9491" width="11.5703125" bestFit="1" customWidth="1"/>
    <col min="9492" max="9492" width="10.5703125" bestFit="1" customWidth="1"/>
    <col min="9493" max="9494" width="15.7109375" bestFit="1" customWidth="1"/>
    <col min="9495" max="9495" width="11.5703125" bestFit="1" customWidth="1"/>
    <col min="9496" max="9496" width="7.7109375" bestFit="1" customWidth="1"/>
    <col min="9497" max="9497" width="15.140625" bestFit="1" customWidth="1"/>
    <col min="9498" max="9498" width="11.5703125" bestFit="1" customWidth="1"/>
    <col min="9499" max="9499" width="13.28515625" bestFit="1" customWidth="1"/>
    <col min="9500" max="9500" width="10.42578125" bestFit="1" customWidth="1"/>
    <col min="9501" max="9501" width="13.28515625" bestFit="1" customWidth="1"/>
    <col min="9502" max="9502" width="12.140625" bestFit="1" customWidth="1"/>
    <col min="9503" max="9503" width="14.42578125" bestFit="1" customWidth="1"/>
    <col min="9504" max="9504" width="13.28515625" bestFit="1" customWidth="1"/>
    <col min="9505" max="9505" width="11.5703125" bestFit="1" customWidth="1"/>
    <col min="9506" max="9506" width="7.7109375" bestFit="1" customWidth="1"/>
    <col min="9507" max="9508" width="14.42578125" bestFit="1" customWidth="1"/>
    <col min="9509" max="9509" width="11.5703125" bestFit="1" customWidth="1"/>
    <col min="9510" max="9510" width="7.7109375" bestFit="1" customWidth="1"/>
    <col min="9511" max="9511" width="13.5703125" customWidth="1"/>
    <col min="9512" max="9512" width="15.28515625" customWidth="1"/>
    <col min="9513" max="9513" width="14.5703125" customWidth="1"/>
    <col min="9514" max="9514" width="13.28515625" bestFit="1" customWidth="1"/>
    <col min="9515" max="9515" width="7.7109375" bestFit="1" customWidth="1"/>
    <col min="9516" max="9516" width="12.7109375" bestFit="1" customWidth="1"/>
    <col min="9517" max="9517" width="11.7109375" bestFit="1" customWidth="1"/>
    <col min="9518" max="9518" width="11.5703125" bestFit="1" customWidth="1"/>
    <col min="9519" max="9519" width="5.28515625" bestFit="1" customWidth="1"/>
    <col min="9520" max="9520" width="13.28515625" bestFit="1" customWidth="1"/>
    <col min="9521" max="9521" width="13.5703125" bestFit="1" customWidth="1"/>
    <col min="9522" max="9522" width="10.5703125" bestFit="1" customWidth="1"/>
    <col min="9523" max="9523" width="13.28515625" bestFit="1" customWidth="1"/>
    <col min="9524" max="9524" width="11.5703125" bestFit="1" customWidth="1"/>
    <col min="9525" max="9525" width="10.5703125" bestFit="1" customWidth="1"/>
    <col min="9526" max="9526" width="16.140625" bestFit="1" customWidth="1"/>
    <col min="9527" max="9528" width="11.28515625" bestFit="1" customWidth="1"/>
    <col min="9529" max="9529" width="13.28515625" bestFit="1" customWidth="1"/>
    <col min="9530" max="9530" width="7.7109375" bestFit="1" customWidth="1"/>
    <col min="9531" max="9534" width="9.140625" hidden="1" customWidth="1"/>
    <col min="9535" max="9535" width="10.42578125" bestFit="1" customWidth="1"/>
    <col min="9536" max="9536" width="10.5703125" bestFit="1" customWidth="1"/>
    <col min="9537" max="9537" width="10.42578125" bestFit="1" customWidth="1"/>
    <col min="9538" max="9538" width="10.5703125" bestFit="1" customWidth="1"/>
    <col min="9539" max="9539" width="9.5703125" bestFit="1" customWidth="1"/>
    <col min="9540" max="9540" width="11.5703125" bestFit="1" customWidth="1"/>
    <col min="9541" max="9541" width="10.42578125" bestFit="1" customWidth="1"/>
    <col min="9542" max="9542" width="10.85546875" customWidth="1"/>
    <col min="9543" max="9544" width="9.85546875" bestFit="1" customWidth="1"/>
    <col min="9545" max="9545" width="13.5703125" bestFit="1" customWidth="1"/>
    <col min="9546" max="9546" width="7.7109375" bestFit="1" customWidth="1"/>
    <col min="9547" max="9547" width="13.28515625" bestFit="1" customWidth="1"/>
    <col min="9548" max="9548" width="11.5703125" bestFit="1" customWidth="1"/>
    <col min="9549" max="9549" width="10.42578125" bestFit="1" customWidth="1"/>
    <col min="9550" max="9550" width="7.7109375" bestFit="1" customWidth="1"/>
    <col min="9551" max="9551" width="11.5703125" bestFit="1" customWidth="1"/>
    <col min="9552" max="9552" width="10.85546875" bestFit="1" customWidth="1"/>
    <col min="9553" max="9553" width="13.28515625" bestFit="1" customWidth="1"/>
    <col min="9554" max="9554" width="10.85546875" bestFit="1" customWidth="1"/>
    <col min="9555" max="9556" width="7.5703125" bestFit="1" customWidth="1"/>
    <col min="9557" max="9558" width="10.42578125" bestFit="1" customWidth="1"/>
    <col min="9559" max="9559" width="11.5703125" bestFit="1" customWidth="1"/>
    <col min="9560" max="9560" width="5.28515625" bestFit="1" customWidth="1"/>
    <col min="9561" max="9561" width="10.28515625" bestFit="1" customWidth="1"/>
    <col min="9562" max="9562" width="10.42578125" bestFit="1" customWidth="1"/>
    <col min="9563" max="9563" width="11.5703125" bestFit="1" customWidth="1"/>
    <col min="9564" max="9564" width="5.28515625" bestFit="1" customWidth="1"/>
    <col min="9565" max="9567" width="11.5703125" bestFit="1" customWidth="1"/>
    <col min="9568" max="9568" width="5.28515625" bestFit="1" customWidth="1"/>
    <col min="9569" max="9570" width="10.42578125" bestFit="1" customWidth="1"/>
    <col min="9571" max="9571" width="11.5703125" bestFit="1" customWidth="1"/>
    <col min="9572" max="9572" width="5.28515625" bestFit="1" customWidth="1"/>
    <col min="9573" max="9573" width="14.28515625" bestFit="1" customWidth="1"/>
    <col min="9574" max="9574" width="13" bestFit="1" customWidth="1"/>
    <col min="9575" max="9575" width="11.5703125" bestFit="1" customWidth="1"/>
    <col min="9576" max="9576" width="8.85546875" bestFit="1" customWidth="1"/>
    <col min="9577" max="9577" width="14.42578125" bestFit="1" customWidth="1"/>
    <col min="9578" max="9578" width="10.42578125" bestFit="1" customWidth="1"/>
    <col min="9579" max="9579" width="12.28515625" bestFit="1" customWidth="1"/>
    <col min="9580" max="9580" width="13.85546875" bestFit="1" customWidth="1"/>
    <col min="9581" max="9581" width="11.28515625" customWidth="1"/>
    <col min="9582" max="9582" width="11.5703125" customWidth="1"/>
    <col min="9583" max="9583" width="13.42578125" bestFit="1" customWidth="1"/>
    <col min="9584" max="9584" width="10.42578125" customWidth="1"/>
    <col min="9585" max="9585" width="13.85546875" bestFit="1" customWidth="1"/>
    <col min="9586" max="9586" width="15.42578125" bestFit="1" customWidth="1"/>
    <col min="9587" max="9587" width="12.28515625" bestFit="1" customWidth="1"/>
    <col min="9588" max="9588" width="12.7109375" customWidth="1"/>
    <col min="9589" max="9589" width="10.7109375" bestFit="1" customWidth="1"/>
    <col min="9590" max="9590" width="9.85546875" customWidth="1"/>
    <col min="9591" max="9592" width="10.140625" bestFit="1" customWidth="1"/>
    <col min="9593" max="9593" width="7.5703125" bestFit="1" customWidth="1"/>
    <col min="9594" max="9594" width="9.42578125" bestFit="1" customWidth="1"/>
    <col min="9595" max="9595" width="14.5703125" bestFit="1" customWidth="1"/>
    <col min="9596" max="9596" width="14.85546875" customWidth="1"/>
    <col min="9597" max="9597" width="15.140625" bestFit="1" customWidth="1"/>
    <col min="9598" max="9598" width="12.140625" bestFit="1" customWidth="1"/>
    <col min="9599" max="9599" width="14.85546875" bestFit="1" customWidth="1"/>
    <col min="9600" max="9600" width="12.28515625" bestFit="1" customWidth="1"/>
    <col min="9601" max="9609" width="9.140625" hidden="1" customWidth="1"/>
    <col min="9610" max="9610" width="5.28515625" bestFit="1" customWidth="1"/>
    <col min="9611" max="9616" width="11.5703125" bestFit="1" customWidth="1"/>
    <col min="9617" max="9617" width="11.28515625" bestFit="1" customWidth="1"/>
    <col min="9618" max="9618" width="10.140625" bestFit="1" customWidth="1"/>
    <col min="9619" max="9619" width="11.5703125" bestFit="1" customWidth="1"/>
    <col min="9620" max="9620" width="16.140625" customWidth="1"/>
    <col min="9621" max="9621" width="13.42578125" customWidth="1"/>
    <col min="9622" max="9622" width="10.140625" bestFit="1" customWidth="1"/>
    <col min="9623" max="9623" width="12.85546875" bestFit="1" customWidth="1"/>
    <col min="9624" max="9624" width="12.28515625" bestFit="1" customWidth="1"/>
    <col min="9625" max="9625" width="11.28515625" bestFit="1" customWidth="1"/>
    <col min="9626" max="9626" width="11.5703125" bestFit="1" customWidth="1"/>
    <col min="9627" max="9627" width="10.85546875" bestFit="1" customWidth="1"/>
    <col min="9628" max="9628" width="11.28515625" bestFit="1" customWidth="1"/>
    <col min="9629" max="9629" width="10.140625" bestFit="1" customWidth="1"/>
    <col min="9630" max="9630" width="13.28515625" bestFit="1" customWidth="1"/>
    <col min="9631" max="9632" width="12.7109375" bestFit="1" customWidth="1"/>
    <col min="9633" max="9633" width="11" bestFit="1" customWidth="1"/>
    <col min="9634" max="9634" width="11.28515625" bestFit="1" customWidth="1"/>
    <col min="9635" max="9635" width="11.5703125" bestFit="1" customWidth="1"/>
    <col min="9636" max="9636" width="12.28515625" bestFit="1" customWidth="1"/>
    <col min="9637" max="9637" width="15.140625" bestFit="1" customWidth="1"/>
    <col min="9638" max="9638" width="14.42578125" bestFit="1" customWidth="1"/>
    <col min="9639" max="9639" width="12.28515625" bestFit="1" customWidth="1"/>
    <col min="9640" max="9640" width="15.140625" bestFit="1" customWidth="1"/>
    <col min="9641" max="9641" width="14.42578125" bestFit="1" customWidth="1"/>
    <col min="9642" max="9642" width="12.28515625" bestFit="1" customWidth="1"/>
    <col min="9643" max="9643" width="14.42578125" bestFit="1" customWidth="1"/>
    <col min="9644" max="9644" width="11.28515625" bestFit="1" customWidth="1"/>
    <col min="9645" max="9645" width="12.28515625" bestFit="1" customWidth="1"/>
    <col min="9646" max="9646" width="13" bestFit="1" customWidth="1"/>
    <col min="9647" max="9647" width="15.140625" bestFit="1" customWidth="1"/>
    <col min="9648" max="9648" width="12.28515625" bestFit="1" customWidth="1"/>
    <col min="9649" max="9649" width="13.85546875" bestFit="1" customWidth="1"/>
    <col min="9650" max="9650" width="11.28515625" bestFit="1" customWidth="1"/>
    <col min="9651" max="9651" width="12.28515625" bestFit="1" customWidth="1"/>
    <col min="9652" max="9652" width="13.85546875" bestFit="1" customWidth="1"/>
    <col min="9653" max="9654" width="15.140625" bestFit="1" customWidth="1"/>
    <col min="9655" max="9655" width="12.28515625" bestFit="1" customWidth="1"/>
    <col min="9656" max="9656" width="5.7109375" bestFit="1" customWidth="1"/>
    <col min="9657" max="9657" width="8.5703125" bestFit="1" customWidth="1"/>
    <col min="9658" max="9658" width="5.5703125" bestFit="1" customWidth="1"/>
    <col min="9659" max="9659" width="14.42578125" bestFit="1" customWidth="1"/>
    <col min="9660" max="9660" width="11.28515625" bestFit="1" customWidth="1"/>
    <col min="9661" max="9662" width="12.28515625" bestFit="1" customWidth="1"/>
    <col min="9663" max="9663" width="11.28515625" bestFit="1" customWidth="1"/>
    <col min="9664" max="9664" width="13.85546875" bestFit="1" customWidth="1"/>
    <col min="9665" max="9665" width="12" bestFit="1" customWidth="1"/>
    <col min="9666" max="9666" width="13.85546875" bestFit="1" customWidth="1"/>
    <col min="9667" max="9668" width="14.42578125" customWidth="1"/>
    <col min="9669" max="9669" width="10.140625" bestFit="1" customWidth="1"/>
    <col min="9670" max="9670" width="12.28515625" bestFit="1" customWidth="1"/>
    <col min="9671" max="9671" width="7.42578125" bestFit="1" customWidth="1"/>
    <col min="9672" max="9672" width="8.5703125" bestFit="1" customWidth="1"/>
    <col min="9673" max="9673" width="11.5703125" bestFit="1" customWidth="1"/>
    <col min="9674" max="9674" width="13.28515625" bestFit="1" customWidth="1"/>
    <col min="9675" max="9675" width="13.28515625" customWidth="1"/>
    <col min="9676" max="9676" width="13.140625" customWidth="1"/>
    <col min="9677" max="9677" width="12.7109375" bestFit="1" customWidth="1"/>
    <col min="9678" max="9678" width="13.28515625" bestFit="1" customWidth="1"/>
    <col min="9679" max="9681" width="13.28515625" customWidth="1"/>
    <col min="9682" max="9682" width="12.140625" bestFit="1" customWidth="1"/>
    <col min="9683" max="9683" width="12.7109375" bestFit="1" customWidth="1"/>
    <col min="9684" max="9684" width="11" customWidth="1"/>
    <col min="9685" max="9685" width="16.7109375" customWidth="1"/>
    <col min="9686" max="9686" width="17" customWidth="1"/>
    <col min="9687" max="9687" width="10.42578125" bestFit="1" customWidth="1"/>
    <col min="9731" max="9731" width="3.85546875" customWidth="1"/>
    <col min="9732" max="9732" width="15.28515625" bestFit="1" customWidth="1"/>
    <col min="9733" max="9733" width="12.28515625" customWidth="1"/>
    <col min="9734" max="9734" width="16.28515625" bestFit="1" customWidth="1"/>
    <col min="9735" max="9735" width="6.42578125" bestFit="1" customWidth="1"/>
    <col min="9736" max="9736" width="9.28515625" bestFit="1" customWidth="1"/>
    <col min="9737" max="9737" width="7.5703125" bestFit="1" customWidth="1"/>
    <col min="9738" max="9738" width="13.28515625" bestFit="1" customWidth="1"/>
    <col min="9739" max="9739" width="9.28515625" bestFit="1" customWidth="1"/>
    <col min="9740" max="9740" width="11.5703125" bestFit="1" customWidth="1"/>
    <col min="9741" max="9741" width="13.28515625" bestFit="1" customWidth="1"/>
    <col min="9742" max="9742" width="7.140625" bestFit="1" customWidth="1"/>
    <col min="9743" max="9743" width="12" bestFit="1" customWidth="1"/>
    <col min="9744" max="9744" width="13.28515625" bestFit="1" customWidth="1"/>
    <col min="9745" max="9745" width="7" bestFit="1" customWidth="1"/>
    <col min="9746" max="9746" width="12.7109375" bestFit="1" customWidth="1"/>
    <col min="9747" max="9747" width="11.5703125" bestFit="1" customWidth="1"/>
    <col min="9748" max="9748" width="10.5703125" bestFit="1" customWidth="1"/>
    <col min="9749" max="9750" width="15.7109375" bestFit="1" customWidth="1"/>
    <col min="9751" max="9751" width="11.5703125" bestFit="1" customWidth="1"/>
    <col min="9752" max="9752" width="7.7109375" bestFit="1" customWidth="1"/>
    <col min="9753" max="9753" width="15.140625" bestFit="1" customWidth="1"/>
    <col min="9754" max="9754" width="11.5703125" bestFit="1" customWidth="1"/>
    <col min="9755" max="9755" width="13.28515625" bestFit="1" customWidth="1"/>
    <col min="9756" max="9756" width="10.42578125" bestFit="1" customWidth="1"/>
    <col min="9757" max="9757" width="13.28515625" bestFit="1" customWidth="1"/>
    <col min="9758" max="9758" width="12.140625" bestFit="1" customWidth="1"/>
    <col min="9759" max="9759" width="14.42578125" bestFit="1" customWidth="1"/>
    <col min="9760" max="9760" width="13.28515625" bestFit="1" customWidth="1"/>
    <col min="9761" max="9761" width="11.5703125" bestFit="1" customWidth="1"/>
    <col min="9762" max="9762" width="7.7109375" bestFit="1" customWidth="1"/>
    <col min="9763" max="9764" width="14.42578125" bestFit="1" customWidth="1"/>
    <col min="9765" max="9765" width="11.5703125" bestFit="1" customWidth="1"/>
    <col min="9766" max="9766" width="7.7109375" bestFit="1" customWidth="1"/>
    <col min="9767" max="9767" width="13.5703125" customWidth="1"/>
    <col min="9768" max="9768" width="15.28515625" customWidth="1"/>
    <col min="9769" max="9769" width="14.5703125" customWidth="1"/>
    <col min="9770" max="9770" width="13.28515625" bestFit="1" customWidth="1"/>
    <col min="9771" max="9771" width="7.7109375" bestFit="1" customWidth="1"/>
    <col min="9772" max="9772" width="12.7109375" bestFit="1" customWidth="1"/>
    <col min="9773" max="9773" width="11.7109375" bestFit="1" customWidth="1"/>
    <col min="9774" max="9774" width="11.5703125" bestFit="1" customWidth="1"/>
    <col min="9775" max="9775" width="5.28515625" bestFit="1" customWidth="1"/>
    <col min="9776" max="9776" width="13.28515625" bestFit="1" customWidth="1"/>
    <col min="9777" max="9777" width="13.5703125" bestFit="1" customWidth="1"/>
    <col min="9778" max="9778" width="10.5703125" bestFit="1" customWidth="1"/>
    <col min="9779" max="9779" width="13.28515625" bestFit="1" customWidth="1"/>
    <col min="9780" max="9780" width="11.5703125" bestFit="1" customWidth="1"/>
    <col min="9781" max="9781" width="10.5703125" bestFit="1" customWidth="1"/>
    <col min="9782" max="9782" width="16.140625" bestFit="1" customWidth="1"/>
    <col min="9783" max="9784" width="11.28515625" bestFit="1" customWidth="1"/>
    <col min="9785" max="9785" width="13.28515625" bestFit="1" customWidth="1"/>
    <col min="9786" max="9786" width="7.7109375" bestFit="1" customWidth="1"/>
    <col min="9787" max="9790" width="9.140625" hidden="1" customWidth="1"/>
    <col min="9791" max="9791" width="10.42578125" bestFit="1" customWidth="1"/>
    <col min="9792" max="9792" width="10.5703125" bestFit="1" customWidth="1"/>
    <col min="9793" max="9793" width="10.42578125" bestFit="1" customWidth="1"/>
    <col min="9794" max="9794" width="10.5703125" bestFit="1" customWidth="1"/>
    <col min="9795" max="9795" width="9.5703125" bestFit="1" customWidth="1"/>
    <col min="9796" max="9796" width="11.5703125" bestFit="1" customWidth="1"/>
    <col min="9797" max="9797" width="10.42578125" bestFit="1" customWidth="1"/>
    <col min="9798" max="9798" width="10.85546875" customWidth="1"/>
    <col min="9799" max="9800" width="9.85546875" bestFit="1" customWidth="1"/>
    <col min="9801" max="9801" width="13.5703125" bestFit="1" customWidth="1"/>
    <col min="9802" max="9802" width="7.7109375" bestFit="1" customWidth="1"/>
    <col min="9803" max="9803" width="13.28515625" bestFit="1" customWidth="1"/>
    <col min="9804" max="9804" width="11.5703125" bestFit="1" customWidth="1"/>
    <col min="9805" max="9805" width="10.42578125" bestFit="1" customWidth="1"/>
    <col min="9806" max="9806" width="7.7109375" bestFit="1" customWidth="1"/>
    <col min="9807" max="9807" width="11.5703125" bestFit="1" customWidth="1"/>
    <col min="9808" max="9808" width="10.85546875" bestFit="1" customWidth="1"/>
    <col min="9809" max="9809" width="13.28515625" bestFit="1" customWidth="1"/>
    <col min="9810" max="9810" width="10.85546875" bestFit="1" customWidth="1"/>
    <col min="9811" max="9812" width="7.5703125" bestFit="1" customWidth="1"/>
    <col min="9813" max="9814" width="10.42578125" bestFit="1" customWidth="1"/>
    <col min="9815" max="9815" width="11.5703125" bestFit="1" customWidth="1"/>
    <col min="9816" max="9816" width="5.28515625" bestFit="1" customWidth="1"/>
    <col min="9817" max="9817" width="10.28515625" bestFit="1" customWidth="1"/>
    <col min="9818" max="9818" width="10.42578125" bestFit="1" customWidth="1"/>
    <col min="9819" max="9819" width="11.5703125" bestFit="1" customWidth="1"/>
    <col min="9820" max="9820" width="5.28515625" bestFit="1" customWidth="1"/>
    <col min="9821" max="9823" width="11.5703125" bestFit="1" customWidth="1"/>
    <col min="9824" max="9824" width="5.28515625" bestFit="1" customWidth="1"/>
    <col min="9825" max="9826" width="10.42578125" bestFit="1" customWidth="1"/>
    <col min="9827" max="9827" width="11.5703125" bestFit="1" customWidth="1"/>
    <col min="9828" max="9828" width="5.28515625" bestFit="1" customWidth="1"/>
    <col min="9829" max="9829" width="14.28515625" bestFit="1" customWidth="1"/>
    <col min="9830" max="9830" width="13" bestFit="1" customWidth="1"/>
    <col min="9831" max="9831" width="11.5703125" bestFit="1" customWidth="1"/>
    <col min="9832" max="9832" width="8.85546875" bestFit="1" customWidth="1"/>
    <col min="9833" max="9833" width="14.42578125" bestFit="1" customWidth="1"/>
    <col min="9834" max="9834" width="10.42578125" bestFit="1" customWidth="1"/>
    <col min="9835" max="9835" width="12.28515625" bestFit="1" customWidth="1"/>
    <col min="9836" max="9836" width="13.85546875" bestFit="1" customWidth="1"/>
    <col min="9837" max="9837" width="11.28515625" customWidth="1"/>
    <col min="9838" max="9838" width="11.5703125" customWidth="1"/>
    <col min="9839" max="9839" width="13.42578125" bestFit="1" customWidth="1"/>
    <col min="9840" max="9840" width="10.42578125" customWidth="1"/>
    <col min="9841" max="9841" width="13.85546875" bestFit="1" customWidth="1"/>
    <col min="9842" max="9842" width="15.42578125" bestFit="1" customWidth="1"/>
    <col min="9843" max="9843" width="12.28515625" bestFit="1" customWidth="1"/>
    <col min="9844" max="9844" width="12.7109375" customWidth="1"/>
    <col min="9845" max="9845" width="10.7109375" bestFit="1" customWidth="1"/>
    <col min="9846" max="9846" width="9.85546875" customWidth="1"/>
    <col min="9847" max="9848" width="10.140625" bestFit="1" customWidth="1"/>
    <col min="9849" max="9849" width="7.5703125" bestFit="1" customWidth="1"/>
    <col min="9850" max="9850" width="9.42578125" bestFit="1" customWidth="1"/>
    <col min="9851" max="9851" width="14.5703125" bestFit="1" customWidth="1"/>
    <col min="9852" max="9852" width="14.85546875" customWidth="1"/>
    <col min="9853" max="9853" width="15.140625" bestFit="1" customWidth="1"/>
    <col min="9854" max="9854" width="12.140625" bestFit="1" customWidth="1"/>
    <col min="9855" max="9855" width="14.85546875" bestFit="1" customWidth="1"/>
    <col min="9856" max="9856" width="12.28515625" bestFit="1" customWidth="1"/>
    <col min="9857" max="9865" width="9.140625" hidden="1" customWidth="1"/>
    <col min="9866" max="9866" width="5.28515625" bestFit="1" customWidth="1"/>
    <col min="9867" max="9872" width="11.5703125" bestFit="1" customWidth="1"/>
    <col min="9873" max="9873" width="11.28515625" bestFit="1" customWidth="1"/>
    <col min="9874" max="9874" width="10.140625" bestFit="1" customWidth="1"/>
    <col min="9875" max="9875" width="11.5703125" bestFit="1" customWidth="1"/>
    <col min="9876" max="9876" width="16.140625" customWidth="1"/>
    <col min="9877" max="9877" width="13.42578125" customWidth="1"/>
    <col min="9878" max="9878" width="10.140625" bestFit="1" customWidth="1"/>
    <col min="9879" max="9879" width="12.85546875" bestFit="1" customWidth="1"/>
    <col min="9880" max="9880" width="12.28515625" bestFit="1" customWidth="1"/>
    <col min="9881" max="9881" width="11.28515625" bestFit="1" customWidth="1"/>
    <col min="9882" max="9882" width="11.5703125" bestFit="1" customWidth="1"/>
    <col min="9883" max="9883" width="10.85546875" bestFit="1" customWidth="1"/>
    <col min="9884" max="9884" width="11.28515625" bestFit="1" customWidth="1"/>
    <col min="9885" max="9885" width="10.140625" bestFit="1" customWidth="1"/>
    <col min="9886" max="9886" width="13.28515625" bestFit="1" customWidth="1"/>
    <col min="9887" max="9888" width="12.7109375" bestFit="1" customWidth="1"/>
    <col min="9889" max="9889" width="11" bestFit="1" customWidth="1"/>
    <col min="9890" max="9890" width="11.28515625" bestFit="1" customWidth="1"/>
    <col min="9891" max="9891" width="11.5703125" bestFit="1" customWidth="1"/>
    <col min="9892" max="9892" width="12.28515625" bestFit="1" customWidth="1"/>
    <col min="9893" max="9893" width="15.140625" bestFit="1" customWidth="1"/>
    <col min="9894" max="9894" width="14.42578125" bestFit="1" customWidth="1"/>
    <col min="9895" max="9895" width="12.28515625" bestFit="1" customWidth="1"/>
    <col min="9896" max="9896" width="15.140625" bestFit="1" customWidth="1"/>
    <col min="9897" max="9897" width="14.42578125" bestFit="1" customWidth="1"/>
    <col min="9898" max="9898" width="12.28515625" bestFit="1" customWidth="1"/>
    <col min="9899" max="9899" width="14.42578125" bestFit="1" customWidth="1"/>
    <col min="9900" max="9900" width="11.28515625" bestFit="1" customWidth="1"/>
    <col min="9901" max="9901" width="12.28515625" bestFit="1" customWidth="1"/>
    <col min="9902" max="9902" width="13" bestFit="1" customWidth="1"/>
    <col min="9903" max="9903" width="15.140625" bestFit="1" customWidth="1"/>
    <col min="9904" max="9904" width="12.28515625" bestFit="1" customWidth="1"/>
    <col min="9905" max="9905" width="13.85546875" bestFit="1" customWidth="1"/>
    <col min="9906" max="9906" width="11.28515625" bestFit="1" customWidth="1"/>
    <col min="9907" max="9907" width="12.28515625" bestFit="1" customWidth="1"/>
    <col min="9908" max="9908" width="13.85546875" bestFit="1" customWidth="1"/>
    <col min="9909" max="9910" width="15.140625" bestFit="1" customWidth="1"/>
    <col min="9911" max="9911" width="12.28515625" bestFit="1" customWidth="1"/>
    <col min="9912" max="9912" width="5.7109375" bestFit="1" customWidth="1"/>
    <col min="9913" max="9913" width="8.5703125" bestFit="1" customWidth="1"/>
    <col min="9914" max="9914" width="5.5703125" bestFit="1" customWidth="1"/>
    <col min="9915" max="9915" width="14.42578125" bestFit="1" customWidth="1"/>
    <col min="9916" max="9916" width="11.28515625" bestFit="1" customWidth="1"/>
    <col min="9917" max="9918" width="12.28515625" bestFit="1" customWidth="1"/>
    <col min="9919" max="9919" width="11.28515625" bestFit="1" customWidth="1"/>
    <col min="9920" max="9920" width="13.85546875" bestFit="1" customWidth="1"/>
    <col min="9921" max="9921" width="12" bestFit="1" customWidth="1"/>
    <col min="9922" max="9922" width="13.85546875" bestFit="1" customWidth="1"/>
    <col min="9923" max="9924" width="14.42578125" customWidth="1"/>
    <col min="9925" max="9925" width="10.140625" bestFit="1" customWidth="1"/>
    <col min="9926" max="9926" width="12.28515625" bestFit="1" customWidth="1"/>
    <col min="9927" max="9927" width="7.42578125" bestFit="1" customWidth="1"/>
    <col min="9928" max="9928" width="8.5703125" bestFit="1" customWidth="1"/>
    <col min="9929" max="9929" width="11.5703125" bestFit="1" customWidth="1"/>
    <col min="9930" max="9930" width="13.28515625" bestFit="1" customWidth="1"/>
    <col min="9931" max="9931" width="13.28515625" customWidth="1"/>
    <col min="9932" max="9932" width="13.140625" customWidth="1"/>
    <col min="9933" max="9933" width="12.7109375" bestFit="1" customWidth="1"/>
    <col min="9934" max="9934" width="13.28515625" bestFit="1" customWidth="1"/>
    <col min="9935" max="9937" width="13.28515625" customWidth="1"/>
    <col min="9938" max="9938" width="12.140625" bestFit="1" customWidth="1"/>
    <col min="9939" max="9939" width="12.7109375" bestFit="1" customWidth="1"/>
    <col min="9940" max="9940" width="11" customWidth="1"/>
    <col min="9941" max="9941" width="16.7109375" customWidth="1"/>
    <col min="9942" max="9942" width="17" customWidth="1"/>
    <col min="9943" max="9943" width="10.42578125" bestFit="1" customWidth="1"/>
    <col min="9987" max="9987" width="3.85546875" customWidth="1"/>
    <col min="9988" max="9988" width="15.28515625" bestFit="1" customWidth="1"/>
    <col min="9989" max="9989" width="12.28515625" customWidth="1"/>
    <col min="9990" max="9990" width="16.28515625" bestFit="1" customWidth="1"/>
    <col min="9991" max="9991" width="6.42578125" bestFit="1" customWidth="1"/>
    <col min="9992" max="9992" width="9.28515625" bestFit="1" customWidth="1"/>
    <col min="9993" max="9993" width="7.5703125" bestFit="1" customWidth="1"/>
    <col min="9994" max="9994" width="13.28515625" bestFit="1" customWidth="1"/>
    <col min="9995" max="9995" width="9.28515625" bestFit="1" customWidth="1"/>
    <col min="9996" max="9996" width="11.5703125" bestFit="1" customWidth="1"/>
    <col min="9997" max="9997" width="13.28515625" bestFit="1" customWidth="1"/>
    <col min="9998" max="9998" width="7.140625" bestFit="1" customWidth="1"/>
    <col min="9999" max="9999" width="12" bestFit="1" customWidth="1"/>
    <col min="10000" max="10000" width="13.28515625" bestFit="1" customWidth="1"/>
    <col min="10001" max="10001" width="7" bestFit="1" customWidth="1"/>
    <col min="10002" max="10002" width="12.7109375" bestFit="1" customWidth="1"/>
    <col min="10003" max="10003" width="11.5703125" bestFit="1" customWidth="1"/>
    <col min="10004" max="10004" width="10.5703125" bestFit="1" customWidth="1"/>
    <col min="10005" max="10006" width="15.7109375" bestFit="1" customWidth="1"/>
    <col min="10007" max="10007" width="11.5703125" bestFit="1" customWidth="1"/>
    <col min="10008" max="10008" width="7.7109375" bestFit="1" customWidth="1"/>
    <col min="10009" max="10009" width="15.140625" bestFit="1" customWidth="1"/>
    <col min="10010" max="10010" width="11.5703125" bestFit="1" customWidth="1"/>
    <col min="10011" max="10011" width="13.28515625" bestFit="1" customWidth="1"/>
    <col min="10012" max="10012" width="10.42578125" bestFit="1" customWidth="1"/>
    <col min="10013" max="10013" width="13.28515625" bestFit="1" customWidth="1"/>
    <col min="10014" max="10014" width="12.140625" bestFit="1" customWidth="1"/>
    <col min="10015" max="10015" width="14.42578125" bestFit="1" customWidth="1"/>
    <col min="10016" max="10016" width="13.28515625" bestFit="1" customWidth="1"/>
    <col min="10017" max="10017" width="11.5703125" bestFit="1" customWidth="1"/>
    <col min="10018" max="10018" width="7.7109375" bestFit="1" customWidth="1"/>
    <col min="10019" max="10020" width="14.42578125" bestFit="1" customWidth="1"/>
    <col min="10021" max="10021" width="11.5703125" bestFit="1" customWidth="1"/>
    <col min="10022" max="10022" width="7.7109375" bestFit="1" customWidth="1"/>
    <col min="10023" max="10023" width="13.5703125" customWidth="1"/>
    <col min="10024" max="10024" width="15.28515625" customWidth="1"/>
    <col min="10025" max="10025" width="14.5703125" customWidth="1"/>
    <col min="10026" max="10026" width="13.28515625" bestFit="1" customWidth="1"/>
    <col min="10027" max="10027" width="7.7109375" bestFit="1" customWidth="1"/>
    <col min="10028" max="10028" width="12.7109375" bestFit="1" customWidth="1"/>
    <col min="10029" max="10029" width="11.7109375" bestFit="1" customWidth="1"/>
    <col min="10030" max="10030" width="11.5703125" bestFit="1" customWidth="1"/>
    <col min="10031" max="10031" width="5.28515625" bestFit="1" customWidth="1"/>
    <col min="10032" max="10032" width="13.28515625" bestFit="1" customWidth="1"/>
    <col min="10033" max="10033" width="13.5703125" bestFit="1" customWidth="1"/>
    <col min="10034" max="10034" width="10.5703125" bestFit="1" customWidth="1"/>
    <col min="10035" max="10035" width="13.28515625" bestFit="1" customWidth="1"/>
    <col min="10036" max="10036" width="11.5703125" bestFit="1" customWidth="1"/>
    <col min="10037" max="10037" width="10.5703125" bestFit="1" customWidth="1"/>
    <col min="10038" max="10038" width="16.140625" bestFit="1" customWidth="1"/>
    <col min="10039" max="10040" width="11.28515625" bestFit="1" customWidth="1"/>
    <col min="10041" max="10041" width="13.28515625" bestFit="1" customWidth="1"/>
    <col min="10042" max="10042" width="7.7109375" bestFit="1" customWidth="1"/>
    <col min="10043" max="10046" width="9.140625" hidden="1" customWidth="1"/>
    <col min="10047" max="10047" width="10.42578125" bestFit="1" customWidth="1"/>
    <col min="10048" max="10048" width="10.5703125" bestFit="1" customWidth="1"/>
    <col min="10049" max="10049" width="10.42578125" bestFit="1" customWidth="1"/>
    <col min="10050" max="10050" width="10.5703125" bestFit="1" customWidth="1"/>
    <col min="10051" max="10051" width="9.5703125" bestFit="1" customWidth="1"/>
    <col min="10052" max="10052" width="11.5703125" bestFit="1" customWidth="1"/>
    <col min="10053" max="10053" width="10.42578125" bestFit="1" customWidth="1"/>
    <col min="10054" max="10054" width="10.85546875" customWidth="1"/>
    <col min="10055" max="10056" width="9.85546875" bestFit="1" customWidth="1"/>
    <col min="10057" max="10057" width="13.5703125" bestFit="1" customWidth="1"/>
    <col min="10058" max="10058" width="7.7109375" bestFit="1" customWidth="1"/>
    <col min="10059" max="10059" width="13.28515625" bestFit="1" customWidth="1"/>
    <col min="10060" max="10060" width="11.5703125" bestFit="1" customWidth="1"/>
    <col min="10061" max="10061" width="10.42578125" bestFit="1" customWidth="1"/>
    <col min="10062" max="10062" width="7.7109375" bestFit="1" customWidth="1"/>
    <col min="10063" max="10063" width="11.5703125" bestFit="1" customWidth="1"/>
    <col min="10064" max="10064" width="10.85546875" bestFit="1" customWidth="1"/>
    <col min="10065" max="10065" width="13.28515625" bestFit="1" customWidth="1"/>
    <col min="10066" max="10066" width="10.85546875" bestFit="1" customWidth="1"/>
    <col min="10067" max="10068" width="7.5703125" bestFit="1" customWidth="1"/>
    <col min="10069" max="10070" width="10.42578125" bestFit="1" customWidth="1"/>
    <col min="10071" max="10071" width="11.5703125" bestFit="1" customWidth="1"/>
    <col min="10072" max="10072" width="5.28515625" bestFit="1" customWidth="1"/>
    <col min="10073" max="10073" width="10.28515625" bestFit="1" customWidth="1"/>
    <col min="10074" max="10074" width="10.42578125" bestFit="1" customWidth="1"/>
    <col min="10075" max="10075" width="11.5703125" bestFit="1" customWidth="1"/>
    <col min="10076" max="10076" width="5.28515625" bestFit="1" customWidth="1"/>
    <col min="10077" max="10079" width="11.5703125" bestFit="1" customWidth="1"/>
    <col min="10080" max="10080" width="5.28515625" bestFit="1" customWidth="1"/>
    <col min="10081" max="10082" width="10.42578125" bestFit="1" customWidth="1"/>
    <col min="10083" max="10083" width="11.5703125" bestFit="1" customWidth="1"/>
    <col min="10084" max="10084" width="5.28515625" bestFit="1" customWidth="1"/>
    <col min="10085" max="10085" width="14.28515625" bestFit="1" customWidth="1"/>
    <col min="10086" max="10086" width="13" bestFit="1" customWidth="1"/>
    <col min="10087" max="10087" width="11.5703125" bestFit="1" customWidth="1"/>
    <col min="10088" max="10088" width="8.85546875" bestFit="1" customWidth="1"/>
    <col min="10089" max="10089" width="14.42578125" bestFit="1" customWidth="1"/>
    <col min="10090" max="10090" width="10.42578125" bestFit="1" customWidth="1"/>
    <col min="10091" max="10091" width="12.28515625" bestFit="1" customWidth="1"/>
    <col min="10092" max="10092" width="13.85546875" bestFit="1" customWidth="1"/>
    <col min="10093" max="10093" width="11.28515625" customWidth="1"/>
    <col min="10094" max="10094" width="11.5703125" customWidth="1"/>
    <col min="10095" max="10095" width="13.42578125" bestFit="1" customWidth="1"/>
    <col min="10096" max="10096" width="10.42578125" customWidth="1"/>
    <col min="10097" max="10097" width="13.85546875" bestFit="1" customWidth="1"/>
    <col min="10098" max="10098" width="15.42578125" bestFit="1" customWidth="1"/>
    <col min="10099" max="10099" width="12.28515625" bestFit="1" customWidth="1"/>
    <col min="10100" max="10100" width="12.7109375" customWidth="1"/>
    <col min="10101" max="10101" width="10.7109375" bestFit="1" customWidth="1"/>
    <col min="10102" max="10102" width="9.85546875" customWidth="1"/>
    <col min="10103" max="10104" width="10.140625" bestFit="1" customWidth="1"/>
    <col min="10105" max="10105" width="7.5703125" bestFit="1" customWidth="1"/>
    <col min="10106" max="10106" width="9.42578125" bestFit="1" customWidth="1"/>
    <col min="10107" max="10107" width="14.5703125" bestFit="1" customWidth="1"/>
    <col min="10108" max="10108" width="14.85546875" customWidth="1"/>
    <col min="10109" max="10109" width="15.140625" bestFit="1" customWidth="1"/>
    <col min="10110" max="10110" width="12.140625" bestFit="1" customWidth="1"/>
    <col min="10111" max="10111" width="14.85546875" bestFit="1" customWidth="1"/>
    <col min="10112" max="10112" width="12.28515625" bestFit="1" customWidth="1"/>
    <col min="10113" max="10121" width="9.140625" hidden="1" customWidth="1"/>
    <col min="10122" max="10122" width="5.28515625" bestFit="1" customWidth="1"/>
    <col min="10123" max="10128" width="11.5703125" bestFit="1" customWidth="1"/>
    <col min="10129" max="10129" width="11.28515625" bestFit="1" customWidth="1"/>
    <col min="10130" max="10130" width="10.140625" bestFit="1" customWidth="1"/>
    <col min="10131" max="10131" width="11.5703125" bestFit="1" customWidth="1"/>
    <col min="10132" max="10132" width="16.140625" customWidth="1"/>
    <col min="10133" max="10133" width="13.42578125" customWidth="1"/>
    <col min="10134" max="10134" width="10.140625" bestFit="1" customWidth="1"/>
    <col min="10135" max="10135" width="12.85546875" bestFit="1" customWidth="1"/>
    <col min="10136" max="10136" width="12.28515625" bestFit="1" customWidth="1"/>
    <col min="10137" max="10137" width="11.28515625" bestFit="1" customWidth="1"/>
    <col min="10138" max="10138" width="11.5703125" bestFit="1" customWidth="1"/>
    <col min="10139" max="10139" width="10.85546875" bestFit="1" customWidth="1"/>
    <col min="10140" max="10140" width="11.28515625" bestFit="1" customWidth="1"/>
    <col min="10141" max="10141" width="10.140625" bestFit="1" customWidth="1"/>
    <col min="10142" max="10142" width="13.28515625" bestFit="1" customWidth="1"/>
    <col min="10143" max="10144" width="12.7109375" bestFit="1" customWidth="1"/>
    <col min="10145" max="10145" width="11" bestFit="1" customWidth="1"/>
    <col min="10146" max="10146" width="11.28515625" bestFit="1" customWidth="1"/>
    <col min="10147" max="10147" width="11.5703125" bestFit="1" customWidth="1"/>
    <col min="10148" max="10148" width="12.28515625" bestFit="1" customWidth="1"/>
    <col min="10149" max="10149" width="15.140625" bestFit="1" customWidth="1"/>
    <col min="10150" max="10150" width="14.42578125" bestFit="1" customWidth="1"/>
    <col min="10151" max="10151" width="12.28515625" bestFit="1" customWidth="1"/>
    <col min="10152" max="10152" width="15.140625" bestFit="1" customWidth="1"/>
    <col min="10153" max="10153" width="14.42578125" bestFit="1" customWidth="1"/>
    <col min="10154" max="10154" width="12.28515625" bestFit="1" customWidth="1"/>
    <col min="10155" max="10155" width="14.42578125" bestFit="1" customWidth="1"/>
    <col min="10156" max="10156" width="11.28515625" bestFit="1" customWidth="1"/>
    <col min="10157" max="10157" width="12.28515625" bestFit="1" customWidth="1"/>
    <col min="10158" max="10158" width="13" bestFit="1" customWidth="1"/>
    <col min="10159" max="10159" width="15.140625" bestFit="1" customWidth="1"/>
    <col min="10160" max="10160" width="12.28515625" bestFit="1" customWidth="1"/>
    <col min="10161" max="10161" width="13.85546875" bestFit="1" customWidth="1"/>
    <col min="10162" max="10162" width="11.28515625" bestFit="1" customWidth="1"/>
    <col min="10163" max="10163" width="12.28515625" bestFit="1" customWidth="1"/>
    <col min="10164" max="10164" width="13.85546875" bestFit="1" customWidth="1"/>
    <col min="10165" max="10166" width="15.140625" bestFit="1" customWidth="1"/>
    <col min="10167" max="10167" width="12.28515625" bestFit="1" customWidth="1"/>
    <col min="10168" max="10168" width="5.7109375" bestFit="1" customWidth="1"/>
    <col min="10169" max="10169" width="8.5703125" bestFit="1" customWidth="1"/>
    <col min="10170" max="10170" width="5.5703125" bestFit="1" customWidth="1"/>
    <col min="10171" max="10171" width="14.42578125" bestFit="1" customWidth="1"/>
    <col min="10172" max="10172" width="11.28515625" bestFit="1" customWidth="1"/>
    <col min="10173" max="10174" width="12.28515625" bestFit="1" customWidth="1"/>
    <col min="10175" max="10175" width="11.28515625" bestFit="1" customWidth="1"/>
    <col min="10176" max="10176" width="13.85546875" bestFit="1" customWidth="1"/>
    <col min="10177" max="10177" width="12" bestFit="1" customWidth="1"/>
    <col min="10178" max="10178" width="13.85546875" bestFit="1" customWidth="1"/>
    <col min="10179" max="10180" width="14.42578125" customWidth="1"/>
    <col min="10181" max="10181" width="10.140625" bestFit="1" customWidth="1"/>
    <col min="10182" max="10182" width="12.28515625" bestFit="1" customWidth="1"/>
    <col min="10183" max="10183" width="7.42578125" bestFit="1" customWidth="1"/>
    <col min="10184" max="10184" width="8.5703125" bestFit="1" customWidth="1"/>
    <col min="10185" max="10185" width="11.5703125" bestFit="1" customWidth="1"/>
    <col min="10186" max="10186" width="13.28515625" bestFit="1" customWidth="1"/>
    <col min="10187" max="10187" width="13.28515625" customWidth="1"/>
    <col min="10188" max="10188" width="13.140625" customWidth="1"/>
    <col min="10189" max="10189" width="12.7109375" bestFit="1" customWidth="1"/>
    <col min="10190" max="10190" width="13.28515625" bestFit="1" customWidth="1"/>
    <col min="10191" max="10193" width="13.28515625" customWidth="1"/>
    <col min="10194" max="10194" width="12.140625" bestFit="1" customWidth="1"/>
    <col min="10195" max="10195" width="12.7109375" bestFit="1" customWidth="1"/>
    <col min="10196" max="10196" width="11" customWidth="1"/>
    <col min="10197" max="10197" width="16.7109375" customWidth="1"/>
    <col min="10198" max="10198" width="17" customWidth="1"/>
    <col min="10199" max="10199" width="10.42578125" bestFit="1" customWidth="1"/>
    <col min="10243" max="10243" width="3.85546875" customWidth="1"/>
    <col min="10244" max="10244" width="15.28515625" bestFit="1" customWidth="1"/>
    <col min="10245" max="10245" width="12.28515625" customWidth="1"/>
    <col min="10246" max="10246" width="16.28515625" bestFit="1" customWidth="1"/>
    <col min="10247" max="10247" width="6.42578125" bestFit="1" customWidth="1"/>
    <col min="10248" max="10248" width="9.28515625" bestFit="1" customWidth="1"/>
    <col min="10249" max="10249" width="7.5703125" bestFit="1" customWidth="1"/>
    <col min="10250" max="10250" width="13.28515625" bestFit="1" customWidth="1"/>
    <col min="10251" max="10251" width="9.28515625" bestFit="1" customWidth="1"/>
    <col min="10252" max="10252" width="11.5703125" bestFit="1" customWidth="1"/>
    <col min="10253" max="10253" width="13.28515625" bestFit="1" customWidth="1"/>
    <col min="10254" max="10254" width="7.140625" bestFit="1" customWidth="1"/>
    <col min="10255" max="10255" width="12" bestFit="1" customWidth="1"/>
    <col min="10256" max="10256" width="13.28515625" bestFit="1" customWidth="1"/>
    <col min="10257" max="10257" width="7" bestFit="1" customWidth="1"/>
    <col min="10258" max="10258" width="12.7109375" bestFit="1" customWidth="1"/>
    <col min="10259" max="10259" width="11.5703125" bestFit="1" customWidth="1"/>
    <col min="10260" max="10260" width="10.5703125" bestFit="1" customWidth="1"/>
    <col min="10261" max="10262" width="15.7109375" bestFit="1" customWidth="1"/>
    <col min="10263" max="10263" width="11.5703125" bestFit="1" customWidth="1"/>
    <col min="10264" max="10264" width="7.7109375" bestFit="1" customWidth="1"/>
    <col min="10265" max="10265" width="15.140625" bestFit="1" customWidth="1"/>
    <col min="10266" max="10266" width="11.5703125" bestFit="1" customWidth="1"/>
    <col min="10267" max="10267" width="13.28515625" bestFit="1" customWidth="1"/>
    <col min="10268" max="10268" width="10.42578125" bestFit="1" customWidth="1"/>
    <col min="10269" max="10269" width="13.28515625" bestFit="1" customWidth="1"/>
    <col min="10270" max="10270" width="12.140625" bestFit="1" customWidth="1"/>
    <col min="10271" max="10271" width="14.42578125" bestFit="1" customWidth="1"/>
    <col min="10272" max="10272" width="13.28515625" bestFit="1" customWidth="1"/>
    <col min="10273" max="10273" width="11.5703125" bestFit="1" customWidth="1"/>
    <col min="10274" max="10274" width="7.7109375" bestFit="1" customWidth="1"/>
    <col min="10275" max="10276" width="14.42578125" bestFit="1" customWidth="1"/>
    <col min="10277" max="10277" width="11.5703125" bestFit="1" customWidth="1"/>
    <col min="10278" max="10278" width="7.7109375" bestFit="1" customWidth="1"/>
    <col min="10279" max="10279" width="13.5703125" customWidth="1"/>
    <col min="10280" max="10280" width="15.28515625" customWidth="1"/>
    <col min="10281" max="10281" width="14.5703125" customWidth="1"/>
    <col min="10282" max="10282" width="13.28515625" bestFit="1" customWidth="1"/>
    <col min="10283" max="10283" width="7.7109375" bestFit="1" customWidth="1"/>
    <col min="10284" max="10284" width="12.7109375" bestFit="1" customWidth="1"/>
    <col min="10285" max="10285" width="11.7109375" bestFit="1" customWidth="1"/>
    <col min="10286" max="10286" width="11.5703125" bestFit="1" customWidth="1"/>
    <col min="10287" max="10287" width="5.28515625" bestFit="1" customWidth="1"/>
    <col min="10288" max="10288" width="13.28515625" bestFit="1" customWidth="1"/>
    <col min="10289" max="10289" width="13.5703125" bestFit="1" customWidth="1"/>
    <col min="10290" max="10290" width="10.5703125" bestFit="1" customWidth="1"/>
    <col min="10291" max="10291" width="13.28515625" bestFit="1" customWidth="1"/>
    <col min="10292" max="10292" width="11.5703125" bestFit="1" customWidth="1"/>
    <col min="10293" max="10293" width="10.5703125" bestFit="1" customWidth="1"/>
    <col min="10294" max="10294" width="16.140625" bestFit="1" customWidth="1"/>
    <col min="10295" max="10296" width="11.28515625" bestFit="1" customWidth="1"/>
    <col min="10297" max="10297" width="13.28515625" bestFit="1" customWidth="1"/>
    <col min="10298" max="10298" width="7.7109375" bestFit="1" customWidth="1"/>
    <col min="10299" max="10302" width="9.140625" hidden="1" customWidth="1"/>
    <col min="10303" max="10303" width="10.42578125" bestFit="1" customWidth="1"/>
    <col min="10304" max="10304" width="10.5703125" bestFit="1" customWidth="1"/>
    <col min="10305" max="10305" width="10.42578125" bestFit="1" customWidth="1"/>
    <col min="10306" max="10306" width="10.5703125" bestFit="1" customWidth="1"/>
    <col min="10307" max="10307" width="9.5703125" bestFit="1" customWidth="1"/>
    <col min="10308" max="10308" width="11.5703125" bestFit="1" customWidth="1"/>
    <col min="10309" max="10309" width="10.42578125" bestFit="1" customWidth="1"/>
    <col min="10310" max="10310" width="10.85546875" customWidth="1"/>
    <col min="10311" max="10312" width="9.85546875" bestFit="1" customWidth="1"/>
    <col min="10313" max="10313" width="13.5703125" bestFit="1" customWidth="1"/>
    <col min="10314" max="10314" width="7.7109375" bestFit="1" customWidth="1"/>
    <col min="10315" max="10315" width="13.28515625" bestFit="1" customWidth="1"/>
    <col min="10316" max="10316" width="11.5703125" bestFit="1" customWidth="1"/>
    <col min="10317" max="10317" width="10.42578125" bestFit="1" customWidth="1"/>
    <col min="10318" max="10318" width="7.7109375" bestFit="1" customWidth="1"/>
    <col min="10319" max="10319" width="11.5703125" bestFit="1" customWidth="1"/>
    <col min="10320" max="10320" width="10.85546875" bestFit="1" customWidth="1"/>
    <col min="10321" max="10321" width="13.28515625" bestFit="1" customWidth="1"/>
    <col min="10322" max="10322" width="10.85546875" bestFit="1" customWidth="1"/>
    <col min="10323" max="10324" width="7.5703125" bestFit="1" customWidth="1"/>
    <col min="10325" max="10326" width="10.42578125" bestFit="1" customWidth="1"/>
    <col min="10327" max="10327" width="11.5703125" bestFit="1" customWidth="1"/>
    <col min="10328" max="10328" width="5.28515625" bestFit="1" customWidth="1"/>
    <col min="10329" max="10329" width="10.28515625" bestFit="1" customWidth="1"/>
    <col min="10330" max="10330" width="10.42578125" bestFit="1" customWidth="1"/>
    <col min="10331" max="10331" width="11.5703125" bestFit="1" customWidth="1"/>
    <col min="10332" max="10332" width="5.28515625" bestFit="1" customWidth="1"/>
    <col min="10333" max="10335" width="11.5703125" bestFit="1" customWidth="1"/>
    <col min="10336" max="10336" width="5.28515625" bestFit="1" customWidth="1"/>
    <col min="10337" max="10338" width="10.42578125" bestFit="1" customWidth="1"/>
    <col min="10339" max="10339" width="11.5703125" bestFit="1" customWidth="1"/>
    <col min="10340" max="10340" width="5.28515625" bestFit="1" customWidth="1"/>
    <col min="10341" max="10341" width="14.28515625" bestFit="1" customWidth="1"/>
    <col min="10342" max="10342" width="13" bestFit="1" customWidth="1"/>
    <col min="10343" max="10343" width="11.5703125" bestFit="1" customWidth="1"/>
    <col min="10344" max="10344" width="8.85546875" bestFit="1" customWidth="1"/>
    <col min="10345" max="10345" width="14.42578125" bestFit="1" customWidth="1"/>
    <col min="10346" max="10346" width="10.42578125" bestFit="1" customWidth="1"/>
    <col min="10347" max="10347" width="12.28515625" bestFit="1" customWidth="1"/>
    <col min="10348" max="10348" width="13.85546875" bestFit="1" customWidth="1"/>
    <col min="10349" max="10349" width="11.28515625" customWidth="1"/>
    <col min="10350" max="10350" width="11.5703125" customWidth="1"/>
    <col min="10351" max="10351" width="13.42578125" bestFit="1" customWidth="1"/>
    <col min="10352" max="10352" width="10.42578125" customWidth="1"/>
    <col min="10353" max="10353" width="13.85546875" bestFit="1" customWidth="1"/>
    <col min="10354" max="10354" width="15.42578125" bestFit="1" customWidth="1"/>
    <col min="10355" max="10355" width="12.28515625" bestFit="1" customWidth="1"/>
    <col min="10356" max="10356" width="12.7109375" customWidth="1"/>
    <col min="10357" max="10357" width="10.7109375" bestFit="1" customWidth="1"/>
    <col min="10358" max="10358" width="9.85546875" customWidth="1"/>
    <col min="10359" max="10360" width="10.140625" bestFit="1" customWidth="1"/>
    <col min="10361" max="10361" width="7.5703125" bestFit="1" customWidth="1"/>
    <col min="10362" max="10362" width="9.42578125" bestFit="1" customWidth="1"/>
    <col min="10363" max="10363" width="14.5703125" bestFit="1" customWidth="1"/>
    <col min="10364" max="10364" width="14.85546875" customWidth="1"/>
    <col min="10365" max="10365" width="15.140625" bestFit="1" customWidth="1"/>
    <col min="10366" max="10366" width="12.140625" bestFit="1" customWidth="1"/>
    <col min="10367" max="10367" width="14.85546875" bestFit="1" customWidth="1"/>
    <col min="10368" max="10368" width="12.28515625" bestFit="1" customWidth="1"/>
    <col min="10369" max="10377" width="9.140625" hidden="1" customWidth="1"/>
    <col min="10378" max="10378" width="5.28515625" bestFit="1" customWidth="1"/>
    <col min="10379" max="10384" width="11.5703125" bestFit="1" customWidth="1"/>
    <col min="10385" max="10385" width="11.28515625" bestFit="1" customWidth="1"/>
    <col min="10386" max="10386" width="10.140625" bestFit="1" customWidth="1"/>
    <col min="10387" max="10387" width="11.5703125" bestFit="1" customWidth="1"/>
    <col min="10388" max="10388" width="16.140625" customWidth="1"/>
    <col min="10389" max="10389" width="13.42578125" customWidth="1"/>
    <col min="10390" max="10390" width="10.140625" bestFit="1" customWidth="1"/>
    <col min="10391" max="10391" width="12.85546875" bestFit="1" customWidth="1"/>
    <col min="10392" max="10392" width="12.28515625" bestFit="1" customWidth="1"/>
    <col min="10393" max="10393" width="11.28515625" bestFit="1" customWidth="1"/>
    <col min="10394" max="10394" width="11.5703125" bestFit="1" customWidth="1"/>
    <col min="10395" max="10395" width="10.85546875" bestFit="1" customWidth="1"/>
    <col min="10396" max="10396" width="11.28515625" bestFit="1" customWidth="1"/>
    <col min="10397" max="10397" width="10.140625" bestFit="1" customWidth="1"/>
    <col min="10398" max="10398" width="13.28515625" bestFit="1" customWidth="1"/>
    <col min="10399" max="10400" width="12.7109375" bestFit="1" customWidth="1"/>
    <col min="10401" max="10401" width="11" bestFit="1" customWidth="1"/>
    <col min="10402" max="10402" width="11.28515625" bestFit="1" customWidth="1"/>
    <col min="10403" max="10403" width="11.5703125" bestFit="1" customWidth="1"/>
    <col min="10404" max="10404" width="12.28515625" bestFit="1" customWidth="1"/>
    <col min="10405" max="10405" width="15.140625" bestFit="1" customWidth="1"/>
    <col min="10406" max="10406" width="14.42578125" bestFit="1" customWidth="1"/>
    <col min="10407" max="10407" width="12.28515625" bestFit="1" customWidth="1"/>
    <col min="10408" max="10408" width="15.140625" bestFit="1" customWidth="1"/>
    <col min="10409" max="10409" width="14.42578125" bestFit="1" customWidth="1"/>
    <col min="10410" max="10410" width="12.28515625" bestFit="1" customWidth="1"/>
    <col min="10411" max="10411" width="14.42578125" bestFit="1" customWidth="1"/>
    <col min="10412" max="10412" width="11.28515625" bestFit="1" customWidth="1"/>
    <col min="10413" max="10413" width="12.28515625" bestFit="1" customWidth="1"/>
    <col min="10414" max="10414" width="13" bestFit="1" customWidth="1"/>
    <col min="10415" max="10415" width="15.140625" bestFit="1" customWidth="1"/>
    <col min="10416" max="10416" width="12.28515625" bestFit="1" customWidth="1"/>
    <col min="10417" max="10417" width="13.85546875" bestFit="1" customWidth="1"/>
    <col min="10418" max="10418" width="11.28515625" bestFit="1" customWidth="1"/>
    <col min="10419" max="10419" width="12.28515625" bestFit="1" customWidth="1"/>
    <col min="10420" max="10420" width="13.85546875" bestFit="1" customWidth="1"/>
    <col min="10421" max="10422" width="15.140625" bestFit="1" customWidth="1"/>
    <col min="10423" max="10423" width="12.28515625" bestFit="1" customWidth="1"/>
    <col min="10424" max="10424" width="5.7109375" bestFit="1" customWidth="1"/>
    <col min="10425" max="10425" width="8.5703125" bestFit="1" customWidth="1"/>
    <col min="10426" max="10426" width="5.5703125" bestFit="1" customWidth="1"/>
    <col min="10427" max="10427" width="14.42578125" bestFit="1" customWidth="1"/>
    <col min="10428" max="10428" width="11.28515625" bestFit="1" customWidth="1"/>
    <col min="10429" max="10430" width="12.28515625" bestFit="1" customWidth="1"/>
    <col min="10431" max="10431" width="11.28515625" bestFit="1" customWidth="1"/>
    <col min="10432" max="10432" width="13.85546875" bestFit="1" customWidth="1"/>
    <col min="10433" max="10433" width="12" bestFit="1" customWidth="1"/>
    <col min="10434" max="10434" width="13.85546875" bestFit="1" customWidth="1"/>
    <col min="10435" max="10436" width="14.42578125" customWidth="1"/>
    <col min="10437" max="10437" width="10.140625" bestFit="1" customWidth="1"/>
    <col min="10438" max="10438" width="12.28515625" bestFit="1" customWidth="1"/>
    <col min="10439" max="10439" width="7.42578125" bestFit="1" customWidth="1"/>
    <col min="10440" max="10440" width="8.5703125" bestFit="1" customWidth="1"/>
    <col min="10441" max="10441" width="11.5703125" bestFit="1" customWidth="1"/>
    <col min="10442" max="10442" width="13.28515625" bestFit="1" customWidth="1"/>
    <col min="10443" max="10443" width="13.28515625" customWidth="1"/>
    <col min="10444" max="10444" width="13.140625" customWidth="1"/>
    <col min="10445" max="10445" width="12.7109375" bestFit="1" customWidth="1"/>
    <col min="10446" max="10446" width="13.28515625" bestFit="1" customWidth="1"/>
    <col min="10447" max="10449" width="13.28515625" customWidth="1"/>
    <col min="10450" max="10450" width="12.140625" bestFit="1" customWidth="1"/>
    <col min="10451" max="10451" width="12.7109375" bestFit="1" customWidth="1"/>
    <col min="10452" max="10452" width="11" customWidth="1"/>
    <col min="10453" max="10453" width="16.7109375" customWidth="1"/>
    <col min="10454" max="10454" width="17" customWidth="1"/>
    <col min="10455" max="10455" width="10.42578125" bestFit="1" customWidth="1"/>
    <col min="10499" max="10499" width="3.85546875" customWidth="1"/>
    <col min="10500" max="10500" width="15.28515625" bestFit="1" customWidth="1"/>
    <col min="10501" max="10501" width="12.28515625" customWidth="1"/>
    <col min="10502" max="10502" width="16.28515625" bestFit="1" customWidth="1"/>
    <col min="10503" max="10503" width="6.42578125" bestFit="1" customWidth="1"/>
    <col min="10504" max="10504" width="9.28515625" bestFit="1" customWidth="1"/>
    <col min="10505" max="10505" width="7.5703125" bestFit="1" customWidth="1"/>
    <col min="10506" max="10506" width="13.28515625" bestFit="1" customWidth="1"/>
    <col min="10507" max="10507" width="9.28515625" bestFit="1" customWidth="1"/>
    <col min="10508" max="10508" width="11.5703125" bestFit="1" customWidth="1"/>
    <col min="10509" max="10509" width="13.28515625" bestFit="1" customWidth="1"/>
    <col min="10510" max="10510" width="7.140625" bestFit="1" customWidth="1"/>
    <col min="10511" max="10511" width="12" bestFit="1" customWidth="1"/>
    <col min="10512" max="10512" width="13.28515625" bestFit="1" customWidth="1"/>
    <col min="10513" max="10513" width="7" bestFit="1" customWidth="1"/>
    <col min="10514" max="10514" width="12.7109375" bestFit="1" customWidth="1"/>
    <col min="10515" max="10515" width="11.5703125" bestFit="1" customWidth="1"/>
    <col min="10516" max="10516" width="10.5703125" bestFit="1" customWidth="1"/>
    <col min="10517" max="10518" width="15.7109375" bestFit="1" customWidth="1"/>
    <col min="10519" max="10519" width="11.5703125" bestFit="1" customWidth="1"/>
    <col min="10520" max="10520" width="7.7109375" bestFit="1" customWidth="1"/>
    <col min="10521" max="10521" width="15.140625" bestFit="1" customWidth="1"/>
    <col min="10522" max="10522" width="11.5703125" bestFit="1" customWidth="1"/>
    <col min="10523" max="10523" width="13.28515625" bestFit="1" customWidth="1"/>
    <col min="10524" max="10524" width="10.42578125" bestFit="1" customWidth="1"/>
    <col min="10525" max="10525" width="13.28515625" bestFit="1" customWidth="1"/>
    <col min="10526" max="10526" width="12.140625" bestFit="1" customWidth="1"/>
    <col min="10527" max="10527" width="14.42578125" bestFit="1" customWidth="1"/>
    <col min="10528" max="10528" width="13.28515625" bestFit="1" customWidth="1"/>
    <col min="10529" max="10529" width="11.5703125" bestFit="1" customWidth="1"/>
    <col min="10530" max="10530" width="7.7109375" bestFit="1" customWidth="1"/>
    <col min="10531" max="10532" width="14.42578125" bestFit="1" customWidth="1"/>
    <col min="10533" max="10533" width="11.5703125" bestFit="1" customWidth="1"/>
    <col min="10534" max="10534" width="7.7109375" bestFit="1" customWidth="1"/>
    <col min="10535" max="10535" width="13.5703125" customWidth="1"/>
    <col min="10536" max="10536" width="15.28515625" customWidth="1"/>
    <col min="10537" max="10537" width="14.5703125" customWidth="1"/>
    <col min="10538" max="10538" width="13.28515625" bestFit="1" customWidth="1"/>
    <col min="10539" max="10539" width="7.7109375" bestFit="1" customWidth="1"/>
    <col min="10540" max="10540" width="12.7109375" bestFit="1" customWidth="1"/>
    <col min="10541" max="10541" width="11.7109375" bestFit="1" customWidth="1"/>
    <col min="10542" max="10542" width="11.5703125" bestFit="1" customWidth="1"/>
    <col min="10543" max="10543" width="5.28515625" bestFit="1" customWidth="1"/>
    <col min="10544" max="10544" width="13.28515625" bestFit="1" customWidth="1"/>
    <col min="10545" max="10545" width="13.5703125" bestFit="1" customWidth="1"/>
    <col min="10546" max="10546" width="10.5703125" bestFit="1" customWidth="1"/>
    <col min="10547" max="10547" width="13.28515625" bestFit="1" customWidth="1"/>
    <col min="10548" max="10548" width="11.5703125" bestFit="1" customWidth="1"/>
    <col min="10549" max="10549" width="10.5703125" bestFit="1" customWidth="1"/>
    <col min="10550" max="10550" width="16.140625" bestFit="1" customWidth="1"/>
    <col min="10551" max="10552" width="11.28515625" bestFit="1" customWidth="1"/>
    <col min="10553" max="10553" width="13.28515625" bestFit="1" customWidth="1"/>
    <col min="10554" max="10554" width="7.7109375" bestFit="1" customWidth="1"/>
    <col min="10555" max="10558" width="9.140625" hidden="1" customWidth="1"/>
    <col min="10559" max="10559" width="10.42578125" bestFit="1" customWidth="1"/>
    <col min="10560" max="10560" width="10.5703125" bestFit="1" customWidth="1"/>
    <col min="10561" max="10561" width="10.42578125" bestFit="1" customWidth="1"/>
    <col min="10562" max="10562" width="10.5703125" bestFit="1" customWidth="1"/>
    <col min="10563" max="10563" width="9.5703125" bestFit="1" customWidth="1"/>
    <col min="10564" max="10564" width="11.5703125" bestFit="1" customWidth="1"/>
    <col min="10565" max="10565" width="10.42578125" bestFit="1" customWidth="1"/>
    <col min="10566" max="10566" width="10.85546875" customWidth="1"/>
    <col min="10567" max="10568" width="9.85546875" bestFit="1" customWidth="1"/>
    <col min="10569" max="10569" width="13.5703125" bestFit="1" customWidth="1"/>
    <col min="10570" max="10570" width="7.7109375" bestFit="1" customWidth="1"/>
    <col min="10571" max="10571" width="13.28515625" bestFit="1" customWidth="1"/>
    <col min="10572" max="10572" width="11.5703125" bestFit="1" customWidth="1"/>
    <col min="10573" max="10573" width="10.42578125" bestFit="1" customWidth="1"/>
    <col min="10574" max="10574" width="7.7109375" bestFit="1" customWidth="1"/>
    <col min="10575" max="10575" width="11.5703125" bestFit="1" customWidth="1"/>
    <col min="10576" max="10576" width="10.85546875" bestFit="1" customWidth="1"/>
    <col min="10577" max="10577" width="13.28515625" bestFit="1" customWidth="1"/>
    <col min="10578" max="10578" width="10.85546875" bestFit="1" customWidth="1"/>
    <col min="10579" max="10580" width="7.5703125" bestFit="1" customWidth="1"/>
    <col min="10581" max="10582" width="10.42578125" bestFit="1" customWidth="1"/>
    <col min="10583" max="10583" width="11.5703125" bestFit="1" customWidth="1"/>
    <col min="10584" max="10584" width="5.28515625" bestFit="1" customWidth="1"/>
    <col min="10585" max="10585" width="10.28515625" bestFit="1" customWidth="1"/>
    <col min="10586" max="10586" width="10.42578125" bestFit="1" customWidth="1"/>
    <col min="10587" max="10587" width="11.5703125" bestFit="1" customWidth="1"/>
    <col min="10588" max="10588" width="5.28515625" bestFit="1" customWidth="1"/>
    <col min="10589" max="10591" width="11.5703125" bestFit="1" customWidth="1"/>
    <col min="10592" max="10592" width="5.28515625" bestFit="1" customWidth="1"/>
    <col min="10593" max="10594" width="10.42578125" bestFit="1" customWidth="1"/>
    <col min="10595" max="10595" width="11.5703125" bestFit="1" customWidth="1"/>
    <col min="10596" max="10596" width="5.28515625" bestFit="1" customWidth="1"/>
    <col min="10597" max="10597" width="14.28515625" bestFit="1" customWidth="1"/>
    <col min="10598" max="10598" width="13" bestFit="1" customWidth="1"/>
    <col min="10599" max="10599" width="11.5703125" bestFit="1" customWidth="1"/>
    <col min="10600" max="10600" width="8.85546875" bestFit="1" customWidth="1"/>
    <col min="10601" max="10601" width="14.42578125" bestFit="1" customWidth="1"/>
    <col min="10602" max="10602" width="10.42578125" bestFit="1" customWidth="1"/>
    <col min="10603" max="10603" width="12.28515625" bestFit="1" customWidth="1"/>
    <col min="10604" max="10604" width="13.85546875" bestFit="1" customWidth="1"/>
    <col min="10605" max="10605" width="11.28515625" customWidth="1"/>
    <col min="10606" max="10606" width="11.5703125" customWidth="1"/>
    <col min="10607" max="10607" width="13.42578125" bestFit="1" customWidth="1"/>
    <col min="10608" max="10608" width="10.42578125" customWidth="1"/>
    <col min="10609" max="10609" width="13.85546875" bestFit="1" customWidth="1"/>
    <col min="10610" max="10610" width="15.42578125" bestFit="1" customWidth="1"/>
    <col min="10611" max="10611" width="12.28515625" bestFit="1" customWidth="1"/>
    <col min="10612" max="10612" width="12.7109375" customWidth="1"/>
    <col min="10613" max="10613" width="10.7109375" bestFit="1" customWidth="1"/>
    <col min="10614" max="10614" width="9.85546875" customWidth="1"/>
    <col min="10615" max="10616" width="10.140625" bestFit="1" customWidth="1"/>
    <col min="10617" max="10617" width="7.5703125" bestFit="1" customWidth="1"/>
    <col min="10618" max="10618" width="9.42578125" bestFit="1" customWidth="1"/>
    <col min="10619" max="10619" width="14.5703125" bestFit="1" customWidth="1"/>
    <col min="10620" max="10620" width="14.85546875" customWidth="1"/>
    <col min="10621" max="10621" width="15.140625" bestFit="1" customWidth="1"/>
    <col min="10622" max="10622" width="12.140625" bestFit="1" customWidth="1"/>
    <col min="10623" max="10623" width="14.85546875" bestFit="1" customWidth="1"/>
    <col min="10624" max="10624" width="12.28515625" bestFit="1" customWidth="1"/>
    <col min="10625" max="10633" width="9.140625" hidden="1" customWidth="1"/>
    <col min="10634" max="10634" width="5.28515625" bestFit="1" customWidth="1"/>
    <col min="10635" max="10640" width="11.5703125" bestFit="1" customWidth="1"/>
    <col min="10641" max="10641" width="11.28515625" bestFit="1" customWidth="1"/>
    <col min="10642" max="10642" width="10.140625" bestFit="1" customWidth="1"/>
    <col min="10643" max="10643" width="11.5703125" bestFit="1" customWidth="1"/>
    <col min="10644" max="10644" width="16.140625" customWidth="1"/>
    <col min="10645" max="10645" width="13.42578125" customWidth="1"/>
    <col min="10646" max="10646" width="10.140625" bestFit="1" customWidth="1"/>
    <col min="10647" max="10647" width="12.85546875" bestFit="1" customWidth="1"/>
    <col min="10648" max="10648" width="12.28515625" bestFit="1" customWidth="1"/>
    <col min="10649" max="10649" width="11.28515625" bestFit="1" customWidth="1"/>
    <col min="10650" max="10650" width="11.5703125" bestFit="1" customWidth="1"/>
    <col min="10651" max="10651" width="10.85546875" bestFit="1" customWidth="1"/>
    <col min="10652" max="10652" width="11.28515625" bestFit="1" customWidth="1"/>
    <col min="10653" max="10653" width="10.140625" bestFit="1" customWidth="1"/>
    <col min="10654" max="10654" width="13.28515625" bestFit="1" customWidth="1"/>
    <col min="10655" max="10656" width="12.7109375" bestFit="1" customWidth="1"/>
    <col min="10657" max="10657" width="11" bestFit="1" customWidth="1"/>
    <col min="10658" max="10658" width="11.28515625" bestFit="1" customWidth="1"/>
    <col min="10659" max="10659" width="11.5703125" bestFit="1" customWidth="1"/>
    <col min="10660" max="10660" width="12.28515625" bestFit="1" customWidth="1"/>
    <col min="10661" max="10661" width="15.140625" bestFit="1" customWidth="1"/>
    <col min="10662" max="10662" width="14.42578125" bestFit="1" customWidth="1"/>
    <col min="10663" max="10663" width="12.28515625" bestFit="1" customWidth="1"/>
    <col min="10664" max="10664" width="15.140625" bestFit="1" customWidth="1"/>
    <col min="10665" max="10665" width="14.42578125" bestFit="1" customWidth="1"/>
    <col min="10666" max="10666" width="12.28515625" bestFit="1" customWidth="1"/>
    <col min="10667" max="10667" width="14.42578125" bestFit="1" customWidth="1"/>
    <col min="10668" max="10668" width="11.28515625" bestFit="1" customWidth="1"/>
    <col min="10669" max="10669" width="12.28515625" bestFit="1" customWidth="1"/>
    <col min="10670" max="10670" width="13" bestFit="1" customWidth="1"/>
    <col min="10671" max="10671" width="15.140625" bestFit="1" customWidth="1"/>
    <col min="10672" max="10672" width="12.28515625" bestFit="1" customWidth="1"/>
    <col min="10673" max="10673" width="13.85546875" bestFit="1" customWidth="1"/>
    <col min="10674" max="10674" width="11.28515625" bestFit="1" customWidth="1"/>
    <col min="10675" max="10675" width="12.28515625" bestFit="1" customWidth="1"/>
    <col min="10676" max="10676" width="13.85546875" bestFit="1" customWidth="1"/>
    <col min="10677" max="10678" width="15.140625" bestFit="1" customWidth="1"/>
    <col min="10679" max="10679" width="12.28515625" bestFit="1" customWidth="1"/>
    <col min="10680" max="10680" width="5.7109375" bestFit="1" customWidth="1"/>
    <col min="10681" max="10681" width="8.5703125" bestFit="1" customWidth="1"/>
    <col min="10682" max="10682" width="5.5703125" bestFit="1" customWidth="1"/>
    <col min="10683" max="10683" width="14.42578125" bestFit="1" customWidth="1"/>
    <col min="10684" max="10684" width="11.28515625" bestFit="1" customWidth="1"/>
    <col min="10685" max="10686" width="12.28515625" bestFit="1" customWidth="1"/>
    <col min="10687" max="10687" width="11.28515625" bestFit="1" customWidth="1"/>
    <col min="10688" max="10688" width="13.85546875" bestFit="1" customWidth="1"/>
    <col min="10689" max="10689" width="12" bestFit="1" customWidth="1"/>
    <col min="10690" max="10690" width="13.85546875" bestFit="1" customWidth="1"/>
    <col min="10691" max="10692" width="14.42578125" customWidth="1"/>
    <col min="10693" max="10693" width="10.140625" bestFit="1" customWidth="1"/>
    <col min="10694" max="10694" width="12.28515625" bestFit="1" customWidth="1"/>
    <col min="10695" max="10695" width="7.42578125" bestFit="1" customWidth="1"/>
    <col min="10696" max="10696" width="8.5703125" bestFit="1" customWidth="1"/>
    <col min="10697" max="10697" width="11.5703125" bestFit="1" customWidth="1"/>
    <col min="10698" max="10698" width="13.28515625" bestFit="1" customWidth="1"/>
    <col min="10699" max="10699" width="13.28515625" customWidth="1"/>
    <col min="10700" max="10700" width="13.140625" customWidth="1"/>
    <col min="10701" max="10701" width="12.7109375" bestFit="1" customWidth="1"/>
    <col min="10702" max="10702" width="13.28515625" bestFit="1" customWidth="1"/>
    <col min="10703" max="10705" width="13.28515625" customWidth="1"/>
    <col min="10706" max="10706" width="12.140625" bestFit="1" customWidth="1"/>
    <col min="10707" max="10707" width="12.7109375" bestFit="1" customWidth="1"/>
    <col min="10708" max="10708" width="11" customWidth="1"/>
    <col min="10709" max="10709" width="16.7109375" customWidth="1"/>
    <col min="10710" max="10710" width="17" customWidth="1"/>
    <col min="10711" max="10711" width="10.42578125" bestFit="1" customWidth="1"/>
    <col min="10755" max="10755" width="3.85546875" customWidth="1"/>
    <col min="10756" max="10756" width="15.28515625" bestFit="1" customWidth="1"/>
    <col min="10757" max="10757" width="12.28515625" customWidth="1"/>
    <col min="10758" max="10758" width="16.28515625" bestFit="1" customWidth="1"/>
    <col min="10759" max="10759" width="6.42578125" bestFit="1" customWidth="1"/>
    <col min="10760" max="10760" width="9.28515625" bestFit="1" customWidth="1"/>
    <col min="10761" max="10761" width="7.5703125" bestFit="1" customWidth="1"/>
    <col min="10762" max="10762" width="13.28515625" bestFit="1" customWidth="1"/>
    <col min="10763" max="10763" width="9.28515625" bestFit="1" customWidth="1"/>
    <col min="10764" max="10764" width="11.5703125" bestFit="1" customWidth="1"/>
    <col min="10765" max="10765" width="13.28515625" bestFit="1" customWidth="1"/>
    <col min="10766" max="10766" width="7.140625" bestFit="1" customWidth="1"/>
    <col min="10767" max="10767" width="12" bestFit="1" customWidth="1"/>
    <col min="10768" max="10768" width="13.28515625" bestFit="1" customWidth="1"/>
    <col min="10769" max="10769" width="7" bestFit="1" customWidth="1"/>
    <col min="10770" max="10770" width="12.7109375" bestFit="1" customWidth="1"/>
    <col min="10771" max="10771" width="11.5703125" bestFit="1" customWidth="1"/>
    <col min="10772" max="10772" width="10.5703125" bestFit="1" customWidth="1"/>
    <col min="10773" max="10774" width="15.7109375" bestFit="1" customWidth="1"/>
    <col min="10775" max="10775" width="11.5703125" bestFit="1" customWidth="1"/>
    <col min="10776" max="10776" width="7.7109375" bestFit="1" customWidth="1"/>
    <col min="10777" max="10777" width="15.140625" bestFit="1" customWidth="1"/>
    <col min="10778" max="10778" width="11.5703125" bestFit="1" customWidth="1"/>
    <col min="10779" max="10779" width="13.28515625" bestFit="1" customWidth="1"/>
    <col min="10780" max="10780" width="10.42578125" bestFit="1" customWidth="1"/>
    <col min="10781" max="10781" width="13.28515625" bestFit="1" customWidth="1"/>
    <col min="10782" max="10782" width="12.140625" bestFit="1" customWidth="1"/>
    <col min="10783" max="10783" width="14.42578125" bestFit="1" customWidth="1"/>
    <col min="10784" max="10784" width="13.28515625" bestFit="1" customWidth="1"/>
    <col min="10785" max="10785" width="11.5703125" bestFit="1" customWidth="1"/>
    <col min="10786" max="10786" width="7.7109375" bestFit="1" customWidth="1"/>
    <col min="10787" max="10788" width="14.42578125" bestFit="1" customWidth="1"/>
    <col min="10789" max="10789" width="11.5703125" bestFit="1" customWidth="1"/>
    <col min="10790" max="10790" width="7.7109375" bestFit="1" customWidth="1"/>
    <col min="10791" max="10791" width="13.5703125" customWidth="1"/>
    <col min="10792" max="10792" width="15.28515625" customWidth="1"/>
    <col min="10793" max="10793" width="14.5703125" customWidth="1"/>
    <col min="10794" max="10794" width="13.28515625" bestFit="1" customWidth="1"/>
    <col min="10795" max="10795" width="7.7109375" bestFit="1" customWidth="1"/>
    <col min="10796" max="10796" width="12.7109375" bestFit="1" customWidth="1"/>
    <col min="10797" max="10797" width="11.7109375" bestFit="1" customWidth="1"/>
    <col min="10798" max="10798" width="11.5703125" bestFit="1" customWidth="1"/>
    <col min="10799" max="10799" width="5.28515625" bestFit="1" customWidth="1"/>
    <col min="10800" max="10800" width="13.28515625" bestFit="1" customWidth="1"/>
    <col min="10801" max="10801" width="13.5703125" bestFit="1" customWidth="1"/>
    <col min="10802" max="10802" width="10.5703125" bestFit="1" customWidth="1"/>
    <col min="10803" max="10803" width="13.28515625" bestFit="1" customWidth="1"/>
    <col min="10804" max="10804" width="11.5703125" bestFit="1" customWidth="1"/>
    <col min="10805" max="10805" width="10.5703125" bestFit="1" customWidth="1"/>
    <col min="10806" max="10806" width="16.140625" bestFit="1" customWidth="1"/>
    <col min="10807" max="10808" width="11.28515625" bestFit="1" customWidth="1"/>
    <col min="10809" max="10809" width="13.28515625" bestFit="1" customWidth="1"/>
    <col min="10810" max="10810" width="7.7109375" bestFit="1" customWidth="1"/>
    <col min="10811" max="10814" width="9.140625" hidden="1" customWidth="1"/>
    <col min="10815" max="10815" width="10.42578125" bestFit="1" customWidth="1"/>
    <col min="10816" max="10816" width="10.5703125" bestFit="1" customWidth="1"/>
    <col min="10817" max="10817" width="10.42578125" bestFit="1" customWidth="1"/>
    <col min="10818" max="10818" width="10.5703125" bestFit="1" customWidth="1"/>
    <col min="10819" max="10819" width="9.5703125" bestFit="1" customWidth="1"/>
    <col min="10820" max="10820" width="11.5703125" bestFit="1" customWidth="1"/>
    <col min="10821" max="10821" width="10.42578125" bestFit="1" customWidth="1"/>
    <col min="10822" max="10822" width="10.85546875" customWidth="1"/>
    <col min="10823" max="10824" width="9.85546875" bestFit="1" customWidth="1"/>
    <col min="10825" max="10825" width="13.5703125" bestFit="1" customWidth="1"/>
    <col min="10826" max="10826" width="7.7109375" bestFit="1" customWidth="1"/>
    <col min="10827" max="10827" width="13.28515625" bestFit="1" customWidth="1"/>
    <col min="10828" max="10828" width="11.5703125" bestFit="1" customWidth="1"/>
    <col min="10829" max="10829" width="10.42578125" bestFit="1" customWidth="1"/>
    <col min="10830" max="10830" width="7.7109375" bestFit="1" customWidth="1"/>
    <col min="10831" max="10831" width="11.5703125" bestFit="1" customWidth="1"/>
    <col min="10832" max="10832" width="10.85546875" bestFit="1" customWidth="1"/>
    <col min="10833" max="10833" width="13.28515625" bestFit="1" customWidth="1"/>
    <col min="10834" max="10834" width="10.85546875" bestFit="1" customWidth="1"/>
    <col min="10835" max="10836" width="7.5703125" bestFit="1" customWidth="1"/>
    <col min="10837" max="10838" width="10.42578125" bestFit="1" customWidth="1"/>
    <col min="10839" max="10839" width="11.5703125" bestFit="1" customWidth="1"/>
    <col min="10840" max="10840" width="5.28515625" bestFit="1" customWidth="1"/>
    <col min="10841" max="10841" width="10.28515625" bestFit="1" customWidth="1"/>
    <col min="10842" max="10842" width="10.42578125" bestFit="1" customWidth="1"/>
    <col min="10843" max="10843" width="11.5703125" bestFit="1" customWidth="1"/>
    <col min="10844" max="10844" width="5.28515625" bestFit="1" customWidth="1"/>
    <col min="10845" max="10847" width="11.5703125" bestFit="1" customWidth="1"/>
    <col min="10848" max="10848" width="5.28515625" bestFit="1" customWidth="1"/>
    <col min="10849" max="10850" width="10.42578125" bestFit="1" customWidth="1"/>
    <col min="10851" max="10851" width="11.5703125" bestFit="1" customWidth="1"/>
    <col min="10852" max="10852" width="5.28515625" bestFit="1" customWidth="1"/>
    <col min="10853" max="10853" width="14.28515625" bestFit="1" customWidth="1"/>
    <col min="10854" max="10854" width="13" bestFit="1" customWidth="1"/>
    <col min="10855" max="10855" width="11.5703125" bestFit="1" customWidth="1"/>
    <col min="10856" max="10856" width="8.85546875" bestFit="1" customWidth="1"/>
    <col min="10857" max="10857" width="14.42578125" bestFit="1" customWidth="1"/>
    <col min="10858" max="10858" width="10.42578125" bestFit="1" customWidth="1"/>
    <col min="10859" max="10859" width="12.28515625" bestFit="1" customWidth="1"/>
    <col min="10860" max="10860" width="13.85546875" bestFit="1" customWidth="1"/>
    <col min="10861" max="10861" width="11.28515625" customWidth="1"/>
    <col min="10862" max="10862" width="11.5703125" customWidth="1"/>
    <col min="10863" max="10863" width="13.42578125" bestFit="1" customWidth="1"/>
    <col min="10864" max="10864" width="10.42578125" customWidth="1"/>
    <col min="10865" max="10865" width="13.85546875" bestFit="1" customWidth="1"/>
    <col min="10866" max="10866" width="15.42578125" bestFit="1" customWidth="1"/>
    <col min="10867" max="10867" width="12.28515625" bestFit="1" customWidth="1"/>
    <col min="10868" max="10868" width="12.7109375" customWidth="1"/>
    <col min="10869" max="10869" width="10.7109375" bestFit="1" customWidth="1"/>
    <col min="10870" max="10870" width="9.85546875" customWidth="1"/>
    <col min="10871" max="10872" width="10.140625" bestFit="1" customWidth="1"/>
    <col min="10873" max="10873" width="7.5703125" bestFit="1" customWidth="1"/>
    <col min="10874" max="10874" width="9.42578125" bestFit="1" customWidth="1"/>
    <col min="10875" max="10875" width="14.5703125" bestFit="1" customWidth="1"/>
    <col min="10876" max="10876" width="14.85546875" customWidth="1"/>
    <col min="10877" max="10877" width="15.140625" bestFit="1" customWidth="1"/>
    <col min="10878" max="10878" width="12.140625" bestFit="1" customWidth="1"/>
    <col min="10879" max="10879" width="14.85546875" bestFit="1" customWidth="1"/>
    <col min="10880" max="10880" width="12.28515625" bestFit="1" customWidth="1"/>
    <col min="10881" max="10889" width="9.140625" hidden="1" customWidth="1"/>
    <col min="10890" max="10890" width="5.28515625" bestFit="1" customWidth="1"/>
    <col min="10891" max="10896" width="11.5703125" bestFit="1" customWidth="1"/>
    <col min="10897" max="10897" width="11.28515625" bestFit="1" customWidth="1"/>
    <col min="10898" max="10898" width="10.140625" bestFit="1" customWidth="1"/>
    <col min="10899" max="10899" width="11.5703125" bestFit="1" customWidth="1"/>
    <col min="10900" max="10900" width="16.140625" customWidth="1"/>
    <col min="10901" max="10901" width="13.42578125" customWidth="1"/>
    <col min="10902" max="10902" width="10.140625" bestFit="1" customWidth="1"/>
    <col min="10903" max="10903" width="12.85546875" bestFit="1" customWidth="1"/>
    <col min="10904" max="10904" width="12.28515625" bestFit="1" customWidth="1"/>
    <col min="10905" max="10905" width="11.28515625" bestFit="1" customWidth="1"/>
    <col min="10906" max="10906" width="11.5703125" bestFit="1" customWidth="1"/>
    <col min="10907" max="10907" width="10.85546875" bestFit="1" customWidth="1"/>
    <col min="10908" max="10908" width="11.28515625" bestFit="1" customWidth="1"/>
    <col min="10909" max="10909" width="10.140625" bestFit="1" customWidth="1"/>
    <col min="10910" max="10910" width="13.28515625" bestFit="1" customWidth="1"/>
    <col min="10911" max="10912" width="12.7109375" bestFit="1" customWidth="1"/>
    <col min="10913" max="10913" width="11" bestFit="1" customWidth="1"/>
    <col min="10914" max="10914" width="11.28515625" bestFit="1" customWidth="1"/>
    <col min="10915" max="10915" width="11.5703125" bestFit="1" customWidth="1"/>
    <col min="10916" max="10916" width="12.28515625" bestFit="1" customWidth="1"/>
    <col min="10917" max="10917" width="15.140625" bestFit="1" customWidth="1"/>
    <col min="10918" max="10918" width="14.42578125" bestFit="1" customWidth="1"/>
    <col min="10919" max="10919" width="12.28515625" bestFit="1" customWidth="1"/>
    <col min="10920" max="10920" width="15.140625" bestFit="1" customWidth="1"/>
    <col min="10921" max="10921" width="14.42578125" bestFit="1" customWidth="1"/>
    <col min="10922" max="10922" width="12.28515625" bestFit="1" customWidth="1"/>
    <col min="10923" max="10923" width="14.42578125" bestFit="1" customWidth="1"/>
    <col min="10924" max="10924" width="11.28515625" bestFit="1" customWidth="1"/>
    <col min="10925" max="10925" width="12.28515625" bestFit="1" customWidth="1"/>
    <col min="10926" max="10926" width="13" bestFit="1" customWidth="1"/>
    <col min="10927" max="10927" width="15.140625" bestFit="1" customWidth="1"/>
    <col min="10928" max="10928" width="12.28515625" bestFit="1" customWidth="1"/>
    <col min="10929" max="10929" width="13.85546875" bestFit="1" customWidth="1"/>
    <col min="10930" max="10930" width="11.28515625" bestFit="1" customWidth="1"/>
    <col min="10931" max="10931" width="12.28515625" bestFit="1" customWidth="1"/>
    <col min="10932" max="10932" width="13.85546875" bestFit="1" customWidth="1"/>
    <col min="10933" max="10934" width="15.140625" bestFit="1" customWidth="1"/>
    <col min="10935" max="10935" width="12.28515625" bestFit="1" customWidth="1"/>
    <col min="10936" max="10936" width="5.7109375" bestFit="1" customWidth="1"/>
    <col min="10937" max="10937" width="8.5703125" bestFit="1" customWidth="1"/>
    <col min="10938" max="10938" width="5.5703125" bestFit="1" customWidth="1"/>
    <col min="10939" max="10939" width="14.42578125" bestFit="1" customWidth="1"/>
    <col min="10940" max="10940" width="11.28515625" bestFit="1" customWidth="1"/>
    <col min="10941" max="10942" width="12.28515625" bestFit="1" customWidth="1"/>
    <col min="10943" max="10943" width="11.28515625" bestFit="1" customWidth="1"/>
    <col min="10944" max="10944" width="13.85546875" bestFit="1" customWidth="1"/>
    <col min="10945" max="10945" width="12" bestFit="1" customWidth="1"/>
    <col min="10946" max="10946" width="13.85546875" bestFit="1" customWidth="1"/>
    <col min="10947" max="10948" width="14.42578125" customWidth="1"/>
    <col min="10949" max="10949" width="10.140625" bestFit="1" customWidth="1"/>
    <col min="10950" max="10950" width="12.28515625" bestFit="1" customWidth="1"/>
    <col min="10951" max="10951" width="7.42578125" bestFit="1" customWidth="1"/>
    <col min="10952" max="10952" width="8.5703125" bestFit="1" customWidth="1"/>
    <col min="10953" max="10953" width="11.5703125" bestFit="1" customWidth="1"/>
    <col min="10954" max="10954" width="13.28515625" bestFit="1" customWidth="1"/>
    <col min="10955" max="10955" width="13.28515625" customWidth="1"/>
    <col min="10956" max="10956" width="13.140625" customWidth="1"/>
    <col min="10957" max="10957" width="12.7109375" bestFit="1" customWidth="1"/>
    <col min="10958" max="10958" width="13.28515625" bestFit="1" customWidth="1"/>
    <col min="10959" max="10961" width="13.28515625" customWidth="1"/>
    <col min="10962" max="10962" width="12.140625" bestFit="1" customWidth="1"/>
    <col min="10963" max="10963" width="12.7109375" bestFit="1" customWidth="1"/>
    <col min="10964" max="10964" width="11" customWidth="1"/>
    <col min="10965" max="10965" width="16.7109375" customWidth="1"/>
    <col min="10966" max="10966" width="17" customWidth="1"/>
    <col min="10967" max="10967" width="10.42578125" bestFit="1" customWidth="1"/>
    <col min="11011" max="11011" width="3.85546875" customWidth="1"/>
    <col min="11012" max="11012" width="15.28515625" bestFit="1" customWidth="1"/>
    <col min="11013" max="11013" width="12.28515625" customWidth="1"/>
    <col min="11014" max="11014" width="16.28515625" bestFit="1" customWidth="1"/>
    <col min="11015" max="11015" width="6.42578125" bestFit="1" customWidth="1"/>
    <col min="11016" max="11016" width="9.28515625" bestFit="1" customWidth="1"/>
    <col min="11017" max="11017" width="7.5703125" bestFit="1" customWidth="1"/>
    <col min="11018" max="11018" width="13.28515625" bestFit="1" customWidth="1"/>
    <col min="11019" max="11019" width="9.28515625" bestFit="1" customWidth="1"/>
    <col min="11020" max="11020" width="11.5703125" bestFit="1" customWidth="1"/>
    <col min="11021" max="11021" width="13.28515625" bestFit="1" customWidth="1"/>
    <col min="11022" max="11022" width="7.140625" bestFit="1" customWidth="1"/>
    <col min="11023" max="11023" width="12" bestFit="1" customWidth="1"/>
    <col min="11024" max="11024" width="13.28515625" bestFit="1" customWidth="1"/>
    <col min="11025" max="11025" width="7" bestFit="1" customWidth="1"/>
    <col min="11026" max="11026" width="12.7109375" bestFit="1" customWidth="1"/>
    <col min="11027" max="11027" width="11.5703125" bestFit="1" customWidth="1"/>
    <col min="11028" max="11028" width="10.5703125" bestFit="1" customWidth="1"/>
    <col min="11029" max="11030" width="15.7109375" bestFit="1" customWidth="1"/>
    <col min="11031" max="11031" width="11.5703125" bestFit="1" customWidth="1"/>
    <col min="11032" max="11032" width="7.7109375" bestFit="1" customWidth="1"/>
    <col min="11033" max="11033" width="15.140625" bestFit="1" customWidth="1"/>
    <col min="11034" max="11034" width="11.5703125" bestFit="1" customWidth="1"/>
    <col min="11035" max="11035" width="13.28515625" bestFit="1" customWidth="1"/>
    <col min="11036" max="11036" width="10.42578125" bestFit="1" customWidth="1"/>
    <col min="11037" max="11037" width="13.28515625" bestFit="1" customWidth="1"/>
    <col min="11038" max="11038" width="12.140625" bestFit="1" customWidth="1"/>
    <col min="11039" max="11039" width="14.42578125" bestFit="1" customWidth="1"/>
    <col min="11040" max="11040" width="13.28515625" bestFit="1" customWidth="1"/>
    <col min="11041" max="11041" width="11.5703125" bestFit="1" customWidth="1"/>
    <col min="11042" max="11042" width="7.7109375" bestFit="1" customWidth="1"/>
    <col min="11043" max="11044" width="14.42578125" bestFit="1" customWidth="1"/>
    <col min="11045" max="11045" width="11.5703125" bestFit="1" customWidth="1"/>
    <col min="11046" max="11046" width="7.7109375" bestFit="1" customWidth="1"/>
    <col min="11047" max="11047" width="13.5703125" customWidth="1"/>
    <col min="11048" max="11048" width="15.28515625" customWidth="1"/>
    <col min="11049" max="11049" width="14.5703125" customWidth="1"/>
    <col min="11050" max="11050" width="13.28515625" bestFit="1" customWidth="1"/>
    <col min="11051" max="11051" width="7.7109375" bestFit="1" customWidth="1"/>
    <col min="11052" max="11052" width="12.7109375" bestFit="1" customWidth="1"/>
    <col min="11053" max="11053" width="11.7109375" bestFit="1" customWidth="1"/>
    <col min="11054" max="11054" width="11.5703125" bestFit="1" customWidth="1"/>
    <col min="11055" max="11055" width="5.28515625" bestFit="1" customWidth="1"/>
    <col min="11056" max="11056" width="13.28515625" bestFit="1" customWidth="1"/>
    <col min="11057" max="11057" width="13.5703125" bestFit="1" customWidth="1"/>
    <col min="11058" max="11058" width="10.5703125" bestFit="1" customWidth="1"/>
    <col min="11059" max="11059" width="13.28515625" bestFit="1" customWidth="1"/>
    <col min="11060" max="11060" width="11.5703125" bestFit="1" customWidth="1"/>
    <col min="11061" max="11061" width="10.5703125" bestFit="1" customWidth="1"/>
    <col min="11062" max="11062" width="16.140625" bestFit="1" customWidth="1"/>
    <col min="11063" max="11064" width="11.28515625" bestFit="1" customWidth="1"/>
    <col min="11065" max="11065" width="13.28515625" bestFit="1" customWidth="1"/>
    <col min="11066" max="11066" width="7.7109375" bestFit="1" customWidth="1"/>
    <col min="11067" max="11070" width="9.140625" hidden="1" customWidth="1"/>
    <col min="11071" max="11071" width="10.42578125" bestFit="1" customWidth="1"/>
    <col min="11072" max="11072" width="10.5703125" bestFit="1" customWidth="1"/>
    <col min="11073" max="11073" width="10.42578125" bestFit="1" customWidth="1"/>
    <col min="11074" max="11074" width="10.5703125" bestFit="1" customWidth="1"/>
    <col min="11075" max="11075" width="9.5703125" bestFit="1" customWidth="1"/>
    <col min="11076" max="11076" width="11.5703125" bestFit="1" customWidth="1"/>
    <col min="11077" max="11077" width="10.42578125" bestFit="1" customWidth="1"/>
    <col min="11078" max="11078" width="10.85546875" customWidth="1"/>
    <col min="11079" max="11080" width="9.85546875" bestFit="1" customWidth="1"/>
    <col min="11081" max="11081" width="13.5703125" bestFit="1" customWidth="1"/>
    <col min="11082" max="11082" width="7.7109375" bestFit="1" customWidth="1"/>
    <col min="11083" max="11083" width="13.28515625" bestFit="1" customWidth="1"/>
    <col min="11084" max="11084" width="11.5703125" bestFit="1" customWidth="1"/>
    <col min="11085" max="11085" width="10.42578125" bestFit="1" customWidth="1"/>
    <col min="11086" max="11086" width="7.7109375" bestFit="1" customWidth="1"/>
    <col min="11087" max="11087" width="11.5703125" bestFit="1" customWidth="1"/>
    <col min="11088" max="11088" width="10.85546875" bestFit="1" customWidth="1"/>
    <col min="11089" max="11089" width="13.28515625" bestFit="1" customWidth="1"/>
    <col min="11090" max="11090" width="10.85546875" bestFit="1" customWidth="1"/>
    <col min="11091" max="11092" width="7.5703125" bestFit="1" customWidth="1"/>
    <col min="11093" max="11094" width="10.42578125" bestFit="1" customWidth="1"/>
    <col min="11095" max="11095" width="11.5703125" bestFit="1" customWidth="1"/>
    <col min="11096" max="11096" width="5.28515625" bestFit="1" customWidth="1"/>
    <col min="11097" max="11097" width="10.28515625" bestFit="1" customWidth="1"/>
    <col min="11098" max="11098" width="10.42578125" bestFit="1" customWidth="1"/>
    <col min="11099" max="11099" width="11.5703125" bestFit="1" customWidth="1"/>
    <col min="11100" max="11100" width="5.28515625" bestFit="1" customWidth="1"/>
    <col min="11101" max="11103" width="11.5703125" bestFit="1" customWidth="1"/>
    <col min="11104" max="11104" width="5.28515625" bestFit="1" customWidth="1"/>
    <col min="11105" max="11106" width="10.42578125" bestFit="1" customWidth="1"/>
    <col min="11107" max="11107" width="11.5703125" bestFit="1" customWidth="1"/>
    <col min="11108" max="11108" width="5.28515625" bestFit="1" customWidth="1"/>
    <col min="11109" max="11109" width="14.28515625" bestFit="1" customWidth="1"/>
    <col min="11110" max="11110" width="13" bestFit="1" customWidth="1"/>
    <col min="11111" max="11111" width="11.5703125" bestFit="1" customWidth="1"/>
    <col min="11112" max="11112" width="8.85546875" bestFit="1" customWidth="1"/>
    <col min="11113" max="11113" width="14.42578125" bestFit="1" customWidth="1"/>
    <col min="11114" max="11114" width="10.42578125" bestFit="1" customWidth="1"/>
    <col min="11115" max="11115" width="12.28515625" bestFit="1" customWidth="1"/>
    <col min="11116" max="11116" width="13.85546875" bestFit="1" customWidth="1"/>
    <col min="11117" max="11117" width="11.28515625" customWidth="1"/>
    <col min="11118" max="11118" width="11.5703125" customWidth="1"/>
    <col min="11119" max="11119" width="13.42578125" bestFit="1" customWidth="1"/>
    <col min="11120" max="11120" width="10.42578125" customWidth="1"/>
    <col min="11121" max="11121" width="13.85546875" bestFit="1" customWidth="1"/>
    <col min="11122" max="11122" width="15.42578125" bestFit="1" customWidth="1"/>
    <col min="11123" max="11123" width="12.28515625" bestFit="1" customWidth="1"/>
    <col min="11124" max="11124" width="12.7109375" customWidth="1"/>
    <col min="11125" max="11125" width="10.7109375" bestFit="1" customWidth="1"/>
    <col min="11126" max="11126" width="9.85546875" customWidth="1"/>
    <col min="11127" max="11128" width="10.140625" bestFit="1" customWidth="1"/>
    <col min="11129" max="11129" width="7.5703125" bestFit="1" customWidth="1"/>
    <col min="11130" max="11130" width="9.42578125" bestFit="1" customWidth="1"/>
    <col min="11131" max="11131" width="14.5703125" bestFit="1" customWidth="1"/>
    <col min="11132" max="11132" width="14.85546875" customWidth="1"/>
    <col min="11133" max="11133" width="15.140625" bestFit="1" customWidth="1"/>
    <col min="11134" max="11134" width="12.140625" bestFit="1" customWidth="1"/>
    <col min="11135" max="11135" width="14.85546875" bestFit="1" customWidth="1"/>
    <col min="11136" max="11136" width="12.28515625" bestFit="1" customWidth="1"/>
    <col min="11137" max="11145" width="9.140625" hidden="1" customWidth="1"/>
    <col min="11146" max="11146" width="5.28515625" bestFit="1" customWidth="1"/>
    <col min="11147" max="11152" width="11.5703125" bestFit="1" customWidth="1"/>
    <col min="11153" max="11153" width="11.28515625" bestFit="1" customWidth="1"/>
    <col min="11154" max="11154" width="10.140625" bestFit="1" customWidth="1"/>
    <col min="11155" max="11155" width="11.5703125" bestFit="1" customWidth="1"/>
    <col min="11156" max="11156" width="16.140625" customWidth="1"/>
    <col min="11157" max="11157" width="13.42578125" customWidth="1"/>
    <col min="11158" max="11158" width="10.140625" bestFit="1" customWidth="1"/>
    <col min="11159" max="11159" width="12.85546875" bestFit="1" customWidth="1"/>
    <col min="11160" max="11160" width="12.28515625" bestFit="1" customWidth="1"/>
    <col min="11161" max="11161" width="11.28515625" bestFit="1" customWidth="1"/>
    <col min="11162" max="11162" width="11.5703125" bestFit="1" customWidth="1"/>
    <col min="11163" max="11163" width="10.85546875" bestFit="1" customWidth="1"/>
    <col min="11164" max="11164" width="11.28515625" bestFit="1" customWidth="1"/>
    <col min="11165" max="11165" width="10.140625" bestFit="1" customWidth="1"/>
    <col min="11166" max="11166" width="13.28515625" bestFit="1" customWidth="1"/>
    <col min="11167" max="11168" width="12.7109375" bestFit="1" customWidth="1"/>
    <col min="11169" max="11169" width="11" bestFit="1" customWidth="1"/>
    <col min="11170" max="11170" width="11.28515625" bestFit="1" customWidth="1"/>
    <col min="11171" max="11171" width="11.5703125" bestFit="1" customWidth="1"/>
    <col min="11172" max="11172" width="12.28515625" bestFit="1" customWidth="1"/>
    <col min="11173" max="11173" width="15.140625" bestFit="1" customWidth="1"/>
    <col min="11174" max="11174" width="14.42578125" bestFit="1" customWidth="1"/>
    <col min="11175" max="11175" width="12.28515625" bestFit="1" customWidth="1"/>
    <col min="11176" max="11176" width="15.140625" bestFit="1" customWidth="1"/>
    <col min="11177" max="11177" width="14.42578125" bestFit="1" customWidth="1"/>
    <col min="11178" max="11178" width="12.28515625" bestFit="1" customWidth="1"/>
    <col min="11179" max="11179" width="14.42578125" bestFit="1" customWidth="1"/>
    <col min="11180" max="11180" width="11.28515625" bestFit="1" customWidth="1"/>
    <col min="11181" max="11181" width="12.28515625" bestFit="1" customWidth="1"/>
    <col min="11182" max="11182" width="13" bestFit="1" customWidth="1"/>
    <col min="11183" max="11183" width="15.140625" bestFit="1" customWidth="1"/>
    <col min="11184" max="11184" width="12.28515625" bestFit="1" customWidth="1"/>
    <col min="11185" max="11185" width="13.85546875" bestFit="1" customWidth="1"/>
    <col min="11186" max="11186" width="11.28515625" bestFit="1" customWidth="1"/>
    <col min="11187" max="11187" width="12.28515625" bestFit="1" customWidth="1"/>
    <col min="11188" max="11188" width="13.85546875" bestFit="1" customWidth="1"/>
    <col min="11189" max="11190" width="15.140625" bestFit="1" customWidth="1"/>
    <col min="11191" max="11191" width="12.28515625" bestFit="1" customWidth="1"/>
    <col min="11192" max="11192" width="5.7109375" bestFit="1" customWidth="1"/>
    <col min="11193" max="11193" width="8.5703125" bestFit="1" customWidth="1"/>
    <col min="11194" max="11194" width="5.5703125" bestFit="1" customWidth="1"/>
    <col min="11195" max="11195" width="14.42578125" bestFit="1" customWidth="1"/>
    <col min="11196" max="11196" width="11.28515625" bestFit="1" customWidth="1"/>
    <col min="11197" max="11198" width="12.28515625" bestFit="1" customWidth="1"/>
    <col min="11199" max="11199" width="11.28515625" bestFit="1" customWidth="1"/>
    <col min="11200" max="11200" width="13.85546875" bestFit="1" customWidth="1"/>
    <col min="11201" max="11201" width="12" bestFit="1" customWidth="1"/>
    <col min="11202" max="11202" width="13.85546875" bestFit="1" customWidth="1"/>
    <col min="11203" max="11204" width="14.42578125" customWidth="1"/>
    <col min="11205" max="11205" width="10.140625" bestFit="1" customWidth="1"/>
    <col min="11206" max="11206" width="12.28515625" bestFit="1" customWidth="1"/>
    <col min="11207" max="11207" width="7.42578125" bestFit="1" customWidth="1"/>
    <col min="11208" max="11208" width="8.5703125" bestFit="1" customWidth="1"/>
    <col min="11209" max="11209" width="11.5703125" bestFit="1" customWidth="1"/>
    <col min="11210" max="11210" width="13.28515625" bestFit="1" customWidth="1"/>
    <col min="11211" max="11211" width="13.28515625" customWidth="1"/>
    <col min="11212" max="11212" width="13.140625" customWidth="1"/>
    <col min="11213" max="11213" width="12.7109375" bestFit="1" customWidth="1"/>
    <col min="11214" max="11214" width="13.28515625" bestFit="1" customWidth="1"/>
    <col min="11215" max="11217" width="13.28515625" customWidth="1"/>
    <col min="11218" max="11218" width="12.140625" bestFit="1" customWidth="1"/>
    <col min="11219" max="11219" width="12.7109375" bestFit="1" customWidth="1"/>
    <col min="11220" max="11220" width="11" customWidth="1"/>
    <col min="11221" max="11221" width="16.7109375" customWidth="1"/>
    <col min="11222" max="11222" width="17" customWidth="1"/>
    <col min="11223" max="11223" width="10.42578125" bestFit="1" customWidth="1"/>
    <col min="11267" max="11267" width="3.85546875" customWidth="1"/>
    <col min="11268" max="11268" width="15.28515625" bestFit="1" customWidth="1"/>
    <col min="11269" max="11269" width="12.28515625" customWidth="1"/>
    <col min="11270" max="11270" width="16.28515625" bestFit="1" customWidth="1"/>
    <col min="11271" max="11271" width="6.42578125" bestFit="1" customWidth="1"/>
    <col min="11272" max="11272" width="9.28515625" bestFit="1" customWidth="1"/>
    <col min="11273" max="11273" width="7.5703125" bestFit="1" customWidth="1"/>
    <col min="11274" max="11274" width="13.28515625" bestFit="1" customWidth="1"/>
    <col min="11275" max="11275" width="9.28515625" bestFit="1" customWidth="1"/>
    <col min="11276" max="11276" width="11.5703125" bestFit="1" customWidth="1"/>
    <col min="11277" max="11277" width="13.28515625" bestFit="1" customWidth="1"/>
    <col min="11278" max="11278" width="7.140625" bestFit="1" customWidth="1"/>
    <col min="11279" max="11279" width="12" bestFit="1" customWidth="1"/>
    <col min="11280" max="11280" width="13.28515625" bestFit="1" customWidth="1"/>
    <col min="11281" max="11281" width="7" bestFit="1" customWidth="1"/>
    <col min="11282" max="11282" width="12.7109375" bestFit="1" customWidth="1"/>
    <col min="11283" max="11283" width="11.5703125" bestFit="1" customWidth="1"/>
    <col min="11284" max="11284" width="10.5703125" bestFit="1" customWidth="1"/>
    <col min="11285" max="11286" width="15.7109375" bestFit="1" customWidth="1"/>
    <col min="11287" max="11287" width="11.5703125" bestFit="1" customWidth="1"/>
    <col min="11288" max="11288" width="7.7109375" bestFit="1" customWidth="1"/>
    <col min="11289" max="11289" width="15.140625" bestFit="1" customWidth="1"/>
    <col min="11290" max="11290" width="11.5703125" bestFit="1" customWidth="1"/>
    <col min="11291" max="11291" width="13.28515625" bestFit="1" customWidth="1"/>
    <col min="11292" max="11292" width="10.42578125" bestFit="1" customWidth="1"/>
    <col min="11293" max="11293" width="13.28515625" bestFit="1" customWidth="1"/>
    <col min="11294" max="11294" width="12.140625" bestFit="1" customWidth="1"/>
    <col min="11295" max="11295" width="14.42578125" bestFit="1" customWidth="1"/>
    <col min="11296" max="11296" width="13.28515625" bestFit="1" customWidth="1"/>
    <col min="11297" max="11297" width="11.5703125" bestFit="1" customWidth="1"/>
    <col min="11298" max="11298" width="7.7109375" bestFit="1" customWidth="1"/>
    <col min="11299" max="11300" width="14.42578125" bestFit="1" customWidth="1"/>
    <col min="11301" max="11301" width="11.5703125" bestFit="1" customWidth="1"/>
    <col min="11302" max="11302" width="7.7109375" bestFit="1" customWidth="1"/>
    <col min="11303" max="11303" width="13.5703125" customWidth="1"/>
    <col min="11304" max="11304" width="15.28515625" customWidth="1"/>
    <col min="11305" max="11305" width="14.5703125" customWidth="1"/>
    <col min="11306" max="11306" width="13.28515625" bestFit="1" customWidth="1"/>
    <col min="11307" max="11307" width="7.7109375" bestFit="1" customWidth="1"/>
    <col min="11308" max="11308" width="12.7109375" bestFit="1" customWidth="1"/>
    <col min="11309" max="11309" width="11.7109375" bestFit="1" customWidth="1"/>
    <col min="11310" max="11310" width="11.5703125" bestFit="1" customWidth="1"/>
    <col min="11311" max="11311" width="5.28515625" bestFit="1" customWidth="1"/>
    <col min="11312" max="11312" width="13.28515625" bestFit="1" customWidth="1"/>
    <col min="11313" max="11313" width="13.5703125" bestFit="1" customWidth="1"/>
    <col min="11314" max="11314" width="10.5703125" bestFit="1" customWidth="1"/>
    <col min="11315" max="11315" width="13.28515625" bestFit="1" customWidth="1"/>
    <col min="11316" max="11316" width="11.5703125" bestFit="1" customWidth="1"/>
    <col min="11317" max="11317" width="10.5703125" bestFit="1" customWidth="1"/>
    <col min="11318" max="11318" width="16.140625" bestFit="1" customWidth="1"/>
    <col min="11319" max="11320" width="11.28515625" bestFit="1" customWidth="1"/>
    <col min="11321" max="11321" width="13.28515625" bestFit="1" customWidth="1"/>
    <col min="11322" max="11322" width="7.7109375" bestFit="1" customWidth="1"/>
    <col min="11323" max="11326" width="9.140625" hidden="1" customWidth="1"/>
    <col min="11327" max="11327" width="10.42578125" bestFit="1" customWidth="1"/>
    <col min="11328" max="11328" width="10.5703125" bestFit="1" customWidth="1"/>
    <col min="11329" max="11329" width="10.42578125" bestFit="1" customWidth="1"/>
    <col min="11330" max="11330" width="10.5703125" bestFit="1" customWidth="1"/>
    <col min="11331" max="11331" width="9.5703125" bestFit="1" customWidth="1"/>
    <col min="11332" max="11332" width="11.5703125" bestFit="1" customWidth="1"/>
    <col min="11333" max="11333" width="10.42578125" bestFit="1" customWidth="1"/>
    <col min="11334" max="11334" width="10.85546875" customWidth="1"/>
    <col min="11335" max="11336" width="9.85546875" bestFit="1" customWidth="1"/>
    <col min="11337" max="11337" width="13.5703125" bestFit="1" customWidth="1"/>
    <col min="11338" max="11338" width="7.7109375" bestFit="1" customWidth="1"/>
    <col min="11339" max="11339" width="13.28515625" bestFit="1" customWidth="1"/>
    <col min="11340" max="11340" width="11.5703125" bestFit="1" customWidth="1"/>
    <col min="11341" max="11341" width="10.42578125" bestFit="1" customWidth="1"/>
    <col min="11342" max="11342" width="7.7109375" bestFit="1" customWidth="1"/>
    <col min="11343" max="11343" width="11.5703125" bestFit="1" customWidth="1"/>
    <col min="11344" max="11344" width="10.85546875" bestFit="1" customWidth="1"/>
    <col min="11345" max="11345" width="13.28515625" bestFit="1" customWidth="1"/>
    <col min="11346" max="11346" width="10.85546875" bestFit="1" customWidth="1"/>
    <col min="11347" max="11348" width="7.5703125" bestFit="1" customWidth="1"/>
    <col min="11349" max="11350" width="10.42578125" bestFit="1" customWidth="1"/>
    <col min="11351" max="11351" width="11.5703125" bestFit="1" customWidth="1"/>
    <col min="11352" max="11352" width="5.28515625" bestFit="1" customWidth="1"/>
    <col min="11353" max="11353" width="10.28515625" bestFit="1" customWidth="1"/>
    <col min="11354" max="11354" width="10.42578125" bestFit="1" customWidth="1"/>
    <col min="11355" max="11355" width="11.5703125" bestFit="1" customWidth="1"/>
    <col min="11356" max="11356" width="5.28515625" bestFit="1" customWidth="1"/>
    <col min="11357" max="11359" width="11.5703125" bestFit="1" customWidth="1"/>
    <col min="11360" max="11360" width="5.28515625" bestFit="1" customWidth="1"/>
    <col min="11361" max="11362" width="10.42578125" bestFit="1" customWidth="1"/>
    <col min="11363" max="11363" width="11.5703125" bestFit="1" customWidth="1"/>
    <col min="11364" max="11364" width="5.28515625" bestFit="1" customWidth="1"/>
    <col min="11365" max="11365" width="14.28515625" bestFit="1" customWidth="1"/>
    <col min="11366" max="11366" width="13" bestFit="1" customWidth="1"/>
    <col min="11367" max="11367" width="11.5703125" bestFit="1" customWidth="1"/>
    <col min="11368" max="11368" width="8.85546875" bestFit="1" customWidth="1"/>
    <col min="11369" max="11369" width="14.42578125" bestFit="1" customWidth="1"/>
    <col min="11370" max="11370" width="10.42578125" bestFit="1" customWidth="1"/>
    <col min="11371" max="11371" width="12.28515625" bestFit="1" customWidth="1"/>
    <col min="11372" max="11372" width="13.85546875" bestFit="1" customWidth="1"/>
    <col min="11373" max="11373" width="11.28515625" customWidth="1"/>
    <col min="11374" max="11374" width="11.5703125" customWidth="1"/>
    <col min="11375" max="11375" width="13.42578125" bestFit="1" customWidth="1"/>
    <col min="11376" max="11376" width="10.42578125" customWidth="1"/>
    <col min="11377" max="11377" width="13.85546875" bestFit="1" customWidth="1"/>
    <col min="11378" max="11378" width="15.42578125" bestFit="1" customWidth="1"/>
    <col min="11379" max="11379" width="12.28515625" bestFit="1" customWidth="1"/>
    <col min="11380" max="11380" width="12.7109375" customWidth="1"/>
    <col min="11381" max="11381" width="10.7109375" bestFit="1" customWidth="1"/>
    <col min="11382" max="11382" width="9.85546875" customWidth="1"/>
    <col min="11383" max="11384" width="10.140625" bestFit="1" customWidth="1"/>
    <col min="11385" max="11385" width="7.5703125" bestFit="1" customWidth="1"/>
    <col min="11386" max="11386" width="9.42578125" bestFit="1" customWidth="1"/>
    <col min="11387" max="11387" width="14.5703125" bestFit="1" customWidth="1"/>
    <col min="11388" max="11388" width="14.85546875" customWidth="1"/>
    <col min="11389" max="11389" width="15.140625" bestFit="1" customWidth="1"/>
    <col min="11390" max="11390" width="12.140625" bestFit="1" customWidth="1"/>
    <col min="11391" max="11391" width="14.85546875" bestFit="1" customWidth="1"/>
    <col min="11392" max="11392" width="12.28515625" bestFit="1" customWidth="1"/>
    <col min="11393" max="11401" width="9.140625" hidden="1" customWidth="1"/>
    <col min="11402" max="11402" width="5.28515625" bestFit="1" customWidth="1"/>
    <col min="11403" max="11408" width="11.5703125" bestFit="1" customWidth="1"/>
    <col min="11409" max="11409" width="11.28515625" bestFit="1" customWidth="1"/>
    <col min="11410" max="11410" width="10.140625" bestFit="1" customWidth="1"/>
    <col min="11411" max="11411" width="11.5703125" bestFit="1" customWidth="1"/>
    <col min="11412" max="11412" width="16.140625" customWidth="1"/>
    <col min="11413" max="11413" width="13.42578125" customWidth="1"/>
    <col min="11414" max="11414" width="10.140625" bestFit="1" customWidth="1"/>
    <col min="11415" max="11415" width="12.85546875" bestFit="1" customWidth="1"/>
    <col min="11416" max="11416" width="12.28515625" bestFit="1" customWidth="1"/>
    <col min="11417" max="11417" width="11.28515625" bestFit="1" customWidth="1"/>
    <col min="11418" max="11418" width="11.5703125" bestFit="1" customWidth="1"/>
    <col min="11419" max="11419" width="10.85546875" bestFit="1" customWidth="1"/>
    <col min="11420" max="11420" width="11.28515625" bestFit="1" customWidth="1"/>
    <col min="11421" max="11421" width="10.140625" bestFit="1" customWidth="1"/>
    <col min="11422" max="11422" width="13.28515625" bestFit="1" customWidth="1"/>
    <col min="11423" max="11424" width="12.7109375" bestFit="1" customWidth="1"/>
    <col min="11425" max="11425" width="11" bestFit="1" customWidth="1"/>
    <col min="11426" max="11426" width="11.28515625" bestFit="1" customWidth="1"/>
    <col min="11427" max="11427" width="11.5703125" bestFit="1" customWidth="1"/>
    <col min="11428" max="11428" width="12.28515625" bestFit="1" customWidth="1"/>
    <col min="11429" max="11429" width="15.140625" bestFit="1" customWidth="1"/>
    <col min="11430" max="11430" width="14.42578125" bestFit="1" customWidth="1"/>
    <col min="11431" max="11431" width="12.28515625" bestFit="1" customWidth="1"/>
    <col min="11432" max="11432" width="15.140625" bestFit="1" customWidth="1"/>
    <col min="11433" max="11433" width="14.42578125" bestFit="1" customWidth="1"/>
    <col min="11434" max="11434" width="12.28515625" bestFit="1" customWidth="1"/>
    <col min="11435" max="11435" width="14.42578125" bestFit="1" customWidth="1"/>
    <col min="11436" max="11436" width="11.28515625" bestFit="1" customWidth="1"/>
    <col min="11437" max="11437" width="12.28515625" bestFit="1" customWidth="1"/>
    <col min="11438" max="11438" width="13" bestFit="1" customWidth="1"/>
    <col min="11439" max="11439" width="15.140625" bestFit="1" customWidth="1"/>
    <col min="11440" max="11440" width="12.28515625" bestFit="1" customWidth="1"/>
    <col min="11441" max="11441" width="13.85546875" bestFit="1" customWidth="1"/>
    <col min="11442" max="11442" width="11.28515625" bestFit="1" customWidth="1"/>
    <col min="11443" max="11443" width="12.28515625" bestFit="1" customWidth="1"/>
    <col min="11444" max="11444" width="13.85546875" bestFit="1" customWidth="1"/>
    <col min="11445" max="11446" width="15.140625" bestFit="1" customWidth="1"/>
    <col min="11447" max="11447" width="12.28515625" bestFit="1" customWidth="1"/>
    <col min="11448" max="11448" width="5.7109375" bestFit="1" customWidth="1"/>
    <col min="11449" max="11449" width="8.5703125" bestFit="1" customWidth="1"/>
    <col min="11450" max="11450" width="5.5703125" bestFit="1" customWidth="1"/>
    <col min="11451" max="11451" width="14.42578125" bestFit="1" customWidth="1"/>
    <col min="11452" max="11452" width="11.28515625" bestFit="1" customWidth="1"/>
    <col min="11453" max="11454" width="12.28515625" bestFit="1" customWidth="1"/>
    <col min="11455" max="11455" width="11.28515625" bestFit="1" customWidth="1"/>
    <col min="11456" max="11456" width="13.85546875" bestFit="1" customWidth="1"/>
    <col min="11457" max="11457" width="12" bestFit="1" customWidth="1"/>
    <col min="11458" max="11458" width="13.85546875" bestFit="1" customWidth="1"/>
    <col min="11459" max="11460" width="14.42578125" customWidth="1"/>
    <col min="11461" max="11461" width="10.140625" bestFit="1" customWidth="1"/>
    <col min="11462" max="11462" width="12.28515625" bestFit="1" customWidth="1"/>
    <col min="11463" max="11463" width="7.42578125" bestFit="1" customWidth="1"/>
    <col min="11464" max="11464" width="8.5703125" bestFit="1" customWidth="1"/>
    <col min="11465" max="11465" width="11.5703125" bestFit="1" customWidth="1"/>
    <col min="11466" max="11466" width="13.28515625" bestFit="1" customWidth="1"/>
    <col min="11467" max="11467" width="13.28515625" customWidth="1"/>
    <col min="11468" max="11468" width="13.140625" customWidth="1"/>
    <col min="11469" max="11469" width="12.7109375" bestFit="1" customWidth="1"/>
    <col min="11470" max="11470" width="13.28515625" bestFit="1" customWidth="1"/>
    <col min="11471" max="11473" width="13.28515625" customWidth="1"/>
    <col min="11474" max="11474" width="12.140625" bestFit="1" customWidth="1"/>
    <col min="11475" max="11475" width="12.7109375" bestFit="1" customWidth="1"/>
    <col min="11476" max="11476" width="11" customWidth="1"/>
    <col min="11477" max="11477" width="16.7109375" customWidth="1"/>
    <col min="11478" max="11478" width="17" customWidth="1"/>
    <col min="11479" max="11479" width="10.42578125" bestFit="1" customWidth="1"/>
    <col min="11523" max="11523" width="3.85546875" customWidth="1"/>
    <col min="11524" max="11524" width="15.28515625" bestFit="1" customWidth="1"/>
    <col min="11525" max="11525" width="12.28515625" customWidth="1"/>
    <col min="11526" max="11526" width="16.28515625" bestFit="1" customWidth="1"/>
    <col min="11527" max="11527" width="6.42578125" bestFit="1" customWidth="1"/>
    <col min="11528" max="11528" width="9.28515625" bestFit="1" customWidth="1"/>
    <col min="11529" max="11529" width="7.5703125" bestFit="1" customWidth="1"/>
    <col min="11530" max="11530" width="13.28515625" bestFit="1" customWidth="1"/>
    <col min="11531" max="11531" width="9.28515625" bestFit="1" customWidth="1"/>
    <col min="11532" max="11532" width="11.5703125" bestFit="1" customWidth="1"/>
    <col min="11533" max="11533" width="13.28515625" bestFit="1" customWidth="1"/>
    <col min="11534" max="11534" width="7.140625" bestFit="1" customWidth="1"/>
    <col min="11535" max="11535" width="12" bestFit="1" customWidth="1"/>
    <col min="11536" max="11536" width="13.28515625" bestFit="1" customWidth="1"/>
    <col min="11537" max="11537" width="7" bestFit="1" customWidth="1"/>
    <col min="11538" max="11538" width="12.7109375" bestFit="1" customWidth="1"/>
    <col min="11539" max="11539" width="11.5703125" bestFit="1" customWidth="1"/>
    <col min="11540" max="11540" width="10.5703125" bestFit="1" customWidth="1"/>
    <col min="11541" max="11542" width="15.7109375" bestFit="1" customWidth="1"/>
    <col min="11543" max="11543" width="11.5703125" bestFit="1" customWidth="1"/>
    <col min="11544" max="11544" width="7.7109375" bestFit="1" customWidth="1"/>
    <col min="11545" max="11545" width="15.140625" bestFit="1" customWidth="1"/>
    <col min="11546" max="11546" width="11.5703125" bestFit="1" customWidth="1"/>
    <col min="11547" max="11547" width="13.28515625" bestFit="1" customWidth="1"/>
    <col min="11548" max="11548" width="10.42578125" bestFit="1" customWidth="1"/>
    <col min="11549" max="11549" width="13.28515625" bestFit="1" customWidth="1"/>
    <col min="11550" max="11550" width="12.140625" bestFit="1" customWidth="1"/>
    <col min="11551" max="11551" width="14.42578125" bestFit="1" customWidth="1"/>
    <col min="11552" max="11552" width="13.28515625" bestFit="1" customWidth="1"/>
    <col min="11553" max="11553" width="11.5703125" bestFit="1" customWidth="1"/>
    <col min="11554" max="11554" width="7.7109375" bestFit="1" customWidth="1"/>
    <col min="11555" max="11556" width="14.42578125" bestFit="1" customWidth="1"/>
    <col min="11557" max="11557" width="11.5703125" bestFit="1" customWidth="1"/>
    <col min="11558" max="11558" width="7.7109375" bestFit="1" customWidth="1"/>
    <col min="11559" max="11559" width="13.5703125" customWidth="1"/>
    <col min="11560" max="11560" width="15.28515625" customWidth="1"/>
    <col min="11561" max="11561" width="14.5703125" customWidth="1"/>
    <col min="11562" max="11562" width="13.28515625" bestFit="1" customWidth="1"/>
    <col min="11563" max="11563" width="7.7109375" bestFit="1" customWidth="1"/>
    <col min="11564" max="11564" width="12.7109375" bestFit="1" customWidth="1"/>
    <col min="11565" max="11565" width="11.7109375" bestFit="1" customWidth="1"/>
    <col min="11566" max="11566" width="11.5703125" bestFit="1" customWidth="1"/>
    <col min="11567" max="11567" width="5.28515625" bestFit="1" customWidth="1"/>
    <col min="11568" max="11568" width="13.28515625" bestFit="1" customWidth="1"/>
    <col min="11569" max="11569" width="13.5703125" bestFit="1" customWidth="1"/>
    <col min="11570" max="11570" width="10.5703125" bestFit="1" customWidth="1"/>
    <col min="11571" max="11571" width="13.28515625" bestFit="1" customWidth="1"/>
    <col min="11572" max="11572" width="11.5703125" bestFit="1" customWidth="1"/>
    <col min="11573" max="11573" width="10.5703125" bestFit="1" customWidth="1"/>
    <col min="11574" max="11574" width="16.140625" bestFit="1" customWidth="1"/>
    <col min="11575" max="11576" width="11.28515625" bestFit="1" customWidth="1"/>
    <col min="11577" max="11577" width="13.28515625" bestFit="1" customWidth="1"/>
    <col min="11578" max="11578" width="7.7109375" bestFit="1" customWidth="1"/>
    <col min="11579" max="11582" width="9.140625" hidden="1" customWidth="1"/>
    <col min="11583" max="11583" width="10.42578125" bestFit="1" customWidth="1"/>
    <col min="11584" max="11584" width="10.5703125" bestFit="1" customWidth="1"/>
    <col min="11585" max="11585" width="10.42578125" bestFit="1" customWidth="1"/>
    <col min="11586" max="11586" width="10.5703125" bestFit="1" customWidth="1"/>
    <col min="11587" max="11587" width="9.5703125" bestFit="1" customWidth="1"/>
    <col min="11588" max="11588" width="11.5703125" bestFit="1" customWidth="1"/>
    <col min="11589" max="11589" width="10.42578125" bestFit="1" customWidth="1"/>
    <col min="11590" max="11590" width="10.85546875" customWidth="1"/>
    <col min="11591" max="11592" width="9.85546875" bestFit="1" customWidth="1"/>
    <col min="11593" max="11593" width="13.5703125" bestFit="1" customWidth="1"/>
    <col min="11594" max="11594" width="7.7109375" bestFit="1" customWidth="1"/>
    <col min="11595" max="11595" width="13.28515625" bestFit="1" customWidth="1"/>
    <col min="11596" max="11596" width="11.5703125" bestFit="1" customWidth="1"/>
    <col min="11597" max="11597" width="10.42578125" bestFit="1" customWidth="1"/>
    <col min="11598" max="11598" width="7.7109375" bestFit="1" customWidth="1"/>
    <col min="11599" max="11599" width="11.5703125" bestFit="1" customWidth="1"/>
    <col min="11600" max="11600" width="10.85546875" bestFit="1" customWidth="1"/>
    <col min="11601" max="11601" width="13.28515625" bestFit="1" customWidth="1"/>
    <col min="11602" max="11602" width="10.85546875" bestFit="1" customWidth="1"/>
    <col min="11603" max="11604" width="7.5703125" bestFit="1" customWidth="1"/>
    <col min="11605" max="11606" width="10.42578125" bestFit="1" customWidth="1"/>
    <col min="11607" max="11607" width="11.5703125" bestFit="1" customWidth="1"/>
    <col min="11608" max="11608" width="5.28515625" bestFit="1" customWidth="1"/>
    <col min="11609" max="11609" width="10.28515625" bestFit="1" customWidth="1"/>
    <col min="11610" max="11610" width="10.42578125" bestFit="1" customWidth="1"/>
    <col min="11611" max="11611" width="11.5703125" bestFit="1" customWidth="1"/>
    <col min="11612" max="11612" width="5.28515625" bestFit="1" customWidth="1"/>
    <col min="11613" max="11615" width="11.5703125" bestFit="1" customWidth="1"/>
    <col min="11616" max="11616" width="5.28515625" bestFit="1" customWidth="1"/>
    <col min="11617" max="11618" width="10.42578125" bestFit="1" customWidth="1"/>
    <col min="11619" max="11619" width="11.5703125" bestFit="1" customWidth="1"/>
    <col min="11620" max="11620" width="5.28515625" bestFit="1" customWidth="1"/>
    <col min="11621" max="11621" width="14.28515625" bestFit="1" customWidth="1"/>
    <col min="11622" max="11622" width="13" bestFit="1" customWidth="1"/>
    <col min="11623" max="11623" width="11.5703125" bestFit="1" customWidth="1"/>
    <col min="11624" max="11624" width="8.85546875" bestFit="1" customWidth="1"/>
    <col min="11625" max="11625" width="14.42578125" bestFit="1" customWidth="1"/>
    <col min="11626" max="11626" width="10.42578125" bestFit="1" customWidth="1"/>
    <col min="11627" max="11627" width="12.28515625" bestFit="1" customWidth="1"/>
    <col min="11628" max="11628" width="13.85546875" bestFit="1" customWidth="1"/>
    <col min="11629" max="11629" width="11.28515625" customWidth="1"/>
    <col min="11630" max="11630" width="11.5703125" customWidth="1"/>
    <col min="11631" max="11631" width="13.42578125" bestFit="1" customWidth="1"/>
    <col min="11632" max="11632" width="10.42578125" customWidth="1"/>
    <col min="11633" max="11633" width="13.85546875" bestFit="1" customWidth="1"/>
    <col min="11634" max="11634" width="15.42578125" bestFit="1" customWidth="1"/>
    <col min="11635" max="11635" width="12.28515625" bestFit="1" customWidth="1"/>
    <col min="11636" max="11636" width="12.7109375" customWidth="1"/>
    <col min="11637" max="11637" width="10.7109375" bestFit="1" customWidth="1"/>
    <col min="11638" max="11638" width="9.85546875" customWidth="1"/>
    <col min="11639" max="11640" width="10.140625" bestFit="1" customWidth="1"/>
    <col min="11641" max="11641" width="7.5703125" bestFit="1" customWidth="1"/>
    <col min="11642" max="11642" width="9.42578125" bestFit="1" customWidth="1"/>
    <col min="11643" max="11643" width="14.5703125" bestFit="1" customWidth="1"/>
    <col min="11644" max="11644" width="14.85546875" customWidth="1"/>
    <col min="11645" max="11645" width="15.140625" bestFit="1" customWidth="1"/>
    <col min="11646" max="11646" width="12.140625" bestFit="1" customWidth="1"/>
    <col min="11647" max="11647" width="14.85546875" bestFit="1" customWidth="1"/>
    <col min="11648" max="11648" width="12.28515625" bestFit="1" customWidth="1"/>
    <col min="11649" max="11657" width="9.140625" hidden="1" customWidth="1"/>
    <col min="11658" max="11658" width="5.28515625" bestFit="1" customWidth="1"/>
    <col min="11659" max="11664" width="11.5703125" bestFit="1" customWidth="1"/>
    <col min="11665" max="11665" width="11.28515625" bestFit="1" customWidth="1"/>
    <col min="11666" max="11666" width="10.140625" bestFit="1" customWidth="1"/>
    <col min="11667" max="11667" width="11.5703125" bestFit="1" customWidth="1"/>
    <col min="11668" max="11668" width="16.140625" customWidth="1"/>
    <col min="11669" max="11669" width="13.42578125" customWidth="1"/>
    <col min="11670" max="11670" width="10.140625" bestFit="1" customWidth="1"/>
    <col min="11671" max="11671" width="12.85546875" bestFit="1" customWidth="1"/>
    <col min="11672" max="11672" width="12.28515625" bestFit="1" customWidth="1"/>
    <col min="11673" max="11673" width="11.28515625" bestFit="1" customWidth="1"/>
    <col min="11674" max="11674" width="11.5703125" bestFit="1" customWidth="1"/>
    <col min="11675" max="11675" width="10.85546875" bestFit="1" customWidth="1"/>
    <col min="11676" max="11676" width="11.28515625" bestFit="1" customWidth="1"/>
    <col min="11677" max="11677" width="10.140625" bestFit="1" customWidth="1"/>
    <col min="11678" max="11678" width="13.28515625" bestFit="1" customWidth="1"/>
    <col min="11679" max="11680" width="12.7109375" bestFit="1" customWidth="1"/>
    <col min="11681" max="11681" width="11" bestFit="1" customWidth="1"/>
    <col min="11682" max="11682" width="11.28515625" bestFit="1" customWidth="1"/>
    <col min="11683" max="11683" width="11.5703125" bestFit="1" customWidth="1"/>
    <col min="11684" max="11684" width="12.28515625" bestFit="1" customWidth="1"/>
    <col min="11685" max="11685" width="15.140625" bestFit="1" customWidth="1"/>
    <col min="11686" max="11686" width="14.42578125" bestFit="1" customWidth="1"/>
    <col min="11687" max="11687" width="12.28515625" bestFit="1" customWidth="1"/>
    <col min="11688" max="11688" width="15.140625" bestFit="1" customWidth="1"/>
    <col min="11689" max="11689" width="14.42578125" bestFit="1" customWidth="1"/>
    <col min="11690" max="11690" width="12.28515625" bestFit="1" customWidth="1"/>
    <col min="11691" max="11691" width="14.42578125" bestFit="1" customWidth="1"/>
    <col min="11692" max="11692" width="11.28515625" bestFit="1" customWidth="1"/>
    <col min="11693" max="11693" width="12.28515625" bestFit="1" customWidth="1"/>
    <col min="11694" max="11694" width="13" bestFit="1" customWidth="1"/>
    <col min="11695" max="11695" width="15.140625" bestFit="1" customWidth="1"/>
    <col min="11696" max="11696" width="12.28515625" bestFit="1" customWidth="1"/>
    <col min="11697" max="11697" width="13.85546875" bestFit="1" customWidth="1"/>
    <col min="11698" max="11698" width="11.28515625" bestFit="1" customWidth="1"/>
    <col min="11699" max="11699" width="12.28515625" bestFit="1" customWidth="1"/>
    <col min="11700" max="11700" width="13.85546875" bestFit="1" customWidth="1"/>
    <col min="11701" max="11702" width="15.140625" bestFit="1" customWidth="1"/>
    <col min="11703" max="11703" width="12.28515625" bestFit="1" customWidth="1"/>
    <col min="11704" max="11704" width="5.7109375" bestFit="1" customWidth="1"/>
    <col min="11705" max="11705" width="8.5703125" bestFit="1" customWidth="1"/>
    <col min="11706" max="11706" width="5.5703125" bestFit="1" customWidth="1"/>
    <col min="11707" max="11707" width="14.42578125" bestFit="1" customWidth="1"/>
    <col min="11708" max="11708" width="11.28515625" bestFit="1" customWidth="1"/>
    <col min="11709" max="11710" width="12.28515625" bestFit="1" customWidth="1"/>
    <col min="11711" max="11711" width="11.28515625" bestFit="1" customWidth="1"/>
    <col min="11712" max="11712" width="13.85546875" bestFit="1" customWidth="1"/>
    <col min="11713" max="11713" width="12" bestFit="1" customWidth="1"/>
    <col min="11714" max="11714" width="13.85546875" bestFit="1" customWidth="1"/>
    <col min="11715" max="11716" width="14.42578125" customWidth="1"/>
    <col min="11717" max="11717" width="10.140625" bestFit="1" customWidth="1"/>
    <col min="11718" max="11718" width="12.28515625" bestFit="1" customWidth="1"/>
    <col min="11719" max="11719" width="7.42578125" bestFit="1" customWidth="1"/>
    <col min="11720" max="11720" width="8.5703125" bestFit="1" customWidth="1"/>
    <col min="11721" max="11721" width="11.5703125" bestFit="1" customWidth="1"/>
    <col min="11722" max="11722" width="13.28515625" bestFit="1" customWidth="1"/>
    <col min="11723" max="11723" width="13.28515625" customWidth="1"/>
    <col min="11724" max="11724" width="13.140625" customWidth="1"/>
    <col min="11725" max="11725" width="12.7109375" bestFit="1" customWidth="1"/>
    <col min="11726" max="11726" width="13.28515625" bestFit="1" customWidth="1"/>
    <col min="11727" max="11729" width="13.28515625" customWidth="1"/>
    <col min="11730" max="11730" width="12.140625" bestFit="1" customWidth="1"/>
    <col min="11731" max="11731" width="12.7109375" bestFit="1" customWidth="1"/>
    <col min="11732" max="11732" width="11" customWidth="1"/>
    <col min="11733" max="11733" width="16.7109375" customWidth="1"/>
    <col min="11734" max="11734" width="17" customWidth="1"/>
    <col min="11735" max="11735" width="10.42578125" bestFit="1" customWidth="1"/>
    <col min="11779" max="11779" width="3.85546875" customWidth="1"/>
    <col min="11780" max="11780" width="15.28515625" bestFit="1" customWidth="1"/>
    <col min="11781" max="11781" width="12.28515625" customWidth="1"/>
    <col min="11782" max="11782" width="16.28515625" bestFit="1" customWidth="1"/>
    <col min="11783" max="11783" width="6.42578125" bestFit="1" customWidth="1"/>
    <col min="11784" max="11784" width="9.28515625" bestFit="1" customWidth="1"/>
    <col min="11785" max="11785" width="7.5703125" bestFit="1" customWidth="1"/>
    <col min="11786" max="11786" width="13.28515625" bestFit="1" customWidth="1"/>
    <col min="11787" max="11787" width="9.28515625" bestFit="1" customWidth="1"/>
    <col min="11788" max="11788" width="11.5703125" bestFit="1" customWidth="1"/>
    <col min="11789" max="11789" width="13.28515625" bestFit="1" customWidth="1"/>
    <col min="11790" max="11790" width="7.140625" bestFit="1" customWidth="1"/>
    <col min="11791" max="11791" width="12" bestFit="1" customWidth="1"/>
    <col min="11792" max="11792" width="13.28515625" bestFit="1" customWidth="1"/>
    <col min="11793" max="11793" width="7" bestFit="1" customWidth="1"/>
    <col min="11794" max="11794" width="12.7109375" bestFit="1" customWidth="1"/>
    <col min="11795" max="11795" width="11.5703125" bestFit="1" customWidth="1"/>
    <col min="11796" max="11796" width="10.5703125" bestFit="1" customWidth="1"/>
    <col min="11797" max="11798" width="15.7109375" bestFit="1" customWidth="1"/>
    <col min="11799" max="11799" width="11.5703125" bestFit="1" customWidth="1"/>
    <col min="11800" max="11800" width="7.7109375" bestFit="1" customWidth="1"/>
    <col min="11801" max="11801" width="15.140625" bestFit="1" customWidth="1"/>
    <col min="11802" max="11802" width="11.5703125" bestFit="1" customWidth="1"/>
    <col min="11803" max="11803" width="13.28515625" bestFit="1" customWidth="1"/>
    <col min="11804" max="11804" width="10.42578125" bestFit="1" customWidth="1"/>
    <col min="11805" max="11805" width="13.28515625" bestFit="1" customWidth="1"/>
    <col min="11806" max="11806" width="12.140625" bestFit="1" customWidth="1"/>
    <col min="11807" max="11807" width="14.42578125" bestFit="1" customWidth="1"/>
    <col min="11808" max="11808" width="13.28515625" bestFit="1" customWidth="1"/>
    <col min="11809" max="11809" width="11.5703125" bestFit="1" customWidth="1"/>
    <col min="11810" max="11810" width="7.7109375" bestFit="1" customWidth="1"/>
    <col min="11811" max="11812" width="14.42578125" bestFit="1" customWidth="1"/>
    <col min="11813" max="11813" width="11.5703125" bestFit="1" customWidth="1"/>
    <col min="11814" max="11814" width="7.7109375" bestFit="1" customWidth="1"/>
    <col min="11815" max="11815" width="13.5703125" customWidth="1"/>
    <col min="11816" max="11816" width="15.28515625" customWidth="1"/>
    <col min="11817" max="11817" width="14.5703125" customWidth="1"/>
    <col min="11818" max="11818" width="13.28515625" bestFit="1" customWidth="1"/>
    <col min="11819" max="11819" width="7.7109375" bestFit="1" customWidth="1"/>
    <col min="11820" max="11820" width="12.7109375" bestFit="1" customWidth="1"/>
    <col min="11821" max="11821" width="11.7109375" bestFit="1" customWidth="1"/>
    <col min="11822" max="11822" width="11.5703125" bestFit="1" customWidth="1"/>
    <col min="11823" max="11823" width="5.28515625" bestFit="1" customWidth="1"/>
    <col min="11824" max="11824" width="13.28515625" bestFit="1" customWidth="1"/>
    <col min="11825" max="11825" width="13.5703125" bestFit="1" customWidth="1"/>
    <col min="11826" max="11826" width="10.5703125" bestFit="1" customWidth="1"/>
    <col min="11827" max="11827" width="13.28515625" bestFit="1" customWidth="1"/>
    <col min="11828" max="11828" width="11.5703125" bestFit="1" customWidth="1"/>
    <col min="11829" max="11829" width="10.5703125" bestFit="1" customWidth="1"/>
    <col min="11830" max="11830" width="16.140625" bestFit="1" customWidth="1"/>
    <col min="11831" max="11832" width="11.28515625" bestFit="1" customWidth="1"/>
    <col min="11833" max="11833" width="13.28515625" bestFit="1" customWidth="1"/>
    <col min="11834" max="11834" width="7.7109375" bestFit="1" customWidth="1"/>
    <col min="11835" max="11838" width="9.140625" hidden="1" customWidth="1"/>
    <col min="11839" max="11839" width="10.42578125" bestFit="1" customWidth="1"/>
    <col min="11840" max="11840" width="10.5703125" bestFit="1" customWidth="1"/>
    <col min="11841" max="11841" width="10.42578125" bestFit="1" customWidth="1"/>
    <col min="11842" max="11842" width="10.5703125" bestFit="1" customWidth="1"/>
    <col min="11843" max="11843" width="9.5703125" bestFit="1" customWidth="1"/>
    <col min="11844" max="11844" width="11.5703125" bestFit="1" customWidth="1"/>
    <col min="11845" max="11845" width="10.42578125" bestFit="1" customWidth="1"/>
    <col min="11846" max="11846" width="10.85546875" customWidth="1"/>
    <col min="11847" max="11848" width="9.85546875" bestFit="1" customWidth="1"/>
    <col min="11849" max="11849" width="13.5703125" bestFit="1" customWidth="1"/>
    <col min="11850" max="11850" width="7.7109375" bestFit="1" customWidth="1"/>
    <col min="11851" max="11851" width="13.28515625" bestFit="1" customWidth="1"/>
    <col min="11852" max="11852" width="11.5703125" bestFit="1" customWidth="1"/>
    <col min="11853" max="11853" width="10.42578125" bestFit="1" customWidth="1"/>
    <col min="11854" max="11854" width="7.7109375" bestFit="1" customWidth="1"/>
    <col min="11855" max="11855" width="11.5703125" bestFit="1" customWidth="1"/>
    <col min="11856" max="11856" width="10.85546875" bestFit="1" customWidth="1"/>
    <col min="11857" max="11857" width="13.28515625" bestFit="1" customWidth="1"/>
    <col min="11858" max="11858" width="10.85546875" bestFit="1" customWidth="1"/>
    <col min="11859" max="11860" width="7.5703125" bestFit="1" customWidth="1"/>
    <col min="11861" max="11862" width="10.42578125" bestFit="1" customWidth="1"/>
    <col min="11863" max="11863" width="11.5703125" bestFit="1" customWidth="1"/>
    <col min="11864" max="11864" width="5.28515625" bestFit="1" customWidth="1"/>
    <col min="11865" max="11865" width="10.28515625" bestFit="1" customWidth="1"/>
    <col min="11866" max="11866" width="10.42578125" bestFit="1" customWidth="1"/>
    <col min="11867" max="11867" width="11.5703125" bestFit="1" customWidth="1"/>
    <col min="11868" max="11868" width="5.28515625" bestFit="1" customWidth="1"/>
    <col min="11869" max="11871" width="11.5703125" bestFit="1" customWidth="1"/>
    <col min="11872" max="11872" width="5.28515625" bestFit="1" customWidth="1"/>
    <col min="11873" max="11874" width="10.42578125" bestFit="1" customWidth="1"/>
    <col min="11875" max="11875" width="11.5703125" bestFit="1" customWidth="1"/>
    <col min="11876" max="11876" width="5.28515625" bestFit="1" customWidth="1"/>
    <col min="11877" max="11877" width="14.28515625" bestFit="1" customWidth="1"/>
    <col min="11878" max="11878" width="13" bestFit="1" customWidth="1"/>
    <col min="11879" max="11879" width="11.5703125" bestFit="1" customWidth="1"/>
    <col min="11880" max="11880" width="8.85546875" bestFit="1" customWidth="1"/>
    <col min="11881" max="11881" width="14.42578125" bestFit="1" customWidth="1"/>
    <col min="11882" max="11882" width="10.42578125" bestFit="1" customWidth="1"/>
    <col min="11883" max="11883" width="12.28515625" bestFit="1" customWidth="1"/>
    <col min="11884" max="11884" width="13.85546875" bestFit="1" customWidth="1"/>
    <col min="11885" max="11885" width="11.28515625" customWidth="1"/>
    <col min="11886" max="11886" width="11.5703125" customWidth="1"/>
    <col min="11887" max="11887" width="13.42578125" bestFit="1" customWidth="1"/>
    <col min="11888" max="11888" width="10.42578125" customWidth="1"/>
    <col min="11889" max="11889" width="13.85546875" bestFit="1" customWidth="1"/>
    <col min="11890" max="11890" width="15.42578125" bestFit="1" customWidth="1"/>
    <col min="11891" max="11891" width="12.28515625" bestFit="1" customWidth="1"/>
    <col min="11892" max="11892" width="12.7109375" customWidth="1"/>
    <col min="11893" max="11893" width="10.7109375" bestFit="1" customWidth="1"/>
    <col min="11894" max="11894" width="9.85546875" customWidth="1"/>
    <col min="11895" max="11896" width="10.140625" bestFit="1" customWidth="1"/>
    <col min="11897" max="11897" width="7.5703125" bestFit="1" customWidth="1"/>
    <col min="11898" max="11898" width="9.42578125" bestFit="1" customWidth="1"/>
    <col min="11899" max="11899" width="14.5703125" bestFit="1" customWidth="1"/>
    <col min="11900" max="11900" width="14.85546875" customWidth="1"/>
    <col min="11901" max="11901" width="15.140625" bestFit="1" customWidth="1"/>
    <col min="11902" max="11902" width="12.140625" bestFit="1" customWidth="1"/>
    <col min="11903" max="11903" width="14.85546875" bestFit="1" customWidth="1"/>
    <col min="11904" max="11904" width="12.28515625" bestFit="1" customWidth="1"/>
    <col min="11905" max="11913" width="9.140625" hidden="1" customWidth="1"/>
    <col min="11914" max="11914" width="5.28515625" bestFit="1" customWidth="1"/>
    <col min="11915" max="11920" width="11.5703125" bestFit="1" customWidth="1"/>
    <col min="11921" max="11921" width="11.28515625" bestFit="1" customWidth="1"/>
    <col min="11922" max="11922" width="10.140625" bestFit="1" customWidth="1"/>
    <col min="11923" max="11923" width="11.5703125" bestFit="1" customWidth="1"/>
    <col min="11924" max="11924" width="16.140625" customWidth="1"/>
    <col min="11925" max="11925" width="13.42578125" customWidth="1"/>
    <col min="11926" max="11926" width="10.140625" bestFit="1" customWidth="1"/>
    <col min="11927" max="11927" width="12.85546875" bestFit="1" customWidth="1"/>
    <col min="11928" max="11928" width="12.28515625" bestFit="1" customWidth="1"/>
    <col min="11929" max="11929" width="11.28515625" bestFit="1" customWidth="1"/>
    <col min="11930" max="11930" width="11.5703125" bestFit="1" customWidth="1"/>
    <col min="11931" max="11931" width="10.85546875" bestFit="1" customWidth="1"/>
    <col min="11932" max="11932" width="11.28515625" bestFit="1" customWidth="1"/>
    <col min="11933" max="11933" width="10.140625" bestFit="1" customWidth="1"/>
    <col min="11934" max="11934" width="13.28515625" bestFit="1" customWidth="1"/>
    <col min="11935" max="11936" width="12.7109375" bestFit="1" customWidth="1"/>
    <col min="11937" max="11937" width="11" bestFit="1" customWidth="1"/>
    <col min="11938" max="11938" width="11.28515625" bestFit="1" customWidth="1"/>
    <col min="11939" max="11939" width="11.5703125" bestFit="1" customWidth="1"/>
    <col min="11940" max="11940" width="12.28515625" bestFit="1" customWidth="1"/>
    <col min="11941" max="11941" width="15.140625" bestFit="1" customWidth="1"/>
    <col min="11942" max="11942" width="14.42578125" bestFit="1" customWidth="1"/>
    <col min="11943" max="11943" width="12.28515625" bestFit="1" customWidth="1"/>
    <col min="11944" max="11944" width="15.140625" bestFit="1" customWidth="1"/>
    <col min="11945" max="11945" width="14.42578125" bestFit="1" customWidth="1"/>
    <col min="11946" max="11946" width="12.28515625" bestFit="1" customWidth="1"/>
    <col min="11947" max="11947" width="14.42578125" bestFit="1" customWidth="1"/>
    <col min="11948" max="11948" width="11.28515625" bestFit="1" customWidth="1"/>
    <col min="11949" max="11949" width="12.28515625" bestFit="1" customWidth="1"/>
    <col min="11950" max="11950" width="13" bestFit="1" customWidth="1"/>
    <col min="11951" max="11951" width="15.140625" bestFit="1" customWidth="1"/>
    <col min="11952" max="11952" width="12.28515625" bestFit="1" customWidth="1"/>
    <col min="11953" max="11953" width="13.85546875" bestFit="1" customWidth="1"/>
    <col min="11954" max="11954" width="11.28515625" bestFit="1" customWidth="1"/>
    <col min="11955" max="11955" width="12.28515625" bestFit="1" customWidth="1"/>
    <col min="11956" max="11956" width="13.85546875" bestFit="1" customWidth="1"/>
    <col min="11957" max="11958" width="15.140625" bestFit="1" customWidth="1"/>
    <col min="11959" max="11959" width="12.28515625" bestFit="1" customWidth="1"/>
    <col min="11960" max="11960" width="5.7109375" bestFit="1" customWidth="1"/>
    <col min="11961" max="11961" width="8.5703125" bestFit="1" customWidth="1"/>
    <col min="11962" max="11962" width="5.5703125" bestFit="1" customWidth="1"/>
    <col min="11963" max="11963" width="14.42578125" bestFit="1" customWidth="1"/>
    <col min="11964" max="11964" width="11.28515625" bestFit="1" customWidth="1"/>
    <col min="11965" max="11966" width="12.28515625" bestFit="1" customWidth="1"/>
    <col min="11967" max="11967" width="11.28515625" bestFit="1" customWidth="1"/>
    <col min="11968" max="11968" width="13.85546875" bestFit="1" customWidth="1"/>
    <col min="11969" max="11969" width="12" bestFit="1" customWidth="1"/>
    <col min="11970" max="11970" width="13.85546875" bestFit="1" customWidth="1"/>
    <col min="11971" max="11972" width="14.42578125" customWidth="1"/>
    <col min="11973" max="11973" width="10.140625" bestFit="1" customWidth="1"/>
    <col min="11974" max="11974" width="12.28515625" bestFit="1" customWidth="1"/>
    <col min="11975" max="11975" width="7.42578125" bestFit="1" customWidth="1"/>
    <col min="11976" max="11976" width="8.5703125" bestFit="1" customWidth="1"/>
    <col min="11977" max="11977" width="11.5703125" bestFit="1" customWidth="1"/>
    <col min="11978" max="11978" width="13.28515625" bestFit="1" customWidth="1"/>
    <col min="11979" max="11979" width="13.28515625" customWidth="1"/>
    <col min="11980" max="11980" width="13.140625" customWidth="1"/>
    <col min="11981" max="11981" width="12.7109375" bestFit="1" customWidth="1"/>
    <col min="11982" max="11982" width="13.28515625" bestFit="1" customWidth="1"/>
    <col min="11983" max="11985" width="13.28515625" customWidth="1"/>
    <col min="11986" max="11986" width="12.140625" bestFit="1" customWidth="1"/>
    <col min="11987" max="11987" width="12.7109375" bestFit="1" customWidth="1"/>
    <col min="11988" max="11988" width="11" customWidth="1"/>
    <col min="11989" max="11989" width="16.7109375" customWidth="1"/>
    <col min="11990" max="11990" width="17" customWidth="1"/>
    <col min="11991" max="11991" width="10.42578125" bestFit="1" customWidth="1"/>
    <col min="12035" max="12035" width="3.85546875" customWidth="1"/>
    <col min="12036" max="12036" width="15.28515625" bestFit="1" customWidth="1"/>
    <col min="12037" max="12037" width="12.28515625" customWidth="1"/>
    <col min="12038" max="12038" width="16.28515625" bestFit="1" customWidth="1"/>
    <col min="12039" max="12039" width="6.42578125" bestFit="1" customWidth="1"/>
    <col min="12040" max="12040" width="9.28515625" bestFit="1" customWidth="1"/>
    <col min="12041" max="12041" width="7.5703125" bestFit="1" customWidth="1"/>
    <col min="12042" max="12042" width="13.28515625" bestFit="1" customWidth="1"/>
    <col min="12043" max="12043" width="9.28515625" bestFit="1" customWidth="1"/>
    <col min="12044" max="12044" width="11.5703125" bestFit="1" customWidth="1"/>
    <col min="12045" max="12045" width="13.28515625" bestFit="1" customWidth="1"/>
    <col min="12046" max="12046" width="7.140625" bestFit="1" customWidth="1"/>
    <col min="12047" max="12047" width="12" bestFit="1" customWidth="1"/>
    <col min="12048" max="12048" width="13.28515625" bestFit="1" customWidth="1"/>
    <col min="12049" max="12049" width="7" bestFit="1" customWidth="1"/>
    <col min="12050" max="12050" width="12.7109375" bestFit="1" customWidth="1"/>
    <col min="12051" max="12051" width="11.5703125" bestFit="1" customWidth="1"/>
    <col min="12052" max="12052" width="10.5703125" bestFit="1" customWidth="1"/>
    <col min="12053" max="12054" width="15.7109375" bestFit="1" customWidth="1"/>
    <col min="12055" max="12055" width="11.5703125" bestFit="1" customWidth="1"/>
    <col min="12056" max="12056" width="7.7109375" bestFit="1" customWidth="1"/>
    <col min="12057" max="12057" width="15.140625" bestFit="1" customWidth="1"/>
    <col min="12058" max="12058" width="11.5703125" bestFit="1" customWidth="1"/>
    <col min="12059" max="12059" width="13.28515625" bestFit="1" customWidth="1"/>
    <col min="12060" max="12060" width="10.42578125" bestFit="1" customWidth="1"/>
    <col min="12061" max="12061" width="13.28515625" bestFit="1" customWidth="1"/>
    <col min="12062" max="12062" width="12.140625" bestFit="1" customWidth="1"/>
    <col min="12063" max="12063" width="14.42578125" bestFit="1" customWidth="1"/>
    <col min="12064" max="12064" width="13.28515625" bestFit="1" customWidth="1"/>
    <col min="12065" max="12065" width="11.5703125" bestFit="1" customWidth="1"/>
    <col min="12066" max="12066" width="7.7109375" bestFit="1" customWidth="1"/>
    <col min="12067" max="12068" width="14.42578125" bestFit="1" customWidth="1"/>
    <col min="12069" max="12069" width="11.5703125" bestFit="1" customWidth="1"/>
    <col min="12070" max="12070" width="7.7109375" bestFit="1" customWidth="1"/>
    <col min="12071" max="12071" width="13.5703125" customWidth="1"/>
    <col min="12072" max="12072" width="15.28515625" customWidth="1"/>
    <col min="12073" max="12073" width="14.5703125" customWidth="1"/>
    <col min="12074" max="12074" width="13.28515625" bestFit="1" customWidth="1"/>
    <col min="12075" max="12075" width="7.7109375" bestFit="1" customWidth="1"/>
    <col min="12076" max="12076" width="12.7109375" bestFit="1" customWidth="1"/>
    <col min="12077" max="12077" width="11.7109375" bestFit="1" customWidth="1"/>
    <col min="12078" max="12078" width="11.5703125" bestFit="1" customWidth="1"/>
    <col min="12079" max="12079" width="5.28515625" bestFit="1" customWidth="1"/>
    <col min="12080" max="12080" width="13.28515625" bestFit="1" customWidth="1"/>
    <col min="12081" max="12081" width="13.5703125" bestFit="1" customWidth="1"/>
    <col min="12082" max="12082" width="10.5703125" bestFit="1" customWidth="1"/>
    <col min="12083" max="12083" width="13.28515625" bestFit="1" customWidth="1"/>
    <col min="12084" max="12084" width="11.5703125" bestFit="1" customWidth="1"/>
    <col min="12085" max="12085" width="10.5703125" bestFit="1" customWidth="1"/>
    <col min="12086" max="12086" width="16.140625" bestFit="1" customWidth="1"/>
    <col min="12087" max="12088" width="11.28515625" bestFit="1" customWidth="1"/>
    <col min="12089" max="12089" width="13.28515625" bestFit="1" customWidth="1"/>
    <col min="12090" max="12090" width="7.7109375" bestFit="1" customWidth="1"/>
    <col min="12091" max="12094" width="9.140625" hidden="1" customWidth="1"/>
    <col min="12095" max="12095" width="10.42578125" bestFit="1" customWidth="1"/>
    <col min="12096" max="12096" width="10.5703125" bestFit="1" customWidth="1"/>
    <col min="12097" max="12097" width="10.42578125" bestFit="1" customWidth="1"/>
    <col min="12098" max="12098" width="10.5703125" bestFit="1" customWidth="1"/>
    <col min="12099" max="12099" width="9.5703125" bestFit="1" customWidth="1"/>
    <col min="12100" max="12100" width="11.5703125" bestFit="1" customWidth="1"/>
    <col min="12101" max="12101" width="10.42578125" bestFit="1" customWidth="1"/>
    <col min="12102" max="12102" width="10.85546875" customWidth="1"/>
    <col min="12103" max="12104" width="9.85546875" bestFit="1" customWidth="1"/>
    <col min="12105" max="12105" width="13.5703125" bestFit="1" customWidth="1"/>
    <col min="12106" max="12106" width="7.7109375" bestFit="1" customWidth="1"/>
    <col min="12107" max="12107" width="13.28515625" bestFit="1" customWidth="1"/>
    <col min="12108" max="12108" width="11.5703125" bestFit="1" customWidth="1"/>
    <col min="12109" max="12109" width="10.42578125" bestFit="1" customWidth="1"/>
    <col min="12110" max="12110" width="7.7109375" bestFit="1" customWidth="1"/>
    <col min="12111" max="12111" width="11.5703125" bestFit="1" customWidth="1"/>
    <col min="12112" max="12112" width="10.85546875" bestFit="1" customWidth="1"/>
    <col min="12113" max="12113" width="13.28515625" bestFit="1" customWidth="1"/>
    <col min="12114" max="12114" width="10.85546875" bestFit="1" customWidth="1"/>
    <col min="12115" max="12116" width="7.5703125" bestFit="1" customWidth="1"/>
    <col min="12117" max="12118" width="10.42578125" bestFit="1" customWidth="1"/>
    <col min="12119" max="12119" width="11.5703125" bestFit="1" customWidth="1"/>
    <col min="12120" max="12120" width="5.28515625" bestFit="1" customWidth="1"/>
    <col min="12121" max="12121" width="10.28515625" bestFit="1" customWidth="1"/>
    <col min="12122" max="12122" width="10.42578125" bestFit="1" customWidth="1"/>
    <col min="12123" max="12123" width="11.5703125" bestFit="1" customWidth="1"/>
    <col min="12124" max="12124" width="5.28515625" bestFit="1" customWidth="1"/>
    <col min="12125" max="12127" width="11.5703125" bestFit="1" customWidth="1"/>
    <col min="12128" max="12128" width="5.28515625" bestFit="1" customWidth="1"/>
    <col min="12129" max="12130" width="10.42578125" bestFit="1" customWidth="1"/>
    <col min="12131" max="12131" width="11.5703125" bestFit="1" customWidth="1"/>
    <col min="12132" max="12132" width="5.28515625" bestFit="1" customWidth="1"/>
    <col min="12133" max="12133" width="14.28515625" bestFit="1" customWidth="1"/>
    <col min="12134" max="12134" width="13" bestFit="1" customWidth="1"/>
    <col min="12135" max="12135" width="11.5703125" bestFit="1" customWidth="1"/>
    <col min="12136" max="12136" width="8.85546875" bestFit="1" customWidth="1"/>
    <col min="12137" max="12137" width="14.42578125" bestFit="1" customWidth="1"/>
    <col min="12138" max="12138" width="10.42578125" bestFit="1" customWidth="1"/>
    <col min="12139" max="12139" width="12.28515625" bestFit="1" customWidth="1"/>
    <col min="12140" max="12140" width="13.85546875" bestFit="1" customWidth="1"/>
    <col min="12141" max="12141" width="11.28515625" customWidth="1"/>
    <col min="12142" max="12142" width="11.5703125" customWidth="1"/>
    <col min="12143" max="12143" width="13.42578125" bestFit="1" customWidth="1"/>
    <col min="12144" max="12144" width="10.42578125" customWidth="1"/>
    <col min="12145" max="12145" width="13.85546875" bestFit="1" customWidth="1"/>
    <col min="12146" max="12146" width="15.42578125" bestFit="1" customWidth="1"/>
    <col min="12147" max="12147" width="12.28515625" bestFit="1" customWidth="1"/>
    <col min="12148" max="12148" width="12.7109375" customWidth="1"/>
    <col min="12149" max="12149" width="10.7109375" bestFit="1" customWidth="1"/>
    <col min="12150" max="12150" width="9.85546875" customWidth="1"/>
    <col min="12151" max="12152" width="10.140625" bestFit="1" customWidth="1"/>
    <col min="12153" max="12153" width="7.5703125" bestFit="1" customWidth="1"/>
    <col min="12154" max="12154" width="9.42578125" bestFit="1" customWidth="1"/>
    <col min="12155" max="12155" width="14.5703125" bestFit="1" customWidth="1"/>
    <col min="12156" max="12156" width="14.85546875" customWidth="1"/>
    <col min="12157" max="12157" width="15.140625" bestFit="1" customWidth="1"/>
    <col min="12158" max="12158" width="12.140625" bestFit="1" customWidth="1"/>
    <col min="12159" max="12159" width="14.85546875" bestFit="1" customWidth="1"/>
    <col min="12160" max="12160" width="12.28515625" bestFit="1" customWidth="1"/>
    <col min="12161" max="12169" width="9.140625" hidden="1" customWidth="1"/>
    <col min="12170" max="12170" width="5.28515625" bestFit="1" customWidth="1"/>
    <col min="12171" max="12176" width="11.5703125" bestFit="1" customWidth="1"/>
    <col min="12177" max="12177" width="11.28515625" bestFit="1" customWidth="1"/>
    <col min="12178" max="12178" width="10.140625" bestFit="1" customWidth="1"/>
    <col min="12179" max="12179" width="11.5703125" bestFit="1" customWidth="1"/>
    <col min="12180" max="12180" width="16.140625" customWidth="1"/>
    <col min="12181" max="12181" width="13.42578125" customWidth="1"/>
    <col min="12182" max="12182" width="10.140625" bestFit="1" customWidth="1"/>
    <col min="12183" max="12183" width="12.85546875" bestFit="1" customWidth="1"/>
    <col min="12184" max="12184" width="12.28515625" bestFit="1" customWidth="1"/>
    <col min="12185" max="12185" width="11.28515625" bestFit="1" customWidth="1"/>
    <col min="12186" max="12186" width="11.5703125" bestFit="1" customWidth="1"/>
    <col min="12187" max="12187" width="10.85546875" bestFit="1" customWidth="1"/>
    <col min="12188" max="12188" width="11.28515625" bestFit="1" customWidth="1"/>
    <col min="12189" max="12189" width="10.140625" bestFit="1" customWidth="1"/>
    <col min="12190" max="12190" width="13.28515625" bestFit="1" customWidth="1"/>
    <col min="12191" max="12192" width="12.7109375" bestFit="1" customWidth="1"/>
    <col min="12193" max="12193" width="11" bestFit="1" customWidth="1"/>
    <col min="12194" max="12194" width="11.28515625" bestFit="1" customWidth="1"/>
    <col min="12195" max="12195" width="11.5703125" bestFit="1" customWidth="1"/>
    <col min="12196" max="12196" width="12.28515625" bestFit="1" customWidth="1"/>
    <col min="12197" max="12197" width="15.140625" bestFit="1" customWidth="1"/>
    <col min="12198" max="12198" width="14.42578125" bestFit="1" customWidth="1"/>
    <col min="12199" max="12199" width="12.28515625" bestFit="1" customWidth="1"/>
    <col min="12200" max="12200" width="15.140625" bestFit="1" customWidth="1"/>
    <col min="12201" max="12201" width="14.42578125" bestFit="1" customWidth="1"/>
    <col min="12202" max="12202" width="12.28515625" bestFit="1" customWidth="1"/>
    <col min="12203" max="12203" width="14.42578125" bestFit="1" customWidth="1"/>
    <col min="12204" max="12204" width="11.28515625" bestFit="1" customWidth="1"/>
    <col min="12205" max="12205" width="12.28515625" bestFit="1" customWidth="1"/>
    <col min="12206" max="12206" width="13" bestFit="1" customWidth="1"/>
    <col min="12207" max="12207" width="15.140625" bestFit="1" customWidth="1"/>
    <col min="12208" max="12208" width="12.28515625" bestFit="1" customWidth="1"/>
    <col min="12209" max="12209" width="13.85546875" bestFit="1" customWidth="1"/>
    <col min="12210" max="12210" width="11.28515625" bestFit="1" customWidth="1"/>
    <col min="12211" max="12211" width="12.28515625" bestFit="1" customWidth="1"/>
    <col min="12212" max="12212" width="13.85546875" bestFit="1" customWidth="1"/>
    <col min="12213" max="12214" width="15.140625" bestFit="1" customWidth="1"/>
    <col min="12215" max="12215" width="12.28515625" bestFit="1" customWidth="1"/>
    <col min="12216" max="12216" width="5.7109375" bestFit="1" customWidth="1"/>
    <col min="12217" max="12217" width="8.5703125" bestFit="1" customWidth="1"/>
    <col min="12218" max="12218" width="5.5703125" bestFit="1" customWidth="1"/>
    <col min="12219" max="12219" width="14.42578125" bestFit="1" customWidth="1"/>
    <col min="12220" max="12220" width="11.28515625" bestFit="1" customWidth="1"/>
    <col min="12221" max="12222" width="12.28515625" bestFit="1" customWidth="1"/>
    <col min="12223" max="12223" width="11.28515625" bestFit="1" customWidth="1"/>
    <col min="12224" max="12224" width="13.85546875" bestFit="1" customWidth="1"/>
    <col min="12225" max="12225" width="12" bestFit="1" customWidth="1"/>
    <col min="12226" max="12226" width="13.85546875" bestFit="1" customWidth="1"/>
    <col min="12227" max="12228" width="14.42578125" customWidth="1"/>
    <col min="12229" max="12229" width="10.140625" bestFit="1" customWidth="1"/>
    <col min="12230" max="12230" width="12.28515625" bestFit="1" customWidth="1"/>
    <col min="12231" max="12231" width="7.42578125" bestFit="1" customWidth="1"/>
    <col min="12232" max="12232" width="8.5703125" bestFit="1" customWidth="1"/>
    <col min="12233" max="12233" width="11.5703125" bestFit="1" customWidth="1"/>
    <col min="12234" max="12234" width="13.28515625" bestFit="1" customWidth="1"/>
    <col min="12235" max="12235" width="13.28515625" customWidth="1"/>
    <col min="12236" max="12236" width="13.140625" customWidth="1"/>
    <col min="12237" max="12237" width="12.7109375" bestFit="1" customWidth="1"/>
    <col min="12238" max="12238" width="13.28515625" bestFit="1" customWidth="1"/>
    <col min="12239" max="12241" width="13.28515625" customWidth="1"/>
    <col min="12242" max="12242" width="12.140625" bestFit="1" customWidth="1"/>
    <col min="12243" max="12243" width="12.7109375" bestFit="1" customWidth="1"/>
    <col min="12244" max="12244" width="11" customWidth="1"/>
    <col min="12245" max="12245" width="16.7109375" customWidth="1"/>
    <col min="12246" max="12246" width="17" customWidth="1"/>
    <col min="12247" max="12247" width="10.42578125" bestFit="1" customWidth="1"/>
    <col min="12291" max="12291" width="3.85546875" customWidth="1"/>
    <col min="12292" max="12292" width="15.28515625" bestFit="1" customWidth="1"/>
    <col min="12293" max="12293" width="12.28515625" customWidth="1"/>
    <col min="12294" max="12294" width="16.28515625" bestFit="1" customWidth="1"/>
    <col min="12295" max="12295" width="6.42578125" bestFit="1" customWidth="1"/>
    <col min="12296" max="12296" width="9.28515625" bestFit="1" customWidth="1"/>
    <col min="12297" max="12297" width="7.5703125" bestFit="1" customWidth="1"/>
    <col min="12298" max="12298" width="13.28515625" bestFit="1" customWidth="1"/>
    <col min="12299" max="12299" width="9.28515625" bestFit="1" customWidth="1"/>
    <col min="12300" max="12300" width="11.5703125" bestFit="1" customWidth="1"/>
    <col min="12301" max="12301" width="13.28515625" bestFit="1" customWidth="1"/>
    <col min="12302" max="12302" width="7.140625" bestFit="1" customWidth="1"/>
    <col min="12303" max="12303" width="12" bestFit="1" customWidth="1"/>
    <col min="12304" max="12304" width="13.28515625" bestFit="1" customWidth="1"/>
    <col min="12305" max="12305" width="7" bestFit="1" customWidth="1"/>
    <col min="12306" max="12306" width="12.7109375" bestFit="1" customWidth="1"/>
    <col min="12307" max="12307" width="11.5703125" bestFit="1" customWidth="1"/>
    <col min="12308" max="12308" width="10.5703125" bestFit="1" customWidth="1"/>
    <col min="12309" max="12310" width="15.7109375" bestFit="1" customWidth="1"/>
    <col min="12311" max="12311" width="11.5703125" bestFit="1" customWidth="1"/>
    <col min="12312" max="12312" width="7.7109375" bestFit="1" customWidth="1"/>
    <col min="12313" max="12313" width="15.140625" bestFit="1" customWidth="1"/>
    <col min="12314" max="12314" width="11.5703125" bestFit="1" customWidth="1"/>
    <col min="12315" max="12315" width="13.28515625" bestFit="1" customWidth="1"/>
    <col min="12316" max="12316" width="10.42578125" bestFit="1" customWidth="1"/>
    <col min="12317" max="12317" width="13.28515625" bestFit="1" customWidth="1"/>
    <col min="12318" max="12318" width="12.140625" bestFit="1" customWidth="1"/>
    <col min="12319" max="12319" width="14.42578125" bestFit="1" customWidth="1"/>
    <col min="12320" max="12320" width="13.28515625" bestFit="1" customWidth="1"/>
    <col min="12321" max="12321" width="11.5703125" bestFit="1" customWidth="1"/>
    <col min="12322" max="12322" width="7.7109375" bestFit="1" customWidth="1"/>
    <col min="12323" max="12324" width="14.42578125" bestFit="1" customWidth="1"/>
    <col min="12325" max="12325" width="11.5703125" bestFit="1" customWidth="1"/>
    <col min="12326" max="12326" width="7.7109375" bestFit="1" customWidth="1"/>
    <col min="12327" max="12327" width="13.5703125" customWidth="1"/>
    <col min="12328" max="12328" width="15.28515625" customWidth="1"/>
    <col min="12329" max="12329" width="14.5703125" customWidth="1"/>
    <col min="12330" max="12330" width="13.28515625" bestFit="1" customWidth="1"/>
    <col min="12331" max="12331" width="7.7109375" bestFit="1" customWidth="1"/>
    <col min="12332" max="12332" width="12.7109375" bestFit="1" customWidth="1"/>
    <col min="12333" max="12333" width="11.7109375" bestFit="1" customWidth="1"/>
    <col min="12334" max="12334" width="11.5703125" bestFit="1" customWidth="1"/>
    <col min="12335" max="12335" width="5.28515625" bestFit="1" customWidth="1"/>
    <col min="12336" max="12336" width="13.28515625" bestFit="1" customWidth="1"/>
    <col min="12337" max="12337" width="13.5703125" bestFit="1" customWidth="1"/>
    <col min="12338" max="12338" width="10.5703125" bestFit="1" customWidth="1"/>
    <col min="12339" max="12339" width="13.28515625" bestFit="1" customWidth="1"/>
    <col min="12340" max="12340" width="11.5703125" bestFit="1" customWidth="1"/>
    <col min="12341" max="12341" width="10.5703125" bestFit="1" customWidth="1"/>
    <col min="12342" max="12342" width="16.140625" bestFit="1" customWidth="1"/>
    <col min="12343" max="12344" width="11.28515625" bestFit="1" customWidth="1"/>
    <col min="12345" max="12345" width="13.28515625" bestFit="1" customWidth="1"/>
    <col min="12346" max="12346" width="7.7109375" bestFit="1" customWidth="1"/>
    <col min="12347" max="12350" width="9.140625" hidden="1" customWidth="1"/>
    <col min="12351" max="12351" width="10.42578125" bestFit="1" customWidth="1"/>
    <col min="12352" max="12352" width="10.5703125" bestFit="1" customWidth="1"/>
    <col min="12353" max="12353" width="10.42578125" bestFit="1" customWidth="1"/>
    <col min="12354" max="12354" width="10.5703125" bestFit="1" customWidth="1"/>
    <col min="12355" max="12355" width="9.5703125" bestFit="1" customWidth="1"/>
    <col min="12356" max="12356" width="11.5703125" bestFit="1" customWidth="1"/>
    <col min="12357" max="12357" width="10.42578125" bestFit="1" customWidth="1"/>
    <col min="12358" max="12358" width="10.85546875" customWidth="1"/>
    <col min="12359" max="12360" width="9.85546875" bestFit="1" customWidth="1"/>
    <col min="12361" max="12361" width="13.5703125" bestFit="1" customWidth="1"/>
    <col min="12362" max="12362" width="7.7109375" bestFit="1" customWidth="1"/>
    <col min="12363" max="12363" width="13.28515625" bestFit="1" customWidth="1"/>
    <col min="12364" max="12364" width="11.5703125" bestFit="1" customWidth="1"/>
    <col min="12365" max="12365" width="10.42578125" bestFit="1" customWidth="1"/>
    <col min="12366" max="12366" width="7.7109375" bestFit="1" customWidth="1"/>
    <col min="12367" max="12367" width="11.5703125" bestFit="1" customWidth="1"/>
    <col min="12368" max="12368" width="10.85546875" bestFit="1" customWidth="1"/>
    <col min="12369" max="12369" width="13.28515625" bestFit="1" customWidth="1"/>
    <col min="12370" max="12370" width="10.85546875" bestFit="1" customWidth="1"/>
    <col min="12371" max="12372" width="7.5703125" bestFit="1" customWidth="1"/>
    <col min="12373" max="12374" width="10.42578125" bestFit="1" customWidth="1"/>
    <col min="12375" max="12375" width="11.5703125" bestFit="1" customWidth="1"/>
    <col min="12376" max="12376" width="5.28515625" bestFit="1" customWidth="1"/>
    <col min="12377" max="12377" width="10.28515625" bestFit="1" customWidth="1"/>
    <col min="12378" max="12378" width="10.42578125" bestFit="1" customWidth="1"/>
    <col min="12379" max="12379" width="11.5703125" bestFit="1" customWidth="1"/>
    <col min="12380" max="12380" width="5.28515625" bestFit="1" customWidth="1"/>
    <col min="12381" max="12383" width="11.5703125" bestFit="1" customWidth="1"/>
    <col min="12384" max="12384" width="5.28515625" bestFit="1" customWidth="1"/>
    <col min="12385" max="12386" width="10.42578125" bestFit="1" customWidth="1"/>
    <col min="12387" max="12387" width="11.5703125" bestFit="1" customWidth="1"/>
    <col min="12388" max="12388" width="5.28515625" bestFit="1" customWidth="1"/>
    <col min="12389" max="12389" width="14.28515625" bestFit="1" customWidth="1"/>
    <col min="12390" max="12390" width="13" bestFit="1" customWidth="1"/>
    <col min="12391" max="12391" width="11.5703125" bestFit="1" customWidth="1"/>
    <col min="12392" max="12392" width="8.85546875" bestFit="1" customWidth="1"/>
    <col min="12393" max="12393" width="14.42578125" bestFit="1" customWidth="1"/>
    <col min="12394" max="12394" width="10.42578125" bestFit="1" customWidth="1"/>
    <col min="12395" max="12395" width="12.28515625" bestFit="1" customWidth="1"/>
    <col min="12396" max="12396" width="13.85546875" bestFit="1" customWidth="1"/>
    <col min="12397" max="12397" width="11.28515625" customWidth="1"/>
    <col min="12398" max="12398" width="11.5703125" customWidth="1"/>
    <col min="12399" max="12399" width="13.42578125" bestFit="1" customWidth="1"/>
    <col min="12400" max="12400" width="10.42578125" customWidth="1"/>
    <col min="12401" max="12401" width="13.85546875" bestFit="1" customWidth="1"/>
    <col min="12402" max="12402" width="15.42578125" bestFit="1" customWidth="1"/>
    <col min="12403" max="12403" width="12.28515625" bestFit="1" customWidth="1"/>
    <col min="12404" max="12404" width="12.7109375" customWidth="1"/>
    <col min="12405" max="12405" width="10.7109375" bestFit="1" customWidth="1"/>
    <col min="12406" max="12406" width="9.85546875" customWidth="1"/>
    <col min="12407" max="12408" width="10.140625" bestFit="1" customWidth="1"/>
    <col min="12409" max="12409" width="7.5703125" bestFit="1" customWidth="1"/>
    <col min="12410" max="12410" width="9.42578125" bestFit="1" customWidth="1"/>
    <col min="12411" max="12411" width="14.5703125" bestFit="1" customWidth="1"/>
    <col min="12412" max="12412" width="14.85546875" customWidth="1"/>
    <col min="12413" max="12413" width="15.140625" bestFit="1" customWidth="1"/>
    <col min="12414" max="12414" width="12.140625" bestFit="1" customWidth="1"/>
    <col min="12415" max="12415" width="14.85546875" bestFit="1" customWidth="1"/>
    <col min="12416" max="12416" width="12.28515625" bestFit="1" customWidth="1"/>
    <col min="12417" max="12425" width="9.140625" hidden="1" customWidth="1"/>
    <col min="12426" max="12426" width="5.28515625" bestFit="1" customWidth="1"/>
    <col min="12427" max="12432" width="11.5703125" bestFit="1" customWidth="1"/>
    <col min="12433" max="12433" width="11.28515625" bestFit="1" customWidth="1"/>
    <col min="12434" max="12434" width="10.140625" bestFit="1" customWidth="1"/>
    <col min="12435" max="12435" width="11.5703125" bestFit="1" customWidth="1"/>
    <col min="12436" max="12436" width="16.140625" customWidth="1"/>
    <col min="12437" max="12437" width="13.42578125" customWidth="1"/>
    <col min="12438" max="12438" width="10.140625" bestFit="1" customWidth="1"/>
    <col min="12439" max="12439" width="12.85546875" bestFit="1" customWidth="1"/>
    <col min="12440" max="12440" width="12.28515625" bestFit="1" customWidth="1"/>
    <col min="12441" max="12441" width="11.28515625" bestFit="1" customWidth="1"/>
    <col min="12442" max="12442" width="11.5703125" bestFit="1" customWidth="1"/>
    <col min="12443" max="12443" width="10.85546875" bestFit="1" customWidth="1"/>
    <col min="12444" max="12444" width="11.28515625" bestFit="1" customWidth="1"/>
    <col min="12445" max="12445" width="10.140625" bestFit="1" customWidth="1"/>
    <col min="12446" max="12446" width="13.28515625" bestFit="1" customWidth="1"/>
    <col min="12447" max="12448" width="12.7109375" bestFit="1" customWidth="1"/>
    <col min="12449" max="12449" width="11" bestFit="1" customWidth="1"/>
    <col min="12450" max="12450" width="11.28515625" bestFit="1" customWidth="1"/>
    <col min="12451" max="12451" width="11.5703125" bestFit="1" customWidth="1"/>
    <col min="12452" max="12452" width="12.28515625" bestFit="1" customWidth="1"/>
    <col min="12453" max="12453" width="15.140625" bestFit="1" customWidth="1"/>
    <col min="12454" max="12454" width="14.42578125" bestFit="1" customWidth="1"/>
    <col min="12455" max="12455" width="12.28515625" bestFit="1" customWidth="1"/>
    <col min="12456" max="12456" width="15.140625" bestFit="1" customWidth="1"/>
    <col min="12457" max="12457" width="14.42578125" bestFit="1" customWidth="1"/>
    <col min="12458" max="12458" width="12.28515625" bestFit="1" customWidth="1"/>
    <col min="12459" max="12459" width="14.42578125" bestFit="1" customWidth="1"/>
    <col min="12460" max="12460" width="11.28515625" bestFit="1" customWidth="1"/>
    <col min="12461" max="12461" width="12.28515625" bestFit="1" customWidth="1"/>
    <col min="12462" max="12462" width="13" bestFit="1" customWidth="1"/>
    <col min="12463" max="12463" width="15.140625" bestFit="1" customWidth="1"/>
    <col min="12464" max="12464" width="12.28515625" bestFit="1" customWidth="1"/>
    <col min="12465" max="12465" width="13.85546875" bestFit="1" customWidth="1"/>
    <col min="12466" max="12466" width="11.28515625" bestFit="1" customWidth="1"/>
    <col min="12467" max="12467" width="12.28515625" bestFit="1" customWidth="1"/>
    <col min="12468" max="12468" width="13.85546875" bestFit="1" customWidth="1"/>
    <col min="12469" max="12470" width="15.140625" bestFit="1" customWidth="1"/>
    <col min="12471" max="12471" width="12.28515625" bestFit="1" customWidth="1"/>
    <col min="12472" max="12472" width="5.7109375" bestFit="1" customWidth="1"/>
    <col min="12473" max="12473" width="8.5703125" bestFit="1" customWidth="1"/>
    <col min="12474" max="12474" width="5.5703125" bestFit="1" customWidth="1"/>
    <col min="12475" max="12475" width="14.42578125" bestFit="1" customWidth="1"/>
    <col min="12476" max="12476" width="11.28515625" bestFit="1" customWidth="1"/>
    <col min="12477" max="12478" width="12.28515625" bestFit="1" customWidth="1"/>
    <col min="12479" max="12479" width="11.28515625" bestFit="1" customWidth="1"/>
    <col min="12480" max="12480" width="13.85546875" bestFit="1" customWidth="1"/>
    <col min="12481" max="12481" width="12" bestFit="1" customWidth="1"/>
    <col min="12482" max="12482" width="13.85546875" bestFit="1" customWidth="1"/>
    <col min="12483" max="12484" width="14.42578125" customWidth="1"/>
    <col min="12485" max="12485" width="10.140625" bestFit="1" customWidth="1"/>
    <col min="12486" max="12486" width="12.28515625" bestFit="1" customWidth="1"/>
    <col min="12487" max="12487" width="7.42578125" bestFit="1" customWidth="1"/>
    <col min="12488" max="12488" width="8.5703125" bestFit="1" customWidth="1"/>
    <col min="12489" max="12489" width="11.5703125" bestFit="1" customWidth="1"/>
    <col min="12490" max="12490" width="13.28515625" bestFit="1" customWidth="1"/>
    <col min="12491" max="12491" width="13.28515625" customWidth="1"/>
    <col min="12492" max="12492" width="13.140625" customWidth="1"/>
    <col min="12493" max="12493" width="12.7109375" bestFit="1" customWidth="1"/>
    <col min="12494" max="12494" width="13.28515625" bestFit="1" customWidth="1"/>
    <col min="12495" max="12497" width="13.28515625" customWidth="1"/>
    <col min="12498" max="12498" width="12.140625" bestFit="1" customWidth="1"/>
    <col min="12499" max="12499" width="12.7109375" bestFit="1" customWidth="1"/>
    <col min="12500" max="12500" width="11" customWidth="1"/>
    <col min="12501" max="12501" width="16.7109375" customWidth="1"/>
    <col min="12502" max="12502" width="17" customWidth="1"/>
    <col min="12503" max="12503" width="10.42578125" bestFit="1" customWidth="1"/>
    <col min="12547" max="12547" width="3.85546875" customWidth="1"/>
    <col min="12548" max="12548" width="15.28515625" bestFit="1" customWidth="1"/>
    <col min="12549" max="12549" width="12.28515625" customWidth="1"/>
    <col min="12550" max="12550" width="16.28515625" bestFit="1" customWidth="1"/>
    <col min="12551" max="12551" width="6.42578125" bestFit="1" customWidth="1"/>
    <col min="12552" max="12552" width="9.28515625" bestFit="1" customWidth="1"/>
    <col min="12553" max="12553" width="7.5703125" bestFit="1" customWidth="1"/>
    <col min="12554" max="12554" width="13.28515625" bestFit="1" customWidth="1"/>
    <col min="12555" max="12555" width="9.28515625" bestFit="1" customWidth="1"/>
    <col min="12556" max="12556" width="11.5703125" bestFit="1" customWidth="1"/>
    <col min="12557" max="12557" width="13.28515625" bestFit="1" customWidth="1"/>
    <col min="12558" max="12558" width="7.140625" bestFit="1" customWidth="1"/>
    <col min="12559" max="12559" width="12" bestFit="1" customWidth="1"/>
    <col min="12560" max="12560" width="13.28515625" bestFit="1" customWidth="1"/>
    <col min="12561" max="12561" width="7" bestFit="1" customWidth="1"/>
    <col min="12562" max="12562" width="12.7109375" bestFit="1" customWidth="1"/>
    <col min="12563" max="12563" width="11.5703125" bestFit="1" customWidth="1"/>
    <col min="12564" max="12564" width="10.5703125" bestFit="1" customWidth="1"/>
    <col min="12565" max="12566" width="15.7109375" bestFit="1" customWidth="1"/>
    <col min="12567" max="12567" width="11.5703125" bestFit="1" customWidth="1"/>
    <col min="12568" max="12568" width="7.7109375" bestFit="1" customWidth="1"/>
    <col min="12569" max="12569" width="15.140625" bestFit="1" customWidth="1"/>
    <col min="12570" max="12570" width="11.5703125" bestFit="1" customWidth="1"/>
    <col min="12571" max="12571" width="13.28515625" bestFit="1" customWidth="1"/>
    <col min="12572" max="12572" width="10.42578125" bestFit="1" customWidth="1"/>
    <col min="12573" max="12573" width="13.28515625" bestFit="1" customWidth="1"/>
    <col min="12574" max="12574" width="12.140625" bestFit="1" customWidth="1"/>
    <col min="12575" max="12575" width="14.42578125" bestFit="1" customWidth="1"/>
    <col min="12576" max="12576" width="13.28515625" bestFit="1" customWidth="1"/>
    <col min="12577" max="12577" width="11.5703125" bestFit="1" customWidth="1"/>
    <col min="12578" max="12578" width="7.7109375" bestFit="1" customWidth="1"/>
    <col min="12579" max="12580" width="14.42578125" bestFit="1" customWidth="1"/>
    <col min="12581" max="12581" width="11.5703125" bestFit="1" customWidth="1"/>
    <col min="12582" max="12582" width="7.7109375" bestFit="1" customWidth="1"/>
    <col min="12583" max="12583" width="13.5703125" customWidth="1"/>
    <col min="12584" max="12584" width="15.28515625" customWidth="1"/>
    <col min="12585" max="12585" width="14.5703125" customWidth="1"/>
    <col min="12586" max="12586" width="13.28515625" bestFit="1" customWidth="1"/>
    <col min="12587" max="12587" width="7.7109375" bestFit="1" customWidth="1"/>
    <col min="12588" max="12588" width="12.7109375" bestFit="1" customWidth="1"/>
    <col min="12589" max="12589" width="11.7109375" bestFit="1" customWidth="1"/>
    <col min="12590" max="12590" width="11.5703125" bestFit="1" customWidth="1"/>
    <col min="12591" max="12591" width="5.28515625" bestFit="1" customWidth="1"/>
    <col min="12592" max="12592" width="13.28515625" bestFit="1" customWidth="1"/>
    <col min="12593" max="12593" width="13.5703125" bestFit="1" customWidth="1"/>
    <col min="12594" max="12594" width="10.5703125" bestFit="1" customWidth="1"/>
    <col min="12595" max="12595" width="13.28515625" bestFit="1" customWidth="1"/>
    <col min="12596" max="12596" width="11.5703125" bestFit="1" customWidth="1"/>
    <col min="12597" max="12597" width="10.5703125" bestFit="1" customWidth="1"/>
    <col min="12598" max="12598" width="16.140625" bestFit="1" customWidth="1"/>
    <col min="12599" max="12600" width="11.28515625" bestFit="1" customWidth="1"/>
    <col min="12601" max="12601" width="13.28515625" bestFit="1" customWidth="1"/>
    <col min="12602" max="12602" width="7.7109375" bestFit="1" customWidth="1"/>
    <col min="12603" max="12606" width="9.140625" hidden="1" customWidth="1"/>
    <col min="12607" max="12607" width="10.42578125" bestFit="1" customWidth="1"/>
    <col min="12608" max="12608" width="10.5703125" bestFit="1" customWidth="1"/>
    <col min="12609" max="12609" width="10.42578125" bestFit="1" customWidth="1"/>
    <col min="12610" max="12610" width="10.5703125" bestFit="1" customWidth="1"/>
    <col min="12611" max="12611" width="9.5703125" bestFit="1" customWidth="1"/>
    <col min="12612" max="12612" width="11.5703125" bestFit="1" customWidth="1"/>
    <col min="12613" max="12613" width="10.42578125" bestFit="1" customWidth="1"/>
    <col min="12614" max="12614" width="10.85546875" customWidth="1"/>
    <col min="12615" max="12616" width="9.85546875" bestFit="1" customWidth="1"/>
    <col min="12617" max="12617" width="13.5703125" bestFit="1" customWidth="1"/>
    <col min="12618" max="12618" width="7.7109375" bestFit="1" customWidth="1"/>
    <col min="12619" max="12619" width="13.28515625" bestFit="1" customWidth="1"/>
    <col min="12620" max="12620" width="11.5703125" bestFit="1" customWidth="1"/>
    <col min="12621" max="12621" width="10.42578125" bestFit="1" customWidth="1"/>
    <col min="12622" max="12622" width="7.7109375" bestFit="1" customWidth="1"/>
    <col min="12623" max="12623" width="11.5703125" bestFit="1" customWidth="1"/>
    <col min="12624" max="12624" width="10.85546875" bestFit="1" customWidth="1"/>
    <col min="12625" max="12625" width="13.28515625" bestFit="1" customWidth="1"/>
    <col min="12626" max="12626" width="10.85546875" bestFit="1" customWidth="1"/>
    <col min="12627" max="12628" width="7.5703125" bestFit="1" customWidth="1"/>
    <col min="12629" max="12630" width="10.42578125" bestFit="1" customWidth="1"/>
    <col min="12631" max="12631" width="11.5703125" bestFit="1" customWidth="1"/>
    <col min="12632" max="12632" width="5.28515625" bestFit="1" customWidth="1"/>
    <col min="12633" max="12633" width="10.28515625" bestFit="1" customWidth="1"/>
    <col min="12634" max="12634" width="10.42578125" bestFit="1" customWidth="1"/>
    <col min="12635" max="12635" width="11.5703125" bestFit="1" customWidth="1"/>
    <col min="12636" max="12636" width="5.28515625" bestFit="1" customWidth="1"/>
    <col min="12637" max="12639" width="11.5703125" bestFit="1" customWidth="1"/>
    <col min="12640" max="12640" width="5.28515625" bestFit="1" customWidth="1"/>
    <col min="12641" max="12642" width="10.42578125" bestFit="1" customWidth="1"/>
    <col min="12643" max="12643" width="11.5703125" bestFit="1" customWidth="1"/>
    <col min="12644" max="12644" width="5.28515625" bestFit="1" customWidth="1"/>
    <col min="12645" max="12645" width="14.28515625" bestFit="1" customWidth="1"/>
    <col min="12646" max="12646" width="13" bestFit="1" customWidth="1"/>
    <col min="12647" max="12647" width="11.5703125" bestFit="1" customWidth="1"/>
    <col min="12648" max="12648" width="8.85546875" bestFit="1" customWidth="1"/>
    <col min="12649" max="12649" width="14.42578125" bestFit="1" customWidth="1"/>
    <col min="12650" max="12650" width="10.42578125" bestFit="1" customWidth="1"/>
    <col min="12651" max="12651" width="12.28515625" bestFit="1" customWidth="1"/>
    <col min="12652" max="12652" width="13.85546875" bestFit="1" customWidth="1"/>
    <col min="12653" max="12653" width="11.28515625" customWidth="1"/>
    <col min="12654" max="12654" width="11.5703125" customWidth="1"/>
    <col min="12655" max="12655" width="13.42578125" bestFit="1" customWidth="1"/>
    <col min="12656" max="12656" width="10.42578125" customWidth="1"/>
    <col min="12657" max="12657" width="13.85546875" bestFit="1" customWidth="1"/>
    <col min="12658" max="12658" width="15.42578125" bestFit="1" customWidth="1"/>
    <col min="12659" max="12659" width="12.28515625" bestFit="1" customWidth="1"/>
    <col min="12660" max="12660" width="12.7109375" customWidth="1"/>
    <col min="12661" max="12661" width="10.7109375" bestFit="1" customWidth="1"/>
    <col min="12662" max="12662" width="9.85546875" customWidth="1"/>
    <col min="12663" max="12664" width="10.140625" bestFit="1" customWidth="1"/>
    <col min="12665" max="12665" width="7.5703125" bestFit="1" customWidth="1"/>
    <col min="12666" max="12666" width="9.42578125" bestFit="1" customWidth="1"/>
    <col min="12667" max="12667" width="14.5703125" bestFit="1" customWidth="1"/>
    <col min="12668" max="12668" width="14.85546875" customWidth="1"/>
    <col min="12669" max="12669" width="15.140625" bestFit="1" customWidth="1"/>
    <col min="12670" max="12670" width="12.140625" bestFit="1" customWidth="1"/>
    <col min="12671" max="12671" width="14.85546875" bestFit="1" customWidth="1"/>
    <col min="12672" max="12672" width="12.28515625" bestFit="1" customWidth="1"/>
    <col min="12673" max="12681" width="9.140625" hidden="1" customWidth="1"/>
    <col min="12682" max="12682" width="5.28515625" bestFit="1" customWidth="1"/>
    <col min="12683" max="12688" width="11.5703125" bestFit="1" customWidth="1"/>
    <col min="12689" max="12689" width="11.28515625" bestFit="1" customWidth="1"/>
    <col min="12690" max="12690" width="10.140625" bestFit="1" customWidth="1"/>
    <col min="12691" max="12691" width="11.5703125" bestFit="1" customWidth="1"/>
    <col min="12692" max="12692" width="16.140625" customWidth="1"/>
    <col min="12693" max="12693" width="13.42578125" customWidth="1"/>
    <col min="12694" max="12694" width="10.140625" bestFit="1" customWidth="1"/>
    <col min="12695" max="12695" width="12.85546875" bestFit="1" customWidth="1"/>
    <col min="12696" max="12696" width="12.28515625" bestFit="1" customWidth="1"/>
    <col min="12697" max="12697" width="11.28515625" bestFit="1" customWidth="1"/>
    <col min="12698" max="12698" width="11.5703125" bestFit="1" customWidth="1"/>
    <col min="12699" max="12699" width="10.85546875" bestFit="1" customWidth="1"/>
    <col min="12700" max="12700" width="11.28515625" bestFit="1" customWidth="1"/>
    <col min="12701" max="12701" width="10.140625" bestFit="1" customWidth="1"/>
    <col min="12702" max="12702" width="13.28515625" bestFit="1" customWidth="1"/>
    <col min="12703" max="12704" width="12.7109375" bestFit="1" customWidth="1"/>
    <col min="12705" max="12705" width="11" bestFit="1" customWidth="1"/>
    <col min="12706" max="12706" width="11.28515625" bestFit="1" customWidth="1"/>
    <col min="12707" max="12707" width="11.5703125" bestFit="1" customWidth="1"/>
    <col min="12708" max="12708" width="12.28515625" bestFit="1" customWidth="1"/>
    <col min="12709" max="12709" width="15.140625" bestFit="1" customWidth="1"/>
    <col min="12710" max="12710" width="14.42578125" bestFit="1" customWidth="1"/>
    <col min="12711" max="12711" width="12.28515625" bestFit="1" customWidth="1"/>
    <col min="12712" max="12712" width="15.140625" bestFit="1" customWidth="1"/>
    <col min="12713" max="12713" width="14.42578125" bestFit="1" customWidth="1"/>
    <col min="12714" max="12714" width="12.28515625" bestFit="1" customWidth="1"/>
    <col min="12715" max="12715" width="14.42578125" bestFit="1" customWidth="1"/>
    <col min="12716" max="12716" width="11.28515625" bestFit="1" customWidth="1"/>
    <col min="12717" max="12717" width="12.28515625" bestFit="1" customWidth="1"/>
    <col min="12718" max="12718" width="13" bestFit="1" customWidth="1"/>
    <col min="12719" max="12719" width="15.140625" bestFit="1" customWidth="1"/>
    <col min="12720" max="12720" width="12.28515625" bestFit="1" customWidth="1"/>
    <col min="12721" max="12721" width="13.85546875" bestFit="1" customWidth="1"/>
    <col min="12722" max="12722" width="11.28515625" bestFit="1" customWidth="1"/>
    <col min="12723" max="12723" width="12.28515625" bestFit="1" customWidth="1"/>
    <col min="12724" max="12724" width="13.85546875" bestFit="1" customWidth="1"/>
    <col min="12725" max="12726" width="15.140625" bestFit="1" customWidth="1"/>
    <col min="12727" max="12727" width="12.28515625" bestFit="1" customWidth="1"/>
    <col min="12728" max="12728" width="5.7109375" bestFit="1" customWidth="1"/>
    <col min="12729" max="12729" width="8.5703125" bestFit="1" customWidth="1"/>
    <col min="12730" max="12730" width="5.5703125" bestFit="1" customWidth="1"/>
    <col min="12731" max="12731" width="14.42578125" bestFit="1" customWidth="1"/>
    <col min="12732" max="12732" width="11.28515625" bestFit="1" customWidth="1"/>
    <col min="12733" max="12734" width="12.28515625" bestFit="1" customWidth="1"/>
    <col min="12735" max="12735" width="11.28515625" bestFit="1" customWidth="1"/>
    <col min="12736" max="12736" width="13.85546875" bestFit="1" customWidth="1"/>
    <col min="12737" max="12737" width="12" bestFit="1" customWidth="1"/>
    <col min="12738" max="12738" width="13.85546875" bestFit="1" customWidth="1"/>
    <col min="12739" max="12740" width="14.42578125" customWidth="1"/>
    <col min="12741" max="12741" width="10.140625" bestFit="1" customWidth="1"/>
    <col min="12742" max="12742" width="12.28515625" bestFit="1" customWidth="1"/>
    <col min="12743" max="12743" width="7.42578125" bestFit="1" customWidth="1"/>
    <col min="12744" max="12744" width="8.5703125" bestFit="1" customWidth="1"/>
    <col min="12745" max="12745" width="11.5703125" bestFit="1" customWidth="1"/>
    <col min="12746" max="12746" width="13.28515625" bestFit="1" customWidth="1"/>
    <col min="12747" max="12747" width="13.28515625" customWidth="1"/>
    <col min="12748" max="12748" width="13.140625" customWidth="1"/>
    <col min="12749" max="12749" width="12.7109375" bestFit="1" customWidth="1"/>
    <col min="12750" max="12750" width="13.28515625" bestFit="1" customWidth="1"/>
    <col min="12751" max="12753" width="13.28515625" customWidth="1"/>
    <col min="12754" max="12754" width="12.140625" bestFit="1" customWidth="1"/>
    <col min="12755" max="12755" width="12.7109375" bestFit="1" customWidth="1"/>
    <col min="12756" max="12756" width="11" customWidth="1"/>
    <col min="12757" max="12757" width="16.7109375" customWidth="1"/>
    <col min="12758" max="12758" width="17" customWidth="1"/>
    <col min="12759" max="12759" width="10.42578125" bestFit="1" customWidth="1"/>
    <col min="12803" max="12803" width="3.85546875" customWidth="1"/>
    <col min="12804" max="12804" width="15.28515625" bestFit="1" customWidth="1"/>
    <col min="12805" max="12805" width="12.28515625" customWidth="1"/>
    <col min="12806" max="12806" width="16.28515625" bestFit="1" customWidth="1"/>
    <col min="12807" max="12807" width="6.42578125" bestFit="1" customWidth="1"/>
    <col min="12808" max="12808" width="9.28515625" bestFit="1" customWidth="1"/>
    <col min="12809" max="12809" width="7.5703125" bestFit="1" customWidth="1"/>
    <col min="12810" max="12810" width="13.28515625" bestFit="1" customWidth="1"/>
    <col min="12811" max="12811" width="9.28515625" bestFit="1" customWidth="1"/>
    <col min="12812" max="12812" width="11.5703125" bestFit="1" customWidth="1"/>
    <col min="12813" max="12813" width="13.28515625" bestFit="1" customWidth="1"/>
    <col min="12814" max="12814" width="7.140625" bestFit="1" customWidth="1"/>
    <col min="12815" max="12815" width="12" bestFit="1" customWidth="1"/>
    <col min="12816" max="12816" width="13.28515625" bestFit="1" customWidth="1"/>
    <col min="12817" max="12817" width="7" bestFit="1" customWidth="1"/>
    <col min="12818" max="12818" width="12.7109375" bestFit="1" customWidth="1"/>
    <col min="12819" max="12819" width="11.5703125" bestFit="1" customWidth="1"/>
    <col min="12820" max="12820" width="10.5703125" bestFit="1" customWidth="1"/>
    <col min="12821" max="12822" width="15.7109375" bestFit="1" customWidth="1"/>
    <col min="12823" max="12823" width="11.5703125" bestFit="1" customWidth="1"/>
    <col min="12824" max="12824" width="7.7109375" bestFit="1" customWidth="1"/>
    <col min="12825" max="12825" width="15.140625" bestFit="1" customWidth="1"/>
    <col min="12826" max="12826" width="11.5703125" bestFit="1" customWidth="1"/>
    <col min="12827" max="12827" width="13.28515625" bestFit="1" customWidth="1"/>
    <col min="12828" max="12828" width="10.42578125" bestFit="1" customWidth="1"/>
    <col min="12829" max="12829" width="13.28515625" bestFit="1" customWidth="1"/>
    <col min="12830" max="12830" width="12.140625" bestFit="1" customWidth="1"/>
    <col min="12831" max="12831" width="14.42578125" bestFit="1" customWidth="1"/>
    <col min="12832" max="12832" width="13.28515625" bestFit="1" customWidth="1"/>
    <col min="12833" max="12833" width="11.5703125" bestFit="1" customWidth="1"/>
    <col min="12834" max="12834" width="7.7109375" bestFit="1" customWidth="1"/>
    <col min="12835" max="12836" width="14.42578125" bestFit="1" customWidth="1"/>
    <col min="12837" max="12837" width="11.5703125" bestFit="1" customWidth="1"/>
    <col min="12838" max="12838" width="7.7109375" bestFit="1" customWidth="1"/>
    <col min="12839" max="12839" width="13.5703125" customWidth="1"/>
    <col min="12840" max="12840" width="15.28515625" customWidth="1"/>
    <col min="12841" max="12841" width="14.5703125" customWidth="1"/>
    <col min="12842" max="12842" width="13.28515625" bestFit="1" customWidth="1"/>
    <col min="12843" max="12843" width="7.7109375" bestFit="1" customWidth="1"/>
    <col min="12844" max="12844" width="12.7109375" bestFit="1" customWidth="1"/>
    <col min="12845" max="12845" width="11.7109375" bestFit="1" customWidth="1"/>
    <col min="12846" max="12846" width="11.5703125" bestFit="1" customWidth="1"/>
    <col min="12847" max="12847" width="5.28515625" bestFit="1" customWidth="1"/>
    <col min="12848" max="12848" width="13.28515625" bestFit="1" customWidth="1"/>
    <col min="12849" max="12849" width="13.5703125" bestFit="1" customWidth="1"/>
    <col min="12850" max="12850" width="10.5703125" bestFit="1" customWidth="1"/>
    <col min="12851" max="12851" width="13.28515625" bestFit="1" customWidth="1"/>
    <col min="12852" max="12852" width="11.5703125" bestFit="1" customWidth="1"/>
    <col min="12853" max="12853" width="10.5703125" bestFit="1" customWidth="1"/>
    <col min="12854" max="12854" width="16.140625" bestFit="1" customWidth="1"/>
    <col min="12855" max="12856" width="11.28515625" bestFit="1" customWidth="1"/>
    <col min="12857" max="12857" width="13.28515625" bestFit="1" customWidth="1"/>
    <col min="12858" max="12858" width="7.7109375" bestFit="1" customWidth="1"/>
    <col min="12859" max="12862" width="9.140625" hidden="1" customWidth="1"/>
    <col min="12863" max="12863" width="10.42578125" bestFit="1" customWidth="1"/>
    <col min="12864" max="12864" width="10.5703125" bestFit="1" customWidth="1"/>
    <col min="12865" max="12865" width="10.42578125" bestFit="1" customWidth="1"/>
    <col min="12866" max="12866" width="10.5703125" bestFit="1" customWidth="1"/>
    <col min="12867" max="12867" width="9.5703125" bestFit="1" customWidth="1"/>
    <col min="12868" max="12868" width="11.5703125" bestFit="1" customWidth="1"/>
    <col min="12869" max="12869" width="10.42578125" bestFit="1" customWidth="1"/>
    <col min="12870" max="12870" width="10.85546875" customWidth="1"/>
    <col min="12871" max="12872" width="9.85546875" bestFit="1" customWidth="1"/>
    <col min="12873" max="12873" width="13.5703125" bestFit="1" customWidth="1"/>
    <col min="12874" max="12874" width="7.7109375" bestFit="1" customWidth="1"/>
    <col min="12875" max="12875" width="13.28515625" bestFit="1" customWidth="1"/>
    <col min="12876" max="12876" width="11.5703125" bestFit="1" customWidth="1"/>
    <col min="12877" max="12877" width="10.42578125" bestFit="1" customWidth="1"/>
    <col min="12878" max="12878" width="7.7109375" bestFit="1" customWidth="1"/>
    <col min="12879" max="12879" width="11.5703125" bestFit="1" customWidth="1"/>
    <col min="12880" max="12880" width="10.85546875" bestFit="1" customWidth="1"/>
    <col min="12881" max="12881" width="13.28515625" bestFit="1" customWidth="1"/>
    <col min="12882" max="12882" width="10.85546875" bestFit="1" customWidth="1"/>
    <col min="12883" max="12884" width="7.5703125" bestFit="1" customWidth="1"/>
    <col min="12885" max="12886" width="10.42578125" bestFit="1" customWidth="1"/>
    <col min="12887" max="12887" width="11.5703125" bestFit="1" customWidth="1"/>
    <col min="12888" max="12888" width="5.28515625" bestFit="1" customWidth="1"/>
    <col min="12889" max="12889" width="10.28515625" bestFit="1" customWidth="1"/>
    <col min="12890" max="12890" width="10.42578125" bestFit="1" customWidth="1"/>
    <col min="12891" max="12891" width="11.5703125" bestFit="1" customWidth="1"/>
    <col min="12892" max="12892" width="5.28515625" bestFit="1" customWidth="1"/>
    <col min="12893" max="12895" width="11.5703125" bestFit="1" customWidth="1"/>
    <col min="12896" max="12896" width="5.28515625" bestFit="1" customWidth="1"/>
    <col min="12897" max="12898" width="10.42578125" bestFit="1" customWidth="1"/>
    <col min="12899" max="12899" width="11.5703125" bestFit="1" customWidth="1"/>
    <col min="12900" max="12900" width="5.28515625" bestFit="1" customWidth="1"/>
    <col min="12901" max="12901" width="14.28515625" bestFit="1" customWidth="1"/>
    <col min="12902" max="12902" width="13" bestFit="1" customWidth="1"/>
    <col min="12903" max="12903" width="11.5703125" bestFit="1" customWidth="1"/>
    <col min="12904" max="12904" width="8.85546875" bestFit="1" customWidth="1"/>
    <col min="12905" max="12905" width="14.42578125" bestFit="1" customWidth="1"/>
    <col min="12906" max="12906" width="10.42578125" bestFit="1" customWidth="1"/>
    <col min="12907" max="12907" width="12.28515625" bestFit="1" customWidth="1"/>
    <col min="12908" max="12908" width="13.85546875" bestFit="1" customWidth="1"/>
    <col min="12909" max="12909" width="11.28515625" customWidth="1"/>
    <col min="12910" max="12910" width="11.5703125" customWidth="1"/>
    <col min="12911" max="12911" width="13.42578125" bestFit="1" customWidth="1"/>
    <col min="12912" max="12912" width="10.42578125" customWidth="1"/>
    <col min="12913" max="12913" width="13.85546875" bestFit="1" customWidth="1"/>
    <col min="12914" max="12914" width="15.42578125" bestFit="1" customWidth="1"/>
    <col min="12915" max="12915" width="12.28515625" bestFit="1" customWidth="1"/>
    <col min="12916" max="12916" width="12.7109375" customWidth="1"/>
    <col min="12917" max="12917" width="10.7109375" bestFit="1" customWidth="1"/>
    <col min="12918" max="12918" width="9.85546875" customWidth="1"/>
    <col min="12919" max="12920" width="10.140625" bestFit="1" customWidth="1"/>
    <col min="12921" max="12921" width="7.5703125" bestFit="1" customWidth="1"/>
    <col min="12922" max="12922" width="9.42578125" bestFit="1" customWidth="1"/>
    <col min="12923" max="12923" width="14.5703125" bestFit="1" customWidth="1"/>
    <col min="12924" max="12924" width="14.85546875" customWidth="1"/>
    <col min="12925" max="12925" width="15.140625" bestFit="1" customWidth="1"/>
    <col min="12926" max="12926" width="12.140625" bestFit="1" customWidth="1"/>
    <col min="12927" max="12927" width="14.85546875" bestFit="1" customWidth="1"/>
    <col min="12928" max="12928" width="12.28515625" bestFit="1" customWidth="1"/>
    <col min="12929" max="12937" width="9.140625" hidden="1" customWidth="1"/>
    <col min="12938" max="12938" width="5.28515625" bestFit="1" customWidth="1"/>
    <col min="12939" max="12944" width="11.5703125" bestFit="1" customWidth="1"/>
    <col min="12945" max="12945" width="11.28515625" bestFit="1" customWidth="1"/>
    <col min="12946" max="12946" width="10.140625" bestFit="1" customWidth="1"/>
    <col min="12947" max="12947" width="11.5703125" bestFit="1" customWidth="1"/>
    <col min="12948" max="12948" width="16.140625" customWidth="1"/>
    <col min="12949" max="12949" width="13.42578125" customWidth="1"/>
    <col min="12950" max="12950" width="10.140625" bestFit="1" customWidth="1"/>
    <col min="12951" max="12951" width="12.85546875" bestFit="1" customWidth="1"/>
    <col min="12952" max="12952" width="12.28515625" bestFit="1" customWidth="1"/>
    <col min="12953" max="12953" width="11.28515625" bestFit="1" customWidth="1"/>
    <col min="12954" max="12954" width="11.5703125" bestFit="1" customWidth="1"/>
    <col min="12955" max="12955" width="10.85546875" bestFit="1" customWidth="1"/>
    <col min="12956" max="12956" width="11.28515625" bestFit="1" customWidth="1"/>
    <col min="12957" max="12957" width="10.140625" bestFit="1" customWidth="1"/>
    <col min="12958" max="12958" width="13.28515625" bestFit="1" customWidth="1"/>
    <col min="12959" max="12960" width="12.7109375" bestFit="1" customWidth="1"/>
    <col min="12961" max="12961" width="11" bestFit="1" customWidth="1"/>
    <col min="12962" max="12962" width="11.28515625" bestFit="1" customWidth="1"/>
    <col min="12963" max="12963" width="11.5703125" bestFit="1" customWidth="1"/>
    <col min="12964" max="12964" width="12.28515625" bestFit="1" customWidth="1"/>
    <col min="12965" max="12965" width="15.140625" bestFit="1" customWidth="1"/>
    <col min="12966" max="12966" width="14.42578125" bestFit="1" customWidth="1"/>
    <col min="12967" max="12967" width="12.28515625" bestFit="1" customWidth="1"/>
    <col min="12968" max="12968" width="15.140625" bestFit="1" customWidth="1"/>
    <col min="12969" max="12969" width="14.42578125" bestFit="1" customWidth="1"/>
    <col min="12970" max="12970" width="12.28515625" bestFit="1" customWidth="1"/>
    <col min="12971" max="12971" width="14.42578125" bestFit="1" customWidth="1"/>
    <col min="12972" max="12972" width="11.28515625" bestFit="1" customWidth="1"/>
    <col min="12973" max="12973" width="12.28515625" bestFit="1" customWidth="1"/>
    <col min="12974" max="12974" width="13" bestFit="1" customWidth="1"/>
    <col min="12975" max="12975" width="15.140625" bestFit="1" customWidth="1"/>
    <col min="12976" max="12976" width="12.28515625" bestFit="1" customWidth="1"/>
    <col min="12977" max="12977" width="13.85546875" bestFit="1" customWidth="1"/>
    <col min="12978" max="12978" width="11.28515625" bestFit="1" customWidth="1"/>
    <col min="12979" max="12979" width="12.28515625" bestFit="1" customWidth="1"/>
    <col min="12980" max="12980" width="13.85546875" bestFit="1" customWidth="1"/>
    <col min="12981" max="12982" width="15.140625" bestFit="1" customWidth="1"/>
    <col min="12983" max="12983" width="12.28515625" bestFit="1" customWidth="1"/>
    <col min="12984" max="12984" width="5.7109375" bestFit="1" customWidth="1"/>
    <col min="12985" max="12985" width="8.5703125" bestFit="1" customWidth="1"/>
    <col min="12986" max="12986" width="5.5703125" bestFit="1" customWidth="1"/>
    <col min="12987" max="12987" width="14.42578125" bestFit="1" customWidth="1"/>
    <col min="12988" max="12988" width="11.28515625" bestFit="1" customWidth="1"/>
    <col min="12989" max="12990" width="12.28515625" bestFit="1" customWidth="1"/>
    <col min="12991" max="12991" width="11.28515625" bestFit="1" customWidth="1"/>
    <col min="12992" max="12992" width="13.85546875" bestFit="1" customWidth="1"/>
    <col min="12993" max="12993" width="12" bestFit="1" customWidth="1"/>
    <col min="12994" max="12994" width="13.85546875" bestFit="1" customWidth="1"/>
    <col min="12995" max="12996" width="14.42578125" customWidth="1"/>
    <col min="12997" max="12997" width="10.140625" bestFit="1" customWidth="1"/>
    <col min="12998" max="12998" width="12.28515625" bestFit="1" customWidth="1"/>
    <col min="12999" max="12999" width="7.42578125" bestFit="1" customWidth="1"/>
    <col min="13000" max="13000" width="8.5703125" bestFit="1" customWidth="1"/>
    <col min="13001" max="13001" width="11.5703125" bestFit="1" customWidth="1"/>
    <col min="13002" max="13002" width="13.28515625" bestFit="1" customWidth="1"/>
    <col min="13003" max="13003" width="13.28515625" customWidth="1"/>
    <col min="13004" max="13004" width="13.140625" customWidth="1"/>
    <col min="13005" max="13005" width="12.7109375" bestFit="1" customWidth="1"/>
    <col min="13006" max="13006" width="13.28515625" bestFit="1" customWidth="1"/>
    <col min="13007" max="13009" width="13.28515625" customWidth="1"/>
    <col min="13010" max="13010" width="12.140625" bestFit="1" customWidth="1"/>
    <col min="13011" max="13011" width="12.7109375" bestFit="1" customWidth="1"/>
    <col min="13012" max="13012" width="11" customWidth="1"/>
    <col min="13013" max="13013" width="16.7109375" customWidth="1"/>
    <col min="13014" max="13014" width="17" customWidth="1"/>
    <col min="13015" max="13015" width="10.42578125" bestFit="1" customWidth="1"/>
    <col min="13059" max="13059" width="3.85546875" customWidth="1"/>
    <col min="13060" max="13060" width="15.28515625" bestFit="1" customWidth="1"/>
    <col min="13061" max="13061" width="12.28515625" customWidth="1"/>
    <col min="13062" max="13062" width="16.28515625" bestFit="1" customWidth="1"/>
    <col min="13063" max="13063" width="6.42578125" bestFit="1" customWidth="1"/>
    <col min="13064" max="13064" width="9.28515625" bestFit="1" customWidth="1"/>
    <col min="13065" max="13065" width="7.5703125" bestFit="1" customWidth="1"/>
    <col min="13066" max="13066" width="13.28515625" bestFit="1" customWidth="1"/>
    <col min="13067" max="13067" width="9.28515625" bestFit="1" customWidth="1"/>
    <col min="13068" max="13068" width="11.5703125" bestFit="1" customWidth="1"/>
    <col min="13069" max="13069" width="13.28515625" bestFit="1" customWidth="1"/>
    <col min="13070" max="13070" width="7.140625" bestFit="1" customWidth="1"/>
    <col min="13071" max="13071" width="12" bestFit="1" customWidth="1"/>
    <col min="13072" max="13072" width="13.28515625" bestFit="1" customWidth="1"/>
    <col min="13073" max="13073" width="7" bestFit="1" customWidth="1"/>
    <col min="13074" max="13074" width="12.7109375" bestFit="1" customWidth="1"/>
    <col min="13075" max="13075" width="11.5703125" bestFit="1" customWidth="1"/>
    <col min="13076" max="13076" width="10.5703125" bestFit="1" customWidth="1"/>
    <col min="13077" max="13078" width="15.7109375" bestFit="1" customWidth="1"/>
    <col min="13079" max="13079" width="11.5703125" bestFit="1" customWidth="1"/>
    <col min="13080" max="13080" width="7.7109375" bestFit="1" customWidth="1"/>
    <col min="13081" max="13081" width="15.140625" bestFit="1" customWidth="1"/>
    <col min="13082" max="13082" width="11.5703125" bestFit="1" customWidth="1"/>
    <col min="13083" max="13083" width="13.28515625" bestFit="1" customWidth="1"/>
    <col min="13084" max="13084" width="10.42578125" bestFit="1" customWidth="1"/>
    <col min="13085" max="13085" width="13.28515625" bestFit="1" customWidth="1"/>
    <col min="13086" max="13086" width="12.140625" bestFit="1" customWidth="1"/>
    <col min="13087" max="13087" width="14.42578125" bestFit="1" customWidth="1"/>
    <col min="13088" max="13088" width="13.28515625" bestFit="1" customWidth="1"/>
    <col min="13089" max="13089" width="11.5703125" bestFit="1" customWidth="1"/>
    <col min="13090" max="13090" width="7.7109375" bestFit="1" customWidth="1"/>
    <col min="13091" max="13092" width="14.42578125" bestFit="1" customWidth="1"/>
    <col min="13093" max="13093" width="11.5703125" bestFit="1" customWidth="1"/>
    <col min="13094" max="13094" width="7.7109375" bestFit="1" customWidth="1"/>
    <col min="13095" max="13095" width="13.5703125" customWidth="1"/>
    <col min="13096" max="13096" width="15.28515625" customWidth="1"/>
    <col min="13097" max="13097" width="14.5703125" customWidth="1"/>
    <col min="13098" max="13098" width="13.28515625" bestFit="1" customWidth="1"/>
    <col min="13099" max="13099" width="7.7109375" bestFit="1" customWidth="1"/>
    <col min="13100" max="13100" width="12.7109375" bestFit="1" customWidth="1"/>
    <col min="13101" max="13101" width="11.7109375" bestFit="1" customWidth="1"/>
    <col min="13102" max="13102" width="11.5703125" bestFit="1" customWidth="1"/>
    <col min="13103" max="13103" width="5.28515625" bestFit="1" customWidth="1"/>
    <col min="13104" max="13104" width="13.28515625" bestFit="1" customWidth="1"/>
    <col min="13105" max="13105" width="13.5703125" bestFit="1" customWidth="1"/>
    <col min="13106" max="13106" width="10.5703125" bestFit="1" customWidth="1"/>
    <col min="13107" max="13107" width="13.28515625" bestFit="1" customWidth="1"/>
    <col min="13108" max="13108" width="11.5703125" bestFit="1" customWidth="1"/>
    <col min="13109" max="13109" width="10.5703125" bestFit="1" customWidth="1"/>
    <col min="13110" max="13110" width="16.140625" bestFit="1" customWidth="1"/>
    <col min="13111" max="13112" width="11.28515625" bestFit="1" customWidth="1"/>
    <col min="13113" max="13113" width="13.28515625" bestFit="1" customWidth="1"/>
    <col min="13114" max="13114" width="7.7109375" bestFit="1" customWidth="1"/>
    <col min="13115" max="13118" width="9.140625" hidden="1" customWidth="1"/>
    <col min="13119" max="13119" width="10.42578125" bestFit="1" customWidth="1"/>
    <col min="13120" max="13120" width="10.5703125" bestFit="1" customWidth="1"/>
    <col min="13121" max="13121" width="10.42578125" bestFit="1" customWidth="1"/>
    <col min="13122" max="13122" width="10.5703125" bestFit="1" customWidth="1"/>
    <col min="13123" max="13123" width="9.5703125" bestFit="1" customWidth="1"/>
    <col min="13124" max="13124" width="11.5703125" bestFit="1" customWidth="1"/>
    <col min="13125" max="13125" width="10.42578125" bestFit="1" customWidth="1"/>
    <col min="13126" max="13126" width="10.85546875" customWidth="1"/>
    <col min="13127" max="13128" width="9.85546875" bestFit="1" customWidth="1"/>
    <col min="13129" max="13129" width="13.5703125" bestFit="1" customWidth="1"/>
    <col min="13130" max="13130" width="7.7109375" bestFit="1" customWidth="1"/>
    <col min="13131" max="13131" width="13.28515625" bestFit="1" customWidth="1"/>
    <col min="13132" max="13132" width="11.5703125" bestFit="1" customWidth="1"/>
    <col min="13133" max="13133" width="10.42578125" bestFit="1" customWidth="1"/>
    <col min="13134" max="13134" width="7.7109375" bestFit="1" customWidth="1"/>
    <col min="13135" max="13135" width="11.5703125" bestFit="1" customWidth="1"/>
    <col min="13136" max="13136" width="10.85546875" bestFit="1" customWidth="1"/>
    <col min="13137" max="13137" width="13.28515625" bestFit="1" customWidth="1"/>
    <col min="13138" max="13138" width="10.85546875" bestFit="1" customWidth="1"/>
    <col min="13139" max="13140" width="7.5703125" bestFit="1" customWidth="1"/>
    <col min="13141" max="13142" width="10.42578125" bestFit="1" customWidth="1"/>
    <col min="13143" max="13143" width="11.5703125" bestFit="1" customWidth="1"/>
    <col min="13144" max="13144" width="5.28515625" bestFit="1" customWidth="1"/>
    <col min="13145" max="13145" width="10.28515625" bestFit="1" customWidth="1"/>
    <col min="13146" max="13146" width="10.42578125" bestFit="1" customWidth="1"/>
    <col min="13147" max="13147" width="11.5703125" bestFit="1" customWidth="1"/>
    <col min="13148" max="13148" width="5.28515625" bestFit="1" customWidth="1"/>
    <col min="13149" max="13151" width="11.5703125" bestFit="1" customWidth="1"/>
    <col min="13152" max="13152" width="5.28515625" bestFit="1" customWidth="1"/>
    <col min="13153" max="13154" width="10.42578125" bestFit="1" customWidth="1"/>
    <col min="13155" max="13155" width="11.5703125" bestFit="1" customWidth="1"/>
    <col min="13156" max="13156" width="5.28515625" bestFit="1" customWidth="1"/>
    <col min="13157" max="13157" width="14.28515625" bestFit="1" customWidth="1"/>
    <col min="13158" max="13158" width="13" bestFit="1" customWidth="1"/>
    <col min="13159" max="13159" width="11.5703125" bestFit="1" customWidth="1"/>
    <col min="13160" max="13160" width="8.85546875" bestFit="1" customWidth="1"/>
    <col min="13161" max="13161" width="14.42578125" bestFit="1" customWidth="1"/>
    <col min="13162" max="13162" width="10.42578125" bestFit="1" customWidth="1"/>
    <col min="13163" max="13163" width="12.28515625" bestFit="1" customWidth="1"/>
    <col min="13164" max="13164" width="13.85546875" bestFit="1" customWidth="1"/>
    <col min="13165" max="13165" width="11.28515625" customWidth="1"/>
    <col min="13166" max="13166" width="11.5703125" customWidth="1"/>
    <col min="13167" max="13167" width="13.42578125" bestFit="1" customWidth="1"/>
    <col min="13168" max="13168" width="10.42578125" customWidth="1"/>
    <col min="13169" max="13169" width="13.85546875" bestFit="1" customWidth="1"/>
    <col min="13170" max="13170" width="15.42578125" bestFit="1" customWidth="1"/>
    <col min="13171" max="13171" width="12.28515625" bestFit="1" customWidth="1"/>
    <col min="13172" max="13172" width="12.7109375" customWidth="1"/>
    <col min="13173" max="13173" width="10.7109375" bestFit="1" customWidth="1"/>
    <col min="13174" max="13174" width="9.85546875" customWidth="1"/>
    <col min="13175" max="13176" width="10.140625" bestFit="1" customWidth="1"/>
    <col min="13177" max="13177" width="7.5703125" bestFit="1" customWidth="1"/>
    <col min="13178" max="13178" width="9.42578125" bestFit="1" customWidth="1"/>
    <col min="13179" max="13179" width="14.5703125" bestFit="1" customWidth="1"/>
    <col min="13180" max="13180" width="14.85546875" customWidth="1"/>
    <col min="13181" max="13181" width="15.140625" bestFit="1" customWidth="1"/>
    <col min="13182" max="13182" width="12.140625" bestFit="1" customWidth="1"/>
    <col min="13183" max="13183" width="14.85546875" bestFit="1" customWidth="1"/>
    <col min="13184" max="13184" width="12.28515625" bestFit="1" customWidth="1"/>
    <col min="13185" max="13193" width="9.140625" hidden="1" customWidth="1"/>
    <col min="13194" max="13194" width="5.28515625" bestFit="1" customWidth="1"/>
    <col min="13195" max="13200" width="11.5703125" bestFit="1" customWidth="1"/>
    <col min="13201" max="13201" width="11.28515625" bestFit="1" customWidth="1"/>
    <col min="13202" max="13202" width="10.140625" bestFit="1" customWidth="1"/>
    <col min="13203" max="13203" width="11.5703125" bestFit="1" customWidth="1"/>
    <col min="13204" max="13204" width="16.140625" customWidth="1"/>
    <col min="13205" max="13205" width="13.42578125" customWidth="1"/>
    <col min="13206" max="13206" width="10.140625" bestFit="1" customWidth="1"/>
    <col min="13207" max="13207" width="12.85546875" bestFit="1" customWidth="1"/>
    <col min="13208" max="13208" width="12.28515625" bestFit="1" customWidth="1"/>
    <col min="13209" max="13209" width="11.28515625" bestFit="1" customWidth="1"/>
    <col min="13210" max="13210" width="11.5703125" bestFit="1" customWidth="1"/>
    <col min="13211" max="13211" width="10.85546875" bestFit="1" customWidth="1"/>
    <col min="13212" max="13212" width="11.28515625" bestFit="1" customWidth="1"/>
    <col min="13213" max="13213" width="10.140625" bestFit="1" customWidth="1"/>
    <col min="13214" max="13214" width="13.28515625" bestFit="1" customWidth="1"/>
    <col min="13215" max="13216" width="12.7109375" bestFit="1" customWidth="1"/>
    <col min="13217" max="13217" width="11" bestFit="1" customWidth="1"/>
    <col min="13218" max="13218" width="11.28515625" bestFit="1" customWidth="1"/>
    <col min="13219" max="13219" width="11.5703125" bestFit="1" customWidth="1"/>
    <col min="13220" max="13220" width="12.28515625" bestFit="1" customWidth="1"/>
    <col min="13221" max="13221" width="15.140625" bestFit="1" customWidth="1"/>
    <col min="13222" max="13222" width="14.42578125" bestFit="1" customWidth="1"/>
    <col min="13223" max="13223" width="12.28515625" bestFit="1" customWidth="1"/>
    <col min="13224" max="13224" width="15.140625" bestFit="1" customWidth="1"/>
    <col min="13225" max="13225" width="14.42578125" bestFit="1" customWidth="1"/>
    <col min="13226" max="13226" width="12.28515625" bestFit="1" customWidth="1"/>
    <col min="13227" max="13227" width="14.42578125" bestFit="1" customWidth="1"/>
    <col min="13228" max="13228" width="11.28515625" bestFit="1" customWidth="1"/>
    <col min="13229" max="13229" width="12.28515625" bestFit="1" customWidth="1"/>
    <col min="13230" max="13230" width="13" bestFit="1" customWidth="1"/>
    <col min="13231" max="13231" width="15.140625" bestFit="1" customWidth="1"/>
    <col min="13232" max="13232" width="12.28515625" bestFit="1" customWidth="1"/>
    <col min="13233" max="13233" width="13.85546875" bestFit="1" customWidth="1"/>
    <col min="13234" max="13234" width="11.28515625" bestFit="1" customWidth="1"/>
    <col min="13235" max="13235" width="12.28515625" bestFit="1" customWidth="1"/>
    <col min="13236" max="13236" width="13.85546875" bestFit="1" customWidth="1"/>
    <col min="13237" max="13238" width="15.140625" bestFit="1" customWidth="1"/>
    <col min="13239" max="13239" width="12.28515625" bestFit="1" customWidth="1"/>
    <col min="13240" max="13240" width="5.7109375" bestFit="1" customWidth="1"/>
    <col min="13241" max="13241" width="8.5703125" bestFit="1" customWidth="1"/>
    <col min="13242" max="13242" width="5.5703125" bestFit="1" customWidth="1"/>
    <col min="13243" max="13243" width="14.42578125" bestFit="1" customWidth="1"/>
    <col min="13244" max="13244" width="11.28515625" bestFit="1" customWidth="1"/>
    <col min="13245" max="13246" width="12.28515625" bestFit="1" customWidth="1"/>
    <col min="13247" max="13247" width="11.28515625" bestFit="1" customWidth="1"/>
    <col min="13248" max="13248" width="13.85546875" bestFit="1" customWidth="1"/>
    <col min="13249" max="13249" width="12" bestFit="1" customWidth="1"/>
    <col min="13250" max="13250" width="13.85546875" bestFit="1" customWidth="1"/>
    <col min="13251" max="13252" width="14.42578125" customWidth="1"/>
    <col min="13253" max="13253" width="10.140625" bestFit="1" customWidth="1"/>
    <col min="13254" max="13254" width="12.28515625" bestFit="1" customWidth="1"/>
    <col min="13255" max="13255" width="7.42578125" bestFit="1" customWidth="1"/>
    <col min="13256" max="13256" width="8.5703125" bestFit="1" customWidth="1"/>
    <col min="13257" max="13257" width="11.5703125" bestFit="1" customWidth="1"/>
    <col min="13258" max="13258" width="13.28515625" bestFit="1" customWidth="1"/>
    <col min="13259" max="13259" width="13.28515625" customWidth="1"/>
    <col min="13260" max="13260" width="13.140625" customWidth="1"/>
    <col min="13261" max="13261" width="12.7109375" bestFit="1" customWidth="1"/>
    <col min="13262" max="13262" width="13.28515625" bestFit="1" customWidth="1"/>
    <col min="13263" max="13265" width="13.28515625" customWidth="1"/>
    <col min="13266" max="13266" width="12.140625" bestFit="1" customWidth="1"/>
    <col min="13267" max="13267" width="12.7109375" bestFit="1" customWidth="1"/>
    <col min="13268" max="13268" width="11" customWidth="1"/>
    <col min="13269" max="13269" width="16.7109375" customWidth="1"/>
    <col min="13270" max="13270" width="17" customWidth="1"/>
    <col min="13271" max="13271" width="10.42578125" bestFit="1" customWidth="1"/>
    <col min="13315" max="13315" width="3.85546875" customWidth="1"/>
    <col min="13316" max="13316" width="15.28515625" bestFit="1" customWidth="1"/>
    <col min="13317" max="13317" width="12.28515625" customWidth="1"/>
    <col min="13318" max="13318" width="16.28515625" bestFit="1" customWidth="1"/>
    <col min="13319" max="13319" width="6.42578125" bestFit="1" customWidth="1"/>
    <col min="13320" max="13320" width="9.28515625" bestFit="1" customWidth="1"/>
    <col min="13321" max="13321" width="7.5703125" bestFit="1" customWidth="1"/>
    <col min="13322" max="13322" width="13.28515625" bestFit="1" customWidth="1"/>
    <col min="13323" max="13323" width="9.28515625" bestFit="1" customWidth="1"/>
    <col min="13324" max="13324" width="11.5703125" bestFit="1" customWidth="1"/>
    <col min="13325" max="13325" width="13.28515625" bestFit="1" customWidth="1"/>
    <col min="13326" max="13326" width="7.140625" bestFit="1" customWidth="1"/>
    <col min="13327" max="13327" width="12" bestFit="1" customWidth="1"/>
    <col min="13328" max="13328" width="13.28515625" bestFit="1" customWidth="1"/>
    <col min="13329" max="13329" width="7" bestFit="1" customWidth="1"/>
    <col min="13330" max="13330" width="12.7109375" bestFit="1" customWidth="1"/>
    <col min="13331" max="13331" width="11.5703125" bestFit="1" customWidth="1"/>
    <col min="13332" max="13332" width="10.5703125" bestFit="1" customWidth="1"/>
    <col min="13333" max="13334" width="15.7109375" bestFit="1" customWidth="1"/>
    <col min="13335" max="13335" width="11.5703125" bestFit="1" customWidth="1"/>
    <col min="13336" max="13336" width="7.7109375" bestFit="1" customWidth="1"/>
    <col min="13337" max="13337" width="15.140625" bestFit="1" customWidth="1"/>
    <col min="13338" max="13338" width="11.5703125" bestFit="1" customWidth="1"/>
    <col min="13339" max="13339" width="13.28515625" bestFit="1" customWidth="1"/>
    <col min="13340" max="13340" width="10.42578125" bestFit="1" customWidth="1"/>
    <col min="13341" max="13341" width="13.28515625" bestFit="1" customWidth="1"/>
    <col min="13342" max="13342" width="12.140625" bestFit="1" customWidth="1"/>
    <col min="13343" max="13343" width="14.42578125" bestFit="1" customWidth="1"/>
    <col min="13344" max="13344" width="13.28515625" bestFit="1" customWidth="1"/>
    <col min="13345" max="13345" width="11.5703125" bestFit="1" customWidth="1"/>
    <col min="13346" max="13346" width="7.7109375" bestFit="1" customWidth="1"/>
    <col min="13347" max="13348" width="14.42578125" bestFit="1" customWidth="1"/>
    <col min="13349" max="13349" width="11.5703125" bestFit="1" customWidth="1"/>
    <col min="13350" max="13350" width="7.7109375" bestFit="1" customWidth="1"/>
    <col min="13351" max="13351" width="13.5703125" customWidth="1"/>
    <col min="13352" max="13352" width="15.28515625" customWidth="1"/>
    <col min="13353" max="13353" width="14.5703125" customWidth="1"/>
    <col min="13354" max="13354" width="13.28515625" bestFit="1" customWidth="1"/>
    <col min="13355" max="13355" width="7.7109375" bestFit="1" customWidth="1"/>
    <col min="13356" max="13356" width="12.7109375" bestFit="1" customWidth="1"/>
    <col min="13357" max="13357" width="11.7109375" bestFit="1" customWidth="1"/>
    <col min="13358" max="13358" width="11.5703125" bestFit="1" customWidth="1"/>
    <col min="13359" max="13359" width="5.28515625" bestFit="1" customWidth="1"/>
    <col min="13360" max="13360" width="13.28515625" bestFit="1" customWidth="1"/>
    <col min="13361" max="13361" width="13.5703125" bestFit="1" customWidth="1"/>
    <col min="13362" max="13362" width="10.5703125" bestFit="1" customWidth="1"/>
    <col min="13363" max="13363" width="13.28515625" bestFit="1" customWidth="1"/>
    <col min="13364" max="13364" width="11.5703125" bestFit="1" customWidth="1"/>
    <col min="13365" max="13365" width="10.5703125" bestFit="1" customWidth="1"/>
    <col min="13366" max="13366" width="16.140625" bestFit="1" customWidth="1"/>
    <col min="13367" max="13368" width="11.28515625" bestFit="1" customWidth="1"/>
    <col min="13369" max="13369" width="13.28515625" bestFit="1" customWidth="1"/>
    <col min="13370" max="13370" width="7.7109375" bestFit="1" customWidth="1"/>
    <col min="13371" max="13374" width="9.140625" hidden="1" customWidth="1"/>
    <col min="13375" max="13375" width="10.42578125" bestFit="1" customWidth="1"/>
    <col min="13376" max="13376" width="10.5703125" bestFit="1" customWidth="1"/>
    <col min="13377" max="13377" width="10.42578125" bestFit="1" customWidth="1"/>
    <col min="13378" max="13378" width="10.5703125" bestFit="1" customWidth="1"/>
    <col min="13379" max="13379" width="9.5703125" bestFit="1" customWidth="1"/>
    <col min="13380" max="13380" width="11.5703125" bestFit="1" customWidth="1"/>
    <col min="13381" max="13381" width="10.42578125" bestFit="1" customWidth="1"/>
    <col min="13382" max="13382" width="10.85546875" customWidth="1"/>
    <col min="13383" max="13384" width="9.85546875" bestFit="1" customWidth="1"/>
    <col min="13385" max="13385" width="13.5703125" bestFit="1" customWidth="1"/>
    <col min="13386" max="13386" width="7.7109375" bestFit="1" customWidth="1"/>
    <col min="13387" max="13387" width="13.28515625" bestFit="1" customWidth="1"/>
    <col min="13388" max="13388" width="11.5703125" bestFit="1" customWidth="1"/>
    <col min="13389" max="13389" width="10.42578125" bestFit="1" customWidth="1"/>
    <col min="13390" max="13390" width="7.7109375" bestFit="1" customWidth="1"/>
    <col min="13391" max="13391" width="11.5703125" bestFit="1" customWidth="1"/>
    <col min="13392" max="13392" width="10.85546875" bestFit="1" customWidth="1"/>
    <col min="13393" max="13393" width="13.28515625" bestFit="1" customWidth="1"/>
    <col min="13394" max="13394" width="10.85546875" bestFit="1" customWidth="1"/>
    <col min="13395" max="13396" width="7.5703125" bestFit="1" customWidth="1"/>
    <col min="13397" max="13398" width="10.42578125" bestFit="1" customWidth="1"/>
    <col min="13399" max="13399" width="11.5703125" bestFit="1" customWidth="1"/>
    <col min="13400" max="13400" width="5.28515625" bestFit="1" customWidth="1"/>
    <col min="13401" max="13401" width="10.28515625" bestFit="1" customWidth="1"/>
    <col min="13402" max="13402" width="10.42578125" bestFit="1" customWidth="1"/>
    <col min="13403" max="13403" width="11.5703125" bestFit="1" customWidth="1"/>
    <col min="13404" max="13404" width="5.28515625" bestFit="1" customWidth="1"/>
    <col min="13405" max="13407" width="11.5703125" bestFit="1" customWidth="1"/>
    <col min="13408" max="13408" width="5.28515625" bestFit="1" customWidth="1"/>
    <col min="13409" max="13410" width="10.42578125" bestFit="1" customWidth="1"/>
    <col min="13411" max="13411" width="11.5703125" bestFit="1" customWidth="1"/>
    <col min="13412" max="13412" width="5.28515625" bestFit="1" customWidth="1"/>
    <col min="13413" max="13413" width="14.28515625" bestFit="1" customWidth="1"/>
    <col min="13414" max="13414" width="13" bestFit="1" customWidth="1"/>
    <col min="13415" max="13415" width="11.5703125" bestFit="1" customWidth="1"/>
    <col min="13416" max="13416" width="8.85546875" bestFit="1" customWidth="1"/>
    <col min="13417" max="13417" width="14.42578125" bestFit="1" customWidth="1"/>
    <col min="13418" max="13418" width="10.42578125" bestFit="1" customWidth="1"/>
    <col min="13419" max="13419" width="12.28515625" bestFit="1" customWidth="1"/>
    <col min="13420" max="13420" width="13.85546875" bestFit="1" customWidth="1"/>
    <col min="13421" max="13421" width="11.28515625" customWidth="1"/>
    <col min="13422" max="13422" width="11.5703125" customWidth="1"/>
    <col min="13423" max="13423" width="13.42578125" bestFit="1" customWidth="1"/>
    <col min="13424" max="13424" width="10.42578125" customWidth="1"/>
    <col min="13425" max="13425" width="13.85546875" bestFit="1" customWidth="1"/>
    <col min="13426" max="13426" width="15.42578125" bestFit="1" customWidth="1"/>
    <col min="13427" max="13427" width="12.28515625" bestFit="1" customWidth="1"/>
    <col min="13428" max="13428" width="12.7109375" customWidth="1"/>
    <col min="13429" max="13429" width="10.7109375" bestFit="1" customWidth="1"/>
    <col min="13430" max="13430" width="9.85546875" customWidth="1"/>
    <col min="13431" max="13432" width="10.140625" bestFit="1" customWidth="1"/>
    <col min="13433" max="13433" width="7.5703125" bestFit="1" customWidth="1"/>
    <col min="13434" max="13434" width="9.42578125" bestFit="1" customWidth="1"/>
    <col min="13435" max="13435" width="14.5703125" bestFit="1" customWidth="1"/>
    <col min="13436" max="13436" width="14.85546875" customWidth="1"/>
    <col min="13437" max="13437" width="15.140625" bestFit="1" customWidth="1"/>
    <col min="13438" max="13438" width="12.140625" bestFit="1" customWidth="1"/>
    <col min="13439" max="13439" width="14.85546875" bestFit="1" customWidth="1"/>
    <col min="13440" max="13440" width="12.28515625" bestFit="1" customWidth="1"/>
    <col min="13441" max="13449" width="9.140625" hidden="1" customWidth="1"/>
    <col min="13450" max="13450" width="5.28515625" bestFit="1" customWidth="1"/>
    <col min="13451" max="13456" width="11.5703125" bestFit="1" customWidth="1"/>
    <col min="13457" max="13457" width="11.28515625" bestFit="1" customWidth="1"/>
    <col min="13458" max="13458" width="10.140625" bestFit="1" customWidth="1"/>
    <col min="13459" max="13459" width="11.5703125" bestFit="1" customWidth="1"/>
    <col min="13460" max="13460" width="16.140625" customWidth="1"/>
    <col min="13461" max="13461" width="13.42578125" customWidth="1"/>
    <col min="13462" max="13462" width="10.140625" bestFit="1" customWidth="1"/>
    <col min="13463" max="13463" width="12.85546875" bestFit="1" customWidth="1"/>
    <col min="13464" max="13464" width="12.28515625" bestFit="1" customWidth="1"/>
    <col min="13465" max="13465" width="11.28515625" bestFit="1" customWidth="1"/>
    <col min="13466" max="13466" width="11.5703125" bestFit="1" customWidth="1"/>
    <col min="13467" max="13467" width="10.85546875" bestFit="1" customWidth="1"/>
    <col min="13468" max="13468" width="11.28515625" bestFit="1" customWidth="1"/>
    <col min="13469" max="13469" width="10.140625" bestFit="1" customWidth="1"/>
    <col min="13470" max="13470" width="13.28515625" bestFit="1" customWidth="1"/>
    <col min="13471" max="13472" width="12.7109375" bestFit="1" customWidth="1"/>
    <col min="13473" max="13473" width="11" bestFit="1" customWidth="1"/>
    <col min="13474" max="13474" width="11.28515625" bestFit="1" customWidth="1"/>
    <col min="13475" max="13475" width="11.5703125" bestFit="1" customWidth="1"/>
    <col min="13476" max="13476" width="12.28515625" bestFit="1" customWidth="1"/>
    <col min="13477" max="13477" width="15.140625" bestFit="1" customWidth="1"/>
    <col min="13478" max="13478" width="14.42578125" bestFit="1" customWidth="1"/>
    <col min="13479" max="13479" width="12.28515625" bestFit="1" customWidth="1"/>
    <col min="13480" max="13480" width="15.140625" bestFit="1" customWidth="1"/>
    <col min="13481" max="13481" width="14.42578125" bestFit="1" customWidth="1"/>
    <col min="13482" max="13482" width="12.28515625" bestFit="1" customWidth="1"/>
    <col min="13483" max="13483" width="14.42578125" bestFit="1" customWidth="1"/>
    <col min="13484" max="13484" width="11.28515625" bestFit="1" customWidth="1"/>
    <col min="13485" max="13485" width="12.28515625" bestFit="1" customWidth="1"/>
    <col min="13486" max="13486" width="13" bestFit="1" customWidth="1"/>
    <col min="13487" max="13487" width="15.140625" bestFit="1" customWidth="1"/>
    <col min="13488" max="13488" width="12.28515625" bestFit="1" customWidth="1"/>
    <col min="13489" max="13489" width="13.85546875" bestFit="1" customWidth="1"/>
    <col min="13490" max="13490" width="11.28515625" bestFit="1" customWidth="1"/>
    <col min="13491" max="13491" width="12.28515625" bestFit="1" customWidth="1"/>
    <col min="13492" max="13492" width="13.85546875" bestFit="1" customWidth="1"/>
    <col min="13493" max="13494" width="15.140625" bestFit="1" customWidth="1"/>
    <col min="13495" max="13495" width="12.28515625" bestFit="1" customWidth="1"/>
    <col min="13496" max="13496" width="5.7109375" bestFit="1" customWidth="1"/>
    <col min="13497" max="13497" width="8.5703125" bestFit="1" customWidth="1"/>
    <col min="13498" max="13498" width="5.5703125" bestFit="1" customWidth="1"/>
    <col min="13499" max="13499" width="14.42578125" bestFit="1" customWidth="1"/>
    <col min="13500" max="13500" width="11.28515625" bestFit="1" customWidth="1"/>
    <col min="13501" max="13502" width="12.28515625" bestFit="1" customWidth="1"/>
    <col min="13503" max="13503" width="11.28515625" bestFit="1" customWidth="1"/>
    <col min="13504" max="13504" width="13.85546875" bestFit="1" customWidth="1"/>
    <col min="13505" max="13505" width="12" bestFit="1" customWidth="1"/>
    <col min="13506" max="13506" width="13.85546875" bestFit="1" customWidth="1"/>
    <col min="13507" max="13508" width="14.42578125" customWidth="1"/>
    <col min="13509" max="13509" width="10.140625" bestFit="1" customWidth="1"/>
    <col min="13510" max="13510" width="12.28515625" bestFit="1" customWidth="1"/>
    <col min="13511" max="13511" width="7.42578125" bestFit="1" customWidth="1"/>
    <col min="13512" max="13512" width="8.5703125" bestFit="1" customWidth="1"/>
    <col min="13513" max="13513" width="11.5703125" bestFit="1" customWidth="1"/>
    <col min="13514" max="13514" width="13.28515625" bestFit="1" customWidth="1"/>
    <col min="13515" max="13515" width="13.28515625" customWidth="1"/>
    <col min="13516" max="13516" width="13.140625" customWidth="1"/>
    <col min="13517" max="13517" width="12.7109375" bestFit="1" customWidth="1"/>
    <col min="13518" max="13518" width="13.28515625" bestFit="1" customWidth="1"/>
    <col min="13519" max="13521" width="13.28515625" customWidth="1"/>
    <col min="13522" max="13522" width="12.140625" bestFit="1" customWidth="1"/>
    <col min="13523" max="13523" width="12.7109375" bestFit="1" customWidth="1"/>
    <col min="13524" max="13524" width="11" customWidth="1"/>
    <col min="13525" max="13525" width="16.7109375" customWidth="1"/>
    <col min="13526" max="13526" width="17" customWidth="1"/>
    <col min="13527" max="13527" width="10.42578125" bestFit="1" customWidth="1"/>
    <col min="13571" max="13571" width="3.85546875" customWidth="1"/>
    <col min="13572" max="13572" width="15.28515625" bestFit="1" customWidth="1"/>
    <col min="13573" max="13573" width="12.28515625" customWidth="1"/>
    <col min="13574" max="13574" width="16.28515625" bestFit="1" customWidth="1"/>
    <col min="13575" max="13575" width="6.42578125" bestFit="1" customWidth="1"/>
    <col min="13576" max="13576" width="9.28515625" bestFit="1" customWidth="1"/>
    <col min="13577" max="13577" width="7.5703125" bestFit="1" customWidth="1"/>
    <col min="13578" max="13578" width="13.28515625" bestFit="1" customWidth="1"/>
    <col min="13579" max="13579" width="9.28515625" bestFit="1" customWidth="1"/>
    <col min="13580" max="13580" width="11.5703125" bestFit="1" customWidth="1"/>
    <col min="13581" max="13581" width="13.28515625" bestFit="1" customWidth="1"/>
    <col min="13582" max="13582" width="7.140625" bestFit="1" customWidth="1"/>
    <col min="13583" max="13583" width="12" bestFit="1" customWidth="1"/>
    <col min="13584" max="13584" width="13.28515625" bestFit="1" customWidth="1"/>
    <col min="13585" max="13585" width="7" bestFit="1" customWidth="1"/>
    <col min="13586" max="13586" width="12.7109375" bestFit="1" customWidth="1"/>
    <col min="13587" max="13587" width="11.5703125" bestFit="1" customWidth="1"/>
    <col min="13588" max="13588" width="10.5703125" bestFit="1" customWidth="1"/>
    <col min="13589" max="13590" width="15.7109375" bestFit="1" customWidth="1"/>
    <col min="13591" max="13591" width="11.5703125" bestFit="1" customWidth="1"/>
    <col min="13592" max="13592" width="7.7109375" bestFit="1" customWidth="1"/>
    <col min="13593" max="13593" width="15.140625" bestFit="1" customWidth="1"/>
    <col min="13594" max="13594" width="11.5703125" bestFit="1" customWidth="1"/>
    <col min="13595" max="13595" width="13.28515625" bestFit="1" customWidth="1"/>
    <col min="13596" max="13596" width="10.42578125" bestFit="1" customWidth="1"/>
    <col min="13597" max="13597" width="13.28515625" bestFit="1" customWidth="1"/>
    <col min="13598" max="13598" width="12.140625" bestFit="1" customWidth="1"/>
    <col min="13599" max="13599" width="14.42578125" bestFit="1" customWidth="1"/>
    <col min="13600" max="13600" width="13.28515625" bestFit="1" customWidth="1"/>
    <col min="13601" max="13601" width="11.5703125" bestFit="1" customWidth="1"/>
    <col min="13602" max="13602" width="7.7109375" bestFit="1" customWidth="1"/>
    <col min="13603" max="13604" width="14.42578125" bestFit="1" customWidth="1"/>
    <col min="13605" max="13605" width="11.5703125" bestFit="1" customWidth="1"/>
    <col min="13606" max="13606" width="7.7109375" bestFit="1" customWidth="1"/>
    <col min="13607" max="13607" width="13.5703125" customWidth="1"/>
    <col min="13608" max="13608" width="15.28515625" customWidth="1"/>
    <col min="13609" max="13609" width="14.5703125" customWidth="1"/>
    <col min="13610" max="13610" width="13.28515625" bestFit="1" customWidth="1"/>
    <col min="13611" max="13611" width="7.7109375" bestFit="1" customWidth="1"/>
    <col min="13612" max="13612" width="12.7109375" bestFit="1" customWidth="1"/>
    <col min="13613" max="13613" width="11.7109375" bestFit="1" customWidth="1"/>
    <col min="13614" max="13614" width="11.5703125" bestFit="1" customWidth="1"/>
    <col min="13615" max="13615" width="5.28515625" bestFit="1" customWidth="1"/>
    <col min="13616" max="13616" width="13.28515625" bestFit="1" customWidth="1"/>
    <col min="13617" max="13617" width="13.5703125" bestFit="1" customWidth="1"/>
    <col min="13618" max="13618" width="10.5703125" bestFit="1" customWidth="1"/>
    <col min="13619" max="13619" width="13.28515625" bestFit="1" customWidth="1"/>
    <col min="13620" max="13620" width="11.5703125" bestFit="1" customWidth="1"/>
    <col min="13621" max="13621" width="10.5703125" bestFit="1" customWidth="1"/>
    <col min="13622" max="13622" width="16.140625" bestFit="1" customWidth="1"/>
    <col min="13623" max="13624" width="11.28515625" bestFit="1" customWidth="1"/>
    <col min="13625" max="13625" width="13.28515625" bestFit="1" customWidth="1"/>
    <col min="13626" max="13626" width="7.7109375" bestFit="1" customWidth="1"/>
    <col min="13627" max="13630" width="9.140625" hidden="1" customWidth="1"/>
    <col min="13631" max="13631" width="10.42578125" bestFit="1" customWidth="1"/>
    <col min="13632" max="13632" width="10.5703125" bestFit="1" customWidth="1"/>
    <col min="13633" max="13633" width="10.42578125" bestFit="1" customWidth="1"/>
    <col min="13634" max="13634" width="10.5703125" bestFit="1" customWidth="1"/>
    <col min="13635" max="13635" width="9.5703125" bestFit="1" customWidth="1"/>
    <col min="13636" max="13636" width="11.5703125" bestFit="1" customWidth="1"/>
    <col min="13637" max="13637" width="10.42578125" bestFit="1" customWidth="1"/>
    <col min="13638" max="13638" width="10.85546875" customWidth="1"/>
    <col min="13639" max="13640" width="9.85546875" bestFit="1" customWidth="1"/>
    <col min="13641" max="13641" width="13.5703125" bestFit="1" customWidth="1"/>
    <col min="13642" max="13642" width="7.7109375" bestFit="1" customWidth="1"/>
    <col min="13643" max="13643" width="13.28515625" bestFit="1" customWidth="1"/>
    <col min="13644" max="13644" width="11.5703125" bestFit="1" customWidth="1"/>
    <col min="13645" max="13645" width="10.42578125" bestFit="1" customWidth="1"/>
    <col min="13646" max="13646" width="7.7109375" bestFit="1" customWidth="1"/>
    <col min="13647" max="13647" width="11.5703125" bestFit="1" customWidth="1"/>
    <col min="13648" max="13648" width="10.85546875" bestFit="1" customWidth="1"/>
    <col min="13649" max="13649" width="13.28515625" bestFit="1" customWidth="1"/>
    <col min="13650" max="13650" width="10.85546875" bestFit="1" customWidth="1"/>
    <col min="13651" max="13652" width="7.5703125" bestFit="1" customWidth="1"/>
    <col min="13653" max="13654" width="10.42578125" bestFit="1" customWidth="1"/>
    <col min="13655" max="13655" width="11.5703125" bestFit="1" customWidth="1"/>
    <col min="13656" max="13656" width="5.28515625" bestFit="1" customWidth="1"/>
    <col min="13657" max="13657" width="10.28515625" bestFit="1" customWidth="1"/>
    <col min="13658" max="13658" width="10.42578125" bestFit="1" customWidth="1"/>
    <col min="13659" max="13659" width="11.5703125" bestFit="1" customWidth="1"/>
    <col min="13660" max="13660" width="5.28515625" bestFit="1" customWidth="1"/>
    <col min="13661" max="13663" width="11.5703125" bestFit="1" customWidth="1"/>
    <col min="13664" max="13664" width="5.28515625" bestFit="1" customWidth="1"/>
    <col min="13665" max="13666" width="10.42578125" bestFit="1" customWidth="1"/>
    <col min="13667" max="13667" width="11.5703125" bestFit="1" customWidth="1"/>
    <col min="13668" max="13668" width="5.28515625" bestFit="1" customWidth="1"/>
    <col min="13669" max="13669" width="14.28515625" bestFit="1" customWidth="1"/>
    <col min="13670" max="13670" width="13" bestFit="1" customWidth="1"/>
    <col min="13671" max="13671" width="11.5703125" bestFit="1" customWidth="1"/>
    <col min="13672" max="13672" width="8.85546875" bestFit="1" customWidth="1"/>
    <col min="13673" max="13673" width="14.42578125" bestFit="1" customWidth="1"/>
    <col min="13674" max="13674" width="10.42578125" bestFit="1" customWidth="1"/>
    <col min="13675" max="13675" width="12.28515625" bestFit="1" customWidth="1"/>
    <col min="13676" max="13676" width="13.85546875" bestFit="1" customWidth="1"/>
    <col min="13677" max="13677" width="11.28515625" customWidth="1"/>
    <col min="13678" max="13678" width="11.5703125" customWidth="1"/>
    <col min="13679" max="13679" width="13.42578125" bestFit="1" customWidth="1"/>
    <col min="13680" max="13680" width="10.42578125" customWidth="1"/>
    <col min="13681" max="13681" width="13.85546875" bestFit="1" customWidth="1"/>
    <col min="13682" max="13682" width="15.42578125" bestFit="1" customWidth="1"/>
    <col min="13683" max="13683" width="12.28515625" bestFit="1" customWidth="1"/>
    <col min="13684" max="13684" width="12.7109375" customWidth="1"/>
    <col min="13685" max="13685" width="10.7109375" bestFit="1" customWidth="1"/>
    <col min="13686" max="13686" width="9.85546875" customWidth="1"/>
    <col min="13687" max="13688" width="10.140625" bestFit="1" customWidth="1"/>
    <col min="13689" max="13689" width="7.5703125" bestFit="1" customWidth="1"/>
    <col min="13690" max="13690" width="9.42578125" bestFit="1" customWidth="1"/>
    <col min="13691" max="13691" width="14.5703125" bestFit="1" customWidth="1"/>
    <col min="13692" max="13692" width="14.85546875" customWidth="1"/>
    <col min="13693" max="13693" width="15.140625" bestFit="1" customWidth="1"/>
    <col min="13694" max="13694" width="12.140625" bestFit="1" customWidth="1"/>
    <col min="13695" max="13695" width="14.85546875" bestFit="1" customWidth="1"/>
    <col min="13696" max="13696" width="12.28515625" bestFit="1" customWidth="1"/>
    <col min="13697" max="13705" width="9.140625" hidden="1" customWidth="1"/>
    <col min="13706" max="13706" width="5.28515625" bestFit="1" customWidth="1"/>
    <col min="13707" max="13712" width="11.5703125" bestFit="1" customWidth="1"/>
    <col min="13713" max="13713" width="11.28515625" bestFit="1" customWidth="1"/>
    <col min="13714" max="13714" width="10.140625" bestFit="1" customWidth="1"/>
    <col min="13715" max="13715" width="11.5703125" bestFit="1" customWidth="1"/>
    <col min="13716" max="13716" width="16.140625" customWidth="1"/>
    <col min="13717" max="13717" width="13.42578125" customWidth="1"/>
    <col min="13718" max="13718" width="10.140625" bestFit="1" customWidth="1"/>
    <col min="13719" max="13719" width="12.85546875" bestFit="1" customWidth="1"/>
    <col min="13720" max="13720" width="12.28515625" bestFit="1" customWidth="1"/>
    <col min="13721" max="13721" width="11.28515625" bestFit="1" customWidth="1"/>
    <col min="13722" max="13722" width="11.5703125" bestFit="1" customWidth="1"/>
    <col min="13723" max="13723" width="10.85546875" bestFit="1" customWidth="1"/>
    <col min="13724" max="13724" width="11.28515625" bestFit="1" customWidth="1"/>
    <col min="13725" max="13725" width="10.140625" bestFit="1" customWidth="1"/>
    <col min="13726" max="13726" width="13.28515625" bestFit="1" customWidth="1"/>
    <col min="13727" max="13728" width="12.7109375" bestFit="1" customWidth="1"/>
    <col min="13729" max="13729" width="11" bestFit="1" customWidth="1"/>
    <col min="13730" max="13730" width="11.28515625" bestFit="1" customWidth="1"/>
    <col min="13731" max="13731" width="11.5703125" bestFit="1" customWidth="1"/>
    <col min="13732" max="13732" width="12.28515625" bestFit="1" customWidth="1"/>
    <col min="13733" max="13733" width="15.140625" bestFit="1" customWidth="1"/>
    <col min="13734" max="13734" width="14.42578125" bestFit="1" customWidth="1"/>
    <col min="13735" max="13735" width="12.28515625" bestFit="1" customWidth="1"/>
    <col min="13736" max="13736" width="15.140625" bestFit="1" customWidth="1"/>
    <col min="13737" max="13737" width="14.42578125" bestFit="1" customWidth="1"/>
    <col min="13738" max="13738" width="12.28515625" bestFit="1" customWidth="1"/>
    <col min="13739" max="13739" width="14.42578125" bestFit="1" customWidth="1"/>
    <col min="13740" max="13740" width="11.28515625" bestFit="1" customWidth="1"/>
    <col min="13741" max="13741" width="12.28515625" bestFit="1" customWidth="1"/>
    <col min="13742" max="13742" width="13" bestFit="1" customWidth="1"/>
    <col min="13743" max="13743" width="15.140625" bestFit="1" customWidth="1"/>
    <col min="13744" max="13744" width="12.28515625" bestFit="1" customWidth="1"/>
    <col min="13745" max="13745" width="13.85546875" bestFit="1" customWidth="1"/>
    <col min="13746" max="13746" width="11.28515625" bestFit="1" customWidth="1"/>
    <col min="13747" max="13747" width="12.28515625" bestFit="1" customWidth="1"/>
    <col min="13748" max="13748" width="13.85546875" bestFit="1" customWidth="1"/>
    <col min="13749" max="13750" width="15.140625" bestFit="1" customWidth="1"/>
    <col min="13751" max="13751" width="12.28515625" bestFit="1" customWidth="1"/>
    <col min="13752" max="13752" width="5.7109375" bestFit="1" customWidth="1"/>
    <col min="13753" max="13753" width="8.5703125" bestFit="1" customWidth="1"/>
    <col min="13754" max="13754" width="5.5703125" bestFit="1" customWidth="1"/>
    <col min="13755" max="13755" width="14.42578125" bestFit="1" customWidth="1"/>
    <col min="13756" max="13756" width="11.28515625" bestFit="1" customWidth="1"/>
    <col min="13757" max="13758" width="12.28515625" bestFit="1" customWidth="1"/>
    <col min="13759" max="13759" width="11.28515625" bestFit="1" customWidth="1"/>
    <col min="13760" max="13760" width="13.85546875" bestFit="1" customWidth="1"/>
    <col min="13761" max="13761" width="12" bestFit="1" customWidth="1"/>
    <col min="13762" max="13762" width="13.85546875" bestFit="1" customWidth="1"/>
    <col min="13763" max="13764" width="14.42578125" customWidth="1"/>
    <col min="13765" max="13765" width="10.140625" bestFit="1" customWidth="1"/>
    <col min="13766" max="13766" width="12.28515625" bestFit="1" customWidth="1"/>
    <col min="13767" max="13767" width="7.42578125" bestFit="1" customWidth="1"/>
    <col min="13768" max="13768" width="8.5703125" bestFit="1" customWidth="1"/>
    <col min="13769" max="13769" width="11.5703125" bestFit="1" customWidth="1"/>
    <col min="13770" max="13770" width="13.28515625" bestFit="1" customWidth="1"/>
    <col min="13771" max="13771" width="13.28515625" customWidth="1"/>
    <col min="13772" max="13772" width="13.140625" customWidth="1"/>
    <col min="13773" max="13773" width="12.7109375" bestFit="1" customWidth="1"/>
    <col min="13774" max="13774" width="13.28515625" bestFit="1" customWidth="1"/>
    <col min="13775" max="13777" width="13.28515625" customWidth="1"/>
    <col min="13778" max="13778" width="12.140625" bestFit="1" customWidth="1"/>
    <col min="13779" max="13779" width="12.7109375" bestFit="1" customWidth="1"/>
    <col min="13780" max="13780" width="11" customWidth="1"/>
    <col min="13781" max="13781" width="16.7109375" customWidth="1"/>
    <col min="13782" max="13782" width="17" customWidth="1"/>
    <col min="13783" max="13783" width="10.42578125" bestFit="1" customWidth="1"/>
    <col min="13827" max="13827" width="3.85546875" customWidth="1"/>
    <col min="13828" max="13828" width="15.28515625" bestFit="1" customWidth="1"/>
    <col min="13829" max="13829" width="12.28515625" customWidth="1"/>
    <col min="13830" max="13830" width="16.28515625" bestFit="1" customWidth="1"/>
    <col min="13831" max="13831" width="6.42578125" bestFit="1" customWidth="1"/>
    <col min="13832" max="13832" width="9.28515625" bestFit="1" customWidth="1"/>
    <col min="13833" max="13833" width="7.5703125" bestFit="1" customWidth="1"/>
    <col min="13834" max="13834" width="13.28515625" bestFit="1" customWidth="1"/>
    <col min="13835" max="13835" width="9.28515625" bestFit="1" customWidth="1"/>
    <col min="13836" max="13836" width="11.5703125" bestFit="1" customWidth="1"/>
    <col min="13837" max="13837" width="13.28515625" bestFit="1" customWidth="1"/>
    <col min="13838" max="13838" width="7.140625" bestFit="1" customWidth="1"/>
    <col min="13839" max="13839" width="12" bestFit="1" customWidth="1"/>
    <col min="13840" max="13840" width="13.28515625" bestFit="1" customWidth="1"/>
    <col min="13841" max="13841" width="7" bestFit="1" customWidth="1"/>
    <col min="13842" max="13842" width="12.7109375" bestFit="1" customWidth="1"/>
    <col min="13843" max="13843" width="11.5703125" bestFit="1" customWidth="1"/>
    <col min="13844" max="13844" width="10.5703125" bestFit="1" customWidth="1"/>
    <col min="13845" max="13846" width="15.7109375" bestFit="1" customWidth="1"/>
    <col min="13847" max="13847" width="11.5703125" bestFit="1" customWidth="1"/>
    <col min="13848" max="13848" width="7.7109375" bestFit="1" customWidth="1"/>
    <col min="13849" max="13849" width="15.140625" bestFit="1" customWidth="1"/>
    <col min="13850" max="13850" width="11.5703125" bestFit="1" customWidth="1"/>
    <col min="13851" max="13851" width="13.28515625" bestFit="1" customWidth="1"/>
    <col min="13852" max="13852" width="10.42578125" bestFit="1" customWidth="1"/>
    <col min="13853" max="13853" width="13.28515625" bestFit="1" customWidth="1"/>
    <col min="13854" max="13854" width="12.140625" bestFit="1" customWidth="1"/>
    <col min="13855" max="13855" width="14.42578125" bestFit="1" customWidth="1"/>
    <col min="13856" max="13856" width="13.28515625" bestFit="1" customWidth="1"/>
    <col min="13857" max="13857" width="11.5703125" bestFit="1" customWidth="1"/>
    <col min="13858" max="13858" width="7.7109375" bestFit="1" customWidth="1"/>
    <col min="13859" max="13860" width="14.42578125" bestFit="1" customWidth="1"/>
    <col min="13861" max="13861" width="11.5703125" bestFit="1" customWidth="1"/>
    <col min="13862" max="13862" width="7.7109375" bestFit="1" customWidth="1"/>
    <col min="13863" max="13863" width="13.5703125" customWidth="1"/>
    <col min="13864" max="13864" width="15.28515625" customWidth="1"/>
    <col min="13865" max="13865" width="14.5703125" customWidth="1"/>
    <col min="13866" max="13866" width="13.28515625" bestFit="1" customWidth="1"/>
    <col min="13867" max="13867" width="7.7109375" bestFit="1" customWidth="1"/>
    <col min="13868" max="13868" width="12.7109375" bestFit="1" customWidth="1"/>
    <col min="13869" max="13869" width="11.7109375" bestFit="1" customWidth="1"/>
    <col min="13870" max="13870" width="11.5703125" bestFit="1" customWidth="1"/>
    <col min="13871" max="13871" width="5.28515625" bestFit="1" customWidth="1"/>
    <col min="13872" max="13872" width="13.28515625" bestFit="1" customWidth="1"/>
    <col min="13873" max="13873" width="13.5703125" bestFit="1" customWidth="1"/>
    <col min="13874" max="13874" width="10.5703125" bestFit="1" customWidth="1"/>
    <col min="13875" max="13875" width="13.28515625" bestFit="1" customWidth="1"/>
    <col min="13876" max="13876" width="11.5703125" bestFit="1" customWidth="1"/>
    <col min="13877" max="13877" width="10.5703125" bestFit="1" customWidth="1"/>
    <col min="13878" max="13878" width="16.140625" bestFit="1" customWidth="1"/>
    <col min="13879" max="13880" width="11.28515625" bestFit="1" customWidth="1"/>
    <col min="13881" max="13881" width="13.28515625" bestFit="1" customWidth="1"/>
    <col min="13882" max="13882" width="7.7109375" bestFit="1" customWidth="1"/>
    <col min="13883" max="13886" width="9.140625" hidden="1" customWidth="1"/>
    <col min="13887" max="13887" width="10.42578125" bestFit="1" customWidth="1"/>
    <col min="13888" max="13888" width="10.5703125" bestFit="1" customWidth="1"/>
    <col min="13889" max="13889" width="10.42578125" bestFit="1" customWidth="1"/>
    <col min="13890" max="13890" width="10.5703125" bestFit="1" customWidth="1"/>
    <col min="13891" max="13891" width="9.5703125" bestFit="1" customWidth="1"/>
    <col min="13892" max="13892" width="11.5703125" bestFit="1" customWidth="1"/>
    <col min="13893" max="13893" width="10.42578125" bestFit="1" customWidth="1"/>
    <col min="13894" max="13894" width="10.85546875" customWidth="1"/>
    <col min="13895" max="13896" width="9.85546875" bestFit="1" customWidth="1"/>
    <col min="13897" max="13897" width="13.5703125" bestFit="1" customWidth="1"/>
    <col min="13898" max="13898" width="7.7109375" bestFit="1" customWidth="1"/>
    <col min="13899" max="13899" width="13.28515625" bestFit="1" customWidth="1"/>
    <col min="13900" max="13900" width="11.5703125" bestFit="1" customWidth="1"/>
    <col min="13901" max="13901" width="10.42578125" bestFit="1" customWidth="1"/>
    <col min="13902" max="13902" width="7.7109375" bestFit="1" customWidth="1"/>
    <col min="13903" max="13903" width="11.5703125" bestFit="1" customWidth="1"/>
    <col min="13904" max="13904" width="10.85546875" bestFit="1" customWidth="1"/>
    <col min="13905" max="13905" width="13.28515625" bestFit="1" customWidth="1"/>
    <col min="13906" max="13906" width="10.85546875" bestFit="1" customWidth="1"/>
    <col min="13907" max="13908" width="7.5703125" bestFit="1" customWidth="1"/>
    <col min="13909" max="13910" width="10.42578125" bestFit="1" customWidth="1"/>
    <col min="13911" max="13911" width="11.5703125" bestFit="1" customWidth="1"/>
    <col min="13912" max="13912" width="5.28515625" bestFit="1" customWidth="1"/>
    <col min="13913" max="13913" width="10.28515625" bestFit="1" customWidth="1"/>
    <col min="13914" max="13914" width="10.42578125" bestFit="1" customWidth="1"/>
    <col min="13915" max="13915" width="11.5703125" bestFit="1" customWidth="1"/>
    <col min="13916" max="13916" width="5.28515625" bestFit="1" customWidth="1"/>
    <col min="13917" max="13919" width="11.5703125" bestFit="1" customWidth="1"/>
    <col min="13920" max="13920" width="5.28515625" bestFit="1" customWidth="1"/>
    <col min="13921" max="13922" width="10.42578125" bestFit="1" customWidth="1"/>
    <col min="13923" max="13923" width="11.5703125" bestFit="1" customWidth="1"/>
    <col min="13924" max="13924" width="5.28515625" bestFit="1" customWidth="1"/>
    <col min="13925" max="13925" width="14.28515625" bestFit="1" customWidth="1"/>
    <col min="13926" max="13926" width="13" bestFit="1" customWidth="1"/>
    <col min="13927" max="13927" width="11.5703125" bestFit="1" customWidth="1"/>
    <col min="13928" max="13928" width="8.85546875" bestFit="1" customWidth="1"/>
    <col min="13929" max="13929" width="14.42578125" bestFit="1" customWidth="1"/>
    <col min="13930" max="13930" width="10.42578125" bestFit="1" customWidth="1"/>
    <col min="13931" max="13931" width="12.28515625" bestFit="1" customWidth="1"/>
    <col min="13932" max="13932" width="13.85546875" bestFit="1" customWidth="1"/>
    <col min="13933" max="13933" width="11.28515625" customWidth="1"/>
    <col min="13934" max="13934" width="11.5703125" customWidth="1"/>
    <col min="13935" max="13935" width="13.42578125" bestFit="1" customWidth="1"/>
    <col min="13936" max="13936" width="10.42578125" customWidth="1"/>
    <col min="13937" max="13937" width="13.85546875" bestFit="1" customWidth="1"/>
    <col min="13938" max="13938" width="15.42578125" bestFit="1" customWidth="1"/>
    <col min="13939" max="13939" width="12.28515625" bestFit="1" customWidth="1"/>
    <col min="13940" max="13940" width="12.7109375" customWidth="1"/>
    <col min="13941" max="13941" width="10.7109375" bestFit="1" customWidth="1"/>
    <col min="13942" max="13942" width="9.85546875" customWidth="1"/>
    <col min="13943" max="13944" width="10.140625" bestFit="1" customWidth="1"/>
    <col min="13945" max="13945" width="7.5703125" bestFit="1" customWidth="1"/>
    <col min="13946" max="13946" width="9.42578125" bestFit="1" customWidth="1"/>
    <col min="13947" max="13947" width="14.5703125" bestFit="1" customWidth="1"/>
    <col min="13948" max="13948" width="14.85546875" customWidth="1"/>
    <col min="13949" max="13949" width="15.140625" bestFit="1" customWidth="1"/>
    <col min="13950" max="13950" width="12.140625" bestFit="1" customWidth="1"/>
    <col min="13951" max="13951" width="14.85546875" bestFit="1" customWidth="1"/>
    <col min="13952" max="13952" width="12.28515625" bestFit="1" customWidth="1"/>
    <col min="13953" max="13961" width="9.140625" hidden="1" customWidth="1"/>
    <col min="13962" max="13962" width="5.28515625" bestFit="1" customWidth="1"/>
    <col min="13963" max="13968" width="11.5703125" bestFit="1" customWidth="1"/>
    <col min="13969" max="13969" width="11.28515625" bestFit="1" customWidth="1"/>
    <col min="13970" max="13970" width="10.140625" bestFit="1" customWidth="1"/>
    <col min="13971" max="13971" width="11.5703125" bestFit="1" customWidth="1"/>
    <col min="13972" max="13972" width="16.140625" customWidth="1"/>
    <col min="13973" max="13973" width="13.42578125" customWidth="1"/>
    <col min="13974" max="13974" width="10.140625" bestFit="1" customWidth="1"/>
    <col min="13975" max="13975" width="12.85546875" bestFit="1" customWidth="1"/>
    <col min="13976" max="13976" width="12.28515625" bestFit="1" customWidth="1"/>
    <col min="13977" max="13977" width="11.28515625" bestFit="1" customWidth="1"/>
    <col min="13978" max="13978" width="11.5703125" bestFit="1" customWidth="1"/>
    <col min="13979" max="13979" width="10.85546875" bestFit="1" customWidth="1"/>
    <col min="13980" max="13980" width="11.28515625" bestFit="1" customWidth="1"/>
    <col min="13981" max="13981" width="10.140625" bestFit="1" customWidth="1"/>
    <col min="13982" max="13982" width="13.28515625" bestFit="1" customWidth="1"/>
    <col min="13983" max="13984" width="12.7109375" bestFit="1" customWidth="1"/>
    <col min="13985" max="13985" width="11" bestFit="1" customWidth="1"/>
    <col min="13986" max="13986" width="11.28515625" bestFit="1" customWidth="1"/>
    <col min="13987" max="13987" width="11.5703125" bestFit="1" customWidth="1"/>
    <col min="13988" max="13988" width="12.28515625" bestFit="1" customWidth="1"/>
    <col min="13989" max="13989" width="15.140625" bestFit="1" customWidth="1"/>
    <col min="13990" max="13990" width="14.42578125" bestFit="1" customWidth="1"/>
    <col min="13991" max="13991" width="12.28515625" bestFit="1" customWidth="1"/>
    <col min="13992" max="13992" width="15.140625" bestFit="1" customWidth="1"/>
    <col min="13993" max="13993" width="14.42578125" bestFit="1" customWidth="1"/>
    <col min="13994" max="13994" width="12.28515625" bestFit="1" customWidth="1"/>
    <col min="13995" max="13995" width="14.42578125" bestFit="1" customWidth="1"/>
    <col min="13996" max="13996" width="11.28515625" bestFit="1" customWidth="1"/>
    <col min="13997" max="13997" width="12.28515625" bestFit="1" customWidth="1"/>
    <col min="13998" max="13998" width="13" bestFit="1" customWidth="1"/>
    <col min="13999" max="13999" width="15.140625" bestFit="1" customWidth="1"/>
    <col min="14000" max="14000" width="12.28515625" bestFit="1" customWidth="1"/>
    <col min="14001" max="14001" width="13.85546875" bestFit="1" customWidth="1"/>
    <col min="14002" max="14002" width="11.28515625" bestFit="1" customWidth="1"/>
    <col min="14003" max="14003" width="12.28515625" bestFit="1" customWidth="1"/>
    <col min="14004" max="14004" width="13.85546875" bestFit="1" customWidth="1"/>
    <col min="14005" max="14006" width="15.140625" bestFit="1" customWidth="1"/>
    <col min="14007" max="14007" width="12.28515625" bestFit="1" customWidth="1"/>
    <col min="14008" max="14008" width="5.7109375" bestFit="1" customWidth="1"/>
    <col min="14009" max="14009" width="8.5703125" bestFit="1" customWidth="1"/>
    <col min="14010" max="14010" width="5.5703125" bestFit="1" customWidth="1"/>
    <col min="14011" max="14011" width="14.42578125" bestFit="1" customWidth="1"/>
    <col min="14012" max="14012" width="11.28515625" bestFit="1" customWidth="1"/>
    <col min="14013" max="14014" width="12.28515625" bestFit="1" customWidth="1"/>
    <col min="14015" max="14015" width="11.28515625" bestFit="1" customWidth="1"/>
    <col min="14016" max="14016" width="13.85546875" bestFit="1" customWidth="1"/>
    <col min="14017" max="14017" width="12" bestFit="1" customWidth="1"/>
    <col min="14018" max="14018" width="13.85546875" bestFit="1" customWidth="1"/>
    <col min="14019" max="14020" width="14.42578125" customWidth="1"/>
    <col min="14021" max="14021" width="10.140625" bestFit="1" customWidth="1"/>
    <col min="14022" max="14022" width="12.28515625" bestFit="1" customWidth="1"/>
    <col min="14023" max="14023" width="7.42578125" bestFit="1" customWidth="1"/>
    <col min="14024" max="14024" width="8.5703125" bestFit="1" customWidth="1"/>
    <col min="14025" max="14025" width="11.5703125" bestFit="1" customWidth="1"/>
    <col min="14026" max="14026" width="13.28515625" bestFit="1" customWidth="1"/>
    <col min="14027" max="14027" width="13.28515625" customWidth="1"/>
    <col min="14028" max="14028" width="13.140625" customWidth="1"/>
    <col min="14029" max="14029" width="12.7109375" bestFit="1" customWidth="1"/>
    <col min="14030" max="14030" width="13.28515625" bestFit="1" customWidth="1"/>
    <col min="14031" max="14033" width="13.28515625" customWidth="1"/>
    <col min="14034" max="14034" width="12.140625" bestFit="1" customWidth="1"/>
    <col min="14035" max="14035" width="12.7109375" bestFit="1" customWidth="1"/>
    <col min="14036" max="14036" width="11" customWidth="1"/>
    <col min="14037" max="14037" width="16.7109375" customWidth="1"/>
    <col min="14038" max="14038" width="17" customWidth="1"/>
    <col min="14039" max="14039" width="10.42578125" bestFit="1" customWidth="1"/>
    <col min="14083" max="14083" width="3.85546875" customWidth="1"/>
    <col min="14084" max="14084" width="15.28515625" bestFit="1" customWidth="1"/>
    <col min="14085" max="14085" width="12.28515625" customWidth="1"/>
    <col min="14086" max="14086" width="16.28515625" bestFit="1" customWidth="1"/>
    <col min="14087" max="14087" width="6.42578125" bestFit="1" customWidth="1"/>
    <col min="14088" max="14088" width="9.28515625" bestFit="1" customWidth="1"/>
    <col min="14089" max="14089" width="7.5703125" bestFit="1" customWidth="1"/>
    <col min="14090" max="14090" width="13.28515625" bestFit="1" customWidth="1"/>
    <col min="14091" max="14091" width="9.28515625" bestFit="1" customWidth="1"/>
    <col min="14092" max="14092" width="11.5703125" bestFit="1" customWidth="1"/>
    <col min="14093" max="14093" width="13.28515625" bestFit="1" customWidth="1"/>
    <col min="14094" max="14094" width="7.140625" bestFit="1" customWidth="1"/>
    <col min="14095" max="14095" width="12" bestFit="1" customWidth="1"/>
    <col min="14096" max="14096" width="13.28515625" bestFit="1" customWidth="1"/>
    <col min="14097" max="14097" width="7" bestFit="1" customWidth="1"/>
    <col min="14098" max="14098" width="12.7109375" bestFit="1" customWidth="1"/>
    <col min="14099" max="14099" width="11.5703125" bestFit="1" customWidth="1"/>
    <col min="14100" max="14100" width="10.5703125" bestFit="1" customWidth="1"/>
    <col min="14101" max="14102" width="15.7109375" bestFit="1" customWidth="1"/>
    <col min="14103" max="14103" width="11.5703125" bestFit="1" customWidth="1"/>
    <col min="14104" max="14104" width="7.7109375" bestFit="1" customWidth="1"/>
    <col min="14105" max="14105" width="15.140625" bestFit="1" customWidth="1"/>
    <col min="14106" max="14106" width="11.5703125" bestFit="1" customWidth="1"/>
    <col min="14107" max="14107" width="13.28515625" bestFit="1" customWidth="1"/>
    <col min="14108" max="14108" width="10.42578125" bestFit="1" customWidth="1"/>
    <col min="14109" max="14109" width="13.28515625" bestFit="1" customWidth="1"/>
    <col min="14110" max="14110" width="12.140625" bestFit="1" customWidth="1"/>
    <col min="14111" max="14111" width="14.42578125" bestFit="1" customWidth="1"/>
    <col min="14112" max="14112" width="13.28515625" bestFit="1" customWidth="1"/>
    <col min="14113" max="14113" width="11.5703125" bestFit="1" customWidth="1"/>
    <col min="14114" max="14114" width="7.7109375" bestFit="1" customWidth="1"/>
    <col min="14115" max="14116" width="14.42578125" bestFit="1" customWidth="1"/>
    <col min="14117" max="14117" width="11.5703125" bestFit="1" customWidth="1"/>
    <col min="14118" max="14118" width="7.7109375" bestFit="1" customWidth="1"/>
    <col min="14119" max="14119" width="13.5703125" customWidth="1"/>
    <col min="14120" max="14120" width="15.28515625" customWidth="1"/>
    <col min="14121" max="14121" width="14.5703125" customWidth="1"/>
    <col min="14122" max="14122" width="13.28515625" bestFit="1" customWidth="1"/>
    <col min="14123" max="14123" width="7.7109375" bestFit="1" customWidth="1"/>
    <col min="14124" max="14124" width="12.7109375" bestFit="1" customWidth="1"/>
    <col min="14125" max="14125" width="11.7109375" bestFit="1" customWidth="1"/>
    <col min="14126" max="14126" width="11.5703125" bestFit="1" customWidth="1"/>
    <col min="14127" max="14127" width="5.28515625" bestFit="1" customWidth="1"/>
    <col min="14128" max="14128" width="13.28515625" bestFit="1" customWidth="1"/>
    <col min="14129" max="14129" width="13.5703125" bestFit="1" customWidth="1"/>
    <col min="14130" max="14130" width="10.5703125" bestFit="1" customWidth="1"/>
    <col min="14131" max="14131" width="13.28515625" bestFit="1" customWidth="1"/>
    <col min="14132" max="14132" width="11.5703125" bestFit="1" customWidth="1"/>
    <col min="14133" max="14133" width="10.5703125" bestFit="1" customWidth="1"/>
    <col min="14134" max="14134" width="16.140625" bestFit="1" customWidth="1"/>
    <col min="14135" max="14136" width="11.28515625" bestFit="1" customWidth="1"/>
    <col min="14137" max="14137" width="13.28515625" bestFit="1" customWidth="1"/>
    <col min="14138" max="14138" width="7.7109375" bestFit="1" customWidth="1"/>
    <col min="14139" max="14142" width="9.140625" hidden="1" customWidth="1"/>
    <col min="14143" max="14143" width="10.42578125" bestFit="1" customWidth="1"/>
    <col min="14144" max="14144" width="10.5703125" bestFit="1" customWidth="1"/>
    <col min="14145" max="14145" width="10.42578125" bestFit="1" customWidth="1"/>
    <col min="14146" max="14146" width="10.5703125" bestFit="1" customWidth="1"/>
    <col min="14147" max="14147" width="9.5703125" bestFit="1" customWidth="1"/>
    <col min="14148" max="14148" width="11.5703125" bestFit="1" customWidth="1"/>
    <col min="14149" max="14149" width="10.42578125" bestFit="1" customWidth="1"/>
    <col min="14150" max="14150" width="10.85546875" customWidth="1"/>
    <col min="14151" max="14152" width="9.85546875" bestFit="1" customWidth="1"/>
    <col min="14153" max="14153" width="13.5703125" bestFit="1" customWidth="1"/>
    <col min="14154" max="14154" width="7.7109375" bestFit="1" customWidth="1"/>
    <col min="14155" max="14155" width="13.28515625" bestFit="1" customWidth="1"/>
    <col min="14156" max="14156" width="11.5703125" bestFit="1" customWidth="1"/>
    <col min="14157" max="14157" width="10.42578125" bestFit="1" customWidth="1"/>
    <col min="14158" max="14158" width="7.7109375" bestFit="1" customWidth="1"/>
    <col min="14159" max="14159" width="11.5703125" bestFit="1" customWidth="1"/>
    <col min="14160" max="14160" width="10.85546875" bestFit="1" customWidth="1"/>
    <col min="14161" max="14161" width="13.28515625" bestFit="1" customWidth="1"/>
    <col min="14162" max="14162" width="10.85546875" bestFit="1" customWidth="1"/>
    <col min="14163" max="14164" width="7.5703125" bestFit="1" customWidth="1"/>
    <col min="14165" max="14166" width="10.42578125" bestFit="1" customWidth="1"/>
    <col min="14167" max="14167" width="11.5703125" bestFit="1" customWidth="1"/>
    <col min="14168" max="14168" width="5.28515625" bestFit="1" customWidth="1"/>
    <col min="14169" max="14169" width="10.28515625" bestFit="1" customWidth="1"/>
    <col min="14170" max="14170" width="10.42578125" bestFit="1" customWidth="1"/>
    <col min="14171" max="14171" width="11.5703125" bestFit="1" customWidth="1"/>
    <col min="14172" max="14172" width="5.28515625" bestFit="1" customWidth="1"/>
    <col min="14173" max="14175" width="11.5703125" bestFit="1" customWidth="1"/>
    <col min="14176" max="14176" width="5.28515625" bestFit="1" customWidth="1"/>
    <col min="14177" max="14178" width="10.42578125" bestFit="1" customWidth="1"/>
    <col min="14179" max="14179" width="11.5703125" bestFit="1" customWidth="1"/>
    <col min="14180" max="14180" width="5.28515625" bestFit="1" customWidth="1"/>
    <col min="14181" max="14181" width="14.28515625" bestFit="1" customWidth="1"/>
    <col min="14182" max="14182" width="13" bestFit="1" customWidth="1"/>
    <col min="14183" max="14183" width="11.5703125" bestFit="1" customWidth="1"/>
    <col min="14184" max="14184" width="8.85546875" bestFit="1" customWidth="1"/>
    <col min="14185" max="14185" width="14.42578125" bestFit="1" customWidth="1"/>
    <col min="14186" max="14186" width="10.42578125" bestFit="1" customWidth="1"/>
    <col min="14187" max="14187" width="12.28515625" bestFit="1" customWidth="1"/>
    <col min="14188" max="14188" width="13.85546875" bestFit="1" customWidth="1"/>
    <col min="14189" max="14189" width="11.28515625" customWidth="1"/>
    <col min="14190" max="14190" width="11.5703125" customWidth="1"/>
    <col min="14191" max="14191" width="13.42578125" bestFit="1" customWidth="1"/>
    <col min="14192" max="14192" width="10.42578125" customWidth="1"/>
    <col min="14193" max="14193" width="13.85546875" bestFit="1" customWidth="1"/>
    <col min="14194" max="14194" width="15.42578125" bestFit="1" customWidth="1"/>
    <col min="14195" max="14195" width="12.28515625" bestFit="1" customWidth="1"/>
    <col min="14196" max="14196" width="12.7109375" customWidth="1"/>
    <col min="14197" max="14197" width="10.7109375" bestFit="1" customWidth="1"/>
    <col min="14198" max="14198" width="9.85546875" customWidth="1"/>
    <col min="14199" max="14200" width="10.140625" bestFit="1" customWidth="1"/>
    <col min="14201" max="14201" width="7.5703125" bestFit="1" customWidth="1"/>
    <col min="14202" max="14202" width="9.42578125" bestFit="1" customWidth="1"/>
    <col min="14203" max="14203" width="14.5703125" bestFit="1" customWidth="1"/>
    <col min="14204" max="14204" width="14.85546875" customWidth="1"/>
    <col min="14205" max="14205" width="15.140625" bestFit="1" customWidth="1"/>
    <col min="14206" max="14206" width="12.140625" bestFit="1" customWidth="1"/>
    <col min="14207" max="14207" width="14.85546875" bestFit="1" customWidth="1"/>
    <col min="14208" max="14208" width="12.28515625" bestFit="1" customWidth="1"/>
    <col min="14209" max="14217" width="9.140625" hidden="1" customWidth="1"/>
    <col min="14218" max="14218" width="5.28515625" bestFit="1" customWidth="1"/>
    <col min="14219" max="14224" width="11.5703125" bestFit="1" customWidth="1"/>
    <col min="14225" max="14225" width="11.28515625" bestFit="1" customWidth="1"/>
    <col min="14226" max="14226" width="10.140625" bestFit="1" customWidth="1"/>
    <col min="14227" max="14227" width="11.5703125" bestFit="1" customWidth="1"/>
    <col min="14228" max="14228" width="16.140625" customWidth="1"/>
    <col min="14229" max="14229" width="13.42578125" customWidth="1"/>
    <col min="14230" max="14230" width="10.140625" bestFit="1" customWidth="1"/>
    <col min="14231" max="14231" width="12.85546875" bestFit="1" customWidth="1"/>
    <col min="14232" max="14232" width="12.28515625" bestFit="1" customWidth="1"/>
    <col min="14233" max="14233" width="11.28515625" bestFit="1" customWidth="1"/>
    <col min="14234" max="14234" width="11.5703125" bestFit="1" customWidth="1"/>
    <col min="14235" max="14235" width="10.85546875" bestFit="1" customWidth="1"/>
    <col min="14236" max="14236" width="11.28515625" bestFit="1" customWidth="1"/>
    <col min="14237" max="14237" width="10.140625" bestFit="1" customWidth="1"/>
    <col min="14238" max="14238" width="13.28515625" bestFit="1" customWidth="1"/>
    <col min="14239" max="14240" width="12.7109375" bestFit="1" customWidth="1"/>
    <col min="14241" max="14241" width="11" bestFit="1" customWidth="1"/>
    <col min="14242" max="14242" width="11.28515625" bestFit="1" customWidth="1"/>
    <col min="14243" max="14243" width="11.5703125" bestFit="1" customWidth="1"/>
    <col min="14244" max="14244" width="12.28515625" bestFit="1" customWidth="1"/>
    <col min="14245" max="14245" width="15.140625" bestFit="1" customWidth="1"/>
    <col min="14246" max="14246" width="14.42578125" bestFit="1" customWidth="1"/>
    <col min="14247" max="14247" width="12.28515625" bestFit="1" customWidth="1"/>
    <col min="14248" max="14248" width="15.140625" bestFit="1" customWidth="1"/>
    <col min="14249" max="14249" width="14.42578125" bestFit="1" customWidth="1"/>
    <col min="14250" max="14250" width="12.28515625" bestFit="1" customWidth="1"/>
    <col min="14251" max="14251" width="14.42578125" bestFit="1" customWidth="1"/>
    <col min="14252" max="14252" width="11.28515625" bestFit="1" customWidth="1"/>
    <col min="14253" max="14253" width="12.28515625" bestFit="1" customWidth="1"/>
    <col min="14254" max="14254" width="13" bestFit="1" customWidth="1"/>
    <col min="14255" max="14255" width="15.140625" bestFit="1" customWidth="1"/>
    <col min="14256" max="14256" width="12.28515625" bestFit="1" customWidth="1"/>
    <col min="14257" max="14257" width="13.85546875" bestFit="1" customWidth="1"/>
    <col min="14258" max="14258" width="11.28515625" bestFit="1" customWidth="1"/>
    <col min="14259" max="14259" width="12.28515625" bestFit="1" customWidth="1"/>
    <col min="14260" max="14260" width="13.85546875" bestFit="1" customWidth="1"/>
    <col min="14261" max="14262" width="15.140625" bestFit="1" customWidth="1"/>
    <col min="14263" max="14263" width="12.28515625" bestFit="1" customWidth="1"/>
    <col min="14264" max="14264" width="5.7109375" bestFit="1" customWidth="1"/>
    <col min="14265" max="14265" width="8.5703125" bestFit="1" customWidth="1"/>
    <col min="14266" max="14266" width="5.5703125" bestFit="1" customWidth="1"/>
    <col min="14267" max="14267" width="14.42578125" bestFit="1" customWidth="1"/>
    <col min="14268" max="14268" width="11.28515625" bestFit="1" customWidth="1"/>
    <col min="14269" max="14270" width="12.28515625" bestFit="1" customWidth="1"/>
    <col min="14271" max="14271" width="11.28515625" bestFit="1" customWidth="1"/>
    <col min="14272" max="14272" width="13.85546875" bestFit="1" customWidth="1"/>
    <col min="14273" max="14273" width="12" bestFit="1" customWidth="1"/>
    <col min="14274" max="14274" width="13.85546875" bestFit="1" customWidth="1"/>
    <col min="14275" max="14276" width="14.42578125" customWidth="1"/>
    <col min="14277" max="14277" width="10.140625" bestFit="1" customWidth="1"/>
    <col min="14278" max="14278" width="12.28515625" bestFit="1" customWidth="1"/>
    <col min="14279" max="14279" width="7.42578125" bestFit="1" customWidth="1"/>
    <col min="14280" max="14280" width="8.5703125" bestFit="1" customWidth="1"/>
    <col min="14281" max="14281" width="11.5703125" bestFit="1" customWidth="1"/>
    <col min="14282" max="14282" width="13.28515625" bestFit="1" customWidth="1"/>
    <col min="14283" max="14283" width="13.28515625" customWidth="1"/>
    <col min="14284" max="14284" width="13.140625" customWidth="1"/>
    <col min="14285" max="14285" width="12.7109375" bestFit="1" customWidth="1"/>
    <col min="14286" max="14286" width="13.28515625" bestFit="1" customWidth="1"/>
    <col min="14287" max="14289" width="13.28515625" customWidth="1"/>
    <col min="14290" max="14290" width="12.140625" bestFit="1" customWidth="1"/>
    <col min="14291" max="14291" width="12.7109375" bestFit="1" customWidth="1"/>
    <col min="14292" max="14292" width="11" customWidth="1"/>
    <col min="14293" max="14293" width="16.7109375" customWidth="1"/>
    <col min="14294" max="14294" width="17" customWidth="1"/>
    <col min="14295" max="14295" width="10.42578125" bestFit="1" customWidth="1"/>
    <col min="14339" max="14339" width="3.85546875" customWidth="1"/>
    <col min="14340" max="14340" width="15.28515625" bestFit="1" customWidth="1"/>
    <col min="14341" max="14341" width="12.28515625" customWidth="1"/>
    <col min="14342" max="14342" width="16.28515625" bestFit="1" customWidth="1"/>
    <col min="14343" max="14343" width="6.42578125" bestFit="1" customWidth="1"/>
    <col min="14344" max="14344" width="9.28515625" bestFit="1" customWidth="1"/>
    <col min="14345" max="14345" width="7.5703125" bestFit="1" customWidth="1"/>
    <col min="14346" max="14346" width="13.28515625" bestFit="1" customWidth="1"/>
    <col min="14347" max="14347" width="9.28515625" bestFit="1" customWidth="1"/>
    <col min="14348" max="14348" width="11.5703125" bestFit="1" customWidth="1"/>
    <col min="14349" max="14349" width="13.28515625" bestFit="1" customWidth="1"/>
    <col min="14350" max="14350" width="7.140625" bestFit="1" customWidth="1"/>
    <col min="14351" max="14351" width="12" bestFit="1" customWidth="1"/>
    <col min="14352" max="14352" width="13.28515625" bestFit="1" customWidth="1"/>
    <col min="14353" max="14353" width="7" bestFit="1" customWidth="1"/>
    <col min="14354" max="14354" width="12.7109375" bestFit="1" customWidth="1"/>
    <col min="14355" max="14355" width="11.5703125" bestFit="1" customWidth="1"/>
    <col min="14356" max="14356" width="10.5703125" bestFit="1" customWidth="1"/>
    <col min="14357" max="14358" width="15.7109375" bestFit="1" customWidth="1"/>
    <col min="14359" max="14359" width="11.5703125" bestFit="1" customWidth="1"/>
    <col min="14360" max="14360" width="7.7109375" bestFit="1" customWidth="1"/>
    <col min="14361" max="14361" width="15.140625" bestFit="1" customWidth="1"/>
    <col min="14362" max="14362" width="11.5703125" bestFit="1" customWidth="1"/>
    <col min="14363" max="14363" width="13.28515625" bestFit="1" customWidth="1"/>
    <col min="14364" max="14364" width="10.42578125" bestFit="1" customWidth="1"/>
    <col min="14365" max="14365" width="13.28515625" bestFit="1" customWidth="1"/>
    <col min="14366" max="14366" width="12.140625" bestFit="1" customWidth="1"/>
    <col min="14367" max="14367" width="14.42578125" bestFit="1" customWidth="1"/>
    <col min="14368" max="14368" width="13.28515625" bestFit="1" customWidth="1"/>
    <col min="14369" max="14369" width="11.5703125" bestFit="1" customWidth="1"/>
    <col min="14370" max="14370" width="7.7109375" bestFit="1" customWidth="1"/>
    <col min="14371" max="14372" width="14.42578125" bestFit="1" customWidth="1"/>
    <col min="14373" max="14373" width="11.5703125" bestFit="1" customWidth="1"/>
    <col min="14374" max="14374" width="7.7109375" bestFit="1" customWidth="1"/>
    <col min="14375" max="14375" width="13.5703125" customWidth="1"/>
    <col min="14376" max="14376" width="15.28515625" customWidth="1"/>
    <col min="14377" max="14377" width="14.5703125" customWidth="1"/>
    <col min="14378" max="14378" width="13.28515625" bestFit="1" customWidth="1"/>
    <col min="14379" max="14379" width="7.7109375" bestFit="1" customWidth="1"/>
    <col min="14380" max="14380" width="12.7109375" bestFit="1" customWidth="1"/>
    <col min="14381" max="14381" width="11.7109375" bestFit="1" customWidth="1"/>
    <col min="14382" max="14382" width="11.5703125" bestFit="1" customWidth="1"/>
    <col min="14383" max="14383" width="5.28515625" bestFit="1" customWidth="1"/>
    <col min="14384" max="14384" width="13.28515625" bestFit="1" customWidth="1"/>
    <col min="14385" max="14385" width="13.5703125" bestFit="1" customWidth="1"/>
    <col min="14386" max="14386" width="10.5703125" bestFit="1" customWidth="1"/>
    <col min="14387" max="14387" width="13.28515625" bestFit="1" customWidth="1"/>
    <col min="14388" max="14388" width="11.5703125" bestFit="1" customWidth="1"/>
    <col min="14389" max="14389" width="10.5703125" bestFit="1" customWidth="1"/>
    <col min="14390" max="14390" width="16.140625" bestFit="1" customWidth="1"/>
    <col min="14391" max="14392" width="11.28515625" bestFit="1" customWidth="1"/>
    <col min="14393" max="14393" width="13.28515625" bestFit="1" customWidth="1"/>
    <col min="14394" max="14394" width="7.7109375" bestFit="1" customWidth="1"/>
    <col min="14395" max="14398" width="9.140625" hidden="1" customWidth="1"/>
    <col min="14399" max="14399" width="10.42578125" bestFit="1" customWidth="1"/>
    <col min="14400" max="14400" width="10.5703125" bestFit="1" customWidth="1"/>
    <col min="14401" max="14401" width="10.42578125" bestFit="1" customWidth="1"/>
    <col min="14402" max="14402" width="10.5703125" bestFit="1" customWidth="1"/>
    <col min="14403" max="14403" width="9.5703125" bestFit="1" customWidth="1"/>
    <col min="14404" max="14404" width="11.5703125" bestFit="1" customWidth="1"/>
    <col min="14405" max="14405" width="10.42578125" bestFit="1" customWidth="1"/>
    <col min="14406" max="14406" width="10.85546875" customWidth="1"/>
    <col min="14407" max="14408" width="9.85546875" bestFit="1" customWidth="1"/>
    <col min="14409" max="14409" width="13.5703125" bestFit="1" customWidth="1"/>
    <col min="14410" max="14410" width="7.7109375" bestFit="1" customWidth="1"/>
    <col min="14411" max="14411" width="13.28515625" bestFit="1" customWidth="1"/>
    <col min="14412" max="14412" width="11.5703125" bestFit="1" customWidth="1"/>
    <col min="14413" max="14413" width="10.42578125" bestFit="1" customWidth="1"/>
    <col min="14414" max="14414" width="7.7109375" bestFit="1" customWidth="1"/>
    <col min="14415" max="14415" width="11.5703125" bestFit="1" customWidth="1"/>
    <col min="14416" max="14416" width="10.85546875" bestFit="1" customWidth="1"/>
    <col min="14417" max="14417" width="13.28515625" bestFit="1" customWidth="1"/>
    <col min="14418" max="14418" width="10.85546875" bestFit="1" customWidth="1"/>
    <col min="14419" max="14420" width="7.5703125" bestFit="1" customWidth="1"/>
    <col min="14421" max="14422" width="10.42578125" bestFit="1" customWidth="1"/>
    <col min="14423" max="14423" width="11.5703125" bestFit="1" customWidth="1"/>
    <col min="14424" max="14424" width="5.28515625" bestFit="1" customWidth="1"/>
    <col min="14425" max="14425" width="10.28515625" bestFit="1" customWidth="1"/>
    <col min="14426" max="14426" width="10.42578125" bestFit="1" customWidth="1"/>
    <col min="14427" max="14427" width="11.5703125" bestFit="1" customWidth="1"/>
    <col min="14428" max="14428" width="5.28515625" bestFit="1" customWidth="1"/>
    <col min="14429" max="14431" width="11.5703125" bestFit="1" customWidth="1"/>
    <col min="14432" max="14432" width="5.28515625" bestFit="1" customWidth="1"/>
    <col min="14433" max="14434" width="10.42578125" bestFit="1" customWidth="1"/>
    <col min="14435" max="14435" width="11.5703125" bestFit="1" customWidth="1"/>
    <col min="14436" max="14436" width="5.28515625" bestFit="1" customWidth="1"/>
    <col min="14437" max="14437" width="14.28515625" bestFit="1" customWidth="1"/>
    <col min="14438" max="14438" width="13" bestFit="1" customWidth="1"/>
    <col min="14439" max="14439" width="11.5703125" bestFit="1" customWidth="1"/>
    <col min="14440" max="14440" width="8.85546875" bestFit="1" customWidth="1"/>
    <col min="14441" max="14441" width="14.42578125" bestFit="1" customWidth="1"/>
    <col min="14442" max="14442" width="10.42578125" bestFit="1" customWidth="1"/>
    <col min="14443" max="14443" width="12.28515625" bestFit="1" customWidth="1"/>
    <col min="14444" max="14444" width="13.85546875" bestFit="1" customWidth="1"/>
    <col min="14445" max="14445" width="11.28515625" customWidth="1"/>
    <col min="14446" max="14446" width="11.5703125" customWidth="1"/>
    <col min="14447" max="14447" width="13.42578125" bestFit="1" customWidth="1"/>
    <col min="14448" max="14448" width="10.42578125" customWidth="1"/>
    <col min="14449" max="14449" width="13.85546875" bestFit="1" customWidth="1"/>
    <col min="14450" max="14450" width="15.42578125" bestFit="1" customWidth="1"/>
    <col min="14451" max="14451" width="12.28515625" bestFit="1" customWidth="1"/>
    <col min="14452" max="14452" width="12.7109375" customWidth="1"/>
    <col min="14453" max="14453" width="10.7109375" bestFit="1" customWidth="1"/>
    <col min="14454" max="14454" width="9.85546875" customWidth="1"/>
    <col min="14455" max="14456" width="10.140625" bestFit="1" customWidth="1"/>
    <col min="14457" max="14457" width="7.5703125" bestFit="1" customWidth="1"/>
    <col min="14458" max="14458" width="9.42578125" bestFit="1" customWidth="1"/>
    <col min="14459" max="14459" width="14.5703125" bestFit="1" customWidth="1"/>
    <col min="14460" max="14460" width="14.85546875" customWidth="1"/>
    <col min="14461" max="14461" width="15.140625" bestFit="1" customWidth="1"/>
    <col min="14462" max="14462" width="12.140625" bestFit="1" customWidth="1"/>
    <col min="14463" max="14463" width="14.85546875" bestFit="1" customWidth="1"/>
    <col min="14464" max="14464" width="12.28515625" bestFit="1" customWidth="1"/>
    <col min="14465" max="14473" width="9.140625" hidden="1" customWidth="1"/>
    <col min="14474" max="14474" width="5.28515625" bestFit="1" customWidth="1"/>
    <col min="14475" max="14480" width="11.5703125" bestFit="1" customWidth="1"/>
    <col min="14481" max="14481" width="11.28515625" bestFit="1" customWidth="1"/>
    <col min="14482" max="14482" width="10.140625" bestFit="1" customWidth="1"/>
    <col min="14483" max="14483" width="11.5703125" bestFit="1" customWidth="1"/>
    <col min="14484" max="14484" width="16.140625" customWidth="1"/>
    <col min="14485" max="14485" width="13.42578125" customWidth="1"/>
    <col min="14486" max="14486" width="10.140625" bestFit="1" customWidth="1"/>
    <col min="14487" max="14487" width="12.85546875" bestFit="1" customWidth="1"/>
    <col min="14488" max="14488" width="12.28515625" bestFit="1" customWidth="1"/>
    <col min="14489" max="14489" width="11.28515625" bestFit="1" customWidth="1"/>
    <col min="14490" max="14490" width="11.5703125" bestFit="1" customWidth="1"/>
    <col min="14491" max="14491" width="10.85546875" bestFit="1" customWidth="1"/>
    <col min="14492" max="14492" width="11.28515625" bestFit="1" customWidth="1"/>
    <col min="14493" max="14493" width="10.140625" bestFit="1" customWidth="1"/>
    <col min="14494" max="14494" width="13.28515625" bestFit="1" customWidth="1"/>
    <col min="14495" max="14496" width="12.7109375" bestFit="1" customWidth="1"/>
    <col min="14497" max="14497" width="11" bestFit="1" customWidth="1"/>
    <col min="14498" max="14498" width="11.28515625" bestFit="1" customWidth="1"/>
    <col min="14499" max="14499" width="11.5703125" bestFit="1" customWidth="1"/>
    <col min="14500" max="14500" width="12.28515625" bestFit="1" customWidth="1"/>
    <col min="14501" max="14501" width="15.140625" bestFit="1" customWidth="1"/>
    <col min="14502" max="14502" width="14.42578125" bestFit="1" customWidth="1"/>
    <col min="14503" max="14503" width="12.28515625" bestFit="1" customWidth="1"/>
    <col min="14504" max="14504" width="15.140625" bestFit="1" customWidth="1"/>
    <col min="14505" max="14505" width="14.42578125" bestFit="1" customWidth="1"/>
    <col min="14506" max="14506" width="12.28515625" bestFit="1" customWidth="1"/>
    <col min="14507" max="14507" width="14.42578125" bestFit="1" customWidth="1"/>
    <col min="14508" max="14508" width="11.28515625" bestFit="1" customWidth="1"/>
    <col min="14509" max="14509" width="12.28515625" bestFit="1" customWidth="1"/>
    <col min="14510" max="14510" width="13" bestFit="1" customWidth="1"/>
    <col min="14511" max="14511" width="15.140625" bestFit="1" customWidth="1"/>
    <col min="14512" max="14512" width="12.28515625" bestFit="1" customWidth="1"/>
    <col min="14513" max="14513" width="13.85546875" bestFit="1" customWidth="1"/>
    <col min="14514" max="14514" width="11.28515625" bestFit="1" customWidth="1"/>
    <col min="14515" max="14515" width="12.28515625" bestFit="1" customWidth="1"/>
    <col min="14516" max="14516" width="13.85546875" bestFit="1" customWidth="1"/>
    <col min="14517" max="14518" width="15.140625" bestFit="1" customWidth="1"/>
    <col min="14519" max="14519" width="12.28515625" bestFit="1" customWidth="1"/>
    <col min="14520" max="14520" width="5.7109375" bestFit="1" customWidth="1"/>
    <col min="14521" max="14521" width="8.5703125" bestFit="1" customWidth="1"/>
    <col min="14522" max="14522" width="5.5703125" bestFit="1" customWidth="1"/>
    <col min="14523" max="14523" width="14.42578125" bestFit="1" customWidth="1"/>
    <col min="14524" max="14524" width="11.28515625" bestFit="1" customWidth="1"/>
    <col min="14525" max="14526" width="12.28515625" bestFit="1" customWidth="1"/>
    <col min="14527" max="14527" width="11.28515625" bestFit="1" customWidth="1"/>
    <col min="14528" max="14528" width="13.85546875" bestFit="1" customWidth="1"/>
    <col min="14529" max="14529" width="12" bestFit="1" customWidth="1"/>
    <col min="14530" max="14530" width="13.85546875" bestFit="1" customWidth="1"/>
    <col min="14531" max="14532" width="14.42578125" customWidth="1"/>
    <col min="14533" max="14533" width="10.140625" bestFit="1" customWidth="1"/>
    <col min="14534" max="14534" width="12.28515625" bestFit="1" customWidth="1"/>
    <col min="14535" max="14535" width="7.42578125" bestFit="1" customWidth="1"/>
    <col min="14536" max="14536" width="8.5703125" bestFit="1" customWidth="1"/>
    <col min="14537" max="14537" width="11.5703125" bestFit="1" customWidth="1"/>
    <col min="14538" max="14538" width="13.28515625" bestFit="1" customWidth="1"/>
    <col min="14539" max="14539" width="13.28515625" customWidth="1"/>
    <col min="14540" max="14540" width="13.140625" customWidth="1"/>
    <col min="14541" max="14541" width="12.7109375" bestFit="1" customWidth="1"/>
    <col min="14542" max="14542" width="13.28515625" bestFit="1" customWidth="1"/>
    <col min="14543" max="14545" width="13.28515625" customWidth="1"/>
    <col min="14546" max="14546" width="12.140625" bestFit="1" customWidth="1"/>
    <col min="14547" max="14547" width="12.7109375" bestFit="1" customWidth="1"/>
    <col min="14548" max="14548" width="11" customWidth="1"/>
    <col min="14549" max="14549" width="16.7109375" customWidth="1"/>
    <col min="14550" max="14550" width="17" customWidth="1"/>
    <col min="14551" max="14551" width="10.42578125" bestFit="1" customWidth="1"/>
    <col min="14595" max="14595" width="3.85546875" customWidth="1"/>
    <col min="14596" max="14596" width="15.28515625" bestFit="1" customWidth="1"/>
    <col min="14597" max="14597" width="12.28515625" customWidth="1"/>
    <col min="14598" max="14598" width="16.28515625" bestFit="1" customWidth="1"/>
    <col min="14599" max="14599" width="6.42578125" bestFit="1" customWidth="1"/>
    <col min="14600" max="14600" width="9.28515625" bestFit="1" customWidth="1"/>
    <col min="14601" max="14601" width="7.5703125" bestFit="1" customWidth="1"/>
    <col min="14602" max="14602" width="13.28515625" bestFit="1" customWidth="1"/>
    <col min="14603" max="14603" width="9.28515625" bestFit="1" customWidth="1"/>
    <col min="14604" max="14604" width="11.5703125" bestFit="1" customWidth="1"/>
    <col min="14605" max="14605" width="13.28515625" bestFit="1" customWidth="1"/>
    <col min="14606" max="14606" width="7.140625" bestFit="1" customWidth="1"/>
    <col min="14607" max="14607" width="12" bestFit="1" customWidth="1"/>
    <col min="14608" max="14608" width="13.28515625" bestFit="1" customWidth="1"/>
    <col min="14609" max="14609" width="7" bestFit="1" customWidth="1"/>
    <col min="14610" max="14610" width="12.7109375" bestFit="1" customWidth="1"/>
    <col min="14611" max="14611" width="11.5703125" bestFit="1" customWidth="1"/>
    <col min="14612" max="14612" width="10.5703125" bestFit="1" customWidth="1"/>
    <col min="14613" max="14614" width="15.7109375" bestFit="1" customWidth="1"/>
    <col min="14615" max="14615" width="11.5703125" bestFit="1" customWidth="1"/>
    <col min="14616" max="14616" width="7.7109375" bestFit="1" customWidth="1"/>
    <col min="14617" max="14617" width="15.140625" bestFit="1" customWidth="1"/>
    <col min="14618" max="14618" width="11.5703125" bestFit="1" customWidth="1"/>
    <col min="14619" max="14619" width="13.28515625" bestFit="1" customWidth="1"/>
    <col min="14620" max="14620" width="10.42578125" bestFit="1" customWidth="1"/>
    <col min="14621" max="14621" width="13.28515625" bestFit="1" customWidth="1"/>
    <col min="14622" max="14622" width="12.140625" bestFit="1" customWidth="1"/>
    <col min="14623" max="14623" width="14.42578125" bestFit="1" customWidth="1"/>
    <col min="14624" max="14624" width="13.28515625" bestFit="1" customWidth="1"/>
    <col min="14625" max="14625" width="11.5703125" bestFit="1" customWidth="1"/>
    <col min="14626" max="14626" width="7.7109375" bestFit="1" customWidth="1"/>
    <col min="14627" max="14628" width="14.42578125" bestFit="1" customWidth="1"/>
    <col min="14629" max="14629" width="11.5703125" bestFit="1" customWidth="1"/>
    <col min="14630" max="14630" width="7.7109375" bestFit="1" customWidth="1"/>
    <col min="14631" max="14631" width="13.5703125" customWidth="1"/>
    <col min="14632" max="14632" width="15.28515625" customWidth="1"/>
    <col min="14633" max="14633" width="14.5703125" customWidth="1"/>
    <col min="14634" max="14634" width="13.28515625" bestFit="1" customWidth="1"/>
    <col min="14635" max="14635" width="7.7109375" bestFit="1" customWidth="1"/>
    <col min="14636" max="14636" width="12.7109375" bestFit="1" customWidth="1"/>
    <col min="14637" max="14637" width="11.7109375" bestFit="1" customWidth="1"/>
    <col min="14638" max="14638" width="11.5703125" bestFit="1" customWidth="1"/>
    <col min="14639" max="14639" width="5.28515625" bestFit="1" customWidth="1"/>
    <col min="14640" max="14640" width="13.28515625" bestFit="1" customWidth="1"/>
    <col min="14641" max="14641" width="13.5703125" bestFit="1" customWidth="1"/>
    <col min="14642" max="14642" width="10.5703125" bestFit="1" customWidth="1"/>
    <col min="14643" max="14643" width="13.28515625" bestFit="1" customWidth="1"/>
    <col min="14644" max="14644" width="11.5703125" bestFit="1" customWidth="1"/>
    <col min="14645" max="14645" width="10.5703125" bestFit="1" customWidth="1"/>
    <col min="14646" max="14646" width="16.140625" bestFit="1" customWidth="1"/>
    <col min="14647" max="14648" width="11.28515625" bestFit="1" customWidth="1"/>
    <col min="14649" max="14649" width="13.28515625" bestFit="1" customWidth="1"/>
    <col min="14650" max="14650" width="7.7109375" bestFit="1" customWidth="1"/>
    <col min="14651" max="14654" width="9.140625" hidden="1" customWidth="1"/>
    <col min="14655" max="14655" width="10.42578125" bestFit="1" customWidth="1"/>
    <col min="14656" max="14656" width="10.5703125" bestFit="1" customWidth="1"/>
    <col min="14657" max="14657" width="10.42578125" bestFit="1" customWidth="1"/>
    <col min="14658" max="14658" width="10.5703125" bestFit="1" customWidth="1"/>
    <col min="14659" max="14659" width="9.5703125" bestFit="1" customWidth="1"/>
    <col min="14660" max="14660" width="11.5703125" bestFit="1" customWidth="1"/>
    <col min="14661" max="14661" width="10.42578125" bestFit="1" customWidth="1"/>
    <col min="14662" max="14662" width="10.85546875" customWidth="1"/>
    <col min="14663" max="14664" width="9.85546875" bestFit="1" customWidth="1"/>
    <col min="14665" max="14665" width="13.5703125" bestFit="1" customWidth="1"/>
    <col min="14666" max="14666" width="7.7109375" bestFit="1" customWidth="1"/>
    <col min="14667" max="14667" width="13.28515625" bestFit="1" customWidth="1"/>
    <col min="14668" max="14668" width="11.5703125" bestFit="1" customWidth="1"/>
    <col min="14669" max="14669" width="10.42578125" bestFit="1" customWidth="1"/>
    <col min="14670" max="14670" width="7.7109375" bestFit="1" customWidth="1"/>
    <col min="14671" max="14671" width="11.5703125" bestFit="1" customWidth="1"/>
    <col min="14672" max="14672" width="10.85546875" bestFit="1" customWidth="1"/>
    <col min="14673" max="14673" width="13.28515625" bestFit="1" customWidth="1"/>
    <col min="14674" max="14674" width="10.85546875" bestFit="1" customWidth="1"/>
    <col min="14675" max="14676" width="7.5703125" bestFit="1" customWidth="1"/>
    <col min="14677" max="14678" width="10.42578125" bestFit="1" customWidth="1"/>
    <col min="14679" max="14679" width="11.5703125" bestFit="1" customWidth="1"/>
    <col min="14680" max="14680" width="5.28515625" bestFit="1" customWidth="1"/>
    <col min="14681" max="14681" width="10.28515625" bestFit="1" customWidth="1"/>
    <col min="14682" max="14682" width="10.42578125" bestFit="1" customWidth="1"/>
    <col min="14683" max="14683" width="11.5703125" bestFit="1" customWidth="1"/>
    <col min="14684" max="14684" width="5.28515625" bestFit="1" customWidth="1"/>
    <col min="14685" max="14687" width="11.5703125" bestFit="1" customWidth="1"/>
    <col min="14688" max="14688" width="5.28515625" bestFit="1" customWidth="1"/>
    <col min="14689" max="14690" width="10.42578125" bestFit="1" customWidth="1"/>
    <col min="14691" max="14691" width="11.5703125" bestFit="1" customWidth="1"/>
    <col min="14692" max="14692" width="5.28515625" bestFit="1" customWidth="1"/>
    <col min="14693" max="14693" width="14.28515625" bestFit="1" customWidth="1"/>
    <col min="14694" max="14694" width="13" bestFit="1" customWidth="1"/>
    <col min="14695" max="14695" width="11.5703125" bestFit="1" customWidth="1"/>
    <col min="14696" max="14696" width="8.85546875" bestFit="1" customWidth="1"/>
    <col min="14697" max="14697" width="14.42578125" bestFit="1" customWidth="1"/>
    <col min="14698" max="14698" width="10.42578125" bestFit="1" customWidth="1"/>
    <col min="14699" max="14699" width="12.28515625" bestFit="1" customWidth="1"/>
    <col min="14700" max="14700" width="13.85546875" bestFit="1" customWidth="1"/>
    <col min="14701" max="14701" width="11.28515625" customWidth="1"/>
    <col min="14702" max="14702" width="11.5703125" customWidth="1"/>
    <col min="14703" max="14703" width="13.42578125" bestFit="1" customWidth="1"/>
    <col min="14704" max="14704" width="10.42578125" customWidth="1"/>
    <col min="14705" max="14705" width="13.85546875" bestFit="1" customWidth="1"/>
    <col min="14706" max="14706" width="15.42578125" bestFit="1" customWidth="1"/>
    <col min="14707" max="14707" width="12.28515625" bestFit="1" customWidth="1"/>
    <col min="14708" max="14708" width="12.7109375" customWidth="1"/>
    <col min="14709" max="14709" width="10.7109375" bestFit="1" customWidth="1"/>
    <col min="14710" max="14710" width="9.85546875" customWidth="1"/>
    <col min="14711" max="14712" width="10.140625" bestFit="1" customWidth="1"/>
    <col min="14713" max="14713" width="7.5703125" bestFit="1" customWidth="1"/>
    <col min="14714" max="14714" width="9.42578125" bestFit="1" customWidth="1"/>
    <col min="14715" max="14715" width="14.5703125" bestFit="1" customWidth="1"/>
    <col min="14716" max="14716" width="14.85546875" customWidth="1"/>
    <col min="14717" max="14717" width="15.140625" bestFit="1" customWidth="1"/>
    <col min="14718" max="14718" width="12.140625" bestFit="1" customWidth="1"/>
    <col min="14719" max="14719" width="14.85546875" bestFit="1" customWidth="1"/>
    <col min="14720" max="14720" width="12.28515625" bestFit="1" customWidth="1"/>
    <col min="14721" max="14729" width="9.140625" hidden="1" customWidth="1"/>
    <col min="14730" max="14730" width="5.28515625" bestFit="1" customWidth="1"/>
    <col min="14731" max="14736" width="11.5703125" bestFit="1" customWidth="1"/>
    <col min="14737" max="14737" width="11.28515625" bestFit="1" customWidth="1"/>
    <col min="14738" max="14738" width="10.140625" bestFit="1" customWidth="1"/>
    <col min="14739" max="14739" width="11.5703125" bestFit="1" customWidth="1"/>
    <col min="14740" max="14740" width="16.140625" customWidth="1"/>
    <col min="14741" max="14741" width="13.42578125" customWidth="1"/>
    <col min="14742" max="14742" width="10.140625" bestFit="1" customWidth="1"/>
    <col min="14743" max="14743" width="12.85546875" bestFit="1" customWidth="1"/>
    <col min="14744" max="14744" width="12.28515625" bestFit="1" customWidth="1"/>
    <col min="14745" max="14745" width="11.28515625" bestFit="1" customWidth="1"/>
    <col min="14746" max="14746" width="11.5703125" bestFit="1" customWidth="1"/>
    <col min="14747" max="14747" width="10.85546875" bestFit="1" customWidth="1"/>
    <col min="14748" max="14748" width="11.28515625" bestFit="1" customWidth="1"/>
    <col min="14749" max="14749" width="10.140625" bestFit="1" customWidth="1"/>
    <col min="14750" max="14750" width="13.28515625" bestFit="1" customWidth="1"/>
    <col min="14751" max="14752" width="12.7109375" bestFit="1" customWidth="1"/>
    <col min="14753" max="14753" width="11" bestFit="1" customWidth="1"/>
    <col min="14754" max="14754" width="11.28515625" bestFit="1" customWidth="1"/>
    <col min="14755" max="14755" width="11.5703125" bestFit="1" customWidth="1"/>
    <col min="14756" max="14756" width="12.28515625" bestFit="1" customWidth="1"/>
    <col min="14757" max="14757" width="15.140625" bestFit="1" customWidth="1"/>
    <col min="14758" max="14758" width="14.42578125" bestFit="1" customWidth="1"/>
    <col min="14759" max="14759" width="12.28515625" bestFit="1" customWidth="1"/>
    <col min="14760" max="14760" width="15.140625" bestFit="1" customWidth="1"/>
    <col min="14761" max="14761" width="14.42578125" bestFit="1" customWidth="1"/>
    <col min="14762" max="14762" width="12.28515625" bestFit="1" customWidth="1"/>
    <col min="14763" max="14763" width="14.42578125" bestFit="1" customWidth="1"/>
    <col min="14764" max="14764" width="11.28515625" bestFit="1" customWidth="1"/>
    <col min="14765" max="14765" width="12.28515625" bestFit="1" customWidth="1"/>
    <col min="14766" max="14766" width="13" bestFit="1" customWidth="1"/>
    <col min="14767" max="14767" width="15.140625" bestFit="1" customWidth="1"/>
    <col min="14768" max="14768" width="12.28515625" bestFit="1" customWidth="1"/>
    <col min="14769" max="14769" width="13.85546875" bestFit="1" customWidth="1"/>
    <col min="14770" max="14770" width="11.28515625" bestFit="1" customWidth="1"/>
    <col min="14771" max="14771" width="12.28515625" bestFit="1" customWidth="1"/>
    <col min="14772" max="14772" width="13.85546875" bestFit="1" customWidth="1"/>
    <col min="14773" max="14774" width="15.140625" bestFit="1" customWidth="1"/>
    <col min="14775" max="14775" width="12.28515625" bestFit="1" customWidth="1"/>
    <col min="14776" max="14776" width="5.7109375" bestFit="1" customWidth="1"/>
    <col min="14777" max="14777" width="8.5703125" bestFit="1" customWidth="1"/>
    <col min="14778" max="14778" width="5.5703125" bestFit="1" customWidth="1"/>
    <col min="14779" max="14779" width="14.42578125" bestFit="1" customWidth="1"/>
    <col min="14780" max="14780" width="11.28515625" bestFit="1" customWidth="1"/>
    <col min="14781" max="14782" width="12.28515625" bestFit="1" customWidth="1"/>
    <col min="14783" max="14783" width="11.28515625" bestFit="1" customWidth="1"/>
    <col min="14784" max="14784" width="13.85546875" bestFit="1" customWidth="1"/>
    <col min="14785" max="14785" width="12" bestFit="1" customWidth="1"/>
    <col min="14786" max="14786" width="13.85546875" bestFit="1" customWidth="1"/>
    <col min="14787" max="14788" width="14.42578125" customWidth="1"/>
    <col min="14789" max="14789" width="10.140625" bestFit="1" customWidth="1"/>
    <col min="14790" max="14790" width="12.28515625" bestFit="1" customWidth="1"/>
    <col min="14791" max="14791" width="7.42578125" bestFit="1" customWidth="1"/>
    <col min="14792" max="14792" width="8.5703125" bestFit="1" customWidth="1"/>
    <col min="14793" max="14793" width="11.5703125" bestFit="1" customWidth="1"/>
    <col min="14794" max="14794" width="13.28515625" bestFit="1" customWidth="1"/>
    <col min="14795" max="14795" width="13.28515625" customWidth="1"/>
    <col min="14796" max="14796" width="13.140625" customWidth="1"/>
    <col min="14797" max="14797" width="12.7109375" bestFit="1" customWidth="1"/>
    <col min="14798" max="14798" width="13.28515625" bestFit="1" customWidth="1"/>
    <col min="14799" max="14801" width="13.28515625" customWidth="1"/>
    <col min="14802" max="14802" width="12.140625" bestFit="1" customWidth="1"/>
    <col min="14803" max="14803" width="12.7109375" bestFit="1" customWidth="1"/>
    <col min="14804" max="14804" width="11" customWidth="1"/>
    <col min="14805" max="14805" width="16.7109375" customWidth="1"/>
    <col min="14806" max="14806" width="17" customWidth="1"/>
    <col min="14807" max="14807" width="10.42578125" bestFit="1" customWidth="1"/>
    <col min="14851" max="14851" width="3.85546875" customWidth="1"/>
    <col min="14852" max="14852" width="15.28515625" bestFit="1" customWidth="1"/>
    <col min="14853" max="14853" width="12.28515625" customWidth="1"/>
    <col min="14854" max="14854" width="16.28515625" bestFit="1" customWidth="1"/>
    <col min="14855" max="14855" width="6.42578125" bestFit="1" customWidth="1"/>
    <col min="14856" max="14856" width="9.28515625" bestFit="1" customWidth="1"/>
    <col min="14857" max="14857" width="7.5703125" bestFit="1" customWidth="1"/>
    <col min="14858" max="14858" width="13.28515625" bestFit="1" customWidth="1"/>
    <col min="14859" max="14859" width="9.28515625" bestFit="1" customWidth="1"/>
    <col min="14860" max="14860" width="11.5703125" bestFit="1" customWidth="1"/>
    <col min="14861" max="14861" width="13.28515625" bestFit="1" customWidth="1"/>
    <col min="14862" max="14862" width="7.140625" bestFit="1" customWidth="1"/>
    <col min="14863" max="14863" width="12" bestFit="1" customWidth="1"/>
    <col min="14864" max="14864" width="13.28515625" bestFit="1" customWidth="1"/>
    <col min="14865" max="14865" width="7" bestFit="1" customWidth="1"/>
    <col min="14866" max="14866" width="12.7109375" bestFit="1" customWidth="1"/>
    <col min="14867" max="14867" width="11.5703125" bestFit="1" customWidth="1"/>
    <col min="14868" max="14868" width="10.5703125" bestFit="1" customWidth="1"/>
    <col min="14869" max="14870" width="15.7109375" bestFit="1" customWidth="1"/>
    <col min="14871" max="14871" width="11.5703125" bestFit="1" customWidth="1"/>
    <col min="14872" max="14872" width="7.7109375" bestFit="1" customWidth="1"/>
    <col min="14873" max="14873" width="15.140625" bestFit="1" customWidth="1"/>
    <col min="14874" max="14874" width="11.5703125" bestFit="1" customWidth="1"/>
    <col min="14875" max="14875" width="13.28515625" bestFit="1" customWidth="1"/>
    <col min="14876" max="14876" width="10.42578125" bestFit="1" customWidth="1"/>
    <col min="14877" max="14877" width="13.28515625" bestFit="1" customWidth="1"/>
    <col min="14878" max="14878" width="12.140625" bestFit="1" customWidth="1"/>
    <col min="14879" max="14879" width="14.42578125" bestFit="1" customWidth="1"/>
    <col min="14880" max="14880" width="13.28515625" bestFit="1" customWidth="1"/>
    <col min="14881" max="14881" width="11.5703125" bestFit="1" customWidth="1"/>
    <col min="14882" max="14882" width="7.7109375" bestFit="1" customWidth="1"/>
    <col min="14883" max="14884" width="14.42578125" bestFit="1" customWidth="1"/>
    <col min="14885" max="14885" width="11.5703125" bestFit="1" customWidth="1"/>
    <col min="14886" max="14886" width="7.7109375" bestFit="1" customWidth="1"/>
    <col min="14887" max="14887" width="13.5703125" customWidth="1"/>
    <col min="14888" max="14888" width="15.28515625" customWidth="1"/>
    <col min="14889" max="14889" width="14.5703125" customWidth="1"/>
    <col min="14890" max="14890" width="13.28515625" bestFit="1" customWidth="1"/>
    <col min="14891" max="14891" width="7.7109375" bestFit="1" customWidth="1"/>
    <col min="14892" max="14892" width="12.7109375" bestFit="1" customWidth="1"/>
    <col min="14893" max="14893" width="11.7109375" bestFit="1" customWidth="1"/>
    <col min="14894" max="14894" width="11.5703125" bestFit="1" customWidth="1"/>
    <col min="14895" max="14895" width="5.28515625" bestFit="1" customWidth="1"/>
    <col min="14896" max="14896" width="13.28515625" bestFit="1" customWidth="1"/>
    <col min="14897" max="14897" width="13.5703125" bestFit="1" customWidth="1"/>
    <col min="14898" max="14898" width="10.5703125" bestFit="1" customWidth="1"/>
    <col min="14899" max="14899" width="13.28515625" bestFit="1" customWidth="1"/>
    <col min="14900" max="14900" width="11.5703125" bestFit="1" customWidth="1"/>
    <col min="14901" max="14901" width="10.5703125" bestFit="1" customWidth="1"/>
    <col min="14902" max="14902" width="16.140625" bestFit="1" customWidth="1"/>
    <col min="14903" max="14904" width="11.28515625" bestFit="1" customWidth="1"/>
    <col min="14905" max="14905" width="13.28515625" bestFit="1" customWidth="1"/>
    <col min="14906" max="14906" width="7.7109375" bestFit="1" customWidth="1"/>
    <col min="14907" max="14910" width="9.140625" hidden="1" customWidth="1"/>
    <col min="14911" max="14911" width="10.42578125" bestFit="1" customWidth="1"/>
    <col min="14912" max="14912" width="10.5703125" bestFit="1" customWidth="1"/>
    <col min="14913" max="14913" width="10.42578125" bestFit="1" customWidth="1"/>
    <col min="14914" max="14914" width="10.5703125" bestFit="1" customWidth="1"/>
    <col min="14915" max="14915" width="9.5703125" bestFit="1" customWidth="1"/>
    <col min="14916" max="14916" width="11.5703125" bestFit="1" customWidth="1"/>
    <col min="14917" max="14917" width="10.42578125" bestFit="1" customWidth="1"/>
    <col min="14918" max="14918" width="10.85546875" customWidth="1"/>
    <col min="14919" max="14920" width="9.85546875" bestFit="1" customWidth="1"/>
    <col min="14921" max="14921" width="13.5703125" bestFit="1" customWidth="1"/>
    <col min="14922" max="14922" width="7.7109375" bestFit="1" customWidth="1"/>
    <col min="14923" max="14923" width="13.28515625" bestFit="1" customWidth="1"/>
    <col min="14924" max="14924" width="11.5703125" bestFit="1" customWidth="1"/>
    <col min="14925" max="14925" width="10.42578125" bestFit="1" customWidth="1"/>
    <col min="14926" max="14926" width="7.7109375" bestFit="1" customWidth="1"/>
    <col min="14927" max="14927" width="11.5703125" bestFit="1" customWidth="1"/>
    <col min="14928" max="14928" width="10.85546875" bestFit="1" customWidth="1"/>
    <col min="14929" max="14929" width="13.28515625" bestFit="1" customWidth="1"/>
    <col min="14930" max="14930" width="10.85546875" bestFit="1" customWidth="1"/>
    <col min="14931" max="14932" width="7.5703125" bestFit="1" customWidth="1"/>
    <col min="14933" max="14934" width="10.42578125" bestFit="1" customWidth="1"/>
    <col min="14935" max="14935" width="11.5703125" bestFit="1" customWidth="1"/>
    <col min="14936" max="14936" width="5.28515625" bestFit="1" customWidth="1"/>
    <col min="14937" max="14937" width="10.28515625" bestFit="1" customWidth="1"/>
    <col min="14938" max="14938" width="10.42578125" bestFit="1" customWidth="1"/>
    <col min="14939" max="14939" width="11.5703125" bestFit="1" customWidth="1"/>
    <col min="14940" max="14940" width="5.28515625" bestFit="1" customWidth="1"/>
    <col min="14941" max="14943" width="11.5703125" bestFit="1" customWidth="1"/>
    <col min="14944" max="14944" width="5.28515625" bestFit="1" customWidth="1"/>
    <col min="14945" max="14946" width="10.42578125" bestFit="1" customWidth="1"/>
    <col min="14947" max="14947" width="11.5703125" bestFit="1" customWidth="1"/>
    <col min="14948" max="14948" width="5.28515625" bestFit="1" customWidth="1"/>
    <col min="14949" max="14949" width="14.28515625" bestFit="1" customWidth="1"/>
    <col min="14950" max="14950" width="13" bestFit="1" customWidth="1"/>
    <col min="14951" max="14951" width="11.5703125" bestFit="1" customWidth="1"/>
    <col min="14952" max="14952" width="8.85546875" bestFit="1" customWidth="1"/>
    <col min="14953" max="14953" width="14.42578125" bestFit="1" customWidth="1"/>
    <col min="14954" max="14954" width="10.42578125" bestFit="1" customWidth="1"/>
    <col min="14955" max="14955" width="12.28515625" bestFit="1" customWidth="1"/>
    <col min="14956" max="14956" width="13.85546875" bestFit="1" customWidth="1"/>
    <col min="14957" max="14957" width="11.28515625" customWidth="1"/>
    <col min="14958" max="14958" width="11.5703125" customWidth="1"/>
    <col min="14959" max="14959" width="13.42578125" bestFit="1" customWidth="1"/>
    <col min="14960" max="14960" width="10.42578125" customWidth="1"/>
    <col min="14961" max="14961" width="13.85546875" bestFit="1" customWidth="1"/>
    <col min="14962" max="14962" width="15.42578125" bestFit="1" customWidth="1"/>
    <col min="14963" max="14963" width="12.28515625" bestFit="1" customWidth="1"/>
    <col min="14964" max="14964" width="12.7109375" customWidth="1"/>
    <col min="14965" max="14965" width="10.7109375" bestFit="1" customWidth="1"/>
    <col min="14966" max="14966" width="9.85546875" customWidth="1"/>
    <col min="14967" max="14968" width="10.140625" bestFit="1" customWidth="1"/>
    <col min="14969" max="14969" width="7.5703125" bestFit="1" customWidth="1"/>
    <col min="14970" max="14970" width="9.42578125" bestFit="1" customWidth="1"/>
    <col min="14971" max="14971" width="14.5703125" bestFit="1" customWidth="1"/>
    <col min="14972" max="14972" width="14.85546875" customWidth="1"/>
    <col min="14973" max="14973" width="15.140625" bestFit="1" customWidth="1"/>
    <col min="14974" max="14974" width="12.140625" bestFit="1" customWidth="1"/>
    <col min="14975" max="14975" width="14.85546875" bestFit="1" customWidth="1"/>
    <col min="14976" max="14976" width="12.28515625" bestFit="1" customWidth="1"/>
    <col min="14977" max="14985" width="9.140625" hidden="1" customWidth="1"/>
    <col min="14986" max="14986" width="5.28515625" bestFit="1" customWidth="1"/>
    <col min="14987" max="14992" width="11.5703125" bestFit="1" customWidth="1"/>
    <col min="14993" max="14993" width="11.28515625" bestFit="1" customWidth="1"/>
    <col min="14994" max="14994" width="10.140625" bestFit="1" customWidth="1"/>
    <col min="14995" max="14995" width="11.5703125" bestFit="1" customWidth="1"/>
    <col min="14996" max="14996" width="16.140625" customWidth="1"/>
    <col min="14997" max="14997" width="13.42578125" customWidth="1"/>
    <col min="14998" max="14998" width="10.140625" bestFit="1" customWidth="1"/>
    <col min="14999" max="14999" width="12.85546875" bestFit="1" customWidth="1"/>
    <col min="15000" max="15000" width="12.28515625" bestFit="1" customWidth="1"/>
    <col min="15001" max="15001" width="11.28515625" bestFit="1" customWidth="1"/>
    <col min="15002" max="15002" width="11.5703125" bestFit="1" customWidth="1"/>
    <col min="15003" max="15003" width="10.85546875" bestFit="1" customWidth="1"/>
    <col min="15004" max="15004" width="11.28515625" bestFit="1" customWidth="1"/>
    <col min="15005" max="15005" width="10.140625" bestFit="1" customWidth="1"/>
    <col min="15006" max="15006" width="13.28515625" bestFit="1" customWidth="1"/>
    <col min="15007" max="15008" width="12.7109375" bestFit="1" customWidth="1"/>
    <col min="15009" max="15009" width="11" bestFit="1" customWidth="1"/>
    <col min="15010" max="15010" width="11.28515625" bestFit="1" customWidth="1"/>
    <col min="15011" max="15011" width="11.5703125" bestFit="1" customWidth="1"/>
    <col min="15012" max="15012" width="12.28515625" bestFit="1" customWidth="1"/>
    <col min="15013" max="15013" width="15.140625" bestFit="1" customWidth="1"/>
    <col min="15014" max="15014" width="14.42578125" bestFit="1" customWidth="1"/>
    <col min="15015" max="15015" width="12.28515625" bestFit="1" customWidth="1"/>
    <col min="15016" max="15016" width="15.140625" bestFit="1" customWidth="1"/>
    <col min="15017" max="15017" width="14.42578125" bestFit="1" customWidth="1"/>
    <col min="15018" max="15018" width="12.28515625" bestFit="1" customWidth="1"/>
    <col min="15019" max="15019" width="14.42578125" bestFit="1" customWidth="1"/>
    <col min="15020" max="15020" width="11.28515625" bestFit="1" customWidth="1"/>
    <col min="15021" max="15021" width="12.28515625" bestFit="1" customWidth="1"/>
    <col min="15022" max="15022" width="13" bestFit="1" customWidth="1"/>
    <col min="15023" max="15023" width="15.140625" bestFit="1" customWidth="1"/>
    <col min="15024" max="15024" width="12.28515625" bestFit="1" customWidth="1"/>
    <col min="15025" max="15025" width="13.85546875" bestFit="1" customWidth="1"/>
    <col min="15026" max="15026" width="11.28515625" bestFit="1" customWidth="1"/>
    <col min="15027" max="15027" width="12.28515625" bestFit="1" customWidth="1"/>
    <col min="15028" max="15028" width="13.85546875" bestFit="1" customWidth="1"/>
    <col min="15029" max="15030" width="15.140625" bestFit="1" customWidth="1"/>
    <col min="15031" max="15031" width="12.28515625" bestFit="1" customWidth="1"/>
    <col min="15032" max="15032" width="5.7109375" bestFit="1" customWidth="1"/>
    <col min="15033" max="15033" width="8.5703125" bestFit="1" customWidth="1"/>
    <col min="15034" max="15034" width="5.5703125" bestFit="1" customWidth="1"/>
    <col min="15035" max="15035" width="14.42578125" bestFit="1" customWidth="1"/>
    <col min="15036" max="15036" width="11.28515625" bestFit="1" customWidth="1"/>
    <col min="15037" max="15038" width="12.28515625" bestFit="1" customWidth="1"/>
    <col min="15039" max="15039" width="11.28515625" bestFit="1" customWidth="1"/>
    <col min="15040" max="15040" width="13.85546875" bestFit="1" customWidth="1"/>
    <col min="15041" max="15041" width="12" bestFit="1" customWidth="1"/>
    <col min="15042" max="15042" width="13.85546875" bestFit="1" customWidth="1"/>
    <col min="15043" max="15044" width="14.42578125" customWidth="1"/>
    <col min="15045" max="15045" width="10.140625" bestFit="1" customWidth="1"/>
    <col min="15046" max="15046" width="12.28515625" bestFit="1" customWidth="1"/>
    <col min="15047" max="15047" width="7.42578125" bestFit="1" customWidth="1"/>
    <col min="15048" max="15048" width="8.5703125" bestFit="1" customWidth="1"/>
    <col min="15049" max="15049" width="11.5703125" bestFit="1" customWidth="1"/>
    <col min="15050" max="15050" width="13.28515625" bestFit="1" customWidth="1"/>
    <col min="15051" max="15051" width="13.28515625" customWidth="1"/>
    <col min="15052" max="15052" width="13.140625" customWidth="1"/>
    <col min="15053" max="15053" width="12.7109375" bestFit="1" customWidth="1"/>
    <col min="15054" max="15054" width="13.28515625" bestFit="1" customWidth="1"/>
    <col min="15055" max="15057" width="13.28515625" customWidth="1"/>
    <col min="15058" max="15058" width="12.140625" bestFit="1" customWidth="1"/>
    <col min="15059" max="15059" width="12.7109375" bestFit="1" customWidth="1"/>
    <col min="15060" max="15060" width="11" customWidth="1"/>
    <col min="15061" max="15061" width="16.7109375" customWidth="1"/>
    <col min="15062" max="15062" width="17" customWidth="1"/>
    <col min="15063" max="15063" width="10.42578125" bestFit="1" customWidth="1"/>
    <col min="15107" max="15107" width="3.85546875" customWidth="1"/>
    <col min="15108" max="15108" width="15.28515625" bestFit="1" customWidth="1"/>
    <col min="15109" max="15109" width="12.28515625" customWidth="1"/>
    <col min="15110" max="15110" width="16.28515625" bestFit="1" customWidth="1"/>
    <col min="15111" max="15111" width="6.42578125" bestFit="1" customWidth="1"/>
    <col min="15112" max="15112" width="9.28515625" bestFit="1" customWidth="1"/>
    <col min="15113" max="15113" width="7.5703125" bestFit="1" customWidth="1"/>
    <col min="15114" max="15114" width="13.28515625" bestFit="1" customWidth="1"/>
    <col min="15115" max="15115" width="9.28515625" bestFit="1" customWidth="1"/>
    <col min="15116" max="15116" width="11.5703125" bestFit="1" customWidth="1"/>
    <col min="15117" max="15117" width="13.28515625" bestFit="1" customWidth="1"/>
    <col min="15118" max="15118" width="7.140625" bestFit="1" customWidth="1"/>
    <col min="15119" max="15119" width="12" bestFit="1" customWidth="1"/>
    <col min="15120" max="15120" width="13.28515625" bestFit="1" customWidth="1"/>
    <col min="15121" max="15121" width="7" bestFit="1" customWidth="1"/>
    <col min="15122" max="15122" width="12.7109375" bestFit="1" customWidth="1"/>
    <col min="15123" max="15123" width="11.5703125" bestFit="1" customWidth="1"/>
    <col min="15124" max="15124" width="10.5703125" bestFit="1" customWidth="1"/>
    <col min="15125" max="15126" width="15.7109375" bestFit="1" customWidth="1"/>
    <col min="15127" max="15127" width="11.5703125" bestFit="1" customWidth="1"/>
    <col min="15128" max="15128" width="7.7109375" bestFit="1" customWidth="1"/>
    <col min="15129" max="15129" width="15.140625" bestFit="1" customWidth="1"/>
    <col min="15130" max="15130" width="11.5703125" bestFit="1" customWidth="1"/>
    <col min="15131" max="15131" width="13.28515625" bestFit="1" customWidth="1"/>
    <col min="15132" max="15132" width="10.42578125" bestFit="1" customWidth="1"/>
    <col min="15133" max="15133" width="13.28515625" bestFit="1" customWidth="1"/>
    <col min="15134" max="15134" width="12.140625" bestFit="1" customWidth="1"/>
    <col min="15135" max="15135" width="14.42578125" bestFit="1" customWidth="1"/>
    <col min="15136" max="15136" width="13.28515625" bestFit="1" customWidth="1"/>
    <col min="15137" max="15137" width="11.5703125" bestFit="1" customWidth="1"/>
    <col min="15138" max="15138" width="7.7109375" bestFit="1" customWidth="1"/>
    <col min="15139" max="15140" width="14.42578125" bestFit="1" customWidth="1"/>
    <col min="15141" max="15141" width="11.5703125" bestFit="1" customWidth="1"/>
    <col min="15142" max="15142" width="7.7109375" bestFit="1" customWidth="1"/>
    <col min="15143" max="15143" width="13.5703125" customWidth="1"/>
    <col min="15144" max="15144" width="15.28515625" customWidth="1"/>
    <col min="15145" max="15145" width="14.5703125" customWidth="1"/>
    <col min="15146" max="15146" width="13.28515625" bestFit="1" customWidth="1"/>
    <col min="15147" max="15147" width="7.7109375" bestFit="1" customWidth="1"/>
    <col min="15148" max="15148" width="12.7109375" bestFit="1" customWidth="1"/>
    <col min="15149" max="15149" width="11.7109375" bestFit="1" customWidth="1"/>
    <col min="15150" max="15150" width="11.5703125" bestFit="1" customWidth="1"/>
    <col min="15151" max="15151" width="5.28515625" bestFit="1" customWidth="1"/>
    <col min="15152" max="15152" width="13.28515625" bestFit="1" customWidth="1"/>
    <col min="15153" max="15153" width="13.5703125" bestFit="1" customWidth="1"/>
    <col min="15154" max="15154" width="10.5703125" bestFit="1" customWidth="1"/>
    <col min="15155" max="15155" width="13.28515625" bestFit="1" customWidth="1"/>
    <col min="15156" max="15156" width="11.5703125" bestFit="1" customWidth="1"/>
    <col min="15157" max="15157" width="10.5703125" bestFit="1" customWidth="1"/>
    <col min="15158" max="15158" width="16.140625" bestFit="1" customWidth="1"/>
    <col min="15159" max="15160" width="11.28515625" bestFit="1" customWidth="1"/>
    <col min="15161" max="15161" width="13.28515625" bestFit="1" customWidth="1"/>
    <col min="15162" max="15162" width="7.7109375" bestFit="1" customWidth="1"/>
    <col min="15163" max="15166" width="9.140625" hidden="1" customWidth="1"/>
    <col min="15167" max="15167" width="10.42578125" bestFit="1" customWidth="1"/>
    <col min="15168" max="15168" width="10.5703125" bestFit="1" customWidth="1"/>
    <col min="15169" max="15169" width="10.42578125" bestFit="1" customWidth="1"/>
    <col min="15170" max="15170" width="10.5703125" bestFit="1" customWidth="1"/>
    <col min="15171" max="15171" width="9.5703125" bestFit="1" customWidth="1"/>
    <col min="15172" max="15172" width="11.5703125" bestFit="1" customWidth="1"/>
    <col min="15173" max="15173" width="10.42578125" bestFit="1" customWidth="1"/>
    <col min="15174" max="15174" width="10.85546875" customWidth="1"/>
    <col min="15175" max="15176" width="9.85546875" bestFit="1" customWidth="1"/>
    <col min="15177" max="15177" width="13.5703125" bestFit="1" customWidth="1"/>
    <col min="15178" max="15178" width="7.7109375" bestFit="1" customWidth="1"/>
    <col min="15179" max="15179" width="13.28515625" bestFit="1" customWidth="1"/>
    <col min="15180" max="15180" width="11.5703125" bestFit="1" customWidth="1"/>
    <col min="15181" max="15181" width="10.42578125" bestFit="1" customWidth="1"/>
    <col min="15182" max="15182" width="7.7109375" bestFit="1" customWidth="1"/>
    <col min="15183" max="15183" width="11.5703125" bestFit="1" customWidth="1"/>
    <col min="15184" max="15184" width="10.85546875" bestFit="1" customWidth="1"/>
    <col min="15185" max="15185" width="13.28515625" bestFit="1" customWidth="1"/>
    <col min="15186" max="15186" width="10.85546875" bestFit="1" customWidth="1"/>
    <col min="15187" max="15188" width="7.5703125" bestFit="1" customWidth="1"/>
    <col min="15189" max="15190" width="10.42578125" bestFit="1" customWidth="1"/>
    <col min="15191" max="15191" width="11.5703125" bestFit="1" customWidth="1"/>
    <col min="15192" max="15192" width="5.28515625" bestFit="1" customWidth="1"/>
    <col min="15193" max="15193" width="10.28515625" bestFit="1" customWidth="1"/>
    <col min="15194" max="15194" width="10.42578125" bestFit="1" customWidth="1"/>
    <col min="15195" max="15195" width="11.5703125" bestFit="1" customWidth="1"/>
    <col min="15196" max="15196" width="5.28515625" bestFit="1" customWidth="1"/>
    <col min="15197" max="15199" width="11.5703125" bestFit="1" customWidth="1"/>
    <col min="15200" max="15200" width="5.28515625" bestFit="1" customWidth="1"/>
    <col min="15201" max="15202" width="10.42578125" bestFit="1" customWidth="1"/>
    <col min="15203" max="15203" width="11.5703125" bestFit="1" customWidth="1"/>
    <col min="15204" max="15204" width="5.28515625" bestFit="1" customWidth="1"/>
    <col min="15205" max="15205" width="14.28515625" bestFit="1" customWidth="1"/>
    <col min="15206" max="15206" width="13" bestFit="1" customWidth="1"/>
    <col min="15207" max="15207" width="11.5703125" bestFit="1" customWidth="1"/>
    <col min="15208" max="15208" width="8.85546875" bestFit="1" customWidth="1"/>
    <col min="15209" max="15209" width="14.42578125" bestFit="1" customWidth="1"/>
    <col min="15210" max="15210" width="10.42578125" bestFit="1" customWidth="1"/>
    <col min="15211" max="15211" width="12.28515625" bestFit="1" customWidth="1"/>
    <col min="15212" max="15212" width="13.85546875" bestFit="1" customWidth="1"/>
    <col min="15213" max="15213" width="11.28515625" customWidth="1"/>
    <col min="15214" max="15214" width="11.5703125" customWidth="1"/>
    <col min="15215" max="15215" width="13.42578125" bestFit="1" customWidth="1"/>
    <col min="15216" max="15216" width="10.42578125" customWidth="1"/>
    <col min="15217" max="15217" width="13.85546875" bestFit="1" customWidth="1"/>
    <col min="15218" max="15218" width="15.42578125" bestFit="1" customWidth="1"/>
    <col min="15219" max="15219" width="12.28515625" bestFit="1" customWidth="1"/>
    <col min="15220" max="15220" width="12.7109375" customWidth="1"/>
    <col min="15221" max="15221" width="10.7109375" bestFit="1" customWidth="1"/>
    <col min="15222" max="15222" width="9.85546875" customWidth="1"/>
    <col min="15223" max="15224" width="10.140625" bestFit="1" customWidth="1"/>
    <col min="15225" max="15225" width="7.5703125" bestFit="1" customWidth="1"/>
    <col min="15226" max="15226" width="9.42578125" bestFit="1" customWidth="1"/>
    <col min="15227" max="15227" width="14.5703125" bestFit="1" customWidth="1"/>
    <col min="15228" max="15228" width="14.85546875" customWidth="1"/>
    <col min="15229" max="15229" width="15.140625" bestFit="1" customWidth="1"/>
    <col min="15230" max="15230" width="12.140625" bestFit="1" customWidth="1"/>
    <col min="15231" max="15231" width="14.85546875" bestFit="1" customWidth="1"/>
    <col min="15232" max="15232" width="12.28515625" bestFit="1" customWidth="1"/>
    <col min="15233" max="15241" width="9.140625" hidden="1" customWidth="1"/>
    <col min="15242" max="15242" width="5.28515625" bestFit="1" customWidth="1"/>
    <col min="15243" max="15248" width="11.5703125" bestFit="1" customWidth="1"/>
    <col min="15249" max="15249" width="11.28515625" bestFit="1" customWidth="1"/>
    <col min="15250" max="15250" width="10.140625" bestFit="1" customWidth="1"/>
    <col min="15251" max="15251" width="11.5703125" bestFit="1" customWidth="1"/>
    <col min="15252" max="15252" width="16.140625" customWidth="1"/>
    <col min="15253" max="15253" width="13.42578125" customWidth="1"/>
    <col min="15254" max="15254" width="10.140625" bestFit="1" customWidth="1"/>
    <col min="15255" max="15255" width="12.85546875" bestFit="1" customWidth="1"/>
    <col min="15256" max="15256" width="12.28515625" bestFit="1" customWidth="1"/>
    <col min="15257" max="15257" width="11.28515625" bestFit="1" customWidth="1"/>
    <col min="15258" max="15258" width="11.5703125" bestFit="1" customWidth="1"/>
    <col min="15259" max="15259" width="10.85546875" bestFit="1" customWidth="1"/>
    <col min="15260" max="15260" width="11.28515625" bestFit="1" customWidth="1"/>
    <col min="15261" max="15261" width="10.140625" bestFit="1" customWidth="1"/>
    <col min="15262" max="15262" width="13.28515625" bestFit="1" customWidth="1"/>
    <col min="15263" max="15264" width="12.7109375" bestFit="1" customWidth="1"/>
    <col min="15265" max="15265" width="11" bestFit="1" customWidth="1"/>
    <col min="15266" max="15266" width="11.28515625" bestFit="1" customWidth="1"/>
    <col min="15267" max="15267" width="11.5703125" bestFit="1" customWidth="1"/>
    <col min="15268" max="15268" width="12.28515625" bestFit="1" customWidth="1"/>
    <col min="15269" max="15269" width="15.140625" bestFit="1" customWidth="1"/>
    <col min="15270" max="15270" width="14.42578125" bestFit="1" customWidth="1"/>
    <col min="15271" max="15271" width="12.28515625" bestFit="1" customWidth="1"/>
    <col min="15272" max="15272" width="15.140625" bestFit="1" customWidth="1"/>
    <col min="15273" max="15273" width="14.42578125" bestFit="1" customWidth="1"/>
    <col min="15274" max="15274" width="12.28515625" bestFit="1" customWidth="1"/>
    <col min="15275" max="15275" width="14.42578125" bestFit="1" customWidth="1"/>
    <col min="15276" max="15276" width="11.28515625" bestFit="1" customWidth="1"/>
    <col min="15277" max="15277" width="12.28515625" bestFit="1" customWidth="1"/>
    <col min="15278" max="15278" width="13" bestFit="1" customWidth="1"/>
    <col min="15279" max="15279" width="15.140625" bestFit="1" customWidth="1"/>
    <col min="15280" max="15280" width="12.28515625" bestFit="1" customWidth="1"/>
    <col min="15281" max="15281" width="13.85546875" bestFit="1" customWidth="1"/>
    <col min="15282" max="15282" width="11.28515625" bestFit="1" customWidth="1"/>
    <col min="15283" max="15283" width="12.28515625" bestFit="1" customWidth="1"/>
    <col min="15284" max="15284" width="13.85546875" bestFit="1" customWidth="1"/>
    <col min="15285" max="15286" width="15.140625" bestFit="1" customWidth="1"/>
    <col min="15287" max="15287" width="12.28515625" bestFit="1" customWidth="1"/>
    <col min="15288" max="15288" width="5.7109375" bestFit="1" customWidth="1"/>
    <col min="15289" max="15289" width="8.5703125" bestFit="1" customWidth="1"/>
    <col min="15290" max="15290" width="5.5703125" bestFit="1" customWidth="1"/>
    <col min="15291" max="15291" width="14.42578125" bestFit="1" customWidth="1"/>
    <col min="15292" max="15292" width="11.28515625" bestFit="1" customWidth="1"/>
    <col min="15293" max="15294" width="12.28515625" bestFit="1" customWidth="1"/>
    <col min="15295" max="15295" width="11.28515625" bestFit="1" customWidth="1"/>
    <col min="15296" max="15296" width="13.85546875" bestFit="1" customWidth="1"/>
    <col min="15297" max="15297" width="12" bestFit="1" customWidth="1"/>
    <col min="15298" max="15298" width="13.85546875" bestFit="1" customWidth="1"/>
    <col min="15299" max="15300" width="14.42578125" customWidth="1"/>
    <col min="15301" max="15301" width="10.140625" bestFit="1" customWidth="1"/>
    <col min="15302" max="15302" width="12.28515625" bestFit="1" customWidth="1"/>
    <col min="15303" max="15303" width="7.42578125" bestFit="1" customWidth="1"/>
    <col min="15304" max="15304" width="8.5703125" bestFit="1" customWidth="1"/>
    <col min="15305" max="15305" width="11.5703125" bestFit="1" customWidth="1"/>
    <col min="15306" max="15306" width="13.28515625" bestFit="1" customWidth="1"/>
    <col min="15307" max="15307" width="13.28515625" customWidth="1"/>
    <col min="15308" max="15308" width="13.140625" customWidth="1"/>
    <col min="15309" max="15309" width="12.7109375" bestFit="1" customWidth="1"/>
    <col min="15310" max="15310" width="13.28515625" bestFit="1" customWidth="1"/>
    <col min="15311" max="15313" width="13.28515625" customWidth="1"/>
    <col min="15314" max="15314" width="12.140625" bestFit="1" customWidth="1"/>
    <col min="15315" max="15315" width="12.7109375" bestFit="1" customWidth="1"/>
    <col min="15316" max="15316" width="11" customWidth="1"/>
    <col min="15317" max="15317" width="16.7109375" customWidth="1"/>
    <col min="15318" max="15318" width="17" customWidth="1"/>
    <col min="15319" max="15319" width="10.42578125" bestFit="1" customWidth="1"/>
    <col min="15363" max="15363" width="3.85546875" customWidth="1"/>
    <col min="15364" max="15364" width="15.28515625" bestFit="1" customWidth="1"/>
    <col min="15365" max="15365" width="12.28515625" customWidth="1"/>
    <col min="15366" max="15366" width="16.28515625" bestFit="1" customWidth="1"/>
    <col min="15367" max="15367" width="6.42578125" bestFit="1" customWidth="1"/>
    <col min="15368" max="15368" width="9.28515625" bestFit="1" customWidth="1"/>
    <col min="15369" max="15369" width="7.5703125" bestFit="1" customWidth="1"/>
    <col min="15370" max="15370" width="13.28515625" bestFit="1" customWidth="1"/>
    <col min="15371" max="15371" width="9.28515625" bestFit="1" customWidth="1"/>
    <col min="15372" max="15372" width="11.5703125" bestFit="1" customWidth="1"/>
    <col min="15373" max="15373" width="13.28515625" bestFit="1" customWidth="1"/>
    <col min="15374" max="15374" width="7.140625" bestFit="1" customWidth="1"/>
    <col min="15375" max="15375" width="12" bestFit="1" customWidth="1"/>
    <col min="15376" max="15376" width="13.28515625" bestFit="1" customWidth="1"/>
    <col min="15377" max="15377" width="7" bestFit="1" customWidth="1"/>
    <col min="15378" max="15378" width="12.7109375" bestFit="1" customWidth="1"/>
    <col min="15379" max="15379" width="11.5703125" bestFit="1" customWidth="1"/>
    <col min="15380" max="15380" width="10.5703125" bestFit="1" customWidth="1"/>
    <col min="15381" max="15382" width="15.7109375" bestFit="1" customWidth="1"/>
    <col min="15383" max="15383" width="11.5703125" bestFit="1" customWidth="1"/>
    <col min="15384" max="15384" width="7.7109375" bestFit="1" customWidth="1"/>
    <col min="15385" max="15385" width="15.140625" bestFit="1" customWidth="1"/>
    <col min="15386" max="15386" width="11.5703125" bestFit="1" customWidth="1"/>
    <col min="15387" max="15387" width="13.28515625" bestFit="1" customWidth="1"/>
    <col min="15388" max="15388" width="10.42578125" bestFit="1" customWidth="1"/>
    <col min="15389" max="15389" width="13.28515625" bestFit="1" customWidth="1"/>
    <col min="15390" max="15390" width="12.140625" bestFit="1" customWidth="1"/>
    <col min="15391" max="15391" width="14.42578125" bestFit="1" customWidth="1"/>
    <col min="15392" max="15392" width="13.28515625" bestFit="1" customWidth="1"/>
    <col min="15393" max="15393" width="11.5703125" bestFit="1" customWidth="1"/>
    <col min="15394" max="15394" width="7.7109375" bestFit="1" customWidth="1"/>
    <col min="15395" max="15396" width="14.42578125" bestFit="1" customWidth="1"/>
    <col min="15397" max="15397" width="11.5703125" bestFit="1" customWidth="1"/>
    <col min="15398" max="15398" width="7.7109375" bestFit="1" customWidth="1"/>
    <col min="15399" max="15399" width="13.5703125" customWidth="1"/>
    <col min="15400" max="15400" width="15.28515625" customWidth="1"/>
    <col min="15401" max="15401" width="14.5703125" customWidth="1"/>
    <col min="15402" max="15402" width="13.28515625" bestFit="1" customWidth="1"/>
    <col min="15403" max="15403" width="7.7109375" bestFit="1" customWidth="1"/>
    <col min="15404" max="15404" width="12.7109375" bestFit="1" customWidth="1"/>
    <col min="15405" max="15405" width="11.7109375" bestFit="1" customWidth="1"/>
    <col min="15406" max="15406" width="11.5703125" bestFit="1" customWidth="1"/>
    <col min="15407" max="15407" width="5.28515625" bestFit="1" customWidth="1"/>
    <col min="15408" max="15408" width="13.28515625" bestFit="1" customWidth="1"/>
    <col min="15409" max="15409" width="13.5703125" bestFit="1" customWidth="1"/>
    <col min="15410" max="15410" width="10.5703125" bestFit="1" customWidth="1"/>
    <col min="15411" max="15411" width="13.28515625" bestFit="1" customWidth="1"/>
    <col min="15412" max="15412" width="11.5703125" bestFit="1" customWidth="1"/>
    <col min="15413" max="15413" width="10.5703125" bestFit="1" customWidth="1"/>
    <col min="15414" max="15414" width="16.140625" bestFit="1" customWidth="1"/>
    <col min="15415" max="15416" width="11.28515625" bestFit="1" customWidth="1"/>
    <col min="15417" max="15417" width="13.28515625" bestFit="1" customWidth="1"/>
    <col min="15418" max="15418" width="7.7109375" bestFit="1" customWidth="1"/>
    <col min="15419" max="15422" width="9.140625" hidden="1" customWidth="1"/>
    <col min="15423" max="15423" width="10.42578125" bestFit="1" customWidth="1"/>
    <col min="15424" max="15424" width="10.5703125" bestFit="1" customWidth="1"/>
    <col min="15425" max="15425" width="10.42578125" bestFit="1" customWidth="1"/>
    <col min="15426" max="15426" width="10.5703125" bestFit="1" customWidth="1"/>
    <col min="15427" max="15427" width="9.5703125" bestFit="1" customWidth="1"/>
    <col min="15428" max="15428" width="11.5703125" bestFit="1" customWidth="1"/>
    <col min="15429" max="15429" width="10.42578125" bestFit="1" customWidth="1"/>
    <col min="15430" max="15430" width="10.85546875" customWidth="1"/>
    <col min="15431" max="15432" width="9.85546875" bestFit="1" customWidth="1"/>
    <col min="15433" max="15433" width="13.5703125" bestFit="1" customWidth="1"/>
    <col min="15434" max="15434" width="7.7109375" bestFit="1" customWidth="1"/>
    <col min="15435" max="15435" width="13.28515625" bestFit="1" customWidth="1"/>
    <col min="15436" max="15436" width="11.5703125" bestFit="1" customWidth="1"/>
    <col min="15437" max="15437" width="10.42578125" bestFit="1" customWidth="1"/>
    <col min="15438" max="15438" width="7.7109375" bestFit="1" customWidth="1"/>
    <col min="15439" max="15439" width="11.5703125" bestFit="1" customWidth="1"/>
    <col min="15440" max="15440" width="10.85546875" bestFit="1" customWidth="1"/>
    <col min="15441" max="15441" width="13.28515625" bestFit="1" customWidth="1"/>
    <col min="15442" max="15442" width="10.85546875" bestFit="1" customWidth="1"/>
    <col min="15443" max="15444" width="7.5703125" bestFit="1" customWidth="1"/>
    <col min="15445" max="15446" width="10.42578125" bestFit="1" customWidth="1"/>
    <col min="15447" max="15447" width="11.5703125" bestFit="1" customWidth="1"/>
    <col min="15448" max="15448" width="5.28515625" bestFit="1" customWidth="1"/>
    <col min="15449" max="15449" width="10.28515625" bestFit="1" customWidth="1"/>
    <col min="15450" max="15450" width="10.42578125" bestFit="1" customWidth="1"/>
    <col min="15451" max="15451" width="11.5703125" bestFit="1" customWidth="1"/>
    <col min="15452" max="15452" width="5.28515625" bestFit="1" customWidth="1"/>
    <col min="15453" max="15455" width="11.5703125" bestFit="1" customWidth="1"/>
    <col min="15456" max="15456" width="5.28515625" bestFit="1" customWidth="1"/>
    <col min="15457" max="15458" width="10.42578125" bestFit="1" customWidth="1"/>
    <col min="15459" max="15459" width="11.5703125" bestFit="1" customWidth="1"/>
    <col min="15460" max="15460" width="5.28515625" bestFit="1" customWidth="1"/>
    <col min="15461" max="15461" width="14.28515625" bestFit="1" customWidth="1"/>
    <col min="15462" max="15462" width="13" bestFit="1" customWidth="1"/>
    <col min="15463" max="15463" width="11.5703125" bestFit="1" customWidth="1"/>
    <col min="15464" max="15464" width="8.85546875" bestFit="1" customWidth="1"/>
    <col min="15465" max="15465" width="14.42578125" bestFit="1" customWidth="1"/>
    <col min="15466" max="15466" width="10.42578125" bestFit="1" customWidth="1"/>
    <col min="15467" max="15467" width="12.28515625" bestFit="1" customWidth="1"/>
    <col min="15468" max="15468" width="13.85546875" bestFit="1" customWidth="1"/>
    <col min="15469" max="15469" width="11.28515625" customWidth="1"/>
    <col min="15470" max="15470" width="11.5703125" customWidth="1"/>
    <col min="15471" max="15471" width="13.42578125" bestFit="1" customWidth="1"/>
    <col min="15472" max="15472" width="10.42578125" customWidth="1"/>
    <col min="15473" max="15473" width="13.85546875" bestFit="1" customWidth="1"/>
    <col min="15474" max="15474" width="15.42578125" bestFit="1" customWidth="1"/>
    <col min="15475" max="15475" width="12.28515625" bestFit="1" customWidth="1"/>
    <col min="15476" max="15476" width="12.7109375" customWidth="1"/>
    <col min="15477" max="15477" width="10.7109375" bestFit="1" customWidth="1"/>
    <col min="15478" max="15478" width="9.85546875" customWidth="1"/>
    <col min="15479" max="15480" width="10.140625" bestFit="1" customWidth="1"/>
    <col min="15481" max="15481" width="7.5703125" bestFit="1" customWidth="1"/>
    <col min="15482" max="15482" width="9.42578125" bestFit="1" customWidth="1"/>
    <col min="15483" max="15483" width="14.5703125" bestFit="1" customWidth="1"/>
    <col min="15484" max="15484" width="14.85546875" customWidth="1"/>
    <col min="15485" max="15485" width="15.140625" bestFit="1" customWidth="1"/>
    <col min="15486" max="15486" width="12.140625" bestFit="1" customWidth="1"/>
    <col min="15487" max="15487" width="14.85546875" bestFit="1" customWidth="1"/>
    <col min="15488" max="15488" width="12.28515625" bestFit="1" customWidth="1"/>
    <col min="15489" max="15497" width="9.140625" hidden="1" customWidth="1"/>
    <col min="15498" max="15498" width="5.28515625" bestFit="1" customWidth="1"/>
    <col min="15499" max="15504" width="11.5703125" bestFit="1" customWidth="1"/>
    <col min="15505" max="15505" width="11.28515625" bestFit="1" customWidth="1"/>
    <col min="15506" max="15506" width="10.140625" bestFit="1" customWidth="1"/>
    <col min="15507" max="15507" width="11.5703125" bestFit="1" customWidth="1"/>
    <col min="15508" max="15508" width="16.140625" customWidth="1"/>
    <col min="15509" max="15509" width="13.42578125" customWidth="1"/>
    <col min="15510" max="15510" width="10.140625" bestFit="1" customWidth="1"/>
    <col min="15511" max="15511" width="12.85546875" bestFit="1" customWidth="1"/>
    <col min="15512" max="15512" width="12.28515625" bestFit="1" customWidth="1"/>
    <col min="15513" max="15513" width="11.28515625" bestFit="1" customWidth="1"/>
    <col min="15514" max="15514" width="11.5703125" bestFit="1" customWidth="1"/>
    <col min="15515" max="15515" width="10.85546875" bestFit="1" customWidth="1"/>
    <col min="15516" max="15516" width="11.28515625" bestFit="1" customWidth="1"/>
    <col min="15517" max="15517" width="10.140625" bestFit="1" customWidth="1"/>
    <col min="15518" max="15518" width="13.28515625" bestFit="1" customWidth="1"/>
    <col min="15519" max="15520" width="12.7109375" bestFit="1" customWidth="1"/>
    <col min="15521" max="15521" width="11" bestFit="1" customWidth="1"/>
    <col min="15522" max="15522" width="11.28515625" bestFit="1" customWidth="1"/>
    <col min="15523" max="15523" width="11.5703125" bestFit="1" customWidth="1"/>
    <col min="15524" max="15524" width="12.28515625" bestFit="1" customWidth="1"/>
    <col min="15525" max="15525" width="15.140625" bestFit="1" customWidth="1"/>
    <col min="15526" max="15526" width="14.42578125" bestFit="1" customWidth="1"/>
    <col min="15527" max="15527" width="12.28515625" bestFit="1" customWidth="1"/>
    <col min="15528" max="15528" width="15.140625" bestFit="1" customWidth="1"/>
    <col min="15529" max="15529" width="14.42578125" bestFit="1" customWidth="1"/>
    <col min="15530" max="15530" width="12.28515625" bestFit="1" customWidth="1"/>
    <col min="15531" max="15531" width="14.42578125" bestFit="1" customWidth="1"/>
    <col min="15532" max="15532" width="11.28515625" bestFit="1" customWidth="1"/>
    <col min="15533" max="15533" width="12.28515625" bestFit="1" customWidth="1"/>
    <col min="15534" max="15534" width="13" bestFit="1" customWidth="1"/>
    <col min="15535" max="15535" width="15.140625" bestFit="1" customWidth="1"/>
    <col min="15536" max="15536" width="12.28515625" bestFit="1" customWidth="1"/>
    <col min="15537" max="15537" width="13.85546875" bestFit="1" customWidth="1"/>
    <col min="15538" max="15538" width="11.28515625" bestFit="1" customWidth="1"/>
    <col min="15539" max="15539" width="12.28515625" bestFit="1" customWidth="1"/>
    <col min="15540" max="15540" width="13.85546875" bestFit="1" customWidth="1"/>
    <col min="15541" max="15542" width="15.140625" bestFit="1" customWidth="1"/>
    <col min="15543" max="15543" width="12.28515625" bestFit="1" customWidth="1"/>
    <col min="15544" max="15544" width="5.7109375" bestFit="1" customWidth="1"/>
    <col min="15545" max="15545" width="8.5703125" bestFit="1" customWidth="1"/>
    <col min="15546" max="15546" width="5.5703125" bestFit="1" customWidth="1"/>
    <col min="15547" max="15547" width="14.42578125" bestFit="1" customWidth="1"/>
    <col min="15548" max="15548" width="11.28515625" bestFit="1" customWidth="1"/>
    <col min="15549" max="15550" width="12.28515625" bestFit="1" customWidth="1"/>
    <col min="15551" max="15551" width="11.28515625" bestFit="1" customWidth="1"/>
    <col min="15552" max="15552" width="13.85546875" bestFit="1" customWidth="1"/>
    <col min="15553" max="15553" width="12" bestFit="1" customWidth="1"/>
    <col min="15554" max="15554" width="13.85546875" bestFit="1" customWidth="1"/>
    <col min="15555" max="15556" width="14.42578125" customWidth="1"/>
    <col min="15557" max="15557" width="10.140625" bestFit="1" customWidth="1"/>
    <col min="15558" max="15558" width="12.28515625" bestFit="1" customWidth="1"/>
    <col min="15559" max="15559" width="7.42578125" bestFit="1" customWidth="1"/>
    <col min="15560" max="15560" width="8.5703125" bestFit="1" customWidth="1"/>
    <col min="15561" max="15561" width="11.5703125" bestFit="1" customWidth="1"/>
    <col min="15562" max="15562" width="13.28515625" bestFit="1" customWidth="1"/>
    <col min="15563" max="15563" width="13.28515625" customWidth="1"/>
    <col min="15564" max="15564" width="13.140625" customWidth="1"/>
    <col min="15565" max="15565" width="12.7109375" bestFit="1" customWidth="1"/>
    <col min="15566" max="15566" width="13.28515625" bestFit="1" customWidth="1"/>
    <col min="15567" max="15569" width="13.28515625" customWidth="1"/>
    <col min="15570" max="15570" width="12.140625" bestFit="1" customWidth="1"/>
    <col min="15571" max="15571" width="12.7109375" bestFit="1" customWidth="1"/>
    <col min="15572" max="15572" width="11" customWidth="1"/>
    <col min="15573" max="15573" width="16.7109375" customWidth="1"/>
    <col min="15574" max="15574" width="17" customWidth="1"/>
    <col min="15575" max="15575" width="10.42578125" bestFit="1" customWidth="1"/>
    <col min="15619" max="15619" width="3.85546875" customWidth="1"/>
    <col min="15620" max="15620" width="15.28515625" bestFit="1" customWidth="1"/>
    <col min="15621" max="15621" width="12.28515625" customWidth="1"/>
    <col min="15622" max="15622" width="16.28515625" bestFit="1" customWidth="1"/>
    <col min="15623" max="15623" width="6.42578125" bestFit="1" customWidth="1"/>
    <col min="15624" max="15624" width="9.28515625" bestFit="1" customWidth="1"/>
    <col min="15625" max="15625" width="7.5703125" bestFit="1" customWidth="1"/>
    <col min="15626" max="15626" width="13.28515625" bestFit="1" customWidth="1"/>
    <col min="15627" max="15627" width="9.28515625" bestFit="1" customWidth="1"/>
    <col min="15628" max="15628" width="11.5703125" bestFit="1" customWidth="1"/>
    <col min="15629" max="15629" width="13.28515625" bestFit="1" customWidth="1"/>
    <col min="15630" max="15630" width="7.140625" bestFit="1" customWidth="1"/>
    <col min="15631" max="15631" width="12" bestFit="1" customWidth="1"/>
    <col min="15632" max="15632" width="13.28515625" bestFit="1" customWidth="1"/>
    <col min="15633" max="15633" width="7" bestFit="1" customWidth="1"/>
    <col min="15634" max="15634" width="12.7109375" bestFit="1" customWidth="1"/>
    <col min="15635" max="15635" width="11.5703125" bestFit="1" customWidth="1"/>
    <col min="15636" max="15636" width="10.5703125" bestFit="1" customWidth="1"/>
    <col min="15637" max="15638" width="15.7109375" bestFit="1" customWidth="1"/>
    <col min="15639" max="15639" width="11.5703125" bestFit="1" customWidth="1"/>
    <col min="15640" max="15640" width="7.7109375" bestFit="1" customWidth="1"/>
    <col min="15641" max="15641" width="15.140625" bestFit="1" customWidth="1"/>
    <col min="15642" max="15642" width="11.5703125" bestFit="1" customWidth="1"/>
    <col min="15643" max="15643" width="13.28515625" bestFit="1" customWidth="1"/>
    <col min="15644" max="15644" width="10.42578125" bestFit="1" customWidth="1"/>
    <col min="15645" max="15645" width="13.28515625" bestFit="1" customWidth="1"/>
    <col min="15646" max="15646" width="12.140625" bestFit="1" customWidth="1"/>
    <col min="15647" max="15647" width="14.42578125" bestFit="1" customWidth="1"/>
    <col min="15648" max="15648" width="13.28515625" bestFit="1" customWidth="1"/>
    <col min="15649" max="15649" width="11.5703125" bestFit="1" customWidth="1"/>
    <col min="15650" max="15650" width="7.7109375" bestFit="1" customWidth="1"/>
    <col min="15651" max="15652" width="14.42578125" bestFit="1" customWidth="1"/>
    <col min="15653" max="15653" width="11.5703125" bestFit="1" customWidth="1"/>
    <col min="15654" max="15654" width="7.7109375" bestFit="1" customWidth="1"/>
    <col min="15655" max="15655" width="13.5703125" customWidth="1"/>
    <col min="15656" max="15656" width="15.28515625" customWidth="1"/>
    <col min="15657" max="15657" width="14.5703125" customWidth="1"/>
    <col min="15658" max="15658" width="13.28515625" bestFit="1" customWidth="1"/>
    <col min="15659" max="15659" width="7.7109375" bestFit="1" customWidth="1"/>
    <col min="15660" max="15660" width="12.7109375" bestFit="1" customWidth="1"/>
    <col min="15661" max="15661" width="11.7109375" bestFit="1" customWidth="1"/>
    <col min="15662" max="15662" width="11.5703125" bestFit="1" customWidth="1"/>
    <col min="15663" max="15663" width="5.28515625" bestFit="1" customWidth="1"/>
    <col min="15664" max="15664" width="13.28515625" bestFit="1" customWidth="1"/>
    <col min="15665" max="15665" width="13.5703125" bestFit="1" customWidth="1"/>
    <col min="15666" max="15666" width="10.5703125" bestFit="1" customWidth="1"/>
    <col min="15667" max="15667" width="13.28515625" bestFit="1" customWidth="1"/>
    <col min="15668" max="15668" width="11.5703125" bestFit="1" customWidth="1"/>
    <col min="15669" max="15669" width="10.5703125" bestFit="1" customWidth="1"/>
    <col min="15670" max="15670" width="16.140625" bestFit="1" customWidth="1"/>
    <col min="15671" max="15672" width="11.28515625" bestFit="1" customWidth="1"/>
    <col min="15673" max="15673" width="13.28515625" bestFit="1" customWidth="1"/>
    <col min="15674" max="15674" width="7.7109375" bestFit="1" customWidth="1"/>
    <col min="15675" max="15678" width="9.140625" hidden="1" customWidth="1"/>
    <col min="15679" max="15679" width="10.42578125" bestFit="1" customWidth="1"/>
    <col min="15680" max="15680" width="10.5703125" bestFit="1" customWidth="1"/>
    <col min="15681" max="15681" width="10.42578125" bestFit="1" customWidth="1"/>
    <col min="15682" max="15682" width="10.5703125" bestFit="1" customWidth="1"/>
    <col min="15683" max="15683" width="9.5703125" bestFit="1" customWidth="1"/>
    <col min="15684" max="15684" width="11.5703125" bestFit="1" customWidth="1"/>
    <col min="15685" max="15685" width="10.42578125" bestFit="1" customWidth="1"/>
    <col min="15686" max="15686" width="10.85546875" customWidth="1"/>
    <col min="15687" max="15688" width="9.85546875" bestFit="1" customWidth="1"/>
    <col min="15689" max="15689" width="13.5703125" bestFit="1" customWidth="1"/>
    <col min="15690" max="15690" width="7.7109375" bestFit="1" customWidth="1"/>
    <col min="15691" max="15691" width="13.28515625" bestFit="1" customWidth="1"/>
    <col min="15692" max="15692" width="11.5703125" bestFit="1" customWidth="1"/>
    <col min="15693" max="15693" width="10.42578125" bestFit="1" customWidth="1"/>
    <col min="15694" max="15694" width="7.7109375" bestFit="1" customWidth="1"/>
    <col min="15695" max="15695" width="11.5703125" bestFit="1" customWidth="1"/>
    <col min="15696" max="15696" width="10.85546875" bestFit="1" customWidth="1"/>
    <col min="15697" max="15697" width="13.28515625" bestFit="1" customWidth="1"/>
    <col min="15698" max="15698" width="10.85546875" bestFit="1" customWidth="1"/>
    <col min="15699" max="15700" width="7.5703125" bestFit="1" customWidth="1"/>
    <col min="15701" max="15702" width="10.42578125" bestFit="1" customWidth="1"/>
    <col min="15703" max="15703" width="11.5703125" bestFit="1" customWidth="1"/>
    <col min="15704" max="15704" width="5.28515625" bestFit="1" customWidth="1"/>
    <col min="15705" max="15705" width="10.28515625" bestFit="1" customWidth="1"/>
    <col min="15706" max="15706" width="10.42578125" bestFit="1" customWidth="1"/>
    <col min="15707" max="15707" width="11.5703125" bestFit="1" customWidth="1"/>
    <col min="15708" max="15708" width="5.28515625" bestFit="1" customWidth="1"/>
    <col min="15709" max="15711" width="11.5703125" bestFit="1" customWidth="1"/>
    <col min="15712" max="15712" width="5.28515625" bestFit="1" customWidth="1"/>
    <col min="15713" max="15714" width="10.42578125" bestFit="1" customWidth="1"/>
    <col min="15715" max="15715" width="11.5703125" bestFit="1" customWidth="1"/>
    <col min="15716" max="15716" width="5.28515625" bestFit="1" customWidth="1"/>
    <col min="15717" max="15717" width="14.28515625" bestFit="1" customWidth="1"/>
    <col min="15718" max="15718" width="13" bestFit="1" customWidth="1"/>
    <col min="15719" max="15719" width="11.5703125" bestFit="1" customWidth="1"/>
    <col min="15720" max="15720" width="8.85546875" bestFit="1" customWidth="1"/>
    <col min="15721" max="15721" width="14.42578125" bestFit="1" customWidth="1"/>
    <col min="15722" max="15722" width="10.42578125" bestFit="1" customWidth="1"/>
    <col min="15723" max="15723" width="12.28515625" bestFit="1" customWidth="1"/>
    <col min="15724" max="15724" width="13.85546875" bestFit="1" customWidth="1"/>
    <col min="15725" max="15725" width="11.28515625" customWidth="1"/>
    <col min="15726" max="15726" width="11.5703125" customWidth="1"/>
    <col min="15727" max="15727" width="13.42578125" bestFit="1" customWidth="1"/>
    <col min="15728" max="15728" width="10.42578125" customWidth="1"/>
    <col min="15729" max="15729" width="13.85546875" bestFit="1" customWidth="1"/>
    <col min="15730" max="15730" width="15.42578125" bestFit="1" customWidth="1"/>
    <col min="15731" max="15731" width="12.28515625" bestFit="1" customWidth="1"/>
    <col min="15732" max="15732" width="12.7109375" customWidth="1"/>
    <col min="15733" max="15733" width="10.7109375" bestFit="1" customWidth="1"/>
    <col min="15734" max="15734" width="9.85546875" customWidth="1"/>
    <col min="15735" max="15736" width="10.140625" bestFit="1" customWidth="1"/>
    <col min="15737" max="15737" width="7.5703125" bestFit="1" customWidth="1"/>
    <col min="15738" max="15738" width="9.42578125" bestFit="1" customWidth="1"/>
    <col min="15739" max="15739" width="14.5703125" bestFit="1" customWidth="1"/>
    <col min="15740" max="15740" width="14.85546875" customWidth="1"/>
    <col min="15741" max="15741" width="15.140625" bestFit="1" customWidth="1"/>
    <col min="15742" max="15742" width="12.140625" bestFit="1" customWidth="1"/>
    <col min="15743" max="15743" width="14.85546875" bestFit="1" customWidth="1"/>
    <col min="15744" max="15744" width="12.28515625" bestFit="1" customWidth="1"/>
    <col min="15745" max="15753" width="9.140625" hidden="1" customWidth="1"/>
    <col min="15754" max="15754" width="5.28515625" bestFit="1" customWidth="1"/>
    <col min="15755" max="15760" width="11.5703125" bestFit="1" customWidth="1"/>
    <col min="15761" max="15761" width="11.28515625" bestFit="1" customWidth="1"/>
    <col min="15762" max="15762" width="10.140625" bestFit="1" customWidth="1"/>
    <col min="15763" max="15763" width="11.5703125" bestFit="1" customWidth="1"/>
    <col min="15764" max="15764" width="16.140625" customWidth="1"/>
    <col min="15765" max="15765" width="13.42578125" customWidth="1"/>
    <col min="15766" max="15766" width="10.140625" bestFit="1" customWidth="1"/>
    <col min="15767" max="15767" width="12.85546875" bestFit="1" customWidth="1"/>
    <col min="15768" max="15768" width="12.28515625" bestFit="1" customWidth="1"/>
    <col min="15769" max="15769" width="11.28515625" bestFit="1" customWidth="1"/>
    <col min="15770" max="15770" width="11.5703125" bestFit="1" customWidth="1"/>
    <col min="15771" max="15771" width="10.85546875" bestFit="1" customWidth="1"/>
    <col min="15772" max="15772" width="11.28515625" bestFit="1" customWidth="1"/>
    <col min="15773" max="15773" width="10.140625" bestFit="1" customWidth="1"/>
    <col min="15774" max="15774" width="13.28515625" bestFit="1" customWidth="1"/>
    <col min="15775" max="15776" width="12.7109375" bestFit="1" customWidth="1"/>
    <col min="15777" max="15777" width="11" bestFit="1" customWidth="1"/>
    <col min="15778" max="15778" width="11.28515625" bestFit="1" customWidth="1"/>
    <col min="15779" max="15779" width="11.5703125" bestFit="1" customWidth="1"/>
    <col min="15780" max="15780" width="12.28515625" bestFit="1" customWidth="1"/>
    <col min="15781" max="15781" width="15.140625" bestFit="1" customWidth="1"/>
    <col min="15782" max="15782" width="14.42578125" bestFit="1" customWidth="1"/>
    <col min="15783" max="15783" width="12.28515625" bestFit="1" customWidth="1"/>
    <col min="15784" max="15784" width="15.140625" bestFit="1" customWidth="1"/>
    <col min="15785" max="15785" width="14.42578125" bestFit="1" customWidth="1"/>
    <col min="15786" max="15786" width="12.28515625" bestFit="1" customWidth="1"/>
    <col min="15787" max="15787" width="14.42578125" bestFit="1" customWidth="1"/>
    <col min="15788" max="15788" width="11.28515625" bestFit="1" customWidth="1"/>
    <col min="15789" max="15789" width="12.28515625" bestFit="1" customWidth="1"/>
    <col min="15790" max="15790" width="13" bestFit="1" customWidth="1"/>
    <col min="15791" max="15791" width="15.140625" bestFit="1" customWidth="1"/>
    <col min="15792" max="15792" width="12.28515625" bestFit="1" customWidth="1"/>
    <col min="15793" max="15793" width="13.85546875" bestFit="1" customWidth="1"/>
    <col min="15794" max="15794" width="11.28515625" bestFit="1" customWidth="1"/>
    <col min="15795" max="15795" width="12.28515625" bestFit="1" customWidth="1"/>
    <col min="15796" max="15796" width="13.85546875" bestFit="1" customWidth="1"/>
    <col min="15797" max="15798" width="15.140625" bestFit="1" customWidth="1"/>
    <col min="15799" max="15799" width="12.28515625" bestFit="1" customWidth="1"/>
    <col min="15800" max="15800" width="5.7109375" bestFit="1" customWidth="1"/>
    <col min="15801" max="15801" width="8.5703125" bestFit="1" customWidth="1"/>
    <col min="15802" max="15802" width="5.5703125" bestFit="1" customWidth="1"/>
    <col min="15803" max="15803" width="14.42578125" bestFit="1" customWidth="1"/>
    <col min="15804" max="15804" width="11.28515625" bestFit="1" customWidth="1"/>
    <col min="15805" max="15806" width="12.28515625" bestFit="1" customWidth="1"/>
    <col min="15807" max="15807" width="11.28515625" bestFit="1" customWidth="1"/>
    <col min="15808" max="15808" width="13.85546875" bestFit="1" customWidth="1"/>
    <col min="15809" max="15809" width="12" bestFit="1" customWidth="1"/>
    <col min="15810" max="15810" width="13.85546875" bestFit="1" customWidth="1"/>
    <col min="15811" max="15812" width="14.42578125" customWidth="1"/>
    <col min="15813" max="15813" width="10.140625" bestFit="1" customWidth="1"/>
    <col min="15814" max="15814" width="12.28515625" bestFit="1" customWidth="1"/>
    <col min="15815" max="15815" width="7.42578125" bestFit="1" customWidth="1"/>
    <col min="15816" max="15816" width="8.5703125" bestFit="1" customWidth="1"/>
    <col min="15817" max="15817" width="11.5703125" bestFit="1" customWidth="1"/>
    <col min="15818" max="15818" width="13.28515625" bestFit="1" customWidth="1"/>
    <col min="15819" max="15819" width="13.28515625" customWidth="1"/>
    <col min="15820" max="15820" width="13.140625" customWidth="1"/>
    <col min="15821" max="15821" width="12.7109375" bestFit="1" customWidth="1"/>
    <col min="15822" max="15822" width="13.28515625" bestFit="1" customWidth="1"/>
    <col min="15823" max="15825" width="13.28515625" customWidth="1"/>
    <col min="15826" max="15826" width="12.140625" bestFit="1" customWidth="1"/>
    <col min="15827" max="15827" width="12.7109375" bestFit="1" customWidth="1"/>
    <col min="15828" max="15828" width="11" customWidth="1"/>
    <col min="15829" max="15829" width="16.7109375" customWidth="1"/>
    <col min="15830" max="15830" width="17" customWidth="1"/>
    <col min="15831" max="15831" width="10.42578125" bestFit="1" customWidth="1"/>
    <col min="15875" max="15875" width="3.85546875" customWidth="1"/>
    <col min="15876" max="15876" width="15.28515625" bestFit="1" customWidth="1"/>
    <col min="15877" max="15877" width="12.28515625" customWidth="1"/>
    <col min="15878" max="15878" width="16.28515625" bestFit="1" customWidth="1"/>
    <col min="15879" max="15879" width="6.42578125" bestFit="1" customWidth="1"/>
    <col min="15880" max="15880" width="9.28515625" bestFit="1" customWidth="1"/>
    <col min="15881" max="15881" width="7.5703125" bestFit="1" customWidth="1"/>
    <col min="15882" max="15882" width="13.28515625" bestFit="1" customWidth="1"/>
    <col min="15883" max="15883" width="9.28515625" bestFit="1" customWidth="1"/>
    <col min="15884" max="15884" width="11.5703125" bestFit="1" customWidth="1"/>
    <col min="15885" max="15885" width="13.28515625" bestFit="1" customWidth="1"/>
    <col min="15886" max="15886" width="7.140625" bestFit="1" customWidth="1"/>
    <col min="15887" max="15887" width="12" bestFit="1" customWidth="1"/>
    <col min="15888" max="15888" width="13.28515625" bestFit="1" customWidth="1"/>
    <col min="15889" max="15889" width="7" bestFit="1" customWidth="1"/>
    <col min="15890" max="15890" width="12.7109375" bestFit="1" customWidth="1"/>
    <col min="15891" max="15891" width="11.5703125" bestFit="1" customWidth="1"/>
    <col min="15892" max="15892" width="10.5703125" bestFit="1" customWidth="1"/>
    <col min="15893" max="15894" width="15.7109375" bestFit="1" customWidth="1"/>
    <col min="15895" max="15895" width="11.5703125" bestFit="1" customWidth="1"/>
    <col min="15896" max="15896" width="7.7109375" bestFit="1" customWidth="1"/>
    <col min="15897" max="15897" width="15.140625" bestFit="1" customWidth="1"/>
    <col min="15898" max="15898" width="11.5703125" bestFit="1" customWidth="1"/>
    <col min="15899" max="15899" width="13.28515625" bestFit="1" customWidth="1"/>
    <col min="15900" max="15900" width="10.42578125" bestFit="1" customWidth="1"/>
    <col min="15901" max="15901" width="13.28515625" bestFit="1" customWidth="1"/>
    <col min="15902" max="15902" width="12.140625" bestFit="1" customWidth="1"/>
    <col min="15903" max="15903" width="14.42578125" bestFit="1" customWidth="1"/>
    <col min="15904" max="15904" width="13.28515625" bestFit="1" customWidth="1"/>
    <col min="15905" max="15905" width="11.5703125" bestFit="1" customWidth="1"/>
    <col min="15906" max="15906" width="7.7109375" bestFit="1" customWidth="1"/>
    <col min="15907" max="15908" width="14.42578125" bestFit="1" customWidth="1"/>
    <col min="15909" max="15909" width="11.5703125" bestFit="1" customWidth="1"/>
    <col min="15910" max="15910" width="7.7109375" bestFit="1" customWidth="1"/>
    <col min="15911" max="15911" width="13.5703125" customWidth="1"/>
    <col min="15912" max="15912" width="15.28515625" customWidth="1"/>
    <col min="15913" max="15913" width="14.5703125" customWidth="1"/>
    <col min="15914" max="15914" width="13.28515625" bestFit="1" customWidth="1"/>
    <col min="15915" max="15915" width="7.7109375" bestFit="1" customWidth="1"/>
    <col min="15916" max="15916" width="12.7109375" bestFit="1" customWidth="1"/>
    <col min="15917" max="15917" width="11.7109375" bestFit="1" customWidth="1"/>
    <col min="15918" max="15918" width="11.5703125" bestFit="1" customWidth="1"/>
    <col min="15919" max="15919" width="5.28515625" bestFit="1" customWidth="1"/>
    <col min="15920" max="15920" width="13.28515625" bestFit="1" customWidth="1"/>
    <col min="15921" max="15921" width="13.5703125" bestFit="1" customWidth="1"/>
    <col min="15922" max="15922" width="10.5703125" bestFit="1" customWidth="1"/>
    <col min="15923" max="15923" width="13.28515625" bestFit="1" customWidth="1"/>
    <col min="15924" max="15924" width="11.5703125" bestFit="1" customWidth="1"/>
    <col min="15925" max="15925" width="10.5703125" bestFit="1" customWidth="1"/>
    <col min="15926" max="15926" width="16.140625" bestFit="1" customWidth="1"/>
    <col min="15927" max="15928" width="11.28515625" bestFit="1" customWidth="1"/>
    <col min="15929" max="15929" width="13.28515625" bestFit="1" customWidth="1"/>
    <col min="15930" max="15930" width="7.7109375" bestFit="1" customWidth="1"/>
    <col min="15931" max="15934" width="9.140625" hidden="1" customWidth="1"/>
    <col min="15935" max="15935" width="10.42578125" bestFit="1" customWidth="1"/>
    <col min="15936" max="15936" width="10.5703125" bestFit="1" customWidth="1"/>
    <col min="15937" max="15937" width="10.42578125" bestFit="1" customWidth="1"/>
    <col min="15938" max="15938" width="10.5703125" bestFit="1" customWidth="1"/>
    <col min="15939" max="15939" width="9.5703125" bestFit="1" customWidth="1"/>
    <col min="15940" max="15940" width="11.5703125" bestFit="1" customWidth="1"/>
    <col min="15941" max="15941" width="10.42578125" bestFit="1" customWidth="1"/>
    <col min="15942" max="15942" width="10.85546875" customWidth="1"/>
    <col min="15943" max="15944" width="9.85546875" bestFit="1" customWidth="1"/>
    <col min="15945" max="15945" width="13.5703125" bestFit="1" customWidth="1"/>
    <col min="15946" max="15946" width="7.7109375" bestFit="1" customWidth="1"/>
    <col min="15947" max="15947" width="13.28515625" bestFit="1" customWidth="1"/>
    <col min="15948" max="15948" width="11.5703125" bestFit="1" customWidth="1"/>
    <col min="15949" max="15949" width="10.42578125" bestFit="1" customWidth="1"/>
    <col min="15950" max="15950" width="7.7109375" bestFit="1" customWidth="1"/>
    <col min="15951" max="15951" width="11.5703125" bestFit="1" customWidth="1"/>
    <col min="15952" max="15952" width="10.85546875" bestFit="1" customWidth="1"/>
    <col min="15953" max="15953" width="13.28515625" bestFit="1" customWidth="1"/>
    <col min="15954" max="15954" width="10.85546875" bestFit="1" customWidth="1"/>
    <col min="15955" max="15956" width="7.5703125" bestFit="1" customWidth="1"/>
    <col min="15957" max="15958" width="10.42578125" bestFit="1" customWidth="1"/>
    <col min="15959" max="15959" width="11.5703125" bestFit="1" customWidth="1"/>
    <col min="15960" max="15960" width="5.28515625" bestFit="1" customWidth="1"/>
    <col min="15961" max="15961" width="10.28515625" bestFit="1" customWidth="1"/>
    <col min="15962" max="15962" width="10.42578125" bestFit="1" customWidth="1"/>
    <col min="15963" max="15963" width="11.5703125" bestFit="1" customWidth="1"/>
    <col min="15964" max="15964" width="5.28515625" bestFit="1" customWidth="1"/>
    <col min="15965" max="15967" width="11.5703125" bestFit="1" customWidth="1"/>
    <col min="15968" max="15968" width="5.28515625" bestFit="1" customWidth="1"/>
    <col min="15969" max="15970" width="10.42578125" bestFit="1" customWidth="1"/>
    <col min="15971" max="15971" width="11.5703125" bestFit="1" customWidth="1"/>
    <col min="15972" max="15972" width="5.28515625" bestFit="1" customWidth="1"/>
    <col min="15973" max="15973" width="14.28515625" bestFit="1" customWidth="1"/>
    <col min="15974" max="15974" width="13" bestFit="1" customWidth="1"/>
    <col min="15975" max="15975" width="11.5703125" bestFit="1" customWidth="1"/>
    <col min="15976" max="15976" width="8.85546875" bestFit="1" customWidth="1"/>
    <col min="15977" max="15977" width="14.42578125" bestFit="1" customWidth="1"/>
    <col min="15978" max="15978" width="10.42578125" bestFit="1" customWidth="1"/>
    <col min="15979" max="15979" width="12.28515625" bestFit="1" customWidth="1"/>
    <col min="15980" max="15980" width="13.85546875" bestFit="1" customWidth="1"/>
    <col min="15981" max="15981" width="11.28515625" customWidth="1"/>
    <col min="15982" max="15982" width="11.5703125" customWidth="1"/>
    <col min="15983" max="15983" width="13.42578125" bestFit="1" customWidth="1"/>
    <col min="15984" max="15984" width="10.42578125" customWidth="1"/>
    <col min="15985" max="15985" width="13.85546875" bestFit="1" customWidth="1"/>
    <col min="15986" max="15986" width="15.42578125" bestFit="1" customWidth="1"/>
    <col min="15987" max="15987" width="12.28515625" bestFit="1" customWidth="1"/>
    <col min="15988" max="15988" width="12.7109375" customWidth="1"/>
    <col min="15989" max="15989" width="10.7109375" bestFit="1" customWidth="1"/>
    <col min="15990" max="15990" width="9.85546875" customWidth="1"/>
    <col min="15991" max="15992" width="10.140625" bestFit="1" customWidth="1"/>
    <col min="15993" max="15993" width="7.5703125" bestFit="1" customWidth="1"/>
    <col min="15994" max="15994" width="9.42578125" bestFit="1" customWidth="1"/>
    <col min="15995" max="15995" width="14.5703125" bestFit="1" customWidth="1"/>
    <col min="15996" max="15996" width="14.85546875" customWidth="1"/>
    <col min="15997" max="15997" width="15.140625" bestFit="1" customWidth="1"/>
    <col min="15998" max="15998" width="12.140625" bestFit="1" customWidth="1"/>
    <col min="15999" max="15999" width="14.85546875" bestFit="1" customWidth="1"/>
    <col min="16000" max="16000" width="12.28515625" bestFit="1" customWidth="1"/>
    <col min="16001" max="16009" width="9.140625" hidden="1" customWidth="1"/>
    <col min="16010" max="16010" width="5.28515625" bestFit="1" customWidth="1"/>
    <col min="16011" max="16016" width="11.5703125" bestFit="1" customWidth="1"/>
    <col min="16017" max="16017" width="11.28515625" bestFit="1" customWidth="1"/>
    <col min="16018" max="16018" width="10.140625" bestFit="1" customWidth="1"/>
    <col min="16019" max="16019" width="11.5703125" bestFit="1" customWidth="1"/>
    <col min="16020" max="16020" width="16.140625" customWidth="1"/>
    <col min="16021" max="16021" width="13.42578125" customWidth="1"/>
    <col min="16022" max="16022" width="10.140625" bestFit="1" customWidth="1"/>
    <col min="16023" max="16023" width="12.85546875" bestFit="1" customWidth="1"/>
    <col min="16024" max="16024" width="12.28515625" bestFit="1" customWidth="1"/>
    <col min="16025" max="16025" width="11.28515625" bestFit="1" customWidth="1"/>
    <col min="16026" max="16026" width="11.5703125" bestFit="1" customWidth="1"/>
    <col min="16027" max="16027" width="10.85546875" bestFit="1" customWidth="1"/>
    <col min="16028" max="16028" width="11.28515625" bestFit="1" customWidth="1"/>
    <col min="16029" max="16029" width="10.140625" bestFit="1" customWidth="1"/>
    <col min="16030" max="16030" width="13.28515625" bestFit="1" customWidth="1"/>
    <col min="16031" max="16032" width="12.7109375" bestFit="1" customWidth="1"/>
    <col min="16033" max="16033" width="11" bestFit="1" customWidth="1"/>
    <col min="16034" max="16034" width="11.28515625" bestFit="1" customWidth="1"/>
    <col min="16035" max="16035" width="11.5703125" bestFit="1" customWidth="1"/>
    <col min="16036" max="16036" width="12.28515625" bestFit="1" customWidth="1"/>
    <col min="16037" max="16037" width="15.140625" bestFit="1" customWidth="1"/>
    <col min="16038" max="16038" width="14.42578125" bestFit="1" customWidth="1"/>
    <col min="16039" max="16039" width="12.28515625" bestFit="1" customWidth="1"/>
    <col min="16040" max="16040" width="15.140625" bestFit="1" customWidth="1"/>
    <col min="16041" max="16041" width="14.42578125" bestFit="1" customWidth="1"/>
    <col min="16042" max="16042" width="12.28515625" bestFit="1" customWidth="1"/>
    <col min="16043" max="16043" width="14.42578125" bestFit="1" customWidth="1"/>
    <col min="16044" max="16044" width="11.28515625" bestFit="1" customWidth="1"/>
    <col min="16045" max="16045" width="12.28515625" bestFit="1" customWidth="1"/>
    <col min="16046" max="16046" width="13" bestFit="1" customWidth="1"/>
    <col min="16047" max="16047" width="15.140625" bestFit="1" customWidth="1"/>
    <col min="16048" max="16048" width="12.28515625" bestFit="1" customWidth="1"/>
    <col min="16049" max="16049" width="13.85546875" bestFit="1" customWidth="1"/>
    <col min="16050" max="16050" width="11.28515625" bestFit="1" customWidth="1"/>
    <col min="16051" max="16051" width="12.28515625" bestFit="1" customWidth="1"/>
    <col min="16052" max="16052" width="13.85546875" bestFit="1" customWidth="1"/>
    <col min="16053" max="16054" width="15.140625" bestFit="1" customWidth="1"/>
    <col min="16055" max="16055" width="12.28515625" bestFit="1" customWidth="1"/>
    <col min="16056" max="16056" width="5.7109375" bestFit="1" customWidth="1"/>
    <col min="16057" max="16057" width="8.5703125" bestFit="1" customWidth="1"/>
    <col min="16058" max="16058" width="5.5703125" bestFit="1" customWidth="1"/>
    <col min="16059" max="16059" width="14.42578125" bestFit="1" customWidth="1"/>
    <col min="16060" max="16060" width="11.28515625" bestFit="1" customWidth="1"/>
    <col min="16061" max="16062" width="12.28515625" bestFit="1" customWidth="1"/>
    <col min="16063" max="16063" width="11.28515625" bestFit="1" customWidth="1"/>
    <col min="16064" max="16064" width="13.85546875" bestFit="1" customWidth="1"/>
    <col min="16065" max="16065" width="12" bestFit="1" customWidth="1"/>
    <col min="16066" max="16066" width="13.85546875" bestFit="1" customWidth="1"/>
    <col min="16067" max="16068" width="14.42578125" customWidth="1"/>
    <col min="16069" max="16069" width="10.140625" bestFit="1" customWidth="1"/>
    <col min="16070" max="16070" width="12.28515625" bestFit="1" customWidth="1"/>
    <col min="16071" max="16071" width="7.42578125" bestFit="1" customWidth="1"/>
    <col min="16072" max="16072" width="8.5703125" bestFit="1" customWidth="1"/>
    <col min="16073" max="16073" width="11.5703125" bestFit="1" customWidth="1"/>
    <col min="16074" max="16074" width="13.28515625" bestFit="1" customWidth="1"/>
    <col min="16075" max="16075" width="13.28515625" customWidth="1"/>
    <col min="16076" max="16076" width="13.140625" customWidth="1"/>
    <col min="16077" max="16077" width="12.7109375" bestFit="1" customWidth="1"/>
    <col min="16078" max="16078" width="13.28515625" bestFit="1" customWidth="1"/>
    <col min="16079" max="16081" width="13.28515625" customWidth="1"/>
    <col min="16082" max="16082" width="12.140625" bestFit="1" customWidth="1"/>
    <col min="16083" max="16083" width="12.7109375" bestFit="1" customWidth="1"/>
    <col min="16084" max="16084" width="11" customWidth="1"/>
    <col min="16085" max="16085" width="16.7109375" customWidth="1"/>
    <col min="16086" max="16086" width="17" customWidth="1"/>
    <col min="16087" max="16087" width="10.42578125" bestFit="1" customWidth="1"/>
    <col min="16131" max="16131" width="3.85546875" customWidth="1"/>
    <col min="16132" max="16132" width="15.28515625" bestFit="1" customWidth="1"/>
    <col min="16133" max="16133" width="12.28515625" customWidth="1"/>
    <col min="16134" max="16134" width="16.28515625" bestFit="1" customWidth="1"/>
    <col min="16135" max="16135" width="6.42578125" bestFit="1" customWidth="1"/>
    <col min="16136" max="16136" width="9.28515625" bestFit="1" customWidth="1"/>
    <col min="16137" max="16137" width="7.5703125" bestFit="1" customWidth="1"/>
    <col min="16138" max="16138" width="13.28515625" bestFit="1" customWidth="1"/>
    <col min="16139" max="16139" width="9.28515625" bestFit="1" customWidth="1"/>
    <col min="16140" max="16140" width="11.5703125" bestFit="1" customWidth="1"/>
    <col min="16141" max="16141" width="13.28515625" bestFit="1" customWidth="1"/>
    <col min="16142" max="16142" width="7.140625" bestFit="1" customWidth="1"/>
    <col min="16143" max="16143" width="12" bestFit="1" customWidth="1"/>
    <col min="16144" max="16144" width="13.28515625" bestFit="1" customWidth="1"/>
    <col min="16145" max="16145" width="7" bestFit="1" customWidth="1"/>
    <col min="16146" max="16146" width="12.7109375" bestFit="1" customWidth="1"/>
    <col min="16147" max="16147" width="11.5703125" bestFit="1" customWidth="1"/>
    <col min="16148" max="16148" width="10.5703125" bestFit="1" customWidth="1"/>
    <col min="16149" max="16150" width="15.7109375" bestFit="1" customWidth="1"/>
    <col min="16151" max="16151" width="11.5703125" bestFit="1" customWidth="1"/>
    <col min="16152" max="16152" width="7.7109375" bestFit="1" customWidth="1"/>
    <col min="16153" max="16153" width="15.140625" bestFit="1" customWidth="1"/>
    <col min="16154" max="16154" width="11.5703125" bestFit="1" customWidth="1"/>
    <col min="16155" max="16155" width="13.28515625" bestFit="1" customWidth="1"/>
    <col min="16156" max="16156" width="10.42578125" bestFit="1" customWidth="1"/>
    <col min="16157" max="16157" width="13.28515625" bestFit="1" customWidth="1"/>
    <col min="16158" max="16158" width="12.140625" bestFit="1" customWidth="1"/>
    <col min="16159" max="16159" width="14.42578125" bestFit="1" customWidth="1"/>
    <col min="16160" max="16160" width="13.28515625" bestFit="1" customWidth="1"/>
    <col min="16161" max="16161" width="11.5703125" bestFit="1" customWidth="1"/>
    <col min="16162" max="16162" width="7.7109375" bestFit="1" customWidth="1"/>
    <col min="16163" max="16164" width="14.42578125" bestFit="1" customWidth="1"/>
    <col min="16165" max="16165" width="11.5703125" bestFit="1" customWidth="1"/>
    <col min="16166" max="16166" width="7.7109375" bestFit="1" customWidth="1"/>
    <col min="16167" max="16167" width="13.5703125" customWidth="1"/>
    <col min="16168" max="16168" width="15.28515625" customWidth="1"/>
    <col min="16169" max="16169" width="14.5703125" customWidth="1"/>
    <col min="16170" max="16170" width="13.28515625" bestFit="1" customWidth="1"/>
    <col min="16171" max="16171" width="7.7109375" bestFit="1" customWidth="1"/>
    <col min="16172" max="16172" width="12.7109375" bestFit="1" customWidth="1"/>
    <col min="16173" max="16173" width="11.7109375" bestFit="1" customWidth="1"/>
    <col min="16174" max="16174" width="11.5703125" bestFit="1" customWidth="1"/>
    <col min="16175" max="16175" width="5.28515625" bestFit="1" customWidth="1"/>
    <col min="16176" max="16176" width="13.28515625" bestFit="1" customWidth="1"/>
    <col min="16177" max="16177" width="13.5703125" bestFit="1" customWidth="1"/>
    <col min="16178" max="16178" width="10.5703125" bestFit="1" customWidth="1"/>
    <col min="16179" max="16179" width="13.28515625" bestFit="1" customWidth="1"/>
    <col min="16180" max="16180" width="11.5703125" bestFit="1" customWidth="1"/>
    <col min="16181" max="16181" width="10.5703125" bestFit="1" customWidth="1"/>
    <col min="16182" max="16182" width="16.140625" bestFit="1" customWidth="1"/>
    <col min="16183" max="16184" width="11.28515625" bestFit="1" customWidth="1"/>
    <col min="16185" max="16185" width="13.28515625" bestFit="1" customWidth="1"/>
    <col min="16186" max="16186" width="7.7109375" bestFit="1" customWidth="1"/>
    <col min="16187" max="16190" width="9.140625" hidden="1" customWidth="1"/>
    <col min="16191" max="16191" width="10.42578125" bestFit="1" customWidth="1"/>
    <col min="16192" max="16192" width="10.5703125" bestFit="1" customWidth="1"/>
    <col min="16193" max="16193" width="10.42578125" bestFit="1" customWidth="1"/>
    <col min="16194" max="16194" width="10.5703125" bestFit="1" customWidth="1"/>
    <col min="16195" max="16195" width="9.5703125" bestFit="1" customWidth="1"/>
    <col min="16196" max="16196" width="11.5703125" bestFit="1" customWidth="1"/>
    <col min="16197" max="16197" width="10.42578125" bestFit="1" customWidth="1"/>
    <col min="16198" max="16198" width="10.85546875" customWidth="1"/>
    <col min="16199" max="16200" width="9.85546875" bestFit="1" customWidth="1"/>
    <col min="16201" max="16201" width="13.5703125" bestFit="1" customWidth="1"/>
    <col min="16202" max="16202" width="7.7109375" bestFit="1" customWidth="1"/>
    <col min="16203" max="16203" width="13.28515625" bestFit="1" customWidth="1"/>
    <col min="16204" max="16204" width="11.5703125" bestFit="1" customWidth="1"/>
    <col min="16205" max="16205" width="10.42578125" bestFit="1" customWidth="1"/>
    <col min="16206" max="16206" width="7.7109375" bestFit="1" customWidth="1"/>
    <col min="16207" max="16207" width="11.5703125" bestFit="1" customWidth="1"/>
    <col min="16208" max="16208" width="10.85546875" bestFit="1" customWidth="1"/>
    <col min="16209" max="16209" width="13.28515625" bestFit="1" customWidth="1"/>
    <col min="16210" max="16210" width="10.85546875" bestFit="1" customWidth="1"/>
    <col min="16211" max="16212" width="7.5703125" bestFit="1" customWidth="1"/>
    <col min="16213" max="16214" width="10.42578125" bestFit="1" customWidth="1"/>
    <col min="16215" max="16215" width="11.5703125" bestFit="1" customWidth="1"/>
    <col min="16216" max="16216" width="5.28515625" bestFit="1" customWidth="1"/>
    <col min="16217" max="16217" width="10.28515625" bestFit="1" customWidth="1"/>
    <col min="16218" max="16218" width="10.42578125" bestFit="1" customWidth="1"/>
    <col min="16219" max="16219" width="11.5703125" bestFit="1" customWidth="1"/>
    <col min="16220" max="16220" width="5.28515625" bestFit="1" customWidth="1"/>
    <col min="16221" max="16223" width="11.5703125" bestFit="1" customWidth="1"/>
    <col min="16224" max="16224" width="5.28515625" bestFit="1" customWidth="1"/>
    <col min="16225" max="16226" width="10.42578125" bestFit="1" customWidth="1"/>
    <col min="16227" max="16227" width="11.5703125" bestFit="1" customWidth="1"/>
    <col min="16228" max="16228" width="5.28515625" bestFit="1" customWidth="1"/>
    <col min="16229" max="16229" width="14.28515625" bestFit="1" customWidth="1"/>
    <col min="16230" max="16230" width="13" bestFit="1" customWidth="1"/>
    <col min="16231" max="16231" width="11.5703125" bestFit="1" customWidth="1"/>
    <col min="16232" max="16232" width="8.85546875" bestFit="1" customWidth="1"/>
    <col min="16233" max="16233" width="14.42578125" bestFit="1" customWidth="1"/>
    <col min="16234" max="16234" width="10.42578125" bestFit="1" customWidth="1"/>
    <col min="16235" max="16235" width="12.28515625" bestFit="1" customWidth="1"/>
    <col min="16236" max="16236" width="13.85546875" bestFit="1" customWidth="1"/>
    <col min="16237" max="16237" width="11.28515625" customWidth="1"/>
    <col min="16238" max="16238" width="11.5703125" customWidth="1"/>
    <col min="16239" max="16239" width="13.42578125" bestFit="1" customWidth="1"/>
    <col min="16240" max="16240" width="10.42578125" customWidth="1"/>
    <col min="16241" max="16241" width="13.85546875" bestFit="1" customWidth="1"/>
    <col min="16242" max="16242" width="15.42578125" bestFit="1" customWidth="1"/>
    <col min="16243" max="16243" width="12.28515625" bestFit="1" customWidth="1"/>
    <col min="16244" max="16244" width="12.7109375" customWidth="1"/>
    <col min="16245" max="16245" width="10.7109375" bestFit="1" customWidth="1"/>
    <col min="16246" max="16246" width="9.85546875" customWidth="1"/>
    <col min="16247" max="16248" width="10.140625" bestFit="1" customWidth="1"/>
    <col min="16249" max="16249" width="7.5703125" bestFit="1" customWidth="1"/>
    <col min="16250" max="16250" width="9.42578125" bestFit="1" customWidth="1"/>
    <col min="16251" max="16251" width="14.5703125" bestFit="1" customWidth="1"/>
    <col min="16252" max="16252" width="14.85546875" customWidth="1"/>
    <col min="16253" max="16253" width="15.140625" bestFit="1" customWidth="1"/>
    <col min="16254" max="16254" width="12.140625" bestFit="1" customWidth="1"/>
    <col min="16255" max="16255" width="14.85546875" bestFit="1" customWidth="1"/>
    <col min="16256" max="16256" width="12.28515625" bestFit="1" customWidth="1"/>
    <col min="16257" max="16265" width="9.140625" hidden="1" customWidth="1"/>
    <col min="16266" max="16266" width="5.28515625" bestFit="1" customWidth="1"/>
    <col min="16267" max="16272" width="11.5703125" bestFit="1" customWidth="1"/>
    <col min="16273" max="16273" width="11.28515625" bestFit="1" customWidth="1"/>
    <col min="16274" max="16274" width="10.140625" bestFit="1" customWidth="1"/>
    <col min="16275" max="16275" width="11.5703125" bestFit="1" customWidth="1"/>
    <col min="16276" max="16276" width="16.140625" customWidth="1"/>
    <col min="16277" max="16277" width="13.42578125" customWidth="1"/>
    <col min="16278" max="16278" width="10.140625" bestFit="1" customWidth="1"/>
    <col min="16279" max="16279" width="12.85546875" bestFit="1" customWidth="1"/>
    <col min="16280" max="16280" width="12.28515625" bestFit="1" customWidth="1"/>
    <col min="16281" max="16281" width="11.28515625" bestFit="1" customWidth="1"/>
    <col min="16282" max="16282" width="11.5703125" bestFit="1" customWidth="1"/>
    <col min="16283" max="16283" width="10.85546875" bestFit="1" customWidth="1"/>
    <col min="16284" max="16284" width="11.28515625" bestFit="1" customWidth="1"/>
    <col min="16285" max="16285" width="10.140625" bestFit="1" customWidth="1"/>
    <col min="16286" max="16286" width="13.28515625" bestFit="1" customWidth="1"/>
    <col min="16287" max="16288" width="12.7109375" bestFit="1" customWidth="1"/>
    <col min="16289" max="16289" width="11" bestFit="1" customWidth="1"/>
    <col min="16290" max="16290" width="11.28515625" bestFit="1" customWidth="1"/>
    <col min="16291" max="16291" width="11.5703125" bestFit="1" customWidth="1"/>
    <col min="16292" max="16292" width="12.28515625" bestFit="1" customWidth="1"/>
    <col min="16293" max="16293" width="15.140625" bestFit="1" customWidth="1"/>
    <col min="16294" max="16294" width="14.42578125" bestFit="1" customWidth="1"/>
    <col min="16295" max="16295" width="12.28515625" bestFit="1" customWidth="1"/>
    <col min="16296" max="16296" width="15.140625" bestFit="1" customWidth="1"/>
    <col min="16297" max="16297" width="14.42578125" bestFit="1" customWidth="1"/>
    <col min="16298" max="16298" width="12.28515625" bestFit="1" customWidth="1"/>
    <col min="16299" max="16299" width="14.42578125" bestFit="1" customWidth="1"/>
    <col min="16300" max="16300" width="11.28515625" bestFit="1" customWidth="1"/>
    <col min="16301" max="16301" width="12.28515625" bestFit="1" customWidth="1"/>
    <col min="16302" max="16302" width="13" bestFit="1" customWidth="1"/>
    <col min="16303" max="16303" width="15.140625" bestFit="1" customWidth="1"/>
    <col min="16304" max="16304" width="12.28515625" bestFit="1" customWidth="1"/>
    <col min="16305" max="16305" width="13.85546875" bestFit="1" customWidth="1"/>
    <col min="16306" max="16306" width="11.28515625" bestFit="1" customWidth="1"/>
    <col min="16307" max="16307" width="12.28515625" bestFit="1" customWidth="1"/>
    <col min="16308" max="16308" width="13.85546875" bestFit="1" customWidth="1"/>
    <col min="16309" max="16310" width="15.140625" bestFit="1" customWidth="1"/>
    <col min="16311" max="16311" width="12.28515625" bestFit="1" customWidth="1"/>
    <col min="16312" max="16312" width="5.7109375" bestFit="1" customWidth="1"/>
    <col min="16313" max="16313" width="8.5703125" bestFit="1" customWidth="1"/>
    <col min="16314" max="16314" width="5.5703125" bestFit="1" customWidth="1"/>
    <col min="16315" max="16315" width="14.42578125" bestFit="1" customWidth="1"/>
    <col min="16316" max="16316" width="11.28515625" bestFit="1" customWidth="1"/>
    <col min="16317" max="16318" width="12.28515625" bestFit="1" customWidth="1"/>
    <col min="16319" max="16319" width="11.28515625" bestFit="1" customWidth="1"/>
    <col min="16320" max="16320" width="13.85546875" bestFit="1" customWidth="1"/>
    <col min="16321" max="16321" width="12" bestFit="1" customWidth="1"/>
    <col min="16322" max="16322" width="13.85546875" bestFit="1" customWidth="1"/>
    <col min="16323" max="16324" width="14.42578125" customWidth="1"/>
    <col min="16325" max="16325" width="10.140625" bestFit="1" customWidth="1"/>
    <col min="16326" max="16326" width="12.28515625" bestFit="1" customWidth="1"/>
    <col min="16327" max="16327" width="7.42578125" bestFit="1" customWidth="1"/>
    <col min="16328" max="16328" width="8.5703125" bestFit="1" customWidth="1"/>
    <col min="16329" max="16329" width="11.5703125" bestFit="1" customWidth="1"/>
    <col min="16330" max="16330" width="13.28515625" bestFit="1" customWidth="1"/>
    <col min="16331" max="16331" width="13.28515625" customWidth="1"/>
    <col min="16332" max="16332" width="13.140625" customWidth="1"/>
    <col min="16333" max="16333" width="12.7109375" bestFit="1" customWidth="1"/>
    <col min="16334" max="16334" width="13.28515625" bestFit="1" customWidth="1"/>
    <col min="16335" max="16337" width="13.28515625" customWidth="1"/>
    <col min="16338" max="16338" width="12.140625" bestFit="1" customWidth="1"/>
    <col min="16339" max="16339" width="12.7109375" bestFit="1" customWidth="1"/>
    <col min="16340" max="16340" width="11" customWidth="1"/>
    <col min="16341" max="16341" width="16.7109375" customWidth="1"/>
    <col min="16342" max="16342" width="17" customWidth="1"/>
    <col min="16343" max="16343" width="10.42578125" bestFit="1" customWidth="1"/>
  </cols>
  <sheetData>
    <row r="1" spans="1:287" x14ac:dyDescent="0.25">
      <c r="A1" s="1" t="s">
        <v>0</v>
      </c>
      <c r="CE1" s="2"/>
      <c r="ED1" s="3"/>
      <c r="EE1" s="3"/>
      <c r="EP1" s="2"/>
      <c r="FD1" s="2"/>
    </row>
    <row r="2" spans="1:287" x14ac:dyDescent="0.25">
      <c r="A2" s="1" t="s">
        <v>184</v>
      </c>
      <c r="ED2" s="3"/>
      <c r="EP2" s="2"/>
      <c r="FD2" s="2"/>
      <c r="FE2" s="3"/>
      <c r="GA2" t="s">
        <v>211</v>
      </c>
      <c r="GP2" s="447" t="s">
        <v>210</v>
      </c>
      <c r="GQ2" s="447"/>
    </row>
    <row r="3" spans="1:287" x14ac:dyDescent="0.25">
      <c r="A3" s="448" t="s">
        <v>1</v>
      </c>
      <c r="B3" s="449" t="s">
        <v>2</v>
      </c>
      <c r="C3" s="449"/>
      <c r="D3" s="449"/>
      <c r="E3" s="449"/>
      <c r="F3" s="449"/>
      <c r="G3" s="449"/>
      <c r="H3" s="420" t="s">
        <v>3</v>
      </c>
      <c r="I3" s="420"/>
      <c r="J3" s="420"/>
      <c r="K3" s="420"/>
      <c r="L3" s="420"/>
      <c r="M3" s="420"/>
      <c r="N3" s="420"/>
      <c r="O3" s="420" t="s">
        <v>4</v>
      </c>
      <c r="P3" s="420"/>
      <c r="Q3" s="420"/>
      <c r="R3" s="420"/>
      <c r="S3" s="420"/>
      <c r="T3" s="420"/>
      <c r="U3" s="420"/>
      <c r="V3" s="420"/>
      <c r="W3" s="420"/>
      <c r="X3" s="420"/>
      <c r="Y3" s="420"/>
      <c r="Z3" s="420"/>
      <c r="AA3" s="420"/>
      <c r="AB3" s="420"/>
      <c r="AC3" s="420"/>
      <c r="AD3" s="420"/>
      <c r="AE3" s="420"/>
      <c r="AF3" s="420"/>
      <c r="AG3" s="420"/>
      <c r="AH3" s="420"/>
      <c r="AI3" s="420"/>
      <c r="AJ3" s="420"/>
      <c r="AK3" s="420"/>
      <c r="AL3" s="420"/>
      <c r="AM3" s="420"/>
      <c r="AN3" s="420"/>
      <c r="AO3" s="420"/>
      <c r="AP3" s="420"/>
      <c r="AQ3" s="420"/>
      <c r="AR3" s="420"/>
      <c r="AS3" s="420"/>
      <c r="AT3" s="420"/>
      <c r="AU3" s="420"/>
      <c r="AV3" s="420"/>
      <c r="AW3" s="420"/>
      <c r="AX3" s="420"/>
      <c r="AY3" s="420"/>
      <c r="AZ3" s="420"/>
      <c r="BA3" s="420"/>
      <c r="BB3" s="420"/>
      <c r="BC3" s="420"/>
      <c r="BD3" s="420"/>
      <c r="BE3" s="433" t="s">
        <v>5</v>
      </c>
      <c r="BF3" s="445"/>
      <c r="BG3" s="434"/>
      <c r="BH3" s="403" t="s">
        <v>6</v>
      </c>
      <c r="BI3" s="417"/>
      <c r="BJ3" s="404"/>
      <c r="BK3" s="433" t="s">
        <v>7</v>
      </c>
      <c r="BL3" s="445"/>
      <c r="BM3" s="445"/>
      <c r="BN3" s="445"/>
      <c r="BO3" s="445"/>
      <c r="BP3" s="434"/>
      <c r="BQ3" s="420" t="s">
        <v>8</v>
      </c>
      <c r="BR3" s="420"/>
      <c r="BS3" s="450"/>
      <c r="BT3" s="451"/>
      <c r="BU3" s="420" t="s">
        <v>9</v>
      </c>
      <c r="BV3" s="420"/>
      <c r="BW3" s="420"/>
      <c r="BX3" s="420"/>
      <c r="BY3" s="420"/>
      <c r="BZ3" s="420"/>
      <c r="CA3" s="420"/>
      <c r="CB3" s="420"/>
      <c r="CC3" s="420"/>
      <c r="CD3" s="420"/>
      <c r="CE3" s="420"/>
      <c r="CF3" s="420"/>
      <c r="CG3" s="420"/>
      <c r="CH3" s="420"/>
      <c r="CI3" s="420"/>
      <c r="CJ3" s="420"/>
      <c r="CK3" s="420"/>
      <c r="CL3" s="420"/>
      <c r="CM3" s="420"/>
      <c r="CN3" s="420"/>
      <c r="CO3" s="420"/>
      <c r="CP3" s="420"/>
      <c r="CQ3" s="420"/>
      <c r="CR3" s="420"/>
      <c r="CS3" s="420"/>
      <c r="CT3" s="420"/>
      <c r="CU3" s="420"/>
      <c r="CV3" s="420"/>
      <c r="CW3" s="420"/>
      <c r="CX3" s="420"/>
      <c r="CY3" s="420"/>
      <c r="CZ3" s="420"/>
      <c r="DA3" s="420"/>
      <c r="DB3" s="420"/>
      <c r="DC3" s="420"/>
      <c r="DD3" s="420"/>
      <c r="DE3" s="420"/>
      <c r="DF3" s="420"/>
      <c r="DG3" s="420"/>
      <c r="DH3" s="438" t="s">
        <v>10</v>
      </c>
      <c r="DI3" s="421" t="s">
        <v>11</v>
      </c>
      <c r="DJ3" s="421"/>
      <c r="DK3" s="421"/>
      <c r="DL3" s="421"/>
      <c r="DM3" s="421"/>
      <c r="DN3" s="421"/>
      <c r="DO3" s="421"/>
      <c r="DP3" s="421"/>
      <c r="DQ3" s="408" t="s">
        <v>180</v>
      </c>
      <c r="DR3" s="409"/>
      <c r="DS3" s="408" t="s">
        <v>12</v>
      </c>
      <c r="DT3" s="409"/>
      <c r="DU3" s="440" t="s">
        <v>13</v>
      </c>
      <c r="DV3" s="441"/>
      <c r="DW3" s="441"/>
      <c r="DX3" s="441"/>
      <c r="DY3" s="441"/>
      <c r="DZ3" s="441"/>
      <c r="EA3" s="441"/>
      <c r="EB3" s="441"/>
      <c r="EC3" s="442"/>
      <c r="ED3" s="4"/>
      <c r="EE3" s="440" t="s">
        <v>14</v>
      </c>
      <c r="EF3" s="441"/>
      <c r="EG3" s="441"/>
      <c r="EH3" s="441"/>
      <c r="EI3" s="441"/>
      <c r="EJ3" s="441"/>
      <c r="EK3" s="441"/>
      <c r="EL3" s="441"/>
      <c r="EM3" s="442"/>
      <c r="EN3" s="5"/>
      <c r="EO3" s="446" t="s">
        <v>15</v>
      </c>
      <c r="EP3" s="446"/>
      <c r="EQ3" s="446"/>
      <c r="ER3" s="446"/>
      <c r="ES3" s="446"/>
      <c r="ET3" s="446"/>
      <c r="EU3" s="446"/>
      <c r="EV3" s="446"/>
      <c r="EW3" s="446"/>
      <c r="EX3" s="446"/>
      <c r="EY3" s="446"/>
      <c r="EZ3" s="446"/>
      <c r="FA3" s="446"/>
      <c r="FB3" s="446"/>
      <c r="FC3" s="446"/>
      <c r="FD3" s="446"/>
      <c r="FE3" s="446" t="s">
        <v>16</v>
      </c>
      <c r="FF3" s="446"/>
      <c r="FG3" s="446"/>
      <c r="FH3" s="446"/>
      <c r="FI3" s="446"/>
      <c r="FJ3" s="446"/>
      <c r="FK3" s="446"/>
      <c r="FL3" s="446"/>
      <c r="FM3" s="446"/>
      <c r="FN3" s="446"/>
      <c r="FO3" s="446"/>
      <c r="FP3" s="446"/>
      <c r="FQ3" s="446"/>
      <c r="FR3" s="446"/>
      <c r="FS3" s="446"/>
      <c r="FT3" s="446"/>
      <c r="FU3" s="446"/>
      <c r="FV3" s="446" t="s">
        <v>17</v>
      </c>
      <c r="FW3" s="446"/>
      <c r="FX3" s="446"/>
      <c r="FY3" s="446"/>
      <c r="FZ3" s="446"/>
      <c r="GA3" s="446"/>
      <c r="GB3" s="446"/>
      <c r="GC3" s="446"/>
      <c r="GD3" s="446"/>
      <c r="GE3" s="446"/>
      <c r="GF3" s="446"/>
      <c r="GG3" s="446"/>
      <c r="GH3" s="404" t="s">
        <v>18</v>
      </c>
      <c r="GI3" s="402"/>
      <c r="GJ3" s="402"/>
      <c r="GK3" s="402"/>
      <c r="GL3" s="402"/>
      <c r="GM3" s="402"/>
      <c r="GN3" s="403" t="s">
        <v>202</v>
      </c>
      <c r="GO3" s="417"/>
      <c r="GP3" s="404"/>
      <c r="GQ3" s="403" t="s">
        <v>209</v>
      </c>
      <c r="GR3" s="417"/>
      <c r="GS3" s="404"/>
      <c r="HH3" s="406" t="s">
        <v>256</v>
      </c>
      <c r="HI3" s="406"/>
      <c r="HJ3" s="406"/>
      <c r="HK3" s="406"/>
      <c r="HL3" s="406"/>
      <c r="HM3" s="406"/>
      <c r="HN3" s="406"/>
      <c r="HO3" s="406"/>
      <c r="HP3" s="406"/>
      <c r="HQ3" s="406"/>
      <c r="HR3" s="406"/>
      <c r="HS3" s="406"/>
      <c r="HT3" s="406"/>
      <c r="HU3" s="406"/>
      <c r="HV3" s="406"/>
      <c r="HW3" s="406"/>
      <c r="HX3" s="406"/>
      <c r="HY3" s="406"/>
      <c r="HZ3" s="406"/>
      <c r="IA3" s="406"/>
      <c r="IB3" s="406"/>
      <c r="IC3" s="406"/>
      <c r="ID3" s="406"/>
      <c r="IE3" s="406"/>
      <c r="IF3" s="406"/>
      <c r="IG3" s="406"/>
      <c r="IH3" s="406"/>
      <c r="II3" s="406"/>
      <c r="IJ3" s="406"/>
      <c r="IK3" s="406"/>
      <c r="IL3" s="406"/>
      <c r="IM3" s="406"/>
      <c r="IN3" s="406"/>
      <c r="IO3" s="406"/>
      <c r="IP3" s="406"/>
      <c r="IQ3" s="406"/>
      <c r="IR3" s="406"/>
      <c r="IS3" s="406"/>
      <c r="IT3" s="406"/>
      <c r="IU3" s="406"/>
      <c r="IV3" s="406"/>
      <c r="IW3" s="406"/>
      <c r="IX3" s="406"/>
      <c r="IY3" s="406"/>
      <c r="IZ3" s="406"/>
      <c r="JA3" s="406"/>
      <c r="JB3" s="406"/>
      <c r="JC3" s="406"/>
      <c r="JD3" s="406"/>
      <c r="JE3" s="406"/>
      <c r="JF3" s="406"/>
      <c r="JG3" s="406"/>
      <c r="JH3" s="406"/>
      <c r="JI3" s="406"/>
      <c r="JJ3" s="406"/>
      <c r="JK3" s="406"/>
      <c r="JL3" s="406"/>
      <c r="JM3" s="406"/>
      <c r="JN3" s="406"/>
      <c r="JO3" s="406"/>
      <c r="JP3" s="406"/>
      <c r="JQ3" s="406"/>
      <c r="JR3" s="406"/>
      <c r="JS3" s="406"/>
      <c r="JT3" s="406"/>
      <c r="JU3" s="406"/>
      <c r="JV3" s="406"/>
      <c r="JW3" s="406"/>
      <c r="JX3" s="406"/>
      <c r="JY3" s="406"/>
    </row>
    <row r="4" spans="1:287" x14ac:dyDescent="0.25">
      <c r="A4" s="448"/>
      <c r="B4" s="449"/>
      <c r="C4" s="449"/>
      <c r="D4" s="449"/>
      <c r="E4" s="449"/>
      <c r="F4" s="449"/>
      <c r="G4" s="449"/>
      <c r="H4" s="420"/>
      <c r="I4" s="420"/>
      <c r="J4" s="420"/>
      <c r="K4" s="420"/>
      <c r="L4" s="420"/>
      <c r="M4" s="420"/>
      <c r="N4" s="420"/>
      <c r="O4" s="420" t="s">
        <v>20</v>
      </c>
      <c r="P4" s="420"/>
      <c r="Q4" s="420"/>
      <c r="R4" s="420"/>
      <c r="S4" s="420"/>
      <c r="T4" s="420"/>
      <c r="U4" s="420"/>
      <c r="V4" s="420"/>
      <c r="W4" s="420"/>
      <c r="X4" s="420"/>
      <c r="Y4" s="420"/>
      <c r="Z4" s="420"/>
      <c r="AA4" s="420"/>
      <c r="AB4" s="420"/>
      <c r="AC4" s="420"/>
      <c r="AD4" s="420"/>
      <c r="AE4" s="420"/>
      <c r="AF4" s="420"/>
      <c r="AG4" s="420"/>
      <c r="AH4" s="420"/>
      <c r="AI4" s="420"/>
      <c r="AJ4" s="7"/>
      <c r="AK4" s="430" t="s">
        <v>21</v>
      </c>
      <c r="AL4" s="420" t="s">
        <v>22</v>
      </c>
      <c r="AM4" s="420"/>
      <c r="AN4" s="420"/>
      <c r="AO4" s="420"/>
      <c r="AP4" s="420"/>
      <c r="AQ4" s="420"/>
      <c r="AR4" s="420"/>
      <c r="AS4" s="420"/>
      <c r="AT4" s="420"/>
      <c r="AU4" s="420"/>
      <c r="AV4" s="420"/>
      <c r="AW4" s="420"/>
      <c r="AX4" s="420"/>
      <c r="AY4" s="420"/>
      <c r="AZ4" s="420"/>
      <c r="BA4" s="420"/>
      <c r="BB4" s="420"/>
      <c r="BC4" s="420"/>
      <c r="BD4" s="430" t="s">
        <v>23</v>
      </c>
      <c r="BE4" s="420" t="s">
        <v>24</v>
      </c>
      <c r="BF4" s="420"/>
      <c r="BG4" s="420"/>
      <c r="BH4" s="7"/>
      <c r="BI4" s="7"/>
      <c r="BJ4" s="7"/>
      <c r="BK4" s="420" t="s">
        <v>25</v>
      </c>
      <c r="BL4" s="420"/>
      <c r="BM4" s="420" t="s">
        <v>26</v>
      </c>
      <c r="BN4" s="420"/>
      <c r="BO4" s="427" t="s">
        <v>27</v>
      </c>
      <c r="BP4" s="427"/>
      <c r="BQ4" s="420"/>
      <c r="BR4" s="420"/>
      <c r="BS4" s="428" t="s">
        <v>28</v>
      </c>
      <c r="BT4" s="429"/>
      <c r="BU4" s="420"/>
      <c r="BV4" s="420"/>
      <c r="BW4" s="420"/>
      <c r="BX4" s="420"/>
      <c r="BY4" s="420"/>
      <c r="BZ4" s="420"/>
      <c r="CA4" s="420"/>
      <c r="CB4" s="420"/>
      <c r="CC4" s="420"/>
      <c r="CD4" s="420"/>
      <c r="CE4" s="420"/>
      <c r="CF4" s="420"/>
      <c r="CG4" s="420"/>
      <c r="CH4" s="420"/>
      <c r="CI4" s="420"/>
      <c r="CJ4" s="420"/>
      <c r="CK4" s="420"/>
      <c r="CL4" s="420"/>
      <c r="CM4" s="420"/>
      <c r="CN4" s="420"/>
      <c r="CO4" s="420"/>
      <c r="CP4" s="420"/>
      <c r="CQ4" s="420"/>
      <c r="CR4" s="420"/>
      <c r="CS4" s="420"/>
      <c r="CT4" s="420"/>
      <c r="CU4" s="420"/>
      <c r="CV4" s="420"/>
      <c r="CW4" s="420"/>
      <c r="CX4" s="420"/>
      <c r="CY4" s="420"/>
      <c r="CZ4" s="420"/>
      <c r="DA4" s="420"/>
      <c r="DB4" s="420"/>
      <c r="DC4" s="420"/>
      <c r="DD4" s="420"/>
      <c r="DE4" s="420"/>
      <c r="DF4" s="420"/>
      <c r="DG4" s="420"/>
      <c r="DH4" s="439"/>
      <c r="DI4" s="421"/>
      <c r="DJ4" s="421"/>
      <c r="DK4" s="421"/>
      <c r="DL4" s="421"/>
      <c r="DM4" s="421"/>
      <c r="DN4" s="421"/>
      <c r="DO4" s="421"/>
      <c r="DP4" s="421"/>
      <c r="DQ4" s="410"/>
      <c r="DR4" s="411"/>
      <c r="DS4" s="410"/>
      <c r="DT4" s="411"/>
      <c r="DU4" s="435" t="s">
        <v>29</v>
      </c>
      <c r="DV4" s="436"/>
      <c r="DW4" s="437"/>
      <c r="DX4" s="435" t="s">
        <v>30</v>
      </c>
      <c r="DY4" s="436"/>
      <c r="DZ4" s="437"/>
      <c r="EA4" s="435"/>
      <c r="EB4" s="436"/>
      <c r="EC4" s="437"/>
      <c r="ED4" s="8" t="s">
        <v>31</v>
      </c>
      <c r="EE4" s="435"/>
      <c r="EF4" s="436"/>
      <c r="EG4" s="437"/>
      <c r="EH4" s="435"/>
      <c r="EI4" s="436"/>
      <c r="EJ4" s="437"/>
      <c r="EK4" s="435"/>
      <c r="EL4" s="436"/>
      <c r="EM4" s="437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403" t="s">
        <v>33</v>
      </c>
      <c r="FW4" s="417"/>
      <c r="FX4" s="417"/>
      <c r="FY4" s="417" t="s">
        <v>33</v>
      </c>
      <c r="FZ4" s="417"/>
      <c r="GA4" s="417"/>
      <c r="GB4" s="417"/>
      <c r="GC4" s="417"/>
      <c r="GD4" s="417"/>
      <c r="GE4" s="417"/>
      <c r="GF4" s="417"/>
      <c r="GG4" s="404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402" t="s">
        <v>252</v>
      </c>
      <c r="HH4" s="491" t="s">
        <v>106</v>
      </c>
      <c r="HI4" s="491"/>
      <c r="HJ4" s="491"/>
      <c r="HK4" s="491" t="s">
        <v>258</v>
      </c>
      <c r="HL4" s="491"/>
      <c r="HM4" s="491"/>
      <c r="HN4" s="507" t="s">
        <v>259</v>
      </c>
      <c r="HO4" s="508"/>
      <c r="HP4" s="508"/>
      <c r="HQ4" s="508"/>
      <c r="HR4" s="508"/>
      <c r="HS4" s="508"/>
      <c r="HT4" s="508"/>
      <c r="HU4" s="508"/>
      <c r="HV4" s="508"/>
      <c r="HW4" s="508"/>
      <c r="HX4" s="508"/>
      <c r="HY4" s="508"/>
      <c r="HZ4" s="508"/>
      <c r="IA4" s="508"/>
      <c r="IB4" s="509"/>
      <c r="IC4" s="494" t="s">
        <v>283</v>
      </c>
      <c r="ID4" s="493" t="s">
        <v>204</v>
      </c>
      <c r="IE4" s="493"/>
      <c r="IF4" s="493"/>
      <c r="IG4" s="493"/>
      <c r="IH4" s="493"/>
      <c r="II4" s="493"/>
      <c r="IJ4" s="493"/>
      <c r="IK4" s="493"/>
      <c r="IL4" s="493"/>
      <c r="IM4" s="493"/>
      <c r="IN4" s="493"/>
      <c r="IO4" s="493"/>
      <c r="IP4" s="492" t="s">
        <v>260</v>
      </c>
      <c r="IQ4" s="492"/>
      <c r="IR4" s="492"/>
      <c r="IS4" s="492"/>
      <c r="IT4" s="492"/>
      <c r="IU4" s="492"/>
      <c r="IV4" s="492"/>
      <c r="IW4" s="492"/>
      <c r="IX4" s="492"/>
      <c r="IY4" s="492"/>
      <c r="IZ4" s="492"/>
      <c r="JA4" s="492"/>
      <c r="JB4" s="492"/>
      <c r="JC4" s="492"/>
      <c r="JD4" s="492"/>
      <c r="JE4" s="492"/>
      <c r="JF4" s="492"/>
      <c r="JG4" s="492"/>
      <c r="JH4" s="496" t="s">
        <v>261</v>
      </c>
      <c r="JI4" s="496"/>
      <c r="JJ4" s="496"/>
      <c r="JK4" s="496"/>
      <c r="JL4" s="496"/>
      <c r="JM4" s="496"/>
      <c r="JN4" s="496"/>
      <c r="JO4" s="496"/>
      <c r="JP4" s="496"/>
      <c r="JQ4" s="496"/>
      <c r="JR4" s="496"/>
      <c r="JS4" s="496"/>
      <c r="JT4" s="496"/>
      <c r="JU4" s="496"/>
      <c r="JV4" s="496"/>
      <c r="JW4" s="496"/>
      <c r="JX4" s="496"/>
      <c r="JY4" s="496"/>
      <c r="KA4" t="s">
        <v>98</v>
      </c>
    </row>
    <row r="5" spans="1:287" x14ac:dyDescent="0.25">
      <c r="A5" s="448"/>
      <c r="B5" s="452" t="s">
        <v>35</v>
      </c>
      <c r="C5" s="452"/>
      <c r="D5" s="452"/>
      <c r="E5" s="452" t="s">
        <v>36</v>
      </c>
      <c r="F5" s="452"/>
      <c r="G5" s="15" t="s">
        <v>37</v>
      </c>
      <c r="H5" s="420" t="s">
        <v>38</v>
      </c>
      <c r="I5" s="420"/>
      <c r="J5" s="420"/>
      <c r="K5" s="420"/>
      <c r="L5" s="420" t="s">
        <v>39</v>
      </c>
      <c r="M5" s="420"/>
      <c r="N5" s="420"/>
      <c r="O5" s="420" t="s">
        <v>40</v>
      </c>
      <c r="P5" s="420"/>
      <c r="Q5" s="420"/>
      <c r="R5" s="7"/>
      <c r="S5" s="420" t="s">
        <v>41</v>
      </c>
      <c r="T5" s="420"/>
      <c r="U5" s="420" t="s">
        <v>42</v>
      </c>
      <c r="V5" s="420"/>
      <c r="W5" s="420" t="s">
        <v>43</v>
      </c>
      <c r="X5" s="420"/>
      <c r="Y5" s="431" t="s">
        <v>44</v>
      </c>
      <c r="Z5" s="432"/>
      <c r="AA5" s="433" t="s">
        <v>188</v>
      </c>
      <c r="AB5" s="434"/>
      <c r="AC5" s="420" t="s">
        <v>45</v>
      </c>
      <c r="AD5" s="420"/>
      <c r="AE5" s="420"/>
      <c r="AF5" s="420"/>
      <c r="AG5" s="420" t="s">
        <v>46</v>
      </c>
      <c r="AH5" s="420"/>
      <c r="AI5" s="420"/>
      <c r="AJ5" s="420"/>
      <c r="AK5" s="430"/>
      <c r="AL5" s="421" t="s">
        <v>47</v>
      </c>
      <c r="AM5" s="421"/>
      <c r="AN5" s="421"/>
      <c r="AO5" s="421"/>
      <c r="AP5" s="421" t="s">
        <v>48</v>
      </c>
      <c r="AQ5" s="421"/>
      <c r="AR5" s="421"/>
      <c r="AS5" s="421"/>
      <c r="AT5" s="422" t="s">
        <v>49</v>
      </c>
      <c r="AU5" s="423"/>
      <c r="AV5" s="422" t="s">
        <v>50</v>
      </c>
      <c r="AW5" s="423"/>
      <c r="AX5" s="421" t="s">
        <v>51</v>
      </c>
      <c r="AY5" s="421"/>
      <c r="AZ5" s="421"/>
      <c r="BA5" s="421" t="s">
        <v>52</v>
      </c>
      <c r="BB5" s="421"/>
      <c r="BC5" s="421"/>
      <c r="BD5" s="430"/>
      <c r="BE5" s="420"/>
      <c r="BF5" s="420"/>
      <c r="BG5" s="420"/>
      <c r="BH5" s="16"/>
      <c r="BI5" s="16"/>
      <c r="BJ5" s="16"/>
      <c r="BK5" s="420"/>
      <c r="BL5" s="420"/>
      <c r="BM5" s="420"/>
      <c r="BN5" s="420"/>
      <c r="BO5" s="427"/>
      <c r="BP5" s="427"/>
      <c r="BQ5" s="420"/>
      <c r="BR5" s="420"/>
      <c r="BS5" s="443" t="s">
        <v>53</v>
      </c>
      <c r="BT5" s="444"/>
      <c r="BU5" s="420" t="s">
        <v>54</v>
      </c>
      <c r="BV5" s="420"/>
      <c r="BW5" s="420"/>
      <c r="BX5" s="420"/>
      <c r="BY5" s="433" t="s">
        <v>55</v>
      </c>
      <c r="BZ5" s="445"/>
      <c r="CA5" s="445"/>
      <c r="CB5" s="434"/>
      <c r="CC5" s="420" t="s">
        <v>56</v>
      </c>
      <c r="CD5" s="420"/>
      <c r="CE5" s="420" t="s">
        <v>57</v>
      </c>
      <c r="CF5" s="420"/>
      <c r="CG5" s="420" t="s">
        <v>58</v>
      </c>
      <c r="CH5" s="420"/>
      <c r="CI5" s="420" t="s">
        <v>59</v>
      </c>
      <c r="CJ5" s="420"/>
      <c r="CK5" s="420"/>
      <c r="CL5" s="420"/>
      <c r="CM5" s="420" t="s">
        <v>60</v>
      </c>
      <c r="CN5" s="420"/>
      <c r="CO5" s="420"/>
      <c r="CP5" s="420"/>
      <c r="CQ5" s="421" t="s">
        <v>61</v>
      </c>
      <c r="CR5" s="421"/>
      <c r="CS5" s="421"/>
      <c r="CT5" s="421"/>
      <c r="CU5" s="421" t="s">
        <v>62</v>
      </c>
      <c r="CV5" s="421"/>
      <c r="CW5" s="421"/>
      <c r="CX5" s="421"/>
      <c r="CY5" s="421" t="s">
        <v>63</v>
      </c>
      <c r="CZ5" s="421"/>
      <c r="DA5" s="421"/>
      <c r="DB5" s="421"/>
      <c r="DC5" s="421" t="s">
        <v>64</v>
      </c>
      <c r="DD5" s="421"/>
      <c r="DE5" s="421"/>
      <c r="DF5" s="421"/>
      <c r="DG5" s="17" t="s">
        <v>65</v>
      </c>
      <c r="DH5" s="17"/>
      <c r="DI5" s="421"/>
      <c r="DJ5" s="421"/>
      <c r="DK5" s="421"/>
      <c r="DL5" s="421"/>
      <c r="DM5" s="421"/>
      <c r="DN5" s="421"/>
      <c r="DO5" s="421"/>
      <c r="DP5" s="421"/>
      <c r="DQ5" s="412"/>
      <c r="DR5" s="413"/>
      <c r="DS5" s="412"/>
      <c r="DT5" s="413"/>
      <c r="DU5" s="424" t="s">
        <v>66</v>
      </c>
      <c r="DV5" s="425"/>
      <c r="DW5" s="426"/>
      <c r="DX5" s="424" t="s">
        <v>67</v>
      </c>
      <c r="DY5" s="425"/>
      <c r="DZ5" s="426"/>
      <c r="EA5" s="424" t="s">
        <v>68</v>
      </c>
      <c r="EB5" s="425"/>
      <c r="EC5" s="426"/>
      <c r="ED5" s="18"/>
      <c r="EE5" s="424" t="s">
        <v>69</v>
      </c>
      <c r="EF5" s="425"/>
      <c r="EG5" s="426"/>
      <c r="EH5" s="424" t="s">
        <v>70</v>
      </c>
      <c r="EI5" s="425"/>
      <c r="EJ5" s="426"/>
      <c r="EK5" s="424" t="s">
        <v>71</v>
      </c>
      <c r="EL5" s="425"/>
      <c r="EM5" s="426"/>
      <c r="EN5" s="19"/>
      <c r="EO5" s="403" t="s">
        <v>72</v>
      </c>
      <c r="EP5" s="417"/>
      <c r="EQ5" s="404"/>
      <c r="ER5" s="403" t="s">
        <v>73</v>
      </c>
      <c r="ES5" s="417"/>
      <c r="ET5" s="404"/>
      <c r="EU5" s="403" t="s">
        <v>74</v>
      </c>
      <c r="EV5" s="417"/>
      <c r="EW5" s="404"/>
      <c r="EX5" s="403" t="s">
        <v>75</v>
      </c>
      <c r="EY5" s="417"/>
      <c r="EZ5" s="404"/>
      <c r="FA5" s="20"/>
      <c r="FB5" s="403" t="s">
        <v>76</v>
      </c>
      <c r="FC5" s="404"/>
      <c r="FD5" s="16" t="s">
        <v>77</v>
      </c>
      <c r="FE5" s="403" t="s">
        <v>72</v>
      </c>
      <c r="FF5" s="417"/>
      <c r="FG5" s="404"/>
      <c r="FH5" s="403" t="s">
        <v>73</v>
      </c>
      <c r="FI5" s="417"/>
      <c r="FJ5" s="404"/>
      <c r="FK5" s="10" t="s">
        <v>78</v>
      </c>
      <c r="FL5" s="11"/>
      <c r="FM5" s="21"/>
      <c r="FN5" s="403" t="s">
        <v>75</v>
      </c>
      <c r="FO5" s="417"/>
      <c r="FP5" s="404"/>
      <c r="FQ5" s="403" t="s">
        <v>79</v>
      </c>
      <c r="FR5" s="417"/>
      <c r="FS5" s="404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402"/>
      <c r="HH5" s="16"/>
      <c r="HI5" s="16"/>
      <c r="HJ5" s="16"/>
      <c r="HK5" s="16"/>
      <c r="HL5" s="16"/>
      <c r="HM5" s="16"/>
      <c r="HN5" s="403" t="s">
        <v>318</v>
      </c>
      <c r="HO5" s="417"/>
      <c r="HP5" s="404"/>
      <c r="HQ5" s="402" t="s">
        <v>204</v>
      </c>
      <c r="HR5" s="402"/>
      <c r="HS5" s="402"/>
      <c r="HT5" s="402" t="s">
        <v>260</v>
      </c>
      <c r="HU5" s="402"/>
      <c r="HV5" s="402"/>
      <c r="HW5" s="402" t="s">
        <v>261</v>
      </c>
      <c r="HX5" s="402"/>
      <c r="HY5" s="402"/>
      <c r="HZ5" s="402" t="s">
        <v>65</v>
      </c>
      <c r="IA5" s="402"/>
      <c r="IB5" s="402"/>
      <c r="IC5" s="495"/>
      <c r="ID5" s="402" t="s">
        <v>262</v>
      </c>
      <c r="IE5" s="402"/>
      <c r="IF5" s="402"/>
      <c r="IG5" s="402" t="s">
        <v>263</v>
      </c>
      <c r="IH5" s="402"/>
      <c r="II5" s="402"/>
      <c r="IJ5" s="402" t="s">
        <v>264</v>
      </c>
      <c r="IK5" s="402"/>
      <c r="IL5" s="402"/>
      <c r="IM5" s="402" t="s">
        <v>265</v>
      </c>
      <c r="IN5" s="402"/>
      <c r="IO5" s="402"/>
      <c r="IP5" s="402" t="s">
        <v>152</v>
      </c>
      <c r="IQ5" s="402"/>
      <c r="IR5" s="402"/>
      <c r="IS5" s="402" t="s">
        <v>266</v>
      </c>
      <c r="IT5" s="402"/>
      <c r="IU5" s="402"/>
      <c r="IV5" s="402" t="s">
        <v>165</v>
      </c>
      <c r="IW5" s="402"/>
      <c r="IX5" s="402"/>
      <c r="IY5" s="402" t="s">
        <v>267</v>
      </c>
      <c r="IZ5" s="402"/>
      <c r="JA5" s="402"/>
      <c r="JB5" s="402" t="s">
        <v>268</v>
      </c>
      <c r="JC5" s="402"/>
      <c r="JD5" s="402"/>
      <c r="JE5" s="402" t="s">
        <v>269</v>
      </c>
      <c r="JF5" s="402"/>
      <c r="JG5" s="402"/>
      <c r="JH5" s="402" t="s">
        <v>152</v>
      </c>
      <c r="JI5" s="402"/>
      <c r="JJ5" s="402"/>
      <c r="JK5" s="402" t="s">
        <v>266</v>
      </c>
      <c r="JL5" s="402"/>
      <c r="JM5" s="402"/>
      <c r="JN5" s="402" t="s">
        <v>165</v>
      </c>
      <c r="JO5" s="402"/>
      <c r="JP5" s="402"/>
      <c r="JQ5" s="402" t="s">
        <v>267</v>
      </c>
      <c r="JR5" s="402"/>
      <c r="JS5" s="402"/>
      <c r="JT5" s="402" t="s">
        <v>268</v>
      </c>
      <c r="JU5" s="402"/>
      <c r="JV5" s="402"/>
      <c r="JW5" s="402" t="s">
        <v>269</v>
      </c>
      <c r="JX5" s="402"/>
      <c r="JY5" s="402"/>
    </row>
    <row r="6" spans="1:287" x14ac:dyDescent="0.25">
      <c r="A6" s="448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403" t="s">
        <v>99</v>
      </c>
      <c r="FW6" s="417"/>
      <c r="FX6" s="404"/>
      <c r="FY6" s="403" t="s">
        <v>100</v>
      </c>
      <c r="FZ6" s="417"/>
      <c r="GA6" s="404"/>
      <c r="GB6" s="403" t="s">
        <v>101</v>
      </c>
      <c r="GC6" s="417"/>
      <c r="GD6" s="404"/>
      <c r="GE6" s="403" t="s">
        <v>102</v>
      </c>
      <c r="GF6" s="417"/>
      <c r="GG6" s="404"/>
      <c r="GH6" s="403" t="s">
        <v>103</v>
      </c>
      <c r="GI6" s="417"/>
      <c r="GJ6" s="404"/>
      <c r="GK6" s="403" t="s">
        <v>104</v>
      </c>
      <c r="GL6" s="417"/>
      <c r="GM6" s="404"/>
      <c r="GN6" s="33"/>
      <c r="GO6" s="33"/>
      <c r="GP6" s="33"/>
      <c r="GQ6" s="6"/>
      <c r="GR6" s="6"/>
      <c r="GS6" s="6"/>
      <c r="GT6" s="177"/>
      <c r="GU6" s="402" t="s">
        <v>105</v>
      </c>
      <c r="GV6" s="402"/>
      <c r="GW6" s="402"/>
      <c r="GX6" s="402"/>
      <c r="GY6" s="418"/>
      <c r="GZ6" s="406"/>
      <c r="HA6" s="406"/>
      <c r="HB6" s="406"/>
      <c r="HG6" s="402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7" t="s">
        <v>82</v>
      </c>
      <c r="IA6" s="207" t="s">
        <v>83</v>
      </c>
      <c r="IB6" s="207" t="s">
        <v>257</v>
      </c>
      <c r="IC6" s="209"/>
      <c r="ID6" s="207" t="s">
        <v>82</v>
      </c>
      <c r="IE6" s="207" t="s">
        <v>83</v>
      </c>
      <c r="IF6" s="207" t="s">
        <v>257</v>
      </c>
      <c r="IG6" s="207" t="s">
        <v>82</v>
      </c>
      <c r="IH6" s="207" t="s">
        <v>83</v>
      </c>
      <c r="II6" s="207" t="s">
        <v>257</v>
      </c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W6" s="207" t="s">
        <v>82</v>
      </c>
      <c r="JX6" s="207" t="s">
        <v>83</v>
      </c>
      <c r="JY6" s="207" t="s">
        <v>257</v>
      </c>
      <c r="KA6" s="208" t="s">
        <v>78</v>
      </c>
    </row>
    <row r="7" spans="1:287" x14ac:dyDescent="0.25">
      <c r="A7" s="35">
        <v>1</v>
      </c>
      <c r="B7" s="38">
        <v>3815.13</v>
      </c>
      <c r="C7" s="38"/>
      <c r="D7" s="38"/>
      <c r="E7" s="38">
        <v>767.56</v>
      </c>
      <c r="F7" s="38"/>
      <c r="G7" s="38"/>
      <c r="H7" s="37"/>
      <c r="I7" s="39"/>
      <c r="J7" s="42"/>
      <c r="K7" s="37"/>
      <c r="L7" s="40">
        <v>11321000</v>
      </c>
      <c r="M7" s="40"/>
      <c r="N7" s="37"/>
      <c r="O7" s="37">
        <v>10259</v>
      </c>
      <c r="P7" s="37"/>
      <c r="Q7" s="37"/>
      <c r="R7" s="37"/>
      <c r="S7" s="37">
        <v>11123637.42</v>
      </c>
      <c r="T7" s="37"/>
      <c r="U7" s="37">
        <v>1518173.85</v>
      </c>
      <c r="V7" s="37"/>
      <c r="W7" s="37">
        <v>3603.7</v>
      </c>
      <c r="X7" s="37"/>
      <c r="Y7" s="183"/>
      <c r="Z7" s="183"/>
      <c r="AA7" s="37">
        <v>644910</v>
      </c>
      <c r="AB7" s="37"/>
      <c r="AC7" s="37">
        <v>3808.3</v>
      </c>
      <c r="AD7" s="37"/>
      <c r="AE7" s="37"/>
      <c r="AF7" s="37"/>
      <c r="AG7" s="37">
        <v>8303.1</v>
      </c>
      <c r="AH7" s="37"/>
      <c r="AI7" s="37"/>
      <c r="AJ7" s="37"/>
      <c r="AK7" s="37"/>
      <c r="AL7" s="42">
        <v>10247</v>
      </c>
      <c r="AM7" s="42"/>
      <c r="AN7" s="37"/>
      <c r="AO7" s="37"/>
      <c r="AP7" s="37">
        <v>7866.24</v>
      </c>
      <c r="AQ7" s="37"/>
      <c r="AR7" s="37"/>
      <c r="AS7" s="37"/>
      <c r="AT7" s="183"/>
      <c r="AU7" s="183"/>
      <c r="AV7" s="183"/>
      <c r="AW7" s="183"/>
      <c r="AX7" s="37">
        <v>462122.28</v>
      </c>
      <c r="AY7" s="37"/>
      <c r="AZ7" s="37"/>
      <c r="BA7" s="37">
        <v>114108.06</v>
      </c>
      <c r="BB7" s="37"/>
      <c r="BC7" s="37"/>
      <c r="BD7" s="37"/>
      <c r="BE7" s="43">
        <v>1780.3</v>
      </c>
      <c r="BF7" s="43">
        <v>974.99</v>
      </c>
      <c r="BG7" s="37"/>
      <c r="BH7" s="44">
        <v>8407.6</v>
      </c>
      <c r="BI7" s="44">
        <v>5409.2</v>
      </c>
      <c r="BJ7" s="37"/>
      <c r="BK7" s="40">
        <v>1364100</v>
      </c>
      <c r="BL7" s="40"/>
      <c r="BM7" s="40">
        <v>835.51</v>
      </c>
      <c r="BN7" s="37"/>
      <c r="BO7" s="186"/>
      <c r="BP7" s="183"/>
      <c r="BQ7" s="40">
        <v>791.28</v>
      </c>
      <c r="BR7" s="37"/>
      <c r="BS7" s="37">
        <v>87836.17</v>
      </c>
      <c r="BT7" s="37"/>
      <c r="BU7" s="42">
        <v>2283600</v>
      </c>
      <c r="BV7" s="42"/>
      <c r="BW7" s="37"/>
      <c r="BX7" s="37"/>
      <c r="BY7" s="43">
        <v>313.32</v>
      </c>
      <c r="BZ7" s="43"/>
      <c r="CA7" s="37"/>
      <c r="CB7" s="37"/>
      <c r="CC7" s="37">
        <v>545650</v>
      </c>
      <c r="CD7" s="37"/>
      <c r="CE7" s="41">
        <v>854080</v>
      </c>
      <c r="CF7" s="37"/>
      <c r="CG7" s="37">
        <v>69406.3</v>
      </c>
      <c r="CH7" s="37"/>
      <c r="CI7" s="40">
        <v>11761</v>
      </c>
      <c r="CJ7" s="40"/>
      <c r="CK7" s="37"/>
      <c r="CL7" s="37"/>
      <c r="CM7" s="37">
        <v>3193.9</v>
      </c>
      <c r="CN7" s="37"/>
      <c r="CO7" s="37"/>
      <c r="CP7" s="37"/>
      <c r="CQ7" s="39">
        <v>3043.8</v>
      </c>
      <c r="CR7" s="39"/>
      <c r="CS7" s="37"/>
      <c r="CT7" s="37"/>
      <c r="CU7" s="37">
        <v>2677600</v>
      </c>
      <c r="CV7" s="41"/>
      <c r="CW7" s="38"/>
      <c r="CX7" s="37"/>
      <c r="CY7" s="37">
        <v>1378000</v>
      </c>
      <c r="CZ7" s="37"/>
      <c r="DA7" s="37"/>
      <c r="DB7" s="37"/>
      <c r="DC7" s="37"/>
      <c r="DD7" s="40"/>
      <c r="DE7" s="37"/>
      <c r="DF7" s="37"/>
      <c r="DG7" s="37"/>
      <c r="DH7" s="37"/>
      <c r="DI7" s="46"/>
      <c r="DJ7" s="46"/>
      <c r="DK7" s="47"/>
      <c r="DL7" s="47"/>
      <c r="DM7" s="37"/>
      <c r="DN7" s="37"/>
      <c r="DO7" s="37"/>
      <c r="DP7" s="37"/>
      <c r="DQ7" s="50">
        <v>3051400</v>
      </c>
      <c r="DR7" s="49"/>
      <c r="DS7" s="50">
        <v>2806200</v>
      </c>
      <c r="DT7" s="49"/>
      <c r="DU7" s="51">
        <v>7763.5</v>
      </c>
      <c r="DV7" s="51">
        <v>4344.6000000000004</v>
      </c>
      <c r="DW7" s="37"/>
      <c r="DX7" s="52">
        <v>12816</v>
      </c>
      <c r="DY7" s="52">
        <v>8323.9</v>
      </c>
      <c r="DZ7" s="37"/>
      <c r="EA7" s="49">
        <v>28967</v>
      </c>
      <c r="EB7" s="49">
        <v>20.364999999999998</v>
      </c>
      <c r="EC7" s="37"/>
      <c r="ED7" s="53"/>
      <c r="EE7" s="49">
        <v>44114</v>
      </c>
      <c r="EF7" s="49">
        <v>28.283999999999999</v>
      </c>
      <c r="EG7" s="37"/>
      <c r="EH7" s="51">
        <v>12521</v>
      </c>
      <c r="EI7" s="51">
        <v>1.6847000000000001</v>
      </c>
      <c r="EJ7" s="37"/>
      <c r="EK7" s="37">
        <v>758.4</v>
      </c>
      <c r="EL7" s="40">
        <v>1087</v>
      </c>
      <c r="EM7" s="37"/>
      <c r="EN7" s="54"/>
      <c r="EO7" s="48">
        <v>12617</v>
      </c>
      <c r="EP7" s="48">
        <v>4396.2</v>
      </c>
      <c r="EQ7" s="37"/>
      <c r="ER7" s="48">
        <v>8624.6</v>
      </c>
      <c r="ES7" s="55">
        <v>3519.5</v>
      </c>
      <c r="ET7" s="49"/>
      <c r="EU7" s="48">
        <v>3187.9</v>
      </c>
      <c r="EV7" s="48">
        <v>1136.2</v>
      </c>
      <c r="EW7" s="49"/>
      <c r="EX7" s="48">
        <v>12904</v>
      </c>
      <c r="EY7" s="48">
        <v>1.4434</v>
      </c>
      <c r="EZ7" s="37"/>
      <c r="FA7" s="48"/>
      <c r="FB7" s="48">
        <v>35420592</v>
      </c>
      <c r="FC7" s="49"/>
      <c r="FD7" s="48"/>
      <c r="FE7" s="153">
        <v>16596</v>
      </c>
      <c r="FF7" s="154">
        <v>5937.6</v>
      </c>
      <c r="FG7" s="37"/>
      <c r="FH7" s="48">
        <v>7960.6</v>
      </c>
      <c r="FI7" s="48">
        <v>3.0697999999999999</v>
      </c>
      <c r="FJ7" s="49"/>
      <c r="FK7" s="48"/>
      <c r="FL7" s="58"/>
      <c r="FM7" s="48"/>
      <c r="FN7" s="48">
        <v>16014</v>
      </c>
      <c r="FO7" s="48">
        <v>0.76349999999999996</v>
      </c>
      <c r="FP7" s="37"/>
      <c r="FQ7" s="48">
        <v>56929</v>
      </c>
      <c r="FR7" s="48">
        <v>13.683</v>
      </c>
      <c r="FS7" s="37"/>
      <c r="FT7" s="48"/>
      <c r="FU7" s="48"/>
      <c r="FV7" s="44">
        <v>3189600</v>
      </c>
      <c r="FW7" s="44">
        <v>1034900</v>
      </c>
      <c r="FX7" s="37"/>
      <c r="FY7" s="56">
        <v>2999.4</v>
      </c>
      <c r="FZ7" s="56">
        <v>1.7842</v>
      </c>
      <c r="GA7" s="37"/>
      <c r="GB7" s="56">
        <v>775.5</v>
      </c>
      <c r="GC7" s="56">
        <v>866.37</v>
      </c>
      <c r="GD7" s="37"/>
      <c r="GE7" s="56">
        <v>9640.2999999999993</v>
      </c>
      <c r="GF7" s="63">
        <v>3.0682999999999998</v>
      </c>
      <c r="GG7" s="37"/>
      <c r="GH7" s="48">
        <v>1879.9</v>
      </c>
      <c r="GI7" s="56">
        <v>1598.4</v>
      </c>
      <c r="GJ7" s="38"/>
      <c r="GK7" s="56">
        <v>1463.7</v>
      </c>
      <c r="GL7" s="44">
        <v>1117.5999999999999</v>
      </c>
      <c r="GM7" s="38"/>
      <c r="GN7" s="57">
        <v>165670</v>
      </c>
      <c r="GO7" s="57">
        <v>144510</v>
      </c>
      <c r="GP7" s="38"/>
      <c r="GQ7" s="38">
        <v>232950</v>
      </c>
      <c r="GR7" s="38">
        <v>232460</v>
      </c>
      <c r="GS7" s="38"/>
      <c r="GT7" s="178"/>
      <c r="GU7" s="144"/>
      <c r="GV7" s="59"/>
      <c r="GW7" s="60"/>
      <c r="GX7" s="61"/>
      <c r="GY7" s="140"/>
      <c r="GZ7" s="74"/>
      <c r="HA7" s="141"/>
      <c r="HB7" s="62"/>
      <c r="HC7" s="74"/>
      <c r="HD7" s="74"/>
      <c r="HE7" s="24">
        <v>0</v>
      </c>
      <c r="HG7" s="213">
        <v>1</v>
      </c>
      <c r="HH7" s="16">
        <v>4700.3</v>
      </c>
      <c r="HI7" s="16">
        <v>1841.1</v>
      </c>
      <c r="HJ7" s="16"/>
      <c r="HK7" s="16">
        <v>1.9189000000000001</v>
      </c>
      <c r="HL7" s="16">
        <v>660.93</v>
      </c>
      <c r="HM7" s="16"/>
      <c r="HN7" s="16">
        <v>73.513000000000005</v>
      </c>
      <c r="HO7" s="16">
        <v>46.726999999999997</v>
      </c>
      <c r="HP7" s="16"/>
      <c r="HQ7" s="16">
        <v>1241.2</v>
      </c>
      <c r="HR7" s="16">
        <v>546.64</v>
      </c>
      <c r="HS7" s="16"/>
      <c r="HT7" s="16">
        <v>1188.2</v>
      </c>
      <c r="HU7" s="16">
        <v>532.62</v>
      </c>
      <c r="HV7" s="16"/>
      <c r="HW7" s="16">
        <v>988.32</v>
      </c>
      <c r="HX7" s="16">
        <v>397.82</v>
      </c>
      <c r="HY7" s="16"/>
      <c r="HZ7" s="16"/>
      <c r="IA7" s="16"/>
      <c r="IB7" s="16"/>
      <c r="IC7" s="210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</row>
    <row r="8" spans="1:287" x14ac:dyDescent="0.25">
      <c r="A8" s="35">
        <f t="shared" ref="A8:A36" si="0">A7+1</f>
        <v>2</v>
      </c>
      <c r="B8" s="38">
        <v>3822.69</v>
      </c>
      <c r="C8" s="38">
        <f t="shared" ref="C8:C38" si="1">IF((B8-B7)&lt;=0,0,(B8-B7))</f>
        <v>7.5599999999999454</v>
      </c>
      <c r="D8" s="38">
        <f t="shared" ref="D8:D38" si="2">IF((B8-B7)*32000&lt;=0,0,(B8-B7)*32000)</f>
        <v>241919.99999999825</v>
      </c>
      <c r="E8" s="38">
        <v>768.92</v>
      </c>
      <c r="F8" s="38">
        <f t="shared" ref="F8:F38" si="3">IF((E8-E7)*32000&lt;=0,0,(E8-E7)*32000)</f>
        <v>43520.000000000437</v>
      </c>
      <c r="G8" s="38">
        <f t="shared" ref="G8:G38" si="4">D8+F8</f>
        <v>285439.99999999872</v>
      </c>
      <c r="H8" s="37"/>
      <c r="I8" s="39"/>
      <c r="J8" s="42"/>
      <c r="K8" s="37">
        <f>IF(J8&lt;=0,0,(J8/SQRT(J8^2+(I8-I7)^2)))</f>
        <v>0</v>
      </c>
      <c r="L8" s="40">
        <v>11349000</v>
      </c>
      <c r="M8" s="40"/>
      <c r="N8" s="37">
        <f>IF((L8-L7)&lt;=0,0,(L8-L7)*10)</f>
        <v>280000</v>
      </c>
      <c r="O8" s="37">
        <v>10272</v>
      </c>
      <c r="P8" s="37"/>
      <c r="Q8" s="37">
        <f t="shared" ref="Q8:Q21" si="5">IF((O8-O7)&lt;=0,0,(O8-O7))*1000</f>
        <v>13000</v>
      </c>
      <c r="R8" s="37">
        <f>IF(Q8&lt;=0,0,(Q8/SQRT(Q8^2+(P8-P7)^2)))</f>
        <v>1</v>
      </c>
      <c r="S8" s="37">
        <v>11123637.42</v>
      </c>
      <c r="T8" s="37">
        <f t="shared" ref="T8:T38" si="6">IF((S8-S7)&lt;=0,0,(S8-S7))</f>
        <v>0</v>
      </c>
      <c r="U8" s="37">
        <v>1518173.85</v>
      </c>
      <c r="V8" s="37">
        <f t="shared" ref="V8:V35" si="7">IF((U8-U7)&lt;=0,0,(U8-U7))</f>
        <v>0</v>
      </c>
      <c r="W8" s="37">
        <v>3610.2</v>
      </c>
      <c r="X8" s="37">
        <f>Q8-T8-V8-AB8</f>
        <v>7790</v>
      </c>
      <c r="Y8" s="183"/>
      <c r="Z8" s="183"/>
      <c r="AA8" s="37">
        <v>650120</v>
      </c>
      <c r="AB8" s="37">
        <f t="shared" ref="AB8:AB38" si="8">IF((AA8-AA7)&lt;=0,0,(AA8-AA7))</f>
        <v>5210</v>
      </c>
      <c r="AC8" s="37">
        <v>3816</v>
      </c>
      <c r="AD8" s="37"/>
      <c r="AE8" s="37">
        <f t="shared" ref="AE8:AE21" si="9">IF((AC8-AC7)&lt;=0,0,(AC8-AC7))*1000</f>
        <v>7699.9999999998181</v>
      </c>
      <c r="AF8" s="37">
        <f>IF(AE8&lt;=0,0,(AE8/SQRT(AE8^2+(AD8-AD7)^2)))</f>
        <v>1</v>
      </c>
      <c r="AG8" s="37">
        <v>8317.2999999999993</v>
      </c>
      <c r="AH8" s="37"/>
      <c r="AI8" s="37">
        <f t="shared" ref="AI8:AI38" si="10">IF((AG8-AG7)&lt;=0,0,(AG8-AG7))*1000+GX8</f>
        <v>14963.079999998909</v>
      </c>
      <c r="AJ8" s="37">
        <f t="shared" ref="AJ8:AJ38" si="11">IF(AI8&lt;=0,0,(AI8/SQRT(AI8^2+(AH8-AH7)^2)))</f>
        <v>1</v>
      </c>
      <c r="AK8" s="37">
        <f t="shared" ref="AK8:AK38" si="12">T8+V8+X8+AE8+AI8</f>
        <v>30453.079999998728</v>
      </c>
      <c r="AL8" s="42">
        <v>10256</v>
      </c>
      <c r="AM8" s="42"/>
      <c r="AN8" s="37">
        <f>IF((AL8-AL7)&lt;=0,0,(AL8-AL7))*1000+GX8-BL8-BN8-BP8-BR8</f>
        <v>5233.0800000000499</v>
      </c>
      <c r="AO8" s="37">
        <f>IF(AN8&lt;=0,0,(AN8/SQRT(AN8^2+(AM8-AM7)^2)))</f>
        <v>1</v>
      </c>
      <c r="AP8" s="37">
        <v>7871.9</v>
      </c>
      <c r="AQ8" s="37"/>
      <c r="AR8" s="37">
        <f t="shared" ref="AR8:AR38" si="13">IF((AP8-AP7)&lt;=0,0,(AP8-AP7))*1000</f>
        <v>5659.9999999998545</v>
      </c>
      <c r="AS8" s="37">
        <f>IF(AR8&lt;=0,0,(AR8/SQRT(AR8^2+(AQ8-AQ7)^2)))</f>
        <v>1</v>
      </c>
      <c r="AT8" s="183"/>
      <c r="AU8" s="183"/>
      <c r="AV8" s="183"/>
      <c r="AW8" s="183"/>
      <c r="AX8" s="37">
        <v>462490.48</v>
      </c>
      <c r="AY8" s="37"/>
      <c r="AZ8" s="37">
        <f t="shared" ref="AZ8:AZ38" si="14">IF((AX8-AX7)&lt;=0,0,(AX8-AX7))</f>
        <v>368.19999999995343</v>
      </c>
      <c r="BA8" s="37">
        <v>114638.68</v>
      </c>
      <c r="BB8" s="37"/>
      <c r="BC8" s="37">
        <f t="shared" ref="BC8:BC38" si="15">IF((BA8-BA7)&lt;=0,0,(BA8-BA7))</f>
        <v>530.61999999999534</v>
      </c>
      <c r="BD8" s="37">
        <f>AN8+AR8+AZ8+BC8</f>
        <v>11791.899999999852</v>
      </c>
      <c r="BE8" s="43">
        <v>1782.8</v>
      </c>
      <c r="BF8" s="43">
        <v>976.49</v>
      </c>
      <c r="BG8" s="37">
        <f t="shared" ref="BG8:BG38" si="16">IF((BE8-BE7)&lt;=0,0,(BE8-BE7))*1000</f>
        <v>2500</v>
      </c>
      <c r="BH8" s="44">
        <v>8417.7999999999993</v>
      </c>
      <c r="BI8" s="44">
        <v>5415.8</v>
      </c>
      <c r="BJ8" s="37">
        <f t="shared" ref="BJ8:BJ38" si="17">IF((BH8-BH7)&lt;=0,0,(BH8-BH7))*1000</f>
        <v>10199.999999998909</v>
      </c>
      <c r="BK8" s="40">
        <v>1367700</v>
      </c>
      <c r="BL8" s="40">
        <f>IF((BK8-BK7)&lt;=0,0,(BK8-BK7))</f>
        <v>3600</v>
      </c>
      <c r="BM8" s="40">
        <v>836.16</v>
      </c>
      <c r="BN8" s="37">
        <f t="shared" ref="BN8:BN38" si="18">IF((BM8-BM7)&lt;=0,0,BM8-BM7)*1000</f>
        <v>649.99999999997726</v>
      </c>
      <c r="BO8" s="186"/>
      <c r="BP8" s="183">
        <f t="shared" ref="BP8:BP38" si="19">IF((BO8-BO7)&lt;=0,0,(BO8-BO7))*1000</f>
        <v>0</v>
      </c>
      <c r="BQ8" s="40">
        <v>791.56</v>
      </c>
      <c r="BR8" s="37">
        <f>IF((BQ8-BQ7)&lt;=0,0,(BQ8-BQ7))*1000</f>
        <v>279.99999999997272</v>
      </c>
      <c r="BS8" s="37">
        <v>88011.42</v>
      </c>
      <c r="BT8" s="37">
        <f t="shared" ref="BT8:BT38" si="20">IF((BS8-BS7)&lt;=0,0,(BS8-BS7))</f>
        <v>175.25</v>
      </c>
      <c r="BU8" s="42">
        <v>2293300</v>
      </c>
      <c r="BV8" s="42"/>
      <c r="BW8" s="37">
        <f t="shared" ref="BW8:BW38" si="21">IF((BU8-BU7)&lt;=0,0,(BU8-BU7))</f>
        <v>9700</v>
      </c>
      <c r="BX8" s="37">
        <f>IF(BW8&lt;=0,0,(BW8/SQRT(BW8^2+(BV8-BV7)^2)))</f>
        <v>1</v>
      </c>
      <c r="BY8" s="43">
        <v>314.19</v>
      </c>
      <c r="BZ8" s="43"/>
      <c r="CA8" s="37">
        <f t="shared" ref="CA8:CA16" si="22">IF((BY8-BY7)&lt;=0,0,(BY8-BY7)*1000)</f>
        <v>870.00000000000455</v>
      </c>
      <c r="CB8" s="37">
        <f>IF(CA8&lt;=0,0,(CA8/SQRT(CA8^2+(BZ8-BZ7)^2)))</f>
        <v>1</v>
      </c>
      <c r="CC8" s="37">
        <v>547920</v>
      </c>
      <c r="CD8" s="37">
        <f t="shared" ref="CD8:CD38" si="23">IF((CC8-CC7)&lt;=0,0,(CC8-CC7))</f>
        <v>2270</v>
      </c>
      <c r="CE8" s="41">
        <f>CE7+6450</f>
        <v>860530</v>
      </c>
      <c r="CF8" s="37">
        <f>IF((CE8-CE7)&lt;=0,0,(CE8-CE7))</f>
        <v>6450</v>
      </c>
      <c r="CG8" s="37">
        <v>69406.3</v>
      </c>
      <c r="CH8" s="37">
        <f>IF((CG8-CG7)&lt;=0,0,(CG8-CG7))</f>
        <v>0</v>
      </c>
      <c r="CI8" s="40">
        <v>11782</v>
      </c>
      <c r="CJ8" s="40"/>
      <c r="CK8" s="37">
        <f>IF((CI8-CI7)*1000&lt;=0,0,(CI8-CI7)*1000)+GX8-CA8</f>
        <v>20893.079999999998</v>
      </c>
      <c r="CL8" s="37">
        <f t="shared" ref="CL8:CL38" si="24">IF(CK8&lt;=0,0,(CK8/SQRT(CK8^2+(CJ8-CJ7)^2)))</f>
        <v>1</v>
      </c>
      <c r="CM8" s="37">
        <v>3202.3</v>
      </c>
      <c r="CN8" s="37"/>
      <c r="CO8" s="37">
        <f t="shared" ref="CO8:CO38" si="25">IF((CM8-CM7)&lt;=0,0,(CM8-CM7))*1000+GX8</f>
        <v>9163.0800000000909</v>
      </c>
      <c r="CP8" s="37">
        <f>IF(CO8&lt;=0,0,(CO8/SQRT(CO8^2+(CN8-CN7)^2)))</f>
        <v>1</v>
      </c>
      <c r="CQ8" s="39">
        <v>3050.6</v>
      </c>
      <c r="CR8" s="45"/>
      <c r="CS8" s="37">
        <f t="shared" ref="CS8:CS34" si="26">IF((CQ8-CQ7)&lt;=0,0,(CQ8-CQ7))*1000+GX8</f>
        <v>7563.0799999997271</v>
      </c>
      <c r="CT8" s="37">
        <f>IF(CS8&lt;=0,0,(CS8/SQRT(CS8^2+(CR8-CR7)^2)))</f>
        <v>1</v>
      </c>
      <c r="CU8" s="37">
        <v>2678300</v>
      </c>
      <c r="CV8" s="37"/>
      <c r="CW8" s="38">
        <f t="shared" ref="CW8:CW38" si="27">IF((CU8-CU7)&lt;=0,0,(CU8-CU7))</f>
        <v>700</v>
      </c>
      <c r="CX8" s="37">
        <f>IF(CW8&lt;=0,0,(CW8/SQRT(CW8^2+(CV8-CV7)^2)))</f>
        <v>1</v>
      </c>
      <c r="CY8" s="37">
        <v>1378700</v>
      </c>
      <c r="CZ8" s="37"/>
      <c r="DA8" s="37">
        <f t="shared" ref="DA8:DA26" si="28">IF((CY8-CY7)&lt;=0,0,(CY8-CY7))</f>
        <v>700</v>
      </c>
      <c r="DB8" s="37">
        <f>IF(DA8&lt;=0,0,(DA8/SQRT(DA8^2+(CZ8-CZ7)^2)))</f>
        <v>1</v>
      </c>
      <c r="DC8" s="37"/>
      <c r="DD8" s="40"/>
      <c r="DE8" s="37">
        <f t="shared" ref="DE8:DE33" si="29">IF((DC8-DC7)&lt;=0,0,(DC8-DC7))</f>
        <v>0</v>
      </c>
      <c r="DF8" s="37">
        <f>IF(DE8&lt;=0,0,(DE8/SQRT(DE8^2+(DD8-DD7)^2)))</f>
        <v>0</v>
      </c>
      <c r="DG8" s="37">
        <f t="shared" ref="DG8:DG38" si="30">(DE8)-DA8-CW8-CS8-CO8-CK8-BW8</f>
        <v>-48719.239999999816</v>
      </c>
      <c r="DH8" s="37">
        <f t="shared" ref="DH8:DH38" si="31">DE8+BG8+AK8+N8</f>
        <v>312953.07999999874</v>
      </c>
      <c r="DI8" s="46"/>
      <c r="DJ8" s="46"/>
      <c r="DK8" s="47"/>
      <c r="DL8" s="47"/>
      <c r="DM8" s="37"/>
      <c r="DN8" s="37"/>
      <c r="DO8" s="37"/>
      <c r="DP8" s="37"/>
      <c r="DQ8" s="50">
        <v>3055700</v>
      </c>
      <c r="DR8" s="49">
        <f>IF((DQ8-DQ7)&lt;=0,0,(DQ8-DQ7))</f>
        <v>4300</v>
      </c>
      <c r="DS8" s="50">
        <v>2806200</v>
      </c>
      <c r="DT8" s="49">
        <f>IF((DS8-DS7)&lt;=0,0,(DS8-DS7))</f>
        <v>0</v>
      </c>
      <c r="DU8" s="52">
        <v>7768.4</v>
      </c>
      <c r="DV8" s="52">
        <v>4347.6000000000004</v>
      </c>
      <c r="DW8" s="37">
        <f>IF((DU8-DU7)*1000&lt;=0,0,(DU8-DU7)*1000)</f>
        <v>4899.9999999996362</v>
      </c>
      <c r="DX8" s="52">
        <v>12822</v>
      </c>
      <c r="DY8" s="52">
        <v>8325.2000000000007</v>
      </c>
      <c r="DZ8" s="37">
        <f t="shared" ref="DZ8:DZ38" si="32">IF((DX8-DX7)*1000&lt;=0,0,(DX8-DX7)*1000)+GX8</f>
        <v>6763.08</v>
      </c>
      <c r="EA8" s="49">
        <v>28993</v>
      </c>
      <c r="EB8" s="49">
        <v>20.376999999999999</v>
      </c>
      <c r="EC8" s="37">
        <f t="shared" ref="EC8:EC37" si="33">IF((EA8-EA7)*1000&lt;=0,0,(EA8-EA7)*1000)+GX8+$EE$40</f>
        <v>28923.08</v>
      </c>
      <c r="ED8" s="53">
        <f t="shared" ref="ED8:ED38" si="34">DW8+DZ8+EC8</f>
        <v>40586.15999999964</v>
      </c>
      <c r="EE8" s="49">
        <v>44148</v>
      </c>
      <c r="EF8" s="49">
        <v>28.312000000000001</v>
      </c>
      <c r="EG8" s="37">
        <f t="shared" ref="EG8:EG37" si="35">IF((EE8-EE7)*1000&lt;=0,0,(EE8-EE7)*1000)+GX8+$EE$40</f>
        <v>36923.08</v>
      </c>
      <c r="EH8" s="52">
        <v>12531</v>
      </c>
      <c r="EI8" s="52">
        <v>1.6858</v>
      </c>
      <c r="EJ8" s="37">
        <f t="shared" ref="EJ8:EJ38" si="36">IF((EH8-EH7)*1000&lt;=0,0,(EH8-EH7)*1000)+GX8</f>
        <v>10763.08</v>
      </c>
      <c r="EK8" s="37">
        <v>759.11</v>
      </c>
      <c r="EL8" s="40">
        <v>1088</v>
      </c>
      <c r="EM8" s="37">
        <f>IF((EK8-EK7)&lt;=0,0,(EK8-EK7))*1000</f>
        <v>710.00000000003638</v>
      </c>
      <c r="EN8" s="54">
        <f>EG8+EJ8+EM8</f>
        <v>48396.16000000004</v>
      </c>
      <c r="EO8" s="48">
        <v>12626</v>
      </c>
      <c r="EP8" s="48">
        <v>4399.8</v>
      </c>
      <c r="EQ8" s="37">
        <f>IF((EO8-EO7)*1000&lt;=0,0,(EO8-EO7)*1000)+GX8-FU45+FV45</f>
        <v>8648.0800000000472</v>
      </c>
      <c r="ER8" s="48">
        <v>8641.7000000000007</v>
      </c>
      <c r="ES8" s="48">
        <v>3526.9</v>
      </c>
      <c r="ET8" s="49">
        <f t="shared" ref="ET8:ET14" si="37">IF((ER8-ER7)&lt;=0,0,(ER8-ER7))*1000</f>
        <v>17100.000000000364</v>
      </c>
      <c r="EU8" s="48">
        <v>3196.4</v>
      </c>
      <c r="EV8" s="48">
        <v>1139.0999999999999</v>
      </c>
      <c r="EW8" s="49">
        <f t="shared" ref="EW8:EW38" si="38">IF((EU8-EU7)&lt;=0,0,(EU8-EU7))*1000+GX8</f>
        <v>9263.08</v>
      </c>
      <c r="EX8" s="48">
        <v>12917</v>
      </c>
      <c r="EY8" s="48">
        <v>1.4478</v>
      </c>
      <c r="EZ8" s="37">
        <f t="shared" ref="EZ8:EZ38" si="39">IF((EX8-EX7)&lt;=0,0,(EX8-EX7))*1000+GX8</f>
        <v>13763.08</v>
      </c>
      <c r="FA8" s="48">
        <f>FC8-EQ8-ET8-EW8-EZ8</f>
        <v>-25083.240000000413</v>
      </c>
      <c r="FB8" s="48">
        <v>35444283</v>
      </c>
      <c r="FC8" s="49">
        <f>IF((FB8-FB7)&lt;=0,0,(FB8-FB7))</f>
        <v>23691</v>
      </c>
      <c r="FD8" s="48">
        <f>EQ8+ET8+EW8+EZ8+GJ8</f>
        <v>50474.240000000231</v>
      </c>
      <c r="FE8" s="48">
        <v>16606</v>
      </c>
      <c r="FF8" s="48">
        <v>5941.4</v>
      </c>
      <c r="FG8" s="37">
        <f>IF((FE8-FE7)*1000&lt;=0,0,(FE8-FE7)*1000)+FL8+GX8+FW45</f>
        <v>12139.749999999953</v>
      </c>
      <c r="FH8" s="48">
        <v>7980.7</v>
      </c>
      <c r="FI8" s="48">
        <v>3.0773999999999999</v>
      </c>
      <c r="FJ8" s="49">
        <f t="shared" ref="FJ8:FJ38" si="40">IF((FH8-FH7)&lt;=0,0,(FH8-FH7))*1000+FL8+GX8</f>
        <v>21124.749999999454</v>
      </c>
      <c r="FK8" s="48"/>
      <c r="FL8" s="58">
        <v>261.67</v>
      </c>
      <c r="FM8" s="48">
        <f>FT8/3</f>
        <v>-763.08333333313567</v>
      </c>
      <c r="FN8" s="48">
        <v>16026</v>
      </c>
      <c r="FO8" s="48">
        <v>0.76470000000000005</v>
      </c>
      <c r="FP8" s="37">
        <f>IF((FN8-FN7)*1000&lt;=0,0,(FN8-FN7)*1000)+FL8+GX8</f>
        <v>13024.75</v>
      </c>
      <c r="FQ8" s="48">
        <v>56973</v>
      </c>
      <c r="FR8" s="48">
        <v>13.695</v>
      </c>
      <c r="FS8" s="37">
        <f t="shared" ref="FS8:FS34" si="41">IF((FQ8-FQ7)*1000&lt;=0,0,(FQ8-FQ7)*1000)</f>
        <v>44000</v>
      </c>
      <c r="FT8" s="48">
        <f>FS8-FG8-FJ8-FP8</f>
        <v>-2289.249999999407</v>
      </c>
      <c r="FU8" s="48">
        <f>FG8+FJ8+FP8+GM8</f>
        <v>47789.249999999403</v>
      </c>
      <c r="FV8" s="44">
        <v>3208700</v>
      </c>
      <c r="FW8" s="44">
        <v>1040800</v>
      </c>
      <c r="FX8" s="37">
        <f t="shared" ref="FX8:FX38" si="42">IF((FV8-FV7)*1000&lt;=0,0,(FV8-FV7))</f>
        <v>19100</v>
      </c>
      <c r="FY8" s="56">
        <v>3005.1</v>
      </c>
      <c r="FZ8" s="56">
        <v>1.7896000000000001</v>
      </c>
      <c r="GA8" s="37">
        <f t="shared" ref="GA8:GA38" si="43">IF((FY8-FY7)*1000&lt;=0,0,((FY8-FY7)*1000)-GS8)</f>
        <v>4619.9999999998181</v>
      </c>
      <c r="GB8" s="56">
        <v>776.12</v>
      </c>
      <c r="GC8" s="56">
        <v>867.16</v>
      </c>
      <c r="GD8" s="37">
        <f t="shared" ref="GD8:GD38" si="44">IF((GB8-GB7)*1000&lt;=0,0,(GB8-GB7)*1000)</f>
        <v>620.00000000000455</v>
      </c>
      <c r="GE8" s="56">
        <v>9648.2000000000007</v>
      </c>
      <c r="GF8" s="63">
        <v>3.0735999999999999</v>
      </c>
      <c r="GG8" s="37">
        <f t="shared" ref="GG8:GG38" si="45">IF((GE8-GE7)*1000&lt;=0,0,(GE8-GE7)*1000)-GJ8-GM8</f>
        <v>4700.0000000016371</v>
      </c>
      <c r="GH8" s="48">
        <v>1881.6</v>
      </c>
      <c r="GI8" s="56">
        <v>1600.1</v>
      </c>
      <c r="GJ8" s="38">
        <f t="shared" ref="GJ8:GJ38" si="46">IF((GH8-GH7)&lt;=0,0,(GH8-GH7))*1000</f>
        <v>1699.9999999998181</v>
      </c>
      <c r="GK8" s="56">
        <v>1465.2</v>
      </c>
      <c r="GL8" s="44">
        <v>1118.2</v>
      </c>
      <c r="GM8" s="38">
        <f t="shared" ref="GM8:GM38" si="47">IF((GK8-GK7)&lt;=0,0,(GK8-GK7))*1000</f>
        <v>1500</v>
      </c>
      <c r="GN8" s="57">
        <v>165670</v>
      </c>
      <c r="GO8" s="57">
        <v>144510</v>
      </c>
      <c r="GP8" s="38">
        <f>IF((GN8-GN7)&lt;=0,0,(GN8-GN7)+1000)</f>
        <v>0</v>
      </c>
      <c r="GQ8" s="38">
        <v>234030</v>
      </c>
      <c r="GR8" s="38">
        <v>233370</v>
      </c>
      <c r="GS8" s="38">
        <f>IF((GQ8-GQ7)&lt;=0,0,(GQ8-GQ7))</f>
        <v>1080</v>
      </c>
      <c r="GT8" s="178"/>
      <c r="GU8" s="144">
        <f>DailyApr!B7-DailyApr!N7-DailyApr!V7-DailyApr!Y7-DailyApr!Z7-DailyApr!AA7-DailyApr!AB7-DailyApr!AC7-DailyApr!AD7-DailyApr!AE7-DailyApr!AK7-DailyApr!AO7-DailyApr!AS7-DailyApr!AY7-DailyApr!BD7+DailyApr!BU7-DailyApr!BG7-DailyApr!BT7-DailyApr!AF7-DailyApr!AG7</f>
        <v>-2.9999998776474968E-2</v>
      </c>
      <c r="GV8" s="59">
        <v>11446.17</v>
      </c>
      <c r="GW8" s="60">
        <f t="shared" ref="GW8:GW38" si="48">GV8/15</f>
        <v>763.07799999999997</v>
      </c>
      <c r="GX8" s="61">
        <v>763.08</v>
      </c>
      <c r="GY8" s="140"/>
      <c r="GZ8" s="62"/>
      <c r="HA8" s="62"/>
      <c r="HB8" s="62"/>
      <c r="HC8" s="62"/>
      <c r="HD8" s="74"/>
      <c r="HE8" s="24">
        <f t="shared" ref="HE8:HE35" si="49">HC8-HA8</f>
        <v>0</v>
      </c>
      <c r="HG8" s="213">
        <v>2</v>
      </c>
      <c r="HH8" s="16">
        <v>4790.3999999999996</v>
      </c>
      <c r="HI8" s="16">
        <v>1877.4</v>
      </c>
      <c r="HJ8" s="16">
        <f t="shared" ref="HJ8:HJ18" si="50">IF((HH8-HH7)&lt;=0,0,(HH8-HH7)*1000)</f>
        <v>90099.999999999447</v>
      </c>
      <c r="HK8" s="16">
        <v>1.9189000000000001</v>
      </c>
      <c r="HL8" s="16">
        <v>660.93</v>
      </c>
      <c r="HM8" s="16">
        <f t="shared" ref="HM8:HM14" si="51">IF((HK8-HK7)&lt;=0,0,(HK8-HK7))</f>
        <v>0</v>
      </c>
      <c r="HN8" s="16">
        <v>92.174999999999997</v>
      </c>
      <c r="HO8" s="16">
        <v>55.118000000000002</v>
      </c>
      <c r="HP8" s="16">
        <f t="shared" ref="HP8:HP24" si="52">(HN8-HN7)*1000</f>
        <v>18661.999999999993</v>
      </c>
      <c r="HQ8" s="16">
        <v>1271.3</v>
      </c>
      <c r="HR8" s="16">
        <v>559.82000000000005</v>
      </c>
      <c r="HS8" s="16">
        <f t="shared" ref="HS8:HS38" si="53">IF((HQ8-HQ7)&lt;=0,0,(HQ8-HQ7)*1000)+IF45</f>
        <v>30685.999999999909</v>
      </c>
      <c r="HT8" s="16">
        <v>1207.3</v>
      </c>
      <c r="HU8" s="16">
        <v>541.11</v>
      </c>
      <c r="HV8" s="16">
        <f t="shared" ref="HV8:HV38" si="54">IF((HT8-HT7)&lt;=0,0,(HT8-HT7)*1000)+IF45</f>
        <v>19685.999999999909</v>
      </c>
      <c r="HW8" s="16">
        <v>1008.8</v>
      </c>
      <c r="HX8" s="16">
        <v>405.55</v>
      </c>
      <c r="HY8" s="16">
        <f t="shared" ref="HY8:HY38" si="55">IF((HW8-HW7)&lt;=0,0,(HW8-HW7)*1000)+IF45</f>
        <v>21065.999999999905</v>
      </c>
      <c r="HZ8" s="16"/>
      <c r="IA8" s="16"/>
      <c r="IB8" s="128">
        <f t="shared" ref="IB8:IB15" si="56">DT8</f>
        <v>0</v>
      </c>
      <c r="IC8" s="211">
        <f>HJ8+HM8-HS8-HV8-HY8-IB8-HP8</f>
        <v>-2.7648638933897018E-10</v>
      </c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KA8" s="151">
        <f>HJ8+HM8-HS8-HV8-HY8-IB8</f>
        <v>18661.999999999716</v>
      </c>
    </row>
    <row r="9" spans="1:287" x14ac:dyDescent="0.25">
      <c r="A9" s="35">
        <f t="shared" si="0"/>
        <v>3</v>
      </c>
      <c r="B9" s="38">
        <v>3830.48</v>
      </c>
      <c r="C9" s="38">
        <f t="shared" si="1"/>
        <v>7.7899999999999636</v>
      </c>
      <c r="D9" s="38">
        <f t="shared" si="2"/>
        <v>249279.99999999884</v>
      </c>
      <c r="E9" s="37">
        <v>770.4</v>
      </c>
      <c r="F9" s="38">
        <f t="shared" si="3"/>
        <v>47360.000000000582</v>
      </c>
      <c r="G9" s="38">
        <f t="shared" si="4"/>
        <v>296639.99999999942</v>
      </c>
      <c r="H9" s="37"/>
      <c r="I9" s="39"/>
      <c r="J9" s="42"/>
      <c r="K9" s="37">
        <f>IF(J9&lt;=0,0,(J9/SQRT(J9^2+(I9-I8)^2)))</f>
        <v>0</v>
      </c>
      <c r="L9" s="40">
        <v>11377800</v>
      </c>
      <c r="M9" s="40"/>
      <c r="N9" s="37">
        <f>IF((L9-L8)&lt;=0,0,(L9-L8)*10)</f>
        <v>288000</v>
      </c>
      <c r="O9" s="37">
        <v>10285.299999999999</v>
      </c>
      <c r="P9" s="37"/>
      <c r="Q9" s="37">
        <f t="shared" si="5"/>
        <v>13299.999999999272</v>
      </c>
      <c r="R9" s="37">
        <f>IF(Q9&lt;=0,0,(Q9/SQRT(Q9^2+(P9-P8)^2)))</f>
        <v>1</v>
      </c>
      <c r="S9" s="37">
        <v>11123637.42</v>
      </c>
      <c r="T9" s="37">
        <f t="shared" si="6"/>
        <v>0</v>
      </c>
      <c r="U9" s="37">
        <v>1518173.85</v>
      </c>
      <c r="V9" s="37">
        <f t="shared" si="7"/>
        <v>0</v>
      </c>
      <c r="W9" s="37">
        <v>3616.8</v>
      </c>
      <c r="X9" s="37">
        <f>Q9-T9-V9-AB9</f>
        <v>8119.9999999992724</v>
      </c>
      <c r="Y9" s="183"/>
      <c r="Z9" s="183"/>
      <c r="AA9" s="37">
        <v>655300</v>
      </c>
      <c r="AB9" s="37">
        <f t="shared" si="8"/>
        <v>5180</v>
      </c>
      <c r="AC9" s="37">
        <v>3823.5</v>
      </c>
      <c r="AD9" s="37"/>
      <c r="AE9" s="37">
        <f t="shared" si="9"/>
        <v>7500</v>
      </c>
      <c r="AF9" s="37">
        <f>IF(AE9&lt;=0,0,(AE9/SQRT(AE9^2+(AD9-AD8)^2)))</f>
        <v>1</v>
      </c>
      <c r="AG9" s="37">
        <v>8331.1</v>
      </c>
      <c r="AH9" s="37"/>
      <c r="AI9" s="37">
        <f t="shared" si="10"/>
        <v>13943.720000001091</v>
      </c>
      <c r="AJ9" s="37">
        <f t="shared" si="11"/>
        <v>1</v>
      </c>
      <c r="AK9" s="37">
        <f t="shared" si="12"/>
        <v>29563.720000000365</v>
      </c>
      <c r="AL9" s="42">
        <v>10267.799999999999</v>
      </c>
      <c r="AM9" s="42"/>
      <c r="AN9" s="37">
        <f t="shared" ref="AN9:AN38" si="57">IF((AL9-AL8)&lt;=0,0,(AL9-AL8))*1000+GX9-BL9-BN9-BP9-BR9</f>
        <v>7063.7199999991126</v>
      </c>
      <c r="AO9" s="37">
        <f>IF(AN9&lt;=0,0,(AN9/SQRT(AN9^2+(AM9-AM8)^2)))</f>
        <v>1</v>
      </c>
      <c r="AP9" s="37">
        <v>7880.2</v>
      </c>
      <c r="AQ9" s="37"/>
      <c r="AR9" s="37">
        <f t="shared" si="13"/>
        <v>8300.0000000001819</v>
      </c>
      <c r="AS9" s="37">
        <f>IF(AR9&lt;=0,0,(AR9/SQRT(AR9^2+(AQ9-AQ8)^2)))</f>
        <v>1</v>
      </c>
      <c r="AT9" s="183"/>
      <c r="AU9" s="183"/>
      <c r="AV9" s="183"/>
      <c r="AW9" s="183"/>
      <c r="AX9" s="37">
        <v>462680</v>
      </c>
      <c r="AY9" s="37"/>
      <c r="AZ9" s="37">
        <f t="shared" si="14"/>
        <v>189.52000000001863</v>
      </c>
      <c r="BA9" s="37">
        <v>114880</v>
      </c>
      <c r="BB9" s="37"/>
      <c r="BC9" s="37">
        <f t="shared" si="15"/>
        <v>241.32000000000698</v>
      </c>
      <c r="BD9" s="37">
        <f>AN9+AR9+AZ9+BC9</f>
        <v>15794.559999999321</v>
      </c>
      <c r="BE9" s="43">
        <v>1785.1</v>
      </c>
      <c r="BF9" s="43">
        <v>977.95</v>
      </c>
      <c r="BG9" s="37">
        <f t="shared" si="16"/>
        <v>2299.9999999999545</v>
      </c>
      <c r="BH9" s="44">
        <v>8427.5</v>
      </c>
      <c r="BI9" s="44">
        <v>5422</v>
      </c>
      <c r="BJ9" s="37">
        <f t="shared" si="17"/>
        <v>9700.0000000007276</v>
      </c>
      <c r="BK9" s="40">
        <v>1371380</v>
      </c>
      <c r="BL9" s="40">
        <f>IF((BK9-BK8)&lt;=0,0,(BK9-BK8))</f>
        <v>3680</v>
      </c>
      <c r="BM9" s="40">
        <v>836.82</v>
      </c>
      <c r="BN9" s="37">
        <f t="shared" si="18"/>
        <v>660.00000000008185</v>
      </c>
      <c r="BO9" s="186"/>
      <c r="BP9" s="183">
        <f t="shared" si="19"/>
        <v>0</v>
      </c>
      <c r="BQ9" s="40">
        <v>792.1</v>
      </c>
      <c r="BR9" s="37">
        <f t="shared" ref="BR9:BR38" si="58">IF((BQ9-BQ8)&lt;=0,0,(BQ9-BQ8))*1000</f>
        <v>540.00000000007731</v>
      </c>
      <c r="BS9" s="37">
        <v>88207.81</v>
      </c>
      <c r="BT9" s="37">
        <f t="shared" si="20"/>
        <v>196.38999999999942</v>
      </c>
      <c r="BU9" s="42">
        <v>2302612</v>
      </c>
      <c r="BV9" s="42"/>
      <c r="BW9" s="37">
        <f t="shared" si="21"/>
        <v>9312</v>
      </c>
      <c r="BX9" s="37">
        <f>IF(BW9&lt;=0,0,(BW9/SQRT(BW9^2+(BV9-BV8)^2)))</f>
        <v>1</v>
      </c>
      <c r="BY9" s="43">
        <v>315.0403</v>
      </c>
      <c r="BZ9" s="43"/>
      <c r="CA9" s="37">
        <f t="shared" si="22"/>
        <v>850.30000000000427</v>
      </c>
      <c r="CB9" s="37">
        <f t="shared" ref="CB9:CB38" si="59">IF(CA9&lt;=0,0,(CA9/SQRT(CA9^2+(BZ9-BZ8)^2)))</f>
        <v>1</v>
      </c>
      <c r="CC9" s="37">
        <v>550019.69999999995</v>
      </c>
      <c r="CD9" s="37">
        <f t="shared" si="23"/>
        <v>2099.6999999999534</v>
      </c>
      <c r="CE9" s="41">
        <v>868440.6</v>
      </c>
      <c r="CF9" s="37">
        <f t="shared" ref="CF9:CF38" si="60">IF((CE9-CE8)&lt;=0,0,(CE9-CE8))</f>
        <v>7910.5999999999767</v>
      </c>
      <c r="CG9" s="37">
        <v>69406.3</v>
      </c>
      <c r="CH9" s="37">
        <f t="shared" ref="CH9:CH38" si="61">IF((CG9-CG8)&lt;=0,0,(CG9-CG8))</f>
        <v>0</v>
      </c>
      <c r="CI9" s="40">
        <v>11802.68</v>
      </c>
      <c r="CJ9" s="40"/>
      <c r="CK9" s="37">
        <f t="shared" ref="CK9:CK38" si="62">IF((CI9-CI8)*1000&lt;=0,0,(CI9-CI8)*1000)+GX9-CA9</f>
        <v>19973.420000000289</v>
      </c>
      <c r="CL9" s="37">
        <f t="shared" si="24"/>
        <v>1</v>
      </c>
      <c r="CM9" s="37">
        <v>3210.6959999999999</v>
      </c>
      <c r="CN9" s="37"/>
      <c r="CO9" s="37">
        <f t="shared" si="25"/>
        <v>8539.7199999997301</v>
      </c>
      <c r="CP9" s="37">
        <f>IF(CO9&lt;=0,0,(CO9/SQRT(CO9^2+(CN9-CN8)^2)))</f>
        <v>1</v>
      </c>
      <c r="CQ9" s="39">
        <v>3057.3980000000001</v>
      </c>
      <c r="CR9" s="45"/>
      <c r="CS9" s="37">
        <f t="shared" si="26"/>
        <v>6941.7200000002294</v>
      </c>
      <c r="CT9" s="37">
        <f>IF(CS9&lt;=0,0,(CS9/SQRT(CS9^2+(CR9-CR8)^2)))</f>
        <v>1</v>
      </c>
      <c r="CU9" s="37">
        <v>2679122</v>
      </c>
      <c r="CV9" s="37"/>
      <c r="CW9" s="38">
        <f t="shared" si="27"/>
        <v>822</v>
      </c>
      <c r="CX9" s="37">
        <f>IF(CW9&lt;=0,0,(CW9/SQRT(CW9^2+(CV9-CV8)^2)))</f>
        <v>1</v>
      </c>
      <c r="CY9" s="37">
        <v>1379096</v>
      </c>
      <c r="CZ9" s="37"/>
      <c r="DA9" s="37">
        <f t="shared" si="28"/>
        <v>396</v>
      </c>
      <c r="DB9" s="37">
        <f>IF(DA9&lt;=0,0,(DA9/SQRT(DA9^2+(CZ9-CZ8)^2)))</f>
        <v>1</v>
      </c>
      <c r="DC9" s="37"/>
      <c r="DD9" s="40"/>
      <c r="DE9" s="37">
        <f t="shared" si="29"/>
        <v>0</v>
      </c>
      <c r="DF9" s="37">
        <f>IF(DE9&lt;=0,0,(DE9/SQRT(DE9^2+(DD9-DD8)^2)))</f>
        <v>0</v>
      </c>
      <c r="DG9" s="37">
        <f t="shared" si="30"/>
        <v>-45984.860000000248</v>
      </c>
      <c r="DH9" s="37">
        <f t="shared" si="31"/>
        <v>319863.72000000032</v>
      </c>
      <c r="DI9" s="46"/>
      <c r="DJ9" s="46"/>
      <c r="DK9" s="47"/>
      <c r="DL9" s="47"/>
      <c r="DM9" s="37"/>
      <c r="DN9" s="37"/>
      <c r="DO9" s="37"/>
      <c r="DP9" s="37"/>
      <c r="DQ9" s="50">
        <v>3060200</v>
      </c>
      <c r="DR9" s="49">
        <f t="shared" ref="DR9:DR38" si="63">IF((DQ9-DQ8)&lt;=0,0,(DQ9-DQ8))</f>
        <v>4500</v>
      </c>
      <c r="DS9" s="50">
        <v>2822000</v>
      </c>
      <c r="DT9" s="49">
        <f t="shared" ref="DT9:DT38" si="64">IF((DS9-DS8)&lt;=0,0,(DS9-DS8))</f>
        <v>15800</v>
      </c>
      <c r="DU9" s="52">
        <v>7772.9</v>
      </c>
      <c r="DV9" s="52">
        <v>4350.3999999999996</v>
      </c>
      <c r="DW9" s="37">
        <f>IF((DU9-DU8)*1000&lt;=0,0,(DU9-DU8)*1000)</f>
        <v>4500</v>
      </c>
      <c r="DX9" s="52">
        <v>12828</v>
      </c>
      <c r="DY9" s="52">
        <v>8326.7000000000007</v>
      </c>
      <c r="DZ9" s="37">
        <f t="shared" si="32"/>
        <v>6143.72</v>
      </c>
      <c r="EA9" s="49">
        <v>29017</v>
      </c>
      <c r="EB9" s="49">
        <v>20.39</v>
      </c>
      <c r="EC9" s="37">
        <f t="shared" si="33"/>
        <v>26303.72</v>
      </c>
      <c r="ED9" s="53">
        <f t="shared" si="34"/>
        <v>36947.440000000002</v>
      </c>
      <c r="EE9" s="49">
        <v>44180</v>
      </c>
      <c r="EF9" s="49">
        <v>28.338000000000001</v>
      </c>
      <c r="EG9" s="37">
        <f t="shared" si="35"/>
        <v>34303.72</v>
      </c>
      <c r="EH9" s="52">
        <v>12541</v>
      </c>
      <c r="EI9" s="52">
        <v>1.6872</v>
      </c>
      <c r="EJ9" s="37">
        <f t="shared" si="36"/>
        <v>10143.719999999999</v>
      </c>
      <c r="EK9" s="37">
        <v>759.8</v>
      </c>
      <c r="EL9" s="40">
        <v>1088.9000000000001</v>
      </c>
      <c r="EM9" s="37">
        <f t="shared" ref="EM9:EM38" si="65">IF((EK9-EK8)&lt;=0,0,(EK9-EK8))*1000</f>
        <v>689.99999999994088</v>
      </c>
      <c r="EN9" s="54">
        <f t="shared" ref="EN9:EN38" si="66">EG9+EJ9+EM9</f>
        <v>45137.439999999944</v>
      </c>
      <c r="EO9" s="48">
        <v>12634</v>
      </c>
      <c r="EP9" s="48">
        <v>4403.3999999999996</v>
      </c>
      <c r="EQ9" s="37">
        <f t="shared" ref="EQ9:EQ38" si="67">IF((EO9-EO8)*1000&lt;=0,0,(EO9-EO8)*1000)+GX9-FU46+FV46</f>
        <v>7123.7199999999611</v>
      </c>
      <c r="ER9" s="48">
        <v>8658.7000000000007</v>
      </c>
      <c r="ES9" s="48">
        <v>3534.3</v>
      </c>
      <c r="ET9" s="49">
        <f t="shared" si="37"/>
        <v>17000</v>
      </c>
      <c r="EU9" s="48">
        <v>3204.8</v>
      </c>
      <c r="EV9" s="48">
        <v>1142</v>
      </c>
      <c r="EW9" s="49">
        <f t="shared" si="38"/>
        <v>8543.7200000000903</v>
      </c>
      <c r="EX9" s="48">
        <v>12930</v>
      </c>
      <c r="EY9" s="48">
        <v>1.4528000000000001</v>
      </c>
      <c r="EZ9" s="37">
        <f t="shared" si="39"/>
        <v>13143.72</v>
      </c>
      <c r="FA9" s="48">
        <f t="shared" ref="FA9:FA38" si="68">FC9-EQ9-ET9-EW9-EZ9</f>
        <v>-22254.160000000051</v>
      </c>
      <c r="FB9" s="48">
        <v>35467840</v>
      </c>
      <c r="FC9" s="49">
        <f>IF((FB9-FB8)&lt;=0,0,(FB9-FB8))</f>
        <v>23557</v>
      </c>
      <c r="FD9" s="48">
        <f t="shared" ref="FD9:FD38" si="69">EQ9+ET9+EW9+EZ9+GJ9</f>
        <v>47511.160000000098</v>
      </c>
      <c r="FE9" s="48">
        <v>16617</v>
      </c>
      <c r="FF9" s="48">
        <v>5945.3</v>
      </c>
      <c r="FG9" s="37">
        <f t="shared" ref="FG9:FG38" si="70">IF((FE9-FE8)*1000&lt;=0,0,(FE9-FE8)*1000)+FL9+GX9+FW46</f>
        <v>11990.390000000038</v>
      </c>
      <c r="FH9" s="48">
        <v>8001.2</v>
      </c>
      <c r="FI9" s="48">
        <v>3.0853000000000002</v>
      </c>
      <c r="FJ9" s="49">
        <f t="shared" si="40"/>
        <v>20470.39</v>
      </c>
      <c r="FK9" s="48"/>
      <c r="FL9" s="58">
        <v>-173.33</v>
      </c>
      <c r="FM9" s="48">
        <f>FT9/3</f>
        <v>-143.72333333334487</v>
      </c>
      <c r="FN9" s="48">
        <v>16039</v>
      </c>
      <c r="FO9" s="48">
        <v>0.76529999999999998</v>
      </c>
      <c r="FP9" s="37">
        <f t="shared" ref="FP9:FP38" si="71">IF((FN9-FN8)*1000&lt;=0,0,(FN9-FN8)*1000)+FL9+GX9</f>
        <v>12970.39</v>
      </c>
      <c r="FQ9" s="48">
        <v>57018</v>
      </c>
      <c r="FR9" s="48">
        <v>13.708</v>
      </c>
      <c r="FS9" s="37">
        <f t="shared" si="41"/>
        <v>45000</v>
      </c>
      <c r="FT9" s="48">
        <f t="shared" ref="FT9:FT38" si="72">FS9-FG9-FJ9-FP9</f>
        <v>-431.17000000003463</v>
      </c>
      <c r="FU9" s="48">
        <f t="shared" ref="FU9:FU38" si="73">FG9+FJ9+FP9+GM9</f>
        <v>46931.170000000035</v>
      </c>
      <c r="FV9" s="44">
        <v>3228700</v>
      </c>
      <c r="FW9" s="44">
        <v>1046900</v>
      </c>
      <c r="FX9" s="37">
        <f t="shared" si="42"/>
        <v>20000</v>
      </c>
      <c r="FY9" s="56">
        <v>3011.2</v>
      </c>
      <c r="FZ9" s="56">
        <v>1.7952999999999999</v>
      </c>
      <c r="GA9" s="37">
        <f t="shared" si="43"/>
        <v>4979.9999999999091</v>
      </c>
      <c r="GB9" s="56">
        <v>776.76</v>
      </c>
      <c r="GC9" s="56">
        <v>868</v>
      </c>
      <c r="GD9" s="37">
        <f t="shared" si="44"/>
        <v>639.99999999998636</v>
      </c>
      <c r="GE9" s="63">
        <v>9656.2000000000007</v>
      </c>
      <c r="GF9" s="56">
        <v>3.0792000000000002</v>
      </c>
      <c r="GG9" s="37">
        <f t="shared" si="45"/>
        <v>4799.9999999999545</v>
      </c>
      <c r="GH9" s="48">
        <v>1883.3</v>
      </c>
      <c r="GI9" s="56">
        <v>1601.7</v>
      </c>
      <c r="GJ9" s="38">
        <f t="shared" si="46"/>
        <v>1700.0000000000455</v>
      </c>
      <c r="GK9" s="56">
        <v>1466.7</v>
      </c>
      <c r="GL9" s="44">
        <v>1118.9000000000001</v>
      </c>
      <c r="GM9" s="38">
        <f t="shared" si="47"/>
        <v>1500</v>
      </c>
      <c r="GN9" s="57">
        <v>165670</v>
      </c>
      <c r="GO9" s="57">
        <v>144510</v>
      </c>
      <c r="GP9" s="38">
        <f>IF((GN9-GN8)&lt;=0,0,(GN9-GN8)+1000)</f>
        <v>0</v>
      </c>
      <c r="GQ9" s="38">
        <v>235150</v>
      </c>
      <c r="GR9" s="38">
        <v>234330</v>
      </c>
      <c r="GS9" s="38">
        <f t="shared" ref="GS9:GS38" si="74">IF((GQ9-GQ8)&lt;=0,0,(GQ9-GQ8))</f>
        <v>1120</v>
      </c>
      <c r="GT9" s="178"/>
      <c r="GU9" s="144">
        <f>DailyApr!B8-DailyApr!N8-DailyApr!V8-DailyApr!Y8-DailyApr!Z8-DailyApr!AA8-DailyApr!AB8-DailyApr!AC8-DailyApr!AD8-DailyApr!AE8-DailyApr!AK8-DailyApr!AO8-DailyApr!AS8-DailyApr!AY8-DailyApr!BD8+DailyApr!BU8-DailyApr!BG8-DailyApr!BT8-DailyApr!AF8-DailyApr!AG8</f>
        <v>4.9999998038401827E-2</v>
      </c>
      <c r="GV9" s="59">
        <v>2155.85</v>
      </c>
      <c r="GW9" s="60">
        <f t="shared" si="48"/>
        <v>143.72333333333333</v>
      </c>
      <c r="GX9" s="61">
        <v>143.72</v>
      </c>
      <c r="GY9" s="140"/>
      <c r="GZ9" s="62"/>
      <c r="HA9" s="62"/>
      <c r="HB9" s="74"/>
      <c r="HC9" s="62"/>
      <c r="HD9" s="74"/>
      <c r="HE9" s="24">
        <f t="shared" si="49"/>
        <v>0</v>
      </c>
      <c r="HG9" s="213">
        <v>3</v>
      </c>
      <c r="HH9" s="16">
        <v>4894.1000000000004</v>
      </c>
      <c r="HI9" s="16">
        <v>1918</v>
      </c>
      <c r="HJ9" s="16">
        <f t="shared" si="50"/>
        <v>103700.00000000073</v>
      </c>
      <c r="HK9" s="16">
        <v>1.9189000000000001</v>
      </c>
      <c r="HL9" s="16">
        <v>660.93</v>
      </c>
      <c r="HM9" s="16">
        <f t="shared" si="51"/>
        <v>0</v>
      </c>
      <c r="HN9" s="16">
        <v>109.86</v>
      </c>
      <c r="HO9" s="16">
        <v>63.225000000000001</v>
      </c>
      <c r="HP9" s="16">
        <f t="shared" si="52"/>
        <v>17685.000000000004</v>
      </c>
      <c r="HQ9" s="16">
        <v>1301.4000000000001</v>
      </c>
      <c r="HR9" s="16">
        <v>573.03</v>
      </c>
      <c r="HS9" s="16">
        <f t="shared" si="53"/>
        <v>29538.33000000014</v>
      </c>
      <c r="HT9" s="16">
        <v>1227.9000000000001</v>
      </c>
      <c r="HU9" s="16">
        <v>550.11</v>
      </c>
      <c r="HV9" s="16">
        <f t="shared" si="54"/>
        <v>20038.33000000014</v>
      </c>
      <c r="HW9" s="16">
        <v>1030</v>
      </c>
      <c r="HX9" s="16">
        <v>413.58</v>
      </c>
      <c r="HY9" s="16">
        <f t="shared" si="55"/>
        <v>20638.330000000045</v>
      </c>
      <c r="HZ9" s="16"/>
      <c r="IA9" s="16"/>
      <c r="IB9" s="128">
        <f t="shared" si="56"/>
        <v>15800</v>
      </c>
      <c r="IC9" s="211">
        <f t="shared" ref="IC9:IC37" si="75">HJ9+HM9-HS9-HV9-HY9-IB9-HP9</f>
        <v>1.0000000405852916E-2</v>
      </c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KA9" s="151">
        <f t="shared" ref="KA9:KA38" si="76">HJ9+HM9-HS9-HV9-HY9-IB9</f>
        <v>17685.010000000409</v>
      </c>
    </row>
    <row r="10" spans="1:287" x14ac:dyDescent="0.25">
      <c r="A10" s="35">
        <f t="shared" si="0"/>
        <v>4</v>
      </c>
      <c r="B10" s="38">
        <v>3838.97</v>
      </c>
      <c r="C10" s="38">
        <f t="shared" si="1"/>
        <v>8.4899999999997817</v>
      </c>
      <c r="D10" s="38">
        <f t="shared" si="2"/>
        <v>271679.99999999302</v>
      </c>
      <c r="E10" s="38">
        <v>772.18</v>
      </c>
      <c r="F10" s="38">
        <f t="shared" si="3"/>
        <v>56959.999999999127</v>
      </c>
      <c r="G10" s="38">
        <f t="shared" si="4"/>
        <v>328639.99999999214</v>
      </c>
      <c r="H10" s="37"/>
      <c r="I10" s="39"/>
      <c r="J10" s="42"/>
      <c r="K10" s="37">
        <f t="shared" ref="K10:K34" si="77">IF(J10&lt;=0,0,(J10/SQRT(J10^2+(I10-I9)^2)))</f>
        <v>0</v>
      </c>
      <c r="L10" s="40">
        <v>11410300</v>
      </c>
      <c r="M10" s="40"/>
      <c r="N10" s="37">
        <f t="shared" ref="N10:N38" si="78">IF((L10-L9)&lt;=0,0,(L10-L9)*10)</f>
        <v>325000</v>
      </c>
      <c r="O10" s="37">
        <v>10298.700000000001</v>
      </c>
      <c r="P10" s="37"/>
      <c r="Q10" s="37">
        <f t="shared" si="5"/>
        <v>13400.000000001455</v>
      </c>
      <c r="R10" s="37">
        <f t="shared" ref="R10:R34" si="79">IF(Q10&lt;=0,0,(Q10/SQRT(Q10^2+(P10-P9)^2)))</f>
        <v>1</v>
      </c>
      <c r="S10" s="37">
        <v>11123637.42</v>
      </c>
      <c r="T10" s="37">
        <f t="shared" si="6"/>
        <v>0</v>
      </c>
      <c r="U10" s="37">
        <v>1518173.85</v>
      </c>
      <c r="V10" s="37">
        <f t="shared" si="7"/>
        <v>0</v>
      </c>
      <c r="W10" s="37">
        <v>3623.5</v>
      </c>
      <c r="X10" s="37">
        <f>Q10-T10-V10-AB10</f>
        <v>8400.0000000014552</v>
      </c>
      <c r="Y10" s="183"/>
      <c r="Z10" s="183"/>
      <c r="AA10" s="37">
        <v>660300</v>
      </c>
      <c r="AB10" s="37">
        <f t="shared" si="8"/>
        <v>5000</v>
      </c>
      <c r="AC10" s="37">
        <v>3829.4</v>
      </c>
      <c r="AD10" s="37"/>
      <c r="AE10" s="37">
        <f t="shared" si="9"/>
        <v>5900.0000000000909</v>
      </c>
      <c r="AF10" s="37">
        <f t="shared" ref="AF10:AF34" si="80">IF(AE10&lt;=0,0,(AE10/SQRT(AE10^2+(AD10-AD9)^2)))</f>
        <v>1</v>
      </c>
      <c r="AG10" s="37">
        <v>8344.4</v>
      </c>
      <c r="AH10" s="37"/>
      <c r="AI10" s="37">
        <f t="shared" si="10"/>
        <v>14007.609999999273</v>
      </c>
      <c r="AJ10" s="37">
        <f t="shared" si="11"/>
        <v>1</v>
      </c>
      <c r="AK10" s="37">
        <f t="shared" si="12"/>
        <v>28307.610000000819</v>
      </c>
      <c r="AL10" s="2">
        <v>10281.4</v>
      </c>
      <c r="AM10" s="42"/>
      <c r="AN10" s="37">
        <f t="shared" si="57"/>
        <v>9297.6100000003826</v>
      </c>
      <c r="AO10" s="37">
        <f t="shared" ref="AO10:AO34" si="81">IF(AN10&lt;=0,0,(AN10/SQRT(AN10^2+(AM10-AM9)^2)))</f>
        <v>1</v>
      </c>
      <c r="AP10" s="37">
        <v>7893</v>
      </c>
      <c r="AQ10" s="37"/>
      <c r="AR10" s="37">
        <f t="shared" si="13"/>
        <v>12800.000000000182</v>
      </c>
      <c r="AS10" s="37">
        <f t="shared" ref="AS10:AS34" si="82">IF(AR10&lt;=0,0,(AR10/SQRT(AR10^2+(AQ10-AQ9)^2)))</f>
        <v>1</v>
      </c>
      <c r="AT10" s="183"/>
      <c r="AU10" s="183"/>
      <c r="AV10" s="183"/>
      <c r="AW10" s="183"/>
      <c r="AX10" s="37">
        <v>463030</v>
      </c>
      <c r="AY10" s="37"/>
      <c r="AZ10" s="37">
        <f t="shared" si="14"/>
        <v>350</v>
      </c>
      <c r="BA10" s="37">
        <v>115370</v>
      </c>
      <c r="BB10" s="37"/>
      <c r="BC10" s="37">
        <f t="shared" si="15"/>
        <v>490</v>
      </c>
      <c r="BD10" s="37">
        <f t="shared" ref="BD10:BD34" si="83">AN10+AR10+AZ10+BC10</f>
        <v>22937.610000000564</v>
      </c>
      <c r="BE10" s="37">
        <v>1788.2</v>
      </c>
      <c r="BF10" s="37">
        <v>979.84</v>
      </c>
      <c r="BG10" s="37">
        <f t="shared" si="16"/>
        <v>3100.0000000001364</v>
      </c>
      <c r="BH10" s="44">
        <v>8438.7000000000007</v>
      </c>
      <c r="BI10" s="44">
        <v>5429.4</v>
      </c>
      <c r="BJ10" s="37">
        <f t="shared" si="17"/>
        <v>11200.000000000728</v>
      </c>
      <c r="BK10" s="40">
        <v>1375120</v>
      </c>
      <c r="BL10" s="40">
        <f t="shared" ref="BL10:BL38" si="84">IF((BK10-BK9)&lt;=0,0,(BK10-BK9))</f>
        <v>3740</v>
      </c>
      <c r="BM10" s="40">
        <v>837.49</v>
      </c>
      <c r="BN10" s="37">
        <f t="shared" si="18"/>
        <v>669.99999999995907</v>
      </c>
      <c r="BO10" s="186"/>
      <c r="BP10" s="183">
        <f t="shared" si="19"/>
        <v>0</v>
      </c>
      <c r="BQ10" s="40">
        <v>792.7</v>
      </c>
      <c r="BR10" s="37">
        <f t="shared" si="58"/>
        <v>600.00000000002274</v>
      </c>
      <c r="BS10" s="37">
        <v>88392.93</v>
      </c>
      <c r="BT10" s="37">
        <f t="shared" si="20"/>
        <v>185.11999999999534</v>
      </c>
      <c r="BU10" s="42">
        <v>2312286</v>
      </c>
      <c r="BV10" s="42"/>
      <c r="BW10" s="37">
        <f t="shared" si="21"/>
        <v>9674</v>
      </c>
      <c r="BX10" s="37">
        <f t="shared" ref="BX10:BX33" si="85">IF(BW10&lt;=0,0,(BW10/SQRT(BW10^2+(BV10-BV9)^2)))</f>
        <v>1</v>
      </c>
      <c r="BY10" s="43">
        <v>315.97359999999998</v>
      </c>
      <c r="BZ10" s="43"/>
      <c r="CA10" s="37">
        <f t="shared" si="22"/>
        <v>933.29999999997426</v>
      </c>
      <c r="CB10" s="37">
        <f t="shared" si="59"/>
        <v>1</v>
      </c>
      <c r="CC10" s="37">
        <v>552322.19999999995</v>
      </c>
      <c r="CD10" s="37">
        <f t="shared" si="23"/>
        <v>2302.5</v>
      </c>
      <c r="CE10" s="37">
        <v>875675.9</v>
      </c>
      <c r="CF10" s="37">
        <f t="shared" si="60"/>
        <v>7235.3000000000466</v>
      </c>
      <c r="CG10" s="37">
        <v>69406.3</v>
      </c>
      <c r="CH10" s="37">
        <f t="shared" si="61"/>
        <v>0</v>
      </c>
      <c r="CI10" s="40">
        <v>11824.12</v>
      </c>
      <c r="CJ10" s="40"/>
      <c r="CK10" s="37">
        <f t="shared" si="62"/>
        <v>21214.310000000536</v>
      </c>
      <c r="CL10" s="37">
        <f t="shared" si="24"/>
        <v>1</v>
      </c>
      <c r="CM10" s="37">
        <v>3219.1889999999999</v>
      </c>
      <c r="CN10" s="37"/>
      <c r="CO10" s="37">
        <f t="shared" si="25"/>
        <v>9200.6099999999387</v>
      </c>
      <c r="CP10" s="37">
        <f t="shared" ref="CP10:CP34" si="86">IF(CO10&lt;=0,0,(CO10/SQRT(CO10^2+(CN10-CN9)^2)))</f>
        <v>1</v>
      </c>
      <c r="CQ10" s="39">
        <v>3064.299</v>
      </c>
      <c r="CR10" s="45"/>
      <c r="CS10" s="37">
        <f t="shared" si="26"/>
        <v>7608.6099999998396</v>
      </c>
      <c r="CT10" s="37">
        <f t="shared" ref="CT10:CT33" si="87">IF(CS10&lt;=0,0,(CS10/SQRT(CS10^2+(CR10-CR9)^2)))</f>
        <v>1</v>
      </c>
      <c r="CU10" s="37">
        <v>2679932</v>
      </c>
      <c r="CV10" s="37"/>
      <c r="CW10" s="38">
        <f t="shared" si="27"/>
        <v>810</v>
      </c>
      <c r="CX10" s="37">
        <f t="shared" ref="CX10:CX38" si="88">IF(CW10&lt;=0,0,(CW10/SQRT(CW10^2+(CV10-CV9)^2)))</f>
        <v>1</v>
      </c>
      <c r="CY10" s="37">
        <v>1379670</v>
      </c>
      <c r="CZ10" s="37"/>
      <c r="DA10" s="37">
        <f t="shared" si="28"/>
        <v>574</v>
      </c>
      <c r="DB10" s="37">
        <f t="shared" ref="DB10:DB34" si="89">IF(DA10&lt;=0,0,(DA10/SQRT(DA10^2+(CZ10-CZ9)^2)))</f>
        <v>1</v>
      </c>
      <c r="DC10" s="37"/>
      <c r="DD10" s="40"/>
      <c r="DE10" s="37">
        <f t="shared" si="29"/>
        <v>0</v>
      </c>
      <c r="DF10" s="37">
        <f>IF(DE10&lt;=0,0,(DE10/SQRT(DE10^2+(DD10-DD9)^2)))</f>
        <v>0</v>
      </c>
      <c r="DG10" s="37">
        <f t="shared" si="30"/>
        <v>-49081.530000000319</v>
      </c>
      <c r="DH10" s="37">
        <f t="shared" si="31"/>
        <v>356407.61000000098</v>
      </c>
      <c r="DI10" s="46"/>
      <c r="DJ10" s="46"/>
      <c r="DK10" s="47"/>
      <c r="DL10" s="47"/>
      <c r="DM10" s="37"/>
      <c r="DN10" s="37"/>
      <c r="DO10" s="37"/>
      <c r="DP10" s="37"/>
      <c r="DQ10" s="50">
        <v>3067000</v>
      </c>
      <c r="DR10" s="49">
        <f t="shared" si="63"/>
        <v>6800</v>
      </c>
      <c r="DS10" s="50">
        <v>2838000</v>
      </c>
      <c r="DT10" s="49">
        <f t="shared" si="64"/>
        <v>16000</v>
      </c>
      <c r="DU10" s="52">
        <v>7777.7</v>
      </c>
      <c r="DV10" s="52">
        <v>4353.3</v>
      </c>
      <c r="DW10" s="37">
        <f t="shared" ref="DW10:DW38" si="90">IF((DU10-DU9)*1000&lt;=0,0,(DU10-DU9)*1000)</f>
        <v>4800.0000000001819</v>
      </c>
      <c r="DX10" s="52">
        <v>12834</v>
      </c>
      <c r="DY10" s="52">
        <v>8328.2000000000007</v>
      </c>
      <c r="DZ10" s="37">
        <f t="shared" si="32"/>
        <v>6707.61</v>
      </c>
      <c r="EA10" s="49">
        <v>29043</v>
      </c>
      <c r="EB10" s="49">
        <v>20.402999999999999</v>
      </c>
      <c r="EC10" s="37">
        <f t="shared" si="33"/>
        <v>28867.61</v>
      </c>
      <c r="ED10" s="53">
        <f t="shared" si="34"/>
        <v>40375.220000000183</v>
      </c>
      <c r="EE10" s="49">
        <v>44215</v>
      </c>
      <c r="EF10" s="49">
        <v>28.367999999999999</v>
      </c>
      <c r="EG10" s="37">
        <f t="shared" si="35"/>
        <v>37867.61</v>
      </c>
      <c r="EH10" s="52">
        <v>12551</v>
      </c>
      <c r="EI10" s="52">
        <v>1.6883999999999999</v>
      </c>
      <c r="EJ10" s="37">
        <f t="shared" si="36"/>
        <v>10707.61</v>
      </c>
      <c r="EK10" s="37">
        <v>760.66</v>
      </c>
      <c r="EL10" s="40">
        <v>1090.3</v>
      </c>
      <c r="EM10" s="37">
        <f t="shared" si="65"/>
        <v>860.00000000001364</v>
      </c>
      <c r="EN10" s="54">
        <f t="shared" si="66"/>
        <v>49435.220000000016</v>
      </c>
      <c r="EO10" s="48">
        <v>12641</v>
      </c>
      <c r="EP10" s="48">
        <v>4406.8999999999996</v>
      </c>
      <c r="EQ10" s="37">
        <f t="shared" si="67"/>
        <v>6682.6100000000224</v>
      </c>
      <c r="ER10" s="48">
        <v>8676.9</v>
      </c>
      <c r="ES10" s="48">
        <v>3542</v>
      </c>
      <c r="ET10" s="49">
        <f t="shared" si="37"/>
        <v>18199.999999998909</v>
      </c>
      <c r="EU10" s="48">
        <v>3213.3</v>
      </c>
      <c r="EV10" s="48">
        <v>1144.9000000000001</v>
      </c>
      <c r="EW10" s="49">
        <f t="shared" si="38"/>
        <v>9207.61</v>
      </c>
      <c r="EX10" s="48">
        <v>12943</v>
      </c>
      <c r="EY10" s="48">
        <v>1.4576</v>
      </c>
      <c r="EZ10" s="37">
        <f t="shared" si="39"/>
        <v>13707.61</v>
      </c>
      <c r="FA10" s="48">
        <f t="shared" si="68"/>
        <v>-23491.829999998932</v>
      </c>
      <c r="FB10" s="48">
        <v>35492146</v>
      </c>
      <c r="FC10" s="49">
        <f t="shared" ref="FC10:FC35" si="91">IF((FB10-FB9)&lt;=0,0,(FB10-FB9))</f>
        <v>24306</v>
      </c>
      <c r="FD10" s="48">
        <f t="shared" si="69"/>
        <v>49297.829999998932</v>
      </c>
      <c r="FE10" s="48">
        <v>16626</v>
      </c>
      <c r="FF10" s="48">
        <v>5949.1</v>
      </c>
      <c r="FG10" s="37">
        <f t="shared" si="70"/>
        <v>10757.609999999979</v>
      </c>
      <c r="FH10" s="48">
        <v>8020.1</v>
      </c>
      <c r="FI10" s="48">
        <v>3.0926999999999998</v>
      </c>
      <c r="FJ10" s="49">
        <f t="shared" si="40"/>
        <v>19632.610000000546</v>
      </c>
      <c r="FK10" s="48"/>
      <c r="FL10" s="58">
        <v>25</v>
      </c>
      <c r="FM10" s="48">
        <f t="shared" ref="FM10:FM38" si="92">FT10/3</f>
        <v>-707.61000000017521</v>
      </c>
      <c r="FN10" s="55">
        <v>16052</v>
      </c>
      <c r="FO10" s="48">
        <v>0.76600000000000001</v>
      </c>
      <c r="FP10" s="37">
        <f t="shared" si="71"/>
        <v>13732.61</v>
      </c>
      <c r="FQ10" s="48">
        <v>57060</v>
      </c>
      <c r="FR10" s="48">
        <v>13.718999999999999</v>
      </c>
      <c r="FS10" s="37">
        <f t="shared" si="41"/>
        <v>42000</v>
      </c>
      <c r="FT10" s="48">
        <f t="shared" si="72"/>
        <v>-2122.8300000005256</v>
      </c>
      <c r="FU10" s="48">
        <f t="shared" si="73"/>
        <v>44222.830000000438</v>
      </c>
      <c r="FV10" s="44">
        <v>3262300</v>
      </c>
      <c r="FW10" s="44">
        <v>1057100</v>
      </c>
      <c r="FX10" s="37">
        <f t="shared" si="42"/>
        <v>33600</v>
      </c>
      <c r="FY10" s="56">
        <v>3020.6</v>
      </c>
      <c r="FZ10" s="56">
        <v>1.8035000000000001</v>
      </c>
      <c r="GA10" s="37">
        <f t="shared" si="43"/>
        <v>8110.0000000000909</v>
      </c>
      <c r="GB10" s="56">
        <v>777.72</v>
      </c>
      <c r="GC10" s="56">
        <v>869.14</v>
      </c>
      <c r="GD10" s="37">
        <f t="shared" si="44"/>
        <v>960.00000000003638</v>
      </c>
      <c r="GE10" s="56">
        <v>9665.4</v>
      </c>
      <c r="GF10" s="56">
        <v>3.0861000000000001</v>
      </c>
      <c r="GG10" s="37">
        <f t="shared" si="45"/>
        <v>7599.9999999989996</v>
      </c>
      <c r="GH10" s="153">
        <v>1884.8</v>
      </c>
      <c r="GI10" s="162">
        <v>1603.2</v>
      </c>
      <c r="GJ10" s="38">
        <f t="shared" si="46"/>
        <v>1500</v>
      </c>
      <c r="GK10" s="162">
        <v>1466.8</v>
      </c>
      <c r="GL10" s="163">
        <v>1118.9000000000001</v>
      </c>
      <c r="GM10" s="38">
        <f t="shared" si="47"/>
        <v>99.999999999909051</v>
      </c>
      <c r="GN10" s="57">
        <v>165670</v>
      </c>
      <c r="GO10" s="57">
        <v>144520</v>
      </c>
      <c r="GP10" s="38">
        <f>IF((GN10-GN9)&lt;=0,0,(GN10-GN9)+1000)</f>
        <v>0</v>
      </c>
      <c r="GQ10" s="38">
        <v>236440</v>
      </c>
      <c r="GR10" s="38">
        <v>235370</v>
      </c>
      <c r="GS10" s="38">
        <f t="shared" si="74"/>
        <v>1290</v>
      </c>
      <c r="GT10" s="178"/>
      <c r="GU10" s="144">
        <f>DailyApr!B9-DailyApr!N9-DailyApr!V9-DailyApr!Y9-DailyApr!Z9-DailyApr!AA9-DailyApr!AB9-DailyApr!AC9-DailyApr!AD9-DailyApr!AE9-DailyApr!AK9-DailyApr!AO9-DailyApr!AS9-DailyApr!AY9-DailyApr!BD9+DailyApr!BU9-DailyApr!BG9-DailyApr!BT9-DailyApr!AF9-DailyApr!AG9</f>
        <v>4.9999991257209331E-2</v>
      </c>
      <c r="GV10" s="59">
        <v>10614.2</v>
      </c>
      <c r="GW10" s="60">
        <f t="shared" si="48"/>
        <v>707.61333333333334</v>
      </c>
      <c r="GX10" s="61">
        <v>707.61</v>
      </c>
      <c r="GY10" s="140"/>
      <c r="GZ10" s="62"/>
      <c r="HA10" s="62"/>
      <c r="HB10" s="74"/>
      <c r="HC10" s="62"/>
      <c r="HD10" s="74"/>
      <c r="HE10" s="24">
        <f t="shared" si="49"/>
        <v>0</v>
      </c>
      <c r="HG10" s="213">
        <v>4</v>
      </c>
      <c r="HH10" s="16">
        <v>5000.5</v>
      </c>
      <c r="HI10" s="16">
        <v>1959.4</v>
      </c>
      <c r="HJ10" s="16">
        <f t="shared" si="50"/>
        <v>106399.99999999964</v>
      </c>
      <c r="HK10" s="16">
        <v>1.9189000000000001</v>
      </c>
      <c r="HL10" s="16">
        <v>660.93</v>
      </c>
      <c r="HM10" s="16">
        <f t="shared" si="51"/>
        <v>0</v>
      </c>
      <c r="HN10" s="16">
        <v>127.39</v>
      </c>
      <c r="HO10" s="16">
        <v>71.192999999999998</v>
      </c>
      <c r="HP10" s="16">
        <f t="shared" si="52"/>
        <v>17530</v>
      </c>
      <c r="HQ10" s="16">
        <v>1331.4</v>
      </c>
      <c r="HR10" s="16">
        <v>586.14</v>
      </c>
      <c r="HS10" s="16">
        <f t="shared" si="53"/>
        <v>30456.667000000001</v>
      </c>
      <c r="HT10" s="16">
        <v>1248.9000000000001</v>
      </c>
      <c r="HU10" s="16">
        <v>559.14</v>
      </c>
      <c r="HV10" s="16">
        <f t="shared" si="54"/>
        <v>21456.667000000001</v>
      </c>
      <c r="HW10" s="16">
        <v>1050.5</v>
      </c>
      <c r="HX10" s="16">
        <v>421.51</v>
      </c>
      <c r="HY10" s="16">
        <f t="shared" si="55"/>
        <v>20956.667000000001</v>
      </c>
      <c r="HZ10" s="16"/>
      <c r="IA10" s="16"/>
      <c r="IB10" s="128">
        <f t="shared" si="56"/>
        <v>16000</v>
      </c>
      <c r="IC10" s="211">
        <f t="shared" si="75"/>
        <v>-1.0000003676395863E-3</v>
      </c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KA10" s="151">
        <f t="shared" si="76"/>
        <v>17529.998999999632</v>
      </c>
    </row>
    <row r="11" spans="1:287" x14ac:dyDescent="0.25">
      <c r="A11" s="35">
        <f t="shared" si="0"/>
        <v>5</v>
      </c>
      <c r="B11" s="38">
        <v>3847.41</v>
      </c>
      <c r="C11" s="38">
        <f t="shared" si="1"/>
        <v>8.4400000000000546</v>
      </c>
      <c r="D11" s="38">
        <f t="shared" si="2"/>
        <v>270080.00000000175</v>
      </c>
      <c r="E11" s="38">
        <v>773.92</v>
      </c>
      <c r="F11" s="38">
        <f t="shared" si="3"/>
        <v>55680.000000000291</v>
      </c>
      <c r="G11" s="38">
        <f t="shared" si="4"/>
        <v>325760.00000000204</v>
      </c>
      <c r="H11" s="37"/>
      <c r="I11" s="39"/>
      <c r="J11" s="42"/>
      <c r="K11" s="37">
        <f t="shared" si="77"/>
        <v>0</v>
      </c>
      <c r="L11" s="40">
        <v>11442800</v>
      </c>
      <c r="M11" s="40"/>
      <c r="N11" s="37">
        <f t="shared" si="78"/>
        <v>325000</v>
      </c>
      <c r="O11" s="37">
        <v>10311.799999999999</v>
      </c>
      <c r="P11" s="37"/>
      <c r="Q11" s="37">
        <f t="shared" si="5"/>
        <v>13099.999999998545</v>
      </c>
      <c r="R11" s="37">
        <f t="shared" si="79"/>
        <v>1</v>
      </c>
      <c r="S11" s="37">
        <v>11123637.42</v>
      </c>
      <c r="T11" s="37">
        <f t="shared" si="6"/>
        <v>0</v>
      </c>
      <c r="U11" s="37">
        <v>1518173.85</v>
      </c>
      <c r="V11" s="37">
        <f t="shared" si="7"/>
        <v>0</v>
      </c>
      <c r="W11" s="37">
        <v>3630.2</v>
      </c>
      <c r="X11" s="37">
        <f t="shared" ref="X11:X38" si="93">Q11-T11-V11-AB11</f>
        <v>8199.9999999985448</v>
      </c>
      <c r="Y11" s="183"/>
      <c r="Z11" s="183"/>
      <c r="AA11" s="37">
        <v>665200</v>
      </c>
      <c r="AB11" s="37">
        <f t="shared" si="8"/>
        <v>4900</v>
      </c>
      <c r="AC11" s="37">
        <v>3834.3</v>
      </c>
      <c r="AD11" s="37"/>
      <c r="AE11" s="37">
        <f t="shared" si="9"/>
        <v>4900.0000000000909</v>
      </c>
      <c r="AF11" s="37">
        <f t="shared" si="80"/>
        <v>1</v>
      </c>
      <c r="AG11" s="37">
        <v>8355.7999999999993</v>
      </c>
      <c r="AH11" s="37"/>
      <c r="AI11" s="37">
        <f t="shared" si="10"/>
        <v>10943.229999999636</v>
      </c>
      <c r="AJ11" s="37">
        <f t="shared" si="11"/>
        <v>1</v>
      </c>
      <c r="AK11" s="37">
        <f t="shared" si="12"/>
        <v>24043.229999998272</v>
      </c>
      <c r="AL11" s="42">
        <v>10294.1</v>
      </c>
      <c r="AM11" s="2"/>
      <c r="AN11" s="37">
        <f t="shared" si="57"/>
        <v>7303.230000000859</v>
      </c>
      <c r="AO11" s="37">
        <f t="shared" si="81"/>
        <v>1</v>
      </c>
      <c r="AP11" s="37">
        <v>7906.7</v>
      </c>
      <c r="AQ11" s="37"/>
      <c r="AR11" s="37">
        <f t="shared" si="13"/>
        <v>13699.999999999818</v>
      </c>
      <c r="AS11" s="37">
        <f t="shared" si="82"/>
        <v>1</v>
      </c>
      <c r="AT11" s="183"/>
      <c r="AU11" s="183"/>
      <c r="AV11" s="183"/>
      <c r="AW11" s="183"/>
      <c r="AX11" s="37">
        <v>463510</v>
      </c>
      <c r="AY11" s="37"/>
      <c r="AZ11" s="37">
        <f t="shared" si="14"/>
        <v>480</v>
      </c>
      <c r="BA11" s="37">
        <v>116110</v>
      </c>
      <c r="BB11" s="37"/>
      <c r="BC11" s="37">
        <f t="shared" si="15"/>
        <v>740</v>
      </c>
      <c r="BD11" s="37">
        <f t="shared" si="83"/>
        <v>22223.230000000676</v>
      </c>
      <c r="BE11" s="43">
        <v>1790.8</v>
      </c>
      <c r="BF11" s="43">
        <v>981.47</v>
      </c>
      <c r="BG11" s="37">
        <f t="shared" si="16"/>
        <v>2599.9999999999091</v>
      </c>
      <c r="BH11" s="44">
        <v>8446.9</v>
      </c>
      <c r="BI11" s="44">
        <v>5434.7</v>
      </c>
      <c r="BJ11" s="37">
        <f t="shared" si="17"/>
        <v>8199.9999999989086</v>
      </c>
      <c r="BK11" s="40">
        <v>1378790</v>
      </c>
      <c r="BL11" s="40">
        <f t="shared" si="84"/>
        <v>3670</v>
      </c>
      <c r="BM11" s="40">
        <v>838.16</v>
      </c>
      <c r="BN11" s="37">
        <f t="shared" si="18"/>
        <v>669.99999999995907</v>
      </c>
      <c r="BO11" s="186"/>
      <c r="BP11" s="183">
        <f t="shared" si="19"/>
        <v>0</v>
      </c>
      <c r="BQ11" s="40">
        <v>793.3</v>
      </c>
      <c r="BR11" s="37">
        <f t="shared" si="58"/>
        <v>599.99999999990905</v>
      </c>
      <c r="BS11" s="37">
        <v>88586.05</v>
      </c>
      <c r="BT11" s="37">
        <f t="shared" si="20"/>
        <v>193.1200000000099</v>
      </c>
      <c r="BU11" s="42">
        <v>2321325</v>
      </c>
      <c r="BV11" s="42"/>
      <c r="BW11" s="37">
        <f t="shared" si="21"/>
        <v>9039</v>
      </c>
      <c r="BX11" s="37">
        <f t="shared" si="85"/>
        <v>1</v>
      </c>
      <c r="BY11" s="43">
        <v>316.92860000000002</v>
      </c>
      <c r="BZ11" s="43"/>
      <c r="CA11" s="37">
        <f t="shared" si="22"/>
        <v>955.00000000004093</v>
      </c>
      <c r="CB11" s="37">
        <f t="shared" si="59"/>
        <v>1</v>
      </c>
      <c r="CC11" s="37">
        <v>554016.30000000005</v>
      </c>
      <c r="CD11" s="37">
        <f t="shared" si="23"/>
        <v>1694.1000000000931</v>
      </c>
      <c r="CE11" s="37">
        <v>882916.4</v>
      </c>
      <c r="CF11" s="37">
        <f t="shared" si="60"/>
        <v>7240.5</v>
      </c>
      <c r="CG11" s="37">
        <v>69406.3</v>
      </c>
      <c r="CH11" s="37">
        <f t="shared" si="61"/>
        <v>0</v>
      </c>
      <c r="CI11" s="40">
        <v>11845.13</v>
      </c>
      <c r="CJ11" s="40"/>
      <c r="CK11" s="37">
        <f t="shared" si="62"/>
        <v>19598.229999998359</v>
      </c>
      <c r="CL11" s="37">
        <f t="shared" si="24"/>
        <v>1</v>
      </c>
      <c r="CM11" s="37">
        <v>3227.4659999999999</v>
      </c>
      <c r="CN11" s="37"/>
      <c r="CO11" s="37">
        <f t="shared" si="25"/>
        <v>7820.2300000000432</v>
      </c>
      <c r="CP11" s="37">
        <f>IF(CO11&lt;=0,0,(CO11/SQRT(CO11^2+(CN11-CN10)^2)))</f>
        <v>1</v>
      </c>
      <c r="CQ11" s="39">
        <v>3071.1129999999998</v>
      </c>
      <c r="CR11" s="45"/>
      <c r="CS11" s="37">
        <f t="shared" si="26"/>
        <v>6357.2299999998504</v>
      </c>
      <c r="CT11" s="37">
        <f t="shared" si="87"/>
        <v>1</v>
      </c>
      <c r="CU11" s="37">
        <v>2680747</v>
      </c>
      <c r="CV11" s="37"/>
      <c r="CW11" s="38">
        <f t="shared" si="27"/>
        <v>815</v>
      </c>
      <c r="CX11" s="37">
        <f t="shared" si="88"/>
        <v>1</v>
      </c>
      <c r="CY11" s="37">
        <v>1380237</v>
      </c>
      <c r="CZ11" s="37"/>
      <c r="DA11" s="37">
        <f t="shared" si="28"/>
        <v>567</v>
      </c>
      <c r="DB11" s="37">
        <f t="shared" si="89"/>
        <v>1</v>
      </c>
      <c r="DC11" s="37"/>
      <c r="DD11" s="40"/>
      <c r="DE11" s="37">
        <f t="shared" si="29"/>
        <v>0</v>
      </c>
      <c r="DF11" s="37">
        <f t="shared" ref="DF11:DF33" si="94">IF(DE11&lt;=0,0,(DE11/SQRT(DE11^2+(DD11-DD10)^2)))</f>
        <v>0</v>
      </c>
      <c r="DG11" s="37">
        <f t="shared" si="30"/>
        <v>-44196.689999998256</v>
      </c>
      <c r="DH11" s="37">
        <f t="shared" si="31"/>
        <v>351643.22999999818</v>
      </c>
      <c r="DI11" s="46"/>
      <c r="DJ11" s="46"/>
      <c r="DK11" s="47"/>
      <c r="DL11" s="47"/>
      <c r="DM11" s="37"/>
      <c r="DN11" s="37"/>
      <c r="DO11" s="37"/>
      <c r="DP11" s="37"/>
      <c r="DQ11" s="50">
        <v>3073700</v>
      </c>
      <c r="DR11" s="49">
        <f t="shared" si="63"/>
        <v>6700</v>
      </c>
      <c r="DS11" s="50">
        <v>2856400</v>
      </c>
      <c r="DT11" s="49">
        <f t="shared" si="64"/>
        <v>18400</v>
      </c>
      <c r="DU11" s="52">
        <v>7782.1</v>
      </c>
      <c r="DV11" s="52">
        <v>4356.1000000000004</v>
      </c>
      <c r="DW11" s="37">
        <f t="shared" si="90"/>
        <v>4400.0000000005457</v>
      </c>
      <c r="DX11" s="52">
        <v>12840</v>
      </c>
      <c r="DY11" s="52">
        <v>8330.5</v>
      </c>
      <c r="DZ11" s="37">
        <f t="shared" si="32"/>
        <v>5543.23</v>
      </c>
      <c r="EA11" s="49">
        <v>29066</v>
      </c>
      <c r="EB11" s="49">
        <v>20.414000000000001</v>
      </c>
      <c r="EC11" s="37">
        <f t="shared" si="33"/>
        <v>24703.23</v>
      </c>
      <c r="ED11" s="53">
        <f t="shared" si="34"/>
        <v>34646.460000000545</v>
      </c>
      <c r="EE11" s="49">
        <v>44245</v>
      </c>
      <c r="EF11" s="49">
        <v>28.393000000000001</v>
      </c>
      <c r="EG11" s="37">
        <f t="shared" si="35"/>
        <v>31703.23</v>
      </c>
      <c r="EH11" s="52">
        <v>12560</v>
      </c>
      <c r="EI11" s="52">
        <v>1.6899</v>
      </c>
      <c r="EJ11" s="37">
        <f t="shared" si="36"/>
        <v>8543.23</v>
      </c>
      <c r="EK11" s="37">
        <v>761.41</v>
      </c>
      <c r="EL11" s="64">
        <v>1091.4000000000001</v>
      </c>
      <c r="EM11" s="37">
        <f t="shared" si="65"/>
        <v>750</v>
      </c>
      <c r="EN11" s="54">
        <f t="shared" si="66"/>
        <v>40996.46</v>
      </c>
      <c r="EO11" s="48">
        <v>12650</v>
      </c>
      <c r="EP11" s="48">
        <v>4410.6000000000004</v>
      </c>
      <c r="EQ11" s="37">
        <f t="shared" si="67"/>
        <v>7453.2299999999677</v>
      </c>
      <c r="ER11" s="48">
        <v>8695.4</v>
      </c>
      <c r="ES11" s="48">
        <v>3550</v>
      </c>
      <c r="ET11" s="49">
        <f t="shared" si="37"/>
        <v>18500</v>
      </c>
      <c r="EU11" s="48">
        <v>3222.2</v>
      </c>
      <c r="EV11" s="48">
        <v>1147.9000000000001</v>
      </c>
      <c r="EW11" s="49">
        <f t="shared" si="38"/>
        <v>8443.2299999996358</v>
      </c>
      <c r="EX11" s="48">
        <v>12958</v>
      </c>
      <c r="EY11" s="48">
        <v>1.4624999999999999</v>
      </c>
      <c r="EZ11" s="37">
        <f t="shared" si="39"/>
        <v>14543.23</v>
      </c>
      <c r="FA11" s="48">
        <f t="shared" si="68"/>
        <v>-23209.689999999602</v>
      </c>
      <c r="FB11" s="48">
        <v>35517876</v>
      </c>
      <c r="FC11" s="49">
        <f t="shared" si="91"/>
        <v>25730</v>
      </c>
      <c r="FD11" s="48">
        <f t="shared" si="69"/>
        <v>50539.689999999733</v>
      </c>
      <c r="FE11" s="48">
        <v>16636</v>
      </c>
      <c r="FF11" s="48">
        <v>5952.8</v>
      </c>
      <c r="FG11" s="37">
        <f t="shared" si="70"/>
        <v>10503.230000000032</v>
      </c>
      <c r="FH11" s="48">
        <v>8037.4</v>
      </c>
      <c r="FI11" s="48">
        <v>3.0994000000000002</v>
      </c>
      <c r="FJ11" s="49">
        <f t="shared" si="40"/>
        <v>16713.229999999272</v>
      </c>
      <c r="FK11" s="48"/>
      <c r="FL11" s="58">
        <v>-130</v>
      </c>
      <c r="FM11" s="48">
        <f t="shared" si="92"/>
        <v>456.77000000023207</v>
      </c>
      <c r="FN11" s="48">
        <v>16063</v>
      </c>
      <c r="FO11" s="48">
        <v>0.76629999999999998</v>
      </c>
      <c r="FP11" s="37">
        <f t="shared" si="71"/>
        <v>10413.23</v>
      </c>
      <c r="FQ11" s="48">
        <v>57099</v>
      </c>
      <c r="FR11" s="48">
        <v>13.73</v>
      </c>
      <c r="FS11" s="37">
        <f t="shared" si="41"/>
        <v>39000</v>
      </c>
      <c r="FT11" s="48">
        <f t="shared" si="72"/>
        <v>1370.3100000006962</v>
      </c>
      <c r="FU11" s="48">
        <f>FG11+FJ11+FP11+GM11</f>
        <v>37729.689999999442</v>
      </c>
      <c r="FV11" s="44">
        <v>3300300</v>
      </c>
      <c r="FW11" s="44">
        <v>1068500</v>
      </c>
      <c r="FX11" s="37">
        <f t="shared" si="42"/>
        <v>38000</v>
      </c>
      <c r="FY11" s="56">
        <v>3031.1</v>
      </c>
      <c r="FZ11" s="56">
        <v>1.8124</v>
      </c>
      <c r="GA11" s="37">
        <f t="shared" si="43"/>
        <v>9200</v>
      </c>
      <c r="GB11" s="56">
        <v>778.82</v>
      </c>
      <c r="GC11" s="56">
        <v>870.47</v>
      </c>
      <c r="GD11" s="37">
        <f t="shared" si="44"/>
        <v>1100.0000000000227</v>
      </c>
      <c r="GE11" s="56">
        <v>9675.9</v>
      </c>
      <c r="GF11" s="63">
        <v>3.0939000000000001</v>
      </c>
      <c r="GG11" s="37">
        <f t="shared" si="45"/>
        <v>8799.9999999997272</v>
      </c>
      <c r="GH11" s="153">
        <v>1886.4</v>
      </c>
      <c r="GI11" s="162">
        <v>1604.7</v>
      </c>
      <c r="GJ11" s="38">
        <f t="shared" si="46"/>
        <v>1600.0000000001364</v>
      </c>
      <c r="GK11" s="162">
        <v>1466.9</v>
      </c>
      <c r="GL11" s="163">
        <v>1119</v>
      </c>
      <c r="GM11" s="38">
        <f t="shared" si="47"/>
        <v>100.00000000013642</v>
      </c>
      <c r="GN11" s="57">
        <v>165680</v>
      </c>
      <c r="GO11" s="57">
        <v>144530</v>
      </c>
      <c r="GP11" s="38">
        <f>IF((GN11-GN10)&lt;=0,0,(GN11-GN10)+1000)</f>
        <v>1010</v>
      </c>
      <c r="GQ11" s="38">
        <v>237740</v>
      </c>
      <c r="GR11" s="38">
        <v>236420</v>
      </c>
      <c r="GS11" s="38">
        <f t="shared" si="74"/>
        <v>1300</v>
      </c>
      <c r="GT11" s="178"/>
      <c r="GU11" s="144">
        <f>DailyApr!B10-DailyApr!N10-DailyApr!V10-DailyApr!Y10-DailyApr!Z10-DailyApr!AA10-DailyApr!AB10-DailyApr!AC10-DailyApr!AD10-DailyApr!AE10-DailyApr!AK10-DailyApr!AO10-DailyApr!AS10-DailyApr!AY10-DailyApr!BD10+DailyApr!BU10-DailyApr!BG10-DailyApr!BT10-DailyApr!AF10-DailyApr!AG10</f>
        <v>-4.9999993643723428E-2</v>
      </c>
      <c r="GV11" s="59">
        <v>-6851.6</v>
      </c>
      <c r="GW11" s="60">
        <f t="shared" si="48"/>
        <v>-456.77333333333337</v>
      </c>
      <c r="GX11" s="61">
        <v>-456.77</v>
      </c>
      <c r="GY11" s="140"/>
      <c r="GZ11" s="62"/>
      <c r="HA11" s="62"/>
      <c r="HB11" s="74"/>
      <c r="HC11" s="62"/>
      <c r="HD11" s="74"/>
      <c r="HE11" s="24">
        <f t="shared" si="49"/>
        <v>0</v>
      </c>
      <c r="HG11" s="213">
        <v>5</v>
      </c>
      <c r="HH11" s="16">
        <v>5109.3</v>
      </c>
      <c r="HI11" s="16">
        <v>2001.8</v>
      </c>
      <c r="HJ11" s="16">
        <f t="shared" si="50"/>
        <v>108800.00000000017</v>
      </c>
      <c r="HK11" s="16">
        <v>1.9189000000000001</v>
      </c>
      <c r="HL11" s="16">
        <v>660.93</v>
      </c>
      <c r="HM11" s="16">
        <f t="shared" si="51"/>
        <v>0</v>
      </c>
      <c r="HN11" s="16">
        <v>144.30000000000001</v>
      </c>
      <c r="HO11" s="16">
        <v>78.995000000000005</v>
      </c>
      <c r="HP11" s="16">
        <f t="shared" si="52"/>
        <v>16910.000000000011</v>
      </c>
      <c r="HQ11" s="16">
        <v>1362.6</v>
      </c>
      <c r="HR11" s="16">
        <v>599.79</v>
      </c>
      <c r="HS11" s="16">
        <f t="shared" si="53"/>
        <v>31296.66669999982</v>
      </c>
      <c r="HT11" s="16">
        <v>1270.3</v>
      </c>
      <c r="HU11" s="16">
        <v>568.37</v>
      </c>
      <c r="HV11" s="16">
        <f t="shared" si="54"/>
        <v>21496.666699999863</v>
      </c>
      <c r="HW11" s="16">
        <v>1071.0999999999999</v>
      </c>
      <c r="HX11" s="16">
        <v>429.6</v>
      </c>
      <c r="HY11" s="16">
        <f t="shared" si="55"/>
        <v>20696.666699999911</v>
      </c>
      <c r="HZ11" s="16"/>
      <c r="IA11" s="16"/>
      <c r="IB11" s="128">
        <f t="shared" si="56"/>
        <v>18400</v>
      </c>
      <c r="IC11" s="211">
        <f t="shared" si="75"/>
        <v>-9.9999433587072417E-5</v>
      </c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KA11" s="151">
        <f t="shared" si="76"/>
        <v>16909.999900000577</v>
      </c>
    </row>
    <row r="12" spans="1:287" x14ac:dyDescent="0.25">
      <c r="A12" s="35">
        <f t="shared" si="0"/>
        <v>6</v>
      </c>
      <c r="B12" s="38">
        <v>3855.36</v>
      </c>
      <c r="C12" s="38">
        <f t="shared" si="1"/>
        <v>7.9500000000002728</v>
      </c>
      <c r="D12" s="38">
        <f t="shared" si="2"/>
        <v>254400.00000000873</v>
      </c>
      <c r="E12" s="38">
        <v>775.57</v>
      </c>
      <c r="F12" s="38">
        <f t="shared" si="3"/>
        <v>52800.00000000291</v>
      </c>
      <c r="G12" s="38">
        <f t="shared" si="4"/>
        <v>307200.00000001164</v>
      </c>
      <c r="H12" s="37"/>
      <c r="I12" s="39"/>
      <c r="J12" s="42"/>
      <c r="K12" s="37">
        <f>IF(J12&lt;=0,0,(J12/SQRT(J12^2+(I12-I11)^2)))</f>
        <v>0</v>
      </c>
      <c r="L12" s="40">
        <v>11473200</v>
      </c>
      <c r="M12" s="40"/>
      <c r="N12" s="37">
        <f t="shared" si="78"/>
        <v>304000</v>
      </c>
      <c r="O12" s="37">
        <v>10324.799999999999</v>
      </c>
      <c r="P12" s="37"/>
      <c r="Q12" s="37">
        <f t="shared" si="5"/>
        <v>13000</v>
      </c>
      <c r="R12" s="37">
        <f>IF(Q12&lt;=0,0,(Q12/SQRT(Q12^2+(P12-P11)^2)))</f>
        <v>1</v>
      </c>
      <c r="S12" s="37">
        <v>11123637.42</v>
      </c>
      <c r="T12" s="37">
        <f t="shared" si="6"/>
        <v>0</v>
      </c>
      <c r="U12" s="37">
        <v>1518173.85</v>
      </c>
      <c r="V12" s="37">
        <f t="shared" si="7"/>
        <v>0</v>
      </c>
      <c r="W12" s="37">
        <v>3636.9</v>
      </c>
      <c r="X12" s="37">
        <f t="shared" si="93"/>
        <v>8100</v>
      </c>
      <c r="Y12" s="183"/>
      <c r="Z12" s="183"/>
      <c r="AA12" s="37">
        <v>670100</v>
      </c>
      <c r="AB12" s="37">
        <f t="shared" si="8"/>
        <v>4900</v>
      </c>
      <c r="AC12" s="37">
        <v>3839.2</v>
      </c>
      <c r="AD12" s="2"/>
      <c r="AE12" s="37">
        <f t="shared" si="9"/>
        <v>4899.9999999996362</v>
      </c>
      <c r="AF12" s="37">
        <f>IF(AE12&lt;=0,0,(AE12/SQRT(AE12^2+(AD12-AD11)^2)))</f>
        <v>1</v>
      </c>
      <c r="AG12" s="37">
        <v>8367</v>
      </c>
      <c r="AH12" s="48"/>
      <c r="AI12" s="37">
        <f t="shared" si="10"/>
        <v>11719.540000000728</v>
      </c>
      <c r="AJ12" s="37">
        <f t="shared" si="11"/>
        <v>1</v>
      </c>
      <c r="AK12" s="37">
        <f t="shared" si="12"/>
        <v>24719.540000000365</v>
      </c>
      <c r="AL12" s="42">
        <v>10305.9</v>
      </c>
      <c r="AM12" s="42"/>
      <c r="AN12" s="37">
        <f t="shared" si="57"/>
        <v>7509.5399999992369</v>
      </c>
      <c r="AO12" s="37">
        <f>IF(AN12&lt;=0,0,(AN12/SQRT(AN12^2+(AM12-AM11)^2)))</f>
        <v>1</v>
      </c>
      <c r="AP12" s="37">
        <v>7920.4</v>
      </c>
      <c r="AQ12" s="37"/>
      <c r="AR12" s="37">
        <f t="shared" si="13"/>
        <v>13699.999999999818</v>
      </c>
      <c r="AS12" s="37">
        <f>IF(AR12&lt;=0,0,(AR12/SQRT(AR12^2+(AQ12-AQ11)^2)))</f>
        <v>1</v>
      </c>
      <c r="AT12" s="183"/>
      <c r="AU12" s="183"/>
      <c r="AV12" s="183"/>
      <c r="AW12" s="183"/>
      <c r="AX12" s="37">
        <v>463990</v>
      </c>
      <c r="AY12" s="37"/>
      <c r="AZ12" s="37">
        <f t="shared" si="14"/>
        <v>480</v>
      </c>
      <c r="BA12" s="37">
        <v>116890</v>
      </c>
      <c r="BB12" s="37"/>
      <c r="BC12" s="37">
        <f t="shared" si="15"/>
        <v>780</v>
      </c>
      <c r="BD12" s="37">
        <f t="shared" si="83"/>
        <v>22469.539999999055</v>
      </c>
      <c r="BE12" s="43">
        <v>1793.4</v>
      </c>
      <c r="BF12" s="43">
        <v>983.2</v>
      </c>
      <c r="BG12" s="37">
        <f t="shared" si="16"/>
        <v>2600.0000000001364</v>
      </c>
      <c r="BH12" s="44">
        <v>8457.4</v>
      </c>
      <c r="BI12" s="44">
        <v>5441.6</v>
      </c>
      <c r="BJ12" s="37">
        <f t="shared" si="17"/>
        <v>10500</v>
      </c>
      <c r="BK12" s="40">
        <v>1382390</v>
      </c>
      <c r="BL12" s="40">
        <f t="shared" si="84"/>
        <v>3600</v>
      </c>
      <c r="BM12" s="40">
        <v>838.83</v>
      </c>
      <c r="BN12" s="37">
        <f t="shared" si="18"/>
        <v>670.00000000007276</v>
      </c>
      <c r="BO12" s="186"/>
      <c r="BP12" s="183">
        <f t="shared" si="19"/>
        <v>0</v>
      </c>
      <c r="BQ12" s="40">
        <f>BQ11+0.54</f>
        <v>793.83999999999992</v>
      </c>
      <c r="BR12" s="37">
        <f t="shared" si="58"/>
        <v>539.99999999996362</v>
      </c>
      <c r="BS12" s="37">
        <v>88784.52</v>
      </c>
      <c r="BT12" s="37">
        <f t="shared" si="20"/>
        <v>198.47000000000116</v>
      </c>
      <c r="BU12" s="42">
        <v>2326616</v>
      </c>
      <c r="BV12" s="42"/>
      <c r="BW12" s="37">
        <f t="shared" si="21"/>
        <v>5291</v>
      </c>
      <c r="BX12" s="37">
        <f>IF(BW12&lt;=0,0,(BW12/SQRT(BW12^2+(BV12-BV11)^2)))</f>
        <v>1</v>
      </c>
      <c r="BY12" s="43">
        <v>317.69450000000001</v>
      </c>
      <c r="BZ12" s="43"/>
      <c r="CA12" s="37">
        <f t="shared" si="22"/>
        <v>765.89999999998781</v>
      </c>
      <c r="CB12" s="37">
        <f t="shared" si="59"/>
        <v>1</v>
      </c>
      <c r="CC12" s="37">
        <v>554016.30000000005</v>
      </c>
      <c r="CD12" s="37">
        <f t="shared" si="23"/>
        <v>0</v>
      </c>
      <c r="CE12" s="37">
        <v>888141.3</v>
      </c>
      <c r="CF12" s="37">
        <f t="shared" si="60"/>
        <v>5224.9000000000233</v>
      </c>
      <c r="CG12" s="37">
        <v>69406.3</v>
      </c>
      <c r="CH12" s="37">
        <f t="shared" si="61"/>
        <v>0</v>
      </c>
      <c r="CI12" s="40">
        <v>11863.66</v>
      </c>
      <c r="CJ12" s="40"/>
      <c r="CK12" s="37">
        <f t="shared" si="62"/>
        <v>18283.640000000669</v>
      </c>
      <c r="CL12" s="37">
        <f t="shared" si="24"/>
        <v>1</v>
      </c>
      <c r="CM12" s="37">
        <v>3235.29</v>
      </c>
      <c r="CN12" s="37"/>
      <c r="CO12" s="37">
        <f t="shared" si="25"/>
        <v>8343.54000000007</v>
      </c>
      <c r="CP12" s="37">
        <f>IF(CO12&lt;=0,0,(CO12/SQRT(CO12^2+(CN12-CN11)^2)))</f>
        <v>1</v>
      </c>
      <c r="CQ12" s="39">
        <v>3076.9560000000001</v>
      </c>
      <c r="CR12" s="45"/>
      <c r="CS12" s="37">
        <f t="shared" si="26"/>
        <v>6362.5400000003019</v>
      </c>
      <c r="CT12" s="37">
        <f>IF(CS12&lt;=0,0,(CS12/SQRT(CS12^2+(CR12-CR11)^2)))</f>
        <v>1</v>
      </c>
      <c r="CU12" s="37">
        <v>2681511</v>
      </c>
      <c r="CV12" s="37"/>
      <c r="CW12" s="38">
        <f t="shared" si="27"/>
        <v>764</v>
      </c>
      <c r="CX12" s="37">
        <f>IF(CW12&lt;=0,0,(CW12/SQRT(CW12^2+(CV12-CV11)^2)))</f>
        <v>1</v>
      </c>
      <c r="CY12" s="37">
        <v>1380806</v>
      </c>
      <c r="CZ12" s="37"/>
      <c r="DA12" s="37">
        <f t="shared" si="28"/>
        <v>569</v>
      </c>
      <c r="DB12" s="37">
        <f>IF(DA12&lt;=0,0,(DA12/SQRT(DA12^2+(CZ12-CZ11)^2)))</f>
        <v>1</v>
      </c>
      <c r="DC12" s="37"/>
      <c r="DD12" s="40"/>
      <c r="DE12" s="37">
        <f t="shared" si="29"/>
        <v>0</v>
      </c>
      <c r="DF12" s="37">
        <f>IF(DE12&lt;=0,0,(DE12/SQRT(DE12^2+(DD12-DD11)^2)))</f>
        <v>0</v>
      </c>
      <c r="DG12" s="37">
        <f t="shared" si="30"/>
        <v>-39613.720000001042</v>
      </c>
      <c r="DH12" s="37">
        <f t="shared" si="31"/>
        <v>331319.5400000005</v>
      </c>
      <c r="DI12" s="46"/>
      <c r="DJ12" s="46"/>
      <c r="DK12" s="47"/>
      <c r="DL12" s="47"/>
      <c r="DM12" s="37"/>
      <c r="DN12" s="37"/>
      <c r="DO12" s="37"/>
      <c r="DP12" s="37"/>
      <c r="DQ12" s="50">
        <v>3080400</v>
      </c>
      <c r="DR12" s="49">
        <f t="shared" si="63"/>
        <v>6700</v>
      </c>
      <c r="DS12" s="50">
        <v>2874600</v>
      </c>
      <c r="DT12" s="49">
        <f t="shared" si="64"/>
        <v>18200</v>
      </c>
      <c r="DU12" s="52">
        <v>7786.4</v>
      </c>
      <c r="DV12" s="52">
        <v>4358.6000000000004</v>
      </c>
      <c r="DW12" s="37">
        <f t="shared" si="90"/>
        <v>4299.9999999992724</v>
      </c>
      <c r="DX12" s="52">
        <v>12848</v>
      </c>
      <c r="DY12" s="52">
        <v>8332.7000000000007</v>
      </c>
      <c r="DZ12" s="37">
        <f t="shared" si="32"/>
        <v>8519.5400000000009</v>
      </c>
      <c r="EA12" s="49">
        <v>29092</v>
      </c>
      <c r="EB12" s="49">
        <v>20.427</v>
      </c>
      <c r="EC12" s="37">
        <f t="shared" si="33"/>
        <v>28679.54</v>
      </c>
      <c r="ED12" s="53">
        <f t="shared" si="34"/>
        <v>41499.079999999274</v>
      </c>
      <c r="EE12" s="49">
        <v>44279</v>
      </c>
      <c r="EF12" s="49">
        <v>28.420999999999999</v>
      </c>
      <c r="EG12" s="37">
        <f t="shared" si="35"/>
        <v>36679.54</v>
      </c>
      <c r="EH12" s="52">
        <v>12570</v>
      </c>
      <c r="EI12" s="52">
        <v>1.6912</v>
      </c>
      <c r="EJ12" s="37">
        <f t="shared" si="36"/>
        <v>10519.54</v>
      </c>
      <c r="EK12" s="37">
        <v>762.12</v>
      </c>
      <c r="EL12" s="64">
        <v>1092.4000000000001</v>
      </c>
      <c r="EM12" s="37">
        <f t="shared" si="65"/>
        <v>710.00000000003638</v>
      </c>
      <c r="EN12" s="54">
        <f t="shared" si="66"/>
        <v>47909.080000000038</v>
      </c>
      <c r="EO12" s="48">
        <v>12656</v>
      </c>
      <c r="EP12" s="48">
        <v>4413.8999999999996</v>
      </c>
      <c r="EQ12" s="37">
        <f t="shared" si="67"/>
        <v>5524.5400000000518</v>
      </c>
      <c r="ER12" s="48">
        <v>8712.5</v>
      </c>
      <c r="ES12" s="48">
        <v>3557.3</v>
      </c>
      <c r="ET12" s="49">
        <f t="shared" si="37"/>
        <v>17100.000000000364</v>
      </c>
      <c r="EU12" s="48">
        <v>3230.7</v>
      </c>
      <c r="EV12" s="48">
        <v>1150.8</v>
      </c>
      <c r="EW12" s="49">
        <f t="shared" si="38"/>
        <v>9019.5400000000009</v>
      </c>
      <c r="EX12" s="48">
        <v>12971</v>
      </c>
      <c r="EY12" s="48">
        <v>1.4648000000000001</v>
      </c>
      <c r="EZ12" s="37">
        <f t="shared" si="39"/>
        <v>13519.54</v>
      </c>
      <c r="FA12" s="48">
        <f t="shared" si="68"/>
        <v>-21871.620000000417</v>
      </c>
      <c r="FB12" s="48">
        <v>35541168</v>
      </c>
      <c r="FC12" s="49">
        <f t="shared" si="91"/>
        <v>23292</v>
      </c>
      <c r="FD12" s="48">
        <f t="shared" si="69"/>
        <v>46663.620000000417</v>
      </c>
      <c r="FE12" s="48">
        <v>16646</v>
      </c>
      <c r="FF12" s="48">
        <v>5956.5</v>
      </c>
      <c r="FG12" s="37">
        <f t="shared" si="70"/>
        <v>11049.539999999948</v>
      </c>
      <c r="FH12" s="48">
        <v>8052.8</v>
      </c>
      <c r="FI12" s="48">
        <v>3.1055000000000001</v>
      </c>
      <c r="FJ12" s="49">
        <f t="shared" si="40"/>
        <v>15454.540000000547</v>
      </c>
      <c r="FK12" s="48"/>
      <c r="FL12" s="58">
        <v>-465</v>
      </c>
      <c r="FM12" s="48">
        <f t="shared" si="92"/>
        <v>-519.54000000016583</v>
      </c>
      <c r="FN12" s="48">
        <v>16074</v>
      </c>
      <c r="FO12" s="48">
        <v>0.76639999999999997</v>
      </c>
      <c r="FP12" s="37">
        <f t="shared" si="71"/>
        <v>11054.54</v>
      </c>
      <c r="FQ12" s="48">
        <v>57135</v>
      </c>
      <c r="FR12" s="48">
        <v>13.74</v>
      </c>
      <c r="FS12" s="37">
        <f>IF((FQ12-FQ11)*1000&lt;=0,0,(FQ12-FQ11)*1000)</f>
        <v>36000</v>
      </c>
      <c r="FT12" s="48">
        <f t="shared" si="72"/>
        <v>-1558.6200000004974</v>
      </c>
      <c r="FU12" s="48">
        <f>FG12+FJ12+FP12+GM12</f>
        <v>37558.620000000497</v>
      </c>
      <c r="FV12" s="44">
        <v>3331500</v>
      </c>
      <c r="FW12" s="65">
        <v>1077900</v>
      </c>
      <c r="FX12" s="37">
        <f t="shared" si="42"/>
        <v>31200</v>
      </c>
      <c r="FY12" s="56">
        <v>3040.7</v>
      </c>
      <c r="FZ12" s="56">
        <v>1.8203</v>
      </c>
      <c r="GA12" s="37">
        <f t="shared" si="43"/>
        <v>8339.9999999999091</v>
      </c>
      <c r="GB12" s="56">
        <v>779.65</v>
      </c>
      <c r="GC12" s="63">
        <v>871.49</v>
      </c>
      <c r="GD12" s="37">
        <f t="shared" si="44"/>
        <v>829.99999999992724</v>
      </c>
      <c r="GE12" s="56">
        <v>9684.9</v>
      </c>
      <c r="GF12" s="56">
        <v>3.1006</v>
      </c>
      <c r="GG12" s="37">
        <f t="shared" si="45"/>
        <v>7500</v>
      </c>
      <c r="GH12" s="153">
        <v>1887.9</v>
      </c>
      <c r="GI12" s="162">
        <v>1606.1</v>
      </c>
      <c r="GJ12" s="38">
        <f t="shared" si="46"/>
        <v>1500</v>
      </c>
      <c r="GK12" s="162">
        <v>1466.9</v>
      </c>
      <c r="GL12" s="163">
        <v>1119</v>
      </c>
      <c r="GM12" s="38">
        <f t="shared" si="47"/>
        <v>0</v>
      </c>
      <c r="GN12" s="57">
        <v>165680</v>
      </c>
      <c r="GO12" s="57">
        <v>144530</v>
      </c>
      <c r="GP12" s="38">
        <f t="shared" ref="GP12:GP38" si="95">IF((GN12-GN11)&lt;=0,0,(GN12-GN11))</f>
        <v>0</v>
      </c>
      <c r="GQ12" s="38">
        <v>239000</v>
      </c>
      <c r="GR12" s="38">
        <v>237460</v>
      </c>
      <c r="GS12" s="38">
        <f t="shared" si="74"/>
        <v>1260</v>
      </c>
      <c r="GT12" s="178"/>
      <c r="GU12" s="144">
        <f>DailyApr!B11-DailyApr!N11-DailyApr!V11-DailyApr!Y11-DailyApr!Z11-DailyApr!AA11-DailyApr!AB11-DailyApr!AC11-DailyApr!AD11-DailyApr!AE11-DailyApr!AK11-DailyApr!AO11-DailyApr!AS11-DailyApr!AY11-DailyApr!BD11+DailyApr!BU11-DailyApr!BG11-DailyApr!BT11-DailyApr!AF11-DailyApr!AG11</f>
        <v>1.1015799827873707E-8</v>
      </c>
      <c r="GV12" s="59">
        <v>7793.1</v>
      </c>
      <c r="GW12" s="60">
        <f t="shared" si="48"/>
        <v>519.54000000000008</v>
      </c>
      <c r="GX12" s="61">
        <v>519.54</v>
      </c>
      <c r="GY12" s="140"/>
      <c r="GZ12" s="62"/>
      <c r="HA12" s="62"/>
      <c r="HB12" s="74"/>
      <c r="HC12" s="62"/>
      <c r="HD12" s="74"/>
      <c r="HE12" s="24">
        <f t="shared" si="49"/>
        <v>0</v>
      </c>
      <c r="HG12" s="213">
        <v>6</v>
      </c>
      <c r="HH12" s="16">
        <v>5211.5</v>
      </c>
      <c r="HI12" s="16">
        <v>2042.1</v>
      </c>
      <c r="HJ12" s="16">
        <f t="shared" si="50"/>
        <v>102199.99999999983</v>
      </c>
      <c r="HK12" s="16">
        <v>1.9189000000000001</v>
      </c>
      <c r="HL12" s="16">
        <v>660.93</v>
      </c>
      <c r="HM12" s="16">
        <f t="shared" si="51"/>
        <v>0</v>
      </c>
      <c r="HN12" s="16">
        <v>159.49</v>
      </c>
      <c r="HO12" s="16">
        <v>86.212999999999994</v>
      </c>
      <c r="HP12" s="16">
        <f t="shared" si="52"/>
        <v>15189.999999999998</v>
      </c>
      <c r="HQ12" s="16">
        <v>1389.9</v>
      </c>
      <c r="HR12" s="16">
        <v>612.02</v>
      </c>
      <c r="HS12" s="16">
        <f t="shared" si="53"/>
        <v>27603.333000000181</v>
      </c>
      <c r="HT12" s="16">
        <v>1290.3</v>
      </c>
      <c r="HU12" s="16">
        <v>577.07000000000005</v>
      </c>
      <c r="HV12" s="16">
        <f t="shared" si="54"/>
        <v>20303.332999999999</v>
      </c>
      <c r="HW12" s="16">
        <v>1091.7</v>
      </c>
      <c r="HX12" s="16">
        <v>437.86</v>
      </c>
      <c r="HY12" s="16">
        <f t="shared" si="55"/>
        <v>20903.333000000137</v>
      </c>
      <c r="HZ12" s="16"/>
      <c r="IA12" s="16"/>
      <c r="IB12" s="128">
        <f t="shared" si="56"/>
        <v>18200</v>
      </c>
      <c r="IC12" s="211">
        <f t="shared" si="75"/>
        <v>9.9999950361961965E-4</v>
      </c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KA12" s="151">
        <f t="shared" si="76"/>
        <v>15190.000999999502</v>
      </c>
    </row>
    <row r="13" spans="1:287" x14ac:dyDescent="0.25">
      <c r="A13" s="35">
        <f t="shared" si="0"/>
        <v>7</v>
      </c>
      <c r="B13" s="38">
        <v>3863.65</v>
      </c>
      <c r="C13" s="38">
        <f t="shared" si="1"/>
        <v>8.2899999999999636</v>
      </c>
      <c r="D13" s="38">
        <f t="shared" si="2"/>
        <v>265279.99999999884</v>
      </c>
      <c r="E13" s="38">
        <v>777.21</v>
      </c>
      <c r="F13" s="38">
        <f t="shared" si="3"/>
        <v>52479.999999999563</v>
      </c>
      <c r="G13" s="38">
        <f t="shared" si="4"/>
        <v>317759.99999999837</v>
      </c>
      <c r="H13" s="37"/>
      <c r="I13" s="39"/>
      <c r="J13" s="42"/>
      <c r="K13" s="37">
        <f t="shared" si="77"/>
        <v>0</v>
      </c>
      <c r="L13" s="40">
        <v>11504800</v>
      </c>
      <c r="M13" s="40"/>
      <c r="N13" s="37">
        <f t="shared" si="78"/>
        <v>316000</v>
      </c>
      <c r="O13" s="37">
        <v>10338</v>
      </c>
      <c r="P13" s="37"/>
      <c r="Q13" s="37">
        <f t="shared" si="5"/>
        <v>13200.000000000728</v>
      </c>
      <c r="R13" s="37">
        <f t="shared" si="79"/>
        <v>1</v>
      </c>
      <c r="S13" s="37">
        <v>11123637.42</v>
      </c>
      <c r="T13" s="37">
        <f t="shared" si="6"/>
        <v>0</v>
      </c>
      <c r="U13" s="37">
        <v>1518173.85</v>
      </c>
      <c r="V13" s="37">
        <f t="shared" si="7"/>
        <v>0</v>
      </c>
      <c r="W13" s="37">
        <v>3844.4</v>
      </c>
      <c r="X13" s="37">
        <f t="shared" si="93"/>
        <v>8300.0000000007276</v>
      </c>
      <c r="Y13" s="183"/>
      <c r="Z13" s="183"/>
      <c r="AA13" s="37">
        <v>675000</v>
      </c>
      <c r="AB13" s="37">
        <f t="shared" si="8"/>
        <v>4900</v>
      </c>
      <c r="AC13" s="37">
        <v>3844.4</v>
      </c>
      <c r="AD13" s="37"/>
      <c r="AE13" s="37">
        <f t="shared" si="9"/>
        <v>5200.0000000002728</v>
      </c>
      <c r="AF13" s="37">
        <f t="shared" si="80"/>
        <v>1</v>
      </c>
      <c r="AG13" s="37">
        <v>8379.2000000000007</v>
      </c>
      <c r="AH13" s="48"/>
      <c r="AI13" s="37">
        <f t="shared" si="10"/>
        <v>12058.650000000727</v>
      </c>
      <c r="AJ13" s="37">
        <f t="shared" si="11"/>
        <v>1</v>
      </c>
      <c r="AK13" s="37">
        <f t="shared" si="12"/>
        <v>25558.650000001726</v>
      </c>
      <c r="AL13" s="42">
        <v>10317.6</v>
      </c>
      <c r="AM13" s="42"/>
      <c r="AN13" s="37">
        <f t="shared" si="57"/>
        <v>6978.6500000006727</v>
      </c>
      <c r="AO13" s="37">
        <f t="shared" si="81"/>
        <v>1</v>
      </c>
      <c r="AP13" s="37">
        <v>7933.1</v>
      </c>
      <c r="AQ13" s="37"/>
      <c r="AR13" s="37">
        <f t="shared" si="13"/>
        <v>12700.000000000728</v>
      </c>
      <c r="AS13" s="37">
        <f t="shared" si="82"/>
        <v>1</v>
      </c>
      <c r="AT13" s="183"/>
      <c r="AU13" s="183"/>
      <c r="AV13" s="183"/>
      <c r="AW13" s="183"/>
      <c r="AX13" s="37">
        <v>464520</v>
      </c>
      <c r="AY13" s="37"/>
      <c r="AZ13" s="37">
        <f t="shared" si="14"/>
        <v>530</v>
      </c>
      <c r="BA13" s="37">
        <v>117640</v>
      </c>
      <c r="BB13" s="37"/>
      <c r="BC13" s="37">
        <f t="shared" si="15"/>
        <v>750</v>
      </c>
      <c r="BD13" s="37">
        <f t="shared" si="83"/>
        <v>20958.650000001398</v>
      </c>
      <c r="BE13" s="43">
        <v>1796</v>
      </c>
      <c r="BF13" s="43">
        <v>984.8</v>
      </c>
      <c r="BG13" s="37">
        <f t="shared" si="16"/>
        <v>2599.9999999999091</v>
      </c>
      <c r="BH13" s="44">
        <v>8467.9</v>
      </c>
      <c r="BI13" s="44">
        <v>5448.6</v>
      </c>
      <c r="BJ13" s="37">
        <f t="shared" si="17"/>
        <v>10500</v>
      </c>
      <c r="BK13" s="40">
        <v>1386030</v>
      </c>
      <c r="BL13" s="40">
        <f t="shared" si="84"/>
        <v>3640</v>
      </c>
      <c r="BM13" s="40">
        <v>839.51</v>
      </c>
      <c r="BN13" s="37">
        <f t="shared" si="18"/>
        <v>679.99999999994998</v>
      </c>
      <c r="BO13" s="186"/>
      <c r="BP13" s="183">
        <f t="shared" si="19"/>
        <v>0</v>
      </c>
      <c r="BQ13" s="40">
        <v>794.1</v>
      </c>
      <c r="BR13" s="37">
        <f t="shared" si="58"/>
        <v>260.00000000010459</v>
      </c>
      <c r="BS13" s="37">
        <v>88979.09</v>
      </c>
      <c r="BT13" s="37">
        <f t="shared" si="20"/>
        <v>194.56999999999243</v>
      </c>
      <c r="BU13" s="42">
        <v>2336692</v>
      </c>
      <c r="BV13" s="42"/>
      <c r="BW13" s="37">
        <f t="shared" si="21"/>
        <v>10076</v>
      </c>
      <c r="BX13" s="37">
        <f t="shared" si="85"/>
        <v>1</v>
      </c>
      <c r="BY13" s="43">
        <v>318.47949999999997</v>
      </c>
      <c r="BZ13" s="37"/>
      <c r="CA13" s="37">
        <f t="shared" si="22"/>
        <v>784.99999999996817</v>
      </c>
      <c r="CB13" s="37">
        <f t="shared" si="59"/>
        <v>1</v>
      </c>
      <c r="CC13" s="37">
        <v>557502.1</v>
      </c>
      <c r="CD13" s="37">
        <f t="shared" si="23"/>
        <v>3485.7999999999302</v>
      </c>
      <c r="CE13" s="37">
        <v>894605.8</v>
      </c>
      <c r="CF13" s="37">
        <f t="shared" si="60"/>
        <v>6464.5</v>
      </c>
      <c r="CG13" s="37">
        <v>69406.3</v>
      </c>
      <c r="CH13" s="37">
        <f t="shared" si="61"/>
        <v>0</v>
      </c>
      <c r="CI13" s="40">
        <v>11885.08</v>
      </c>
      <c r="CJ13" s="40"/>
      <c r="CK13" s="37">
        <f t="shared" si="62"/>
        <v>20493.650000000107</v>
      </c>
      <c r="CL13" s="37">
        <f t="shared" si="24"/>
        <v>1</v>
      </c>
      <c r="CM13" s="37">
        <v>3242.05</v>
      </c>
      <c r="CN13" s="37"/>
      <c r="CO13" s="37">
        <f t="shared" si="25"/>
        <v>6618.6500000002179</v>
      </c>
      <c r="CP13" s="37">
        <f t="shared" si="86"/>
        <v>1</v>
      </c>
      <c r="CQ13" s="39">
        <v>3083.1529999999998</v>
      </c>
      <c r="CR13" s="45"/>
      <c r="CS13" s="37">
        <f t="shared" si="26"/>
        <v>6055.6499999996613</v>
      </c>
      <c r="CT13" s="37">
        <f t="shared" si="87"/>
        <v>1</v>
      </c>
      <c r="CU13" s="37">
        <v>2682254</v>
      </c>
      <c r="CV13" s="37"/>
      <c r="CW13" s="38">
        <f t="shared" si="27"/>
        <v>743</v>
      </c>
      <c r="CX13" s="37">
        <f t="shared" si="88"/>
        <v>1</v>
      </c>
      <c r="CY13" s="37">
        <v>1381369</v>
      </c>
      <c r="CZ13" s="37"/>
      <c r="DA13" s="37">
        <f t="shared" si="28"/>
        <v>563</v>
      </c>
      <c r="DB13" s="37">
        <f t="shared" si="89"/>
        <v>1</v>
      </c>
      <c r="DC13" s="37"/>
      <c r="DD13" s="40"/>
      <c r="DE13" s="37">
        <f t="shared" si="29"/>
        <v>0</v>
      </c>
      <c r="DF13" s="37">
        <f t="shared" si="94"/>
        <v>0</v>
      </c>
      <c r="DG13" s="37">
        <f t="shared" si="30"/>
        <v>-44549.949999999983</v>
      </c>
      <c r="DH13" s="37">
        <f t="shared" si="31"/>
        <v>344158.65000000165</v>
      </c>
      <c r="DI13" s="46"/>
      <c r="DJ13" s="46"/>
      <c r="DK13" s="47"/>
      <c r="DL13" s="47"/>
      <c r="DM13" s="37"/>
      <c r="DN13" s="37"/>
      <c r="DO13" s="37"/>
      <c r="DP13" s="37"/>
      <c r="DQ13" s="50">
        <v>3086100</v>
      </c>
      <c r="DR13" s="49">
        <f t="shared" si="63"/>
        <v>5700</v>
      </c>
      <c r="DS13" s="50">
        <v>2895300</v>
      </c>
      <c r="DT13" s="49">
        <f t="shared" si="64"/>
        <v>20700</v>
      </c>
      <c r="DU13" s="52">
        <v>7790.6</v>
      </c>
      <c r="DV13" s="52">
        <v>4361.2</v>
      </c>
      <c r="DW13" s="37">
        <f t="shared" si="90"/>
        <v>4200.0000000007276</v>
      </c>
      <c r="DX13" s="52">
        <v>12854</v>
      </c>
      <c r="DY13" s="52">
        <v>8335.2000000000007</v>
      </c>
      <c r="DZ13" s="37">
        <f t="shared" si="32"/>
        <v>5858.65</v>
      </c>
      <c r="EA13" s="49">
        <v>29113</v>
      </c>
      <c r="EB13" s="49">
        <v>20.437999999999999</v>
      </c>
      <c r="EC13" s="37">
        <f t="shared" si="33"/>
        <v>23018.65</v>
      </c>
      <c r="ED13" s="53">
        <f t="shared" si="34"/>
        <v>33077.300000000731</v>
      </c>
      <c r="EE13" s="49">
        <v>44309</v>
      </c>
      <c r="EF13" s="49">
        <v>28.446000000000002</v>
      </c>
      <c r="EG13" s="37">
        <f t="shared" si="35"/>
        <v>32018.65</v>
      </c>
      <c r="EH13" s="52">
        <v>12580</v>
      </c>
      <c r="EI13" s="52">
        <v>1.6927000000000001</v>
      </c>
      <c r="EJ13" s="37">
        <f t="shared" si="36"/>
        <v>9858.65</v>
      </c>
      <c r="EK13" s="37">
        <v>762.78</v>
      </c>
      <c r="EL13" s="40">
        <v>1093.3</v>
      </c>
      <c r="EM13" s="37">
        <f t="shared" si="65"/>
        <v>659.99999999996817</v>
      </c>
      <c r="EN13" s="54">
        <f t="shared" si="66"/>
        <v>42537.299999999974</v>
      </c>
      <c r="EO13" s="48">
        <v>12664</v>
      </c>
      <c r="EP13" s="48">
        <v>4417.5</v>
      </c>
      <c r="EQ13" s="37">
        <f t="shared" si="67"/>
        <v>6803.6499999999924</v>
      </c>
      <c r="ER13" s="48">
        <v>8731.6</v>
      </c>
      <c r="ES13" s="48">
        <v>3565.4</v>
      </c>
      <c r="ET13" s="49">
        <f t="shared" si="37"/>
        <v>19100.000000000364</v>
      </c>
      <c r="EU13" s="48">
        <v>3239.7</v>
      </c>
      <c r="EV13" s="48">
        <v>1154</v>
      </c>
      <c r="EW13" s="49">
        <f t="shared" si="38"/>
        <v>8858.65</v>
      </c>
      <c r="EX13" s="48">
        <v>12985</v>
      </c>
      <c r="EY13" s="48">
        <v>1.4689000000000001</v>
      </c>
      <c r="EZ13" s="37">
        <f t="shared" si="39"/>
        <v>13858.65</v>
      </c>
      <c r="FA13" s="48">
        <f>FC13-EQ13-ET13-EW13-EZ13</f>
        <v>-23474.950000000357</v>
      </c>
      <c r="FB13" s="48">
        <v>35566314</v>
      </c>
      <c r="FC13" s="49">
        <f t="shared" si="91"/>
        <v>25146</v>
      </c>
      <c r="FD13" s="48">
        <f t="shared" si="69"/>
        <v>50320.950000000179</v>
      </c>
      <c r="FE13" s="48">
        <v>16656</v>
      </c>
      <c r="FF13" s="48">
        <v>5960.1</v>
      </c>
      <c r="FG13" s="37">
        <f t="shared" si="70"/>
        <v>10661.980000000007</v>
      </c>
      <c r="FH13" s="48">
        <v>8068.5</v>
      </c>
      <c r="FI13" s="48">
        <v>3.1116999999999999</v>
      </c>
      <c r="FJ13" s="49">
        <f t="shared" si="40"/>
        <v>15306.979999999818</v>
      </c>
      <c r="FK13" s="48"/>
      <c r="FL13" s="58">
        <v>-251.67</v>
      </c>
      <c r="FM13" s="48">
        <f t="shared" si="92"/>
        <v>141.35333333339199</v>
      </c>
      <c r="FN13" s="48">
        <v>16085</v>
      </c>
      <c r="FO13" s="48">
        <v>0.76659999999999995</v>
      </c>
      <c r="FP13" s="37">
        <f t="shared" si="71"/>
        <v>10606.98</v>
      </c>
      <c r="FQ13" s="48">
        <v>57172</v>
      </c>
      <c r="FR13" s="48">
        <v>13.75</v>
      </c>
      <c r="FS13" s="37">
        <f t="shared" si="41"/>
        <v>37000</v>
      </c>
      <c r="FT13" s="48">
        <f t="shared" si="72"/>
        <v>424.06000000017593</v>
      </c>
      <c r="FU13" s="48">
        <f>FG13+FJ13+FP13+GM13</f>
        <v>36575.939999999828</v>
      </c>
      <c r="FV13" s="44">
        <v>3366800</v>
      </c>
      <c r="FW13" s="44">
        <v>1088960</v>
      </c>
      <c r="FX13" s="37">
        <f t="shared" si="42"/>
        <v>35300</v>
      </c>
      <c r="FY13" s="56">
        <v>3050.4</v>
      </c>
      <c r="FZ13" s="56">
        <v>1.8287</v>
      </c>
      <c r="GA13" s="37">
        <f t="shared" si="43"/>
        <v>8360.0000000002728</v>
      </c>
      <c r="GB13" s="56">
        <v>780.64</v>
      </c>
      <c r="GC13" s="56">
        <v>872.69</v>
      </c>
      <c r="GD13" s="37">
        <f t="shared" si="44"/>
        <v>990.00000000000909</v>
      </c>
      <c r="GE13" s="56">
        <v>9695</v>
      </c>
      <c r="GF13" s="56">
        <v>3.1080999999999999</v>
      </c>
      <c r="GG13" s="37">
        <f t="shared" si="45"/>
        <v>8400.0000000005457</v>
      </c>
      <c r="GH13" s="153">
        <v>1889.6</v>
      </c>
      <c r="GI13" s="162">
        <v>1607.7</v>
      </c>
      <c r="GJ13" s="38">
        <f t="shared" si="46"/>
        <v>1699.9999999998181</v>
      </c>
      <c r="GK13" s="162">
        <v>1466.9</v>
      </c>
      <c r="GL13" s="163">
        <v>1119</v>
      </c>
      <c r="GM13" s="38">
        <f t="shared" si="47"/>
        <v>0</v>
      </c>
      <c r="GN13" s="57">
        <v>165680</v>
      </c>
      <c r="GO13" s="57">
        <v>144540</v>
      </c>
      <c r="GP13" s="38">
        <f t="shared" si="95"/>
        <v>0</v>
      </c>
      <c r="GQ13" s="38">
        <v>240340</v>
      </c>
      <c r="GR13" s="38">
        <v>238560</v>
      </c>
      <c r="GS13" s="38">
        <f t="shared" si="74"/>
        <v>1340</v>
      </c>
      <c r="GT13" s="178"/>
      <c r="GU13" s="144">
        <f>DailyApr!B12-DailyApr!N12-DailyApr!V12-DailyApr!Y12-DailyApr!Z12-DailyApr!AA12-DailyApr!AB12-DailyApr!AC12-DailyApr!AD12-DailyApr!AE12-DailyApr!AK12-DailyApr!AO12-DailyApr!AS12-DailyApr!AY12-DailyApr!BD12+DailyApr!BU12-DailyApr!BG12-DailyApr!BT12-DailyApr!AF12-DailyApr!AG12</f>
        <v>-4.0000006309128366E-2</v>
      </c>
      <c r="GV13" s="59">
        <v>-2120.29</v>
      </c>
      <c r="GW13" s="60">
        <f t="shared" si="48"/>
        <v>-141.35266666666666</v>
      </c>
      <c r="GX13" s="61">
        <v>-141.35</v>
      </c>
      <c r="GY13" s="140"/>
      <c r="GZ13" s="62"/>
      <c r="HA13" s="62"/>
      <c r="HB13" s="74"/>
      <c r="HC13" s="62"/>
      <c r="HD13" s="74"/>
      <c r="HE13" s="24">
        <f t="shared" si="49"/>
        <v>0</v>
      </c>
      <c r="HG13" s="213">
        <v>7</v>
      </c>
      <c r="HH13" s="16">
        <v>5315.3</v>
      </c>
      <c r="HI13" s="16">
        <v>2082.5</v>
      </c>
      <c r="HJ13" s="16">
        <f t="shared" si="50"/>
        <v>103800.00000000017</v>
      </c>
      <c r="HK13" s="16">
        <v>1.9189000000000001</v>
      </c>
      <c r="HL13" s="16">
        <v>660.93</v>
      </c>
      <c r="HM13" s="16">
        <f t="shared" si="51"/>
        <v>0</v>
      </c>
      <c r="HN13" s="16">
        <v>176.07</v>
      </c>
      <c r="HO13" s="16">
        <v>98.744</v>
      </c>
      <c r="HP13" s="16">
        <f t="shared" si="52"/>
        <v>16579.999999999985</v>
      </c>
      <c r="HQ13" s="16">
        <v>1418.8</v>
      </c>
      <c r="HR13" s="16">
        <v>624.67999999999995</v>
      </c>
      <c r="HS13" s="16">
        <f t="shared" si="53"/>
        <v>28606.66999999986</v>
      </c>
      <c r="HT13" s="16">
        <v>1309.7</v>
      </c>
      <c r="HU13" s="16">
        <v>585.5</v>
      </c>
      <c r="HV13" s="16">
        <f t="shared" si="54"/>
        <v>19106.670000000089</v>
      </c>
      <c r="HW13" s="16">
        <v>1110.8</v>
      </c>
      <c r="HX13" s="16">
        <v>445.32</v>
      </c>
      <c r="HY13" s="16">
        <f t="shared" si="55"/>
        <v>18806.669999999907</v>
      </c>
      <c r="HZ13" s="16"/>
      <c r="IA13" s="16"/>
      <c r="IB13" s="128">
        <f t="shared" si="56"/>
        <v>20700</v>
      </c>
      <c r="IC13" s="211">
        <f t="shared" si="75"/>
        <v>-9.9999996746191755E-3</v>
      </c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KA13" s="151">
        <f t="shared" si="76"/>
        <v>16579.990000000311</v>
      </c>
    </row>
    <row r="14" spans="1:287" x14ac:dyDescent="0.25">
      <c r="A14" s="35">
        <f t="shared" si="0"/>
        <v>8</v>
      </c>
      <c r="B14" s="38">
        <v>3871.49</v>
      </c>
      <c r="C14" s="38">
        <f t="shared" si="1"/>
        <v>7.8399999999996908</v>
      </c>
      <c r="D14" s="38">
        <f t="shared" si="2"/>
        <v>250879.9999999901</v>
      </c>
      <c r="E14" s="38">
        <v>778.85</v>
      </c>
      <c r="F14" s="38">
        <f t="shared" si="3"/>
        <v>52479.999999999563</v>
      </c>
      <c r="G14" s="38">
        <f t="shared" si="4"/>
        <v>303359.99999998964</v>
      </c>
      <c r="H14" s="37"/>
      <c r="I14" s="39"/>
      <c r="J14" s="42"/>
      <c r="K14" s="37">
        <f>IF(J14&lt;=0,0,(J14/SQRT(J14^2+(I14-I13)^2)))</f>
        <v>0</v>
      </c>
      <c r="L14" s="40">
        <v>11535200</v>
      </c>
      <c r="M14" s="40"/>
      <c r="N14" s="37">
        <f t="shared" si="78"/>
        <v>304000</v>
      </c>
      <c r="O14" s="37">
        <v>10351.4</v>
      </c>
      <c r="P14" s="37"/>
      <c r="Q14" s="37">
        <f t="shared" si="5"/>
        <v>13399.999999999636</v>
      </c>
      <c r="R14" s="37">
        <f t="shared" si="79"/>
        <v>1</v>
      </c>
      <c r="S14" s="37">
        <v>11123637.42</v>
      </c>
      <c r="T14" s="37">
        <f t="shared" si="6"/>
        <v>0</v>
      </c>
      <c r="U14" s="37">
        <v>1518173.85</v>
      </c>
      <c r="V14" s="37">
        <f t="shared" si="7"/>
        <v>0</v>
      </c>
      <c r="W14" s="37">
        <v>3650.5</v>
      </c>
      <c r="X14" s="37">
        <f t="shared" si="93"/>
        <v>8409.9999999996362</v>
      </c>
      <c r="Y14" s="183"/>
      <c r="Z14" s="183"/>
      <c r="AA14" s="37">
        <v>679990</v>
      </c>
      <c r="AB14" s="37">
        <f t="shared" si="8"/>
        <v>4990</v>
      </c>
      <c r="AC14" s="37">
        <v>3850</v>
      </c>
      <c r="AD14" s="37"/>
      <c r="AE14" s="37">
        <f t="shared" si="9"/>
        <v>5599.9999999999091</v>
      </c>
      <c r="AF14" s="37">
        <f t="shared" si="80"/>
        <v>1</v>
      </c>
      <c r="AG14" s="37">
        <v>8392.4</v>
      </c>
      <c r="AH14" s="48"/>
      <c r="AI14" s="37">
        <f t="shared" si="10"/>
        <v>13808.569999998908</v>
      </c>
      <c r="AJ14" s="37">
        <f t="shared" si="11"/>
        <v>1</v>
      </c>
      <c r="AK14" s="37">
        <f t="shared" si="12"/>
        <v>27818.569999998454</v>
      </c>
      <c r="AL14" s="42">
        <v>10329.799999999999</v>
      </c>
      <c r="AM14" s="42"/>
      <c r="AN14" s="37">
        <f t="shared" si="57"/>
        <v>7598.5699999988992</v>
      </c>
      <c r="AO14" s="37">
        <f t="shared" si="81"/>
        <v>1</v>
      </c>
      <c r="AP14" s="37">
        <v>7946.6</v>
      </c>
      <c r="AQ14" s="37"/>
      <c r="AR14" s="37">
        <f t="shared" si="13"/>
        <v>13500</v>
      </c>
      <c r="AS14" s="37">
        <f t="shared" si="82"/>
        <v>1</v>
      </c>
      <c r="AT14" s="183"/>
      <c r="AU14" s="183"/>
      <c r="AV14" s="183"/>
      <c r="AW14" s="183"/>
      <c r="AX14" s="37">
        <v>465070</v>
      </c>
      <c r="AY14" s="37"/>
      <c r="AZ14" s="37">
        <f t="shared" si="14"/>
        <v>550</v>
      </c>
      <c r="BA14" s="37">
        <v>118400</v>
      </c>
      <c r="BB14" s="37"/>
      <c r="BC14" s="37">
        <f t="shared" si="15"/>
        <v>760</v>
      </c>
      <c r="BD14" s="37">
        <f t="shared" si="83"/>
        <v>22408.569999998901</v>
      </c>
      <c r="BE14" s="43">
        <v>1798.5</v>
      </c>
      <c r="BF14" s="43">
        <v>986.33</v>
      </c>
      <c r="BG14" s="37">
        <f t="shared" si="16"/>
        <v>2500</v>
      </c>
      <c r="BH14" s="44">
        <v>8478.4</v>
      </c>
      <c r="BI14" s="44">
        <v>5455.5</v>
      </c>
      <c r="BJ14" s="37">
        <f t="shared" si="17"/>
        <v>10500</v>
      </c>
      <c r="BK14" s="40">
        <v>1389750</v>
      </c>
      <c r="BL14" s="40">
        <f t="shared" si="84"/>
        <v>3720</v>
      </c>
      <c r="BM14" s="40">
        <v>840.2</v>
      </c>
      <c r="BN14" s="37">
        <f t="shared" si="18"/>
        <v>690.00000000005457</v>
      </c>
      <c r="BO14" s="186"/>
      <c r="BP14" s="183">
        <f t="shared" si="19"/>
        <v>0</v>
      </c>
      <c r="BQ14" s="40">
        <v>794.9</v>
      </c>
      <c r="BR14" s="37">
        <f t="shared" si="58"/>
        <v>799.99999999995453</v>
      </c>
      <c r="BS14" s="37">
        <v>89196.33</v>
      </c>
      <c r="BT14" s="37">
        <f t="shared" si="20"/>
        <v>217.24000000000524</v>
      </c>
      <c r="BU14" s="42">
        <v>2347314</v>
      </c>
      <c r="BV14" s="42"/>
      <c r="BW14" s="37">
        <f t="shared" si="21"/>
        <v>10622</v>
      </c>
      <c r="BX14" s="37">
        <f t="shared" si="85"/>
        <v>1</v>
      </c>
      <c r="BY14" s="147">
        <v>319.14490000000001</v>
      </c>
      <c r="BZ14" s="40"/>
      <c r="CA14" s="37">
        <f t="shared" si="22"/>
        <v>665.40000000003374</v>
      </c>
      <c r="CB14" s="37">
        <f t="shared" si="59"/>
        <v>1</v>
      </c>
      <c r="CC14" s="37">
        <v>560571.80000000005</v>
      </c>
      <c r="CD14" s="37">
        <f t="shared" si="23"/>
        <v>3069.7000000000698</v>
      </c>
      <c r="CE14" s="37">
        <v>902017.7</v>
      </c>
      <c r="CF14" s="37">
        <f t="shared" si="60"/>
        <v>7411.8999999999069</v>
      </c>
      <c r="CG14" s="37">
        <v>69406.3</v>
      </c>
      <c r="CH14" s="37">
        <f t="shared" si="61"/>
        <v>0</v>
      </c>
      <c r="CI14" s="40">
        <v>11907.09</v>
      </c>
      <c r="CJ14" s="40"/>
      <c r="CK14" s="37">
        <f t="shared" si="62"/>
        <v>21953.170000000184</v>
      </c>
      <c r="CL14" s="37">
        <f t="shared" si="24"/>
        <v>1</v>
      </c>
      <c r="CM14" s="37">
        <v>3248.3119999999999</v>
      </c>
      <c r="CN14" s="37"/>
      <c r="CO14" s="37">
        <f t="shared" si="25"/>
        <v>6870.5699999997159</v>
      </c>
      <c r="CP14" s="37">
        <f t="shared" si="86"/>
        <v>1</v>
      </c>
      <c r="CQ14" s="39">
        <v>3089.26</v>
      </c>
      <c r="CR14" s="45"/>
      <c r="CS14" s="37">
        <f t="shared" si="26"/>
        <v>6715.5700000004254</v>
      </c>
      <c r="CT14" s="37">
        <f t="shared" si="87"/>
        <v>1</v>
      </c>
      <c r="CU14" s="37">
        <v>2683083</v>
      </c>
      <c r="CV14" s="37"/>
      <c r="CW14" s="38">
        <f t="shared" si="27"/>
        <v>829</v>
      </c>
      <c r="CX14" s="37">
        <f t="shared" si="88"/>
        <v>1</v>
      </c>
      <c r="CY14" s="37">
        <v>1381951</v>
      </c>
      <c r="CZ14" s="37"/>
      <c r="DA14" s="37">
        <f t="shared" si="28"/>
        <v>582</v>
      </c>
      <c r="DB14" s="37">
        <f t="shared" si="89"/>
        <v>1</v>
      </c>
      <c r="DC14" s="37"/>
      <c r="DD14" s="40"/>
      <c r="DE14" s="37">
        <f t="shared" si="29"/>
        <v>0</v>
      </c>
      <c r="DF14" s="37">
        <f t="shared" si="94"/>
        <v>0</v>
      </c>
      <c r="DG14" s="37">
        <f t="shared" si="30"/>
        <v>-47572.310000000325</v>
      </c>
      <c r="DH14" s="37">
        <f t="shared" si="31"/>
        <v>334318.56999999844</v>
      </c>
      <c r="DI14" s="46"/>
      <c r="DJ14" s="46"/>
      <c r="DK14" s="47"/>
      <c r="DL14" s="47"/>
      <c r="DM14" s="37"/>
      <c r="DN14" s="37"/>
      <c r="DO14" s="37"/>
      <c r="DP14" s="37"/>
      <c r="DQ14" s="50">
        <v>3092600</v>
      </c>
      <c r="DR14" s="49">
        <f t="shared" si="63"/>
        <v>6500</v>
      </c>
      <c r="DS14" s="50">
        <v>2914100</v>
      </c>
      <c r="DT14" s="49">
        <f t="shared" si="64"/>
        <v>18800</v>
      </c>
      <c r="DU14" s="52">
        <v>7794.7</v>
      </c>
      <c r="DV14" s="52">
        <v>4363.7</v>
      </c>
      <c r="DW14" s="37">
        <f t="shared" si="90"/>
        <v>4099.9999999994543</v>
      </c>
      <c r="DX14" s="52">
        <v>12861</v>
      </c>
      <c r="DY14" s="52">
        <v>8337.5</v>
      </c>
      <c r="DZ14" s="37">
        <f t="shared" si="32"/>
        <v>7608.57</v>
      </c>
      <c r="EA14" s="49">
        <v>29138</v>
      </c>
      <c r="EB14" s="49">
        <v>20.451000000000001</v>
      </c>
      <c r="EC14" s="37">
        <f t="shared" si="33"/>
        <v>27768.57</v>
      </c>
      <c r="ED14" s="53">
        <f t="shared" si="34"/>
        <v>39477.139999999454</v>
      </c>
      <c r="EE14" s="49">
        <v>44341</v>
      </c>
      <c r="EF14" s="49">
        <v>28.472999999999999</v>
      </c>
      <c r="EG14" s="37">
        <f t="shared" si="35"/>
        <v>34768.57</v>
      </c>
      <c r="EH14" s="52">
        <v>12589</v>
      </c>
      <c r="EI14" s="52">
        <v>1.6940999999999999</v>
      </c>
      <c r="EJ14" s="37">
        <f t="shared" si="36"/>
        <v>9608.57</v>
      </c>
      <c r="EK14" s="37">
        <v>763.49</v>
      </c>
      <c r="EL14" s="40">
        <v>1094.3</v>
      </c>
      <c r="EM14" s="37">
        <f t="shared" si="65"/>
        <v>710.00000000003638</v>
      </c>
      <c r="EN14" s="54">
        <f t="shared" si="66"/>
        <v>45087.140000000036</v>
      </c>
      <c r="EO14" s="48">
        <v>12671</v>
      </c>
      <c r="EP14" s="48">
        <v>4420.8999999999996</v>
      </c>
      <c r="EQ14" s="37">
        <f t="shared" si="67"/>
        <v>6563.5699999999833</v>
      </c>
      <c r="ER14" s="48">
        <v>8750.2000000000007</v>
      </c>
      <c r="ES14" s="48">
        <v>3573.3</v>
      </c>
      <c r="ET14" s="49">
        <f t="shared" si="37"/>
        <v>18600.000000000364</v>
      </c>
      <c r="EU14" s="48">
        <v>3248.7</v>
      </c>
      <c r="EV14" s="48">
        <v>1157.0999999999999</v>
      </c>
      <c r="EW14" s="49">
        <f t="shared" si="38"/>
        <v>9608.57</v>
      </c>
      <c r="EX14" s="48">
        <v>12998</v>
      </c>
      <c r="EY14" s="48">
        <v>1.4713000000000001</v>
      </c>
      <c r="EZ14" s="37">
        <f t="shared" si="39"/>
        <v>13608.57</v>
      </c>
      <c r="FA14" s="48">
        <f t="shared" si="68"/>
        <v>-23181.710000000348</v>
      </c>
      <c r="FB14" s="48">
        <v>35591513</v>
      </c>
      <c r="FC14" s="49">
        <f t="shared" si="91"/>
        <v>25199</v>
      </c>
      <c r="FD14" s="48">
        <f t="shared" si="69"/>
        <v>49980.710000000487</v>
      </c>
      <c r="FE14" s="48">
        <v>16664</v>
      </c>
      <c r="FF14" s="48">
        <v>5963.1</v>
      </c>
      <c r="FG14" s="37">
        <f t="shared" si="70"/>
        <v>9161.7100000000155</v>
      </c>
      <c r="FH14" s="48">
        <v>8081.4</v>
      </c>
      <c r="FI14" s="48">
        <v>3.1168</v>
      </c>
      <c r="FJ14" s="49">
        <f t="shared" si="40"/>
        <v>13016.709999999635</v>
      </c>
      <c r="FK14" s="48"/>
      <c r="FL14" s="58">
        <v>-491.86</v>
      </c>
      <c r="FM14" s="48">
        <f t="shared" si="92"/>
        <v>-98.376666666549383</v>
      </c>
      <c r="FN14" s="48">
        <v>16095</v>
      </c>
      <c r="FO14" s="48">
        <v>0.76719999999999999</v>
      </c>
      <c r="FP14" s="37">
        <f t="shared" si="71"/>
        <v>10116.709999999999</v>
      </c>
      <c r="FQ14" s="48">
        <v>57204</v>
      </c>
      <c r="FR14" s="48">
        <v>13.757999999999999</v>
      </c>
      <c r="FS14" s="37">
        <f t="shared" si="41"/>
        <v>32000</v>
      </c>
      <c r="FT14" s="48">
        <f t="shared" si="72"/>
        <v>-295.12999999964813</v>
      </c>
      <c r="FU14" s="48">
        <f t="shared" si="73"/>
        <v>32295.129999999648</v>
      </c>
      <c r="FV14" s="44">
        <v>3391500</v>
      </c>
      <c r="FW14" s="44">
        <v>1095900</v>
      </c>
      <c r="FX14" s="37">
        <f t="shared" si="42"/>
        <v>24700</v>
      </c>
      <c r="FY14" s="56">
        <v>3058</v>
      </c>
      <c r="FZ14" s="56">
        <v>1.8352999999999999</v>
      </c>
      <c r="GA14" s="37">
        <f t="shared" si="43"/>
        <v>6419.9999999999091</v>
      </c>
      <c r="GB14" s="56">
        <v>781.4</v>
      </c>
      <c r="GC14" s="56">
        <v>873.63</v>
      </c>
      <c r="GD14" s="37">
        <f t="shared" si="44"/>
        <v>759.99999999999091</v>
      </c>
      <c r="GE14" s="56">
        <v>9702.7000000000007</v>
      </c>
      <c r="GF14" s="56">
        <v>3.1139000000000001</v>
      </c>
      <c r="GG14" s="37">
        <f t="shared" si="45"/>
        <v>6100.0000000005912</v>
      </c>
      <c r="GH14" s="153">
        <v>1891.2</v>
      </c>
      <c r="GI14" s="162">
        <v>1609.2</v>
      </c>
      <c r="GJ14" s="38">
        <f t="shared" si="46"/>
        <v>1600.0000000001364</v>
      </c>
      <c r="GK14" s="162">
        <v>1466.9</v>
      </c>
      <c r="GL14" s="163">
        <v>1119</v>
      </c>
      <c r="GM14" s="38">
        <f t="shared" si="47"/>
        <v>0</v>
      </c>
      <c r="GN14" s="57">
        <v>165690</v>
      </c>
      <c r="GO14" s="57">
        <v>144540</v>
      </c>
      <c r="GP14" s="38">
        <f t="shared" si="95"/>
        <v>10</v>
      </c>
      <c r="GQ14" s="38">
        <v>241520</v>
      </c>
      <c r="GR14" s="38">
        <v>239550</v>
      </c>
      <c r="GS14" s="38">
        <f t="shared" si="74"/>
        <v>1180</v>
      </c>
      <c r="GT14" s="178"/>
      <c r="GU14" s="144">
        <f>DailyApr!B13-DailyApr!N13-DailyApr!V13-DailyApr!Y13-DailyApr!Z13-DailyApr!AA13-DailyApr!AB13-DailyApr!AC13-DailyApr!AD13-DailyApr!AE13-DailyApr!AK13-DailyApr!AO13-DailyApr!AS13-DailyApr!AY13-DailyApr!BD13+DailyApr!BU13-DailyApr!BG13-DailyApr!BT13-DailyApr!AF13-DailyApr!AG13</f>
        <v>-7.0000008185161278E-2</v>
      </c>
      <c r="GV14" s="59">
        <v>9128.48</v>
      </c>
      <c r="GW14" s="60">
        <f t="shared" si="48"/>
        <v>608.56533333333334</v>
      </c>
      <c r="GX14" s="61">
        <v>608.57000000000005</v>
      </c>
      <c r="GY14" s="140"/>
      <c r="GZ14" s="62"/>
      <c r="HA14" s="62"/>
      <c r="HB14" s="74"/>
      <c r="HC14" s="62"/>
      <c r="HD14" s="74"/>
      <c r="HE14" s="24">
        <f t="shared" si="49"/>
        <v>0</v>
      </c>
      <c r="HG14" s="213">
        <v>8</v>
      </c>
      <c r="HH14" s="16">
        <v>5409.3</v>
      </c>
      <c r="HI14" s="16">
        <v>2115.9</v>
      </c>
      <c r="HJ14" s="16">
        <f t="shared" si="50"/>
        <v>94000</v>
      </c>
      <c r="HK14" s="16">
        <v>1.9189000000000001</v>
      </c>
      <c r="HL14" s="16">
        <v>660.93</v>
      </c>
      <c r="HM14" s="16">
        <f t="shared" si="51"/>
        <v>0</v>
      </c>
      <c r="HN14" s="16">
        <v>185.7</v>
      </c>
      <c r="HO14" s="16">
        <v>98.334999999999994</v>
      </c>
      <c r="HP14" s="16">
        <f t="shared" si="52"/>
        <v>9629.9999999999964</v>
      </c>
      <c r="HQ14" s="16">
        <v>1443.5</v>
      </c>
      <c r="HR14" s="16">
        <v>636.14</v>
      </c>
      <c r="HS14" s="16">
        <f t="shared" si="53"/>
        <v>24690.000000000044</v>
      </c>
      <c r="HT14" s="16">
        <v>1330.8</v>
      </c>
      <c r="HU14" s="16">
        <v>599.54999999999995</v>
      </c>
      <c r="HV14" s="16">
        <f t="shared" si="54"/>
        <v>21089.999999999909</v>
      </c>
      <c r="HW14" s="16">
        <v>1130.5999999999999</v>
      </c>
      <c r="HX14" s="16">
        <v>453.05</v>
      </c>
      <c r="HY14" s="16">
        <f t="shared" si="55"/>
        <v>19789.999999999956</v>
      </c>
      <c r="HZ14" s="16"/>
      <c r="IA14" s="16"/>
      <c r="IB14" s="128">
        <f t="shared" si="56"/>
        <v>18800</v>
      </c>
      <c r="IC14" s="211">
        <f t="shared" si="75"/>
        <v>9.0949470177292824E-11</v>
      </c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KA14" s="151">
        <f t="shared" si="76"/>
        <v>9630.0000000000873</v>
      </c>
    </row>
    <row r="15" spans="1:287" x14ac:dyDescent="0.25">
      <c r="A15" s="215">
        <f t="shared" si="0"/>
        <v>9</v>
      </c>
      <c r="B15" s="38">
        <v>3879.73</v>
      </c>
      <c r="C15" s="38">
        <f t="shared" si="1"/>
        <v>8.2400000000002365</v>
      </c>
      <c r="D15" s="38">
        <f t="shared" si="2"/>
        <v>263680.00000000757</v>
      </c>
      <c r="E15" s="38">
        <v>780.5</v>
      </c>
      <c r="F15" s="38">
        <f t="shared" si="3"/>
        <v>52799.999999999272</v>
      </c>
      <c r="G15" s="38">
        <f t="shared" si="4"/>
        <v>316480.00000000687</v>
      </c>
      <c r="H15" s="37"/>
      <c r="I15" s="39"/>
      <c r="J15" s="42"/>
      <c r="K15" s="37">
        <f>IF(J15&lt;=0,0,(J15/SQRT(J15^2+(I15-I14)^2)))</f>
        <v>0</v>
      </c>
      <c r="L15" s="40">
        <v>11566700</v>
      </c>
      <c r="M15" s="40"/>
      <c r="N15" s="37">
        <f t="shared" si="78"/>
        <v>315000</v>
      </c>
      <c r="O15" s="37">
        <v>10363.9</v>
      </c>
      <c r="P15" s="2"/>
      <c r="Q15" s="37">
        <f t="shared" si="5"/>
        <v>12500</v>
      </c>
      <c r="R15" s="37">
        <f>IF(Q15&lt;=0,0,(Q15/SQRT(Q15^2+(P15-P14)^2)))</f>
        <v>1</v>
      </c>
      <c r="S15" s="37">
        <v>11123637.42</v>
      </c>
      <c r="T15" s="37">
        <f t="shared" si="6"/>
        <v>0</v>
      </c>
      <c r="U15" s="37">
        <v>1518173.85</v>
      </c>
      <c r="V15" s="37">
        <f t="shared" si="7"/>
        <v>0</v>
      </c>
      <c r="W15" s="37">
        <v>3657</v>
      </c>
      <c r="X15" s="37">
        <f t="shared" si="93"/>
        <v>8090</v>
      </c>
      <c r="Y15" s="183"/>
      <c r="Z15" s="183"/>
      <c r="AA15" s="37">
        <v>684400</v>
      </c>
      <c r="AB15" s="37">
        <f t="shared" si="8"/>
        <v>4410</v>
      </c>
      <c r="AC15" s="37">
        <v>3854.9</v>
      </c>
      <c r="AD15" s="37"/>
      <c r="AE15" s="37">
        <f t="shared" si="9"/>
        <v>4900.0000000000909</v>
      </c>
      <c r="AF15" s="37">
        <f>IF(AE15&lt;=0,0,(AE15/SQRT(AE15^2+(AD15-AD14)^2)))</f>
        <v>1</v>
      </c>
      <c r="AG15" s="37">
        <v>8404.4</v>
      </c>
      <c r="AH15" s="48"/>
      <c r="AI15" s="37">
        <f t="shared" si="10"/>
        <v>11817.79</v>
      </c>
      <c r="AJ15" s="37">
        <f t="shared" si="11"/>
        <v>1</v>
      </c>
      <c r="AK15" s="37">
        <f t="shared" si="12"/>
        <v>24807.790000000092</v>
      </c>
      <c r="AL15" s="2">
        <v>10341.799999999999</v>
      </c>
      <c r="AM15" s="42"/>
      <c r="AN15" s="37">
        <f t="shared" si="57"/>
        <v>6707.7900000000645</v>
      </c>
      <c r="AO15" s="37">
        <f>IF(AN15&lt;=0,0,(AN15/SQRT(AN15^2+(AM15-AM14)^2)))</f>
        <v>1</v>
      </c>
      <c r="AP15" s="37">
        <v>7960.1</v>
      </c>
      <c r="AQ15" s="37"/>
      <c r="AR15" s="37">
        <f t="shared" si="13"/>
        <v>13500</v>
      </c>
      <c r="AS15" s="37">
        <f>IF(AR15&lt;=0,0,(AR15/SQRT(AR15^2+(AQ15-AQ14)^2)))</f>
        <v>1</v>
      </c>
      <c r="AT15" s="183"/>
      <c r="AU15" s="183"/>
      <c r="AV15" s="183"/>
      <c r="AW15" s="183"/>
      <c r="AX15" s="37">
        <v>465510</v>
      </c>
      <c r="AY15" s="37"/>
      <c r="AZ15" s="37">
        <f t="shared" si="14"/>
        <v>440</v>
      </c>
      <c r="BA15" s="37">
        <v>119110</v>
      </c>
      <c r="BB15" s="37"/>
      <c r="BC15" s="37">
        <f t="shared" si="15"/>
        <v>710</v>
      </c>
      <c r="BD15" s="37">
        <f t="shared" si="83"/>
        <v>21357.790000000066</v>
      </c>
      <c r="BE15" s="43">
        <v>1801.3</v>
      </c>
      <c r="BF15" s="43">
        <v>988.04</v>
      </c>
      <c r="BG15" s="37">
        <f t="shared" si="16"/>
        <v>2799.9999999999545</v>
      </c>
      <c r="BH15" s="44">
        <v>8488.9</v>
      </c>
      <c r="BI15" s="44">
        <v>5462.3</v>
      </c>
      <c r="BJ15" s="37">
        <f t="shared" si="17"/>
        <v>10500</v>
      </c>
      <c r="BK15" s="40">
        <v>1393290</v>
      </c>
      <c r="BL15" s="40">
        <f t="shared" si="84"/>
        <v>3540</v>
      </c>
      <c r="BM15" s="40">
        <v>840.87</v>
      </c>
      <c r="BN15" s="37">
        <f t="shared" si="18"/>
        <v>669.99999999995907</v>
      </c>
      <c r="BO15" s="186"/>
      <c r="BP15" s="183">
        <f t="shared" si="19"/>
        <v>0</v>
      </c>
      <c r="BQ15" s="40">
        <v>795.8</v>
      </c>
      <c r="BR15" s="37">
        <f t="shared" si="58"/>
        <v>899.99999999997726</v>
      </c>
      <c r="BS15" s="37">
        <v>89416.81</v>
      </c>
      <c r="BT15" s="37">
        <f t="shared" si="20"/>
        <v>220.47999999999593</v>
      </c>
      <c r="BU15" s="42">
        <v>2355841</v>
      </c>
      <c r="BV15" s="42"/>
      <c r="BW15" s="37">
        <f t="shared" si="21"/>
        <v>8527</v>
      </c>
      <c r="BX15" s="37">
        <f>IF(BW15&lt;=0,0,(BW15/SQRT(BW15^2+(BV15-BV14)^2)))</f>
        <v>1</v>
      </c>
      <c r="BY15" s="43">
        <v>319.70609999999999</v>
      </c>
      <c r="BZ15" s="37"/>
      <c r="CA15" s="37">
        <f t="shared" si="22"/>
        <v>561.19999999998527</v>
      </c>
      <c r="CB15" s="37">
        <f t="shared" si="59"/>
        <v>1</v>
      </c>
      <c r="CC15" s="37">
        <v>562589.6</v>
      </c>
      <c r="CD15" s="37">
        <f t="shared" si="23"/>
        <v>2017.7999999999302</v>
      </c>
      <c r="CE15" s="37">
        <v>908452.5</v>
      </c>
      <c r="CF15" s="37">
        <f t="shared" si="60"/>
        <v>6434.8000000000466</v>
      </c>
      <c r="CG15" s="37">
        <v>69406.3</v>
      </c>
      <c r="CH15" s="37">
        <f t="shared" si="61"/>
        <v>0</v>
      </c>
      <c r="CI15" s="40">
        <v>11928.01</v>
      </c>
      <c r="CJ15" s="40"/>
      <c r="CK15" s="37">
        <f t="shared" si="62"/>
        <v>20176.590000000087</v>
      </c>
      <c r="CL15" s="37">
        <f t="shared" si="24"/>
        <v>1</v>
      </c>
      <c r="CM15" s="37">
        <v>3254.2220000000002</v>
      </c>
      <c r="CN15" s="37"/>
      <c r="CO15" s="37">
        <f t="shared" si="25"/>
        <v>5727.7900000003092</v>
      </c>
      <c r="CP15" s="37">
        <f>IF(CO15&lt;=0,0,(CO15/SQRT(CO15^2+(CN15-CN14)^2)))</f>
        <v>1</v>
      </c>
      <c r="CQ15" s="39">
        <v>3095.154</v>
      </c>
      <c r="CR15" s="45"/>
      <c r="CS15" s="37">
        <f t="shared" si="26"/>
        <v>5711.789999999778</v>
      </c>
      <c r="CT15" s="37">
        <f>IF(CS15&lt;=0,0,(CS15/SQRT(CS15^2+(CR15-CR14)^2)))</f>
        <v>1</v>
      </c>
      <c r="CU15" s="37">
        <f>CU14+CW14</f>
        <v>2683912</v>
      </c>
      <c r="CV15" s="37"/>
      <c r="CW15" s="38">
        <f t="shared" si="27"/>
        <v>829</v>
      </c>
      <c r="CX15" s="37">
        <f t="shared" si="88"/>
        <v>1</v>
      </c>
      <c r="CY15" s="37">
        <f>CY14+DA14</f>
        <v>1382533</v>
      </c>
      <c r="CZ15" s="37"/>
      <c r="DA15" s="37">
        <f t="shared" si="28"/>
        <v>582</v>
      </c>
      <c r="DB15" s="37">
        <f>IF(DA15&lt;=0,0,(DA15/SQRT(DA15^2+(CZ15-CZ14)^2)))</f>
        <v>1</v>
      </c>
      <c r="DC15" s="37"/>
      <c r="DD15" s="40"/>
      <c r="DE15" s="37">
        <f t="shared" si="29"/>
        <v>0</v>
      </c>
      <c r="DF15" s="37">
        <f>IF(DE15&lt;=0,0,(DE15/SQRT(DE15^2+(DD15-DD14)^2)))</f>
        <v>0</v>
      </c>
      <c r="DG15" s="37">
        <f t="shared" si="30"/>
        <v>-41554.170000000173</v>
      </c>
      <c r="DH15" s="37">
        <f t="shared" si="31"/>
        <v>342607.79000000004</v>
      </c>
      <c r="DI15" s="46"/>
      <c r="DJ15" s="46"/>
      <c r="DK15" s="47"/>
      <c r="DL15" s="47"/>
      <c r="DM15" s="37"/>
      <c r="DN15" s="37"/>
      <c r="DO15" s="37"/>
      <c r="DP15" s="37"/>
      <c r="DQ15" s="50">
        <v>3098500</v>
      </c>
      <c r="DR15" s="49">
        <f t="shared" si="63"/>
        <v>5900</v>
      </c>
      <c r="DS15" s="50">
        <v>2932600</v>
      </c>
      <c r="DT15" s="49">
        <f t="shared" si="64"/>
        <v>18500</v>
      </c>
      <c r="DU15" s="52">
        <v>7798.8</v>
      </c>
      <c r="DV15" s="52">
        <v>4366.7</v>
      </c>
      <c r="DW15" s="37">
        <f t="shared" si="90"/>
        <v>4100.0000000003638</v>
      </c>
      <c r="DX15" s="52">
        <v>12868</v>
      </c>
      <c r="DY15" s="52">
        <v>8340.1</v>
      </c>
      <c r="DZ15" s="37">
        <f t="shared" si="32"/>
        <v>6817.79</v>
      </c>
      <c r="EA15" s="49">
        <v>29162</v>
      </c>
      <c r="EB15" s="49">
        <v>20.463000000000001</v>
      </c>
      <c r="EC15" s="37">
        <f t="shared" si="33"/>
        <v>25977.79</v>
      </c>
      <c r="ED15" s="53">
        <f t="shared" si="34"/>
        <v>36895.580000000366</v>
      </c>
      <c r="EE15" s="49">
        <v>44374</v>
      </c>
      <c r="EF15" s="49">
        <v>28.501000000000001</v>
      </c>
      <c r="EG15" s="37">
        <f t="shared" si="35"/>
        <v>34977.79</v>
      </c>
      <c r="EH15" s="52">
        <v>12599</v>
      </c>
      <c r="EI15" s="52">
        <v>1.6954</v>
      </c>
      <c r="EJ15" s="37">
        <f t="shared" si="36"/>
        <v>9817.7900000000009</v>
      </c>
      <c r="EK15" s="37">
        <v>764.16</v>
      </c>
      <c r="EL15" s="40">
        <v>1095.2</v>
      </c>
      <c r="EM15" s="37">
        <f t="shared" si="65"/>
        <v>669.99999999995907</v>
      </c>
      <c r="EN15" s="54">
        <f t="shared" si="66"/>
        <v>45465.579999999958</v>
      </c>
      <c r="EO15" s="48">
        <v>12678</v>
      </c>
      <c r="EP15" s="48">
        <v>4424.3</v>
      </c>
      <c r="EQ15" s="37">
        <f t="shared" si="67"/>
        <v>5777.789999999979</v>
      </c>
      <c r="ER15" s="48">
        <v>8768.7999999999993</v>
      </c>
      <c r="ES15" s="48">
        <v>3581.3</v>
      </c>
      <c r="ET15" s="49">
        <f>IF((ER15-ER14)&lt;=0,0,(ER15-ER14))*1000</f>
        <v>18599.999999998545</v>
      </c>
      <c r="EU15" s="48">
        <v>3257.7</v>
      </c>
      <c r="EV15" s="48">
        <v>1160.2</v>
      </c>
      <c r="EW15" s="49">
        <f t="shared" si="38"/>
        <v>8817.7900000000009</v>
      </c>
      <c r="EX15" s="48">
        <v>13012</v>
      </c>
      <c r="EY15" s="48">
        <v>1.4723999999999999</v>
      </c>
      <c r="EZ15" s="37">
        <f t="shared" si="39"/>
        <v>13817.79</v>
      </c>
      <c r="FA15" s="48">
        <f t="shared" si="68"/>
        <v>-23036.369999998526</v>
      </c>
      <c r="FB15" s="48">
        <v>35615490</v>
      </c>
      <c r="FC15" s="49">
        <f>IF((FB15-FB14)&lt;=0,0,(FB15-FB14))</f>
        <v>23977</v>
      </c>
      <c r="FD15" s="48">
        <f t="shared" si="69"/>
        <v>48813.369999998482</v>
      </c>
      <c r="FE15" s="48">
        <v>16673</v>
      </c>
      <c r="FF15" s="48">
        <v>5966.7</v>
      </c>
      <c r="FG15" s="37">
        <f t="shared" si="70"/>
        <v>10091.120000000021</v>
      </c>
      <c r="FH15" s="48">
        <v>8096.7</v>
      </c>
      <c r="FI15" s="48">
        <v>3.1227999999999998</v>
      </c>
      <c r="FJ15" s="49">
        <f t="shared" si="40"/>
        <v>15351.120000000183</v>
      </c>
      <c r="FK15" s="48"/>
      <c r="FL15" s="58">
        <v>233.33</v>
      </c>
      <c r="FM15" s="48">
        <f>FT15/3</f>
        <v>-164.45333333340145</v>
      </c>
      <c r="FN15" s="48">
        <v>16106</v>
      </c>
      <c r="FO15" s="48">
        <v>0.76759999999999995</v>
      </c>
      <c r="FP15" s="37">
        <f t="shared" si="71"/>
        <v>11051.12</v>
      </c>
      <c r="FQ15" s="48">
        <v>57240</v>
      </c>
      <c r="FR15" s="48">
        <v>13.768000000000001</v>
      </c>
      <c r="FS15" s="37">
        <f t="shared" si="41"/>
        <v>36000</v>
      </c>
      <c r="FT15" s="48">
        <f t="shared" si="72"/>
        <v>-493.36000000020431</v>
      </c>
      <c r="FU15" s="48">
        <f t="shared" si="73"/>
        <v>36493.360000000204</v>
      </c>
      <c r="FV15" s="44">
        <v>3426100</v>
      </c>
      <c r="FW15" s="44">
        <v>1106200</v>
      </c>
      <c r="FX15" s="37">
        <f t="shared" si="42"/>
        <v>34600</v>
      </c>
      <c r="FY15" s="56">
        <v>3068.1</v>
      </c>
      <c r="FZ15" s="56">
        <v>1.8438000000000001</v>
      </c>
      <c r="GA15" s="37">
        <f t="shared" si="43"/>
        <v>8819.9999999999091</v>
      </c>
      <c r="GB15" s="56">
        <v>782.37</v>
      </c>
      <c r="GC15" s="56">
        <v>874.79</v>
      </c>
      <c r="GD15" s="37">
        <f t="shared" si="44"/>
        <v>970.00000000002728</v>
      </c>
      <c r="GE15" s="56">
        <v>9712.4</v>
      </c>
      <c r="GF15" s="56">
        <v>3.1212</v>
      </c>
      <c r="GG15" s="37">
        <f t="shared" si="45"/>
        <v>7899.9999999989541</v>
      </c>
      <c r="GH15" s="153">
        <v>1893</v>
      </c>
      <c r="GI15" s="162">
        <v>1610.8</v>
      </c>
      <c r="GJ15" s="38">
        <f t="shared" si="46"/>
        <v>1799.9999999999545</v>
      </c>
      <c r="GK15" s="162">
        <v>1466.9</v>
      </c>
      <c r="GL15" s="163">
        <v>1119</v>
      </c>
      <c r="GM15" s="38">
        <f t="shared" si="47"/>
        <v>0</v>
      </c>
      <c r="GN15" s="57">
        <v>165690</v>
      </c>
      <c r="GO15" s="57">
        <v>144540</v>
      </c>
      <c r="GP15" s="38">
        <f t="shared" si="95"/>
        <v>0</v>
      </c>
      <c r="GQ15" s="38">
        <v>242800</v>
      </c>
      <c r="GR15" s="38">
        <v>240610</v>
      </c>
      <c r="GS15" s="38">
        <f t="shared" si="74"/>
        <v>1280</v>
      </c>
      <c r="GT15" s="178"/>
      <c r="GU15" s="144">
        <f>DailyApr!B14-DailyApr!N14-DailyApr!V14-DailyApr!Y14-DailyApr!Z14-DailyApr!AA14-DailyApr!AB14-DailyApr!AC14-DailyApr!AD14-DailyApr!AE14-DailyApr!AK14-DailyApr!AO14-DailyApr!AS14-DailyApr!AY14-DailyApr!BD14+DailyApr!BU14-DailyApr!BG14-DailyApr!BT14-DailyApr!AF14-DailyApr!AG14</f>
        <v>6.000000900530722E-2</v>
      </c>
      <c r="GV15" s="59">
        <v>-2733.09</v>
      </c>
      <c r="GW15" s="60">
        <f t="shared" si="48"/>
        <v>-182.20600000000002</v>
      </c>
      <c r="GX15" s="61">
        <v>-182.21</v>
      </c>
      <c r="GY15" s="140"/>
      <c r="GZ15" s="62"/>
      <c r="HA15" s="62"/>
      <c r="HB15" s="142"/>
      <c r="HC15" s="62"/>
      <c r="HD15" s="74"/>
      <c r="HE15" s="24">
        <f t="shared" si="49"/>
        <v>0</v>
      </c>
      <c r="HF15" s="151"/>
      <c r="HG15" s="213">
        <v>9</v>
      </c>
      <c r="HH15" s="16">
        <v>5518.5</v>
      </c>
      <c r="HI15" s="16">
        <v>2161.8000000000002</v>
      </c>
      <c r="HJ15" s="16">
        <f t="shared" si="50"/>
        <v>109199.99999999983</v>
      </c>
      <c r="HK15" s="16">
        <v>1.9189000000000001</v>
      </c>
      <c r="HL15" s="16">
        <v>660.93</v>
      </c>
      <c r="HM15" s="16">
        <f>IF((HK15-HK14)&lt;=0,0,(HK15-HK14))</f>
        <v>0</v>
      </c>
      <c r="HN15" s="16">
        <v>205.61</v>
      </c>
      <c r="HO15" s="16">
        <v>107.09</v>
      </c>
      <c r="HP15" s="16">
        <f t="shared" si="52"/>
        <v>19910.000000000025</v>
      </c>
      <c r="HQ15" s="16">
        <v>1473.3</v>
      </c>
      <c r="HR15" s="16">
        <v>649.16999999999996</v>
      </c>
      <c r="HS15" s="16">
        <f t="shared" si="53"/>
        <v>30096.666999999958</v>
      </c>
      <c r="HT15" s="16">
        <v>1351.4</v>
      </c>
      <c r="HU15" s="16">
        <v>603.6</v>
      </c>
      <c r="HV15" s="16">
        <f t="shared" si="54"/>
        <v>20896.66700000014</v>
      </c>
      <c r="HW15" s="16">
        <v>1150.0999999999999</v>
      </c>
      <c r="HX15" s="16">
        <v>460.69</v>
      </c>
      <c r="HY15" s="16">
        <f t="shared" si="55"/>
        <v>19796.667000000001</v>
      </c>
      <c r="HZ15" s="16"/>
      <c r="IA15" s="16"/>
      <c r="IB15" s="128">
        <f t="shared" si="56"/>
        <v>18500</v>
      </c>
      <c r="IC15" s="211">
        <f t="shared" si="75"/>
        <v>-1.000000298517989E-3</v>
      </c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KA15" s="151">
        <f t="shared" si="76"/>
        <v>19909.998999999727</v>
      </c>
    </row>
    <row r="16" spans="1:287" x14ac:dyDescent="0.25">
      <c r="A16" s="35">
        <f t="shared" si="0"/>
        <v>10</v>
      </c>
      <c r="B16" s="38">
        <v>3888.25</v>
      </c>
      <c r="C16" s="38">
        <f t="shared" si="1"/>
        <v>8.5199999999999818</v>
      </c>
      <c r="D16" s="38">
        <f t="shared" si="2"/>
        <v>272639.99999999942</v>
      </c>
      <c r="E16" s="38">
        <v>782.19</v>
      </c>
      <c r="F16" s="38">
        <f t="shared" si="3"/>
        <v>54080.000000001746</v>
      </c>
      <c r="G16" s="38">
        <f t="shared" si="4"/>
        <v>326720.00000000116</v>
      </c>
      <c r="H16" s="37"/>
      <c r="I16" s="39"/>
      <c r="J16" s="42"/>
      <c r="K16" s="37">
        <f t="shared" si="77"/>
        <v>0</v>
      </c>
      <c r="L16" s="40">
        <v>11599000</v>
      </c>
      <c r="M16" s="40"/>
      <c r="N16" s="37">
        <f t="shared" si="78"/>
        <v>323000</v>
      </c>
      <c r="O16" s="37">
        <v>10377</v>
      </c>
      <c r="P16" s="48"/>
      <c r="Q16" s="37">
        <f t="shared" si="5"/>
        <v>13100.000000000364</v>
      </c>
      <c r="R16" s="37">
        <f t="shared" si="79"/>
        <v>1</v>
      </c>
      <c r="S16" s="37">
        <v>11123637.42</v>
      </c>
      <c r="T16" s="37">
        <f t="shared" si="6"/>
        <v>0</v>
      </c>
      <c r="U16" s="37">
        <v>1518173.85</v>
      </c>
      <c r="V16" s="37">
        <f t="shared" si="7"/>
        <v>0</v>
      </c>
      <c r="W16" s="37">
        <v>3663.8</v>
      </c>
      <c r="X16" s="37">
        <f t="shared" si="93"/>
        <v>8380.0000000003638</v>
      </c>
      <c r="Y16" s="183"/>
      <c r="Z16" s="183"/>
      <c r="AA16" s="37">
        <v>689120</v>
      </c>
      <c r="AB16" s="37">
        <f t="shared" si="8"/>
        <v>4720</v>
      </c>
      <c r="AC16" s="37">
        <v>3859.8</v>
      </c>
      <c r="AD16" s="37"/>
      <c r="AE16" s="37">
        <f t="shared" si="9"/>
        <v>4900.0000000000909</v>
      </c>
      <c r="AF16" s="37">
        <f t="shared" si="80"/>
        <v>1</v>
      </c>
      <c r="AG16" s="37">
        <v>8415.7000000000007</v>
      </c>
      <c r="AH16" s="37"/>
      <c r="AI16" s="37">
        <f t="shared" si="10"/>
        <v>12586.980000001091</v>
      </c>
      <c r="AJ16" s="37">
        <f t="shared" si="11"/>
        <v>1</v>
      </c>
      <c r="AK16" s="37">
        <f t="shared" si="12"/>
        <v>25866.980000001546</v>
      </c>
      <c r="AL16" s="42">
        <v>10354</v>
      </c>
      <c r="AM16" s="42"/>
      <c r="AN16" s="37">
        <f t="shared" si="57"/>
        <v>8446.9800000006635</v>
      </c>
      <c r="AO16" s="37">
        <f t="shared" si="81"/>
        <v>1</v>
      </c>
      <c r="AP16" s="37">
        <v>7973.5</v>
      </c>
      <c r="AQ16" s="37"/>
      <c r="AR16" s="37">
        <f t="shared" si="13"/>
        <v>13399.999999999636</v>
      </c>
      <c r="AS16" s="37">
        <f t="shared" si="82"/>
        <v>1</v>
      </c>
      <c r="AT16" s="183"/>
      <c r="AU16" s="183"/>
      <c r="AV16" s="183"/>
      <c r="AW16" s="183"/>
      <c r="AX16" s="37">
        <v>465999</v>
      </c>
      <c r="AY16" s="37"/>
      <c r="AZ16" s="37">
        <f t="shared" si="14"/>
        <v>489</v>
      </c>
      <c r="BA16" s="37">
        <v>119836.46</v>
      </c>
      <c r="BB16" s="37"/>
      <c r="BC16" s="37">
        <f t="shared" si="15"/>
        <v>726.4600000000064</v>
      </c>
      <c r="BD16" s="37">
        <f t="shared" si="83"/>
        <v>23062.440000000308</v>
      </c>
      <c r="BE16" s="43">
        <v>1803.8</v>
      </c>
      <c r="BF16" s="43">
        <v>989.65</v>
      </c>
      <c r="BG16" s="37">
        <f t="shared" si="16"/>
        <v>2500</v>
      </c>
      <c r="BH16" s="44">
        <v>8499.6</v>
      </c>
      <c r="BI16" s="44">
        <v>5469.2</v>
      </c>
      <c r="BJ16" s="37">
        <f t="shared" si="17"/>
        <v>10700.000000000728</v>
      </c>
      <c r="BK16" s="40">
        <v>1396900</v>
      </c>
      <c r="BL16" s="40">
        <f t="shared" si="84"/>
        <v>3610</v>
      </c>
      <c r="BM16" s="40">
        <v>841.57</v>
      </c>
      <c r="BN16" s="37">
        <f t="shared" si="18"/>
        <v>700.00000000004547</v>
      </c>
      <c r="BO16" s="186"/>
      <c r="BP16" s="183">
        <f t="shared" si="19"/>
        <v>0</v>
      </c>
      <c r="BQ16" s="40">
        <v>796.53</v>
      </c>
      <c r="BR16" s="37">
        <f t="shared" si="58"/>
        <v>730.00000000001819</v>
      </c>
      <c r="BS16" s="37">
        <v>89632.56</v>
      </c>
      <c r="BT16" s="37">
        <f t="shared" si="20"/>
        <v>215.75</v>
      </c>
      <c r="BU16" s="42">
        <v>2364300</v>
      </c>
      <c r="BV16" s="42"/>
      <c r="BW16" s="37">
        <f t="shared" si="21"/>
        <v>8459</v>
      </c>
      <c r="BX16" s="37">
        <f t="shared" si="85"/>
        <v>1</v>
      </c>
      <c r="BY16" s="43">
        <v>320.29000000000002</v>
      </c>
      <c r="BZ16" s="37"/>
      <c r="CA16" s="37">
        <f t="shared" si="22"/>
        <v>583.90000000002829</v>
      </c>
      <c r="CB16" s="37">
        <f t="shared" si="59"/>
        <v>1</v>
      </c>
      <c r="CC16" s="37">
        <v>564370</v>
      </c>
      <c r="CD16" s="37">
        <f t="shared" si="23"/>
        <v>1780.4000000000233</v>
      </c>
      <c r="CE16" s="37">
        <v>1.0563</v>
      </c>
      <c r="CF16" s="37">
        <v>7177.5</v>
      </c>
      <c r="CG16" s="37">
        <v>69406.3</v>
      </c>
      <c r="CH16" s="37">
        <f t="shared" si="61"/>
        <v>0</v>
      </c>
      <c r="CI16" s="40">
        <v>11950</v>
      </c>
      <c r="CJ16" s="40"/>
      <c r="CK16" s="37">
        <f t="shared" si="62"/>
        <v>22693.079999999754</v>
      </c>
      <c r="CL16" s="37">
        <f t="shared" si="24"/>
        <v>1</v>
      </c>
      <c r="CM16" s="37">
        <v>3260.3</v>
      </c>
      <c r="CN16" s="37"/>
      <c r="CO16" s="37">
        <f t="shared" si="25"/>
        <v>7364.9799999999741</v>
      </c>
      <c r="CP16" s="37">
        <f t="shared" si="86"/>
        <v>1</v>
      </c>
      <c r="CQ16" s="39">
        <v>3101.3</v>
      </c>
      <c r="CR16" s="45"/>
      <c r="CS16" s="37">
        <f t="shared" si="26"/>
        <v>7432.9800000001851</v>
      </c>
      <c r="CT16" s="37">
        <f t="shared" si="87"/>
        <v>1</v>
      </c>
      <c r="CU16" s="37">
        <v>2684800</v>
      </c>
      <c r="CV16" s="37"/>
      <c r="CW16" s="38">
        <f t="shared" si="27"/>
        <v>888</v>
      </c>
      <c r="CX16" s="37">
        <f t="shared" si="88"/>
        <v>1</v>
      </c>
      <c r="CY16" s="37">
        <v>1383100</v>
      </c>
      <c r="CZ16" s="37"/>
      <c r="DA16" s="37">
        <f t="shared" si="28"/>
        <v>567</v>
      </c>
      <c r="DB16" s="37">
        <f t="shared" si="89"/>
        <v>1</v>
      </c>
      <c r="DC16" s="37"/>
      <c r="DD16" s="40"/>
      <c r="DE16" s="37">
        <f t="shared" si="29"/>
        <v>0</v>
      </c>
      <c r="DF16" s="37">
        <f t="shared" si="94"/>
        <v>0</v>
      </c>
      <c r="DG16" s="37">
        <f t="shared" si="30"/>
        <v>-47405.039999999914</v>
      </c>
      <c r="DH16" s="37">
        <f t="shared" si="31"/>
        <v>351366.98000000155</v>
      </c>
      <c r="DI16" s="46"/>
      <c r="DJ16" s="46"/>
      <c r="DK16" s="47"/>
      <c r="DL16" s="47"/>
      <c r="DM16" s="37"/>
      <c r="DN16" s="37"/>
      <c r="DO16" s="37"/>
      <c r="DP16" s="37"/>
      <c r="DQ16" s="50">
        <v>3104800</v>
      </c>
      <c r="DR16" s="49">
        <f t="shared" si="63"/>
        <v>6300</v>
      </c>
      <c r="DS16" s="50">
        <v>2952700</v>
      </c>
      <c r="DT16" s="49">
        <f t="shared" si="64"/>
        <v>20100</v>
      </c>
      <c r="DU16" s="52">
        <v>7803</v>
      </c>
      <c r="DV16" s="52">
        <v>4368.3999999999996</v>
      </c>
      <c r="DW16" s="37">
        <f t="shared" si="90"/>
        <v>4199.9999999998181</v>
      </c>
      <c r="DX16" s="52">
        <v>12874</v>
      </c>
      <c r="DY16" s="52">
        <v>8342.1</v>
      </c>
      <c r="DZ16" s="37">
        <f t="shared" si="32"/>
        <v>7286.98</v>
      </c>
      <c r="EA16" s="49">
        <v>29186</v>
      </c>
      <c r="EB16" s="49">
        <v>20.475999999999999</v>
      </c>
      <c r="EC16" s="37">
        <f t="shared" si="33"/>
        <v>27446.98</v>
      </c>
      <c r="ED16" s="53">
        <f t="shared" si="34"/>
        <v>38933.959999999817</v>
      </c>
      <c r="EE16" s="49">
        <v>44406</v>
      </c>
      <c r="EF16" s="49">
        <v>28.527999999999999</v>
      </c>
      <c r="EG16" s="37">
        <f t="shared" si="35"/>
        <v>35446.980000000003</v>
      </c>
      <c r="EH16" s="52">
        <v>12609</v>
      </c>
      <c r="EI16" s="52">
        <v>1.6969000000000001</v>
      </c>
      <c r="EJ16" s="37">
        <f t="shared" si="36"/>
        <v>11286.98</v>
      </c>
      <c r="EK16" s="37">
        <v>764.87</v>
      </c>
      <c r="EL16" s="40">
        <v>1096.2</v>
      </c>
      <c r="EM16" s="37">
        <f t="shared" si="65"/>
        <v>710.00000000003638</v>
      </c>
      <c r="EN16" s="54">
        <f t="shared" si="66"/>
        <v>47443.960000000043</v>
      </c>
      <c r="EO16" s="48">
        <v>12685</v>
      </c>
      <c r="EP16" s="48">
        <v>4427.5</v>
      </c>
      <c r="EQ16" s="37">
        <f t="shared" si="67"/>
        <v>7241.9800000000405</v>
      </c>
      <c r="ER16" s="48">
        <v>8787.4</v>
      </c>
      <c r="ES16" s="48">
        <v>3589.2</v>
      </c>
      <c r="ET16" s="49">
        <f t="shared" ref="ET16:ET38" si="96">IF((ER16-ER15)&lt;=0,0,(ER16-ER15))*1000</f>
        <v>18600.000000000364</v>
      </c>
      <c r="EU16" s="48">
        <v>3266.6</v>
      </c>
      <c r="EV16" s="48">
        <v>1163.2</v>
      </c>
      <c r="EW16" s="49">
        <f t="shared" si="38"/>
        <v>10186.980000000091</v>
      </c>
      <c r="EX16" s="48">
        <v>13025</v>
      </c>
      <c r="EY16" s="48">
        <v>1.4736</v>
      </c>
      <c r="EZ16" s="37">
        <f t="shared" si="39"/>
        <v>14286.98</v>
      </c>
      <c r="FA16" s="48">
        <f t="shared" si="68"/>
        <v>-25561.940000000493</v>
      </c>
      <c r="FB16" s="48">
        <v>35640244</v>
      </c>
      <c r="FC16" s="49">
        <f t="shared" si="91"/>
        <v>24754</v>
      </c>
      <c r="FD16" s="48">
        <f t="shared" si="69"/>
        <v>52115.940000000453</v>
      </c>
      <c r="FE16" s="48">
        <v>16682</v>
      </c>
      <c r="FF16" s="48">
        <v>5970.2</v>
      </c>
      <c r="FG16" s="37">
        <f t="shared" si="70"/>
        <v>8183.6499999999587</v>
      </c>
      <c r="FH16" s="48">
        <v>8112.1</v>
      </c>
      <c r="FI16" s="48">
        <v>3.1288999999999998</v>
      </c>
      <c r="FJ16" s="49">
        <f t="shared" si="40"/>
        <v>13538.650000000545</v>
      </c>
      <c r="FK16" s="48"/>
      <c r="FL16" s="58">
        <v>-3148.33</v>
      </c>
      <c r="FM16" s="48">
        <f t="shared" si="92"/>
        <v>-1286.9833333335009</v>
      </c>
      <c r="FN16" s="48">
        <v>16117</v>
      </c>
      <c r="FO16" s="48">
        <v>0.76800000000000002</v>
      </c>
      <c r="FP16" s="37">
        <f t="shared" si="71"/>
        <v>9138.65</v>
      </c>
      <c r="FQ16" s="48">
        <v>57267</v>
      </c>
      <c r="FR16" s="48">
        <v>13.778</v>
      </c>
      <c r="FS16" s="37">
        <f t="shared" si="41"/>
        <v>27000</v>
      </c>
      <c r="FT16" s="48">
        <f t="shared" si="72"/>
        <v>-3860.9500000005028</v>
      </c>
      <c r="FU16" s="48">
        <f t="shared" si="73"/>
        <v>30860.950000000506</v>
      </c>
      <c r="FV16" s="44">
        <v>3463300</v>
      </c>
      <c r="FW16" s="44">
        <v>1117500</v>
      </c>
      <c r="FX16" s="37">
        <f t="shared" si="42"/>
        <v>37200</v>
      </c>
      <c r="FY16" s="56">
        <v>3079</v>
      </c>
      <c r="FZ16" s="56">
        <v>1.8528</v>
      </c>
      <c r="GA16" s="37">
        <f t="shared" si="43"/>
        <v>9640.0000000000909</v>
      </c>
      <c r="GB16" s="56">
        <v>783.42</v>
      </c>
      <c r="GC16" s="56">
        <v>876.08</v>
      </c>
      <c r="GD16" s="37">
        <f t="shared" si="44"/>
        <v>1049.9999999999545</v>
      </c>
      <c r="GE16" s="56">
        <v>9722.1</v>
      </c>
      <c r="GF16" s="56">
        <v>3.1286</v>
      </c>
      <c r="GG16" s="37">
        <f t="shared" si="45"/>
        <v>7900.0000000007731</v>
      </c>
      <c r="GH16" s="153">
        <v>1894.8</v>
      </c>
      <c r="GI16" s="162">
        <v>1612.5</v>
      </c>
      <c r="GJ16" s="38">
        <f t="shared" si="46"/>
        <v>1799.9999999999545</v>
      </c>
      <c r="GK16" s="162">
        <v>1466.9</v>
      </c>
      <c r="GL16" s="163">
        <v>1119</v>
      </c>
      <c r="GM16" s="38">
        <f t="shared" si="47"/>
        <v>0</v>
      </c>
      <c r="GN16" s="57">
        <v>165690</v>
      </c>
      <c r="GO16" s="57">
        <v>144550</v>
      </c>
      <c r="GP16" s="38">
        <f t="shared" si="95"/>
        <v>0</v>
      </c>
      <c r="GQ16" s="38">
        <v>244060</v>
      </c>
      <c r="GR16" s="38">
        <v>241650</v>
      </c>
      <c r="GS16" s="38">
        <f t="shared" si="74"/>
        <v>1260</v>
      </c>
      <c r="GT16" s="178"/>
      <c r="GU16" s="144">
        <f>DailyApr!B15-DailyApr!N15-DailyApr!V15-DailyApr!Y15-DailyApr!Z15-DailyApr!AA15-DailyApr!AB15-DailyApr!AC15-DailyApr!AD15-DailyApr!AE15-DailyApr!AK15-DailyApr!AO15-DailyApr!AS15-DailyApr!AY15-DailyApr!BD15+DailyApr!BU15-DailyApr!BG15-DailyApr!BT15-DailyApr!AF15-DailyApr!AG15</f>
        <v>-7.000000354310032E-2</v>
      </c>
      <c r="GV16" s="59">
        <v>19304.63</v>
      </c>
      <c r="GW16" s="60">
        <f t="shared" si="48"/>
        <v>1286.9753333333333</v>
      </c>
      <c r="GX16" s="61">
        <v>1286.98</v>
      </c>
      <c r="GY16" s="140"/>
      <c r="GZ16" s="62"/>
      <c r="HA16" s="62"/>
      <c r="HB16" s="74"/>
      <c r="HC16" s="62"/>
      <c r="HD16" s="74"/>
      <c r="HE16" s="24">
        <f t="shared" si="49"/>
        <v>0</v>
      </c>
      <c r="HF16" s="151"/>
      <c r="HG16" s="213">
        <v>10</v>
      </c>
      <c r="HH16" s="16">
        <v>5622.1</v>
      </c>
      <c r="HI16" s="16">
        <v>2202.4</v>
      </c>
      <c r="HJ16" s="16">
        <f t="shared" si="50"/>
        <v>103600.00000000036</v>
      </c>
      <c r="HK16" s="16">
        <v>1.9189000000000001</v>
      </c>
      <c r="HL16" s="16">
        <v>660.93</v>
      </c>
      <c r="HM16" s="16">
        <f t="shared" ref="HM16:HM38" si="97">IF((HK16-HK15)&lt;=0,0,(HK16-HK15))</f>
        <v>0</v>
      </c>
      <c r="HN16" s="16">
        <v>225.67</v>
      </c>
      <c r="HO16" s="16">
        <v>115.84</v>
      </c>
      <c r="HP16" s="16">
        <f t="shared" si="52"/>
        <v>20059.999999999975</v>
      </c>
      <c r="HQ16" s="16">
        <v>1502.5</v>
      </c>
      <c r="HR16" s="16">
        <v>661.86</v>
      </c>
      <c r="HS16" s="16">
        <f t="shared" si="53"/>
        <v>29246.666700000045</v>
      </c>
      <c r="HT16" s="16">
        <v>1372.4</v>
      </c>
      <c r="HU16" s="16">
        <v>612.70000000000005</v>
      </c>
      <c r="HV16" s="16">
        <f t="shared" si="54"/>
        <v>21046.666700000002</v>
      </c>
      <c r="HW16" s="16">
        <v>1163.2</v>
      </c>
      <c r="HX16" s="16">
        <v>465.98</v>
      </c>
      <c r="HY16" s="16">
        <f t="shared" si="55"/>
        <v>13146.666700000136</v>
      </c>
      <c r="HZ16" s="16"/>
      <c r="IA16" s="16"/>
      <c r="IB16" s="128">
        <f>DT16</f>
        <v>20100</v>
      </c>
      <c r="IC16" s="211">
        <f t="shared" si="75"/>
        <v>-9.9999790108995512E-5</v>
      </c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KA16" s="151">
        <f t="shared" si="76"/>
        <v>20059.999900000184</v>
      </c>
    </row>
    <row r="17" spans="1:287" x14ac:dyDescent="0.25">
      <c r="A17" s="35">
        <f t="shared" si="0"/>
        <v>11</v>
      </c>
      <c r="B17" s="38">
        <v>3896.82</v>
      </c>
      <c r="C17" s="38">
        <f t="shared" si="1"/>
        <v>8.5700000000001637</v>
      </c>
      <c r="D17" s="38">
        <f t="shared" si="2"/>
        <v>274240.00000000524</v>
      </c>
      <c r="E17" s="38">
        <v>783.77</v>
      </c>
      <c r="F17" s="38">
        <f t="shared" si="3"/>
        <v>50559.999999997672</v>
      </c>
      <c r="G17" s="38">
        <f t="shared" si="4"/>
        <v>324800.00000000291</v>
      </c>
      <c r="H17" s="37"/>
      <c r="I17" s="39"/>
      <c r="J17" s="42"/>
      <c r="K17" s="37">
        <f t="shared" si="77"/>
        <v>0</v>
      </c>
      <c r="L17" s="40">
        <v>11630900</v>
      </c>
      <c r="M17" s="40"/>
      <c r="N17" s="37">
        <f t="shared" si="78"/>
        <v>319000</v>
      </c>
      <c r="O17" s="37">
        <v>10389.9</v>
      </c>
      <c r="P17" s="37"/>
      <c r="Q17" s="37">
        <f t="shared" si="5"/>
        <v>12899.999999999636</v>
      </c>
      <c r="R17" s="37">
        <f t="shared" si="79"/>
        <v>1</v>
      </c>
      <c r="S17" s="37">
        <v>11123637.42</v>
      </c>
      <c r="T17" s="37">
        <f t="shared" si="6"/>
        <v>0</v>
      </c>
      <c r="U17" s="37">
        <v>1518173.85</v>
      </c>
      <c r="V17" s="37">
        <f>IF((U17-U16)&lt;=0,0,(U17-U16))</f>
        <v>0</v>
      </c>
      <c r="W17" s="37">
        <v>3670.5</v>
      </c>
      <c r="X17" s="37">
        <f t="shared" si="93"/>
        <v>8119.9999999996362</v>
      </c>
      <c r="Y17" s="183"/>
      <c r="Z17" s="183"/>
      <c r="AA17" s="37">
        <v>693900</v>
      </c>
      <c r="AB17" s="37">
        <f t="shared" si="8"/>
        <v>4780</v>
      </c>
      <c r="AC17" s="37">
        <v>3865.2</v>
      </c>
      <c r="AD17" s="37"/>
      <c r="AE17" s="37">
        <f t="shared" si="9"/>
        <v>5399.9999999996362</v>
      </c>
      <c r="AF17" s="37">
        <f t="shared" si="80"/>
        <v>1</v>
      </c>
      <c r="AG17" s="37">
        <v>8427.7999999999993</v>
      </c>
      <c r="AH17" s="37"/>
      <c r="AI17" s="37">
        <f t="shared" si="10"/>
        <v>11186.229999998544</v>
      </c>
      <c r="AJ17" s="37">
        <f t="shared" si="11"/>
        <v>1</v>
      </c>
      <c r="AK17" s="37">
        <f t="shared" si="12"/>
        <v>24706.229999997817</v>
      </c>
      <c r="AL17" s="2">
        <v>10366</v>
      </c>
      <c r="AM17" s="42"/>
      <c r="AN17" s="37">
        <f t="shared" si="57"/>
        <v>5846.2300000000769</v>
      </c>
      <c r="AO17" s="37">
        <f t="shared" si="81"/>
        <v>1</v>
      </c>
      <c r="AP17" s="37">
        <v>7985.5</v>
      </c>
      <c r="AQ17" s="37"/>
      <c r="AR17" s="37">
        <f t="shared" si="13"/>
        <v>12000</v>
      </c>
      <c r="AS17" s="37">
        <f t="shared" si="82"/>
        <v>1</v>
      </c>
      <c r="AT17" s="183"/>
      <c r="AU17" s="183"/>
      <c r="AV17" s="183"/>
      <c r="AW17" s="183"/>
      <c r="AX17" s="37">
        <v>466490</v>
      </c>
      <c r="AY17" s="37"/>
      <c r="AZ17" s="37">
        <f t="shared" si="14"/>
        <v>491</v>
      </c>
      <c r="BA17" s="37">
        <v>120560</v>
      </c>
      <c r="BB17" s="37"/>
      <c r="BC17" s="37">
        <f t="shared" si="15"/>
        <v>723.5399999999936</v>
      </c>
      <c r="BD17" s="37">
        <f t="shared" si="83"/>
        <v>19060.77000000007</v>
      </c>
      <c r="BE17" s="43">
        <v>1806.3</v>
      </c>
      <c r="BF17" s="43">
        <v>991.26</v>
      </c>
      <c r="BG17" s="37">
        <f t="shared" si="16"/>
        <v>2500</v>
      </c>
      <c r="BH17" s="44">
        <v>8510.2000000000007</v>
      </c>
      <c r="BI17" s="44">
        <v>5476</v>
      </c>
      <c r="BJ17" s="37">
        <f t="shared" si="17"/>
        <v>10600.000000000364</v>
      </c>
      <c r="BK17" s="40">
        <v>1400680</v>
      </c>
      <c r="BL17" s="40">
        <f t="shared" si="84"/>
        <v>3780</v>
      </c>
      <c r="BM17" s="40">
        <v>842.26</v>
      </c>
      <c r="BN17" s="37">
        <f t="shared" si="18"/>
        <v>689.99999999994088</v>
      </c>
      <c r="BO17" s="186"/>
      <c r="BP17" s="183">
        <f t="shared" si="19"/>
        <v>0</v>
      </c>
      <c r="BQ17" s="40">
        <v>797.3</v>
      </c>
      <c r="BR17" s="37">
        <f t="shared" si="58"/>
        <v>769.99999999998181</v>
      </c>
      <c r="BS17" s="37">
        <v>89850.59</v>
      </c>
      <c r="BT17" s="37">
        <f t="shared" si="20"/>
        <v>218.02999999999884</v>
      </c>
      <c r="BU17" s="42">
        <v>2370900</v>
      </c>
      <c r="BV17" s="42"/>
      <c r="BW17" s="37">
        <f t="shared" si="21"/>
        <v>6600</v>
      </c>
      <c r="BX17" s="37">
        <f t="shared" si="85"/>
        <v>1</v>
      </c>
      <c r="BY17" s="43">
        <v>320.77</v>
      </c>
      <c r="BZ17" s="43"/>
      <c r="CA17" s="37">
        <f>IF((BY17-BY16)&lt;=0,0,(BY17-BY16)*1000)</f>
        <v>479.99999999996135</v>
      </c>
      <c r="CB17" s="37">
        <f t="shared" si="59"/>
        <v>1</v>
      </c>
      <c r="CC17" s="37">
        <v>564840</v>
      </c>
      <c r="CD17" s="37">
        <f t="shared" si="23"/>
        <v>470</v>
      </c>
      <c r="CE17" s="37">
        <v>1.0623</v>
      </c>
      <c r="CF17" s="37">
        <f t="shared" ref="CF17:CF22" si="98">IF((CE17-CE16)&lt;=0,0,(CE17-CE16)*1000000)</f>
        <v>6000.0000000000055</v>
      </c>
      <c r="CG17" s="37">
        <v>69406.3</v>
      </c>
      <c r="CH17" s="37">
        <f t="shared" si="61"/>
        <v>0</v>
      </c>
      <c r="CI17" s="40">
        <v>11971</v>
      </c>
      <c r="CJ17" s="40"/>
      <c r="CK17" s="37">
        <f t="shared" si="62"/>
        <v>19606.23000000004</v>
      </c>
      <c r="CL17" s="37">
        <f t="shared" si="24"/>
        <v>1</v>
      </c>
      <c r="CM17" s="37">
        <v>3265.5</v>
      </c>
      <c r="CN17" s="37"/>
      <c r="CO17" s="37">
        <f t="shared" si="25"/>
        <v>4286.2299999998177</v>
      </c>
      <c r="CP17" s="37">
        <f t="shared" si="86"/>
        <v>1</v>
      </c>
      <c r="CQ17" s="39">
        <v>3106.7</v>
      </c>
      <c r="CR17" s="45"/>
      <c r="CS17" s="37">
        <f t="shared" si="26"/>
        <v>4486.2299999996358</v>
      </c>
      <c r="CT17" s="37">
        <f t="shared" si="87"/>
        <v>1</v>
      </c>
      <c r="CU17" s="37">
        <v>2689200</v>
      </c>
      <c r="CV17" s="37"/>
      <c r="CW17" s="38">
        <f t="shared" si="27"/>
        <v>4400</v>
      </c>
      <c r="CX17" s="37">
        <f t="shared" si="88"/>
        <v>1</v>
      </c>
      <c r="CY17" s="37">
        <v>1386500</v>
      </c>
      <c r="CZ17" s="37"/>
      <c r="DA17" s="37">
        <f t="shared" si="28"/>
        <v>3400</v>
      </c>
      <c r="DB17" s="37">
        <f t="shared" si="89"/>
        <v>1</v>
      </c>
      <c r="DC17" s="37"/>
      <c r="DD17" s="40"/>
      <c r="DE17" s="37">
        <f t="shared" si="29"/>
        <v>0</v>
      </c>
      <c r="DF17" s="37">
        <f t="shared" si="94"/>
        <v>0</v>
      </c>
      <c r="DG17" s="37">
        <f t="shared" si="30"/>
        <v>-42778.689999999493</v>
      </c>
      <c r="DH17" s="37">
        <f t="shared" si="31"/>
        <v>346206.22999999783</v>
      </c>
      <c r="DI17" s="46"/>
      <c r="DJ17" s="46"/>
      <c r="DK17" s="47"/>
      <c r="DL17" s="47"/>
      <c r="DM17" s="37"/>
      <c r="DN17" s="37"/>
      <c r="DO17" s="37"/>
      <c r="DP17" s="37"/>
      <c r="DQ17" s="50">
        <v>3110900</v>
      </c>
      <c r="DR17" s="49">
        <f t="shared" si="63"/>
        <v>6100</v>
      </c>
      <c r="DS17" s="50">
        <v>2971200</v>
      </c>
      <c r="DT17" s="49">
        <f t="shared" si="64"/>
        <v>18500</v>
      </c>
      <c r="DU17" s="36">
        <v>7807.3</v>
      </c>
      <c r="DV17" s="36">
        <v>4371</v>
      </c>
      <c r="DW17" s="37">
        <f t="shared" si="90"/>
        <v>4300.0000000001819</v>
      </c>
      <c r="DX17" s="52">
        <v>12881</v>
      </c>
      <c r="DY17" s="52">
        <v>8344</v>
      </c>
      <c r="DZ17" s="37">
        <f t="shared" si="32"/>
        <v>6086.23</v>
      </c>
      <c r="EA17" s="50">
        <v>29210</v>
      </c>
      <c r="EB17" s="49">
        <v>20.488</v>
      </c>
      <c r="EC17" s="37">
        <f t="shared" si="33"/>
        <v>25246.23</v>
      </c>
      <c r="ED17" s="53">
        <f t="shared" si="34"/>
        <v>35632.460000000181</v>
      </c>
      <c r="EE17" s="49">
        <v>44439</v>
      </c>
      <c r="EF17" s="49">
        <v>28.556000000000001</v>
      </c>
      <c r="EG17" s="37">
        <f t="shared" si="35"/>
        <v>34246.229999999996</v>
      </c>
      <c r="EH17" s="52">
        <v>12619</v>
      </c>
      <c r="EI17" s="52">
        <v>1.6983999999999999</v>
      </c>
      <c r="EJ17" s="37">
        <f t="shared" si="36"/>
        <v>9086.23</v>
      </c>
      <c r="EK17" s="37">
        <v>765.58</v>
      </c>
      <c r="EL17" s="40">
        <v>1097.2</v>
      </c>
      <c r="EM17" s="37">
        <f t="shared" si="65"/>
        <v>710.00000000003638</v>
      </c>
      <c r="EN17" s="54">
        <f t="shared" si="66"/>
        <v>44042.460000000028</v>
      </c>
      <c r="EO17" s="48">
        <v>12693</v>
      </c>
      <c r="EP17" s="48">
        <v>4430.7</v>
      </c>
      <c r="EQ17" s="37">
        <f t="shared" si="67"/>
        <v>6066.2299999999614</v>
      </c>
      <c r="ER17" s="48">
        <v>8806.4</v>
      </c>
      <c r="ES17" s="48">
        <v>3597.1</v>
      </c>
      <c r="ET17" s="49">
        <f t="shared" si="96"/>
        <v>19000</v>
      </c>
      <c r="EU17" s="48">
        <v>3275.8</v>
      </c>
      <c r="EV17" s="48">
        <v>1166.3</v>
      </c>
      <c r="EW17" s="49">
        <f t="shared" si="38"/>
        <v>8286.2300000002724</v>
      </c>
      <c r="EX17" s="48">
        <v>13039</v>
      </c>
      <c r="EY17" s="48">
        <v>1.4754</v>
      </c>
      <c r="EZ17" s="37">
        <f t="shared" si="39"/>
        <v>13086.23</v>
      </c>
      <c r="FA17" s="48">
        <f t="shared" si="68"/>
        <v>-21247.690000000232</v>
      </c>
      <c r="FB17" s="48">
        <v>35665435</v>
      </c>
      <c r="FC17" s="49">
        <f t="shared" si="91"/>
        <v>25191</v>
      </c>
      <c r="FD17" s="48">
        <f t="shared" si="69"/>
        <v>48238.690000000192</v>
      </c>
      <c r="FE17" s="48">
        <v>16691</v>
      </c>
      <c r="FF17" s="48">
        <v>5973.8</v>
      </c>
      <c r="FG17" s="37">
        <f t="shared" si="70"/>
        <v>12166.230000000038</v>
      </c>
      <c r="FH17" s="48">
        <v>8127.9</v>
      </c>
      <c r="FI17" s="48">
        <v>3.1356999999999999</v>
      </c>
      <c r="FJ17" s="49">
        <f t="shared" si="40"/>
        <v>17946.229999999272</v>
      </c>
      <c r="FK17" s="48"/>
      <c r="FL17" s="58">
        <v>3060</v>
      </c>
      <c r="FM17" s="48">
        <f t="shared" si="92"/>
        <v>913.77000000022963</v>
      </c>
      <c r="FN17" s="48">
        <v>16128</v>
      </c>
      <c r="FO17" s="48">
        <v>0.76829999999999998</v>
      </c>
      <c r="FP17" s="37">
        <f t="shared" si="71"/>
        <v>13146.23</v>
      </c>
      <c r="FQ17" s="48">
        <v>57313</v>
      </c>
      <c r="FR17" s="48">
        <v>13.788</v>
      </c>
      <c r="FS17" s="37">
        <f t="shared" si="41"/>
        <v>46000</v>
      </c>
      <c r="FT17" s="48">
        <f t="shared" si="72"/>
        <v>2741.3100000006889</v>
      </c>
      <c r="FU17" s="48">
        <f t="shared" si="73"/>
        <v>43258.689999999304</v>
      </c>
      <c r="FV17" s="44">
        <v>3497700</v>
      </c>
      <c r="FW17" s="44">
        <v>1127900</v>
      </c>
      <c r="FX17" s="37">
        <f t="shared" si="42"/>
        <v>34400</v>
      </c>
      <c r="FY17" s="56">
        <v>3089.3</v>
      </c>
      <c r="FZ17" s="56">
        <v>1.8612</v>
      </c>
      <c r="GA17" s="37">
        <f t="shared" si="43"/>
        <v>9010.0000000001819</v>
      </c>
      <c r="GB17" s="56">
        <v>784.29</v>
      </c>
      <c r="GC17" s="56">
        <v>877.14</v>
      </c>
      <c r="GD17" s="37">
        <f t="shared" si="44"/>
        <v>870.00000000000455</v>
      </c>
      <c r="GE17" s="56">
        <v>9732.2999999999993</v>
      </c>
      <c r="GF17" s="56">
        <v>3.1360999999999999</v>
      </c>
      <c r="GG17" s="37">
        <f t="shared" si="45"/>
        <v>8399.9999999989541</v>
      </c>
      <c r="GH17" s="153">
        <v>1896.6</v>
      </c>
      <c r="GI17" s="162">
        <v>1614.1</v>
      </c>
      <c r="GJ17" s="38">
        <f t="shared" si="46"/>
        <v>1799.9999999999545</v>
      </c>
      <c r="GK17" s="162">
        <v>1466.9</v>
      </c>
      <c r="GL17" s="163">
        <v>1119</v>
      </c>
      <c r="GM17" s="38">
        <f t="shared" si="47"/>
        <v>0</v>
      </c>
      <c r="GN17" s="57">
        <v>165690</v>
      </c>
      <c r="GO17" s="57">
        <v>144550</v>
      </c>
      <c r="GP17" s="38">
        <f t="shared" si="95"/>
        <v>0</v>
      </c>
      <c r="GQ17" s="38">
        <v>245350</v>
      </c>
      <c r="GR17" s="38">
        <v>242710</v>
      </c>
      <c r="GS17" s="38">
        <f t="shared" si="74"/>
        <v>1290</v>
      </c>
      <c r="GT17" s="178"/>
      <c r="GU17" s="144">
        <f>DailyApr!B16-DailyApr!N16-DailyApr!V16-DailyApr!Y16-DailyApr!Z16-DailyApr!AA16-DailyApr!AB16-DailyApr!AC16-DailyApr!AD16-DailyApr!AE16-DailyApr!AK16-DailyApr!AO16-DailyApr!AS16-DailyApr!AY16-DailyApr!BD16+DailyApr!BU16-DailyApr!BG16-DailyApr!BT16-DailyApr!AF16-DailyApr!AG16</f>
        <v>1.0000007110647857E-2</v>
      </c>
      <c r="GV17" s="59">
        <v>-13706.54</v>
      </c>
      <c r="GW17" s="60">
        <f t="shared" si="48"/>
        <v>-913.76933333333341</v>
      </c>
      <c r="GX17" s="61">
        <v>-913.77</v>
      </c>
      <c r="GY17" s="140"/>
      <c r="GZ17" s="62"/>
      <c r="HA17" s="62"/>
      <c r="HB17" s="74"/>
      <c r="HC17" s="62"/>
      <c r="HD17" s="74"/>
      <c r="HE17" s="24">
        <f t="shared" si="49"/>
        <v>0</v>
      </c>
      <c r="HF17" s="151"/>
      <c r="HG17" s="213">
        <v>11</v>
      </c>
      <c r="HH17" s="16">
        <v>5736.4</v>
      </c>
      <c r="HI17" s="16">
        <v>2246.3000000000002</v>
      </c>
      <c r="HJ17" s="16">
        <f t="shared" si="50"/>
        <v>114299.99999999927</v>
      </c>
      <c r="HK17" s="16">
        <v>1.9189000000000001</v>
      </c>
      <c r="HL17" s="16">
        <v>660.93</v>
      </c>
      <c r="HM17" s="16">
        <f t="shared" si="97"/>
        <v>0</v>
      </c>
      <c r="HN17" s="16">
        <v>247.13</v>
      </c>
      <c r="HO17" s="16">
        <v>125</v>
      </c>
      <c r="HP17" s="16">
        <f t="shared" si="52"/>
        <v>21460.000000000007</v>
      </c>
      <c r="HQ17" s="16">
        <v>1534.9</v>
      </c>
      <c r="HR17" s="16">
        <v>675.04</v>
      </c>
      <c r="HS17" s="16">
        <f t="shared" si="53"/>
        <v>31980.000000000091</v>
      </c>
      <c r="HT17" s="16">
        <v>1395.3</v>
      </c>
      <c r="HU17" s="16">
        <v>622.37</v>
      </c>
      <c r="HV17" s="16">
        <f t="shared" si="54"/>
        <v>22479.999999999862</v>
      </c>
      <c r="HW17" s="16">
        <v>1183.5</v>
      </c>
      <c r="HX17" s="16">
        <v>473.69</v>
      </c>
      <c r="HY17" s="16">
        <f t="shared" si="55"/>
        <v>19879.999999999956</v>
      </c>
      <c r="HZ17" s="16"/>
      <c r="IA17" s="16"/>
      <c r="IB17" s="128">
        <f>DT17</f>
        <v>18500</v>
      </c>
      <c r="IC17" s="211">
        <f t="shared" si="75"/>
        <v>-6.4028427004814148E-10</v>
      </c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KA17" s="151">
        <f t="shared" si="76"/>
        <v>21459.999999999367</v>
      </c>
    </row>
    <row r="18" spans="1:287" x14ac:dyDescent="0.25">
      <c r="A18" s="35">
        <f t="shared" si="0"/>
        <v>12</v>
      </c>
      <c r="B18" s="38">
        <v>3904.99</v>
      </c>
      <c r="C18" s="38">
        <f t="shared" si="1"/>
        <v>8.169999999999618</v>
      </c>
      <c r="D18" s="38">
        <f t="shared" si="2"/>
        <v>261439.99999998778</v>
      </c>
      <c r="E18" s="38">
        <v>785.22</v>
      </c>
      <c r="F18" s="38">
        <f t="shared" si="3"/>
        <v>46400.000000001455</v>
      </c>
      <c r="G18" s="38">
        <f t="shared" si="4"/>
        <v>307839.99999998923</v>
      </c>
      <c r="H18" s="37"/>
      <c r="I18" s="39"/>
      <c r="J18" s="42"/>
      <c r="K18" s="37">
        <f t="shared" si="77"/>
        <v>0</v>
      </c>
      <c r="L18" s="40">
        <v>11662000</v>
      </c>
      <c r="M18" s="40"/>
      <c r="N18" s="37">
        <f t="shared" si="78"/>
        <v>311000</v>
      </c>
      <c r="O18" s="37">
        <v>10403</v>
      </c>
      <c r="P18" s="37"/>
      <c r="Q18" s="37">
        <f t="shared" si="5"/>
        <v>13100.000000000364</v>
      </c>
      <c r="R18" s="37">
        <f t="shared" si="79"/>
        <v>1</v>
      </c>
      <c r="S18" s="37">
        <v>11123637.42</v>
      </c>
      <c r="T18" s="37">
        <f t="shared" si="6"/>
        <v>0</v>
      </c>
      <c r="U18" s="37">
        <v>1518173.85</v>
      </c>
      <c r="V18" s="37">
        <f>IF((U18-U17)&lt;=0,0,(U18-U17))</f>
        <v>0</v>
      </c>
      <c r="W18" s="37">
        <v>3677.1</v>
      </c>
      <c r="X18" s="37">
        <f t="shared" si="93"/>
        <v>7920.0000000003638</v>
      </c>
      <c r="Y18" s="183"/>
      <c r="Z18" s="183"/>
      <c r="AA18" s="37">
        <v>699080</v>
      </c>
      <c r="AB18" s="37">
        <f t="shared" si="8"/>
        <v>5180</v>
      </c>
      <c r="AC18" s="173">
        <v>3872.8</v>
      </c>
      <c r="AD18" s="37"/>
      <c r="AE18" s="37">
        <f t="shared" si="9"/>
        <v>7600.0000000003638</v>
      </c>
      <c r="AF18" s="37">
        <f t="shared" si="80"/>
        <v>1</v>
      </c>
      <c r="AG18" s="37">
        <v>8442.6</v>
      </c>
      <c r="AH18" s="37"/>
      <c r="AI18" s="37">
        <f t="shared" si="10"/>
        <v>15242.170000001091</v>
      </c>
      <c r="AJ18" s="37">
        <f t="shared" si="11"/>
        <v>1</v>
      </c>
      <c r="AK18" s="37">
        <f t="shared" si="12"/>
        <v>30762.170000001817</v>
      </c>
      <c r="AL18" s="48">
        <v>10377</v>
      </c>
      <c r="AM18" s="66"/>
      <c r="AN18" s="37">
        <f>IF((AL18-AL17)&lt;=0,0,(AL18-AL17))*1000+GX18-BL18-BN18-BP18-BR18</f>
        <v>6312.1699999999182</v>
      </c>
      <c r="AO18" s="37">
        <f t="shared" si="81"/>
        <v>1</v>
      </c>
      <c r="AP18" s="37">
        <v>7993.6</v>
      </c>
      <c r="AQ18" s="37"/>
      <c r="AR18" s="37">
        <f t="shared" si="13"/>
        <v>8100.0000000003638</v>
      </c>
      <c r="AS18" s="37">
        <f t="shared" si="82"/>
        <v>1</v>
      </c>
      <c r="AT18" s="183"/>
      <c r="AU18" s="183"/>
      <c r="AV18" s="183"/>
      <c r="AW18" s="183"/>
      <c r="AX18" s="37">
        <v>466914.28</v>
      </c>
      <c r="AY18" s="37"/>
      <c r="AZ18" s="37">
        <f t="shared" si="14"/>
        <v>424.28000000002794</v>
      </c>
      <c r="BA18" s="40">
        <v>121237.14</v>
      </c>
      <c r="BB18" s="37"/>
      <c r="BC18" s="37">
        <f t="shared" si="15"/>
        <v>677.13999999999942</v>
      </c>
      <c r="BD18" s="37">
        <f t="shared" si="83"/>
        <v>15513.590000000309</v>
      </c>
      <c r="BE18" s="43">
        <v>1809.1</v>
      </c>
      <c r="BF18" s="43">
        <v>992.89</v>
      </c>
      <c r="BG18" s="37">
        <f t="shared" si="16"/>
        <v>2799.9999999999545</v>
      </c>
      <c r="BH18" s="44">
        <v>8520.4</v>
      </c>
      <c r="BI18" s="44">
        <v>5482.7</v>
      </c>
      <c r="BJ18" s="37">
        <f t="shared" si="17"/>
        <v>10199.999999998909</v>
      </c>
      <c r="BK18" s="40">
        <v>1404400</v>
      </c>
      <c r="BL18" s="40">
        <f t="shared" si="84"/>
        <v>3720</v>
      </c>
      <c r="BM18" s="40">
        <v>842.96</v>
      </c>
      <c r="BN18" s="37">
        <f t="shared" si="18"/>
        <v>700.00000000004547</v>
      </c>
      <c r="BO18" s="186"/>
      <c r="BP18" s="183">
        <f t="shared" si="19"/>
        <v>0</v>
      </c>
      <c r="BQ18" s="40">
        <v>798.01</v>
      </c>
      <c r="BR18" s="37">
        <f t="shared" si="58"/>
        <v>710.00000000003638</v>
      </c>
      <c r="BS18" s="37">
        <v>90059.15</v>
      </c>
      <c r="BT18" s="37">
        <f t="shared" si="20"/>
        <v>208.55999999999767</v>
      </c>
      <c r="BU18" s="42">
        <v>2378000</v>
      </c>
      <c r="BV18" s="42"/>
      <c r="BW18" s="37">
        <f t="shared" si="21"/>
        <v>7100</v>
      </c>
      <c r="BX18" s="37">
        <f t="shared" si="85"/>
        <v>1</v>
      </c>
      <c r="BY18" s="43">
        <v>321.39999999999998</v>
      </c>
      <c r="BZ18" s="43"/>
      <c r="CA18" s="37">
        <f>IF((BY18-BY17)&lt;=0,0,(BY18-BY17)*1000)</f>
        <v>629.99999999999545</v>
      </c>
      <c r="CB18" s="37">
        <f t="shared" si="59"/>
        <v>1</v>
      </c>
      <c r="CC18" s="37">
        <v>564840</v>
      </c>
      <c r="CD18" s="37">
        <f t="shared" si="23"/>
        <v>0</v>
      </c>
      <c r="CE18" s="37">
        <v>1.0691999999999999</v>
      </c>
      <c r="CF18" s="37">
        <f t="shared" si="98"/>
        <v>6899.9999999999063</v>
      </c>
      <c r="CG18" s="37">
        <v>69406.3</v>
      </c>
      <c r="CH18" s="37">
        <f t="shared" si="61"/>
        <v>0</v>
      </c>
      <c r="CI18" s="40">
        <v>11992</v>
      </c>
      <c r="CJ18" s="40"/>
      <c r="CK18" s="37">
        <f t="shared" si="62"/>
        <v>20812.170000000002</v>
      </c>
      <c r="CL18" s="37">
        <f t="shared" si="24"/>
        <v>1</v>
      </c>
      <c r="CM18" s="37">
        <v>3273.2</v>
      </c>
      <c r="CN18" s="37"/>
      <c r="CO18" s="37">
        <f t="shared" si="25"/>
        <v>8142.1699999998182</v>
      </c>
      <c r="CP18" s="37">
        <f t="shared" si="86"/>
        <v>1</v>
      </c>
      <c r="CQ18" s="39">
        <v>3112.7</v>
      </c>
      <c r="CR18" s="39"/>
      <c r="CS18" s="37">
        <f t="shared" si="26"/>
        <v>6442.17</v>
      </c>
      <c r="CT18" s="37">
        <f t="shared" si="87"/>
        <v>1</v>
      </c>
      <c r="CU18" s="37">
        <v>2704200</v>
      </c>
      <c r="CV18" s="37"/>
      <c r="CW18" s="38">
        <f t="shared" si="27"/>
        <v>15000</v>
      </c>
      <c r="CX18" s="37">
        <f t="shared" si="88"/>
        <v>1</v>
      </c>
      <c r="CY18" s="37">
        <v>1395000</v>
      </c>
      <c r="CZ18" s="37"/>
      <c r="DA18" s="37">
        <f t="shared" si="28"/>
        <v>8500</v>
      </c>
      <c r="DB18" s="37">
        <f t="shared" si="89"/>
        <v>1</v>
      </c>
      <c r="DC18" s="37"/>
      <c r="DD18" s="40"/>
      <c r="DE18" s="37">
        <f>IF((DC18-DC17)&lt;=0,0,(DC18-DC17))</f>
        <v>0</v>
      </c>
      <c r="DF18" s="37">
        <f t="shared" si="94"/>
        <v>0</v>
      </c>
      <c r="DG18" s="37">
        <f t="shared" si="30"/>
        <v>-65996.50999999982</v>
      </c>
      <c r="DH18" s="37">
        <f t="shared" si="31"/>
        <v>344562.17000000179</v>
      </c>
      <c r="DI18" s="46"/>
      <c r="DJ18" s="46"/>
      <c r="DK18" s="46"/>
      <c r="DL18" s="47"/>
      <c r="DM18" s="37"/>
      <c r="DN18" s="37"/>
      <c r="DO18" s="37"/>
      <c r="DP18" s="37"/>
      <c r="DQ18" s="50">
        <v>3117100</v>
      </c>
      <c r="DR18" s="49">
        <f t="shared" si="63"/>
        <v>6200</v>
      </c>
      <c r="DS18" s="50">
        <v>2989200</v>
      </c>
      <c r="DT18" s="49">
        <f t="shared" si="64"/>
        <v>18000</v>
      </c>
      <c r="DU18" s="52">
        <v>7811.5</v>
      </c>
      <c r="DV18" s="52">
        <v>4373.5</v>
      </c>
      <c r="DW18" s="37">
        <f t="shared" si="90"/>
        <v>4199.9999999998181</v>
      </c>
      <c r="DX18" s="52">
        <v>12888</v>
      </c>
      <c r="DY18" s="52">
        <v>8346.2999999999993</v>
      </c>
      <c r="DZ18" s="37">
        <f t="shared" si="32"/>
        <v>7442.17</v>
      </c>
      <c r="EA18" s="49">
        <v>29235</v>
      </c>
      <c r="EB18" s="49">
        <v>20.5</v>
      </c>
      <c r="EC18" s="37">
        <f t="shared" si="33"/>
        <v>27602.17</v>
      </c>
      <c r="ED18" s="53">
        <f t="shared" si="34"/>
        <v>39244.339999999815</v>
      </c>
      <c r="EE18" s="49">
        <v>44470</v>
      </c>
      <c r="EF18" s="49">
        <v>28.582999999999998</v>
      </c>
      <c r="EG18" s="37">
        <f t="shared" si="35"/>
        <v>33602.17</v>
      </c>
      <c r="EH18" s="52">
        <v>12628</v>
      </c>
      <c r="EI18" s="44">
        <v>1.6996</v>
      </c>
      <c r="EJ18" s="37">
        <f t="shared" si="36"/>
        <v>9442.17</v>
      </c>
      <c r="EK18" s="37">
        <v>766.24</v>
      </c>
      <c r="EL18" s="40">
        <v>1098.0999999999999</v>
      </c>
      <c r="EM18" s="37">
        <f t="shared" si="65"/>
        <v>659.99999999996817</v>
      </c>
      <c r="EN18" s="54">
        <f t="shared" si="66"/>
        <v>43704.339999999967</v>
      </c>
      <c r="EO18" s="48">
        <v>12699</v>
      </c>
      <c r="EP18" s="48">
        <v>4433.3999999999996</v>
      </c>
      <c r="EQ18" s="37">
        <f t="shared" si="67"/>
        <v>5492.170000000011</v>
      </c>
      <c r="ER18" s="48">
        <v>8824.2000000000007</v>
      </c>
      <c r="ES18" s="48">
        <v>3604.7</v>
      </c>
      <c r="ET18" s="49">
        <f t="shared" si="96"/>
        <v>17800.000000001091</v>
      </c>
      <c r="EU18" s="48">
        <v>3284.5</v>
      </c>
      <c r="EV18" s="48">
        <v>1169.3</v>
      </c>
      <c r="EW18" s="49">
        <f t="shared" si="38"/>
        <v>9142.1699999998182</v>
      </c>
      <c r="EX18" s="55">
        <v>13052</v>
      </c>
      <c r="EY18" s="48">
        <v>1.476</v>
      </c>
      <c r="EZ18" s="37">
        <f t="shared" si="39"/>
        <v>13442.17</v>
      </c>
      <c r="FA18" s="48">
        <f t="shared" si="68"/>
        <v>-22423.510000000922</v>
      </c>
      <c r="FB18" s="48">
        <v>35688888</v>
      </c>
      <c r="FC18" s="49">
        <f>IF((FB18-FB17)&lt;=0,0,(FB18-FB17))</f>
        <v>23453</v>
      </c>
      <c r="FD18" s="48">
        <f t="shared" si="69"/>
        <v>47176.510000001101</v>
      </c>
      <c r="FE18" s="48">
        <v>16700</v>
      </c>
      <c r="FF18" s="48">
        <v>5977.2</v>
      </c>
      <c r="FG18" s="37">
        <f t="shared" si="70"/>
        <v>10142.169999999989</v>
      </c>
      <c r="FH18" s="48">
        <v>8141.7</v>
      </c>
      <c r="FI18" s="48">
        <v>3.1406999999999998</v>
      </c>
      <c r="FJ18" s="49">
        <f t="shared" si="40"/>
        <v>13992.170000000182</v>
      </c>
      <c r="FK18" s="48"/>
      <c r="FL18" s="58">
        <v>-250</v>
      </c>
      <c r="FM18" s="48">
        <f>FT18/3</f>
        <v>-442.17000000005766</v>
      </c>
      <c r="FN18" s="48">
        <v>16138</v>
      </c>
      <c r="FO18" s="48">
        <v>0.76929999999999998</v>
      </c>
      <c r="FP18" s="37">
        <f t="shared" si="71"/>
        <v>10192.17</v>
      </c>
      <c r="FQ18" s="48">
        <v>57346</v>
      </c>
      <c r="FR18" s="48">
        <v>13.798</v>
      </c>
      <c r="FS18" s="37">
        <f>IF((FQ18-FQ17)*1000&lt;=0,0,(FQ18-FQ17)*1000)</f>
        <v>33000</v>
      </c>
      <c r="FT18" s="48">
        <f t="shared" si="72"/>
        <v>-1326.510000000173</v>
      </c>
      <c r="FU18" s="48">
        <f t="shared" si="73"/>
        <v>34326.510000000169</v>
      </c>
      <c r="FV18" s="44">
        <v>3519600</v>
      </c>
      <c r="FW18" s="44">
        <v>1134700</v>
      </c>
      <c r="FX18" s="37">
        <f t="shared" si="42"/>
        <v>21900</v>
      </c>
      <c r="FY18" s="56">
        <v>3096</v>
      </c>
      <c r="FZ18" s="56">
        <v>1.8673</v>
      </c>
      <c r="GA18" s="37">
        <f t="shared" si="43"/>
        <v>5469.9999999998181</v>
      </c>
      <c r="GB18" s="56">
        <v>784.94</v>
      </c>
      <c r="GC18" s="56">
        <v>877.94</v>
      </c>
      <c r="GD18" s="37">
        <f t="shared" si="44"/>
        <v>650.00000000009095</v>
      </c>
      <c r="GE18" s="56">
        <v>9738.9</v>
      </c>
      <c r="GF18" s="56">
        <v>3.1412</v>
      </c>
      <c r="GG18" s="37">
        <f t="shared" si="45"/>
        <v>5300.0000000001819</v>
      </c>
      <c r="GH18" s="153">
        <v>1897.9</v>
      </c>
      <c r="GI18" s="162">
        <v>1615.5</v>
      </c>
      <c r="GJ18" s="38">
        <f t="shared" si="46"/>
        <v>1300.0000000001819</v>
      </c>
      <c r="GK18" s="162">
        <v>1466.9</v>
      </c>
      <c r="GL18" s="163">
        <v>1119</v>
      </c>
      <c r="GM18" s="38">
        <f t="shared" si="47"/>
        <v>0</v>
      </c>
      <c r="GN18" s="57">
        <v>165700</v>
      </c>
      <c r="GO18" s="57">
        <v>144560</v>
      </c>
      <c r="GP18" s="38">
        <f t="shared" si="95"/>
        <v>10</v>
      </c>
      <c r="GQ18" s="38">
        <v>246580</v>
      </c>
      <c r="GR18" s="38">
        <v>243750</v>
      </c>
      <c r="GS18" s="38">
        <f t="shared" si="74"/>
        <v>1230</v>
      </c>
      <c r="GT18" s="178"/>
      <c r="GU18" s="144">
        <f>DailyApr!B17-DailyApr!N17-DailyApr!V17-DailyApr!Y17-DailyApr!Z17-DailyApr!AA17-DailyApr!AB17-DailyApr!AC17-DailyApr!AD17-DailyApr!AE17-DailyApr!AK17-DailyApr!AO17-DailyApr!AS17-DailyApr!AY17-DailyApr!BD17+DailyApr!BU17-DailyApr!BG17-DailyApr!BT17-DailyApr!AF17-DailyApr!AG17</f>
        <v>2.999998669110937E-2</v>
      </c>
      <c r="GV18" s="59">
        <v>6632.58</v>
      </c>
      <c r="GW18" s="60">
        <f t="shared" si="48"/>
        <v>442.17199999999997</v>
      </c>
      <c r="GX18" s="61">
        <v>442.17</v>
      </c>
      <c r="GY18" s="140"/>
      <c r="GZ18" s="62"/>
      <c r="HA18" s="62"/>
      <c r="HB18" s="74"/>
      <c r="HC18" s="62"/>
      <c r="HD18" s="74"/>
      <c r="HE18" s="24">
        <f t="shared" si="49"/>
        <v>0</v>
      </c>
      <c r="HF18" s="151"/>
      <c r="HG18" s="213">
        <v>12</v>
      </c>
      <c r="HH18" s="16">
        <v>5807.6</v>
      </c>
      <c r="HI18" s="16">
        <v>2273.6999999999998</v>
      </c>
      <c r="HJ18" s="16">
        <f t="shared" si="50"/>
        <v>71200.000000000728</v>
      </c>
      <c r="HK18" s="16">
        <v>1.9189000000000001</v>
      </c>
      <c r="HL18" s="16">
        <v>660.93</v>
      </c>
      <c r="HM18" s="16">
        <f t="shared" si="97"/>
        <v>0</v>
      </c>
      <c r="HN18" s="16">
        <v>257.69</v>
      </c>
      <c r="HO18" s="16">
        <v>129.77000000000001</v>
      </c>
      <c r="HP18" s="16">
        <f t="shared" si="52"/>
        <v>10560.000000000002</v>
      </c>
      <c r="HQ18" s="16">
        <v>1552.2</v>
      </c>
      <c r="HR18" s="16">
        <v>683.82</v>
      </c>
      <c r="HS18" s="16">
        <f t="shared" si="53"/>
        <v>18346.669999999955</v>
      </c>
      <c r="HT18" s="16">
        <v>1406.8</v>
      </c>
      <c r="HU18" s="16">
        <v>627.74</v>
      </c>
      <c r="HV18" s="16">
        <f t="shared" si="54"/>
        <v>12546.67</v>
      </c>
      <c r="HW18" s="16">
        <v>1194.2</v>
      </c>
      <c r="HX18" s="16">
        <v>477.78</v>
      </c>
      <c r="HY18" s="16">
        <f t="shared" si="55"/>
        <v>11746.670000000046</v>
      </c>
      <c r="HZ18" s="16"/>
      <c r="IA18" s="16"/>
      <c r="IB18" s="128">
        <f t="shared" ref="IB18:IB38" si="99">DT18</f>
        <v>18000</v>
      </c>
      <c r="IC18" s="211">
        <f t="shared" si="75"/>
        <v>-9.9999992726225173E-3</v>
      </c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KA18" s="151">
        <f t="shared" si="76"/>
        <v>10559.990000000729</v>
      </c>
    </row>
    <row r="19" spans="1:287" x14ac:dyDescent="0.25">
      <c r="A19" s="35">
        <f t="shared" si="0"/>
        <v>13</v>
      </c>
      <c r="B19" s="38">
        <v>3912.77</v>
      </c>
      <c r="C19" s="38">
        <f t="shared" si="1"/>
        <v>7.7800000000002001</v>
      </c>
      <c r="D19" s="38">
        <f t="shared" si="2"/>
        <v>248960.0000000064</v>
      </c>
      <c r="E19" s="38">
        <v>786.58</v>
      </c>
      <c r="F19" s="38">
        <f t="shared" si="3"/>
        <v>43520.000000000437</v>
      </c>
      <c r="G19" s="38">
        <f t="shared" si="4"/>
        <v>292480.00000000687</v>
      </c>
      <c r="H19" s="37"/>
      <c r="I19" s="39"/>
      <c r="J19" s="42"/>
      <c r="K19" s="37">
        <f t="shared" si="77"/>
        <v>0</v>
      </c>
      <c r="L19" s="40">
        <v>11691000</v>
      </c>
      <c r="M19" s="40"/>
      <c r="N19" s="37">
        <f t="shared" si="78"/>
        <v>290000</v>
      </c>
      <c r="O19" s="37">
        <v>10416</v>
      </c>
      <c r="P19" s="37"/>
      <c r="Q19" s="37">
        <f t="shared" si="5"/>
        <v>13000</v>
      </c>
      <c r="R19" s="37">
        <f t="shared" si="79"/>
        <v>1</v>
      </c>
      <c r="S19" s="37">
        <v>11123637.42</v>
      </c>
      <c r="T19" s="37">
        <f t="shared" si="6"/>
        <v>0</v>
      </c>
      <c r="U19" s="37">
        <v>1518173.85</v>
      </c>
      <c r="V19" s="37">
        <f t="shared" si="7"/>
        <v>0</v>
      </c>
      <c r="W19" s="37">
        <v>3683.9</v>
      </c>
      <c r="X19" s="37">
        <f t="shared" si="93"/>
        <v>8100</v>
      </c>
      <c r="Y19" s="183"/>
      <c r="Z19" s="183"/>
      <c r="AA19" s="37">
        <v>703980</v>
      </c>
      <c r="AB19" s="37">
        <f t="shared" si="8"/>
        <v>4900</v>
      </c>
      <c r="AC19" s="37">
        <v>3878.9</v>
      </c>
      <c r="AD19" s="37"/>
      <c r="AE19" s="37">
        <f t="shared" si="9"/>
        <v>6099.9999999999091</v>
      </c>
      <c r="AF19" s="37">
        <f t="shared" si="80"/>
        <v>1</v>
      </c>
      <c r="AG19" s="37">
        <v>8455.9</v>
      </c>
      <c r="AH19" s="67"/>
      <c r="AI19" s="37">
        <f t="shared" si="10"/>
        <v>13700.509999999273</v>
      </c>
      <c r="AJ19" s="37">
        <f t="shared" si="11"/>
        <v>1</v>
      </c>
      <c r="AK19" s="37">
        <f t="shared" si="12"/>
        <v>27900.50999999918</v>
      </c>
      <c r="AL19" s="48">
        <v>10390</v>
      </c>
      <c r="AM19" s="66"/>
      <c r="AN19" s="37">
        <f t="shared" si="57"/>
        <v>8340.5100000000093</v>
      </c>
      <c r="AO19" s="37">
        <f t="shared" si="81"/>
        <v>1</v>
      </c>
      <c r="AP19" s="37">
        <v>8002.9</v>
      </c>
      <c r="AQ19" s="37"/>
      <c r="AR19" s="37">
        <f t="shared" si="13"/>
        <v>9299.9999999992724</v>
      </c>
      <c r="AS19" s="37">
        <f t="shared" si="82"/>
        <v>1</v>
      </c>
      <c r="AT19" s="183"/>
      <c r="AU19" s="183"/>
      <c r="AV19" s="183"/>
      <c r="AW19" s="183"/>
      <c r="AX19" s="37">
        <v>467269.32</v>
      </c>
      <c r="AY19" s="37"/>
      <c r="AZ19" s="37">
        <f t="shared" si="14"/>
        <v>355.03999999997905</v>
      </c>
      <c r="BA19" s="37">
        <v>121983.48</v>
      </c>
      <c r="BB19" s="37"/>
      <c r="BC19" s="37">
        <f t="shared" si="15"/>
        <v>746.33999999999651</v>
      </c>
      <c r="BD19" s="37">
        <f>AN19+AR19+AZ19+BC19</f>
        <v>18741.889999999257</v>
      </c>
      <c r="BE19" s="43">
        <v>1813.5</v>
      </c>
      <c r="BF19" s="43">
        <v>994.96</v>
      </c>
      <c r="BG19" s="37">
        <f t="shared" si="16"/>
        <v>4400.0000000000909</v>
      </c>
      <c r="BH19" s="44">
        <v>8531</v>
      </c>
      <c r="BI19" s="44">
        <v>5489.6</v>
      </c>
      <c r="BJ19" s="37">
        <f t="shared" si="17"/>
        <v>10600.000000000364</v>
      </c>
      <c r="BK19" s="40">
        <v>1408200</v>
      </c>
      <c r="BL19" s="40">
        <f t="shared" si="84"/>
        <v>3800</v>
      </c>
      <c r="BM19" s="40">
        <v>843.66</v>
      </c>
      <c r="BN19" s="37">
        <f t="shared" si="18"/>
        <v>699.99999999993179</v>
      </c>
      <c r="BO19" s="186"/>
      <c r="BP19" s="183">
        <f t="shared" si="19"/>
        <v>0</v>
      </c>
      <c r="BQ19" s="40">
        <v>798.57</v>
      </c>
      <c r="BR19" s="37">
        <f t="shared" si="58"/>
        <v>560.00000000005912</v>
      </c>
      <c r="BS19" s="37">
        <v>90253.09</v>
      </c>
      <c r="BT19" s="37">
        <f t="shared" si="20"/>
        <v>193.94000000000233</v>
      </c>
      <c r="BU19" s="42">
        <v>2386200</v>
      </c>
      <c r="BV19" s="42"/>
      <c r="BW19" s="37">
        <f t="shared" si="21"/>
        <v>8200</v>
      </c>
      <c r="BX19" s="37">
        <f t="shared" si="85"/>
        <v>1</v>
      </c>
      <c r="BY19" s="43">
        <v>322.10000000000002</v>
      </c>
      <c r="BZ19" s="43"/>
      <c r="CA19" s="37">
        <f>IF((BY19-BY18)&lt;=0,0,(BY19-BY18)*1000)</f>
        <v>700.00000000004547</v>
      </c>
      <c r="CB19" s="37">
        <f t="shared" si="59"/>
        <v>1</v>
      </c>
      <c r="CC19" s="37">
        <v>565690</v>
      </c>
      <c r="CD19" s="37">
        <f t="shared" si="23"/>
        <v>850</v>
      </c>
      <c r="CE19" s="41">
        <v>1.0764</v>
      </c>
      <c r="CF19" s="37">
        <f t="shared" si="98"/>
        <v>7200.0000000000955</v>
      </c>
      <c r="CG19" s="37">
        <v>69406.3</v>
      </c>
      <c r="CH19" s="37">
        <f t="shared" si="61"/>
        <v>0</v>
      </c>
      <c r="CI19" s="40">
        <v>12012</v>
      </c>
      <c r="CJ19" s="40"/>
      <c r="CK19" s="37">
        <f t="shared" si="62"/>
        <v>19700.509999999951</v>
      </c>
      <c r="CL19" s="37">
        <f t="shared" si="24"/>
        <v>1</v>
      </c>
      <c r="CM19" s="37">
        <v>3282</v>
      </c>
      <c r="CN19" s="37"/>
      <c r="CO19" s="37">
        <f t="shared" si="25"/>
        <v>9200.5100000001821</v>
      </c>
      <c r="CP19" s="37">
        <f t="shared" si="86"/>
        <v>1</v>
      </c>
      <c r="CQ19" s="39">
        <v>3119.1</v>
      </c>
      <c r="CR19" s="39"/>
      <c r="CS19" s="37">
        <f t="shared" si="26"/>
        <v>6800.5100000000912</v>
      </c>
      <c r="CT19" s="37">
        <f t="shared" si="87"/>
        <v>1</v>
      </c>
      <c r="CU19" s="37">
        <v>2718500</v>
      </c>
      <c r="CV19" s="37"/>
      <c r="CW19" s="38">
        <f t="shared" si="27"/>
        <v>14300</v>
      </c>
      <c r="CX19" s="37">
        <f t="shared" si="88"/>
        <v>1</v>
      </c>
      <c r="CY19" s="37">
        <v>1403000</v>
      </c>
      <c r="CZ19" s="37"/>
      <c r="DA19" s="37">
        <f t="shared" si="28"/>
        <v>8000</v>
      </c>
      <c r="DB19" s="37">
        <f t="shared" si="89"/>
        <v>1</v>
      </c>
      <c r="DC19" s="37"/>
      <c r="DD19" s="40"/>
      <c r="DE19" s="37">
        <f t="shared" si="29"/>
        <v>0</v>
      </c>
      <c r="DF19" s="37">
        <f t="shared" si="94"/>
        <v>0</v>
      </c>
      <c r="DG19" s="37">
        <f t="shared" si="30"/>
        <v>-66201.530000000232</v>
      </c>
      <c r="DH19" s="37">
        <f t="shared" si="31"/>
        <v>322300.50999999925</v>
      </c>
      <c r="DI19" s="46"/>
      <c r="DJ19" s="46"/>
      <c r="DK19" s="47"/>
      <c r="DL19" s="47"/>
      <c r="DM19" s="37"/>
      <c r="DN19" s="37"/>
      <c r="DO19" s="37"/>
      <c r="DP19" s="37"/>
      <c r="DQ19" s="50">
        <v>3123000</v>
      </c>
      <c r="DR19" s="49">
        <f t="shared" si="63"/>
        <v>5900</v>
      </c>
      <c r="DS19" s="50">
        <v>3010500</v>
      </c>
      <c r="DT19" s="49">
        <f t="shared" si="64"/>
        <v>21300</v>
      </c>
      <c r="DU19" s="52">
        <v>7815.8</v>
      </c>
      <c r="DV19" s="52">
        <v>4376.2</v>
      </c>
      <c r="DW19" s="37">
        <f t="shared" si="90"/>
        <v>4300.0000000001819</v>
      </c>
      <c r="DX19" s="52">
        <v>12895</v>
      </c>
      <c r="DY19" s="52">
        <v>8348.4</v>
      </c>
      <c r="DZ19" s="37">
        <f t="shared" si="32"/>
        <v>7400.51</v>
      </c>
      <c r="EA19" s="49">
        <v>29259</v>
      </c>
      <c r="EB19" s="49">
        <v>20.512</v>
      </c>
      <c r="EC19" s="37">
        <f t="shared" si="33"/>
        <v>26560.51</v>
      </c>
      <c r="ED19" s="53">
        <f t="shared" si="34"/>
        <v>38261.020000000179</v>
      </c>
      <c r="EE19" s="49">
        <v>44503</v>
      </c>
      <c r="EF19" s="49">
        <v>28.61</v>
      </c>
      <c r="EG19" s="37">
        <f t="shared" si="35"/>
        <v>35560.51</v>
      </c>
      <c r="EH19" s="44">
        <v>12638</v>
      </c>
      <c r="EI19" s="68">
        <v>1.7009000000000001</v>
      </c>
      <c r="EJ19" s="37">
        <f t="shared" si="36"/>
        <v>10400.51</v>
      </c>
      <c r="EK19" s="37">
        <v>766.98</v>
      </c>
      <c r="EL19" s="40">
        <v>1099.0999999999999</v>
      </c>
      <c r="EM19" s="37">
        <f t="shared" si="65"/>
        <v>740.00000000000909</v>
      </c>
      <c r="EN19" s="54">
        <f t="shared" si="66"/>
        <v>46701.020000000011</v>
      </c>
      <c r="EO19" s="48">
        <v>12706</v>
      </c>
      <c r="EP19" s="48">
        <v>4438.3</v>
      </c>
      <c r="EQ19" s="37">
        <f t="shared" si="67"/>
        <v>6415.5099999999866</v>
      </c>
      <c r="ER19" s="48">
        <v>8842.6</v>
      </c>
      <c r="ES19" s="48">
        <v>3612.7</v>
      </c>
      <c r="ET19" s="49">
        <f t="shared" si="96"/>
        <v>18399.999999999636</v>
      </c>
      <c r="EU19" s="48">
        <v>3293.4</v>
      </c>
      <c r="EV19" s="48">
        <v>1172.4000000000001</v>
      </c>
      <c r="EW19" s="49">
        <f t="shared" si="38"/>
        <v>9300.5100000000912</v>
      </c>
      <c r="EX19" s="48">
        <v>13065</v>
      </c>
      <c r="EY19" s="48">
        <v>1.4782</v>
      </c>
      <c r="EZ19" s="37">
        <f t="shared" si="39"/>
        <v>13400.51</v>
      </c>
      <c r="FA19" s="48">
        <f t="shared" si="68"/>
        <v>-23356.529999999715</v>
      </c>
      <c r="FB19" s="48">
        <v>35713048</v>
      </c>
      <c r="FC19" s="49">
        <f t="shared" si="91"/>
        <v>24160</v>
      </c>
      <c r="FD19" s="48">
        <f t="shared" si="69"/>
        <v>48916.529999999577</v>
      </c>
      <c r="FE19" s="48">
        <v>16708</v>
      </c>
      <c r="FF19" s="48">
        <v>5980.9</v>
      </c>
      <c r="FG19" s="37">
        <f t="shared" si="70"/>
        <v>9357.1800000000148</v>
      </c>
      <c r="FH19" s="48">
        <v>8156.8</v>
      </c>
      <c r="FI19" s="48">
        <v>3.1469999999999998</v>
      </c>
      <c r="FJ19" s="49">
        <f t="shared" si="40"/>
        <v>15472.180000000364</v>
      </c>
      <c r="FK19" s="48"/>
      <c r="FL19" s="58">
        <v>-28.33</v>
      </c>
      <c r="FM19" s="48">
        <f t="shared" si="92"/>
        <v>-400.51333333345974</v>
      </c>
      <c r="FN19" s="48">
        <v>16149</v>
      </c>
      <c r="FO19" s="48">
        <v>0.77080000000000004</v>
      </c>
      <c r="FP19" s="37">
        <f t="shared" si="71"/>
        <v>11372.18</v>
      </c>
      <c r="FQ19" s="48">
        <v>57381</v>
      </c>
      <c r="FR19" s="48">
        <v>13.808999999999999</v>
      </c>
      <c r="FS19" s="37">
        <f t="shared" si="41"/>
        <v>35000</v>
      </c>
      <c r="FT19" s="48">
        <f t="shared" si="72"/>
        <v>-1201.5400000003792</v>
      </c>
      <c r="FU19" s="48">
        <f t="shared" si="73"/>
        <v>36201.540000000379</v>
      </c>
      <c r="FV19" s="44">
        <v>3538400</v>
      </c>
      <c r="FW19" s="44">
        <v>1140400</v>
      </c>
      <c r="FX19" s="37">
        <f t="shared" si="42"/>
        <v>18800</v>
      </c>
      <c r="FY19" s="56">
        <v>3102.5</v>
      </c>
      <c r="FZ19" s="63">
        <v>1.8729</v>
      </c>
      <c r="GA19" s="37">
        <f t="shared" si="43"/>
        <v>5210</v>
      </c>
      <c r="GB19" s="56">
        <v>785.6</v>
      </c>
      <c r="GC19" s="56">
        <v>878.73</v>
      </c>
      <c r="GD19" s="37">
        <f t="shared" si="44"/>
        <v>659.99999999996817</v>
      </c>
      <c r="GE19" s="56">
        <v>9745</v>
      </c>
      <c r="GF19" s="56">
        <v>3.1459000000000001</v>
      </c>
      <c r="GG19" s="37">
        <f t="shared" si="45"/>
        <v>4700.0000000005002</v>
      </c>
      <c r="GH19" s="153">
        <v>1899.3</v>
      </c>
      <c r="GI19" s="162">
        <v>1616.8</v>
      </c>
      <c r="GJ19" s="38">
        <f t="shared" si="46"/>
        <v>1399.9999999998636</v>
      </c>
      <c r="GK19" s="162">
        <v>1466.9</v>
      </c>
      <c r="GL19" s="163">
        <v>1119</v>
      </c>
      <c r="GM19" s="38">
        <f t="shared" si="47"/>
        <v>0</v>
      </c>
      <c r="GN19" s="57">
        <v>165700</v>
      </c>
      <c r="GO19" s="57">
        <v>144560</v>
      </c>
      <c r="GP19" s="38">
        <f t="shared" si="95"/>
        <v>0</v>
      </c>
      <c r="GQ19" s="38">
        <v>247870</v>
      </c>
      <c r="GR19" s="38">
        <v>244830</v>
      </c>
      <c r="GS19" s="38">
        <f t="shared" si="74"/>
        <v>1290</v>
      </c>
      <c r="GT19" s="178"/>
      <c r="GU19" s="144">
        <f>DailyApr!B18-DailyApr!N18-DailyApr!V18-DailyApr!Y18-DailyApr!Z18-DailyApr!AA18-DailyApr!AB18-DailyApr!AC18-DailyApr!AD18-DailyApr!AE18-DailyApr!AK18-DailyApr!AO18-DailyApr!AS18-DailyApr!AY18-DailyApr!BD18+DailyApr!BU18-DailyApr!BG18-DailyApr!BT18-DailyApr!AF18-DailyApr!AG18</f>
        <v>-3.9999992535740603E-2</v>
      </c>
      <c r="GV19" s="59">
        <v>6007.61</v>
      </c>
      <c r="GW19" s="60">
        <f t="shared" si="48"/>
        <v>400.50733333333329</v>
      </c>
      <c r="GX19" s="61">
        <v>400.51</v>
      </c>
      <c r="GY19" s="140"/>
      <c r="GZ19" s="62"/>
      <c r="HA19" s="62"/>
      <c r="HB19" s="74"/>
      <c r="HC19" s="62"/>
      <c r="HD19" s="74"/>
      <c r="HE19" s="24">
        <f t="shared" si="49"/>
        <v>0</v>
      </c>
      <c r="HF19" s="151"/>
      <c r="HG19" s="213">
        <v>13</v>
      </c>
      <c r="HH19" s="16">
        <v>5851.7</v>
      </c>
      <c r="HI19" s="16">
        <v>2290</v>
      </c>
      <c r="HJ19" s="16">
        <f>IF((HH19-HH18)&lt;=0,0,(HH19-HH18)*1000)</f>
        <v>44099.999999999454</v>
      </c>
      <c r="HK19" s="16">
        <v>1.9189000000000001</v>
      </c>
      <c r="HL19" s="16">
        <v>660.93</v>
      </c>
      <c r="HM19" s="16">
        <f t="shared" si="97"/>
        <v>0</v>
      </c>
      <c r="HN19" s="16">
        <v>264.76</v>
      </c>
      <c r="HO19" s="16">
        <v>133.59</v>
      </c>
      <c r="HP19" s="16">
        <f t="shared" si="52"/>
        <v>7069.9999999999927</v>
      </c>
      <c r="HQ19" s="16">
        <v>1563.4</v>
      </c>
      <c r="HR19" s="16">
        <v>680.46</v>
      </c>
      <c r="HS19" s="16">
        <f t="shared" si="53"/>
        <v>10576.670000000046</v>
      </c>
      <c r="HT19" s="16">
        <v>1408</v>
      </c>
      <c r="HU19" s="16">
        <v>629.23</v>
      </c>
      <c r="HV19" s="16">
        <f t="shared" si="54"/>
        <v>576.67000000004543</v>
      </c>
      <c r="HW19" s="16">
        <v>1199.4000000000001</v>
      </c>
      <c r="HX19" s="16">
        <v>480.09</v>
      </c>
      <c r="HY19" s="16">
        <f t="shared" si="55"/>
        <v>4576.6700000000455</v>
      </c>
      <c r="HZ19" s="16"/>
      <c r="IA19" s="16"/>
      <c r="IB19" s="128">
        <f t="shared" si="99"/>
        <v>21300</v>
      </c>
      <c r="IC19" s="211">
        <f t="shared" si="75"/>
        <v>-1.0000000675063347E-2</v>
      </c>
      <c r="ID19" s="16"/>
      <c r="IE19" s="16"/>
      <c r="IF19" s="16">
        <f t="shared" ref="IF19:IF38" si="100">IF((ID19-ID18)&lt;=0,0,(ID19-ID18))</f>
        <v>0</v>
      </c>
      <c r="IG19" s="16"/>
      <c r="IH19" s="16"/>
      <c r="II19" s="16">
        <f t="shared" ref="II19:II38" si="101">IF((IG19-IG18)&lt;=0,0,(IG19-IG18)*1000)</f>
        <v>0</v>
      </c>
      <c r="IJ19" s="16"/>
      <c r="IK19" s="16"/>
      <c r="IL19" s="16">
        <f t="shared" ref="IL19:IL38" si="102">IF((IJ19-IJ18)&lt;=0,0,(IJ19-IJ18))</f>
        <v>0</v>
      </c>
      <c r="IM19" s="16"/>
      <c r="IN19" s="16"/>
      <c r="IO19" s="16">
        <f t="shared" ref="IO19:IO38" si="103">IF((IM19-IM18)&lt;=0,0,(IM19-IM18))</f>
        <v>0</v>
      </c>
      <c r="IP19" s="16"/>
      <c r="IQ19" s="16"/>
      <c r="IR19" s="16">
        <f t="shared" ref="IR19:IR38" si="104">IF((IP19-IP18)&lt;=0,0,(IP19-IP18))</f>
        <v>0</v>
      </c>
      <c r="IS19" s="16"/>
      <c r="IT19" s="16"/>
      <c r="IU19" s="16">
        <f t="shared" ref="IU19:IU38" si="105">IF((IS19-IS18)&lt;=0,0,(IS19-IS18))</f>
        <v>0</v>
      </c>
      <c r="IV19" s="16"/>
      <c r="IW19" s="16"/>
      <c r="IX19" s="16">
        <f t="shared" ref="IX19:IX38" si="106">IF((IV19-IV18)&lt;=0,0,(IV19-IV18))</f>
        <v>0</v>
      </c>
      <c r="IY19" s="16"/>
      <c r="IZ19" s="16"/>
      <c r="JA19" s="16">
        <f t="shared" ref="JA19:JA38" si="107">IF((IY19-IY18)&lt;=0,0,(IY19-IY18))</f>
        <v>0</v>
      </c>
      <c r="JB19" s="16"/>
      <c r="JC19" s="16"/>
      <c r="JD19" s="16">
        <f t="shared" ref="JD19:JD38" si="108">IF((JB19-JB18)&lt;=0,0,(JB19-JB18))</f>
        <v>0</v>
      </c>
      <c r="JE19" s="16"/>
      <c r="JF19" s="16"/>
      <c r="JG19" s="16">
        <f t="shared" ref="JG19:JG38" si="109">IF((JE19-JE18)&lt;=0,0,(JE19-JE18))</f>
        <v>0</v>
      </c>
      <c r="JH19" s="16"/>
      <c r="JI19" s="16"/>
      <c r="JJ19" s="16">
        <f t="shared" ref="JJ19:JJ38" si="110">IF((JH19-JH18)&lt;=0,0,(JH19-JH18))</f>
        <v>0</v>
      </c>
      <c r="JK19" s="16"/>
      <c r="JL19" s="16"/>
      <c r="JM19" s="16">
        <f t="shared" ref="JM19:JM38" si="111">IF((JK19-JK18)&lt;=0,0,(JK19-JK18))</f>
        <v>0</v>
      </c>
      <c r="JN19" s="16"/>
      <c r="JO19" s="16"/>
      <c r="JP19" s="16">
        <f t="shared" ref="JP19:JP38" si="112">IF((JN19-JN18)&lt;=0,0,(JN19-JN18))</f>
        <v>0</v>
      </c>
      <c r="JQ19" s="16"/>
      <c r="JR19" s="16"/>
      <c r="JS19" s="16">
        <f t="shared" ref="JS19:JS38" si="113">IF((JQ19-JQ18)&lt;=0,0,(JQ19-JQ18))</f>
        <v>0</v>
      </c>
      <c r="JT19" s="16"/>
      <c r="JU19" s="16"/>
      <c r="JV19" s="16">
        <f t="shared" ref="JV19:JV38" si="114">IF((JT19-JT18)&lt;=0,0,(JT19-JT18))</f>
        <v>0</v>
      </c>
      <c r="JW19" s="16"/>
      <c r="JX19" s="16"/>
      <c r="JY19" s="16">
        <f t="shared" ref="JY19:JY38" si="115">IF((JW19-JW18)&lt;=0,0,(JW19-JW18))</f>
        <v>0</v>
      </c>
      <c r="KA19" s="151">
        <f t="shared" si="76"/>
        <v>7069.9899999993177</v>
      </c>
    </row>
    <row r="20" spans="1:287" x14ac:dyDescent="0.25">
      <c r="A20" s="35">
        <f t="shared" si="0"/>
        <v>14</v>
      </c>
      <c r="B20" s="38">
        <v>3920.85</v>
      </c>
      <c r="C20" s="38">
        <f t="shared" si="1"/>
        <v>8.0799999999999272</v>
      </c>
      <c r="D20" s="38">
        <f t="shared" si="2"/>
        <v>258559.99999999767</v>
      </c>
      <c r="E20" s="38">
        <v>788.12</v>
      </c>
      <c r="F20" s="38">
        <f t="shared" si="3"/>
        <v>49279.999999998836</v>
      </c>
      <c r="G20" s="38">
        <f t="shared" si="4"/>
        <v>307839.99999999651</v>
      </c>
      <c r="H20" s="37"/>
      <c r="I20" s="39"/>
      <c r="J20" s="42"/>
      <c r="K20" s="37">
        <f t="shared" si="77"/>
        <v>0</v>
      </c>
      <c r="L20" s="40">
        <v>11721400</v>
      </c>
      <c r="M20" s="40"/>
      <c r="N20" s="37">
        <f t="shared" si="78"/>
        <v>304000</v>
      </c>
      <c r="O20" s="37">
        <v>10430</v>
      </c>
      <c r="P20" s="37"/>
      <c r="Q20" s="37">
        <f t="shared" si="5"/>
        <v>14000</v>
      </c>
      <c r="R20" s="37">
        <f t="shared" si="79"/>
        <v>1</v>
      </c>
      <c r="S20" s="37">
        <v>11123637.42</v>
      </c>
      <c r="T20" s="37">
        <f t="shared" si="6"/>
        <v>0</v>
      </c>
      <c r="U20" s="37">
        <v>1518173.85</v>
      </c>
      <c r="V20" s="37">
        <f t="shared" si="7"/>
        <v>0</v>
      </c>
      <c r="W20" s="37">
        <v>3690.5</v>
      </c>
      <c r="X20" s="37">
        <f t="shared" si="93"/>
        <v>9080</v>
      </c>
      <c r="Y20" s="183"/>
      <c r="Z20" s="183"/>
      <c r="AA20" s="37">
        <v>708900</v>
      </c>
      <c r="AB20" s="37">
        <f t="shared" si="8"/>
        <v>4920</v>
      </c>
      <c r="AC20" s="37">
        <v>3884.9</v>
      </c>
      <c r="AD20" s="37"/>
      <c r="AE20" s="37">
        <f t="shared" si="9"/>
        <v>6000</v>
      </c>
      <c r="AF20" s="37">
        <f t="shared" si="80"/>
        <v>1</v>
      </c>
      <c r="AG20" s="37">
        <v>8469.4</v>
      </c>
      <c r="AH20" s="67"/>
      <c r="AI20" s="37">
        <f t="shared" si="10"/>
        <v>13556.72</v>
      </c>
      <c r="AJ20" s="37">
        <f t="shared" si="11"/>
        <v>1</v>
      </c>
      <c r="AK20" s="37">
        <f t="shared" si="12"/>
        <v>28636.720000000001</v>
      </c>
      <c r="AL20" s="48">
        <v>10404</v>
      </c>
      <c r="AM20" s="66"/>
      <c r="AN20" s="37">
        <f t="shared" si="57"/>
        <v>9386.7200000000266</v>
      </c>
      <c r="AO20" s="37">
        <f t="shared" si="81"/>
        <v>1</v>
      </c>
      <c r="AP20" s="37">
        <v>8012.2</v>
      </c>
      <c r="AQ20" s="37"/>
      <c r="AR20" s="37">
        <f t="shared" si="13"/>
        <v>9300.0000000001819</v>
      </c>
      <c r="AS20" s="37">
        <f t="shared" si="82"/>
        <v>1</v>
      </c>
      <c r="AT20" s="183"/>
      <c r="AU20" s="183"/>
      <c r="AV20" s="183"/>
      <c r="AW20" s="183"/>
      <c r="AX20" s="37">
        <v>467690</v>
      </c>
      <c r="AY20" s="37"/>
      <c r="AZ20" s="37">
        <f t="shared" si="14"/>
        <v>420.67999999999302</v>
      </c>
      <c r="BA20" s="37">
        <v>122560</v>
      </c>
      <c r="BB20" s="37"/>
      <c r="BC20" s="37">
        <f t="shared" si="15"/>
        <v>576.52000000000407</v>
      </c>
      <c r="BD20" s="37">
        <f t="shared" si="83"/>
        <v>19683.920000000206</v>
      </c>
      <c r="BE20" s="43">
        <v>1819</v>
      </c>
      <c r="BF20" s="43">
        <v>997.35</v>
      </c>
      <c r="BG20" s="37">
        <f t="shared" si="16"/>
        <v>5500</v>
      </c>
      <c r="BH20" s="44">
        <v>8541.7999999999993</v>
      </c>
      <c r="BI20" s="44">
        <v>5496.4</v>
      </c>
      <c r="BJ20" s="37">
        <f t="shared" si="17"/>
        <v>10799.999999999272</v>
      </c>
      <c r="BK20" s="40">
        <v>1411840</v>
      </c>
      <c r="BL20" s="40">
        <f t="shared" si="84"/>
        <v>3640</v>
      </c>
      <c r="BM20" s="40">
        <v>844.36</v>
      </c>
      <c r="BN20" s="37">
        <f t="shared" si="18"/>
        <v>700.00000000004547</v>
      </c>
      <c r="BO20" s="186"/>
      <c r="BP20" s="183">
        <f t="shared" si="19"/>
        <v>0</v>
      </c>
      <c r="BQ20" s="40">
        <v>798.9</v>
      </c>
      <c r="BR20" s="37">
        <f t="shared" si="58"/>
        <v>329.99999999992724</v>
      </c>
      <c r="BS20" s="37">
        <v>90435.53</v>
      </c>
      <c r="BT20" s="37">
        <f t="shared" si="20"/>
        <v>182.44000000000233</v>
      </c>
      <c r="BU20" s="42">
        <v>2394200</v>
      </c>
      <c r="BV20" s="42"/>
      <c r="BW20" s="37">
        <f t="shared" si="21"/>
        <v>8000</v>
      </c>
      <c r="BX20" s="37">
        <f t="shared" si="85"/>
        <v>1</v>
      </c>
      <c r="BY20" s="43">
        <v>322.7</v>
      </c>
      <c r="BZ20" s="43"/>
      <c r="CA20" s="37">
        <f>IF((BY20-BY19)&lt;=0,0,(BY20-BY19)*1000)</f>
        <v>599.99999999996589</v>
      </c>
      <c r="CB20" s="37">
        <f t="shared" si="59"/>
        <v>1</v>
      </c>
      <c r="CC20" s="37">
        <v>566740</v>
      </c>
      <c r="CD20" s="37">
        <f t="shared" si="23"/>
        <v>1050</v>
      </c>
      <c r="CE20" s="41">
        <v>1.08419</v>
      </c>
      <c r="CF20" s="37">
        <f t="shared" si="98"/>
        <v>7789.9999999999636</v>
      </c>
      <c r="CG20" s="37">
        <v>69406.3</v>
      </c>
      <c r="CH20" s="37">
        <f t="shared" si="61"/>
        <v>0</v>
      </c>
      <c r="CI20" s="40">
        <v>12032</v>
      </c>
      <c r="CJ20" s="40"/>
      <c r="CK20" s="37">
        <f t="shared" si="62"/>
        <v>19456.720000000034</v>
      </c>
      <c r="CL20" s="37">
        <f t="shared" si="24"/>
        <v>1</v>
      </c>
      <c r="CM20" s="37">
        <v>3290.7</v>
      </c>
      <c r="CN20" s="37"/>
      <c r="CO20" s="37">
        <f t="shared" si="25"/>
        <v>8756.7199999998174</v>
      </c>
      <c r="CP20" s="37">
        <f t="shared" si="86"/>
        <v>1</v>
      </c>
      <c r="CQ20" s="39">
        <v>3125.4</v>
      </c>
      <c r="CR20" s="39"/>
      <c r="CS20" s="37">
        <f t="shared" si="26"/>
        <v>6356.7200000001822</v>
      </c>
      <c r="CT20" s="37">
        <f t="shared" si="87"/>
        <v>1</v>
      </c>
      <c r="CU20" s="37">
        <v>2733900</v>
      </c>
      <c r="CV20" s="37"/>
      <c r="CW20" s="38">
        <f t="shared" si="27"/>
        <v>15400</v>
      </c>
      <c r="CX20" s="37">
        <f t="shared" si="88"/>
        <v>1</v>
      </c>
      <c r="CY20" s="37">
        <v>1411700</v>
      </c>
      <c r="CZ20" s="37"/>
      <c r="DA20" s="37">
        <f t="shared" si="28"/>
        <v>8700</v>
      </c>
      <c r="DB20" s="37">
        <f t="shared" si="89"/>
        <v>1</v>
      </c>
      <c r="DC20" s="37"/>
      <c r="DD20" s="40"/>
      <c r="DE20" s="37">
        <f t="shared" si="29"/>
        <v>0</v>
      </c>
      <c r="DF20" s="37">
        <f t="shared" si="94"/>
        <v>0</v>
      </c>
      <c r="DG20" s="37">
        <f t="shared" si="30"/>
        <v>-66670.160000000033</v>
      </c>
      <c r="DH20" s="37">
        <f t="shared" si="31"/>
        <v>338136.72</v>
      </c>
      <c r="DI20" s="46"/>
      <c r="DJ20" s="46"/>
      <c r="DK20" s="47"/>
      <c r="DL20" s="47"/>
      <c r="DM20" s="37"/>
      <c r="DN20" s="37"/>
      <c r="DO20" s="37"/>
      <c r="DP20" s="37"/>
      <c r="DQ20" s="50">
        <v>3127800</v>
      </c>
      <c r="DR20" s="49">
        <f t="shared" si="63"/>
        <v>4800</v>
      </c>
      <c r="DS20" s="50">
        <v>3028100</v>
      </c>
      <c r="DT20" s="49">
        <f t="shared" si="64"/>
        <v>17600</v>
      </c>
      <c r="DU20" s="52">
        <v>7820.6</v>
      </c>
      <c r="DV20" s="52">
        <v>4379</v>
      </c>
      <c r="DW20" s="37">
        <f t="shared" si="90"/>
        <v>4800.0000000001819</v>
      </c>
      <c r="DX20" s="52">
        <v>12903</v>
      </c>
      <c r="DY20" s="52">
        <v>8350.5</v>
      </c>
      <c r="DZ20" s="37">
        <f t="shared" si="32"/>
        <v>8056.72</v>
      </c>
      <c r="EA20" s="49">
        <v>29285</v>
      </c>
      <c r="EB20" s="49">
        <v>20.524999999999999</v>
      </c>
      <c r="EC20" s="37">
        <f t="shared" si="33"/>
        <v>28216.720000000001</v>
      </c>
      <c r="ED20" s="53">
        <f t="shared" si="34"/>
        <v>41073.440000000184</v>
      </c>
      <c r="EE20" s="49">
        <v>44537</v>
      </c>
      <c r="EF20" s="49">
        <v>28.638000000000002</v>
      </c>
      <c r="EG20" s="37">
        <f t="shared" si="35"/>
        <v>36216.720000000001</v>
      </c>
      <c r="EH20" s="68">
        <v>12648</v>
      </c>
      <c r="EI20" s="52">
        <v>1.702</v>
      </c>
      <c r="EJ20" s="37">
        <f t="shared" si="36"/>
        <v>10056.719999999999</v>
      </c>
      <c r="EK20" s="37">
        <v>767.68</v>
      </c>
      <c r="EL20" s="40">
        <v>1100.0999999999999</v>
      </c>
      <c r="EM20" s="37">
        <f t="shared" si="65"/>
        <v>699.99999999993179</v>
      </c>
      <c r="EN20" s="54">
        <f t="shared" si="66"/>
        <v>46973.439999999937</v>
      </c>
      <c r="EO20" s="48">
        <v>12713</v>
      </c>
      <c r="EP20" s="48">
        <v>4439.2</v>
      </c>
      <c r="EQ20" s="37">
        <f t="shared" si="67"/>
        <v>6046.7200000000093</v>
      </c>
      <c r="ER20" s="48">
        <v>8861.1</v>
      </c>
      <c r="ES20" s="48">
        <v>3620.6</v>
      </c>
      <c r="ET20" s="49">
        <f t="shared" si="96"/>
        <v>18500</v>
      </c>
      <c r="EU20" s="48">
        <v>3302.3</v>
      </c>
      <c r="EV20" s="48">
        <v>1175.4000000000001</v>
      </c>
      <c r="EW20" s="49">
        <f t="shared" si="38"/>
        <v>8956.7200000000903</v>
      </c>
      <c r="EX20" s="48">
        <v>13078</v>
      </c>
      <c r="EY20" s="48">
        <v>1.4789000000000001</v>
      </c>
      <c r="EZ20" s="37">
        <f t="shared" si="39"/>
        <v>13056.72</v>
      </c>
      <c r="FA20" s="48">
        <f t="shared" si="68"/>
        <v>-22270.160000000098</v>
      </c>
      <c r="FB20" s="48">
        <v>35737338</v>
      </c>
      <c r="FC20" s="49">
        <f t="shared" si="91"/>
        <v>24290</v>
      </c>
      <c r="FD20" s="48">
        <f t="shared" si="69"/>
        <v>48160.160000000236</v>
      </c>
      <c r="FE20" s="48">
        <v>16717</v>
      </c>
      <c r="FF20" s="48">
        <v>5984.7</v>
      </c>
      <c r="FG20" s="37">
        <f t="shared" si="70"/>
        <v>9696.7199999999903</v>
      </c>
      <c r="FH20" s="48">
        <v>8171.9</v>
      </c>
      <c r="FI20" s="48">
        <v>3.1530999999999998</v>
      </c>
      <c r="FJ20" s="49">
        <f t="shared" si="40"/>
        <v>14786.719999999454</v>
      </c>
      <c r="FK20" s="48"/>
      <c r="FL20" s="58">
        <v>-370</v>
      </c>
      <c r="FM20" s="48">
        <f t="shared" si="92"/>
        <v>-56.719999999814412</v>
      </c>
      <c r="FN20" s="48">
        <v>16161</v>
      </c>
      <c r="FO20" s="48">
        <v>0.77200000000000002</v>
      </c>
      <c r="FP20" s="37">
        <f t="shared" si="71"/>
        <v>11686.72</v>
      </c>
      <c r="FQ20" s="48">
        <v>57417</v>
      </c>
      <c r="FR20" s="48">
        <v>13.821</v>
      </c>
      <c r="FS20" s="37">
        <f t="shared" si="41"/>
        <v>36000</v>
      </c>
      <c r="FT20" s="48">
        <f t="shared" si="72"/>
        <v>-170.15999999944324</v>
      </c>
      <c r="FU20" s="48">
        <f t="shared" si="73"/>
        <v>36270.159999999349</v>
      </c>
      <c r="FV20" s="44">
        <v>3556400</v>
      </c>
      <c r="FW20" s="44">
        <v>1145800</v>
      </c>
      <c r="FX20" s="37">
        <f t="shared" si="42"/>
        <v>18000</v>
      </c>
      <c r="FY20" s="56">
        <v>3108.7</v>
      </c>
      <c r="FZ20" s="63">
        <v>1.8783000000000001</v>
      </c>
      <c r="GA20" s="37">
        <f t="shared" si="43"/>
        <v>4899.9999999998181</v>
      </c>
      <c r="GB20" s="56">
        <v>786.18</v>
      </c>
      <c r="GC20" s="56">
        <v>875.44</v>
      </c>
      <c r="GD20" s="37">
        <f t="shared" si="44"/>
        <v>579.99999999992724</v>
      </c>
      <c r="GE20" s="56">
        <v>9751.1</v>
      </c>
      <c r="GF20" s="56">
        <v>3.1507999999999998</v>
      </c>
      <c r="GG20" s="37">
        <f t="shared" si="45"/>
        <v>4400.0000000003183</v>
      </c>
      <c r="GH20" s="153">
        <v>1900.9</v>
      </c>
      <c r="GI20" s="162">
        <v>1618.3</v>
      </c>
      <c r="GJ20" s="38">
        <f t="shared" si="46"/>
        <v>1600.0000000001364</v>
      </c>
      <c r="GK20" s="162">
        <v>1467</v>
      </c>
      <c r="GL20" s="163">
        <v>1119</v>
      </c>
      <c r="GM20" s="38">
        <f t="shared" si="47"/>
        <v>99.999999999909051</v>
      </c>
      <c r="GN20" s="57">
        <v>165700</v>
      </c>
      <c r="GO20" s="57">
        <v>144570</v>
      </c>
      <c r="GP20" s="38">
        <f t="shared" si="95"/>
        <v>0</v>
      </c>
      <c r="GQ20" s="38">
        <v>249170</v>
      </c>
      <c r="GR20" s="38">
        <v>245940</v>
      </c>
      <c r="GS20" s="38">
        <f t="shared" si="74"/>
        <v>1300</v>
      </c>
      <c r="GT20" s="178"/>
      <c r="GU20" s="144">
        <f>DailyApr!B19-DailyApr!N19-DailyApr!V19-DailyApr!Y19-DailyApr!Z19-DailyApr!AA19-DailyApr!AB19-DailyApr!AC19-DailyApr!AD19-DailyApr!AE19-DailyApr!AK19-DailyApr!AO19-DailyApr!AS19-DailyApr!AY19-DailyApr!BD19+DailyApr!BU19-DailyApr!BG19-DailyApr!BT19-DailyApr!AF19-DailyApr!AG19</f>
        <v>-3.1359377317130566E-9</v>
      </c>
      <c r="GV20" s="59">
        <v>850.8</v>
      </c>
      <c r="GW20" s="60">
        <f t="shared" si="48"/>
        <v>56.72</v>
      </c>
      <c r="GX20" s="61">
        <v>56.72</v>
      </c>
      <c r="GY20" s="140"/>
      <c r="GZ20" s="62"/>
      <c r="HA20" s="62"/>
      <c r="HB20" s="74"/>
      <c r="HC20" s="62"/>
      <c r="HD20" s="74"/>
      <c r="HE20" s="24">
        <f t="shared" si="49"/>
        <v>0</v>
      </c>
      <c r="HF20" s="151"/>
      <c r="HG20" s="213">
        <v>14</v>
      </c>
      <c r="HH20" s="128">
        <v>5913.3</v>
      </c>
      <c r="HI20" s="128">
        <v>2317.4</v>
      </c>
      <c r="HJ20" s="16">
        <f>IF((HH20-HH19)&lt;=0,0,(HH20-HH19)*1000)</f>
        <v>61600.000000000364</v>
      </c>
      <c r="HK20" s="16">
        <v>1.9189000000000001</v>
      </c>
      <c r="HL20" s="16">
        <v>660.93</v>
      </c>
      <c r="HM20" s="16">
        <f t="shared" si="97"/>
        <v>0</v>
      </c>
      <c r="HN20" s="16">
        <v>276.77</v>
      </c>
      <c r="HO20" s="16">
        <v>139.52000000000001</v>
      </c>
      <c r="HP20" s="16">
        <f t="shared" si="52"/>
        <v>12009.999999999991</v>
      </c>
      <c r="HQ20" s="16">
        <v>1581.1</v>
      </c>
      <c r="HR20" s="16">
        <v>699.21</v>
      </c>
      <c r="HS20" s="16">
        <f t="shared" si="53"/>
        <v>18229.999999999818</v>
      </c>
      <c r="HT20" s="16">
        <v>1416.7</v>
      </c>
      <c r="HU20" s="16">
        <v>633.98</v>
      </c>
      <c r="HV20" s="16">
        <f t="shared" si="54"/>
        <v>9230.0000000000455</v>
      </c>
      <c r="HW20" s="16">
        <v>1203.4000000000001</v>
      </c>
      <c r="HX20" s="16">
        <v>481.84</v>
      </c>
      <c r="HY20" s="16">
        <f t="shared" si="55"/>
        <v>4530</v>
      </c>
      <c r="HZ20" s="16"/>
      <c r="IA20" s="16"/>
      <c r="IB20" s="128">
        <f t="shared" si="99"/>
        <v>17600</v>
      </c>
      <c r="IC20" s="211">
        <f t="shared" si="75"/>
        <v>5.1113602239638567E-10</v>
      </c>
      <c r="ID20" s="16"/>
      <c r="IE20" s="16"/>
      <c r="IF20" s="16">
        <f t="shared" si="100"/>
        <v>0</v>
      </c>
      <c r="IG20" s="16"/>
      <c r="IH20" s="16"/>
      <c r="II20" s="16">
        <f t="shared" si="101"/>
        <v>0</v>
      </c>
      <c r="IJ20" s="16"/>
      <c r="IK20" s="16"/>
      <c r="IL20" s="16">
        <f t="shared" si="102"/>
        <v>0</v>
      </c>
      <c r="IM20" s="16"/>
      <c r="IN20" s="16"/>
      <c r="IO20" s="16">
        <f t="shared" si="103"/>
        <v>0</v>
      </c>
      <c r="IP20" s="16"/>
      <c r="IQ20" s="16"/>
      <c r="IR20" s="16">
        <f t="shared" si="104"/>
        <v>0</v>
      </c>
      <c r="IS20" s="16"/>
      <c r="IT20" s="16"/>
      <c r="IU20" s="16">
        <f t="shared" si="105"/>
        <v>0</v>
      </c>
      <c r="IV20" s="16"/>
      <c r="IW20" s="16"/>
      <c r="IX20" s="16">
        <f t="shared" si="106"/>
        <v>0</v>
      </c>
      <c r="IY20" s="16"/>
      <c r="IZ20" s="16"/>
      <c r="JA20" s="16">
        <f t="shared" si="107"/>
        <v>0</v>
      </c>
      <c r="JB20" s="16"/>
      <c r="JC20" s="16"/>
      <c r="JD20" s="16">
        <f t="shared" si="108"/>
        <v>0</v>
      </c>
      <c r="JE20" s="16"/>
      <c r="JF20" s="16"/>
      <c r="JG20" s="16">
        <f t="shared" si="109"/>
        <v>0</v>
      </c>
      <c r="JH20" s="16"/>
      <c r="JI20" s="16"/>
      <c r="JJ20" s="16">
        <f t="shared" si="110"/>
        <v>0</v>
      </c>
      <c r="JK20" s="16"/>
      <c r="JL20" s="16"/>
      <c r="JM20" s="16">
        <f t="shared" si="111"/>
        <v>0</v>
      </c>
      <c r="JN20" s="16"/>
      <c r="JO20" s="16"/>
      <c r="JP20" s="16">
        <f t="shared" si="112"/>
        <v>0</v>
      </c>
      <c r="JQ20" s="16"/>
      <c r="JR20" s="16"/>
      <c r="JS20" s="16">
        <f t="shared" si="113"/>
        <v>0</v>
      </c>
      <c r="JT20" s="16"/>
      <c r="JU20" s="16"/>
      <c r="JV20" s="16">
        <f t="shared" si="114"/>
        <v>0</v>
      </c>
      <c r="JW20" s="16"/>
      <c r="JX20" s="16"/>
      <c r="JY20" s="16">
        <f t="shared" si="115"/>
        <v>0</v>
      </c>
      <c r="KA20" s="151">
        <f t="shared" si="76"/>
        <v>12010.000000000502</v>
      </c>
    </row>
    <row r="21" spans="1:287" x14ac:dyDescent="0.25">
      <c r="A21" s="35">
        <f t="shared" si="0"/>
        <v>15</v>
      </c>
      <c r="B21" s="38">
        <v>3928.81</v>
      </c>
      <c r="C21" s="38">
        <f t="shared" si="1"/>
        <v>7.9600000000000364</v>
      </c>
      <c r="D21" s="38">
        <f t="shared" si="2"/>
        <v>254720.00000000116</v>
      </c>
      <c r="E21" s="38">
        <v>789.61</v>
      </c>
      <c r="F21" s="38">
        <f t="shared" si="3"/>
        <v>47680.000000000291</v>
      </c>
      <c r="G21" s="38">
        <f t="shared" si="4"/>
        <v>302400.00000000146</v>
      </c>
      <c r="H21" s="37"/>
      <c r="I21" s="39"/>
      <c r="J21" s="42"/>
      <c r="K21" s="37">
        <f t="shared" si="77"/>
        <v>0</v>
      </c>
      <c r="L21" s="40">
        <v>11751500</v>
      </c>
      <c r="M21" s="40"/>
      <c r="N21" s="37">
        <f t="shared" si="78"/>
        <v>301000</v>
      </c>
      <c r="O21" s="37">
        <v>10443</v>
      </c>
      <c r="P21" s="37"/>
      <c r="Q21" s="37">
        <f t="shared" si="5"/>
        <v>13000</v>
      </c>
      <c r="R21" s="37">
        <f t="shared" si="79"/>
        <v>1</v>
      </c>
      <c r="S21" s="37">
        <v>11123637.43</v>
      </c>
      <c r="T21" s="37">
        <f t="shared" si="6"/>
        <v>9.9999997764825821E-3</v>
      </c>
      <c r="U21" s="37">
        <v>1518173.85</v>
      </c>
      <c r="V21" s="37">
        <f t="shared" si="7"/>
        <v>0</v>
      </c>
      <c r="W21" s="37">
        <v>3697.4</v>
      </c>
      <c r="X21" s="37">
        <f t="shared" si="93"/>
        <v>7899.9900000002235</v>
      </c>
      <c r="Y21" s="183"/>
      <c r="Z21" s="183"/>
      <c r="AA21" s="37">
        <v>714000</v>
      </c>
      <c r="AB21" s="37">
        <f t="shared" si="8"/>
        <v>5100</v>
      </c>
      <c r="AC21" s="37">
        <v>3891.2</v>
      </c>
      <c r="AD21" s="37"/>
      <c r="AE21" s="37">
        <f t="shared" si="9"/>
        <v>6299.9999999997272</v>
      </c>
      <c r="AF21" s="37">
        <f t="shared" si="80"/>
        <v>1</v>
      </c>
      <c r="AG21" s="37">
        <v>8483.2000000000007</v>
      </c>
      <c r="AH21" s="67"/>
      <c r="AI21" s="37">
        <f t="shared" si="10"/>
        <v>13688.000000001091</v>
      </c>
      <c r="AJ21" s="37">
        <f t="shared" si="11"/>
        <v>1</v>
      </c>
      <c r="AK21" s="37">
        <f t="shared" si="12"/>
        <v>27888.000000000819</v>
      </c>
      <c r="AL21" s="42">
        <v>10418.9</v>
      </c>
      <c r="AM21" s="42"/>
      <c r="AN21" s="37">
        <f t="shared" si="57"/>
        <v>9557.9999999995816</v>
      </c>
      <c r="AO21" s="37">
        <f t="shared" si="81"/>
        <v>1</v>
      </c>
      <c r="AP21" s="37">
        <v>8021.5</v>
      </c>
      <c r="AQ21" s="37"/>
      <c r="AR21" s="37">
        <f t="shared" si="13"/>
        <v>9300.0000000001819</v>
      </c>
      <c r="AS21" s="37">
        <f t="shared" si="82"/>
        <v>1</v>
      </c>
      <c r="AT21" s="183"/>
      <c r="AU21" s="183"/>
      <c r="AV21" s="183"/>
      <c r="AW21" s="183"/>
      <c r="AX21" s="37">
        <v>468120</v>
      </c>
      <c r="AY21" s="37"/>
      <c r="AZ21" s="37">
        <f t="shared" si="14"/>
        <v>430</v>
      </c>
      <c r="BA21" s="37">
        <v>123250</v>
      </c>
      <c r="BB21" s="37"/>
      <c r="BC21" s="37">
        <f t="shared" si="15"/>
        <v>690</v>
      </c>
      <c r="BD21" s="37">
        <f t="shared" si="83"/>
        <v>19977.999999999764</v>
      </c>
      <c r="BE21" s="43">
        <v>1823.5</v>
      </c>
      <c r="BF21" s="43">
        <v>999.2</v>
      </c>
      <c r="BG21" s="37">
        <f t="shared" si="16"/>
        <v>4500</v>
      </c>
      <c r="BH21" s="44">
        <v>8550.2999999999993</v>
      </c>
      <c r="BI21" s="44">
        <v>5501.7</v>
      </c>
      <c r="BJ21" s="37">
        <f t="shared" si="17"/>
        <v>8500</v>
      </c>
      <c r="BK21" s="40">
        <v>1415630</v>
      </c>
      <c r="BL21" s="40">
        <f t="shared" si="84"/>
        <v>3790</v>
      </c>
      <c r="BM21" s="40">
        <v>845.1</v>
      </c>
      <c r="BN21" s="37">
        <f t="shared" si="18"/>
        <v>740.00000000000909</v>
      </c>
      <c r="BO21" s="186"/>
      <c r="BP21" s="183">
        <f t="shared" si="19"/>
        <v>0</v>
      </c>
      <c r="BQ21" s="40">
        <v>799.6</v>
      </c>
      <c r="BR21" s="37">
        <f>IF((BQ21-BQ20)&lt;=0,0,(BQ21-BQ20))*1000</f>
        <v>700.00000000004547</v>
      </c>
      <c r="BS21" s="37">
        <v>90641.8</v>
      </c>
      <c r="BT21" s="37">
        <f t="shared" si="20"/>
        <v>206.27000000000407</v>
      </c>
      <c r="BU21" s="42">
        <v>2401800</v>
      </c>
      <c r="BV21" s="42"/>
      <c r="BW21" s="37">
        <f t="shared" si="21"/>
        <v>7600</v>
      </c>
      <c r="BX21" s="37">
        <f t="shared" si="85"/>
        <v>1</v>
      </c>
      <c r="BY21" s="43">
        <v>323.22000000000003</v>
      </c>
      <c r="BZ21" s="43"/>
      <c r="CA21" s="37">
        <f t="shared" ref="CA21:CA38" si="116">IF((BY21-BY20)&lt;=0,0,(BY21-BY20)*1000)</f>
        <v>520.00000000003865</v>
      </c>
      <c r="CB21" s="37">
        <f t="shared" si="59"/>
        <v>1</v>
      </c>
      <c r="CC21" s="37">
        <v>567740</v>
      </c>
      <c r="CD21" s="37">
        <f t="shared" si="23"/>
        <v>1000</v>
      </c>
      <c r="CE21" s="41">
        <v>1.09483</v>
      </c>
      <c r="CF21" s="37">
        <f t="shared" si="98"/>
        <v>10639.999999999984</v>
      </c>
      <c r="CG21" s="37">
        <v>69406.3</v>
      </c>
      <c r="CH21" s="37">
        <f t="shared" si="61"/>
        <v>0</v>
      </c>
      <c r="CI21" s="40">
        <v>12052</v>
      </c>
      <c r="CJ21" s="40"/>
      <c r="CK21" s="37">
        <f t="shared" si="62"/>
        <v>19367.99999999996</v>
      </c>
      <c r="CL21" s="37">
        <f t="shared" si="24"/>
        <v>1</v>
      </c>
      <c r="CM21" s="37">
        <v>3299.2</v>
      </c>
      <c r="CN21" s="37"/>
      <c r="CO21" s="37">
        <f t="shared" si="25"/>
        <v>8388</v>
      </c>
      <c r="CP21" s="37">
        <f t="shared" si="86"/>
        <v>1</v>
      </c>
      <c r="CQ21" s="39">
        <v>3132.4</v>
      </c>
      <c r="CR21" s="39"/>
      <c r="CS21" s="37">
        <f t="shared" si="26"/>
        <v>6888</v>
      </c>
      <c r="CT21" s="37">
        <f t="shared" si="87"/>
        <v>1</v>
      </c>
      <c r="CU21" s="37">
        <v>2747200</v>
      </c>
      <c r="CV21" s="37"/>
      <c r="CW21" s="38">
        <f t="shared" si="27"/>
        <v>13300</v>
      </c>
      <c r="CX21" s="37">
        <f t="shared" si="88"/>
        <v>1</v>
      </c>
      <c r="CY21" s="37">
        <v>1419900</v>
      </c>
      <c r="CZ21" s="37"/>
      <c r="DA21" s="37">
        <f t="shared" si="28"/>
        <v>8200</v>
      </c>
      <c r="DB21" s="37">
        <f t="shared" si="89"/>
        <v>1</v>
      </c>
      <c r="DC21" s="37"/>
      <c r="DD21" s="40"/>
      <c r="DE21" s="37">
        <f t="shared" si="29"/>
        <v>0</v>
      </c>
      <c r="DF21" s="37">
        <f t="shared" si="94"/>
        <v>0</v>
      </c>
      <c r="DG21" s="37">
        <f t="shared" si="30"/>
        <v>-63743.999999999956</v>
      </c>
      <c r="DH21" s="37">
        <f t="shared" si="31"/>
        <v>333388.00000000081</v>
      </c>
      <c r="DI21" s="46"/>
      <c r="DJ21" s="46"/>
      <c r="DK21" s="47"/>
      <c r="DL21" s="47"/>
      <c r="DM21" s="37"/>
      <c r="DN21" s="37"/>
      <c r="DO21" s="37"/>
      <c r="DP21" s="37"/>
      <c r="DQ21" s="50">
        <v>3134900</v>
      </c>
      <c r="DR21" s="49">
        <f t="shared" si="63"/>
        <v>7100</v>
      </c>
      <c r="DS21" s="50">
        <v>3048200</v>
      </c>
      <c r="DT21" s="49">
        <f t="shared" si="64"/>
        <v>20100</v>
      </c>
      <c r="DU21" s="52">
        <v>7825</v>
      </c>
      <c r="DV21" s="52">
        <v>4381.7</v>
      </c>
      <c r="DW21" s="37">
        <f t="shared" si="90"/>
        <v>4399.9999999996362</v>
      </c>
      <c r="DX21" s="52">
        <v>12910</v>
      </c>
      <c r="DY21" s="52">
        <v>8352.5</v>
      </c>
      <c r="DZ21" s="37">
        <f t="shared" si="32"/>
        <v>6888</v>
      </c>
      <c r="EA21" s="49">
        <v>29309</v>
      </c>
      <c r="EB21" s="49">
        <v>20.536999999999999</v>
      </c>
      <c r="EC21" s="37">
        <f t="shared" si="33"/>
        <v>26048</v>
      </c>
      <c r="ED21" s="53">
        <f t="shared" si="34"/>
        <v>37335.999999999636</v>
      </c>
      <c r="EE21" s="49">
        <v>44566</v>
      </c>
      <c r="EF21" s="49">
        <v>28.663</v>
      </c>
      <c r="EG21" s="37">
        <f t="shared" si="35"/>
        <v>31048</v>
      </c>
      <c r="EH21" s="52">
        <v>12657</v>
      </c>
      <c r="EI21" s="52">
        <v>1.7031000000000001</v>
      </c>
      <c r="EJ21" s="37">
        <f t="shared" si="36"/>
        <v>8888</v>
      </c>
      <c r="EK21" s="37">
        <v>768.35</v>
      </c>
      <c r="EL21" s="40">
        <v>1101</v>
      </c>
      <c r="EM21" s="37">
        <f t="shared" si="65"/>
        <v>670.00000000007276</v>
      </c>
      <c r="EN21" s="54">
        <f t="shared" si="66"/>
        <v>40606.000000000073</v>
      </c>
      <c r="EO21" s="48">
        <v>12721</v>
      </c>
      <c r="EP21" s="48">
        <v>4442.3</v>
      </c>
      <c r="EQ21" s="37">
        <f t="shared" si="67"/>
        <v>6858.0000000000273</v>
      </c>
      <c r="ER21" s="48">
        <v>8873.9</v>
      </c>
      <c r="ES21" s="48">
        <v>3627.6</v>
      </c>
      <c r="ET21" s="49">
        <f t="shared" si="96"/>
        <v>12799.999999999272</v>
      </c>
      <c r="EU21" s="48">
        <v>3311.5</v>
      </c>
      <c r="EV21" s="48">
        <v>1178.5999999999999</v>
      </c>
      <c r="EW21" s="49">
        <f t="shared" si="38"/>
        <v>9087.9999999998181</v>
      </c>
      <c r="EX21" s="48">
        <v>13089</v>
      </c>
      <c r="EY21" s="48">
        <v>1.4821</v>
      </c>
      <c r="EZ21" s="37">
        <f t="shared" si="39"/>
        <v>10888</v>
      </c>
      <c r="FA21" s="48">
        <f t="shared" si="68"/>
        <v>-18870.99999999912</v>
      </c>
      <c r="FB21" s="48">
        <v>35758101</v>
      </c>
      <c r="FC21" s="49">
        <f t="shared" si="91"/>
        <v>20763</v>
      </c>
      <c r="FD21" s="48">
        <f t="shared" si="69"/>
        <v>41133.99999999912</v>
      </c>
      <c r="FE21" s="48">
        <v>16726</v>
      </c>
      <c r="FF21" s="48">
        <v>5988.3</v>
      </c>
      <c r="FG21" s="37">
        <f t="shared" si="70"/>
        <v>9907.9999999999727</v>
      </c>
      <c r="FH21" s="48">
        <v>8186.9</v>
      </c>
      <c r="FI21" s="48">
        <v>3.1591</v>
      </c>
      <c r="FJ21" s="49">
        <f t="shared" si="40"/>
        <v>14878</v>
      </c>
      <c r="FK21" s="48"/>
      <c r="FL21" s="58">
        <v>-10</v>
      </c>
      <c r="FM21" s="48">
        <f t="shared" si="92"/>
        <v>112.00000000000971</v>
      </c>
      <c r="FN21" s="48">
        <v>16171</v>
      </c>
      <c r="FO21" s="48">
        <v>0.77339999999999998</v>
      </c>
      <c r="FP21" s="37">
        <f t="shared" si="71"/>
        <v>9878</v>
      </c>
      <c r="FQ21" s="48">
        <v>57452</v>
      </c>
      <c r="FR21" s="48">
        <v>13.832000000000001</v>
      </c>
      <c r="FS21" s="37">
        <f t="shared" si="41"/>
        <v>35000</v>
      </c>
      <c r="FT21" s="48">
        <f t="shared" si="72"/>
        <v>336.0000000000291</v>
      </c>
      <c r="FU21" s="48">
        <f>FG21+FJ21+FP21+GM21</f>
        <v>34663.999999999971</v>
      </c>
      <c r="FV21" s="44">
        <v>3573500</v>
      </c>
      <c r="FW21" s="44">
        <v>1151000</v>
      </c>
      <c r="FX21" s="37">
        <f t="shared" si="42"/>
        <v>17100</v>
      </c>
      <c r="FY21" s="56">
        <v>3114.3</v>
      </c>
      <c r="FZ21" s="56">
        <v>1.8835</v>
      </c>
      <c r="GA21" s="37">
        <f t="shared" si="43"/>
        <v>4360.0000000003638</v>
      </c>
      <c r="GB21" s="56">
        <v>786.8</v>
      </c>
      <c r="GC21" s="56">
        <v>880.21</v>
      </c>
      <c r="GD21" s="37">
        <f t="shared" si="44"/>
        <v>620.00000000000455</v>
      </c>
      <c r="GE21" s="56">
        <v>9756.7000000000007</v>
      </c>
      <c r="GF21" s="56">
        <v>3.1553</v>
      </c>
      <c r="GG21" s="37">
        <f t="shared" si="45"/>
        <v>4100.0000000003638</v>
      </c>
      <c r="GH21" s="153">
        <v>1902.4</v>
      </c>
      <c r="GI21" s="162">
        <v>1619.7</v>
      </c>
      <c r="GJ21" s="38">
        <f t="shared" si="46"/>
        <v>1500</v>
      </c>
      <c r="GK21" s="162">
        <v>1467</v>
      </c>
      <c r="GL21" s="163">
        <v>1119</v>
      </c>
      <c r="GM21" s="38">
        <f t="shared" si="47"/>
        <v>0</v>
      </c>
      <c r="GN21" s="57">
        <v>165710</v>
      </c>
      <c r="GO21" s="57">
        <v>144570</v>
      </c>
      <c r="GP21" s="38">
        <f t="shared" si="95"/>
        <v>10</v>
      </c>
      <c r="GQ21" s="38">
        <v>250410</v>
      </c>
      <c r="GR21" s="38">
        <v>246980</v>
      </c>
      <c r="GS21" s="38">
        <f t="shared" si="74"/>
        <v>1240</v>
      </c>
      <c r="GT21" s="178"/>
      <c r="GU21" s="144">
        <f>DailyApr!B20-DailyApr!N20-DailyApr!V20-DailyApr!Y20-DailyApr!Z20-DailyApr!AA20-DailyApr!AB20-DailyApr!AC20-DailyApr!AD20-DailyApr!AE20-DailyApr!AK20-DailyApr!AO20-DailyApr!AS20-DailyApr!AY20-DailyApr!BD20+DailyApr!BU20-DailyApr!BG20-DailyApr!BT20-DailyApr!AF20-DailyApr!AG20</f>
        <v>1.4842953532934189E-9</v>
      </c>
      <c r="GV21" s="59">
        <v>-1680</v>
      </c>
      <c r="GW21" s="60">
        <f t="shared" si="48"/>
        <v>-112</v>
      </c>
      <c r="GX21" s="61">
        <v>-112</v>
      </c>
      <c r="GY21" s="140"/>
      <c r="GZ21" s="62"/>
      <c r="HA21" s="62"/>
      <c r="HB21" s="74"/>
      <c r="HC21" s="62"/>
      <c r="HD21" s="74"/>
      <c r="HE21" s="24">
        <f t="shared" si="49"/>
        <v>0</v>
      </c>
      <c r="HF21" s="151"/>
      <c r="HG21" s="213">
        <v>15</v>
      </c>
      <c r="HH21" s="128">
        <v>5976.5</v>
      </c>
      <c r="HI21" s="16">
        <v>2343.8000000000002</v>
      </c>
      <c r="HJ21" s="16">
        <f t="shared" ref="HJ21:HJ38" si="117">IF((HH21-HH20)&lt;=0,0,(HH21-HH20)*1000)</f>
        <v>63199.999999999818</v>
      </c>
      <c r="HK21" s="16">
        <v>1.9189000000000001</v>
      </c>
      <c r="HL21" s="16">
        <v>660.93</v>
      </c>
      <c r="HM21" s="16">
        <f t="shared" si="97"/>
        <v>0</v>
      </c>
      <c r="HN21" s="16">
        <v>292.04000000000002</v>
      </c>
      <c r="HO21" s="16">
        <v>146.72999999999999</v>
      </c>
      <c r="HP21" s="16">
        <f t="shared" si="52"/>
        <v>15270.000000000038</v>
      </c>
      <c r="HQ21" s="16">
        <v>1598.7</v>
      </c>
      <c r="HR21" s="16">
        <v>708.3</v>
      </c>
      <c r="HS21" s="16">
        <f t="shared" si="53"/>
        <v>17210.000000000138</v>
      </c>
      <c r="HT21" s="16">
        <v>1426.6</v>
      </c>
      <c r="HU21" s="16">
        <v>639.19000000000005</v>
      </c>
      <c r="HV21" s="16">
        <f t="shared" si="54"/>
        <v>9509.9999999998636</v>
      </c>
      <c r="HW21" s="16">
        <v>1204.9000000000001</v>
      </c>
      <c r="HX21" s="16">
        <v>482.42</v>
      </c>
      <c r="HY21" s="16">
        <f t="shared" si="55"/>
        <v>1110</v>
      </c>
      <c r="HZ21" s="16"/>
      <c r="IA21" s="16"/>
      <c r="IB21" s="128">
        <f t="shared" si="99"/>
        <v>20100</v>
      </c>
      <c r="IC21" s="211">
        <f t="shared" si="75"/>
        <v>-2.2009771782904863E-10</v>
      </c>
      <c r="ID21" s="16"/>
      <c r="IE21" s="16"/>
      <c r="IF21" s="16">
        <f t="shared" si="100"/>
        <v>0</v>
      </c>
      <c r="IG21" s="16"/>
      <c r="IH21" s="16"/>
      <c r="II21" s="16">
        <f t="shared" si="101"/>
        <v>0</v>
      </c>
      <c r="IJ21" s="16"/>
      <c r="IK21" s="16"/>
      <c r="IL21" s="16">
        <f t="shared" si="102"/>
        <v>0</v>
      </c>
      <c r="IM21" s="16"/>
      <c r="IN21" s="16"/>
      <c r="IO21" s="16">
        <f t="shared" si="103"/>
        <v>0</v>
      </c>
      <c r="IP21" s="16"/>
      <c r="IQ21" s="16"/>
      <c r="IR21" s="16">
        <f t="shared" si="104"/>
        <v>0</v>
      </c>
      <c r="IS21" s="16"/>
      <c r="IT21" s="16"/>
      <c r="IU21" s="16">
        <f t="shared" si="105"/>
        <v>0</v>
      </c>
      <c r="IV21" s="16"/>
      <c r="IW21" s="16"/>
      <c r="IX21" s="16">
        <f t="shared" si="106"/>
        <v>0</v>
      </c>
      <c r="IY21" s="16"/>
      <c r="IZ21" s="16"/>
      <c r="JA21" s="16">
        <f t="shared" si="107"/>
        <v>0</v>
      </c>
      <c r="JB21" s="16"/>
      <c r="JC21" s="16"/>
      <c r="JD21" s="16">
        <f t="shared" si="108"/>
        <v>0</v>
      </c>
      <c r="JE21" s="16"/>
      <c r="JF21" s="16"/>
      <c r="JG21" s="16">
        <f t="shared" si="109"/>
        <v>0</v>
      </c>
      <c r="JH21" s="16"/>
      <c r="JI21" s="16"/>
      <c r="JJ21" s="16">
        <f t="shared" si="110"/>
        <v>0</v>
      </c>
      <c r="JK21" s="16"/>
      <c r="JL21" s="16"/>
      <c r="JM21" s="16">
        <f t="shared" si="111"/>
        <v>0</v>
      </c>
      <c r="JN21" s="16"/>
      <c r="JO21" s="16"/>
      <c r="JP21" s="16">
        <f t="shared" si="112"/>
        <v>0</v>
      </c>
      <c r="JQ21" s="16"/>
      <c r="JR21" s="16"/>
      <c r="JS21" s="16">
        <f t="shared" si="113"/>
        <v>0</v>
      </c>
      <c r="JT21" s="16"/>
      <c r="JU21" s="16"/>
      <c r="JV21" s="16">
        <f t="shared" si="114"/>
        <v>0</v>
      </c>
      <c r="JW21" s="16"/>
      <c r="JX21" s="16"/>
      <c r="JY21" s="16">
        <f t="shared" si="115"/>
        <v>0</v>
      </c>
      <c r="KA21" s="151">
        <f t="shared" si="76"/>
        <v>15269.999999999818</v>
      </c>
    </row>
    <row r="22" spans="1:287" x14ac:dyDescent="0.25">
      <c r="A22" s="35">
        <f t="shared" si="0"/>
        <v>16</v>
      </c>
      <c r="B22" s="38">
        <v>3937.63</v>
      </c>
      <c r="C22" s="38">
        <f t="shared" si="1"/>
        <v>8.8200000000001637</v>
      </c>
      <c r="D22" s="38">
        <f t="shared" si="2"/>
        <v>282240.00000000524</v>
      </c>
      <c r="E22" s="38">
        <v>791.93</v>
      </c>
      <c r="F22" s="38">
        <f t="shared" si="3"/>
        <v>74239.999999997963</v>
      </c>
      <c r="G22" s="38">
        <f t="shared" si="4"/>
        <v>356480.0000000032</v>
      </c>
      <c r="H22" s="37"/>
      <c r="I22" s="39"/>
      <c r="J22" s="42"/>
      <c r="K22" s="37">
        <f>IF(J22&lt;=0,0,(J22/SQRT(J22^2+(I22-I21)^2)))</f>
        <v>0</v>
      </c>
      <c r="L22" s="40">
        <f>L21+35500</f>
        <v>11787000</v>
      </c>
      <c r="M22" s="40"/>
      <c r="N22" s="37">
        <f t="shared" si="78"/>
        <v>355000</v>
      </c>
      <c r="O22" s="37">
        <v>10454</v>
      </c>
      <c r="P22" s="37"/>
      <c r="Q22" s="37">
        <f>IF((O22-O21)&lt;=0,0,(O22-O21))*1000</f>
        <v>11000</v>
      </c>
      <c r="R22" s="37">
        <f>IF(Q22&lt;=0,0,(Q22/SQRT(Q22^2+(P22-P21)^2)))</f>
        <v>1</v>
      </c>
      <c r="S22" s="37">
        <v>11123637.49</v>
      </c>
      <c r="T22" s="37">
        <f t="shared" si="6"/>
        <v>6.0000000521540642E-2</v>
      </c>
      <c r="U22" s="37">
        <v>1518173.85</v>
      </c>
      <c r="V22" s="37">
        <f t="shared" si="7"/>
        <v>0</v>
      </c>
      <c r="W22" s="37">
        <v>3703.1</v>
      </c>
      <c r="X22" s="37">
        <f t="shared" si="93"/>
        <v>7199.9399999994785</v>
      </c>
      <c r="Y22" s="183"/>
      <c r="Z22" s="183"/>
      <c r="AA22" s="37">
        <v>717800</v>
      </c>
      <c r="AB22" s="37">
        <f t="shared" si="8"/>
        <v>3800</v>
      </c>
      <c r="AC22" s="37">
        <v>3895.2</v>
      </c>
      <c r="AD22" s="37"/>
      <c r="AE22" s="37">
        <f>IF((AC22-AC21)&lt;=0,0,(AC22-AC21))*1000</f>
        <v>4000</v>
      </c>
      <c r="AF22" s="37">
        <f>IF(AE22&lt;=0,0,(AE22/SQRT(AE22^2+(AD22-AD21)^2)))</f>
        <v>1</v>
      </c>
      <c r="AG22" s="37">
        <v>8490.6</v>
      </c>
      <c r="AH22" s="37"/>
      <c r="AI22" s="37">
        <f t="shared" si="10"/>
        <v>10232.949999999637</v>
      </c>
      <c r="AJ22" s="37">
        <f t="shared" si="11"/>
        <v>1</v>
      </c>
      <c r="AK22" s="37">
        <f t="shared" si="12"/>
        <v>21432.949999999637</v>
      </c>
      <c r="AL22" s="42">
        <v>10431</v>
      </c>
      <c r="AM22" s="42"/>
      <c r="AN22" s="37">
        <f t="shared" si="57"/>
        <v>9862.9500000004773</v>
      </c>
      <c r="AO22" s="37">
        <f t="shared" si="81"/>
        <v>1</v>
      </c>
      <c r="AP22" s="37">
        <v>8029.6</v>
      </c>
      <c r="AQ22" s="37"/>
      <c r="AR22" s="37">
        <f t="shared" si="13"/>
        <v>8100.0000000003638</v>
      </c>
      <c r="AS22" s="37">
        <f t="shared" si="82"/>
        <v>1</v>
      </c>
      <c r="AT22" s="183"/>
      <c r="AU22" s="183"/>
      <c r="AV22" s="183"/>
      <c r="AW22" s="183"/>
      <c r="AX22" s="37">
        <v>468550.08399999997</v>
      </c>
      <c r="AY22" s="37"/>
      <c r="AZ22" s="37">
        <f t="shared" si="14"/>
        <v>430.08399999997346</v>
      </c>
      <c r="BA22" s="37">
        <v>123902.61</v>
      </c>
      <c r="BB22" s="37"/>
      <c r="BC22" s="37">
        <f t="shared" si="15"/>
        <v>652.61000000000058</v>
      </c>
      <c r="BD22" s="37">
        <f t="shared" si="83"/>
        <v>19045.644000000815</v>
      </c>
      <c r="BE22" s="43">
        <v>1826.2</v>
      </c>
      <c r="BF22" s="43">
        <v>1000.7</v>
      </c>
      <c r="BG22" s="37">
        <f t="shared" si="16"/>
        <v>2700.0000000000455</v>
      </c>
      <c r="BH22" s="44">
        <v>8559.9</v>
      </c>
      <c r="BI22" s="44">
        <v>5507.7</v>
      </c>
      <c r="BJ22" s="37">
        <f t="shared" si="17"/>
        <v>9600.0000000003638</v>
      </c>
      <c r="BK22" s="40">
        <v>1419200</v>
      </c>
      <c r="BL22" s="40">
        <f t="shared" si="84"/>
        <v>3570</v>
      </c>
      <c r="BM22" s="40">
        <v>845.77</v>
      </c>
      <c r="BN22" s="37">
        <f t="shared" si="18"/>
        <v>669.99999999995907</v>
      </c>
      <c r="BO22" s="186"/>
      <c r="BP22" s="183">
        <f t="shared" si="19"/>
        <v>0</v>
      </c>
      <c r="BQ22" s="40">
        <v>800.43</v>
      </c>
      <c r="BR22" s="37">
        <f t="shared" si="58"/>
        <v>829.99999999992724</v>
      </c>
      <c r="BS22" s="37">
        <v>90835.57</v>
      </c>
      <c r="BT22" s="37">
        <f t="shared" si="20"/>
        <v>193.77000000000407</v>
      </c>
      <c r="BU22" s="42">
        <v>2407700</v>
      </c>
      <c r="BV22" s="42"/>
      <c r="BW22" s="37">
        <f t="shared" si="21"/>
        <v>5900</v>
      </c>
      <c r="BX22" s="37">
        <f t="shared" si="85"/>
        <v>1</v>
      </c>
      <c r="BY22" s="43">
        <v>323.64999999999998</v>
      </c>
      <c r="BZ22" s="43"/>
      <c r="CA22" s="37">
        <f t="shared" si="116"/>
        <v>429.99999999994998</v>
      </c>
      <c r="CB22" s="37">
        <f t="shared" si="59"/>
        <v>1</v>
      </c>
      <c r="CC22" s="37">
        <v>568530</v>
      </c>
      <c r="CD22" s="37">
        <f t="shared" si="23"/>
        <v>790</v>
      </c>
      <c r="CE22" s="41">
        <v>1.0957239999999999</v>
      </c>
      <c r="CF22" s="37">
        <f t="shared" si="98"/>
        <v>893.99999999995043</v>
      </c>
      <c r="CG22" s="37">
        <v>69406.3</v>
      </c>
      <c r="CH22" s="37">
        <f t="shared" si="61"/>
        <v>0</v>
      </c>
      <c r="CI22" s="40">
        <v>12068</v>
      </c>
      <c r="CJ22" s="40"/>
      <c r="CK22" s="37">
        <f t="shared" si="62"/>
        <v>18402.950000000052</v>
      </c>
      <c r="CL22" s="37">
        <f t="shared" si="24"/>
        <v>1</v>
      </c>
      <c r="CM22" s="37">
        <v>3305.9</v>
      </c>
      <c r="CN22" s="37"/>
      <c r="CO22" s="37">
        <f t="shared" si="25"/>
        <v>9532.9500000002736</v>
      </c>
      <c r="CP22" s="37">
        <f t="shared" si="86"/>
        <v>1</v>
      </c>
      <c r="CQ22" s="39">
        <v>3138</v>
      </c>
      <c r="CR22" s="39"/>
      <c r="CS22" s="37">
        <f t="shared" si="26"/>
        <v>8432.9499999999098</v>
      </c>
      <c r="CT22" s="37">
        <f>IF(CS22&lt;=0,0,(CS22/SQRT(CS22^2+(CR22-CR21)^2)))</f>
        <v>1</v>
      </c>
      <c r="CU22" s="37">
        <v>2757600</v>
      </c>
      <c r="CV22" s="37"/>
      <c r="CW22" s="38">
        <f t="shared" si="27"/>
        <v>10400</v>
      </c>
      <c r="CX22" s="37">
        <f t="shared" si="88"/>
        <v>1</v>
      </c>
      <c r="CY22" s="37">
        <v>1426100</v>
      </c>
      <c r="CZ22" s="37"/>
      <c r="DA22" s="37">
        <f t="shared" si="28"/>
        <v>6200</v>
      </c>
      <c r="DB22" s="37">
        <f t="shared" si="89"/>
        <v>1</v>
      </c>
      <c r="DC22" s="37"/>
      <c r="DD22" s="40"/>
      <c r="DE22" s="37">
        <f t="shared" si="29"/>
        <v>0</v>
      </c>
      <c r="DF22" s="37">
        <f t="shared" si="94"/>
        <v>0</v>
      </c>
      <c r="DG22" s="37">
        <f t="shared" si="30"/>
        <v>-58868.850000000239</v>
      </c>
      <c r="DH22" s="37">
        <f t="shared" si="31"/>
        <v>379132.94999999966</v>
      </c>
      <c r="DI22" s="46"/>
      <c r="DJ22" s="46"/>
      <c r="DK22" s="47"/>
      <c r="DL22" s="47"/>
      <c r="DM22" s="37"/>
      <c r="DN22" s="37"/>
      <c r="DO22" s="37"/>
      <c r="DP22" s="37"/>
      <c r="DQ22" s="50">
        <v>3142600</v>
      </c>
      <c r="DR22" s="49">
        <f t="shared" si="63"/>
        <v>7700</v>
      </c>
      <c r="DS22" s="50">
        <v>3066400</v>
      </c>
      <c r="DT22" s="49">
        <f>IF((DS22-DS21)&lt;=0,0,(DS22-DS21))</f>
        <v>18200</v>
      </c>
      <c r="DU22" s="52">
        <v>7829.1</v>
      </c>
      <c r="DV22" s="52">
        <v>4384.1000000000004</v>
      </c>
      <c r="DW22" s="37">
        <f t="shared" si="90"/>
        <v>4100.0000000003638</v>
      </c>
      <c r="DX22" s="52">
        <v>12915</v>
      </c>
      <c r="DY22" s="52">
        <v>8354.4</v>
      </c>
      <c r="DZ22" s="37">
        <f t="shared" si="32"/>
        <v>7832.95</v>
      </c>
      <c r="EA22" s="49">
        <v>29328</v>
      </c>
      <c r="EB22" s="69">
        <v>20.552</v>
      </c>
      <c r="EC22" s="37">
        <f t="shared" si="33"/>
        <v>23992.95</v>
      </c>
      <c r="ED22" s="53">
        <f t="shared" si="34"/>
        <v>35925.900000000365</v>
      </c>
      <c r="EE22" s="49">
        <v>44594</v>
      </c>
      <c r="EF22" s="49">
        <v>28.686</v>
      </c>
      <c r="EG22" s="37">
        <f t="shared" si="35"/>
        <v>32992.949999999997</v>
      </c>
      <c r="EH22" s="52">
        <v>12666</v>
      </c>
      <c r="EI22" s="52">
        <v>1.7047000000000001</v>
      </c>
      <c r="EJ22" s="37">
        <f t="shared" si="36"/>
        <v>11832.95</v>
      </c>
      <c r="EK22" s="37">
        <v>768.99</v>
      </c>
      <c r="EL22" s="40">
        <v>1101.9000000000001</v>
      </c>
      <c r="EM22" s="37">
        <f t="shared" si="65"/>
        <v>639.99999999998636</v>
      </c>
      <c r="EN22" s="54">
        <f t="shared" si="66"/>
        <v>45465.89999999998</v>
      </c>
      <c r="EO22" s="48">
        <v>12728</v>
      </c>
      <c r="EP22" s="48">
        <v>4445.1000000000004</v>
      </c>
      <c r="EQ22" s="37">
        <f t="shared" si="67"/>
        <v>8817.9499999999571</v>
      </c>
      <c r="ER22" s="48">
        <v>8882.5</v>
      </c>
      <c r="ES22" s="48">
        <v>3631</v>
      </c>
      <c r="ET22" s="49">
        <f t="shared" si="96"/>
        <v>8600.0000000003638</v>
      </c>
      <c r="EU22" s="48">
        <v>3319.1</v>
      </c>
      <c r="EV22" s="48">
        <v>1181.3</v>
      </c>
      <c r="EW22" s="49">
        <f t="shared" si="38"/>
        <v>10432.94999999991</v>
      </c>
      <c r="EX22" s="48">
        <v>13098</v>
      </c>
      <c r="EY22" s="48">
        <v>1.4849000000000001</v>
      </c>
      <c r="EZ22" s="37">
        <f t="shared" si="39"/>
        <v>11832.95</v>
      </c>
      <c r="FA22" s="48">
        <f t="shared" si="68"/>
        <v>-22855.850000000231</v>
      </c>
      <c r="FB22" s="48">
        <v>35774929</v>
      </c>
      <c r="FC22" s="49">
        <f t="shared" si="91"/>
        <v>16828</v>
      </c>
      <c r="FD22" s="48">
        <f t="shared" si="69"/>
        <v>40983.850000000188</v>
      </c>
      <c r="FE22" s="48">
        <v>16734</v>
      </c>
      <c r="FF22" s="48">
        <v>5991.5</v>
      </c>
      <c r="FG22" s="37">
        <f t="shared" si="70"/>
        <v>11576.280000000042</v>
      </c>
      <c r="FH22" s="48">
        <v>8200.7000000000007</v>
      </c>
      <c r="FI22" s="48">
        <v>3.1644999999999999</v>
      </c>
      <c r="FJ22" s="49">
        <f t="shared" si="40"/>
        <v>16361.28000000109</v>
      </c>
      <c r="FK22" s="48"/>
      <c r="FL22" s="58">
        <v>-271.67</v>
      </c>
      <c r="FM22" s="48">
        <f t="shared" si="92"/>
        <v>-2832.9466666670437</v>
      </c>
      <c r="FN22" s="48">
        <v>16180</v>
      </c>
      <c r="FO22" s="48">
        <v>0.77470000000000006</v>
      </c>
      <c r="FP22" s="37">
        <f t="shared" si="71"/>
        <v>11561.279999999999</v>
      </c>
      <c r="FQ22" s="48">
        <v>57483</v>
      </c>
      <c r="FR22" s="48">
        <v>13.842000000000001</v>
      </c>
      <c r="FS22" s="37">
        <f t="shared" si="41"/>
        <v>31000</v>
      </c>
      <c r="FT22" s="48">
        <f t="shared" si="72"/>
        <v>-8498.8400000011316</v>
      </c>
      <c r="FU22" s="48">
        <f t="shared" si="73"/>
        <v>39498.840000001132</v>
      </c>
      <c r="FV22" s="44">
        <v>3590100</v>
      </c>
      <c r="FW22" s="44">
        <v>1156100</v>
      </c>
      <c r="FX22" s="37">
        <f t="shared" si="42"/>
        <v>16600</v>
      </c>
      <c r="FY22" s="56">
        <v>3119.8</v>
      </c>
      <c r="FZ22" s="56">
        <v>1.8880999999999999</v>
      </c>
      <c r="GA22" s="37">
        <f t="shared" si="43"/>
        <v>4550</v>
      </c>
      <c r="GB22" s="56">
        <v>787.4</v>
      </c>
      <c r="GC22" s="56">
        <v>880.95</v>
      </c>
      <c r="GD22" s="37">
        <f t="shared" si="44"/>
        <v>600.00000000002274</v>
      </c>
      <c r="GE22" s="56">
        <v>9761.6</v>
      </c>
      <c r="GF22" s="56">
        <v>3.1591999999999998</v>
      </c>
      <c r="GG22" s="37">
        <f t="shared" si="45"/>
        <v>3599.9999999996817</v>
      </c>
      <c r="GH22" s="153">
        <v>1903.7</v>
      </c>
      <c r="GI22" s="162">
        <v>1621</v>
      </c>
      <c r="GJ22" s="38">
        <f t="shared" si="46"/>
        <v>1299.9999999999545</v>
      </c>
      <c r="GK22" s="162">
        <v>1467</v>
      </c>
      <c r="GL22" s="163">
        <v>1119</v>
      </c>
      <c r="GM22" s="38">
        <f t="shared" si="47"/>
        <v>0</v>
      </c>
      <c r="GN22" s="57">
        <v>165710</v>
      </c>
      <c r="GO22" s="57">
        <v>144570</v>
      </c>
      <c r="GP22" s="38">
        <f t="shared" si="95"/>
        <v>0</v>
      </c>
      <c r="GQ22" s="38">
        <v>251360</v>
      </c>
      <c r="GR22" s="38">
        <v>247750</v>
      </c>
      <c r="GS22" s="38">
        <f t="shared" si="74"/>
        <v>950</v>
      </c>
      <c r="GT22" s="178"/>
      <c r="GU22" s="144">
        <f>DailyApr!B21-DailyApr!N21-DailyApr!V21-DailyApr!Y21-DailyApr!Z21-DailyApr!AA21-DailyApr!AB21-DailyApr!AC21-DailyApr!AD21-DailyApr!AE21-DailyApr!AK21-DailyApr!AO21-DailyApr!AS21-DailyApr!AY21-DailyApr!BD21+DailyApr!BU21-DailyApr!BG21-DailyApr!BT21-DailyApr!AF21-DailyApr!AG21</f>
        <v>6.6000001272186637E-2</v>
      </c>
      <c r="GV22" s="59">
        <v>42494.32</v>
      </c>
      <c r="GW22" s="60">
        <f t="shared" si="48"/>
        <v>2832.9546666666665</v>
      </c>
      <c r="GX22" s="61">
        <v>2832.95</v>
      </c>
      <c r="GY22" s="140"/>
      <c r="GZ22" s="62"/>
      <c r="HA22" s="62"/>
      <c r="HB22" s="74"/>
      <c r="HC22" s="62"/>
      <c r="HD22" s="74"/>
      <c r="HE22" s="24">
        <f t="shared" si="49"/>
        <v>0</v>
      </c>
      <c r="HF22" s="151"/>
      <c r="HG22" s="213">
        <v>16</v>
      </c>
      <c r="HH22" s="16">
        <v>6035.9</v>
      </c>
      <c r="HI22" s="16">
        <v>2367</v>
      </c>
      <c r="HJ22" s="16">
        <f t="shared" si="117"/>
        <v>59399.999999999636</v>
      </c>
      <c r="HK22" s="16">
        <v>1.9189000000000001</v>
      </c>
      <c r="HL22" s="16">
        <v>660.93</v>
      </c>
      <c r="HM22" s="16">
        <f t="shared" si="97"/>
        <v>0</v>
      </c>
      <c r="HN22" s="16">
        <v>301.02999999999997</v>
      </c>
      <c r="HO22" s="16">
        <v>150.97999999999999</v>
      </c>
      <c r="HP22" s="16">
        <f t="shared" si="52"/>
        <v>8989.9999999999527</v>
      </c>
      <c r="HQ22" s="16">
        <v>1615</v>
      </c>
      <c r="HR22" s="16">
        <v>716.13</v>
      </c>
      <c r="HS22" s="16">
        <f t="shared" si="53"/>
        <v>16436.666999999954</v>
      </c>
      <c r="HT22" s="16">
        <v>1436.5</v>
      </c>
      <c r="HU22" s="16">
        <v>643.88</v>
      </c>
      <c r="HV22" s="16">
        <f t="shared" si="54"/>
        <v>10036.66700000009</v>
      </c>
      <c r="HW22" s="16">
        <v>1210.5</v>
      </c>
      <c r="HX22" s="16">
        <v>484.66</v>
      </c>
      <c r="HY22" s="16">
        <f t="shared" si="55"/>
        <v>5736.6669999999094</v>
      </c>
      <c r="HZ22" s="16"/>
      <c r="IA22" s="16"/>
      <c r="IB22" s="128">
        <f t="shared" si="99"/>
        <v>18200</v>
      </c>
      <c r="IC22" s="211">
        <f t="shared" si="75"/>
        <v>-1.0000002730521373E-3</v>
      </c>
      <c r="ID22" s="16"/>
      <c r="IE22" s="16"/>
      <c r="IF22" s="16">
        <f t="shared" si="100"/>
        <v>0</v>
      </c>
      <c r="IG22" s="16"/>
      <c r="IH22" s="16"/>
      <c r="II22" s="16">
        <f t="shared" si="101"/>
        <v>0</v>
      </c>
      <c r="IJ22" s="16"/>
      <c r="IK22" s="16"/>
      <c r="IL22" s="16">
        <f t="shared" si="102"/>
        <v>0</v>
      </c>
      <c r="IM22" s="16"/>
      <c r="IN22" s="16"/>
      <c r="IO22" s="16">
        <f t="shared" si="103"/>
        <v>0</v>
      </c>
      <c r="IP22" s="16"/>
      <c r="IQ22" s="16"/>
      <c r="IR22" s="16">
        <f t="shared" si="104"/>
        <v>0</v>
      </c>
      <c r="IS22" s="16"/>
      <c r="IT22" s="16"/>
      <c r="IU22" s="16">
        <f t="shared" si="105"/>
        <v>0</v>
      </c>
      <c r="IV22" s="16"/>
      <c r="IW22" s="16"/>
      <c r="IX22" s="16">
        <f t="shared" si="106"/>
        <v>0</v>
      </c>
      <c r="IY22" s="16"/>
      <c r="IZ22" s="16"/>
      <c r="JA22" s="16">
        <f t="shared" si="107"/>
        <v>0</v>
      </c>
      <c r="JB22" s="16"/>
      <c r="JC22" s="16"/>
      <c r="JD22" s="16">
        <f t="shared" si="108"/>
        <v>0</v>
      </c>
      <c r="JE22" s="16"/>
      <c r="JF22" s="16"/>
      <c r="JG22" s="16">
        <f t="shared" si="109"/>
        <v>0</v>
      </c>
      <c r="JH22" s="16"/>
      <c r="JI22" s="16"/>
      <c r="JJ22" s="16">
        <f t="shared" si="110"/>
        <v>0</v>
      </c>
      <c r="JK22" s="16"/>
      <c r="JL22" s="16"/>
      <c r="JM22" s="16">
        <f t="shared" si="111"/>
        <v>0</v>
      </c>
      <c r="JN22" s="16"/>
      <c r="JO22" s="16"/>
      <c r="JP22" s="16">
        <f t="shared" si="112"/>
        <v>0</v>
      </c>
      <c r="JQ22" s="16"/>
      <c r="JR22" s="16"/>
      <c r="JS22" s="16">
        <f t="shared" si="113"/>
        <v>0</v>
      </c>
      <c r="JT22" s="16"/>
      <c r="JU22" s="16"/>
      <c r="JV22" s="16">
        <f t="shared" si="114"/>
        <v>0</v>
      </c>
      <c r="JW22" s="16"/>
      <c r="JX22" s="16"/>
      <c r="JY22" s="16">
        <f t="shared" si="115"/>
        <v>0</v>
      </c>
      <c r="KA22" s="151">
        <f t="shared" si="76"/>
        <v>8989.9989999996797</v>
      </c>
    </row>
    <row r="23" spans="1:287" x14ac:dyDescent="0.25">
      <c r="A23" s="35">
        <f t="shared" si="0"/>
        <v>17</v>
      </c>
      <c r="B23" s="38">
        <v>3941.85</v>
      </c>
      <c r="C23" s="38">
        <f t="shared" si="1"/>
        <v>4.2199999999997999</v>
      </c>
      <c r="D23" s="38">
        <f t="shared" si="2"/>
        <v>135039.9999999936</v>
      </c>
      <c r="E23" s="38">
        <v>792.53</v>
      </c>
      <c r="F23" s="38">
        <f t="shared" si="3"/>
        <v>19200.000000000728</v>
      </c>
      <c r="G23" s="38">
        <f t="shared" si="4"/>
        <v>154239.99999999432</v>
      </c>
      <c r="H23" s="37"/>
      <c r="I23" s="39"/>
      <c r="J23" s="42"/>
      <c r="K23" s="37">
        <f t="shared" ref="K23:K24" si="118">IF(J23&lt;=0,0,(J23/SQRT(J23^2+(I23-I22)^2)))</f>
        <v>0</v>
      </c>
      <c r="L23" s="40">
        <v>11802600</v>
      </c>
      <c r="M23" s="40"/>
      <c r="N23" s="37">
        <f t="shared" si="78"/>
        <v>156000</v>
      </c>
      <c r="O23" s="37">
        <v>10459</v>
      </c>
      <c r="P23" s="37"/>
      <c r="Q23" s="37">
        <f t="shared" ref="Q23:Q38" si="119">IF((O23-O22)&lt;=0,0,(O23-O22))*1000</f>
        <v>5000</v>
      </c>
      <c r="R23" s="37">
        <f t="shared" ref="R23:R24" si="120">IF(Q23&lt;=0,0,(Q23/SQRT(Q23^2+(P23-P22)^2)))</f>
        <v>1</v>
      </c>
      <c r="S23" s="37">
        <v>11125054.25</v>
      </c>
      <c r="T23" s="37">
        <f t="shared" si="6"/>
        <v>1416.7599999997765</v>
      </c>
      <c r="U23" s="37">
        <v>1518173.85</v>
      </c>
      <c r="V23" s="37">
        <f t="shared" si="7"/>
        <v>0</v>
      </c>
      <c r="W23" s="37">
        <v>3705.7</v>
      </c>
      <c r="X23" s="37">
        <f t="shared" si="93"/>
        <v>3003.2400000002235</v>
      </c>
      <c r="Y23" s="183"/>
      <c r="Z23" s="183"/>
      <c r="AA23" s="37">
        <v>718380</v>
      </c>
      <c r="AB23" s="37">
        <f t="shared" si="8"/>
        <v>580</v>
      </c>
      <c r="AC23" s="37">
        <v>3896.2</v>
      </c>
      <c r="AD23" s="37"/>
      <c r="AE23" s="37">
        <f t="shared" ref="AE23:AE38" si="121">IF((AC23-AC22)&lt;=0,0,(AC23-AC22))*1000</f>
        <v>1000</v>
      </c>
      <c r="AF23" s="37">
        <f t="shared" ref="AF23:AF24" si="122">IF(AE23&lt;=0,0,(AE23/SQRT(AE23^2+(AD23-AD22)^2)))</f>
        <v>1</v>
      </c>
      <c r="AG23" s="37">
        <v>8492.9</v>
      </c>
      <c r="AH23" s="70"/>
      <c r="AI23" s="37">
        <f t="shared" si="10"/>
        <v>2409.5599999992723</v>
      </c>
      <c r="AJ23" s="37">
        <f t="shared" si="11"/>
        <v>1</v>
      </c>
      <c r="AK23" s="37">
        <f t="shared" si="12"/>
        <v>7829.5599999992719</v>
      </c>
      <c r="AL23" s="42">
        <v>10437</v>
      </c>
      <c r="AM23" s="42"/>
      <c r="AN23" s="37">
        <f t="shared" si="57"/>
        <v>1899.5599999998776</v>
      </c>
      <c r="AO23" s="37">
        <f t="shared" si="81"/>
        <v>1</v>
      </c>
      <c r="AP23" s="37">
        <v>8031.7</v>
      </c>
      <c r="AQ23" s="37"/>
      <c r="AR23" s="37">
        <f t="shared" si="13"/>
        <v>2099.9999999994543</v>
      </c>
      <c r="AS23" s="37">
        <f t="shared" si="82"/>
        <v>1</v>
      </c>
      <c r="AT23" s="183"/>
      <c r="AU23" s="183"/>
      <c r="AV23" s="183"/>
      <c r="AW23" s="183"/>
      <c r="AX23" s="37">
        <v>468810</v>
      </c>
      <c r="AY23" s="37"/>
      <c r="AZ23" s="37">
        <f t="shared" si="14"/>
        <v>259.91600000002654</v>
      </c>
      <c r="BA23" s="37">
        <v>124310</v>
      </c>
      <c r="BB23" s="37"/>
      <c r="BC23" s="37">
        <f t="shared" si="15"/>
        <v>407.38999999999942</v>
      </c>
      <c r="BD23" s="37">
        <f t="shared" si="83"/>
        <v>4666.8659999993579</v>
      </c>
      <c r="BE23" s="43">
        <v>1827.7</v>
      </c>
      <c r="BF23" s="43">
        <v>1001.4</v>
      </c>
      <c r="BG23" s="37">
        <f t="shared" si="16"/>
        <v>1500</v>
      </c>
      <c r="BH23" s="44">
        <v>8566.7999999999993</v>
      </c>
      <c r="BI23" s="44">
        <v>5512</v>
      </c>
      <c r="BJ23" s="37">
        <f t="shared" si="17"/>
        <v>6899.9999999996362</v>
      </c>
      <c r="BK23" s="40">
        <v>1422170</v>
      </c>
      <c r="BL23" s="40">
        <f t="shared" si="84"/>
        <v>2970</v>
      </c>
      <c r="BM23" s="40">
        <v>846.34</v>
      </c>
      <c r="BN23" s="37">
        <f t="shared" si="18"/>
        <v>570.00000000005002</v>
      </c>
      <c r="BO23" s="186"/>
      <c r="BP23" s="183">
        <f t="shared" si="19"/>
        <v>0</v>
      </c>
      <c r="BQ23" s="40">
        <v>801.1</v>
      </c>
      <c r="BR23" s="37">
        <f t="shared" si="58"/>
        <v>670.00000000007276</v>
      </c>
      <c r="BS23" s="37">
        <v>91037.72</v>
      </c>
      <c r="BT23" s="37">
        <f t="shared" si="20"/>
        <v>202.14999999999418</v>
      </c>
      <c r="BU23" s="42">
        <v>2410522</v>
      </c>
      <c r="BV23" s="42"/>
      <c r="BW23" s="37">
        <f t="shared" si="21"/>
        <v>2822</v>
      </c>
      <c r="BX23" s="37">
        <f t="shared" si="85"/>
        <v>1</v>
      </c>
      <c r="BY23" s="43">
        <v>323.79230000000001</v>
      </c>
      <c r="BZ23" s="43"/>
      <c r="CA23" s="37">
        <f t="shared" si="116"/>
        <v>142.30000000003429</v>
      </c>
      <c r="CB23" s="37">
        <f t="shared" si="59"/>
        <v>1</v>
      </c>
      <c r="CC23" s="37">
        <v>568997.30000000005</v>
      </c>
      <c r="CD23" s="37">
        <f t="shared" si="23"/>
        <v>467.30000000004657</v>
      </c>
      <c r="CE23" s="41">
        <v>955471.6</v>
      </c>
      <c r="CF23" s="37"/>
      <c r="CG23" s="37">
        <v>69406.3</v>
      </c>
      <c r="CH23" s="37">
        <f t="shared" si="61"/>
        <v>0</v>
      </c>
      <c r="CI23" s="40">
        <v>12076.28</v>
      </c>
      <c r="CJ23" s="40"/>
      <c r="CK23" s="37">
        <f t="shared" si="62"/>
        <v>8247.2600000006205</v>
      </c>
      <c r="CL23" s="37">
        <f t="shared" si="24"/>
        <v>1</v>
      </c>
      <c r="CM23" s="37">
        <v>3308.9789999999998</v>
      </c>
      <c r="CN23" s="37"/>
      <c r="CO23" s="37">
        <f t="shared" si="25"/>
        <v>3188.5599999997235</v>
      </c>
      <c r="CP23" s="37">
        <f t="shared" si="86"/>
        <v>1</v>
      </c>
      <c r="CQ23" s="39">
        <v>3140.598</v>
      </c>
      <c r="CR23" s="39"/>
      <c r="CS23" s="37">
        <f t="shared" si="26"/>
        <v>2707.5599999999563</v>
      </c>
      <c r="CT23" s="37">
        <f>IF(CS23&lt;=0,0,(CS23/SQRT(CS23^2+(CR23-CR22)^2)))</f>
        <v>1</v>
      </c>
      <c r="CU23" s="37">
        <f>CU22+3200</f>
        <v>2760800</v>
      </c>
      <c r="CV23" s="37"/>
      <c r="CW23" s="38">
        <f t="shared" si="27"/>
        <v>3200</v>
      </c>
      <c r="CX23" s="37">
        <f t="shared" si="88"/>
        <v>1</v>
      </c>
      <c r="CY23" s="37">
        <f>CY22+2500</f>
        <v>1428600</v>
      </c>
      <c r="CZ23" s="37"/>
      <c r="DA23" s="37">
        <f t="shared" si="28"/>
        <v>2500</v>
      </c>
      <c r="DB23" s="37">
        <f t="shared" si="89"/>
        <v>1</v>
      </c>
      <c r="DC23" s="37"/>
      <c r="DD23" s="40"/>
      <c r="DE23" s="37">
        <f t="shared" si="29"/>
        <v>0</v>
      </c>
      <c r="DF23" s="37">
        <f t="shared" si="94"/>
        <v>0</v>
      </c>
      <c r="DG23" s="37">
        <f t="shared" si="30"/>
        <v>-22665.380000000299</v>
      </c>
      <c r="DH23" s="37">
        <f t="shared" si="31"/>
        <v>165329.55999999927</v>
      </c>
      <c r="DI23" s="46"/>
      <c r="DJ23" s="46"/>
      <c r="DK23" s="47"/>
      <c r="DL23" s="47"/>
      <c r="DM23" s="37"/>
      <c r="DN23" s="37"/>
      <c r="DO23" s="37"/>
      <c r="DP23" s="37"/>
      <c r="DQ23" s="50">
        <v>3148400</v>
      </c>
      <c r="DR23" s="49">
        <f t="shared" si="63"/>
        <v>5800</v>
      </c>
      <c r="DS23" s="50">
        <v>3081900</v>
      </c>
      <c r="DT23" s="49">
        <f>IF((DS23-DS22)&lt;=0,0,(DS23-DS22))</f>
        <v>15500</v>
      </c>
      <c r="DU23" s="51">
        <v>7830.2</v>
      </c>
      <c r="DV23" s="51">
        <v>4384.5</v>
      </c>
      <c r="DW23" s="37">
        <f t="shared" si="90"/>
        <v>1099.9999999994543</v>
      </c>
      <c r="DX23" s="51">
        <v>12916</v>
      </c>
      <c r="DY23" s="51">
        <v>8355</v>
      </c>
      <c r="DZ23" s="37">
        <f t="shared" si="32"/>
        <v>1109.56</v>
      </c>
      <c r="EA23" s="49">
        <v>29332</v>
      </c>
      <c r="EB23" s="49">
        <v>20.553999999999998</v>
      </c>
      <c r="EC23" s="37">
        <f t="shared" si="33"/>
        <v>6269.56</v>
      </c>
      <c r="ED23" s="53">
        <f t="shared" si="34"/>
        <v>8479.1199999994551</v>
      </c>
      <c r="EE23" s="49">
        <v>44600</v>
      </c>
      <c r="EF23" s="49">
        <v>28.69</v>
      </c>
      <c r="EG23" s="37">
        <f t="shared" si="35"/>
        <v>8269.5600000000013</v>
      </c>
      <c r="EH23" s="51">
        <v>12672</v>
      </c>
      <c r="EI23" s="51">
        <v>1.7058</v>
      </c>
      <c r="EJ23" s="37">
        <f t="shared" si="36"/>
        <v>6109.56</v>
      </c>
      <c r="EK23" s="37">
        <v>769.18</v>
      </c>
      <c r="EL23" s="40">
        <v>1102.0999999999999</v>
      </c>
      <c r="EM23" s="37">
        <f t="shared" si="65"/>
        <v>189.99999999994088</v>
      </c>
      <c r="EN23" s="54">
        <f t="shared" si="66"/>
        <v>14569.119999999944</v>
      </c>
      <c r="EO23" s="48">
        <v>12733</v>
      </c>
      <c r="EP23" s="48">
        <v>4446.1000000000004</v>
      </c>
      <c r="EQ23" s="37">
        <f t="shared" si="67"/>
        <v>4149.5600000000213</v>
      </c>
      <c r="ER23" s="48">
        <v>8884.1</v>
      </c>
      <c r="ES23" s="48">
        <v>3631.8</v>
      </c>
      <c r="ET23" s="49">
        <f t="shared" si="96"/>
        <v>1600.0000000003638</v>
      </c>
      <c r="EU23" s="48">
        <v>3320.2</v>
      </c>
      <c r="EV23" s="48">
        <v>1181.7</v>
      </c>
      <c r="EW23" s="49">
        <f t="shared" si="38"/>
        <v>1209.559999999909</v>
      </c>
      <c r="EX23" s="48">
        <v>13101</v>
      </c>
      <c r="EY23" s="48">
        <v>1.4858</v>
      </c>
      <c r="EZ23" s="37">
        <f t="shared" si="39"/>
        <v>3109.56</v>
      </c>
      <c r="FA23" s="48">
        <f t="shared" si="68"/>
        <v>-4701.6800000002941</v>
      </c>
      <c r="FB23" s="48">
        <v>35780296</v>
      </c>
      <c r="FC23" s="49">
        <f t="shared" si="91"/>
        <v>5367</v>
      </c>
      <c r="FD23" s="48">
        <f t="shared" si="69"/>
        <v>10368.680000000248</v>
      </c>
      <c r="FE23" s="48">
        <v>16737</v>
      </c>
      <c r="FF23" s="48">
        <v>5992.8</v>
      </c>
      <c r="FG23" s="37">
        <f t="shared" si="70"/>
        <v>3749.5599999999795</v>
      </c>
      <c r="FH23" s="48">
        <v>8203.7000000000007</v>
      </c>
      <c r="FI23" s="48">
        <v>3.1657999999999999</v>
      </c>
      <c r="FJ23" s="49">
        <f t="shared" si="40"/>
        <v>2789.56</v>
      </c>
      <c r="FK23" s="48"/>
      <c r="FL23" s="58">
        <v>-320</v>
      </c>
      <c r="FM23" s="48">
        <f t="shared" si="92"/>
        <v>-109.55999999999312</v>
      </c>
      <c r="FN23" s="48">
        <v>16183</v>
      </c>
      <c r="FO23" s="48">
        <v>0.77529999999999999</v>
      </c>
      <c r="FP23" s="37">
        <f t="shared" si="71"/>
        <v>2789.56</v>
      </c>
      <c r="FQ23" s="48">
        <v>57492</v>
      </c>
      <c r="FR23" s="48">
        <v>13.846</v>
      </c>
      <c r="FS23" s="37">
        <f t="shared" si="41"/>
        <v>9000</v>
      </c>
      <c r="FT23" s="48">
        <f t="shared" si="72"/>
        <v>-328.67999999997937</v>
      </c>
      <c r="FU23" s="48">
        <f t="shared" si="73"/>
        <v>9328.6799999999785</v>
      </c>
      <c r="FV23" s="44">
        <v>3594800</v>
      </c>
      <c r="FW23" s="44">
        <v>1157600</v>
      </c>
      <c r="FX23" s="37">
        <f t="shared" si="42"/>
        <v>4700</v>
      </c>
      <c r="FY23" s="56">
        <v>3121</v>
      </c>
      <c r="FZ23" s="56">
        <v>1.8893</v>
      </c>
      <c r="GA23" s="37">
        <f t="shared" si="43"/>
        <v>1159.9999999998181</v>
      </c>
      <c r="GB23" s="56">
        <v>787.76</v>
      </c>
      <c r="GC23" s="56">
        <v>881.45</v>
      </c>
      <c r="GD23" s="37">
        <f t="shared" si="44"/>
        <v>360.00000000001364</v>
      </c>
      <c r="GE23" s="56">
        <v>9762.5</v>
      </c>
      <c r="GF23" s="56">
        <v>3.1602000000000001</v>
      </c>
      <c r="GG23" s="37">
        <f t="shared" si="45"/>
        <v>599.99999999968168</v>
      </c>
      <c r="GH23" s="137">
        <v>1904</v>
      </c>
      <c r="GI23" s="162">
        <v>1621.4</v>
      </c>
      <c r="GJ23" s="38">
        <f t="shared" si="46"/>
        <v>299.99999999995453</v>
      </c>
      <c r="GK23" s="162">
        <v>1467</v>
      </c>
      <c r="GL23" s="163">
        <v>1119.0999999999999</v>
      </c>
      <c r="GM23" s="38">
        <f t="shared" si="47"/>
        <v>0</v>
      </c>
      <c r="GN23" s="57">
        <v>165710</v>
      </c>
      <c r="GO23" s="57">
        <v>144580</v>
      </c>
      <c r="GP23" s="38">
        <f t="shared" si="95"/>
        <v>0</v>
      </c>
      <c r="GQ23" s="38">
        <v>251400</v>
      </c>
      <c r="GR23" s="38">
        <v>247780</v>
      </c>
      <c r="GS23" s="38">
        <f t="shared" si="74"/>
        <v>40</v>
      </c>
      <c r="GT23" s="178"/>
      <c r="GU23" s="144">
        <f>DailyApr!B22-DailyApr!N22-DailyApr!V22-DailyApr!Y22-DailyApr!Z22-DailyApr!AA22-DailyApr!AB22-DailyApr!AC22-DailyApr!AD22-DailyApr!AE22-DailyApr!AK22-DailyApr!AO22-DailyApr!AS22-DailyApr!AY22-DailyApr!BD22+DailyApr!BU22-DailyApr!BG22-DailyApr!BT22-DailyApr!AF22-DailyApr!AG22</f>
        <v>-6.0000035591656342E-3</v>
      </c>
      <c r="GV23" s="59">
        <v>1643.39</v>
      </c>
      <c r="GW23" s="60">
        <f t="shared" si="48"/>
        <v>109.55933333333334</v>
      </c>
      <c r="GX23" s="61">
        <v>109.56</v>
      </c>
      <c r="GY23" s="140"/>
      <c r="GZ23" s="62"/>
      <c r="HA23" s="62"/>
      <c r="HB23" s="74"/>
      <c r="HC23" s="62"/>
      <c r="HD23" s="74"/>
      <c r="HE23" s="24">
        <f t="shared" si="49"/>
        <v>0</v>
      </c>
      <c r="HF23" s="151"/>
      <c r="HG23" s="213">
        <v>17</v>
      </c>
      <c r="HH23" s="16">
        <v>6088.9</v>
      </c>
      <c r="HI23" s="16">
        <v>2388.8000000000002</v>
      </c>
      <c r="HJ23" s="16">
        <f t="shared" si="117"/>
        <v>53000</v>
      </c>
      <c r="HK23" s="16">
        <v>1.9189000000000001</v>
      </c>
      <c r="HL23" s="16">
        <v>660.93</v>
      </c>
      <c r="HM23" s="16">
        <f t="shared" si="97"/>
        <v>0</v>
      </c>
      <c r="HN23" s="16">
        <v>307.75</v>
      </c>
      <c r="HO23" s="16">
        <v>154.47999999999999</v>
      </c>
      <c r="HP23" s="16">
        <f t="shared" si="52"/>
        <v>6720.0000000000273</v>
      </c>
      <c r="HQ23" s="16">
        <v>1629.6</v>
      </c>
      <c r="HR23" s="16">
        <v>723.38</v>
      </c>
      <c r="HS23" s="16">
        <f t="shared" si="53"/>
        <v>14693.333299999909</v>
      </c>
      <c r="HT23" s="16">
        <v>1445.7</v>
      </c>
      <c r="HU23" s="16">
        <v>648.61</v>
      </c>
      <c r="HV23" s="16">
        <f t="shared" si="54"/>
        <v>9293.3333000000457</v>
      </c>
      <c r="HW23" s="16">
        <v>1217.2</v>
      </c>
      <c r="HX23" s="16">
        <v>487.73</v>
      </c>
      <c r="HY23" s="16">
        <f t="shared" si="55"/>
        <v>6793.3333000000457</v>
      </c>
      <c r="HZ23" s="16"/>
      <c r="IA23" s="16"/>
      <c r="IB23" s="128">
        <f t="shared" si="99"/>
        <v>15500</v>
      </c>
      <c r="IC23" s="211">
        <f t="shared" si="75"/>
        <v>9.9999970188946463E-5</v>
      </c>
      <c r="ID23" s="16"/>
      <c r="IE23" s="16"/>
      <c r="IF23" s="16">
        <f t="shared" si="100"/>
        <v>0</v>
      </c>
      <c r="IG23" s="16"/>
      <c r="IH23" s="16"/>
      <c r="II23" s="16">
        <f t="shared" si="101"/>
        <v>0</v>
      </c>
      <c r="IJ23" s="16"/>
      <c r="IK23" s="16"/>
      <c r="IL23" s="16">
        <f t="shared" si="102"/>
        <v>0</v>
      </c>
      <c r="IM23" s="16"/>
      <c r="IN23" s="16"/>
      <c r="IO23" s="16">
        <f t="shared" si="103"/>
        <v>0</v>
      </c>
      <c r="IP23" s="16"/>
      <c r="IQ23" s="16"/>
      <c r="IR23" s="16">
        <f t="shared" si="104"/>
        <v>0</v>
      </c>
      <c r="IS23" s="16"/>
      <c r="IT23" s="16"/>
      <c r="IU23" s="16">
        <f t="shared" si="105"/>
        <v>0</v>
      </c>
      <c r="IV23" s="16"/>
      <c r="IW23" s="16"/>
      <c r="IX23" s="16">
        <f t="shared" si="106"/>
        <v>0</v>
      </c>
      <c r="IY23" s="16"/>
      <c r="IZ23" s="16"/>
      <c r="JA23" s="16">
        <f t="shared" si="107"/>
        <v>0</v>
      </c>
      <c r="JB23" s="16"/>
      <c r="JC23" s="16"/>
      <c r="JD23" s="16">
        <f t="shared" si="108"/>
        <v>0</v>
      </c>
      <c r="JE23" s="16"/>
      <c r="JF23" s="16"/>
      <c r="JG23" s="16">
        <f t="shared" si="109"/>
        <v>0</v>
      </c>
      <c r="JH23" s="16"/>
      <c r="JI23" s="16"/>
      <c r="JJ23" s="16">
        <f t="shared" si="110"/>
        <v>0</v>
      </c>
      <c r="JK23" s="16"/>
      <c r="JL23" s="16"/>
      <c r="JM23" s="16">
        <f t="shared" si="111"/>
        <v>0</v>
      </c>
      <c r="JN23" s="16"/>
      <c r="JO23" s="16"/>
      <c r="JP23" s="16">
        <f t="shared" si="112"/>
        <v>0</v>
      </c>
      <c r="JQ23" s="16"/>
      <c r="JR23" s="16"/>
      <c r="JS23" s="16">
        <f t="shared" si="113"/>
        <v>0</v>
      </c>
      <c r="JT23" s="16"/>
      <c r="JU23" s="16"/>
      <c r="JV23" s="16">
        <f t="shared" si="114"/>
        <v>0</v>
      </c>
      <c r="JW23" s="16"/>
      <c r="JX23" s="16"/>
      <c r="JY23" s="16">
        <f t="shared" si="115"/>
        <v>0</v>
      </c>
      <c r="KA23" s="151">
        <f t="shared" si="76"/>
        <v>6720.0000999999975</v>
      </c>
    </row>
    <row r="24" spans="1:287" x14ac:dyDescent="0.25">
      <c r="A24" s="35">
        <f t="shared" si="0"/>
        <v>18</v>
      </c>
      <c r="B24" s="38">
        <v>3951.79</v>
      </c>
      <c r="C24" s="38">
        <f t="shared" si="1"/>
        <v>9.9400000000000546</v>
      </c>
      <c r="D24" s="38">
        <f t="shared" si="2"/>
        <v>318080.00000000175</v>
      </c>
      <c r="E24" s="38">
        <v>794.55</v>
      </c>
      <c r="F24" s="38">
        <f t="shared" si="3"/>
        <v>64639.999999999418</v>
      </c>
      <c r="G24" s="38">
        <f t="shared" si="4"/>
        <v>382720.00000000116</v>
      </c>
      <c r="H24" s="37"/>
      <c r="I24" s="39"/>
      <c r="J24" s="42"/>
      <c r="K24" s="37">
        <f t="shared" si="118"/>
        <v>0</v>
      </c>
      <c r="L24" s="40">
        <v>11840300</v>
      </c>
      <c r="M24" s="40"/>
      <c r="N24" s="37">
        <f t="shared" si="78"/>
        <v>377000</v>
      </c>
      <c r="O24" s="37">
        <v>10476</v>
      </c>
      <c r="P24" s="37"/>
      <c r="Q24" s="37">
        <f t="shared" si="119"/>
        <v>17000</v>
      </c>
      <c r="R24" s="37">
        <f t="shared" si="120"/>
        <v>1</v>
      </c>
      <c r="S24" s="37">
        <v>11134660.029999999</v>
      </c>
      <c r="T24" s="37">
        <f t="shared" si="6"/>
        <v>9605.7799999993294</v>
      </c>
      <c r="U24" s="37">
        <v>1518173.85</v>
      </c>
      <c r="V24" s="37">
        <f t="shared" si="7"/>
        <v>0</v>
      </c>
      <c r="W24" s="37">
        <v>3712.2</v>
      </c>
      <c r="X24" s="37">
        <f t="shared" si="93"/>
        <v>7374.2200000006706</v>
      </c>
      <c r="Y24" s="183"/>
      <c r="Z24" s="183"/>
      <c r="AA24" s="37">
        <v>718400</v>
      </c>
      <c r="AB24" s="37">
        <f t="shared" si="8"/>
        <v>20</v>
      </c>
      <c r="AC24" s="37">
        <v>3899.5</v>
      </c>
      <c r="AD24" s="37"/>
      <c r="AE24" s="37">
        <f t="shared" si="121"/>
        <v>3300.0000000001819</v>
      </c>
      <c r="AF24" s="37">
        <f t="shared" si="122"/>
        <v>1</v>
      </c>
      <c r="AG24" s="37">
        <v>8500.6</v>
      </c>
      <c r="AH24" s="37"/>
      <c r="AI24" s="37">
        <f t="shared" si="10"/>
        <v>7994.3200000007273</v>
      </c>
      <c r="AJ24" s="37">
        <f t="shared" si="11"/>
        <v>1</v>
      </c>
      <c r="AK24" s="37">
        <f t="shared" si="12"/>
        <v>28274.320000000909</v>
      </c>
      <c r="AL24" s="42">
        <v>10450.6</v>
      </c>
      <c r="AM24" s="42"/>
      <c r="AN24" s="37">
        <f t="shared" si="57"/>
        <v>8844.320000000509</v>
      </c>
      <c r="AO24" s="37">
        <f t="shared" si="81"/>
        <v>1</v>
      </c>
      <c r="AP24" s="37">
        <v>8039.4</v>
      </c>
      <c r="AQ24" s="37"/>
      <c r="AR24" s="37">
        <f t="shared" si="13"/>
        <v>7699.9999999998181</v>
      </c>
      <c r="AS24" s="37">
        <f t="shared" si="82"/>
        <v>1</v>
      </c>
      <c r="AT24" s="183"/>
      <c r="AU24" s="183"/>
      <c r="AV24" s="183"/>
      <c r="AW24" s="183"/>
      <c r="AX24" s="37">
        <v>469190</v>
      </c>
      <c r="AY24" s="37"/>
      <c r="AZ24" s="37">
        <f t="shared" si="14"/>
        <v>380</v>
      </c>
      <c r="BA24" s="37">
        <v>124910</v>
      </c>
      <c r="BB24" s="37"/>
      <c r="BC24" s="37">
        <f t="shared" si="15"/>
        <v>600</v>
      </c>
      <c r="BD24" s="37">
        <f>AN24+AR24+AZ24+BC24</f>
        <v>17524.320000000327</v>
      </c>
      <c r="BE24" s="43">
        <v>1830.7</v>
      </c>
      <c r="BF24" s="43">
        <v>1003</v>
      </c>
      <c r="BG24" s="37">
        <f t="shared" si="16"/>
        <v>3000</v>
      </c>
      <c r="BH24" s="44">
        <v>8575.9</v>
      </c>
      <c r="BI24" s="44">
        <v>5517.9</v>
      </c>
      <c r="BJ24" s="37">
        <f t="shared" si="17"/>
        <v>9100.0000000003638</v>
      </c>
      <c r="BK24" s="40">
        <v>1425810</v>
      </c>
      <c r="BL24" s="40">
        <f t="shared" si="84"/>
        <v>3640</v>
      </c>
      <c r="BM24" s="40">
        <v>847.05</v>
      </c>
      <c r="BN24" s="37">
        <f t="shared" si="18"/>
        <v>709.99999999992269</v>
      </c>
      <c r="BO24" s="186"/>
      <c r="BP24" s="183">
        <f t="shared" si="19"/>
        <v>0</v>
      </c>
      <c r="BQ24" s="40">
        <v>801.8</v>
      </c>
      <c r="BR24" s="37">
        <f t="shared" si="58"/>
        <v>699.99999999993179</v>
      </c>
      <c r="BS24" s="37">
        <v>91257.61</v>
      </c>
      <c r="BT24" s="37">
        <f t="shared" si="20"/>
        <v>219.88999999999942</v>
      </c>
      <c r="BU24" s="42">
        <v>2418503</v>
      </c>
      <c r="BV24" s="42"/>
      <c r="BW24" s="37">
        <f t="shared" si="21"/>
        <v>7981</v>
      </c>
      <c r="BX24" s="37">
        <f t="shared" si="85"/>
        <v>1</v>
      </c>
      <c r="BY24" s="43">
        <v>324.3492</v>
      </c>
      <c r="BZ24" s="37"/>
      <c r="CA24" s="37">
        <f t="shared" si="116"/>
        <v>556.89999999998463</v>
      </c>
      <c r="CB24" s="37">
        <f t="shared" si="59"/>
        <v>1</v>
      </c>
      <c r="CC24" s="37">
        <v>570023.69999999995</v>
      </c>
      <c r="CD24" s="37">
        <f t="shared" si="23"/>
        <v>1026.3999999999069</v>
      </c>
      <c r="CE24" s="41">
        <v>962266.4</v>
      </c>
      <c r="CF24" s="37">
        <f t="shared" si="60"/>
        <v>6794.8000000000466</v>
      </c>
      <c r="CG24" s="37">
        <v>69406.3</v>
      </c>
      <c r="CH24" s="37">
        <f t="shared" si="61"/>
        <v>0</v>
      </c>
      <c r="CI24" s="40">
        <v>12096.71</v>
      </c>
      <c r="CJ24" s="40"/>
      <c r="CK24" s="37">
        <f t="shared" si="62"/>
        <v>20167.419999998488</v>
      </c>
      <c r="CL24" s="37">
        <f t="shared" si="24"/>
        <v>1</v>
      </c>
      <c r="CM24" s="37">
        <v>3317.8319999999999</v>
      </c>
      <c r="CN24" s="37"/>
      <c r="CO24" s="37">
        <f t="shared" si="25"/>
        <v>9147.3200000000652</v>
      </c>
      <c r="CP24" s="37">
        <f t="shared" si="86"/>
        <v>1</v>
      </c>
      <c r="CQ24" s="39">
        <v>3148.098</v>
      </c>
      <c r="CR24" s="39"/>
      <c r="CS24" s="37">
        <f t="shared" si="26"/>
        <v>7794.32</v>
      </c>
      <c r="CT24" s="37">
        <f t="shared" ref="CT24" si="123">IF(CS24&lt;=0,0,(CS24/SQRT(CS24^2+(CR24-CR23)^2)))</f>
        <v>1</v>
      </c>
      <c r="CU24" s="37">
        <f>CU23+14400</f>
        <v>2775200</v>
      </c>
      <c r="CV24" s="37"/>
      <c r="CW24" s="38">
        <f t="shared" si="27"/>
        <v>14400</v>
      </c>
      <c r="CX24" s="37">
        <f t="shared" si="88"/>
        <v>1</v>
      </c>
      <c r="CY24" s="37">
        <f>CY23+8450</f>
        <v>1437050</v>
      </c>
      <c r="CZ24" s="37"/>
      <c r="DA24" s="37">
        <f t="shared" si="28"/>
        <v>8450</v>
      </c>
      <c r="DB24" s="37">
        <f t="shared" si="89"/>
        <v>1</v>
      </c>
      <c r="DC24" s="37"/>
      <c r="DD24" s="40"/>
      <c r="DE24" s="37">
        <f t="shared" si="29"/>
        <v>0</v>
      </c>
      <c r="DF24" s="37">
        <f t="shared" si="94"/>
        <v>0</v>
      </c>
      <c r="DG24" s="37">
        <f t="shared" si="30"/>
        <v>-67940.059999998557</v>
      </c>
      <c r="DH24" s="37">
        <f t="shared" si="31"/>
        <v>408274.32000000088</v>
      </c>
      <c r="DI24" s="46"/>
      <c r="DJ24" s="46"/>
      <c r="DK24" s="47"/>
      <c r="DL24" s="47"/>
      <c r="DM24" s="37"/>
      <c r="DN24" s="37"/>
      <c r="DO24" s="37"/>
      <c r="DP24" s="37"/>
      <c r="DQ24" s="50">
        <v>3155700</v>
      </c>
      <c r="DR24" s="49">
        <f t="shared" si="63"/>
        <v>7300</v>
      </c>
      <c r="DS24" s="50">
        <v>3101100</v>
      </c>
      <c r="DT24" s="49">
        <f>IF((DS24-DS23)&lt;=0,0,(DS24-DS23))</f>
        <v>19200</v>
      </c>
      <c r="DU24" s="51">
        <v>7833.8</v>
      </c>
      <c r="DV24" s="51">
        <v>4386.5</v>
      </c>
      <c r="DW24" s="37">
        <f t="shared" si="90"/>
        <v>3600.0000000003638</v>
      </c>
      <c r="DX24" s="52">
        <v>12922</v>
      </c>
      <c r="DY24" s="52">
        <v>8357.2000000000007</v>
      </c>
      <c r="DZ24" s="37">
        <f t="shared" si="32"/>
        <v>6294.32</v>
      </c>
      <c r="EA24" s="49">
        <v>29351</v>
      </c>
      <c r="EB24" s="49">
        <v>20.564</v>
      </c>
      <c r="EC24" s="37">
        <f t="shared" si="33"/>
        <v>21454.32</v>
      </c>
      <c r="ED24" s="53">
        <f t="shared" si="34"/>
        <v>31348.640000000363</v>
      </c>
      <c r="EE24" s="49">
        <v>44629</v>
      </c>
      <c r="EF24" s="49">
        <v>28.716000000000001</v>
      </c>
      <c r="EG24" s="37">
        <f t="shared" si="35"/>
        <v>31454.32</v>
      </c>
      <c r="EH24" s="51">
        <v>12682</v>
      </c>
      <c r="EI24" s="51">
        <v>1.7073</v>
      </c>
      <c r="EJ24" s="37">
        <f t="shared" si="36"/>
        <v>10294.32</v>
      </c>
      <c r="EK24" s="37">
        <v>769.82</v>
      </c>
      <c r="EL24" s="40">
        <v>1103.0999999999999</v>
      </c>
      <c r="EM24" s="37">
        <f t="shared" si="65"/>
        <v>640.00000000010004</v>
      </c>
      <c r="EN24" s="54">
        <f t="shared" si="66"/>
        <v>42388.640000000101</v>
      </c>
      <c r="EO24" s="48">
        <v>12741</v>
      </c>
      <c r="EP24" s="48">
        <v>4449</v>
      </c>
      <c r="EQ24" s="37">
        <f t="shared" si="67"/>
        <v>7119.3199999999888</v>
      </c>
      <c r="ER24" s="48">
        <v>8894.2000000000007</v>
      </c>
      <c r="ES24" s="48">
        <v>3636.5</v>
      </c>
      <c r="ET24" s="49">
        <f t="shared" si="96"/>
        <v>10100.000000000364</v>
      </c>
      <c r="EU24" s="48">
        <v>3327.9</v>
      </c>
      <c r="EV24" s="48">
        <v>1184.4000000000001</v>
      </c>
      <c r="EW24" s="49">
        <f t="shared" si="38"/>
        <v>7994.3200000002726</v>
      </c>
      <c r="EX24" s="48">
        <v>13111</v>
      </c>
      <c r="EY24" s="48">
        <v>1.4886999999999999</v>
      </c>
      <c r="EZ24" s="37">
        <f t="shared" si="39"/>
        <v>10294.32</v>
      </c>
      <c r="FA24" s="48">
        <f t="shared" si="68"/>
        <v>-17401.960000000625</v>
      </c>
      <c r="FB24" s="48">
        <v>35798402</v>
      </c>
      <c r="FC24" s="49">
        <f t="shared" si="91"/>
        <v>18106</v>
      </c>
      <c r="FD24" s="48">
        <f t="shared" si="69"/>
        <v>37007.960000000625</v>
      </c>
      <c r="FE24" s="48">
        <v>16743</v>
      </c>
      <c r="FF24" s="48">
        <v>5995.5</v>
      </c>
      <c r="FG24" s="37">
        <f t="shared" si="70"/>
        <v>7210.9900000000107</v>
      </c>
      <c r="FH24" s="48">
        <v>8213.2999999999993</v>
      </c>
      <c r="FI24" s="48">
        <v>3.1697000000000002</v>
      </c>
      <c r="FJ24" s="49">
        <f t="shared" si="40"/>
        <v>9635.9899999985446</v>
      </c>
      <c r="FK24" s="48"/>
      <c r="FL24" s="58">
        <v>-258.33</v>
      </c>
      <c r="FM24" s="48">
        <f t="shared" si="92"/>
        <v>-294.32333333285231</v>
      </c>
      <c r="FN24" s="48">
        <v>16191</v>
      </c>
      <c r="FO24" s="48">
        <v>0.77639999999999998</v>
      </c>
      <c r="FP24" s="37">
        <f t="shared" si="71"/>
        <v>8035.99</v>
      </c>
      <c r="FQ24" s="48">
        <v>57516</v>
      </c>
      <c r="FR24" s="48">
        <v>13.853999999999999</v>
      </c>
      <c r="FS24" s="37">
        <f t="shared" si="41"/>
        <v>24000</v>
      </c>
      <c r="FT24" s="48">
        <f t="shared" si="72"/>
        <v>-882.96999999855689</v>
      </c>
      <c r="FU24" s="48">
        <f t="shared" si="73"/>
        <v>24982.969999998462</v>
      </c>
      <c r="FV24" s="44">
        <v>3606700</v>
      </c>
      <c r="FW24" s="44">
        <v>1161400</v>
      </c>
      <c r="FX24" s="37">
        <f t="shared" si="42"/>
        <v>11900</v>
      </c>
      <c r="FY24" s="56">
        <v>3124.4</v>
      </c>
      <c r="FZ24" s="56">
        <v>1.8925000000000001</v>
      </c>
      <c r="GA24" s="37">
        <f t="shared" si="43"/>
        <v>3300.0000000000909</v>
      </c>
      <c r="GB24" s="56">
        <v>788.26</v>
      </c>
      <c r="GC24" s="56">
        <v>882.14</v>
      </c>
      <c r="GD24" s="37">
        <f t="shared" si="44"/>
        <v>500</v>
      </c>
      <c r="GE24" s="56">
        <v>9766.7000000000007</v>
      </c>
      <c r="GF24" s="56">
        <v>3.1637</v>
      </c>
      <c r="GG24" s="37">
        <f t="shared" si="45"/>
        <v>2600.0000000008185</v>
      </c>
      <c r="GH24" s="158">
        <v>1905.5</v>
      </c>
      <c r="GI24" s="159">
        <v>1622.7</v>
      </c>
      <c r="GJ24" s="38">
        <f t="shared" si="46"/>
        <v>1500</v>
      </c>
      <c r="GK24" s="159">
        <v>1467.1</v>
      </c>
      <c r="GL24" s="160">
        <v>1119.0999999999999</v>
      </c>
      <c r="GM24" s="38">
        <f t="shared" si="47"/>
        <v>99.999999999909051</v>
      </c>
      <c r="GN24" s="57">
        <v>165720</v>
      </c>
      <c r="GO24" s="57">
        <v>144580</v>
      </c>
      <c r="GP24" s="38">
        <f t="shared" si="95"/>
        <v>10</v>
      </c>
      <c r="GQ24" s="38">
        <v>251500</v>
      </c>
      <c r="GR24" s="38">
        <v>247850</v>
      </c>
      <c r="GS24" s="38">
        <f t="shared" si="74"/>
        <v>100</v>
      </c>
      <c r="GT24" s="178"/>
      <c r="GU24" s="144">
        <f>DailyApr!B23-DailyApr!N23-DailyApr!V23-DailyApr!Y23-DailyApr!Z23-DailyApr!AA23-DailyApr!AB23-DailyApr!AC23-DailyApr!AD23-DailyApr!AE23-DailyApr!AK23-DailyApr!AO23-DailyApr!AS23-DailyApr!AY23-DailyApr!BD23+DailyApr!BU23-DailyApr!BG23-DailyApr!BT23-DailyApr!AF23-DailyApr!AG23</f>
        <v>-9.9999997473787516E-3</v>
      </c>
      <c r="GV24" s="59">
        <v>4414.79</v>
      </c>
      <c r="GW24" s="60">
        <f t="shared" si="48"/>
        <v>294.3193333333333</v>
      </c>
      <c r="GX24" s="61">
        <v>294.32</v>
      </c>
      <c r="GY24" s="140"/>
      <c r="GZ24" s="62"/>
      <c r="HA24" s="62"/>
      <c r="HB24" s="74"/>
      <c r="HC24" s="62"/>
      <c r="HD24" s="74"/>
      <c r="HE24" s="24">
        <f t="shared" si="49"/>
        <v>0</v>
      </c>
      <c r="HF24" s="151"/>
      <c r="HG24" s="213">
        <v>18</v>
      </c>
      <c r="HH24" s="16">
        <v>6179.3</v>
      </c>
      <c r="HI24" s="16">
        <v>2424.1</v>
      </c>
      <c r="HJ24" s="16">
        <f t="shared" si="117"/>
        <v>90400.000000000553</v>
      </c>
      <c r="HK24" s="16">
        <v>1.9189000000000001</v>
      </c>
      <c r="HL24" s="16">
        <v>660.93</v>
      </c>
      <c r="HM24" s="16">
        <f t="shared" si="97"/>
        <v>0</v>
      </c>
      <c r="HN24" s="16">
        <v>324.88</v>
      </c>
      <c r="HO24" s="16">
        <v>162.08000000000001</v>
      </c>
      <c r="HP24" s="16">
        <f t="shared" si="52"/>
        <v>17129.999999999996</v>
      </c>
      <c r="HQ24" s="16">
        <v>1652.5</v>
      </c>
      <c r="HR24" s="16">
        <v>733.87</v>
      </c>
      <c r="HS24" s="16">
        <f t="shared" si="53"/>
        <v>22890.000000000091</v>
      </c>
      <c r="HT24" s="16">
        <v>1459.1</v>
      </c>
      <c r="HU24" s="16">
        <v>654.84</v>
      </c>
      <c r="HV24" s="16">
        <f t="shared" si="54"/>
        <v>13389.999999999864</v>
      </c>
      <c r="HW24" s="16">
        <v>1235</v>
      </c>
      <c r="HX24" s="16">
        <v>494.51</v>
      </c>
      <c r="HY24" s="16">
        <f t="shared" si="55"/>
        <v>17789.999999999956</v>
      </c>
      <c r="HZ24" s="16"/>
      <c r="IA24" s="16"/>
      <c r="IB24" s="128">
        <f t="shared" si="99"/>
        <v>19200</v>
      </c>
      <c r="IC24" s="211">
        <f t="shared" si="75"/>
        <v>6.5119820646941662E-10</v>
      </c>
      <c r="ID24" s="16"/>
      <c r="IE24" s="16"/>
      <c r="IF24" s="16">
        <f t="shared" si="100"/>
        <v>0</v>
      </c>
      <c r="IG24" s="16"/>
      <c r="IH24" s="16"/>
      <c r="II24" s="16">
        <f t="shared" si="101"/>
        <v>0</v>
      </c>
      <c r="IJ24" s="16"/>
      <c r="IK24" s="16"/>
      <c r="IL24" s="16">
        <f t="shared" si="102"/>
        <v>0</v>
      </c>
      <c r="IM24" s="16"/>
      <c r="IN24" s="16"/>
      <c r="IO24" s="16">
        <f t="shared" si="103"/>
        <v>0</v>
      </c>
      <c r="IP24" s="16"/>
      <c r="IQ24" s="16"/>
      <c r="IR24" s="16">
        <f t="shared" si="104"/>
        <v>0</v>
      </c>
      <c r="IS24" s="16"/>
      <c r="IT24" s="16"/>
      <c r="IU24" s="16">
        <f t="shared" si="105"/>
        <v>0</v>
      </c>
      <c r="IV24" s="16"/>
      <c r="IW24" s="16"/>
      <c r="IX24" s="16">
        <f t="shared" si="106"/>
        <v>0</v>
      </c>
      <c r="IY24" s="16"/>
      <c r="IZ24" s="16"/>
      <c r="JA24" s="16">
        <f t="shared" si="107"/>
        <v>0</v>
      </c>
      <c r="JB24" s="16"/>
      <c r="JC24" s="16"/>
      <c r="JD24" s="16">
        <f t="shared" si="108"/>
        <v>0</v>
      </c>
      <c r="JE24" s="16"/>
      <c r="JF24" s="16"/>
      <c r="JG24" s="16">
        <f t="shared" si="109"/>
        <v>0</v>
      </c>
      <c r="JH24" s="16"/>
      <c r="JI24" s="16"/>
      <c r="JJ24" s="16">
        <f t="shared" si="110"/>
        <v>0</v>
      </c>
      <c r="JK24" s="16"/>
      <c r="JL24" s="16"/>
      <c r="JM24" s="16">
        <f t="shared" si="111"/>
        <v>0</v>
      </c>
      <c r="JN24" s="16"/>
      <c r="JO24" s="16"/>
      <c r="JP24" s="16">
        <f t="shared" si="112"/>
        <v>0</v>
      </c>
      <c r="JQ24" s="16"/>
      <c r="JR24" s="16"/>
      <c r="JS24" s="16">
        <f t="shared" si="113"/>
        <v>0</v>
      </c>
      <c r="JT24" s="16"/>
      <c r="JU24" s="16"/>
      <c r="JV24" s="16">
        <f t="shared" si="114"/>
        <v>0</v>
      </c>
      <c r="JW24" s="16"/>
      <c r="JX24" s="16"/>
      <c r="JY24" s="16">
        <f t="shared" si="115"/>
        <v>0</v>
      </c>
      <c r="KA24" s="151">
        <f t="shared" si="76"/>
        <v>17130.000000000648</v>
      </c>
    </row>
    <row r="25" spans="1:287" x14ac:dyDescent="0.25">
      <c r="A25" s="35">
        <f t="shared" si="0"/>
        <v>19</v>
      </c>
      <c r="B25" s="38">
        <v>3963.3</v>
      </c>
      <c r="C25" s="38">
        <f t="shared" si="1"/>
        <v>11.510000000000218</v>
      </c>
      <c r="D25" s="38">
        <f t="shared" si="2"/>
        <v>368320.00000000698</v>
      </c>
      <c r="E25" s="38">
        <v>796.69</v>
      </c>
      <c r="F25" s="38">
        <f t="shared" si="3"/>
        <v>68480.000000003201</v>
      </c>
      <c r="G25" s="38">
        <f t="shared" si="4"/>
        <v>436800.00000001019</v>
      </c>
      <c r="H25" s="37"/>
      <c r="I25" s="39"/>
      <c r="J25" s="42"/>
      <c r="K25" s="37">
        <f t="shared" si="77"/>
        <v>0</v>
      </c>
      <c r="L25" s="40">
        <v>11883600</v>
      </c>
      <c r="M25" s="40"/>
      <c r="N25" s="37">
        <f t="shared" si="78"/>
        <v>433000</v>
      </c>
      <c r="O25" s="37">
        <v>10494</v>
      </c>
      <c r="P25" s="70"/>
      <c r="Q25" s="37">
        <f t="shared" si="119"/>
        <v>18000</v>
      </c>
      <c r="R25" s="37">
        <f t="shared" si="79"/>
        <v>1</v>
      </c>
      <c r="S25" s="37">
        <v>11144561.609999999</v>
      </c>
      <c r="T25" s="37">
        <f t="shared" si="6"/>
        <v>9901.5800000000745</v>
      </c>
      <c r="U25" s="37">
        <v>1518173.85</v>
      </c>
      <c r="V25" s="37">
        <f t="shared" si="7"/>
        <v>0</v>
      </c>
      <c r="W25" s="37">
        <v>3718.3</v>
      </c>
      <c r="X25" s="37">
        <f t="shared" si="93"/>
        <v>7998.4199999999255</v>
      </c>
      <c r="Y25" s="183"/>
      <c r="Z25" s="183"/>
      <c r="AA25" s="37">
        <v>718500</v>
      </c>
      <c r="AB25" s="37">
        <f t="shared" si="8"/>
        <v>100</v>
      </c>
      <c r="AC25" s="37">
        <v>3904.2</v>
      </c>
      <c r="AD25" s="37"/>
      <c r="AE25" s="37">
        <f t="shared" si="121"/>
        <v>4699.9999999998181</v>
      </c>
      <c r="AF25" s="37">
        <f t="shared" si="80"/>
        <v>1</v>
      </c>
      <c r="AG25" s="37">
        <v>8512.7999999999993</v>
      </c>
      <c r="AH25" s="37"/>
      <c r="AI25" s="37">
        <f t="shared" si="10"/>
        <v>12717.969999998908</v>
      </c>
      <c r="AJ25" s="37">
        <f t="shared" si="11"/>
        <v>1</v>
      </c>
      <c r="AK25" s="37">
        <f t="shared" si="12"/>
        <v>35317.969999998728</v>
      </c>
      <c r="AL25" s="42">
        <v>10464.5</v>
      </c>
      <c r="AM25" s="42"/>
      <c r="AN25" s="37">
        <f t="shared" si="57"/>
        <v>9807.9699999995501</v>
      </c>
      <c r="AO25" s="37">
        <f t="shared" si="81"/>
        <v>1</v>
      </c>
      <c r="AP25" s="37">
        <v>8048.6</v>
      </c>
      <c r="AQ25" s="37"/>
      <c r="AR25" s="37">
        <f t="shared" si="13"/>
        <v>9200.0000000007276</v>
      </c>
      <c r="AS25" s="37">
        <f t="shared" si="82"/>
        <v>1</v>
      </c>
      <c r="AT25" s="183"/>
      <c r="AU25" s="183"/>
      <c r="AV25" s="183"/>
      <c r="AW25" s="183"/>
      <c r="AX25" s="37">
        <v>469590</v>
      </c>
      <c r="AY25" s="37"/>
      <c r="AZ25" s="37">
        <f t="shared" si="14"/>
        <v>400</v>
      </c>
      <c r="BA25" s="37">
        <v>125510</v>
      </c>
      <c r="BB25" s="37"/>
      <c r="BC25" s="37">
        <f t="shared" si="15"/>
        <v>600</v>
      </c>
      <c r="BD25" s="37">
        <f t="shared" si="83"/>
        <v>20007.970000000278</v>
      </c>
      <c r="BE25" s="37">
        <v>1833.1</v>
      </c>
      <c r="BF25" s="37">
        <v>1004.5</v>
      </c>
      <c r="BG25" s="37">
        <f t="shared" si="16"/>
        <v>2399.9999999998636</v>
      </c>
      <c r="BH25" s="44">
        <v>8585.1</v>
      </c>
      <c r="BI25" s="44">
        <v>5523.7</v>
      </c>
      <c r="BJ25" s="37">
        <f t="shared" si="17"/>
        <v>9200.0000000007276</v>
      </c>
      <c r="BK25" s="40">
        <v>1429390</v>
      </c>
      <c r="BL25" s="40">
        <f t="shared" si="84"/>
        <v>3580</v>
      </c>
      <c r="BM25" s="40">
        <v>847.78</v>
      </c>
      <c r="BN25" s="37">
        <f t="shared" si="18"/>
        <v>730.00000000001819</v>
      </c>
      <c r="BO25" s="186"/>
      <c r="BP25" s="183">
        <f t="shared" si="19"/>
        <v>0</v>
      </c>
      <c r="BQ25" s="40">
        <v>802.1</v>
      </c>
      <c r="BR25" s="37">
        <f t="shared" si="58"/>
        <v>300.00000000006821</v>
      </c>
      <c r="BS25" s="37">
        <v>91456.5</v>
      </c>
      <c r="BT25" s="37">
        <f t="shared" si="20"/>
        <v>198.88999999999942</v>
      </c>
      <c r="BU25" s="42">
        <v>2426324</v>
      </c>
      <c r="BV25" s="42"/>
      <c r="BW25" s="37">
        <f t="shared" si="21"/>
        <v>7821</v>
      </c>
      <c r="BX25" s="37">
        <f t="shared" si="85"/>
        <v>1</v>
      </c>
      <c r="BY25" s="37">
        <v>324.87189999999998</v>
      </c>
      <c r="BZ25" s="37"/>
      <c r="CA25" s="37">
        <f t="shared" si="116"/>
        <v>522.69999999998618</v>
      </c>
      <c r="CB25" s="37">
        <f t="shared" si="59"/>
        <v>1</v>
      </c>
      <c r="CC25" s="37">
        <v>571124.1</v>
      </c>
      <c r="CD25" s="37">
        <f t="shared" si="23"/>
        <v>1100.4000000000233</v>
      </c>
      <c r="CE25" s="41">
        <v>968867.4</v>
      </c>
      <c r="CF25" s="37">
        <f t="shared" si="60"/>
        <v>6601</v>
      </c>
      <c r="CG25" s="37">
        <v>69406.3</v>
      </c>
      <c r="CH25" s="37">
        <f t="shared" si="61"/>
        <v>0</v>
      </c>
      <c r="CI25" s="40">
        <v>12117.64</v>
      </c>
      <c r="CJ25" s="40"/>
      <c r="CK25" s="37">
        <f t="shared" si="62"/>
        <v>20925.270000000306</v>
      </c>
      <c r="CL25" s="37">
        <f t="shared" si="24"/>
        <v>1</v>
      </c>
      <c r="CM25" s="37">
        <v>3326.2660000000001</v>
      </c>
      <c r="CN25" s="37"/>
      <c r="CO25" s="37">
        <f t="shared" si="25"/>
        <v>8951.9700000001958</v>
      </c>
      <c r="CP25" s="37">
        <f t="shared" si="86"/>
        <v>1</v>
      </c>
      <c r="CQ25" s="39">
        <v>3155.5590000000002</v>
      </c>
      <c r="CR25" s="39"/>
      <c r="CS25" s="37">
        <f t="shared" si="26"/>
        <v>7978.9700000002404</v>
      </c>
      <c r="CT25" s="37">
        <f t="shared" si="87"/>
        <v>1</v>
      </c>
      <c r="CU25" s="37">
        <v>2790979</v>
      </c>
      <c r="CV25" s="37"/>
      <c r="CW25" s="38">
        <f t="shared" si="27"/>
        <v>15779</v>
      </c>
      <c r="CX25" s="37">
        <f t="shared" si="88"/>
        <v>1</v>
      </c>
      <c r="CY25" s="37">
        <v>1446487</v>
      </c>
      <c r="CZ25" s="37"/>
      <c r="DA25" s="37">
        <f t="shared" si="28"/>
        <v>9437</v>
      </c>
      <c r="DB25" s="37">
        <f t="shared" si="89"/>
        <v>1</v>
      </c>
      <c r="DC25" s="37"/>
      <c r="DD25" s="40"/>
      <c r="DE25" s="37">
        <f t="shared" si="29"/>
        <v>0</v>
      </c>
      <c r="DF25" s="37">
        <f t="shared" si="94"/>
        <v>0</v>
      </c>
      <c r="DG25" s="37">
        <f t="shared" si="30"/>
        <v>-70893.210000000749</v>
      </c>
      <c r="DH25" s="37">
        <f t="shared" si="31"/>
        <v>470717.96999999858</v>
      </c>
      <c r="DI25" s="46"/>
      <c r="DJ25" s="46"/>
      <c r="DK25" s="47"/>
      <c r="DL25" s="47"/>
      <c r="DM25" s="37"/>
      <c r="DN25" s="37"/>
      <c r="DO25" s="37"/>
      <c r="DP25" s="37"/>
      <c r="DQ25" s="50">
        <v>3160200</v>
      </c>
      <c r="DR25" s="49">
        <f t="shared" si="63"/>
        <v>4500</v>
      </c>
      <c r="DS25" s="50">
        <v>3119600</v>
      </c>
      <c r="DT25" s="49">
        <f t="shared" si="64"/>
        <v>18500</v>
      </c>
      <c r="DU25" s="51">
        <v>7838.5</v>
      </c>
      <c r="DV25" s="51">
        <v>4389.3</v>
      </c>
      <c r="DW25" s="37">
        <f t="shared" si="90"/>
        <v>4699.9999999998181</v>
      </c>
      <c r="DX25" s="52">
        <v>12929</v>
      </c>
      <c r="DY25" s="52">
        <v>8359.2000000000007</v>
      </c>
      <c r="DZ25" s="37">
        <f t="shared" si="32"/>
        <v>7517.97</v>
      </c>
      <c r="EA25" s="49">
        <v>29375</v>
      </c>
      <c r="EB25" s="49">
        <v>20.576000000000001</v>
      </c>
      <c r="EC25" s="37">
        <f t="shared" si="33"/>
        <v>26677.97</v>
      </c>
      <c r="ED25" s="53">
        <f t="shared" si="34"/>
        <v>38895.93999999982</v>
      </c>
      <c r="EE25" s="49">
        <v>44659</v>
      </c>
      <c r="EF25" s="49">
        <v>28.742000000000001</v>
      </c>
      <c r="EG25" s="37">
        <f t="shared" si="35"/>
        <v>32677.97</v>
      </c>
      <c r="EH25" s="51">
        <v>12692</v>
      </c>
      <c r="EI25" s="51">
        <v>1.7089000000000001</v>
      </c>
      <c r="EJ25" s="37">
        <f t="shared" si="36"/>
        <v>10517.97</v>
      </c>
      <c r="EK25" s="37">
        <v>770.48</v>
      </c>
      <c r="EL25" s="40">
        <v>1104</v>
      </c>
      <c r="EM25" s="37">
        <f t="shared" si="65"/>
        <v>659.99999999996817</v>
      </c>
      <c r="EN25" s="54">
        <f t="shared" si="66"/>
        <v>43855.939999999973</v>
      </c>
      <c r="EO25" s="48">
        <v>12749</v>
      </c>
      <c r="EP25" s="48">
        <v>4452.1000000000004</v>
      </c>
      <c r="EQ25" s="37">
        <f t="shared" si="67"/>
        <v>7367.9700000000221</v>
      </c>
      <c r="ER25" s="48">
        <v>8908.1</v>
      </c>
      <c r="ES25" s="48">
        <v>3642.6</v>
      </c>
      <c r="ET25" s="49">
        <f t="shared" si="96"/>
        <v>13899.999999999636</v>
      </c>
      <c r="EU25" s="48">
        <v>3336.8</v>
      </c>
      <c r="EV25" s="48">
        <v>1187.5</v>
      </c>
      <c r="EW25" s="49">
        <f t="shared" si="38"/>
        <v>9417.9700000000903</v>
      </c>
      <c r="EX25" s="48">
        <v>13123</v>
      </c>
      <c r="EY25" s="48">
        <v>1.4912000000000001</v>
      </c>
      <c r="EZ25" s="37">
        <f t="shared" si="39"/>
        <v>12517.97</v>
      </c>
      <c r="FA25" s="48">
        <f t="shared" si="68"/>
        <v>-21297.909999999749</v>
      </c>
      <c r="FB25" s="48">
        <v>35820308</v>
      </c>
      <c r="FC25" s="49">
        <f t="shared" si="91"/>
        <v>21906</v>
      </c>
      <c r="FD25" s="48">
        <f t="shared" si="69"/>
        <v>44803.909999999654</v>
      </c>
      <c r="FE25" s="48">
        <v>16753</v>
      </c>
      <c r="FF25" s="48">
        <v>5999.3</v>
      </c>
      <c r="FG25" s="37">
        <f t="shared" si="70"/>
        <v>11351.299999999977</v>
      </c>
      <c r="FH25" s="48">
        <v>8229.1</v>
      </c>
      <c r="FI25" s="48">
        <v>3.1758999999999999</v>
      </c>
      <c r="FJ25" s="49">
        <f t="shared" si="40"/>
        <v>16001.300000001091</v>
      </c>
      <c r="FK25" s="48"/>
      <c r="FL25" s="58">
        <v>-316.67</v>
      </c>
      <c r="FM25" s="48">
        <f t="shared" si="92"/>
        <v>-517.96666666702242</v>
      </c>
      <c r="FN25" s="48">
        <v>16202</v>
      </c>
      <c r="FO25" s="48">
        <v>0.77749999999999997</v>
      </c>
      <c r="FP25" s="37">
        <f t="shared" si="71"/>
        <v>11201.3</v>
      </c>
      <c r="FQ25" s="48">
        <v>57553</v>
      </c>
      <c r="FR25" s="48">
        <v>13.866</v>
      </c>
      <c r="FS25" s="37">
        <f t="shared" si="41"/>
        <v>37000</v>
      </c>
      <c r="FT25" s="48">
        <f t="shared" si="72"/>
        <v>-1553.9000000010674</v>
      </c>
      <c r="FU25" s="48">
        <f>FG25+FJ25+FP25+GM25</f>
        <v>38553.900000001071</v>
      </c>
      <c r="FV25" s="44">
        <v>3621500</v>
      </c>
      <c r="FW25" s="44">
        <v>1165900</v>
      </c>
      <c r="FX25" s="37">
        <f t="shared" si="42"/>
        <v>14800</v>
      </c>
      <c r="FY25" s="56">
        <v>3128.6</v>
      </c>
      <c r="FZ25" s="56">
        <v>1.8965700000000001</v>
      </c>
      <c r="GA25" s="37">
        <f t="shared" si="43"/>
        <v>4009.9999999998181</v>
      </c>
      <c r="GB25" s="56">
        <v>788.72</v>
      </c>
      <c r="GC25" s="56">
        <v>882.77</v>
      </c>
      <c r="GD25" s="37">
        <f t="shared" si="44"/>
        <v>460.00000000003638</v>
      </c>
      <c r="GE25" s="56">
        <v>9771.7000000000007</v>
      </c>
      <c r="GF25" s="56">
        <v>3.1678000000000002</v>
      </c>
      <c r="GG25" s="37">
        <f t="shared" si="45"/>
        <v>3400.0000000000909</v>
      </c>
      <c r="GH25" s="158">
        <v>1907.1</v>
      </c>
      <c r="GI25" s="159">
        <v>1624.4</v>
      </c>
      <c r="GJ25" s="38">
        <f t="shared" si="46"/>
        <v>1599.9999999999091</v>
      </c>
      <c r="GK25" s="159">
        <v>1467.1</v>
      </c>
      <c r="GL25" s="160">
        <v>1119.0999999999999</v>
      </c>
      <c r="GM25" s="38">
        <f t="shared" si="47"/>
        <v>0</v>
      </c>
      <c r="GN25" s="57">
        <v>165720</v>
      </c>
      <c r="GO25" s="57">
        <v>144590</v>
      </c>
      <c r="GP25" s="38">
        <f t="shared" si="95"/>
        <v>0</v>
      </c>
      <c r="GQ25" s="38">
        <v>251690</v>
      </c>
      <c r="GR25" s="38">
        <v>248000</v>
      </c>
      <c r="GS25" s="38">
        <f t="shared" si="74"/>
        <v>190</v>
      </c>
      <c r="GT25" s="178"/>
      <c r="GU25" s="144">
        <f>DailyApr!B24-DailyApr!N24-DailyApr!V24-DailyApr!Y24-DailyApr!Z24-DailyApr!AA24-DailyApr!AB24-DailyApr!AC24-DailyApr!AD24-DailyApr!AE24-DailyApr!AK24-DailyApr!AO24-DailyApr!AS24-DailyApr!AY24-DailyApr!BD24+DailyApr!BU24-DailyApr!BG24-DailyApr!BT24-DailyApr!AF24-DailyApr!AG24</f>
        <v>6.0000009165378287E-2</v>
      </c>
      <c r="GV25" s="59">
        <v>7769.61</v>
      </c>
      <c r="GW25" s="60">
        <f t="shared" si="48"/>
        <v>517.97399999999993</v>
      </c>
      <c r="GX25" s="61">
        <v>517.97</v>
      </c>
      <c r="GY25" s="140"/>
      <c r="GZ25" s="62"/>
      <c r="HA25" s="62"/>
      <c r="HB25" s="74"/>
      <c r="HC25" s="62"/>
      <c r="HD25" s="74"/>
      <c r="HE25" s="24">
        <f t="shared" si="49"/>
        <v>0</v>
      </c>
      <c r="HF25" s="151"/>
      <c r="HG25" s="213">
        <v>19</v>
      </c>
      <c r="HH25" s="16">
        <v>6280.1</v>
      </c>
      <c r="HI25" s="16">
        <v>2462.8000000000002</v>
      </c>
      <c r="HJ25" s="16">
        <f t="shared" si="117"/>
        <v>100800.00000000017</v>
      </c>
      <c r="HK25" s="16">
        <v>1.9189000000000001</v>
      </c>
      <c r="HL25" s="16">
        <v>660.93</v>
      </c>
      <c r="HM25" s="16">
        <f t="shared" si="97"/>
        <v>0</v>
      </c>
      <c r="HN25" s="16">
        <v>344.13</v>
      </c>
      <c r="HO25" s="16">
        <v>170.31</v>
      </c>
      <c r="HP25" s="16">
        <f t="shared" ref="HP25:HP37" si="124">(HN25-HN24)*1000</f>
        <v>19250</v>
      </c>
      <c r="HQ25" s="16">
        <v>1678.2</v>
      </c>
      <c r="HR25" s="16">
        <v>745.28</v>
      </c>
      <c r="HS25" s="16">
        <f t="shared" si="53"/>
        <v>25816.667000000045</v>
      </c>
      <c r="HT25" s="16">
        <v>1477.9</v>
      </c>
      <c r="HU25" s="16">
        <v>662.93</v>
      </c>
      <c r="HV25" s="16">
        <f t="shared" si="54"/>
        <v>18916.667000000183</v>
      </c>
      <c r="HW25" s="16">
        <v>1253.2</v>
      </c>
      <c r="HX25" s="16">
        <v>501.49</v>
      </c>
      <c r="HY25" s="16">
        <f t="shared" si="55"/>
        <v>18316.667000000045</v>
      </c>
      <c r="HZ25" s="16"/>
      <c r="IA25" s="16"/>
      <c r="IB25" s="128">
        <f t="shared" si="99"/>
        <v>18500</v>
      </c>
      <c r="IC25" s="211">
        <f t="shared" si="75"/>
        <v>-1.0000000984291546E-3</v>
      </c>
      <c r="ID25" s="16"/>
      <c r="IE25" s="16"/>
      <c r="IF25" s="16">
        <f t="shared" si="100"/>
        <v>0</v>
      </c>
      <c r="IG25" s="16"/>
      <c r="IH25" s="16"/>
      <c r="II25" s="16">
        <f t="shared" si="101"/>
        <v>0</v>
      </c>
      <c r="IJ25" s="16"/>
      <c r="IK25" s="16"/>
      <c r="IL25" s="16">
        <f t="shared" si="102"/>
        <v>0</v>
      </c>
      <c r="IM25" s="16"/>
      <c r="IN25" s="16"/>
      <c r="IO25" s="16">
        <f t="shared" si="103"/>
        <v>0</v>
      </c>
      <c r="IP25" s="16"/>
      <c r="IQ25" s="16"/>
      <c r="IR25" s="16">
        <f t="shared" si="104"/>
        <v>0</v>
      </c>
      <c r="IS25" s="16"/>
      <c r="IT25" s="16"/>
      <c r="IU25" s="16">
        <f t="shared" si="105"/>
        <v>0</v>
      </c>
      <c r="IV25" s="16"/>
      <c r="IW25" s="16"/>
      <c r="IX25" s="16">
        <f t="shared" si="106"/>
        <v>0</v>
      </c>
      <c r="IY25" s="16"/>
      <c r="IZ25" s="16"/>
      <c r="JA25" s="16">
        <f t="shared" si="107"/>
        <v>0</v>
      </c>
      <c r="JB25" s="16"/>
      <c r="JC25" s="16"/>
      <c r="JD25" s="16">
        <f t="shared" si="108"/>
        <v>0</v>
      </c>
      <c r="JE25" s="16"/>
      <c r="JF25" s="16"/>
      <c r="JG25" s="16">
        <f t="shared" si="109"/>
        <v>0</v>
      </c>
      <c r="JH25" s="16"/>
      <c r="JI25" s="16"/>
      <c r="JJ25" s="16">
        <f t="shared" si="110"/>
        <v>0</v>
      </c>
      <c r="JK25" s="16"/>
      <c r="JL25" s="16"/>
      <c r="JM25" s="16">
        <f t="shared" si="111"/>
        <v>0</v>
      </c>
      <c r="JN25" s="16"/>
      <c r="JO25" s="16"/>
      <c r="JP25" s="16">
        <f t="shared" si="112"/>
        <v>0</v>
      </c>
      <c r="JQ25" s="16"/>
      <c r="JR25" s="16"/>
      <c r="JS25" s="16">
        <f t="shared" si="113"/>
        <v>0</v>
      </c>
      <c r="JT25" s="16"/>
      <c r="JU25" s="16"/>
      <c r="JV25" s="16">
        <f t="shared" si="114"/>
        <v>0</v>
      </c>
      <c r="JW25" s="16"/>
      <c r="JX25" s="16"/>
      <c r="JY25" s="16">
        <f t="shared" si="115"/>
        <v>0</v>
      </c>
      <c r="KA25" s="151">
        <f t="shared" si="76"/>
        <v>19249.998999999902</v>
      </c>
    </row>
    <row r="26" spans="1:287" x14ac:dyDescent="0.25">
      <c r="A26" s="35">
        <f t="shared" si="0"/>
        <v>20</v>
      </c>
      <c r="B26" s="38">
        <v>3974.87</v>
      </c>
      <c r="C26" s="38">
        <f t="shared" si="1"/>
        <v>11.569999999999709</v>
      </c>
      <c r="D26" s="38">
        <f t="shared" si="2"/>
        <v>370239.99999999069</v>
      </c>
      <c r="E26" s="38">
        <v>798.97</v>
      </c>
      <c r="F26" s="38">
        <f t="shared" si="3"/>
        <v>72959.999999999127</v>
      </c>
      <c r="G26" s="38">
        <f t="shared" si="4"/>
        <v>443199.99999998981</v>
      </c>
      <c r="H26" s="37"/>
      <c r="I26" s="39"/>
      <c r="J26" s="42"/>
      <c r="K26" s="37">
        <f t="shared" si="77"/>
        <v>0</v>
      </c>
      <c r="L26" s="40">
        <v>11927600</v>
      </c>
      <c r="M26" s="40"/>
      <c r="N26" s="37">
        <f t="shared" si="78"/>
        <v>440000</v>
      </c>
      <c r="O26" s="37">
        <v>10512</v>
      </c>
      <c r="P26" s="37"/>
      <c r="Q26" s="37">
        <f t="shared" si="119"/>
        <v>18000</v>
      </c>
      <c r="R26" s="37">
        <f t="shared" si="79"/>
        <v>1</v>
      </c>
      <c r="S26" s="37">
        <v>11154388.810000001</v>
      </c>
      <c r="T26" s="37">
        <f t="shared" si="6"/>
        <v>9827.2000000011176</v>
      </c>
      <c r="U26" s="37">
        <v>1518173.85</v>
      </c>
      <c r="V26" s="37">
        <f t="shared" si="7"/>
        <v>0</v>
      </c>
      <c r="W26" s="37">
        <v>3724.9</v>
      </c>
      <c r="X26" s="37">
        <f t="shared" si="93"/>
        <v>8072.7999999988824</v>
      </c>
      <c r="Y26" s="183"/>
      <c r="Z26" s="183"/>
      <c r="AA26" s="37">
        <v>718600</v>
      </c>
      <c r="AB26" s="37">
        <f t="shared" si="8"/>
        <v>100</v>
      </c>
      <c r="AC26" s="37">
        <v>3909.3</v>
      </c>
      <c r="AD26" s="37"/>
      <c r="AE26" s="37">
        <f t="shared" si="121"/>
        <v>5100.0000000003638</v>
      </c>
      <c r="AF26" s="37">
        <f>IF(AE26&lt;=0,0,(AE26/SQRT(AE26^2+(AD26-AD25)^2)))</f>
        <v>1</v>
      </c>
      <c r="AG26" s="37">
        <v>8525.2999999999993</v>
      </c>
      <c r="AH26" s="37"/>
      <c r="AI26" s="37">
        <f t="shared" si="10"/>
        <v>12813.39</v>
      </c>
      <c r="AJ26" s="37">
        <f t="shared" si="11"/>
        <v>1</v>
      </c>
      <c r="AK26" s="37">
        <f t="shared" si="12"/>
        <v>35813.390000000363</v>
      </c>
      <c r="AL26" s="42">
        <v>10478.6</v>
      </c>
      <c r="AM26" s="42"/>
      <c r="AN26" s="37">
        <f t="shared" si="57"/>
        <v>9523.3900000003177</v>
      </c>
      <c r="AO26" s="37">
        <f t="shared" si="81"/>
        <v>1</v>
      </c>
      <c r="AP26" s="37">
        <v>8057.3</v>
      </c>
      <c r="AQ26" s="37"/>
      <c r="AR26" s="37">
        <f t="shared" si="13"/>
        <v>8699.9999999998181</v>
      </c>
      <c r="AS26" s="37">
        <f t="shared" si="82"/>
        <v>1</v>
      </c>
      <c r="AT26" s="183"/>
      <c r="AU26" s="183"/>
      <c r="AV26" s="183"/>
      <c r="AW26" s="183"/>
      <c r="AX26" s="37">
        <v>470000</v>
      </c>
      <c r="AY26" s="37"/>
      <c r="AZ26" s="37">
        <f t="shared" si="14"/>
        <v>410</v>
      </c>
      <c r="BA26" s="37">
        <v>126140</v>
      </c>
      <c r="BB26" s="37"/>
      <c r="BC26" s="37">
        <f t="shared" si="15"/>
        <v>630</v>
      </c>
      <c r="BD26" s="37">
        <f t="shared" si="83"/>
        <v>19263.390000000138</v>
      </c>
      <c r="BE26" s="43">
        <v>1835.9</v>
      </c>
      <c r="BF26" s="43">
        <v>1006.1</v>
      </c>
      <c r="BG26" s="37">
        <f t="shared" si="16"/>
        <v>2800.0000000001819</v>
      </c>
      <c r="BH26" s="44">
        <v>8594.7999999999993</v>
      </c>
      <c r="BI26" s="44">
        <v>5529.6</v>
      </c>
      <c r="BJ26" s="37">
        <f t="shared" si="17"/>
        <v>9699.9999999989086</v>
      </c>
      <c r="BK26" s="40">
        <v>1433080</v>
      </c>
      <c r="BL26" s="40">
        <f t="shared" si="84"/>
        <v>3690</v>
      </c>
      <c r="BM26" s="40">
        <v>848.48</v>
      </c>
      <c r="BN26" s="37">
        <f t="shared" si="18"/>
        <v>700.00000000004547</v>
      </c>
      <c r="BO26" s="186"/>
      <c r="BP26" s="183">
        <f t="shared" si="19"/>
        <v>0</v>
      </c>
      <c r="BQ26" s="40">
        <v>802.6</v>
      </c>
      <c r="BR26" s="37">
        <f t="shared" si="58"/>
        <v>500</v>
      </c>
      <c r="BS26" s="37">
        <v>91684.59</v>
      </c>
      <c r="BT26" s="37">
        <f t="shared" si="20"/>
        <v>228.08999999999651</v>
      </c>
      <c r="BU26" s="42">
        <v>2433474</v>
      </c>
      <c r="BV26" s="42"/>
      <c r="BW26" s="37">
        <f t="shared" si="21"/>
        <v>7150</v>
      </c>
      <c r="BX26" s="37">
        <f t="shared" si="85"/>
        <v>1</v>
      </c>
      <c r="BY26" s="43">
        <v>325.38</v>
      </c>
      <c r="BZ26" s="37"/>
      <c r="CA26" s="37">
        <f t="shared" si="116"/>
        <v>508.1000000000131</v>
      </c>
      <c r="CB26" s="37">
        <f t="shared" si="59"/>
        <v>1</v>
      </c>
      <c r="CC26" s="37">
        <v>572375.1</v>
      </c>
      <c r="CD26" s="37">
        <f t="shared" si="23"/>
        <v>1251</v>
      </c>
      <c r="CE26" s="41">
        <v>974402.5</v>
      </c>
      <c r="CF26" s="37">
        <f t="shared" si="60"/>
        <v>5535.0999999999767</v>
      </c>
      <c r="CG26" s="37">
        <v>69406.3</v>
      </c>
      <c r="CH26" s="37">
        <f t="shared" si="61"/>
        <v>0</v>
      </c>
      <c r="CI26" s="40">
        <v>12138.7</v>
      </c>
      <c r="CJ26" s="40"/>
      <c r="CK26" s="37">
        <f t="shared" si="62"/>
        <v>20865.290000001296</v>
      </c>
      <c r="CL26" s="37">
        <f t="shared" si="24"/>
        <v>1</v>
      </c>
      <c r="CM26" s="37">
        <v>3331.8249999999998</v>
      </c>
      <c r="CN26" s="37"/>
      <c r="CO26" s="37">
        <f t="shared" si="25"/>
        <v>5872.389999999742</v>
      </c>
      <c r="CP26" s="37">
        <f t="shared" si="86"/>
        <v>1</v>
      </c>
      <c r="CQ26" s="39">
        <v>3161.9549999999999</v>
      </c>
      <c r="CR26" s="39"/>
      <c r="CS26" s="37">
        <f t="shared" si="26"/>
        <v>6709.3899999997311</v>
      </c>
      <c r="CT26" s="37">
        <f t="shared" si="87"/>
        <v>1</v>
      </c>
      <c r="CU26" s="37">
        <v>2809429</v>
      </c>
      <c r="CV26" s="37"/>
      <c r="CW26" s="38">
        <f t="shared" si="27"/>
        <v>18450</v>
      </c>
      <c r="CX26" s="37">
        <f t="shared" si="88"/>
        <v>1</v>
      </c>
      <c r="CY26" s="37">
        <v>1457142</v>
      </c>
      <c r="CZ26" s="37"/>
      <c r="DA26" s="37">
        <f t="shared" si="28"/>
        <v>10655</v>
      </c>
      <c r="DB26" s="37">
        <f t="shared" si="89"/>
        <v>1</v>
      </c>
      <c r="DC26" s="37"/>
      <c r="DD26" s="40"/>
      <c r="DE26" s="37">
        <f t="shared" si="29"/>
        <v>0</v>
      </c>
      <c r="DF26" s="37">
        <f t="shared" si="94"/>
        <v>0</v>
      </c>
      <c r="DG26" s="37">
        <f t="shared" si="30"/>
        <v>-69702.070000000764</v>
      </c>
      <c r="DH26" s="37">
        <f t="shared" si="31"/>
        <v>478613.39000000054</v>
      </c>
      <c r="DI26" s="46"/>
      <c r="DJ26" s="46"/>
      <c r="DK26" s="47"/>
      <c r="DL26" s="47"/>
      <c r="DM26" s="37"/>
      <c r="DN26" s="37"/>
      <c r="DO26" s="37"/>
      <c r="DP26" s="37"/>
      <c r="DQ26" s="50">
        <v>3166400</v>
      </c>
      <c r="DR26" s="49">
        <f t="shared" si="63"/>
        <v>6200</v>
      </c>
      <c r="DS26" s="50">
        <v>3139900</v>
      </c>
      <c r="DT26" s="49">
        <f t="shared" si="64"/>
        <v>20300</v>
      </c>
      <c r="DU26" s="51">
        <v>7843.1</v>
      </c>
      <c r="DV26" s="51">
        <v>4392</v>
      </c>
      <c r="DW26" s="37">
        <f t="shared" si="90"/>
        <v>4600.0000000003638</v>
      </c>
      <c r="DX26" s="52">
        <v>12936</v>
      </c>
      <c r="DY26" s="52">
        <v>8361.2999999999993</v>
      </c>
      <c r="DZ26" s="37">
        <f t="shared" si="32"/>
        <v>7313.39</v>
      </c>
      <c r="EA26" s="49">
        <v>29398</v>
      </c>
      <c r="EB26" s="49">
        <v>20.588000000000001</v>
      </c>
      <c r="EC26" s="37">
        <f t="shared" si="33"/>
        <v>25473.39</v>
      </c>
      <c r="ED26" s="53">
        <f t="shared" si="34"/>
        <v>37386.780000000363</v>
      </c>
      <c r="EE26" s="49">
        <v>44690</v>
      </c>
      <c r="EF26" s="49">
        <v>28.768999999999998</v>
      </c>
      <c r="EG26" s="37">
        <f t="shared" si="35"/>
        <v>33473.39</v>
      </c>
      <c r="EH26" s="51">
        <v>12703</v>
      </c>
      <c r="EI26" s="51">
        <v>1.7109000000000001</v>
      </c>
      <c r="EJ26" s="37">
        <f t="shared" si="36"/>
        <v>11313.39</v>
      </c>
      <c r="EK26" s="37">
        <v>771.13</v>
      </c>
      <c r="EL26" s="40">
        <v>1104.9000000000001</v>
      </c>
      <c r="EM26" s="37">
        <f t="shared" si="65"/>
        <v>649.99999999997726</v>
      </c>
      <c r="EN26" s="54">
        <f t="shared" si="66"/>
        <v>45436.779999999977</v>
      </c>
      <c r="EO26" s="48">
        <v>12757</v>
      </c>
      <c r="EP26" s="48">
        <v>4455.1000000000004</v>
      </c>
      <c r="EQ26" s="37">
        <f t="shared" si="67"/>
        <v>7368.3900000000067</v>
      </c>
      <c r="ER26" s="48">
        <v>8922.4</v>
      </c>
      <c r="ES26" s="48">
        <v>3649</v>
      </c>
      <c r="ET26" s="49">
        <f t="shared" si="96"/>
        <v>14299.999999999272</v>
      </c>
      <c r="EU26" s="48">
        <v>3345.7</v>
      </c>
      <c r="EV26" s="48">
        <v>1190.5</v>
      </c>
      <c r="EW26" s="49">
        <f t="shared" si="38"/>
        <v>9213.3899999996356</v>
      </c>
      <c r="EX26" s="48">
        <v>13136</v>
      </c>
      <c r="EY26" s="48">
        <v>1.4923999999999999</v>
      </c>
      <c r="EZ26" s="37">
        <f t="shared" si="39"/>
        <v>13313.39</v>
      </c>
      <c r="FA26" s="48">
        <f t="shared" si="68"/>
        <v>-21952.169999998914</v>
      </c>
      <c r="FB26" s="60">
        <v>35842551</v>
      </c>
      <c r="FC26" s="49">
        <f t="shared" si="91"/>
        <v>22243</v>
      </c>
      <c r="FD26" s="48">
        <f t="shared" si="69"/>
        <v>45695.169999998914</v>
      </c>
      <c r="FE26" s="48">
        <v>16763</v>
      </c>
      <c r="FF26" s="48">
        <v>6003.1</v>
      </c>
      <c r="FG26" s="37">
        <f t="shared" si="70"/>
        <v>10843.389999999992</v>
      </c>
      <c r="FH26" s="48">
        <v>8244.4</v>
      </c>
      <c r="FI26" s="48">
        <v>3.1819999999999999</v>
      </c>
      <c r="FJ26" s="49">
        <f t="shared" si="40"/>
        <v>15198.389999999272</v>
      </c>
      <c r="FK26" s="48"/>
      <c r="FL26" s="58">
        <v>-415</v>
      </c>
      <c r="FM26" s="48">
        <f t="shared" si="92"/>
        <v>-313.38999999975448</v>
      </c>
      <c r="FN26" s="48">
        <v>16213</v>
      </c>
      <c r="FO26" s="48">
        <v>0.77880000000000005</v>
      </c>
      <c r="FP26" s="37">
        <f t="shared" si="71"/>
        <v>10898.39</v>
      </c>
      <c r="FQ26" s="48">
        <v>57589</v>
      </c>
      <c r="FR26" s="48">
        <v>13.877000000000001</v>
      </c>
      <c r="FS26" s="37">
        <f t="shared" si="41"/>
        <v>36000</v>
      </c>
      <c r="FT26" s="48">
        <f t="shared" si="72"/>
        <v>-940.16999999926338</v>
      </c>
      <c r="FU26" s="48">
        <f t="shared" si="73"/>
        <v>36940.169999999263</v>
      </c>
      <c r="FV26" s="71">
        <v>3640400</v>
      </c>
      <c r="FW26" s="44">
        <v>1171600</v>
      </c>
      <c r="FX26" s="37">
        <f t="shared" si="42"/>
        <v>18900</v>
      </c>
      <c r="FY26" s="56">
        <v>3134</v>
      </c>
      <c r="FZ26" s="56">
        <v>1.901</v>
      </c>
      <c r="GA26" s="37">
        <f t="shared" si="43"/>
        <v>5210.0000000000909</v>
      </c>
      <c r="GB26" s="56">
        <v>789.29</v>
      </c>
      <c r="GC26" s="56">
        <v>883.48</v>
      </c>
      <c r="GD26" s="37">
        <f t="shared" si="44"/>
        <v>569.99999999993634</v>
      </c>
      <c r="GE26" s="56">
        <v>9778</v>
      </c>
      <c r="GF26" s="56">
        <v>3.1726000000000001</v>
      </c>
      <c r="GG26" s="37">
        <f t="shared" si="45"/>
        <v>4799.9999999992724</v>
      </c>
      <c r="GH26" s="158">
        <v>1908.6</v>
      </c>
      <c r="GI26" s="159">
        <v>1625.8</v>
      </c>
      <c r="GJ26" s="38">
        <f t="shared" si="46"/>
        <v>1500</v>
      </c>
      <c r="GK26" s="159">
        <v>1467.1</v>
      </c>
      <c r="GL26" s="160">
        <v>1119.0999999999999</v>
      </c>
      <c r="GM26" s="38">
        <f>IF((GK26-GK25)&lt;=0,0,((((GH26-GH25))*1000)+((GK26-GK25))*1000))/2</f>
        <v>0</v>
      </c>
      <c r="GN26" s="57">
        <v>165720</v>
      </c>
      <c r="GO26" s="57">
        <v>144590</v>
      </c>
      <c r="GP26" s="38">
        <f t="shared" si="95"/>
        <v>0</v>
      </c>
      <c r="GQ26" s="38">
        <v>251880</v>
      </c>
      <c r="GR26" s="38">
        <v>248140</v>
      </c>
      <c r="GS26" s="38">
        <f t="shared" si="74"/>
        <v>190</v>
      </c>
      <c r="GT26" s="178"/>
      <c r="GU26" s="144">
        <f>DailyApr!B25-DailyApr!N25-DailyApr!V25-DailyApr!Y25-DailyApr!Z25-DailyApr!AA25-DailyApr!AB25-DailyApr!AC25-DailyApr!AD25-DailyApr!AE25-DailyApr!AK25-DailyApr!AO25-DailyApr!AS25-DailyApr!AY25-DailyApr!BD25+DailyApr!BU25-DailyApr!BG25-DailyApr!BT25-DailyApr!AF25-DailyApr!AG25</f>
        <v>4.9999991562799551E-2</v>
      </c>
      <c r="GV26" s="59">
        <v>4700.8999999999996</v>
      </c>
      <c r="GW26" s="60">
        <f t="shared" si="48"/>
        <v>313.39333333333332</v>
      </c>
      <c r="GX26" s="61">
        <v>313.39</v>
      </c>
      <c r="GY26" s="140"/>
      <c r="GZ26" s="62"/>
      <c r="HA26" s="62"/>
      <c r="HB26" s="74"/>
      <c r="HC26" s="62"/>
      <c r="HD26" s="74"/>
      <c r="HE26" s="24">
        <f t="shared" si="49"/>
        <v>0</v>
      </c>
      <c r="HF26" s="151"/>
      <c r="HG26" s="213">
        <v>20</v>
      </c>
      <c r="HH26" s="16">
        <v>6380.1</v>
      </c>
      <c r="HI26" s="16">
        <v>2501.1</v>
      </c>
      <c r="HJ26" s="16">
        <f t="shared" si="117"/>
        <v>100000</v>
      </c>
      <c r="HK26" s="16">
        <v>1.9189000000000001</v>
      </c>
      <c r="HL26" s="16">
        <v>660.93</v>
      </c>
      <c r="HM26" s="16">
        <f t="shared" si="97"/>
        <v>0</v>
      </c>
      <c r="HN26" s="16">
        <v>365.24</v>
      </c>
      <c r="HO26" s="16">
        <v>179.27</v>
      </c>
      <c r="HP26" s="16">
        <f t="shared" si="124"/>
        <v>21110.000000000015</v>
      </c>
      <c r="HQ26" s="16">
        <v>1704.8</v>
      </c>
      <c r="HR26" s="16">
        <v>757.02</v>
      </c>
      <c r="HS26" s="16">
        <f t="shared" si="53"/>
        <v>26296.669999999907</v>
      </c>
      <c r="HT26" s="16">
        <v>1491.6</v>
      </c>
      <c r="HU26" s="16">
        <v>669.12</v>
      </c>
      <c r="HV26" s="16">
        <f t="shared" si="54"/>
        <v>13396.669999999818</v>
      </c>
      <c r="HW26" s="16">
        <v>1272.4000000000001</v>
      </c>
      <c r="HX26" s="16">
        <v>508.8</v>
      </c>
      <c r="HY26" s="16">
        <f t="shared" si="55"/>
        <v>18896.670000000042</v>
      </c>
      <c r="HZ26" s="16"/>
      <c r="IA26" s="16"/>
      <c r="IB26" s="128">
        <f t="shared" si="99"/>
        <v>20300</v>
      </c>
      <c r="IC26" s="211">
        <f t="shared" si="75"/>
        <v>-9.9999997837585397E-3</v>
      </c>
      <c r="ID26" s="16"/>
      <c r="IE26" s="16"/>
      <c r="IF26" s="16">
        <f t="shared" si="100"/>
        <v>0</v>
      </c>
      <c r="IG26" s="16"/>
      <c r="IH26" s="16"/>
      <c r="II26" s="16">
        <f t="shared" si="101"/>
        <v>0</v>
      </c>
      <c r="IJ26" s="16"/>
      <c r="IK26" s="16"/>
      <c r="IL26" s="16">
        <f t="shared" si="102"/>
        <v>0</v>
      </c>
      <c r="IM26" s="16"/>
      <c r="IN26" s="16"/>
      <c r="IO26" s="16">
        <f t="shared" si="103"/>
        <v>0</v>
      </c>
      <c r="IP26" s="16"/>
      <c r="IQ26" s="16"/>
      <c r="IR26" s="16">
        <f t="shared" si="104"/>
        <v>0</v>
      </c>
      <c r="IS26" s="16"/>
      <c r="IT26" s="16"/>
      <c r="IU26" s="16">
        <f t="shared" si="105"/>
        <v>0</v>
      </c>
      <c r="IV26" s="16"/>
      <c r="IW26" s="16"/>
      <c r="IX26" s="16">
        <f t="shared" si="106"/>
        <v>0</v>
      </c>
      <c r="IY26" s="16"/>
      <c r="IZ26" s="16"/>
      <c r="JA26" s="16">
        <f t="shared" si="107"/>
        <v>0</v>
      </c>
      <c r="JB26" s="16"/>
      <c r="JC26" s="16"/>
      <c r="JD26" s="16">
        <f t="shared" si="108"/>
        <v>0</v>
      </c>
      <c r="JE26" s="16"/>
      <c r="JF26" s="16"/>
      <c r="JG26" s="16">
        <f t="shared" si="109"/>
        <v>0</v>
      </c>
      <c r="JH26" s="16"/>
      <c r="JI26" s="16"/>
      <c r="JJ26" s="16">
        <f t="shared" si="110"/>
        <v>0</v>
      </c>
      <c r="JK26" s="16"/>
      <c r="JL26" s="16"/>
      <c r="JM26" s="16">
        <f t="shared" si="111"/>
        <v>0</v>
      </c>
      <c r="JN26" s="16"/>
      <c r="JO26" s="16"/>
      <c r="JP26" s="16">
        <f t="shared" si="112"/>
        <v>0</v>
      </c>
      <c r="JQ26" s="16"/>
      <c r="JR26" s="16"/>
      <c r="JS26" s="16">
        <f t="shared" si="113"/>
        <v>0</v>
      </c>
      <c r="JT26" s="16"/>
      <c r="JU26" s="16"/>
      <c r="JV26" s="16">
        <f t="shared" si="114"/>
        <v>0</v>
      </c>
      <c r="JW26" s="16"/>
      <c r="JX26" s="16"/>
      <c r="JY26" s="16">
        <f t="shared" si="115"/>
        <v>0</v>
      </c>
      <c r="KA26" s="151">
        <f t="shared" si="76"/>
        <v>21109.990000000231</v>
      </c>
    </row>
    <row r="27" spans="1:287" x14ac:dyDescent="0.25">
      <c r="A27" s="35">
        <f t="shared" si="0"/>
        <v>21</v>
      </c>
      <c r="B27" s="38">
        <v>3986.5</v>
      </c>
      <c r="C27" s="38">
        <f t="shared" si="1"/>
        <v>11.630000000000109</v>
      </c>
      <c r="D27" s="38">
        <f t="shared" si="2"/>
        <v>372160.00000000349</v>
      </c>
      <c r="E27" s="38">
        <v>801.6</v>
      </c>
      <c r="F27" s="38">
        <f t="shared" si="3"/>
        <v>84159.999999999854</v>
      </c>
      <c r="G27" s="38">
        <f t="shared" si="4"/>
        <v>456320.00000000338</v>
      </c>
      <c r="H27" s="37"/>
      <c r="I27" s="39"/>
      <c r="J27" s="42"/>
      <c r="K27" s="37">
        <f t="shared" si="77"/>
        <v>0</v>
      </c>
      <c r="L27" s="40">
        <v>11973300</v>
      </c>
      <c r="M27" s="40"/>
      <c r="N27" s="37">
        <f t="shared" si="78"/>
        <v>457000</v>
      </c>
      <c r="O27" s="37">
        <v>10530.5</v>
      </c>
      <c r="P27" s="37"/>
      <c r="Q27" s="37">
        <f t="shared" si="119"/>
        <v>18500</v>
      </c>
      <c r="R27" s="37">
        <f t="shared" si="79"/>
        <v>1</v>
      </c>
      <c r="S27" s="37">
        <v>11164442.470000001</v>
      </c>
      <c r="T27" s="37">
        <f t="shared" si="6"/>
        <v>10053.660000000149</v>
      </c>
      <c r="U27" s="37">
        <v>1518173.85</v>
      </c>
      <c r="V27" s="37">
        <f t="shared" si="7"/>
        <v>0</v>
      </c>
      <c r="W27" s="37">
        <v>3731.7</v>
      </c>
      <c r="X27" s="37">
        <f t="shared" si="93"/>
        <v>8346.339999999851</v>
      </c>
      <c r="Y27" s="183"/>
      <c r="Z27" s="183"/>
      <c r="AA27" s="37">
        <v>718700</v>
      </c>
      <c r="AB27" s="37">
        <f t="shared" si="8"/>
        <v>100</v>
      </c>
      <c r="AC27" s="37">
        <v>3914.3</v>
      </c>
      <c r="AD27" s="37"/>
      <c r="AE27" s="37">
        <f t="shared" si="121"/>
        <v>5000</v>
      </c>
      <c r="AF27" s="37">
        <f t="shared" si="80"/>
        <v>1</v>
      </c>
      <c r="AG27" s="37">
        <v>8537.4</v>
      </c>
      <c r="AH27" s="37"/>
      <c r="AI27" s="37">
        <f t="shared" si="10"/>
        <v>11772.730000000363</v>
      </c>
      <c r="AJ27" s="37">
        <f t="shared" si="11"/>
        <v>1</v>
      </c>
      <c r="AK27" s="37">
        <f t="shared" si="12"/>
        <v>35172.73000000036</v>
      </c>
      <c r="AL27" s="42">
        <v>10492.5</v>
      </c>
      <c r="AM27" s="42"/>
      <c r="AN27" s="37">
        <f t="shared" si="57"/>
        <v>8812.7299999997504</v>
      </c>
      <c r="AO27" s="37">
        <f t="shared" si="81"/>
        <v>1</v>
      </c>
      <c r="AP27" s="37">
        <v>8066.1</v>
      </c>
      <c r="AQ27" s="37"/>
      <c r="AR27" s="37">
        <f t="shared" si="13"/>
        <v>8800.0000000001819</v>
      </c>
      <c r="AS27" s="37">
        <f t="shared" si="82"/>
        <v>1</v>
      </c>
      <c r="AT27" s="183"/>
      <c r="AU27" s="183"/>
      <c r="AV27" s="183"/>
      <c r="AW27" s="183"/>
      <c r="AX27" s="37">
        <v>470430</v>
      </c>
      <c r="AY27" s="37"/>
      <c r="AZ27" s="37">
        <f t="shared" si="14"/>
        <v>430</v>
      </c>
      <c r="BA27" s="37">
        <v>126810</v>
      </c>
      <c r="BB27" s="37"/>
      <c r="BC27" s="37">
        <f t="shared" si="15"/>
        <v>670</v>
      </c>
      <c r="BD27" s="37">
        <f t="shared" si="83"/>
        <v>18712.72999999993</v>
      </c>
      <c r="BE27" s="43">
        <v>1838.4</v>
      </c>
      <c r="BF27" s="43">
        <v>1007.6</v>
      </c>
      <c r="BG27" s="37">
        <f t="shared" si="16"/>
        <v>2500</v>
      </c>
      <c r="BH27" s="44">
        <v>8604.2999999999993</v>
      </c>
      <c r="BI27" s="44">
        <v>5535.6</v>
      </c>
      <c r="BJ27" s="37">
        <f t="shared" si="17"/>
        <v>9500</v>
      </c>
      <c r="BK27" s="40">
        <v>1436840</v>
      </c>
      <c r="BL27" s="40">
        <f t="shared" si="84"/>
        <v>3760</v>
      </c>
      <c r="BM27" s="40">
        <v>849.18</v>
      </c>
      <c r="BN27" s="37">
        <f t="shared" si="18"/>
        <v>699.99999999993179</v>
      </c>
      <c r="BO27" s="186"/>
      <c r="BP27" s="183">
        <f t="shared" si="19"/>
        <v>0</v>
      </c>
      <c r="BQ27" s="40">
        <v>802.9</v>
      </c>
      <c r="BR27" s="37">
        <f t="shared" si="58"/>
        <v>299.99999999995453</v>
      </c>
      <c r="BS27" s="37">
        <v>91892.76</v>
      </c>
      <c r="BT27" s="37">
        <f t="shared" si="20"/>
        <v>208.16999999999825</v>
      </c>
      <c r="BU27" s="42">
        <v>2440900</v>
      </c>
      <c r="BV27" s="42"/>
      <c r="BW27" s="37">
        <f t="shared" si="21"/>
        <v>7426</v>
      </c>
      <c r="BX27" s="37">
        <f t="shared" si="85"/>
        <v>1</v>
      </c>
      <c r="BY27" s="43">
        <v>325.91950000000003</v>
      </c>
      <c r="BZ27" s="37"/>
      <c r="CA27" s="37">
        <f t="shared" si="116"/>
        <v>539.50000000003229</v>
      </c>
      <c r="CB27" s="37">
        <f t="shared" si="59"/>
        <v>1</v>
      </c>
      <c r="CC27" s="37">
        <v>573414.1</v>
      </c>
      <c r="CD27" s="37">
        <f t="shared" si="23"/>
        <v>1039</v>
      </c>
      <c r="CE27" s="41">
        <v>979856.3</v>
      </c>
      <c r="CF27" s="37">
        <f t="shared" si="60"/>
        <v>5453.8000000000466</v>
      </c>
      <c r="CG27" s="37">
        <v>69877.600000000006</v>
      </c>
      <c r="CH27" s="37">
        <f t="shared" si="61"/>
        <v>471.30000000000291</v>
      </c>
      <c r="CI27" s="40">
        <v>12160.61</v>
      </c>
      <c r="CJ27" s="40"/>
      <c r="CK27" s="37">
        <f t="shared" si="62"/>
        <v>21043.229999999821</v>
      </c>
      <c r="CL27" s="37">
        <f t="shared" si="24"/>
        <v>1</v>
      </c>
      <c r="CM27" s="37">
        <v>3337.877</v>
      </c>
      <c r="CN27" s="37"/>
      <c r="CO27" s="37">
        <f t="shared" si="25"/>
        <v>5724.7300000001342</v>
      </c>
      <c r="CP27" s="37">
        <f t="shared" si="86"/>
        <v>1</v>
      </c>
      <c r="CQ27" s="39">
        <v>3168.7739999999999</v>
      </c>
      <c r="CR27" s="39"/>
      <c r="CS27" s="37">
        <f t="shared" si="26"/>
        <v>6491.7299999999595</v>
      </c>
      <c r="CT27" s="37">
        <f t="shared" si="87"/>
        <v>1</v>
      </c>
      <c r="CU27" s="37">
        <v>2828175</v>
      </c>
      <c r="CV27" s="37"/>
      <c r="CW27" s="38">
        <f t="shared" si="27"/>
        <v>18746</v>
      </c>
      <c r="CX27" s="37">
        <f t="shared" si="88"/>
        <v>1</v>
      </c>
      <c r="CY27" s="37">
        <v>1467168</v>
      </c>
      <c r="CZ27" s="37"/>
      <c r="DA27" s="37">
        <f t="shared" ref="DA27:DA38" si="125">IF((CY27-CY26)&lt;=0,0,(CY27-CY26))/1</f>
        <v>10026</v>
      </c>
      <c r="DB27" s="37">
        <f t="shared" si="89"/>
        <v>1</v>
      </c>
      <c r="DC27" s="37"/>
      <c r="DD27" s="40"/>
      <c r="DE27" s="37">
        <f t="shared" si="29"/>
        <v>0</v>
      </c>
      <c r="DF27" s="37">
        <f t="shared" si="94"/>
        <v>0</v>
      </c>
      <c r="DG27" s="37">
        <f t="shared" si="30"/>
        <v>-69457.689999999915</v>
      </c>
      <c r="DH27" s="37">
        <f t="shared" si="31"/>
        <v>494672.73000000033</v>
      </c>
      <c r="DI27" s="46"/>
      <c r="DJ27" s="46"/>
      <c r="DK27" s="47"/>
      <c r="DL27" s="47"/>
      <c r="DM27" s="37"/>
      <c r="DN27" s="37"/>
      <c r="DO27" s="37"/>
      <c r="DP27" s="37"/>
      <c r="DQ27" s="50">
        <v>3171800</v>
      </c>
      <c r="DR27" s="49">
        <f t="shared" si="63"/>
        <v>5400</v>
      </c>
      <c r="DS27" s="50">
        <v>3158100</v>
      </c>
      <c r="DT27" s="49">
        <f t="shared" si="64"/>
        <v>18200</v>
      </c>
      <c r="DU27" s="51">
        <v>7847.6</v>
      </c>
      <c r="DV27" s="51">
        <v>4394.7</v>
      </c>
      <c r="DW27" s="37">
        <f t="shared" si="90"/>
        <v>4500</v>
      </c>
      <c r="DX27" s="52">
        <v>12944</v>
      </c>
      <c r="DY27" s="52">
        <v>8363.2999999999993</v>
      </c>
      <c r="DZ27" s="37">
        <f t="shared" si="32"/>
        <v>7672.73</v>
      </c>
      <c r="EA27" s="49">
        <v>29421</v>
      </c>
      <c r="EB27" s="49">
        <v>20.599</v>
      </c>
      <c r="EC27" s="37">
        <f t="shared" si="33"/>
        <v>24832.73</v>
      </c>
      <c r="ED27" s="53">
        <f t="shared" si="34"/>
        <v>37005.46</v>
      </c>
      <c r="EE27" s="49">
        <v>44720</v>
      </c>
      <c r="EF27" s="49">
        <v>28.795999999999999</v>
      </c>
      <c r="EG27" s="37">
        <f t="shared" si="35"/>
        <v>31832.73</v>
      </c>
      <c r="EH27" s="51">
        <v>12714</v>
      </c>
      <c r="EI27" s="51">
        <v>1.7125999999999999</v>
      </c>
      <c r="EJ27" s="37">
        <f t="shared" si="36"/>
        <v>10672.73</v>
      </c>
      <c r="EK27" s="37">
        <v>771.84</v>
      </c>
      <c r="EL27" s="40">
        <v>1105.8</v>
      </c>
      <c r="EM27" s="37">
        <f t="shared" si="65"/>
        <v>710.00000000003638</v>
      </c>
      <c r="EN27" s="54">
        <f t="shared" si="66"/>
        <v>43215.460000000036</v>
      </c>
      <c r="EO27" s="48">
        <v>12764</v>
      </c>
      <c r="EP27" s="48">
        <v>4458.3</v>
      </c>
      <c r="EQ27" s="37">
        <f t="shared" si="67"/>
        <v>5622.7299999999886</v>
      </c>
      <c r="ER27" s="48">
        <v>8939.4</v>
      </c>
      <c r="ES27" s="48">
        <v>3656.9</v>
      </c>
      <c r="ET27" s="49">
        <f t="shared" si="96"/>
        <v>17000</v>
      </c>
      <c r="EU27" s="48">
        <v>3355.5</v>
      </c>
      <c r="EV27" s="48">
        <v>1194</v>
      </c>
      <c r="EW27" s="49">
        <f t="shared" si="38"/>
        <v>9472.7300000001815</v>
      </c>
      <c r="EX27" s="48">
        <v>13149</v>
      </c>
      <c r="EY27" s="48">
        <v>1.4956</v>
      </c>
      <c r="EZ27" s="37">
        <f t="shared" si="39"/>
        <v>12672.73</v>
      </c>
      <c r="FA27" s="48">
        <f t="shared" si="68"/>
        <v>-20379.19000000017</v>
      </c>
      <c r="FB27" s="48">
        <v>35866940</v>
      </c>
      <c r="FC27" s="49">
        <f t="shared" si="91"/>
        <v>24389</v>
      </c>
      <c r="FD27" s="48">
        <f t="shared" si="69"/>
        <v>46268.19000000017</v>
      </c>
      <c r="FE27" s="48">
        <v>16773</v>
      </c>
      <c r="FF27" s="48">
        <v>6007.3</v>
      </c>
      <c r="FG27" s="37">
        <f t="shared" si="70"/>
        <v>11072.73000000001</v>
      </c>
      <c r="FH27" s="48">
        <v>8260.2999999999993</v>
      </c>
      <c r="FI27" s="48">
        <v>3.1884000000000001</v>
      </c>
      <c r="FJ27" s="49">
        <f t="shared" si="40"/>
        <v>15922.729999999636</v>
      </c>
      <c r="FK27" s="48"/>
      <c r="FL27" s="58">
        <v>350</v>
      </c>
      <c r="FM27" s="48">
        <f t="shared" si="92"/>
        <v>327.27000000011805</v>
      </c>
      <c r="FN27" s="48">
        <v>16224</v>
      </c>
      <c r="FO27" s="48">
        <v>0.78039999999999998</v>
      </c>
      <c r="FP27" s="37">
        <f t="shared" si="71"/>
        <v>11022.73</v>
      </c>
      <c r="FQ27" s="48">
        <v>57628</v>
      </c>
      <c r="FR27" s="55">
        <v>13.888999999999999</v>
      </c>
      <c r="FS27" s="37">
        <f t="shared" si="41"/>
        <v>39000</v>
      </c>
      <c r="FT27" s="48">
        <f t="shared" si="72"/>
        <v>981.81000000035419</v>
      </c>
      <c r="FU27" s="48">
        <f t="shared" si="73"/>
        <v>38018.189999999646</v>
      </c>
      <c r="FV27" s="44">
        <v>3660500</v>
      </c>
      <c r="FW27" s="44">
        <v>1177600</v>
      </c>
      <c r="FX27" s="37">
        <f t="shared" si="42"/>
        <v>20100</v>
      </c>
      <c r="FY27" s="56">
        <v>3139.9</v>
      </c>
      <c r="FZ27" s="56">
        <v>1.9069</v>
      </c>
      <c r="GA27" s="37">
        <f t="shared" si="43"/>
        <v>5900.0000000000909</v>
      </c>
      <c r="GB27" s="56">
        <v>789.9</v>
      </c>
      <c r="GC27" s="56">
        <v>884.23</v>
      </c>
      <c r="GD27" s="37">
        <f t="shared" si="44"/>
        <v>610.00000000001364</v>
      </c>
      <c r="GE27" s="63">
        <v>9784.2000000000007</v>
      </c>
      <c r="GF27" s="56">
        <v>3.1775000000000002</v>
      </c>
      <c r="GG27" s="37">
        <f t="shared" si="45"/>
        <v>4700.0000000007276</v>
      </c>
      <c r="GH27" s="158">
        <v>1910.1</v>
      </c>
      <c r="GI27" s="159">
        <v>1627.3</v>
      </c>
      <c r="GJ27" s="38">
        <f t="shared" si="46"/>
        <v>1500</v>
      </c>
      <c r="GK27" s="159">
        <v>1467.1</v>
      </c>
      <c r="GL27" s="160">
        <v>1119.0999999999999</v>
      </c>
      <c r="GM27" s="38">
        <f>IF((GK27-GK26)&lt;=0,0,((((GH27-GH26))*1000)+((GK27-GK26))*1000))/2</f>
        <v>0</v>
      </c>
      <c r="GN27" s="57">
        <v>165720</v>
      </c>
      <c r="GO27" s="57">
        <v>144600</v>
      </c>
      <c r="GP27" s="38">
        <f t="shared" si="95"/>
        <v>0</v>
      </c>
      <c r="GQ27" s="38">
        <v>251880</v>
      </c>
      <c r="GR27" s="38">
        <v>248140</v>
      </c>
      <c r="GS27" s="38">
        <f t="shared" si="74"/>
        <v>0</v>
      </c>
      <c r="GT27" s="24"/>
      <c r="GU27" s="144">
        <f>DailyApr!B26-DailyApr!N26-DailyApr!V26-DailyApr!Y26-DailyApr!Z26-DailyApr!AA26-DailyApr!AB26-DailyApr!AC26-DailyApr!AD26-DailyApr!AE26-DailyApr!AK26-DailyApr!AO26-DailyApr!AS26-DailyApr!AY26-DailyApr!BD26+DailyApr!BU26-DailyApr!BG26-DailyApr!BT26-DailyApr!AF26-DailyApr!AG26</f>
        <v>-4.9999997136183083E-2</v>
      </c>
      <c r="GV27" s="59">
        <v>-4909.1000000000004</v>
      </c>
      <c r="GW27" s="60">
        <f t="shared" si="48"/>
        <v>-327.27333333333337</v>
      </c>
      <c r="GX27" s="61">
        <v>-327.27</v>
      </c>
      <c r="GY27" s="140"/>
      <c r="GZ27" s="62"/>
      <c r="HA27" s="62"/>
      <c r="HB27" s="74"/>
      <c r="HC27" s="62"/>
      <c r="HD27" s="62"/>
      <c r="HE27" s="24">
        <f t="shared" si="49"/>
        <v>0</v>
      </c>
      <c r="HF27" s="3"/>
      <c r="HG27" s="213">
        <v>21</v>
      </c>
      <c r="HH27" s="16">
        <v>6495.5</v>
      </c>
      <c r="HI27" s="16">
        <v>2545.1999999999998</v>
      </c>
      <c r="HJ27" s="16">
        <f t="shared" si="117"/>
        <v>115399.99999999964</v>
      </c>
      <c r="HK27" s="16">
        <v>1.9189000000000001</v>
      </c>
      <c r="HL27" s="16">
        <v>660.93</v>
      </c>
      <c r="HM27" s="16">
        <f t="shared" si="97"/>
        <v>0</v>
      </c>
      <c r="HN27" s="16">
        <v>386.18</v>
      </c>
      <c r="HO27" s="16">
        <v>188.26</v>
      </c>
      <c r="HP27" s="16">
        <f t="shared" si="124"/>
        <v>20939.999999999996</v>
      </c>
      <c r="HQ27" s="16">
        <v>1736.4</v>
      </c>
      <c r="HR27" s="16">
        <v>770.52</v>
      </c>
      <c r="HS27" s="16">
        <f t="shared" si="53"/>
        <v>32286.66700000014</v>
      </c>
      <c r="HT27" s="16">
        <v>1514.6</v>
      </c>
      <c r="HU27" s="16">
        <v>678.76</v>
      </c>
      <c r="HV27" s="16">
        <f t="shared" si="54"/>
        <v>23686.667000000001</v>
      </c>
      <c r="HW27" s="16">
        <v>1292</v>
      </c>
      <c r="HX27" s="16">
        <v>516.33000000000004</v>
      </c>
      <c r="HY27" s="16">
        <f t="shared" si="55"/>
        <v>20286.66699999991</v>
      </c>
      <c r="HZ27" s="16"/>
      <c r="IA27" s="16"/>
      <c r="IB27" s="128">
        <f t="shared" si="99"/>
        <v>18200</v>
      </c>
      <c r="IC27" s="211">
        <f t="shared" si="75"/>
        <v>-1.0000004222092684E-3</v>
      </c>
      <c r="ID27" s="16"/>
      <c r="IE27" s="16"/>
      <c r="IF27" s="16">
        <f t="shared" si="100"/>
        <v>0</v>
      </c>
      <c r="IG27" s="16"/>
      <c r="IH27" s="16"/>
      <c r="II27" s="16">
        <f t="shared" si="101"/>
        <v>0</v>
      </c>
      <c r="IJ27" s="16"/>
      <c r="IK27" s="16"/>
      <c r="IL27" s="16">
        <f t="shared" si="102"/>
        <v>0</v>
      </c>
      <c r="IM27" s="16"/>
      <c r="IN27" s="16"/>
      <c r="IO27" s="16">
        <f t="shared" si="103"/>
        <v>0</v>
      </c>
      <c r="IP27" s="16"/>
      <c r="IQ27" s="16"/>
      <c r="IR27" s="16">
        <f t="shared" si="104"/>
        <v>0</v>
      </c>
      <c r="IS27" s="16"/>
      <c r="IT27" s="16"/>
      <c r="IU27" s="16">
        <f t="shared" si="105"/>
        <v>0</v>
      </c>
      <c r="IV27" s="16"/>
      <c r="IW27" s="16"/>
      <c r="IX27" s="16">
        <f t="shared" si="106"/>
        <v>0</v>
      </c>
      <c r="IY27" s="16"/>
      <c r="IZ27" s="16"/>
      <c r="JA27" s="16">
        <f t="shared" si="107"/>
        <v>0</v>
      </c>
      <c r="JB27" s="16"/>
      <c r="JC27" s="16"/>
      <c r="JD27" s="16">
        <f t="shared" si="108"/>
        <v>0</v>
      </c>
      <c r="JE27" s="16"/>
      <c r="JF27" s="16"/>
      <c r="JG27" s="16">
        <f t="shared" si="109"/>
        <v>0</v>
      </c>
      <c r="JH27" s="16"/>
      <c r="JI27" s="16"/>
      <c r="JJ27" s="16">
        <f t="shared" si="110"/>
        <v>0</v>
      </c>
      <c r="JK27" s="16"/>
      <c r="JL27" s="16"/>
      <c r="JM27" s="16">
        <f t="shared" si="111"/>
        <v>0</v>
      </c>
      <c r="JN27" s="16"/>
      <c r="JO27" s="16"/>
      <c r="JP27" s="16">
        <f t="shared" si="112"/>
        <v>0</v>
      </c>
      <c r="JQ27" s="16"/>
      <c r="JR27" s="16"/>
      <c r="JS27" s="16">
        <f t="shared" si="113"/>
        <v>0</v>
      </c>
      <c r="JT27" s="16"/>
      <c r="JU27" s="16"/>
      <c r="JV27" s="16">
        <f t="shared" si="114"/>
        <v>0</v>
      </c>
      <c r="JW27" s="16"/>
      <c r="JX27" s="16"/>
      <c r="JY27" s="16">
        <f t="shared" si="115"/>
        <v>0</v>
      </c>
      <c r="KA27" s="151">
        <f t="shared" si="76"/>
        <v>20939.998999999574</v>
      </c>
    </row>
    <row r="28" spans="1:287" x14ac:dyDescent="0.25">
      <c r="A28" s="35">
        <f t="shared" si="0"/>
        <v>22</v>
      </c>
      <c r="B28" s="38">
        <v>3999.32</v>
      </c>
      <c r="C28" s="38">
        <f t="shared" si="1"/>
        <v>12.820000000000164</v>
      </c>
      <c r="D28" s="38">
        <f t="shared" si="2"/>
        <v>410240.00000000524</v>
      </c>
      <c r="E28" s="38">
        <v>803.9</v>
      </c>
      <c r="F28" s="38">
        <f t="shared" si="3"/>
        <v>73599.999999998545</v>
      </c>
      <c r="G28" s="38">
        <f t="shared" si="4"/>
        <v>483840.00000000378</v>
      </c>
      <c r="H28" s="37"/>
      <c r="I28" s="39"/>
      <c r="J28" s="42"/>
      <c r="K28" s="37">
        <f t="shared" si="77"/>
        <v>0</v>
      </c>
      <c r="L28" s="40">
        <v>12021500</v>
      </c>
      <c r="M28" s="40"/>
      <c r="N28" s="37">
        <f t="shared" si="78"/>
        <v>482000</v>
      </c>
      <c r="O28" s="37">
        <v>10548.7</v>
      </c>
      <c r="P28" s="37"/>
      <c r="Q28" s="37">
        <f t="shared" si="119"/>
        <v>18200.000000000728</v>
      </c>
      <c r="R28" s="37">
        <f t="shared" si="79"/>
        <v>1</v>
      </c>
      <c r="S28" s="37">
        <v>11174406.85</v>
      </c>
      <c r="T28" s="37">
        <f t="shared" si="6"/>
        <v>9964.3799999989569</v>
      </c>
      <c r="U28" s="37">
        <v>1518173.85</v>
      </c>
      <c r="V28" s="37">
        <f>IF((U28-U27)&lt;=0,0,(U28-U27))</f>
        <v>0</v>
      </c>
      <c r="W28" s="37">
        <v>3738.3</v>
      </c>
      <c r="X28" s="37">
        <f t="shared" si="93"/>
        <v>8135.6200000017707</v>
      </c>
      <c r="Y28" s="183"/>
      <c r="Z28" s="183"/>
      <c r="AA28" s="37">
        <v>718800</v>
      </c>
      <c r="AB28" s="37">
        <f t="shared" si="8"/>
        <v>100</v>
      </c>
      <c r="AC28" s="37">
        <v>3919.5</v>
      </c>
      <c r="AD28" s="37"/>
      <c r="AE28" s="37">
        <f t="shared" si="121"/>
        <v>5199.9999999998181</v>
      </c>
      <c r="AF28" s="37">
        <f t="shared" si="80"/>
        <v>1</v>
      </c>
      <c r="AG28" s="37">
        <v>8550</v>
      </c>
      <c r="AH28" s="37"/>
      <c r="AI28" s="37">
        <f t="shared" si="10"/>
        <v>12560.610000000364</v>
      </c>
      <c r="AJ28" s="37">
        <f t="shared" si="11"/>
        <v>1</v>
      </c>
      <c r="AK28" s="37">
        <f t="shared" si="12"/>
        <v>35860.61000000091</v>
      </c>
      <c r="AL28" s="42">
        <v>10507</v>
      </c>
      <c r="AM28" s="2"/>
      <c r="AN28" s="37">
        <f t="shared" si="57"/>
        <v>9440.6099999998914</v>
      </c>
      <c r="AO28" s="37">
        <f t="shared" si="81"/>
        <v>1</v>
      </c>
      <c r="AP28" s="37">
        <v>8075.2</v>
      </c>
      <c r="AQ28" s="37"/>
      <c r="AR28" s="37">
        <f t="shared" si="13"/>
        <v>9099.9999999994543</v>
      </c>
      <c r="AS28" s="37">
        <f t="shared" si="82"/>
        <v>1</v>
      </c>
      <c r="AT28" s="183"/>
      <c r="AU28" s="183"/>
      <c r="AV28" s="183"/>
      <c r="AW28" s="183"/>
      <c r="AX28" s="37">
        <v>470880</v>
      </c>
      <c r="AY28" s="37"/>
      <c r="AZ28" s="37">
        <f t="shared" si="14"/>
        <v>450</v>
      </c>
      <c r="BA28" s="37">
        <v>127480</v>
      </c>
      <c r="BB28" s="37"/>
      <c r="BC28" s="37">
        <f t="shared" si="15"/>
        <v>670</v>
      </c>
      <c r="BD28" s="37">
        <f t="shared" si="83"/>
        <v>19660.609999999346</v>
      </c>
      <c r="BE28" s="43">
        <v>1840.7</v>
      </c>
      <c r="BF28" s="43">
        <v>1009.1</v>
      </c>
      <c r="BG28" s="37">
        <f t="shared" si="16"/>
        <v>2299.9999999999545</v>
      </c>
      <c r="BH28" s="44">
        <v>8614.2000000000007</v>
      </c>
      <c r="BI28" s="44">
        <v>5541.7</v>
      </c>
      <c r="BJ28" s="37">
        <f t="shared" si="17"/>
        <v>9900.0000000014552</v>
      </c>
      <c r="BK28" s="40">
        <v>1440480</v>
      </c>
      <c r="BL28" s="40">
        <f t="shared" si="84"/>
        <v>3640</v>
      </c>
      <c r="BM28" s="40">
        <v>849.86</v>
      </c>
      <c r="BN28" s="37">
        <f t="shared" si="18"/>
        <v>680.00000000006366</v>
      </c>
      <c r="BO28" s="186"/>
      <c r="BP28" s="183">
        <f t="shared" si="19"/>
        <v>0</v>
      </c>
      <c r="BQ28" s="40">
        <v>803.6</v>
      </c>
      <c r="BR28" s="37">
        <f t="shared" si="58"/>
        <v>700.00000000004547</v>
      </c>
      <c r="BS28" s="37">
        <v>92088.94</v>
      </c>
      <c r="BT28" s="37">
        <f t="shared" si="20"/>
        <v>196.18000000000757</v>
      </c>
      <c r="BU28" s="42">
        <v>2451774</v>
      </c>
      <c r="BV28" s="42"/>
      <c r="BW28" s="37">
        <f t="shared" si="21"/>
        <v>10874</v>
      </c>
      <c r="BX28" s="37">
        <f t="shared" si="85"/>
        <v>1</v>
      </c>
      <c r="BY28" s="43">
        <v>326.464</v>
      </c>
      <c r="BZ28" s="37"/>
      <c r="CA28" s="37">
        <f t="shared" si="116"/>
        <v>544.4999999999709</v>
      </c>
      <c r="CB28" s="37">
        <f t="shared" si="59"/>
        <v>1</v>
      </c>
      <c r="CC28" s="37">
        <v>576270.30000000005</v>
      </c>
      <c r="CD28" s="37">
        <f t="shared" si="23"/>
        <v>2856.2000000000698</v>
      </c>
      <c r="CE28" s="41">
        <v>986448.3</v>
      </c>
      <c r="CF28" s="37">
        <f t="shared" si="60"/>
        <v>6592</v>
      </c>
      <c r="CG28" s="37">
        <v>70929.2</v>
      </c>
      <c r="CH28" s="37">
        <f t="shared" si="61"/>
        <v>1051.5999999999913</v>
      </c>
      <c r="CI28" s="40">
        <v>12183.49</v>
      </c>
      <c r="CJ28" s="40"/>
      <c r="CK28" s="37">
        <f t="shared" si="62"/>
        <v>22296.109999999229</v>
      </c>
      <c r="CL28" s="37">
        <f t="shared" si="24"/>
        <v>1</v>
      </c>
      <c r="CM28" s="37">
        <v>3344.3159999999998</v>
      </c>
      <c r="CN28" s="37"/>
      <c r="CO28" s="37">
        <f t="shared" si="25"/>
        <v>6399.6099999998505</v>
      </c>
      <c r="CP28" s="37">
        <f t="shared" si="86"/>
        <v>1</v>
      </c>
      <c r="CQ28" s="39">
        <v>3175.6779999999999</v>
      </c>
      <c r="CR28" s="39"/>
      <c r="CS28" s="37">
        <f t="shared" si="26"/>
        <v>6864.609999999996</v>
      </c>
      <c r="CT28" s="37">
        <f t="shared" si="87"/>
        <v>1</v>
      </c>
      <c r="CU28" s="37">
        <v>2846479</v>
      </c>
      <c r="CV28" s="37"/>
      <c r="CW28" s="38">
        <f t="shared" si="27"/>
        <v>18304</v>
      </c>
      <c r="CX28" s="37">
        <f t="shared" si="88"/>
        <v>1</v>
      </c>
      <c r="CY28" s="37">
        <v>1476635</v>
      </c>
      <c r="CZ28" s="37"/>
      <c r="DA28" s="37">
        <f t="shared" si="125"/>
        <v>9467</v>
      </c>
      <c r="DB28" s="37">
        <f>IF(DA28&lt;=0,0,(DA28/SQRT(DA28^2+(CZ28-CZ27)^2)))</f>
        <v>1</v>
      </c>
      <c r="DC28" s="37"/>
      <c r="DD28" s="40"/>
      <c r="DE28" s="37">
        <f t="shared" si="29"/>
        <v>0</v>
      </c>
      <c r="DF28" s="37">
        <f t="shared" si="94"/>
        <v>0</v>
      </c>
      <c r="DG28" s="37">
        <f t="shared" si="30"/>
        <v>-74205.32999999907</v>
      </c>
      <c r="DH28" s="37">
        <f t="shared" si="31"/>
        <v>520160.61000000086</v>
      </c>
      <c r="DI28" s="46"/>
      <c r="DJ28" s="46"/>
      <c r="DK28" s="47"/>
      <c r="DL28" s="47"/>
      <c r="DM28" s="37"/>
      <c r="DN28" s="37"/>
      <c r="DO28" s="37"/>
      <c r="DP28" s="37"/>
      <c r="DQ28" s="50">
        <v>3177000</v>
      </c>
      <c r="DR28" s="49">
        <f t="shared" si="63"/>
        <v>5200</v>
      </c>
      <c r="DS28" s="50">
        <v>3179100</v>
      </c>
      <c r="DT28" s="49">
        <f t="shared" si="64"/>
        <v>21000</v>
      </c>
      <c r="DU28" s="51">
        <v>7852.3</v>
      </c>
      <c r="DV28" s="51">
        <v>4397.3999999999996</v>
      </c>
      <c r="DW28" s="37">
        <f t="shared" si="90"/>
        <v>4699.9999999998181</v>
      </c>
      <c r="DX28" s="52">
        <v>12951</v>
      </c>
      <c r="DY28" s="52">
        <v>8365.6</v>
      </c>
      <c r="DZ28" s="37">
        <f t="shared" si="32"/>
        <v>6960.61</v>
      </c>
      <c r="EA28" s="49">
        <v>29444</v>
      </c>
      <c r="EB28" s="49">
        <v>20.611000000000001</v>
      </c>
      <c r="EC28" s="37">
        <f t="shared" si="33"/>
        <v>25120.61</v>
      </c>
      <c r="ED28" s="53">
        <f t="shared" si="34"/>
        <v>36781.219999999819</v>
      </c>
      <c r="EE28" s="49">
        <v>44743</v>
      </c>
      <c r="EF28" s="49">
        <v>28.82</v>
      </c>
      <c r="EG28" s="37">
        <f t="shared" si="35"/>
        <v>25120.61</v>
      </c>
      <c r="EH28" s="51">
        <v>12726</v>
      </c>
      <c r="EI28" s="51">
        <v>1.7152000000000001</v>
      </c>
      <c r="EJ28" s="37">
        <f t="shared" si="36"/>
        <v>11960.61</v>
      </c>
      <c r="EK28" s="37">
        <v>772.49</v>
      </c>
      <c r="EL28" s="40">
        <v>1106.8</v>
      </c>
      <c r="EM28" s="37">
        <f t="shared" si="65"/>
        <v>649.99999999997726</v>
      </c>
      <c r="EN28" s="54">
        <f t="shared" si="66"/>
        <v>37731.219999999979</v>
      </c>
      <c r="EO28" s="48">
        <v>12771</v>
      </c>
      <c r="EP28" s="48">
        <v>4461.1000000000004</v>
      </c>
      <c r="EQ28" s="37">
        <f t="shared" si="67"/>
        <v>5945.6100000000133</v>
      </c>
      <c r="ER28" s="48">
        <v>8956</v>
      </c>
      <c r="ES28" s="48">
        <v>3663.2</v>
      </c>
      <c r="ET28" s="49">
        <f t="shared" si="96"/>
        <v>16600.000000000364</v>
      </c>
      <c r="EU28" s="48">
        <v>3365</v>
      </c>
      <c r="EV28" s="48">
        <v>1197.2</v>
      </c>
      <c r="EW28" s="49">
        <f t="shared" si="38"/>
        <v>9460.61</v>
      </c>
      <c r="EX28" s="48">
        <v>13162</v>
      </c>
      <c r="EY28" s="48">
        <v>1.4984999999999999</v>
      </c>
      <c r="EZ28" s="37">
        <f t="shared" si="39"/>
        <v>12960.61</v>
      </c>
      <c r="FA28" s="48">
        <f t="shared" si="68"/>
        <v>-21227.83000000038</v>
      </c>
      <c r="FB28" s="48">
        <v>35890679</v>
      </c>
      <c r="FC28" s="49">
        <f t="shared" si="91"/>
        <v>23739</v>
      </c>
      <c r="FD28" s="48">
        <f t="shared" si="69"/>
        <v>46666.830000000424</v>
      </c>
      <c r="FE28" s="48">
        <v>16783</v>
      </c>
      <c r="FF28" s="48">
        <v>6011.4</v>
      </c>
      <c r="FG28" s="37">
        <f t="shared" si="70"/>
        <v>10837.279999999988</v>
      </c>
      <c r="FH28" s="48">
        <v>8276.7000000000007</v>
      </c>
      <c r="FI28" s="48">
        <v>3.1949999999999998</v>
      </c>
      <c r="FJ28" s="49">
        <f t="shared" si="40"/>
        <v>16222.280000001456</v>
      </c>
      <c r="FK28" s="48"/>
      <c r="FL28" s="58">
        <v>-138.33000000000001</v>
      </c>
      <c r="FM28" s="48">
        <f t="shared" si="92"/>
        <v>39.386666666185192</v>
      </c>
      <c r="FN28" s="48">
        <v>16236</v>
      </c>
      <c r="FO28" s="48">
        <v>0.78220000000000001</v>
      </c>
      <c r="FP28" s="37">
        <f t="shared" si="71"/>
        <v>11822.28</v>
      </c>
      <c r="FQ28" s="48">
        <v>57667</v>
      </c>
      <c r="FR28" s="48">
        <v>13.901999999999999</v>
      </c>
      <c r="FS28" s="37">
        <f t="shared" si="41"/>
        <v>39000</v>
      </c>
      <c r="FT28" s="48">
        <f t="shared" si="72"/>
        <v>118.15999999855558</v>
      </c>
      <c r="FU28" s="48">
        <f t="shared" si="73"/>
        <v>38881.840000001444</v>
      </c>
      <c r="FV28" s="44">
        <v>3694900</v>
      </c>
      <c r="FW28" s="44">
        <v>1188200</v>
      </c>
      <c r="FX28" s="37">
        <f t="shared" si="42"/>
        <v>34400</v>
      </c>
      <c r="FY28" s="56">
        <v>3150.8</v>
      </c>
      <c r="FZ28" s="56">
        <v>1.9138999999999999</v>
      </c>
      <c r="GA28" s="37">
        <f t="shared" si="43"/>
        <v>10290.000000000091</v>
      </c>
      <c r="GB28" s="56">
        <v>790.83</v>
      </c>
      <c r="GC28" s="56">
        <v>885.31</v>
      </c>
      <c r="GD28" s="37">
        <f t="shared" si="44"/>
        <v>930.00000000006366</v>
      </c>
      <c r="GE28" s="56">
        <v>9794</v>
      </c>
      <c r="GF28" s="56">
        <v>3.1846999999999999</v>
      </c>
      <c r="GG28" s="37">
        <f t="shared" si="45"/>
        <v>8099.9999999992269</v>
      </c>
      <c r="GH28" s="158">
        <v>1911.8</v>
      </c>
      <c r="GI28" s="159">
        <v>1628.8</v>
      </c>
      <c r="GJ28" s="38">
        <f t="shared" si="46"/>
        <v>1700.0000000000455</v>
      </c>
      <c r="GK28" s="159">
        <v>1467.1</v>
      </c>
      <c r="GL28" s="160">
        <v>1119.0999999999999</v>
      </c>
      <c r="GM28" s="38">
        <f>IF((GK28-GK27)&lt;=0,0,(GK28-GK27))*1000</f>
        <v>0</v>
      </c>
      <c r="GN28" s="57">
        <v>165730</v>
      </c>
      <c r="GO28" s="57">
        <v>144600</v>
      </c>
      <c r="GP28" s="38">
        <f t="shared" si="95"/>
        <v>10</v>
      </c>
      <c r="GQ28" s="38">
        <v>252490</v>
      </c>
      <c r="GR28" s="38">
        <v>248560</v>
      </c>
      <c r="GS28" s="38">
        <f t="shared" si="74"/>
        <v>610</v>
      </c>
      <c r="GT28" s="178"/>
      <c r="GU28" s="144">
        <f>DailyApr!B27-DailyApr!N27-DailyApr!V27-DailyApr!Y27-DailyApr!Z27-DailyApr!AA27-DailyApr!AB27-DailyApr!AC27-DailyApr!AD27-DailyApr!AE27-DailyApr!AK27-DailyApr!AO27-DailyApr!AS27-DailyApr!AY27-DailyApr!BD27+DailyApr!BU27-DailyApr!BG27-DailyApr!BT27-DailyApr!AF27-DailyApr!AG27</f>
        <v>4.000000239466317E-2</v>
      </c>
      <c r="GV28" s="59">
        <v>-590.80999999999995</v>
      </c>
      <c r="GW28" s="60">
        <f t="shared" si="48"/>
        <v>-39.387333333333331</v>
      </c>
      <c r="GX28" s="61">
        <v>-39.39</v>
      </c>
      <c r="GY28" s="140"/>
      <c r="GZ28" s="62"/>
      <c r="HA28" s="62"/>
      <c r="HB28" s="74"/>
      <c r="HC28" s="62"/>
      <c r="HD28" s="74"/>
      <c r="HE28" s="24">
        <f t="shared" si="49"/>
        <v>0</v>
      </c>
      <c r="HF28" s="151"/>
      <c r="HG28" s="213">
        <v>22</v>
      </c>
      <c r="HH28" s="16">
        <v>6613.4</v>
      </c>
      <c r="HI28" s="16">
        <v>2589.6999999999998</v>
      </c>
      <c r="HJ28" s="16">
        <f>IF((HH28-HH27)&lt;=0,0,(HH28-HH27)*1000)</f>
        <v>117899.99999999964</v>
      </c>
      <c r="HK28" s="16">
        <v>1.9189000000000001</v>
      </c>
      <c r="HL28" s="16">
        <v>660.93</v>
      </c>
      <c r="HM28" s="16">
        <f t="shared" si="97"/>
        <v>0</v>
      </c>
      <c r="HN28" s="16">
        <v>408.72</v>
      </c>
      <c r="HO28" s="16">
        <v>197.61</v>
      </c>
      <c r="HP28" s="16">
        <f t="shared" si="124"/>
        <v>22540.000000000022</v>
      </c>
      <c r="HQ28" s="16">
        <v>1768.8</v>
      </c>
      <c r="HR28" s="16">
        <v>783.88</v>
      </c>
      <c r="HS28" s="16">
        <f t="shared" si="53"/>
        <v>31753.329999999864</v>
      </c>
      <c r="HT28" s="16">
        <v>1538.2</v>
      </c>
      <c r="HU28" s="16">
        <v>688.46</v>
      </c>
      <c r="HV28" s="16">
        <f t="shared" si="54"/>
        <v>22953.33000000014</v>
      </c>
      <c r="HW28" s="16">
        <v>1312.3</v>
      </c>
      <c r="HX28" s="16">
        <v>523.98</v>
      </c>
      <c r="HY28" s="16">
        <f t="shared" si="55"/>
        <v>19653.329999999958</v>
      </c>
      <c r="HZ28" s="16"/>
      <c r="IA28" s="16"/>
      <c r="IB28" s="128">
        <f t="shared" si="99"/>
        <v>21000</v>
      </c>
      <c r="IC28" s="211">
        <f t="shared" si="75"/>
        <v>9.9999996600672603E-3</v>
      </c>
      <c r="ID28" s="16"/>
      <c r="IE28" s="16"/>
      <c r="IF28" s="16">
        <f t="shared" si="100"/>
        <v>0</v>
      </c>
      <c r="IG28" s="16"/>
      <c r="IH28" s="16"/>
      <c r="II28" s="16">
        <f t="shared" si="101"/>
        <v>0</v>
      </c>
      <c r="IJ28" s="16"/>
      <c r="IK28" s="16"/>
      <c r="IL28" s="16">
        <f t="shared" si="102"/>
        <v>0</v>
      </c>
      <c r="IM28" s="16"/>
      <c r="IN28" s="16"/>
      <c r="IO28" s="16">
        <f t="shared" si="103"/>
        <v>0</v>
      </c>
      <c r="IP28" s="16"/>
      <c r="IQ28" s="16"/>
      <c r="IR28" s="16">
        <f t="shared" si="104"/>
        <v>0</v>
      </c>
      <c r="IS28" s="16"/>
      <c r="IT28" s="16"/>
      <c r="IU28" s="16">
        <f t="shared" si="105"/>
        <v>0</v>
      </c>
      <c r="IV28" s="16"/>
      <c r="IW28" s="16"/>
      <c r="IX28" s="16">
        <f t="shared" si="106"/>
        <v>0</v>
      </c>
      <c r="IY28" s="16"/>
      <c r="IZ28" s="16"/>
      <c r="JA28" s="16">
        <f t="shared" si="107"/>
        <v>0</v>
      </c>
      <c r="JB28" s="16"/>
      <c r="JC28" s="16"/>
      <c r="JD28" s="16">
        <f t="shared" si="108"/>
        <v>0</v>
      </c>
      <c r="JE28" s="16"/>
      <c r="JF28" s="16"/>
      <c r="JG28" s="16">
        <f t="shared" si="109"/>
        <v>0</v>
      </c>
      <c r="JH28" s="16"/>
      <c r="JI28" s="16"/>
      <c r="JJ28" s="16">
        <f t="shared" si="110"/>
        <v>0</v>
      </c>
      <c r="JK28" s="16"/>
      <c r="JL28" s="16"/>
      <c r="JM28" s="16">
        <f t="shared" si="111"/>
        <v>0</v>
      </c>
      <c r="JN28" s="16"/>
      <c r="JO28" s="16"/>
      <c r="JP28" s="16">
        <f t="shared" si="112"/>
        <v>0</v>
      </c>
      <c r="JQ28" s="16"/>
      <c r="JR28" s="16"/>
      <c r="JS28" s="16">
        <f t="shared" si="113"/>
        <v>0</v>
      </c>
      <c r="JT28" s="16"/>
      <c r="JU28" s="16"/>
      <c r="JV28" s="16">
        <f t="shared" si="114"/>
        <v>0</v>
      </c>
      <c r="JW28" s="16"/>
      <c r="JX28" s="16"/>
      <c r="JY28" s="16">
        <f t="shared" si="115"/>
        <v>0</v>
      </c>
      <c r="KA28" s="151">
        <f t="shared" si="76"/>
        <v>22540.009999999682</v>
      </c>
    </row>
    <row r="29" spans="1:287" x14ac:dyDescent="0.25">
      <c r="A29" s="35">
        <f t="shared" si="0"/>
        <v>23</v>
      </c>
      <c r="B29" s="38">
        <v>4012.13</v>
      </c>
      <c r="C29" s="38">
        <f t="shared" si="1"/>
        <v>12.809999999999945</v>
      </c>
      <c r="D29" s="38">
        <f t="shared" si="2"/>
        <v>409919.99999999825</v>
      </c>
      <c r="E29" s="38">
        <v>806.43</v>
      </c>
      <c r="F29" s="38">
        <f t="shared" si="3"/>
        <v>80959.999999999127</v>
      </c>
      <c r="G29" s="38">
        <f t="shared" si="4"/>
        <v>490879.99999999738</v>
      </c>
      <c r="H29" s="37"/>
      <c r="I29" s="39"/>
      <c r="J29" s="42"/>
      <c r="K29" s="37">
        <f t="shared" si="77"/>
        <v>0</v>
      </c>
      <c r="L29" s="40">
        <v>12069800</v>
      </c>
      <c r="M29" s="40"/>
      <c r="N29" s="37">
        <f t="shared" si="78"/>
        <v>483000</v>
      </c>
      <c r="O29" s="37">
        <v>10567.5</v>
      </c>
      <c r="P29" s="37"/>
      <c r="Q29" s="37">
        <f t="shared" si="119"/>
        <v>18799.999999999272</v>
      </c>
      <c r="R29" s="37">
        <f t="shared" si="79"/>
        <v>1</v>
      </c>
      <c r="S29" s="37">
        <v>11184466.109999999</v>
      </c>
      <c r="T29" s="37">
        <f t="shared" si="6"/>
        <v>10059.259999999776</v>
      </c>
      <c r="U29" s="37">
        <v>1518173.85</v>
      </c>
      <c r="V29" s="37">
        <f t="shared" si="7"/>
        <v>0</v>
      </c>
      <c r="W29" s="37">
        <v>3742.6</v>
      </c>
      <c r="X29" s="37">
        <f t="shared" si="93"/>
        <v>8740.7399999994959</v>
      </c>
      <c r="Y29" s="183"/>
      <c r="Z29" s="183"/>
      <c r="AA29" s="37">
        <v>718800</v>
      </c>
      <c r="AB29" s="37">
        <f t="shared" si="8"/>
        <v>0</v>
      </c>
      <c r="AC29" s="37">
        <v>3922.8</v>
      </c>
      <c r="AD29" s="37"/>
      <c r="AE29" s="37">
        <f t="shared" si="121"/>
        <v>3300.0000000001819</v>
      </c>
      <c r="AF29" s="37">
        <f t="shared" si="80"/>
        <v>1</v>
      </c>
      <c r="AG29" s="37">
        <v>8563.7000000000007</v>
      </c>
      <c r="AH29" s="37"/>
      <c r="AI29" s="37">
        <f t="shared" si="10"/>
        <v>15293.650000000727</v>
      </c>
      <c r="AJ29" s="37">
        <f t="shared" si="11"/>
        <v>1</v>
      </c>
      <c r="AK29" s="37">
        <f t="shared" si="12"/>
        <v>37393.650000000183</v>
      </c>
      <c r="AL29" s="42">
        <v>10521.3</v>
      </c>
      <c r="AM29" s="42"/>
      <c r="AN29" s="37">
        <f t="shared" si="57"/>
        <v>11303.649999999376</v>
      </c>
      <c r="AO29" s="37">
        <f t="shared" si="81"/>
        <v>1</v>
      </c>
      <c r="AP29" s="67">
        <v>8083.6</v>
      </c>
      <c r="AQ29" s="37"/>
      <c r="AR29" s="37">
        <f t="shared" si="13"/>
        <v>8400.0000000005457</v>
      </c>
      <c r="AS29" s="37">
        <f t="shared" si="82"/>
        <v>1</v>
      </c>
      <c r="AT29" s="183"/>
      <c r="AU29" s="183"/>
      <c r="AV29" s="183"/>
      <c r="AW29" s="183"/>
      <c r="AX29" s="37">
        <v>471180</v>
      </c>
      <c r="AY29" s="37"/>
      <c r="AZ29" s="37">
        <f t="shared" si="14"/>
        <v>300</v>
      </c>
      <c r="BA29" s="37">
        <v>127910</v>
      </c>
      <c r="BB29" s="37"/>
      <c r="BC29" s="37">
        <f t="shared" si="15"/>
        <v>430</v>
      </c>
      <c r="BD29" s="37">
        <f t="shared" si="83"/>
        <v>20433.649999999921</v>
      </c>
      <c r="BE29" s="43">
        <v>1842.8</v>
      </c>
      <c r="BF29" s="43">
        <v>1010.4</v>
      </c>
      <c r="BG29" s="37">
        <f t="shared" si="16"/>
        <v>2099.9999999999091</v>
      </c>
      <c r="BH29" s="44">
        <v>8623.6</v>
      </c>
      <c r="BI29" s="44">
        <v>5547.5</v>
      </c>
      <c r="BJ29" s="37">
        <f t="shared" si="17"/>
        <v>9399.9999999996362</v>
      </c>
      <c r="BK29" s="40">
        <v>1443830</v>
      </c>
      <c r="BL29" s="40">
        <f t="shared" si="84"/>
        <v>3350</v>
      </c>
      <c r="BM29" s="40">
        <v>850.4</v>
      </c>
      <c r="BN29" s="37">
        <f t="shared" si="18"/>
        <v>539.99999999996362</v>
      </c>
      <c r="BO29" s="186"/>
      <c r="BP29" s="183">
        <f t="shared" si="19"/>
        <v>0</v>
      </c>
      <c r="BQ29" s="40">
        <v>804.3</v>
      </c>
      <c r="BR29" s="37">
        <f t="shared" si="58"/>
        <v>699.99999999993179</v>
      </c>
      <c r="BS29" s="37">
        <v>92284.3</v>
      </c>
      <c r="BT29" s="37">
        <f t="shared" si="20"/>
        <v>195.36000000000058</v>
      </c>
      <c r="BU29" s="42">
        <v>2460719</v>
      </c>
      <c r="BV29" s="42"/>
      <c r="BW29" s="37">
        <f t="shared" si="21"/>
        <v>8945</v>
      </c>
      <c r="BX29" s="37">
        <f t="shared" si="85"/>
        <v>1</v>
      </c>
      <c r="BY29" s="43">
        <v>327.029</v>
      </c>
      <c r="BZ29" s="43"/>
      <c r="CA29" s="37">
        <f t="shared" si="116"/>
        <v>564.99999999999773</v>
      </c>
      <c r="CB29" s="37">
        <f t="shared" si="59"/>
        <v>1</v>
      </c>
      <c r="CC29" s="37">
        <v>578781.1</v>
      </c>
      <c r="CD29" s="37">
        <f t="shared" si="23"/>
        <v>2510.7999999999302</v>
      </c>
      <c r="CE29" s="41">
        <v>992628.8</v>
      </c>
      <c r="CF29" s="37">
        <f t="shared" si="60"/>
        <v>6180.5</v>
      </c>
      <c r="CG29" s="37">
        <v>70929.2</v>
      </c>
      <c r="CH29" s="37">
        <f t="shared" si="61"/>
        <v>0</v>
      </c>
      <c r="CI29" s="40">
        <v>12206.01</v>
      </c>
      <c r="CJ29" s="40"/>
      <c r="CK29" s="37">
        <f t="shared" si="62"/>
        <v>23548.650000000442</v>
      </c>
      <c r="CL29" s="37">
        <f t="shared" si="24"/>
        <v>1</v>
      </c>
      <c r="CM29" s="37">
        <v>3350.5929999999998</v>
      </c>
      <c r="CN29" s="37"/>
      <c r="CO29" s="37">
        <f t="shared" si="25"/>
        <v>7870.6500000000433</v>
      </c>
      <c r="CP29" s="37">
        <f t="shared" si="86"/>
        <v>1</v>
      </c>
      <c r="CQ29" s="39">
        <v>3181.9839999999999</v>
      </c>
      <c r="CR29" s="39"/>
      <c r="CS29" s="37">
        <f>IF((CQ29-CQ28)&lt;=0,0,(CQ29-CQ28))*1000+GX29</f>
        <v>7899.6500000000397</v>
      </c>
      <c r="CT29" s="37">
        <f t="shared" si="87"/>
        <v>1</v>
      </c>
      <c r="CU29" s="37">
        <v>2865025</v>
      </c>
      <c r="CV29" s="37"/>
      <c r="CW29" s="38">
        <f t="shared" si="27"/>
        <v>18546</v>
      </c>
      <c r="CX29" s="37">
        <f t="shared" si="88"/>
        <v>1</v>
      </c>
      <c r="CY29" s="37">
        <v>1487808</v>
      </c>
      <c r="CZ29" s="37"/>
      <c r="DA29" s="37">
        <f t="shared" si="125"/>
        <v>11173</v>
      </c>
      <c r="DB29" s="37">
        <f t="shared" si="89"/>
        <v>1</v>
      </c>
      <c r="DC29" s="37"/>
      <c r="DD29" s="40"/>
      <c r="DE29" s="37">
        <f t="shared" si="29"/>
        <v>0</v>
      </c>
      <c r="DF29" s="37">
        <f t="shared" si="94"/>
        <v>0</v>
      </c>
      <c r="DG29" s="37">
        <f t="shared" si="30"/>
        <v>-77982.950000000521</v>
      </c>
      <c r="DH29" s="37">
        <f t="shared" si="31"/>
        <v>522493.65000000008</v>
      </c>
      <c r="DI29" s="46"/>
      <c r="DJ29" s="46"/>
      <c r="DK29" s="47"/>
      <c r="DL29" s="47"/>
      <c r="DM29" s="37"/>
      <c r="DN29" s="37"/>
      <c r="DO29" s="37"/>
      <c r="DP29" s="37"/>
      <c r="DQ29" s="50">
        <v>3186300</v>
      </c>
      <c r="DR29" s="49">
        <f t="shared" si="63"/>
        <v>9300</v>
      </c>
      <c r="DS29" s="50">
        <v>3194800</v>
      </c>
      <c r="DT29" s="49">
        <f t="shared" si="64"/>
        <v>15700</v>
      </c>
      <c r="DU29" s="72">
        <v>7856.8</v>
      </c>
      <c r="DV29" s="51">
        <v>4400.1000000000004</v>
      </c>
      <c r="DW29" s="37">
        <f t="shared" si="90"/>
        <v>4500</v>
      </c>
      <c r="DX29" s="52">
        <v>12958</v>
      </c>
      <c r="DY29" s="52">
        <v>8367.9</v>
      </c>
      <c r="DZ29" s="37">
        <f t="shared" si="32"/>
        <v>8593.65</v>
      </c>
      <c r="EA29" s="49">
        <v>29466</v>
      </c>
      <c r="EB29" s="49">
        <v>20.622</v>
      </c>
      <c r="EC29" s="37">
        <f t="shared" si="33"/>
        <v>25753.65</v>
      </c>
      <c r="ED29" s="53">
        <f t="shared" si="34"/>
        <v>38847.300000000003</v>
      </c>
      <c r="EE29" s="49">
        <v>44762</v>
      </c>
      <c r="EF29" s="49">
        <v>28.844000000000001</v>
      </c>
      <c r="EG29" s="37">
        <f t="shared" si="35"/>
        <v>22753.65</v>
      </c>
      <c r="EH29" s="72">
        <v>12738</v>
      </c>
      <c r="EI29" s="51">
        <v>1.7178</v>
      </c>
      <c r="EJ29" s="37">
        <f t="shared" si="36"/>
        <v>13593.65</v>
      </c>
      <c r="EK29" s="37">
        <v>773.14</v>
      </c>
      <c r="EL29" s="40">
        <v>1107.7</v>
      </c>
      <c r="EM29" s="37">
        <f t="shared" si="65"/>
        <v>649.99999999997726</v>
      </c>
      <c r="EN29" s="54">
        <f t="shared" si="66"/>
        <v>36997.299999999981</v>
      </c>
      <c r="EO29" s="48">
        <v>12778</v>
      </c>
      <c r="EP29" s="48">
        <v>4463.7</v>
      </c>
      <c r="EQ29" s="37">
        <f t="shared" si="67"/>
        <v>7708.6500000000087</v>
      </c>
      <c r="ER29" s="48">
        <v>8970.6</v>
      </c>
      <c r="ES29" s="48">
        <v>3670</v>
      </c>
      <c r="ET29" s="49">
        <f t="shared" si="96"/>
        <v>14600.000000000364</v>
      </c>
      <c r="EU29" s="48">
        <v>3373.4</v>
      </c>
      <c r="EV29" s="48">
        <v>1200.0999999999999</v>
      </c>
      <c r="EW29" s="49">
        <f t="shared" si="38"/>
        <v>9993.6500000000906</v>
      </c>
      <c r="EX29" s="48">
        <v>13174</v>
      </c>
      <c r="EY29" s="55">
        <v>1.5018</v>
      </c>
      <c r="EZ29" s="37">
        <f t="shared" si="39"/>
        <v>13593.65</v>
      </c>
      <c r="FA29" s="48">
        <f t="shared" si="68"/>
        <v>-24435.950000000463</v>
      </c>
      <c r="FB29" s="48">
        <v>35912139</v>
      </c>
      <c r="FC29" s="49">
        <f t="shared" si="91"/>
        <v>21460</v>
      </c>
      <c r="FD29" s="48">
        <f t="shared" si="69"/>
        <v>47395.950000000463</v>
      </c>
      <c r="FE29" s="48">
        <v>16792</v>
      </c>
      <c r="FF29" s="48">
        <v>6015.1</v>
      </c>
      <c r="FG29" s="37">
        <f t="shared" si="70"/>
        <v>11350.319999999991</v>
      </c>
      <c r="FH29" s="48">
        <v>8291.2000000000007</v>
      </c>
      <c r="FI29" s="48">
        <v>3.2006999999999999</v>
      </c>
      <c r="FJ29" s="49">
        <f t="shared" si="40"/>
        <v>15965.32</v>
      </c>
      <c r="FK29" s="48"/>
      <c r="FL29" s="58">
        <v>-128.33000000000001</v>
      </c>
      <c r="FM29" s="48">
        <f t="shared" si="92"/>
        <v>-1593.6533333333307</v>
      </c>
      <c r="FN29" s="48">
        <v>16246</v>
      </c>
      <c r="FO29" s="48">
        <v>0.78349999999999997</v>
      </c>
      <c r="FP29" s="37">
        <f t="shared" si="71"/>
        <v>11465.32</v>
      </c>
      <c r="FQ29" s="48">
        <v>57701</v>
      </c>
      <c r="FR29" s="48">
        <v>13.912000000000001</v>
      </c>
      <c r="FS29" s="37">
        <f t="shared" si="41"/>
        <v>34000</v>
      </c>
      <c r="FT29" s="48">
        <f t="shared" si="72"/>
        <v>-4780.9599999999919</v>
      </c>
      <c r="FU29" s="48">
        <f t="shared" si="73"/>
        <v>38780.959999999992</v>
      </c>
      <c r="FV29" s="44">
        <v>3722700</v>
      </c>
      <c r="FW29" s="65">
        <v>1196800</v>
      </c>
      <c r="FX29" s="37">
        <f t="shared" si="42"/>
        <v>27800</v>
      </c>
      <c r="FY29" s="56">
        <v>3159.4</v>
      </c>
      <c r="FZ29" s="56">
        <v>1.9201999999999999</v>
      </c>
      <c r="GA29" s="37">
        <f t="shared" si="43"/>
        <v>8319.9999999999091</v>
      </c>
      <c r="GB29" s="56">
        <v>791.66</v>
      </c>
      <c r="GC29" s="56">
        <v>886.27</v>
      </c>
      <c r="GD29" s="37">
        <f t="shared" si="44"/>
        <v>829.99999999992724</v>
      </c>
      <c r="GE29" s="56">
        <v>9801.7999999999993</v>
      </c>
      <c r="GF29" s="56">
        <v>3.1905999999999999</v>
      </c>
      <c r="GG29" s="37">
        <f t="shared" si="45"/>
        <v>6299.9999999992724</v>
      </c>
      <c r="GH29" s="158">
        <v>1913.3</v>
      </c>
      <c r="GI29" s="159">
        <v>1630.2</v>
      </c>
      <c r="GJ29" s="38">
        <f t="shared" si="46"/>
        <v>1500</v>
      </c>
      <c r="GK29" s="159">
        <v>1467.1</v>
      </c>
      <c r="GL29" s="160">
        <v>1119.0999999999999</v>
      </c>
      <c r="GM29" s="38">
        <f t="shared" si="47"/>
        <v>0</v>
      </c>
      <c r="GN29" s="57">
        <v>165730</v>
      </c>
      <c r="GO29" s="57">
        <v>144610</v>
      </c>
      <c r="GP29" s="38">
        <f t="shared" si="95"/>
        <v>0</v>
      </c>
      <c r="GQ29" s="38">
        <v>252770</v>
      </c>
      <c r="GR29" s="38">
        <v>248760</v>
      </c>
      <c r="GS29" s="38">
        <f t="shared" si="74"/>
        <v>280</v>
      </c>
      <c r="GT29" s="178"/>
      <c r="GU29" s="144">
        <f>DailyApr!B28-DailyApr!N28-DailyApr!V28-DailyApr!Y28-DailyApr!Z28-DailyApr!AA28-DailyApr!AB28-DailyApr!AC28-DailyApr!AD28-DailyApr!AE28-DailyApr!AK28-DailyApr!AO28-DailyApr!AS28-DailyApr!AY28-DailyApr!BD28+DailyApr!BU28-DailyApr!BG28-DailyApr!BT28-DailyApr!AF28-DailyApr!AG28</f>
        <v>-6.000000263156835E-2</v>
      </c>
      <c r="GV29" s="59">
        <v>23904.69</v>
      </c>
      <c r="GW29" s="60">
        <f t="shared" si="48"/>
        <v>1593.646</v>
      </c>
      <c r="GX29" s="61">
        <v>1593.65</v>
      </c>
      <c r="GY29" s="140"/>
      <c r="GZ29" s="62"/>
      <c r="HA29" s="62"/>
      <c r="HB29" s="74"/>
      <c r="HC29" s="62"/>
      <c r="HD29" s="74"/>
      <c r="HE29" s="24">
        <f t="shared" si="49"/>
        <v>0</v>
      </c>
      <c r="HG29" s="213">
        <v>23</v>
      </c>
      <c r="HH29" s="16">
        <v>6738</v>
      </c>
      <c r="HI29" s="16">
        <v>2635.9</v>
      </c>
      <c r="HJ29" s="16">
        <f t="shared" si="117"/>
        <v>124600.00000000036</v>
      </c>
      <c r="HK29" s="16">
        <v>1.9189000000000001</v>
      </c>
      <c r="HL29" s="16">
        <v>660.93</v>
      </c>
      <c r="HM29" s="16">
        <f t="shared" si="97"/>
        <v>0</v>
      </c>
      <c r="HN29" s="16">
        <v>433.52</v>
      </c>
      <c r="HO29" s="16">
        <v>207.68</v>
      </c>
      <c r="HP29" s="16">
        <f t="shared" si="124"/>
        <v>24799.999999999956</v>
      </c>
      <c r="HQ29" s="16">
        <v>1802.7</v>
      </c>
      <c r="HR29" s="16">
        <v>797.72</v>
      </c>
      <c r="HS29" s="16">
        <f t="shared" si="53"/>
        <v>34600.000000000087</v>
      </c>
      <c r="HT29" s="16">
        <v>1564.2</v>
      </c>
      <c r="HU29" s="16">
        <v>698.94</v>
      </c>
      <c r="HV29" s="16">
        <f t="shared" si="54"/>
        <v>26700</v>
      </c>
      <c r="HW29" s="16">
        <v>1334.4</v>
      </c>
      <c r="HX29" s="16">
        <v>532.28</v>
      </c>
      <c r="HY29" s="16">
        <f t="shared" si="55"/>
        <v>22800.000000000138</v>
      </c>
      <c r="HZ29" s="16"/>
      <c r="IA29" s="16"/>
      <c r="IB29" s="128">
        <f t="shared" si="99"/>
        <v>15700</v>
      </c>
      <c r="IC29" s="211">
        <f t="shared" si="75"/>
        <v>1.8189894035458565E-10</v>
      </c>
      <c r="ID29" s="16"/>
      <c r="IE29" s="16"/>
      <c r="IF29" s="16">
        <f t="shared" si="100"/>
        <v>0</v>
      </c>
      <c r="IG29" s="16"/>
      <c r="IH29" s="16"/>
      <c r="II29" s="16">
        <f t="shared" si="101"/>
        <v>0</v>
      </c>
      <c r="IJ29" s="16"/>
      <c r="IK29" s="16"/>
      <c r="IL29" s="16">
        <f t="shared" si="102"/>
        <v>0</v>
      </c>
      <c r="IM29" s="16"/>
      <c r="IN29" s="16"/>
      <c r="IO29" s="16">
        <f t="shared" si="103"/>
        <v>0</v>
      </c>
      <c r="IP29" s="16"/>
      <c r="IQ29" s="16"/>
      <c r="IR29" s="16">
        <f t="shared" si="104"/>
        <v>0</v>
      </c>
      <c r="IS29" s="16"/>
      <c r="IT29" s="16"/>
      <c r="IU29" s="16">
        <f t="shared" si="105"/>
        <v>0</v>
      </c>
      <c r="IV29" s="16"/>
      <c r="IW29" s="16"/>
      <c r="IX29" s="16">
        <f t="shared" si="106"/>
        <v>0</v>
      </c>
      <c r="IY29" s="16"/>
      <c r="IZ29" s="16"/>
      <c r="JA29" s="16">
        <f t="shared" si="107"/>
        <v>0</v>
      </c>
      <c r="JB29" s="16"/>
      <c r="JC29" s="16"/>
      <c r="JD29" s="16">
        <f t="shared" si="108"/>
        <v>0</v>
      </c>
      <c r="JE29" s="16"/>
      <c r="JF29" s="16"/>
      <c r="JG29" s="16">
        <f t="shared" si="109"/>
        <v>0</v>
      </c>
      <c r="JH29" s="16"/>
      <c r="JI29" s="16"/>
      <c r="JJ29" s="16">
        <f t="shared" si="110"/>
        <v>0</v>
      </c>
      <c r="JK29" s="16"/>
      <c r="JL29" s="16"/>
      <c r="JM29" s="16">
        <f t="shared" si="111"/>
        <v>0</v>
      </c>
      <c r="JN29" s="16"/>
      <c r="JO29" s="16"/>
      <c r="JP29" s="16">
        <f t="shared" si="112"/>
        <v>0</v>
      </c>
      <c r="JQ29" s="16"/>
      <c r="JR29" s="16"/>
      <c r="JS29" s="16">
        <f t="shared" si="113"/>
        <v>0</v>
      </c>
      <c r="JT29" s="16"/>
      <c r="JU29" s="16"/>
      <c r="JV29" s="16">
        <f t="shared" si="114"/>
        <v>0</v>
      </c>
      <c r="JW29" s="16"/>
      <c r="JX29" s="16"/>
      <c r="JY29" s="16">
        <f t="shared" si="115"/>
        <v>0</v>
      </c>
      <c r="KA29" s="151">
        <f t="shared" si="76"/>
        <v>24800.000000000138</v>
      </c>
    </row>
    <row r="30" spans="1:287" x14ac:dyDescent="0.25">
      <c r="A30" s="35">
        <f t="shared" si="0"/>
        <v>24</v>
      </c>
      <c r="B30" s="38">
        <v>4025.4</v>
      </c>
      <c r="C30" s="38">
        <f t="shared" si="1"/>
        <v>13.269999999999982</v>
      </c>
      <c r="D30" s="38">
        <f t="shared" si="2"/>
        <v>424639.99999999942</v>
      </c>
      <c r="E30" s="38">
        <v>809.04</v>
      </c>
      <c r="F30" s="38">
        <f t="shared" si="3"/>
        <v>83520.000000000437</v>
      </c>
      <c r="G30" s="38">
        <f t="shared" si="4"/>
        <v>508159.99999999988</v>
      </c>
      <c r="H30" s="37"/>
      <c r="I30" s="39"/>
      <c r="J30" s="42"/>
      <c r="K30" s="37">
        <f>IF(J30&lt;=0,0,(J30/SQRT(J30^2+(I30-I29)^2)))</f>
        <v>0</v>
      </c>
      <c r="L30" s="40">
        <v>12120000</v>
      </c>
      <c r="M30" s="40"/>
      <c r="N30" s="37">
        <f t="shared" si="78"/>
        <v>502000</v>
      </c>
      <c r="O30" s="37">
        <v>10586</v>
      </c>
      <c r="P30" s="37"/>
      <c r="Q30" s="37">
        <f t="shared" si="119"/>
        <v>18500</v>
      </c>
      <c r="R30" s="37">
        <f>IF(Q30&lt;=0,0,(Q30/SQRT(Q30^2+(P30-P29)^2)))</f>
        <v>1</v>
      </c>
      <c r="S30" s="37">
        <v>11194680.689999999</v>
      </c>
      <c r="T30" s="37">
        <f t="shared" si="6"/>
        <v>10214.580000000075</v>
      </c>
      <c r="U30" s="37">
        <v>1518173.85</v>
      </c>
      <c r="V30" s="37">
        <f t="shared" si="7"/>
        <v>0</v>
      </c>
      <c r="W30" s="37">
        <v>3751.8</v>
      </c>
      <c r="X30" s="37">
        <f t="shared" si="93"/>
        <v>8185.4199999999255</v>
      </c>
      <c r="Y30" s="183"/>
      <c r="Z30" s="183"/>
      <c r="AA30" s="37">
        <v>718900</v>
      </c>
      <c r="AB30" s="37">
        <f t="shared" si="8"/>
        <v>100</v>
      </c>
      <c r="AC30" s="37">
        <v>3932.1</v>
      </c>
      <c r="AD30" s="37"/>
      <c r="AE30" s="37">
        <f t="shared" si="121"/>
        <v>9299.9999999997272</v>
      </c>
      <c r="AF30" s="37">
        <f>IF(AE30&lt;=0,0,(AE30/SQRT(AE30^2+(AD30-AD29)^2)))</f>
        <v>1</v>
      </c>
      <c r="AG30" s="37">
        <v>8578.4</v>
      </c>
      <c r="AH30" s="37"/>
      <c r="AI30" s="37">
        <f t="shared" si="10"/>
        <v>14946.189999998909</v>
      </c>
      <c r="AJ30" s="37">
        <f t="shared" si="11"/>
        <v>1</v>
      </c>
      <c r="AK30" s="37">
        <f t="shared" si="12"/>
        <v>42646.189999998634</v>
      </c>
      <c r="AL30" s="42">
        <v>10533</v>
      </c>
      <c r="AM30" s="42"/>
      <c r="AN30" s="37">
        <f t="shared" si="57"/>
        <v>6206.1900000006326</v>
      </c>
      <c r="AO30" s="37">
        <f>IF(AN30&lt;=0,0,(AN30/SQRT(AN30^2+(AM30-AM29)^2)))</f>
        <v>1</v>
      </c>
      <c r="AP30" s="67">
        <v>8093.3</v>
      </c>
      <c r="AQ30" s="37"/>
      <c r="AR30" s="37">
        <f t="shared" si="13"/>
        <v>9699.9999999998181</v>
      </c>
      <c r="AS30" s="37">
        <f>IF(AR30&lt;=0,0,(AR30/SQRT(AR30^2+(AQ30-AQ29)^2)))</f>
        <v>1</v>
      </c>
      <c r="AT30" s="183"/>
      <c r="AU30" s="183"/>
      <c r="AV30" s="183"/>
      <c r="AW30" s="183"/>
      <c r="AX30" s="37">
        <v>471800</v>
      </c>
      <c r="AY30" s="37"/>
      <c r="AZ30" s="37">
        <f t="shared" si="14"/>
        <v>620</v>
      </c>
      <c r="BA30" s="37">
        <v>128800</v>
      </c>
      <c r="BB30" s="37"/>
      <c r="BC30" s="37">
        <f t="shared" si="15"/>
        <v>890</v>
      </c>
      <c r="BD30" s="37">
        <f>AN30+AR30+AZ30+BC30</f>
        <v>17416.19000000045</v>
      </c>
      <c r="BE30" s="43">
        <v>1844.9</v>
      </c>
      <c r="BF30" s="43">
        <v>1011.7</v>
      </c>
      <c r="BG30" s="37">
        <f t="shared" si="16"/>
        <v>2100.0000000001364</v>
      </c>
      <c r="BH30" s="44">
        <v>8633.2000000000007</v>
      </c>
      <c r="BI30" s="44">
        <v>5553.4</v>
      </c>
      <c r="BJ30" s="37">
        <f t="shared" si="17"/>
        <v>9600.0000000003638</v>
      </c>
      <c r="BK30" s="40">
        <v>1447800</v>
      </c>
      <c r="BL30" s="40">
        <f t="shared" si="84"/>
        <v>3970</v>
      </c>
      <c r="BM30" s="40">
        <v>851.22</v>
      </c>
      <c r="BN30" s="37">
        <f t="shared" si="18"/>
        <v>820.00000000005002</v>
      </c>
      <c r="BO30" s="186"/>
      <c r="BP30" s="183">
        <f t="shared" si="19"/>
        <v>0</v>
      </c>
      <c r="BQ30" s="40">
        <v>805.25</v>
      </c>
      <c r="BR30" s="37">
        <f t="shared" si="58"/>
        <v>950.00000000004547</v>
      </c>
      <c r="BS30" s="37">
        <v>92497.75</v>
      </c>
      <c r="BT30" s="37">
        <f t="shared" si="20"/>
        <v>213.44999999999709</v>
      </c>
      <c r="BU30" s="42">
        <v>2470700</v>
      </c>
      <c r="BV30" s="42"/>
      <c r="BW30" s="37">
        <f t="shared" si="21"/>
        <v>9981</v>
      </c>
      <c r="BX30" s="37">
        <f>IF(BW30&lt;=0,0,(BW30/SQRT(BW30^2+(BV30-BV29)^2)))</f>
        <v>1</v>
      </c>
      <c r="BY30" s="43">
        <v>327.61</v>
      </c>
      <c r="BZ30" s="37"/>
      <c r="CA30" s="37">
        <f t="shared" si="116"/>
        <v>581.00000000001728</v>
      </c>
      <c r="CB30" s="37">
        <f t="shared" si="59"/>
        <v>1</v>
      </c>
      <c r="CC30" s="37">
        <v>580890</v>
      </c>
      <c r="CD30" s="37">
        <f t="shared" si="23"/>
        <v>2108.9000000000233</v>
      </c>
      <c r="CE30" s="41">
        <v>999800</v>
      </c>
      <c r="CF30" s="37">
        <f t="shared" si="60"/>
        <v>7171.1999999999534</v>
      </c>
      <c r="CG30" s="37">
        <v>70929.2</v>
      </c>
      <c r="CH30" s="37">
        <f t="shared" si="61"/>
        <v>0</v>
      </c>
      <c r="CI30" s="40">
        <v>12229</v>
      </c>
      <c r="CJ30" s="40"/>
      <c r="CK30" s="37">
        <f t="shared" si="62"/>
        <v>22655.189999999762</v>
      </c>
      <c r="CL30" s="37">
        <f t="shared" si="24"/>
        <v>1</v>
      </c>
      <c r="CM30" s="37">
        <v>3357.8</v>
      </c>
      <c r="CN30" s="37"/>
      <c r="CO30" s="37">
        <f t="shared" si="25"/>
        <v>7453.1900000003343</v>
      </c>
      <c r="CP30" s="37">
        <f>IF(CO30&lt;=0,0,(CO30/SQRT(CO30^2+(CN30-CN29)^2)))</f>
        <v>1</v>
      </c>
      <c r="CQ30" s="39">
        <v>3189.3</v>
      </c>
      <c r="CR30" s="39"/>
      <c r="CS30" s="37">
        <f t="shared" si="26"/>
        <v>7562.1900000002579</v>
      </c>
      <c r="CT30" s="37">
        <f>IF(CS30&lt;=0,0,(CS30/SQRT(CS30^2+(CR30-CR29)^2)))</f>
        <v>1</v>
      </c>
      <c r="CU30" s="37">
        <v>2883600</v>
      </c>
      <c r="CV30" s="37"/>
      <c r="CW30" s="38">
        <f t="shared" si="27"/>
        <v>18575</v>
      </c>
      <c r="CX30" s="37">
        <f>IF(CW30&lt;=0,0,(CW30/SQRT(CW30^2+(CV30-CV29)^2)))</f>
        <v>1</v>
      </c>
      <c r="CY30" s="37">
        <v>1498000</v>
      </c>
      <c r="CZ30" s="37"/>
      <c r="DA30" s="37">
        <f t="shared" si="125"/>
        <v>10192</v>
      </c>
      <c r="DB30" s="37">
        <f t="shared" si="89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0"/>
        <v>-76418.570000000356</v>
      </c>
      <c r="DH30" s="37">
        <f t="shared" si="31"/>
        <v>546746.18999999878</v>
      </c>
      <c r="DI30" s="46"/>
      <c r="DJ30" s="46"/>
      <c r="DK30" s="47"/>
      <c r="DL30" s="47"/>
      <c r="DM30" s="37"/>
      <c r="DN30" s="37"/>
      <c r="DO30" s="37"/>
      <c r="DP30" s="37"/>
      <c r="DQ30" s="50">
        <v>3193100</v>
      </c>
      <c r="DR30" s="49">
        <f t="shared" si="63"/>
        <v>6800</v>
      </c>
      <c r="DS30" s="50">
        <v>3214900</v>
      </c>
      <c r="DT30" s="49">
        <f t="shared" si="64"/>
        <v>20100</v>
      </c>
      <c r="DU30" s="51">
        <v>7861.5</v>
      </c>
      <c r="DV30" s="51">
        <v>4403</v>
      </c>
      <c r="DW30" s="37">
        <f t="shared" si="90"/>
        <v>4699.9999999998181</v>
      </c>
      <c r="DX30" s="52">
        <v>12966</v>
      </c>
      <c r="DY30" s="52">
        <v>8370.1</v>
      </c>
      <c r="DZ30" s="37">
        <f t="shared" si="32"/>
        <v>8246.19</v>
      </c>
      <c r="EA30" s="49">
        <v>29489</v>
      </c>
      <c r="EB30" s="49">
        <v>20.635000000000002</v>
      </c>
      <c r="EC30" s="37">
        <f t="shared" si="33"/>
        <v>25406.19</v>
      </c>
      <c r="ED30" s="53">
        <f t="shared" si="34"/>
        <v>38352.379999999815</v>
      </c>
      <c r="EE30" s="49">
        <v>44783</v>
      </c>
      <c r="EF30" s="49">
        <v>28.867999999999999</v>
      </c>
      <c r="EG30" s="37">
        <f t="shared" si="35"/>
        <v>23406.19</v>
      </c>
      <c r="EH30" s="51">
        <v>12751</v>
      </c>
      <c r="EI30" s="51">
        <v>1.7204999999999999</v>
      </c>
      <c r="EJ30" s="37">
        <f t="shared" si="36"/>
        <v>13246.19</v>
      </c>
      <c r="EK30" s="37">
        <v>773.85</v>
      </c>
      <c r="EL30" s="40">
        <v>1108.8</v>
      </c>
      <c r="EM30" s="37">
        <f t="shared" si="65"/>
        <v>710.00000000003638</v>
      </c>
      <c r="EN30" s="54">
        <f t="shared" si="66"/>
        <v>37362.380000000034</v>
      </c>
      <c r="EO30" s="48">
        <v>12786.94</v>
      </c>
      <c r="EP30" s="48">
        <v>4466.5</v>
      </c>
      <c r="EQ30" s="37">
        <f t="shared" si="67"/>
        <v>8236.1900000004644</v>
      </c>
      <c r="ER30" s="48">
        <v>8984.7000000000007</v>
      </c>
      <c r="ES30" s="48">
        <v>3676.2</v>
      </c>
      <c r="ET30" s="49">
        <f t="shared" si="96"/>
        <v>14100.000000000364</v>
      </c>
      <c r="EU30" s="73">
        <v>3382.3</v>
      </c>
      <c r="EV30" s="48">
        <v>1203.2</v>
      </c>
      <c r="EW30" s="49">
        <f t="shared" si="38"/>
        <v>9146.1900000000915</v>
      </c>
      <c r="EX30" s="48">
        <v>13187</v>
      </c>
      <c r="EY30" s="55">
        <v>1.5047999999999999</v>
      </c>
      <c r="EZ30" s="37">
        <f t="shared" si="39"/>
        <v>13246.19</v>
      </c>
      <c r="FA30" s="48">
        <f t="shared" si="68"/>
        <v>-22767.57000000092</v>
      </c>
      <c r="FB30" s="48">
        <v>35934100</v>
      </c>
      <c r="FC30" s="49">
        <f t="shared" si="91"/>
        <v>21961</v>
      </c>
      <c r="FD30" s="48">
        <f t="shared" si="69"/>
        <v>46128.570000001011</v>
      </c>
      <c r="FE30" s="48">
        <v>16802</v>
      </c>
      <c r="FF30" s="55">
        <v>6018.5</v>
      </c>
      <c r="FG30" s="37">
        <f t="shared" si="70"/>
        <v>11179.520000000046</v>
      </c>
      <c r="FH30" s="48">
        <v>8307.2999999999993</v>
      </c>
      <c r="FI30" s="48">
        <v>3.2069999999999999</v>
      </c>
      <c r="FJ30" s="49">
        <f t="shared" si="40"/>
        <v>16329.519999998545</v>
      </c>
      <c r="FK30" s="48"/>
      <c r="FL30" s="58">
        <v>-16.670000000000002</v>
      </c>
      <c r="FM30" s="48">
        <f t="shared" si="92"/>
        <v>-246.18666666619779</v>
      </c>
      <c r="FN30" s="48">
        <v>16256</v>
      </c>
      <c r="FO30" s="48">
        <v>0.78480000000000005</v>
      </c>
      <c r="FP30" s="37">
        <f t="shared" si="71"/>
        <v>10229.52</v>
      </c>
      <c r="FQ30" s="48">
        <v>57738</v>
      </c>
      <c r="FR30" s="48">
        <v>13.923</v>
      </c>
      <c r="FS30" s="37">
        <f t="shared" si="41"/>
        <v>37000</v>
      </c>
      <c r="FT30" s="48">
        <f t="shared" si="72"/>
        <v>-738.55999999859341</v>
      </c>
      <c r="FU30" s="48">
        <f t="shared" si="73"/>
        <v>37738.559999998586</v>
      </c>
      <c r="FV30" s="44">
        <v>3758400</v>
      </c>
      <c r="FW30" s="44">
        <v>1207700</v>
      </c>
      <c r="FX30" s="37">
        <f t="shared" si="42"/>
        <v>35700</v>
      </c>
      <c r="FY30" s="56">
        <v>3169.4</v>
      </c>
      <c r="FZ30" s="56">
        <v>1.9280999999999999</v>
      </c>
      <c r="GA30" s="37">
        <f t="shared" si="43"/>
        <v>9630</v>
      </c>
      <c r="GB30" s="56">
        <v>792.68</v>
      </c>
      <c r="GC30" s="56">
        <v>887.41</v>
      </c>
      <c r="GD30" s="37">
        <f t="shared" si="44"/>
        <v>1019.9999999999818</v>
      </c>
      <c r="GE30" s="56">
        <v>9811.2999999999993</v>
      </c>
      <c r="GF30" s="56">
        <v>3.1976</v>
      </c>
      <c r="GG30" s="37">
        <f t="shared" si="45"/>
        <v>8099.9999999999091</v>
      </c>
      <c r="GH30" s="158">
        <v>1914.7</v>
      </c>
      <c r="GI30" s="159">
        <v>1631.6</v>
      </c>
      <c r="GJ30" s="38">
        <f t="shared" si="46"/>
        <v>1400.0000000000909</v>
      </c>
      <c r="GK30" s="159">
        <v>1467.1</v>
      </c>
      <c r="GL30" s="160">
        <v>1119.0999999999999</v>
      </c>
      <c r="GM30" s="38">
        <f t="shared" si="47"/>
        <v>0</v>
      </c>
      <c r="GN30" s="57">
        <v>165740</v>
      </c>
      <c r="GO30" s="57">
        <v>144610</v>
      </c>
      <c r="GP30" s="38">
        <f t="shared" si="95"/>
        <v>10</v>
      </c>
      <c r="GQ30" s="38">
        <v>253140</v>
      </c>
      <c r="GR30" s="38">
        <v>249000</v>
      </c>
      <c r="GS30" s="38">
        <f t="shared" si="74"/>
        <v>370</v>
      </c>
      <c r="GT30" s="178"/>
      <c r="GU30" s="144">
        <f>DailyApr!B29-DailyApr!N29-DailyApr!V29-DailyApr!Y29-DailyApr!Z29-DailyApr!AA29-DailyApr!AB29-DailyApr!AC29-DailyApr!AD29-DailyApr!AE29-DailyApr!AK29-DailyApr!AO29-DailyApr!AS29-DailyApr!AY29-DailyApr!BD29+DailyApr!BU29-DailyApr!BG29-DailyApr!BT29-DailyApr!AF29-DailyApr!AG29</f>
        <v>6.0000000536092557E-2</v>
      </c>
      <c r="GV30" s="59">
        <v>3692.91</v>
      </c>
      <c r="GW30" s="60">
        <f t="shared" si="48"/>
        <v>246.19399999999999</v>
      </c>
      <c r="GX30" s="61">
        <v>246.19</v>
      </c>
      <c r="GY30" s="140"/>
      <c r="GZ30" s="62"/>
      <c r="HA30" s="62"/>
      <c r="HB30" s="74"/>
      <c r="HC30" s="62"/>
      <c r="HD30" s="74"/>
      <c r="HE30" s="24">
        <f t="shared" si="49"/>
        <v>0</v>
      </c>
      <c r="HG30" s="213">
        <v>24</v>
      </c>
      <c r="HH30" s="16">
        <v>6872</v>
      </c>
      <c r="HI30" s="16">
        <v>2685.4</v>
      </c>
      <c r="HJ30" s="16">
        <f t="shared" si="117"/>
        <v>134000</v>
      </c>
      <c r="HK30" s="16">
        <v>1.9189000000000001</v>
      </c>
      <c r="HL30" s="16">
        <v>660.93</v>
      </c>
      <c r="HM30" s="16">
        <f t="shared" si="97"/>
        <v>0</v>
      </c>
      <c r="HN30" s="16">
        <v>459.02</v>
      </c>
      <c r="HO30" s="16">
        <v>218.06</v>
      </c>
      <c r="HP30" s="16">
        <f t="shared" si="124"/>
        <v>25500</v>
      </c>
      <c r="HQ30" s="16">
        <v>1840.5</v>
      </c>
      <c r="HR30" s="16">
        <v>813.08</v>
      </c>
      <c r="HS30" s="16">
        <f t="shared" si="53"/>
        <v>37999.999999999956</v>
      </c>
      <c r="HT30" s="16">
        <v>1589.6</v>
      </c>
      <c r="HU30" s="16">
        <v>709.34</v>
      </c>
      <c r="HV30" s="16">
        <f t="shared" si="54"/>
        <v>25599.999999999862</v>
      </c>
      <c r="HW30" s="16">
        <v>1359</v>
      </c>
      <c r="HX30" s="16">
        <v>541.13</v>
      </c>
      <c r="HY30" s="16">
        <f t="shared" si="55"/>
        <v>24799.999999999909</v>
      </c>
      <c r="HZ30" s="16"/>
      <c r="IA30" s="16"/>
      <c r="IB30" s="128">
        <f t="shared" si="99"/>
        <v>20100</v>
      </c>
      <c r="IC30" s="211">
        <f t="shared" si="75"/>
        <v>2.6193447411060333E-10</v>
      </c>
      <c r="ID30" s="16"/>
      <c r="IE30" s="16"/>
      <c r="IF30" s="16">
        <f t="shared" si="100"/>
        <v>0</v>
      </c>
      <c r="IG30" s="16"/>
      <c r="IH30" s="16"/>
      <c r="II30" s="16">
        <f t="shared" si="101"/>
        <v>0</v>
      </c>
      <c r="IJ30" s="16"/>
      <c r="IK30" s="16"/>
      <c r="IL30" s="16">
        <f t="shared" si="102"/>
        <v>0</v>
      </c>
      <c r="IM30" s="16"/>
      <c r="IN30" s="16"/>
      <c r="IO30" s="16">
        <f t="shared" si="103"/>
        <v>0</v>
      </c>
      <c r="IP30" s="16"/>
      <c r="IQ30" s="16"/>
      <c r="IR30" s="16">
        <f t="shared" si="104"/>
        <v>0</v>
      </c>
      <c r="IS30" s="16"/>
      <c r="IT30" s="16"/>
      <c r="IU30" s="16">
        <f t="shared" si="105"/>
        <v>0</v>
      </c>
      <c r="IV30" s="16"/>
      <c r="IW30" s="16"/>
      <c r="IX30" s="16">
        <f t="shared" si="106"/>
        <v>0</v>
      </c>
      <c r="IY30" s="16"/>
      <c r="IZ30" s="16"/>
      <c r="JA30" s="16">
        <f t="shared" si="107"/>
        <v>0</v>
      </c>
      <c r="JB30" s="16"/>
      <c r="JC30" s="16"/>
      <c r="JD30" s="16">
        <f t="shared" si="108"/>
        <v>0</v>
      </c>
      <c r="JE30" s="16"/>
      <c r="JF30" s="16"/>
      <c r="JG30" s="16">
        <f t="shared" si="109"/>
        <v>0</v>
      </c>
      <c r="JH30" s="16"/>
      <c r="JI30" s="16"/>
      <c r="JJ30" s="16">
        <f t="shared" si="110"/>
        <v>0</v>
      </c>
      <c r="JK30" s="16"/>
      <c r="JL30" s="16"/>
      <c r="JM30" s="16">
        <f t="shared" si="111"/>
        <v>0</v>
      </c>
      <c r="JN30" s="16"/>
      <c r="JO30" s="16"/>
      <c r="JP30" s="16">
        <f t="shared" si="112"/>
        <v>0</v>
      </c>
      <c r="JQ30" s="16"/>
      <c r="JR30" s="16"/>
      <c r="JS30" s="16">
        <f t="shared" si="113"/>
        <v>0</v>
      </c>
      <c r="JT30" s="16"/>
      <c r="JU30" s="16"/>
      <c r="JV30" s="16">
        <f t="shared" si="114"/>
        <v>0</v>
      </c>
      <c r="JW30" s="16"/>
      <c r="JX30" s="16"/>
      <c r="JY30" s="16">
        <f t="shared" si="115"/>
        <v>0</v>
      </c>
      <c r="KA30" s="151">
        <f t="shared" si="76"/>
        <v>25500.000000000262</v>
      </c>
    </row>
    <row r="31" spans="1:287" x14ac:dyDescent="0.25">
      <c r="A31" s="35">
        <f t="shared" si="0"/>
        <v>25</v>
      </c>
      <c r="B31" s="38">
        <v>4037.63</v>
      </c>
      <c r="C31" s="38">
        <f t="shared" si="1"/>
        <v>12.230000000000018</v>
      </c>
      <c r="D31" s="38">
        <f t="shared" si="2"/>
        <v>391360.00000000058</v>
      </c>
      <c r="E31" s="38">
        <v>811.67</v>
      </c>
      <c r="F31" s="38">
        <f t="shared" si="3"/>
        <v>84159.999999999854</v>
      </c>
      <c r="G31" s="38">
        <f t="shared" si="4"/>
        <v>475520.00000000047</v>
      </c>
      <c r="H31" s="37"/>
      <c r="I31" s="39"/>
      <c r="J31" s="42"/>
      <c r="K31" s="37">
        <f t="shared" si="77"/>
        <v>0</v>
      </c>
      <c r="L31" s="40">
        <v>12167900</v>
      </c>
      <c r="M31" s="40"/>
      <c r="N31" s="37">
        <f t="shared" si="78"/>
        <v>479000</v>
      </c>
      <c r="O31" s="37">
        <v>10604.2</v>
      </c>
      <c r="P31" s="37"/>
      <c r="Q31" s="37">
        <f t="shared" si="119"/>
        <v>18200.000000000728</v>
      </c>
      <c r="R31" s="37">
        <f t="shared" si="79"/>
        <v>1</v>
      </c>
      <c r="S31" s="37">
        <v>11204626.449999999</v>
      </c>
      <c r="T31" s="37">
        <f t="shared" si="6"/>
        <v>9945.7599999997765</v>
      </c>
      <c r="U31" s="37">
        <v>1518173.85</v>
      </c>
      <c r="V31" s="37">
        <f t="shared" si="7"/>
        <v>0</v>
      </c>
      <c r="W31" s="37">
        <v>3758.4</v>
      </c>
      <c r="X31" s="37">
        <f t="shared" si="93"/>
        <v>8154.2400000009511</v>
      </c>
      <c r="Y31" s="183"/>
      <c r="Z31" s="183"/>
      <c r="AA31" s="37">
        <v>719000</v>
      </c>
      <c r="AB31" s="37">
        <f t="shared" si="8"/>
        <v>100</v>
      </c>
      <c r="AC31" s="37">
        <v>3939.6</v>
      </c>
      <c r="AD31" s="37"/>
      <c r="AE31" s="37">
        <f t="shared" si="121"/>
        <v>7500</v>
      </c>
      <c r="AF31" s="37">
        <f t="shared" si="80"/>
        <v>1</v>
      </c>
      <c r="AG31" s="37">
        <v>8594.2000000000007</v>
      </c>
      <c r="AH31" s="37"/>
      <c r="AI31" s="37">
        <f t="shared" si="10"/>
        <v>15387.140000001091</v>
      </c>
      <c r="AJ31" s="37">
        <f t="shared" si="11"/>
        <v>1</v>
      </c>
      <c r="AK31" s="37">
        <f t="shared" si="12"/>
        <v>40987.140000001818</v>
      </c>
      <c r="AL31" s="42">
        <v>10544</v>
      </c>
      <c r="AM31" s="2"/>
      <c r="AN31" s="37">
        <f t="shared" si="57"/>
        <v>5477.1399999999994</v>
      </c>
      <c r="AO31" s="37">
        <f t="shared" si="81"/>
        <v>1</v>
      </c>
      <c r="AP31" s="37">
        <v>8102.1</v>
      </c>
      <c r="AQ31" s="37"/>
      <c r="AR31" s="37">
        <f t="shared" si="13"/>
        <v>8800.0000000001819</v>
      </c>
      <c r="AS31" s="37">
        <f t="shared" si="82"/>
        <v>1</v>
      </c>
      <c r="AT31" s="183"/>
      <c r="AU31" s="183"/>
      <c r="AV31" s="183"/>
      <c r="AW31" s="183"/>
      <c r="AX31" s="37">
        <v>472250</v>
      </c>
      <c r="AY31" s="37"/>
      <c r="AZ31" s="37">
        <f t="shared" si="14"/>
        <v>450</v>
      </c>
      <c r="BA31" s="37">
        <v>129600</v>
      </c>
      <c r="BB31" s="37"/>
      <c r="BC31" s="37">
        <f t="shared" si="15"/>
        <v>800</v>
      </c>
      <c r="BD31" s="37">
        <f t="shared" si="83"/>
        <v>15527.140000000181</v>
      </c>
      <c r="BE31" s="43">
        <v>1847.2</v>
      </c>
      <c r="BF31" s="43">
        <v>1013.1</v>
      </c>
      <c r="BG31" s="37">
        <f t="shared" si="16"/>
        <v>2299.9999999999545</v>
      </c>
      <c r="BH31" s="44">
        <v>8642.7000000000007</v>
      </c>
      <c r="BI31" s="44">
        <v>5559.3</v>
      </c>
      <c r="BJ31" s="37">
        <f t="shared" si="17"/>
        <v>9500</v>
      </c>
      <c r="BK31" s="40">
        <v>1451410</v>
      </c>
      <c r="BL31" s="40">
        <f t="shared" si="84"/>
        <v>3610</v>
      </c>
      <c r="BM31" s="40">
        <v>851.87</v>
      </c>
      <c r="BN31" s="37">
        <f t="shared" si="18"/>
        <v>649.99999999997726</v>
      </c>
      <c r="BO31" s="186"/>
      <c r="BP31" s="183">
        <f t="shared" si="19"/>
        <v>0</v>
      </c>
      <c r="BQ31" s="40">
        <v>806.1</v>
      </c>
      <c r="BR31" s="37">
        <f t="shared" si="58"/>
        <v>850.00000000002274</v>
      </c>
      <c r="BS31" s="37">
        <v>92717.58</v>
      </c>
      <c r="BT31" s="37">
        <f t="shared" si="20"/>
        <v>219.83000000000175</v>
      </c>
      <c r="BU31" s="42">
        <v>2479297</v>
      </c>
      <c r="BV31" s="42"/>
      <c r="BW31" s="37">
        <f t="shared" si="21"/>
        <v>8597</v>
      </c>
      <c r="BX31" s="37">
        <f t="shared" si="85"/>
        <v>1</v>
      </c>
      <c r="BY31" s="43">
        <v>328.14370000000002</v>
      </c>
      <c r="BZ31" s="37"/>
      <c r="CA31" s="37">
        <f t="shared" si="116"/>
        <v>533.70000000001028</v>
      </c>
      <c r="CB31" s="37">
        <f t="shared" si="59"/>
        <v>1</v>
      </c>
      <c r="CC31" s="37">
        <v>582703.9</v>
      </c>
      <c r="CD31" s="37">
        <f t="shared" si="23"/>
        <v>1813.9000000000233</v>
      </c>
      <c r="CE31" s="41">
        <v>1006424</v>
      </c>
      <c r="CF31" s="37">
        <f t="shared" si="60"/>
        <v>6624</v>
      </c>
      <c r="CG31" s="37">
        <v>70929.2</v>
      </c>
      <c r="CH31" s="37">
        <f t="shared" si="61"/>
        <v>0</v>
      </c>
      <c r="CI31" s="40">
        <v>12250.78</v>
      </c>
      <c r="CJ31" s="40"/>
      <c r="CK31" s="37">
        <f t="shared" si="62"/>
        <v>20833.440000000643</v>
      </c>
      <c r="CL31" s="37">
        <f t="shared" si="24"/>
        <v>1</v>
      </c>
      <c r="CM31" s="37">
        <v>3364.3310000000001</v>
      </c>
      <c r="CN31" s="37"/>
      <c r="CO31" s="37">
        <f t="shared" si="25"/>
        <v>6118.1399999999494</v>
      </c>
      <c r="CP31" s="37">
        <f t="shared" si="86"/>
        <v>1</v>
      </c>
      <c r="CQ31" s="39">
        <v>3195.8589999999999</v>
      </c>
      <c r="CR31" s="39"/>
      <c r="CS31" s="37">
        <f t="shared" si="26"/>
        <v>6146.139999999742</v>
      </c>
      <c r="CT31" s="37">
        <f t="shared" si="87"/>
        <v>1</v>
      </c>
      <c r="CU31" s="37">
        <v>2903307</v>
      </c>
      <c r="CV31" s="37"/>
      <c r="CW31" s="38">
        <f t="shared" si="27"/>
        <v>19707</v>
      </c>
      <c r="CX31" s="37">
        <f t="shared" si="88"/>
        <v>1</v>
      </c>
      <c r="CY31" s="37">
        <v>1508448</v>
      </c>
      <c r="CZ31" s="37"/>
      <c r="DA31" s="37">
        <f t="shared" si="125"/>
        <v>10448</v>
      </c>
      <c r="DB31" s="37">
        <f t="shared" si="89"/>
        <v>1</v>
      </c>
      <c r="DC31" s="37"/>
      <c r="DD31" s="40"/>
      <c r="DE31" s="37">
        <f t="shared" si="29"/>
        <v>0</v>
      </c>
      <c r="DF31" s="37">
        <f t="shared" si="94"/>
        <v>0</v>
      </c>
      <c r="DG31" s="37">
        <f t="shared" si="30"/>
        <v>-71849.720000000336</v>
      </c>
      <c r="DH31" s="37">
        <f t="shared" si="31"/>
        <v>522287.14000000176</v>
      </c>
      <c r="DI31" s="46"/>
      <c r="DJ31" s="46"/>
      <c r="DK31" s="47"/>
      <c r="DL31" s="47"/>
      <c r="DM31" s="37"/>
      <c r="DN31" s="37"/>
      <c r="DO31" s="37"/>
      <c r="DP31" s="37"/>
      <c r="DQ31" s="50">
        <v>3200000</v>
      </c>
      <c r="DR31" s="49">
        <f t="shared" si="63"/>
        <v>6900</v>
      </c>
      <c r="DS31" s="50">
        <v>3234000</v>
      </c>
      <c r="DT31" s="49">
        <f t="shared" si="64"/>
        <v>19100</v>
      </c>
      <c r="DU31" s="51">
        <v>7865.9</v>
      </c>
      <c r="DV31" s="51">
        <v>4405.3999999999996</v>
      </c>
      <c r="DW31" s="37">
        <f t="shared" si="90"/>
        <v>4399.9999999996362</v>
      </c>
      <c r="DX31" s="52">
        <v>12973</v>
      </c>
      <c r="DY31" s="52">
        <v>8372.1</v>
      </c>
      <c r="DZ31" s="37">
        <f t="shared" si="32"/>
        <v>6587.14</v>
      </c>
      <c r="EA31" s="49">
        <v>29513</v>
      </c>
      <c r="EB31" s="49">
        <v>20.646999999999998</v>
      </c>
      <c r="EC31" s="37">
        <f t="shared" si="33"/>
        <v>25747.14</v>
      </c>
      <c r="ED31" s="53">
        <f t="shared" si="34"/>
        <v>36734.279999999635</v>
      </c>
      <c r="EE31" s="49">
        <v>44804</v>
      </c>
      <c r="EF31" s="49">
        <v>28.891999999999999</v>
      </c>
      <c r="EG31" s="37">
        <f t="shared" si="35"/>
        <v>22747.14</v>
      </c>
      <c r="EH31" s="51">
        <v>12763</v>
      </c>
      <c r="EI31" s="51">
        <v>1.7231000000000001</v>
      </c>
      <c r="EJ31" s="37">
        <f t="shared" si="36"/>
        <v>11587.14</v>
      </c>
      <c r="EK31" s="37">
        <v>774.49</v>
      </c>
      <c r="EL31" s="40">
        <v>1109.8</v>
      </c>
      <c r="EM31" s="37">
        <f t="shared" si="65"/>
        <v>639.99999999998636</v>
      </c>
      <c r="EN31" s="54">
        <f t="shared" si="66"/>
        <v>34974.279999999984</v>
      </c>
      <c r="EO31" s="48">
        <v>12794</v>
      </c>
      <c r="EP31" s="48">
        <v>4469.3</v>
      </c>
      <c r="EQ31" s="37">
        <f t="shared" si="67"/>
        <v>5662.1399999995338</v>
      </c>
      <c r="ER31" s="48">
        <v>8998.9</v>
      </c>
      <c r="ES31" s="48">
        <v>3682.6</v>
      </c>
      <c r="ET31" s="49">
        <f t="shared" si="96"/>
        <v>14199.999999998909</v>
      </c>
      <c r="EU31" s="48">
        <v>3391.6</v>
      </c>
      <c r="EV31" s="48">
        <v>1206.4000000000001</v>
      </c>
      <c r="EW31" s="49">
        <f t="shared" si="38"/>
        <v>8887.1399999997266</v>
      </c>
      <c r="EX31" s="48">
        <v>13200</v>
      </c>
      <c r="EY31" s="48">
        <v>1.5081</v>
      </c>
      <c r="EZ31" s="37">
        <f t="shared" si="39"/>
        <v>12587.14</v>
      </c>
      <c r="FA31" s="48">
        <f t="shared" si="68"/>
        <v>-18666.419999998168</v>
      </c>
      <c r="FB31" s="48">
        <v>35956770</v>
      </c>
      <c r="FC31" s="49">
        <f t="shared" si="91"/>
        <v>22670</v>
      </c>
      <c r="FD31" s="48">
        <f t="shared" si="69"/>
        <v>42936.419999998077</v>
      </c>
      <c r="FE31" s="48">
        <v>16813</v>
      </c>
      <c r="FF31" s="48">
        <v>6022</v>
      </c>
      <c r="FG31" s="37">
        <f t="shared" si="70"/>
        <v>11310.469999999956</v>
      </c>
      <c r="FH31" s="48">
        <v>8324.1</v>
      </c>
      <c r="FI31" s="48">
        <v>3.2136</v>
      </c>
      <c r="FJ31" s="49">
        <f t="shared" si="40"/>
        <v>16125.470000001093</v>
      </c>
      <c r="FK31" s="48"/>
      <c r="FL31" s="58">
        <v>-261.67</v>
      </c>
      <c r="FM31" s="48">
        <f>FT31/3</f>
        <v>412.86333333298353</v>
      </c>
      <c r="FN31" s="48">
        <v>16266</v>
      </c>
      <c r="FO31" s="48">
        <v>0.78600000000000003</v>
      </c>
      <c r="FP31" s="37">
        <f t="shared" si="71"/>
        <v>9325.4699999999993</v>
      </c>
      <c r="FQ31" s="48">
        <v>57776</v>
      </c>
      <c r="FR31" s="48">
        <v>13.933999999999999</v>
      </c>
      <c r="FS31" s="37">
        <f t="shared" si="41"/>
        <v>38000</v>
      </c>
      <c r="FT31" s="48">
        <f t="shared" si="72"/>
        <v>1238.5899999989506</v>
      </c>
      <c r="FU31" s="48">
        <f>FG31+FJ31+FP31+GM31</f>
        <v>36761.410000001051</v>
      </c>
      <c r="FV31" s="44">
        <v>3791600</v>
      </c>
      <c r="FW31" s="44">
        <v>1217900</v>
      </c>
      <c r="FX31" s="37">
        <f t="shared" si="42"/>
        <v>33200</v>
      </c>
      <c r="FY31" s="56">
        <v>3180.9</v>
      </c>
      <c r="FZ31" s="56">
        <v>1.9358</v>
      </c>
      <c r="GA31" s="37">
        <f t="shared" si="43"/>
        <v>11160</v>
      </c>
      <c r="GB31" s="56">
        <v>793.7</v>
      </c>
      <c r="GC31" s="56">
        <v>888.56</v>
      </c>
      <c r="GD31" s="37">
        <f t="shared" si="44"/>
        <v>1020.0000000000955</v>
      </c>
      <c r="GE31" s="56">
        <v>9820.1</v>
      </c>
      <c r="GF31" s="56">
        <v>3.2042999999999999</v>
      </c>
      <c r="GG31" s="37">
        <f t="shared" si="45"/>
        <v>7200.0000000011823</v>
      </c>
      <c r="GH31" s="158">
        <v>1916.3</v>
      </c>
      <c r="GI31" s="159">
        <v>1633</v>
      </c>
      <c r="GJ31" s="38">
        <f t="shared" si="46"/>
        <v>1599.9999999999091</v>
      </c>
      <c r="GK31" s="159">
        <v>1467.1</v>
      </c>
      <c r="GL31" s="160">
        <v>1119.0999999999999</v>
      </c>
      <c r="GM31" s="38">
        <f t="shared" si="47"/>
        <v>0</v>
      </c>
      <c r="GN31" s="57">
        <v>165740</v>
      </c>
      <c r="GO31" s="57">
        <v>144620</v>
      </c>
      <c r="GP31" s="38">
        <f t="shared" si="95"/>
        <v>0</v>
      </c>
      <c r="GQ31" s="38">
        <v>253480</v>
      </c>
      <c r="GR31" s="38">
        <v>249240</v>
      </c>
      <c r="GS31" s="38">
        <f t="shared" si="74"/>
        <v>340</v>
      </c>
      <c r="GT31" s="178"/>
      <c r="GU31" s="144">
        <f>DailyApr!B30-DailyApr!N30-DailyApr!V30-DailyApr!Y30-DailyApr!Z30-DailyApr!AA30-DailyApr!AB30-DailyApr!AC30-DailyApr!AD30-DailyApr!AE30-DailyApr!AK30-DailyApr!AO30-DailyApr!AS30-DailyApr!AY30-DailyApr!BD30+DailyApr!BU30-DailyApr!BG30-DailyApr!BT30-DailyApr!AF30-DailyApr!AG30</f>
        <v>9.9999982630833983E-3</v>
      </c>
      <c r="GV31" s="59">
        <v>-6192.89</v>
      </c>
      <c r="GW31" s="60">
        <f t="shared" si="48"/>
        <v>-412.85933333333338</v>
      </c>
      <c r="GX31" s="61">
        <v>-412.86</v>
      </c>
      <c r="GY31" s="140"/>
      <c r="GZ31" s="62"/>
      <c r="HA31" s="62"/>
      <c r="HB31" s="74"/>
      <c r="HC31" s="62"/>
      <c r="HD31" s="74"/>
      <c r="HE31" s="24">
        <f t="shared" si="49"/>
        <v>0</v>
      </c>
      <c r="HF31" s="3"/>
      <c r="HG31" s="213">
        <v>25</v>
      </c>
      <c r="HH31" s="16">
        <v>6991.5</v>
      </c>
      <c r="HI31" s="16">
        <v>2729.5</v>
      </c>
      <c r="HJ31" s="16">
        <f t="shared" si="117"/>
        <v>119500</v>
      </c>
      <c r="HK31" s="16">
        <v>1.9189000000000001</v>
      </c>
      <c r="HL31" s="16">
        <v>660.93</v>
      </c>
      <c r="HM31" s="16">
        <f t="shared" si="97"/>
        <v>0</v>
      </c>
      <c r="HN31" s="16">
        <v>476.15</v>
      </c>
      <c r="HO31" s="16">
        <v>225.33</v>
      </c>
      <c r="HP31" s="16">
        <f t="shared" si="124"/>
        <v>17129.999999999996</v>
      </c>
      <c r="HQ31" s="16">
        <v>1875.1</v>
      </c>
      <c r="HR31" s="16">
        <v>827.22</v>
      </c>
      <c r="HS31" s="16">
        <f t="shared" si="53"/>
        <v>34723.332999999911</v>
      </c>
      <c r="HT31" s="16">
        <v>1614.5</v>
      </c>
      <c r="HU31" s="16">
        <v>719.51</v>
      </c>
      <c r="HV31" s="16">
        <f t="shared" si="54"/>
        <v>25023.33300000009</v>
      </c>
      <c r="HW31" s="16">
        <v>1382.4</v>
      </c>
      <c r="HX31" s="16">
        <v>549.69000000000005</v>
      </c>
      <c r="HY31" s="16">
        <f t="shared" si="55"/>
        <v>23523.33300000009</v>
      </c>
      <c r="HZ31" s="16"/>
      <c r="IA31" s="16"/>
      <c r="IB31" s="128">
        <f t="shared" si="99"/>
        <v>19100</v>
      </c>
      <c r="IC31" s="211">
        <f t="shared" si="75"/>
        <v>9.9999992016819306E-4</v>
      </c>
      <c r="ID31" s="16"/>
      <c r="IE31" s="16"/>
      <c r="IF31" s="16">
        <f t="shared" si="100"/>
        <v>0</v>
      </c>
      <c r="IG31" s="16"/>
      <c r="IH31" s="16"/>
      <c r="II31" s="16">
        <f t="shared" si="101"/>
        <v>0</v>
      </c>
      <c r="IJ31" s="16"/>
      <c r="IK31" s="16"/>
      <c r="IL31" s="16">
        <f t="shared" si="102"/>
        <v>0</v>
      </c>
      <c r="IM31" s="16"/>
      <c r="IN31" s="16"/>
      <c r="IO31" s="16">
        <f t="shared" si="103"/>
        <v>0</v>
      </c>
      <c r="IP31" s="16"/>
      <c r="IQ31" s="16"/>
      <c r="IR31" s="16">
        <f t="shared" si="104"/>
        <v>0</v>
      </c>
      <c r="IS31" s="16"/>
      <c r="IT31" s="16"/>
      <c r="IU31" s="16">
        <f t="shared" si="105"/>
        <v>0</v>
      </c>
      <c r="IV31" s="16"/>
      <c r="IW31" s="16"/>
      <c r="IX31" s="16">
        <f t="shared" si="106"/>
        <v>0</v>
      </c>
      <c r="IY31" s="16"/>
      <c r="IZ31" s="16"/>
      <c r="JA31" s="16">
        <f t="shared" si="107"/>
        <v>0</v>
      </c>
      <c r="JB31" s="16"/>
      <c r="JC31" s="16"/>
      <c r="JD31" s="16">
        <f t="shared" si="108"/>
        <v>0</v>
      </c>
      <c r="JE31" s="16"/>
      <c r="JF31" s="16"/>
      <c r="JG31" s="16">
        <f t="shared" si="109"/>
        <v>0</v>
      </c>
      <c r="JH31" s="16"/>
      <c r="JI31" s="16"/>
      <c r="JJ31" s="16">
        <f t="shared" si="110"/>
        <v>0</v>
      </c>
      <c r="JK31" s="16"/>
      <c r="JL31" s="16"/>
      <c r="JM31" s="16">
        <f t="shared" si="111"/>
        <v>0</v>
      </c>
      <c r="JN31" s="16"/>
      <c r="JO31" s="16"/>
      <c r="JP31" s="16">
        <f t="shared" si="112"/>
        <v>0</v>
      </c>
      <c r="JQ31" s="16"/>
      <c r="JR31" s="16"/>
      <c r="JS31" s="16">
        <f t="shared" si="113"/>
        <v>0</v>
      </c>
      <c r="JT31" s="16"/>
      <c r="JU31" s="16"/>
      <c r="JV31" s="16">
        <f t="shared" si="114"/>
        <v>0</v>
      </c>
      <c r="JW31" s="16"/>
      <c r="JX31" s="16"/>
      <c r="JY31" s="16">
        <f t="shared" si="115"/>
        <v>0</v>
      </c>
      <c r="KA31" s="151">
        <f t="shared" si="76"/>
        <v>17130.000999999917</v>
      </c>
    </row>
    <row r="32" spans="1:287" x14ac:dyDescent="0.25">
      <c r="A32" s="35">
        <f t="shared" si="0"/>
        <v>26</v>
      </c>
      <c r="B32" s="38">
        <v>4049.36</v>
      </c>
      <c r="C32" s="38">
        <f t="shared" si="1"/>
        <v>11.730000000000018</v>
      </c>
      <c r="D32" s="38">
        <f t="shared" si="2"/>
        <v>375360.00000000058</v>
      </c>
      <c r="E32" s="38">
        <v>814.04</v>
      </c>
      <c r="F32" s="38">
        <f t="shared" si="3"/>
        <v>75840.000000000146</v>
      </c>
      <c r="G32" s="38">
        <f t="shared" si="4"/>
        <v>451200.0000000007</v>
      </c>
      <c r="H32" s="37"/>
      <c r="I32" s="39"/>
      <c r="J32" s="42"/>
      <c r="K32" s="37">
        <f t="shared" si="77"/>
        <v>0</v>
      </c>
      <c r="L32" s="40">
        <v>12212000</v>
      </c>
      <c r="M32" s="40"/>
      <c r="N32" s="37">
        <f t="shared" si="78"/>
        <v>441000</v>
      </c>
      <c r="O32" s="37">
        <v>10622</v>
      </c>
      <c r="P32" s="37"/>
      <c r="Q32" s="37">
        <f t="shared" si="119"/>
        <v>17799.999999999272</v>
      </c>
      <c r="R32" s="37">
        <f t="shared" si="79"/>
        <v>1</v>
      </c>
      <c r="S32" s="37">
        <v>11214511.779999999</v>
      </c>
      <c r="T32" s="37">
        <f t="shared" si="6"/>
        <v>9885.3300000000745</v>
      </c>
      <c r="U32" s="37">
        <v>1518173.85</v>
      </c>
      <c r="V32" s="37">
        <f>IF((U32-U31)&lt;=0,0,(U32-U31))</f>
        <v>0</v>
      </c>
      <c r="W32" s="37">
        <v>3765.1</v>
      </c>
      <c r="X32" s="37">
        <f t="shared" si="93"/>
        <v>7824.6699999991979</v>
      </c>
      <c r="Y32" s="183"/>
      <c r="Z32" s="183"/>
      <c r="AA32" s="37">
        <v>719090</v>
      </c>
      <c r="AB32" s="37">
        <f t="shared" si="8"/>
        <v>90</v>
      </c>
      <c r="AC32" s="37">
        <v>3947.4</v>
      </c>
      <c r="AD32" s="37"/>
      <c r="AE32" s="37">
        <f t="shared" si="121"/>
        <v>7800.0000000001819</v>
      </c>
      <c r="AF32" s="37">
        <f t="shared" si="80"/>
        <v>1</v>
      </c>
      <c r="AG32" s="37">
        <v>8610.6</v>
      </c>
      <c r="AH32" s="37"/>
      <c r="AI32" s="37">
        <f t="shared" si="10"/>
        <v>16740.119999999635</v>
      </c>
      <c r="AJ32" s="37">
        <f t="shared" si="11"/>
        <v>1</v>
      </c>
      <c r="AK32" s="37">
        <f t="shared" si="12"/>
        <v>42250.119999999093</v>
      </c>
      <c r="AL32" s="42">
        <v>10554</v>
      </c>
      <c r="AM32" s="42"/>
      <c r="AN32" s="37">
        <f t="shared" si="57"/>
        <v>5500.1200000000917</v>
      </c>
      <c r="AO32" s="37">
        <f t="shared" si="81"/>
        <v>1</v>
      </c>
      <c r="AP32" s="37">
        <v>8110.9</v>
      </c>
      <c r="AQ32" s="37"/>
      <c r="AR32" s="37">
        <f t="shared" si="13"/>
        <v>8799.9999999992724</v>
      </c>
      <c r="AS32" s="37">
        <f t="shared" si="82"/>
        <v>1</v>
      </c>
      <c r="AT32" s="183"/>
      <c r="AU32" s="183"/>
      <c r="AV32" s="183"/>
      <c r="AW32" s="183"/>
      <c r="AX32" s="37">
        <v>472682.96</v>
      </c>
      <c r="AY32" s="37"/>
      <c r="AZ32" s="37">
        <f t="shared" si="14"/>
        <v>432.96000000002095</v>
      </c>
      <c r="BA32" s="37">
        <v>130259.29</v>
      </c>
      <c r="BB32" s="37"/>
      <c r="BC32" s="37">
        <f t="shared" si="15"/>
        <v>659.2899999999936</v>
      </c>
      <c r="BD32" s="37">
        <f t="shared" si="83"/>
        <v>15392.369999999379</v>
      </c>
      <c r="BE32" s="43">
        <v>1849.2</v>
      </c>
      <c r="BF32" s="43">
        <v>1014.3</v>
      </c>
      <c r="BG32" s="37">
        <f t="shared" si="16"/>
        <v>2000</v>
      </c>
      <c r="BH32" s="44">
        <v>8652.1</v>
      </c>
      <c r="BI32" s="44">
        <v>5565.3</v>
      </c>
      <c r="BJ32" s="37">
        <f t="shared" si="17"/>
        <v>9399.9999999996362</v>
      </c>
      <c r="BK32" s="40">
        <v>1454900</v>
      </c>
      <c r="BL32" s="40">
        <f t="shared" si="84"/>
        <v>3490</v>
      </c>
      <c r="BM32" s="40">
        <v>852.51</v>
      </c>
      <c r="BN32" s="37">
        <f t="shared" si="18"/>
        <v>639.99999999998636</v>
      </c>
      <c r="BO32" s="186"/>
      <c r="BP32" s="183">
        <f t="shared" si="19"/>
        <v>0</v>
      </c>
      <c r="BQ32" s="40">
        <v>806.81</v>
      </c>
      <c r="BR32" s="37">
        <f t="shared" si="58"/>
        <v>709.99999999992269</v>
      </c>
      <c r="BS32" s="37">
        <v>92933.09</v>
      </c>
      <c r="BT32" s="37">
        <f t="shared" si="20"/>
        <v>215.50999999999476</v>
      </c>
      <c r="BU32" s="42">
        <v>2489200</v>
      </c>
      <c r="BV32" s="42"/>
      <c r="BW32" s="37">
        <f t="shared" si="21"/>
        <v>9903</v>
      </c>
      <c r="BX32" s="37">
        <f t="shared" si="85"/>
        <v>1</v>
      </c>
      <c r="BY32" s="43">
        <v>328.68</v>
      </c>
      <c r="BZ32" s="43"/>
      <c r="CA32" s="37">
        <f t="shared" si="116"/>
        <v>536.2999999999829</v>
      </c>
      <c r="CB32" s="37">
        <f t="shared" si="59"/>
        <v>1</v>
      </c>
      <c r="CC32" s="37">
        <v>585260</v>
      </c>
      <c r="CD32" s="37">
        <f t="shared" si="23"/>
        <v>2556.0999999999767</v>
      </c>
      <c r="CE32" s="41">
        <v>1012400</v>
      </c>
      <c r="CF32" s="37">
        <f t="shared" si="60"/>
        <v>5976</v>
      </c>
      <c r="CG32" s="37">
        <v>71317</v>
      </c>
      <c r="CH32" s="37">
        <f t="shared" si="61"/>
        <v>387.80000000000291</v>
      </c>
      <c r="CI32" s="40">
        <v>12274</v>
      </c>
      <c r="CJ32" s="40"/>
      <c r="CK32" s="37">
        <f t="shared" si="62"/>
        <v>23023.819999999359</v>
      </c>
      <c r="CL32" s="37">
        <f t="shared" si="24"/>
        <v>1</v>
      </c>
      <c r="CM32" s="37">
        <v>3370.8</v>
      </c>
      <c r="CN32" s="37"/>
      <c r="CO32" s="37">
        <f t="shared" si="25"/>
        <v>6809.1200000000508</v>
      </c>
      <c r="CP32" s="37">
        <f t="shared" si="86"/>
        <v>1</v>
      </c>
      <c r="CQ32" s="39">
        <v>3202.6</v>
      </c>
      <c r="CR32" s="39"/>
      <c r="CS32" s="37">
        <f t="shared" si="26"/>
        <v>7081.1199999999853</v>
      </c>
      <c r="CT32" s="37">
        <f t="shared" si="87"/>
        <v>1</v>
      </c>
      <c r="CU32" s="37">
        <v>2921300</v>
      </c>
      <c r="CV32" s="37"/>
      <c r="CW32" s="38">
        <f t="shared" si="27"/>
        <v>17993</v>
      </c>
      <c r="CX32" s="37">
        <f>IF(CW32&lt;=0,0,(CW32/SQRT(CW32^2+(CV32-CV31)^2)))</f>
        <v>1</v>
      </c>
      <c r="CY32" s="37">
        <v>1518800</v>
      </c>
      <c r="CZ32" s="37"/>
      <c r="DA32" s="37">
        <f t="shared" si="125"/>
        <v>10352</v>
      </c>
      <c r="DB32" s="37">
        <f t="shared" si="89"/>
        <v>1</v>
      </c>
      <c r="DC32" s="37"/>
      <c r="DD32" s="40"/>
      <c r="DE32" s="37">
        <f t="shared" si="29"/>
        <v>0</v>
      </c>
      <c r="DF32" s="37">
        <f t="shared" si="94"/>
        <v>0</v>
      </c>
      <c r="DG32" s="37">
        <f t="shared" si="30"/>
        <v>-75162.059999999401</v>
      </c>
      <c r="DH32" s="37">
        <f t="shared" si="31"/>
        <v>485250.11999999906</v>
      </c>
      <c r="DI32" s="46"/>
      <c r="DJ32" s="46"/>
      <c r="DK32" s="47"/>
      <c r="DL32" s="47"/>
      <c r="DM32" s="37"/>
      <c r="DN32" s="37"/>
      <c r="DO32" s="37"/>
      <c r="DP32" s="37"/>
      <c r="DQ32" s="50">
        <v>3207200</v>
      </c>
      <c r="DR32" s="49">
        <f t="shared" si="63"/>
        <v>7200</v>
      </c>
      <c r="DS32" s="50">
        <v>3252400</v>
      </c>
      <c r="DT32" s="49">
        <f t="shared" si="64"/>
        <v>18400</v>
      </c>
      <c r="DU32" s="51">
        <v>7870.3</v>
      </c>
      <c r="DV32" s="51">
        <v>4408</v>
      </c>
      <c r="DW32" s="37">
        <f t="shared" si="90"/>
        <v>4400.0000000005457</v>
      </c>
      <c r="DX32" s="52">
        <v>12980</v>
      </c>
      <c r="DY32" s="52">
        <v>8374.2000000000007</v>
      </c>
      <c r="DZ32" s="37">
        <f t="shared" si="32"/>
        <v>7340.12</v>
      </c>
      <c r="EA32" s="49">
        <v>29537</v>
      </c>
      <c r="EB32" s="49">
        <v>20.66</v>
      </c>
      <c r="EC32" s="37">
        <f t="shared" si="33"/>
        <v>26500.12</v>
      </c>
      <c r="ED32" s="53">
        <f t="shared" si="34"/>
        <v>38240.240000000544</v>
      </c>
      <c r="EE32" s="49">
        <v>44828</v>
      </c>
      <c r="EF32" s="49">
        <v>28.917999999999999</v>
      </c>
      <c r="EG32" s="37">
        <f t="shared" si="35"/>
        <v>26500.12</v>
      </c>
      <c r="EH32" s="51">
        <v>12776</v>
      </c>
      <c r="EI32" s="51">
        <v>1.7257</v>
      </c>
      <c r="EJ32" s="37">
        <f t="shared" si="36"/>
        <v>13340.12</v>
      </c>
      <c r="EK32" s="37">
        <v>775.29</v>
      </c>
      <c r="EL32" s="40">
        <v>1110.9000000000001</v>
      </c>
      <c r="EM32" s="37">
        <f t="shared" si="65"/>
        <v>799.99999999995453</v>
      </c>
      <c r="EN32" s="54">
        <f t="shared" si="66"/>
        <v>40640.239999999954</v>
      </c>
      <c r="EO32" s="48">
        <v>12802</v>
      </c>
      <c r="EP32" s="48">
        <v>4472.2</v>
      </c>
      <c r="EQ32" s="37">
        <f t="shared" si="67"/>
        <v>7370.1199999999735</v>
      </c>
      <c r="ER32" s="48">
        <v>9012.9</v>
      </c>
      <c r="ES32" s="48">
        <v>3689</v>
      </c>
      <c r="ET32" s="49">
        <f t="shared" si="96"/>
        <v>14000</v>
      </c>
      <c r="EU32" s="48">
        <v>3400.6</v>
      </c>
      <c r="EV32" s="48">
        <v>1209.5999999999999</v>
      </c>
      <c r="EW32" s="49">
        <f t="shared" si="38"/>
        <v>9340.1200000000008</v>
      </c>
      <c r="EX32" s="48">
        <v>13212</v>
      </c>
      <c r="EY32" s="48">
        <v>1.5094000000000001</v>
      </c>
      <c r="EZ32" s="37">
        <f t="shared" si="39"/>
        <v>12340.12</v>
      </c>
      <c r="FA32" s="48">
        <f t="shared" si="68"/>
        <v>-21028.359999999975</v>
      </c>
      <c r="FB32" s="48">
        <v>35978792</v>
      </c>
      <c r="FC32" s="49">
        <f t="shared" si="91"/>
        <v>22022</v>
      </c>
      <c r="FD32" s="48">
        <f t="shared" si="69"/>
        <v>44650.360000000117</v>
      </c>
      <c r="FE32" s="48">
        <v>16822</v>
      </c>
      <c r="FF32" s="48">
        <v>6024.8</v>
      </c>
      <c r="FG32" s="37">
        <f t="shared" si="70"/>
        <v>10386.790000000028</v>
      </c>
      <c r="FH32" s="48">
        <v>8340.9</v>
      </c>
      <c r="FI32" s="48">
        <v>3.2201</v>
      </c>
      <c r="FJ32" s="49">
        <f t="shared" si="40"/>
        <v>17216.78999999927</v>
      </c>
      <c r="FK32" s="48"/>
      <c r="FL32" s="58">
        <v>76.67</v>
      </c>
      <c r="FM32" s="48">
        <f>FT32/3</f>
        <v>-340.12333333310016</v>
      </c>
      <c r="FN32" s="48">
        <v>16277</v>
      </c>
      <c r="FO32" s="48">
        <v>0.7873</v>
      </c>
      <c r="FP32" s="37">
        <f t="shared" si="71"/>
        <v>11416.79</v>
      </c>
      <c r="FQ32" s="48">
        <v>57814</v>
      </c>
      <c r="FR32" s="48">
        <v>13.945</v>
      </c>
      <c r="FS32" s="37">
        <f t="shared" si="41"/>
        <v>38000</v>
      </c>
      <c r="FT32" s="48">
        <f t="shared" si="72"/>
        <v>-1020.3699999993005</v>
      </c>
      <c r="FU32" s="48">
        <f t="shared" si="73"/>
        <v>39020.369999999297</v>
      </c>
      <c r="FV32" s="44">
        <v>3823400</v>
      </c>
      <c r="FW32" s="44">
        <v>1227900</v>
      </c>
      <c r="FX32" s="37">
        <f t="shared" si="42"/>
        <v>31800</v>
      </c>
      <c r="FY32" s="56">
        <v>3192.2</v>
      </c>
      <c r="FZ32" s="56">
        <v>1.9434</v>
      </c>
      <c r="GA32" s="37">
        <f t="shared" si="43"/>
        <v>10959.999999999727</v>
      </c>
      <c r="GB32" s="56">
        <v>794.63</v>
      </c>
      <c r="GC32" s="56">
        <v>889.61</v>
      </c>
      <c r="GD32" s="37">
        <f t="shared" si="44"/>
        <v>929.99999999994998</v>
      </c>
      <c r="GE32" s="56">
        <v>9829.1</v>
      </c>
      <c r="GF32" s="56">
        <v>3.2109999999999999</v>
      </c>
      <c r="GG32" s="37">
        <f>IF((GE32-GE31)*1000&lt;=0,0,(GE32-GE31)*1000)-GJ32-GM32</f>
        <v>7399.9999999998636</v>
      </c>
      <c r="GH32" s="158">
        <v>1917.9</v>
      </c>
      <c r="GI32" s="159">
        <v>1634.5</v>
      </c>
      <c r="GJ32" s="38">
        <f t="shared" si="46"/>
        <v>1600.0000000001364</v>
      </c>
      <c r="GK32" s="159">
        <v>1467.1</v>
      </c>
      <c r="GL32" s="160">
        <v>1119.0999999999999</v>
      </c>
      <c r="GM32" s="38">
        <f t="shared" si="47"/>
        <v>0</v>
      </c>
      <c r="GN32" s="57">
        <v>165750</v>
      </c>
      <c r="GO32" s="57">
        <v>144620</v>
      </c>
      <c r="GP32" s="38">
        <f t="shared" si="95"/>
        <v>10</v>
      </c>
      <c r="GQ32" s="38">
        <v>253820</v>
      </c>
      <c r="GR32" s="38">
        <v>249460</v>
      </c>
      <c r="GS32" s="38">
        <f t="shared" si="74"/>
        <v>340</v>
      </c>
      <c r="GT32" s="178"/>
      <c r="GU32" s="144">
        <f>DailyApr!B31-DailyApr!N31-DailyApr!V31-DailyApr!Y31-DailyApr!Z31-DailyApr!AA31-DailyApr!AB31-DailyApr!AC31-DailyApr!AD31-DailyApr!AE31-DailyApr!AK31-DailyApr!AO31-DailyApr!AS31-DailyApr!AY31-DailyApr!BD31+DailyApr!BU31-DailyApr!BG31-DailyApr!BT31-DailyApr!AF31-DailyApr!AG31</f>
        <v>4.0000003908062354E-2</v>
      </c>
      <c r="GV32" s="59">
        <v>5101.84</v>
      </c>
      <c r="GW32" s="60">
        <f t="shared" si="48"/>
        <v>340.1226666666667</v>
      </c>
      <c r="GX32" s="61">
        <v>340.12</v>
      </c>
      <c r="GY32" s="140"/>
      <c r="GZ32" s="62"/>
      <c r="HA32" s="62"/>
      <c r="HB32" s="74"/>
      <c r="HC32" s="62"/>
      <c r="HD32" s="74"/>
      <c r="HE32" s="24">
        <f t="shared" si="49"/>
        <v>0</v>
      </c>
      <c r="HG32" s="213">
        <v>26</v>
      </c>
      <c r="HH32" s="16">
        <v>7073.7</v>
      </c>
      <c r="HI32" s="16">
        <v>2760.3</v>
      </c>
      <c r="HJ32" s="16">
        <f t="shared" si="117"/>
        <v>82199.999999999825</v>
      </c>
      <c r="HK32" s="16">
        <v>1.9189000000000001</v>
      </c>
      <c r="HL32" s="16">
        <v>660.93</v>
      </c>
      <c r="HM32" s="16">
        <f t="shared" si="97"/>
        <v>0</v>
      </c>
      <c r="HN32" s="16">
        <v>477.56</v>
      </c>
      <c r="HO32" s="16">
        <v>226.19</v>
      </c>
      <c r="HP32" s="16">
        <f t="shared" si="124"/>
        <v>1410.000000000025</v>
      </c>
      <c r="HQ32" s="16">
        <v>1896.6</v>
      </c>
      <c r="HR32" s="16">
        <v>837.07</v>
      </c>
      <c r="HS32" s="16">
        <f t="shared" si="53"/>
        <v>21330</v>
      </c>
      <c r="HT32" s="16">
        <v>1639.5</v>
      </c>
      <c r="HU32" s="16">
        <v>729.79</v>
      </c>
      <c r="HV32" s="16">
        <f t="shared" si="54"/>
        <v>24830</v>
      </c>
      <c r="HW32" s="16">
        <v>1398.8</v>
      </c>
      <c r="HX32" s="16">
        <v>556.19000000000005</v>
      </c>
      <c r="HY32" s="16">
        <f t="shared" si="55"/>
        <v>16229.999999999862</v>
      </c>
      <c r="HZ32" s="16"/>
      <c r="IA32" s="16"/>
      <c r="IB32" s="128">
        <f t="shared" si="99"/>
        <v>18400</v>
      </c>
      <c r="IC32" s="211">
        <f t="shared" si="75"/>
        <v>-6.1390892369672656E-11</v>
      </c>
      <c r="ID32" s="16"/>
      <c r="IE32" s="16"/>
      <c r="IF32" s="16">
        <f t="shared" si="100"/>
        <v>0</v>
      </c>
      <c r="IG32" s="16"/>
      <c r="IH32" s="16"/>
      <c r="II32" s="16">
        <f t="shared" si="101"/>
        <v>0</v>
      </c>
      <c r="IJ32" s="16"/>
      <c r="IK32" s="16"/>
      <c r="IL32" s="16">
        <f t="shared" si="102"/>
        <v>0</v>
      </c>
      <c r="IM32" s="16"/>
      <c r="IN32" s="16"/>
      <c r="IO32" s="16">
        <f t="shared" si="103"/>
        <v>0</v>
      </c>
      <c r="IP32" s="16"/>
      <c r="IQ32" s="16"/>
      <c r="IR32" s="16">
        <f t="shared" si="104"/>
        <v>0</v>
      </c>
      <c r="IS32" s="16"/>
      <c r="IT32" s="16"/>
      <c r="IU32" s="16">
        <f t="shared" si="105"/>
        <v>0</v>
      </c>
      <c r="IV32" s="16"/>
      <c r="IW32" s="16"/>
      <c r="IX32" s="16">
        <f t="shared" si="106"/>
        <v>0</v>
      </c>
      <c r="IY32" s="16"/>
      <c r="IZ32" s="16"/>
      <c r="JA32" s="16">
        <f t="shared" si="107"/>
        <v>0</v>
      </c>
      <c r="JB32" s="16"/>
      <c r="JC32" s="16"/>
      <c r="JD32" s="16">
        <f t="shared" si="108"/>
        <v>0</v>
      </c>
      <c r="JE32" s="16"/>
      <c r="JF32" s="16"/>
      <c r="JG32" s="16">
        <f t="shared" si="109"/>
        <v>0</v>
      </c>
      <c r="JH32" s="16"/>
      <c r="JI32" s="16"/>
      <c r="JJ32" s="16">
        <f t="shared" si="110"/>
        <v>0</v>
      </c>
      <c r="JK32" s="16"/>
      <c r="JL32" s="16"/>
      <c r="JM32" s="16">
        <f t="shared" si="111"/>
        <v>0</v>
      </c>
      <c r="JN32" s="16"/>
      <c r="JO32" s="16"/>
      <c r="JP32" s="16">
        <f t="shared" si="112"/>
        <v>0</v>
      </c>
      <c r="JQ32" s="16"/>
      <c r="JR32" s="16"/>
      <c r="JS32" s="16">
        <f t="shared" si="113"/>
        <v>0</v>
      </c>
      <c r="JT32" s="16"/>
      <c r="JU32" s="16"/>
      <c r="JV32" s="16">
        <f t="shared" si="114"/>
        <v>0</v>
      </c>
      <c r="JW32" s="16"/>
      <c r="JX32" s="16"/>
      <c r="JY32" s="16">
        <f t="shared" si="115"/>
        <v>0</v>
      </c>
      <c r="KA32" s="151">
        <f t="shared" si="76"/>
        <v>1409.9999999999636</v>
      </c>
    </row>
    <row r="33" spans="1:287" x14ac:dyDescent="0.25">
      <c r="A33" s="35">
        <f t="shared" si="0"/>
        <v>27</v>
      </c>
      <c r="B33" s="38">
        <v>4060.89</v>
      </c>
      <c r="C33" s="38">
        <f t="shared" si="1"/>
        <v>11.529999999999745</v>
      </c>
      <c r="D33" s="38">
        <f t="shared" si="2"/>
        <v>368959.99999999185</v>
      </c>
      <c r="E33" s="38">
        <v>816.4</v>
      </c>
      <c r="F33" s="38">
        <f t="shared" si="3"/>
        <v>75520.000000000437</v>
      </c>
      <c r="G33" s="38">
        <f t="shared" si="4"/>
        <v>444479.99999999232</v>
      </c>
      <c r="H33" s="37"/>
      <c r="I33" s="39"/>
      <c r="J33" s="42"/>
      <c r="K33" s="37">
        <f t="shared" si="77"/>
        <v>0</v>
      </c>
      <c r="L33" s="40">
        <v>12256300</v>
      </c>
      <c r="M33" s="40"/>
      <c r="N33" s="37">
        <f t="shared" si="78"/>
        <v>443000</v>
      </c>
      <c r="O33" s="37">
        <v>10640.7</v>
      </c>
      <c r="P33" s="37"/>
      <c r="Q33" s="37">
        <f t="shared" si="119"/>
        <v>18700.000000000728</v>
      </c>
      <c r="R33" s="37">
        <f t="shared" si="79"/>
        <v>1</v>
      </c>
      <c r="S33" s="37">
        <v>11224397.1</v>
      </c>
      <c r="T33" s="37">
        <f t="shared" si="6"/>
        <v>9885.320000000298</v>
      </c>
      <c r="U33" s="37">
        <v>1518173.85</v>
      </c>
      <c r="V33" s="37">
        <f t="shared" si="7"/>
        <v>0</v>
      </c>
      <c r="W33" s="37">
        <v>3771.8</v>
      </c>
      <c r="X33" s="37">
        <f t="shared" si="93"/>
        <v>8704.6800000004296</v>
      </c>
      <c r="Y33" s="183"/>
      <c r="Z33" s="183"/>
      <c r="AA33" s="37">
        <v>719200</v>
      </c>
      <c r="AB33" s="37">
        <f t="shared" si="8"/>
        <v>110</v>
      </c>
      <c r="AC33" s="37">
        <v>3955.1</v>
      </c>
      <c r="AD33" s="37"/>
      <c r="AE33" s="37">
        <f t="shared" si="121"/>
        <v>7699.9999999998181</v>
      </c>
      <c r="AF33" s="37">
        <f t="shared" si="80"/>
        <v>1</v>
      </c>
      <c r="AG33" s="37">
        <v>8626.7000000000007</v>
      </c>
      <c r="AH33" s="37"/>
      <c r="AI33" s="37">
        <f t="shared" si="10"/>
        <v>16599.950000000365</v>
      </c>
      <c r="AJ33" s="37">
        <f t="shared" si="11"/>
        <v>1</v>
      </c>
      <c r="AK33" s="37">
        <f t="shared" si="12"/>
        <v>42889.950000000914</v>
      </c>
      <c r="AL33" s="42">
        <v>10563.9</v>
      </c>
      <c r="AM33" s="42"/>
      <c r="AN33" s="37">
        <f t="shared" si="57"/>
        <v>5549.9499999996597</v>
      </c>
      <c r="AO33" s="37">
        <f t="shared" si="81"/>
        <v>1</v>
      </c>
      <c r="AP33" s="37">
        <v>8119.6</v>
      </c>
      <c r="AQ33" s="37"/>
      <c r="AR33" s="37">
        <f t="shared" si="13"/>
        <v>8700.0000000007276</v>
      </c>
      <c r="AS33" s="37">
        <f t="shared" si="82"/>
        <v>1</v>
      </c>
      <c r="AT33" s="183"/>
      <c r="AU33" s="183"/>
      <c r="AV33" s="183"/>
      <c r="AW33" s="183"/>
      <c r="AX33" s="37">
        <v>473100</v>
      </c>
      <c r="AY33" s="37"/>
      <c r="AZ33" s="37">
        <f t="shared" si="14"/>
        <v>417.03999999997905</v>
      </c>
      <c r="BA33" s="37">
        <v>130870</v>
      </c>
      <c r="BB33" s="37"/>
      <c r="BC33" s="37">
        <f t="shared" si="15"/>
        <v>610.7100000000064</v>
      </c>
      <c r="BD33" s="37">
        <f t="shared" si="83"/>
        <v>15277.700000000372</v>
      </c>
      <c r="BE33" s="43">
        <v>1851.4</v>
      </c>
      <c r="BF33" s="43">
        <v>1015.6</v>
      </c>
      <c r="BG33" s="37">
        <f t="shared" si="16"/>
        <v>2200.0000000000455</v>
      </c>
      <c r="BH33" s="44">
        <v>8661.6</v>
      </c>
      <c r="BI33" s="44">
        <v>5571.4</v>
      </c>
      <c r="BJ33" s="37">
        <f t="shared" si="17"/>
        <v>9500</v>
      </c>
      <c r="BK33" s="40">
        <v>1458600</v>
      </c>
      <c r="BL33" s="40">
        <f t="shared" si="84"/>
        <v>3700</v>
      </c>
      <c r="BM33" s="40">
        <v>853.17</v>
      </c>
      <c r="BN33" s="37">
        <f t="shared" si="18"/>
        <v>659.99999999996817</v>
      </c>
      <c r="BO33" s="186"/>
      <c r="BP33" s="183">
        <f t="shared" si="19"/>
        <v>0</v>
      </c>
      <c r="BQ33" s="40">
        <v>807.3</v>
      </c>
      <c r="BR33" s="37">
        <f t="shared" si="58"/>
        <v>490.00000000000909</v>
      </c>
      <c r="BS33" s="37">
        <v>93134.38</v>
      </c>
      <c r="BT33" s="37">
        <f t="shared" si="20"/>
        <v>201.29000000000815</v>
      </c>
      <c r="BU33" s="42">
        <v>2499100</v>
      </c>
      <c r="BV33" s="42"/>
      <c r="BW33" s="37">
        <f t="shared" si="21"/>
        <v>9900</v>
      </c>
      <c r="BX33" s="37">
        <f t="shared" si="85"/>
        <v>1</v>
      </c>
      <c r="BY33" s="43">
        <v>329.21</v>
      </c>
      <c r="BZ33" s="43"/>
      <c r="CA33" s="37">
        <f t="shared" si="116"/>
        <v>529.99999999997272</v>
      </c>
      <c r="CB33" s="37">
        <f t="shared" si="59"/>
        <v>1</v>
      </c>
      <c r="CC33" s="37">
        <v>588030</v>
      </c>
      <c r="CD33" s="37">
        <f t="shared" si="23"/>
        <v>2770</v>
      </c>
      <c r="CE33" s="41">
        <v>1018500</v>
      </c>
      <c r="CF33" s="37">
        <f t="shared" si="60"/>
        <v>6100</v>
      </c>
      <c r="CG33" s="37">
        <v>71456</v>
      </c>
      <c r="CH33" s="37">
        <f t="shared" si="61"/>
        <v>139</v>
      </c>
      <c r="CI33" s="40">
        <v>12295</v>
      </c>
      <c r="CJ33" s="40"/>
      <c r="CK33" s="37">
        <f t="shared" si="62"/>
        <v>20969.950000000026</v>
      </c>
      <c r="CL33" s="37">
        <f t="shared" si="24"/>
        <v>1</v>
      </c>
      <c r="CM33" s="37">
        <v>3377.1</v>
      </c>
      <c r="CN33" s="37"/>
      <c r="CO33" s="37">
        <f t="shared" si="25"/>
        <v>6799.949999999727</v>
      </c>
      <c r="CP33" s="37">
        <f t="shared" si="86"/>
        <v>1</v>
      </c>
      <c r="CQ33" s="39">
        <v>3209</v>
      </c>
      <c r="CR33" s="39"/>
      <c r="CS33" s="37">
        <f t="shared" si="26"/>
        <v>6899.9500000000908</v>
      </c>
      <c r="CT33" s="37">
        <f t="shared" si="87"/>
        <v>1</v>
      </c>
      <c r="CU33" s="37">
        <v>2941300</v>
      </c>
      <c r="CV33" s="37"/>
      <c r="CW33" s="38">
        <f t="shared" si="27"/>
        <v>20000</v>
      </c>
      <c r="CX33" s="37">
        <f t="shared" si="88"/>
        <v>1</v>
      </c>
      <c r="CY33" s="37">
        <v>1529700</v>
      </c>
      <c r="CZ33" s="37"/>
      <c r="DA33" s="37">
        <f t="shared" si="125"/>
        <v>10900</v>
      </c>
      <c r="DB33" s="37">
        <f t="shared" si="89"/>
        <v>1</v>
      </c>
      <c r="DC33" s="37"/>
      <c r="DD33" s="40"/>
      <c r="DE33" s="37">
        <f t="shared" si="29"/>
        <v>0</v>
      </c>
      <c r="DF33" s="37">
        <f t="shared" si="94"/>
        <v>0</v>
      </c>
      <c r="DG33" s="37">
        <f t="shared" si="30"/>
        <v>-75469.849999999846</v>
      </c>
      <c r="DH33" s="37">
        <f t="shared" si="31"/>
        <v>488089.95000000094</v>
      </c>
      <c r="DI33" s="46"/>
      <c r="DJ33" s="46"/>
      <c r="DK33" s="47"/>
      <c r="DL33" s="47"/>
      <c r="DM33" s="37"/>
      <c r="DN33" s="37"/>
      <c r="DO33" s="37"/>
      <c r="DP33" s="37"/>
      <c r="DQ33" s="50">
        <v>3214100</v>
      </c>
      <c r="DR33" s="49">
        <f t="shared" si="63"/>
        <v>6900</v>
      </c>
      <c r="DS33" s="50">
        <v>3272000</v>
      </c>
      <c r="DT33" s="49">
        <f t="shared" si="64"/>
        <v>19600</v>
      </c>
      <c r="DU33" s="51">
        <v>7874.8</v>
      </c>
      <c r="DV33" s="51">
        <v>4410.7</v>
      </c>
      <c r="DW33" s="37">
        <f t="shared" si="90"/>
        <v>4500</v>
      </c>
      <c r="DX33" s="52">
        <v>12987</v>
      </c>
      <c r="DY33" s="52">
        <v>8376.5</v>
      </c>
      <c r="DZ33" s="37">
        <f t="shared" si="32"/>
        <v>7499.95</v>
      </c>
      <c r="EA33" s="49">
        <v>29560</v>
      </c>
      <c r="EB33" s="49">
        <v>20.672000000000001</v>
      </c>
      <c r="EC33" s="37">
        <f t="shared" si="33"/>
        <v>25659.95</v>
      </c>
      <c r="ED33" s="53">
        <f t="shared" si="34"/>
        <v>37659.9</v>
      </c>
      <c r="EE33" s="49">
        <v>44851</v>
      </c>
      <c r="EF33" s="49">
        <v>28.942</v>
      </c>
      <c r="EG33" s="37">
        <f t="shared" si="35"/>
        <v>25659.95</v>
      </c>
      <c r="EH33" s="51">
        <v>12788</v>
      </c>
      <c r="EI33" s="51">
        <v>1.728</v>
      </c>
      <c r="EJ33" s="37">
        <f t="shared" si="36"/>
        <v>12499.95</v>
      </c>
      <c r="EK33" s="37">
        <v>776.13</v>
      </c>
      <c r="EL33" s="40">
        <v>1112.2</v>
      </c>
      <c r="EM33" s="37">
        <f t="shared" si="65"/>
        <v>840.00000000003183</v>
      </c>
      <c r="EN33" s="54">
        <f t="shared" si="66"/>
        <v>38999.900000000031</v>
      </c>
      <c r="EO33" s="48">
        <v>12809</v>
      </c>
      <c r="EP33" s="48">
        <v>4475.1000000000004</v>
      </c>
      <c r="EQ33" s="37">
        <f t="shared" si="67"/>
        <v>6539.9500000000207</v>
      </c>
      <c r="ER33" s="48">
        <v>9025.9</v>
      </c>
      <c r="ES33" s="48">
        <v>3695.1</v>
      </c>
      <c r="ET33" s="49">
        <f t="shared" si="96"/>
        <v>13000</v>
      </c>
      <c r="EU33" s="48">
        <v>3409.2</v>
      </c>
      <c r="EV33" s="48">
        <v>1212.7</v>
      </c>
      <c r="EW33" s="49">
        <f t="shared" si="38"/>
        <v>9099.9499999999098</v>
      </c>
      <c r="EX33" s="48">
        <v>13224</v>
      </c>
      <c r="EY33" s="48">
        <v>1.5107999999999999</v>
      </c>
      <c r="EZ33" s="37">
        <f t="shared" si="39"/>
        <v>12499.95</v>
      </c>
      <c r="FA33" s="48">
        <f t="shared" si="68"/>
        <v>-20288.849999999933</v>
      </c>
      <c r="FB33" s="48">
        <v>35999643</v>
      </c>
      <c r="FC33" s="49">
        <f t="shared" si="91"/>
        <v>20851</v>
      </c>
      <c r="FD33" s="48">
        <f t="shared" si="69"/>
        <v>42739.849999999846</v>
      </c>
      <c r="FE33" s="48">
        <v>16831</v>
      </c>
      <c r="FF33" s="48">
        <v>6027.4</v>
      </c>
      <c r="FG33" s="37">
        <f t="shared" si="70"/>
        <v>10373.279999999981</v>
      </c>
      <c r="FH33" s="48">
        <v>8357.2000000000007</v>
      </c>
      <c r="FI33" s="48">
        <v>3.2263999999999999</v>
      </c>
      <c r="FJ33" s="49">
        <f t="shared" si="40"/>
        <v>16713.28000000109</v>
      </c>
      <c r="FK33" s="48"/>
      <c r="FL33" s="58">
        <v>-86.67</v>
      </c>
      <c r="FM33" s="48">
        <f t="shared" si="92"/>
        <v>-499.94666666702386</v>
      </c>
      <c r="FN33" s="48">
        <v>16287</v>
      </c>
      <c r="FO33" s="48">
        <v>0.78859999999999997</v>
      </c>
      <c r="FP33" s="37">
        <f t="shared" si="71"/>
        <v>10413.280000000001</v>
      </c>
      <c r="FQ33" s="48">
        <v>57850</v>
      </c>
      <c r="FR33" s="48">
        <v>13.955</v>
      </c>
      <c r="FS33" s="37">
        <f t="shared" si="41"/>
        <v>36000</v>
      </c>
      <c r="FT33" s="48">
        <f t="shared" si="72"/>
        <v>-1499.8400000010715</v>
      </c>
      <c r="FU33" s="48">
        <f t="shared" si="73"/>
        <v>37499.840000001073</v>
      </c>
      <c r="FV33" s="44">
        <v>3851700</v>
      </c>
      <c r="FW33" s="44">
        <v>1236200</v>
      </c>
      <c r="FX33" s="37">
        <f t="shared" si="42"/>
        <v>28300</v>
      </c>
      <c r="FY33" s="56">
        <v>3201.2</v>
      </c>
      <c r="FZ33" s="56">
        <v>1.95</v>
      </c>
      <c r="GA33" s="37">
        <f t="shared" si="43"/>
        <v>8710</v>
      </c>
      <c r="GB33" s="56">
        <v>795.5</v>
      </c>
      <c r="GC33" s="56">
        <v>890.62</v>
      </c>
      <c r="GD33" s="37">
        <f t="shared" si="44"/>
        <v>870.00000000000455</v>
      </c>
      <c r="GE33" s="56">
        <v>9837.2000000000007</v>
      </c>
      <c r="GF33" s="56">
        <v>3.2172000000000001</v>
      </c>
      <c r="GG33" s="37">
        <f t="shared" si="45"/>
        <v>6500.0000000004547</v>
      </c>
      <c r="GH33" s="153">
        <v>1919.5</v>
      </c>
      <c r="GI33" s="162">
        <v>1636</v>
      </c>
      <c r="GJ33" s="38">
        <f t="shared" si="46"/>
        <v>1599.9999999999091</v>
      </c>
      <c r="GK33" s="162">
        <v>1467.1</v>
      </c>
      <c r="GL33" s="163">
        <v>1119.0999999999999</v>
      </c>
      <c r="GM33" s="38">
        <f t="shared" si="47"/>
        <v>0</v>
      </c>
      <c r="GN33" s="57">
        <v>165750</v>
      </c>
      <c r="GO33" s="57">
        <v>144630</v>
      </c>
      <c r="GP33" s="38">
        <f t="shared" si="95"/>
        <v>0</v>
      </c>
      <c r="GQ33" s="38">
        <v>254110</v>
      </c>
      <c r="GR33" s="38">
        <v>249660</v>
      </c>
      <c r="GS33" s="38">
        <f t="shared" si="74"/>
        <v>290</v>
      </c>
      <c r="GT33" s="178"/>
      <c r="GU33" s="144">
        <f>DailyApr!B32-DailyApr!N32-DailyApr!V32-DailyApr!Y32-DailyApr!Z32-DailyApr!AA32-DailyApr!AB32-DailyApr!AC32-DailyApr!AD32-DailyApr!AE32-DailyApr!AK32-DailyApr!AO32-DailyApr!AS32-DailyApr!AY32-DailyApr!BD32+DailyApr!BU32-DailyApr!BG32-DailyApr!BT32-DailyApr!AF32-DailyApr!AG32</f>
        <v>9.9999893136555329E-3</v>
      </c>
      <c r="GV33" s="59">
        <v>7499.26</v>
      </c>
      <c r="GW33" s="60">
        <f t="shared" si="48"/>
        <v>499.95066666666668</v>
      </c>
      <c r="GX33" s="61">
        <v>499.95</v>
      </c>
      <c r="GY33" s="140"/>
      <c r="GZ33" s="62"/>
      <c r="HA33" s="62"/>
      <c r="HB33" s="74"/>
      <c r="HC33" s="62"/>
      <c r="HD33" s="74"/>
      <c r="HE33" s="24">
        <f t="shared" si="49"/>
        <v>0</v>
      </c>
      <c r="HG33" s="213">
        <v>27</v>
      </c>
      <c r="HH33" s="16">
        <v>7160.6</v>
      </c>
      <c r="HI33" s="16">
        <v>2792.8</v>
      </c>
      <c r="HJ33" s="16">
        <f t="shared" si="117"/>
        <v>86900.000000000553</v>
      </c>
      <c r="HK33" s="16">
        <v>1.9189000000000001</v>
      </c>
      <c r="HL33" s="16">
        <v>660.93</v>
      </c>
      <c r="HM33" s="16">
        <f t="shared" si="97"/>
        <v>0</v>
      </c>
      <c r="HN33" s="16">
        <v>478.69</v>
      </c>
      <c r="HO33" s="16">
        <v>226.93</v>
      </c>
      <c r="HP33" s="16">
        <f t="shared" si="124"/>
        <v>1129.9999999999955</v>
      </c>
      <c r="HQ33" s="16">
        <v>1920.7</v>
      </c>
      <c r="HR33" s="16">
        <v>897.56</v>
      </c>
      <c r="HS33" s="16">
        <f t="shared" si="53"/>
        <v>24123.333300000137</v>
      </c>
      <c r="HT33" s="16">
        <v>1663.7</v>
      </c>
      <c r="HU33" s="16">
        <v>739.92</v>
      </c>
      <c r="HV33" s="16">
        <f t="shared" si="54"/>
        <v>24223.333300000042</v>
      </c>
      <c r="HW33" s="16">
        <v>1416.6</v>
      </c>
      <c r="HX33" s="16">
        <v>563.27</v>
      </c>
      <c r="HY33" s="16">
        <f t="shared" si="55"/>
        <v>17823.333299999955</v>
      </c>
      <c r="HZ33" s="16"/>
      <c r="IA33" s="16"/>
      <c r="IB33" s="128">
        <f t="shared" si="99"/>
        <v>19600</v>
      </c>
      <c r="IC33" s="211">
        <f t="shared" si="75"/>
        <v>1.0000042402680265E-4</v>
      </c>
      <c r="ID33" s="16"/>
      <c r="IE33" s="16"/>
      <c r="IF33" s="16">
        <f t="shared" si="100"/>
        <v>0</v>
      </c>
      <c r="IG33" s="16"/>
      <c r="IH33" s="16"/>
      <c r="II33" s="16">
        <f t="shared" si="101"/>
        <v>0</v>
      </c>
      <c r="IJ33" s="16"/>
      <c r="IK33" s="16"/>
      <c r="IL33" s="16">
        <f t="shared" si="102"/>
        <v>0</v>
      </c>
      <c r="IM33" s="16"/>
      <c r="IN33" s="16"/>
      <c r="IO33" s="16">
        <f t="shared" si="103"/>
        <v>0</v>
      </c>
      <c r="IP33" s="16"/>
      <c r="IQ33" s="16"/>
      <c r="IR33" s="16">
        <f t="shared" si="104"/>
        <v>0</v>
      </c>
      <c r="IS33" s="16"/>
      <c r="IT33" s="16"/>
      <c r="IU33" s="16">
        <f t="shared" si="105"/>
        <v>0</v>
      </c>
      <c r="IV33" s="16"/>
      <c r="IW33" s="16"/>
      <c r="IX33" s="16">
        <f t="shared" si="106"/>
        <v>0</v>
      </c>
      <c r="IY33" s="16"/>
      <c r="IZ33" s="16"/>
      <c r="JA33" s="16">
        <f t="shared" si="107"/>
        <v>0</v>
      </c>
      <c r="JB33" s="16"/>
      <c r="JC33" s="16"/>
      <c r="JD33" s="16">
        <f t="shared" si="108"/>
        <v>0</v>
      </c>
      <c r="JE33" s="16"/>
      <c r="JF33" s="16"/>
      <c r="JG33" s="16">
        <f t="shared" si="109"/>
        <v>0</v>
      </c>
      <c r="JH33" s="16"/>
      <c r="JI33" s="16"/>
      <c r="JJ33" s="16">
        <f t="shared" si="110"/>
        <v>0</v>
      </c>
      <c r="JK33" s="16"/>
      <c r="JL33" s="16"/>
      <c r="JM33" s="16">
        <f t="shared" si="111"/>
        <v>0</v>
      </c>
      <c r="JN33" s="16"/>
      <c r="JO33" s="16"/>
      <c r="JP33" s="16">
        <f t="shared" si="112"/>
        <v>0</v>
      </c>
      <c r="JQ33" s="16"/>
      <c r="JR33" s="16"/>
      <c r="JS33" s="16">
        <f t="shared" si="113"/>
        <v>0</v>
      </c>
      <c r="JT33" s="16"/>
      <c r="JU33" s="16"/>
      <c r="JV33" s="16">
        <f t="shared" si="114"/>
        <v>0</v>
      </c>
      <c r="JW33" s="16"/>
      <c r="JX33" s="16"/>
      <c r="JY33" s="16">
        <f t="shared" si="115"/>
        <v>0</v>
      </c>
      <c r="KA33" s="151">
        <f t="shared" si="76"/>
        <v>1130.0001000004195</v>
      </c>
    </row>
    <row r="34" spans="1:287" x14ac:dyDescent="0.25">
      <c r="A34" s="35">
        <f t="shared" si="0"/>
        <v>28</v>
      </c>
      <c r="B34" s="38">
        <v>4071.97</v>
      </c>
      <c r="C34" s="38">
        <f t="shared" si="1"/>
        <v>11.079999999999927</v>
      </c>
      <c r="D34" s="38">
        <f t="shared" si="2"/>
        <v>354559.99999999767</v>
      </c>
      <c r="E34" s="38">
        <v>818.4</v>
      </c>
      <c r="F34" s="38">
        <f t="shared" si="3"/>
        <v>64000</v>
      </c>
      <c r="G34" s="38">
        <f t="shared" si="4"/>
        <v>418559.99999999767</v>
      </c>
      <c r="H34" s="37"/>
      <c r="I34" s="39"/>
      <c r="J34" s="42"/>
      <c r="K34" s="37">
        <f t="shared" si="77"/>
        <v>0</v>
      </c>
      <c r="L34" s="40">
        <v>12297500</v>
      </c>
      <c r="M34" s="40"/>
      <c r="N34" s="37">
        <f t="shared" si="78"/>
        <v>412000</v>
      </c>
      <c r="O34" s="37">
        <v>10657.6</v>
      </c>
      <c r="P34" s="37"/>
      <c r="Q34" s="37">
        <f t="shared" si="119"/>
        <v>16899.999999999636</v>
      </c>
      <c r="R34" s="37">
        <f t="shared" si="79"/>
        <v>1</v>
      </c>
      <c r="S34" s="37">
        <v>11231855.67</v>
      </c>
      <c r="T34" s="37">
        <f t="shared" si="6"/>
        <v>7458.570000000298</v>
      </c>
      <c r="U34" s="37">
        <v>1518173.85</v>
      </c>
      <c r="V34" s="37">
        <f t="shared" si="7"/>
        <v>0</v>
      </c>
      <c r="W34" s="37">
        <v>3778.4</v>
      </c>
      <c r="X34" s="37">
        <f t="shared" si="93"/>
        <v>8241.4299999993382</v>
      </c>
      <c r="Y34" s="183"/>
      <c r="Z34" s="183"/>
      <c r="AA34" s="37">
        <v>720400</v>
      </c>
      <c r="AB34" s="37">
        <f t="shared" si="8"/>
        <v>1200</v>
      </c>
      <c r="AC34" s="37">
        <v>3962.7</v>
      </c>
      <c r="AD34" s="37"/>
      <c r="AE34" s="37">
        <f t="shared" si="121"/>
        <v>7599.9999999999091</v>
      </c>
      <c r="AF34" s="37">
        <f t="shared" si="80"/>
        <v>1</v>
      </c>
      <c r="AG34" s="37">
        <v>8642.1</v>
      </c>
      <c r="AH34" s="37"/>
      <c r="AI34" s="37">
        <f t="shared" si="10"/>
        <v>16145.269999999637</v>
      </c>
      <c r="AJ34" s="37">
        <f t="shared" si="11"/>
        <v>1</v>
      </c>
      <c r="AK34" s="37">
        <f t="shared" si="12"/>
        <v>39445.269999999182</v>
      </c>
      <c r="AL34" s="42">
        <v>10573.5</v>
      </c>
      <c r="AM34" s="42"/>
      <c r="AN34" s="37">
        <f t="shared" si="57"/>
        <v>5785.2700000002142</v>
      </c>
      <c r="AO34" s="37">
        <f t="shared" si="81"/>
        <v>1</v>
      </c>
      <c r="AP34" s="37">
        <v>8127.8</v>
      </c>
      <c r="AQ34" s="37"/>
      <c r="AR34" s="37">
        <f t="shared" si="13"/>
        <v>8199.9999999998181</v>
      </c>
      <c r="AS34" s="37">
        <f t="shared" si="82"/>
        <v>1</v>
      </c>
      <c r="AT34" s="183"/>
      <c r="AU34" s="183"/>
      <c r="AV34" s="183"/>
      <c r="AW34" s="183"/>
      <c r="AX34" s="37">
        <v>473500</v>
      </c>
      <c r="AY34" s="37"/>
      <c r="AZ34" s="37">
        <f t="shared" si="14"/>
        <v>400</v>
      </c>
      <c r="BA34" s="37">
        <v>131420</v>
      </c>
      <c r="BB34" s="37"/>
      <c r="BC34" s="37">
        <f t="shared" si="15"/>
        <v>550</v>
      </c>
      <c r="BD34" s="37">
        <f t="shared" si="83"/>
        <v>14935.270000000033</v>
      </c>
      <c r="BE34" s="43">
        <v>1853.8</v>
      </c>
      <c r="BF34" s="43">
        <v>1017</v>
      </c>
      <c r="BG34" s="37">
        <f t="shared" si="16"/>
        <v>2399.9999999998636</v>
      </c>
      <c r="BH34" s="44">
        <v>8670.9</v>
      </c>
      <c r="BI34" s="44">
        <v>5577.3</v>
      </c>
      <c r="BJ34" s="37">
        <f t="shared" si="17"/>
        <v>9299.9999999992724</v>
      </c>
      <c r="BK34" s="40">
        <v>1462200</v>
      </c>
      <c r="BL34" s="40">
        <f t="shared" si="84"/>
        <v>3600</v>
      </c>
      <c r="BM34" s="40">
        <v>853.83</v>
      </c>
      <c r="BN34" s="37">
        <f t="shared" si="18"/>
        <v>660.00000000008185</v>
      </c>
      <c r="BO34" s="186"/>
      <c r="BP34" s="183">
        <f t="shared" si="19"/>
        <v>0</v>
      </c>
      <c r="BQ34" s="40">
        <v>807.6</v>
      </c>
      <c r="BR34" s="37">
        <f t="shared" si="58"/>
        <v>300.00000000006821</v>
      </c>
      <c r="BS34" s="37">
        <v>93346.02</v>
      </c>
      <c r="BT34" s="37">
        <f t="shared" si="20"/>
        <v>211.63999999999942</v>
      </c>
      <c r="BU34" s="42">
        <v>2508400</v>
      </c>
      <c r="BV34" s="42"/>
      <c r="BW34" s="37">
        <f t="shared" si="21"/>
        <v>9300</v>
      </c>
      <c r="BX34" s="37">
        <f>IF(BW34&lt;=0,0,(BW34/SQRT(BW34^2+(BV34-BV33)^2)))</f>
        <v>1</v>
      </c>
      <c r="BY34" s="43">
        <v>329.72</v>
      </c>
      <c r="BZ34" s="37"/>
      <c r="CA34" s="37">
        <f t="shared" si="116"/>
        <v>510.00000000004775</v>
      </c>
      <c r="CB34" s="37">
        <f t="shared" si="59"/>
        <v>1</v>
      </c>
      <c r="CC34" s="37">
        <v>590410</v>
      </c>
      <c r="CD34" s="37">
        <f t="shared" si="23"/>
        <v>2380</v>
      </c>
      <c r="CE34" s="41">
        <v>1024100</v>
      </c>
      <c r="CF34" s="37">
        <f t="shared" si="60"/>
        <v>5600</v>
      </c>
      <c r="CG34" s="37">
        <v>71456</v>
      </c>
      <c r="CH34" s="37">
        <f t="shared" si="61"/>
        <v>0</v>
      </c>
      <c r="CI34" s="40">
        <v>12315</v>
      </c>
      <c r="CJ34" s="40"/>
      <c r="CK34" s="37">
        <f t="shared" si="62"/>
        <v>20235.269999999953</v>
      </c>
      <c r="CL34" s="37">
        <f t="shared" si="24"/>
        <v>1</v>
      </c>
      <c r="CM34" s="37">
        <v>3383.7</v>
      </c>
      <c r="CN34" s="37"/>
      <c r="CO34" s="37">
        <f t="shared" si="25"/>
        <v>7345.2699999999095</v>
      </c>
      <c r="CP34" s="37">
        <f t="shared" si="86"/>
        <v>1</v>
      </c>
      <c r="CQ34" s="39">
        <v>3215.4</v>
      </c>
      <c r="CR34" s="39"/>
      <c r="CS34" s="37">
        <f t="shared" si="26"/>
        <v>7145.2700000000914</v>
      </c>
      <c r="CT34" s="37">
        <f>IF(CS34&lt;=0,0,(CS34/SQRT(CS34^2+(CR34-CR31)^2)))</f>
        <v>1</v>
      </c>
      <c r="CU34" s="37">
        <v>2961400</v>
      </c>
      <c r="CV34" s="37"/>
      <c r="CW34" s="38">
        <f t="shared" si="27"/>
        <v>20100</v>
      </c>
      <c r="CX34" s="37">
        <f t="shared" si="88"/>
        <v>1</v>
      </c>
      <c r="CY34" s="37">
        <v>1540800</v>
      </c>
      <c r="CZ34" s="37"/>
      <c r="DA34" s="37">
        <f t="shared" si="125"/>
        <v>11100</v>
      </c>
      <c r="DB34" s="37">
        <f t="shared" si="89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0"/>
        <v>-75225.809999999954</v>
      </c>
      <c r="DH34" s="37">
        <f t="shared" si="31"/>
        <v>453845.26999999903</v>
      </c>
      <c r="DI34" s="46"/>
      <c r="DJ34" s="46"/>
      <c r="DK34" s="47"/>
      <c r="DL34" s="47"/>
      <c r="DM34" s="37"/>
      <c r="DN34" s="37"/>
      <c r="DO34" s="37"/>
      <c r="DP34" s="37"/>
      <c r="DQ34" s="50">
        <v>3220400</v>
      </c>
      <c r="DR34" s="49">
        <f t="shared" si="63"/>
        <v>6300</v>
      </c>
      <c r="DS34" s="50">
        <v>3290700</v>
      </c>
      <c r="DT34" s="49">
        <f t="shared" si="64"/>
        <v>18700</v>
      </c>
      <c r="DU34" s="51">
        <v>7879.6</v>
      </c>
      <c r="DV34" s="51">
        <v>4413.6000000000004</v>
      </c>
      <c r="DW34" s="37">
        <f t="shared" si="90"/>
        <v>4800.0000000001819</v>
      </c>
      <c r="DX34" s="52">
        <v>12994</v>
      </c>
      <c r="DY34" s="52">
        <v>8378.6</v>
      </c>
      <c r="DZ34" s="37">
        <f t="shared" si="32"/>
        <v>7745.27</v>
      </c>
      <c r="EA34" s="49">
        <v>29583</v>
      </c>
      <c r="EB34" s="49">
        <v>20.683</v>
      </c>
      <c r="EC34" s="37">
        <f t="shared" si="33"/>
        <v>25905.27</v>
      </c>
      <c r="ED34" s="53">
        <f t="shared" si="34"/>
        <v>38450.540000000183</v>
      </c>
      <c r="EE34" s="49">
        <v>44881</v>
      </c>
      <c r="EF34" s="49">
        <v>28.969000000000001</v>
      </c>
      <c r="EG34" s="37">
        <f t="shared" si="35"/>
        <v>32905.270000000004</v>
      </c>
      <c r="EH34" s="51">
        <v>12800</v>
      </c>
      <c r="EI34" s="51">
        <v>1.7302999999999999</v>
      </c>
      <c r="EJ34" s="37">
        <f t="shared" si="36"/>
        <v>12745.27</v>
      </c>
      <c r="EK34" s="37">
        <v>776.97</v>
      </c>
      <c r="EL34" s="40">
        <v>1113.4000000000001</v>
      </c>
      <c r="EM34" s="37">
        <f t="shared" si="65"/>
        <v>840.00000000003183</v>
      </c>
      <c r="EN34" s="54">
        <f t="shared" si="66"/>
        <v>46490.540000000037</v>
      </c>
      <c r="EO34" s="48">
        <v>12816</v>
      </c>
      <c r="EP34" s="48">
        <v>4477.8999999999996</v>
      </c>
      <c r="EQ34" s="37">
        <f t="shared" si="67"/>
        <v>6785.2699999999641</v>
      </c>
      <c r="ER34" s="48">
        <v>9038.9</v>
      </c>
      <c r="ES34" s="48">
        <v>3701.3</v>
      </c>
      <c r="ET34" s="49">
        <f t="shared" si="96"/>
        <v>13000</v>
      </c>
      <c r="EU34" s="48">
        <v>3418.2</v>
      </c>
      <c r="EV34" s="48">
        <v>1215.8</v>
      </c>
      <c r="EW34" s="49">
        <f t="shared" si="38"/>
        <v>9745.27</v>
      </c>
      <c r="EX34" s="48">
        <v>13236</v>
      </c>
      <c r="EY34" s="48">
        <v>1.5136000000000001</v>
      </c>
      <c r="EZ34" s="37">
        <f t="shared" si="39"/>
        <v>12745.27</v>
      </c>
      <c r="FA34" s="48">
        <f t="shared" si="68"/>
        <v>-21231.809999999965</v>
      </c>
      <c r="FB34" s="48">
        <v>36020687</v>
      </c>
      <c r="FC34" s="49">
        <f t="shared" si="91"/>
        <v>21044</v>
      </c>
      <c r="FD34" s="48">
        <f t="shared" si="69"/>
        <v>43975.810000000012</v>
      </c>
      <c r="FE34" s="48">
        <v>16840</v>
      </c>
      <c r="FF34" s="48">
        <v>6029.6</v>
      </c>
      <c r="FG34" s="37">
        <f t="shared" si="70"/>
        <v>9951.9400000000369</v>
      </c>
      <c r="FH34" s="48">
        <v>8372.5</v>
      </c>
      <c r="FI34" s="48">
        <v>3.2324000000000002</v>
      </c>
      <c r="FJ34" s="49">
        <f t="shared" si="40"/>
        <v>15291.939999999273</v>
      </c>
      <c r="FK34" s="48"/>
      <c r="FL34" s="58">
        <v>-753.33</v>
      </c>
      <c r="FM34" s="48">
        <f t="shared" si="92"/>
        <v>-745.27333333310401</v>
      </c>
      <c r="FN34" s="48">
        <v>16298</v>
      </c>
      <c r="FO34" s="48">
        <v>0.78979999999999995</v>
      </c>
      <c r="FP34" s="37">
        <f t="shared" si="71"/>
        <v>10991.94</v>
      </c>
      <c r="FQ34" s="48">
        <v>57884</v>
      </c>
      <c r="FR34" s="48">
        <v>13.965</v>
      </c>
      <c r="FS34" s="37">
        <f t="shared" si="41"/>
        <v>34000</v>
      </c>
      <c r="FT34" s="48">
        <f t="shared" si="72"/>
        <v>-2235.8199999993121</v>
      </c>
      <c r="FU34" s="48">
        <f t="shared" si="73"/>
        <v>36235.819999999308</v>
      </c>
      <c r="FV34" s="44">
        <v>3877600</v>
      </c>
      <c r="FW34" s="44">
        <v>1244100</v>
      </c>
      <c r="FX34" s="37">
        <f t="shared" si="42"/>
        <v>25900</v>
      </c>
      <c r="FY34" s="56">
        <v>3208.8</v>
      </c>
      <c r="FZ34" s="56">
        <v>1.9560999999999999</v>
      </c>
      <c r="GA34" s="37">
        <f t="shared" si="43"/>
        <v>7290.0000000003638</v>
      </c>
      <c r="GB34" s="56">
        <v>796.3</v>
      </c>
      <c r="GC34" s="56">
        <v>891.52</v>
      </c>
      <c r="GD34" s="37">
        <f t="shared" si="44"/>
        <v>799.99999999995453</v>
      </c>
      <c r="GE34" s="56">
        <v>9845.1</v>
      </c>
      <c r="GF34" s="56">
        <v>3.2231999999999998</v>
      </c>
      <c r="GG34" s="37">
        <f t="shared" si="45"/>
        <v>6199.9999999995907</v>
      </c>
      <c r="GH34" s="158">
        <v>1921.2</v>
      </c>
      <c r="GI34" s="159">
        <v>1637.5</v>
      </c>
      <c r="GJ34" s="38">
        <f t="shared" si="46"/>
        <v>1700.0000000000455</v>
      </c>
      <c r="GK34" s="56">
        <v>1467.1</v>
      </c>
      <c r="GL34" s="44">
        <v>1119.0999999999999</v>
      </c>
      <c r="GM34" s="38">
        <f t="shared" si="47"/>
        <v>0</v>
      </c>
      <c r="GN34" s="57">
        <v>165750</v>
      </c>
      <c r="GO34" s="57">
        <v>144630</v>
      </c>
      <c r="GP34" s="38">
        <f t="shared" si="95"/>
        <v>0</v>
      </c>
      <c r="GQ34" s="38">
        <v>254420</v>
      </c>
      <c r="GR34" s="38">
        <v>249811</v>
      </c>
      <c r="GS34" s="38">
        <f t="shared" si="74"/>
        <v>310</v>
      </c>
      <c r="GT34" s="178"/>
      <c r="GU34" s="144">
        <f>DailyApr!B33-DailyApr!N33-DailyApr!V33-DailyApr!Y33-DailyApr!Z33-DailyApr!AA33-DailyApr!AB33-DailyApr!AC33-DailyApr!AD33-DailyApr!AE33-DailyApr!AK33-DailyApr!AO33-DailyApr!AS33-DailyApr!AY33-DailyApr!BD33+DailyApr!BU33-DailyApr!BG33-DailyApr!BT33-DailyApr!AF33-DailyApr!AG33</f>
        <v>-5.999999964114977E-2</v>
      </c>
      <c r="GV34" s="59">
        <v>11178.99</v>
      </c>
      <c r="GW34" s="60">
        <f t="shared" si="48"/>
        <v>745.26599999999996</v>
      </c>
      <c r="GX34" s="61">
        <v>745.27</v>
      </c>
      <c r="GY34" s="140"/>
      <c r="GZ34" s="62"/>
      <c r="HA34" s="62"/>
      <c r="HB34" s="74"/>
      <c r="HC34" s="62"/>
      <c r="HD34" s="74"/>
      <c r="HE34" s="24">
        <f t="shared" si="49"/>
        <v>0</v>
      </c>
      <c r="HG34" s="213">
        <v>28</v>
      </c>
      <c r="HH34" s="16">
        <v>7221.4</v>
      </c>
      <c r="HI34" s="16">
        <v>2816.2</v>
      </c>
      <c r="HJ34" s="16">
        <f t="shared" si="117"/>
        <v>60799.999999999272</v>
      </c>
      <c r="HK34" s="16">
        <v>1.9189000000000001</v>
      </c>
      <c r="HL34" s="16">
        <v>660.93</v>
      </c>
      <c r="HM34" s="16">
        <f t="shared" si="97"/>
        <v>0</v>
      </c>
      <c r="HN34" s="16">
        <v>479.81</v>
      </c>
      <c r="HO34" s="16">
        <v>227.65</v>
      </c>
      <c r="HP34" s="16">
        <f t="shared" si="124"/>
        <v>1120.0000000000045</v>
      </c>
      <c r="HQ34" s="16">
        <v>1934.6</v>
      </c>
      <c r="HR34" s="16">
        <v>854.8</v>
      </c>
      <c r="HS34" s="16">
        <f t="shared" si="53"/>
        <v>14093.332999999864</v>
      </c>
      <c r="HT34" s="16">
        <v>1688.8</v>
      </c>
      <c r="HU34" s="16">
        <v>750.39</v>
      </c>
      <c r="HV34" s="16">
        <f t="shared" si="54"/>
        <v>25293.332999999908</v>
      </c>
      <c r="HW34" s="16">
        <v>1418</v>
      </c>
      <c r="HX34" s="16">
        <v>563.71</v>
      </c>
      <c r="HY34" s="16">
        <f t="shared" si="55"/>
        <v>1593.333000000091</v>
      </c>
      <c r="HZ34" s="16"/>
      <c r="IA34" s="16"/>
      <c r="IB34" s="128">
        <f t="shared" si="99"/>
        <v>18700</v>
      </c>
      <c r="IC34" s="211">
        <f t="shared" si="75"/>
        <v>9.9999940266570775E-4</v>
      </c>
      <c r="ID34" s="16"/>
      <c r="IE34" s="16"/>
      <c r="IF34" s="16">
        <f t="shared" si="100"/>
        <v>0</v>
      </c>
      <c r="IG34" s="16"/>
      <c r="IH34" s="16"/>
      <c r="II34" s="16">
        <f t="shared" si="101"/>
        <v>0</v>
      </c>
      <c r="IJ34" s="16"/>
      <c r="IK34" s="16"/>
      <c r="IL34" s="16">
        <f t="shared" si="102"/>
        <v>0</v>
      </c>
      <c r="IM34" s="16"/>
      <c r="IN34" s="16"/>
      <c r="IO34" s="16">
        <f t="shared" si="103"/>
        <v>0</v>
      </c>
      <c r="IP34" s="16"/>
      <c r="IQ34" s="16"/>
      <c r="IR34" s="16">
        <f t="shared" si="104"/>
        <v>0</v>
      </c>
      <c r="IS34" s="16"/>
      <c r="IT34" s="16"/>
      <c r="IU34" s="16">
        <f t="shared" si="105"/>
        <v>0</v>
      </c>
      <c r="IV34" s="16"/>
      <c r="IW34" s="16"/>
      <c r="IX34" s="16">
        <f t="shared" si="106"/>
        <v>0</v>
      </c>
      <c r="IY34" s="16"/>
      <c r="IZ34" s="16"/>
      <c r="JA34" s="16">
        <f t="shared" si="107"/>
        <v>0</v>
      </c>
      <c r="JB34" s="16"/>
      <c r="JC34" s="16"/>
      <c r="JD34" s="16">
        <f t="shared" si="108"/>
        <v>0</v>
      </c>
      <c r="JE34" s="16"/>
      <c r="JF34" s="16"/>
      <c r="JG34" s="16">
        <f t="shared" si="109"/>
        <v>0</v>
      </c>
      <c r="JH34" s="16"/>
      <c r="JI34" s="16"/>
      <c r="JJ34" s="16">
        <f t="shared" si="110"/>
        <v>0</v>
      </c>
      <c r="JK34" s="16"/>
      <c r="JL34" s="16"/>
      <c r="JM34" s="16">
        <f t="shared" si="111"/>
        <v>0</v>
      </c>
      <c r="JN34" s="16"/>
      <c r="JO34" s="16"/>
      <c r="JP34" s="16">
        <f t="shared" si="112"/>
        <v>0</v>
      </c>
      <c r="JQ34" s="16"/>
      <c r="JR34" s="16"/>
      <c r="JS34" s="16">
        <f t="shared" si="113"/>
        <v>0</v>
      </c>
      <c r="JT34" s="16"/>
      <c r="JU34" s="16"/>
      <c r="JV34" s="16">
        <f t="shared" si="114"/>
        <v>0</v>
      </c>
      <c r="JW34" s="16"/>
      <c r="JX34" s="16"/>
      <c r="JY34" s="16">
        <f t="shared" si="115"/>
        <v>0</v>
      </c>
      <c r="KA34" s="151">
        <f t="shared" si="76"/>
        <v>1120.0009999994072</v>
      </c>
    </row>
    <row r="35" spans="1:287" x14ac:dyDescent="0.25">
      <c r="A35" s="35">
        <v>29</v>
      </c>
      <c r="B35" s="38">
        <v>4082.75</v>
      </c>
      <c r="C35" s="38">
        <f t="shared" si="1"/>
        <v>10.7800000000002</v>
      </c>
      <c r="D35" s="38">
        <f t="shared" si="2"/>
        <v>344960.0000000064</v>
      </c>
      <c r="E35" s="38">
        <v>820.54</v>
      </c>
      <c r="F35" s="38">
        <f t="shared" si="3"/>
        <v>68479.999999999563</v>
      </c>
      <c r="G35" s="38">
        <f t="shared" si="4"/>
        <v>413440.00000000594</v>
      </c>
      <c r="H35" s="37"/>
      <c r="I35" s="39"/>
      <c r="J35" s="42"/>
      <c r="K35" s="37">
        <f>IF(J35&lt;=0,0,(J35/SQRT(J35^2+(I35-I34)^2)))</f>
        <v>0</v>
      </c>
      <c r="L35" s="40">
        <v>12339000</v>
      </c>
      <c r="M35" s="40"/>
      <c r="N35" s="37">
        <f t="shared" si="78"/>
        <v>415000</v>
      </c>
      <c r="O35" s="37">
        <v>10670</v>
      </c>
      <c r="P35" s="37"/>
      <c r="Q35" s="37">
        <f t="shared" si="119"/>
        <v>12399.999999999636</v>
      </c>
      <c r="R35" s="37">
        <f>IF(Q35&lt;=0,0,(Q35/SQRT(Q35^2+(P35-P34)^2)))</f>
        <v>1</v>
      </c>
      <c r="S35" s="37">
        <v>11231856.039999999</v>
      </c>
      <c r="T35" s="37">
        <f t="shared" si="6"/>
        <v>0.36999999918043613</v>
      </c>
      <c r="U35" s="37">
        <v>1518173.85</v>
      </c>
      <c r="V35" s="37">
        <f t="shared" si="7"/>
        <v>0</v>
      </c>
      <c r="W35" s="37">
        <v>3785.1</v>
      </c>
      <c r="X35" s="37">
        <f t="shared" si="93"/>
        <v>8029.6300000004558</v>
      </c>
      <c r="Y35" s="183"/>
      <c r="Z35" s="183"/>
      <c r="AA35" s="37">
        <v>724770</v>
      </c>
      <c r="AB35" s="37">
        <f t="shared" si="8"/>
        <v>4370</v>
      </c>
      <c r="AC35" s="37">
        <v>3967.7</v>
      </c>
      <c r="AD35" s="37"/>
      <c r="AE35" s="37">
        <f t="shared" si="121"/>
        <v>5000</v>
      </c>
      <c r="AF35" s="37">
        <f>IF(AE35&lt;=0,0,(AE35/SQRT(AE35^2+(AD35-AD34)^2)))</f>
        <v>1</v>
      </c>
      <c r="AG35" s="37">
        <v>8653.2000000000007</v>
      </c>
      <c r="AH35" s="37"/>
      <c r="AI35" s="37">
        <f t="shared" si="10"/>
        <v>10767.770000000364</v>
      </c>
      <c r="AJ35" s="37">
        <f t="shared" si="11"/>
        <v>1</v>
      </c>
      <c r="AK35" s="37">
        <f t="shared" si="12"/>
        <v>23797.77</v>
      </c>
      <c r="AL35" s="42">
        <v>10585</v>
      </c>
      <c r="AM35" s="42"/>
      <c r="AN35" s="37">
        <f t="shared" si="57"/>
        <v>6077.7700000000141</v>
      </c>
      <c r="AO35" s="37">
        <f>IF(AN35&lt;=0,0,(AN35/SQRT(AN35^2+(AM35-AM34)^2)))</f>
        <v>1</v>
      </c>
      <c r="AP35" s="37">
        <v>8140.2</v>
      </c>
      <c r="AQ35" s="37"/>
      <c r="AR35" s="37">
        <f t="shared" si="13"/>
        <v>12399.999999999636</v>
      </c>
      <c r="AS35" s="37">
        <f>IF(AR35&lt;=0,0,(AR35/SQRT(AR35^2+(AQ35-AQ34)^2)))</f>
        <v>1</v>
      </c>
      <c r="AT35" s="183"/>
      <c r="AU35" s="183"/>
      <c r="AV35" s="183"/>
      <c r="AW35" s="183"/>
      <c r="AX35" s="37">
        <v>473946.4</v>
      </c>
      <c r="AY35" s="37"/>
      <c r="AZ35" s="37">
        <f t="shared" si="14"/>
        <v>446.40000000002328</v>
      </c>
      <c r="BA35" s="37">
        <v>132065.32999999999</v>
      </c>
      <c r="BB35" s="37"/>
      <c r="BC35" s="37">
        <f t="shared" si="15"/>
        <v>645.32999999998719</v>
      </c>
      <c r="BD35" s="37">
        <f>AN35+AR35+AZ35+BC35</f>
        <v>19569.499999999662</v>
      </c>
      <c r="BE35" s="43">
        <v>1856.2</v>
      </c>
      <c r="BF35" s="43">
        <v>1018.4</v>
      </c>
      <c r="BG35" s="37">
        <f t="shared" si="16"/>
        <v>2400.0000000000909</v>
      </c>
      <c r="BH35" s="44">
        <v>8680.4</v>
      </c>
      <c r="BI35" s="44">
        <v>5583.4</v>
      </c>
      <c r="BJ35" s="37">
        <f t="shared" si="17"/>
        <v>9500</v>
      </c>
      <c r="BK35" s="40">
        <v>1465900</v>
      </c>
      <c r="BL35" s="40">
        <f t="shared" si="84"/>
        <v>3700</v>
      </c>
      <c r="BM35" s="40">
        <v>854.49</v>
      </c>
      <c r="BN35" s="37">
        <f t="shared" si="18"/>
        <v>659.99999999996817</v>
      </c>
      <c r="BO35" s="186"/>
      <c r="BP35" s="183">
        <f t="shared" si="19"/>
        <v>0</v>
      </c>
      <c r="BQ35" s="40">
        <v>808.33</v>
      </c>
      <c r="BR35" s="37">
        <f t="shared" si="58"/>
        <v>730.00000000001819</v>
      </c>
      <c r="BS35" s="37">
        <v>93561.41</v>
      </c>
      <c r="BT35" s="37">
        <f t="shared" si="20"/>
        <v>215.38999999999942</v>
      </c>
      <c r="BU35" s="42">
        <v>2517600</v>
      </c>
      <c r="BV35" s="42"/>
      <c r="BW35" s="37">
        <f t="shared" si="21"/>
        <v>9200</v>
      </c>
      <c r="BX35" s="37">
        <f>IF(BW35&lt;=0,0,(BW35/SQRT(BW35^2+(BV35-BV34)^2)))</f>
        <v>1</v>
      </c>
      <c r="BY35" s="37">
        <v>330.26</v>
      </c>
      <c r="BZ35" s="37"/>
      <c r="CA35" s="37">
        <f t="shared" si="116"/>
        <v>539.99999999996362</v>
      </c>
      <c r="CB35" s="37">
        <f t="shared" si="59"/>
        <v>1</v>
      </c>
      <c r="CC35" s="37">
        <v>592840</v>
      </c>
      <c r="CD35" s="37">
        <f t="shared" si="23"/>
        <v>2430</v>
      </c>
      <c r="CE35" s="41">
        <v>1029600</v>
      </c>
      <c r="CF35" s="37">
        <f t="shared" si="60"/>
        <v>5500</v>
      </c>
      <c r="CG35" s="37">
        <v>71456</v>
      </c>
      <c r="CH35" s="37">
        <f t="shared" si="61"/>
        <v>0</v>
      </c>
      <c r="CI35" s="40">
        <v>12337</v>
      </c>
      <c r="CJ35" s="40"/>
      <c r="CK35" s="37">
        <f t="shared" si="62"/>
        <v>21127.770000000037</v>
      </c>
      <c r="CL35" s="37">
        <f t="shared" si="24"/>
        <v>1</v>
      </c>
      <c r="CM35" s="37">
        <v>3390.3</v>
      </c>
      <c r="CN35" s="37"/>
      <c r="CO35" s="37">
        <f t="shared" si="25"/>
        <v>6267.7700000003642</v>
      </c>
      <c r="CP35" s="37">
        <f>IF(CO35&lt;=0,0,(CO35/SQRT(CO35^2+(CN35-CN34)^2)))</f>
        <v>1</v>
      </c>
      <c r="CQ35" s="39">
        <v>6409.7</v>
      </c>
      <c r="CR35" s="39"/>
      <c r="CS35" s="37">
        <f>CQ35+GX35</f>
        <v>6077.4699999999993</v>
      </c>
      <c r="CT35" s="37">
        <f>IF(CS35&lt;=0,0,(CS35/SQRT(CS35^2+(CR35-CR34)^2)))</f>
        <v>1</v>
      </c>
      <c r="CU35" s="37">
        <v>2981400</v>
      </c>
      <c r="CV35" s="37"/>
      <c r="CW35" s="38">
        <f t="shared" si="27"/>
        <v>20000</v>
      </c>
      <c r="CX35" s="37">
        <f t="shared" si="88"/>
        <v>1</v>
      </c>
      <c r="CY35" s="37">
        <v>1551800</v>
      </c>
      <c r="CZ35" s="37"/>
      <c r="DA35" s="37">
        <f t="shared" si="125"/>
        <v>11000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0"/>
        <v>-73673.010000000402</v>
      </c>
      <c r="DH35" s="37">
        <f t="shared" si="31"/>
        <v>441197.77000000008</v>
      </c>
      <c r="DI35" s="46"/>
      <c r="DJ35" s="46"/>
      <c r="DK35" s="46"/>
      <c r="DL35" s="47"/>
      <c r="DM35" s="37"/>
      <c r="DN35" s="37"/>
      <c r="DO35" s="37"/>
      <c r="DP35" s="37"/>
      <c r="DQ35" s="50">
        <v>3229100</v>
      </c>
      <c r="DR35" s="49">
        <f t="shared" si="63"/>
        <v>8700</v>
      </c>
      <c r="DS35" s="50">
        <v>3310600</v>
      </c>
      <c r="DT35" s="49">
        <f t="shared" si="64"/>
        <v>19900</v>
      </c>
      <c r="DU35" s="51">
        <v>7884.3</v>
      </c>
      <c r="DV35" s="51">
        <v>4416.3999999999996</v>
      </c>
      <c r="DW35" s="37">
        <f t="shared" si="90"/>
        <v>4699.9999999998181</v>
      </c>
      <c r="DX35" s="52">
        <v>13002</v>
      </c>
      <c r="DY35" s="52">
        <v>8380.9</v>
      </c>
      <c r="DZ35" s="37">
        <f t="shared" si="32"/>
        <v>7667.77</v>
      </c>
      <c r="EA35" s="49">
        <v>29605</v>
      </c>
      <c r="EB35" s="49">
        <v>20.693000000000001</v>
      </c>
      <c r="EC35" s="37">
        <f t="shared" si="33"/>
        <v>23827.77</v>
      </c>
      <c r="ED35" s="53">
        <f t="shared" si="34"/>
        <v>36195.539999999819</v>
      </c>
      <c r="EE35" s="49">
        <v>44911</v>
      </c>
      <c r="EF35" s="49">
        <v>28.991</v>
      </c>
      <c r="EG35" s="37">
        <f t="shared" si="35"/>
        <v>31827.77</v>
      </c>
      <c r="EH35" s="51">
        <v>12812</v>
      </c>
      <c r="EI35" s="51">
        <v>1.7325999999999999</v>
      </c>
      <c r="EJ35" s="37">
        <f t="shared" si="36"/>
        <v>11667.77</v>
      </c>
      <c r="EK35" s="37">
        <v>777.85</v>
      </c>
      <c r="EL35" s="40">
        <v>1114.7</v>
      </c>
      <c r="EM35" s="37">
        <f t="shared" si="65"/>
        <v>879.99999999999545</v>
      </c>
      <c r="EN35" s="54">
        <f t="shared" si="66"/>
        <v>44375.539999999994</v>
      </c>
      <c r="EO35" s="55">
        <v>12823</v>
      </c>
      <c r="EP35" s="48">
        <v>4480.8999999999996</v>
      </c>
      <c r="EQ35" s="37">
        <f t="shared" si="67"/>
        <v>5647.7700000000186</v>
      </c>
      <c r="ER35" s="48">
        <v>9052.5</v>
      </c>
      <c r="ES35" s="48">
        <v>3707.9</v>
      </c>
      <c r="ET35" s="49">
        <f t="shared" si="96"/>
        <v>13600.000000000364</v>
      </c>
      <c r="EU35" s="48">
        <v>3427.5</v>
      </c>
      <c r="EV35" s="48">
        <v>1219.0999999999999</v>
      </c>
      <c r="EW35" s="49">
        <f t="shared" si="38"/>
        <v>8967.7700000001823</v>
      </c>
      <c r="EX35" s="48">
        <v>13249</v>
      </c>
      <c r="EY35" s="48">
        <v>1.5163</v>
      </c>
      <c r="EZ35" s="37">
        <f t="shared" si="39"/>
        <v>12667.77</v>
      </c>
      <c r="FA35" s="48">
        <f t="shared" si="68"/>
        <v>-18840.310000000565</v>
      </c>
      <c r="FB35" s="48">
        <v>36042730</v>
      </c>
      <c r="FC35" s="49">
        <f t="shared" si="91"/>
        <v>22043</v>
      </c>
      <c r="FD35" s="48">
        <f t="shared" si="69"/>
        <v>42483.310000000478</v>
      </c>
      <c r="FE35" s="48">
        <v>16850</v>
      </c>
      <c r="FF35" s="48">
        <v>6032.3</v>
      </c>
      <c r="FG35" s="37">
        <f t="shared" si="70"/>
        <v>10647.769999999982</v>
      </c>
      <c r="FH35" s="48">
        <v>8391.6</v>
      </c>
      <c r="FI35" s="48">
        <v>3.2397999999999998</v>
      </c>
      <c r="FJ35" s="49">
        <f t="shared" si="40"/>
        <v>18727.770000000364</v>
      </c>
      <c r="FK35" s="48"/>
      <c r="FL35" s="58">
        <v>-40</v>
      </c>
      <c r="FM35" s="48">
        <f t="shared" si="92"/>
        <v>332.22999999988434</v>
      </c>
      <c r="FN35" s="48">
        <v>16310</v>
      </c>
      <c r="FO35" s="48">
        <v>0.79110000000000003</v>
      </c>
      <c r="FP35" s="37">
        <f t="shared" si="71"/>
        <v>11627.77</v>
      </c>
      <c r="FQ35" s="48">
        <v>57926</v>
      </c>
      <c r="FR35" s="48">
        <v>13.976000000000001</v>
      </c>
      <c r="FS35" s="37">
        <f>IF((FQ35-FQ34)*1000&lt;=0,0,(FQ35-FQ34)*1000)</f>
        <v>42000</v>
      </c>
      <c r="FT35" s="48">
        <f t="shared" si="72"/>
        <v>996.68999999965308</v>
      </c>
      <c r="FU35" s="48">
        <f t="shared" si="73"/>
        <v>41003.310000000347</v>
      </c>
      <c r="FV35" s="44">
        <v>3909700</v>
      </c>
      <c r="FW35" s="44">
        <v>1253900</v>
      </c>
      <c r="FX35" s="37">
        <f t="shared" si="42"/>
        <v>32100</v>
      </c>
      <c r="FY35" s="56">
        <v>3217.4</v>
      </c>
      <c r="FZ35" s="56">
        <v>1.9637</v>
      </c>
      <c r="GA35" s="37">
        <f t="shared" si="43"/>
        <v>7969.9999999999091</v>
      </c>
      <c r="GB35" s="56">
        <v>797.29</v>
      </c>
      <c r="GC35" s="56">
        <v>892.6</v>
      </c>
      <c r="GD35" s="37">
        <f t="shared" si="44"/>
        <v>990.00000000000909</v>
      </c>
      <c r="GE35" s="56">
        <v>9855.6</v>
      </c>
      <c r="GF35" s="56">
        <v>3.2315</v>
      </c>
      <c r="GG35" s="37">
        <f t="shared" si="45"/>
        <v>8900.0000000000909</v>
      </c>
      <c r="GH35" s="48">
        <v>1922.8</v>
      </c>
      <c r="GI35" s="56">
        <v>1639</v>
      </c>
      <c r="GJ35" s="38">
        <f t="shared" si="46"/>
        <v>1599.9999999999091</v>
      </c>
      <c r="GK35" s="56">
        <v>1467.1</v>
      </c>
      <c r="GL35" s="44">
        <v>1119.7</v>
      </c>
      <c r="GM35" s="38">
        <f t="shared" si="47"/>
        <v>0</v>
      </c>
      <c r="GN35" s="57">
        <v>167310</v>
      </c>
      <c r="GO35" s="57">
        <v>146260</v>
      </c>
      <c r="GP35" s="38">
        <f t="shared" si="95"/>
        <v>1560</v>
      </c>
      <c r="GQ35" s="38">
        <v>255050</v>
      </c>
      <c r="GR35" s="38">
        <v>250620</v>
      </c>
      <c r="GS35" s="38">
        <f t="shared" si="74"/>
        <v>630</v>
      </c>
      <c r="GT35" s="178"/>
      <c r="GU35" s="144">
        <f>DailyApr!B34-DailyApr!N34-DailyApr!V34-DailyApr!Y34-DailyApr!Z34-DailyApr!AA34-DailyApr!AB34-DailyApr!AC34-DailyApr!AD34-DailyApr!AE34-DailyApr!AK34-DailyApr!AO34-DailyApr!AS34-DailyApr!AY34-DailyApr!BD34+DailyApr!BU34-DailyApr!BG34-DailyApr!BT34-DailyApr!AF34-DailyApr!AG34</f>
        <v>2.0000004886242095E-2</v>
      </c>
      <c r="GV35" s="59">
        <v>-4983.43</v>
      </c>
      <c r="GW35" s="60">
        <f t="shared" si="48"/>
        <v>-332.2286666666667</v>
      </c>
      <c r="GX35" s="61">
        <v>-332.23</v>
      </c>
      <c r="GY35" s="140"/>
      <c r="GZ35" s="62"/>
      <c r="HA35" s="62"/>
      <c r="HB35" s="74"/>
      <c r="HC35" s="62"/>
      <c r="HD35" s="74"/>
      <c r="HE35" s="24">
        <f t="shared" si="49"/>
        <v>0</v>
      </c>
      <c r="HG35" s="213">
        <v>29</v>
      </c>
      <c r="HH35" s="16">
        <v>7271</v>
      </c>
      <c r="HI35" s="16">
        <v>2834.8</v>
      </c>
      <c r="HJ35" s="16">
        <f t="shared" si="117"/>
        <v>49600.000000000364</v>
      </c>
      <c r="HK35" s="16">
        <v>1.9189000000000001</v>
      </c>
      <c r="HL35" s="16">
        <v>660.93</v>
      </c>
      <c r="HM35" s="16">
        <f t="shared" si="97"/>
        <v>0</v>
      </c>
      <c r="HN35" s="16">
        <v>480.83</v>
      </c>
      <c r="HO35" s="16">
        <v>228.33</v>
      </c>
      <c r="HP35" s="16">
        <f t="shared" si="124"/>
        <v>1019.9999999999818</v>
      </c>
      <c r="HQ35" s="16">
        <v>1948.4</v>
      </c>
      <c r="HR35" s="16">
        <v>861.07</v>
      </c>
      <c r="HS35" s="16">
        <f t="shared" si="53"/>
        <v>13626.670000000182</v>
      </c>
      <c r="HT35" s="16">
        <v>1703.1</v>
      </c>
      <c r="HU35" s="16">
        <v>756.85</v>
      </c>
      <c r="HV35" s="16">
        <f t="shared" si="54"/>
        <v>14126.669999999955</v>
      </c>
      <c r="HW35" s="16">
        <v>1419.1</v>
      </c>
      <c r="HX35" s="16">
        <v>563.96</v>
      </c>
      <c r="HY35" s="16">
        <f t="shared" si="55"/>
        <v>926.66999999990901</v>
      </c>
      <c r="HZ35" s="16"/>
      <c r="IA35" s="16"/>
      <c r="IB35" s="128">
        <f t="shared" si="99"/>
        <v>19900</v>
      </c>
      <c r="IC35" s="211">
        <f t="shared" si="75"/>
        <v>-9.9999996600672603E-3</v>
      </c>
      <c r="ID35" s="16"/>
      <c r="IE35" s="16"/>
      <c r="IF35" s="16">
        <f t="shared" si="100"/>
        <v>0</v>
      </c>
      <c r="IG35" s="16"/>
      <c r="IH35" s="16"/>
      <c r="II35" s="16">
        <f t="shared" si="101"/>
        <v>0</v>
      </c>
      <c r="IJ35" s="16"/>
      <c r="IK35" s="16"/>
      <c r="IL35" s="16">
        <f t="shared" si="102"/>
        <v>0</v>
      </c>
      <c r="IM35" s="16"/>
      <c r="IN35" s="16"/>
      <c r="IO35" s="16">
        <f t="shared" si="103"/>
        <v>0</v>
      </c>
      <c r="IP35" s="16"/>
      <c r="IQ35" s="16"/>
      <c r="IR35" s="16">
        <f t="shared" si="104"/>
        <v>0</v>
      </c>
      <c r="IS35" s="16"/>
      <c r="IT35" s="16"/>
      <c r="IU35" s="16">
        <f t="shared" si="105"/>
        <v>0</v>
      </c>
      <c r="IV35" s="16"/>
      <c r="IW35" s="16"/>
      <c r="IX35" s="16">
        <f t="shared" si="106"/>
        <v>0</v>
      </c>
      <c r="IY35" s="16"/>
      <c r="IZ35" s="16"/>
      <c r="JA35" s="16">
        <f t="shared" si="107"/>
        <v>0</v>
      </c>
      <c r="JB35" s="16"/>
      <c r="JC35" s="16"/>
      <c r="JD35" s="16">
        <f t="shared" si="108"/>
        <v>0</v>
      </c>
      <c r="JE35" s="16"/>
      <c r="JF35" s="16"/>
      <c r="JG35" s="16">
        <f t="shared" si="109"/>
        <v>0</v>
      </c>
      <c r="JH35" s="16"/>
      <c r="JI35" s="16"/>
      <c r="JJ35" s="16">
        <f t="shared" si="110"/>
        <v>0</v>
      </c>
      <c r="JK35" s="16"/>
      <c r="JL35" s="16"/>
      <c r="JM35" s="16">
        <f t="shared" si="111"/>
        <v>0</v>
      </c>
      <c r="JN35" s="16"/>
      <c r="JO35" s="16"/>
      <c r="JP35" s="16">
        <f t="shared" si="112"/>
        <v>0</v>
      </c>
      <c r="JQ35" s="16"/>
      <c r="JR35" s="16"/>
      <c r="JS35" s="16">
        <f t="shared" si="113"/>
        <v>0</v>
      </c>
      <c r="JT35" s="16"/>
      <c r="JU35" s="16"/>
      <c r="JV35" s="16">
        <f t="shared" si="114"/>
        <v>0</v>
      </c>
      <c r="JW35" s="16"/>
      <c r="JX35" s="16"/>
      <c r="JY35" s="16">
        <f t="shared" si="115"/>
        <v>0</v>
      </c>
      <c r="KA35" s="151">
        <f t="shared" si="76"/>
        <v>1019.9900000003217</v>
      </c>
    </row>
    <row r="36" spans="1:287" x14ac:dyDescent="0.25">
      <c r="A36" s="35">
        <f t="shared" si="0"/>
        <v>30</v>
      </c>
      <c r="B36" s="38">
        <v>4094.39</v>
      </c>
      <c r="C36" s="38">
        <f t="shared" si="1"/>
        <v>11.639999999999873</v>
      </c>
      <c r="D36" s="38">
        <f t="shared" si="2"/>
        <v>372479.99999999593</v>
      </c>
      <c r="E36" s="38">
        <v>822.88</v>
      </c>
      <c r="F36" s="38">
        <f t="shared" si="3"/>
        <v>74880.000000001019</v>
      </c>
      <c r="G36" s="38">
        <f t="shared" si="4"/>
        <v>447359.99999999697</v>
      </c>
      <c r="H36" s="37"/>
      <c r="I36" s="39"/>
      <c r="J36" s="42"/>
      <c r="K36" s="37">
        <f>IF(J36&lt;=0,0,(J36/SQRT(J36^2+(I36-I35)^2)))</f>
        <v>0</v>
      </c>
      <c r="L36" s="40">
        <v>12383800</v>
      </c>
      <c r="M36" s="40"/>
      <c r="N36" s="37">
        <f t="shared" si="78"/>
        <v>448000</v>
      </c>
      <c r="O36" s="37">
        <v>10681.5</v>
      </c>
      <c r="P36" s="37"/>
      <c r="Q36" s="37">
        <f t="shared" si="119"/>
        <v>11500</v>
      </c>
      <c r="R36" s="37">
        <f>IF(Q36&lt;=0,0,(Q36/SQRT(Q36^2+(P36-P35)^2)))</f>
        <v>1</v>
      </c>
      <c r="S36" s="37">
        <v>11231857.01</v>
      </c>
      <c r="T36" s="37">
        <f t="shared" si="6"/>
        <v>0.97000000067055225</v>
      </c>
      <c r="U36" s="37">
        <v>1518173.85</v>
      </c>
      <c r="V36" s="37">
        <f>IF((U36-U35)&lt;=0,0,(U36-U35))</f>
        <v>0</v>
      </c>
      <c r="W36" s="37">
        <v>3791.2</v>
      </c>
      <c r="X36" s="37">
        <f t="shared" si="93"/>
        <v>7569.0299999993294</v>
      </c>
      <c r="Y36" s="183"/>
      <c r="Z36" s="183"/>
      <c r="AA36" s="37">
        <v>728700</v>
      </c>
      <c r="AB36" s="37">
        <f t="shared" si="8"/>
        <v>3930</v>
      </c>
      <c r="AC36" s="37">
        <v>3971.7</v>
      </c>
      <c r="AD36" s="37"/>
      <c r="AE36" s="37">
        <f t="shared" si="121"/>
        <v>4000</v>
      </c>
      <c r="AF36" s="37">
        <f>IF(AE36&lt;=0,0,(AE36/SQRT(AE36^2+(AD36-AD35)^2)))</f>
        <v>1</v>
      </c>
      <c r="AG36" s="37">
        <v>8662.1</v>
      </c>
      <c r="AH36" s="37"/>
      <c r="AI36" s="37">
        <f t="shared" si="10"/>
        <v>9443.1099999996368</v>
      </c>
      <c r="AJ36" s="37">
        <f t="shared" si="11"/>
        <v>1</v>
      </c>
      <c r="AK36" s="37">
        <f t="shared" si="12"/>
        <v>21013.109999999637</v>
      </c>
      <c r="AL36" s="42">
        <v>10596.4</v>
      </c>
      <c r="AM36" s="42"/>
      <c r="AN36" s="37">
        <f t="shared" si="57"/>
        <v>7103.1099999996277</v>
      </c>
      <c r="AO36" s="37">
        <f>IF(AN36&lt;=0,0,(AN36/SQRT(AN36^2+(AM36-AM35)^2)))</f>
        <v>1</v>
      </c>
      <c r="AP36" s="37">
        <v>8152.5</v>
      </c>
      <c r="AQ36" s="37"/>
      <c r="AR36" s="37">
        <f t="shared" si="13"/>
        <v>12300.000000000182</v>
      </c>
      <c r="AS36" s="37">
        <f>IF(AR36&lt;=0,0,(AR36/SQRT(AR36^2+(AQ36-AQ35)^2)))</f>
        <v>1</v>
      </c>
      <c r="AT36" s="183"/>
      <c r="AU36" s="183"/>
      <c r="AV36" s="183"/>
      <c r="AW36" s="183"/>
      <c r="AX36" s="37">
        <v>474380</v>
      </c>
      <c r="AY36" s="37"/>
      <c r="AZ36" s="37">
        <f t="shared" si="14"/>
        <v>433.59999999997672</v>
      </c>
      <c r="BA36" s="37">
        <v>132680</v>
      </c>
      <c r="BB36" s="37"/>
      <c r="BC36" s="37">
        <f t="shared" si="15"/>
        <v>614.67000000001281</v>
      </c>
      <c r="BD36" s="37">
        <f>AN36+AR36+AZ36+BC36</f>
        <v>20451.379999999801</v>
      </c>
      <c r="BE36" s="43">
        <v>1858.4</v>
      </c>
      <c r="BF36" s="43">
        <v>1019.8</v>
      </c>
      <c r="BG36" s="37">
        <f t="shared" si="16"/>
        <v>2200.0000000000455</v>
      </c>
      <c r="BH36" s="44">
        <v>8690</v>
      </c>
      <c r="BI36" s="44">
        <v>5589.3</v>
      </c>
      <c r="BJ36" s="37">
        <f t="shared" si="17"/>
        <v>9600.0000000003638</v>
      </c>
      <c r="BK36" s="40">
        <v>1469250</v>
      </c>
      <c r="BL36" s="40">
        <f t="shared" si="84"/>
        <v>3350</v>
      </c>
      <c r="BM36" s="40">
        <v>855.11</v>
      </c>
      <c r="BN36" s="37">
        <f t="shared" si="18"/>
        <v>620.00000000000455</v>
      </c>
      <c r="BO36" s="186"/>
      <c r="BP36" s="183">
        <f t="shared" si="19"/>
        <v>0</v>
      </c>
      <c r="BQ36" s="40">
        <v>809.2</v>
      </c>
      <c r="BR36" s="37">
        <f t="shared" si="58"/>
        <v>870.00000000000455</v>
      </c>
      <c r="BS36" s="37">
        <v>93789.52</v>
      </c>
      <c r="BT36" s="37">
        <f t="shared" si="20"/>
        <v>228.11000000000058</v>
      </c>
      <c r="BU36" s="42">
        <v>2525700</v>
      </c>
      <c r="BV36" s="42"/>
      <c r="BW36" s="37">
        <f t="shared" si="21"/>
        <v>8100</v>
      </c>
      <c r="BX36" s="37">
        <f>IF(BW36&lt;=0,0,(BW36/SQRT(BW36^2+(BV36-BV35)^2)))</f>
        <v>1</v>
      </c>
      <c r="BY36" s="43">
        <v>330.83</v>
      </c>
      <c r="BZ36" s="43"/>
      <c r="CA36" s="37">
        <f t="shared" si="116"/>
        <v>569.99999999999318</v>
      </c>
      <c r="CB36" s="37">
        <f t="shared" si="59"/>
        <v>1</v>
      </c>
      <c r="CC36" s="37">
        <v>594250</v>
      </c>
      <c r="CD36" s="37">
        <f t="shared" si="23"/>
        <v>1410</v>
      </c>
      <c r="CE36" s="41">
        <v>1036200</v>
      </c>
      <c r="CF36" s="37">
        <f t="shared" si="60"/>
        <v>6600</v>
      </c>
      <c r="CG36" s="37">
        <v>71456</v>
      </c>
      <c r="CH36" s="37">
        <f t="shared" si="61"/>
        <v>0</v>
      </c>
      <c r="CI36" s="40">
        <v>12359</v>
      </c>
      <c r="CJ36" s="40"/>
      <c r="CK36" s="37">
        <f t="shared" si="62"/>
        <v>21973.110000000008</v>
      </c>
      <c r="CL36" s="37">
        <f t="shared" si="24"/>
        <v>1</v>
      </c>
      <c r="CM36" s="37">
        <v>3398.8</v>
      </c>
      <c r="CN36" s="37"/>
      <c r="CO36" s="37">
        <f t="shared" si="25"/>
        <v>9043.11</v>
      </c>
      <c r="CP36" s="37">
        <f>IF(CO36&lt;=0,0,(CO36/SQRT(CO36^2+(CN36-CN35)^2)))</f>
        <v>1</v>
      </c>
      <c r="CQ36" s="39">
        <v>12972</v>
      </c>
      <c r="CR36" s="39"/>
      <c r="CS36" s="37">
        <f>IF((CQ36-CQ35)&lt;=0,0,(CQ36-CQ35))+GX36</f>
        <v>7105.41</v>
      </c>
      <c r="CT36" s="37">
        <f>IF(CS36&lt;=0,0,(CS36/SQRT(CS36^2+(CR36-CR35)^2)))</f>
        <v>1</v>
      </c>
      <c r="CU36" s="37">
        <v>2997700</v>
      </c>
      <c r="CV36" s="41"/>
      <c r="CW36" s="38">
        <f t="shared" si="27"/>
        <v>16300</v>
      </c>
      <c r="CX36" s="37">
        <f t="shared" si="88"/>
        <v>1</v>
      </c>
      <c r="CY36" s="37">
        <v>1560700</v>
      </c>
      <c r="CZ36" s="37"/>
      <c r="DA36" s="37">
        <f t="shared" si="125"/>
        <v>8900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0"/>
        <v>-71421.63</v>
      </c>
      <c r="DH36" s="37">
        <f t="shared" si="31"/>
        <v>471213.10999999969</v>
      </c>
      <c r="DI36" s="46"/>
      <c r="DJ36" s="46"/>
      <c r="DK36" s="47"/>
      <c r="DL36" s="47"/>
      <c r="DM36" s="37"/>
      <c r="DN36" s="37"/>
      <c r="DO36" s="37"/>
      <c r="DP36" s="37"/>
      <c r="DQ36" s="50">
        <v>3237900</v>
      </c>
      <c r="DR36" s="49">
        <f t="shared" si="63"/>
        <v>8800</v>
      </c>
      <c r="DS36" s="50">
        <v>3329200</v>
      </c>
      <c r="DT36" s="49">
        <f t="shared" si="64"/>
        <v>18600</v>
      </c>
      <c r="DU36" s="51">
        <v>7888.9</v>
      </c>
      <c r="DV36" s="51">
        <v>4419.1000000000004</v>
      </c>
      <c r="DW36" s="37">
        <f t="shared" si="90"/>
        <v>4599.9999999994543</v>
      </c>
      <c r="DX36" s="52">
        <v>13009</v>
      </c>
      <c r="DY36" s="52">
        <v>8382.7000000000007</v>
      </c>
      <c r="DZ36" s="37">
        <f t="shared" si="32"/>
        <v>7543.11</v>
      </c>
      <c r="EA36" s="49">
        <v>29626</v>
      </c>
      <c r="EB36" s="49">
        <v>20.702999999999999</v>
      </c>
      <c r="EC36" s="37">
        <f t="shared" si="33"/>
        <v>23703.11</v>
      </c>
      <c r="ED36" s="53">
        <f t="shared" si="34"/>
        <v>35846.219999999455</v>
      </c>
      <c r="EE36" s="49">
        <v>44940</v>
      </c>
      <c r="EF36" s="49">
        <v>29.010999999999999</v>
      </c>
      <c r="EG36" s="37">
        <f t="shared" si="35"/>
        <v>31703.11</v>
      </c>
      <c r="EH36" s="51">
        <v>12823</v>
      </c>
      <c r="EI36" s="51">
        <v>1.7347999999999999</v>
      </c>
      <c r="EJ36" s="37">
        <f t="shared" si="36"/>
        <v>11543.11</v>
      </c>
      <c r="EK36" s="37">
        <v>778.72</v>
      </c>
      <c r="EL36" s="40">
        <v>1116</v>
      </c>
      <c r="EM36" s="37">
        <f t="shared" si="65"/>
        <v>870.00000000000455</v>
      </c>
      <c r="EN36" s="54">
        <f t="shared" si="66"/>
        <v>44116.220000000008</v>
      </c>
      <c r="EO36" s="48">
        <v>12830</v>
      </c>
      <c r="EP36" s="48">
        <v>4483.6000000000004</v>
      </c>
      <c r="EQ36" s="37">
        <f t="shared" si="67"/>
        <v>6598.110000000006</v>
      </c>
      <c r="ER36" s="48">
        <v>9064.2000000000007</v>
      </c>
      <c r="ES36" s="55">
        <v>3713.4</v>
      </c>
      <c r="ET36" s="49">
        <f t="shared" si="96"/>
        <v>11700.000000000728</v>
      </c>
      <c r="EU36" s="48">
        <v>3436.2</v>
      </c>
      <c r="EV36" s="48">
        <v>1222.0999999999999</v>
      </c>
      <c r="EW36" s="49">
        <f t="shared" si="38"/>
        <v>9243.1099999998187</v>
      </c>
      <c r="EX36" s="48">
        <v>13262</v>
      </c>
      <c r="EY36" s="48">
        <v>1.5194000000000001</v>
      </c>
      <c r="EZ36" s="37">
        <f t="shared" si="39"/>
        <v>13543.11</v>
      </c>
      <c r="FA36" s="48">
        <f t="shared" si="68"/>
        <v>-21166.330000000555</v>
      </c>
      <c r="FB36" s="48">
        <v>36062648</v>
      </c>
      <c r="FC36" s="49">
        <f>IF((FB36-FB35)&lt;=0,0,(FB36-FB35))</f>
        <v>19918</v>
      </c>
      <c r="FD36" s="48">
        <f t="shared" si="69"/>
        <v>42584.330000000555</v>
      </c>
      <c r="FE36" s="153">
        <v>16859</v>
      </c>
      <c r="FF36" s="48">
        <v>6035.1</v>
      </c>
      <c r="FG36" s="37">
        <f t="shared" si="70"/>
        <v>10356.349999999993</v>
      </c>
      <c r="FH36" s="48">
        <v>8410.5</v>
      </c>
      <c r="FI36" s="48">
        <v>3.2471000000000001</v>
      </c>
      <c r="FJ36" s="49">
        <f t="shared" si="40"/>
        <v>19311.349999999638</v>
      </c>
      <c r="FK36" s="48"/>
      <c r="FL36" s="58">
        <v>-131.76</v>
      </c>
      <c r="FM36" s="48">
        <f t="shared" si="92"/>
        <v>-26.349999999876673</v>
      </c>
      <c r="FN36" s="48">
        <v>16321</v>
      </c>
      <c r="FO36" s="48">
        <v>0.79249999999999998</v>
      </c>
      <c r="FP36" s="37">
        <f t="shared" si="71"/>
        <v>11411.35</v>
      </c>
      <c r="FQ36" s="48">
        <v>57967</v>
      </c>
      <c r="FR36" s="48">
        <v>13.988</v>
      </c>
      <c r="FS36" s="37">
        <f>IF((FQ36-FQ35)*1000&lt;=0,0,(FQ36-FQ35)*1000)</f>
        <v>41000</v>
      </c>
      <c r="FT36" s="48">
        <f t="shared" si="72"/>
        <v>-79.049999999630018</v>
      </c>
      <c r="FU36" s="48">
        <f t="shared" si="73"/>
        <v>41079.049999999632</v>
      </c>
      <c r="FV36" s="44">
        <v>3938600</v>
      </c>
      <c r="FW36" s="44">
        <v>1262600</v>
      </c>
      <c r="FX36" s="37">
        <f t="shared" si="42"/>
        <v>28900</v>
      </c>
      <c r="FY36" s="56">
        <v>3225.5</v>
      </c>
      <c r="FZ36" s="56">
        <v>1.9706999999999999</v>
      </c>
      <c r="GA36" s="37">
        <f t="shared" si="43"/>
        <v>7239.9999999999091</v>
      </c>
      <c r="GB36" s="56">
        <v>798.13</v>
      </c>
      <c r="GC36" s="56">
        <v>893.52</v>
      </c>
      <c r="GD36" s="37">
        <f t="shared" si="44"/>
        <v>840.00000000003183</v>
      </c>
      <c r="GE36" s="56">
        <v>9866.1</v>
      </c>
      <c r="GF36" s="63">
        <v>3.2401</v>
      </c>
      <c r="GG36" s="37">
        <f t="shared" si="45"/>
        <v>9000</v>
      </c>
      <c r="GH36" s="48">
        <v>1924.3</v>
      </c>
      <c r="GI36" s="56">
        <v>1640.3</v>
      </c>
      <c r="GJ36" s="38">
        <f t="shared" si="46"/>
        <v>1500</v>
      </c>
      <c r="GK36" s="56">
        <v>1467.1</v>
      </c>
      <c r="GL36" s="44">
        <v>1119.7</v>
      </c>
      <c r="GM36" s="38">
        <f t="shared" si="47"/>
        <v>0</v>
      </c>
      <c r="GN36" s="57">
        <v>169910</v>
      </c>
      <c r="GO36" s="57">
        <v>149030</v>
      </c>
      <c r="GP36" s="38">
        <f t="shared" si="95"/>
        <v>2600</v>
      </c>
      <c r="GQ36" s="38">
        <v>255910</v>
      </c>
      <c r="GR36" s="38">
        <v>251560</v>
      </c>
      <c r="GS36" s="38">
        <f t="shared" si="74"/>
        <v>860</v>
      </c>
      <c r="GT36" s="178"/>
      <c r="GU36" s="144">
        <f>DailyApr!B35-DailyApr!N35-DailyApr!V35-DailyApr!Y35-DailyApr!Z35-DailyApr!AA35-DailyApr!AB35-DailyApr!AC35-DailyApr!AD35-DailyApr!AE35-DailyApr!AK35-DailyApr!AO35-DailyApr!AS35-DailyApr!AY35-DailyApr!BD35+DailyApr!BU35-DailyApr!BG35-DailyApr!BT35-DailyApr!AF35-DailyApr!AG35</f>
        <v>5.9999997974955477E-2</v>
      </c>
      <c r="GV36" s="59">
        <v>8146.71</v>
      </c>
      <c r="GW36" s="60">
        <f t="shared" si="48"/>
        <v>543.11400000000003</v>
      </c>
      <c r="GX36" s="61">
        <v>543.11</v>
      </c>
      <c r="GY36" s="140"/>
      <c r="GZ36" s="62"/>
      <c r="HA36" s="62"/>
      <c r="HB36" s="62"/>
      <c r="HC36" s="62"/>
      <c r="HD36" s="74"/>
      <c r="HE36" s="24"/>
      <c r="HG36" s="213">
        <v>30</v>
      </c>
      <c r="HH36" s="16">
        <v>7359.9</v>
      </c>
      <c r="HI36" s="16">
        <v>2867.7</v>
      </c>
      <c r="HJ36" s="16">
        <f t="shared" si="117"/>
        <v>88899.999999999636</v>
      </c>
      <c r="HK36" s="16">
        <v>1.9189000000000001</v>
      </c>
      <c r="HL36" s="16">
        <v>660.93</v>
      </c>
      <c r="HM36" s="16">
        <f t="shared" si="97"/>
        <v>0</v>
      </c>
      <c r="HN36" s="16">
        <v>481.92</v>
      </c>
      <c r="HO36" s="16">
        <v>229</v>
      </c>
      <c r="HP36" s="16">
        <f t="shared" si="124"/>
        <v>1090.0000000000318</v>
      </c>
      <c r="HQ36" s="16">
        <v>1976.9</v>
      </c>
      <c r="HR36" s="16">
        <v>873.02</v>
      </c>
      <c r="HS36" s="16">
        <f t="shared" si="53"/>
        <v>28970</v>
      </c>
      <c r="HT36" s="16">
        <v>1726.8</v>
      </c>
      <c r="HU36" s="16">
        <v>766.62</v>
      </c>
      <c r="HV36" s="16">
        <f t="shared" si="54"/>
        <v>24170.000000000044</v>
      </c>
      <c r="HW36" s="16">
        <v>1434.7</v>
      </c>
      <c r="HX36" s="16">
        <v>570.04999999999995</v>
      </c>
      <c r="HY36" s="16">
        <f t="shared" si="55"/>
        <v>16070.000000000136</v>
      </c>
      <c r="HZ36" s="16"/>
      <c r="IA36" s="16"/>
      <c r="IB36" s="128">
        <f t="shared" si="99"/>
        <v>18600</v>
      </c>
      <c r="IC36" s="211">
        <f t="shared" si="75"/>
        <v>-5.7752913562580943E-10</v>
      </c>
      <c r="ID36" s="16"/>
      <c r="IE36" s="16"/>
      <c r="IF36" s="16">
        <f t="shared" si="100"/>
        <v>0</v>
      </c>
      <c r="IG36" s="16"/>
      <c r="IH36" s="16"/>
      <c r="II36" s="16">
        <f t="shared" si="101"/>
        <v>0</v>
      </c>
      <c r="IJ36" s="16"/>
      <c r="IK36" s="16"/>
      <c r="IL36" s="16">
        <f t="shared" si="102"/>
        <v>0</v>
      </c>
      <c r="IM36" s="16"/>
      <c r="IN36" s="16"/>
      <c r="IO36" s="16">
        <f t="shared" si="103"/>
        <v>0</v>
      </c>
      <c r="IP36" s="16"/>
      <c r="IQ36" s="16"/>
      <c r="IR36" s="16">
        <f t="shared" si="104"/>
        <v>0</v>
      </c>
      <c r="IS36" s="16"/>
      <c r="IT36" s="16"/>
      <c r="IU36" s="16">
        <f t="shared" si="105"/>
        <v>0</v>
      </c>
      <c r="IV36" s="16"/>
      <c r="IW36" s="16"/>
      <c r="IX36" s="16">
        <f t="shared" si="106"/>
        <v>0</v>
      </c>
      <c r="IY36" s="16"/>
      <c r="IZ36" s="16"/>
      <c r="JA36" s="16">
        <f t="shared" si="107"/>
        <v>0</v>
      </c>
      <c r="JB36" s="16"/>
      <c r="JC36" s="16"/>
      <c r="JD36" s="16">
        <f t="shared" si="108"/>
        <v>0</v>
      </c>
      <c r="JE36" s="16"/>
      <c r="JF36" s="16"/>
      <c r="JG36" s="16">
        <f t="shared" si="109"/>
        <v>0</v>
      </c>
      <c r="JH36" s="16"/>
      <c r="JI36" s="16"/>
      <c r="JJ36" s="16">
        <f t="shared" si="110"/>
        <v>0</v>
      </c>
      <c r="JK36" s="16"/>
      <c r="JL36" s="16"/>
      <c r="JM36" s="16">
        <f t="shared" si="111"/>
        <v>0</v>
      </c>
      <c r="JN36" s="16"/>
      <c r="JO36" s="16"/>
      <c r="JP36" s="16">
        <f t="shared" si="112"/>
        <v>0</v>
      </c>
      <c r="JQ36" s="16"/>
      <c r="JR36" s="16"/>
      <c r="JS36" s="16">
        <f t="shared" si="113"/>
        <v>0</v>
      </c>
      <c r="JT36" s="16"/>
      <c r="JU36" s="16"/>
      <c r="JV36" s="16">
        <f t="shared" si="114"/>
        <v>0</v>
      </c>
      <c r="JW36" s="16"/>
      <c r="JX36" s="16"/>
      <c r="JY36" s="16">
        <f t="shared" si="115"/>
        <v>0</v>
      </c>
      <c r="KA36" s="151">
        <f t="shared" si="76"/>
        <v>1089.9999999994543</v>
      </c>
    </row>
    <row r="37" spans="1:287" ht="15.75" thickBot="1" x14ac:dyDescent="0.3">
      <c r="A37" s="35">
        <v>31</v>
      </c>
      <c r="B37" s="38">
        <v>4105.8500000000004</v>
      </c>
      <c r="C37" s="38">
        <f t="shared" si="1"/>
        <v>11.460000000000491</v>
      </c>
      <c r="D37" s="38">
        <f t="shared" si="2"/>
        <v>366720.00000001572</v>
      </c>
      <c r="E37" s="38">
        <v>825.18</v>
      </c>
      <c r="F37" s="38">
        <f t="shared" si="3"/>
        <v>73599.999999998545</v>
      </c>
      <c r="G37" s="38">
        <f t="shared" si="4"/>
        <v>440320.00000001426</v>
      </c>
      <c r="H37" s="37"/>
      <c r="I37" s="39"/>
      <c r="J37" s="42"/>
      <c r="K37" s="37">
        <f>IF(J37&lt;=0,0,(J37/SQRT(J37^2+(I37-I36)^2)))</f>
        <v>0</v>
      </c>
      <c r="L37" s="40">
        <v>12427000</v>
      </c>
      <c r="M37" s="40"/>
      <c r="N37" s="37">
        <f t="shared" si="78"/>
        <v>432000</v>
      </c>
      <c r="O37" s="37">
        <v>10695</v>
      </c>
      <c r="P37" s="37"/>
      <c r="Q37" s="37">
        <f t="shared" si="119"/>
        <v>13500</v>
      </c>
      <c r="R37" s="37">
        <f>IF(Q37&lt;=0,0,(Q37/SQRT(Q37^2+(P37-P36)^2)))</f>
        <v>1</v>
      </c>
      <c r="S37" s="37">
        <v>11231861.859999999</v>
      </c>
      <c r="T37" s="37">
        <f t="shared" si="6"/>
        <v>4.849999999627471</v>
      </c>
      <c r="U37" s="37">
        <v>1518173.85</v>
      </c>
      <c r="V37" s="37">
        <f>IF((U37-U36)&lt;=0,0,(U37-U36))</f>
        <v>0</v>
      </c>
      <c r="W37" s="37">
        <v>3798.1</v>
      </c>
      <c r="X37" s="37">
        <f t="shared" si="93"/>
        <v>8545.1500000003725</v>
      </c>
      <c r="Y37" s="183"/>
      <c r="Z37" s="183"/>
      <c r="AA37" s="37">
        <v>733650</v>
      </c>
      <c r="AB37" s="37">
        <f t="shared" si="8"/>
        <v>4950</v>
      </c>
      <c r="AC37" s="37">
        <v>3975.6</v>
      </c>
      <c r="AD37" s="37"/>
      <c r="AE37" s="37">
        <f t="shared" si="121"/>
        <v>3900.0000000000909</v>
      </c>
      <c r="AF37" s="37">
        <f>IF(AE37&lt;=0,0,(AE37/SQRT(AE37^2+(AD37-AD36)^2)))</f>
        <v>1</v>
      </c>
      <c r="AG37" s="37">
        <v>8671</v>
      </c>
      <c r="AH37" s="37"/>
      <c r="AI37" s="37">
        <f t="shared" si="10"/>
        <v>8942.9599999996353</v>
      </c>
      <c r="AJ37" s="37">
        <f t="shared" si="11"/>
        <v>1</v>
      </c>
      <c r="AK37" s="37">
        <f t="shared" si="12"/>
        <v>21392.959999999726</v>
      </c>
      <c r="AL37" s="42">
        <v>10609</v>
      </c>
      <c r="AM37" s="42"/>
      <c r="AN37" s="37">
        <f t="shared" si="57"/>
        <v>7122.9600000003356</v>
      </c>
      <c r="AO37" s="37">
        <f>IF(AN37&lt;=0,0,(AN37/SQRT(AN37^2+(AM37-AM36)^2)))</f>
        <v>1</v>
      </c>
      <c r="AP37" s="37">
        <v>8164.4</v>
      </c>
      <c r="AQ37" s="37"/>
      <c r="AR37" s="37">
        <f t="shared" si="13"/>
        <v>11899.999999999636</v>
      </c>
      <c r="AS37" s="37">
        <f>IF(AR37&lt;=0,0,(AR37/SQRT(AR37^2+(AQ37-AQ36)^2)))</f>
        <v>1</v>
      </c>
      <c r="AT37" s="183"/>
      <c r="AU37" s="183"/>
      <c r="AV37" s="183"/>
      <c r="AW37" s="183"/>
      <c r="AX37" s="37">
        <v>474808.12</v>
      </c>
      <c r="AY37" s="37"/>
      <c r="AZ37" s="37">
        <f t="shared" si="14"/>
        <v>428.11999999999534</v>
      </c>
      <c r="BA37" s="37">
        <v>133350.46</v>
      </c>
      <c r="BB37" s="37"/>
      <c r="BC37" s="37">
        <f t="shared" si="15"/>
        <v>670.45999999999185</v>
      </c>
      <c r="BD37" s="37">
        <f>AN37+AR37+AZ37+BC37</f>
        <v>20121.539999999957</v>
      </c>
      <c r="BE37" s="43">
        <v>1860.8</v>
      </c>
      <c r="BF37" s="43">
        <v>1021.3</v>
      </c>
      <c r="BG37" s="37">
        <f t="shared" si="16"/>
        <v>2399.9999999998636</v>
      </c>
      <c r="BH37" s="44">
        <v>8699.7000000000007</v>
      </c>
      <c r="BI37" s="44">
        <v>5595.3</v>
      </c>
      <c r="BJ37" s="37">
        <f t="shared" si="17"/>
        <v>9700.0000000007276</v>
      </c>
      <c r="BK37" s="40">
        <v>1473300</v>
      </c>
      <c r="BL37" s="40">
        <f t="shared" si="84"/>
        <v>4050</v>
      </c>
      <c r="BM37" s="40">
        <v>855.84</v>
      </c>
      <c r="BN37" s="37">
        <f t="shared" si="18"/>
        <v>730.00000000001819</v>
      </c>
      <c r="BO37" s="186"/>
      <c r="BP37" s="183">
        <f t="shared" si="19"/>
        <v>0</v>
      </c>
      <c r="BQ37" s="40">
        <v>809.94</v>
      </c>
      <c r="BR37" s="37">
        <f t="shared" si="58"/>
        <v>740.00000000000909</v>
      </c>
      <c r="BS37" s="37">
        <v>93951.43</v>
      </c>
      <c r="BT37" s="37">
        <f t="shared" si="20"/>
        <v>161.90999999998894</v>
      </c>
      <c r="BU37" s="42">
        <v>2532800</v>
      </c>
      <c r="BV37" s="42"/>
      <c r="BW37" s="37">
        <f t="shared" si="21"/>
        <v>7100</v>
      </c>
      <c r="BX37" s="37">
        <f>IF(BW37&lt;=0,0,(BW37/SQRT(BW37^2+(BV37-BV36)^2)))</f>
        <v>1</v>
      </c>
      <c r="BY37" s="43">
        <v>331.29</v>
      </c>
      <c r="BZ37" s="43"/>
      <c r="CA37" s="37">
        <f t="shared" si="116"/>
        <v>460.00000000003638</v>
      </c>
      <c r="CB37" s="37">
        <f t="shared" si="59"/>
        <v>1</v>
      </c>
      <c r="CC37" s="37">
        <v>595250</v>
      </c>
      <c r="CD37" s="37">
        <f t="shared" si="23"/>
        <v>1000</v>
      </c>
      <c r="CE37" s="41">
        <v>1041700</v>
      </c>
      <c r="CF37" s="37">
        <f t="shared" si="60"/>
        <v>5500</v>
      </c>
      <c r="CG37" s="37">
        <v>71456</v>
      </c>
      <c r="CH37" s="37">
        <f t="shared" si="61"/>
        <v>0</v>
      </c>
      <c r="CI37" s="40">
        <v>12379</v>
      </c>
      <c r="CJ37" s="40"/>
      <c r="CK37" s="37">
        <f t="shared" si="62"/>
        <v>19582.959999999963</v>
      </c>
      <c r="CL37" s="37">
        <f t="shared" si="24"/>
        <v>1</v>
      </c>
      <c r="CM37" s="37">
        <v>3407.4</v>
      </c>
      <c r="CN37" s="37"/>
      <c r="CO37" s="37">
        <f t="shared" si="25"/>
        <v>8642.9599999999082</v>
      </c>
      <c r="CP37" s="37">
        <f>IF(CO37&lt;=0,0,(CO37/SQRT(CO37^2+(CN37-CN36)^2)))</f>
        <v>1</v>
      </c>
      <c r="CQ37" s="39">
        <v>19281</v>
      </c>
      <c r="CR37" s="39"/>
      <c r="CS37" s="37">
        <f>IF((CQ37-CQ36)&lt;=0,0,(CQ37-CQ36))+GX37</f>
        <v>6351.96</v>
      </c>
      <c r="CT37" s="37">
        <f>IF(CS37&lt;=0,0,(CS37/SQRT(CS37^2+(CR37-CR36)^2)))</f>
        <v>1</v>
      </c>
      <c r="CU37" s="37">
        <v>3011200</v>
      </c>
      <c r="CV37" s="41"/>
      <c r="CW37" s="38">
        <f t="shared" si="27"/>
        <v>13500</v>
      </c>
      <c r="CX37" s="37">
        <f t="shared" si="88"/>
        <v>1</v>
      </c>
      <c r="CY37" s="37">
        <v>1568300</v>
      </c>
      <c r="CZ37" s="37"/>
      <c r="DA37" s="37">
        <f t="shared" si="125"/>
        <v>7600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0"/>
        <v>-62777.879999999874</v>
      </c>
      <c r="DH37" s="37">
        <f t="shared" si="31"/>
        <v>455792.95999999961</v>
      </c>
      <c r="DI37" s="46"/>
      <c r="DJ37" s="46"/>
      <c r="DK37" s="47"/>
      <c r="DL37" s="47"/>
      <c r="DM37" s="37"/>
      <c r="DN37" s="37"/>
      <c r="DO37" s="37"/>
      <c r="DP37" s="37"/>
      <c r="DQ37" s="50">
        <v>3247200</v>
      </c>
      <c r="DR37" s="49">
        <f t="shared" si="63"/>
        <v>9300</v>
      </c>
      <c r="DS37" s="50">
        <v>3348200</v>
      </c>
      <c r="DT37" s="49">
        <f t="shared" si="64"/>
        <v>19000</v>
      </c>
      <c r="DU37" s="51">
        <v>7893.4</v>
      </c>
      <c r="DV37" s="51">
        <v>4421.8</v>
      </c>
      <c r="DW37" s="37">
        <f t="shared" si="90"/>
        <v>4500</v>
      </c>
      <c r="DX37" s="52">
        <v>13016</v>
      </c>
      <c r="DY37" s="52">
        <v>8384.4</v>
      </c>
      <c r="DZ37" s="37">
        <f t="shared" si="32"/>
        <v>7042.96</v>
      </c>
      <c r="EA37" s="49">
        <v>29648</v>
      </c>
      <c r="EB37" s="49">
        <v>20.713999999999999</v>
      </c>
      <c r="EC37" s="37">
        <f t="shared" si="33"/>
        <v>24202.959999999999</v>
      </c>
      <c r="ED37" s="53">
        <f t="shared" si="34"/>
        <v>35745.919999999998</v>
      </c>
      <c r="EE37" s="49">
        <v>44969</v>
      </c>
      <c r="EF37" s="49">
        <v>29.030999999999999</v>
      </c>
      <c r="EG37" s="37">
        <f t="shared" si="35"/>
        <v>31202.959999999999</v>
      </c>
      <c r="EH37" s="51">
        <v>12835</v>
      </c>
      <c r="EI37" s="51">
        <v>1.7370000000000001</v>
      </c>
      <c r="EJ37" s="37">
        <f t="shared" si="36"/>
        <v>12042.96</v>
      </c>
      <c r="EK37" s="37">
        <v>779.45</v>
      </c>
      <c r="EL37" s="40">
        <v>1117</v>
      </c>
      <c r="EM37" s="37">
        <f t="shared" si="65"/>
        <v>730.00000000001819</v>
      </c>
      <c r="EN37" s="54">
        <f t="shared" si="66"/>
        <v>43975.920000000013</v>
      </c>
      <c r="EO37" s="48">
        <v>12837</v>
      </c>
      <c r="EP37" s="48">
        <v>4486.6000000000004</v>
      </c>
      <c r="EQ37" s="37">
        <f t="shared" si="67"/>
        <v>6062.9599999999818</v>
      </c>
      <c r="ER37" s="48">
        <v>9071.7999999999993</v>
      </c>
      <c r="ES37" s="55">
        <v>3718.8</v>
      </c>
      <c r="ET37" s="49">
        <f t="shared" si="96"/>
        <v>7599.9999999985448</v>
      </c>
      <c r="EU37" s="48">
        <v>3445.3</v>
      </c>
      <c r="EV37" s="48">
        <v>1225.3</v>
      </c>
      <c r="EW37" s="49">
        <f t="shared" si="38"/>
        <v>9142.9600000003629</v>
      </c>
      <c r="EX37" s="48">
        <v>13273</v>
      </c>
      <c r="EY37" s="48">
        <v>1.5208999999999999</v>
      </c>
      <c r="EZ37" s="37">
        <f t="shared" si="39"/>
        <v>11042.96</v>
      </c>
      <c r="FA37" s="48">
        <f t="shared" si="68"/>
        <v>-14062.879999998888</v>
      </c>
      <c r="FB37" s="48">
        <v>36082434</v>
      </c>
      <c r="FC37" s="49">
        <f>IF((FB37-FB36)&lt;=0,0,(FB37-FB36))</f>
        <v>19786</v>
      </c>
      <c r="FD37" s="48">
        <f t="shared" si="69"/>
        <v>35448.879999999022</v>
      </c>
      <c r="FE37" s="153">
        <v>16869</v>
      </c>
      <c r="FF37" s="154">
        <v>6038.2</v>
      </c>
      <c r="FG37" s="37">
        <f t="shared" si="70"/>
        <v>10696.290000000017</v>
      </c>
      <c r="FH37" s="48">
        <v>8429.5</v>
      </c>
      <c r="FI37" s="48">
        <v>3.2545000000000002</v>
      </c>
      <c r="FJ37" s="49">
        <f t="shared" si="40"/>
        <v>18716.29</v>
      </c>
      <c r="FK37" s="48"/>
      <c r="FL37" s="58">
        <v>-326.67</v>
      </c>
      <c r="FM37" s="48">
        <f t="shared" si="92"/>
        <v>-42.956666666671786</v>
      </c>
      <c r="FN37" s="48">
        <v>16333</v>
      </c>
      <c r="FO37" s="48">
        <v>0.79400000000000004</v>
      </c>
      <c r="FP37" s="37">
        <f t="shared" si="71"/>
        <v>11716.289999999999</v>
      </c>
      <c r="FQ37" s="48">
        <v>58008</v>
      </c>
      <c r="FR37" s="48">
        <v>14</v>
      </c>
      <c r="FS37" s="37">
        <f>IF((FQ37-FQ36)*1000&lt;=0,0,(FQ37-FQ36)*1000)</f>
        <v>41000</v>
      </c>
      <c r="FT37" s="48">
        <f t="shared" si="72"/>
        <v>-128.87000000001535</v>
      </c>
      <c r="FU37" s="48">
        <f t="shared" si="73"/>
        <v>41128.870000000017</v>
      </c>
      <c r="FV37" s="44">
        <v>3971800</v>
      </c>
      <c r="FW37" s="44">
        <v>1272700</v>
      </c>
      <c r="FX37" s="37">
        <f t="shared" si="42"/>
        <v>33200</v>
      </c>
      <c r="FY37" s="56">
        <v>3234.7</v>
      </c>
      <c r="FZ37" s="56">
        <v>1.9786999999999999</v>
      </c>
      <c r="GA37" s="37">
        <f t="shared" si="43"/>
        <v>8399.9999999998181</v>
      </c>
      <c r="GB37" s="56">
        <v>799.19</v>
      </c>
      <c r="GC37" s="56">
        <v>894.64</v>
      </c>
      <c r="GD37" s="37">
        <f t="shared" si="44"/>
        <v>1060.0000000000591</v>
      </c>
      <c r="GE37" s="56">
        <v>9878.4</v>
      </c>
      <c r="GF37" s="63">
        <v>3.2496999999999998</v>
      </c>
      <c r="GG37" s="37">
        <f t="shared" si="45"/>
        <v>10699.999999999136</v>
      </c>
      <c r="GH37" s="48">
        <v>1925.9</v>
      </c>
      <c r="GI37" s="56">
        <v>1641.8</v>
      </c>
      <c r="GJ37" s="38">
        <f t="shared" si="46"/>
        <v>1600.0000000001364</v>
      </c>
      <c r="GK37" s="56">
        <v>1467.1</v>
      </c>
      <c r="GL37" s="44">
        <v>1119.7</v>
      </c>
      <c r="GM37" s="38">
        <f t="shared" si="47"/>
        <v>0</v>
      </c>
      <c r="GN37" s="57">
        <v>172440</v>
      </c>
      <c r="GO37" s="57">
        <v>151380</v>
      </c>
      <c r="GP37" s="38">
        <f t="shared" si="95"/>
        <v>2530</v>
      </c>
      <c r="GQ37" s="38">
        <v>256710</v>
      </c>
      <c r="GR37" s="38">
        <v>252470</v>
      </c>
      <c r="GS37" s="38">
        <f t="shared" si="74"/>
        <v>800</v>
      </c>
      <c r="GT37" s="178"/>
      <c r="GU37" s="144">
        <f>DailyApr!B36-DailyApr!N36-DailyApr!V36-DailyApr!Y36-DailyApr!Z36-DailyApr!AA36-DailyApr!AB36-DailyApr!AC36-DailyApr!AD36-DailyApr!AE36-DailyApr!AK36-DailyApr!AO36-DailyApr!AS36-DailyApr!AY36-DailyApr!BD36+DailyApr!BU36-DailyApr!BG36-DailyApr!BT36-DailyApr!AF36-DailyApr!AG36</f>
        <v>3.0000016093254089E-2</v>
      </c>
      <c r="GV37" s="59">
        <v>644.42999999999995</v>
      </c>
      <c r="GW37" s="60">
        <f t="shared" si="48"/>
        <v>42.961999999999996</v>
      </c>
      <c r="GX37" s="61">
        <v>42.96</v>
      </c>
      <c r="GY37" s="140"/>
      <c r="GZ37" s="62"/>
      <c r="HA37" s="62"/>
      <c r="HB37" s="62"/>
      <c r="HC37" s="62"/>
      <c r="HD37" s="74"/>
      <c r="HE37" s="24"/>
      <c r="HG37" s="213">
        <v>31</v>
      </c>
      <c r="HH37" s="16">
        <v>7448.9</v>
      </c>
      <c r="HI37" s="16">
        <v>2900.9</v>
      </c>
      <c r="HJ37" s="16">
        <f t="shared" si="117"/>
        <v>89000</v>
      </c>
      <c r="HK37" s="16">
        <v>1.9189000000000001</v>
      </c>
      <c r="HL37" s="16">
        <v>660.93</v>
      </c>
      <c r="HM37" s="16">
        <f t="shared" si="97"/>
        <v>0</v>
      </c>
      <c r="HN37" s="16">
        <v>483.09</v>
      </c>
      <c r="HO37" s="16">
        <v>229.73</v>
      </c>
      <c r="HP37" s="16">
        <f t="shared" si="124"/>
        <v>1169.9999999999591</v>
      </c>
      <c r="HQ37" s="16">
        <v>2003</v>
      </c>
      <c r="HR37" s="16">
        <v>884.4</v>
      </c>
      <c r="HS37" s="16">
        <f t="shared" si="53"/>
        <v>26109.999999999909</v>
      </c>
      <c r="HT37" s="16">
        <v>1750.4</v>
      </c>
      <c r="HU37" s="16">
        <v>776.38</v>
      </c>
      <c r="HV37" s="16">
        <f t="shared" si="54"/>
        <v>23610.000000000138</v>
      </c>
      <c r="HW37" s="16">
        <v>1453.8</v>
      </c>
      <c r="HX37" s="16">
        <v>577.55999999999995</v>
      </c>
      <c r="HY37" s="16">
        <f t="shared" si="55"/>
        <v>19109.999999999909</v>
      </c>
      <c r="HZ37" s="16"/>
      <c r="IA37" s="16"/>
      <c r="IB37" s="128">
        <f t="shared" si="99"/>
        <v>19000</v>
      </c>
      <c r="IC37" s="211">
        <f t="shared" si="75"/>
        <v>8.0945028457790613E-11</v>
      </c>
      <c r="ID37" s="16"/>
      <c r="IE37" s="16"/>
      <c r="IF37" s="16">
        <f t="shared" si="100"/>
        <v>0</v>
      </c>
      <c r="IG37" s="16"/>
      <c r="IH37" s="16"/>
      <c r="II37" s="16">
        <f t="shared" si="101"/>
        <v>0</v>
      </c>
      <c r="IJ37" s="16"/>
      <c r="IK37" s="16"/>
      <c r="IL37" s="16">
        <f t="shared" si="102"/>
        <v>0</v>
      </c>
      <c r="IM37" s="16"/>
      <c r="IN37" s="16"/>
      <c r="IO37" s="16">
        <f t="shared" si="103"/>
        <v>0</v>
      </c>
      <c r="IP37" s="16"/>
      <c r="IQ37" s="16"/>
      <c r="IR37" s="16">
        <f t="shared" si="104"/>
        <v>0</v>
      </c>
      <c r="IS37" s="16"/>
      <c r="IT37" s="16"/>
      <c r="IU37" s="16">
        <f t="shared" si="105"/>
        <v>0</v>
      </c>
      <c r="IV37" s="16"/>
      <c r="IW37" s="16"/>
      <c r="IX37" s="16">
        <f t="shared" si="106"/>
        <v>0</v>
      </c>
      <c r="IY37" s="16"/>
      <c r="IZ37" s="16"/>
      <c r="JA37" s="16">
        <f t="shared" si="107"/>
        <v>0</v>
      </c>
      <c r="JB37" s="16"/>
      <c r="JC37" s="16"/>
      <c r="JD37" s="16">
        <f t="shared" si="108"/>
        <v>0</v>
      </c>
      <c r="JE37" s="16"/>
      <c r="JF37" s="16"/>
      <c r="JG37" s="16">
        <f t="shared" si="109"/>
        <v>0</v>
      </c>
      <c r="JH37" s="16"/>
      <c r="JI37" s="16"/>
      <c r="JJ37" s="16">
        <f t="shared" si="110"/>
        <v>0</v>
      </c>
      <c r="JK37" s="16"/>
      <c r="JL37" s="16"/>
      <c r="JM37" s="16">
        <f t="shared" si="111"/>
        <v>0</v>
      </c>
      <c r="JN37" s="16"/>
      <c r="JO37" s="16"/>
      <c r="JP37" s="16">
        <f t="shared" si="112"/>
        <v>0</v>
      </c>
      <c r="JQ37" s="16"/>
      <c r="JR37" s="16"/>
      <c r="JS37" s="16">
        <f t="shared" si="113"/>
        <v>0</v>
      </c>
      <c r="JT37" s="16"/>
      <c r="JU37" s="16"/>
      <c r="JV37" s="16">
        <f t="shared" si="114"/>
        <v>0</v>
      </c>
      <c r="JW37" s="16"/>
      <c r="JX37" s="16"/>
      <c r="JY37" s="16">
        <f t="shared" si="115"/>
        <v>0</v>
      </c>
      <c r="KA37" s="151">
        <f t="shared" si="76"/>
        <v>1170.00000000004</v>
      </c>
    </row>
    <row r="38" spans="1:287" ht="15.75" hidden="1" thickBot="1" x14ac:dyDescent="0.3">
      <c r="A38" s="35">
        <v>1</v>
      </c>
      <c r="B38" s="38"/>
      <c r="C38" s="38">
        <f t="shared" si="1"/>
        <v>0</v>
      </c>
      <c r="D38" s="38">
        <f t="shared" si="2"/>
        <v>0</v>
      </c>
      <c r="E38" s="38"/>
      <c r="F38" s="38">
        <f t="shared" si="3"/>
        <v>0</v>
      </c>
      <c r="G38" s="38">
        <f t="shared" si="4"/>
        <v>0</v>
      </c>
      <c r="H38" s="37"/>
      <c r="I38" s="39"/>
      <c r="J38" s="42"/>
      <c r="K38" s="37">
        <f>IF(J38&lt;=0,0,(J38/SQRT(J38^2+(I38-I37)^2)))</f>
        <v>0</v>
      </c>
      <c r="L38" s="40"/>
      <c r="M38" s="40"/>
      <c r="N38" s="37">
        <f t="shared" si="78"/>
        <v>0</v>
      </c>
      <c r="O38" s="37"/>
      <c r="P38" s="37"/>
      <c r="Q38" s="37">
        <f t="shared" si="119"/>
        <v>0</v>
      </c>
      <c r="R38" s="37">
        <f>IF(Q38&lt;=0,0,(Q38/SQRT(Q38^2+(P38-P37)^2)))</f>
        <v>0</v>
      </c>
      <c r="S38" s="37"/>
      <c r="T38" s="37">
        <f t="shared" si="6"/>
        <v>0</v>
      </c>
      <c r="U38" s="37"/>
      <c r="V38" s="37">
        <f>IF((U38-U37)&lt;=0,0,(U38-U37))</f>
        <v>0</v>
      </c>
      <c r="W38" s="37"/>
      <c r="X38" s="37">
        <f t="shared" si="93"/>
        <v>0</v>
      </c>
      <c r="Y38" s="183"/>
      <c r="Z38" s="183"/>
      <c r="AA38" s="37"/>
      <c r="AB38" s="37">
        <f t="shared" si="8"/>
        <v>0</v>
      </c>
      <c r="AC38" s="37"/>
      <c r="AD38" s="37"/>
      <c r="AE38" s="37">
        <f t="shared" si="121"/>
        <v>0</v>
      </c>
      <c r="AF38" s="37">
        <f>IF(AE38&lt;=0,0,(AE38/SQRT(AE38^2+(AD38-AD37)^2)))</f>
        <v>0</v>
      </c>
      <c r="AG38" s="37"/>
      <c r="AH38" s="37"/>
      <c r="AI38" s="37">
        <f t="shared" si="10"/>
        <v>0</v>
      </c>
      <c r="AJ38" s="37">
        <f t="shared" si="11"/>
        <v>0</v>
      </c>
      <c r="AK38" s="37">
        <f t="shared" si="12"/>
        <v>0</v>
      </c>
      <c r="AL38" s="42"/>
      <c r="AM38" s="42"/>
      <c r="AN38" s="37">
        <f t="shared" si="57"/>
        <v>0</v>
      </c>
      <c r="AO38" s="37">
        <f>IF(AN38&lt;=0,0,(AN38/SQRT(AN38^2+(AM38-AM37)^2)))</f>
        <v>0</v>
      </c>
      <c r="AP38" s="37"/>
      <c r="AQ38" s="37"/>
      <c r="AR38" s="37">
        <f t="shared" si="13"/>
        <v>0</v>
      </c>
      <c r="AS38" s="37">
        <f>IF(AR38&lt;=0,0,(AR38/SQRT(AR38^2+(AQ38-AQ37)^2)))</f>
        <v>0</v>
      </c>
      <c r="AT38" s="183"/>
      <c r="AU38" s="183"/>
      <c r="AV38" s="183"/>
      <c r="AW38" s="183"/>
      <c r="AX38" s="37"/>
      <c r="AY38" s="37"/>
      <c r="AZ38" s="37">
        <f t="shared" si="14"/>
        <v>0</v>
      </c>
      <c r="BA38" s="37"/>
      <c r="BB38" s="37"/>
      <c r="BC38" s="37">
        <f t="shared" si="15"/>
        <v>0</v>
      </c>
      <c r="BD38" s="37">
        <f>AN38+AR38+AZ38+BC38</f>
        <v>0</v>
      </c>
      <c r="BE38" s="43"/>
      <c r="BF38" s="43"/>
      <c r="BG38" s="37">
        <f t="shared" si="16"/>
        <v>0</v>
      </c>
      <c r="BH38" s="44"/>
      <c r="BI38" s="44"/>
      <c r="BJ38" s="37">
        <f t="shared" si="17"/>
        <v>0</v>
      </c>
      <c r="BK38" s="40"/>
      <c r="BL38" s="40">
        <f t="shared" si="84"/>
        <v>0</v>
      </c>
      <c r="BM38" s="40"/>
      <c r="BN38" s="37">
        <f t="shared" si="18"/>
        <v>0</v>
      </c>
      <c r="BO38" s="186"/>
      <c r="BP38" s="183">
        <f t="shared" si="19"/>
        <v>0</v>
      </c>
      <c r="BQ38" s="40"/>
      <c r="BR38" s="37">
        <f t="shared" si="58"/>
        <v>0</v>
      </c>
      <c r="BS38" s="37"/>
      <c r="BT38" s="37">
        <f t="shared" si="20"/>
        <v>0</v>
      </c>
      <c r="BU38" s="42"/>
      <c r="BV38" s="42"/>
      <c r="BW38" s="37">
        <f t="shared" si="21"/>
        <v>0</v>
      </c>
      <c r="BX38" s="37">
        <f>IF(BW38&lt;=0,0,(BW38/SQRT(BW38^2+(BV38-BV37)^2)))</f>
        <v>0</v>
      </c>
      <c r="BY38" s="43"/>
      <c r="BZ38" s="43"/>
      <c r="CA38" s="37">
        <f t="shared" si="116"/>
        <v>0</v>
      </c>
      <c r="CB38" s="37">
        <f t="shared" si="59"/>
        <v>0</v>
      </c>
      <c r="CC38" s="37"/>
      <c r="CD38" s="37">
        <f t="shared" si="23"/>
        <v>0</v>
      </c>
      <c r="CE38" s="41"/>
      <c r="CF38" s="37">
        <f t="shared" si="60"/>
        <v>0</v>
      </c>
      <c r="CG38" s="37"/>
      <c r="CH38" s="37">
        <f t="shared" si="61"/>
        <v>0</v>
      </c>
      <c r="CI38" s="40"/>
      <c r="CJ38" s="40"/>
      <c r="CK38" s="37">
        <f t="shared" si="62"/>
        <v>0</v>
      </c>
      <c r="CL38" s="37">
        <f t="shared" si="24"/>
        <v>0</v>
      </c>
      <c r="CM38" s="37"/>
      <c r="CN38" s="37"/>
      <c r="CO38" s="37">
        <f t="shared" si="25"/>
        <v>0</v>
      </c>
      <c r="CP38" s="37">
        <f>IF(CO38&lt;=0,0,(CO38/SQRT(CO38^2+(CN38-CN37)^2)))</f>
        <v>0</v>
      </c>
      <c r="CQ38" s="39"/>
      <c r="CR38" s="39"/>
      <c r="CS38" s="37">
        <f>IF((CQ38-CQ37)&lt;=0,0,(CQ38-CQ37))*1000+GX38</f>
        <v>0</v>
      </c>
      <c r="CT38" s="37">
        <f>IF(CS38&lt;=0,0,(CS38/SQRT(CS38^2+(CR38-CR37)^2)))</f>
        <v>0</v>
      </c>
      <c r="CU38" s="37"/>
      <c r="CV38" s="41"/>
      <c r="CW38" s="38">
        <f t="shared" si="27"/>
        <v>0</v>
      </c>
      <c r="CX38" s="37">
        <f t="shared" si="88"/>
        <v>0</v>
      </c>
      <c r="CY38" s="37"/>
      <c r="CZ38" s="37"/>
      <c r="DA38" s="37">
        <f t="shared" si="125"/>
        <v>0</v>
      </c>
      <c r="DB38" s="37">
        <f>IF(DA38&lt;=0,0,(DA38/SQRT(DA38^2+(CZ38-CZ37)^2)))</f>
        <v>0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0"/>
        <v>0</v>
      </c>
      <c r="DH38" s="37">
        <f t="shared" si="31"/>
        <v>0</v>
      </c>
      <c r="DI38" s="46"/>
      <c r="DJ38" s="46"/>
      <c r="DK38" s="47"/>
      <c r="DL38" s="47"/>
      <c r="DM38" s="37"/>
      <c r="DN38" s="37"/>
      <c r="DO38" s="37"/>
      <c r="DP38" s="37"/>
      <c r="DQ38" s="50"/>
      <c r="DR38" s="49">
        <f t="shared" si="63"/>
        <v>0</v>
      </c>
      <c r="DS38" s="50"/>
      <c r="DT38" s="49">
        <f t="shared" si="64"/>
        <v>0</v>
      </c>
      <c r="DU38" s="51"/>
      <c r="DV38" s="51"/>
      <c r="DW38" s="37">
        <f t="shared" si="90"/>
        <v>0</v>
      </c>
      <c r="DX38" s="52"/>
      <c r="DY38" s="52"/>
      <c r="DZ38" s="37">
        <f t="shared" si="32"/>
        <v>0</v>
      </c>
      <c r="EA38" s="49"/>
      <c r="EB38" s="49"/>
      <c r="EC38" s="37">
        <f t="shared" ref="EC38" si="126">IF((EA38-EA37)*1000&lt;=0,0,(EA38-EA37)*1000)+GX38</f>
        <v>0</v>
      </c>
      <c r="ED38" s="53">
        <f t="shared" si="34"/>
        <v>0</v>
      </c>
      <c r="EE38" s="49"/>
      <c r="EF38" s="49"/>
      <c r="EG38" s="37">
        <f t="shared" ref="EG38" si="127">IF((EE38-EE37)*1000&lt;=0,0,(EE38-EE37)*1000)+GX38</f>
        <v>0</v>
      </c>
      <c r="EH38" s="51"/>
      <c r="EI38" s="51"/>
      <c r="EJ38" s="37">
        <f t="shared" si="36"/>
        <v>0</v>
      </c>
      <c r="EK38" s="37"/>
      <c r="EL38" s="40"/>
      <c r="EM38" s="37">
        <f t="shared" si="65"/>
        <v>0</v>
      </c>
      <c r="EN38" s="54">
        <f t="shared" si="66"/>
        <v>0</v>
      </c>
      <c r="EO38" s="48"/>
      <c r="EP38" s="48"/>
      <c r="EQ38" s="37">
        <f t="shared" si="67"/>
        <v>297425</v>
      </c>
      <c r="ER38" s="48"/>
      <c r="ES38" s="55"/>
      <c r="ET38" s="49">
        <f t="shared" si="96"/>
        <v>0</v>
      </c>
      <c r="EU38" s="48"/>
      <c r="EV38" s="48"/>
      <c r="EW38" s="49">
        <f t="shared" si="38"/>
        <v>0</v>
      </c>
      <c r="EX38" s="48"/>
      <c r="EY38" s="48"/>
      <c r="EZ38" s="37">
        <f t="shared" si="39"/>
        <v>0</v>
      </c>
      <c r="FA38" s="48">
        <f t="shared" si="68"/>
        <v>-297425</v>
      </c>
      <c r="FB38" s="48"/>
      <c r="FC38" s="49">
        <f>IF((FB38-FB37)&lt;=0,0,(FB38-FB37))</f>
        <v>0</v>
      </c>
      <c r="FD38" s="48">
        <f t="shared" si="69"/>
        <v>297425</v>
      </c>
      <c r="FE38" s="153"/>
      <c r="FF38" s="154"/>
      <c r="FG38" s="37">
        <f t="shared" si="70"/>
        <v>-297425</v>
      </c>
      <c r="FH38" s="48"/>
      <c r="FI38" s="48"/>
      <c r="FJ38" s="49">
        <f t="shared" si="40"/>
        <v>0</v>
      </c>
      <c r="FK38" s="48"/>
      <c r="FL38" s="58"/>
      <c r="FM38" s="48">
        <f t="shared" si="92"/>
        <v>99141.666666666672</v>
      </c>
      <c r="FN38" s="48"/>
      <c r="FO38" s="48"/>
      <c r="FP38" s="37">
        <f t="shared" si="71"/>
        <v>0</v>
      </c>
      <c r="FQ38" s="48"/>
      <c r="FR38" s="48"/>
      <c r="FS38" s="37">
        <f>IF((FQ38-FQ37)*1000&lt;=0,0,(FQ38-FQ37)*1000)</f>
        <v>0</v>
      </c>
      <c r="FT38" s="48">
        <f t="shared" si="72"/>
        <v>297425</v>
      </c>
      <c r="FU38" s="48">
        <f t="shared" si="73"/>
        <v>-297425</v>
      </c>
      <c r="FV38" s="44"/>
      <c r="FW38" s="44"/>
      <c r="FX38" s="37">
        <f t="shared" si="42"/>
        <v>0</v>
      </c>
      <c r="FY38" s="56"/>
      <c r="FZ38" s="56"/>
      <c r="GA38" s="37">
        <f t="shared" si="43"/>
        <v>0</v>
      </c>
      <c r="GB38" s="56"/>
      <c r="GC38" s="56"/>
      <c r="GD38" s="37">
        <f t="shared" si="44"/>
        <v>0</v>
      </c>
      <c r="GE38" s="56"/>
      <c r="GF38" s="63"/>
      <c r="GG38" s="37">
        <f t="shared" si="45"/>
        <v>0</v>
      </c>
      <c r="GH38" s="48"/>
      <c r="GI38" s="56"/>
      <c r="GJ38" s="38">
        <f t="shared" si="46"/>
        <v>0</v>
      </c>
      <c r="GK38" s="56"/>
      <c r="GL38" s="44"/>
      <c r="GM38" s="38">
        <f t="shared" si="47"/>
        <v>0</v>
      </c>
      <c r="GN38" s="57"/>
      <c r="GO38" s="57"/>
      <c r="GP38" s="38">
        <f t="shared" si="95"/>
        <v>0</v>
      </c>
      <c r="GQ38" s="38"/>
      <c r="GR38" s="38"/>
      <c r="GS38" s="38">
        <f t="shared" si="74"/>
        <v>0</v>
      </c>
      <c r="GT38" s="178"/>
      <c r="GU38" s="144">
        <f>DailyApr!B37-DailyApr!N37-DailyApr!V37-DailyApr!Y37-DailyApr!Z37-DailyApr!AA37-DailyApr!AB37-DailyApr!AC37-DailyApr!AD37-DailyApr!AE37-DailyApr!AK37-DailyApr!AO37-DailyApr!AS37-DailyApr!AY37-DailyApr!BD37+DailyApr!BU37-DailyApr!BG37-DailyApr!BT37-DailyApr!AF37-DailyApr!AG37</f>
        <v>0</v>
      </c>
      <c r="GV38" s="59"/>
      <c r="GW38" s="60">
        <f t="shared" si="48"/>
        <v>0</v>
      </c>
      <c r="GX38" s="61"/>
      <c r="GY38" s="140"/>
      <c r="GZ38" s="74"/>
      <c r="HA38" s="62"/>
      <c r="HB38" s="62"/>
      <c r="HC38" s="74"/>
      <c r="HD38" s="74"/>
      <c r="HE38" s="24"/>
      <c r="HG38" s="213">
        <v>1</v>
      </c>
      <c r="HH38" s="16"/>
      <c r="HI38" s="16"/>
      <c r="HJ38" s="16">
        <f t="shared" si="117"/>
        <v>0</v>
      </c>
      <c r="HK38" s="16"/>
      <c r="HL38" s="16"/>
      <c r="HM38" s="16">
        <f t="shared" si="97"/>
        <v>0</v>
      </c>
      <c r="HN38" s="16"/>
      <c r="HO38" s="16"/>
      <c r="HP38" s="16"/>
      <c r="HQ38" s="16"/>
      <c r="HR38" s="16"/>
      <c r="HS38" s="16">
        <f t="shared" si="53"/>
        <v>0</v>
      </c>
      <c r="HT38" s="16"/>
      <c r="HU38" s="16"/>
      <c r="HV38" s="16">
        <f t="shared" si="54"/>
        <v>0</v>
      </c>
      <c r="HW38" s="16"/>
      <c r="HX38" s="16"/>
      <c r="HY38" s="16">
        <f t="shared" si="55"/>
        <v>0</v>
      </c>
      <c r="HZ38" s="16"/>
      <c r="IA38" s="16"/>
      <c r="IB38" s="128">
        <f t="shared" si="99"/>
        <v>0</v>
      </c>
      <c r="IC38" s="211">
        <f t="shared" ref="IC38" si="128">HJ38+HM38-HS38-HV38-HY38-IB38</f>
        <v>0</v>
      </c>
      <c r="ID38" s="16"/>
      <c r="IE38" s="16"/>
      <c r="IF38" s="16">
        <f t="shared" si="100"/>
        <v>0</v>
      </c>
      <c r="IG38" s="16"/>
      <c r="IH38" s="16"/>
      <c r="II38" s="16">
        <f t="shared" si="101"/>
        <v>0</v>
      </c>
      <c r="IJ38" s="16"/>
      <c r="IK38" s="16"/>
      <c r="IL38" s="16">
        <f t="shared" si="102"/>
        <v>0</v>
      </c>
      <c r="IM38" s="16"/>
      <c r="IN38" s="16"/>
      <c r="IO38" s="16">
        <f t="shared" si="103"/>
        <v>0</v>
      </c>
      <c r="IP38" s="16"/>
      <c r="IQ38" s="16"/>
      <c r="IR38" s="16">
        <f t="shared" si="104"/>
        <v>0</v>
      </c>
      <c r="IS38" s="16"/>
      <c r="IT38" s="16"/>
      <c r="IU38" s="16">
        <f t="shared" si="105"/>
        <v>0</v>
      </c>
      <c r="IV38" s="16"/>
      <c r="IW38" s="16"/>
      <c r="IX38" s="16">
        <f t="shared" si="106"/>
        <v>0</v>
      </c>
      <c r="IY38" s="16"/>
      <c r="IZ38" s="16"/>
      <c r="JA38" s="16">
        <f t="shared" si="107"/>
        <v>0</v>
      </c>
      <c r="JB38" s="16"/>
      <c r="JC38" s="16"/>
      <c r="JD38" s="16">
        <f t="shared" si="108"/>
        <v>0</v>
      </c>
      <c r="JE38" s="16"/>
      <c r="JF38" s="16"/>
      <c r="JG38" s="16">
        <f t="shared" si="109"/>
        <v>0</v>
      </c>
      <c r="JH38" s="16"/>
      <c r="JI38" s="16"/>
      <c r="JJ38" s="16">
        <f t="shared" si="110"/>
        <v>0</v>
      </c>
      <c r="JK38" s="16"/>
      <c r="JL38" s="16"/>
      <c r="JM38" s="16">
        <f t="shared" si="111"/>
        <v>0</v>
      </c>
      <c r="JN38" s="16"/>
      <c r="JO38" s="16"/>
      <c r="JP38" s="16">
        <f t="shared" si="112"/>
        <v>0</v>
      </c>
      <c r="JQ38" s="16"/>
      <c r="JR38" s="16"/>
      <c r="JS38" s="16">
        <f t="shared" si="113"/>
        <v>0</v>
      </c>
      <c r="JT38" s="16"/>
      <c r="JU38" s="16"/>
      <c r="JV38" s="16">
        <f t="shared" si="114"/>
        <v>0</v>
      </c>
      <c r="JW38" s="16"/>
      <c r="JX38" s="16"/>
      <c r="JY38" s="16">
        <f t="shared" si="115"/>
        <v>0</v>
      </c>
      <c r="KA38" s="151">
        <f t="shared" si="76"/>
        <v>0</v>
      </c>
    </row>
    <row r="39" spans="1:287" ht="15.75" thickBot="1" x14ac:dyDescent="0.3">
      <c r="A39" s="77" t="s">
        <v>37</v>
      </c>
      <c r="B39" s="78"/>
      <c r="C39" s="78">
        <f>SUM(C8:C38)</f>
        <v>290.72000000000025</v>
      </c>
      <c r="D39" s="78">
        <f>SUM(D8:D38)</f>
        <v>9303040.0000000075</v>
      </c>
      <c r="E39" s="78"/>
      <c r="F39" s="78">
        <f>SUM(F8:F38)</f>
        <v>1843839.9999999998</v>
      </c>
      <c r="G39" s="78">
        <f>SUM(G8:G38)</f>
        <v>11146880.000000007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11060000</v>
      </c>
      <c r="O39" s="79"/>
      <c r="P39" s="79"/>
      <c r="Q39" s="78">
        <f>SUM(Q8:Q38)</f>
        <v>436000</v>
      </c>
      <c r="R39" s="79">
        <f>AVERAGE(R8:R38)</f>
        <v>0.967741935483871</v>
      </c>
      <c r="S39" s="79"/>
      <c r="T39" s="78">
        <f>SUM(T8:T38)</f>
        <v>108224.43999999948</v>
      </c>
      <c r="U39" s="79"/>
      <c r="V39" s="79">
        <f>SUM(V8:V38)</f>
        <v>0</v>
      </c>
      <c r="W39" s="79"/>
      <c r="X39" s="78">
        <f>SUM(X8:X38)</f>
        <v>239035.56000000052</v>
      </c>
      <c r="Y39" s="184"/>
      <c r="Z39" s="184"/>
      <c r="AA39" s="78"/>
      <c r="AB39" s="78"/>
      <c r="AC39" s="79"/>
      <c r="AD39" s="79"/>
      <c r="AE39" s="78">
        <f>SUM(AE8:AE38)</f>
        <v>167299.99999999971</v>
      </c>
      <c r="AF39" s="79">
        <f>AVERAGE(AF8:AF38)</f>
        <v>0.967741935483871</v>
      </c>
      <c r="AG39" s="79"/>
      <c r="AH39" s="79"/>
      <c r="AI39" s="78">
        <f>SUM(AI8:AI38)</f>
        <v>377990.48999999964</v>
      </c>
      <c r="AJ39" s="79">
        <f>AVERAGE(AJ8:AJ38)</f>
        <v>0.967741935483871</v>
      </c>
      <c r="AK39" s="78">
        <f>SUM(AK8:AK38)</f>
        <v>892550.48999999929</v>
      </c>
      <c r="AL39" s="79"/>
      <c r="AM39" s="79"/>
      <c r="AN39" s="78">
        <f>SUM(AN8:AN38)</f>
        <v>223900.4899999999</v>
      </c>
      <c r="AO39" s="79">
        <f>AVERAGE(AO8:AO38)</f>
        <v>0.967741935483871</v>
      </c>
      <c r="AP39" s="79"/>
      <c r="AQ39" s="79"/>
      <c r="AR39" s="78">
        <f>SUM(AR8:AR38)</f>
        <v>298159.99999999988</v>
      </c>
      <c r="AS39" s="79">
        <f>AVERAGE(AS8:AS38)</f>
        <v>0.967741935483871</v>
      </c>
      <c r="AT39" s="184"/>
      <c r="AU39" s="184"/>
      <c r="AV39" s="184"/>
      <c r="AW39" s="184"/>
      <c r="AX39" s="79"/>
      <c r="AY39" s="79"/>
      <c r="AZ39" s="78">
        <f>SUM(AZ8:AZ38)</f>
        <v>12685.839999999967</v>
      </c>
      <c r="BA39" s="79"/>
      <c r="BB39" s="79"/>
      <c r="BC39" s="78">
        <f>SUM(BC8:BC38)</f>
        <v>19242.399999999994</v>
      </c>
      <c r="BD39" s="78">
        <f>SUM(BD8:BD38)</f>
        <v>553988.72999999963</v>
      </c>
      <c r="BE39" s="80"/>
      <c r="BF39" s="81"/>
      <c r="BG39" s="78">
        <f>SUM(BG8:BG38)</f>
        <v>80500</v>
      </c>
      <c r="BH39" s="78"/>
      <c r="BI39" s="78"/>
      <c r="BJ39" s="78"/>
      <c r="BK39" s="80"/>
      <c r="BL39" s="78">
        <f>SUM(BL8:BL38)</f>
        <v>109200</v>
      </c>
      <c r="BM39" s="80"/>
      <c r="BN39" s="78">
        <f>SUM(BN8:BN38)</f>
        <v>20330.00000000004</v>
      </c>
      <c r="BO39" s="187"/>
      <c r="BP39" s="188">
        <f>SUM(BP8:BP38)</f>
        <v>0</v>
      </c>
      <c r="BQ39" s="79"/>
      <c r="BR39" s="78">
        <f>SUM(BR8:BR38)</f>
        <v>18660.00000000008</v>
      </c>
      <c r="BS39" s="78"/>
      <c r="BT39" s="78"/>
      <c r="BU39" s="79"/>
      <c r="BV39" s="79"/>
      <c r="BW39" s="78">
        <f>SUM(BW8:BW38)</f>
        <v>249200</v>
      </c>
      <c r="BX39" s="79">
        <f>AVERAGE(BX8:BX38)</f>
        <v>0.967741935483871</v>
      </c>
      <c r="BY39" s="79"/>
      <c r="BZ39" s="79"/>
      <c r="CA39" s="78">
        <f>SUM(CA8:CA38)</f>
        <v>17970.000000000025</v>
      </c>
      <c r="CB39" s="78"/>
      <c r="CC39" s="79"/>
      <c r="CD39" s="79"/>
      <c r="CE39" s="79"/>
      <c r="CF39" s="78">
        <f>SUM(CF8:CF38)</f>
        <v>187202.39999999994</v>
      </c>
      <c r="CG39" s="79"/>
      <c r="CH39" s="78">
        <f>SUM(CH8:CH38)</f>
        <v>2049.6999999999971</v>
      </c>
      <c r="CI39" s="79"/>
      <c r="CJ39" s="79"/>
      <c r="CK39" s="78">
        <f>SUM(CK8:CK38)</f>
        <v>610120.49</v>
      </c>
      <c r="CL39" s="79">
        <f>AVERAGE(CL8:CL38)</f>
        <v>0.967741935483871</v>
      </c>
      <c r="CM39" s="79"/>
      <c r="CN39" s="79"/>
      <c r="CO39" s="78">
        <f>SUM(CO8:CO38)</f>
        <v>223590.49</v>
      </c>
      <c r="CP39" s="79">
        <f>AVERAGE(CP8:CP38)</f>
        <v>0.967741935483871</v>
      </c>
      <c r="CQ39" s="82"/>
      <c r="CR39" s="83"/>
      <c r="CS39" s="78">
        <f>SUM(CS8:CS38)</f>
        <v>200971.48999999996</v>
      </c>
      <c r="CT39" s="79">
        <f>AVERAGE(CT8:CT38)</f>
        <v>0.967741935483871</v>
      </c>
      <c r="CU39" s="79"/>
      <c r="CV39" s="79"/>
      <c r="CW39" s="78">
        <f>SUM(CW8:CW38)</f>
        <v>333600</v>
      </c>
      <c r="CX39" s="79">
        <f>AVERAGE(CX8:CX38)</f>
        <v>0.967741935483871</v>
      </c>
      <c r="CY39" s="79"/>
      <c r="CZ39" s="79"/>
      <c r="DA39" s="78">
        <f>SUM(DA8:DA38)</f>
        <v>190300</v>
      </c>
      <c r="DB39" s="79">
        <f>AVERAGE(DB8:DB38)</f>
        <v>0.967741935483871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-1807782.4700000002</v>
      </c>
      <c r="DH39" s="78">
        <f>SUM(DH8:DH38)</f>
        <v>12033050.49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195800</v>
      </c>
      <c r="DS39" s="84"/>
      <c r="DT39" s="85">
        <f>SUMIF(DT7:DT38,"&gt;0")</f>
        <v>542000</v>
      </c>
      <c r="DU39" s="86"/>
      <c r="DV39" s="86"/>
      <c r="DW39" s="87">
        <f>SUMIF(DW8:DW38,"&gt;0")</f>
        <v>129899.99999999962</v>
      </c>
      <c r="DX39" s="86"/>
      <c r="DY39" s="86"/>
      <c r="DZ39" s="87">
        <f>SUMIF(DZ8:DZ38,"&gt;0")</f>
        <v>210090.48999999993</v>
      </c>
      <c r="EA39" s="86"/>
      <c r="EB39" s="86"/>
      <c r="EC39" s="87">
        <f>SUMIF(EC8:EC38,"&gt;0")</f>
        <v>755890.49</v>
      </c>
      <c r="ED39" s="88">
        <f>SUMIF(ED8:ED38,"&gt;0")</f>
        <v>1095880.9799999995</v>
      </c>
      <c r="EE39" s="86"/>
      <c r="EF39" s="86"/>
      <c r="EG39" s="87">
        <f>SUMIF(EG8:EG38,"&gt;0")</f>
        <v>929890.48999999976</v>
      </c>
      <c r="EH39" s="86"/>
      <c r="EI39" s="86"/>
      <c r="EJ39" s="87">
        <f>SUMIF(EJ8:EJ38,"&gt;0")</f>
        <v>324090.49000000005</v>
      </c>
      <c r="EK39" s="87"/>
      <c r="EL39" s="87"/>
      <c r="EM39" s="87">
        <f>SUMIF(EM8:EM38,"&gt;0")</f>
        <v>21050.000000000069</v>
      </c>
      <c r="EN39" s="89">
        <f>SUMIF(EN8:EN38,"&gt;0")</f>
        <v>1275030.9800000002</v>
      </c>
      <c r="EO39" s="48"/>
      <c r="EP39" s="48"/>
      <c r="EQ39" s="90">
        <f>SUMIF(EQ8:EQ38,"&gt;0")</f>
        <v>497125.49</v>
      </c>
      <c r="ER39" s="90"/>
      <c r="ES39" s="90"/>
      <c r="ET39" s="90">
        <f>SUMIF(ET8:ET38,"&gt;0")</f>
        <v>447199.99999999889</v>
      </c>
      <c r="EU39" s="90"/>
      <c r="EV39" s="90"/>
      <c r="EW39" s="90">
        <f>SUMIF(EW8:EW38,"&gt;0")</f>
        <v>267490.49000000005</v>
      </c>
      <c r="EX39" s="48"/>
      <c r="EY39" s="48"/>
      <c r="EZ39" s="90">
        <f>SUMIF(EZ8:EZ38,"&gt;0")</f>
        <v>379090.49000000017</v>
      </c>
      <c r="FA39" s="90"/>
      <c r="FB39" s="90"/>
      <c r="FC39" s="90"/>
      <c r="FD39" s="90">
        <f>SUMIF(FD8:FD38,"&gt;0")</f>
        <v>1636906.469999999</v>
      </c>
      <c r="FE39" s="48"/>
      <c r="FF39" s="48"/>
      <c r="FG39" s="90">
        <f>SUMIF(FG8:FG38,"&gt;0")</f>
        <v>308703.53999999998</v>
      </c>
      <c r="FH39" s="90"/>
      <c r="FI39" s="90"/>
      <c r="FJ39" s="90">
        <f>SUMIF(FJ8:FJ38,"&gt;0")</f>
        <v>474213.53999999957</v>
      </c>
      <c r="FK39" s="90"/>
      <c r="FL39" s="90">
        <f>SUMIF(FL8:FL38,"&gt;0")</f>
        <v>4006.67</v>
      </c>
      <c r="FM39" s="90">
        <f>SUMIF(FM8:FM38,"&gt;0")</f>
        <v>101877.30999999971</v>
      </c>
      <c r="FN39" s="48"/>
      <c r="FO39" s="48"/>
      <c r="FP39" s="90">
        <f>SUMIF(FP8:FP38,"&gt;0")</f>
        <v>324313.53999999992</v>
      </c>
      <c r="FQ39" s="90"/>
      <c r="FR39" s="90"/>
      <c r="FS39" s="90">
        <f>SUMIF(FS8:FS38,"&gt;0")</f>
        <v>1079000</v>
      </c>
      <c r="FT39" s="90"/>
      <c r="FU39" s="90">
        <f>SUMIF(FU8:FU38,"&gt;0")</f>
        <v>1110630.6199999994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7770</v>
      </c>
      <c r="GQ39" s="90"/>
      <c r="GR39" s="90"/>
      <c r="GS39" s="90">
        <f>SUM(GS8:GS38)</f>
        <v>23760</v>
      </c>
      <c r="GT39" s="178"/>
      <c r="GU39" s="90">
        <f>SUM(GU8:GU38)</f>
        <v>0.16000001112843165</v>
      </c>
      <c r="GV39" s="90">
        <f>SUM(GV8:GV38)</f>
        <v>151357.50999999998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H39" s="16"/>
      <c r="HI39" s="16"/>
      <c r="HJ39" s="16">
        <f>SUM(HJ7:HJ38)</f>
        <v>2748599.9999999995</v>
      </c>
      <c r="HK39" s="16"/>
      <c r="HL39" s="16"/>
      <c r="HM39" s="16">
        <f>SUM(HM7:HM38)</f>
        <v>0</v>
      </c>
      <c r="HN39" s="16"/>
      <c r="HO39" s="16"/>
      <c r="HP39" s="16">
        <f>SUM(HP7:HP38)</f>
        <v>409576.99999999994</v>
      </c>
      <c r="HQ39" s="16"/>
      <c r="HR39" s="16"/>
      <c r="HS39" s="16">
        <f>SUM(HS7:HS38)</f>
        <v>764314.34400000004</v>
      </c>
      <c r="HT39" s="16"/>
      <c r="HU39" s="16"/>
      <c r="HV39" s="16">
        <f>SUM(HV7:HV38)</f>
        <v>564714.34400000004</v>
      </c>
      <c r="HW39" s="16"/>
      <c r="HX39" s="16"/>
      <c r="HY39" s="16">
        <f>SUM(HY7:HY38)</f>
        <v>467994.34399999981</v>
      </c>
      <c r="HZ39" s="16"/>
      <c r="IA39" s="16"/>
      <c r="IB39" s="16">
        <f>SUM(IB7:IB38)</f>
        <v>542000</v>
      </c>
      <c r="IC39" s="211">
        <f>SUM(IC8:IC38)</f>
        <v>-3.2000000460811862E-2</v>
      </c>
      <c r="ID39" s="16"/>
      <c r="IE39" s="16"/>
      <c r="IF39" s="16">
        <f>SUM(IF7:IF38)</f>
        <v>0</v>
      </c>
      <c r="IG39" s="16"/>
      <c r="IH39" s="16"/>
      <c r="II39" s="16">
        <f>SUM(II7:II38)</f>
        <v>0</v>
      </c>
      <c r="IJ39" s="16"/>
      <c r="IK39" s="16"/>
      <c r="IL39" s="16">
        <f>SUM(IL7:IL38)</f>
        <v>0</v>
      </c>
      <c r="IM39" s="16"/>
      <c r="IN39" s="16"/>
      <c r="IO39" s="16">
        <f>SUM(IO7:IO38)</f>
        <v>0</v>
      </c>
      <c r="IP39" s="16"/>
      <c r="IQ39" s="16"/>
      <c r="IR39" s="16">
        <f>SUM(IR7:IR38)</f>
        <v>0</v>
      </c>
      <c r="IS39" s="16"/>
      <c r="IT39" s="16"/>
      <c r="IU39" s="16">
        <f>SUM(IU7:IU38)</f>
        <v>0</v>
      </c>
      <c r="IV39" s="16"/>
      <c r="IW39" s="16"/>
      <c r="IX39" s="16">
        <f>SUM(IX7:IX38)</f>
        <v>0</v>
      </c>
      <c r="IY39" s="16"/>
      <c r="IZ39" s="16"/>
      <c r="JA39" s="16">
        <f>SUM(JA7:JA38)</f>
        <v>0</v>
      </c>
      <c r="JB39" s="16"/>
      <c r="JC39" s="16"/>
      <c r="JD39" s="16">
        <f>SUM(JD7:JD38)</f>
        <v>0</v>
      </c>
      <c r="JE39" s="16"/>
      <c r="JF39" s="16"/>
      <c r="JG39" s="16">
        <f>SUM(JG7:JG38)</f>
        <v>0</v>
      </c>
      <c r="JH39" s="16"/>
      <c r="JI39" s="16"/>
      <c r="JJ39" s="16">
        <f>SUM(JJ7:JJ38)</f>
        <v>0</v>
      </c>
      <c r="JK39" s="16"/>
      <c r="JL39" s="16"/>
      <c r="JM39" s="16">
        <f>SUM(JM7:JM38)</f>
        <v>0</v>
      </c>
      <c r="JN39" s="16"/>
      <c r="JO39" s="16"/>
      <c r="JP39" s="16">
        <f>SUM(JP7:JP38)</f>
        <v>0</v>
      </c>
      <c r="JQ39" s="16"/>
      <c r="JR39" s="16"/>
      <c r="JS39" s="16">
        <f>SUM(JS7:JS38)</f>
        <v>0</v>
      </c>
      <c r="JT39" s="16"/>
      <c r="JU39" s="16"/>
      <c r="JV39" s="16">
        <f>SUM(JV7:JV38)</f>
        <v>0</v>
      </c>
      <c r="JW39" s="16"/>
      <c r="JX39" s="16"/>
      <c r="JY39" s="16">
        <f>SUM(JY7:JY38)</f>
        <v>0</v>
      </c>
      <c r="KA39">
        <f>SUM(KA7:KA38)</f>
        <v>409576.96799999941</v>
      </c>
    </row>
    <row r="40" spans="1:287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74"/>
    </row>
    <row r="41" spans="1:287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419" t="s">
        <v>208</v>
      </c>
      <c r="BV41" s="419"/>
      <c r="BW41" s="419"/>
      <c r="BY41" s="406" t="s">
        <v>205</v>
      </c>
      <c r="BZ41" s="406"/>
      <c r="CA41" s="406"/>
      <c r="CC41" s="91"/>
      <c r="CE41" s="95"/>
      <c r="CF41" s="95"/>
      <c r="CG41" s="95"/>
      <c r="CH41" s="96"/>
      <c r="CI41" s="92"/>
      <c r="CJ41" s="92"/>
      <c r="CK41" s="92"/>
      <c r="CL41" s="92"/>
      <c r="CU41" s="91"/>
      <c r="CZ41" s="91"/>
      <c r="DB41" s="91"/>
      <c r="DS41" s="24"/>
      <c r="DT41" s="151"/>
      <c r="DU41" s="406" t="s">
        <v>205</v>
      </c>
      <c r="DV41" s="406"/>
      <c r="DW41" s="406"/>
      <c r="DX41" s="406" t="s">
        <v>203</v>
      </c>
      <c r="DY41" s="406"/>
      <c r="DZ41" s="406"/>
      <c r="EA41" s="406" t="s">
        <v>204</v>
      </c>
      <c r="EB41" s="406"/>
      <c r="EC41" s="406"/>
      <c r="EE41" t="s">
        <v>108</v>
      </c>
      <c r="EF41" s="3"/>
      <c r="EJ41" s="2"/>
      <c r="EK41" s="174"/>
      <c r="EL41" s="174"/>
      <c r="EN41" s="2"/>
      <c r="EO41" s="406" t="s">
        <v>155</v>
      </c>
      <c r="EP41" s="406"/>
      <c r="EQ41" s="406"/>
      <c r="ER41" s="406" t="s">
        <v>135</v>
      </c>
      <c r="ES41" s="406"/>
      <c r="ET41" s="406"/>
      <c r="EU41" s="406" t="s">
        <v>155</v>
      </c>
      <c r="EV41" s="406"/>
      <c r="EW41" s="406"/>
      <c r="EX41" s="406"/>
      <c r="EY41" s="406"/>
      <c r="EZ41" s="406"/>
      <c r="FE41" s="407" t="s">
        <v>155</v>
      </c>
      <c r="FF41" s="407"/>
      <c r="FG41" s="407"/>
      <c r="FH41" s="406" t="s">
        <v>135</v>
      </c>
      <c r="FI41" s="406"/>
      <c r="FJ41" s="406"/>
      <c r="FO41" s="407" t="s">
        <v>155</v>
      </c>
      <c r="FP41" s="407"/>
      <c r="FQ41" s="407"/>
      <c r="FX41" s="91">
        <f>SUM(FX8:FX38)</f>
        <v>782200</v>
      </c>
      <c r="GA41" s="91">
        <f>SUM(GA8:GA38)</f>
        <v>211539.99999999977</v>
      </c>
      <c r="GG41" s="91">
        <f>SUM(GG8:GG38)</f>
        <v>188700.00000000049</v>
      </c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X41" s="151"/>
    </row>
    <row r="42" spans="1:287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29">BW8</f>
        <v>9700</v>
      </c>
      <c r="CE42" s="96">
        <f t="shared" ref="CE42:CE45" si="130">CD42-CF43</f>
        <v>9574.2999999999302</v>
      </c>
      <c r="CF42" s="98">
        <f t="shared" ref="CF42:CF46" si="131">CD42-CE42</f>
        <v>125.70000000006985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414" t="s">
        <v>224</v>
      </c>
      <c r="DR42" s="414"/>
      <c r="DS42" s="414"/>
      <c r="DT42" s="414"/>
      <c r="EE42" t="s">
        <v>109</v>
      </c>
      <c r="EJ42" s="3"/>
      <c r="EK42" s="174"/>
      <c r="EL42" s="174"/>
      <c r="EN42" s="2"/>
      <c r="EO42" s="151"/>
      <c r="FF42" s="416" t="s">
        <v>243</v>
      </c>
      <c r="FG42" s="416"/>
      <c r="FH42" s="416" t="s">
        <v>246</v>
      </c>
      <c r="FI42" s="416"/>
      <c r="FJ42" s="415" t="s">
        <v>247</v>
      </c>
      <c r="FK42" s="415"/>
      <c r="FL42" s="415" t="s">
        <v>245</v>
      </c>
      <c r="FM42" s="415"/>
      <c r="FN42" s="416" t="s">
        <v>37</v>
      </c>
      <c r="FO42" s="418" t="s">
        <v>310</v>
      </c>
      <c r="FP42" s="406"/>
      <c r="FQ42" s="500"/>
      <c r="FR42" s="402" t="s">
        <v>1</v>
      </c>
      <c r="FS42" s="402" t="s">
        <v>306</v>
      </c>
      <c r="FT42" s="402"/>
      <c r="FU42" s="402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2748599.9999999995</v>
      </c>
      <c r="HJ42" s="16">
        <f>HJ39</f>
        <v>2748599.9999999995</v>
      </c>
      <c r="HT42" s="151"/>
      <c r="HX42" s="151"/>
      <c r="IB42" s="16"/>
      <c r="IC42" s="16" t="s">
        <v>290</v>
      </c>
      <c r="ID42" s="16"/>
      <c r="IE42" s="16"/>
      <c r="IF42" s="16"/>
      <c r="JH42" t="s">
        <v>296</v>
      </c>
    </row>
    <row r="43" spans="1:287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29"/>
        <v>9312</v>
      </c>
      <c r="CE43" s="96">
        <f t="shared" si="130"/>
        <v>9186.2999999999302</v>
      </c>
      <c r="CF43" s="98">
        <f t="shared" si="131"/>
        <v>125.70000000006985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408" t="s">
        <v>225</v>
      </c>
      <c r="DR43" s="409"/>
      <c r="DS43" s="408" t="s">
        <v>226</v>
      </c>
      <c r="DT43" s="409"/>
      <c r="EE43" t="s">
        <v>110</v>
      </c>
      <c r="EJ43" s="2"/>
      <c r="EK43" s="174"/>
      <c r="EL43" s="174"/>
      <c r="EN43" s="3"/>
      <c r="EO43" s="151"/>
      <c r="EZ43" s="416" t="s">
        <v>241</v>
      </c>
      <c r="FA43" s="416" t="s">
        <v>242</v>
      </c>
      <c r="FB43" s="416" t="s">
        <v>37</v>
      </c>
      <c r="FD43" s="3"/>
      <c r="FF43" s="416"/>
      <c r="FG43" s="416"/>
      <c r="FH43" s="416"/>
      <c r="FI43" s="416"/>
      <c r="FJ43" s="415"/>
      <c r="FK43" s="415"/>
      <c r="FL43" s="415"/>
      <c r="FM43" s="415"/>
      <c r="FN43" s="416"/>
      <c r="FO43" s="418"/>
      <c r="FP43" s="406"/>
      <c r="FQ43" s="500"/>
      <c r="FR43" s="402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</v>
      </c>
      <c r="HJ43" s="16">
        <f>HM39</f>
        <v>0</v>
      </c>
      <c r="HT43" s="151"/>
      <c r="HV43" s="151"/>
      <c r="HW43" s="151"/>
      <c r="HX43" s="151"/>
      <c r="IB43" s="16"/>
      <c r="IC43" s="16" t="s">
        <v>291</v>
      </c>
      <c r="ID43" s="16"/>
      <c r="IE43" s="16"/>
      <c r="IF43" s="16"/>
      <c r="JH43">
        <f>HY15-JJ15</f>
        <v>19796.667000000001</v>
      </c>
    </row>
    <row r="44" spans="1:287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129"/>
        <v>9674</v>
      </c>
      <c r="CE44" s="96">
        <f t="shared" si="130"/>
        <v>9548.2999999999302</v>
      </c>
      <c r="CF44" s="98">
        <f t="shared" si="131"/>
        <v>125.70000000006985</v>
      </c>
      <c r="CG44" s="96">
        <v>4450.1999999999753</v>
      </c>
      <c r="CH44" s="96">
        <f t="shared" ref="CH44:CH46" si="132">CG44-CD10-CH10</f>
        <v>2147.6999999999753</v>
      </c>
      <c r="CI44" s="92"/>
      <c r="CJ44" s="92"/>
      <c r="CK44" s="92"/>
      <c r="CL44" s="92"/>
      <c r="CQ44" s="161"/>
      <c r="CR44" s="161"/>
      <c r="CV44" s="91"/>
      <c r="DQ44" s="410"/>
      <c r="DR44" s="411"/>
      <c r="DS44" s="410"/>
      <c r="DT44" s="411"/>
      <c r="EE44" t="s">
        <v>111</v>
      </c>
      <c r="EJ44" s="2"/>
      <c r="EV44" t="s">
        <v>235</v>
      </c>
      <c r="EZ44" s="416"/>
      <c r="FA44" s="416"/>
      <c r="FB44" s="416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416"/>
      <c r="FO44" s="418"/>
      <c r="FP44" s="406"/>
      <c r="FQ44" s="500"/>
      <c r="FR44" s="16">
        <v>1</v>
      </c>
      <c r="FS44" s="16">
        <v>534.07000000000005</v>
      </c>
      <c r="FT44" s="16">
        <v>258.12</v>
      </c>
      <c r="FU44" s="16"/>
      <c r="FV44" s="16"/>
      <c r="FW44" s="16"/>
      <c r="HD44" s="74"/>
      <c r="HH44" s="16" t="s">
        <v>272</v>
      </c>
      <c r="HI44" s="16">
        <f>HS39</f>
        <v>764314.34400000004</v>
      </c>
      <c r="HJ44" s="16">
        <f>IF39+II39</f>
        <v>0</v>
      </c>
      <c r="HN44">
        <f>HJ24/(HJ25+HJ24)</f>
        <v>0.4728033472803358</v>
      </c>
      <c r="HT44" s="151"/>
      <c r="HV44" s="151"/>
      <c r="HW44" s="151"/>
      <c r="HX44" s="151"/>
      <c r="IB44" s="16"/>
      <c r="IC44" s="16"/>
      <c r="ID44" s="16" t="s">
        <v>292</v>
      </c>
      <c r="IE44" s="16"/>
      <c r="IF44" s="16" t="s">
        <v>292</v>
      </c>
      <c r="JH44">
        <f t="shared" ref="JH44:JH63" si="133">HY16-JJ16</f>
        <v>13146.666700000136</v>
      </c>
    </row>
    <row r="45" spans="1:287" x14ac:dyDescent="0.25">
      <c r="A45" s="35">
        <v>28</v>
      </c>
      <c r="B45" s="138">
        <v>24.4</v>
      </c>
      <c r="C45" s="65"/>
      <c r="D45" s="55"/>
      <c r="E45" s="16">
        <v>22752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29"/>
        <v>9039</v>
      </c>
      <c r="CE45" s="96">
        <f t="shared" si="130"/>
        <v>8913.2999999999302</v>
      </c>
      <c r="CF45" s="98">
        <f t="shared" si="131"/>
        <v>125.70000000006985</v>
      </c>
      <c r="CG45" s="96">
        <v>4316.1999999999753</v>
      </c>
      <c r="CH45" s="96">
        <f t="shared" si="132"/>
        <v>2622.0999999998821</v>
      </c>
      <c r="CI45" s="92"/>
      <c r="CJ45" s="92"/>
      <c r="CK45" s="92"/>
      <c r="CL45" s="92"/>
      <c r="DQ45" s="412"/>
      <c r="DR45" s="413"/>
      <c r="DS45" s="412"/>
      <c r="DT45" s="413"/>
      <c r="EE45" t="s">
        <v>114</v>
      </c>
      <c r="EV45" t="s">
        <v>236</v>
      </c>
      <c r="EW45" s="406" t="s">
        <v>238</v>
      </c>
      <c r="EX45" s="406"/>
      <c r="EZ45" s="203">
        <f>EZ8</f>
        <v>13763.08</v>
      </c>
      <c r="FA45" s="205">
        <f>FP8</f>
        <v>13024.75</v>
      </c>
      <c r="FB45" s="201">
        <f>EZ45+FA45</f>
        <v>26787.83</v>
      </c>
      <c r="FC45" s="16">
        <f>85*0.6355*24</f>
        <v>1296.42</v>
      </c>
      <c r="FD45" s="167">
        <f>FB45-$FC$45</f>
        <v>25491.410000000003</v>
      </c>
      <c r="FE45" s="16"/>
      <c r="FF45" s="199">
        <f>FQ45</f>
        <v>0.50496321855363413</v>
      </c>
      <c r="FG45" s="200">
        <f>1-FF45</f>
        <v>0.49503678144636587</v>
      </c>
      <c r="FH45" s="16">
        <f>FF45*$FC$45</f>
        <v>654.64441579730237</v>
      </c>
      <c r="FI45" s="179">
        <f>FG45*$FC$45</f>
        <v>641.7755842026977</v>
      </c>
      <c r="FJ45" s="179">
        <f>FF45*FD45</f>
        <v>12872.224439070296</v>
      </c>
      <c r="FK45" s="179">
        <f>FG45*FD45</f>
        <v>12619.185560929707</v>
      </c>
      <c r="FL45" s="204">
        <f>FH45+FJ45</f>
        <v>13526.868854867598</v>
      </c>
      <c r="FM45" s="206">
        <f>FI45+FK45</f>
        <v>13260.961145132405</v>
      </c>
      <c r="FN45" s="202">
        <f>FL45+FM45</f>
        <v>26787.83</v>
      </c>
      <c r="FO45">
        <v>49.903999999999996</v>
      </c>
      <c r="FP45">
        <v>48.923000000000002</v>
      </c>
      <c r="FQ45" s="217">
        <f>FO45/(FO45+FP45)</f>
        <v>0.50496321855363413</v>
      </c>
      <c r="FR45" s="16">
        <v>2</v>
      </c>
      <c r="FS45" s="16">
        <v>536.29999999999995</v>
      </c>
      <c r="FT45" s="16">
        <v>259.47000000000003</v>
      </c>
      <c r="FU45" s="16">
        <f t="shared" ref="FU45:FU48" si="134">(FS45-FS44)*1000</f>
        <v>2229.9999999999045</v>
      </c>
      <c r="FV45" s="16">
        <f t="shared" ref="FV45:FV48" si="135">FU45/2</f>
        <v>1114.9999999999523</v>
      </c>
      <c r="FW45" s="16">
        <f t="shared" ref="FW45:FW48" si="136">FU45/2</f>
        <v>1114.9999999999523</v>
      </c>
      <c r="HD45" s="74"/>
      <c r="HH45" s="16" t="s">
        <v>273</v>
      </c>
      <c r="HI45" s="16">
        <f>HV39</f>
        <v>564714.34400000004</v>
      </c>
      <c r="HJ45" s="179">
        <f>IR39</f>
        <v>0</v>
      </c>
      <c r="HR45" s="151"/>
      <c r="HS45" s="151"/>
      <c r="HT45" s="151"/>
      <c r="HV45" s="151"/>
      <c r="HW45" s="151"/>
      <c r="IA45" s="151"/>
      <c r="IB45" s="16">
        <v>1</v>
      </c>
      <c r="IC45" s="144">
        <f>DailyApr!BX7+DailyApr!BY7-DailyApr!BZ7-DailyApr!CA7-DailyApr!CB7-DailyApr!CD7-DailyApr!CC7</f>
        <v>-2.7648638933897018E-10</v>
      </c>
      <c r="ID45" s="16">
        <v>1758</v>
      </c>
      <c r="IE45" s="16">
        <f>ID45/3</f>
        <v>586</v>
      </c>
      <c r="IF45" s="16">
        <v>586</v>
      </c>
      <c r="JH45">
        <f t="shared" si="133"/>
        <v>19879.999999999956</v>
      </c>
    </row>
    <row r="46" spans="1:287" x14ac:dyDescent="0.25">
      <c r="A46" s="35">
        <v>1</v>
      </c>
      <c r="B46" s="138"/>
      <c r="C46" s="65"/>
      <c r="D46" s="37">
        <f t="shared" ref="D46:D77" si="137">IF((B46-B45)&lt;=0,0,(B46-B45))*1000</f>
        <v>0</v>
      </c>
      <c r="E46" s="16">
        <v>22891</v>
      </c>
      <c r="F46" s="16"/>
      <c r="G46" s="37">
        <f t="shared" ref="G46:G77" si="138">IF((E46-E45)&lt;=0,0,(E46-E45))*1000</f>
        <v>139000</v>
      </c>
      <c r="H46" s="138"/>
      <c r="I46" s="65"/>
      <c r="J46" s="37">
        <f t="shared" ref="J46:J75" si="139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>
        <f t="shared" si="129"/>
        <v>5291</v>
      </c>
      <c r="CE46" s="96">
        <f>CD46-CF47</f>
        <v>5165.2999999999302</v>
      </c>
      <c r="CF46" s="98">
        <f t="shared" si="131"/>
        <v>125.70000000006985</v>
      </c>
      <c r="CG46" s="96">
        <v>3692.1999999999753</v>
      </c>
      <c r="CH46" s="96">
        <f t="shared" si="132"/>
        <v>3692.1999999999753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40">EZ9</f>
        <v>13143.72</v>
      </c>
      <c r="FA46" s="205">
        <f t="shared" ref="FA46:FA75" si="141">FP9</f>
        <v>12970.39</v>
      </c>
      <c r="FB46" s="201">
        <f t="shared" ref="FB46:FB75" si="142">EZ46+FA46</f>
        <v>26114.11</v>
      </c>
      <c r="FC46" s="16"/>
      <c r="FD46" s="167">
        <f t="shared" ref="FD46:FD75" si="143">FB46-$FC$45</f>
        <v>24817.690000000002</v>
      </c>
      <c r="FE46" s="16"/>
      <c r="FF46" s="199">
        <f t="shared" ref="FF46:FF74" si="144">FQ46</f>
        <v>0.48478867869517928</v>
      </c>
      <c r="FG46" s="200">
        <f t="shared" ref="FG46:FG47" si="145">1-FF46</f>
        <v>0.51521132130482072</v>
      </c>
      <c r="FH46" s="16">
        <f t="shared" ref="FH46:FI75" si="146">FF46*$FC$45</f>
        <v>628.48973883400436</v>
      </c>
      <c r="FI46" s="179">
        <f t="shared" si="146"/>
        <v>667.93026116599572</v>
      </c>
      <c r="FJ46" s="179">
        <f t="shared" ref="FJ46:FJ75" si="147">FF46*FD46</f>
        <v>12031.335143366565</v>
      </c>
      <c r="FK46" s="179">
        <f t="shared" ref="FK46:FK75" si="148">FG46*FD46</f>
        <v>12786.354856633438</v>
      </c>
      <c r="FL46" s="204">
        <f t="shared" ref="FL46:FM75" si="149">FH46+FJ46</f>
        <v>12659.82488220057</v>
      </c>
      <c r="FM46" s="206">
        <f t="shared" si="149"/>
        <v>13454.285117799433</v>
      </c>
      <c r="FN46" s="202">
        <f t="shared" ref="FN46:FN75" si="150">FL46+FM46</f>
        <v>26114.11</v>
      </c>
      <c r="FO46">
        <v>43.231999999999999</v>
      </c>
      <c r="FP46">
        <v>45.945</v>
      </c>
      <c r="FQ46" s="217">
        <f t="shared" ref="FQ46:FQ74" si="151">FO46/(FO46+FP46)</f>
        <v>0.48478867869517928</v>
      </c>
      <c r="FR46" s="16">
        <v>3</v>
      </c>
      <c r="FS46" s="16">
        <v>538.34</v>
      </c>
      <c r="FT46" s="16">
        <v>260.77</v>
      </c>
      <c r="FU46" s="16">
        <f t="shared" si="134"/>
        <v>2040.0000000000773</v>
      </c>
      <c r="FV46" s="16">
        <f t="shared" si="135"/>
        <v>1020.0000000000387</v>
      </c>
      <c r="FW46" s="16">
        <f t="shared" si="136"/>
        <v>1020.0000000000387</v>
      </c>
      <c r="HH46" s="16" t="s">
        <v>274</v>
      </c>
      <c r="HI46" s="16">
        <f>HY39</f>
        <v>467994.34399999981</v>
      </c>
      <c r="HJ46" s="16">
        <f>JJ39+JP39</f>
        <v>0</v>
      </c>
      <c r="HN46">
        <f>(HN25-HN23)*1000</f>
        <v>36379.999999999993</v>
      </c>
      <c r="HQ46">
        <f>(HQ25-HQ23)*1000</f>
        <v>48600.000000000138</v>
      </c>
      <c r="HT46">
        <f>(HT25-HT23)*1000</f>
        <v>32200.000000000044</v>
      </c>
      <c r="HV46" s="151"/>
      <c r="HW46">
        <f>(HW25-HW23)*1000</f>
        <v>36000</v>
      </c>
      <c r="IB46" s="16">
        <v>2</v>
      </c>
      <c r="IC46" s="144">
        <f>DailyApr!BX8+DailyApr!BY8-DailyApr!BZ8-DailyApr!CA8-DailyApr!CB8-DailyApr!CD8-DailyApr!CC8</f>
        <v>1.0000000405852916E-2</v>
      </c>
      <c r="ID46" s="16">
        <v>-1685</v>
      </c>
      <c r="IE46" s="16">
        <f t="shared" ref="IE46:IE75" si="152">ID46/3</f>
        <v>-561.66666666666663</v>
      </c>
      <c r="IF46" s="16">
        <v>-561.66999999999996</v>
      </c>
      <c r="JH46">
        <f t="shared" si="133"/>
        <v>11746.670000000046</v>
      </c>
    </row>
    <row r="47" spans="1:287" x14ac:dyDescent="0.25">
      <c r="A47" s="35">
        <v>2</v>
      </c>
      <c r="B47" s="138"/>
      <c r="C47" s="65"/>
      <c r="D47" s="37">
        <f t="shared" si="137"/>
        <v>0</v>
      </c>
      <c r="E47" s="16">
        <v>23025</v>
      </c>
      <c r="F47" s="16"/>
      <c r="G47" s="37">
        <f t="shared" si="138"/>
        <v>134000</v>
      </c>
      <c r="H47" s="138"/>
      <c r="I47" s="65"/>
      <c r="J47" s="37">
        <f t="shared" si="139"/>
        <v>0</v>
      </c>
      <c r="BH47" s="96"/>
      <c r="BI47" s="96"/>
      <c r="BJ47" s="96"/>
      <c r="CC47" s="91"/>
      <c r="CD47" s="91">
        <f>BW13</f>
        <v>10076</v>
      </c>
      <c r="CE47" s="96">
        <f>CD13+CF13+CH13</f>
        <v>9950.2999999999302</v>
      </c>
      <c r="CF47" s="98">
        <f>CD47-CE47</f>
        <v>125.70000000006985</v>
      </c>
      <c r="CG47" s="96">
        <v>5653.1999999999753</v>
      </c>
      <c r="CH47" s="96">
        <f>CG47-CD13-CH13</f>
        <v>2167.4000000000451</v>
      </c>
      <c r="CI47" s="92"/>
      <c r="CJ47" s="92"/>
      <c r="CK47" s="92"/>
      <c r="CL47" s="92"/>
      <c r="CN47" s="91"/>
      <c r="DP47">
        <v>1</v>
      </c>
      <c r="DQ47" s="50">
        <v>8.0282</v>
      </c>
      <c r="DR47" s="49"/>
      <c r="DS47" s="50">
        <v>51.348999999999997</v>
      </c>
      <c r="DT47" s="49"/>
      <c r="EV47" t="s">
        <v>239</v>
      </c>
      <c r="EZ47" s="203">
        <f t="shared" si="140"/>
        <v>13707.61</v>
      </c>
      <c r="FA47" s="205">
        <f t="shared" si="141"/>
        <v>13732.61</v>
      </c>
      <c r="FB47" s="201">
        <f t="shared" si="142"/>
        <v>27440.22</v>
      </c>
      <c r="FC47" s="16"/>
      <c r="FD47" s="167">
        <f t="shared" si="143"/>
        <v>26143.800000000003</v>
      </c>
      <c r="FE47" s="16"/>
      <c r="FF47" s="199">
        <f t="shared" si="144"/>
        <v>0.4662021413989918</v>
      </c>
      <c r="FG47" s="200">
        <f t="shared" si="145"/>
        <v>0.53379785860100815</v>
      </c>
      <c r="FH47" s="16">
        <f t="shared" si="146"/>
        <v>604.39378015248099</v>
      </c>
      <c r="FI47" s="179">
        <f t="shared" si="146"/>
        <v>692.02621984751897</v>
      </c>
      <c r="FJ47" s="179">
        <f t="shared" si="147"/>
        <v>12188.295544306962</v>
      </c>
      <c r="FK47" s="179">
        <f t="shared" si="148"/>
        <v>13955.504455693039</v>
      </c>
      <c r="FL47" s="204">
        <f t="shared" si="149"/>
        <v>12792.689324459443</v>
      </c>
      <c r="FM47" s="206">
        <f t="shared" si="149"/>
        <v>14647.530675540558</v>
      </c>
      <c r="FN47" s="202">
        <f t="shared" si="150"/>
        <v>27440.22</v>
      </c>
      <c r="FO47">
        <v>44.761000000000003</v>
      </c>
      <c r="FP47">
        <v>51.251000000000005</v>
      </c>
      <c r="FQ47" s="217">
        <f t="shared" si="151"/>
        <v>0.4662021413989918</v>
      </c>
      <c r="FR47" s="16">
        <v>4</v>
      </c>
      <c r="FS47" s="16">
        <v>540.39</v>
      </c>
      <c r="FT47" s="16">
        <v>262.08</v>
      </c>
      <c r="FU47" s="16">
        <f t="shared" si="134"/>
        <v>2049.9999999999545</v>
      </c>
      <c r="FV47" s="16">
        <f t="shared" si="135"/>
        <v>1024.9999999999773</v>
      </c>
      <c r="FW47" s="16">
        <f t="shared" si="136"/>
        <v>1024.9999999999773</v>
      </c>
      <c r="HH47" s="16" t="s">
        <v>319</v>
      </c>
      <c r="HI47" s="16">
        <f>HP39</f>
        <v>409576.99999999994</v>
      </c>
      <c r="HJ47" s="16">
        <f>IB39</f>
        <v>542000</v>
      </c>
      <c r="HT47" s="151"/>
      <c r="HV47" s="151"/>
      <c r="HW47" s="151"/>
      <c r="IB47" s="16">
        <v>3</v>
      </c>
      <c r="IC47" s="144">
        <f>DailyApr!BX9+DailyApr!BY9-DailyApr!BZ9-DailyApr!CA9-DailyApr!CB9-DailyApr!CD9-DailyApr!CC9</f>
        <v>-1.0000003676395863E-3</v>
      </c>
      <c r="ID47" s="16">
        <v>1370</v>
      </c>
      <c r="IE47" s="16">
        <f t="shared" si="152"/>
        <v>456.66666666666669</v>
      </c>
      <c r="IF47" s="16">
        <v>456.66699999999997</v>
      </c>
      <c r="JH47">
        <f t="shared" si="133"/>
        <v>4576.6700000000455</v>
      </c>
    </row>
    <row r="48" spans="1:287" x14ac:dyDescent="0.25">
      <c r="A48" s="35">
        <v>3</v>
      </c>
      <c r="B48" s="138"/>
      <c r="C48" s="65"/>
      <c r="D48" s="37">
        <f t="shared" si="137"/>
        <v>0</v>
      </c>
      <c r="E48" s="16">
        <v>23169</v>
      </c>
      <c r="F48" s="16"/>
      <c r="G48" s="37">
        <f t="shared" si="138"/>
        <v>144000</v>
      </c>
      <c r="H48" s="138"/>
      <c r="I48" s="65"/>
      <c r="J48" s="37">
        <f t="shared" si="139"/>
        <v>0</v>
      </c>
      <c r="AL48" s="101"/>
      <c r="AM48" s="101"/>
      <c r="AN48" s="101"/>
      <c r="AP48" s="405"/>
      <c r="AQ48" s="405"/>
      <c r="AR48" s="405"/>
      <c r="AS48" s="405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f>DP47+1</f>
        <v>2</v>
      </c>
      <c r="DQ48" s="50">
        <v>8.0282</v>
      </c>
      <c r="DR48" s="49">
        <f t="shared" ref="DR48:DR78" si="153">IF((DQ48-DQ47)&lt;=0,0,(DQ48-DQ47))*10000</f>
        <v>0</v>
      </c>
      <c r="DS48" s="50">
        <v>51.348999999999997</v>
      </c>
      <c r="DT48" s="49">
        <f t="shared" ref="DT48:DT56" si="154">IF((DS48-DS47)&lt;=0,0,(DS48-DS47))*1000</f>
        <v>0</v>
      </c>
      <c r="EE48" s="406" t="s">
        <v>206</v>
      </c>
      <c r="EF48" s="406"/>
      <c r="EG48" s="406"/>
      <c r="EH48" s="406" t="s">
        <v>155</v>
      </c>
      <c r="EI48" s="406"/>
      <c r="EJ48" s="406"/>
      <c r="EK48" s="406" t="s">
        <v>207</v>
      </c>
      <c r="EL48" s="406"/>
      <c r="EM48" s="406"/>
      <c r="EV48" s="406" t="s">
        <v>240</v>
      </c>
      <c r="EW48" s="406"/>
      <c r="EX48">
        <f>85*0.6355*24</f>
        <v>1296.42</v>
      </c>
      <c r="EZ48" s="203">
        <f t="shared" si="140"/>
        <v>14543.23</v>
      </c>
      <c r="FA48" s="205">
        <f t="shared" si="141"/>
        <v>10413.23</v>
      </c>
      <c r="FB48" s="201">
        <f t="shared" si="142"/>
        <v>24956.46</v>
      </c>
      <c r="FC48" s="16"/>
      <c r="FD48" s="167">
        <f t="shared" si="143"/>
        <v>23660.04</v>
      </c>
      <c r="FE48" s="16"/>
      <c r="FF48" s="199">
        <f t="shared" si="144"/>
        <v>0.45064172655760676</v>
      </c>
      <c r="FG48" s="200">
        <f t="shared" ref="FG48:FG74" si="155">1-FF48</f>
        <v>0.54935827344239319</v>
      </c>
      <c r="FH48" s="16">
        <f t="shared" si="146"/>
        <v>584.22094714381262</v>
      </c>
      <c r="FI48" s="179">
        <f t="shared" si="146"/>
        <v>712.19905285618745</v>
      </c>
      <c r="FJ48" s="179">
        <f t="shared" si="147"/>
        <v>10662.201276022039</v>
      </c>
      <c r="FK48" s="179">
        <f t="shared" si="148"/>
        <v>12997.83872397796</v>
      </c>
      <c r="FL48" s="204">
        <f t="shared" si="149"/>
        <v>11246.422223165851</v>
      </c>
      <c r="FM48" s="206">
        <f t="shared" si="149"/>
        <v>13710.037776834148</v>
      </c>
      <c r="FN48" s="202">
        <f t="shared" si="150"/>
        <v>24956.46</v>
      </c>
      <c r="FO48">
        <v>42.45</v>
      </c>
      <c r="FP48">
        <v>51.749000000000002</v>
      </c>
      <c r="FQ48" s="217">
        <f t="shared" si="151"/>
        <v>0.45064172655760676</v>
      </c>
      <c r="FR48" s="16">
        <v>5</v>
      </c>
      <c r="FS48" s="16">
        <v>542.57000000000005</v>
      </c>
      <c r="FT48" s="16">
        <v>263.45999999999998</v>
      </c>
      <c r="FU48" s="16">
        <f t="shared" si="134"/>
        <v>2180.0000000000637</v>
      </c>
      <c r="FV48" s="16">
        <f t="shared" si="135"/>
        <v>1090.0000000000318</v>
      </c>
      <c r="FW48" s="16">
        <f t="shared" si="136"/>
        <v>1090.0000000000318</v>
      </c>
      <c r="HH48" s="16" t="s">
        <v>275</v>
      </c>
      <c r="HI48" s="16">
        <f>IB39</f>
        <v>542000</v>
      </c>
      <c r="HJ48" s="16">
        <f>IB39</f>
        <v>542000</v>
      </c>
      <c r="HT48" s="151"/>
      <c r="IB48" s="16">
        <v>4</v>
      </c>
      <c r="IC48" s="144">
        <f>DailyApr!BX10+DailyApr!BY10-DailyApr!BZ10-DailyApr!CA10-DailyApr!CB10-DailyApr!CD10-DailyApr!CC10</f>
        <v>-9.9999433587072417E-5</v>
      </c>
      <c r="ID48" s="16">
        <v>290</v>
      </c>
      <c r="IE48" s="16">
        <f t="shared" si="152"/>
        <v>96.666666666666671</v>
      </c>
      <c r="IF48" s="16">
        <v>96.666700000000006</v>
      </c>
      <c r="JH48">
        <f t="shared" si="133"/>
        <v>4530</v>
      </c>
    </row>
    <row r="49" spans="1:268" x14ac:dyDescent="0.25">
      <c r="A49" s="35">
        <v>4</v>
      </c>
      <c r="B49" s="138"/>
      <c r="C49" s="65"/>
      <c r="D49" s="37">
        <f t="shared" si="137"/>
        <v>0</v>
      </c>
      <c r="E49" s="16">
        <v>23293</v>
      </c>
      <c r="F49" s="16"/>
      <c r="G49" s="37">
        <f t="shared" si="138"/>
        <v>124000</v>
      </c>
      <c r="H49" s="138"/>
      <c r="I49" s="65"/>
      <c r="J49" s="37">
        <f t="shared" si="139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f t="shared" ref="DP49:DP74" si="156">DP48+1</f>
        <v>3</v>
      </c>
      <c r="DQ49" s="50">
        <v>8.0343</v>
      </c>
      <c r="DR49" s="49">
        <f t="shared" si="153"/>
        <v>60.999999999999943</v>
      </c>
      <c r="DS49" s="50">
        <v>51.348999999999997</v>
      </c>
      <c r="DT49" s="49">
        <f t="shared" si="154"/>
        <v>0</v>
      </c>
      <c r="EZ49" s="203">
        <f t="shared" si="140"/>
        <v>13519.54</v>
      </c>
      <c r="FA49" s="205">
        <f t="shared" si="141"/>
        <v>11054.54</v>
      </c>
      <c r="FB49" s="201">
        <f t="shared" si="142"/>
        <v>24574.080000000002</v>
      </c>
      <c r="FC49" s="16"/>
      <c r="FD49" s="167">
        <f t="shared" si="143"/>
        <v>23277.660000000003</v>
      </c>
      <c r="FE49" s="16"/>
      <c r="FF49" s="199">
        <f t="shared" si="144"/>
        <v>0.48219483795847085</v>
      </c>
      <c r="FG49" s="200">
        <f t="shared" si="155"/>
        <v>0.51780516204152915</v>
      </c>
      <c r="FH49" s="16">
        <f t="shared" si="146"/>
        <v>625.12703182612086</v>
      </c>
      <c r="FI49" s="179">
        <f t="shared" si="146"/>
        <v>671.29296817387922</v>
      </c>
      <c r="FJ49" s="179">
        <f t="shared" si="147"/>
        <v>11224.36749175238</v>
      </c>
      <c r="FK49" s="179">
        <f t="shared" si="148"/>
        <v>12053.292508247623</v>
      </c>
      <c r="FL49" s="204">
        <f t="shared" si="149"/>
        <v>11849.494523578502</v>
      </c>
      <c r="FM49" s="206">
        <f t="shared" si="149"/>
        <v>12724.585476421502</v>
      </c>
      <c r="FN49" s="202">
        <f t="shared" si="150"/>
        <v>24574.080000000002</v>
      </c>
      <c r="FO49">
        <v>49.695000000000007</v>
      </c>
      <c r="FP49">
        <v>53.365000000000002</v>
      </c>
      <c r="FQ49" s="217">
        <f t="shared" si="151"/>
        <v>0.48219483795847085</v>
      </c>
      <c r="FR49" s="16">
        <v>6</v>
      </c>
      <c r="FS49" s="16">
        <v>544.55999999999995</v>
      </c>
      <c r="FT49" s="16">
        <v>264.73</v>
      </c>
      <c r="FU49" s="16">
        <f t="shared" ref="FU49:FU75" si="157">(FS49-FS48)*1000</f>
        <v>1989.9999999998954</v>
      </c>
      <c r="FV49" s="16">
        <f t="shared" ref="FV49:FV75" si="158">FU49/2</f>
        <v>994.9999999999477</v>
      </c>
      <c r="FW49" s="16">
        <f t="shared" ref="FW49:FW75" si="159">FU49/2</f>
        <v>994.9999999999477</v>
      </c>
      <c r="HT49" s="151"/>
      <c r="IB49" s="16">
        <v>5</v>
      </c>
      <c r="IC49" s="144">
        <f>DailyApr!BX11+DailyApr!BY11-DailyApr!BZ11-DailyApr!CA11-DailyApr!CB11-DailyApr!CD11-DailyApr!CC11</f>
        <v>9.9999950361961965E-4</v>
      </c>
      <c r="ID49" s="16">
        <v>910</v>
      </c>
      <c r="IE49" s="16">
        <f t="shared" si="152"/>
        <v>303.33333333333331</v>
      </c>
      <c r="IF49" s="16">
        <v>303.33300000000003</v>
      </c>
      <c r="JH49">
        <f t="shared" si="133"/>
        <v>1110</v>
      </c>
    </row>
    <row r="50" spans="1:268" x14ac:dyDescent="0.25">
      <c r="A50" s="35">
        <v>5</v>
      </c>
      <c r="B50" s="138"/>
      <c r="C50" s="65"/>
      <c r="D50" s="37">
        <f t="shared" si="137"/>
        <v>0</v>
      </c>
      <c r="E50" s="16">
        <v>23427</v>
      </c>
      <c r="F50" s="16"/>
      <c r="G50" s="37">
        <f t="shared" si="138"/>
        <v>134000</v>
      </c>
      <c r="H50" s="138"/>
      <c r="I50" s="65"/>
      <c r="J50" s="37">
        <f t="shared" si="139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f t="shared" si="156"/>
        <v>4</v>
      </c>
      <c r="DQ50" s="50">
        <v>8.0418000000000003</v>
      </c>
      <c r="DR50" s="49">
        <f t="shared" si="153"/>
        <v>75.000000000002842</v>
      </c>
      <c r="DS50" s="50">
        <v>51.348999999999997</v>
      </c>
      <c r="DT50" s="49">
        <f t="shared" si="154"/>
        <v>0</v>
      </c>
      <c r="EZ50" s="203">
        <f t="shared" si="140"/>
        <v>13858.65</v>
      </c>
      <c r="FA50" s="205">
        <f t="shared" si="141"/>
        <v>10606.98</v>
      </c>
      <c r="FB50" s="201">
        <f t="shared" si="142"/>
        <v>24465.629999999997</v>
      </c>
      <c r="FC50" s="16"/>
      <c r="FD50" s="167">
        <f t="shared" si="143"/>
        <v>23169.21</v>
      </c>
      <c r="FE50" s="16"/>
      <c r="FF50" s="199">
        <f t="shared" si="144"/>
        <v>0.47228449864984706</v>
      </c>
      <c r="FG50" s="200">
        <f t="shared" si="155"/>
        <v>0.52771550135015288</v>
      </c>
      <c r="FH50" s="16">
        <f t="shared" si="146"/>
        <v>612.27906973963479</v>
      </c>
      <c r="FI50" s="179">
        <f t="shared" si="146"/>
        <v>684.14093026036528</v>
      </c>
      <c r="FJ50" s="179">
        <f t="shared" si="147"/>
        <v>10942.458728963024</v>
      </c>
      <c r="FK50" s="179">
        <f t="shared" si="148"/>
        <v>12226.751271036976</v>
      </c>
      <c r="FL50" s="204">
        <f t="shared" si="149"/>
        <v>11554.737798702658</v>
      </c>
      <c r="FM50" s="206">
        <f t="shared" si="149"/>
        <v>12910.892201297342</v>
      </c>
      <c r="FN50" s="202">
        <f t="shared" si="150"/>
        <v>24465.629999999997</v>
      </c>
      <c r="FO50">
        <v>47.397999999999996</v>
      </c>
      <c r="FP50">
        <v>52.960999999999999</v>
      </c>
      <c r="FQ50" s="217">
        <f t="shared" si="151"/>
        <v>0.47228449864984706</v>
      </c>
      <c r="FR50" s="16">
        <v>7</v>
      </c>
      <c r="FS50" s="16">
        <v>546.66999999999996</v>
      </c>
      <c r="FT50" s="16">
        <v>266.08</v>
      </c>
      <c r="FU50" s="16">
        <f t="shared" si="157"/>
        <v>2110.0000000000136</v>
      </c>
      <c r="FV50" s="16">
        <f t="shared" si="158"/>
        <v>1055.0000000000068</v>
      </c>
      <c r="FW50" s="16">
        <f t="shared" si="159"/>
        <v>1055.0000000000068</v>
      </c>
      <c r="FX50" s="151"/>
      <c r="FY50" s="150"/>
      <c r="FZ50" s="151"/>
      <c r="GV50" s="166"/>
      <c r="IB50" s="16">
        <v>6</v>
      </c>
      <c r="IC50" s="144">
        <f>DailyApr!BX12+DailyApr!BY12-DailyApr!BZ12-DailyApr!CA12-DailyApr!CB12-DailyApr!CD12-DailyApr!CC12</f>
        <v>-9.9999996746191755E-3</v>
      </c>
      <c r="ID50" s="16">
        <v>-880</v>
      </c>
      <c r="IE50" s="16">
        <f t="shared" si="152"/>
        <v>-293.33333333333331</v>
      </c>
      <c r="IF50" s="16">
        <v>-293.33</v>
      </c>
      <c r="JH50">
        <f t="shared" si="133"/>
        <v>5736.6669999999094</v>
      </c>
    </row>
    <row r="51" spans="1:268" x14ac:dyDescent="0.25">
      <c r="A51" s="35">
        <v>6</v>
      </c>
      <c r="B51" s="138"/>
      <c r="C51" s="65"/>
      <c r="D51" s="37">
        <f t="shared" si="137"/>
        <v>0</v>
      </c>
      <c r="E51" s="16">
        <v>23549</v>
      </c>
      <c r="F51" s="16"/>
      <c r="G51" s="37">
        <f t="shared" si="138"/>
        <v>122000</v>
      </c>
      <c r="H51" s="138"/>
      <c r="I51" s="65"/>
      <c r="J51" s="37">
        <f t="shared" si="139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f t="shared" si="156"/>
        <v>5</v>
      </c>
      <c r="DQ51" s="50">
        <v>8.0502000000000002</v>
      </c>
      <c r="DR51" s="49">
        <f t="shared" si="153"/>
        <v>83.999999999999631</v>
      </c>
      <c r="DS51" s="50">
        <v>51.348999999999997</v>
      </c>
      <c r="DT51" s="49">
        <f t="shared" si="154"/>
        <v>0</v>
      </c>
      <c r="EZ51" s="203">
        <f t="shared" si="140"/>
        <v>13608.57</v>
      </c>
      <c r="FA51" s="205">
        <f t="shared" si="141"/>
        <v>10116.709999999999</v>
      </c>
      <c r="FB51" s="201">
        <f t="shared" si="142"/>
        <v>23725.279999999999</v>
      </c>
      <c r="FC51" s="16"/>
      <c r="FD51" s="167">
        <f t="shared" si="143"/>
        <v>22428.86</v>
      </c>
      <c r="FE51" s="16"/>
      <c r="FF51" s="199">
        <f t="shared" si="144"/>
        <v>0.54899025185480921</v>
      </c>
      <c r="FG51" s="200">
        <f t="shared" si="155"/>
        <v>0.45100974814519079</v>
      </c>
      <c r="FH51" s="16">
        <f t="shared" si="146"/>
        <v>711.72194230961179</v>
      </c>
      <c r="FI51" s="179">
        <f t="shared" si="146"/>
        <v>584.69805769038828</v>
      </c>
      <c r="FJ51" s="179">
        <f t="shared" si="147"/>
        <v>12313.225500216256</v>
      </c>
      <c r="FK51" s="179">
        <f t="shared" si="148"/>
        <v>10115.634499783744</v>
      </c>
      <c r="FL51" s="204">
        <f t="shared" si="149"/>
        <v>13024.947442525869</v>
      </c>
      <c r="FM51" s="206">
        <f t="shared" si="149"/>
        <v>10700.332557474132</v>
      </c>
      <c r="FN51" s="202">
        <f t="shared" si="150"/>
        <v>23725.279999999999</v>
      </c>
      <c r="FO51">
        <v>49.503</v>
      </c>
      <c r="FP51">
        <v>40.667999999999999</v>
      </c>
      <c r="FQ51" s="217">
        <f t="shared" si="151"/>
        <v>0.54899025185480921</v>
      </c>
      <c r="FR51" s="16">
        <v>8</v>
      </c>
      <c r="FS51" s="16">
        <v>548.76</v>
      </c>
      <c r="FT51" s="16">
        <v>267.41000000000003</v>
      </c>
      <c r="FU51" s="16">
        <f t="shared" si="157"/>
        <v>2090.0000000000318</v>
      </c>
      <c r="FV51" s="16">
        <f t="shared" si="158"/>
        <v>1045.0000000000159</v>
      </c>
      <c r="FW51" s="16">
        <f t="shared" si="159"/>
        <v>1045.0000000000159</v>
      </c>
      <c r="GV51" s="166"/>
      <c r="HH51" s="16" t="s">
        <v>276</v>
      </c>
      <c r="HI51" s="16">
        <f>HI42+HI43-HI44-HI45-HI46-HI47-HI48</f>
        <v>-3.2000000355765224E-2</v>
      </c>
      <c r="HJ51" s="179">
        <f>HI42-HJ44-HJ45-HJ47-HJ46</f>
        <v>2206599.9999999995</v>
      </c>
      <c r="HK51" s="16" t="s">
        <v>115</v>
      </c>
      <c r="IB51" s="16">
        <v>7</v>
      </c>
      <c r="IC51" s="144">
        <f>DailyApr!BX13+DailyApr!BY13-DailyApr!BZ13-DailyApr!CA13-DailyApr!CB13-DailyApr!CD13-DailyApr!CC13</f>
        <v>9.0949470177292824E-11</v>
      </c>
      <c r="ID51" s="16">
        <v>-30</v>
      </c>
      <c r="IE51" s="16">
        <f t="shared" si="152"/>
        <v>-10</v>
      </c>
      <c r="IF51" s="16">
        <v>-10</v>
      </c>
      <c r="JH51">
        <f t="shared" si="133"/>
        <v>6793.3333000000457</v>
      </c>
    </row>
    <row r="52" spans="1:268" x14ac:dyDescent="0.25">
      <c r="A52" s="35">
        <v>7</v>
      </c>
      <c r="B52" s="138"/>
      <c r="C52" s="65"/>
      <c r="D52" s="37">
        <f t="shared" si="137"/>
        <v>0</v>
      </c>
      <c r="E52" s="16">
        <v>23673</v>
      </c>
      <c r="F52" s="16"/>
      <c r="G52" s="37">
        <f t="shared" si="138"/>
        <v>124000</v>
      </c>
      <c r="H52" s="138"/>
      <c r="I52" s="65"/>
      <c r="J52" s="37">
        <f t="shared" si="139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f t="shared" si="156"/>
        <v>6</v>
      </c>
      <c r="DQ52" s="50">
        <v>8.0558999999999994</v>
      </c>
      <c r="DR52" s="49">
        <f t="shared" si="153"/>
        <v>56.999999999991502</v>
      </c>
      <c r="DS52" s="50">
        <v>51.348999999999997</v>
      </c>
      <c r="DT52" s="49">
        <f t="shared" si="154"/>
        <v>0</v>
      </c>
      <c r="EZ52" s="203">
        <f t="shared" si="140"/>
        <v>13817.79</v>
      </c>
      <c r="FA52" s="205">
        <f t="shared" si="141"/>
        <v>11051.12</v>
      </c>
      <c r="FB52" s="201">
        <f t="shared" si="142"/>
        <v>24868.910000000003</v>
      </c>
      <c r="FC52" s="16"/>
      <c r="FD52" s="167">
        <f t="shared" si="143"/>
        <v>23572.490000000005</v>
      </c>
      <c r="FE52" s="16"/>
      <c r="FF52" s="199">
        <f t="shared" si="144"/>
        <v>0.47110441145640958</v>
      </c>
      <c r="FG52" s="200">
        <f t="shared" si="155"/>
        <v>0.52889558854359042</v>
      </c>
      <c r="FH52" s="16">
        <f t="shared" si="146"/>
        <v>610.74918110031854</v>
      </c>
      <c r="FI52" s="179">
        <f t="shared" si="146"/>
        <v>685.67081889968154</v>
      </c>
      <c r="FJ52" s="179">
        <f t="shared" si="147"/>
        <v>11105.104028012103</v>
      </c>
      <c r="FK52" s="179">
        <f t="shared" si="148"/>
        <v>12467.385971987902</v>
      </c>
      <c r="FL52" s="204">
        <f t="shared" si="149"/>
        <v>11715.853209112422</v>
      </c>
      <c r="FM52" s="206">
        <f t="shared" si="149"/>
        <v>13153.056790887584</v>
      </c>
      <c r="FN52" s="202">
        <f t="shared" si="150"/>
        <v>24868.910000000003</v>
      </c>
      <c r="FO52">
        <v>47.191000000000003</v>
      </c>
      <c r="FP52">
        <v>52.98</v>
      </c>
      <c r="FQ52" s="217">
        <f t="shared" si="151"/>
        <v>0.47110441145640958</v>
      </c>
      <c r="FR52" s="16">
        <v>9</v>
      </c>
      <c r="FS52" s="16">
        <v>550.84</v>
      </c>
      <c r="FT52" s="16">
        <v>268.73</v>
      </c>
      <c r="FU52" s="16">
        <f t="shared" si="157"/>
        <v>2080.0000000000409</v>
      </c>
      <c r="FV52" s="16">
        <f t="shared" si="158"/>
        <v>1040.0000000000205</v>
      </c>
      <c r="FW52" s="16">
        <f t="shared" si="159"/>
        <v>1040.0000000000205</v>
      </c>
      <c r="IB52" s="16">
        <v>8</v>
      </c>
      <c r="IC52" s="144">
        <f>DailyApr!BX14+DailyApr!BY14-DailyApr!BZ14-DailyApr!CA14-DailyApr!CB14-DailyApr!CD14-DailyApr!CC14</f>
        <v>-1.000000298517989E-3</v>
      </c>
      <c r="ID52" s="16">
        <v>890</v>
      </c>
      <c r="IE52" s="16">
        <f t="shared" si="152"/>
        <v>296.66666666666669</v>
      </c>
      <c r="IF52" s="16">
        <v>296.66699999999997</v>
      </c>
      <c r="JH52">
        <f t="shared" si="133"/>
        <v>17789.999999999956</v>
      </c>
    </row>
    <row r="53" spans="1:268" x14ac:dyDescent="0.25">
      <c r="A53" s="35">
        <v>8</v>
      </c>
      <c r="B53" s="138"/>
      <c r="C53" s="65"/>
      <c r="D53" s="37">
        <f t="shared" si="137"/>
        <v>0</v>
      </c>
      <c r="E53" s="16">
        <v>23803</v>
      </c>
      <c r="F53" s="16"/>
      <c r="G53" s="37">
        <f t="shared" si="138"/>
        <v>130000</v>
      </c>
      <c r="H53" s="138"/>
      <c r="I53" s="65"/>
      <c r="J53" s="37">
        <f t="shared" si="139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3"/>
      <c r="DP53">
        <f t="shared" si="156"/>
        <v>7</v>
      </c>
      <c r="DQ53" s="50">
        <v>8.0601000000000003</v>
      </c>
      <c r="DR53" s="49">
        <f t="shared" si="153"/>
        <v>42.000000000008697</v>
      </c>
      <c r="DS53" s="50">
        <v>51.348999999999997</v>
      </c>
      <c r="DT53" s="49">
        <f t="shared" si="154"/>
        <v>0</v>
      </c>
      <c r="EZ53" s="203">
        <f t="shared" si="140"/>
        <v>14286.98</v>
      </c>
      <c r="FA53" s="205">
        <f t="shared" si="141"/>
        <v>9138.65</v>
      </c>
      <c r="FB53" s="201">
        <f t="shared" si="142"/>
        <v>23425.629999999997</v>
      </c>
      <c r="FC53" s="16"/>
      <c r="FD53" s="167">
        <f t="shared" si="143"/>
        <v>22129.21</v>
      </c>
      <c r="FE53" s="16"/>
      <c r="FF53" s="199">
        <f t="shared" si="144"/>
        <v>0.4920984276168382</v>
      </c>
      <c r="FG53" s="200">
        <f t="shared" si="155"/>
        <v>0.5079015723831618</v>
      </c>
      <c r="FH53" s="16">
        <f t="shared" si="146"/>
        <v>637.96624353102141</v>
      </c>
      <c r="FI53" s="179">
        <f t="shared" si="146"/>
        <v>658.45375646897867</v>
      </c>
      <c r="FJ53" s="179">
        <f t="shared" si="147"/>
        <v>10889.749445402811</v>
      </c>
      <c r="FK53" s="179">
        <f t="shared" si="148"/>
        <v>11239.460554597188</v>
      </c>
      <c r="FL53" s="204">
        <f t="shared" si="149"/>
        <v>11527.715688933833</v>
      </c>
      <c r="FM53" s="206">
        <f t="shared" si="149"/>
        <v>11897.914311066166</v>
      </c>
      <c r="FN53" s="202">
        <f t="shared" si="150"/>
        <v>23425.629999999997</v>
      </c>
      <c r="FO53">
        <v>49.635999999999996</v>
      </c>
      <c r="FP53">
        <v>51.23</v>
      </c>
      <c r="FQ53" s="217">
        <f t="shared" si="151"/>
        <v>0.4920984276168382</v>
      </c>
      <c r="FR53" s="16">
        <v>10</v>
      </c>
      <c r="FS53" s="16">
        <v>552.92999999999995</v>
      </c>
      <c r="FT53" s="16">
        <v>270.04000000000002</v>
      </c>
      <c r="FU53" s="16">
        <f t="shared" si="157"/>
        <v>2089.9999999999181</v>
      </c>
      <c r="FV53" s="16">
        <f t="shared" si="158"/>
        <v>1044.9999999999591</v>
      </c>
      <c r="FW53" s="16">
        <f t="shared" si="159"/>
        <v>1044.9999999999591</v>
      </c>
      <c r="IB53" s="16">
        <v>9</v>
      </c>
      <c r="IC53" s="144">
        <f>DailyApr!BX15+DailyApr!BY15-DailyApr!BZ15-DailyApr!CA15-DailyApr!CB15-DailyApr!CD15-DailyApr!CC15</f>
        <v>-9.9999790108995512E-5</v>
      </c>
      <c r="ID53" s="16">
        <v>140</v>
      </c>
      <c r="IE53" s="16">
        <f t="shared" si="152"/>
        <v>46.666666666666664</v>
      </c>
      <c r="IF53" s="16">
        <v>46.666699999999999</v>
      </c>
      <c r="JH53">
        <f t="shared" si="133"/>
        <v>18316.667000000045</v>
      </c>
    </row>
    <row r="54" spans="1:268" x14ac:dyDescent="0.25">
      <c r="A54" s="35">
        <v>9</v>
      </c>
      <c r="B54" s="138"/>
      <c r="C54" s="65"/>
      <c r="D54" s="37">
        <f t="shared" si="137"/>
        <v>0</v>
      </c>
      <c r="E54" s="16">
        <v>23932</v>
      </c>
      <c r="F54" s="16"/>
      <c r="G54" s="37">
        <f t="shared" si="138"/>
        <v>129000</v>
      </c>
      <c r="H54" s="138"/>
      <c r="I54" s="65"/>
      <c r="J54" s="37">
        <f t="shared" si="139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f t="shared" si="156"/>
        <v>8</v>
      </c>
      <c r="DQ54" s="50">
        <f>DQ53+((DQ55-DQ53)/2)</f>
        <v>8.0686499999999999</v>
      </c>
      <c r="DR54" s="49">
        <f t="shared" si="153"/>
        <v>85.499999999996135</v>
      </c>
      <c r="DS54" s="50">
        <v>51.348999999999997</v>
      </c>
      <c r="DT54" s="49">
        <f t="shared" si="154"/>
        <v>0</v>
      </c>
      <c r="EZ54" s="203">
        <f t="shared" si="140"/>
        <v>13086.23</v>
      </c>
      <c r="FA54" s="205">
        <f t="shared" si="141"/>
        <v>13146.23</v>
      </c>
      <c r="FB54" s="201">
        <f t="shared" si="142"/>
        <v>26232.46</v>
      </c>
      <c r="FC54" s="16"/>
      <c r="FD54" s="167">
        <f t="shared" si="143"/>
        <v>24936.04</v>
      </c>
      <c r="FE54" s="16"/>
      <c r="FF54" s="199">
        <f t="shared" si="144"/>
        <v>0.47971080249349007</v>
      </c>
      <c r="FG54" s="200">
        <f t="shared" si="155"/>
        <v>0.52028919750650993</v>
      </c>
      <c r="FH54" s="16">
        <f t="shared" si="146"/>
        <v>621.90667856861046</v>
      </c>
      <c r="FI54" s="179">
        <f t="shared" si="146"/>
        <v>674.51332143138961</v>
      </c>
      <c r="FJ54" s="179">
        <f t="shared" si="147"/>
        <v>11962.087759409769</v>
      </c>
      <c r="FK54" s="179">
        <f t="shared" si="148"/>
        <v>12973.952240590232</v>
      </c>
      <c r="FL54" s="204">
        <f t="shared" si="149"/>
        <v>12583.994437978379</v>
      </c>
      <c r="FM54" s="206">
        <f t="shared" si="149"/>
        <v>13648.465562021622</v>
      </c>
      <c r="FN54" s="202">
        <f t="shared" si="150"/>
        <v>26232.46</v>
      </c>
      <c r="FO54">
        <v>48.635000000000005</v>
      </c>
      <c r="FP54">
        <v>52.749000000000002</v>
      </c>
      <c r="FQ54" s="217">
        <f t="shared" si="151"/>
        <v>0.47971080249349007</v>
      </c>
      <c r="FR54" s="16">
        <v>11</v>
      </c>
      <c r="FS54" s="16">
        <v>554.97</v>
      </c>
      <c r="FT54" s="16">
        <v>271.33999999999997</v>
      </c>
      <c r="FU54" s="16">
        <f t="shared" si="157"/>
        <v>2040.0000000000773</v>
      </c>
      <c r="FV54" s="16">
        <f t="shared" si="158"/>
        <v>1020.0000000000387</v>
      </c>
      <c r="FW54" s="16">
        <f t="shared" si="159"/>
        <v>1020.0000000000387</v>
      </c>
      <c r="FX54" s="151"/>
      <c r="IB54" s="16">
        <v>10</v>
      </c>
      <c r="IC54" s="144">
        <f>DailyApr!BX16+DailyApr!BY16-DailyApr!BZ16-DailyApr!CA16-DailyApr!CB16-DailyApr!CD16-DailyApr!CC16</f>
        <v>-6.4028427004814148E-10</v>
      </c>
      <c r="ID54" s="16">
        <v>-1260</v>
      </c>
      <c r="IE54" s="16">
        <f t="shared" si="152"/>
        <v>-420</v>
      </c>
      <c r="IF54" s="16">
        <v>-420</v>
      </c>
      <c r="JH54">
        <f t="shared" si="133"/>
        <v>18896.670000000042</v>
      </c>
    </row>
    <row r="55" spans="1:268" x14ac:dyDescent="0.25">
      <c r="A55" s="35">
        <v>10</v>
      </c>
      <c r="B55" s="138"/>
      <c r="C55" s="65"/>
      <c r="D55" s="37">
        <f t="shared" si="137"/>
        <v>0</v>
      </c>
      <c r="E55" s="16">
        <v>24062</v>
      </c>
      <c r="F55" s="16"/>
      <c r="G55" s="37">
        <f t="shared" si="138"/>
        <v>130000</v>
      </c>
      <c r="H55" s="138"/>
      <c r="I55" s="65"/>
      <c r="J55" s="37">
        <f t="shared" si="139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f t="shared" si="156"/>
        <v>9</v>
      </c>
      <c r="DQ55" s="50">
        <v>8.0771999999999995</v>
      </c>
      <c r="DR55" s="49">
        <f t="shared" si="153"/>
        <v>85.499999999996135</v>
      </c>
      <c r="DS55" s="50">
        <v>51.348999999999997</v>
      </c>
      <c r="DT55" s="49">
        <f t="shared" si="154"/>
        <v>0</v>
      </c>
      <c r="EZ55" s="203">
        <f t="shared" si="140"/>
        <v>13442.17</v>
      </c>
      <c r="FA55" s="205">
        <f t="shared" si="141"/>
        <v>10192.17</v>
      </c>
      <c r="FB55" s="201">
        <f t="shared" si="142"/>
        <v>23634.34</v>
      </c>
      <c r="FC55" s="16"/>
      <c r="FD55" s="167">
        <f t="shared" si="143"/>
        <v>22337.919999999998</v>
      </c>
      <c r="FE55" s="16"/>
      <c r="FF55" s="199">
        <f t="shared" si="144"/>
        <v>0.49893486405087467</v>
      </c>
      <c r="FG55" s="200">
        <f t="shared" si="155"/>
        <v>0.50106513594912538</v>
      </c>
      <c r="FH55" s="16">
        <f t="shared" si="146"/>
        <v>646.82913645283497</v>
      </c>
      <c r="FI55" s="179">
        <f t="shared" si="146"/>
        <v>649.59086354716521</v>
      </c>
      <c r="FJ55" s="179">
        <f t="shared" si="147"/>
        <v>11145.167078379314</v>
      </c>
      <c r="FK55" s="179">
        <f t="shared" si="148"/>
        <v>11192.752921620686</v>
      </c>
      <c r="FL55" s="204">
        <f t="shared" si="149"/>
        <v>11791.99621483215</v>
      </c>
      <c r="FM55" s="206">
        <f t="shared" si="149"/>
        <v>11842.343785167852</v>
      </c>
      <c r="FN55" s="202">
        <f t="shared" si="150"/>
        <v>23634.340000000004</v>
      </c>
      <c r="FO55">
        <v>47.545000000000002</v>
      </c>
      <c r="FP55">
        <v>47.748000000000005</v>
      </c>
      <c r="FQ55" s="217">
        <f t="shared" si="151"/>
        <v>0.49893486405087467</v>
      </c>
      <c r="FR55" s="16">
        <v>12</v>
      </c>
      <c r="FS55" s="16">
        <v>556.87</v>
      </c>
      <c r="FT55" s="16">
        <v>272.54000000000002</v>
      </c>
      <c r="FU55" s="16">
        <f t="shared" si="157"/>
        <v>1899.9999999999773</v>
      </c>
      <c r="FV55" s="16">
        <f t="shared" si="158"/>
        <v>949.99999999998863</v>
      </c>
      <c r="FW55" s="16">
        <f t="shared" si="159"/>
        <v>949.99999999998863</v>
      </c>
      <c r="FX55" s="151"/>
      <c r="IB55" s="16">
        <v>11</v>
      </c>
      <c r="IC55" s="144">
        <f>DailyApr!BX17+DailyApr!BY17-DailyApr!BZ17-DailyApr!CA17-DailyApr!CB17-DailyApr!CD17-DailyApr!CC17</f>
        <v>-9.9999992726225173E-3</v>
      </c>
      <c r="ID55" s="16">
        <v>3140</v>
      </c>
      <c r="IE55" s="16">
        <f t="shared" si="152"/>
        <v>1046.6666666666667</v>
      </c>
      <c r="IF55" s="16">
        <v>1046.67</v>
      </c>
      <c r="JH55">
        <f t="shared" si="133"/>
        <v>20286.66699999991</v>
      </c>
    </row>
    <row r="56" spans="1:268" x14ac:dyDescent="0.25">
      <c r="A56" s="35">
        <v>11</v>
      </c>
      <c r="B56" s="138"/>
      <c r="C56" s="65"/>
      <c r="D56" s="37">
        <f t="shared" si="137"/>
        <v>0</v>
      </c>
      <c r="E56" s="16">
        <v>24166</v>
      </c>
      <c r="F56" s="16"/>
      <c r="G56" s="37">
        <f t="shared" si="138"/>
        <v>104000</v>
      </c>
      <c r="H56" s="138"/>
      <c r="I56" s="65"/>
      <c r="J56" s="37">
        <f t="shared" si="139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f t="shared" si="156"/>
        <v>10</v>
      </c>
      <c r="DQ56" s="50">
        <v>8.0860000000000003</v>
      </c>
      <c r="DR56" s="49">
        <f t="shared" si="153"/>
        <v>88.000000000008072</v>
      </c>
      <c r="DS56" s="50">
        <v>51.348999999999997</v>
      </c>
      <c r="DT56" s="49">
        <f t="shared" si="154"/>
        <v>0</v>
      </c>
      <c r="EZ56" s="203">
        <f t="shared" si="140"/>
        <v>13400.51</v>
      </c>
      <c r="FA56" s="205">
        <f t="shared" si="141"/>
        <v>11372.18</v>
      </c>
      <c r="FB56" s="201">
        <f t="shared" si="142"/>
        <v>24772.690000000002</v>
      </c>
      <c r="FC56" s="16"/>
      <c r="FD56" s="167">
        <f t="shared" si="143"/>
        <v>23476.270000000004</v>
      </c>
      <c r="FE56" s="16"/>
      <c r="FF56" s="199">
        <f t="shared" si="144"/>
        <v>0.48665247547946183</v>
      </c>
      <c r="FG56" s="200">
        <f t="shared" si="155"/>
        <v>0.51334752452053811</v>
      </c>
      <c r="FH56" s="16">
        <f t="shared" si="146"/>
        <v>630.90600226108393</v>
      </c>
      <c r="FI56" s="179">
        <f t="shared" si="146"/>
        <v>665.51399773891603</v>
      </c>
      <c r="FJ56" s="179">
        <f t="shared" si="147"/>
        <v>11424.784910524228</v>
      </c>
      <c r="FK56" s="179">
        <f t="shared" si="148"/>
        <v>12051.485089475775</v>
      </c>
      <c r="FL56" s="204">
        <f t="shared" si="149"/>
        <v>12055.690912785312</v>
      </c>
      <c r="FM56" s="206">
        <f t="shared" si="149"/>
        <v>12716.99908721469</v>
      </c>
      <c r="FN56" s="202">
        <f t="shared" si="150"/>
        <v>24772.690000000002</v>
      </c>
      <c r="FO56">
        <v>47.780999999999999</v>
      </c>
      <c r="FP56">
        <v>50.402000000000001</v>
      </c>
      <c r="FQ56" s="217">
        <f t="shared" si="151"/>
        <v>0.48665247547946183</v>
      </c>
      <c r="FR56" s="16">
        <v>13</v>
      </c>
      <c r="FS56" s="16">
        <v>558.84</v>
      </c>
      <c r="FT56" s="16">
        <v>273.77999999999997</v>
      </c>
      <c r="FU56" s="16">
        <f t="shared" si="157"/>
        <v>1970.0000000000273</v>
      </c>
      <c r="FV56" s="16">
        <f t="shared" si="158"/>
        <v>985.00000000001364</v>
      </c>
      <c r="FW56" s="16">
        <f t="shared" si="159"/>
        <v>985.00000000001364</v>
      </c>
      <c r="IB56" s="16">
        <v>12</v>
      </c>
      <c r="IC56" s="144">
        <f>DailyApr!BX18+DailyApr!BY18-DailyApr!BZ18-DailyApr!CA18-DailyApr!CB18-DailyApr!CD18-DailyApr!CC18</f>
        <v>-1.0000000675063347E-2</v>
      </c>
      <c r="ID56" s="16">
        <v>-1870</v>
      </c>
      <c r="IE56" s="16">
        <f t="shared" si="152"/>
        <v>-623.33333333333337</v>
      </c>
      <c r="IF56" s="16">
        <v>-623.33000000000004</v>
      </c>
      <c r="JH56">
        <f t="shared" si="133"/>
        <v>19653.329999999958</v>
      </c>
    </row>
    <row r="57" spans="1:268" x14ac:dyDescent="0.25">
      <c r="A57" s="35">
        <v>12</v>
      </c>
      <c r="B57" s="138"/>
      <c r="C57" s="65"/>
      <c r="D57" s="37">
        <f t="shared" si="137"/>
        <v>0</v>
      </c>
      <c r="E57" s="16">
        <v>24262</v>
      </c>
      <c r="F57" s="16"/>
      <c r="G57" s="37">
        <f t="shared" si="138"/>
        <v>96000</v>
      </c>
      <c r="H57" s="138"/>
      <c r="I57" s="65"/>
      <c r="J57" s="37">
        <f t="shared" si="139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f t="shared" si="156"/>
        <v>11</v>
      </c>
      <c r="DQ57" s="50">
        <v>8.0972000000000008</v>
      </c>
      <c r="DR57" s="49">
        <f t="shared" si="153"/>
        <v>112.00000000000543</v>
      </c>
      <c r="DS57" s="50">
        <v>51.348999999999997</v>
      </c>
      <c r="DT57" s="49">
        <f>IF((DS57-DS56)&lt;=0,0,(DS57-DS56))*1000</f>
        <v>0</v>
      </c>
      <c r="EZ57" s="203">
        <f t="shared" si="140"/>
        <v>13056.72</v>
      </c>
      <c r="FA57" s="205">
        <f t="shared" si="141"/>
        <v>11686.72</v>
      </c>
      <c r="FB57" s="201">
        <f t="shared" si="142"/>
        <v>24743.439999999999</v>
      </c>
      <c r="FC57" s="16"/>
      <c r="FD57" s="167">
        <f t="shared" si="143"/>
        <v>23447.019999999997</v>
      </c>
      <c r="FE57" s="16"/>
      <c r="FF57" s="199">
        <f t="shared" si="144"/>
        <v>0.47015974936711313</v>
      </c>
      <c r="FG57" s="200">
        <f t="shared" si="155"/>
        <v>0.52984025063288687</v>
      </c>
      <c r="FH57" s="16">
        <f t="shared" si="146"/>
        <v>609.52450227451288</v>
      </c>
      <c r="FI57" s="179">
        <f t="shared" si="146"/>
        <v>686.89549772548719</v>
      </c>
      <c r="FJ57" s="179">
        <f t="shared" si="147"/>
        <v>11023.845046605687</v>
      </c>
      <c r="FK57" s="179">
        <f t="shared" si="148"/>
        <v>12423.174953394309</v>
      </c>
      <c r="FL57" s="204">
        <f t="shared" si="149"/>
        <v>11633.3695488802</v>
      </c>
      <c r="FM57" s="206">
        <f t="shared" si="149"/>
        <v>13110.070451119796</v>
      </c>
      <c r="FN57" s="202">
        <f t="shared" si="150"/>
        <v>24743.439999999995</v>
      </c>
      <c r="FO57">
        <v>48.472999999999999</v>
      </c>
      <c r="FP57">
        <v>54.626000000000005</v>
      </c>
      <c r="FQ57" s="217">
        <f t="shared" si="151"/>
        <v>0.47015974936711313</v>
      </c>
      <c r="FR57" s="16">
        <v>14</v>
      </c>
      <c r="FS57" s="16">
        <v>560.86</v>
      </c>
      <c r="FT57" s="16">
        <v>275.08</v>
      </c>
      <c r="FU57" s="16">
        <f t="shared" si="157"/>
        <v>2019.9999999999818</v>
      </c>
      <c r="FV57" s="16">
        <f t="shared" si="158"/>
        <v>1009.9999999999909</v>
      </c>
      <c r="FW57" s="16">
        <f t="shared" si="159"/>
        <v>1009.9999999999909</v>
      </c>
      <c r="IB57" s="16">
        <v>13</v>
      </c>
      <c r="IC57" s="144">
        <f>DailyApr!BX19+DailyApr!BY19-DailyApr!BZ19-DailyApr!CA19-DailyApr!CB19-DailyApr!CD19-DailyApr!CC19</f>
        <v>5.1113602239638567E-10</v>
      </c>
      <c r="ID57" s="16">
        <v>1590</v>
      </c>
      <c r="IE57" s="16">
        <f t="shared" si="152"/>
        <v>530</v>
      </c>
      <c r="IF57" s="16">
        <v>530</v>
      </c>
      <c r="JH57">
        <f t="shared" si="133"/>
        <v>22800.000000000138</v>
      </c>
    </row>
    <row r="58" spans="1:268" x14ac:dyDescent="0.25">
      <c r="A58" s="35">
        <v>13</v>
      </c>
      <c r="B58" s="138"/>
      <c r="C58" s="65"/>
      <c r="D58" s="37">
        <f t="shared" si="137"/>
        <v>0</v>
      </c>
      <c r="E58" s="16">
        <v>24364</v>
      </c>
      <c r="F58" s="16"/>
      <c r="G58" s="37">
        <f t="shared" si="138"/>
        <v>102000</v>
      </c>
      <c r="H58" s="138"/>
      <c r="I58" s="65"/>
      <c r="J58" s="37">
        <f t="shared" si="139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f t="shared" si="156"/>
        <v>12</v>
      </c>
      <c r="DQ58" s="50">
        <v>8.1037999999999997</v>
      </c>
      <c r="DR58" s="49">
        <f t="shared" si="153"/>
        <v>65.99999999998829</v>
      </c>
      <c r="DS58" s="50">
        <v>51.348999999999997</v>
      </c>
      <c r="DT58" s="49">
        <f t="shared" ref="DT58:DT78" si="160">IF((DS58-DS57)&lt;=0,0,(DS58-DS57))*1000</f>
        <v>0</v>
      </c>
      <c r="EJ58" s="2"/>
      <c r="EZ58" s="203">
        <f t="shared" si="140"/>
        <v>10888</v>
      </c>
      <c r="FA58" s="205">
        <f t="shared" si="141"/>
        <v>9878</v>
      </c>
      <c r="FB58" s="201">
        <f t="shared" si="142"/>
        <v>20766</v>
      </c>
      <c r="FC58" s="16"/>
      <c r="FD58" s="167">
        <f t="shared" si="143"/>
        <v>19469.580000000002</v>
      </c>
      <c r="FE58" s="16"/>
      <c r="FF58" s="199">
        <f t="shared" si="144"/>
        <v>0.54506260096930537</v>
      </c>
      <c r="FG58" s="200">
        <f t="shared" si="155"/>
        <v>0.45493739903069463</v>
      </c>
      <c r="FH58" s="16">
        <f t="shared" si="146"/>
        <v>706.63005714862686</v>
      </c>
      <c r="FI58" s="179">
        <f t="shared" si="146"/>
        <v>589.78994285137321</v>
      </c>
      <c r="FJ58" s="179">
        <f t="shared" si="147"/>
        <v>10612.13991457997</v>
      </c>
      <c r="FK58" s="179">
        <f t="shared" si="148"/>
        <v>8857.4400854200321</v>
      </c>
      <c r="FL58" s="204">
        <f t="shared" si="149"/>
        <v>11318.769971728596</v>
      </c>
      <c r="FM58" s="206">
        <f t="shared" si="149"/>
        <v>9447.2300282714059</v>
      </c>
      <c r="FN58" s="202">
        <f t="shared" si="150"/>
        <v>20766</v>
      </c>
      <c r="FO58">
        <v>53.983000000000004</v>
      </c>
      <c r="FP58">
        <v>45.057000000000002</v>
      </c>
      <c r="FQ58" s="217">
        <f t="shared" si="151"/>
        <v>0.54506260096930537</v>
      </c>
      <c r="FR58" s="16">
        <v>15</v>
      </c>
      <c r="FS58" s="16">
        <v>562.91999999999996</v>
      </c>
      <c r="FT58" s="16">
        <v>276.43</v>
      </c>
      <c r="FU58" s="16">
        <f t="shared" si="157"/>
        <v>2059.9999999999454</v>
      </c>
      <c r="FV58" s="16">
        <f t="shared" si="158"/>
        <v>1029.9999999999727</v>
      </c>
      <c r="FW58" s="16">
        <f t="shared" si="159"/>
        <v>1029.9999999999727</v>
      </c>
      <c r="IB58" s="16">
        <v>14</v>
      </c>
      <c r="IC58" s="144">
        <f>DailyApr!BX20+DailyApr!BY20-DailyApr!BZ20-DailyApr!CA20-DailyApr!CB20-DailyApr!CD20-DailyApr!CC20</f>
        <v>-2.2009771782904863E-10</v>
      </c>
      <c r="ID58" s="16">
        <v>-1170</v>
      </c>
      <c r="IE58" s="16">
        <f t="shared" si="152"/>
        <v>-390</v>
      </c>
      <c r="IF58" s="16">
        <v>-390</v>
      </c>
      <c r="JH58">
        <f t="shared" si="133"/>
        <v>24799.999999999909</v>
      </c>
    </row>
    <row r="59" spans="1:268" x14ac:dyDescent="0.25">
      <c r="A59" s="35">
        <v>14</v>
      </c>
      <c r="B59" s="138"/>
      <c r="C59" s="65"/>
      <c r="D59" s="37">
        <f t="shared" si="137"/>
        <v>0</v>
      </c>
      <c r="E59" s="16">
        <v>24452</v>
      </c>
      <c r="F59" s="16"/>
      <c r="G59" s="37">
        <f t="shared" si="138"/>
        <v>88000</v>
      </c>
      <c r="H59" s="138"/>
      <c r="I59" s="65"/>
      <c r="J59" s="37">
        <f t="shared" si="139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f t="shared" si="156"/>
        <v>13</v>
      </c>
      <c r="DQ59" s="50">
        <v>8.1083999999999996</v>
      </c>
      <c r="DR59" s="49">
        <f t="shared" si="153"/>
        <v>45.999999999999375</v>
      </c>
      <c r="DS59" s="50">
        <v>51.348999999999997</v>
      </c>
      <c r="DT59" s="49">
        <f t="shared" si="160"/>
        <v>0</v>
      </c>
      <c r="EJ59" s="2"/>
      <c r="EZ59" s="203">
        <f t="shared" si="140"/>
        <v>11832.95</v>
      </c>
      <c r="FA59" s="205">
        <f t="shared" si="141"/>
        <v>11561.279999999999</v>
      </c>
      <c r="FB59" s="201">
        <f t="shared" si="142"/>
        <v>23394.23</v>
      </c>
      <c r="FC59" s="16"/>
      <c r="FD59" s="167">
        <f t="shared" si="143"/>
        <v>22097.809999999998</v>
      </c>
      <c r="FE59" s="16"/>
      <c r="FF59" s="199">
        <f t="shared" si="144"/>
        <v>0.53283653685255628</v>
      </c>
      <c r="FG59" s="200">
        <f t="shared" si="155"/>
        <v>0.46716346314744372</v>
      </c>
      <c r="FH59" s="16">
        <f t="shared" si="146"/>
        <v>690.7799431063911</v>
      </c>
      <c r="FI59" s="179">
        <f t="shared" si="146"/>
        <v>605.64005689360897</v>
      </c>
      <c r="FJ59" s="179">
        <f t="shared" si="147"/>
        <v>11774.520552425785</v>
      </c>
      <c r="FK59" s="179">
        <f t="shared" si="148"/>
        <v>10323.289447574212</v>
      </c>
      <c r="FL59" s="204">
        <f t="shared" si="149"/>
        <v>12465.300495532176</v>
      </c>
      <c r="FM59" s="206">
        <f t="shared" si="149"/>
        <v>10928.929504467822</v>
      </c>
      <c r="FN59" s="202">
        <f t="shared" si="150"/>
        <v>23394.229999999996</v>
      </c>
      <c r="FO59">
        <v>47.764000000000003</v>
      </c>
      <c r="FP59">
        <v>41.877000000000002</v>
      </c>
      <c r="FQ59" s="217">
        <f t="shared" si="151"/>
        <v>0.53283653685255628</v>
      </c>
      <c r="FR59" s="16">
        <v>16</v>
      </c>
      <c r="FS59" s="16">
        <v>564.95000000000005</v>
      </c>
      <c r="FT59" s="16">
        <v>277.66000000000003</v>
      </c>
      <c r="FU59" s="16">
        <f t="shared" si="157"/>
        <v>2030.0000000000864</v>
      </c>
      <c r="FV59" s="16">
        <f t="shared" si="158"/>
        <v>1015.0000000000432</v>
      </c>
      <c r="FW59" s="16">
        <f t="shared" si="159"/>
        <v>1015.0000000000432</v>
      </c>
      <c r="IB59" s="16">
        <v>15</v>
      </c>
      <c r="IC59" s="144">
        <f>DailyApr!BX21+DailyApr!BY21-DailyApr!BZ21-DailyApr!CA21-DailyApr!CB21-DailyApr!CD21-DailyApr!CC21</f>
        <v>-1.0000002730521373E-3</v>
      </c>
      <c r="ID59" s="16">
        <v>410</v>
      </c>
      <c r="IE59" s="16">
        <f t="shared" si="152"/>
        <v>136.66666666666666</v>
      </c>
      <c r="IF59" s="16">
        <v>136.667</v>
      </c>
      <c r="JH59">
        <f t="shared" si="133"/>
        <v>23523.33300000009</v>
      </c>
    </row>
    <row r="60" spans="1:268" x14ac:dyDescent="0.25">
      <c r="A60" s="35">
        <v>15</v>
      </c>
      <c r="B60" s="138"/>
      <c r="C60" s="65"/>
      <c r="D60" s="37">
        <f t="shared" si="137"/>
        <v>0</v>
      </c>
      <c r="E60" s="16">
        <v>24467</v>
      </c>
      <c r="F60" s="16"/>
      <c r="G60" s="37">
        <f t="shared" si="138"/>
        <v>15000</v>
      </c>
      <c r="H60" s="138"/>
      <c r="I60" s="65"/>
      <c r="J60" s="37">
        <f t="shared" si="139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f t="shared" si="156"/>
        <v>14</v>
      </c>
      <c r="DQ60" s="50">
        <v>8.1126000000000005</v>
      </c>
      <c r="DR60" s="49">
        <f t="shared" si="153"/>
        <v>42.000000000008697</v>
      </c>
      <c r="DS60" s="50">
        <v>51.348999999999997</v>
      </c>
      <c r="DT60" s="49">
        <f t="shared" si="160"/>
        <v>0</v>
      </c>
      <c r="EJ60" s="2"/>
      <c r="EZ60" s="203">
        <f t="shared" si="140"/>
        <v>3109.56</v>
      </c>
      <c r="FA60" s="205">
        <f t="shared" si="141"/>
        <v>2789.56</v>
      </c>
      <c r="FB60" s="201">
        <f t="shared" si="142"/>
        <v>5899.12</v>
      </c>
      <c r="FC60" s="16"/>
      <c r="FD60" s="167">
        <f t="shared" si="143"/>
        <v>4602.7</v>
      </c>
      <c r="FE60" s="16"/>
      <c r="FF60" s="199">
        <f t="shared" si="144"/>
        <v>0.46599362380446335</v>
      </c>
      <c r="FG60" s="200">
        <f t="shared" si="155"/>
        <v>0.5340063761955367</v>
      </c>
      <c r="FH60" s="16">
        <f t="shared" si="146"/>
        <v>604.12345377258237</v>
      </c>
      <c r="FI60" s="179">
        <f t="shared" si="146"/>
        <v>692.29654622741771</v>
      </c>
      <c r="FJ60" s="179">
        <f t="shared" si="147"/>
        <v>2144.8288522848034</v>
      </c>
      <c r="FK60" s="179">
        <f t="shared" si="148"/>
        <v>2457.8711477151965</v>
      </c>
      <c r="FL60" s="204">
        <f t="shared" si="149"/>
        <v>2748.9523060573856</v>
      </c>
      <c r="FM60" s="206">
        <f t="shared" si="149"/>
        <v>3150.1676939426143</v>
      </c>
      <c r="FN60" s="202">
        <f t="shared" si="150"/>
        <v>5899.12</v>
      </c>
      <c r="FO60">
        <v>7.8929999999999998</v>
      </c>
      <c r="FP60">
        <v>9.0449999999999999</v>
      </c>
      <c r="FQ60" s="217">
        <f t="shared" si="151"/>
        <v>0.46599362380446335</v>
      </c>
      <c r="FR60" s="16">
        <v>17</v>
      </c>
      <c r="FS60" s="16">
        <v>566.87</v>
      </c>
      <c r="FT60" s="16">
        <v>278.89</v>
      </c>
      <c r="FU60" s="16">
        <f t="shared" si="157"/>
        <v>1919.9999999999591</v>
      </c>
      <c r="FV60" s="16">
        <f t="shared" si="158"/>
        <v>959.99999999997954</v>
      </c>
      <c r="FW60" s="16">
        <f t="shared" si="159"/>
        <v>959.99999999997954</v>
      </c>
      <c r="IB60" s="16">
        <v>16</v>
      </c>
      <c r="IC60" s="144">
        <f>DailyApr!BX22+DailyApr!BY22-DailyApr!BZ22-DailyApr!CA22-DailyApr!CB22-DailyApr!CD22-DailyApr!CC22</f>
        <v>9.9999970188946463E-5</v>
      </c>
      <c r="ID60" s="16">
        <v>280</v>
      </c>
      <c r="IE60" s="16">
        <f t="shared" si="152"/>
        <v>93.333333333333329</v>
      </c>
      <c r="IF60" s="16">
        <v>93.333299999999994</v>
      </c>
      <c r="JH60">
        <f t="shared" si="133"/>
        <v>16229.999999999862</v>
      </c>
    </row>
    <row r="61" spans="1:268" x14ac:dyDescent="0.25">
      <c r="A61" s="35">
        <v>16</v>
      </c>
      <c r="B61" s="138"/>
      <c r="C61" s="65"/>
      <c r="D61" s="37">
        <f t="shared" si="137"/>
        <v>0</v>
      </c>
      <c r="E61" s="16">
        <v>24467</v>
      </c>
      <c r="F61" s="16"/>
      <c r="G61" s="37">
        <f t="shared" si="138"/>
        <v>0</v>
      </c>
      <c r="H61" s="138"/>
      <c r="I61" s="65"/>
      <c r="J61" s="37">
        <f t="shared" si="139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f t="shared" si="156"/>
        <v>15</v>
      </c>
      <c r="DQ61" s="50">
        <v>8.1175999999999995</v>
      </c>
      <c r="DR61" s="49">
        <f t="shared" si="153"/>
        <v>49.999999999990052</v>
      </c>
      <c r="DS61" s="50">
        <v>51.348999999999997</v>
      </c>
      <c r="DT61" s="49">
        <f t="shared" si="160"/>
        <v>0</v>
      </c>
      <c r="EJ61" s="2"/>
      <c r="EZ61" s="203">
        <f t="shared" si="140"/>
        <v>10294.32</v>
      </c>
      <c r="FA61" s="205">
        <f t="shared" si="141"/>
        <v>8035.99</v>
      </c>
      <c r="FB61" s="201">
        <f t="shared" si="142"/>
        <v>18330.309999999998</v>
      </c>
      <c r="FC61" s="16"/>
      <c r="FD61" s="167">
        <f t="shared" si="143"/>
        <v>17033.89</v>
      </c>
      <c r="FE61" s="16"/>
      <c r="FF61" s="199">
        <f t="shared" si="144"/>
        <v>0.62047599164926925</v>
      </c>
      <c r="FG61" s="200">
        <f t="shared" si="155"/>
        <v>0.37952400835073075</v>
      </c>
      <c r="FH61" s="16">
        <f t="shared" si="146"/>
        <v>804.39748509394565</v>
      </c>
      <c r="FI61" s="179">
        <f t="shared" si="146"/>
        <v>492.02251490605437</v>
      </c>
      <c r="FJ61" s="179">
        <f t="shared" si="147"/>
        <v>10569.11978939457</v>
      </c>
      <c r="FK61" s="179">
        <f t="shared" si="148"/>
        <v>6464.7702106054285</v>
      </c>
      <c r="FL61" s="204">
        <f t="shared" si="149"/>
        <v>11373.517274488515</v>
      </c>
      <c r="FM61" s="206">
        <f t="shared" si="149"/>
        <v>6956.7927255114828</v>
      </c>
      <c r="FN61" s="202">
        <f t="shared" si="150"/>
        <v>18330.309999999998</v>
      </c>
      <c r="FO61">
        <v>37.150999999999996</v>
      </c>
      <c r="FP61">
        <v>22.724</v>
      </c>
      <c r="FQ61" s="217">
        <f t="shared" si="151"/>
        <v>0.62047599164926925</v>
      </c>
      <c r="FR61" s="16">
        <v>18</v>
      </c>
      <c r="FS61" s="16">
        <v>569.22</v>
      </c>
      <c r="FT61" s="16">
        <v>280.27999999999997</v>
      </c>
      <c r="FU61" s="16">
        <f t="shared" si="157"/>
        <v>2350.0000000000227</v>
      </c>
      <c r="FV61" s="16">
        <f t="shared" si="158"/>
        <v>1175.0000000000114</v>
      </c>
      <c r="FW61" s="16">
        <f t="shared" si="159"/>
        <v>1175.0000000000114</v>
      </c>
      <c r="IB61" s="16">
        <v>17</v>
      </c>
      <c r="IC61" s="144">
        <f>DailyApr!BX23+DailyApr!BY23-DailyApr!BZ23-DailyApr!CA23-DailyApr!CB23-DailyApr!CD23-DailyApr!CC23</f>
        <v>6.5119820646941662E-10</v>
      </c>
      <c r="ID61" s="16">
        <v>-30</v>
      </c>
      <c r="IE61" s="16">
        <f t="shared" si="152"/>
        <v>-10</v>
      </c>
      <c r="IF61" s="16">
        <v>-10</v>
      </c>
      <c r="JH61">
        <f t="shared" si="133"/>
        <v>17823.333299999955</v>
      </c>
    </row>
    <row r="62" spans="1:268" x14ac:dyDescent="0.25">
      <c r="A62" s="35">
        <v>17</v>
      </c>
      <c r="B62" s="138"/>
      <c r="C62" s="65"/>
      <c r="D62" s="37">
        <f t="shared" si="137"/>
        <v>0</v>
      </c>
      <c r="E62" s="16">
        <v>24467</v>
      </c>
      <c r="F62" s="16"/>
      <c r="G62" s="37">
        <f t="shared" si="138"/>
        <v>0</v>
      </c>
      <c r="H62" s="138"/>
      <c r="I62" s="65"/>
      <c r="J62" s="37">
        <f t="shared" si="139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f t="shared" si="156"/>
        <v>16</v>
      </c>
      <c r="DQ62" s="50">
        <v>8.125</v>
      </c>
      <c r="DR62" s="49">
        <f t="shared" si="153"/>
        <v>74.000000000005173</v>
      </c>
      <c r="DS62" s="50">
        <v>51.348999999999997</v>
      </c>
      <c r="DT62" s="49">
        <f t="shared" si="160"/>
        <v>0</v>
      </c>
      <c r="EJ62" s="2"/>
      <c r="EZ62" s="203">
        <f t="shared" si="140"/>
        <v>12517.97</v>
      </c>
      <c r="FA62" s="205">
        <f t="shared" si="141"/>
        <v>11201.3</v>
      </c>
      <c r="FB62" s="201">
        <f t="shared" si="142"/>
        <v>23719.269999999997</v>
      </c>
      <c r="FC62" s="16"/>
      <c r="FD62" s="167">
        <f t="shared" si="143"/>
        <v>22422.85</v>
      </c>
      <c r="FE62" s="16"/>
      <c r="FF62" s="199">
        <f t="shared" si="144"/>
        <v>0.48679633585737131</v>
      </c>
      <c r="FG62" s="200">
        <f t="shared" si="155"/>
        <v>0.51320366414262875</v>
      </c>
      <c r="FH62" s="16">
        <f t="shared" si="146"/>
        <v>631.09250573221334</v>
      </c>
      <c r="FI62" s="179">
        <f t="shared" si="146"/>
        <v>665.32749426778685</v>
      </c>
      <c r="FJ62" s="179">
        <f t="shared" si="147"/>
        <v>10915.361219479457</v>
      </c>
      <c r="FK62" s="179">
        <f t="shared" si="148"/>
        <v>11507.488780520542</v>
      </c>
      <c r="FL62" s="204">
        <f t="shared" si="149"/>
        <v>11546.45372521167</v>
      </c>
      <c r="FM62" s="206">
        <f t="shared" si="149"/>
        <v>12172.816274788329</v>
      </c>
      <c r="FN62" s="202">
        <f t="shared" si="150"/>
        <v>23719.269999999997</v>
      </c>
      <c r="FO62">
        <v>43.522999999999996</v>
      </c>
      <c r="FP62">
        <v>45.884</v>
      </c>
      <c r="FQ62" s="217">
        <f t="shared" si="151"/>
        <v>0.48679633585737131</v>
      </c>
      <c r="FR62" s="16">
        <v>19</v>
      </c>
      <c r="FS62" s="16">
        <v>571.52</v>
      </c>
      <c r="FT62" s="16">
        <v>281.62</v>
      </c>
      <c r="FU62" s="16">
        <f t="shared" si="157"/>
        <v>2299.9999999999545</v>
      </c>
      <c r="FV62" s="16">
        <f t="shared" si="158"/>
        <v>1149.9999999999773</v>
      </c>
      <c r="FW62" s="16">
        <f t="shared" si="159"/>
        <v>1149.9999999999773</v>
      </c>
      <c r="IB62" s="16">
        <v>18</v>
      </c>
      <c r="IC62" s="144">
        <f>DailyApr!BX24+DailyApr!BY24-DailyApr!BZ24-DailyApr!CA24-DailyApr!CB24-DailyApr!CD24-DailyApr!CC24</f>
        <v>-1.0000000984291546E-3</v>
      </c>
      <c r="ID62" s="16">
        <v>350</v>
      </c>
      <c r="IE62" s="16">
        <f t="shared" si="152"/>
        <v>116.66666666666667</v>
      </c>
      <c r="IF62" s="16">
        <v>116.667</v>
      </c>
      <c r="JH62">
        <f t="shared" si="133"/>
        <v>1593.333000000091</v>
      </c>
    </row>
    <row r="63" spans="1:268" x14ac:dyDescent="0.25">
      <c r="A63" s="35">
        <v>18</v>
      </c>
      <c r="B63" s="138"/>
      <c r="C63" s="65"/>
      <c r="D63" s="37">
        <f t="shared" si="137"/>
        <v>0</v>
      </c>
      <c r="E63" s="16">
        <v>24467</v>
      </c>
      <c r="F63" s="16"/>
      <c r="G63" s="37">
        <f t="shared" si="138"/>
        <v>0</v>
      </c>
      <c r="H63" s="138"/>
      <c r="I63" s="65"/>
      <c r="J63" s="37">
        <f t="shared" si="139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f t="shared" si="156"/>
        <v>17</v>
      </c>
      <c r="DQ63" s="50">
        <v>8.1304999999999996</v>
      </c>
      <c r="DR63" s="49">
        <f t="shared" si="153"/>
        <v>54.999999999996163</v>
      </c>
      <c r="DS63" s="50">
        <v>51.348999999999997</v>
      </c>
      <c r="DT63" s="49">
        <f t="shared" si="160"/>
        <v>0</v>
      </c>
      <c r="EJ63" s="2"/>
      <c r="EZ63" s="203">
        <f t="shared" si="140"/>
        <v>13313.39</v>
      </c>
      <c r="FA63" s="205">
        <f t="shared" si="141"/>
        <v>10898.39</v>
      </c>
      <c r="FB63" s="201">
        <f t="shared" si="142"/>
        <v>24211.78</v>
      </c>
      <c r="FC63" s="16"/>
      <c r="FD63" s="167">
        <f t="shared" si="143"/>
        <v>22915.360000000001</v>
      </c>
      <c r="FE63" s="16"/>
      <c r="FF63" s="199">
        <f t="shared" si="144"/>
        <v>0.44682872493775389</v>
      </c>
      <c r="FG63" s="200">
        <f t="shared" si="155"/>
        <v>0.55317127506224617</v>
      </c>
      <c r="FH63" s="16">
        <f t="shared" si="146"/>
        <v>579.27769558380294</v>
      </c>
      <c r="FI63" s="179">
        <f t="shared" si="146"/>
        <v>717.14230441619725</v>
      </c>
      <c r="FJ63" s="179">
        <f t="shared" si="147"/>
        <v>10239.241090289608</v>
      </c>
      <c r="FK63" s="179">
        <f t="shared" si="148"/>
        <v>12676.118909710394</v>
      </c>
      <c r="FL63" s="204">
        <f t="shared" si="149"/>
        <v>10818.518785873412</v>
      </c>
      <c r="FM63" s="206">
        <f t="shared" si="149"/>
        <v>13393.261214126591</v>
      </c>
      <c r="FN63" s="202">
        <f t="shared" si="150"/>
        <v>24211.780000000002</v>
      </c>
      <c r="FO63">
        <v>40.917000000000002</v>
      </c>
      <c r="FP63">
        <v>50.655000000000001</v>
      </c>
      <c r="FQ63" s="217">
        <f t="shared" si="151"/>
        <v>0.44682872493775389</v>
      </c>
      <c r="FR63" s="16">
        <v>20</v>
      </c>
      <c r="FS63" s="16">
        <v>573.41</v>
      </c>
      <c r="FT63" s="16">
        <v>282.85000000000002</v>
      </c>
      <c r="FU63" s="16">
        <f t="shared" si="157"/>
        <v>1889.9999999999864</v>
      </c>
      <c r="FV63" s="16">
        <f t="shared" si="158"/>
        <v>944.99999999999318</v>
      </c>
      <c r="FW63" s="16">
        <f t="shared" si="159"/>
        <v>944.99999999999318</v>
      </c>
      <c r="IB63" s="16">
        <v>19</v>
      </c>
      <c r="IC63" s="144">
        <f>DailyApr!BX25+DailyApr!BY25-DailyApr!BZ25-DailyApr!CA25-DailyApr!CB25-DailyApr!CD25-DailyApr!CC25</f>
        <v>-9.9999997837585397E-3</v>
      </c>
      <c r="ID63" s="16">
        <v>-910</v>
      </c>
      <c r="IE63" s="16">
        <f t="shared" si="152"/>
        <v>-303.33333333333331</v>
      </c>
      <c r="IF63" s="16">
        <v>-303.33</v>
      </c>
      <c r="JH63">
        <f t="shared" si="133"/>
        <v>926.66999999990901</v>
      </c>
    </row>
    <row r="64" spans="1:268" x14ac:dyDescent="0.25">
      <c r="A64" s="35">
        <v>19</v>
      </c>
      <c r="B64" s="138"/>
      <c r="C64" s="65"/>
      <c r="D64" s="37">
        <f t="shared" si="137"/>
        <v>0</v>
      </c>
      <c r="E64" s="16">
        <v>24467</v>
      </c>
      <c r="F64" s="16"/>
      <c r="G64" s="37">
        <f t="shared" si="138"/>
        <v>0</v>
      </c>
      <c r="H64" s="138"/>
      <c r="I64" s="65"/>
      <c r="J64" s="37">
        <f t="shared" si="139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f t="shared" si="156"/>
        <v>18</v>
      </c>
      <c r="DQ64" s="50">
        <v>8.1380999999999997</v>
      </c>
      <c r="DR64" s="49">
        <f t="shared" si="153"/>
        <v>76.000000000000512</v>
      </c>
      <c r="DS64" s="50">
        <v>51.348999999999997</v>
      </c>
      <c r="DT64" s="49">
        <f t="shared" si="160"/>
        <v>0</v>
      </c>
      <c r="EZ64" s="203">
        <f t="shared" si="140"/>
        <v>12672.73</v>
      </c>
      <c r="FA64" s="205">
        <f t="shared" si="141"/>
        <v>11022.73</v>
      </c>
      <c r="FB64" s="201">
        <f t="shared" si="142"/>
        <v>23695.46</v>
      </c>
      <c r="FC64" s="16"/>
      <c r="FD64" s="167">
        <f t="shared" si="143"/>
        <v>22399.040000000001</v>
      </c>
      <c r="FE64" s="16"/>
      <c r="FF64" s="199">
        <f t="shared" si="144"/>
        <v>0.45962396590624216</v>
      </c>
      <c r="FG64" s="200">
        <f t="shared" si="155"/>
        <v>0.54037603409375778</v>
      </c>
      <c r="FH64" s="16">
        <f t="shared" si="146"/>
        <v>595.86570188017049</v>
      </c>
      <c r="FI64" s="179">
        <f t="shared" si="146"/>
        <v>700.55429811982947</v>
      </c>
      <c r="FJ64" s="179">
        <f t="shared" si="147"/>
        <v>10295.135597292554</v>
      </c>
      <c r="FK64" s="179">
        <f t="shared" si="148"/>
        <v>12103.904402707445</v>
      </c>
      <c r="FL64" s="204">
        <f t="shared" si="149"/>
        <v>10891.001299172724</v>
      </c>
      <c r="FM64" s="206">
        <f t="shared" si="149"/>
        <v>12804.458700827274</v>
      </c>
      <c r="FN64" s="202">
        <f t="shared" si="150"/>
        <v>23695.46</v>
      </c>
      <c r="FO64">
        <v>45.835999999999999</v>
      </c>
      <c r="FP64">
        <v>53.888999999999996</v>
      </c>
      <c r="FQ64" s="217">
        <f t="shared" si="151"/>
        <v>0.45962396590624216</v>
      </c>
      <c r="FR64" s="16">
        <v>21</v>
      </c>
      <c r="FS64" s="16">
        <v>575.51</v>
      </c>
      <c r="FT64" s="16">
        <v>284.2</v>
      </c>
      <c r="FU64" s="16">
        <f t="shared" si="157"/>
        <v>2100.0000000000227</v>
      </c>
      <c r="FV64" s="16">
        <f t="shared" si="158"/>
        <v>1050.0000000000114</v>
      </c>
      <c r="FW64" s="16">
        <f t="shared" si="159"/>
        <v>1050.0000000000114</v>
      </c>
      <c r="IB64" s="16">
        <v>20</v>
      </c>
      <c r="IC64" s="144">
        <f>DailyApr!BX26+DailyApr!BY26-DailyApr!BZ26-DailyApr!CA26-DailyApr!CB26-DailyApr!CD26-DailyApr!CC26</f>
        <v>-1.0000004222092684E-3</v>
      </c>
      <c r="ID64" s="16">
        <v>2060</v>
      </c>
      <c r="IE64" s="16">
        <f t="shared" si="152"/>
        <v>686.66666666666663</v>
      </c>
      <c r="IF64" s="16">
        <v>686.66700000000003</v>
      </c>
    </row>
    <row r="65" spans="1:240" x14ac:dyDescent="0.25">
      <c r="A65" s="35">
        <v>20</v>
      </c>
      <c r="B65" s="138"/>
      <c r="C65" s="65"/>
      <c r="D65" s="37">
        <f t="shared" si="137"/>
        <v>0</v>
      </c>
      <c r="E65" s="16">
        <v>24467</v>
      </c>
      <c r="F65" s="16"/>
      <c r="G65" s="37">
        <f t="shared" si="138"/>
        <v>0</v>
      </c>
      <c r="H65" s="138"/>
      <c r="I65" s="65"/>
      <c r="J65" s="37">
        <f t="shared" si="139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f t="shared" si="156"/>
        <v>19</v>
      </c>
      <c r="DQ65" s="50">
        <v>8.1439000000000004</v>
      </c>
      <c r="DR65" s="49">
        <f t="shared" si="153"/>
        <v>58.000000000006935</v>
      </c>
      <c r="DS65" s="50">
        <v>51.348999999999997</v>
      </c>
      <c r="DT65" s="49">
        <f t="shared" si="160"/>
        <v>0</v>
      </c>
      <c r="EZ65" s="203">
        <f t="shared" si="140"/>
        <v>12960.61</v>
      </c>
      <c r="FA65" s="205">
        <f t="shared" si="141"/>
        <v>11822.28</v>
      </c>
      <c r="FB65" s="201">
        <f t="shared" si="142"/>
        <v>24782.89</v>
      </c>
      <c r="FC65" s="16"/>
      <c r="FD65" s="167">
        <f t="shared" si="143"/>
        <v>23486.47</v>
      </c>
      <c r="FE65" s="16"/>
      <c r="FF65" s="199">
        <f t="shared" si="144"/>
        <v>0.48089175159777159</v>
      </c>
      <c r="FG65" s="200">
        <f t="shared" si="155"/>
        <v>0.51910824840222847</v>
      </c>
      <c r="FH65" s="16">
        <f t="shared" si="146"/>
        <v>623.43768460638307</v>
      </c>
      <c r="FI65" s="179">
        <f t="shared" si="146"/>
        <v>672.98231539361711</v>
      </c>
      <c r="FJ65" s="179">
        <f t="shared" si="147"/>
        <v>11294.449697148515</v>
      </c>
      <c r="FK65" s="179">
        <f t="shared" si="148"/>
        <v>12192.020302851488</v>
      </c>
      <c r="FL65" s="204">
        <f t="shared" si="149"/>
        <v>11917.887381754897</v>
      </c>
      <c r="FM65" s="206">
        <f t="shared" si="149"/>
        <v>12865.002618245106</v>
      </c>
      <c r="FN65" s="202">
        <f t="shared" si="150"/>
        <v>24782.890000000003</v>
      </c>
      <c r="FO65">
        <v>48.080999999999996</v>
      </c>
      <c r="FP65">
        <v>51.902000000000001</v>
      </c>
      <c r="FQ65" s="217">
        <f t="shared" si="151"/>
        <v>0.48089175159777159</v>
      </c>
      <c r="FR65" s="16">
        <v>22</v>
      </c>
      <c r="FS65" s="16">
        <v>577.54</v>
      </c>
      <c r="FT65" s="16">
        <v>285.5</v>
      </c>
      <c r="FU65" s="16">
        <f t="shared" si="157"/>
        <v>2029.9999999999727</v>
      </c>
      <c r="FV65" s="16">
        <f t="shared" si="158"/>
        <v>1014.9999999999864</v>
      </c>
      <c r="FW65" s="16">
        <f t="shared" si="159"/>
        <v>1014.9999999999864</v>
      </c>
      <c r="IB65" s="16">
        <v>21</v>
      </c>
      <c r="IC65" s="144">
        <f>DailyApr!BX27+DailyApr!BY27-DailyApr!BZ27-DailyApr!CA27-DailyApr!CB27-DailyApr!CD27-DailyApr!CC27</f>
        <v>9.9999996600672603E-3</v>
      </c>
      <c r="ID65" s="16">
        <v>-1940</v>
      </c>
      <c r="IE65" s="16">
        <f t="shared" si="152"/>
        <v>-646.66666666666663</v>
      </c>
      <c r="IF65" s="16">
        <v>-646.66999999999996</v>
      </c>
    </row>
    <row r="66" spans="1:240" x14ac:dyDescent="0.25">
      <c r="A66" s="35">
        <v>21</v>
      </c>
      <c r="B66" s="138"/>
      <c r="C66" s="65"/>
      <c r="D66" s="37">
        <f t="shared" si="137"/>
        <v>0</v>
      </c>
      <c r="E66" s="16">
        <v>24467</v>
      </c>
      <c r="F66" s="16"/>
      <c r="G66" s="37">
        <f t="shared" si="138"/>
        <v>0</v>
      </c>
      <c r="H66" s="138"/>
      <c r="I66" s="65"/>
      <c r="J66" s="37">
        <f t="shared" si="139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f t="shared" si="156"/>
        <v>20</v>
      </c>
      <c r="DQ66" s="50">
        <v>8.1466999999999992</v>
      </c>
      <c r="DR66" s="49">
        <f t="shared" si="153"/>
        <v>27.999999999988034</v>
      </c>
      <c r="DS66" s="50">
        <v>51.348999999999997</v>
      </c>
      <c r="DT66" s="49">
        <f t="shared" si="160"/>
        <v>0</v>
      </c>
      <c r="EZ66" s="203">
        <f t="shared" si="140"/>
        <v>13593.65</v>
      </c>
      <c r="FA66" s="205">
        <f t="shared" si="141"/>
        <v>11465.32</v>
      </c>
      <c r="FB66" s="201">
        <f t="shared" si="142"/>
        <v>25058.97</v>
      </c>
      <c r="FC66" s="16"/>
      <c r="FD66" s="167">
        <f t="shared" si="143"/>
        <v>23762.550000000003</v>
      </c>
      <c r="FE66" s="16"/>
      <c r="FF66" s="199">
        <f t="shared" si="144"/>
        <v>0.46441947565543068</v>
      </c>
      <c r="FG66" s="200">
        <f t="shared" si="155"/>
        <v>0.53558052434456926</v>
      </c>
      <c r="FH66" s="16">
        <f t="shared" si="146"/>
        <v>602.0826966292135</v>
      </c>
      <c r="FI66" s="179">
        <f t="shared" si="146"/>
        <v>694.33730337078657</v>
      </c>
      <c r="FJ66" s="179">
        <f t="shared" si="147"/>
        <v>11035.791011235955</v>
      </c>
      <c r="FK66" s="179">
        <f t="shared" si="148"/>
        <v>12726.758988764046</v>
      </c>
      <c r="FL66" s="204">
        <f t="shared" si="149"/>
        <v>11637.873707865168</v>
      </c>
      <c r="FM66" s="206">
        <f t="shared" si="149"/>
        <v>13421.096292134833</v>
      </c>
      <c r="FN66" s="202">
        <f t="shared" si="150"/>
        <v>25058.97</v>
      </c>
      <c r="FO66">
        <v>43.771999999999998</v>
      </c>
      <c r="FP66">
        <v>50.478999999999999</v>
      </c>
      <c r="FQ66" s="217">
        <f t="shared" si="151"/>
        <v>0.46441947565543068</v>
      </c>
      <c r="FR66" s="16">
        <v>23</v>
      </c>
      <c r="FS66" s="16">
        <v>579.30999999999995</v>
      </c>
      <c r="FT66" s="16">
        <v>286.66000000000003</v>
      </c>
      <c r="FU66" s="16">
        <f t="shared" si="157"/>
        <v>1769.9999999999818</v>
      </c>
      <c r="FV66" s="16">
        <f t="shared" si="158"/>
        <v>884.99999999999091</v>
      </c>
      <c r="FW66" s="16">
        <f t="shared" si="159"/>
        <v>884.99999999999091</v>
      </c>
      <c r="IB66" s="16">
        <v>22</v>
      </c>
      <c r="IC66" s="144">
        <f>DailyApr!BX28+DailyApr!BY28-DailyApr!BZ28-DailyApr!CA28-DailyApr!CB28-DailyApr!CD28-DailyApr!CC28</f>
        <v>1.8189894035458565E-10</v>
      </c>
      <c r="ID66" s="16">
        <v>2100</v>
      </c>
      <c r="IE66" s="16">
        <f t="shared" si="152"/>
        <v>700</v>
      </c>
      <c r="IF66" s="16">
        <v>700</v>
      </c>
    </row>
    <row r="67" spans="1:240" x14ac:dyDescent="0.25">
      <c r="A67" s="35">
        <v>22</v>
      </c>
      <c r="B67" s="138"/>
      <c r="C67" s="65"/>
      <c r="D67" s="37">
        <f t="shared" si="137"/>
        <v>0</v>
      </c>
      <c r="E67" s="16">
        <v>24467</v>
      </c>
      <c r="F67" s="16"/>
      <c r="G67" s="37">
        <f t="shared" si="138"/>
        <v>0</v>
      </c>
      <c r="H67" s="138"/>
      <c r="I67" s="65"/>
      <c r="J67" s="37">
        <f t="shared" si="139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f t="shared" si="156"/>
        <v>21</v>
      </c>
      <c r="DQ67" s="50">
        <v>8.1499000000000006</v>
      </c>
      <c r="DR67" s="49">
        <f t="shared" si="153"/>
        <v>32.000000000014239</v>
      </c>
      <c r="DS67" s="50">
        <v>51.348999999999997</v>
      </c>
      <c r="DT67" s="49">
        <f t="shared" si="160"/>
        <v>0</v>
      </c>
      <c r="EZ67" s="203">
        <f t="shared" si="140"/>
        <v>13246.19</v>
      </c>
      <c r="FA67" s="205">
        <f t="shared" si="141"/>
        <v>10229.52</v>
      </c>
      <c r="FB67" s="201">
        <f t="shared" si="142"/>
        <v>23475.71</v>
      </c>
      <c r="FC67" s="16"/>
      <c r="FD67" s="167">
        <f t="shared" si="143"/>
        <v>22179.29</v>
      </c>
      <c r="FE67" s="16"/>
      <c r="FF67" s="199">
        <f t="shared" si="144"/>
        <v>0.45441162845760286</v>
      </c>
      <c r="FG67" s="200">
        <f t="shared" si="155"/>
        <v>0.54558837154239714</v>
      </c>
      <c r="FH67" s="16">
        <f t="shared" si="146"/>
        <v>589.1083233650055</v>
      </c>
      <c r="FI67" s="179">
        <f t="shared" si="146"/>
        <v>707.31167663499457</v>
      </c>
      <c r="FJ67" s="179">
        <f t="shared" si="147"/>
        <v>10078.527286933428</v>
      </c>
      <c r="FK67" s="179">
        <f t="shared" si="148"/>
        <v>12100.762713066573</v>
      </c>
      <c r="FL67" s="204">
        <f t="shared" si="149"/>
        <v>10667.635610298434</v>
      </c>
      <c r="FM67" s="206">
        <f t="shared" si="149"/>
        <v>12808.074389701567</v>
      </c>
      <c r="FN67" s="202">
        <f t="shared" si="150"/>
        <v>23475.71</v>
      </c>
      <c r="FO67">
        <v>44.141999999999996</v>
      </c>
      <c r="FP67">
        <v>52.999000000000002</v>
      </c>
      <c r="FQ67" s="217">
        <f t="shared" si="151"/>
        <v>0.45441162845760286</v>
      </c>
      <c r="FR67" s="16">
        <v>24</v>
      </c>
      <c r="FS67" s="16">
        <v>581.21</v>
      </c>
      <c r="FT67" s="16">
        <v>287.89</v>
      </c>
      <c r="FU67" s="16">
        <f t="shared" si="157"/>
        <v>1900.0000000000909</v>
      </c>
      <c r="FV67" s="16">
        <f t="shared" si="158"/>
        <v>950.00000000004547</v>
      </c>
      <c r="FW67" s="16">
        <f t="shared" si="159"/>
        <v>950.00000000004547</v>
      </c>
      <c r="IB67" s="16">
        <v>23</v>
      </c>
      <c r="IC67" s="144">
        <f>DailyApr!BX29+DailyApr!BY29-DailyApr!BZ29-DailyApr!CA29-DailyApr!CB29-DailyApr!CD29-DailyApr!CC29</f>
        <v>2.6193447411060333E-10</v>
      </c>
      <c r="ID67" s="16">
        <v>600</v>
      </c>
      <c r="IE67" s="16">
        <f t="shared" si="152"/>
        <v>200</v>
      </c>
      <c r="IF67" s="16">
        <v>200</v>
      </c>
    </row>
    <row r="68" spans="1:240" x14ac:dyDescent="0.25">
      <c r="A68" s="35">
        <v>23</v>
      </c>
      <c r="B68" s="138"/>
      <c r="C68" s="65"/>
      <c r="D68" s="37">
        <f t="shared" si="137"/>
        <v>0</v>
      </c>
      <c r="E68" s="16">
        <v>24467</v>
      </c>
      <c r="F68" s="16"/>
      <c r="G68" s="37">
        <f t="shared" si="138"/>
        <v>0</v>
      </c>
      <c r="H68" s="138"/>
      <c r="I68" s="65"/>
      <c r="J68" s="37">
        <f t="shared" si="139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f t="shared" si="156"/>
        <v>22</v>
      </c>
      <c r="DQ68" s="50">
        <v>8.1550999999999991</v>
      </c>
      <c r="DR68" s="49">
        <f t="shared" si="153"/>
        <v>51.999999999985391</v>
      </c>
      <c r="DS68" s="50">
        <v>51.348999999999997</v>
      </c>
      <c r="DT68" s="49">
        <f t="shared" si="160"/>
        <v>0</v>
      </c>
      <c r="EZ68" s="203">
        <f t="shared" si="140"/>
        <v>12587.14</v>
      </c>
      <c r="FA68" s="205">
        <f t="shared" si="141"/>
        <v>9325.4699999999993</v>
      </c>
      <c r="FB68" s="201">
        <f t="shared" si="142"/>
        <v>21912.61</v>
      </c>
      <c r="FC68" s="16"/>
      <c r="FD68" s="167">
        <f t="shared" si="143"/>
        <v>20616.190000000002</v>
      </c>
      <c r="FE68" s="16"/>
      <c r="FF68" s="199">
        <f t="shared" si="144"/>
        <v>0.46093022248218196</v>
      </c>
      <c r="FG68" s="200">
        <f t="shared" si="155"/>
        <v>0.53906977751781804</v>
      </c>
      <c r="FH68" s="16">
        <f t="shared" si="146"/>
        <v>597.55915903035043</v>
      </c>
      <c r="FI68" s="179">
        <f t="shared" si="146"/>
        <v>698.86084096964964</v>
      </c>
      <c r="FJ68" s="179">
        <f t="shared" si="147"/>
        <v>9502.6250434349367</v>
      </c>
      <c r="FK68" s="179">
        <f t="shared" si="148"/>
        <v>11113.564956565066</v>
      </c>
      <c r="FL68" s="204">
        <f t="shared" si="149"/>
        <v>10100.184202465287</v>
      </c>
      <c r="FM68" s="206">
        <f t="shared" si="149"/>
        <v>11812.425797534715</v>
      </c>
      <c r="FN68" s="202">
        <f t="shared" si="150"/>
        <v>21912.61</v>
      </c>
      <c r="FO68">
        <v>42.554000000000002</v>
      </c>
      <c r="FP68">
        <v>49.767999999999994</v>
      </c>
      <c r="FQ68" s="217">
        <f t="shared" si="151"/>
        <v>0.46093022248218196</v>
      </c>
      <c r="FR68" s="16">
        <v>25</v>
      </c>
      <c r="FS68" s="16">
        <v>583.17999999999995</v>
      </c>
      <c r="FT68" s="16">
        <v>289.18</v>
      </c>
      <c r="FU68" s="16">
        <f t="shared" si="157"/>
        <v>1969.9999999999136</v>
      </c>
      <c r="FV68" s="16">
        <f t="shared" si="158"/>
        <v>984.9999999999568</v>
      </c>
      <c r="FW68" s="16">
        <f t="shared" si="159"/>
        <v>984.9999999999568</v>
      </c>
      <c r="IB68" s="16">
        <v>24</v>
      </c>
      <c r="IC68" s="144">
        <f>DailyApr!BX30+DailyApr!BY30-DailyApr!BZ30-DailyApr!CA30-DailyApr!CB30-DailyApr!CD30-DailyApr!CC30</f>
        <v>9.9999992016819306E-4</v>
      </c>
      <c r="ID68" s="16">
        <v>370</v>
      </c>
      <c r="IE68" s="16">
        <f t="shared" si="152"/>
        <v>123.33333333333333</v>
      </c>
      <c r="IF68" s="16">
        <v>123.333</v>
      </c>
    </row>
    <row r="69" spans="1:240" x14ac:dyDescent="0.25">
      <c r="A69" s="35">
        <v>24</v>
      </c>
      <c r="B69" s="138"/>
      <c r="C69" s="65"/>
      <c r="D69" s="37">
        <f t="shared" si="137"/>
        <v>0</v>
      </c>
      <c r="E69" s="16">
        <v>24467</v>
      </c>
      <c r="F69" s="16"/>
      <c r="G69" s="37">
        <f t="shared" si="138"/>
        <v>0</v>
      </c>
      <c r="H69" s="138"/>
      <c r="I69" s="65"/>
      <c r="J69" s="37">
        <f t="shared" si="139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f t="shared" si="156"/>
        <v>23</v>
      </c>
      <c r="DQ69" s="50">
        <v>8.1598000000000006</v>
      </c>
      <c r="DR69" s="49">
        <f t="shared" si="153"/>
        <v>47.000000000014808</v>
      </c>
      <c r="DS69" s="50">
        <v>51.348999999999997</v>
      </c>
      <c r="DT69" s="49">
        <f t="shared" si="160"/>
        <v>0</v>
      </c>
      <c r="EZ69" s="203">
        <f t="shared" si="140"/>
        <v>12340.12</v>
      </c>
      <c r="FA69" s="205">
        <f t="shared" si="141"/>
        <v>11416.79</v>
      </c>
      <c r="FB69" s="201">
        <f t="shared" si="142"/>
        <v>23756.910000000003</v>
      </c>
      <c r="FC69" s="16"/>
      <c r="FD69" s="167">
        <f t="shared" si="143"/>
        <v>22460.490000000005</v>
      </c>
      <c r="FE69" s="16"/>
      <c r="FF69" s="199">
        <f t="shared" si="144"/>
        <v>0.45734546769014861</v>
      </c>
      <c r="FG69" s="200">
        <f t="shared" si="155"/>
        <v>0.54265453230985139</v>
      </c>
      <c r="FH69" s="16">
        <f t="shared" si="146"/>
        <v>592.91181122286253</v>
      </c>
      <c r="FI69" s="179">
        <f t="shared" si="146"/>
        <v>703.50818877713755</v>
      </c>
      <c r="FJ69" s="179">
        <f t="shared" si="147"/>
        <v>10272.203303599908</v>
      </c>
      <c r="FK69" s="179">
        <f t="shared" si="148"/>
        <v>12188.286696400097</v>
      </c>
      <c r="FL69" s="204">
        <f t="shared" si="149"/>
        <v>10865.115114822771</v>
      </c>
      <c r="FM69" s="206">
        <f t="shared" si="149"/>
        <v>12891.794885177234</v>
      </c>
      <c r="FN69" s="202">
        <f t="shared" si="150"/>
        <v>23756.910000000003</v>
      </c>
      <c r="FO69">
        <v>43.016999999999996</v>
      </c>
      <c r="FP69">
        <v>51.041000000000004</v>
      </c>
      <c r="FQ69" s="217">
        <f t="shared" si="151"/>
        <v>0.45734546769014861</v>
      </c>
      <c r="FR69" s="16">
        <v>26</v>
      </c>
      <c r="FS69" s="16">
        <v>585.12</v>
      </c>
      <c r="FT69" s="16">
        <v>285.12</v>
      </c>
      <c r="FU69" s="16">
        <f t="shared" si="157"/>
        <v>1940.0000000000546</v>
      </c>
      <c r="FV69" s="16">
        <f t="shared" si="158"/>
        <v>970.00000000002728</v>
      </c>
      <c r="FW69" s="16">
        <f t="shared" si="159"/>
        <v>970.00000000002728</v>
      </c>
      <c r="IB69" s="16">
        <v>25</v>
      </c>
      <c r="IC69" s="144">
        <f>DailyApr!BX31+DailyApr!BY31-DailyApr!BZ31-DailyApr!CA31-DailyApr!CB31-DailyApr!CD31-DailyApr!CC31</f>
        <v>-6.1390892369672656E-11</v>
      </c>
      <c r="ID69" s="16">
        <v>-510</v>
      </c>
      <c r="IE69" s="16">
        <f t="shared" si="152"/>
        <v>-170</v>
      </c>
      <c r="IF69" s="16">
        <v>-170</v>
      </c>
    </row>
    <row r="70" spans="1:240" x14ac:dyDescent="0.25">
      <c r="A70" s="35">
        <v>25</v>
      </c>
      <c r="B70" s="138"/>
      <c r="C70" s="65"/>
      <c r="D70" s="37">
        <f t="shared" si="137"/>
        <v>0</v>
      </c>
      <c r="E70" s="16">
        <v>24467</v>
      </c>
      <c r="F70" s="16"/>
      <c r="G70" s="37">
        <f t="shared" si="138"/>
        <v>0</v>
      </c>
      <c r="H70" s="138"/>
      <c r="I70" s="65"/>
      <c r="J70" s="37">
        <f t="shared" si="139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f t="shared" si="156"/>
        <v>24</v>
      </c>
      <c r="DQ70" s="50">
        <v>8.1664999999999992</v>
      </c>
      <c r="DR70" s="49">
        <f t="shared" si="153"/>
        <v>66.99999999998596</v>
      </c>
      <c r="DS70" s="50">
        <v>51.348999999999997</v>
      </c>
      <c r="DT70" s="49">
        <f t="shared" si="160"/>
        <v>0</v>
      </c>
      <c r="EZ70" s="203">
        <f t="shared" si="140"/>
        <v>12499.95</v>
      </c>
      <c r="FA70" s="205">
        <f t="shared" si="141"/>
        <v>10413.280000000001</v>
      </c>
      <c r="FB70" s="201">
        <f t="shared" si="142"/>
        <v>22913.230000000003</v>
      </c>
      <c r="FC70" s="16"/>
      <c r="FD70" s="167">
        <f t="shared" si="143"/>
        <v>21616.810000000005</v>
      </c>
      <c r="FE70" s="16"/>
      <c r="FF70" s="199">
        <f t="shared" si="144"/>
        <v>0.5112196394068349</v>
      </c>
      <c r="FG70" s="200">
        <f t="shared" si="155"/>
        <v>0.4887803605931651</v>
      </c>
      <c r="FH70" s="16">
        <f t="shared" si="146"/>
        <v>662.75536491980893</v>
      </c>
      <c r="FI70" s="179">
        <f t="shared" si="146"/>
        <v>633.66463508019115</v>
      </c>
      <c r="FJ70" s="179">
        <f t="shared" si="147"/>
        <v>11050.937813326065</v>
      </c>
      <c r="FK70" s="179">
        <f t="shared" si="148"/>
        <v>10565.87218667394</v>
      </c>
      <c r="FL70" s="204">
        <f t="shared" si="149"/>
        <v>11713.693178245874</v>
      </c>
      <c r="FM70" s="206">
        <f t="shared" si="149"/>
        <v>11199.536821754131</v>
      </c>
      <c r="FN70" s="202">
        <f t="shared" si="150"/>
        <v>22913.230000000003</v>
      </c>
      <c r="FO70">
        <v>43.127000000000002</v>
      </c>
      <c r="FP70">
        <v>41.234000000000002</v>
      </c>
      <c r="FQ70" s="217">
        <f t="shared" si="151"/>
        <v>0.5112196394068349</v>
      </c>
      <c r="FR70" s="16">
        <v>27</v>
      </c>
      <c r="FS70" s="16">
        <v>587.04</v>
      </c>
      <c r="FT70" s="16">
        <v>291.67</v>
      </c>
      <c r="FU70" s="16">
        <f t="shared" si="157"/>
        <v>1919.9999999999591</v>
      </c>
      <c r="FV70" s="16">
        <f t="shared" si="158"/>
        <v>959.99999999997954</v>
      </c>
      <c r="FW70" s="16">
        <f t="shared" si="159"/>
        <v>959.99999999997954</v>
      </c>
      <c r="IB70" s="16">
        <v>26</v>
      </c>
      <c r="IC70" s="144">
        <f>DailyApr!BX32+DailyApr!BY32-DailyApr!BZ32-DailyApr!CA32-DailyApr!CB32-DailyApr!CD32-DailyApr!CC32</f>
        <v>1.0000042402680265E-4</v>
      </c>
      <c r="ID70" s="16">
        <v>70</v>
      </c>
      <c r="IE70" s="16">
        <f t="shared" si="152"/>
        <v>23.333333333333332</v>
      </c>
      <c r="IF70" s="16">
        <v>23.333300000000001</v>
      </c>
    </row>
    <row r="71" spans="1:240" x14ac:dyDescent="0.25">
      <c r="A71" s="35">
        <v>26</v>
      </c>
      <c r="B71" s="138"/>
      <c r="C71" s="65"/>
      <c r="D71" s="37">
        <f t="shared" si="137"/>
        <v>0</v>
      </c>
      <c r="E71" s="16">
        <v>24467</v>
      </c>
      <c r="F71" s="16"/>
      <c r="G71" s="37">
        <f t="shared" si="138"/>
        <v>0</v>
      </c>
      <c r="H71" s="138"/>
      <c r="I71" s="65"/>
      <c r="J71" s="37">
        <f t="shared" si="139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f t="shared" si="156"/>
        <v>25</v>
      </c>
      <c r="DQ71" s="50">
        <v>8.173</v>
      </c>
      <c r="DR71" s="49">
        <f t="shared" si="153"/>
        <v>65.000000000008384</v>
      </c>
      <c r="DS71" s="50">
        <v>51.348999999999997</v>
      </c>
      <c r="DT71" s="49">
        <f t="shared" si="160"/>
        <v>0</v>
      </c>
      <c r="EZ71" s="203">
        <f t="shared" si="140"/>
        <v>12745.27</v>
      </c>
      <c r="FA71" s="205">
        <f t="shared" si="141"/>
        <v>10991.94</v>
      </c>
      <c r="FB71" s="201">
        <f t="shared" si="142"/>
        <v>23737.21</v>
      </c>
      <c r="FC71" s="16"/>
      <c r="FD71" s="167">
        <f t="shared" si="143"/>
        <v>22440.79</v>
      </c>
      <c r="FE71" s="16"/>
      <c r="FF71" s="199">
        <f t="shared" si="144"/>
        <v>0.49749185853853622</v>
      </c>
      <c r="FG71" s="200">
        <f t="shared" si="155"/>
        <v>0.50250814146146383</v>
      </c>
      <c r="FH71" s="16">
        <f t="shared" si="146"/>
        <v>644.95839524652922</v>
      </c>
      <c r="FI71" s="179">
        <f t="shared" si="146"/>
        <v>651.46160475347097</v>
      </c>
      <c r="FJ71" s="179">
        <f t="shared" si="147"/>
        <v>11164.110324172998</v>
      </c>
      <c r="FK71" s="179">
        <f t="shared" si="148"/>
        <v>11276.679675827003</v>
      </c>
      <c r="FL71" s="204">
        <f t="shared" si="149"/>
        <v>11809.068719419527</v>
      </c>
      <c r="FM71" s="206">
        <f t="shared" si="149"/>
        <v>11928.141280580474</v>
      </c>
      <c r="FN71" s="202">
        <f t="shared" si="150"/>
        <v>23737.21</v>
      </c>
      <c r="FO71">
        <v>43.538000000000004</v>
      </c>
      <c r="FP71">
        <v>43.977000000000004</v>
      </c>
      <c r="FQ71" s="217">
        <f t="shared" si="151"/>
        <v>0.49749185853853622</v>
      </c>
      <c r="FR71" s="16">
        <v>28</v>
      </c>
      <c r="FS71" s="16">
        <v>588.96</v>
      </c>
      <c r="FT71" s="16">
        <v>292.91000000000003</v>
      </c>
      <c r="FU71" s="16">
        <f t="shared" si="157"/>
        <v>1920.0000000000728</v>
      </c>
      <c r="FV71" s="16">
        <f t="shared" si="158"/>
        <v>960.00000000003638</v>
      </c>
      <c r="FW71" s="16">
        <f t="shared" si="159"/>
        <v>960.00000000003638</v>
      </c>
      <c r="IB71" s="16">
        <v>27</v>
      </c>
      <c r="IC71" s="144">
        <f>DailyApr!BX33+DailyApr!BY33-DailyApr!BZ33-DailyApr!CA33-DailyApr!CB33-DailyApr!CD33-DailyApr!CC33</f>
        <v>9.9999940266570775E-4</v>
      </c>
      <c r="ID71" s="16">
        <v>580</v>
      </c>
      <c r="IE71" s="16">
        <f t="shared" si="152"/>
        <v>193.33333333333334</v>
      </c>
      <c r="IF71" s="16">
        <v>193.333</v>
      </c>
    </row>
    <row r="72" spans="1:240" x14ac:dyDescent="0.25">
      <c r="A72" s="35">
        <v>27</v>
      </c>
      <c r="B72" s="138"/>
      <c r="C72" s="65"/>
      <c r="D72" s="37">
        <f t="shared" si="137"/>
        <v>0</v>
      </c>
      <c r="E72" s="16">
        <v>24467</v>
      </c>
      <c r="F72" s="16"/>
      <c r="G72" s="37">
        <f t="shared" si="138"/>
        <v>0</v>
      </c>
      <c r="H72" s="138"/>
      <c r="I72" s="65"/>
      <c r="J72" s="37">
        <f t="shared" si="139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f t="shared" si="156"/>
        <v>26</v>
      </c>
      <c r="DQ72" s="50">
        <v>8.1781000000000006</v>
      </c>
      <c r="DR72" s="49">
        <f t="shared" si="153"/>
        <v>51.000000000005485</v>
      </c>
      <c r="DS72" s="50">
        <v>51.348999999999997</v>
      </c>
      <c r="DT72" s="49">
        <f t="shared" si="160"/>
        <v>0</v>
      </c>
      <c r="EZ72" s="203">
        <f t="shared" si="140"/>
        <v>12667.77</v>
      </c>
      <c r="FA72" s="205">
        <f t="shared" si="141"/>
        <v>11627.77</v>
      </c>
      <c r="FB72" s="201">
        <f t="shared" si="142"/>
        <v>24295.54</v>
      </c>
      <c r="FC72" s="16"/>
      <c r="FD72" s="167">
        <f t="shared" si="143"/>
        <v>22999.120000000003</v>
      </c>
      <c r="FE72" s="16"/>
      <c r="FF72" s="199">
        <f t="shared" si="144"/>
        <v>0.47481755684822846</v>
      </c>
      <c r="FG72" s="200">
        <f t="shared" si="155"/>
        <v>0.52518244315177154</v>
      </c>
      <c r="FH72" s="16">
        <f t="shared" si="146"/>
        <v>615.5629770491804</v>
      </c>
      <c r="FI72" s="179">
        <f t="shared" si="146"/>
        <v>680.85702295081967</v>
      </c>
      <c r="FJ72" s="179">
        <f t="shared" si="147"/>
        <v>10920.385968059229</v>
      </c>
      <c r="FK72" s="179">
        <f t="shared" si="148"/>
        <v>12078.734031940774</v>
      </c>
      <c r="FL72" s="204">
        <f t="shared" si="149"/>
        <v>11535.948945108408</v>
      </c>
      <c r="FM72" s="206">
        <f t="shared" si="149"/>
        <v>12759.591054891594</v>
      </c>
      <c r="FN72" s="202">
        <f t="shared" si="150"/>
        <v>24295.54</v>
      </c>
      <c r="FO72">
        <v>44.894000000000005</v>
      </c>
      <c r="FP72">
        <v>49.655999999999999</v>
      </c>
      <c r="FQ72" s="217">
        <f t="shared" si="151"/>
        <v>0.47481755684822846</v>
      </c>
      <c r="FR72" s="16">
        <v>29</v>
      </c>
      <c r="FS72" s="16">
        <v>591</v>
      </c>
      <c r="FT72" s="16">
        <v>294.22000000000003</v>
      </c>
      <c r="FU72" s="16">
        <f t="shared" si="157"/>
        <v>2039.9999999999636</v>
      </c>
      <c r="FV72" s="16">
        <f t="shared" si="158"/>
        <v>1019.9999999999818</v>
      </c>
      <c r="FW72" s="16">
        <f t="shared" si="159"/>
        <v>1019.9999999999818</v>
      </c>
      <c r="IB72" s="16">
        <v>28</v>
      </c>
      <c r="IC72" s="144">
        <f>DailyApr!BX34+DailyApr!BY34-DailyApr!BZ34-DailyApr!CA34-DailyApr!CB34-DailyApr!CD34-DailyApr!CC34</f>
        <v>-9.9999996600672603E-3</v>
      </c>
      <c r="ID72" s="16">
        <v>-520</v>
      </c>
      <c r="IE72" s="16">
        <f t="shared" si="152"/>
        <v>-173.33333333333334</v>
      </c>
      <c r="IF72" s="16">
        <v>-173.33</v>
      </c>
    </row>
    <row r="73" spans="1:240" x14ac:dyDescent="0.25">
      <c r="A73" s="35">
        <v>28</v>
      </c>
      <c r="B73" s="138"/>
      <c r="C73" s="65"/>
      <c r="D73" s="37">
        <f t="shared" si="137"/>
        <v>0</v>
      </c>
      <c r="E73" s="16">
        <v>24467</v>
      </c>
      <c r="F73" s="16"/>
      <c r="G73" s="37">
        <f t="shared" si="138"/>
        <v>0</v>
      </c>
      <c r="H73" s="138"/>
      <c r="I73" s="65"/>
      <c r="J73" s="37">
        <f t="shared" si="139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f t="shared" si="156"/>
        <v>27</v>
      </c>
      <c r="DQ73" s="50">
        <v>8.1824999999999992</v>
      </c>
      <c r="DR73" s="49">
        <f t="shared" si="153"/>
        <v>43.999999999986272</v>
      </c>
      <c r="DS73" s="50">
        <v>51.348999999999997</v>
      </c>
      <c r="DT73" s="49">
        <f t="shared" si="160"/>
        <v>0</v>
      </c>
      <c r="EZ73" s="203">
        <f t="shared" si="140"/>
        <v>13543.11</v>
      </c>
      <c r="FA73" s="205">
        <f t="shared" si="141"/>
        <v>11411.35</v>
      </c>
      <c r="FB73" s="201">
        <f t="shared" si="142"/>
        <v>24954.46</v>
      </c>
      <c r="FC73" s="16"/>
      <c r="FD73" s="167">
        <f t="shared" si="143"/>
        <v>23658.04</v>
      </c>
      <c r="FE73" s="16"/>
      <c r="FF73" s="199">
        <f t="shared" si="144"/>
        <v>0.45834546740441823</v>
      </c>
      <c r="FG73" s="200">
        <f t="shared" si="155"/>
        <v>0.54165453259558172</v>
      </c>
      <c r="FH73" s="16">
        <f t="shared" si="146"/>
        <v>594.20823085243592</v>
      </c>
      <c r="FI73" s="179">
        <f t="shared" si="146"/>
        <v>702.21176914756404</v>
      </c>
      <c r="FJ73" s="179">
        <f t="shared" si="147"/>
        <v>10843.555401672424</v>
      </c>
      <c r="FK73" s="179">
        <f t="shared" si="148"/>
        <v>12814.484598327577</v>
      </c>
      <c r="FL73" s="204">
        <f t="shared" si="149"/>
        <v>11437.76363252486</v>
      </c>
      <c r="FM73" s="206">
        <f t="shared" si="149"/>
        <v>13516.696367475141</v>
      </c>
      <c r="FN73" s="202">
        <f t="shared" si="150"/>
        <v>24954.46</v>
      </c>
      <c r="FO73">
        <v>44.069000000000003</v>
      </c>
      <c r="FP73">
        <v>52.078999999999994</v>
      </c>
      <c r="FQ73" s="217">
        <f t="shared" si="151"/>
        <v>0.45834546740441823</v>
      </c>
      <c r="FR73" s="16">
        <v>30</v>
      </c>
      <c r="FS73" s="16">
        <v>592.89</v>
      </c>
      <c r="FT73" s="16">
        <v>295.43</v>
      </c>
      <c r="FU73" s="16">
        <f t="shared" si="157"/>
        <v>1889.9999999999864</v>
      </c>
      <c r="FV73" s="16">
        <f t="shared" si="158"/>
        <v>944.99999999999318</v>
      </c>
      <c r="FW73" s="16">
        <f t="shared" si="159"/>
        <v>944.99999999999318</v>
      </c>
      <c r="IB73" s="16">
        <v>29</v>
      </c>
      <c r="IC73" s="144">
        <f>DailyApr!BX35+DailyApr!BY35-DailyApr!BZ35-DailyApr!CA35-DailyApr!CB35-DailyApr!CD35-DailyApr!CC35</f>
        <v>-5.7752913562580943E-10</v>
      </c>
      <c r="ID73" s="16">
        <v>1410</v>
      </c>
      <c r="IE73" s="16">
        <f t="shared" si="152"/>
        <v>470</v>
      </c>
      <c r="IF73" s="16">
        <v>470</v>
      </c>
    </row>
    <row r="74" spans="1:240" x14ac:dyDescent="0.25">
      <c r="A74" s="35">
        <v>29</v>
      </c>
      <c r="B74" s="138"/>
      <c r="C74" s="65"/>
      <c r="D74" s="37">
        <f t="shared" si="137"/>
        <v>0</v>
      </c>
      <c r="E74" s="16">
        <v>24467</v>
      </c>
      <c r="F74" s="16"/>
      <c r="G74" s="37">
        <f t="shared" si="138"/>
        <v>0</v>
      </c>
      <c r="H74" s="138"/>
      <c r="I74" s="65"/>
      <c r="J74" s="37">
        <f t="shared" si="139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f t="shared" si="156"/>
        <v>28</v>
      </c>
      <c r="DQ74" s="50">
        <v>8.1866000000000003</v>
      </c>
      <c r="DR74" s="49">
        <f t="shared" si="153"/>
        <v>41.000000000011028</v>
      </c>
      <c r="DS74" s="50">
        <v>51.348999999999997</v>
      </c>
      <c r="DT74" s="49">
        <f t="shared" si="160"/>
        <v>0</v>
      </c>
      <c r="EZ74" s="203">
        <f t="shared" si="140"/>
        <v>11042.96</v>
      </c>
      <c r="FA74" s="205">
        <f t="shared" si="141"/>
        <v>11716.289999999999</v>
      </c>
      <c r="FB74" s="201">
        <f t="shared" si="142"/>
        <v>22759.25</v>
      </c>
      <c r="FC74" s="16"/>
      <c r="FD74" s="167">
        <f t="shared" si="143"/>
        <v>21462.83</v>
      </c>
      <c r="FE74" s="16"/>
      <c r="FF74" s="199">
        <f t="shared" si="144"/>
        <v>0.49324060834524891</v>
      </c>
      <c r="FG74" s="200">
        <f t="shared" si="155"/>
        <v>0.50675939165475103</v>
      </c>
      <c r="FH74" s="16">
        <f t="shared" si="146"/>
        <v>639.44698947094764</v>
      </c>
      <c r="FI74" s="179">
        <f t="shared" si="146"/>
        <v>656.97301052905232</v>
      </c>
      <c r="FJ74" s="179">
        <f t="shared" si="147"/>
        <v>10586.339326010659</v>
      </c>
      <c r="FK74" s="179">
        <f t="shared" si="148"/>
        <v>10876.490673989341</v>
      </c>
      <c r="FL74" s="204">
        <f t="shared" si="149"/>
        <v>11225.786315481606</v>
      </c>
      <c r="FM74" s="206">
        <f t="shared" si="149"/>
        <v>11533.463684518394</v>
      </c>
      <c r="FN74" s="202">
        <f t="shared" si="150"/>
        <v>22759.25</v>
      </c>
      <c r="FO74">
        <v>45.533999999999999</v>
      </c>
      <c r="FP74">
        <v>46.781999999999996</v>
      </c>
      <c r="FQ74" s="217">
        <f t="shared" si="151"/>
        <v>0.49324060834524891</v>
      </c>
      <c r="FR74" s="16">
        <v>31</v>
      </c>
      <c r="FS74" s="16">
        <v>594.85</v>
      </c>
      <c r="FT74" s="16">
        <v>296.70999999999998</v>
      </c>
      <c r="FU74" s="16">
        <f t="shared" si="157"/>
        <v>1960.0000000000364</v>
      </c>
      <c r="FV74" s="16">
        <f t="shared" si="158"/>
        <v>980.00000000001819</v>
      </c>
      <c r="FW74" s="16">
        <f t="shared" si="159"/>
        <v>980.00000000001819</v>
      </c>
      <c r="IB74" s="34">
        <v>30</v>
      </c>
      <c r="IC74" s="144">
        <f>DailyApr!BX36+DailyApr!BY36-DailyApr!BZ36-DailyApr!CA36-DailyApr!CB36-DailyApr!CD36-DailyApr!CC36</f>
        <v>8.0945028457790613E-11</v>
      </c>
      <c r="ID74" s="16">
        <v>30</v>
      </c>
      <c r="IE74" s="16">
        <f t="shared" si="152"/>
        <v>10</v>
      </c>
      <c r="IF74" s="16">
        <v>10</v>
      </c>
    </row>
    <row r="75" spans="1:240" x14ac:dyDescent="0.25">
      <c r="A75" s="35">
        <v>30</v>
      </c>
      <c r="B75" s="138"/>
      <c r="C75" s="65"/>
      <c r="D75" s="37">
        <f t="shared" si="137"/>
        <v>0</v>
      </c>
      <c r="E75" s="16">
        <v>24467</v>
      </c>
      <c r="F75" s="16"/>
      <c r="G75" s="37">
        <f t="shared" si="138"/>
        <v>0</v>
      </c>
      <c r="H75" s="138"/>
      <c r="I75" s="65"/>
      <c r="J75" s="37">
        <f t="shared" si="139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29</v>
      </c>
      <c r="DQ75" s="50">
        <v>8.1928000000000001</v>
      </c>
      <c r="DR75" s="49">
        <f t="shared" si="153"/>
        <v>61.999999999997613</v>
      </c>
      <c r="DS75" s="50">
        <v>51.348999999999997</v>
      </c>
      <c r="DT75" s="49">
        <f t="shared" si="160"/>
        <v>0</v>
      </c>
      <c r="EZ75" s="167">
        <f t="shared" si="140"/>
        <v>0</v>
      </c>
      <c r="FA75" s="167">
        <f t="shared" si="141"/>
        <v>0</v>
      </c>
      <c r="FB75" s="167">
        <f t="shared" si="142"/>
        <v>0</v>
      </c>
      <c r="FC75" s="16"/>
      <c r="FD75" s="167">
        <f t="shared" si="143"/>
        <v>-1296.42</v>
      </c>
      <c r="FE75" s="16"/>
      <c r="FF75" s="199"/>
      <c r="FG75" s="200"/>
      <c r="FH75" s="16">
        <f t="shared" si="146"/>
        <v>0</v>
      </c>
      <c r="FI75" s="179">
        <f t="shared" si="146"/>
        <v>0</v>
      </c>
      <c r="FJ75" s="179">
        <f t="shared" si="147"/>
        <v>0</v>
      </c>
      <c r="FK75" s="179">
        <f t="shared" si="148"/>
        <v>0</v>
      </c>
      <c r="FL75" s="204">
        <f t="shared" si="149"/>
        <v>0</v>
      </c>
      <c r="FM75" s="206">
        <f t="shared" si="149"/>
        <v>0</v>
      </c>
      <c r="FN75" s="202">
        <f t="shared" si="150"/>
        <v>0</v>
      </c>
      <c r="FR75" s="16">
        <v>1</v>
      </c>
      <c r="FS75" s="16"/>
      <c r="FT75" s="16"/>
      <c r="FU75" s="16">
        <f t="shared" si="157"/>
        <v>-594850</v>
      </c>
      <c r="FV75" s="16">
        <f t="shared" si="158"/>
        <v>-297425</v>
      </c>
      <c r="FW75" s="16">
        <f t="shared" si="159"/>
        <v>-297425</v>
      </c>
      <c r="IB75" s="34">
        <v>1</v>
      </c>
      <c r="IC75" s="144">
        <f>DailyApr!BX37+DailyApr!BY37-DailyApr!BZ37-DailyApr!CA37-DailyApr!CB37-DailyApr!CD37</f>
        <v>0</v>
      </c>
      <c r="ID75" s="16"/>
      <c r="IE75" s="16">
        <f t="shared" si="152"/>
        <v>0</v>
      </c>
      <c r="IF75" s="16"/>
    </row>
    <row r="76" spans="1:240" x14ac:dyDescent="0.25">
      <c r="A76" s="35">
        <v>31</v>
      </c>
      <c r="B76" s="138"/>
      <c r="C76" s="65"/>
      <c r="D76" s="37">
        <f t="shared" si="137"/>
        <v>0</v>
      </c>
      <c r="E76" s="16"/>
      <c r="F76" s="16"/>
      <c r="G76" s="37">
        <f t="shared" si="138"/>
        <v>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30</v>
      </c>
      <c r="DQ76" s="50">
        <v>8.1966000000000001</v>
      </c>
      <c r="DR76" s="49">
        <f t="shared" si="153"/>
        <v>38.000000000000256</v>
      </c>
      <c r="DS76" s="50">
        <v>51.348999999999997</v>
      </c>
      <c r="DT76" s="49">
        <f t="shared" si="160"/>
        <v>0</v>
      </c>
      <c r="EZ76" s="91"/>
      <c r="IB76" s="16" t="s">
        <v>37</v>
      </c>
      <c r="IC76" s="128">
        <f>SUM(IC45:IC75)</f>
        <v>-3.2000000460811862E-2</v>
      </c>
      <c r="ID76" s="16"/>
      <c r="IE76" s="16"/>
      <c r="IF76" s="16"/>
    </row>
    <row r="77" spans="1:240" ht="15.75" thickBot="1" x14ac:dyDescent="0.3">
      <c r="A77" s="157"/>
      <c r="B77" s="138"/>
      <c r="C77" s="65"/>
      <c r="D77" s="37">
        <f t="shared" si="137"/>
        <v>0</v>
      </c>
      <c r="E77" s="16"/>
      <c r="F77" s="16"/>
      <c r="G77" s="37">
        <f t="shared" si="138"/>
        <v>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31</v>
      </c>
      <c r="DQ77" s="50">
        <v>8.2004000000000001</v>
      </c>
      <c r="DR77" s="49">
        <f t="shared" si="153"/>
        <v>38.000000000000256</v>
      </c>
      <c r="DS77" s="50">
        <v>51.348999999999997</v>
      </c>
      <c r="DT77" s="49">
        <f t="shared" si="160"/>
        <v>0</v>
      </c>
      <c r="EZ77" s="91"/>
    </row>
    <row r="78" spans="1:240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1715000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/>
      <c r="DR78" s="49">
        <f t="shared" si="153"/>
        <v>0</v>
      </c>
      <c r="DS78" s="50"/>
      <c r="DT78" s="49">
        <f t="shared" si="160"/>
        <v>0</v>
      </c>
      <c r="EZ78" s="91"/>
    </row>
    <row r="79" spans="1:240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1722.0000000000014</v>
      </c>
      <c r="DS79" s="84"/>
      <c r="DT79" s="85">
        <f>SUMIF(DT47:DT78,"&gt;0")</f>
        <v>0</v>
      </c>
      <c r="EZ79" s="91"/>
    </row>
    <row r="80" spans="1:240" x14ac:dyDescent="0.25">
      <c r="B80" t="s">
        <v>197</v>
      </c>
      <c r="F80" s="1" t="s">
        <v>198</v>
      </c>
      <c r="J80" s="189" t="s">
        <v>343</v>
      </c>
      <c r="K80" s="190"/>
      <c r="L80" s="191"/>
      <c r="M80" s="75"/>
      <c r="N80" s="189" t="s">
        <v>342</v>
      </c>
      <c r="O80" s="190"/>
      <c r="P80" s="191"/>
      <c r="Q80" s="75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B47</f>
        <v>0</v>
      </c>
      <c r="F81" t="s">
        <v>173</v>
      </c>
      <c r="H81" s="146">
        <f>E74</f>
        <v>24467</v>
      </c>
      <c r="J81" s="192" t="s">
        <v>213</v>
      </c>
      <c r="K81" s="193"/>
      <c r="L81" s="194">
        <f>[5]Master!$AI$48</f>
        <v>0</v>
      </c>
      <c r="M81" s="24"/>
      <c r="N81" s="192" t="s">
        <v>213</v>
      </c>
      <c r="O81" s="193"/>
      <c r="P81" s="194">
        <f>[5]Master!$BN$36</f>
        <v>12602</v>
      </c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v>0</v>
      </c>
      <c r="F82" t="s">
        <v>174</v>
      </c>
      <c r="H82" s="148">
        <f>Mar!E75</f>
        <v>22617</v>
      </c>
      <c r="J82" s="192" t="s">
        <v>214</v>
      </c>
      <c r="K82" s="195"/>
      <c r="L82" s="196">
        <f>[5]Master!$AI$49</f>
        <v>488328</v>
      </c>
      <c r="M82" s="24"/>
      <c r="N82" s="192" t="s">
        <v>214</v>
      </c>
      <c r="O82" s="195"/>
      <c r="P82" s="196">
        <f>[4]Master!$BN$37</f>
        <v>12956</v>
      </c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</f>
        <v>0</v>
      </c>
      <c r="E83" t="s">
        <v>176</v>
      </c>
      <c r="F83" t="s">
        <v>175</v>
      </c>
      <c r="H83" s="104">
        <f>(H81-H82)*1000</f>
        <v>1850000</v>
      </c>
      <c r="I83" t="s">
        <v>176</v>
      </c>
      <c r="J83" s="192" t="s">
        <v>175</v>
      </c>
      <c r="K83" s="192"/>
      <c r="L83" s="197">
        <f>L81-L82</f>
        <v>-488328</v>
      </c>
      <c r="M83" s="24" t="s">
        <v>215</v>
      </c>
      <c r="N83" s="192" t="s">
        <v>175</v>
      </c>
      <c r="O83" s="192"/>
      <c r="P83" s="197">
        <f>P81-P82</f>
        <v>-354</v>
      </c>
      <c r="Q83" s="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customSheetViews>
    <customSheetView guid="{48545DB9-4D9D-4699-ACEC-DA6E2D3586A8}" scale="82" fitToPage="1" hiddenRows="1" hiddenColumns="1">
      <pane xSplit="1" ySplit="6" topLeftCell="GI7" activePane="bottomRight" state="frozen"/>
      <selection pane="bottomRight" activeCell="GV29" sqref="GV29"/>
      <pageMargins left="0.70866141732283472" right="0.70866141732283472" top="0.74803149606299213" bottom="0.74803149606299213" header="0.31496062992125984" footer="0.31496062992125984"/>
      <pageSetup scale="10" orientation="landscape" r:id="rId1"/>
    </customSheetView>
    <customSheetView guid="{32ABFE17-599B-4D0B-A1DB-D95B181877FC}" scale="82" fitToPage="1" hiddenRows="1" hiddenColumns="1">
      <pane xSplit="1" ySplit="6" topLeftCell="GI7" activePane="bottomRight" state="frozen"/>
      <selection pane="bottomRight" activeCell="GV29" sqref="GV29"/>
      <pageMargins left="0.70866141732283472" right="0.70866141732283472" top="0.74803149606299213" bottom="0.74803149606299213" header="0.31496062992125984" footer="0.31496062992125984"/>
      <pageSetup scale="10" orientation="landscape" r:id="rId2"/>
    </customSheetView>
  </customSheetViews>
  <mergeCells count="154">
    <mergeCell ref="AP48:AS48"/>
    <mergeCell ref="EE48:EG48"/>
    <mergeCell ref="EH48:EJ48"/>
    <mergeCell ref="EK48:EM48"/>
    <mergeCell ref="EV48:EW48"/>
    <mergeCell ref="FR42:FR43"/>
    <mergeCell ref="FS42:FU42"/>
    <mergeCell ref="DQ43:DR45"/>
    <mergeCell ref="DS43:DT45"/>
    <mergeCell ref="EZ43:EZ44"/>
    <mergeCell ref="FA43:FA44"/>
    <mergeCell ref="FB43:FB44"/>
    <mergeCell ref="EW45:EX45"/>
    <mergeCell ref="FH41:FJ41"/>
    <mergeCell ref="FO41:FQ41"/>
    <mergeCell ref="DQ42:DT42"/>
    <mergeCell ref="FF42:FG43"/>
    <mergeCell ref="FH42:FI43"/>
    <mergeCell ref="FJ42:FK43"/>
    <mergeCell ref="FL42:FM43"/>
    <mergeCell ref="FN42:FN44"/>
    <mergeCell ref="FO42:FQ44"/>
    <mergeCell ref="BU41:BW41"/>
    <mergeCell ref="BY41:CA41"/>
    <mergeCell ref="DU41:DW41"/>
    <mergeCell ref="DX41:DZ41"/>
    <mergeCell ref="EA41:EC41"/>
    <mergeCell ref="EO41:EQ41"/>
    <mergeCell ref="ER41:ET41"/>
    <mergeCell ref="EU41:EZ41"/>
    <mergeCell ref="FE41:FG41"/>
    <mergeCell ref="JN5:JP5"/>
    <mergeCell ref="JQ5:JS5"/>
    <mergeCell ref="JT5:JV5"/>
    <mergeCell ref="JW5:JY5"/>
    <mergeCell ref="FV6:FX6"/>
    <mergeCell ref="FY6:GA6"/>
    <mergeCell ref="GB6:GD6"/>
    <mergeCell ref="GE6:GG6"/>
    <mergeCell ref="GH6:GJ6"/>
    <mergeCell ref="GK6:GM6"/>
    <mergeCell ref="IV5:IX5"/>
    <mergeCell ref="IY5:JA5"/>
    <mergeCell ref="JB5:JD5"/>
    <mergeCell ref="JE5:JG5"/>
    <mergeCell ref="JH5:JJ5"/>
    <mergeCell ref="JK5:JM5"/>
    <mergeCell ref="ID5:IF5"/>
    <mergeCell ref="IG5:II5"/>
    <mergeCell ref="IJ5:IL5"/>
    <mergeCell ref="IM5:IO5"/>
    <mergeCell ref="IP5:IR5"/>
    <mergeCell ref="IS5:IU5"/>
    <mergeCell ref="GU6:GX6"/>
    <mergeCell ref="GY6:HB6"/>
    <mergeCell ref="FN5:FP5"/>
    <mergeCell ref="FQ5:FS5"/>
    <mergeCell ref="HQ5:HS5"/>
    <mergeCell ref="HT5:HV5"/>
    <mergeCell ref="HW5:HY5"/>
    <mergeCell ref="HZ5:IB5"/>
    <mergeCell ref="EE5:EG5"/>
    <mergeCell ref="EH5:EJ5"/>
    <mergeCell ref="EK5:EM5"/>
    <mergeCell ref="EO5:EQ5"/>
    <mergeCell ref="ER5:ET5"/>
    <mergeCell ref="EU5:EW5"/>
    <mergeCell ref="DU5:DW5"/>
    <mergeCell ref="DX5:DZ5"/>
    <mergeCell ref="EA5:EC5"/>
    <mergeCell ref="BA5:BC5"/>
    <mergeCell ref="BS5:BT5"/>
    <mergeCell ref="BU5:BX5"/>
    <mergeCell ref="BY5:CB5"/>
    <mergeCell ref="CC5:CD5"/>
    <mergeCell ref="CE5:CF5"/>
    <mergeCell ref="CG5:CH5"/>
    <mergeCell ref="CI5:CL5"/>
    <mergeCell ref="CM5:CP5"/>
    <mergeCell ref="CQ5:CT5"/>
    <mergeCell ref="CU5:CX5"/>
    <mergeCell ref="CY5:DB5"/>
    <mergeCell ref="ID4:IO4"/>
    <mergeCell ref="IP4:JG4"/>
    <mergeCell ref="JH4:JY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AG5:AJ5"/>
    <mergeCell ref="AL5:AO5"/>
    <mergeCell ref="HH3:JY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IC4:IC5"/>
    <mergeCell ref="HN4:IB4"/>
    <mergeCell ref="HN5:HP5"/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EE4:EG4"/>
    <mergeCell ref="EH4:EJ4"/>
    <mergeCell ref="GQ3:GS3"/>
    <mergeCell ref="AT5:AU5"/>
    <mergeCell ref="AV5:AW5"/>
    <mergeCell ref="AX5:AZ5"/>
    <mergeCell ref="S5:T5"/>
    <mergeCell ref="U5:V5"/>
    <mergeCell ref="W5:X5"/>
    <mergeCell ref="Y5:Z5"/>
    <mergeCell ref="AA5:AB5"/>
    <mergeCell ref="AC5:AF5"/>
    <mergeCell ref="AP5:AS5"/>
    <mergeCell ref="DC5:DF5"/>
  </mergeCells>
  <pageMargins left="0.70866141732283472" right="0.70866141732283472" top="0.74803149606299213" bottom="0.74803149606299213" header="0.31496062992125984" footer="0.31496062992125984"/>
  <pageSetup scale="10" orientation="landscape"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2:CG71"/>
  <sheetViews>
    <sheetView zoomScale="85" zoomScaleNormal="85" workbookViewId="0">
      <pane xSplit="1" ySplit="6" topLeftCell="N25" activePane="bottomRight" state="frozen"/>
      <selection pane="topRight" activeCell="B1" sqref="B1"/>
      <selection pane="bottomLeft" activeCell="A7" sqref="A7"/>
      <selection pane="bottomRight" activeCell="B67" sqref="B67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hidden="1" customWidth="1"/>
    <col min="16" max="16" width="10.7109375" hidden="1" customWidth="1"/>
    <col min="17" max="17" width="10.85546875" hidden="1" customWidth="1"/>
    <col min="18" max="18" width="10.5703125" hidden="1" customWidth="1"/>
    <col min="19" max="19" width="11.28515625" hidden="1" customWidth="1"/>
    <col min="20" max="20" width="10.85546875" hidden="1" customWidth="1"/>
    <col min="21" max="21" width="11.28515625" hidden="1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2" width="10.42578125" customWidth="1"/>
    <col min="33" max="33" width="12.7109375" customWidth="1"/>
    <col min="34" max="34" width="10.85546875" hidden="1" customWidth="1"/>
    <col min="35" max="36" width="11.285156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2.42578125" bestFit="1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2.42578125" bestFit="1" customWidth="1"/>
    <col min="46" max="46" width="11.28515625" hidden="1" customWidth="1"/>
    <col min="47" max="47" width="11.42578125" hidden="1" customWidth="1"/>
    <col min="48" max="48" width="12" hidden="1" customWidth="1"/>
    <col min="49" max="50" width="11.28515625" hidden="1" customWidth="1"/>
    <col min="51" max="51" width="12.42578125" bestFit="1" customWidth="1"/>
    <col min="52" max="52" width="11.28515625" hidden="1" customWidth="1"/>
    <col min="53" max="53" width="11.42578125" hidden="1" customWidth="1"/>
    <col min="54" max="55" width="11.28515625" hidden="1" customWidth="1"/>
    <col min="56" max="56" width="12.42578125" bestFit="1" customWidth="1"/>
    <col min="57" max="58" width="12.42578125" hidden="1" customWidth="1"/>
    <col min="59" max="59" width="12.42578125" customWidth="1"/>
    <col min="60" max="60" width="10.7109375" customWidth="1"/>
    <col min="61" max="63" width="3.7109375" customWidth="1"/>
    <col min="64" max="65" width="10.7109375" customWidth="1"/>
    <col min="66" max="66" width="3.7109375" customWidth="1"/>
    <col min="67" max="68" width="10.7109375" customWidth="1"/>
    <col min="69" max="71" width="3.7109375" customWidth="1"/>
    <col min="72" max="72" width="4.7109375" customWidth="1"/>
    <col min="73" max="73" width="11.42578125" customWidth="1"/>
    <col min="74" max="74" width="58.42578125" hidden="1" customWidth="1"/>
    <col min="75" max="75" width="16.140625" hidden="1" customWidth="1"/>
    <col min="76" max="76" width="11.7109375" hidden="1" customWidth="1"/>
    <col min="77" max="77" width="9.140625" hidden="1" customWidth="1"/>
    <col min="78" max="81" width="10.5703125" hidden="1" customWidth="1"/>
    <col min="82" max="82" width="12.5703125" hidden="1" customWidth="1"/>
    <col min="83" max="85" width="9.140625" hidden="1" customWidth="1"/>
  </cols>
  <sheetData>
    <row r="2" spans="1:82" ht="26.25" x14ac:dyDescent="0.4">
      <c r="A2" s="499" t="s">
        <v>345</v>
      </c>
      <c r="B2" s="499"/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499"/>
      <c r="O2" s="499"/>
      <c r="P2" s="499"/>
      <c r="Q2" s="499"/>
      <c r="R2" s="499"/>
      <c r="S2" s="499"/>
      <c r="T2" s="499"/>
      <c r="U2" s="499"/>
      <c r="V2" s="499"/>
      <c r="W2" s="499"/>
      <c r="X2" s="499"/>
      <c r="Y2" s="499"/>
      <c r="Z2" s="499"/>
      <c r="AA2" s="499"/>
      <c r="AB2" s="499"/>
      <c r="AC2" s="499"/>
      <c r="AD2" s="499"/>
      <c r="AE2" s="499"/>
      <c r="AF2" s="499"/>
      <c r="AG2" s="499"/>
      <c r="AH2" s="499"/>
      <c r="AI2" s="499"/>
      <c r="AJ2" s="499"/>
      <c r="AK2" s="499"/>
      <c r="AL2" s="499"/>
      <c r="AM2" s="499"/>
      <c r="AN2" s="499"/>
      <c r="AO2" s="499"/>
      <c r="AP2" s="499"/>
      <c r="AQ2" s="499"/>
      <c r="AR2" s="499"/>
      <c r="AS2" s="499"/>
      <c r="AT2" s="499"/>
      <c r="AU2" s="499"/>
      <c r="AV2" s="499"/>
      <c r="AW2" s="499"/>
      <c r="AX2" s="499"/>
      <c r="AY2" s="499"/>
      <c r="AZ2" s="499"/>
      <c r="BA2" s="499"/>
      <c r="BB2" s="499"/>
      <c r="BC2" s="499"/>
      <c r="BD2" s="499"/>
      <c r="BE2" s="499"/>
      <c r="BF2" s="499"/>
      <c r="BG2" s="499"/>
      <c r="BH2" s="499"/>
      <c r="BI2" s="499"/>
      <c r="BJ2" s="499"/>
      <c r="BK2" s="499"/>
      <c r="BL2" s="499"/>
      <c r="BM2" s="499"/>
      <c r="BN2" s="499"/>
      <c r="BO2" s="499"/>
      <c r="BP2" s="499"/>
      <c r="BQ2" s="499"/>
      <c r="BR2" s="499"/>
      <c r="BS2" s="499"/>
      <c r="BT2" s="499"/>
      <c r="BU2" s="499"/>
    </row>
    <row r="4" spans="1:82" ht="15" customHeight="1" x14ac:dyDescent="0.25">
      <c r="A4" s="448" t="s">
        <v>1</v>
      </c>
      <c r="B4" s="455" t="s">
        <v>118</v>
      </c>
      <c r="C4" s="455" t="s">
        <v>119</v>
      </c>
      <c r="D4" s="465" t="s">
        <v>4</v>
      </c>
      <c r="E4" s="466"/>
      <c r="F4" s="466"/>
      <c r="G4" s="466"/>
      <c r="H4" s="466"/>
      <c r="I4" s="466"/>
      <c r="J4" s="466"/>
      <c r="K4" s="466"/>
      <c r="L4" s="466"/>
      <c r="M4" s="467"/>
      <c r="N4" s="468" t="s">
        <v>120</v>
      </c>
      <c r="O4" s="110"/>
      <c r="P4" s="110"/>
      <c r="Q4" s="110"/>
      <c r="R4" s="110"/>
      <c r="S4" s="110" t="s">
        <v>121</v>
      </c>
      <c r="T4" s="110"/>
      <c r="U4" s="110"/>
      <c r="V4" s="476" t="s">
        <v>121</v>
      </c>
      <c r="W4" s="460" t="s">
        <v>122</v>
      </c>
      <c r="X4" s="460"/>
      <c r="Y4" s="459" t="s">
        <v>123</v>
      </c>
      <c r="Z4" s="461" t="s">
        <v>124</v>
      </c>
      <c r="AA4" s="462" t="s">
        <v>125</v>
      </c>
      <c r="AB4" s="463" t="s">
        <v>126</v>
      </c>
      <c r="AC4" s="456" t="s">
        <v>127</v>
      </c>
      <c r="AD4" s="457" t="s">
        <v>200</v>
      </c>
      <c r="AE4" s="457" t="s">
        <v>223</v>
      </c>
      <c r="AF4" s="457" t="s">
        <v>248</v>
      </c>
      <c r="AG4" s="457" t="s">
        <v>249</v>
      </c>
      <c r="AH4" s="458" t="s">
        <v>128</v>
      </c>
      <c r="AI4" s="458"/>
      <c r="AJ4" s="458"/>
      <c r="AK4" s="454" t="s">
        <v>129</v>
      </c>
      <c r="AL4" s="454" t="s">
        <v>130</v>
      </c>
      <c r="AM4" s="454"/>
      <c r="AN4" s="454"/>
      <c r="AO4" s="454" t="s">
        <v>14</v>
      </c>
      <c r="AP4" s="459" t="s">
        <v>131</v>
      </c>
      <c r="AQ4" s="459"/>
      <c r="AR4" s="459"/>
      <c r="AS4" s="459" t="s">
        <v>17</v>
      </c>
      <c r="AT4" s="453" t="s">
        <v>132</v>
      </c>
      <c r="AU4" s="453"/>
      <c r="AV4" s="453"/>
      <c r="AW4" s="453"/>
      <c r="AX4" s="111"/>
      <c r="AY4" s="453" t="s">
        <v>15</v>
      </c>
      <c r="AZ4" s="453" t="s">
        <v>133</v>
      </c>
      <c r="BA4" s="453"/>
      <c r="BB4" s="453"/>
      <c r="BC4" s="111"/>
      <c r="BD4" s="453" t="s">
        <v>16</v>
      </c>
      <c r="BE4" s="505" t="s">
        <v>19</v>
      </c>
      <c r="BF4" s="506"/>
      <c r="BG4" s="459" t="s">
        <v>19</v>
      </c>
      <c r="BH4" s="477" t="s">
        <v>201</v>
      </c>
      <c r="BI4" s="478"/>
      <c r="BJ4" s="478"/>
      <c r="BK4" s="479"/>
      <c r="BL4" s="483" t="s">
        <v>134</v>
      </c>
      <c r="BM4" s="483"/>
      <c r="BN4" s="483"/>
      <c r="BO4" s="483"/>
      <c r="BP4" s="501" t="s">
        <v>335</v>
      </c>
      <c r="BQ4" s="501"/>
      <c r="BR4" s="501"/>
      <c r="BS4" s="502"/>
      <c r="BT4" s="455" t="s">
        <v>293</v>
      </c>
      <c r="BU4" s="455" t="s">
        <v>190</v>
      </c>
      <c r="BX4" s="455" t="s">
        <v>278</v>
      </c>
      <c r="BY4" s="455" t="s">
        <v>279</v>
      </c>
      <c r="BZ4" s="455" t="s">
        <v>204</v>
      </c>
      <c r="CA4" s="455" t="s">
        <v>260</v>
      </c>
      <c r="CB4" s="455" t="s">
        <v>261</v>
      </c>
      <c r="CC4" s="455" t="s">
        <v>318</v>
      </c>
      <c r="CD4" s="455" t="s">
        <v>280</v>
      </c>
    </row>
    <row r="5" spans="1:82" x14ac:dyDescent="0.25">
      <c r="A5" s="448"/>
      <c r="B5" s="455"/>
      <c r="C5" s="455"/>
      <c r="D5" s="471" t="s">
        <v>135</v>
      </c>
      <c r="E5" s="472"/>
      <c r="F5" s="472"/>
      <c r="G5" s="472"/>
      <c r="H5" s="472"/>
      <c r="I5" s="473"/>
      <c r="J5" s="474" t="s">
        <v>136</v>
      </c>
      <c r="K5" s="475"/>
      <c r="L5" s="474" t="s">
        <v>55</v>
      </c>
      <c r="M5" s="475"/>
      <c r="N5" s="469"/>
      <c r="O5" s="110"/>
      <c r="P5" s="110"/>
      <c r="Q5" s="110"/>
      <c r="R5" s="110"/>
      <c r="S5" s="110"/>
      <c r="T5" s="110"/>
      <c r="U5" s="110"/>
      <c r="V5" s="476"/>
      <c r="W5" s="460"/>
      <c r="X5" s="460"/>
      <c r="Y5" s="459"/>
      <c r="Z5" s="461"/>
      <c r="AA5" s="462"/>
      <c r="AB5" s="463"/>
      <c r="AC5" s="456"/>
      <c r="AD5" s="457"/>
      <c r="AE5" s="457"/>
      <c r="AF5" s="457"/>
      <c r="AG5" s="457"/>
      <c r="AH5" s="112"/>
      <c r="AI5" s="112"/>
      <c r="AJ5" s="112"/>
      <c r="AK5" s="454"/>
      <c r="AL5" s="113"/>
      <c r="AM5" s="113"/>
      <c r="AN5" s="113"/>
      <c r="AO5" s="454"/>
      <c r="AP5" s="114"/>
      <c r="AQ5" s="114"/>
      <c r="AR5" s="114"/>
      <c r="AS5" s="459"/>
      <c r="AT5" s="111"/>
      <c r="AU5" s="111"/>
      <c r="AV5" s="111"/>
      <c r="AW5" s="111"/>
      <c r="AX5" s="111"/>
      <c r="AY5" s="453"/>
      <c r="AZ5" s="111"/>
      <c r="BA5" s="111"/>
      <c r="BB5" s="111"/>
      <c r="BC5" s="111"/>
      <c r="BD5" s="453"/>
      <c r="BE5" s="218"/>
      <c r="BF5" s="218"/>
      <c r="BG5" s="459"/>
      <c r="BH5" s="480"/>
      <c r="BI5" s="481"/>
      <c r="BJ5" s="481"/>
      <c r="BK5" s="482"/>
      <c r="BL5" s="483"/>
      <c r="BM5" s="483"/>
      <c r="BN5" s="483"/>
      <c r="BO5" s="483"/>
      <c r="BP5" s="503"/>
      <c r="BQ5" s="503"/>
      <c r="BR5" s="503"/>
      <c r="BS5" s="504"/>
      <c r="BT5" s="455"/>
      <c r="BU5" s="455"/>
      <c r="BX5" s="455"/>
      <c r="BY5" s="455"/>
      <c r="BZ5" s="455"/>
      <c r="CA5" s="455"/>
      <c r="CB5" s="455"/>
      <c r="CC5" s="455"/>
      <c r="CD5" s="455"/>
    </row>
    <row r="6" spans="1:82" ht="60" x14ac:dyDescent="0.25">
      <c r="A6" s="448"/>
      <c r="B6" s="455"/>
      <c r="C6" s="455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70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76"/>
      <c r="W6" s="120" t="s">
        <v>62</v>
      </c>
      <c r="X6" s="121" t="s">
        <v>63</v>
      </c>
      <c r="Y6" s="459"/>
      <c r="Z6" s="461"/>
      <c r="AA6" s="462"/>
      <c r="AB6" s="463"/>
      <c r="AC6" s="456"/>
      <c r="AD6" s="457"/>
      <c r="AE6" s="457"/>
      <c r="AF6" s="457"/>
      <c r="AG6" s="457"/>
      <c r="AH6" s="112" t="s">
        <v>66</v>
      </c>
      <c r="AI6" s="112" t="s">
        <v>67</v>
      </c>
      <c r="AJ6" s="112" t="s">
        <v>147</v>
      </c>
      <c r="AK6" s="454"/>
      <c r="AL6" s="122" t="s">
        <v>148</v>
      </c>
      <c r="AM6" s="122" t="s">
        <v>149</v>
      </c>
      <c r="AN6" s="122" t="s">
        <v>150</v>
      </c>
      <c r="AO6" s="454"/>
      <c r="AP6" s="114" t="s">
        <v>99</v>
      </c>
      <c r="AQ6" s="114" t="s">
        <v>100</v>
      </c>
      <c r="AR6" s="114" t="s">
        <v>151</v>
      </c>
      <c r="AS6" s="459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453"/>
      <c r="AZ6" s="111" t="s">
        <v>152</v>
      </c>
      <c r="BA6" s="111" t="s">
        <v>153</v>
      </c>
      <c r="BB6" s="111" t="s">
        <v>155</v>
      </c>
      <c r="BC6" s="111" t="s">
        <v>151</v>
      </c>
      <c r="BD6" s="453"/>
      <c r="BE6" s="114" t="s">
        <v>202</v>
      </c>
      <c r="BF6" s="114" t="s">
        <v>330</v>
      </c>
      <c r="BG6" s="459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455"/>
      <c r="BU6" s="455"/>
      <c r="BX6" s="455"/>
      <c r="BY6" s="455"/>
      <c r="BZ6" s="455"/>
      <c r="CA6" s="455"/>
      <c r="CB6" s="455"/>
      <c r="CC6" s="455"/>
      <c r="CD6" s="455"/>
    </row>
    <row r="7" spans="1:82" x14ac:dyDescent="0.25">
      <c r="A7" s="124">
        <v>1</v>
      </c>
      <c r="B7" s="42">
        <f>Apr!G8</f>
        <v>285439.99999999872</v>
      </c>
      <c r="C7" s="42">
        <f>Apr!N8</f>
        <v>280000</v>
      </c>
      <c r="D7" s="42">
        <f>Apr!T8</f>
        <v>0</v>
      </c>
      <c r="E7" s="42">
        <f>Apr!V8</f>
        <v>0</v>
      </c>
      <c r="F7" s="42">
        <f>Apr!AB8</f>
        <v>5210</v>
      </c>
      <c r="G7" s="42">
        <f>Apr!X8</f>
        <v>7790</v>
      </c>
      <c r="H7" s="42">
        <f>Apr!AE8</f>
        <v>7699.9999999998181</v>
      </c>
      <c r="I7" s="42">
        <f>Apr!AI8</f>
        <v>14963.079999998909</v>
      </c>
      <c r="J7" s="42">
        <f>Apr!AN8</f>
        <v>5233.0800000000499</v>
      </c>
      <c r="K7" s="42">
        <f>Apr!AR8</f>
        <v>5659.9999999998545</v>
      </c>
      <c r="L7" s="42">
        <f>Apr!AZ8</f>
        <v>368.19999999995343</v>
      </c>
      <c r="M7" s="42">
        <f>Apr!BC8</f>
        <v>530.61999999999534</v>
      </c>
      <c r="N7" s="125">
        <f t="shared" ref="N7" si="0">SUM(D7:M7)</f>
        <v>47454.979999998584</v>
      </c>
      <c r="O7" s="125">
        <f>Apr!CA8</f>
        <v>870.00000000000455</v>
      </c>
      <c r="P7" s="125">
        <f>Apr!CD8</f>
        <v>2270</v>
      </c>
      <c r="Q7" s="125">
        <f>Apr!CF8</f>
        <v>6450</v>
      </c>
      <c r="R7" s="125">
        <f>Apr!CH8</f>
        <v>0</v>
      </c>
      <c r="S7" s="125">
        <f>Apr!CK8</f>
        <v>20893.079999999998</v>
      </c>
      <c r="T7" s="125">
        <f>Apr!CO8</f>
        <v>9163.0800000000909</v>
      </c>
      <c r="U7" s="125">
        <f>Apr!CS8</f>
        <v>7563.0799999997271</v>
      </c>
      <c r="V7" s="126">
        <f>SUM(O7:U7)</f>
        <v>47209.239999999816</v>
      </c>
      <c r="W7" s="126">
        <f>Apr!CW8</f>
        <v>700</v>
      </c>
      <c r="X7" s="126">
        <f>Apr!DA8</f>
        <v>700</v>
      </c>
      <c r="Y7" s="126">
        <f t="shared" ref="Y7:Y34" si="1">W7+X7</f>
        <v>1400</v>
      </c>
      <c r="Z7" s="42">
        <f>Apr!BR8</f>
        <v>279.99999999997272</v>
      </c>
      <c r="AA7" s="126">
        <f>Apr!BG8</f>
        <v>2500</v>
      </c>
      <c r="AB7" s="126">
        <f>Apr!BJ8</f>
        <v>10199.999999998909</v>
      </c>
      <c r="AC7" s="126">
        <f>Apr!BL8+Apr!BN8</f>
        <v>4249.9999999999773</v>
      </c>
      <c r="AD7" s="126">
        <f>Apr!DR8</f>
        <v>4300</v>
      </c>
      <c r="AE7" s="127">
        <f>Apr!DT8-Apr!DR48-Apr!DT48</f>
        <v>0</v>
      </c>
      <c r="AF7" s="127">
        <f>Apr!DR48+Apr!DT48</f>
        <v>0</v>
      </c>
      <c r="AG7" s="127">
        <f>Apr!HJ8-AE7</f>
        <v>90099.999999999447</v>
      </c>
      <c r="AH7" s="127">
        <f>Apr!DW8</f>
        <v>4899.9999999996362</v>
      </c>
      <c r="AI7" s="127">
        <f>Apr!DZ8</f>
        <v>6763.08</v>
      </c>
      <c r="AJ7" s="127">
        <f>Apr!EC8</f>
        <v>28923.08</v>
      </c>
      <c r="AK7" s="127">
        <f>SUM(AH7:AJ7)</f>
        <v>40586.15999999964</v>
      </c>
      <c r="AL7" s="127">
        <f>Apr!EG8</f>
        <v>36923.08</v>
      </c>
      <c r="AM7" s="127">
        <f>Apr!EJ8</f>
        <v>10763.08</v>
      </c>
      <c r="AN7" s="127">
        <f>Apr!EM8</f>
        <v>710.00000000003638</v>
      </c>
      <c r="AO7" s="127">
        <f>SUM(AL7:AN7)</f>
        <v>48396.16000000004</v>
      </c>
      <c r="AP7" s="127">
        <f>Apr!FX8</f>
        <v>19100</v>
      </c>
      <c r="AQ7" s="127">
        <f>Apr!GA8</f>
        <v>4619.9999999998181</v>
      </c>
      <c r="AR7" s="127">
        <f>Apr!GG8</f>
        <v>4700.0000000016371</v>
      </c>
      <c r="AS7" s="127">
        <f>SUM(AP7:AR7)</f>
        <v>28420.000000001455</v>
      </c>
      <c r="AT7" s="127">
        <f>Apr!EQ8</f>
        <v>8648.0800000000472</v>
      </c>
      <c r="AU7" s="127">
        <f>Apr!ET8</f>
        <v>17100.000000000364</v>
      </c>
      <c r="AV7" s="127">
        <f>Apr!EW8</f>
        <v>9263.08</v>
      </c>
      <c r="AW7" s="127">
        <f>Apr!FL45</f>
        <v>13526.868854867598</v>
      </c>
      <c r="AX7" s="127">
        <f>Apr!GJ8</f>
        <v>1699.9999999998181</v>
      </c>
      <c r="AY7" s="127">
        <f>SUM(AT7:AX7)</f>
        <v>50238.028854867829</v>
      </c>
      <c r="AZ7" s="127">
        <f>Apr!FG8</f>
        <v>12139.749999999953</v>
      </c>
      <c r="BA7" s="127">
        <f>Apr!FJ8</f>
        <v>21124.749999999454</v>
      </c>
      <c r="BB7" s="127">
        <f>Apr!FM45</f>
        <v>13260.961145132405</v>
      </c>
      <c r="BC7" s="127">
        <f>Apr!GM8</f>
        <v>1500</v>
      </c>
      <c r="BD7" s="127">
        <f>SUM(AZ7:BC7)</f>
        <v>48025.461145131805</v>
      </c>
      <c r="BE7" s="127">
        <f>Apr!GP8</f>
        <v>0</v>
      </c>
      <c r="BF7" s="127">
        <f>Apr!GS8</f>
        <v>1080</v>
      </c>
      <c r="BG7" s="127">
        <f>BE7+BF7</f>
        <v>1080</v>
      </c>
      <c r="BH7" s="127">
        <f>Y7</f>
        <v>1400</v>
      </c>
      <c r="BI7" s="127"/>
      <c r="BJ7" s="127"/>
      <c r="BK7" s="127"/>
      <c r="BL7" s="128">
        <f>AS7+BG7</f>
        <v>29500.000000001455</v>
      </c>
      <c r="BM7" s="128"/>
      <c r="BN7" s="128"/>
      <c r="BO7" s="128"/>
      <c r="BP7" s="128"/>
      <c r="BQ7" s="128"/>
      <c r="BR7" s="128"/>
      <c r="BS7" s="128"/>
      <c r="BT7" s="42">
        <f>Apr!D46</f>
        <v>0</v>
      </c>
      <c r="BU7" s="42">
        <f>Apr!G46</f>
        <v>139000</v>
      </c>
      <c r="BV7" t="s">
        <v>305</v>
      </c>
      <c r="BX7" s="42">
        <f>Apr!HJ8</f>
        <v>90099.999999999447</v>
      </c>
      <c r="BY7" s="42">
        <f>Apr!HM8</f>
        <v>0</v>
      </c>
      <c r="BZ7" s="42">
        <f>Apr!HS8</f>
        <v>30685.999999999909</v>
      </c>
      <c r="CA7" s="42">
        <f>Apr!HV8</f>
        <v>19685.999999999909</v>
      </c>
      <c r="CB7" s="42">
        <f>Apr!HY8</f>
        <v>21065.999999999905</v>
      </c>
      <c r="CC7" s="42">
        <f>Apr!HP8</f>
        <v>18661.999999999993</v>
      </c>
      <c r="CD7" s="42">
        <f>Apr!IB8</f>
        <v>0</v>
      </c>
    </row>
    <row r="8" spans="1:82" x14ac:dyDescent="0.25">
      <c r="A8" s="26">
        <f>A7+1</f>
        <v>2</v>
      </c>
      <c r="B8" s="42">
        <f>Apr!G9</f>
        <v>296639.99999999942</v>
      </c>
      <c r="C8" s="42">
        <f>Apr!N9</f>
        <v>288000</v>
      </c>
      <c r="D8" s="42">
        <f>Apr!T9</f>
        <v>0</v>
      </c>
      <c r="E8" s="42">
        <f>Apr!V9</f>
        <v>0</v>
      </c>
      <c r="F8" s="42">
        <f>Apr!AB9</f>
        <v>5180</v>
      </c>
      <c r="G8" s="42">
        <f>Apr!X9</f>
        <v>8119.9999999992724</v>
      </c>
      <c r="H8" s="42">
        <f>Apr!AE9</f>
        <v>7500</v>
      </c>
      <c r="I8" s="42">
        <f>Apr!AI9</f>
        <v>13943.720000001091</v>
      </c>
      <c r="J8" s="42">
        <f>Apr!AN9</f>
        <v>7063.7199999991126</v>
      </c>
      <c r="K8" s="42">
        <f>Apr!AR9</f>
        <v>8300.0000000001819</v>
      </c>
      <c r="L8" s="42">
        <f>Apr!AZ9</f>
        <v>189.52000000001863</v>
      </c>
      <c r="M8" s="42">
        <f>Apr!BC9</f>
        <v>241.32000000000698</v>
      </c>
      <c r="N8" s="125">
        <f t="shared" ref="N8:N15" si="2">SUM(D8:M8)</f>
        <v>50538.279999999686</v>
      </c>
      <c r="O8" s="125">
        <f>Apr!CA9</f>
        <v>850.30000000000427</v>
      </c>
      <c r="P8" s="125">
        <f>Apr!CD9</f>
        <v>2099.6999999999534</v>
      </c>
      <c r="Q8" s="125">
        <f>Apr!CF9</f>
        <v>7910.5999999999767</v>
      </c>
      <c r="R8" s="125">
        <f>Apr!CH9</f>
        <v>0</v>
      </c>
      <c r="S8" s="125">
        <f>Apr!CK9</f>
        <v>19973.420000000289</v>
      </c>
      <c r="T8" s="125">
        <f>Apr!CO9</f>
        <v>8539.7199999997301</v>
      </c>
      <c r="U8" s="125">
        <f>Apr!CS9</f>
        <v>6941.7200000002294</v>
      </c>
      <c r="V8" s="126">
        <f t="shared" ref="V8:V34" si="3">SUM(O8:U8)</f>
        <v>46315.460000000181</v>
      </c>
      <c r="W8" s="126">
        <f>Apr!CW9</f>
        <v>822</v>
      </c>
      <c r="X8" s="126">
        <f>Apr!DA9</f>
        <v>396</v>
      </c>
      <c r="Y8" s="126">
        <f t="shared" si="1"/>
        <v>1218</v>
      </c>
      <c r="Z8" s="42">
        <f>Apr!BR9</f>
        <v>540.00000000007731</v>
      </c>
      <c r="AA8" s="126">
        <f>Apr!BG9</f>
        <v>2299.9999999999545</v>
      </c>
      <c r="AB8" s="126">
        <f>Apr!BJ9</f>
        <v>9700.0000000007276</v>
      </c>
      <c r="AC8" s="126">
        <f>Apr!BL9+Apr!BN9</f>
        <v>4340.0000000000819</v>
      </c>
      <c r="AD8" s="126">
        <f>Apr!DR9</f>
        <v>4500</v>
      </c>
      <c r="AE8" s="127">
        <f>Apr!DT9-Apr!DR49-Apr!DT49</f>
        <v>15739</v>
      </c>
      <c r="AF8" s="127">
        <f>Apr!DR49+Apr!DT49</f>
        <v>60.999999999999943</v>
      </c>
      <c r="AG8" s="127">
        <f>Apr!HJ9-AE8</f>
        <v>87961.000000000728</v>
      </c>
      <c r="AH8" s="127">
        <f>Apr!DW9</f>
        <v>4500</v>
      </c>
      <c r="AI8" s="127">
        <f>Apr!DZ9</f>
        <v>6143.72</v>
      </c>
      <c r="AJ8" s="127">
        <f>Apr!EC9</f>
        <v>26303.72</v>
      </c>
      <c r="AK8" s="127">
        <f t="shared" ref="AK8:AK34" si="4">SUM(AH8:AJ8)</f>
        <v>36947.440000000002</v>
      </c>
      <c r="AL8" s="127">
        <f>Apr!EG9</f>
        <v>34303.72</v>
      </c>
      <c r="AM8" s="127">
        <f>Apr!EJ9</f>
        <v>10143.719999999999</v>
      </c>
      <c r="AN8" s="127">
        <f>Apr!EM9</f>
        <v>689.99999999994088</v>
      </c>
      <c r="AO8" s="127">
        <f t="shared" ref="AO8:AO28" si="5">SUM(AL8:AN8)</f>
        <v>45137.439999999944</v>
      </c>
      <c r="AP8" s="127">
        <f>Apr!FX9</f>
        <v>20000</v>
      </c>
      <c r="AQ8" s="127">
        <f>Apr!GA9</f>
        <v>4979.9999999999091</v>
      </c>
      <c r="AR8" s="127">
        <f>Apr!GG9</f>
        <v>4799.9999999999545</v>
      </c>
      <c r="AS8" s="127">
        <f t="shared" ref="AS8:AS34" si="6">SUM(AP8:AR8)</f>
        <v>29779.999999999862</v>
      </c>
      <c r="AT8" s="127">
        <f>Apr!EQ9</f>
        <v>7123.7199999999611</v>
      </c>
      <c r="AU8" s="127">
        <f>Apr!ET9</f>
        <v>17000</v>
      </c>
      <c r="AV8" s="127">
        <f>Apr!EW9</f>
        <v>8543.7200000000903</v>
      </c>
      <c r="AW8" s="127">
        <f>Apr!FL46</f>
        <v>12659.82488220057</v>
      </c>
      <c r="AX8" s="127">
        <f>Apr!GJ9</f>
        <v>1700.0000000000455</v>
      </c>
      <c r="AY8" s="127">
        <f t="shared" ref="AY8:AY34" si="7">SUM(AT8:AX8)</f>
        <v>47027.264882200667</v>
      </c>
      <c r="AZ8" s="127">
        <f>Apr!FG9</f>
        <v>11990.390000000038</v>
      </c>
      <c r="BA8" s="127">
        <f>Apr!FJ9</f>
        <v>20470.39</v>
      </c>
      <c r="BB8" s="127">
        <f>Apr!FM46</f>
        <v>13454.285117799433</v>
      </c>
      <c r="BC8" s="127">
        <f>Apr!GM9</f>
        <v>1500</v>
      </c>
      <c r="BD8" s="127">
        <f t="shared" ref="BD8:BD34" si="8">SUM(AZ8:BC8)</f>
        <v>47415.065117799466</v>
      </c>
      <c r="BE8" s="127">
        <f>Apr!GP9</f>
        <v>0</v>
      </c>
      <c r="BF8" s="127">
        <f>Apr!GS9</f>
        <v>1120</v>
      </c>
      <c r="BG8" s="127">
        <f t="shared" ref="BG8:BG34" si="9">BE8+BF8</f>
        <v>1120</v>
      </c>
      <c r="BH8" s="127">
        <f t="shared" ref="BH8:BH37" si="10">Y8</f>
        <v>1218</v>
      </c>
      <c r="BI8" s="127"/>
      <c r="BJ8" s="127"/>
      <c r="BK8" s="127"/>
      <c r="BL8" s="128">
        <f>AS8+BG8</f>
        <v>30899.999999999862</v>
      </c>
      <c r="BM8" s="128"/>
      <c r="BN8" s="128"/>
      <c r="BO8" s="128"/>
      <c r="BP8" s="128"/>
      <c r="BQ8" s="128"/>
      <c r="BR8" s="128"/>
      <c r="BS8" s="128"/>
      <c r="BT8" s="42">
        <f>Apr!D47</f>
        <v>0</v>
      </c>
      <c r="BU8" s="42">
        <f>Apr!G47</f>
        <v>134000</v>
      </c>
      <c r="BV8" t="s">
        <v>305</v>
      </c>
      <c r="BX8" s="42">
        <f>Apr!HJ9</f>
        <v>103700.00000000073</v>
      </c>
      <c r="BY8" s="42">
        <f>Apr!HM9</f>
        <v>0</v>
      </c>
      <c r="BZ8" s="42">
        <f>Apr!HS9</f>
        <v>29538.33000000014</v>
      </c>
      <c r="CA8" s="42">
        <f>Apr!HV9</f>
        <v>20038.33000000014</v>
      </c>
      <c r="CB8" s="42">
        <f>Apr!HY9</f>
        <v>20638.330000000045</v>
      </c>
      <c r="CC8" s="42">
        <f>Apr!HP9</f>
        <v>17685.000000000004</v>
      </c>
      <c r="CD8" s="42">
        <f>Apr!IB9</f>
        <v>15800</v>
      </c>
    </row>
    <row r="9" spans="1:82" x14ac:dyDescent="0.25">
      <c r="A9" s="26">
        <f t="shared" ref="A9:A37" si="11">A8+1</f>
        <v>3</v>
      </c>
      <c r="B9" s="42">
        <f>Apr!G10</f>
        <v>328639.99999999214</v>
      </c>
      <c r="C9" s="42">
        <f>Apr!N10</f>
        <v>325000</v>
      </c>
      <c r="D9" s="42">
        <f>Apr!T10</f>
        <v>0</v>
      </c>
      <c r="E9" s="42">
        <f>Apr!V10</f>
        <v>0</v>
      </c>
      <c r="F9" s="42">
        <f>Apr!AB10</f>
        <v>5000</v>
      </c>
      <c r="G9" s="42">
        <f>Apr!X10</f>
        <v>8400.0000000014552</v>
      </c>
      <c r="H9" s="42">
        <f>Apr!AE10</f>
        <v>5900.0000000000909</v>
      </c>
      <c r="I9" s="42">
        <f>Apr!AI10</f>
        <v>14007.609999999273</v>
      </c>
      <c r="J9" s="42">
        <f>Apr!AN10</f>
        <v>9297.6100000003826</v>
      </c>
      <c r="K9" s="42">
        <f>Apr!AR10</f>
        <v>12800.000000000182</v>
      </c>
      <c r="L9" s="42">
        <f>Apr!AZ10</f>
        <v>350</v>
      </c>
      <c r="M9" s="42">
        <f>Apr!BC10</f>
        <v>490</v>
      </c>
      <c r="N9" s="125">
        <f t="shared" si="2"/>
        <v>56245.220000001376</v>
      </c>
      <c r="O9" s="125">
        <f>Apr!CA10</f>
        <v>933.29999999997426</v>
      </c>
      <c r="P9" s="125">
        <f>Apr!CD10</f>
        <v>2302.5</v>
      </c>
      <c r="Q9" s="125">
        <f>Apr!CF10</f>
        <v>7235.3000000000466</v>
      </c>
      <c r="R9" s="125">
        <f>Apr!CH10</f>
        <v>0</v>
      </c>
      <c r="S9" s="125">
        <f>Apr!CK10</f>
        <v>21214.310000000536</v>
      </c>
      <c r="T9" s="125">
        <f>Apr!CO10</f>
        <v>9200.6099999999387</v>
      </c>
      <c r="U9" s="125">
        <f>Apr!CS10</f>
        <v>7608.6099999998396</v>
      </c>
      <c r="V9" s="126">
        <f t="shared" si="3"/>
        <v>48494.630000000339</v>
      </c>
      <c r="W9" s="126">
        <f>Apr!CW10</f>
        <v>810</v>
      </c>
      <c r="X9" s="126">
        <f>Apr!DA10</f>
        <v>574</v>
      </c>
      <c r="Y9" s="126">
        <f t="shared" si="1"/>
        <v>1384</v>
      </c>
      <c r="Z9" s="42">
        <f>Apr!BR10</f>
        <v>600.00000000002274</v>
      </c>
      <c r="AA9" s="126">
        <f>Apr!BG10</f>
        <v>3100.0000000001364</v>
      </c>
      <c r="AB9" s="126">
        <f>Apr!BJ10</f>
        <v>11200.000000000728</v>
      </c>
      <c r="AC9" s="126">
        <f>Apr!BL10+Apr!BN10</f>
        <v>4409.9999999999591</v>
      </c>
      <c r="AD9" s="126">
        <f>Apr!DR10</f>
        <v>6800</v>
      </c>
      <c r="AE9" s="127">
        <f>Apr!DT10-Apr!DR50-Apr!DT50</f>
        <v>15924.999999999996</v>
      </c>
      <c r="AF9" s="127">
        <f>Apr!DR50+Apr!DT50</f>
        <v>75.000000000002842</v>
      </c>
      <c r="AG9" s="127">
        <f>Apr!HJ10-AE9</f>
        <v>90474.999999999636</v>
      </c>
      <c r="AH9" s="127">
        <f>Apr!DW10</f>
        <v>4800.0000000001819</v>
      </c>
      <c r="AI9" s="127">
        <f>Apr!DZ10</f>
        <v>6707.61</v>
      </c>
      <c r="AJ9" s="127">
        <f>Apr!EC10</f>
        <v>28867.61</v>
      </c>
      <c r="AK9" s="127">
        <f t="shared" si="4"/>
        <v>40375.220000000183</v>
      </c>
      <c r="AL9" s="127">
        <f>Apr!EG10</f>
        <v>37867.61</v>
      </c>
      <c r="AM9" s="127">
        <f>Apr!EJ10</f>
        <v>10707.61</v>
      </c>
      <c r="AN9" s="127">
        <f>Apr!EM10</f>
        <v>860.00000000001364</v>
      </c>
      <c r="AO9" s="127">
        <f t="shared" si="5"/>
        <v>49435.220000000016</v>
      </c>
      <c r="AP9" s="127">
        <f>Apr!FX10</f>
        <v>33600</v>
      </c>
      <c r="AQ9" s="127">
        <f>Apr!GA10</f>
        <v>8110.0000000000909</v>
      </c>
      <c r="AR9" s="127">
        <f>Apr!GG10</f>
        <v>7599.9999999989996</v>
      </c>
      <c r="AS9" s="127">
        <f t="shared" si="6"/>
        <v>49309.999999999083</v>
      </c>
      <c r="AT9" s="127">
        <f>Apr!EQ10</f>
        <v>6682.6100000000224</v>
      </c>
      <c r="AU9" s="127">
        <f>Apr!ET10</f>
        <v>18199.999999998909</v>
      </c>
      <c r="AV9" s="127">
        <f>Apr!EW10</f>
        <v>9207.61</v>
      </c>
      <c r="AW9" s="127">
        <f>Apr!FL47</f>
        <v>12792.689324459443</v>
      </c>
      <c r="AX9" s="127">
        <f>Apr!GJ10</f>
        <v>1500</v>
      </c>
      <c r="AY9" s="127">
        <f t="shared" si="7"/>
        <v>48382.909324458378</v>
      </c>
      <c r="AZ9" s="127">
        <f>Apr!FG10</f>
        <v>10757.609999999979</v>
      </c>
      <c r="BA9" s="127">
        <f>Apr!FJ10</f>
        <v>19632.610000000546</v>
      </c>
      <c r="BB9" s="127">
        <f>Apr!FM47</f>
        <v>14647.530675540558</v>
      </c>
      <c r="BC9" s="127">
        <f>Apr!GM10</f>
        <v>99.999999999909051</v>
      </c>
      <c r="BD9" s="127">
        <f t="shared" si="8"/>
        <v>45137.750675541</v>
      </c>
      <c r="BE9" s="127">
        <f>Apr!GP10</f>
        <v>0</v>
      </c>
      <c r="BF9" s="127">
        <f>Apr!GS10</f>
        <v>1290</v>
      </c>
      <c r="BG9" s="127">
        <f t="shared" si="9"/>
        <v>1290</v>
      </c>
      <c r="BH9" s="127">
        <f t="shared" si="10"/>
        <v>1384</v>
      </c>
      <c r="BI9" s="127"/>
      <c r="BJ9" s="127"/>
      <c r="BK9" s="127"/>
      <c r="BL9" s="128">
        <f>(AS9+BG9)*65/100</f>
        <v>32889.999999999403</v>
      </c>
      <c r="BM9" s="128"/>
      <c r="BN9" s="128"/>
      <c r="BO9" s="128">
        <f>(AS9+BG9)-BL9</f>
        <v>17709.99999999968</v>
      </c>
      <c r="BP9" s="128"/>
      <c r="BQ9" s="128"/>
      <c r="BR9" s="128"/>
      <c r="BS9" s="128"/>
      <c r="BT9" s="42">
        <f>Apr!D48</f>
        <v>0</v>
      </c>
      <c r="BU9" s="42">
        <f>Apr!G48</f>
        <v>144000</v>
      </c>
      <c r="BV9" t="s">
        <v>320</v>
      </c>
      <c r="BX9" s="42">
        <f>Apr!HJ10</f>
        <v>106399.99999999964</v>
      </c>
      <c r="BY9" s="42">
        <f>Apr!HM10</f>
        <v>0</v>
      </c>
      <c r="BZ9" s="42">
        <f>Apr!HS10</f>
        <v>30456.667000000001</v>
      </c>
      <c r="CA9" s="42">
        <f>Apr!HV10</f>
        <v>21456.667000000001</v>
      </c>
      <c r="CB9" s="42">
        <f>Apr!HY10</f>
        <v>20956.667000000001</v>
      </c>
      <c r="CC9" s="42">
        <f>Apr!HP10</f>
        <v>17530</v>
      </c>
      <c r="CD9" s="42">
        <f>Apr!IB10</f>
        <v>16000</v>
      </c>
    </row>
    <row r="10" spans="1:82" x14ac:dyDescent="0.25">
      <c r="A10" s="26">
        <f t="shared" si="11"/>
        <v>4</v>
      </c>
      <c r="B10" s="42">
        <f>Apr!G11</f>
        <v>325760.00000000204</v>
      </c>
      <c r="C10" s="42">
        <f>Apr!N11</f>
        <v>325000</v>
      </c>
      <c r="D10" s="42">
        <f>Apr!T11</f>
        <v>0</v>
      </c>
      <c r="E10" s="42">
        <f>Apr!V11</f>
        <v>0</v>
      </c>
      <c r="F10" s="42">
        <f>Apr!AB11</f>
        <v>4900</v>
      </c>
      <c r="G10" s="42">
        <f>Apr!X11</f>
        <v>8199.9999999985448</v>
      </c>
      <c r="H10" s="42">
        <f>Apr!AE11</f>
        <v>4900.0000000000909</v>
      </c>
      <c r="I10" s="42">
        <f>Apr!AI11</f>
        <v>10943.229999999636</v>
      </c>
      <c r="J10" s="42">
        <f>Apr!AN11</f>
        <v>7303.230000000859</v>
      </c>
      <c r="K10" s="42">
        <f>Apr!AR11</f>
        <v>13699.999999999818</v>
      </c>
      <c r="L10" s="42">
        <f>Apr!AZ11</f>
        <v>480</v>
      </c>
      <c r="M10" s="42">
        <f>Apr!BC11</f>
        <v>740</v>
      </c>
      <c r="N10" s="125">
        <f t="shared" si="2"/>
        <v>51166.459999998951</v>
      </c>
      <c r="O10" s="125">
        <f>Apr!CA11</f>
        <v>955.00000000004093</v>
      </c>
      <c r="P10" s="125">
        <f>Apr!CD11</f>
        <v>1694.1000000000931</v>
      </c>
      <c r="Q10" s="125">
        <f>Apr!CF11</f>
        <v>7240.5</v>
      </c>
      <c r="R10" s="125">
        <f>Apr!CH11</f>
        <v>0</v>
      </c>
      <c r="S10" s="125">
        <f>Apr!CK11</f>
        <v>19598.229999998359</v>
      </c>
      <c r="T10" s="125">
        <f>Apr!CO11</f>
        <v>7820.2300000000432</v>
      </c>
      <c r="U10" s="125">
        <f>Apr!CS11</f>
        <v>6357.2299999998504</v>
      </c>
      <c r="V10" s="126">
        <f t="shared" si="3"/>
        <v>43665.289999998386</v>
      </c>
      <c r="W10" s="126">
        <f>Apr!CW11</f>
        <v>815</v>
      </c>
      <c r="X10" s="126">
        <f>Apr!DA11</f>
        <v>567</v>
      </c>
      <c r="Y10" s="126">
        <f t="shared" si="1"/>
        <v>1382</v>
      </c>
      <c r="Z10" s="42">
        <f>Apr!BR11</f>
        <v>599.99999999990905</v>
      </c>
      <c r="AA10" s="126">
        <f>Apr!BG11</f>
        <v>2599.9999999999091</v>
      </c>
      <c r="AB10" s="126">
        <f>Apr!BJ11</f>
        <v>8199.9999999989086</v>
      </c>
      <c r="AC10" s="126">
        <f>Apr!BL11+Apr!BN11</f>
        <v>4339.9999999999591</v>
      </c>
      <c r="AD10" s="126">
        <f>Apr!DR11</f>
        <v>6700</v>
      </c>
      <c r="AE10" s="127">
        <f>Apr!DT11-Apr!DR51-Apr!DT51</f>
        <v>18316</v>
      </c>
      <c r="AF10" s="127">
        <f>Apr!DR51+Apr!DT51</f>
        <v>83.999999999999631</v>
      </c>
      <c r="AG10" s="127">
        <f>Apr!HJ11-AE10</f>
        <v>90484.000000000175</v>
      </c>
      <c r="AH10" s="127">
        <f>Apr!DW11</f>
        <v>4400.0000000005457</v>
      </c>
      <c r="AI10" s="127">
        <f>Apr!DZ11</f>
        <v>5543.23</v>
      </c>
      <c r="AJ10" s="127">
        <f>Apr!EC11</f>
        <v>24703.23</v>
      </c>
      <c r="AK10" s="127">
        <f t="shared" si="4"/>
        <v>34646.460000000545</v>
      </c>
      <c r="AL10" s="127">
        <f>Apr!EG11</f>
        <v>31703.23</v>
      </c>
      <c r="AM10" s="127">
        <f>Apr!EJ11</f>
        <v>8543.23</v>
      </c>
      <c r="AN10" s="127">
        <f>Apr!EM11</f>
        <v>750</v>
      </c>
      <c r="AO10" s="127">
        <f t="shared" si="5"/>
        <v>40996.46</v>
      </c>
      <c r="AP10" s="127">
        <f>Apr!FX11</f>
        <v>38000</v>
      </c>
      <c r="AQ10" s="127">
        <f>Apr!GA11</f>
        <v>9200</v>
      </c>
      <c r="AR10" s="127">
        <f>Apr!GG11</f>
        <v>8799.9999999997272</v>
      </c>
      <c r="AS10" s="127">
        <f t="shared" si="6"/>
        <v>55999.999999999724</v>
      </c>
      <c r="AT10" s="127">
        <f>Apr!EQ11</f>
        <v>7453.2299999999677</v>
      </c>
      <c r="AU10" s="127">
        <f>Apr!ET11</f>
        <v>18500</v>
      </c>
      <c r="AV10" s="127">
        <f>Apr!EW11</f>
        <v>8443.2299999996358</v>
      </c>
      <c r="AW10" s="127">
        <f>Apr!FL48</f>
        <v>11246.422223165851</v>
      </c>
      <c r="AX10" s="127">
        <f>Apr!GJ11</f>
        <v>1600.0000000001364</v>
      </c>
      <c r="AY10" s="127">
        <f t="shared" si="7"/>
        <v>47242.882223165587</v>
      </c>
      <c r="AZ10" s="127">
        <f>Apr!FG11</f>
        <v>10503.230000000032</v>
      </c>
      <c r="BA10" s="127">
        <f>Apr!FJ11</f>
        <v>16713.229999999272</v>
      </c>
      <c r="BB10" s="127">
        <f>Apr!FM48</f>
        <v>13710.037776834148</v>
      </c>
      <c r="BC10" s="127">
        <f>Apr!GM11</f>
        <v>100.00000000013642</v>
      </c>
      <c r="BD10" s="127">
        <f t="shared" si="8"/>
        <v>41026.497776833588</v>
      </c>
      <c r="BE10" s="127">
        <f>Apr!GP11</f>
        <v>1010</v>
      </c>
      <c r="BF10" s="127">
        <f>Apr!GS11</f>
        <v>1300</v>
      </c>
      <c r="BG10" s="127">
        <f t="shared" si="9"/>
        <v>2310</v>
      </c>
      <c r="BH10" s="127">
        <f t="shared" si="10"/>
        <v>1382</v>
      </c>
      <c r="BI10" s="127"/>
      <c r="BJ10" s="127"/>
      <c r="BK10" s="127"/>
      <c r="BL10" s="128">
        <f>(AS10+BG10)*57/100</f>
        <v>33236.699999999844</v>
      </c>
      <c r="BM10" s="128"/>
      <c r="BN10" s="128"/>
      <c r="BO10" s="128">
        <f t="shared" ref="BO10:BO17" si="12">(AS10+BG10)-BL10</f>
        <v>25073.299999999879</v>
      </c>
      <c r="BP10" s="128"/>
      <c r="BQ10" s="128"/>
      <c r="BR10" s="128"/>
      <c r="BS10" s="128"/>
      <c r="BT10" s="42">
        <f>Apr!D49</f>
        <v>0</v>
      </c>
      <c r="BU10" s="42">
        <f>Apr!G49</f>
        <v>124000</v>
      </c>
      <c r="BV10" t="s">
        <v>324</v>
      </c>
      <c r="BX10" s="42">
        <f>Apr!HJ11</f>
        <v>108800.00000000017</v>
      </c>
      <c r="BY10" s="42">
        <f>Apr!HM11</f>
        <v>0</v>
      </c>
      <c r="BZ10" s="42">
        <f>Apr!HS11</f>
        <v>31296.66669999982</v>
      </c>
      <c r="CA10" s="42">
        <f>Apr!HV11</f>
        <v>21496.666699999863</v>
      </c>
      <c r="CB10" s="42">
        <f>Apr!HY11</f>
        <v>20696.666699999911</v>
      </c>
      <c r="CC10" s="42">
        <f>Apr!HP11</f>
        <v>16910.000000000011</v>
      </c>
      <c r="CD10" s="42">
        <f>Apr!IB11</f>
        <v>18400</v>
      </c>
    </row>
    <row r="11" spans="1:82" x14ac:dyDescent="0.25">
      <c r="A11" s="26">
        <f t="shared" si="11"/>
        <v>5</v>
      </c>
      <c r="B11" s="42">
        <f>Apr!G12</f>
        <v>307200.00000001164</v>
      </c>
      <c r="C11" s="42">
        <f>Apr!N12</f>
        <v>304000</v>
      </c>
      <c r="D11" s="42">
        <f>Apr!T12</f>
        <v>0</v>
      </c>
      <c r="E11" s="42">
        <f>Apr!V12</f>
        <v>0</v>
      </c>
      <c r="F11" s="42">
        <f>Apr!AB12</f>
        <v>4900</v>
      </c>
      <c r="G11" s="42">
        <f>Apr!X12</f>
        <v>8100</v>
      </c>
      <c r="H11" s="42">
        <f>Apr!AE12</f>
        <v>4899.9999999996362</v>
      </c>
      <c r="I11" s="42">
        <f>Apr!AI12</f>
        <v>11719.540000000728</v>
      </c>
      <c r="J11" s="42">
        <f>Apr!AN12</f>
        <v>7509.5399999992369</v>
      </c>
      <c r="K11" s="42">
        <f>Apr!AR12</f>
        <v>13699.999999999818</v>
      </c>
      <c r="L11" s="42">
        <f>Apr!AZ12</f>
        <v>480</v>
      </c>
      <c r="M11" s="42">
        <f>Apr!BC12</f>
        <v>780</v>
      </c>
      <c r="N11" s="125">
        <f t="shared" si="2"/>
        <v>52089.07999999942</v>
      </c>
      <c r="O11" s="125">
        <f>Apr!CA12</f>
        <v>765.89999999998781</v>
      </c>
      <c r="P11" s="125">
        <f>Apr!CD12</f>
        <v>0</v>
      </c>
      <c r="Q11" s="125">
        <f>Apr!CF12</f>
        <v>5224.9000000000233</v>
      </c>
      <c r="R11" s="125">
        <f>Apr!CH12</f>
        <v>0</v>
      </c>
      <c r="S11" s="125">
        <f>Apr!CK12</f>
        <v>18283.640000000669</v>
      </c>
      <c r="T11" s="125">
        <f>Apr!CO12</f>
        <v>8343.54000000007</v>
      </c>
      <c r="U11" s="125">
        <f>Apr!CS12</f>
        <v>6362.5400000003019</v>
      </c>
      <c r="V11" s="126">
        <f t="shared" si="3"/>
        <v>38980.520000001052</v>
      </c>
      <c r="W11" s="126">
        <f>Apr!CW12</f>
        <v>764</v>
      </c>
      <c r="X11" s="126">
        <f>Apr!DA12</f>
        <v>569</v>
      </c>
      <c r="Y11" s="126">
        <f t="shared" si="1"/>
        <v>1333</v>
      </c>
      <c r="Z11" s="42">
        <f>Apr!BR12</f>
        <v>539.99999999996362</v>
      </c>
      <c r="AA11" s="126">
        <f>Apr!BG12</f>
        <v>2600.0000000001364</v>
      </c>
      <c r="AB11" s="126">
        <f>Apr!BJ12</f>
        <v>10500</v>
      </c>
      <c r="AC11" s="126">
        <f>Apr!BL12+Apr!BN12</f>
        <v>4270.0000000000728</v>
      </c>
      <c r="AD11" s="126">
        <f>Apr!DR12</f>
        <v>6700</v>
      </c>
      <c r="AE11" s="127">
        <f>Apr!DT12-Apr!DR52-Apr!DT52</f>
        <v>18143.000000000007</v>
      </c>
      <c r="AF11" s="127">
        <f>Apr!DR52+Apr!DT52</f>
        <v>56.999999999991502</v>
      </c>
      <c r="AG11" s="127">
        <f>Apr!HJ12-AE11</f>
        <v>84056.999999999825</v>
      </c>
      <c r="AH11" s="127">
        <f>Apr!DW12</f>
        <v>4299.9999999992724</v>
      </c>
      <c r="AI11" s="127">
        <f>Apr!DZ12</f>
        <v>8519.5400000000009</v>
      </c>
      <c r="AJ11" s="127">
        <f>Apr!EC12</f>
        <v>28679.54</v>
      </c>
      <c r="AK11" s="127">
        <f t="shared" si="4"/>
        <v>41499.079999999274</v>
      </c>
      <c r="AL11" s="127">
        <f>Apr!EG12</f>
        <v>36679.54</v>
      </c>
      <c r="AM11" s="127">
        <f>Apr!EJ12</f>
        <v>10519.54</v>
      </c>
      <c r="AN11" s="127">
        <f>Apr!EM12</f>
        <v>710.00000000003638</v>
      </c>
      <c r="AO11" s="127">
        <f t="shared" si="5"/>
        <v>47909.080000000038</v>
      </c>
      <c r="AP11" s="127">
        <f>Apr!FX12</f>
        <v>31200</v>
      </c>
      <c r="AQ11" s="127">
        <f>Apr!GA12</f>
        <v>8339.9999999999091</v>
      </c>
      <c r="AR11" s="127">
        <f>Apr!GG12</f>
        <v>7500</v>
      </c>
      <c r="AS11" s="127">
        <f t="shared" si="6"/>
        <v>47039.999999999913</v>
      </c>
      <c r="AT11" s="127">
        <f>Apr!EQ12</f>
        <v>5524.5400000000518</v>
      </c>
      <c r="AU11" s="127">
        <f>Apr!ET12</f>
        <v>17100.000000000364</v>
      </c>
      <c r="AV11" s="127">
        <f>Apr!EW12</f>
        <v>9019.5400000000009</v>
      </c>
      <c r="AW11" s="127">
        <f>Apr!FL49</f>
        <v>11849.494523578502</v>
      </c>
      <c r="AX11" s="127">
        <f>Apr!GJ12</f>
        <v>1500</v>
      </c>
      <c r="AY11" s="127">
        <f t="shared" si="7"/>
        <v>44993.574523578922</v>
      </c>
      <c r="AZ11" s="127">
        <f>Apr!FG12</f>
        <v>11049.539999999948</v>
      </c>
      <c r="BA11" s="127">
        <f>Apr!FJ12</f>
        <v>15454.540000000547</v>
      </c>
      <c r="BB11" s="127">
        <f>Apr!FM49</f>
        <v>12724.585476421502</v>
      </c>
      <c r="BC11" s="127">
        <f>Apr!GM12</f>
        <v>0</v>
      </c>
      <c r="BD11" s="127">
        <f t="shared" si="8"/>
        <v>39228.665476422</v>
      </c>
      <c r="BE11" s="127">
        <f>Apr!GP12</f>
        <v>0</v>
      </c>
      <c r="BF11" s="127">
        <f>Apr!GS12</f>
        <v>1260</v>
      </c>
      <c r="BG11" s="127">
        <f t="shared" si="9"/>
        <v>1260</v>
      </c>
      <c r="BH11" s="127">
        <f t="shared" si="10"/>
        <v>1333</v>
      </c>
      <c r="BI11" s="127"/>
      <c r="BJ11" s="127"/>
      <c r="BK11" s="127"/>
      <c r="BL11" s="128">
        <f>(AS11+BG11)*49/100</f>
        <v>23666.999999999956</v>
      </c>
      <c r="BM11" s="128"/>
      <c r="BN11" s="128"/>
      <c r="BO11" s="128">
        <f t="shared" si="12"/>
        <v>24632.999999999956</v>
      </c>
      <c r="BP11" s="128"/>
      <c r="BQ11" s="128"/>
      <c r="BR11" s="128"/>
      <c r="BS11" s="128"/>
      <c r="BT11" s="42">
        <f>Apr!D50</f>
        <v>0</v>
      </c>
      <c r="BU11" s="42">
        <f>Apr!G50</f>
        <v>134000</v>
      </c>
      <c r="BV11" t="s">
        <v>323</v>
      </c>
      <c r="BX11" s="42">
        <f>Apr!HJ12</f>
        <v>102199.99999999983</v>
      </c>
      <c r="BY11" s="42">
        <f>Apr!HM12</f>
        <v>0</v>
      </c>
      <c r="BZ11" s="42">
        <f>Apr!HS12</f>
        <v>27603.333000000181</v>
      </c>
      <c r="CA11" s="42">
        <f>Apr!HV12</f>
        <v>20303.332999999999</v>
      </c>
      <c r="CB11" s="42">
        <f>Apr!HY12</f>
        <v>20903.333000000137</v>
      </c>
      <c r="CC11" s="42">
        <f>Apr!HP12</f>
        <v>15189.999999999998</v>
      </c>
      <c r="CD11" s="42">
        <f>Apr!IB12</f>
        <v>18200</v>
      </c>
    </row>
    <row r="12" spans="1:82" x14ac:dyDescent="0.25">
      <c r="A12" s="26">
        <f t="shared" si="11"/>
        <v>6</v>
      </c>
      <c r="B12" s="42">
        <f>Apr!G13</f>
        <v>317759.99999999837</v>
      </c>
      <c r="C12" s="42">
        <f>Apr!N13</f>
        <v>316000</v>
      </c>
      <c r="D12" s="42">
        <f>Apr!T13</f>
        <v>0</v>
      </c>
      <c r="E12" s="42">
        <f>Apr!V13</f>
        <v>0</v>
      </c>
      <c r="F12" s="42">
        <f>Apr!AB13</f>
        <v>4900</v>
      </c>
      <c r="G12" s="42">
        <f>Apr!X13</f>
        <v>8300.0000000007276</v>
      </c>
      <c r="H12" s="42">
        <f>Apr!AE13</f>
        <v>5200.0000000002728</v>
      </c>
      <c r="I12" s="42">
        <f>Apr!AI13</f>
        <v>12058.650000000727</v>
      </c>
      <c r="J12" s="42">
        <f>Apr!AN13</f>
        <v>6978.6500000006727</v>
      </c>
      <c r="K12" s="42">
        <f>Apr!AR13</f>
        <v>12700.000000000728</v>
      </c>
      <c r="L12" s="42">
        <f>Apr!AZ13</f>
        <v>530</v>
      </c>
      <c r="M12" s="42">
        <f>Apr!BC13</f>
        <v>750</v>
      </c>
      <c r="N12" s="125">
        <f t="shared" si="2"/>
        <v>51417.300000003124</v>
      </c>
      <c r="O12" s="125">
        <f>Apr!CA13</f>
        <v>784.99999999996817</v>
      </c>
      <c r="P12" s="125">
        <f>Apr!CD13</f>
        <v>3485.7999999999302</v>
      </c>
      <c r="Q12" s="125">
        <f>Apr!CF13</f>
        <v>6464.5</v>
      </c>
      <c r="R12" s="125">
        <f>Apr!CH13</f>
        <v>0</v>
      </c>
      <c r="S12" s="125">
        <f>Apr!CK13</f>
        <v>20493.650000000107</v>
      </c>
      <c r="T12" s="125">
        <f>Apr!CO13</f>
        <v>6618.6500000002179</v>
      </c>
      <c r="U12" s="125">
        <f>Apr!CS13</f>
        <v>6055.6499999996613</v>
      </c>
      <c r="V12" s="126">
        <f t="shared" si="3"/>
        <v>43903.249999999884</v>
      </c>
      <c r="W12" s="126">
        <f>Apr!CW13</f>
        <v>743</v>
      </c>
      <c r="X12" s="126">
        <f>Apr!DA13</f>
        <v>563</v>
      </c>
      <c r="Y12" s="126">
        <f t="shared" si="1"/>
        <v>1306</v>
      </c>
      <c r="Z12" s="42">
        <f>Apr!BR13</f>
        <v>260.00000000010459</v>
      </c>
      <c r="AA12" s="126">
        <f>Apr!BG13</f>
        <v>2599.9999999999091</v>
      </c>
      <c r="AB12" s="126">
        <f>Apr!BJ13</f>
        <v>10500</v>
      </c>
      <c r="AC12" s="126">
        <f>Apr!BL13+Apr!BN13</f>
        <v>4319.99999999995</v>
      </c>
      <c r="AD12" s="126">
        <f>Apr!DR13</f>
        <v>5700</v>
      </c>
      <c r="AE12" s="127">
        <f>Apr!DT13-Apr!DR53-Apr!DT53</f>
        <v>20657.999999999993</v>
      </c>
      <c r="AF12" s="127">
        <f>Apr!DR53+Apr!DT53</f>
        <v>42.000000000008697</v>
      </c>
      <c r="AG12" s="127">
        <f>Apr!HJ13-AE12</f>
        <v>83142.000000000175</v>
      </c>
      <c r="AH12" s="127">
        <f>Apr!DW13</f>
        <v>4200.0000000007276</v>
      </c>
      <c r="AI12" s="127">
        <f>Apr!DZ13</f>
        <v>5858.65</v>
      </c>
      <c r="AJ12" s="127">
        <f>Apr!EC13</f>
        <v>23018.65</v>
      </c>
      <c r="AK12" s="127">
        <f t="shared" si="4"/>
        <v>33077.300000000731</v>
      </c>
      <c r="AL12" s="127">
        <f>Apr!EG13</f>
        <v>32018.65</v>
      </c>
      <c r="AM12" s="127">
        <f>Apr!EJ13</f>
        <v>9858.65</v>
      </c>
      <c r="AN12" s="127">
        <f>Apr!EM13</f>
        <v>659.99999999996817</v>
      </c>
      <c r="AO12" s="127">
        <f t="shared" si="5"/>
        <v>42537.299999999974</v>
      </c>
      <c r="AP12" s="127">
        <f>Apr!FX13</f>
        <v>35300</v>
      </c>
      <c r="AQ12" s="127">
        <f>Apr!GA13</f>
        <v>8360.0000000002728</v>
      </c>
      <c r="AR12" s="127">
        <f>Apr!GG13</f>
        <v>8400.0000000005457</v>
      </c>
      <c r="AS12" s="127">
        <f t="shared" si="6"/>
        <v>52060.000000000822</v>
      </c>
      <c r="AT12" s="127">
        <f>Apr!EQ13</f>
        <v>6803.6499999999924</v>
      </c>
      <c r="AU12" s="127">
        <f>Apr!ET13</f>
        <v>19100.000000000364</v>
      </c>
      <c r="AV12" s="127">
        <f>Apr!EW13</f>
        <v>8858.65</v>
      </c>
      <c r="AW12" s="127">
        <f>Apr!FL50</f>
        <v>11554.737798702658</v>
      </c>
      <c r="AX12" s="127">
        <f>Apr!GJ13</f>
        <v>1699.9999999998181</v>
      </c>
      <c r="AY12" s="127">
        <f t="shared" si="7"/>
        <v>48017.037798702833</v>
      </c>
      <c r="AZ12" s="127">
        <f>Apr!FG13</f>
        <v>10661.980000000007</v>
      </c>
      <c r="BA12" s="127">
        <f>Apr!FJ13</f>
        <v>15306.979999999818</v>
      </c>
      <c r="BB12" s="127">
        <f>Apr!FM50</f>
        <v>12910.892201297342</v>
      </c>
      <c r="BC12" s="127">
        <f>Apr!GM13</f>
        <v>0</v>
      </c>
      <c r="BD12" s="127">
        <f t="shared" si="8"/>
        <v>38879.852201297166</v>
      </c>
      <c r="BE12" s="127">
        <f>Apr!GP13</f>
        <v>0</v>
      </c>
      <c r="BF12" s="127">
        <f>Apr!GS13</f>
        <v>1340</v>
      </c>
      <c r="BG12" s="127">
        <f t="shared" si="9"/>
        <v>1340</v>
      </c>
      <c r="BH12" s="127">
        <f t="shared" si="10"/>
        <v>1306</v>
      </c>
      <c r="BI12" s="127"/>
      <c r="BJ12" s="127"/>
      <c r="BK12" s="127"/>
      <c r="BL12" s="128">
        <f>(AS12+BG12)*55/100</f>
        <v>29370.000000000451</v>
      </c>
      <c r="BM12" s="128"/>
      <c r="BN12" s="128"/>
      <c r="BO12" s="128">
        <f t="shared" si="12"/>
        <v>24030.000000000371</v>
      </c>
      <c r="BP12" s="128"/>
      <c r="BQ12" s="128"/>
      <c r="BR12" s="128"/>
      <c r="BS12" s="128"/>
      <c r="BT12" s="42">
        <f>Apr!D51</f>
        <v>0</v>
      </c>
      <c r="BU12" s="42">
        <f>Apr!G51</f>
        <v>122000</v>
      </c>
      <c r="BV12" t="s">
        <v>322</v>
      </c>
      <c r="BX12" s="42">
        <f>Apr!HJ13</f>
        <v>103800.00000000017</v>
      </c>
      <c r="BY12" s="42">
        <f>Apr!HM13</f>
        <v>0</v>
      </c>
      <c r="BZ12" s="42">
        <f>Apr!HS13</f>
        <v>28606.66999999986</v>
      </c>
      <c r="CA12" s="42">
        <f>Apr!HV13</f>
        <v>19106.670000000089</v>
      </c>
      <c r="CB12" s="42">
        <f>Apr!HY13</f>
        <v>18806.669999999907</v>
      </c>
      <c r="CC12" s="42">
        <f>Apr!HP13</f>
        <v>16579.999999999985</v>
      </c>
      <c r="CD12" s="42">
        <f>Apr!IB13</f>
        <v>20700</v>
      </c>
    </row>
    <row r="13" spans="1:82" x14ac:dyDescent="0.25">
      <c r="A13" s="26">
        <f t="shared" si="11"/>
        <v>7</v>
      </c>
      <c r="B13" s="42">
        <f>Apr!G14</f>
        <v>303359.99999998964</v>
      </c>
      <c r="C13" s="42">
        <f>Apr!N14</f>
        <v>304000</v>
      </c>
      <c r="D13" s="42">
        <f>Apr!T14</f>
        <v>0</v>
      </c>
      <c r="E13" s="42">
        <f>Apr!V14</f>
        <v>0</v>
      </c>
      <c r="F13" s="42">
        <f>Apr!AB14</f>
        <v>4990</v>
      </c>
      <c r="G13" s="42">
        <f>Apr!X14</f>
        <v>8409.9999999996362</v>
      </c>
      <c r="H13" s="42">
        <f>Apr!AE14</f>
        <v>5599.9999999999091</v>
      </c>
      <c r="I13" s="42">
        <f>Apr!AI14</f>
        <v>13808.569999998908</v>
      </c>
      <c r="J13" s="42">
        <f>Apr!AN14</f>
        <v>7598.5699999988992</v>
      </c>
      <c r="K13" s="42">
        <f>Apr!AR14</f>
        <v>13500</v>
      </c>
      <c r="L13" s="42">
        <f>Apr!AZ14</f>
        <v>550</v>
      </c>
      <c r="M13" s="42">
        <f>Apr!BC14</f>
        <v>760</v>
      </c>
      <c r="N13" s="125">
        <f t="shared" si="2"/>
        <v>55217.139999997351</v>
      </c>
      <c r="O13" s="125">
        <f>Apr!CA14</f>
        <v>665.40000000003374</v>
      </c>
      <c r="P13" s="125">
        <f>Apr!CD14</f>
        <v>3069.7000000000698</v>
      </c>
      <c r="Q13" s="125">
        <f>Apr!CF14</f>
        <v>7411.8999999999069</v>
      </c>
      <c r="R13" s="125">
        <f>Apr!CH14</f>
        <v>0</v>
      </c>
      <c r="S13" s="125">
        <f>Apr!CK14</f>
        <v>21953.170000000184</v>
      </c>
      <c r="T13" s="125">
        <f>Apr!CO14</f>
        <v>6870.5699999997159</v>
      </c>
      <c r="U13" s="125">
        <f>Apr!CS14</f>
        <v>6715.5700000004254</v>
      </c>
      <c r="V13" s="126">
        <f t="shared" si="3"/>
        <v>46686.310000000332</v>
      </c>
      <c r="W13" s="126">
        <f>Apr!CW14</f>
        <v>829</v>
      </c>
      <c r="X13" s="126">
        <f>Apr!DA14</f>
        <v>582</v>
      </c>
      <c r="Y13" s="126">
        <f t="shared" si="1"/>
        <v>1411</v>
      </c>
      <c r="Z13" s="42">
        <f>Apr!BR14</f>
        <v>799.99999999995453</v>
      </c>
      <c r="AA13" s="126">
        <f>Apr!BG14</f>
        <v>2500</v>
      </c>
      <c r="AB13" s="126">
        <f>Apr!BJ14</f>
        <v>10500</v>
      </c>
      <c r="AC13" s="126">
        <f>Apr!BL14+Apr!BN14</f>
        <v>4410.0000000000546</v>
      </c>
      <c r="AD13" s="126">
        <f>Apr!DR14</f>
        <v>6500</v>
      </c>
      <c r="AE13" s="127">
        <f>Apr!DT14-Apr!DR54-Apr!DT54</f>
        <v>18714.500000000004</v>
      </c>
      <c r="AF13" s="127">
        <f>Apr!DR54+Apr!DT54</f>
        <v>85.499999999996135</v>
      </c>
      <c r="AG13" s="127">
        <f>Apr!HJ14-AE13</f>
        <v>75285.5</v>
      </c>
      <c r="AH13" s="127">
        <f>Apr!DW14</f>
        <v>4099.9999999994543</v>
      </c>
      <c r="AI13" s="127">
        <f>Apr!DZ14</f>
        <v>7608.57</v>
      </c>
      <c r="AJ13" s="127">
        <f>Apr!EC14</f>
        <v>27768.57</v>
      </c>
      <c r="AK13" s="127">
        <f t="shared" si="4"/>
        <v>39477.139999999454</v>
      </c>
      <c r="AL13" s="127">
        <f>Apr!EG14</f>
        <v>34768.57</v>
      </c>
      <c r="AM13" s="127">
        <f>Apr!EJ14</f>
        <v>9608.57</v>
      </c>
      <c r="AN13" s="127">
        <f>Apr!EM14</f>
        <v>710.00000000003638</v>
      </c>
      <c r="AO13" s="127">
        <f t="shared" si="5"/>
        <v>45087.140000000036</v>
      </c>
      <c r="AP13" s="127">
        <f>Apr!FX14</f>
        <v>24700</v>
      </c>
      <c r="AQ13" s="127">
        <f>Apr!GA14</f>
        <v>6419.9999999999091</v>
      </c>
      <c r="AR13" s="127">
        <f>Apr!GG14</f>
        <v>6100.0000000005912</v>
      </c>
      <c r="AS13" s="127">
        <f t="shared" si="6"/>
        <v>37220.000000000502</v>
      </c>
      <c r="AT13" s="127">
        <f>Apr!EQ14</f>
        <v>6563.5699999999833</v>
      </c>
      <c r="AU13" s="127">
        <f>Apr!ET14</f>
        <v>18600.000000000364</v>
      </c>
      <c r="AV13" s="127">
        <f>Apr!EW14</f>
        <v>9608.57</v>
      </c>
      <c r="AW13" s="127">
        <f>Apr!FL51</f>
        <v>13024.947442525869</v>
      </c>
      <c r="AX13" s="127">
        <f>Apr!GJ14</f>
        <v>1600.0000000001364</v>
      </c>
      <c r="AY13" s="127">
        <f t="shared" si="7"/>
        <v>49397.087442526354</v>
      </c>
      <c r="AZ13" s="127">
        <f>Apr!FG14</f>
        <v>9161.7100000000155</v>
      </c>
      <c r="BA13" s="127">
        <f>Apr!FJ14</f>
        <v>13016.709999999635</v>
      </c>
      <c r="BB13" s="127">
        <f>Apr!FM51</f>
        <v>10700.332557474132</v>
      </c>
      <c r="BC13" s="127">
        <f>Apr!GM14</f>
        <v>0</v>
      </c>
      <c r="BD13" s="127">
        <f t="shared" si="8"/>
        <v>32878.752557473781</v>
      </c>
      <c r="BE13" s="127">
        <f>Apr!GP14</f>
        <v>10</v>
      </c>
      <c r="BF13" s="127">
        <f>Apr!GS14</f>
        <v>1180</v>
      </c>
      <c r="BG13" s="127">
        <f t="shared" si="9"/>
        <v>1190</v>
      </c>
      <c r="BH13" s="127">
        <f t="shared" si="10"/>
        <v>1411</v>
      </c>
      <c r="BI13" s="127"/>
      <c r="BJ13" s="127"/>
      <c r="BK13" s="127"/>
      <c r="BL13" s="128">
        <f>(AS13+BG13)*65/100</f>
        <v>24966.500000000327</v>
      </c>
      <c r="BM13" s="128"/>
      <c r="BN13" s="128"/>
      <c r="BO13" s="128">
        <f t="shared" si="12"/>
        <v>13443.500000000175</v>
      </c>
      <c r="BP13" s="128"/>
      <c r="BQ13" s="128"/>
      <c r="BR13" s="128"/>
      <c r="BS13" s="128"/>
      <c r="BT13" s="42">
        <f>Apr!D52</f>
        <v>0</v>
      </c>
      <c r="BU13" s="42">
        <f>Apr!G52</f>
        <v>124000</v>
      </c>
      <c r="BV13" t="s">
        <v>320</v>
      </c>
      <c r="BX13" s="42">
        <f>Apr!HJ14</f>
        <v>94000</v>
      </c>
      <c r="BY13" s="42">
        <f>Apr!HM14</f>
        <v>0</v>
      </c>
      <c r="BZ13" s="42">
        <f>Apr!HS14</f>
        <v>24690.000000000044</v>
      </c>
      <c r="CA13" s="42">
        <f>Apr!HV14</f>
        <v>21089.999999999909</v>
      </c>
      <c r="CB13" s="42">
        <f>Apr!HY14</f>
        <v>19789.999999999956</v>
      </c>
      <c r="CC13" s="42">
        <f>Apr!HP14</f>
        <v>9629.9999999999964</v>
      </c>
      <c r="CD13" s="42">
        <f>Apr!IB14</f>
        <v>18800</v>
      </c>
    </row>
    <row r="14" spans="1:82" x14ac:dyDescent="0.25">
      <c r="A14" s="26">
        <f t="shared" si="11"/>
        <v>8</v>
      </c>
      <c r="B14" s="42">
        <f>Apr!G15</f>
        <v>316480.00000000687</v>
      </c>
      <c r="C14" s="42">
        <f>Apr!N15</f>
        <v>315000</v>
      </c>
      <c r="D14" s="42">
        <f>Apr!T15</f>
        <v>0</v>
      </c>
      <c r="E14" s="42">
        <f>Apr!V15</f>
        <v>0</v>
      </c>
      <c r="F14" s="42">
        <f>Apr!AB15</f>
        <v>4410</v>
      </c>
      <c r="G14" s="42">
        <f>Apr!X15</f>
        <v>8090</v>
      </c>
      <c r="H14" s="42">
        <f>Apr!AE15</f>
        <v>4900.0000000000909</v>
      </c>
      <c r="I14" s="42">
        <f>Apr!AI15</f>
        <v>11817.79</v>
      </c>
      <c r="J14" s="42">
        <f>Apr!AN15</f>
        <v>6707.7900000000645</v>
      </c>
      <c r="K14" s="42">
        <f>Apr!AR15</f>
        <v>13500</v>
      </c>
      <c r="L14" s="42">
        <f>Apr!AZ15</f>
        <v>440</v>
      </c>
      <c r="M14" s="42">
        <f>Apr!BC15</f>
        <v>710</v>
      </c>
      <c r="N14" s="125">
        <f t="shared" si="2"/>
        <v>50575.580000000155</v>
      </c>
      <c r="O14" s="125">
        <f>Apr!CA15</f>
        <v>561.19999999998527</v>
      </c>
      <c r="P14" s="125">
        <f>Apr!CD15</f>
        <v>2017.7999999999302</v>
      </c>
      <c r="Q14" s="125">
        <f>Apr!CF15</f>
        <v>6434.8000000000466</v>
      </c>
      <c r="R14" s="125">
        <f>Apr!CH15</f>
        <v>0</v>
      </c>
      <c r="S14" s="125">
        <f>Apr!CK15</f>
        <v>20176.590000000087</v>
      </c>
      <c r="T14" s="125">
        <f>Apr!CO15</f>
        <v>5727.7900000003092</v>
      </c>
      <c r="U14" s="125">
        <f>Apr!CS15</f>
        <v>5711.789999999778</v>
      </c>
      <c r="V14" s="126">
        <f t="shared" si="3"/>
        <v>40629.970000000132</v>
      </c>
      <c r="W14" s="126">
        <f>Apr!CW15</f>
        <v>829</v>
      </c>
      <c r="X14" s="126">
        <f>Apr!DA15</f>
        <v>582</v>
      </c>
      <c r="Y14" s="126">
        <f t="shared" si="1"/>
        <v>1411</v>
      </c>
      <c r="Z14" s="42">
        <f>Apr!BR15</f>
        <v>899.99999999997726</v>
      </c>
      <c r="AA14" s="126">
        <f>Apr!BG15</f>
        <v>2799.9999999999545</v>
      </c>
      <c r="AB14" s="126">
        <f>Apr!BJ15</f>
        <v>10500</v>
      </c>
      <c r="AC14" s="126">
        <f>Apr!BL15+Apr!BN15</f>
        <v>4209.9999999999591</v>
      </c>
      <c r="AD14" s="126">
        <f>Apr!DR15</f>
        <v>5900</v>
      </c>
      <c r="AE14" s="127">
        <f>Apr!DT15-Apr!DR55-Apr!DT55</f>
        <v>18414.500000000004</v>
      </c>
      <c r="AF14" s="127">
        <f>Apr!DR55+Apr!DT55</f>
        <v>85.499999999996135</v>
      </c>
      <c r="AG14" s="127">
        <f>Apr!HJ15-AE14</f>
        <v>90785.499999999825</v>
      </c>
      <c r="AH14" s="127">
        <f>Apr!DW15</f>
        <v>4100.0000000003638</v>
      </c>
      <c r="AI14" s="127">
        <f>Apr!DZ15</f>
        <v>6817.79</v>
      </c>
      <c r="AJ14" s="127">
        <f>Apr!EC15</f>
        <v>25977.79</v>
      </c>
      <c r="AK14" s="127">
        <f t="shared" si="4"/>
        <v>36895.580000000366</v>
      </c>
      <c r="AL14" s="127">
        <f>Apr!EG15</f>
        <v>34977.79</v>
      </c>
      <c r="AM14" s="127">
        <f>Apr!EJ15</f>
        <v>9817.7900000000009</v>
      </c>
      <c r="AN14" s="127">
        <f>Apr!EM15</f>
        <v>669.99999999995907</v>
      </c>
      <c r="AO14" s="127">
        <f t="shared" si="5"/>
        <v>45465.579999999958</v>
      </c>
      <c r="AP14" s="127">
        <f>Apr!FX15</f>
        <v>34600</v>
      </c>
      <c r="AQ14" s="127">
        <f>Apr!GA15</f>
        <v>8819.9999999999091</v>
      </c>
      <c r="AR14" s="127">
        <f>Apr!GG15</f>
        <v>7899.9999999989541</v>
      </c>
      <c r="AS14" s="127">
        <f t="shared" si="6"/>
        <v>51319.999999998865</v>
      </c>
      <c r="AT14" s="127">
        <f>Apr!EQ15</f>
        <v>5777.789999999979</v>
      </c>
      <c r="AU14" s="127">
        <f>Apr!ET15</f>
        <v>18599.999999998545</v>
      </c>
      <c r="AV14" s="127">
        <f>Apr!EW15</f>
        <v>8817.7900000000009</v>
      </c>
      <c r="AW14" s="127">
        <f>Apr!FL52</f>
        <v>11715.853209112422</v>
      </c>
      <c r="AX14" s="127">
        <f>Apr!GJ15</f>
        <v>1799.9999999999545</v>
      </c>
      <c r="AY14" s="127">
        <f t="shared" si="7"/>
        <v>46711.433209110903</v>
      </c>
      <c r="AZ14" s="127">
        <f>Apr!FG15</f>
        <v>10091.120000000021</v>
      </c>
      <c r="BA14" s="127">
        <f>Apr!FJ15</f>
        <v>15351.120000000183</v>
      </c>
      <c r="BB14" s="127">
        <f>Apr!FM52</f>
        <v>13153.056790887584</v>
      </c>
      <c r="BC14" s="127">
        <f>Apr!GM15</f>
        <v>0</v>
      </c>
      <c r="BD14" s="127">
        <f t="shared" si="8"/>
        <v>38595.296790887784</v>
      </c>
      <c r="BE14" s="127">
        <f>Apr!GP15</f>
        <v>0</v>
      </c>
      <c r="BF14" s="127">
        <f>Apr!GS15</f>
        <v>1280</v>
      </c>
      <c r="BG14" s="127">
        <f t="shared" si="9"/>
        <v>1280</v>
      </c>
      <c r="BH14" s="127">
        <f t="shared" si="10"/>
        <v>1411</v>
      </c>
      <c r="BI14" s="127"/>
      <c r="BJ14" s="127"/>
      <c r="BK14" s="127"/>
      <c r="BL14" s="128">
        <f>(AS14+BG55)*58/100</f>
        <v>29765.599999999344</v>
      </c>
      <c r="BM14" s="128"/>
      <c r="BN14" s="128"/>
      <c r="BO14" s="128">
        <f t="shared" si="12"/>
        <v>22834.399999999521</v>
      </c>
      <c r="BP14" s="128"/>
      <c r="BQ14" s="128"/>
      <c r="BR14" s="128"/>
      <c r="BS14" s="128"/>
      <c r="BT14" s="42">
        <f>Apr!D53</f>
        <v>0</v>
      </c>
      <c r="BU14" s="42">
        <f>Apr!G53</f>
        <v>130000</v>
      </c>
      <c r="BV14" t="s">
        <v>321</v>
      </c>
      <c r="BX14" s="42">
        <f>Apr!HJ15</f>
        <v>109199.99999999983</v>
      </c>
      <c r="BY14" s="42">
        <f>Apr!HM15</f>
        <v>0</v>
      </c>
      <c r="BZ14" s="42">
        <f>Apr!HS15</f>
        <v>30096.666999999958</v>
      </c>
      <c r="CA14" s="42">
        <f>Apr!HV15</f>
        <v>20896.66700000014</v>
      </c>
      <c r="CB14" s="42">
        <f>Apr!HY15</f>
        <v>19796.667000000001</v>
      </c>
      <c r="CC14" s="42">
        <f>Apr!HP15</f>
        <v>19910.000000000025</v>
      </c>
      <c r="CD14" s="42">
        <f>Apr!IB15</f>
        <v>18500</v>
      </c>
    </row>
    <row r="15" spans="1:82" x14ac:dyDescent="0.25">
      <c r="A15" s="26">
        <f t="shared" si="11"/>
        <v>9</v>
      </c>
      <c r="B15" s="42">
        <f>Apr!G16</f>
        <v>326720.00000000116</v>
      </c>
      <c r="C15" s="42">
        <f>Apr!N16</f>
        <v>323000</v>
      </c>
      <c r="D15" s="42">
        <f>Apr!T16</f>
        <v>0</v>
      </c>
      <c r="E15" s="42">
        <f>Apr!V16</f>
        <v>0</v>
      </c>
      <c r="F15" s="42">
        <f>Apr!AB16</f>
        <v>4720</v>
      </c>
      <c r="G15" s="42">
        <f>Apr!X16</f>
        <v>8380.0000000003638</v>
      </c>
      <c r="H15" s="42">
        <f>Apr!AE16</f>
        <v>4900.0000000000909</v>
      </c>
      <c r="I15" s="42">
        <f>Apr!AI16</f>
        <v>12586.980000001091</v>
      </c>
      <c r="J15" s="42">
        <f>Apr!AN16</f>
        <v>8446.9800000006635</v>
      </c>
      <c r="K15" s="42">
        <f>Apr!AR16</f>
        <v>13399.999999999636</v>
      </c>
      <c r="L15" s="42">
        <f>Apr!AZ16</f>
        <v>489</v>
      </c>
      <c r="M15" s="42">
        <f>Apr!BC16</f>
        <v>726.4600000000064</v>
      </c>
      <c r="N15" s="125">
        <f t="shared" si="2"/>
        <v>53649.420000001854</v>
      </c>
      <c r="O15" s="125">
        <f>Apr!CA16</f>
        <v>583.90000000002829</v>
      </c>
      <c r="P15" s="125">
        <f>Apr!CD16</f>
        <v>1780.4000000000233</v>
      </c>
      <c r="Q15" s="125">
        <f>Apr!CF16</f>
        <v>7177.5</v>
      </c>
      <c r="R15" s="125">
        <f>Apr!CH16</f>
        <v>0</v>
      </c>
      <c r="S15" s="125">
        <f>Apr!CK16</f>
        <v>22693.079999999754</v>
      </c>
      <c r="T15" s="125">
        <f>Apr!CO16</f>
        <v>7364.9799999999741</v>
      </c>
      <c r="U15" s="125">
        <f>Apr!CS16</f>
        <v>7432.9800000001851</v>
      </c>
      <c r="V15" s="126">
        <f t="shared" si="3"/>
        <v>47032.839999999967</v>
      </c>
      <c r="W15" s="126">
        <f>Apr!CW16</f>
        <v>888</v>
      </c>
      <c r="X15" s="126">
        <f>Apr!DA16</f>
        <v>567</v>
      </c>
      <c r="Y15" s="126">
        <f t="shared" si="1"/>
        <v>1455</v>
      </c>
      <c r="Z15" s="42">
        <f>Apr!BR16</f>
        <v>730.00000000001819</v>
      </c>
      <c r="AA15" s="126">
        <f>Apr!BG16</f>
        <v>2500</v>
      </c>
      <c r="AB15" s="126">
        <f>Apr!BJ16</f>
        <v>10700.000000000728</v>
      </c>
      <c r="AC15" s="126">
        <f>Apr!BL16+Apr!BN16</f>
        <v>4310.0000000000455</v>
      </c>
      <c r="AD15" s="126">
        <f>Apr!DR16</f>
        <v>6300</v>
      </c>
      <c r="AE15" s="127">
        <f>Apr!DT16-Apr!DR56-Apr!DT56</f>
        <v>20011.999999999993</v>
      </c>
      <c r="AF15" s="127">
        <f>Apr!DR56+Apr!DT56</f>
        <v>88.000000000008072</v>
      </c>
      <c r="AG15" s="127">
        <f>Apr!HJ16-AE15</f>
        <v>83588.000000000378</v>
      </c>
      <c r="AH15" s="127">
        <f>Apr!DW16</f>
        <v>4199.9999999998181</v>
      </c>
      <c r="AI15" s="127">
        <f>Apr!DZ16</f>
        <v>7286.98</v>
      </c>
      <c r="AJ15" s="127">
        <f>Apr!EC16</f>
        <v>27446.98</v>
      </c>
      <c r="AK15" s="127">
        <f t="shared" si="4"/>
        <v>38933.959999999817</v>
      </c>
      <c r="AL15" s="127">
        <f>Apr!EG16</f>
        <v>35446.980000000003</v>
      </c>
      <c r="AM15" s="127">
        <f>Apr!EJ16</f>
        <v>11286.98</v>
      </c>
      <c r="AN15" s="127">
        <f>Apr!EM16</f>
        <v>710.00000000003638</v>
      </c>
      <c r="AO15" s="127">
        <f t="shared" si="5"/>
        <v>47443.960000000043</v>
      </c>
      <c r="AP15" s="127">
        <f>Apr!FX16</f>
        <v>37200</v>
      </c>
      <c r="AQ15" s="127">
        <f>Apr!GA16</f>
        <v>9640.0000000000909</v>
      </c>
      <c r="AR15" s="127">
        <f>Apr!GG16</f>
        <v>7900.0000000007731</v>
      </c>
      <c r="AS15" s="127">
        <f t="shared" si="6"/>
        <v>54740.000000000859</v>
      </c>
      <c r="AT15" s="127">
        <f>Apr!EQ16</f>
        <v>7241.9800000000405</v>
      </c>
      <c r="AU15" s="127">
        <f>Apr!ET16</f>
        <v>18600.000000000364</v>
      </c>
      <c r="AV15" s="127">
        <f>Apr!EW16</f>
        <v>10186.980000000091</v>
      </c>
      <c r="AW15" s="127">
        <f>Apr!FL53</f>
        <v>11527.715688933833</v>
      </c>
      <c r="AX15" s="127">
        <f>Apr!GJ16</f>
        <v>1799.9999999999545</v>
      </c>
      <c r="AY15" s="127">
        <f t="shared" si="7"/>
        <v>49356.67568893428</v>
      </c>
      <c r="AZ15" s="127">
        <f>Apr!FG16</f>
        <v>8183.6499999999587</v>
      </c>
      <c r="BA15" s="127">
        <f>Apr!FJ16</f>
        <v>13538.650000000545</v>
      </c>
      <c r="BB15" s="127">
        <f>Apr!FM53</f>
        <v>11897.914311066166</v>
      </c>
      <c r="BC15" s="127">
        <f>Apr!GM16</f>
        <v>0</v>
      </c>
      <c r="BD15" s="127">
        <f t="shared" si="8"/>
        <v>33620.214311066673</v>
      </c>
      <c r="BE15" s="127">
        <f>Apr!GP16</f>
        <v>0</v>
      </c>
      <c r="BF15" s="127">
        <f>Apr!GS16</f>
        <v>1260</v>
      </c>
      <c r="BG15" s="127">
        <f t="shared" si="9"/>
        <v>1260</v>
      </c>
      <c r="BH15" s="127">
        <f t="shared" si="10"/>
        <v>1455</v>
      </c>
      <c r="BI15" s="127"/>
      <c r="BJ15" s="127"/>
      <c r="BK15" s="127"/>
      <c r="BL15" s="128">
        <f>(AS15+BG55)*59/100</f>
        <v>32296.600000000508</v>
      </c>
      <c r="BM15" s="128"/>
      <c r="BN15" s="128"/>
      <c r="BO15" s="128">
        <f t="shared" si="12"/>
        <v>23703.400000000351</v>
      </c>
      <c r="BP15" s="128"/>
      <c r="BQ15" s="128"/>
      <c r="BR15" s="128"/>
      <c r="BS15" s="128"/>
      <c r="BT15" s="42">
        <f>Apr!D54</f>
        <v>0</v>
      </c>
      <c r="BU15" s="42">
        <f>Apr!G54</f>
        <v>129000</v>
      </c>
      <c r="BV15" t="s">
        <v>325</v>
      </c>
      <c r="BW15" s="151"/>
      <c r="BX15" s="42">
        <f>Apr!HJ16</f>
        <v>103600.00000000036</v>
      </c>
      <c r="BY15" s="42">
        <f>Apr!HM16</f>
        <v>0</v>
      </c>
      <c r="BZ15" s="42">
        <f>Apr!HS16</f>
        <v>29246.666700000045</v>
      </c>
      <c r="CA15" s="42">
        <f>Apr!HV16</f>
        <v>21046.666700000002</v>
      </c>
      <c r="CB15" s="42">
        <f>Apr!HY16</f>
        <v>13146.666700000136</v>
      </c>
      <c r="CC15" s="42">
        <f>Apr!HP16</f>
        <v>20059.999999999975</v>
      </c>
      <c r="CD15" s="42">
        <f>Apr!IB16</f>
        <v>20100</v>
      </c>
    </row>
    <row r="16" spans="1:82" x14ac:dyDescent="0.25">
      <c r="A16" s="26">
        <f t="shared" si="11"/>
        <v>10</v>
      </c>
      <c r="B16" s="42">
        <f>Apr!G17</f>
        <v>324800.00000000291</v>
      </c>
      <c r="C16" s="42">
        <f>Apr!N17</f>
        <v>319000</v>
      </c>
      <c r="D16" s="42">
        <f>Apr!T17</f>
        <v>0</v>
      </c>
      <c r="E16" s="42">
        <f>Apr!V17</f>
        <v>0</v>
      </c>
      <c r="F16" s="42">
        <f>Apr!AB17</f>
        <v>4780</v>
      </c>
      <c r="G16" s="42">
        <f>Apr!X17</f>
        <v>8119.9999999996362</v>
      </c>
      <c r="H16" s="42">
        <f>Apr!AE17</f>
        <v>5399.9999999996362</v>
      </c>
      <c r="I16" s="42">
        <f>Apr!AI17</f>
        <v>11186.229999998544</v>
      </c>
      <c r="J16" s="42">
        <f>Apr!AN17</f>
        <v>5846.2300000000769</v>
      </c>
      <c r="K16" s="42">
        <f>Apr!AR17</f>
        <v>12000</v>
      </c>
      <c r="L16" s="42">
        <f>Apr!AZ17</f>
        <v>491</v>
      </c>
      <c r="M16" s="42">
        <f>Apr!BC17</f>
        <v>723.5399999999936</v>
      </c>
      <c r="N16" s="125">
        <f t="shared" ref="N16:N34" si="13">SUM(D16:M16)</f>
        <v>48546.99999999789</v>
      </c>
      <c r="O16" s="125">
        <f>Apr!CA17</f>
        <v>479.99999999996135</v>
      </c>
      <c r="P16" s="125">
        <f>Apr!CD17</f>
        <v>470</v>
      </c>
      <c r="Q16" s="125">
        <f>Apr!CF17</f>
        <v>6000.0000000000055</v>
      </c>
      <c r="R16" s="125">
        <f>Apr!CH17</f>
        <v>0</v>
      </c>
      <c r="S16" s="125">
        <f>Apr!CK17</f>
        <v>19606.23000000004</v>
      </c>
      <c r="T16" s="125">
        <f>Apr!CO17</f>
        <v>4286.2299999998177</v>
      </c>
      <c r="U16" s="125">
        <f>Apr!CS17</f>
        <v>4486.2299999996358</v>
      </c>
      <c r="V16" s="126">
        <f t="shared" si="3"/>
        <v>35328.689999999464</v>
      </c>
      <c r="W16" s="126">
        <f>Apr!CW17</f>
        <v>4400</v>
      </c>
      <c r="X16" s="126">
        <f>Apr!DA17</f>
        <v>3400</v>
      </c>
      <c r="Y16" s="126">
        <f t="shared" si="1"/>
        <v>7800</v>
      </c>
      <c r="Z16" s="42">
        <f>Apr!BR17</f>
        <v>769.99999999998181</v>
      </c>
      <c r="AA16" s="126">
        <f>Apr!BG17</f>
        <v>2500</v>
      </c>
      <c r="AB16" s="126">
        <f>Apr!BJ17</f>
        <v>10600.000000000364</v>
      </c>
      <c r="AC16" s="126">
        <f>Apr!BL17+Apr!BN17+Apr!BP17</f>
        <v>4469.9999999999409</v>
      </c>
      <c r="AD16" s="126">
        <f>Apr!DR17</f>
        <v>6100</v>
      </c>
      <c r="AE16" s="127">
        <f>Apr!DT17-Apr!DR57-Apr!DT57</f>
        <v>18387.999999999996</v>
      </c>
      <c r="AF16" s="127">
        <f>Apr!DR57+Apr!DT57</f>
        <v>112.00000000000543</v>
      </c>
      <c r="AG16" s="127">
        <f>Apr!HJ17-AE16</f>
        <v>95911.999999999272</v>
      </c>
      <c r="AH16" s="127">
        <f>Apr!DW17</f>
        <v>4300.0000000001819</v>
      </c>
      <c r="AI16" s="127">
        <f>Apr!DZ17</f>
        <v>6086.23</v>
      </c>
      <c r="AJ16" s="127">
        <f>Apr!EC17</f>
        <v>25246.23</v>
      </c>
      <c r="AK16" s="127">
        <f t="shared" si="4"/>
        <v>35632.460000000181</v>
      </c>
      <c r="AL16" s="127">
        <f>Apr!EG17</f>
        <v>34246.229999999996</v>
      </c>
      <c r="AM16" s="127">
        <f>Apr!EJ17</f>
        <v>9086.23</v>
      </c>
      <c r="AN16" s="127">
        <f>Apr!EM17</f>
        <v>710.00000000003638</v>
      </c>
      <c r="AO16" s="127">
        <f t="shared" si="5"/>
        <v>44042.460000000028</v>
      </c>
      <c r="AP16" s="127">
        <f>Apr!FX17</f>
        <v>34400</v>
      </c>
      <c r="AQ16" s="127">
        <f>Apr!GA17</f>
        <v>9010.0000000001819</v>
      </c>
      <c r="AR16" s="127">
        <f>Apr!GG17</f>
        <v>8399.9999999989541</v>
      </c>
      <c r="AS16" s="127">
        <f t="shared" si="6"/>
        <v>51809.999999999134</v>
      </c>
      <c r="AT16" s="127">
        <f>Apr!EQ17</f>
        <v>6066.2299999999614</v>
      </c>
      <c r="AU16" s="127">
        <f>Apr!ET17</f>
        <v>19000</v>
      </c>
      <c r="AV16" s="127">
        <f>Apr!EW17</f>
        <v>8286.2300000002724</v>
      </c>
      <c r="AW16" s="127">
        <f>Apr!FL54</f>
        <v>12583.994437978379</v>
      </c>
      <c r="AX16" s="127">
        <f>Apr!GJ17</f>
        <v>1799.9999999999545</v>
      </c>
      <c r="AY16" s="127">
        <f t="shared" si="7"/>
        <v>47736.454437978566</v>
      </c>
      <c r="AZ16" s="127">
        <f>Apr!FG17</f>
        <v>12166.230000000038</v>
      </c>
      <c r="BA16" s="127">
        <f>Apr!FJ17</f>
        <v>17946.229999999272</v>
      </c>
      <c r="BB16" s="127">
        <f>Apr!FM54</f>
        <v>13648.465562021622</v>
      </c>
      <c r="BC16" s="127">
        <f>Apr!GM17</f>
        <v>0</v>
      </c>
      <c r="BD16" s="127">
        <f t="shared" si="8"/>
        <v>43760.92556202093</v>
      </c>
      <c r="BE16" s="127">
        <f>Apr!GP17</f>
        <v>0</v>
      </c>
      <c r="BF16" s="127">
        <f>Apr!GS17</f>
        <v>1290</v>
      </c>
      <c r="BG16" s="127">
        <f t="shared" si="9"/>
        <v>1290</v>
      </c>
      <c r="BH16" s="127">
        <f t="shared" si="10"/>
        <v>7800</v>
      </c>
      <c r="BI16" s="127"/>
      <c r="BJ16" s="127"/>
      <c r="BK16" s="127"/>
      <c r="BL16" s="128">
        <f>(AS16+BG55)*57/100</f>
        <v>29531.699999999506</v>
      </c>
      <c r="BM16" s="128"/>
      <c r="BN16" s="128"/>
      <c r="BO16" s="128">
        <f t="shared" si="12"/>
        <v>23568.299999999628</v>
      </c>
      <c r="BP16" s="128"/>
      <c r="BQ16" s="128"/>
      <c r="BR16" s="128"/>
      <c r="BS16" s="128"/>
      <c r="BT16" s="42">
        <f>Apr!D55</f>
        <v>0</v>
      </c>
      <c r="BU16" s="42">
        <f>Apr!G55</f>
        <v>130000</v>
      </c>
      <c r="BV16" t="s">
        <v>324</v>
      </c>
      <c r="BX16" s="42">
        <f>Apr!HJ17</f>
        <v>114299.99999999927</v>
      </c>
      <c r="BY16" s="42">
        <f>Apr!HM17</f>
        <v>0</v>
      </c>
      <c r="BZ16" s="42">
        <f>Apr!HS17</f>
        <v>31980.000000000091</v>
      </c>
      <c r="CA16" s="42">
        <f>Apr!HV17</f>
        <v>22479.999999999862</v>
      </c>
      <c r="CB16" s="42">
        <f>Apr!HY17</f>
        <v>19879.999999999956</v>
      </c>
      <c r="CC16" s="42">
        <f>Apr!HP17</f>
        <v>21460.000000000007</v>
      </c>
      <c r="CD16" s="42">
        <f>Apr!IB17</f>
        <v>18500</v>
      </c>
    </row>
    <row r="17" spans="1:82" x14ac:dyDescent="0.25">
      <c r="A17" s="26">
        <f t="shared" si="11"/>
        <v>11</v>
      </c>
      <c r="B17" s="42">
        <f>Apr!G18</f>
        <v>307839.99999998923</v>
      </c>
      <c r="C17" s="42">
        <f>Apr!N18</f>
        <v>311000</v>
      </c>
      <c r="D17" s="42">
        <f>Apr!T18</f>
        <v>0</v>
      </c>
      <c r="E17" s="42">
        <f>Apr!V18</f>
        <v>0</v>
      </c>
      <c r="F17" s="42">
        <f>Apr!AB18</f>
        <v>5180</v>
      </c>
      <c r="G17" s="42">
        <f>Apr!X18</f>
        <v>7920.0000000003638</v>
      </c>
      <c r="H17" s="42">
        <f>Apr!AE18</f>
        <v>7600.0000000003638</v>
      </c>
      <c r="I17" s="42">
        <f>Apr!AI18</f>
        <v>15242.170000001091</v>
      </c>
      <c r="J17" s="42">
        <f>Apr!AN18</f>
        <v>6312.1699999999182</v>
      </c>
      <c r="K17" s="42">
        <f>Apr!AR18</f>
        <v>8100.0000000003638</v>
      </c>
      <c r="L17" s="42">
        <f>Apr!AZ18</f>
        <v>424.28000000002794</v>
      </c>
      <c r="M17" s="42">
        <f>Apr!BC18</f>
        <v>677.13999999999942</v>
      </c>
      <c r="N17" s="125">
        <f t="shared" si="13"/>
        <v>51455.760000002127</v>
      </c>
      <c r="O17" s="125">
        <f>Apr!CA18</f>
        <v>629.99999999999545</v>
      </c>
      <c r="P17" s="125">
        <f>Apr!CD18</f>
        <v>0</v>
      </c>
      <c r="Q17" s="125">
        <f>Apr!CF18</f>
        <v>6899.9999999999063</v>
      </c>
      <c r="R17" s="125">
        <f>Apr!CH18</f>
        <v>0</v>
      </c>
      <c r="S17" s="125">
        <f>Apr!CK18</f>
        <v>20812.170000000002</v>
      </c>
      <c r="T17" s="125">
        <f>Apr!CO18</f>
        <v>8142.1699999998182</v>
      </c>
      <c r="U17" s="125">
        <f>Apr!CS18</f>
        <v>6442.17</v>
      </c>
      <c r="V17" s="126">
        <f t="shared" si="3"/>
        <v>42926.509999999718</v>
      </c>
      <c r="W17" s="126">
        <f>Apr!CW18</f>
        <v>15000</v>
      </c>
      <c r="X17" s="126">
        <f>Apr!DA18</f>
        <v>8500</v>
      </c>
      <c r="Y17" s="126">
        <f t="shared" si="1"/>
        <v>23500</v>
      </c>
      <c r="Z17" s="42">
        <f>Apr!BR18</f>
        <v>710.00000000003638</v>
      </c>
      <c r="AA17" s="126">
        <f>Apr!BG18</f>
        <v>2799.9999999999545</v>
      </c>
      <c r="AB17" s="126">
        <f>Apr!BJ18</f>
        <v>10199.999999998909</v>
      </c>
      <c r="AC17" s="126">
        <f>Apr!BL18+Apr!BN18+Apr!BP18</f>
        <v>4420.0000000000455</v>
      </c>
      <c r="AD17" s="126">
        <f>Apr!DR18</f>
        <v>6200</v>
      </c>
      <c r="AE17" s="127">
        <f>Apr!DT18-Apr!DR58-Apr!DT58</f>
        <v>17934.000000000011</v>
      </c>
      <c r="AF17" s="127">
        <f>Apr!DR58+Apr!DT58</f>
        <v>65.99999999998829</v>
      </c>
      <c r="AG17" s="127">
        <f>Apr!HJ18-AE17</f>
        <v>53266.000000000713</v>
      </c>
      <c r="AH17" s="127">
        <f>Apr!DW18</f>
        <v>4199.9999999998181</v>
      </c>
      <c r="AI17" s="127">
        <f>Apr!DZ18</f>
        <v>7442.17</v>
      </c>
      <c r="AJ17" s="127">
        <f>Apr!EC18</f>
        <v>27602.17</v>
      </c>
      <c r="AK17" s="127">
        <f t="shared" si="4"/>
        <v>39244.339999999815</v>
      </c>
      <c r="AL17" s="127">
        <f>Apr!EG18</f>
        <v>33602.17</v>
      </c>
      <c r="AM17" s="127">
        <f>Apr!EJ18</f>
        <v>9442.17</v>
      </c>
      <c r="AN17" s="127">
        <f>Apr!EM18</f>
        <v>659.99999999996817</v>
      </c>
      <c r="AO17" s="127">
        <f t="shared" si="5"/>
        <v>43704.339999999967</v>
      </c>
      <c r="AP17" s="127">
        <f>Apr!FX18</f>
        <v>21900</v>
      </c>
      <c r="AQ17" s="127">
        <f>Apr!GA18</f>
        <v>5469.9999999998181</v>
      </c>
      <c r="AR17" s="127">
        <f>Apr!GG18</f>
        <v>5300.0000000001819</v>
      </c>
      <c r="AS17" s="127">
        <f t="shared" si="6"/>
        <v>32670</v>
      </c>
      <c r="AT17" s="127">
        <f>Apr!EQ18</f>
        <v>5492.170000000011</v>
      </c>
      <c r="AU17" s="127">
        <f>Apr!ET18</f>
        <v>17800.000000001091</v>
      </c>
      <c r="AV17" s="127">
        <f>Apr!EW18</f>
        <v>9142.1699999998182</v>
      </c>
      <c r="AW17" s="127">
        <f>Apr!FL55</f>
        <v>11791.99621483215</v>
      </c>
      <c r="AX17" s="127">
        <f>Apr!GJ18</f>
        <v>1300.0000000001819</v>
      </c>
      <c r="AY17" s="127">
        <f t="shared" si="7"/>
        <v>45526.336214833253</v>
      </c>
      <c r="AZ17" s="127">
        <f>Apr!FG18</f>
        <v>10142.169999999989</v>
      </c>
      <c r="BA17" s="127">
        <f>Apr!FJ18</f>
        <v>13992.170000000182</v>
      </c>
      <c r="BB17" s="127">
        <f>Apr!FM55</f>
        <v>11842.343785167852</v>
      </c>
      <c r="BC17" s="127">
        <f>Apr!GM18</f>
        <v>0</v>
      </c>
      <c r="BD17" s="127">
        <f t="shared" si="8"/>
        <v>35976.683785168025</v>
      </c>
      <c r="BE17" s="127">
        <f>Apr!GP18</f>
        <v>10</v>
      </c>
      <c r="BF17" s="127">
        <f>Apr!GS18</f>
        <v>1230</v>
      </c>
      <c r="BG17" s="127">
        <f t="shared" si="9"/>
        <v>1240</v>
      </c>
      <c r="BH17" s="127">
        <f t="shared" si="10"/>
        <v>23500</v>
      </c>
      <c r="BI17" s="127"/>
      <c r="BJ17" s="127"/>
      <c r="BK17" s="127"/>
      <c r="BL17" s="128">
        <f>(AS17+BG55)*31/100</f>
        <v>10127.700000000001</v>
      </c>
      <c r="BM17" s="128"/>
      <c r="BN17" s="128"/>
      <c r="BO17" s="128">
        <f t="shared" si="12"/>
        <v>23782.3</v>
      </c>
      <c r="BP17" s="128"/>
      <c r="BQ17" s="128"/>
      <c r="BR17" s="128"/>
      <c r="BS17" s="128"/>
      <c r="BT17" s="42">
        <f>Apr!D56</f>
        <v>0</v>
      </c>
      <c r="BU17" s="42">
        <f>Apr!G56</f>
        <v>104000</v>
      </c>
      <c r="BV17" t="s">
        <v>326</v>
      </c>
      <c r="BX17" s="42">
        <f>Apr!HJ18</f>
        <v>71200.000000000728</v>
      </c>
      <c r="BY17" s="42">
        <f>Apr!HM18</f>
        <v>0</v>
      </c>
      <c r="BZ17" s="42">
        <f>Apr!HS18</f>
        <v>18346.669999999955</v>
      </c>
      <c r="CA17" s="42">
        <f>Apr!HV18</f>
        <v>12546.67</v>
      </c>
      <c r="CB17" s="42">
        <f>Apr!HY18</f>
        <v>11746.670000000046</v>
      </c>
      <c r="CC17" s="42">
        <f>Apr!HP18</f>
        <v>10560.000000000002</v>
      </c>
      <c r="CD17" s="42">
        <f>Apr!IB18</f>
        <v>18000</v>
      </c>
    </row>
    <row r="18" spans="1:82" x14ac:dyDescent="0.25">
      <c r="A18" s="26">
        <f t="shared" si="11"/>
        <v>12</v>
      </c>
      <c r="B18" s="42">
        <f>Apr!G19</f>
        <v>292480.00000000687</v>
      </c>
      <c r="C18" s="42">
        <f>Apr!N19</f>
        <v>290000</v>
      </c>
      <c r="D18" s="42">
        <f>Apr!T19</f>
        <v>0</v>
      </c>
      <c r="E18" s="42">
        <f>Apr!V19</f>
        <v>0</v>
      </c>
      <c r="F18" s="42">
        <f>Apr!AB19</f>
        <v>4900</v>
      </c>
      <c r="G18" s="42">
        <f>Apr!X19</f>
        <v>8100</v>
      </c>
      <c r="H18" s="42">
        <f>Apr!AE19</f>
        <v>6099.9999999999091</v>
      </c>
      <c r="I18" s="42">
        <f>Apr!AI19</f>
        <v>13700.509999999273</v>
      </c>
      <c r="J18" s="42">
        <f>Apr!AN19</f>
        <v>8340.5100000000093</v>
      </c>
      <c r="K18" s="42">
        <f>Apr!AR19</f>
        <v>9299.9999999992724</v>
      </c>
      <c r="L18" s="42">
        <f>Apr!AZ19</f>
        <v>355.03999999997905</v>
      </c>
      <c r="M18" s="42">
        <f>Apr!BC19</f>
        <v>746.33999999999651</v>
      </c>
      <c r="N18" s="125">
        <f t="shared" si="13"/>
        <v>51542.399999998437</v>
      </c>
      <c r="O18" s="125">
        <f>Apr!CA19</f>
        <v>700.00000000004547</v>
      </c>
      <c r="P18" s="125">
        <f>Apr!CD19</f>
        <v>850</v>
      </c>
      <c r="Q18" s="125">
        <f>Apr!CF19</f>
        <v>7200.0000000000955</v>
      </c>
      <c r="R18" s="125">
        <f>Apr!CH19</f>
        <v>0</v>
      </c>
      <c r="S18" s="125">
        <f>Apr!CK19</f>
        <v>19700.509999999951</v>
      </c>
      <c r="T18" s="125">
        <f>Apr!CO19</f>
        <v>9200.5100000001821</v>
      </c>
      <c r="U18" s="125">
        <f>Apr!CS19</f>
        <v>6800.5100000000912</v>
      </c>
      <c r="V18" s="126">
        <f t="shared" si="3"/>
        <v>44451.530000000363</v>
      </c>
      <c r="W18" s="126">
        <f>Apr!CW19</f>
        <v>14300</v>
      </c>
      <c r="X18" s="126">
        <f>Apr!DA19</f>
        <v>8000</v>
      </c>
      <c r="Y18" s="126">
        <f t="shared" si="1"/>
        <v>22300</v>
      </c>
      <c r="Z18" s="42">
        <f>Apr!BR19</f>
        <v>560.00000000005912</v>
      </c>
      <c r="AA18" s="126">
        <f>Apr!BG19</f>
        <v>4400.0000000000909</v>
      </c>
      <c r="AB18" s="126">
        <f>Apr!BJ19</f>
        <v>10600.000000000364</v>
      </c>
      <c r="AC18" s="126">
        <f>Apr!BL19+Apr!BN19+Apr!BP19</f>
        <v>4499.9999999999318</v>
      </c>
      <c r="AD18" s="126">
        <f>Apr!DR19</f>
        <v>5900</v>
      </c>
      <c r="AE18" s="127">
        <f>Apr!DT19-Apr!DR59-Apr!DT59</f>
        <v>21254</v>
      </c>
      <c r="AF18" s="127">
        <f>Apr!DR59+Apr!DT59</f>
        <v>45.999999999999375</v>
      </c>
      <c r="AG18" s="127">
        <f>Apr!HJ19-AE18</f>
        <v>22845.999999999454</v>
      </c>
      <c r="AH18" s="127">
        <f>Apr!DW19</f>
        <v>4300.0000000001819</v>
      </c>
      <c r="AI18" s="127">
        <f>Apr!DZ19</f>
        <v>7400.51</v>
      </c>
      <c r="AJ18" s="127">
        <f>Apr!EC19</f>
        <v>26560.51</v>
      </c>
      <c r="AK18" s="127">
        <f t="shared" si="4"/>
        <v>38261.020000000179</v>
      </c>
      <c r="AL18" s="127">
        <f>Apr!EG19</f>
        <v>35560.51</v>
      </c>
      <c r="AM18" s="127">
        <f>Apr!EJ19</f>
        <v>10400.51</v>
      </c>
      <c r="AN18" s="127">
        <f>Apr!EM19</f>
        <v>740.00000000000909</v>
      </c>
      <c r="AO18" s="127">
        <f t="shared" si="5"/>
        <v>46701.020000000011</v>
      </c>
      <c r="AP18" s="127">
        <f>Apr!FX19</f>
        <v>18800</v>
      </c>
      <c r="AQ18" s="127">
        <f>Apr!GA19</f>
        <v>5210</v>
      </c>
      <c r="AR18" s="127">
        <f>Apr!GG19</f>
        <v>4700.0000000005002</v>
      </c>
      <c r="AS18" s="127">
        <f t="shared" si="6"/>
        <v>28710.000000000502</v>
      </c>
      <c r="AT18" s="127">
        <f>Apr!EQ19</f>
        <v>6415.5099999999866</v>
      </c>
      <c r="AU18" s="127">
        <f>Apr!ET19</f>
        <v>18399.999999999636</v>
      </c>
      <c r="AV18" s="127">
        <f>Apr!EW19</f>
        <v>9300.5100000000912</v>
      </c>
      <c r="AW18" s="127">
        <f>Apr!FL56</f>
        <v>12055.690912785312</v>
      </c>
      <c r="AX18" s="127">
        <f>Apr!GJ19</f>
        <v>1399.9999999998636</v>
      </c>
      <c r="AY18" s="127">
        <f t="shared" si="7"/>
        <v>47571.710912784889</v>
      </c>
      <c r="AZ18" s="127">
        <f>Apr!FG19</f>
        <v>9357.1800000000148</v>
      </c>
      <c r="BA18" s="127">
        <f>Apr!FJ19</f>
        <v>15472.180000000364</v>
      </c>
      <c r="BB18" s="127">
        <f>Apr!FM56</f>
        <v>12716.99908721469</v>
      </c>
      <c r="BC18" s="127">
        <f>Apr!GM19</f>
        <v>0</v>
      </c>
      <c r="BD18" s="127">
        <f t="shared" si="8"/>
        <v>37546.359087215067</v>
      </c>
      <c r="BE18" s="127">
        <f>Apr!GP19</f>
        <v>0</v>
      </c>
      <c r="BF18" s="127">
        <f>Apr!GS19</f>
        <v>1290</v>
      </c>
      <c r="BG18" s="127">
        <f t="shared" si="9"/>
        <v>1290</v>
      </c>
      <c r="BH18" s="127">
        <f t="shared" si="10"/>
        <v>22300</v>
      </c>
      <c r="BI18" s="127"/>
      <c r="BJ18" s="127"/>
      <c r="BK18" s="127"/>
      <c r="BL18" s="128"/>
      <c r="BM18" s="128"/>
      <c r="BN18" s="128"/>
      <c r="BO18" s="128">
        <f>AS18+BG18</f>
        <v>30000.000000000502</v>
      </c>
      <c r="BP18" s="128"/>
      <c r="BQ18" s="128"/>
      <c r="BR18" s="128"/>
      <c r="BS18" s="128"/>
      <c r="BT18" s="42">
        <f>Apr!D57</f>
        <v>0</v>
      </c>
      <c r="BU18" s="42">
        <f>Apr!G57</f>
        <v>96000</v>
      </c>
      <c r="BV18" t="s">
        <v>327</v>
      </c>
      <c r="BX18" s="42">
        <f>Apr!HJ19</f>
        <v>44099.999999999454</v>
      </c>
      <c r="BY18" s="42">
        <f>Apr!HM19</f>
        <v>0</v>
      </c>
      <c r="BZ18" s="42">
        <f>Apr!HS19</f>
        <v>10576.670000000046</v>
      </c>
      <c r="CA18" s="42">
        <f>Apr!HV19</f>
        <v>576.67000000004543</v>
      </c>
      <c r="CB18" s="42">
        <f>Apr!HY19</f>
        <v>4576.6700000000455</v>
      </c>
      <c r="CC18" s="42">
        <f>Apr!HP19</f>
        <v>7069.9999999999927</v>
      </c>
      <c r="CD18" s="42">
        <f>Apr!IB19</f>
        <v>21300</v>
      </c>
    </row>
    <row r="19" spans="1:82" x14ac:dyDescent="0.25">
      <c r="A19" s="26">
        <f t="shared" si="11"/>
        <v>13</v>
      </c>
      <c r="B19" s="42">
        <f>Apr!G20</f>
        <v>307839.99999999651</v>
      </c>
      <c r="C19" s="42">
        <f>Apr!N20</f>
        <v>304000</v>
      </c>
      <c r="D19" s="42">
        <f>Apr!T20</f>
        <v>0</v>
      </c>
      <c r="E19" s="42">
        <f>Apr!V20</f>
        <v>0</v>
      </c>
      <c r="F19" s="42">
        <f>Apr!AB20</f>
        <v>4920</v>
      </c>
      <c r="G19" s="42">
        <f>Apr!X20</f>
        <v>9080</v>
      </c>
      <c r="H19" s="42">
        <f>Apr!AE20</f>
        <v>6000</v>
      </c>
      <c r="I19" s="42">
        <f>Apr!AI20</f>
        <v>13556.72</v>
      </c>
      <c r="J19" s="42">
        <f>Apr!AN20</f>
        <v>9386.7200000000266</v>
      </c>
      <c r="K19" s="42">
        <f>Apr!AR20</f>
        <v>9300.0000000001819</v>
      </c>
      <c r="L19" s="42">
        <f>Apr!AZ20</f>
        <v>420.67999999999302</v>
      </c>
      <c r="M19" s="42">
        <f>Apr!BC20</f>
        <v>576.52000000000407</v>
      </c>
      <c r="N19" s="125">
        <f t="shared" si="13"/>
        <v>53240.64000000021</v>
      </c>
      <c r="O19" s="125">
        <f>Apr!CA20</f>
        <v>599.99999999996589</v>
      </c>
      <c r="P19" s="125">
        <f>Apr!CD20</f>
        <v>1050</v>
      </c>
      <c r="Q19" s="125">
        <f>Apr!CF20</f>
        <v>7789.9999999999636</v>
      </c>
      <c r="R19" s="125">
        <f>Apr!CH20</f>
        <v>0</v>
      </c>
      <c r="S19" s="125">
        <f>Apr!CK20</f>
        <v>19456.720000000034</v>
      </c>
      <c r="T19" s="125">
        <f>Apr!CO20</f>
        <v>8756.7199999998174</v>
      </c>
      <c r="U19" s="125">
        <f>Apr!CS20</f>
        <v>6356.7200000001822</v>
      </c>
      <c r="V19" s="126">
        <f t="shared" si="3"/>
        <v>44010.159999999967</v>
      </c>
      <c r="W19" s="126">
        <f>Apr!CW20</f>
        <v>15400</v>
      </c>
      <c r="X19" s="126">
        <f>Apr!DA20</f>
        <v>8700</v>
      </c>
      <c r="Y19" s="126">
        <f t="shared" si="1"/>
        <v>24100</v>
      </c>
      <c r="Z19" s="42">
        <f>Apr!BR20</f>
        <v>329.99999999992724</v>
      </c>
      <c r="AA19" s="126">
        <f>Apr!BG20</f>
        <v>5500</v>
      </c>
      <c r="AB19" s="126">
        <f>Apr!BJ20</f>
        <v>10799.999999999272</v>
      </c>
      <c r="AC19" s="126">
        <f>Apr!BL20+Apr!BN20+Apr!BP20</f>
        <v>4340.0000000000455</v>
      </c>
      <c r="AD19" s="126">
        <f>Apr!DR20</f>
        <v>4800</v>
      </c>
      <c r="AE19" s="127">
        <f>Apr!DT20-Apr!DR60-Apr!DT60</f>
        <v>17557.999999999993</v>
      </c>
      <c r="AF19" s="127">
        <f>Apr!DR60+Apr!DT60</f>
        <v>42.000000000008697</v>
      </c>
      <c r="AG19" s="127">
        <f>Apr!HJ20-AE19</f>
        <v>44042.000000000371</v>
      </c>
      <c r="AH19" s="127">
        <f>Apr!DW20</f>
        <v>4800.0000000001819</v>
      </c>
      <c r="AI19" s="127">
        <f>Apr!DZ20</f>
        <v>8056.72</v>
      </c>
      <c r="AJ19" s="127">
        <f>Apr!EC20</f>
        <v>28216.720000000001</v>
      </c>
      <c r="AK19" s="127">
        <f t="shared" si="4"/>
        <v>41073.440000000184</v>
      </c>
      <c r="AL19" s="127">
        <f>Apr!EG20</f>
        <v>36216.720000000001</v>
      </c>
      <c r="AM19" s="127">
        <f>Apr!EJ20</f>
        <v>10056.719999999999</v>
      </c>
      <c r="AN19" s="127">
        <f>Apr!EM20</f>
        <v>699.99999999993179</v>
      </c>
      <c r="AO19" s="127">
        <f t="shared" si="5"/>
        <v>46973.439999999937</v>
      </c>
      <c r="AP19" s="127">
        <f>Apr!FX20</f>
        <v>18000</v>
      </c>
      <c r="AQ19" s="127">
        <f>Apr!GA20</f>
        <v>4899.9999999998181</v>
      </c>
      <c r="AR19" s="127">
        <f>Apr!GG20</f>
        <v>4400.0000000003183</v>
      </c>
      <c r="AS19" s="127">
        <f t="shared" si="6"/>
        <v>27300.000000000138</v>
      </c>
      <c r="AT19" s="127">
        <f>Apr!EQ20</f>
        <v>6046.7200000000093</v>
      </c>
      <c r="AU19" s="127">
        <f>Apr!ET20</f>
        <v>18500</v>
      </c>
      <c r="AV19" s="127">
        <f>Apr!EW20</f>
        <v>8956.7200000000903</v>
      </c>
      <c r="AW19" s="127">
        <f>Apr!FL57</f>
        <v>11633.3695488802</v>
      </c>
      <c r="AX19" s="127">
        <f>Apr!GJ20</f>
        <v>1600.0000000001364</v>
      </c>
      <c r="AY19" s="127">
        <f t="shared" si="7"/>
        <v>46736.809548880432</v>
      </c>
      <c r="AZ19" s="127">
        <f>Apr!FG20</f>
        <v>9696.7199999999903</v>
      </c>
      <c r="BA19" s="127">
        <f>Apr!FJ20</f>
        <v>14786.719999999454</v>
      </c>
      <c r="BB19" s="127">
        <f>Apr!FM57</f>
        <v>13110.070451119796</v>
      </c>
      <c r="BC19" s="127">
        <f>Apr!GM20</f>
        <v>99.999999999909051</v>
      </c>
      <c r="BD19" s="127">
        <f t="shared" si="8"/>
        <v>37693.510451119146</v>
      </c>
      <c r="BE19" s="127">
        <f>Apr!GP20</f>
        <v>0</v>
      </c>
      <c r="BF19" s="127">
        <f>Apr!GS20</f>
        <v>1300</v>
      </c>
      <c r="BG19" s="127">
        <f t="shared" si="9"/>
        <v>1300</v>
      </c>
      <c r="BH19" s="127">
        <f t="shared" si="10"/>
        <v>24100</v>
      </c>
      <c r="BI19" s="127"/>
      <c r="BJ19" s="127"/>
      <c r="BK19" s="127"/>
      <c r="BL19" s="128"/>
      <c r="BM19" s="128"/>
      <c r="BN19" s="128"/>
      <c r="BO19" s="128">
        <f t="shared" ref="BO19:BO26" si="14">AS19+BG19</f>
        <v>28600.000000000138</v>
      </c>
      <c r="BP19" s="128"/>
      <c r="BQ19" s="128"/>
      <c r="BR19" s="128"/>
      <c r="BS19" s="128"/>
      <c r="BT19" s="42">
        <f>Apr!D58</f>
        <v>0</v>
      </c>
      <c r="BU19" s="42">
        <f>Apr!G58</f>
        <v>102000</v>
      </c>
      <c r="BV19" t="s">
        <v>327</v>
      </c>
      <c r="BW19" s="151"/>
      <c r="BX19" s="42">
        <f>Apr!HJ20</f>
        <v>61600.000000000364</v>
      </c>
      <c r="BY19" s="42">
        <f>Apr!HM20</f>
        <v>0</v>
      </c>
      <c r="BZ19" s="42">
        <f>Apr!HS20</f>
        <v>18229.999999999818</v>
      </c>
      <c r="CA19" s="42">
        <f>Apr!HV20</f>
        <v>9230.0000000000455</v>
      </c>
      <c r="CB19" s="42">
        <f>Apr!HY20</f>
        <v>4530</v>
      </c>
      <c r="CC19" s="42">
        <f>Apr!HP20</f>
        <v>12009.999999999991</v>
      </c>
      <c r="CD19" s="42">
        <f>Apr!IB20</f>
        <v>17600</v>
      </c>
    </row>
    <row r="20" spans="1:82" x14ac:dyDescent="0.25">
      <c r="A20" s="26">
        <f t="shared" si="11"/>
        <v>14</v>
      </c>
      <c r="B20" s="42">
        <f>Apr!G21</f>
        <v>302400.00000000146</v>
      </c>
      <c r="C20" s="42">
        <f>Apr!N21</f>
        <v>301000</v>
      </c>
      <c r="D20" s="42">
        <f>Apr!T21</f>
        <v>9.9999997764825821E-3</v>
      </c>
      <c r="E20" s="42">
        <f>Apr!V21</f>
        <v>0</v>
      </c>
      <c r="F20" s="42">
        <f>Apr!AB21</f>
        <v>5100</v>
      </c>
      <c r="G20" s="42">
        <f>Apr!X21</f>
        <v>7899.9900000002235</v>
      </c>
      <c r="H20" s="42">
        <f>Apr!AE21</f>
        <v>6299.9999999997272</v>
      </c>
      <c r="I20" s="42">
        <f>Apr!AI21</f>
        <v>13688.000000001091</v>
      </c>
      <c r="J20" s="42">
        <f>Apr!AN21</f>
        <v>9557.9999999995816</v>
      </c>
      <c r="K20" s="42">
        <f>Apr!AR21</f>
        <v>9300.0000000001819</v>
      </c>
      <c r="L20" s="42">
        <f>Apr!AZ21</f>
        <v>430</v>
      </c>
      <c r="M20" s="42">
        <f>Apr!BC21</f>
        <v>690</v>
      </c>
      <c r="N20" s="125">
        <f t="shared" si="13"/>
        <v>52966.000000000575</v>
      </c>
      <c r="O20" s="125">
        <f>Apr!CA21</f>
        <v>520.00000000003865</v>
      </c>
      <c r="P20" s="125">
        <f>Apr!CD21</f>
        <v>1000</v>
      </c>
      <c r="Q20" s="125">
        <f>Apr!CF21</f>
        <v>10639.999999999984</v>
      </c>
      <c r="R20" s="125">
        <f>Apr!CH21</f>
        <v>0</v>
      </c>
      <c r="S20" s="125">
        <f>Apr!CK21</f>
        <v>19367.99999999996</v>
      </c>
      <c r="T20" s="125">
        <f>Apr!CO21</f>
        <v>8388</v>
      </c>
      <c r="U20" s="125">
        <f>Apr!CS21</f>
        <v>6888</v>
      </c>
      <c r="V20" s="126">
        <f t="shared" si="3"/>
        <v>46803.999999999985</v>
      </c>
      <c r="W20" s="126">
        <f>Apr!CW21</f>
        <v>13300</v>
      </c>
      <c r="X20" s="126">
        <f>Apr!DA21</f>
        <v>8200</v>
      </c>
      <c r="Y20" s="126">
        <f t="shared" si="1"/>
        <v>21500</v>
      </c>
      <c r="Z20" s="42">
        <f>Apr!BR21</f>
        <v>700.00000000004547</v>
      </c>
      <c r="AA20" s="126">
        <f>Apr!BG21</f>
        <v>4500</v>
      </c>
      <c r="AB20" s="126">
        <f>Apr!BJ21</f>
        <v>8500</v>
      </c>
      <c r="AC20" s="126">
        <f>Apr!BL21+Apr!BN21+Apr!BP21</f>
        <v>4530.0000000000091</v>
      </c>
      <c r="AD20" s="126">
        <f>Apr!DR21</f>
        <v>7100</v>
      </c>
      <c r="AE20" s="127">
        <f>Apr!DT21-Apr!DR61-Apr!DT61</f>
        <v>20050.000000000011</v>
      </c>
      <c r="AF20" s="127">
        <f>Apr!DR61+Apr!DT61</f>
        <v>49.999999999990052</v>
      </c>
      <c r="AG20" s="127">
        <f>Apr!HJ21-AE20</f>
        <v>43149.999999999811</v>
      </c>
      <c r="AH20" s="127">
        <f>Apr!DW21</f>
        <v>4399.9999999996362</v>
      </c>
      <c r="AI20" s="127">
        <f>Apr!DZ21</f>
        <v>6888</v>
      </c>
      <c r="AJ20" s="127">
        <f>Apr!EC21</f>
        <v>26048</v>
      </c>
      <c r="AK20" s="127">
        <f t="shared" si="4"/>
        <v>37335.999999999636</v>
      </c>
      <c r="AL20" s="127">
        <f>Apr!EG21</f>
        <v>31048</v>
      </c>
      <c r="AM20" s="127">
        <f>Apr!EJ21</f>
        <v>8888</v>
      </c>
      <c r="AN20" s="127">
        <f>Apr!EM21</f>
        <v>670.00000000007276</v>
      </c>
      <c r="AO20" s="127">
        <f t="shared" si="5"/>
        <v>40606.000000000073</v>
      </c>
      <c r="AP20" s="127">
        <f>Apr!FX21</f>
        <v>17100</v>
      </c>
      <c r="AQ20" s="127">
        <f>Apr!GA21</f>
        <v>4360.0000000003638</v>
      </c>
      <c r="AR20" s="127">
        <f>Apr!GG21</f>
        <v>4100.0000000003638</v>
      </c>
      <c r="AS20" s="127">
        <f t="shared" si="6"/>
        <v>25560.000000000728</v>
      </c>
      <c r="AT20" s="127">
        <f>Apr!EQ21</f>
        <v>6858.0000000000273</v>
      </c>
      <c r="AU20" s="127">
        <f>Apr!ET21</f>
        <v>12799.999999999272</v>
      </c>
      <c r="AV20" s="127">
        <f>Apr!EW21</f>
        <v>9087.9999999998181</v>
      </c>
      <c r="AW20" s="127">
        <f>Apr!FL58</f>
        <v>11318.769971728596</v>
      </c>
      <c r="AX20" s="127">
        <f>Apr!GJ21</f>
        <v>1500</v>
      </c>
      <c r="AY20" s="127">
        <f t="shared" si="7"/>
        <v>41564.769971727714</v>
      </c>
      <c r="AZ20" s="127">
        <f>Apr!FG21</f>
        <v>9907.9999999999727</v>
      </c>
      <c r="BA20" s="127">
        <f>Apr!FJ21</f>
        <v>14878</v>
      </c>
      <c r="BB20" s="127">
        <f>Apr!FM58</f>
        <v>9447.2300282714059</v>
      </c>
      <c r="BC20" s="127">
        <f>Apr!GM21</f>
        <v>0</v>
      </c>
      <c r="BD20" s="127">
        <f t="shared" si="8"/>
        <v>34233.230028271377</v>
      </c>
      <c r="BE20" s="127">
        <f>Apr!GP21</f>
        <v>10</v>
      </c>
      <c r="BF20" s="127">
        <f>Apr!GS21</f>
        <v>1240</v>
      </c>
      <c r="BG20" s="127">
        <f t="shared" si="9"/>
        <v>1250</v>
      </c>
      <c r="BH20" s="127">
        <f t="shared" si="10"/>
        <v>21500</v>
      </c>
      <c r="BI20" s="127"/>
      <c r="BJ20" s="127"/>
      <c r="BK20" s="127"/>
      <c r="BL20" s="128"/>
      <c r="BM20" s="128"/>
      <c r="BN20" s="128"/>
      <c r="BO20" s="128">
        <f t="shared" si="14"/>
        <v>26810.000000000728</v>
      </c>
      <c r="BP20" s="128"/>
      <c r="BQ20" s="128"/>
      <c r="BR20" s="128"/>
      <c r="BS20" s="128"/>
      <c r="BT20" s="42">
        <f>Apr!D59</f>
        <v>0</v>
      </c>
      <c r="BU20" s="42">
        <f>Apr!G59</f>
        <v>88000</v>
      </c>
      <c r="BV20" t="s">
        <v>327</v>
      </c>
      <c r="BX20" s="42">
        <f>Apr!HJ21</f>
        <v>63199.999999999818</v>
      </c>
      <c r="BY20" s="42">
        <f>Apr!HM21</f>
        <v>0</v>
      </c>
      <c r="BZ20" s="42">
        <f>Apr!HS21</f>
        <v>17210.000000000138</v>
      </c>
      <c r="CA20" s="42">
        <f>Apr!HV21</f>
        <v>9509.9999999998636</v>
      </c>
      <c r="CB20" s="42">
        <f>Apr!HY21</f>
        <v>1110</v>
      </c>
      <c r="CC20" s="42">
        <f>Apr!HP21</f>
        <v>15270.000000000038</v>
      </c>
      <c r="CD20" s="42">
        <f>Apr!IB21</f>
        <v>20100</v>
      </c>
    </row>
    <row r="21" spans="1:82" x14ac:dyDescent="0.25">
      <c r="A21" s="26">
        <f t="shared" si="11"/>
        <v>15</v>
      </c>
      <c r="B21" s="42">
        <f>Apr!G22</f>
        <v>356480.0000000032</v>
      </c>
      <c r="C21" s="42">
        <f>Apr!N22</f>
        <v>355000</v>
      </c>
      <c r="D21" s="42">
        <f>Apr!T22</f>
        <v>6.0000000521540642E-2</v>
      </c>
      <c r="E21" s="42">
        <f>Apr!V22</f>
        <v>0</v>
      </c>
      <c r="F21" s="42">
        <f>Apr!AB22</f>
        <v>3800</v>
      </c>
      <c r="G21" s="42">
        <f>Apr!X22</f>
        <v>7199.9399999994785</v>
      </c>
      <c r="H21" s="42">
        <f>Apr!AE22</f>
        <v>4000</v>
      </c>
      <c r="I21" s="42">
        <f>Apr!AI22</f>
        <v>10232.949999999637</v>
      </c>
      <c r="J21" s="42">
        <f>Apr!AN22</f>
        <v>9862.9500000004773</v>
      </c>
      <c r="K21" s="42">
        <f>Apr!AR22</f>
        <v>8100.0000000003638</v>
      </c>
      <c r="L21" s="42">
        <f>Apr!AZ22</f>
        <v>430.08399999997346</v>
      </c>
      <c r="M21" s="42">
        <f>Apr!BC22</f>
        <v>652.61000000000058</v>
      </c>
      <c r="N21" s="125">
        <f t="shared" si="13"/>
        <v>44278.594000000448</v>
      </c>
      <c r="O21" s="125">
        <f>Apr!CA22</f>
        <v>429.99999999994998</v>
      </c>
      <c r="P21" s="125">
        <f>Apr!CD22</f>
        <v>790</v>
      </c>
      <c r="Q21" s="125">
        <f>Apr!CF22</f>
        <v>893.99999999995043</v>
      </c>
      <c r="R21" s="125">
        <f>Apr!CH22</f>
        <v>0</v>
      </c>
      <c r="S21" s="125">
        <f>Apr!CK22</f>
        <v>18402.950000000052</v>
      </c>
      <c r="T21" s="125">
        <f>Apr!CO22</f>
        <v>9532.9500000002736</v>
      </c>
      <c r="U21" s="125">
        <f>Apr!CS22</f>
        <v>8432.9499999999098</v>
      </c>
      <c r="V21" s="126">
        <f t="shared" si="3"/>
        <v>38482.850000000137</v>
      </c>
      <c r="W21" s="126">
        <f>Apr!CW22</f>
        <v>10400</v>
      </c>
      <c r="X21" s="126">
        <f>Apr!DA22</f>
        <v>6200</v>
      </c>
      <c r="Y21" s="126">
        <f t="shared" si="1"/>
        <v>16600</v>
      </c>
      <c r="Z21" s="42">
        <f>Apr!BR22</f>
        <v>829.99999999992724</v>
      </c>
      <c r="AA21" s="126">
        <f>Apr!BG22</f>
        <v>2700.0000000000455</v>
      </c>
      <c r="AB21" s="126">
        <f>Apr!BJ22</f>
        <v>9600.0000000003638</v>
      </c>
      <c r="AC21" s="126">
        <f>Apr!BL22+Apr!BN22+Apr!BP22</f>
        <v>4239.9999999999591</v>
      </c>
      <c r="AD21" s="126">
        <f>Apr!DR22</f>
        <v>7700</v>
      </c>
      <c r="AE21" s="127">
        <f>Apr!DT22-Apr!DR62-Apr!DT62</f>
        <v>18125.999999999996</v>
      </c>
      <c r="AF21" s="127">
        <f>Apr!DR62+Apr!DT62</f>
        <v>74.000000000005173</v>
      </c>
      <c r="AG21" s="127">
        <f>Apr!HJ22-AE21</f>
        <v>41273.999999999636</v>
      </c>
      <c r="AH21" s="127">
        <f>Apr!DW22</f>
        <v>4100.0000000003638</v>
      </c>
      <c r="AI21" s="127">
        <f>Apr!DZ22</f>
        <v>7832.95</v>
      </c>
      <c r="AJ21" s="127">
        <f>Apr!EC22</f>
        <v>23992.95</v>
      </c>
      <c r="AK21" s="127">
        <f t="shared" si="4"/>
        <v>35925.900000000365</v>
      </c>
      <c r="AL21" s="127">
        <f>Apr!EG22</f>
        <v>32992.949999999997</v>
      </c>
      <c r="AM21" s="127">
        <f>Apr!EJ22</f>
        <v>11832.95</v>
      </c>
      <c r="AN21" s="127">
        <f>Apr!EM22</f>
        <v>639.99999999998636</v>
      </c>
      <c r="AO21" s="127">
        <f t="shared" si="5"/>
        <v>45465.89999999998</v>
      </c>
      <c r="AP21" s="127">
        <f>Apr!FX22</f>
        <v>16600</v>
      </c>
      <c r="AQ21" s="127">
        <f>Apr!GA22</f>
        <v>4550</v>
      </c>
      <c r="AR21" s="127">
        <f>Apr!GG22</f>
        <v>3599.9999999996817</v>
      </c>
      <c r="AS21" s="127">
        <f t="shared" si="6"/>
        <v>24749.99999999968</v>
      </c>
      <c r="AT21" s="127">
        <f>Apr!EQ22</f>
        <v>8817.9499999999571</v>
      </c>
      <c r="AU21" s="127">
        <f>Apr!ET22</f>
        <v>8600.0000000003638</v>
      </c>
      <c r="AV21" s="127">
        <f>Apr!EW22</f>
        <v>10432.94999999991</v>
      </c>
      <c r="AW21" s="127">
        <f>Apr!FL59</f>
        <v>12465.300495532176</v>
      </c>
      <c r="AX21" s="127">
        <f>Apr!GJ22</f>
        <v>1299.9999999999545</v>
      </c>
      <c r="AY21" s="127">
        <f t="shared" si="7"/>
        <v>41616.200495532365</v>
      </c>
      <c r="AZ21" s="127">
        <f>Apr!FG22</f>
        <v>11576.280000000042</v>
      </c>
      <c r="BA21" s="127">
        <f>Apr!FJ22</f>
        <v>16361.28000000109</v>
      </c>
      <c r="BB21" s="127">
        <f>Apr!FM59</f>
        <v>10928.929504467822</v>
      </c>
      <c r="BC21" s="127">
        <f>Apr!GM22</f>
        <v>0</v>
      </c>
      <c r="BD21" s="127">
        <f t="shared" si="8"/>
        <v>38866.489504468955</v>
      </c>
      <c r="BE21" s="127">
        <f>Apr!GP22</f>
        <v>0</v>
      </c>
      <c r="BF21" s="127">
        <f>Apr!GS22</f>
        <v>950</v>
      </c>
      <c r="BG21" s="127">
        <f t="shared" si="9"/>
        <v>950</v>
      </c>
      <c r="BH21" s="127">
        <f t="shared" si="10"/>
        <v>16600</v>
      </c>
      <c r="BI21" s="127"/>
      <c r="BJ21" s="127"/>
      <c r="BK21" s="127"/>
      <c r="BL21" s="128"/>
      <c r="BM21" s="128"/>
      <c r="BN21" s="128"/>
      <c r="BO21" s="128">
        <f t="shared" si="14"/>
        <v>25699.99999999968</v>
      </c>
      <c r="BP21" s="128"/>
      <c r="BQ21" s="128"/>
      <c r="BR21" s="128"/>
      <c r="BS21" s="128"/>
      <c r="BT21" s="42">
        <f>Apr!D60</f>
        <v>0</v>
      </c>
      <c r="BU21" s="42">
        <f>Apr!G60</f>
        <v>15000</v>
      </c>
      <c r="BV21" t="s">
        <v>327</v>
      </c>
      <c r="BX21" s="42">
        <f>Apr!HJ22</f>
        <v>59399.999999999636</v>
      </c>
      <c r="BY21" s="42">
        <f>Apr!HM22</f>
        <v>0</v>
      </c>
      <c r="BZ21" s="42">
        <f>Apr!HS22</f>
        <v>16436.666999999954</v>
      </c>
      <c r="CA21" s="42">
        <f>Apr!HV22</f>
        <v>10036.66700000009</v>
      </c>
      <c r="CB21" s="42">
        <f>Apr!HY22</f>
        <v>5736.6669999999094</v>
      </c>
      <c r="CC21" s="42">
        <f>Apr!HP22</f>
        <v>8989.9999999999527</v>
      </c>
      <c r="CD21" s="42">
        <f>Apr!IB22</f>
        <v>18200</v>
      </c>
    </row>
    <row r="22" spans="1:82" x14ac:dyDescent="0.25">
      <c r="A22" s="26">
        <f t="shared" si="11"/>
        <v>16</v>
      </c>
      <c r="B22" s="42">
        <f>Apr!G23</f>
        <v>154239.99999999432</v>
      </c>
      <c r="C22" s="42">
        <f>Apr!N23</f>
        <v>156000</v>
      </c>
      <c r="D22" s="42">
        <f>Apr!T23</f>
        <v>1416.7599999997765</v>
      </c>
      <c r="E22" s="42">
        <f>Apr!V23</f>
        <v>0</v>
      </c>
      <c r="F22" s="42">
        <f>Apr!AB23</f>
        <v>580</v>
      </c>
      <c r="G22" s="42">
        <f>Apr!X23</f>
        <v>3003.2400000002235</v>
      </c>
      <c r="H22" s="42">
        <f>Apr!AE23</f>
        <v>1000</v>
      </c>
      <c r="I22" s="42">
        <f>Apr!AI23</f>
        <v>2409.5599999992723</v>
      </c>
      <c r="J22" s="42">
        <f>Apr!AN23</f>
        <v>1899.5599999998776</v>
      </c>
      <c r="K22" s="42">
        <f>Apr!AR23</f>
        <v>2099.9999999994543</v>
      </c>
      <c r="L22" s="42">
        <f>Apr!AZ23</f>
        <v>259.91600000002654</v>
      </c>
      <c r="M22" s="42">
        <f>Apr!BC23</f>
        <v>407.38999999999942</v>
      </c>
      <c r="N22" s="125">
        <f t="shared" si="13"/>
        <v>13076.42599999863</v>
      </c>
      <c r="O22" s="125">
        <f>Apr!CA23</f>
        <v>142.30000000003429</v>
      </c>
      <c r="P22" s="125">
        <f>Apr!CD23</f>
        <v>467.30000000004657</v>
      </c>
      <c r="Q22" s="125">
        <f>Apr!CF23</f>
        <v>0</v>
      </c>
      <c r="R22" s="125">
        <f>Apr!CH23</f>
        <v>0</v>
      </c>
      <c r="S22" s="125">
        <f>Apr!CK23</f>
        <v>8247.2600000006205</v>
      </c>
      <c r="T22" s="125">
        <f>Apr!CO23</f>
        <v>3188.5599999997235</v>
      </c>
      <c r="U22" s="125">
        <f>Apr!CS23</f>
        <v>2707.5599999999563</v>
      </c>
      <c r="V22" s="126">
        <f t="shared" si="3"/>
        <v>14752.98000000038</v>
      </c>
      <c r="W22" s="126">
        <f>Apr!CW23</f>
        <v>3200</v>
      </c>
      <c r="X22" s="126">
        <f>Apr!DA23</f>
        <v>2500</v>
      </c>
      <c r="Y22" s="126">
        <f t="shared" si="1"/>
        <v>5700</v>
      </c>
      <c r="Z22" s="42">
        <f>Apr!BR23</f>
        <v>670.00000000007276</v>
      </c>
      <c r="AA22" s="126">
        <f>Apr!BG23</f>
        <v>1500</v>
      </c>
      <c r="AB22" s="126">
        <f>Apr!BJ23</f>
        <v>6899.9999999996362</v>
      </c>
      <c r="AC22" s="126">
        <f>Apr!BL23+Apr!BN23+Apr!BP23</f>
        <v>3540.00000000005</v>
      </c>
      <c r="AD22" s="126">
        <f>Apr!DR23</f>
        <v>5800</v>
      </c>
      <c r="AE22" s="127">
        <f>Apr!DT23-Apr!DR63-Apr!DT63</f>
        <v>15445.000000000004</v>
      </c>
      <c r="AF22" s="127">
        <f>Apr!DR63+Apr!DT63</f>
        <v>54.999999999996163</v>
      </c>
      <c r="AG22" s="127">
        <f>Apr!HJ23-AE22</f>
        <v>37555</v>
      </c>
      <c r="AH22" s="127">
        <f>Apr!DW23</f>
        <v>1099.9999999994543</v>
      </c>
      <c r="AI22" s="127">
        <f>Apr!DZ23</f>
        <v>1109.56</v>
      </c>
      <c r="AJ22" s="127">
        <f>Apr!EC23</f>
        <v>6269.56</v>
      </c>
      <c r="AK22" s="127">
        <f t="shared" si="4"/>
        <v>8479.1199999994551</v>
      </c>
      <c r="AL22" s="127">
        <f>Apr!EG23</f>
        <v>8269.5600000000013</v>
      </c>
      <c r="AM22" s="127">
        <f>Apr!EJ23</f>
        <v>6109.56</v>
      </c>
      <c r="AN22" s="127">
        <f>Apr!EM23</f>
        <v>189.99999999994088</v>
      </c>
      <c r="AO22" s="127">
        <f t="shared" si="5"/>
        <v>14569.119999999944</v>
      </c>
      <c r="AP22" s="127">
        <f>Apr!FX23</f>
        <v>4700</v>
      </c>
      <c r="AQ22" s="127">
        <f>Apr!GA23</f>
        <v>1159.9999999998181</v>
      </c>
      <c r="AR22" s="127">
        <f>Apr!GG23</f>
        <v>599.99999999968168</v>
      </c>
      <c r="AS22" s="127">
        <f t="shared" si="6"/>
        <v>6459.9999999994998</v>
      </c>
      <c r="AT22" s="127">
        <f>Apr!EQ23</f>
        <v>4149.5600000000213</v>
      </c>
      <c r="AU22" s="127">
        <f>Apr!ET23</f>
        <v>1600.0000000003638</v>
      </c>
      <c r="AV22" s="127">
        <f>Apr!EW23</f>
        <v>1209.559999999909</v>
      </c>
      <c r="AW22" s="127">
        <f>Apr!FL60</f>
        <v>2748.9523060573856</v>
      </c>
      <c r="AX22" s="127">
        <f>Apr!GJ23</f>
        <v>299.99999999995453</v>
      </c>
      <c r="AY22" s="127">
        <f t="shared" si="7"/>
        <v>10008.072306057633</v>
      </c>
      <c r="AZ22" s="127">
        <f>Apr!FG23</f>
        <v>3749.5599999999795</v>
      </c>
      <c r="BA22" s="127">
        <f>Apr!FJ23</f>
        <v>2789.56</v>
      </c>
      <c r="BB22" s="127">
        <f>Apr!FM60</f>
        <v>3150.1676939426143</v>
      </c>
      <c r="BC22" s="127">
        <f>Apr!GM23</f>
        <v>0</v>
      </c>
      <c r="BD22" s="127">
        <f t="shared" si="8"/>
        <v>9689.2876939425933</v>
      </c>
      <c r="BE22" s="127">
        <f>Apr!GP23</f>
        <v>0</v>
      </c>
      <c r="BF22" s="127">
        <f>Apr!GS23</f>
        <v>40</v>
      </c>
      <c r="BG22" s="127">
        <f t="shared" si="9"/>
        <v>40</v>
      </c>
      <c r="BH22" s="127">
        <f t="shared" si="10"/>
        <v>5700</v>
      </c>
      <c r="BI22" s="127"/>
      <c r="BJ22" s="127"/>
      <c r="BK22" s="127"/>
      <c r="BL22" s="128"/>
      <c r="BM22" s="128"/>
      <c r="BN22" s="128"/>
      <c r="BO22" s="128">
        <f t="shared" si="14"/>
        <v>6499.9999999994998</v>
      </c>
      <c r="BP22" s="128"/>
      <c r="BQ22" s="128"/>
      <c r="BR22" s="128"/>
      <c r="BS22" s="128"/>
      <c r="BT22" s="42">
        <f>Apr!D61</f>
        <v>0</v>
      </c>
      <c r="BU22" s="42">
        <f>Apr!G61</f>
        <v>0</v>
      </c>
      <c r="BV22" t="s">
        <v>327</v>
      </c>
      <c r="BW22" s="151"/>
      <c r="BX22" s="42">
        <f>Apr!HJ23</f>
        <v>53000</v>
      </c>
      <c r="BY22" s="42">
        <f>Apr!HM23</f>
        <v>0</v>
      </c>
      <c r="BZ22" s="42">
        <f>Apr!HS23</f>
        <v>14693.333299999909</v>
      </c>
      <c r="CA22" s="42">
        <f>Apr!HV23</f>
        <v>9293.3333000000457</v>
      </c>
      <c r="CB22" s="42">
        <f>Apr!HY23</f>
        <v>6793.3333000000457</v>
      </c>
      <c r="CC22" s="42">
        <f>Apr!HP23</f>
        <v>6720.0000000000273</v>
      </c>
      <c r="CD22" s="42">
        <f>Apr!IB23</f>
        <v>15500</v>
      </c>
    </row>
    <row r="23" spans="1:82" x14ac:dyDescent="0.25">
      <c r="A23" s="26">
        <f t="shared" si="11"/>
        <v>17</v>
      </c>
      <c r="B23" s="42">
        <f>Apr!G24</f>
        <v>382720.00000000116</v>
      </c>
      <c r="C23" s="42">
        <f>Apr!N24</f>
        <v>377000</v>
      </c>
      <c r="D23" s="42">
        <f>Apr!T24</f>
        <v>9605.7799999993294</v>
      </c>
      <c r="E23" s="42">
        <f>Apr!V24</f>
        <v>0</v>
      </c>
      <c r="F23" s="42">
        <f>Apr!AB24</f>
        <v>20</v>
      </c>
      <c r="G23" s="42">
        <f>Apr!X24</f>
        <v>7374.2200000006706</v>
      </c>
      <c r="H23" s="42">
        <f>Apr!AE24</f>
        <v>3300.0000000001819</v>
      </c>
      <c r="I23" s="42">
        <f>Apr!AI24</f>
        <v>7994.3200000007273</v>
      </c>
      <c r="J23" s="42">
        <f>Apr!AN24</f>
        <v>8844.320000000509</v>
      </c>
      <c r="K23" s="42">
        <f>Apr!AR24</f>
        <v>7699.9999999998181</v>
      </c>
      <c r="L23" s="42">
        <f>Apr!AZ24</f>
        <v>380</v>
      </c>
      <c r="M23" s="42">
        <f>Apr!BC24</f>
        <v>600</v>
      </c>
      <c r="N23" s="125">
        <f t="shared" si="13"/>
        <v>45818.640000001236</v>
      </c>
      <c r="O23" s="125">
        <f>Apr!CA24</f>
        <v>556.89999999998463</v>
      </c>
      <c r="P23" s="125">
        <f>Apr!CD24</f>
        <v>1026.3999999999069</v>
      </c>
      <c r="Q23" s="125">
        <f>Apr!CF24</f>
        <v>6794.8000000000466</v>
      </c>
      <c r="R23" s="125">
        <f>Apr!CH24</f>
        <v>0</v>
      </c>
      <c r="S23" s="125">
        <f>Apr!CK24</f>
        <v>20167.419999998488</v>
      </c>
      <c r="T23" s="125">
        <f>Apr!CO24</f>
        <v>9147.3200000000652</v>
      </c>
      <c r="U23" s="125">
        <f>Apr!CS24</f>
        <v>7794.32</v>
      </c>
      <c r="V23" s="126">
        <f t="shared" si="3"/>
        <v>45487.15999999849</v>
      </c>
      <c r="W23" s="126">
        <f>Apr!CW24</f>
        <v>14400</v>
      </c>
      <c r="X23" s="126">
        <f>Apr!DA24</f>
        <v>8450</v>
      </c>
      <c r="Y23" s="126">
        <f t="shared" si="1"/>
        <v>22850</v>
      </c>
      <c r="Z23" s="42">
        <f>Apr!BR24</f>
        <v>699.99999999993179</v>
      </c>
      <c r="AA23" s="126">
        <f>Apr!BG24</f>
        <v>3000</v>
      </c>
      <c r="AB23" s="126">
        <f>Apr!BJ24</f>
        <v>9100.0000000003638</v>
      </c>
      <c r="AC23" s="126">
        <f>Apr!BL24+Apr!BN24+Apr!BP24</f>
        <v>4349.9999999999227</v>
      </c>
      <c r="AD23" s="126">
        <f>Apr!DR24</f>
        <v>7300</v>
      </c>
      <c r="AE23" s="127">
        <f>Apr!DT24-Apr!DR64-Apr!DT64</f>
        <v>19124</v>
      </c>
      <c r="AF23" s="127">
        <f>Apr!DR64+Apr!DT64</f>
        <v>76.000000000000512</v>
      </c>
      <c r="AG23" s="127">
        <f>Apr!HJ24-AE23</f>
        <v>71276.000000000553</v>
      </c>
      <c r="AH23" s="127">
        <f>Apr!DW24</f>
        <v>3600.0000000003638</v>
      </c>
      <c r="AI23" s="127">
        <f>Apr!DZ24</f>
        <v>6294.32</v>
      </c>
      <c r="AJ23" s="127">
        <f>Apr!EC24</f>
        <v>21454.32</v>
      </c>
      <c r="AK23" s="127">
        <f t="shared" si="4"/>
        <v>31348.640000000363</v>
      </c>
      <c r="AL23" s="127">
        <f>Apr!EG24</f>
        <v>31454.32</v>
      </c>
      <c r="AM23" s="127">
        <f>Apr!EJ24</f>
        <v>10294.32</v>
      </c>
      <c r="AN23" s="127">
        <f>Apr!EM24</f>
        <v>640.00000000010004</v>
      </c>
      <c r="AO23" s="127">
        <f t="shared" si="5"/>
        <v>42388.640000000101</v>
      </c>
      <c r="AP23" s="127">
        <f>Apr!FX24</f>
        <v>11900</v>
      </c>
      <c r="AQ23" s="127">
        <f>Apr!GA24</f>
        <v>3300.0000000000909</v>
      </c>
      <c r="AR23" s="127">
        <f>Apr!GG24</f>
        <v>2600.0000000008185</v>
      </c>
      <c r="AS23" s="127">
        <f t="shared" si="6"/>
        <v>17800.000000000909</v>
      </c>
      <c r="AT23" s="127">
        <f>Apr!EQ24</f>
        <v>7119.3199999999888</v>
      </c>
      <c r="AU23" s="127">
        <f>Apr!ET24</f>
        <v>10100.000000000364</v>
      </c>
      <c r="AV23" s="127">
        <f>Apr!EW24</f>
        <v>7994.3200000002726</v>
      </c>
      <c r="AW23" s="127">
        <f>Apr!FL61</f>
        <v>11373.517274488515</v>
      </c>
      <c r="AX23" s="127">
        <f>Apr!GJ24</f>
        <v>1500</v>
      </c>
      <c r="AY23" s="127">
        <f t="shared" si="7"/>
        <v>38087.157274489138</v>
      </c>
      <c r="AZ23" s="127">
        <f>Apr!FG24</f>
        <v>7210.9900000000107</v>
      </c>
      <c r="BA23" s="127">
        <f>Apr!FJ24</f>
        <v>9635.9899999985446</v>
      </c>
      <c r="BB23" s="127">
        <f>Apr!FM61</f>
        <v>6956.7927255114828</v>
      </c>
      <c r="BC23" s="127">
        <f>Apr!GM24</f>
        <v>99.999999999909051</v>
      </c>
      <c r="BD23" s="127">
        <f t="shared" si="8"/>
        <v>23903.772725509949</v>
      </c>
      <c r="BE23" s="127">
        <f>Apr!GP24</f>
        <v>10</v>
      </c>
      <c r="BF23" s="127">
        <f>Apr!GS24</f>
        <v>100</v>
      </c>
      <c r="BG23" s="127">
        <f t="shared" si="9"/>
        <v>110</v>
      </c>
      <c r="BH23" s="127">
        <f t="shared" si="10"/>
        <v>22850</v>
      </c>
      <c r="BI23" s="127"/>
      <c r="BJ23" s="127"/>
      <c r="BK23" s="127"/>
      <c r="BL23" s="128"/>
      <c r="BM23" s="128"/>
      <c r="BN23" s="128"/>
      <c r="BO23" s="128">
        <f t="shared" si="14"/>
        <v>17910.000000000909</v>
      </c>
      <c r="BP23" s="128"/>
      <c r="BQ23" s="128"/>
      <c r="BR23" s="128"/>
      <c r="BS23" s="128"/>
      <c r="BT23" s="42">
        <f>Apr!D62</f>
        <v>0</v>
      </c>
      <c r="BU23" s="42">
        <f>Apr!G62</f>
        <v>0</v>
      </c>
      <c r="BV23" t="s">
        <v>327</v>
      </c>
      <c r="BX23" s="42">
        <f>Apr!HJ24</f>
        <v>90400.000000000553</v>
      </c>
      <c r="BY23" s="42">
        <f>Apr!HM24</f>
        <v>0</v>
      </c>
      <c r="BZ23" s="42">
        <f>Apr!HS24</f>
        <v>22890.000000000091</v>
      </c>
      <c r="CA23" s="42">
        <f>Apr!HV24</f>
        <v>13389.999999999864</v>
      </c>
      <c r="CB23" s="42">
        <f>Apr!HY24</f>
        <v>17789.999999999956</v>
      </c>
      <c r="CC23" s="42">
        <f>Apr!HP24</f>
        <v>17129.999999999996</v>
      </c>
      <c r="CD23" s="42">
        <f>Apr!IB24</f>
        <v>19200</v>
      </c>
    </row>
    <row r="24" spans="1:82" x14ac:dyDescent="0.25">
      <c r="A24" s="26">
        <f t="shared" si="11"/>
        <v>18</v>
      </c>
      <c r="B24" s="42">
        <f>Apr!G25</f>
        <v>436800.00000001019</v>
      </c>
      <c r="C24" s="42">
        <f>Apr!N25</f>
        <v>433000</v>
      </c>
      <c r="D24" s="42">
        <f>Apr!T25</f>
        <v>9901.5800000000745</v>
      </c>
      <c r="E24" s="42">
        <f>Apr!V25</f>
        <v>0</v>
      </c>
      <c r="F24" s="42">
        <f>Apr!AB25</f>
        <v>100</v>
      </c>
      <c r="G24" s="42">
        <f>Apr!X25</f>
        <v>7998.4199999999255</v>
      </c>
      <c r="H24" s="42">
        <f>Apr!AE25</f>
        <v>4699.9999999998181</v>
      </c>
      <c r="I24" s="42">
        <f>Apr!AI25</f>
        <v>12717.969999998908</v>
      </c>
      <c r="J24" s="42">
        <f>Apr!AN25</f>
        <v>9807.9699999995501</v>
      </c>
      <c r="K24" s="42">
        <f>Apr!AR25</f>
        <v>9200.0000000007276</v>
      </c>
      <c r="L24" s="42">
        <f>Apr!AZ25</f>
        <v>400</v>
      </c>
      <c r="M24" s="42">
        <f>Apr!BC25</f>
        <v>600</v>
      </c>
      <c r="N24" s="125">
        <f t="shared" si="13"/>
        <v>55425.939999999006</v>
      </c>
      <c r="O24" s="125">
        <f>Apr!CA25</f>
        <v>522.69999999998618</v>
      </c>
      <c r="P24" s="125">
        <f>Apr!CD25</f>
        <v>1100.4000000000233</v>
      </c>
      <c r="Q24" s="125">
        <f>Apr!CF25</f>
        <v>6601</v>
      </c>
      <c r="R24" s="125">
        <f>Apr!CH25</f>
        <v>0</v>
      </c>
      <c r="S24" s="125">
        <f>Apr!CK25</f>
        <v>20925.270000000306</v>
      </c>
      <c r="T24" s="125">
        <f>Apr!CO25</f>
        <v>8951.9700000001958</v>
      </c>
      <c r="U24" s="125">
        <f>Apr!CS25</f>
        <v>7978.9700000002404</v>
      </c>
      <c r="V24" s="126">
        <f t="shared" si="3"/>
        <v>46080.310000000754</v>
      </c>
      <c r="W24" s="126">
        <f>Apr!CW25</f>
        <v>15779</v>
      </c>
      <c r="X24" s="126">
        <f>Apr!DA25</f>
        <v>9437</v>
      </c>
      <c r="Y24" s="126">
        <f t="shared" si="1"/>
        <v>25216</v>
      </c>
      <c r="Z24" s="42">
        <f>Apr!BR25</f>
        <v>300.00000000006821</v>
      </c>
      <c r="AA24" s="126">
        <f>Apr!BG25</f>
        <v>2399.9999999998636</v>
      </c>
      <c r="AB24" s="126">
        <f>Apr!BJ25</f>
        <v>9200.0000000007276</v>
      </c>
      <c r="AC24" s="126">
        <f>Apr!BL25+Apr!BN25+Apr!BP25</f>
        <v>4310.0000000000182</v>
      </c>
      <c r="AD24" s="126">
        <f>Apr!DR25</f>
        <v>4500</v>
      </c>
      <c r="AE24" s="127">
        <f>Apr!DT25-Apr!DR65-Apr!DT65</f>
        <v>18441.999999999993</v>
      </c>
      <c r="AF24" s="127">
        <f>Apr!DR65+Apr!DT65</f>
        <v>58.000000000006935</v>
      </c>
      <c r="AG24" s="127">
        <f>Apr!HJ25-AE24</f>
        <v>82358.000000000175</v>
      </c>
      <c r="AH24" s="127">
        <f>Apr!DW25</f>
        <v>4699.9999999998181</v>
      </c>
      <c r="AI24" s="127">
        <f>Apr!DZ25</f>
        <v>7517.97</v>
      </c>
      <c r="AJ24" s="127">
        <f>Apr!EC25</f>
        <v>26677.97</v>
      </c>
      <c r="AK24" s="127">
        <f t="shared" si="4"/>
        <v>38895.93999999982</v>
      </c>
      <c r="AL24" s="127">
        <f>Apr!EG25</f>
        <v>32677.97</v>
      </c>
      <c r="AM24" s="127">
        <f>Apr!EJ25</f>
        <v>10517.97</v>
      </c>
      <c r="AN24" s="127">
        <f>Apr!EM25</f>
        <v>659.99999999996817</v>
      </c>
      <c r="AO24" s="127">
        <f t="shared" si="5"/>
        <v>43855.939999999973</v>
      </c>
      <c r="AP24" s="127">
        <f>Apr!FX25</f>
        <v>14800</v>
      </c>
      <c r="AQ24" s="127">
        <f>Apr!GA25</f>
        <v>4009.9999999998181</v>
      </c>
      <c r="AR24" s="127">
        <f>Apr!GG25</f>
        <v>3400.0000000000909</v>
      </c>
      <c r="AS24" s="127">
        <f t="shared" si="6"/>
        <v>22209.999999999909</v>
      </c>
      <c r="AT24" s="127">
        <f>Apr!EQ25</f>
        <v>7367.9700000000221</v>
      </c>
      <c r="AU24" s="127">
        <f>Apr!ET25</f>
        <v>13899.999999999636</v>
      </c>
      <c r="AV24" s="127">
        <f>Apr!EW25</f>
        <v>9417.9700000000903</v>
      </c>
      <c r="AW24" s="127">
        <f>Apr!FL62</f>
        <v>11546.45372521167</v>
      </c>
      <c r="AX24" s="127">
        <f>Apr!GJ25</f>
        <v>1599.9999999999091</v>
      </c>
      <c r="AY24" s="127">
        <f t="shared" si="7"/>
        <v>43832.393725211325</v>
      </c>
      <c r="AZ24" s="127">
        <f>Apr!FG25</f>
        <v>11351.299999999977</v>
      </c>
      <c r="BA24" s="127">
        <f>Apr!FJ25</f>
        <v>16001.300000001091</v>
      </c>
      <c r="BB24" s="127">
        <f>Apr!FM62</f>
        <v>12172.816274788329</v>
      </c>
      <c r="BC24" s="127">
        <f>Apr!GM25</f>
        <v>0</v>
      </c>
      <c r="BD24" s="127">
        <f t="shared" si="8"/>
        <v>39525.416274789401</v>
      </c>
      <c r="BE24" s="127">
        <f>Apr!GP25</f>
        <v>0</v>
      </c>
      <c r="BF24" s="127">
        <f>Apr!GS25</f>
        <v>190</v>
      </c>
      <c r="BG24" s="127">
        <f t="shared" si="9"/>
        <v>190</v>
      </c>
      <c r="BH24" s="127">
        <f t="shared" si="10"/>
        <v>25216</v>
      </c>
      <c r="BI24" s="127"/>
      <c r="BJ24" s="127"/>
      <c r="BK24" s="127"/>
      <c r="BL24" s="128"/>
      <c r="BM24" s="128"/>
      <c r="BN24" s="128"/>
      <c r="BO24" s="128">
        <f t="shared" si="14"/>
        <v>22399.999999999909</v>
      </c>
      <c r="BP24" s="128"/>
      <c r="BQ24" s="128"/>
      <c r="BR24" s="128"/>
      <c r="BS24" s="128"/>
      <c r="BT24" s="42">
        <f>Apr!D63</f>
        <v>0</v>
      </c>
      <c r="BU24" s="42">
        <f>Apr!G63</f>
        <v>0</v>
      </c>
      <c r="BV24" t="s">
        <v>327</v>
      </c>
      <c r="BX24" s="42">
        <f>Apr!HJ25</f>
        <v>100800.00000000017</v>
      </c>
      <c r="BY24" s="42">
        <f>Apr!HM25</f>
        <v>0</v>
      </c>
      <c r="BZ24" s="42">
        <f>Apr!HS25</f>
        <v>25816.667000000045</v>
      </c>
      <c r="CA24" s="42">
        <f>Apr!HV25</f>
        <v>18916.667000000183</v>
      </c>
      <c r="CB24" s="42">
        <f>Apr!HY25</f>
        <v>18316.667000000045</v>
      </c>
      <c r="CC24" s="42">
        <f>Apr!HP25</f>
        <v>19250</v>
      </c>
      <c r="CD24" s="42">
        <f>Apr!IB25</f>
        <v>18500</v>
      </c>
    </row>
    <row r="25" spans="1:82" x14ac:dyDescent="0.25">
      <c r="A25" s="26">
        <f t="shared" si="11"/>
        <v>19</v>
      </c>
      <c r="B25" s="42">
        <f>Apr!G26</f>
        <v>443199.99999998981</v>
      </c>
      <c r="C25" s="42">
        <f>Apr!N26</f>
        <v>440000</v>
      </c>
      <c r="D25" s="42">
        <f>Apr!T26</f>
        <v>9827.2000000011176</v>
      </c>
      <c r="E25" s="42">
        <f>Apr!V26</f>
        <v>0</v>
      </c>
      <c r="F25" s="42">
        <f>Apr!AB26</f>
        <v>100</v>
      </c>
      <c r="G25" s="42">
        <f>Apr!X26</f>
        <v>8072.7999999988824</v>
      </c>
      <c r="H25" s="42">
        <f>Apr!AE26</f>
        <v>5100.0000000003638</v>
      </c>
      <c r="I25" s="42">
        <f>Apr!AI26</f>
        <v>12813.39</v>
      </c>
      <c r="J25" s="42">
        <f>Apr!AN26</f>
        <v>9523.3900000003177</v>
      </c>
      <c r="K25" s="42">
        <f>Apr!AR26</f>
        <v>8699.9999999998181</v>
      </c>
      <c r="L25" s="42">
        <f>Apr!AZ26</f>
        <v>410</v>
      </c>
      <c r="M25" s="42">
        <f>Apr!BC26</f>
        <v>630</v>
      </c>
      <c r="N25" s="125">
        <f t="shared" si="13"/>
        <v>55176.780000000501</v>
      </c>
      <c r="O25" s="125">
        <f>Apr!CA26</f>
        <v>508.1000000000131</v>
      </c>
      <c r="P25" s="125">
        <f>Apr!CD26</f>
        <v>1251</v>
      </c>
      <c r="Q25" s="125">
        <f>Apr!CF26</f>
        <v>5535.0999999999767</v>
      </c>
      <c r="R25" s="125">
        <f>Apr!CH26</f>
        <v>0</v>
      </c>
      <c r="S25" s="125">
        <f>Apr!CK26</f>
        <v>20865.290000001296</v>
      </c>
      <c r="T25" s="125">
        <f>Apr!CO26</f>
        <v>5872.389999999742</v>
      </c>
      <c r="U25" s="125">
        <f>Apr!CS26</f>
        <v>6709.3899999997311</v>
      </c>
      <c r="V25" s="126">
        <f t="shared" si="3"/>
        <v>40741.270000000761</v>
      </c>
      <c r="W25" s="126">
        <f>Apr!CW26</f>
        <v>18450</v>
      </c>
      <c r="X25" s="126">
        <f>Apr!DA26</f>
        <v>10655</v>
      </c>
      <c r="Y25" s="126">
        <f t="shared" si="1"/>
        <v>29105</v>
      </c>
      <c r="Z25" s="42">
        <f>Apr!BR26</f>
        <v>500</v>
      </c>
      <c r="AA25" s="126">
        <f>Apr!BG26</f>
        <v>2800.0000000001819</v>
      </c>
      <c r="AB25" s="126">
        <f>Apr!BJ26</f>
        <v>9699.9999999989086</v>
      </c>
      <c r="AC25" s="126">
        <f>Apr!BL26+Apr!BN26+Apr!BP26</f>
        <v>4390.0000000000455</v>
      </c>
      <c r="AD25" s="126">
        <f>Apr!DR26</f>
        <v>6200</v>
      </c>
      <c r="AE25" s="127">
        <f>Apr!DT26-Apr!DR66-Apr!DT66</f>
        <v>20272.000000000011</v>
      </c>
      <c r="AF25" s="127">
        <f>Apr!DR66+Apr!DT66</f>
        <v>27.999999999988034</v>
      </c>
      <c r="AG25" s="127">
        <f>Apr!HJ26-AE25</f>
        <v>79727.999999999985</v>
      </c>
      <c r="AH25" s="127">
        <f>Apr!DW26</f>
        <v>4600.0000000003638</v>
      </c>
      <c r="AI25" s="127">
        <f>Apr!DZ26</f>
        <v>7313.39</v>
      </c>
      <c r="AJ25" s="127">
        <f>Apr!EC26</f>
        <v>25473.39</v>
      </c>
      <c r="AK25" s="127">
        <f t="shared" si="4"/>
        <v>37386.780000000363</v>
      </c>
      <c r="AL25" s="127">
        <f>Apr!EG26</f>
        <v>33473.39</v>
      </c>
      <c r="AM25" s="127">
        <f>Apr!EJ26</f>
        <v>11313.39</v>
      </c>
      <c r="AN25" s="127">
        <f>Apr!EM26</f>
        <v>649.99999999997726</v>
      </c>
      <c r="AO25" s="127">
        <f t="shared" si="5"/>
        <v>45436.779999999977</v>
      </c>
      <c r="AP25" s="127">
        <f>Apr!FX26</f>
        <v>18900</v>
      </c>
      <c r="AQ25" s="127">
        <f>Apr!GA26</f>
        <v>5210.0000000000909</v>
      </c>
      <c r="AR25" s="127">
        <f>Apr!GG26</f>
        <v>4799.9999999992724</v>
      </c>
      <c r="AS25" s="127">
        <f t="shared" si="6"/>
        <v>28909.999999999363</v>
      </c>
      <c r="AT25" s="127">
        <f>Apr!EQ26</f>
        <v>7368.3900000000067</v>
      </c>
      <c r="AU25" s="127">
        <f>Apr!ET26</f>
        <v>14299.999999999272</v>
      </c>
      <c r="AV25" s="127">
        <f>Apr!EW26</f>
        <v>9213.3899999996356</v>
      </c>
      <c r="AW25" s="127">
        <f>Apr!FL63</f>
        <v>10818.518785873412</v>
      </c>
      <c r="AX25" s="127">
        <f>Apr!GJ26</f>
        <v>1500</v>
      </c>
      <c r="AY25" s="127">
        <f t="shared" si="7"/>
        <v>43200.298785872328</v>
      </c>
      <c r="AZ25" s="127">
        <f>Apr!FG26</f>
        <v>10843.389999999992</v>
      </c>
      <c r="BA25" s="127">
        <f>Apr!FJ26</f>
        <v>15198.389999999272</v>
      </c>
      <c r="BB25" s="127">
        <f>Apr!FM63</f>
        <v>13393.261214126591</v>
      </c>
      <c r="BC25" s="127">
        <f>Apr!GM26</f>
        <v>0</v>
      </c>
      <c r="BD25" s="127">
        <f t="shared" si="8"/>
        <v>39435.041214125857</v>
      </c>
      <c r="BE25" s="127">
        <f>Apr!GP26</f>
        <v>0</v>
      </c>
      <c r="BF25" s="127">
        <f>Apr!GS26</f>
        <v>190</v>
      </c>
      <c r="BG25" s="127">
        <f t="shared" si="9"/>
        <v>190</v>
      </c>
      <c r="BH25" s="127">
        <f t="shared" si="10"/>
        <v>29105</v>
      </c>
      <c r="BI25" s="127"/>
      <c r="BJ25" s="127"/>
      <c r="BK25" s="127"/>
      <c r="BL25" s="128"/>
      <c r="BM25" s="128"/>
      <c r="BN25" s="128"/>
      <c r="BO25" s="128">
        <f t="shared" si="14"/>
        <v>29099.999999999363</v>
      </c>
      <c r="BP25" s="128"/>
      <c r="BQ25" s="128"/>
      <c r="BR25" s="128"/>
      <c r="BS25" s="128"/>
      <c r="BT25" s="42">
        <f>Apr!D64</f>
        <v>0</v>
      </c>
      <c r="BU25" s="42">
        <f>Apr!G64</f>
        <v>0</v>
      </c>
      <c r="BV25" t="s">
        <v>327</v>
      </c>
      <c r="BX25" s="42">
        <f>Apr!HJ26</f>
        <v>100000</v>
      </c>
      <c r="BY25" s="42">
        <f>Apr!HM26</f>
        <v>0</v>
      </c>
      <c r="BZ25" s="42">
        <f>Apr!HS26</f>
        <v>26296.669999999907</v>
      </c>
      <c r="CA25" s="42">
        <f>Apr!HV26</f>
        <v>13396.669999999818</v>
      </c>
      <c r="CB25" s="42">
        <f>Apr!HY26</f>
        <v>18896.670000000042</v>
      </c>
      <c r="CC25" s="42">
        <f>Apr!HP26</f>
        <v>21110.000000000015</v>
      </c>
      <c r="CD25" s="42">
        <f>Apr!IB26</f>
        <v>20300</v>
      </c>
    </row>
    <row r="26" spans="1:82" x14ac:dyDescent="0.25">
      <c r="A26" s="26">
        <f t="shared" si="11"/>
        <v>20</v>
      </c>
      <c r="B26" s="42">
        <f>Apr!G27</f>
        <v>456320.00000000338</v>
      </c>
      <c r="C26" s="42">
        <f>Apr!N27</f>
        <v>457000</v>
      </c>
      <c r="D26" s="42">
        <f>Apr!T27</f>
        <v>10053.660000000149</v>
      </c>
      <c r="E26" s="42">
        <f>Apr!V27</f>
        <v>0</v>
      </c>
      <c r="F26" s="42">
        <f>Apr!AB27</f>
        <v>100</v>
      </c>
      <c r="G26" s="42">
        <f>Apr!X27</f>
        <v>8346.339999999851</v>
      </c>
      <c r="H26" s="42">
        <f>Apr!AE27</f>
        <v>5000</v>
      </c>
      <c r="I26" s="42">
        <f>Apr!AI27</f>
        <v>11772.730000000363</v>
      </c>
      <c r="J26" s="42">
        <f>Apr!AN27</f>
        <v>8812.7299999997504</v>
      </c>
      <c r="K26" s="42">
        <f>Apr!AR27</f>
        <v>8800.0000000001819</v>
      </c>
      <c r="L26" s="42">
        <f>Apr!AZ27</f>
        <v>430</v>
      </c>
      <c r="M26" s="42">
        <f>Apr!BC27</f>
        <v>670</v>
      </c>
      <c r="N26" s="125">
        <f t="shared" si="13"/>
        <v>53985.46000000029</v>
      </c>
      <c r="O26" s="125">
        <f>Apr!CA27</f>
        <v>539.50000000003229</v>
      </c>
      <c r="P26" s="125">
        <f>Apr!CD27</f>
        <v>1039</v>
      </c>
      <c r="Q26" s="125">
        <f>Apr!CF27</f>
        <v>5453.8000000000466</v>
      </c>
      <c r="R26" s="125">
        <f>Apr!CH27</f>
        <v>471.30000000000291</v>
      </c>
      <c r="S26" s="125">
        <f>Apr!CK27</f>
        <v>21043.229999999821</v>
      </c>
      <c r="T26" s="125">
        <f>Apr!CO27</f>
        <v>5724.7300000001342</v>
      </c>
      <c r="U26" s="125">
        <f>Apr!CS27</f>
        <v>6491.7299999999595</v>
      </c>
      <c r="V26" s="126">
        <f t="shared" si="3"/>
        <v>40763.29</v>
      </c>
      <c r="W26" s="126">
        <f>Apr!CW27</f>
        <v>18746</v>
      </c>
      <c r="X26" s="126">
        <f>Apr!DA27</f>
        <v>10026</v>
      </c>
      <c r="Y26" s="126">
        <f t="shared" si="1"/>
        <v>28772</v>
      </c>
      <c r="Z26" s="42">
        <f>Apr!BR27</f>
        <v>299.99999999995453</v>
      </c>
      <c r="AA26" s="126">
        <f>Apr!BG27</f>
        <v>2500</v>
      </c>
      <c r="AB26" s="126">
        <f>Apr!BJ27</f>
        <v>9500</v>
      </c>
      <c r="AC26" s="126">
        <f>Apr!BL27+Apr!BN27+Apr!BP27</f>
        <v>4459.9999999999318</v>
      </c>
      <c r="AD26" s="126">
        <f>Apr!DR27</f>
        <v>5400</v>
      </c>
      <c r="AE26" s="127">
        <f>Apr!DT27-Apr!DR67-Apr!DT67</f>
        <v>18167.999999999985</v>
      </c>
      <c r="AF26" s="127">
        <f>Apr!DR67+Apr!DT67</f>
        <v>32.000000000014239</v>
      </c>
      <c r="AG26" s="127">
        <f>Apr!HJ27-AE26</f>
        <v>97231.999999999651</v>
      </c>
      <c r="AH26" s="127">
        <f>Apr!DW27</f>
        <v>4500</v>
      </c>
      <c r="AI26" s="127">
        <f>Apr!DZ27</f>
        <v>7672.73</v>
      </c>
      <c r="AJ26" s="127">
        <f>Apr!EC27</f>
        <v>24832.73</v>
      </c>
      <c r="AK26" s="127">
        <f t="shared" si="4"/>
        <v>37005.46</v>
      </c>
      <c r="AL26" s="127">
        <f>Apr!EG27</f>
        <v>31832.73</v>
      </c>
      <c r="AM26" s="127">
        <f>Apr!EJ27</f>
        <v>10672.73</v>
      </c>
      <c r="AN26" s="127">
        <f>Apr!EM27</f>
        <v>710.00000000003638</v>
      </c>
      <c r="AO26" s="127">
        <f t="shared" si="5"/>
        <v>43215.460000000036</v>
      </c>
      <c r="AP26" s="127">
        <f>Apr!FX27</f>
        <v>20100</v>
      </c>
      <c r="AQ26" s="127">
        <f>Apr!GA27</f>
        <v>5900.0000000000909</v>
      </c>
      <c r="AR26" s="127">
        <f>Apr!GG27</f>
        <v>4700.0000000007276</v>
      </c>
      <c r="AS26" s="127">
        <f t="shared" si="6"/>
        <v>30700.000000000819</v>
      </c>
      <c r="AT26" s="127">
        <f>Apr!EQ27</f>
        <v>5622.7299999999886</v>
      </c>
      <c r="AU26" s="127">
        <f>Apr!ET27</f>
        <v>17000</v>
      </c>
      <c r="AV26" s="127">
        <f>Apr!EW27</f>
        <v>9472.7300000001815</v>
      </c>
      <c r="AW26" s="127">
        <f>Apr!FL64</f>
        <v>10891.001299172724</v>
      </c>
      <c r="AX26" s="127">
        <f>Apr!GJ27</f>
        <v>1500</v>
      </c>
      <c r="AY26" s="127">
        <f t="shared" si="7"/>
        <v>44486.461299172894</v>
      </c>
      <c r="AZ26" s="127">
        <f>Apr!FG27</f>
        <v>11072.73000000001</v>
      </c>
      <c r="BA26" s="127">
        <f>Apr!FJ27</f>
        <v>15922.729999999636</v>
      </c>
      <c r="BB26" s="127">
        <f>Apr!FM64</f>
        <v>12804.458700827274</v>
      </c>
      <c r="BC26" s="127">
        <f>Apr!GM27</f>
        <v>0</v>
      </c>
      <c r="BD26" s="127">
        <f t="shared" si="8"/>
        <v>39799.918700826922</v>
      </c>
      <c r="BE26" s="127">
        <f>Apr!GP27</f>
        <v>0</v>
      </c>
      <c r="BF26" s="127">
        <f>Apr!GS27</f>
        <v>0</v>
      </c>
      <c r="BG26" s="127">
        <f t="shared" si="9"/>
        <v>0</v>
      </c>
      <c r="BH26" s="127">
        <f t="shared" si="10"/>
        <v>28772</v>
      </c>
      <c r="BI26" s="127"/>
      <c r="BJ26" s="127"/>
      <c r="BK26" s="127"/>
      <c r="BL26" s="128"/>
      <c r="BM26" s="128"/>
      <c r="BN26" s="128"/>
      <c r="BO26" s="128">
        <f t="shared" si="14"/>
        <v>30700.000000000819</v>
      </c>
      <c r="BP26" s="128"/>
      <c r="BQ26" s="128"/>
      <c r="BR26" s="128"/>
      <c r="BS26" s="128"/>
      <c r="BT26" s="42">
        <f>Apr!D65</f>
        <v>0</v>
      </c>
      <c r="BU26" s="42">
        <f>Apr!G65</f>
        <v>0</v>
      </c>
      <c r="BV26" t="s">
        <v>327</v>
      </c>
      <c r="BX26" s="42">
        <f>Apr!HJ27</f>
        <v>115399.99999999964</v>
      </c>
      <c r="BY26" s="42">
        <f>Apr!HM27</f>
        <v>0</v>
      </c>
      <c r="BZ26" s="42">
        <f>Apr!HS27</f>
        <v>32286.66700000014</v>
      </c>
      <c r="CA26" s="42">
        <f>Apr!HV27</f>
        <v>23686.667000000001</v>
      </c>
      <c r="CB26" s="42">
        <f>Apr!HY27</f>
        <v>20286.66699999991</v>
      </c>
      <c r="CC26" s="42">
        <f>Apr!HP27</f>
        <v>20939.999999999996</v>
      </c>
      <c r="CD26" s="42">
        <f>Apr!IB27</f>
        <v>18200</v>
      </c>
    </row>
    <row r="27" spans="1:82" x14ac:dyDescent="0.25">
      <c r="A27" s="26">
        <f t="shared" si="11"/>
        <v>21</v>
      </c>
      <c r="B27" s="42">
        <f>Apr!G28</f>
        <v>483840.00000000378</v>
      </c>
      <c r="C27" s="42">
        <f>Apr!N28</f>
        <v>482000</v>
      </c>
      <c r="D27" s="42">
        <f>Apr!T28</f>
        <v>9964.3799999989569</v>
      </c>
      <c r="E27" s="42">
        <f>Apr!V28</f>
        <v>0</v>
      </c>
      <c r="F27" s="42">
        <f>Apr!AB28</f>
        <v>100</v>
      </c>
      <c r="G27" s="42">
        <f>Apr!X28</f>
        <v>8135.6200000017707</v>
      </c>
      <c r="H27" s="42">
        <f>Apr!AE28</f>
        <v>5199.9999999998181</v>
      </c>
      <c r="I27" s="42">
        <f>Apr!AI28</f>
        <v>12560.610000000364</v>
      </c>
      <c r="J27" s="42">
        <f>Apr!AN28</f>
        <v>9440.6099999998914</v>
      </c>
      <c r="K27" s="42">
        <f>Apr!AR28</f>
        <v>9099.9999999994543</v>
      </c>
      <c r="L27" s="42">
        <f>Apr!AZ28</f>
        <v>450</v>
      </c>
      <c r="M27" s="42">
        <f>Apr!BC28</f>
        <v>670</v>
      </c>
      <c r="N27" s="125">
        <f t="shared" si="13"/>
        <v>55621.220000000256</v>
      </c>
      <c r="O27" s="125">
        <f>Apr!CA28</f>
        <v>544.4999999999709</v>
      </c>
      <c r="P27" s="125">
        <f>Apr!CD28</f>
        <v>2856.2000000000698</v>
      </c>
      <c r="Q27" s="125">
        <f>Apr!CF28</f>
        <v>6592</v>
      </c>
      <c r="R27" s="125">
        <f>Apr!CH28</f>
        <v>1051.5999999999913</v>
      </c>
      <c r="S27" s="125">
        <f>Apr!CK28</f>
        <v>22296.109999999229</v>
      </c>
      <c r="T27" s="125">
        <f>Apr!CO28</f>
        <v>6399.6099999998505</v>
      </c>
      <c r="U27" s="125">
        <f>Apr!CS28</f>
        <v>6864.609999999996</v>
      </c>
      <c r="V27" s="126">
        <f t="shared" si="3"/>
        <v>46604.629999999102</v>
      </c>
      <c r="W27" s="126">
        <f>Apr!CW28</f>
        <v>18304</v>
      </c>
      <c r="X27" s="126">
        <f>Apr!DA28</f>
        <v>9467</v>
      </c>
      <c r="Y27" s="126">
        <f t="shared" si="1"/>
        <v>27771</v>
      </c>
      <c r="Z27" s="42">
        <f>Apr!BR28</f>
        <v>700.00000000004547</v>
      </c>
      <c r="AA27" s="126">
        <f>Apr!BG28</f>
        <v>2299.9999999999545</v>
      </c>
      <c r="AB27" s="126">
        <f>Apr!BJ28</f>
        <v>9900.0000000014552</v>
      </c>
      <c r="AC27" s="126">
        <f>Apr!BL28+Apr!BN28+Apr!BP28</f>
        <v>4320.0000000000637</v>
      </c>
      <c r="AD27" s="126">
        <f>Apr!DR28</f>
        <v>5200</v>
      </c>
      <c r="AE27" s="127">
        <f>Apr!DT28-Apr!DR68-Apr!DT68</f>
        <v>20948.000000000015</v>
      </c>
      <c r="AF27" s="127">
        <f>Apr!DR68+Apr!DT68</f>
        <v>51.999999999985391</v>
      </c>
      <c r="AG27" s="127">
        <f>Apr!HJ28-AE27</f>
        <v>96951.999999999622</v>
      </c>
      <c r="AH27" s="127">
        <f>Apr!DW28</f>
        <v>4699.9999999998181</v>
      </c>
      <c r="AI27" s="127">
        <f>Apr!DZ28</f>
        <v>6960.61</v>
      </c>
      <c r="AJ27" s="127">
        <f>Apr!EC28</f>
        <v>25120.61</v>
      </c>
      <c r="AK27" s="127">
        <f t="shared" si="4"/>
        <v>36781.219999999819</v>
      </c>
      <c r="AL27" s="127">
        <f>Apr!EG28</f>
        <v>25120.61</v>
      </c>
      <c r="AM27" s="127">
        <f>Apr!EJ28</f>
        <v>11960.61</v>
      </c>
      <c r="AN27" s="127">
        <f>Apr!EM28</f>
        <v>649.99999999997726</v>
      </c>
      <c r="AO27" s="127">
        <f t="shared" si="5"/>
        <v>37731.219999999979</v>
      </c>
      <c r="AP27" s="127">
        <f>Apr!FX28</f>
        <v>34400</v>
      </c>
      <c r="AQ27" s="127">
        <f>Apr!GA28</f>
        <v>10290.000000000091</v>
      </c>
      <c r="AR27" s="127">
        <f>Apr!GG28</f>
        <v>8099.9999999992269</v>
      </c>
      <c r="AS27" s="127">
        <f t="shared" si="6"/>
        <v>52789.999999999316</v>
      </c>
      <c r="AT27" s="127">
        <f>Apr!EQ28</f>
        <v>5945.6100000000133</v>
      </c>
      <c r="AU27" s="127">
        <f>Apr!ET28</f>
        <v>16600.000000000364</v>
      </c>
      <c r="AV27" s="127">
        <f>Apr!EW28</f>
        <v>9460.61</v>
      </c>
      <c r="AW27" s="127">
        <f>Apr!FL65</f>
        <v>11917.887381754897</v>
      </c>
      <c r="AX27" s="127">
        <f>Apr!GJ28</f>
        <v>1700.0000000000455</v>
      </c>
      <c r="AY27" s="127">
        <f t="shared" si="7"/>
        <v>45624.107381755319</v>
      </c>
      <c r="AZ27" s="127">
        <f>Apr!FG28</f>
        <v>10837.279999999988</v>
      </c>
      <c r="BA27" s="127">
        <f>Apr!FJ28</f>
        <v>16222.280000001456</v>
      </c>
      <c r="BB27" s="127">
        <f>Apr!FM65</f>
        <v>12865.002618245106</v>
      </c>
      <c r="BC27" s="127">
        <f>Apr!GM28</f>
        <v>0</v>
      </c>
      <c r="BD27" s="127">
        <f t="shared" si="8"/>
        <v>39924.562618246549</v>
      </c>
      <c r="BE27" s="127">
        <f>Apr!GP28</f>
        <v>10</v>
      </c>
      <c r="BF27" s="127">
        <f>Apr!GS28</f>
        <v>610</v>
      </c>
      <c r="BG27" s="127">
        <f t="shared" si="9"/>
        <v>620</v>
      </c>
      <c r="BH27" s="127">
        <f t="shared" si="10"/>
        <v>27771</v>
      </c>
      <c r="BI27" s="127"/>
      <c r="BJ27" s="127"/>
      <c r="BK27" s="127"/>
      <c r="BL27" s="128"/>
      <c r="BM27" s="128">
        <f>(AS27+BG27)*52/100</f>
        <v>27773.199999999648</v>
      </c>
      <c r="BN27" s="128"/>
      <c r="BO27" s="128">
        <f t="shared" ref="BO27:BO33" si="15">(AS27+BG27)-BM27</f>
        <v>25636.799999999668</v>
      </c>
      <c r="BP27" s="128"/>
      <c r="BQ27" s="128"/>
      <c r="BR27" s="128"/>
      <c r="BS27" s="128"/>
      <c r="BT27" s="42">
        <f>Apr!D66</f>
        <v>0</v>
      </c>
      <c r="BU27" s="42">
        <f>Apr!G66</f>
        <v>0</v>
      </c>
      <c r="BV27" t="s">
        <v>328</v>
      </c>
      <c r="BX27" s="42">
        <f>Apr!HJ28</f>
        <v>117899.99999999964</v>
      </c>
      <c r="BY27" s="42">
        <f>Apr!HM28</f>
        <v>0</v>
      </c>
      <c r="BZ27" s="42">
        <f>Apr!HS28</f>
        <v>31753.329999999864</v>
      </c>
      <c r="CA27" s="42">
        <f>Apr!HV28</f>
        <v>22953.33000000014</v>
      </c>
      <c r="CB27" s="42">
        <f>Apr!HY28</f>
        <v>19653.329999999958</v>
      </c>
      <c r="CC27" s="42">
        <f>Apr!HP28</f>
        <v>22540.000000000022</v>
      </c>
      <c r="CD27" s="42">
        <f>Apr!IB28</f>
        <v>21000</v>
      </c>
    </row>
    <row r="28" spans="1:82" x14ac:dyDescent="0.25">
      <c r="A28" s="26">
        <f t="shared" si="11"/>
        <v>22</v>
      </c>
      <c r="B28" s="42">
        <f>Apr!G29</f>
        <v>490879.99999999738</v>
      </c>
      <c r="C28" s="42">
        <f>Apr!N29</f>
        <v>483000</v>
      </c>
      <c r="D28" s="42">
        <f>Apr!T29</f>
        <v>10059.259999999776</v>
      </c>
      <c r="E28" s="42">
        <f>Apr!V29</f>
        <v>0</v>
      </c>
      <c r="F28" s="42">
        <f>Apr!AB29</f>
        <v>0</v>
      </c>
      <c r="G28" s="42">
        <f>Apr!X29</f>
        <v>8740.7399999994959</v>
      </c>
      <c r="H28" s="42">
        <f>Apr!AE29</f>
        <v>3300.0000000001819</v>
      </c>
      <c r="I28" s="42">
        <f>Apr!AI29</f>
        <v>15293.650000000727</v>
      </c>
      <c r="J28" s="42">
        <f>Apr!AN29</f>
        <v>11303.649999999376</v>
      </c>
      <c r="K28" s="42">
        <f>Apr!AR29</f>
        <v>8400.0000000005457</v>
      </c>
      <c r="L28" s="42">
        <f>Apr!AZ29</f>
        <v>300</v>
      </c>
      <c r="M28" s="42">
        <f>Apr!BC29</f>
        <v>430</v>
      </c>
      <c r="N28" s="125">
        <f t="shared" si="13"/>
        <v>57827.300000000105</v>
      </c>
      <c r="O28" s="125">
        <f>Apr!CA29</f>
        <v>564.99999999999773</v>
      </c>
      <c r="P28" s="125">
        <f>Apr!CD29</f>
        <v>2510.7999999999302</v>
      </c>
      <c r="Q28" s="125">
        <f>Apr!CF29</f>
        <v>6180.5</v>
      </c>
      <c r="R28" s="125">
        <f>Apr!CH29</f>
        <v>0</v>
      </c>
      <c r="S28" s="125">
        <f>Apr!CK29</f>
        <v>23548.650000000442</v>
      </c>
      <c r="T28" s="125">
        <f>Apr!CO29</f>
        <v>7870.6500000000433</v>
      </c>
      <c r="U28" s="125">
        <f>Apr!CS29</f>
        <v>7899.6500000000397</v>
      </c>
      <c r="V28" s="126">
        <f t="shared" si="3"/>
        <v>48575.250000000451</v>
      </c>
      <c r="W28" s="126">
        <f>Apr!CW29</f>
        <v>18546</v>
      </c>
      <c r="X28" s="126">
        <f>Apr!DA29</f>
        <v>11173</v>
      </c>
      <c r="Y28" s="126">
        <f t="shared" si="1"/>
        <v>29719</v>
      </c>
      <c r="Z28" s="42">
        <f>Apr!BR29</f>
        <v>699.99999999993179</v>
      </c>
      <c r="AA28" s="126">
        <f>Apr!BG29</f>
        <v>2099.9999999999091</v>
      </c>
      <c r="AB28" s="126">
        <f>Apr!BJ29</f>
        <v>9399.9999999996362</v>
      </c>
      <c r="AC28" s="126">
        <f>Apr!BL29+Apr!BN29+Apr!BP29</f>
        <v>3889.9999999999636</v>
      </c>
      <c r="AD28" s="126">
        <f>Apr!DR29</f>
        <v>9300</v>
      </c>
      <c r="AE28" s="127">
        <f>Apr!DT29-Apr!DR69-Apr!DT69</f>
        <v>15652.999999999985</v>
      </c>
      <c r="AF28" s="127">
        <f>Apr!DR69+Apr!DT69</f>
        <v>47.000000000014808</v>
      </c>
      <c r="AG28" s="127">
        <f>Apr!HJ29-AE28</f>
        <v>108947.00000000038</v>
      </c>
      <c r="AH28" s="127">
        <f>Apr!DW29</f>
        <v>4500</v>
      </c>
      <c r="AI28" s="127">
        <f>Apr!DZ29</f>
        <v>8593.65</v>
      </c>
      <c r="AJ28" s="127">
        <f>Apr!EC29</f>
        <v>25753.65</v>
      </c>
      <c r="AK28" s="127">
        <f t="shared" si="4"/>
        <v>38847.300000000003</v>
      </c>
      <c r="AL28" s="127">
        <f>Apr!EG29</f>
        <v>22753.65</v>
      </c>
      <c r="AM28" s="127">
        <f>Apr!EJ29</f>
        <v>13593.65</v>
      </c>
      <c r="AN28" s="127">
        <f>Apr!EM29</f>
        <v>649.99999999997726</v>
      </c>
      <c r="AO28" s="127">
        <f t="shared" si="5"/>
        <v>36997.299999999981</v>
      </c>
      <c r="AP28" s="127">
        <f>Apr!FX29</f>
        <v>27800</v>
      </c>
      <c r="AQ28" s="127">
        <f>Apr!GA29</f>
        <v>8319.9999999999091</v>
      </c>
      <c r="AR28" s="127">
        <f>Apr!GG29</f>
        <v>6299.9999999992724</v>
      </c>
      <c r="AS28" s="127">
        <f t="shared" si="6"/>
        <v>42419.999999999185</v>
      </c>
      <c r="AT28" s="127">
        <f>Apr!EQ29</f>
        <v>7708.6500000000087</v>
      </c>
      <c r="AU28" s="127">
        <f>Apr!ET29</f>
        <v>14600.000000000364</v>
      </c>
      <c r="AV28" s="127">
        <f>Apr!EW29</f>
        <v>9993.6500000000906</v>
      </c>
      <c r="AW28" s="127">
        <f>Apr!FL66</f>
        <v>11637.873707865168</v>
      </c>
      <c r="AX28" s="127">
        <f>Apr!GJ29</f>
        <v>1500</v>
      </c>
      <c r="AY28" s="127">
        <f t="shared" si="7"/>
        <v>45440.17370786563</v>
      </c>
      <c r="AZ28" s="127">
        <f>Apr!FG29</f>
        <v>11350.319999999991</v>
      </c>
      <c r="BA28" s="127">
        <f>Apr!FJ29</f>
        <v>15965.32</v>
      </c>
      <c r="BB28" s="127">
        <f>Apr!FM66</f>
        <v>13421.096292134833</v>
      </c>
      <c r="BC28" s="127">
        <f>Apr!GM29</f>
        <v>0</v>
      </c>
      <c r="BD28" s="127">
        <f t="shared" si="8"/>
        <v>40736.736292134825</v>
      </c>
      <c r="BE28" s="127">
        <f>Apr!GP29</f>
        <v>0</v>
      </c>
      <c r="BF28" s="127">
        <f>Apr!GS29</f>
        <v>280</v>
      </c>
      <c r="BG28" s="127">
        <f t="shared" si="9"/>
        <v>280</v>
      </c>
      <c r="BH28" s="127">
        <f t="shared" si="10"/>
        <v>29719</v>
      </c>
      <c r="BI28" s="127"/>
      <c r="BJ28" s="127"/>
      <c r="BK28" s="127"/>
      <c r="BL28" s="128"/>
      <c r="BM28" s="128">
        <f>(AS28+BG28)*54/100</f>
        <v>23057.999999999563</v>
      </c>
      <c r="BN28" s="128"/>
      <c r="BO28" s="128">
        <f t="shared" si="15"/>
        <v>19641.999999999622</v>
      </c>
      <c r="BP28" s="128"/>
      <c r="BQ28" s="128"/>
      <c r="BR28" s="128"/>
      <c r="BS28" s="128"/>
      <c r="BT28" s="42">
        <f>Apr!D67</f>
        <v>0</v>
      </c>
      <c r="BU28" s="42">
        <f>Apr!G67</f>
        <v>0</v>
      </c>
      <c r="BV28" t="s">
        <v>334</v>
      </c>
      <c r="BX28" s="42">
        <f>Apr!HJ29</f>
        <v>124600.00000000036</v>
      </c>
      <c r="BY28" s="42">
        <f>Apr!HM29</f>
        <v>0</v>
      </c>
      <c r="BZ28" s="42">
        <f>Apr!HS29</f>
        <v>34600.000000000087</v>
      </c>
      <c r="CA28" s="42">
        <f>Apr!HV29</f>
        <v>26700</v>
      </c>
      <c r="CB28" s="42">
        <f>Apr!HY29</f>
        <v>22800.000000000138</v>
      </c>
      <c r="CC28" s="42">
        <f>Apr!HP29</f>
        <v>24799.999999999956</v>
      </c>
      <c r="CD28" s="42">
        <f>Apr!IB29</f>
        <v>15700</v>
      </c>
    </row>
    <row r="29" spans="1:82" x14ac:dyDescent="0.25">
      <c r="A29" s="26">
        <f t="shared" si="11"/>
        <v>23</v>
      </c>
      <c r="B29" s="42">
        <f>Apr!G30</f>
        <v>508159.99999999988</v>
      </c>
      <c r="C29" s="42">
        <f>Apr!N30</f>
        <v>502000</v>
      </c>
      <c r="D29" s="42">
        <f>Apr!T30</f>
        <v>10214.580000000075</v>
      </c>
      <c r="E29" s="42">
        <f>Apr!V30</f>
        <v>0</v>
      </c>
      <c r="F29" s="42">
        <f>Apr!AB30</f>
        <v>100</v>
      </c>
      <c r="G29" s="42">
        <f>Apr!X30</f>
        <v>8185.4199999999255</v>
      </c>
      <c r="H29" s="42">
        <f>Apr!AE30</f>
        <v>9299.9999999997272</v>
      </c>
      <c r="I29" s="42">
        <f>Apr!AI30</f>
        <v>14946.189999998909</v>
      </c>
      <c r="J29" s="42">
        <f>Apr!AN30</f>
        <v>6206.1900000006326</v>
      </c>
      <c r="K29" s="42">
        <f>Apr!AR30</f>
        <v>9699.9999999998181</v>
      </c>
      <c r="L29" s="42">
        <f>Apr!AZ30</f>
        <v>620</v>
      </c>
      <c r="M29" s="42">
        <f>Apr!BC30</f>
        <v>890</v>
      </c>
      <c r="N29" s="125">
        <f t="shared" si="13"/>
        <v>60162.379999999088</v>
      </c>
      <c r="O29" s="125">
        <f>Apr!CA30</f>
        <v>581.00000000001728</v>
      </c>
      <c r="P29" s="125">
        <f>Apr!CD30</f>
        <v>2108.9000000000233</v>
      </c>
      <c r="Q29" s="125">
        <f>Apr!CF30</f>
        <v>7171.1999999999534</v>
      </c>
      <c r="R29" s="125">
        <f>Apr!CH30</f>
        <v>0</v>
      </c>
      <c r="S29" s="125">
        <f>Apr!CK30</f>
        <v>22655.189999999762</v>
      </c>
      <c r="T29" s="125">
        <f>Apr!CO30</f>
        <v>7453.1900000003343</v>
      </c>
      <c r="U29" s="125">
        <f>Apr!CS30</f>
        <v>7562.1900000002579</v>
      </c>
      <c r="V29" s="126">
        <f t="shared" si="3"/>
        <v>47531.670000000347</v>
      </c>
      <c r="W29" s="126">
        <f>Apr!CW30</f>
        <v>18575</v>
      </c>
      <c r="X29" s="126">
        <f>Apr!DA30</f>
        <v>10192</v>
      </c>
      <c r="Y29" s="126">
        <f t="shared" si="1"/>
        <v>28767</v>
      </c>
      <c r="Z29" s="42">
        <f>Apr!BR30</f>
        <v>950.00000000004547</v>
      </c>
      <c r="AA29" s="126">
        <f>Apr!BG30</f>
        <v>2100.0000000001364</v>
      </c>
      <c r="AB29" s="126">
        <f>Apr!BJ30</f>
        <v>9600.0000000003638</v>
      </c>
      <c r="AC29" s="126">
        <f>Apr!BL30+Apr!BN30+Apr!BP30</f>
        <v>4790.00000000005</v>
      </c>
      <c r="AD29" s="126">
        <f>Apr!DR30</f>
        <v>6800</v>
      </c>
      <c r="AE29" s="127">
        <f>Apr!DT30-Apr!DR70-Apr!DT70</f>
        <v>20033.000000000015</v>
      </c>
      <c r="AF29" s="127">
        <f>Apr!DR70+Apr!DT70</f>
        <v>66.99999999998596</v>
      </c>
      <c r="AG29" s="127">
        <f>Apr!HJ30-AE29</f>
        <v>113966.99999999999</v>
      </c>
      <c r="AH29" s="127">
        <f>Apr!DW30</f>
        <v>4699.9999999998181</v>
      </c>
      <c r="AI29" s="127">
        <f>Apr!DZ30</f>
        <v>8246.19</v>
      </c>
      <c r="AJ29" s="127">
        <f>Apr!EC30</f>
        <v>25406.19</v>
      </c>
      <c r="AK29" s="127">
        <f t="shared" si="4"/>
        <v>38352.379999999815</v>
      </c>
      <c r="AL29" s="127">
        <f>Apr!EG30</f>
        <v>23406.19</v>
      </c>
      <c r="AM29" s="127">
        <f>Apr!EJ30</f>
        <v>13246.19</v>
      </c>
      <c r="AN29" s="127">
        <f>Apr!EM30</f>
        <v>710.00000000003638</v>
      </c>
      <c r="AO29" s="127">
        <f t="shared" ref="AO29:AO34" si="16">SUM(AL29:AN29)</f>
        <v>37362.380000000034</v>
      </c>
      <c r="AP29" s="127">
        <f>Apr!FX30</f>
        <v>35700</v>
      </c>
      <c r="AQ29" s="127">
        <f>Apr!GA30</f>
        <v>9630</v>
      </c>
      <c r="AR29" s="127">
        <f>Apr!GG30</f>
        <v>8099.9999999999091</v>
      </c>
      <c r="AS29" s="127">
        <f t="shared" si="6"/>
        <v>53429.999999999913</v>
      </c>
      <c r="AT29" s="127">
        <f>Apr!EQ30</f>
        <v>8236.1900000004644</v>
      </c>
      <c r="AU29" s="127">
        <f>Apr!ET30</f>
        <v>14100.000000000364</v>
      </c>
      <c r="AV29" s="127">
        <f>Apr!EW30</f>
        <v>9146.1900000000915</v>
      </c>
      <c r="AW29" s="127">
        <f>Apr!FL67</f>
        <v>10667.635610298434</v>
      </c>
      <c r="AX29" s="127">
        <f>Apr!GJ30</f>
        <v>1400.0000000000909</v>
      </c>
      <c r="AY29" s="127">
        <f t="shared" si="7"/>
        <v>43550.015610299452</v>
      </c>
      <c r="AZ29" s="127">
        <f>Apr!FG30</f>
        <v>11179.520000000046</v>
      </c>
      <c r="BA29" s="127">
        <f>Apr!FJ30</f>
        <v>16329.519999998545</v>
      </c>
      <c r="BB29" s="127">
        <f>Apr!FM67</f>
        <v>12808.074389701567</v>
      </c>
      <c r="BC29" s="127">
        <f>Apr!GM30</f>
        <v>0</v>
      </c>
      <c r="BD29" s="127">
        <f t="shared" si="8"/>
        <v>40317.11438970016</v>
      </c>
      <c r="BE29" s="127">
        <f>Apr!GP30</f>
        <v>10</v>
      </c>
      <c r="BF29" s="127">
        <f>Apr!GS30</f>
        <v>370</v>
      </c>
      <c r="BG29" s="127">
        <f t="shared" si="9"/>
        <v>380</v>
      </c>
      <c r="BH29" s="127">
        <f t="shared" si="10"/>
        <v>28767</v>
      </c>
      <c r="BI29" s="127"/>
      <c r="BJ29" s="127"/>
      <c r="BK29" s="127"/>
      <c r="BL29" s="128"/>
      <c r="BM29" s="128">
        <f>(AS29+BG29)*55/100</f>
        <v>29595.499999999953</v>
      </c>
      <c r="BN29" s="128"/>
      <c r="BO29" s="128">
        <f t="shared" si="15"/>
        <v>24214.49999999996</v>
      </c>
      <c r="BP29" s="128"/>
      <c r="BQ29" s="128"/>
      <c r="BR29" s="128"/>
      <c r="BS29" s="128"/>
      <c r="BT29" s="42">
        <f>Apr!D68</f>
        <v>0</v>
      </c>
      <c r="BU29" s="42">
        <f>Apr!G68</f>
        <v>0</v>
      </c>
      <c r="BV29" t="s">
        <v>338</v>
      </c>
      <c r="BX29" s="42">
        <f>Apr!HJ30</f>
        <v>134000</v>
      </c>
      <c r="BY29" s="42">
        <f>Apr!HM30</f>
        <v>0</v>
      </c>
      <c r="BZ29" s="42">
        <f>Apr!HS30</f>
        <v>37999.999999999956</v>
      </c>
      <c r="CA29" s="42">
        <f>Apr!HV30</f>
        <v>25599.999999999862</v>
      </c>
      <c r="CB29" s="42">
        <f>Apr!HY30</f>
        <v>24799.999999999909</v>
      </c>
      <c r="CC29" s="42">
        <f>Apr!HP30</f>
        <v>25500</v>
      </c>
      <c r="CD29" s="42">
        <f>Apr!IB30</f>
        <v>20100</v>
      </c>
    </row>
    <row r="30" spans="1:82" x14ac:dyDescent="0.25">
      <c r="A30" s="26">
        <f t="shared" si="11"/>
        <v>24</v>
      </c>
      <c r="B30" s="42">
        <f>Apr!G31</f>
        <v>475520.00000000047</v>
      </c>
      <c r="C30" s="42">
        <f>Apr!N31</f>
        <v>479000</v>
      </c>
      <c r="D30" s="42">
        <f>Apr!T31</f>
        <v>9945.7599999997765</v>
      </c>
      <c r="E30" s="42">
        <f>Apr!V31</f>
        <v>0</v>
      </c>
      <c r="F30" s="42">
        <f>Apr!AB31</f>
        <v>100</v>
      </c>
      <c r="G30" s="42">
        <f>Apr!X31</f>
        <v>8154.2400000009511</v>
      </c>
      <c r="H30" s="42">
        <f>Apr!AE31</f>
        <v>7500</v>
      </c>
      <c r="I30" s="42">
        <f>Apr!AI31</f>
        <v>15387.140000001091</v>
      </c>
      <c r="J30" s="42">
        <f>Apr!AN31</f>
        <v>5477.1399999999994</v>
      </c>
      <c r="K30" s="42">
        <f>Apr!AR31</f>
        <v>8800.0000000001819</v>
      </c>
      <c r="L30" s="42">
        <f>Apr!AZ31</f>
        <v>450</v>
      </c>
      <c r="M30" s="42">
        <f>Apr!BC31</f>
        <v>800</v>
      </c>
      <c r="N30" s="125">
        <f t="shared" si="13"/>
        <v>56614.280000002</v>
      </c>
      <c r="O30" s="125">
        <f>Apr!CA31</f>
        <v>533.70000000001028</v>
      </c>
      <c r="P30" s="125">
        <f>Apr!CD31</f>
        <v>1813.9000000000233</v>
      </c>
      <c r="Q30" s="125">
        <f>Apr!CF31</f>
        <v>6624</v>
      </c>
      <c r="R30" s="125">
        <f>Apr!CH31</f>
        <v>0</v>
      </c>
      <c r="S30" s="125">
        <f>Apr!CK31</f>
        <v>20833.440000000643</v>
      </c>
      <c r="T30" s="125">
        <f>Apr!CO31</f>
        <v>6118.1399999999494</v>
      </c>
      <c r="U30" s="125">
        <f>Apr!CS31</f>
        <v>6146.139999999742</v>
      </c>
      <c r="V30" s="126">
        <f t="shared" si="3"/>
        <v>42069.320000000371</v>
      </c>
      <c r="W30" s="126">
        <f>Apr!CW31</f>
        <v>19707</v>
      </c>
      <c r="X30" s="126">
        <f>Apr!DA31</f>
        <v>10448</v>
      </c>
      <c r="Y30" s="126">
        <f t="shared" si="1"/>
        <v>30155</v>
      </c>
      <c r="Z30" s="42">
        <f>Apr!BR31</f>
        <v>850.00000000002274</v>
      </c>
      <c r="AA30" s="126">
        <f>Apr!BG31</f>
        <v>2299.9999999999545</v>
      </c>
      <c r="AB30" s="126">
        <f>Apr!BJ31</f>
        <v>9500</v>
      </c>
      <c r="AC30" s="126">
        <f>Apr!BL31+Apr!BN31+Apr!BP31</f>
        <v>4259.9999999999773</v>
      </c>
      <c r="AD30" s="126">
        <f>Apr!DR31</f>
        <v>6900</v>
      </c>
      <c r="AE30" s="127">
        <f>Apr!DT31-Apr!DR71-Apr!DT71</f>
        <v>19034.999999999993</v>
      </c>
      <c r="AF30" s="127">
        <f>Apr!DR71+Apr!DT71</f>
        <v>65.000000000008384</v>
      </c>
      <c r="AG30" s="127">
        <f>Apr!HJ31-AE30</f>
        <v>100465</v>
      </c>
      <c r="AH30" s="127">
        <f>Apr!DW31</f>
        <v>4399.9999999996362</v>
      </c>
      <c r="AI30" s="127">
        <f>Apr!DZ31</f>
        <v>6587.14</v>
      </c>
      <c r="AJ30" s="127">
        <f>Apr!EC31</f>
        <v>25747.14</v>
      </c>
      <c r="AK30" s="127">
        <f t="shared" si="4"/>
        <v>36734.279999999635</v>
      </c>
      <c r="AL30" s="127">
        <f>Apr!EG31</f>
        <v>22747.14</v>
      </c>
      <c r="AM30" s="127">
        <f>Apr!EJ31</f>
        <v>11587.14</v>
      </c>
      <c r="AN30" s="127">
        <f>Apr!EM31</f>
        <v>639.99999999998636</v>
      </c>
      <c r="AO30" s="127">
        <f t="shared" si="16"/>
        <v>34974.279999999984</v>
      </c>
      <c r="AP30" s="127">
        <f>Apr!FX31</f>
        <v>33200</v>
      </c>
      <c r="AQ30" s="127">
        <f>Apr!GA31</f>
        <v>11160</v>
      </c>
      <c r="AR30" s="127">
        <f>Apr!GG31</f>
        <v>7200.0000000011823</v>
      </c>
      <c r="AS30" s="127">
        <f t="shared" si="6"/>
        <v>51560.000000001179</v>
      </c>
      <c r="AT30" s="127">
        <f>Apr!EQ31</f>
        <v>5662.1399999995338</v>
      </c>
      <c r="AU30" s="127">
        <f>Apr!ET31</f>
        <v>14199.999999998909</v>
      </c>
      <c r="AV30" s="127">
        <f>Apr!EW31</f>
        <v>8887.1399999997266</v>
      </c>
      <c r="AW30" s="127">
        <f>Apr!FL68</f>
        <v>10100.184202465287</v>
      </c>
      <c r="AX30" s="127">
        <f>Apr!GJ31</f>
        <v>1599.9999999999091</v>
      </c>
      <c r="AY30" s="127">
        <f t="shared" si="7"/>
        <v>40449.464202463365</v>
      </c>
      <c r="AZ30" s="127">
        <f>Apr!FG31</f>
        <v>11310.469999999956</v>
      </c>
      <c r="BA30" s="127">
        <f>Apr!FJ31</f>
        <v>16125.470000001093</v>
      </c>
      <c r="BB30" s="127">
        <f>Apr!FM68</f>
        <v>11812.425797534715</v>
      </c>
      <c r="BC30" s="127">
        <f>Apr!GM31</f>
        <v>0</v>
      </c>
      <c r="BD30" s="127">
        <f t="shared" si="8"/>
        <v>39248.365797535764</v>
      </c>
      <c r="BE30" s="127">
        <f>Apr!GP31</f>
        <v>0</v>
      </c>
      <c r="BF30" s="127">
        <f>Apr!GS31</f>
        <v>340</v>
      </c>
      <c r="BG30" s="127">
        <f t="shared" si="9"/>
        <v>340</v>
      </c>
      <c r="BH30" s="127">
        <f t="shared" si="10"/>
        <v>30155</v>
      </c>
      <c r="BI30" s="127"/>
      <c r="BJ30" s="127"/>
      <c r="BK30" s="127"/>
      <c r="BL30" s="128"/>
      <c r="BM30" s="128">
        <f>(AS30+BG30)*55/100</f>
        <v>28545.000000000648</v>
      </c>
      <c r="BN30" s="128"/>
      <c r="BO30" s="128">
        <f t="shared" si="15"/>
        <v>23355.000000000531</v>
      </c>
      <c r="BP30" s="128"/>
      <c r="BQ30" s="128"/>
      <c r="BR30" s="128"/>
      <c r="BS30" s="128"/>
      <c r="BT30" s="42">
        <f>Apr!D69</f>
        <v>0</v>
      </c>
      <c r="BU30" s="42">
        <f>Apr!G69</f>
        <v>0</v>
      </c>
      <c r="BV30" t="s">
        <v>338</v>
      </c>
      <c r="BX30" s="42">
        <f>Apr!HJ31</f>
        <v>119500</v>
      </c>
      <c r="BY30" s="42">
        <f>Apr!HM31</f>
        <v>0</v>
      </c>
      <c r="BZ30" s="42">
        <f>Apr!HS31</f>
        <v>34723.332999999911</v>
      </c>
      <c r="CA30" s="42">
        <f>Apr!HV31</f>
        <v>25023.33300000009</v>
      </c>
      <c r="CB30" s="42">
        <f>Apr!HY31</f>
        <v>23523.33300000009</v>
      </c>
      <c r="CC30" s="42">
        <f>Apr!HP31</f>
        <v>17129.999999999996</v>
      </c>
      <c r="CD30" s="42">
        <f>Apr!IB31</f>
        <v>19100</v>
      </c>
    </row>
    <row r="31" spans="1:82" x14ac:dyDescent="0.25">
      <c r="A31" s="26">
        <f t="shared" si="11"/>
        <v>25</v>
      </c>
      <c r="B31" s="42">
        <f>Apr!G32</f>
        <v>451200.0000000007</v>
      </c>
      <c r="C31" s="42">
        <f>Apr!N32</f>
        <v>441000</v>
      </c>
      <c r="D31" s="42">
        <f>Apr!T32</f>
        <v>9885.3300000000745</v>
      </c>
      <c r="E31" s="42">
        <f>Apr!V32</f>
        <v>0</v>
      </c>
      <c r="F31" s="42">
        <f>Apr!AB32</f>
        <v>90</v>
      </c>
      <c r="G31" s="42">
        <f>Apr!X32</f>
        <v>7824.6699999991979</v>
      </c>
      <c r="H31" s="42">
        <f>Apr!AE32</f>
        <v>7800.0000000001819</v>
      </c>
      <c r="I31" s="42">
        <f>Apr!AI32</f>
        <v>16740.119999999635</v>
      </c>
      <c r="J31" s="42">
        <f>Apr!AN32</f>
        <v>5500.1200000000917</v>
      </c>
      <c r="K31" s="42">
        <f>Apr!AR32</f>
        <v>8799.9999999992724</v>
      </c>
      <c r="L31" s="42">
        <f>Apr!AZ32</f>
        <v>432.96000000002095</v>
      </c>
      <c r="M31" s="42">
        <f>Apr!BC32</f>
        <v>659.2899999999936</v>
      </c>
      <c r="N31" s="125">
        <f t="shared" si="13"/>
        <v>57732.48999999847</v>
      </c>
      <c r="O31" s="125">
        <f>Apr!CA32</f>
        <v>536.2999999999829</v>
      </c>
      <c r="P31" s="125">
        <f>Apr!CD32</f>
        <v>2556.0999999999767</v>
      </c>
      <c r="Q31" s="125">
        <f>Apr!CF32</f>
        <v>5976</v>
      </c>
      <c r="R31" s="125">
        <f>Apr!CH32</f>
        <v>387.80000000000291</v>
      </c>
      <c r="S31" s="125">
        <f>Apr!CK32</f>
        <v>23023.819999999359</v>
      </c>
      <c r="T31" s="125">
        <f>Apr!CO32</f>
        <v>6809.1200000000508</v>
      </c>
      <c r="U31" s="125">
        <f>Apr!CS32</f>
        <v>7081.1199999999853</v>
      </c>
      <c r="V31" s="126">
        <f t="shared" si="3"/>
        <v>46370.259999999362</v>
      </c>
      <c r="W31" s="126">
        <f>Apr!CW32</f>
        <v>17993</v>
      </c>
      <c r="X31" s="126">
        <f>Apr!DA32</f>
        <v>10352</v>
      </c>
      <c r="Y31" s="126">
        <f t="shared" si="1"/>
        <v>28345</v>
      </c>
      <c r="Z31" s="42">
        <f>Apr!BR32</f>
        <v>709.99999999992269</v>
      </c>
      <c r="AA31" s="126">
        <f>Apr!BG32</f>
        <v>2000</v>
      </c>
      <c r="AB31" s="126">
        <f>Apr!BJ32</f>
        <v>9399.9999999996362</v>
      </c>
      <c r="AC31" s="126">
        <f>Apr!BL32+Apr!BN32+Apr!BP32</f>
        <v>4129.9999999999864</v>
      </c>
      <c r="AD31" s="126">
        <f>Apr!DR32</f>
        <v>7200</v>
      </c>
      <c r="AE31" s="127">
        <f>Apr!DT32-Apr!DR72-Apr!DT72</f>
        <v>18348.999999999993</v>
      </c>
      <c r="AF31" s="127">
        <f>Apr!DR72+Apr!DT72</f>
        <v>51.000000000005485</v>
      </c>
      <c r="AG31" s="127">
        <f>Apr!HJ32-AE31</f>
        <v>63850.999999999833</v>
      </c>
      <c r="AH31" s="127">
        <f>Apr!DW32</f>
        <v>4400.0000000005457</v>
      </c>
      <c r="AI31" s="127">
        <f>Apr!DZ32</f>
        <v>7340.12</v>
      </c>
      <c r="AJ31" s="127">
        <f>Apr!EC32</f>
        <v>26500.12</v>
      </c>
      <c r="AK31" s="127">
        <f t="shared" si="4"/>
        <v>38240.240000000544</v>
      </c>
      <c r="AL31" s="127">
        <f>Apr!EG32</f>
        <v>26500.12</v>
      </c>
      <c r="AM31" s="127">
        <f>Apr!EJ32</f>
        <v>13340.12</v>
      </c>
      <c r="AN31" s="127">
        <f>Apr!EM32</f>
        <v>799.99999999995453</v>
      </c>
      <c r="AO31" s="127">
        <f t="shared" si="16"/>
        <v>40640.239999999954</v>
      </c>
      <c r="AP31" s="127">
        <f>Apr!FX32</f>
        <v>31800</v>
      </c>
      <c r="AQ31" s="127">
        <f>Apr!GA32</f>
        <v>10959.999999999727</v>
      </c>
      <c r="AR31" s="127">
        <f>Apr!GG32</f>
        <v>7399.9999999998636</v>
      </c>
      <c r="AS31" s="127">
        <f t="shared" si="6"/>
        <v>50159.999999999585</v>
      </c>
      <c r="AT31" s="127">
        <f>Apr!EQ32</f>
        <v>7370.1199999999735</v>
      </c>
      <c r="AU31" s="127">
        <f>Apr!ET32</f>
        <v>14000</v>
      </c>
      <c r="AV31" s="127">
        <f>Apr!EW32</f>
        <v>9340.1200000000008</v>
      </c>
      <c r="AW31" s="127">
        <f>Apr!FL69</f>
        <v>10865.115114822771</v>
      </c>
      <c r="AX31" s="127">
        <f>Apr!GJ32</f>
        <v>1600.0000000001364</v>
      </c>
      <c r="AY31" s="127">
        <f t="shared" si="7"/>
        <v>43175.355114822887</v>
      </c>
      <c r="AZ31" s="127">
        <f>Apr!FG32</f>
        <v>10386.790000000028</v>
      </c>
      <c r="BA31" s="127">
        <f>Apr!FJ32</f>
        <v>17216.78999999927</v>
      </c>
      <c r="BB31" s="127">
        <f>Apr!FM69</f>
        <v>12891.794885177234</v>
      </c>
      <c r="BC31" s="127">
        <f>Apr!GM32</f>
        <v>0</v>
      </c>
      <c r="BD31" s="127">
        <f t="shared" si="8"/>
        <v>40495.374885176527</v>
      </c>
      <c r="BE31" s="127">
        <f>Apr!GP32</f>
        <v>10</v>
      </c>
      <c r="BF31" s="127">
        <f>Apr!GS32</f>
        <v>340</v>
      </c>
      <c r="BG31" s="127">
        <f t="shared" si="9"/>
        <v>350</v>
      </c>
      <c r="BH31" s="127">
        <f t="shared" si="10"/>
        <v>28345</v>
      </c>
      <c r="BI31" s="127"/>
      <c r="BJ31" s="127"/>
      <c r="BK31" s="127"/>
      <c r="BL31" s="128"/>
      <c r="BM31" s="128">
        <f>(AS31+BG31)*54/100</f>
        <v>27275.399999999776</v>
      </c>
      <c r="BN31" s="128"/>
      <c r="BO31" s="128">
        <f t="shared" si="15"/>
        <v>23234.599999999809</v>
      </c>
      <c r="BP31" s="128"/>
      <c r="BQ31" s="128"/>
      <c r="BR31" s="128"/>
      <c r="BS31" s="128"/>
      <c r="BT31" s="42">
        <f>Apr!D70</f>
        <v>0</v>
      </c>
      <c r="BU31" s="42">
        <f>Apr!G70</f>
        <v>0</v>
      </c>
      <c r="BV31" t="s">
        <v>334</v>
      </c>
      <c r="BX31" s="42">
        <f>Apr!HJ32</f>
        <v>82199.999999999825</v>
      </c>
      <c r="BY31" s="42">
        <f>Apr!HM32</f>
        <v>0</v>
      </c>
      <c r="BZ31" s="42">
        <f>Apr!HS32</f>
        <v>21330</v>
      </c>
      <c r="CA31" s="42">
        <f>Apr!HV32</f>
        <v>24830</v>
      </c>
      <c r="CB31" s="42">
        <f>Apr!HY32</f>
        <v>16229.999999999862</v>
      </c>
      <c r="CC31" s="42">
        <f>Apr!HP32</f>
        <v>1410.000000000025</v>
      </c>
      <c r="CD31" s="42">
        <f>Apr!IB32</f>
        <v>18400</v>
      </c>
    </row>
    <row r="32" spans="1:82" x14ac:dyDescent="0.25">
      <c r="A32" s="26">
        <f t="shared" si="11"/>
        <v>26</v>
      </c>
      <c r="B32" s="42">
        <f>Apr!G33</f>
        <v>444479.99999999232</v>
      </c>
      <c r="C32" s="42">
        <f>Apr!N33</f>
        <v>443000</v>
      </c>
      <c r="D32" s="42">
        <f>Apr!T33</f>
        <v>9885.320000000298</v>
      </c>
      <c r="E32" s="42">
        <f>Apr!V33</f>
        <v>0</v>
      </c>
      <c r="F32" s="42">
        <f>Apr!AB33</f>
        <v>110</v>
      </c>
      <c r="G32" s="42">
        <f>Apr!X33</f>
        <v>8704.6800000004296</v>
      </c>
      <c r="H32" s="42">
        <f>Apr!AE33</f>
        <v>7699.9999999998181</v>
      </c>
      <c r="I32" s="42">
        <f>Apr!AI33</f>
        <v>16599.950000000365</v>
      </c>
      <c r="J32" s="42">
        <f>Apr!AN33</f>
        <v>5549.9499999996597</v>
      </c>
      <c r="K32" s="42">
        <f>Apr!AR33</f>
        <v>8700.0000000007276</v>
      </c>
      <c r="L32" s="42">
        <f>Apr!AZ33</f>
        <v>417.03999999997905</v>
      </c>
      <c r="M32" s="42">
        <f>Apr!BC33</f>
        <v>610.7100000000064</v>
      </c>
      <c r="N32" s="125">
        <f t="shared" si="13"/>
        <v>58277.650000001289</v>
      </c>
      <c r="O32" s="125">
        <f>Apr!CA33</f>
        <v>529.99999999997272</v>
      </c>
      <c r="P32" s="125">
        <f>Apr!CD33</f>
        <v>2770</v>
      </c>
      <c r="Q32" s="125">
        <f>Apr!CF33</f>
        <v>6100</v>
      </c>
      <c r="R32" s="125">
        <f>Apr!CH33</f>
        <v>139</v>
      </c>
      <c r="S32" s="125">
        <f>Apr!CK33</f>
        <v>20969.950000000026</v>
      </c>
      <c r="T32" s="125">
        <f>Apr!CO33</f>
        <v>6799.949999999727</v>
      </c>
      <c r="U32" s="125">
        <f>Apr!CS33</f>
        <v>6899.9500000000908</v>
      </c>
      <c r="V32" s="126">
        <f t="shared" si="3"/>
        <v>44208.849999999817</v>
      </c>
      <c r="W32" s="126">
        <f>Apr!CW33</f>
        <v>20000</v>
      </c>
      <c r="X32" s="126">
        <f>Apr!DA33</f>
        <v>10900</v>
      </c>
      <c r="Y32" s="126">
        <f t="shared" si="1"/>
        <v>30900</v>
      </c>
      <c r="Z32" s="42">
        <f>Apr!BR33</f>
        <v>490.00000000000909</v>
      </c>
      <c r="AA32" s="126">
        <f>Apr!BG33</f>
        <v>2200.0000000000455</v>
      </c>
      <c r="AB32" s="126">
        <f>Apr!BJ33</f>
        <v>9500</v>
      </c>
      <c r="AC32" s="126">
        <f>Apr!BL33+Apr!BN33+Apr!BP33</f>
        <v>4359.9999999999682</v>
      </c>
      <c r="AD32" s="126">
        <f>Apr!DR33</f>
        <v>6900</v>
      </c>
      <c r="AE32" s="127">
        <f>Apr!DT33-Apr!DR73-Apr!DT73</f>
        <v>19556.000000000015</v>
      </c>
      <c r="AF32" s="127">
        <f>Apr!DR73+Apr!DT73</f>
        <v>43.999999999986272</v>
      </c>
      <c r="AG32" s="127">
        <f>Apr!HJ33-AE32</f>
        <v>67344.000000000538</v>
      </c>
      <c r="AH32" s="127">
        <f>Apr!DW33</f>
        <v>4500</v>
      </c>
      <c r="AI32" s="127">
        <f>Apr!DZ33</f>
        <v>7499.95</v>
      </c>
      <c r="AJ32" s="127">
        <f>Apr!EC33</f>
        <v>25659.95</v>
      </c>
      <c r="AK32" s="127">
        <f t="shared" si="4"/>
        <v>37659.9</v>
      </c>
      <c r="AL32" s="127">
        <f>Apr!EG33</f>
        <v>25659.95</v>
      </c>
      <c r="AM32" s="127">
        <f>Apr!EJ33</f>
        <v>12499.95</v>
      </c>
      <c r="AN32" s="127">
        <f>Apr!EM33</f>
        <v>840.00000000003183</v>
      </c>
      <c r="AO32" s="127">
        <f t="shared" si="16"/>
        <v>38999.900000000031</v>
      </c>
      <c r="AP32" s="127">
        <f>Apr!FX33</f>
        <v>28300</v>
      </c>
      <c r="AQ32" s="127">
        <f>Apr!GA33</f>
        <v>8710</v>
      </c>
      <c r="AR32" s="127">
        <f>Apr!GG33</f>
        <v>6500.0000000004547</v>
      </c>
      <c r="AS32" s="127">
        <f t="shared" si="6"/>
        <v>43510.000000000451</v>
      </c>
      <c r="AT32" s="127">
        <f>Apr!EQ33</f>
        <v>6539.9500000000207</v>
      </c>
      <c r="AU32" s="127">
        <f>Apr!ET33</f>
        <v>13000</v>
      </c>
      <c r="AV32" s="127">
        <f>Apr!EW33</f>
        <v>9099.9499999999098</v>
      </c>
      <c r="AW32" s="127">
        <f>Apr!FL70</f>
        <v>11713.693178245874</v>
      </c>
      <c r="AX32" s="127">
        <f>Apr!GJ33</f>
        <v>1599.9999999999091</v>
      </c>
      <c r="AY32" s="127">
        <f t="shared" si="7"/>
        <v>41953.593178245719</v>
      </c>
      <c r="AZ32" s="127">
        <f>Apr!FG33</f>
        <v>10373.279999999981</v>
      </c>
      <c r="BA32" s="127">
        <f>Apr!FJ33</f>
        <v>16713.28000000109</v>
      </c>
      <c r="BB32" s="127">
        <f>Apr!FM70</f>
        <v>11199.536821754131</v>
      </c>
      <c r="BC32" s="127">
        <f>Apr!GM33</f>
        <v>0</v>
      </c>
      <c r="BD32" s="127">
        <f t="shared" si="8"/>
        <v>38286.0968217552</v>
      </c>
      <c r="BE32" s="127">
        <f>Apr!GP33</f>
        <v>0</v>
      </c>
      <c r="BF32" s="127">
        <f>Apr!GS33</f>
        <v>290</v>
      </c>
      <c r="BG32" s="127">
        <f t="shared" si="9"/>
        <v>290</v>
      </c>
      <c r="BH32" s="127">
        <f t="shared" si="10"/>
        <v>30900</v>
      </c>
      <c r="BI32" s="127"/>
      <c r="BJ32" s="127"/>
      <c r="BK32" s="127"/>
      <c r="BL32" s="128"/>
      <c r="BM32" s="128">
        <f>(AS32+BG32)*56/100</f>
        <v>24528.000000000251</v>
      </c>
      <c r="BN32" s="128"/>
      <c r="BO32" s="128">
        <f t="shared" si="15"/>
        <v>19272.0000000002</v>
      </c>
      <c r="BP32" s="128"/>
      <c r="BQ32" s="128"/>
      <c r="BR32" s="128"/>
      <c r="BS32" s="128"/>
      <c r="BT32" s="42">
        <f>Apr!D71</f>
        <v>0</v>
      </c>
      <c r="BU32" s="42">
        <f>Apr!G71</f>
        <v>0</v>
      </c>
      <c r="BV32" t="s">
        <v>339</v>
      </c>
      <c r="BX32" s="42">
        <f>Apr!HJ33</f>
        <v>86900.000000000553</v>
      </c>
      <c r="BY32" s="42">
        <f>Apr!HM33</f>
        <v>0</v>
      </c>
      <c r="BZ32" s="42">
        <f>Apr!HS33</f>
        <v>24123.333300000137</v>
      </c>
      <c r="CA32" s="42">
        <f>Apr!HV33</f>
        <v>24223.333300000042</v>
      </c>
      <c r="CB32" s="42">
        <f>Apr!HY33</f>
        <v>17823.333299999955</v>
      </c>
      <c r="CC32" s="42">
        <f>Apr!HP33</f>
        <v>1129.9999999999955</v>
      </c>
      <c r="CD32" s="42">
        <f>Apr!IB33</f>
        <v>19600</v>
      </c>
    </row>
    <row r="33" spans="1:85" x14ac:dyDescent="0.25">
      <c r="A33" s="26">
        <f t="shared" si="11"/>
        <v>27</v>
      </c>
      <c r="B33" s="42">
        <f>Apr!G34</f>
        <v>418559.99999999767</v>
      </c>
      <c r="C33" s="42">
        <f>Apr!N34</f>
        <v>412000</v>
      </c>
      <c r="D33" s="42">
        <f>Apr!T34</f>
        <v>7458.570000000298</v>
      </c>
      <c r="E33" s="42">
        <f>Apr!V34</f>
        <v>0</v>
      </c>
      <c r="F33" s="42">
        <f>Apr!AB34</f>
        <v>1200</v>
      </c>
      <c r="G33" s="42">
        <f>Apr!X34</f>
        <v>8241.4299999993382</v>
      </c>
      <c r="H33" s="42">
        <f>Apr!AE34</f>
        <v>7599.9999999999091</v>
      </c>
      <c r="I33" s="42">
        <f>Apr!AI34</f>
        <v>16145.269999999637</v>
      </c>
      <c r="J33" s="42">
        <f>Apr!AN34</f>
        <v>5785.2700000002142</v>
      </c>
      <c r="K33" s="42">
        <f>Apr!AR34</f>
        <v>8199.9999999998181</v>
      </c>
      <c r="L33" s="42">
        <f>Apr!AZ34</f>
        <v>400</v>
      </c>
      <c r="M33" s="42">
        <f>Apr!BC34</f>
        <v>550</v>
      </c>
      <c r="N33" s="125">
        <f t="shared" si="13"/>
        <v>55580.539999999215</v>
      </c>
      <c r="O33" s="125">
        <f>Apr!CA34</f>
        <v>510.00000000004775</v>
      </c>
      <c r="P33" s="125">
        <f>Apr!CD34</f>
        <v>2380</v>
      </c>
      <c r="Q33" s="125">
        <f>Apr!CF34</f>
        <v>5600</v>
      </c>
      <c r="R33" s="125">
        <f>Apr!CH34</f>
        <v>0</v>
      </c>
      <c r="S33" s="125">
        <f>Apr!CK34</f>
        <v>20235.269999999953</v>
      </c>
      <c r="T33" s="125">
        <f>Apr!CO34</f>
        <v>7345.2699999999095</v>
      </c>
      <c r="U33" s="125">
        <f>Apr!CS34</f>
        <v>7145.2700000000914</v>
      </c>
      <c r="V33" s="126">
        <f t="shared" si="3"/>
        <v>43215.81</v>
      </c>
      <c r="W33" s="126">
        <f>Apr!CW34</f>
        <v>20100</v>
      </c>
      <c r="X33" s="126">
        <f>Apr!DA34</f>
        <v>11100</v>
      </c>
      <c r="Y33" s="126">
        <f t="shared" si="1"/>
        <v>31200</v>
      </c>
      <c r="Z33" s="42">
        <f>Apr!BR34</f>
        <v>300.00000000006821</v>
      </c>
      <c r="AA33" s="126">
        <f>Apr!BG34</f>
        <v>2399.9999999998636</v>
      </c>
      <c r="AB33" s="126">
        <f>Apr!BJ34</f>
        <v>9299.9999999992724</v>
      </c>
      <c r="AC33" s="126">
        <f>Apr!BL34+Apr!BN34+Apr!BP34</f>
        <v>4260.0000000000819</v>
      </c>
      <c r="AD33" s="126">
        <f>Apr!DR34</f>
        <v>6300</v>
      </c>
      <c r="AE33" s="127">
        <f>Apr!DT34-Apr!DR74-Apr!DT74</f>
        <v>18658.999999999989</v>
      </c>
      <c r="AF33" s="127">
        <f>Apr!DR74+Apr!DT74</f>
        <v>41.000000000011028</v>
      </c>
      <c r="AG33" s="127">
        <f>Apr!HJ34-AE33</f>
        <v>42140.999999999287</v>
      </c>
      <c r="AH33" s="127">
        <f>Apr!DW34</f>
        <v>4800.0000000001819</v>
      </c>
      <c r="AI33" s="127">
        <f>Apr!DZ34</f>
        <v>7745.27</v>
      </c>
      <c r="AJ33" s="127">
        <f>Apr!EC34</f>
        <v>25905.27</v>
      </c>
      <c r="AK33" s="127">
        <f t="shared" si="4"/>
        <v>38450.540000000183</v>
      </c>
      <c r="AL33" s="127">
        <f>Apr!EG34</f>
        <v>32905.270000000004</v>
      </c>
      <c r="AM33" s="127">
        <f>Apr!EJ34</f>
        <v>12745.27</v>
      </c>
      <c r="AN33" s="127">
        <f>Apr!EM34</f>
        <v>840.00000000003183</v>
      </c>
      <c r="AO33" s="127">
        <f t="shared" si="16"/>
        <v>46490.540000000037</v>
      </c>
      <c r="AP33" s="127">
        <f>Apr!FX34</f>
        <v>25900</v>
      </c>
      <c r="AQ33" s="127">
        <f>Apr!GA34</f>
        <v>7290.0000000003638</v>
      </c>
      <c r="AR33" s="127">
        <f>Apr!GG34</f>
        <v>6199.9999999995907</v>
      </c>
      <c r="AS33" s="127">
        <f t="shared" si="6"/>
        <v>39389.999999999956</v>
      </c>
      <c r="AT33" s="127">
        <f>Apr!EQ34</f>
        <v>6785.2699999999641</v>
      </c>
      <c r="AU33" s="127">
        <f>Apr!ET34</f>
        <v>13000</v>
      </c>
      <c r="AV33" s="127">
        <f>Apr!EW34</f>
        <v>9745.27</v>
      </c>
      <c r="AW33" s="127">
        <f>Apr!FL71</f>
        <v>11809.068719419527</v>
      </c>
      <c r="AX33" s="127">
        <f>Apr!GJ34+((Apr!GP34+Apr!GS34)*50/100)</f>
        <v>1855.0000000000455</v>
      </c>
      <c r="AY33" s="127">
        <f t="shared" si="7"/>
        <v>43194.608719419535</v>
      </c>
      <c r="AZ33" s="127">
        <f>Apr!FG34</f>
        <v>9951.9400000000369</v>
      </c>
      <c r="BA33" s="127">
        <f>Apr!FJ34</f>
        <v>15291.939999999273</v>
      </c>
      <c r="BB33" s="127">
        <f>Apr!FM71</f>
        <v>11928.141280580474</v>
      </c>
      <c r="BC33" s="127">
        <f>Apr!GM34+((Apr!GP34+Apr!GS34)*50/100)</f>
        <v>155</v>
      </c>
      <c r="BD33" s="127">
        <f t="shared" si="8"/>
        <v>37327.021280579786</v>
      </c>
      <c r="BE33" s="127">
        <f>Apr!GP34</f>
        <v>0</v>
      </c>
      <c r="BF33" s="127">
        <f>Apr!GS34</f>
        <v>310</v>
      </c>
      <c r="BG33" s="127">
        <f t="shared" si="9"/>
        <v>310</v>
      </c>
      <c r="BH33" s="127">
        <f t="shared" si="10"/>
        <v>31200</v>
      </c>
      <c r="BI33" s="127"/>
      <c r="BJ33" s="127"/>
      <c r="BK33" s="127"/>
      <c r="BL33" s="128"/>
      <c r="BM33" s="128">
        <f>(AS33+BG33)*54/100</f>
        <v>21437.999999999978</v>
      </c>
      <c r="BN33" s="128"/>
      <c r="BO33" s="128">
        <f t="shared" si="15"/>
        <v>18261.999999999978</v>
      </c>
      <c r="BP33" s="128"/>
      <c r="BQ33" s="128"/>
      <c r="BR33" s="128"/>
      <c r="BS33" s="128"/>
      <c r="BT33" s="42">
        <f>Apr!D72</f>
        <v>0</v>
      </c>
      <c r="BU33" s="42">
        <f>Apr!G72</f>
        <v>0</v>
      </c>
      <c r="BV33" t="s">
        <v>334</v>
      </c>
      <c r="BX33" s="42">
        <f>Apr!HJ34</f>
        <v>60799.999999999272</v>
      </c>
      <c r="BY33" s="42">
        <f>Apr!HM34</f>
        <v>0</v>
      </c>
      <c r="BZ33" s="42">
        <f>Apr!HS34</f>
        <v>14093.332999999864</v>
      </c>
      <c r="CA33" s="42">
        <f>Apr!HV34</f>
        <v>25293.332999999908</v>
      </c>
      <c r="CB33" s="42">
        <f>Apr!HY34</f>
        <v>1593.333000000091</v>
      </c>
      <c r="CC33" s="42">
        <f>Apr!HP34</f>
        <v>1120.0000000000045</v>
      </c>
      <c r="CD33" s="42">
        <f>Apr!IB34</f>
        <v>18700</v>
      </c>
    </row>
    <row r="34" spans="1:85" x14ac:dyDescent="0.25">
      <c r="A34" s="26">
        <f t="shared" si="11"/>
        <v>28</v>
      </c>
      <c r="B34" s="42">
        <f>Apr!G35</f>
        <v>413440.00000000594</v>
      </c>
      <c r="C34" s="42">
        <f>Apr!N35</f>
        <v>415000</v>
      </c>
      <c r="D34" s="42">
        <f>Apr!T35</f>
        <v>0.36999999918043613</v>
      </c>
      <c r="E34" s="42">
        <f>Apr!V35</f>
        <v>0</v>
      </c>
      <c r="F34" s="42">
        <f>Apr!AB35</f>
        <v>4370</v>
      </c>
      <c r="G34" s="42">
        <f>Apr!X35</f>
        <v>8029.6300000004558</v>
      </c>
      <c r="H34" s="42">
        <f>Apr!AE35</f>
        <v>5000</v>
      </c>
      <c r="I34" s="42">
        <f>Apr!AI35</f>
        <v>10767.770000000364</v>
      </c>
      <c r="J34" s="42">
        <f>Apr!AN35</f>
        <v>6077.7700000000141</v>
      </c>
      <c r="K34" s="42">
        <f>Apr!AR35</f>
        <v>12399.999999999636</v>
      </c>
      <c r="L34" s="42">
        <f>Apr!AZ35</f>
        <v>446.40000000002328</v>
      </c>
      <c r="M34" s="42">
        <f>Apr!BC35</f>
        <v>645.32999999998719</v>
      </c>
      <c r="N34" s="125">
        <f t="shared" si="13"/>
        <v>47737.269999999662</v>
      </c>
      <c r="O34" s="125">
        <f>Apr!CA35</f>
        <v>539.99999999996362</v>
      </c>
      <c r="P34" s="125">
        <f>Apr!CD35</f>
        <v>2430</v>
      </c>
      <c r="Q34" s="125">
        <f>Apr!CF35</f>
        <v>5500</v>
      </c>
      <c r="R34" s="125">
        <f>Apr!CH35</f>
        <v>0</v>
      </c>
      <c r="S34" s="125">
        <f>Apr!CK35</f>
        <v>21127.770000000037</v>
      </c>
      <c r="T34" s="125">
        <f>Apr!CO35</f>
        <v>6267.7700000003642</v>
      </c>
      <c r="U34" s="125">
        <f>Apr!CS35</f>
        <v>6077.4699999999993</v>
      </c>
      <c r="V34" s="126">
        <f t="shared" si="3"/>
        <v>41943.010000000366</v>
      </c>
      <c r="W34" s="126">
        <f>Apr!CW35</f>
        <v>20000</v>
      </c>
      <c r="X34" s="126">
        <f>Apr!DA35</f>
        <v>11000</v>
      </c>
      <c r="Y34" s="126">
        <f t="shared" si="1"/>
        <v>31000</v>
      </c>
      <c r="Z34" s="42">
        <f>Apr!BR35</f>
        <v>730.00000000001819</v>
      </c>
      <c r="AA34" s="126">
        <f>Apr!BG35</f>
        <v>2400.0000000000909</v>
      </c>
      <c r="AB34" s="126">
        <f>Apr!BJ35</f>
        <v>9500</v>
      </c>
      <c r="AC34" s="126">
        <f>Apr!BL35+Apr!BN35+Apr!BP35</f>
        <v>4359.9999999999682</v>
      </c>
      <c r="AD34" s="126">
        <f>Apr!DR35</f>
        <v>8700</v>
      </c>
      <c r="AE34" s="127">
        <f>Apr!DT35-Apr!DR75-Apr!DT75</f>
        <v>19838.000000000004</v>
      </c>
      <c r="AF34" s="127">
        <f>Apr!DR75+Apr!DT75</f>
        <v>61.999999999997613</v>
      </c>
      <c r="AG34" s="127">
        <f>Apr!HJ35-AE34</f>
        <v>29762.00000000036</v>
      </c>
      <c r="AH34" s="127">
        <f>Apr!DW35</f>
        <v>4699.9999999998181</v>
      </c>
      <c r="AI34" s="127">
        <f>Apr!DZ35</f>
        <v>7667.77</v>
      </c>
      <c r="AJ34" s="127">
        <f>Apr!EC35</f>
        <v>23827.77</v>
      </c>
      <c r="AK34" s="127">
        <f t="shared" si="4"/>
        <v>36195.539999999819</v>
      </c>
      <c r="AL34" s="127">
        <f>Apr!EG35</f>
        <v>31827.77</v>
      </c>
      <c r="AM34" s="127">
        <f>Apr!EJ35</f>
        <v>11667.77</v>
      </c>
      <c r="AN34" s="127">
        <f>Apr!EM35</f>
        <v>879.99999999999545</v>
      </c>
      <c r="AO34" s="127">
        <f t="shared" si="16"/>
        <v>44375.539999999994</v>
      </c>
      <c r="AP34" s="127">
        <f>Apr!FX35</f>
        <v>32100</v>
      </c>
      <c r="AQ34" s="127">
        <f>Apr!GA35</f>
        <v>7969.9999999999091</v>
      </c>
      <c r="AR34" s="127">
        <f>Apr!GG35</f>
        <v>8900.0000000000909</v>
      </c>
      <c r="AS34" s="127">
        <f t="shared" si="6"/>
        <v>48970</v>
      </c>
      <c r="AT34" s="127">
        <f>Apr!EQ35</f>
        <v>5647.7700000000186</v>
      </c>
      <c r="AU34" s="127">
        <f>Apr!ET35</f>
        <v>13600.000000000364</v>
      </c>
      <c r="AV34" s="127">
        <f>Apr!EW35</f>
        <v>8967.7700000001823</v>
      </c>
      <c r="AW34" s="127">
        <f>Apr!FL72</f>
        <v>11535.948945108408</v>
      </c>
      <c r="AX34" s="127">
        <f>Apr!GJ35+((Apr!GP35+Apr!GS35)*50/100)</f>
        <v>2694.9999999999091</v>
      </c>
      <c r="AY34" s="127">
        <f t="shared" si="7"/>
        <v>42446.488945108882</v>
      </c>
      <c r="AZ34" s="127">
        <f>Apr!FG35</f>
        <v>10647.769999999982</v>
      </c>
      <c r="BA34" s="127">
        <f>Apr!FJ35</f>
        <v>18727.770000000364</v>
      </c>
      <c r="BB34" s="127">
        <f>Apr!FM72</f>
        <v>12759.591054891594</v>
      </c>
      <c r="BC34" s="127">
        <f>Apr!GM35+((Apr!GP35+Apr!GS35)*50/100)</f>
        <v>1095</v>
      </c>
      <c r="BD34" s="127">
        <f t="shared" si="8"/>
        <v>43230.131054891943</v>
      </c>
      <c r="BE34" s="127">
        <f>Apr!GP35</f>
        <v>1560</v>
      </c>
      <c r="BF34" s="127">
        <f>Apr!GS35</f>
        <v>630</v>
      </c>
      <c r="BG34" s="127">
        <f t="shared" si="9"/>
        <v>2190</v>
      </c>
      <c r="BH34" s="127">
        <f t="shared" si="10"/>
        <v>31000</v>
      </c>
      <c r="BI34" s="127"/>
      <c r="BJ34" s="127"/>
      <c r="BK34" s="127"/>
      <c r="BL34" s="128"/>
      <c r="BM34" s="128">
        <f>(AS34)*51/100</f>
        <v>24974.7</v>
      </c>
      <c r="BN34" s="128"/>
      <c r="BO34" s="128">
        <f>AS34-BM34</f>
        <v>23995.3</v>
      </c>
      <c r="BP34" s="128">
        <f>BG34</f>
        <v>2190</v>
      </c>
      <c r="BQ34" s="128"/>
      <c r="BR34" s="128"/>
      <c r="BS34" s="128"/>
      <c r="BT34" s="42">
        <f>Apr!D73</f>
        <v>0</v>
      </c>
      <c r="BU34" s="42">
        <f>Apr!G73</f>
        <v>0</v>
      </c>
      <c r="BV34" t="s">
        <v>340</v>
      </c>
      <c r="BX34" s="42">
        <f>Apr!HJ35</f>
        <v>49600.000000000364</v>
      </c>
      <c r="BY34" s="42">
        <f>Apr!HM35</f>
        <v>0</v>
      </c>
      <c r="BZ34" s="42">
        <f>Apr!HS35</f>
        <v>13626.670000000182</v>
      </c>
      <c r="CA34" s="42">
        <f>Apr!HV35</f>
        <v>14126.669999999955</v>
      </c>
      <c r="CB34" s="42">
        <f>Apr!HY35</f>
        <v>926.66999999990901</v>
      </c>
      <c r="CC34" s="42">
        <f>Apr!HP35</f>
        <v>1019.9999999999818</v>
      </c>
      <c r="CD34" s="42">
        <f>Apr!IB35</f>
        <v>19900</v>
      </c>
    </row>
    <row r="35" spans="1:85" ht="15" customHeight="1" x14ac:dyDescent="0.25">
      <c r="A35" s="26">
        <f t="shared" si="11"/>
        <v>29</v>
      </c>
      <c r="B35" s="42">
        <f>Apr!G36</f>
        <v>447359.99999999697</v>
      </c>
      <c r="C35" s="42">
        <f>Apr!N36</f>
        <v>448000</v>
      </c>
      <c r="D35" s="42">
        <f>Apr!T36</f>
        <v>0.97000000067055225</v>
      </c>
      <c r="E35" s="42">
        <f>Apr!V36</f>
        <v>0</v>
      </c>
      <c r="F35" s="42">
        <f>Apr!AB36</f>
        <v>3930</v>
      </c>
      <c r="G35" s="42">
        <f>Apr!X36</f>
        <v>7569.0299999993294</v>
      </c>
      <c r="H35" s="42">
        <f>Apr!AE36</f>
        <v>4000</v>
      </c>
      <c r="I35" s="42">
        <f>Apr!AI36</f>
        <v>9443.1099999996368</v>
      </c>
      <c r="J35" s="42">
        <f>Apr!AN36</f>
        <v>7103.1099999996277</v>
      </c>
      <c r="K35" s="42">
        <f>Apr!AR36</f>
        <v>12300.000000000182</v>
      </c>
      <c r="L35" s="42">
        <f>Apr!AZ36</f>
        <v>433.59999999997672</v>
      </c>
      <c r="M35" s="42">
        <f>Apr!BC36</f>
        <v>614.67000000001281</v>
      </c>
      <c r="N35" s="125">
        <f t="shared" ref="N35:N37" si="17">SUM(D35:M35)</f>
        <v>45394.489999999438</v>
      </c>
      <c r="O35" s="125">
        <f>Apr!CA36</f>
        <v>569.99999999999318</v>
      </c>
      <c r="P35" s="125">
        <f>Apr!CD36</f>
        <v>1410</v>
      </c>
      <c r="Q35" s="125">
        <f>Apr!CF36</f>
        <v>6600</v>
      </c>
      <c r="R35" s="125">
        <f>Apr!CH36</f>
        <v>0</v>
      </c>
      <c r="S35" s="125">
        <f>Apr!CK36</f>
        <v>21973.110000000008</v>
      </c>
      <c r="T35" s="125">
        <f>Apr!CO36</f>
        <v>9043.11</v>
      </c>
      <c r="U35" s="125">
        <f>Apr!CS36</f>
        <v>7105.41</v>
      </c>
      <c r="V35" s="126">
        <f t="shared" ref="V35:V37" si="18">SUM(O35:U35)</f>
        <v>46701.630000000005</v>
      </c>
      <c r="W35" s="126">
        <f>Apr!CW36</f>
        <v>16300</v>
      </c>
      <c r="X35" s="126">
        <f>Apr!DA36</f>
        <v>8900</v>
      </c>
      <c r="Y35" s="126">
        <f t="shared" ref="Y35:Y37" si="19">W35+X35</f>
        <v>25200</v>
      </c>
      <c r="Z35" s="42">
        <f>Apr!BR36</f>
        <v>870.00000000000455</v>
      </c>
      <c r="AA35" s="126">
        <f>Apr!BG36</f>
        <v>2200.0000000000455</v>
      </c>
      <c r="AB35" s="126">
        <f>Apr!BJ36</f>
        <v>9600.0000000003638</v>
      </c>
      <c r="AC35" s="126">
        <f>Apr!BL36+Apr!BN36+Apr!BP36</f>
        <v>3970.0000000000045</v>
      </c>
      <c r="AD35" s="126">
        <f>Apr!DR36</f>
        <v>8800</v>
      </c>
      <c r="AE35" s="127">
        <f>Apr!DT36-Apr!DR76-Apr!DT76</f>
        <v>18562</v>
      </c>
      <c r="AF35" s="127">
        <f>Apr!DR76+Apr!DT76</f>
        <v>38.000000000000256</v>
      </c>
      <c r="AG35" s="127">
        <f>Apr!HJ36-AE35</f>
        <v>70337.999999999636</v>
      </c>
      <c r="AH35" s="127">
        <f>Apr!DW36</f>
        <v>4599.9999999994543</v>
      </c>
      <c r="AI35" s="127">
        <f>Apr!DZ36</f>
        <v>7543.11</v>
      </c>
      <c r="AJ35" s="127">
        <f>Apr!EC36</f>
        <v>23703.11</v>
      </c>
      <c r="AK35" s="127">
        <f t="shared" ref="AK35:AK37" si="20">SUM(AH35:AJ35)</f>
        <v>35846.219999999455</v>
      </c>
      <c r="AL35" s="127">
        <f>Apr!EG36</f>
        <v>31703.11</v>
      </c>
      <c r="AM35" s="127">
        <f>Apr!EJ36</f>
        <v>11543.11</v>
      </c>
      <c r="AN35" s="127">
        <f>Apr!EM36</f>
        <v>870.00000000000455</v>
      </c>
      <c r="AO35" s="127">
        <f t="shared" ref="AO35:AO37" si="21">SUM(AL35:AN35)</f>
        <v>44116.220000000008</v>
      </c>
      <c r="AP35" s="127">
        <f>Apr!FX36</f>
        <v>28900</v>
      </c>
      <c r="AQ35" s="127">
        <f>Apr!GA36</f>
        <v>7239.9999999999091</v>
      </c>
      <c r="AR35" s="127">
        <f>Apr!GG36</f>
        <v>9000</v>
      </c>
      <c r="AS35" s="127">
        <f t="shared" ref="AS35:AS37" si="22">SUM(AP35:AR35)</f>
        <v>45139.999999999913</v>
      </c>
      <c r="AT35" s="127">
        <f>Apr!EQ36</f>
        <v>6598.110000000006</v>
      </c>
      <c r="AU35" s="127">
        <f>Apr!ET36</f>
        <v>11700.000000000728</v>
      </c>
      <c r="AV35" s="127">
        <f>Apr!EW36</f>
        <v>9243.1099999998187</v>
      </c>
      <c r="AW35" s="127">
        <f>Apr!FL73</f>
        <v>11437.76363252486</v>
      </c>
      <c r="AX35" s="127">
        <f>Apr!GJ36+((Apr!GP36+Apr!GS36)*50/100)</f>
        <v>3230</v>
      </c>
      <c r="AY35" s="127">
        <f t="shared" ref="AY35:AY37" si="23">SUM(AT35:AX35)</f>
        <v>42208.983632525415</v>
      </c>
      <c r="AZ35" s="127">
        <f>Apr!FG36</f>
        <v>10356.349999999993</v>
      </c>
      <c r="BA35" s="127">
        <f>Apr!FJ36</f>
        <v>19311.349999999638</v>
      </c>
      <c r="BB35" s="127">
        <f>Apr!FM73</f>
        <v>13516.696367475141</v>
      </c>
      <c r="BC35" s="127">
        <f>Apr!GM36+((Apr!GP36+Apr!GS36)*50/100)</f>
        <v>1730</v>
      </c>
      <c r="BD35" s="127">
        <f t="shared" ref="BD35:BD37" si="24">SUM(AZ35:BC35)</f>
        <v>44914.396367474772</v>
      </c>
      <c r="BE35" s="127">
        <f>Apr!GP36</f>
        <v>2600</v>
      </c>
      <c r="BF35" s="127">
        <f>Apr!GS36</f>
        <v>860</v>
      </c>
      <c r="BG35" s="127">
        <f t="shared" ref="BG35:BG37" si="25">BE35+BF35</f>
        <v>3460</v>
      </c>
      <c r="BH35" s="127">
        <f t="shared" si="10"/>
        <v>25200</v>
      </c>
      <c r="BI35" s="127"/>
      <c r="BJ35" s="127"/>
      <c r="BK35" s="127"/>
      <c r="BL35" s="128"/>
      <c r="BM35" s="128">
        <f>(AS35)*50/100</f>
        <v>22569.999999999956</v>
      </c>
      <c r="BN35" s="128"/>
      <c r="BO35" s="128">
        <f>AS35-BM35</f>
        <v>22569.999999999956</v>
      </c>
      <c r="BP35" s="128">
        <f>BG35</f>
        <v>3460</v>
      </c>
      <c r="BQ35" s="128"/>
      <c r="BR35" s="128"/>
      <c r="BS35" s="128"/>
      <c r="BT35" s="42">
        <f>Apr!D74</f>
        <v>0</v>
      </c>
      <c r="BU35" s="42">
        <f>Apr!G74</f>
        <v>0</v>
      </c>
      <c r="BV35" t="s">
        <v>341</v>
      </c>
      <c r="BX35" s="42">
        <f>Apr!HJ36</f>
        <v>88899.999999999636</v>
      </c>
      <c r="BY35" s="42">
        <f>Apr!HM36</f>
        <v>0</v>
      </c>
      <c r="BZ35" s="42">
        <f>Apr!HS36</f>
        <v>28970</v>
      </c>
      <c r="CA35" s="42">
        <f>Apr!HV36</f>
        <v>24170.000000000044</v>
      </c>
      <c r="CB35" s="42">
        <f>Apr!HY36</f>
        <v>16070.000000000136</v>
      </c>
      <c r="CC35" s="42">
        <f>Apr!HP36</f>
        <v>1090.0000000000318</v>
      </c>
      <c r="CD35" s="42">
        <f>Apr!IB36</f>
        <v>18600</v>
      </c>
    </row>
    <row r="36" spans="1:85" x14ac:dyDescent="0.25">
      <c r="A36" s="26">
        <f t="shared" si="11"/>
        <v>30</v>
      </c>
      <c r="B36" s="42">
        <f>Apr!G37</f>
        <v>440320.00000001426</v>
      </c>
      <c r="C36" s="42">
        <f>Apr!N37</f>
        <v>432000</v>
      </c>
      <c r="D36" s="42">
        <f>Apr!T37</f>
        <v>4.849999999627471</v>
      </c>
      <c r="E36" s="42">
        <f>Apr!V37</f>
        <v>0</v>
      </c>
      <c r="F36" s="42">
        <f>Apr!AB37</f>
        <v>4950</v>
      </c>
      <c r="G36" s="42">
        <f>Apr!X37</f>
        <v>8545.1500000003725</v>
      </c>
      <c r="H36" s="42">
        <f>Apr!AE37</f>
        <v>3900.0000000000909</v>
      </c>
      <c r="I36" s="42">
        <f>Apr!AI37</f>
        <v>8942.9599999996353</v>
      </c>
      <c r="J36" s="42">
        <f>Apr!AN37</f>
        <v>7122.9600000003356</v>
      </c>
      <c r="K36" s="42">
        <f>Apr!AR37</f>
        <v>11899.999999999636</v>
      </c>
      <c r="L36" s="42">
        <f>Apr!AZ37</f>
        <v>428.11999999999534</v>
      </c>
      <c r="M36" s="42">
        <f>Apr!BC37</f>
        <v>670.45999999999185</v>
      </c>
      <c r="N36" s="125">
        <f t="shared" si="17"/>
        <v>46464.499999999687</v>
      </c>
      <c r="O36" s="125">
        <f>Apr!CA37</f>
        <v>460.00000000003638</v>
      </c>
      <c r="P36" s="125">
        <f>Apr!CD37</f>
        <v>1000</v>
      </c>
      <c r="Q36" s="125">
        <f>Apr!CF37</f>
        <v>5500</v>
      </c>
      <c r="R36" s="125">
        <f>Apr!CH37</f>
        <v>0</v>
      </c>
      <c r="S36" s="125">
        <f>Apr!CK37</f>
        <v>19582.959999999963</v>
      </c>
      <c r="T36" s="125">
        <f>Apr!CO37</f>
        <v>8642.9599999999082</v>
      </c>
      <c r="U36" s="125">
        <f>Apr!CS37</f>
        <v>6351.96</v>
      </c>
      <c r="V36" s="126">
        <f t="shared" si="18"/>
        <v>41537.87999999991</v>
      </c>
      <c r="W36" s="126">
        <f>Apr!CW37</f>
        <v>13500</v>
      </c>
      <c r="X36" s="126">
        <f>Apr!DA37</f>
        <v>7600</v>
      </c>
      <c r="Y36" s="126">
        <f t="shared" si="19"/>
        <v>21100</v>
      </c>
      <c r="Z36" s="42">
        <f>Apr!BR37</f>
        <v>740.00000000000909</v>
      </c>
      <c r="AA36" s="126">
        <f>Apr!BG37</f>
        <v>2399.9999999998636</v>
      </c>
      <c r="AB36" s="126">
        <f>Apr!BJ37</f>
        <v>9700.0000000007276</v>
      </c>
      <c r="AC36" s="126">
        <f>Apr!BL37+Apr!BN37+Apr!BP37</f>
        <v>4780.0000000000182</v>
      </c>
      <c r="AD36" s="126">
        <f>Apr!DR37</f>
        <v>9300</v>
      </c>
      <c r="AE36" s="127">
        <f>Apr!DT37-Apr!DR77-Apr!DT77</f>
        <v>18962</v>
      </c>
      <c r="AF36" s="127">
        <f>Apr!DR77+Apr!DT77</f>
        <v>38.000000000000256</v>
      </c>
      <c r="AG36" s="127">
        <f>Apr!HJ37-AE36</f>
        <v>70038</v>
      </c>
      <c r="AH36" s="127">
        <f>Apr!DW37</f>
        <v>4500</v>
      </c>
      <c r="AI36" s="127">
        <f>Apr!DZ37</f>
        <v>7042.96</v>
      </c>
      <c r="AJ36" s="127">
        <f>Apr!EC37</f>
        <v>24202.959999999999</v>
      </c>
      <c r="AK36" s="127">
        <f t="shared" si="20"/>
        <v>35745.919999999998</v>
      </c>
      <c r="AL36" s="127">
        <f>Apr!EG37</f>
        <v>31202.959999999999</v>
      </c>
      <c r="AM36" s="127">
        <f>Apr!EJ37</f>
        <v>12042.96</v>
      </c>
      <c r="AN36" s="127">
        <f>Apr!EM37</f>
        <v>730.00000000001819</v>
      </c>
      <c r="AO36" s="127">
        <f t="shared" si="21"/>
        <v>43975.920000000013</v>
      </c>
      <c r="AP36" s="127">
        <f>Apr!FX37</f>
        <v>33200</v>
      </c>
      <c r="AQ36" s="127">
        <f>Apr!GA37</f>
        <v>8399.9999999998181</v>
      </c>
      <c r="AR36" s="127">
        <f>Apr!GG37</f>
        <v>10699.999999999136</v>
      </c>
      <c r="AS36" s="127">
        <f t="shared" si="22"/>
        <v>52299.999999998952</v>
      </c>
      <c r="AT36" s="127">
        <f>Apr!EQ37</f>
        <v>6062.9599999999818</v>
      </c>
      <c r="AU36" s="127">
        <f>Apr!ET37</f>
        <v>7599.9999999985448</v>
      </c>
      <c r="AV36" s="127">
        <f>Apr!EW37</f>
        <v>9142.9600000003629</v>
      </c>
      <c r="AW36" s="127">
        <f>Apr!FL74</f>
        <v>11225.786315481606</v>
      </c>
      <c r="AX36" s="127">
        <f>Apr!GJ37+((Apr!GP37+Apr!GS37)*50/100)</f>
        <v>3265.0000000001364</v>
      </c>
      <c r="AY36" s="127">
        <f t="shared" si="23"/>
        <v>37296.706315480631</v>
      </c>
      <c r="AZ36" s="127">
        <f>Apr!FG37</f>
        <v>10696.290000000017</v>
      </c>
      <c r="BA36" s="127">
        <f>Apr!FJ37</f>
        <v>18716.29</v>
      </c>
      <c r="BB36" s="127">
        <f>Apr!FM74</f>
        <v>11533.463684518394</v>
      </c>
      <c r="BC36" s="127">
        <f>Apr!GM37+((Apr!GP37+Apr!GS37)*50/100)</f>
        <v>1665</v>
      </c>
      <c r="BD36" s="127">
        <f t="shared" si="24"/>
        <v>42611.043684518409</v>
      </c>
      <c r="BE36" s="127">
        <f>Apr!GP37</f>
        <v>2530</v>
      </c>
      <c r="BF36" s="127">
        <f>Apr!GS37</f>
        <v>800</v>
      </c>
      <c r="BG36" s="127">
        <f t="shared" si="25"/>
        <v>3330</v>
      </c>
      <c r="BH36" s="127">
        <f t="shared" si="10"/>
        <v>21100</v>
      </c>
      <c r="BI36" s="127"/>
      <c r="BJ36" s="127"/>
      <c r="BK36" s="127"/>
      <c r="BL36" s="128"/>
      <c r="BM36" s="128">
        <f>(AS36)*54/100</f>
        <v>28241.999999999432</v>
      </c>
      <c r="BN36" s="128"/>
      <c r="BO36" s="128">
        <f>AS36-BM36</f>
        <v>24057.99999999952</v>
      </c>
      <c r="BP36" s="128">
        <f>BG36</f>
        <v>3330</v>
      </c>
      <c r="BQ36" s="128"/>
      <c r="BR36" s="128"/>
      <c r="BS36" s="128"/>
      <c r="BT36" s="42">
        <f>Apr!D75</f>
        <v>0</v>
      </c>
      <c r="BU36" s="42">
        <f>Apr!G75</f>
        <v>0</v>
      </c>
      <c r="BV36" t="s">
        <v>344</v>
      </c>
      <c r="BX36" s="42">
        <f>Apr!HJ37</f>
        <v>89000</v>
      </c>
      <c r="BY36" s="42">
        <f>Apr!HM37</f>
        <v>0</v>
      </c>
      <c r="BZ36" s="42">
        <f>Apr!HS37</f>
        <v>26109.999999999909</v>
      </c>
      <c r="CA36" s="42">
        <f>Apr!HV37</f>
        <v>23610.000000000138</v>
      </c>
      <c r="CB36" s="42">
        <f>Apr!HY37</f>
        <v>19109.999999999909</v>
      </c>
      <c r="CC36" s="42">
        <f>Apr!HP37</f>
        <v>1169.9999999999591</v>
      </c>
      <c r="CD36" s="42">
        <f>Apr!IB37</f>
        <v>19000</v>
      </c>
    </row>
    <row r="37" spans="1:85" hidden="1" x14ac:dyDescent="0.25">
      <c r="A37" s="26">
        <f t="shared" si="11"/>
        <v>31</v>
      </c>
      <c r="B37" s="42">
        <f>Apr!G38</f>
        <v>0</v>
      </c>
      <c r="C37" s="42">
        <f>Apr!N38</f>
        <v>0</v>
      </c>
      <c r="D37" s="42">
        <f>Apr!T38</f>
        <v>0</v>
      </c>
      <c r="E37" s="42">
        <f>Apr!V38</f>
        <v>0</v>
      </c>
      <c r="F37" s="42">
        <f>Apr!AB38</f>
        <v>0</v>
      </c>
      <c r="G37" s="42">
        <f>Apr!X38</f>
        <v>0</v>
      </c>
      <c r="H37" s="42">
        <f>Apr!AE38</f>
        <v>0</v>
      </c>
      <c r="I37" s="42">
        <f>Apr!AI38</f>
        <v>0</v>
      </c>
      <c r="J37" s="42">
        <f>Apr!AN38</f>
        <v>0</v>
      </c>
      <c r="K37" s="42">
        <f>Apr!AR38</f>
        <v>0</v>
      </c>
      <c r="L37" s="42">
        <f>Apr!AZ38</f>
        <v>0</v>
      </c>
      <c r="M37" s="42">
        <f>Apr!BC38</f>
        <v>0</v>
      </c>
      <c r="N37" s="125">
        <f t="shared" si="17"/>
        <v>0</v>
      </c>
      <c r="O37" s="125">
        <f>Apr!CA38</f>
        <v>0</v>
      </c>
      <c r="P37" s="125">
        <f>Apr!CD38</f>
        <v>0</v>
      </c>
      <c r="Q37" s="125">
        <f>Apr!CF38</f>
        <v>0</v>
      </c>
      <c r="R37" s="125">
        <f>Apr!CH38</f>
        <v>0</v>
      </c>
      <c r="S37" s="125">
        <f>Apr!CK38</f>
        <v>0</v>
      </c>
      <c r="T37" s="125">
        <f>Apr!CO38</f>
        <v>0</v>
      </c>
      <c r="U37" s="125">
        <f>Apr!CS38</f>
        <v>0</v>
      </c>
      <c r="V37" s="126">
        <f t="shared" si="18"/>
        <v>0</v>
      </c>
      <c r="W37" s="126">
        <f>Apr!CW38</f>
        <v>0</v>
      </c>
      <c r="X37" s="126">
        <f>Apr!DA38</f>
        <v>0</v>
      </c>
      <c r="Y37" s="126">
        <f t="shared" si="19"/>
        <v>0</v>
      </c>
      <c r="Z37" s="42">
        <f>Apr!BR38</f>
        <v>0</v>
      </c>
      <c r="AA37" s="126">
        <f>Apr!BG38</f>
        <v>0</v>
      </c>
      <c r="AB37" s="126">
        <f>Apr!BJ38</f>
        <v>0</v>
      </c>
      <c r="AC37" s="126">
        <f>Apr!BL38+Apr!BN38+Apr!BP38</f>
        <v>0</v>
      </c>
      <c r="AD37" s="126">
        <f>Apr!DR38</f>
        <v>0</v>
      </c>
      <c r="AE37" s="127">
        <f>Apr!DT38-Apr!DR78-Apr!DT78</f>
        <v>0</v>
      </c>
      <c r="AF37" s="127">
        <f>Apr!DR78+Apr!DT78</f>
        <v>0</v>
      </c>
      <c r="AG37" s="127">
        <f>Apr!HJ38-AE37</f>
        <v>0</v>
      </c>
      <c r="AH37" s="127">
        <f>Apr!DW38</f>
        <v>0</v>
      </c>
      <c r="AI37" s="127">
        <f>Apr!DZ38</f>
        <v>0</v>
      </c>
      <c r="AJ37" s="127">
        <f>Apr!EC38</f>
        <v>0</v>
      </c>
      <c r="AK37" s="127">
        <f t="shared" si="20"/>
        <v>0</v>
      </c>
      <c r="AL37" s="127">
        <f>Apr!EG38</f>
        <v>0</v>
      </c>
      <c r="AM37" s="127">
        <f>Apr!EJ38</f>
        <v>0</v>
      </c>
      <c r="AN37" s="127">
        <f>Apr!EM38</f>
        <v>0</v>
      </c>
      <c r="AO37" s="127">
        <f t="shared" si="21"/>
        <v>0</v>
      </c>
      <c r="AP37" s="127">
        <f>Apr!FX38</f>
        <v>0</v>
      </c>
      <c r="AQ37" s="127">
        <f>Apr!GA38</f>
        <v>0</v>
      </c>
      <c r="AR37" s="127">
        <f>Apr!GG38</f>
        <v>0</v>
      </c>
      <c r="AS37" s="127">
        <f t="shared" si="22"/>
        <v>0</v>
      </c>
      <c r="AT37" s="127">
        <f>Apr!EQ38</f>
        <v>297425</v>
      </c>
      <c r="AU37" s="127">
        <f>Apr!ET38</f>
        <v>0</v>
      </c>
      <c r="AV37" s="127">
        <f>Apr!EW38</f>
        <v>0</v>
      </c>
      <c r="AW37" s="127">
        <f>Apr!FL75</f>
        <v>0</v>
      </c>
      <c r="AX37" s="127">
        <f>Apr!GJ38+((Apr!GP38+Apr!GS38)*50/100)</f>
        <v>0</v>
      </c>
      <c r="AY37" s="127">
        <f t="shared" si="23"/>
        <v>297425</v>
      </c>
      <c r="AZ37" s="127">
        <f>Apr!FG38</f>
        <v>-297425</v>
      </c>
      <c r="BA37" s="127">
        <f>Apr!FJ38</f>
        <v>0</v>
      </c>
      <c r="BB37" s="127">
        <f>Apr!FM75</f>
        <v>0</v>
      </c>
      <c r="BC37" s="127">
        <f>Apr!GM38+((Apr!GP38+Apr!GS38)*50/100)</f>
        <v>0</v>
      </c>
      <c r="BD37" s="127">
        <f t="shared" si="24"/>
        <v>-297425</v>
      </c>
      <c r="BE37" s="127">
        <f>Apr!GP38</f>
        <v>0</v>
      </c>
      <c r="BF37" s="127">
        <f>Apr!GS38</f>
        <v>0</v>
      </c>
      <c r="BG37" s="127">
        <f t="shared" si="25"/>
        <v>0</v>
      </c>
      <c r="BH37" s="127">
        <f t="shared" si="10"/>
        <v>0</v>
      </c>
      <c r="BI37" s="127"/>
      <c r="BJ37" s="127"/>
      <c r="BK37" s="127"/>
      <c r="BL37" s="128">
        <f t="shared" ref="BL37" si="26">AS37</f>
        <v>0</v>
      </c>
      <c r="BM37" s="128"/>
      <c r="BN37" s="128"/>
      <c r="BO37" s="128"/>
      <c r="BP37" s="128"/>
      <c r="BQ37" s="128"/>
      <c r="BR37" s="128"/>
      <c r="BS37" s="128"/>
      <c r="BT37" s="42">
        <f>Apr!D76</f>
        <v>0</v>
      </c>
      <c r="BU37" s="42">
        <f>Apr!G76</f>
        <v>0</v>
      </c>
      <c r="BX37" s="42">
        <f>Apr!HJ38</f>
        <v>0</v>
      </c>
      <c r="BY37" s="42">
        <f>Apr!HM38</f>
        <v>0</v>
      </c>
      <c r="BZ37" s="42">
        <f>Apr!HS38</f>
        <v>0</v>
      </c>
      <c r="CA37" s="42">
        <f>Apr!HV38</f>
        <v>0</v>
      </c>
      <c r="CB37" s="42">
        <f>Apr!HY38</f>
        <v>0</v>
      </c>
      <c r="CC37" s="42">
        <f>Apr!HP38</f>
        <v>0</v>
      </c>
      <c r="CD37" s="42">
        <f>Apr!IB38</f>
        <v>0</v>
      </c>
    </row>
    <row r="38" spans="1:85" x14ac:dyDescent="0.25">
      <c r="A38" s="129" t="s">
        <v>37</v>
      </c>
      <c r="B38" s="130">
        <f t="shared" ref="B38:AJ38" si="27">SUM(B7:B37)</f>
        <v>11146880.000000007</v>
      </c>
      <c r="C38" s="130">
        <f t="shared" si="27"/>
        <v>11060000</v>
      </c>
      <c r="D38" s="130">
        <f t="shared" si="27"/>
        <v>108224.43999999948</v>
      </c>
      <c r="E38" s="130">
        <f t="shared" si="27"/>
        <v>0</v>
      </c>
      <c r="F38" s="130">
        <f t="shared" si="27"/>
        <v>88740</v>
      </c>
      <c r="G38" s="130">
        <f t="shared" si="27"/>
        <v>239035.56000000052</v>
      </c>
      <c r="H38" s="130">
        <f t="shared" si="27"/>
        <v>167299.99999999971</v>
      </c>
      <c r="I38" s="130">
        <f t="shared" si="27"/>
        <v>377990.48999999964</v>
      </c>
      <c r="J38" s="130">
        <f t="shared" si="27"/>
        <v>223900.4899999999</v>
      </c>
      <c r="K38" s="130">
        <f t="shared" si="27"/>
        <v>298159.99999999988</v>
      </c>
      <c r="L38" s="130">
        <f t="shared" si="27"/>
        <v>12685.839999999967</v>
      </c>
      <c r="M38" s="130">
        <f t="shared" si="27"/>
        <v>19242.399999999994</v>
      </c>
      <c r="N38" s="130">
        <f t="shared" si="27"/>
        <v>1535279.2199999988</v>
      </c>
      <c r="O38" s="130">
        <f t="shared" si="27"/>
        <v>17970.000000000025</v>
      </c>
      <c r="P38" s="130">
        <f t="shared" si="27"/>
        <v>49600</v>
      </c>
      <c r="Q38" s="130">
        <f t="shared" si="27"/>
        <v>187202.39999999994</v>
      </c>
      <c r="R38" s="130">
        <f t="shared" si="27"/>
        <v>2049.6999999999971</v>
      </c>
      <c r="S38" s="130">
        <f t="shared" si="27"/>
        <v>610120.49</v>
      </c>
      <c r="T38" s="130">
        <f t="shared" si="27"/>
        <v>223590.49</v>
      </c>
      <c r="U38" s="130">
        <f t="shared" si="27"/>
        <v>200971.48999999996</v>
      </c>
      <c r="V38" s="130">
        <f t="shared" si="27"/>
        <v>1291504.5699999998</v>
      </c>
      <c r="W38" s="130">
        <f t="shared" si="27"/>
        <v>333600</v>
      </c>
      <c r="X38" s="130">
        <f t="shared" si="27"/>
        <v>190300</v>
      </c>
      <c r="Y38" s="130">
        <f t="shared" si="27"/>
        <v>523900</v>
      </c>
      <c r="Z38" s="130">
        <f t="shared" si="27"/>
        <v>18660.00000000008</v>
      </c>
      <c r="AA38" s="130">
        <f t="shared" si="27"/>
        <v>80500</v>
      </c>
      <c r="AB38" s="130">
        <f t="shared" si="27"/>
        <v>292100.00000000035</v>
      </c>
      <c r="AC38" s="130">
        <f t="shared" si="27"/>
        <v>129530.00000000001</v>
      </c>
      <c r="AD38" s="130">
        <f t="shared" si="27"/>
        <v>195800</v>
      </c>
      <c r="AE38" s="130">
        <f t="shared" si="27"/>
        <v>540278</v>
      </c>
      <c r="AF38" s="130">
        <f t="shared" si="27"/>
        <v>1722.0000000000014</v>
      </c>
      <c r="AG38" s="130">
        <f t="shared" si="27"/>
        <v>2208321.9999999991</v>
      </c>
      <c r="AH38" s="130">
        <f t="shared" si="27"/>
        <v>129899.99999999962</v>
      </c>
      <c r="AI38" s="130">
        <f t="shared" si="27"/>
        <v>210090.48999999993</v>
      </c>
      <c r="AJ38" s="130">
        <f t="shared" si="27"/>
        <v>755890.49</v>
      </c>
      <c r="AK38" s="130">
        <f t="shared" ref="AK38:BU38" si="28">SUM(AK7:AK37)</f>
        <v>1095880.9799999995</v>
      </c>
      <c r="AL38" s="130">
        <f t="shared" si="28"/>
        <v>929890.48999999976</v>
      </c>
      <c r="AM38" s="130">
        <f t="shared" si="28"/>
        <v>324090.49000000005</v>
      </c>
      <c r="AN38" s="130">
        <f t="shared" si="28"/>
        <v>21050.000000000069</v>
      </c>
      <c r="AO38" s="130">
        <f t="shared" si="28"/>
        <v>1275030.9800000002</v>
      </c>
      <c r="AP38" s="130">
        <f t="shared" si="28"/>
        <v>782200</v>
      </c>
      <c r="AQ38" s="130">
        <f t="shared" si="28"/>
        <v>211539.99999999977</v>
      </c>
      <c r="AR38" s="130">
        <f t="shared" si="28"/>
        <v>188700.00000000049</v>
      </c>
      <c r="AS38" s="130">
        <f t="shared" si="28"/>
        <v>1182440.0000000005</v>
      </c>
      <c r="AT38" s="130">
        <f t="shared" si="28"/>
        <v>497125.49</v>
      </c>
      <c r="AU38" s="130">
        <f t="shared" si="28"/>
        <v>447199.99999999889</v>
      </c>
      <c r="AV38" s="130">
        <f t="shared" si="28"/>
        <v>267490.49000000005</v>
      </c>
      <c r="AW38" s="130">
        <f t="shared" si="28"/>
        <v>342037.07572807401</v>
      </c>
      <c r="AX38" s="130">
        <f t="shared" si="28"/>
        <v>50645.000000000007</v>
      </c>
      <c r="AY38" s="130">
        <f>SUM(AY7:AY36)</f>
        <v>1307073.0557280732</v>
      </c>
      <c r="AZ38" s="130">
        <f t="shared" si="28"/>
        <v>11278.539999999979</v>
      </c>
      <c r="BA38" s="130">
        <f t="shared" si="28"/>
        <v>474213.53999999957</v>
      </c>
      <c r="BB38" s="130">
        <f t="shared" si="28"/>
        <v>361366.95427192596</v>
      </c>
      <c r="BC38" s="130">
        <f t="shared" si="28"/>
        <v>8044.9999999998636</v>
      </c>
      <c r="BD38" s="130">
        <f>SUM(BD7:BD36)</f>
        <v>1152329.034271925</v>
      </c>
      <c r="BE38" s="130">
        <f t="shared" si="28"/>
        <v>7770</v>
      </c>
      <c r="BF38" s="130">
        <f t="shared" si="28"/>
        <v>23760</v>
      </c>
      <c r="BG38" s="130">
        <f t="shared" si="28"/>
        <v>31530</v>
      </c>
      <c r="BH38" s="130">
        <f t="shared" si="28"/>
        <v>523900</v>
      </c>
      <c r="BI38" s="130">
        <f t="shared" si="28"/>
        <v>0</v>
      </c>
      <c r="BJ38" s="130">
        <f t="shared" si="28"/>
        <v>0</v>
      </c>
      <c r="BK38" s="130">
        <f t="shared" si="28"/>
        <v>0</v>
      </c>
      <c r="BL38" s="130">
        <f t="shared" si="28"/>
        <v>306251.80000000069</v>
      </c>
      <c r="BM38" s="130">
        <f t="shared" si="28"/>
        <v>257999.79999999917</v>
      </c>
      <c r="BN38" s="130">
        <f t="shared" si="28"/>
        <v>0</v>
      </c>
      <c r="BO38" s="130">
        <f t="shared" si="28"/>
        <v>640738.40000000061</v>
      </c>
      <c r="BP38" s="130">
        <f t="shared" si="28"/>
        <v>8980</v>
      </c>
      <c r="BQ38" s="130">
        <f t="shared" si="28"/>
        <v>0</v>
      </c>
      <c r="BR38" s="130">
        <f t="shared" si="28"/>
        <v>0</v>
      </c>
      <c r="BS38" s="130">
        <f t="shared" si="28"/>
        <v>0</v>
      </c>
      <c r="BT38" s="130">
        <f t="shared" si="28"/>
        <v>0</v>
      </c>
      <c r="BU38" s="130">
        <f t="shared" si="28"/>
        <v>1715000</v>
      </c>
      <c r="BV38" s="164"/>
      <c r="BX38" s="130">
        <f t="shared" ref="BX38:CD38" si="29">SUM(BX7:BX37)</f>
        <v>2748599.9999999995</v>
      </c>
      <c r="BY38" s="130">
        <f t="shared" si="29"/>
        <v>0</v>
      </c>
      <c r="BZ38" s="130">
        <f t="shared" si="29"/>
        <v>764314.34400000004</v>
      </c>
      <c r="CA38" s="130">
        <f t="shared" si="29"/>
        <v>564714.34400000004</v>
      </c>
      <c r="CB38" s="130">
        <f t="shared" si="29"/>
        <v>467994.34399999981</v>
      </c>
      <c r="CC38" s="130">
        <f t="shared" si="29"/>
        <v>409576.99999999994</v>
      </c>
      <c r="CD38" s="130">
        <f t="shared" si="29"/>
        <v>542000</v>
      </c>
    </row>
    <row r="39" spans="1:85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5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</row>
    <row r="41" spans="1:85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BI41" s="220" t="s">
        <v>1</v>
      </c>
      <c r="BJ41" s="416" t="s">
        <v>307</v>
      </c>
      <c r="BK41" s="416"/>
      <c r="BL41" s="416"/>
      <c r="BM41" s="416"/>
      <c r="BN41" s="416"/>
      <c r="BO41" s="416"/>
      <c r="BP41" s="416"/>
      <c r="BR41" s="91"/>
      <c r="BV41" s="91"/>
      <c r="BW41" t="s">
        <v>281</v>
      </c>
      <c r="BX41" s="91">
        <f>BX38</f>
        <v>2748599.9999999995</v>
      </c>
      <c r="CF41" t="s">
        <v>336</v>
      </c>
      <c r="CG41">
        <f>$Y$38</f>
        <v>523900</v>
      </c>
    </row>
    <row r="42" spans="1:85" x14ac:dyDescent="0.25">
      <c r="B42" t="s">
        <v>106</v>
      </c>
      <c r="C42" s="24">
        <f>B38</f>
        <v>11146880.000000007</v>
      </c>
      <c r="D42" s="91"/>
      <c r="N42" s="132"/>
      <c r="O42" s="132"/>
      <c r="P42" s="132"/>
      <c r="Q42" s="132"/>
      <c r="R42" s="132"/>
      <c r="S42" s="132"/>
      <c r="T42" s="132"/>
      <c r="U42" s="132"/>
      <c r="V42" s="497">
        <v>45778</v>
      </c>
      <c r="W42" s="497"/>
      <c r="X42" s="497"/>
      <c r="Y42" s="497"/>
      <c r="Z42" s="497"/>
      <c r="AA42" s="497"/>
      <c r="AB42" s="497"/>
      <c r="AC42" s="497"/>
      <c r="AD42" s="497"/>
      <c r="AK42" s="3"/>
      <c r="AL42" s="3"/>
      <c r="AM42" s="3"/>
      <c r="AN42" s="3"/>
      <c r="AO42" s="3"/>
      <c r="AP42" s="3"/>
      <c r="AQ42" s="3"/>
      <c r="AR42" s="3"/>
      <c r="BI42" s="207">
        <v>1</v>
      </c>
      <c r="BJ42" s="510" t="s">
        <v>305</v>
      </c>
      <c r="BK42" s="510"/>
      <c r="BL42" s="510"/>
      <c r="BM42" s="510"/>
      <c r="BN42" s="510"/>
      <c r="BO42" s="510"/>
      <c r="BP42" s="510"/>
      <c r="BW42" t="s">
        <v>258</v>
      </c>
      <c r="BX42" s="91">
        <f>BY38</f>
        <v>0</v>
      </c>
      <c r="CF42" t="s">
        <v>17</v>
      </c>
      <c r="CG42">
        <f>$AS$38</f>
        <v>1182440.0000000005</v>
      </c>
    </row>
    <row r="43" spans="1:85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406" t="s">
        <v>158</v>
      </c>
      <c r="W43" s="406"/>
      <c r="X43" s="406"/>
      <c r="Y43" s="406"/>
      <c r="Z43" s="406"/>
      <c r="AA43" s="406" t="s">
        <v>159</v>
      </c>
      <c r="AB43" s="406"/>
      <c r="AC43" s="406"/>
      <c r="AD43" s="406"/>
      <c r="AK43" s="169"/>
      <c r="AL43" s="134"/>
      <c r="AM43" s="134"/>
      <c r="AN43" s="170"/>
      <c r="AO43" s="169"/>
      <c r="AP43" s="134"/>
      <c r="AQ43" s="134"/>
      <c r="AR43" s="134"/>
      <c r="BI43" s="207">
        <v>2</v>
      </c>
      <c r="BJ43" s="510" t="s">
        <v>305</v>
      </c>
      <c r="BK43" s="510"/>
      <c r="BL43" s="510"/>
      <c r="BM43" s="510"/>
      <c r="BN43" s="510"/>
      <c r="BO43" s="510"/>
      <c r="BP43" s="510"/>
      <c r="BW43" t="s">
        <v>204</v>
      </c>
      <c r="BX43" s="91">
        <f>BZ38</f>
        <v>764314.34400000004</v>
      </c>
      <c r="CF43" t="s">
        <v>19</v>
      </c>
      <c r="CG43">
        <f>$BG$38</f>
        <v>31530</v>
      </c>
    </row>
    <row r="44" spans="1:85" x14ac:dyDescent="0.25">
      <c r="B44" t="s">
        <v>120</v>
      </c>
      <c r="C44" s="24">
        <f>N38</f>
        <v>1535279.2199999988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I44" s="207">
        <v>3</v>
      </c>
      <c r="BJ44" s="510" t="s">
        <v>320</v>
      </c>
      <c r="BK44" s="510"/>
      <c r="BL44" s="510"/>
      <c r="BM44" s="510"/>
      <c r="BN44" s="510"/>
      <c r="BO44" s="510"/>
      <c r="BP44" s="510"/>
      <c r="BW44" t="s">
        <v>260</v>
      </c>
      <c r="BX44" s="91">
        <f>CA38</f>
        <v>564714.34400000004</v>
      </c>
      <c r="CG44">
        <f>SUM(CG41:CG43)</f>
        <v>1737870.0000000005</v>
      </c>
    </row>
    <row r="45" spans="1:85" x14ac:dyDescent="0.25">
      <c r="B45" t="s">
        <v>157</v>
      </c>
      <c r="C45" s="24">
        <f>V38</f>
        <v>1291504.5699999998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I45" s="207">
        <v>4</v>
      </c>
      <c r="BJ45" s="510" t="s">
        <v>324</v>
      </c>
      <c r="BK45" s="510"/>
      <c r="BL45" s="510"/>
      <c r="BM45" s="510"/>
      <c r="BN45" s="510"/>
      <c r="BO45" s="510"/>
      <c r="BP45" s="510"/>
      <c r="BW45" t="s">
        <v>261</v>
      </c>
      <c r="BX45" s="91">
        <f>CB38</f>
        <v>467994.34399999981</v>
      </c>
      <c r="CF45" t="s">
        <v>337</v>
      </c>
      <c r="CG45">
        <f>SUM($BH$38:$BK$38)</f>
        <v>523900</v>
      </c>
    </row>
    <row r="46" spans="1:85" x14ac:dyDescent="0.25">
      <c r="B46" t="s">
        <v>160</v>
      </c>
      <c r="C46" s="24">
        <f>Y38</f>
        <v>523900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I46" s="207">
        <v>5</v>
      </c>
      <c r="BJ46" s="510" t="s">
        <v>323</v>
      </c>
      <c r="BK46" s="510"/>
      <c r="BL46" s="510"/>
      <c r="BM46" s="510"/>
      <c r="BN46" s="510"/>
      <c r="BO46" s="510"/>
      <c r="BP46" s="510"/>
      <c r="BW46" t="s">
        <v>318</v>
      </c>
      <c r="BX46" s="91">
        <f>CC38</f>
        <v>409576.99999999994</v>
      </c>
      <c r="CF46" t="s">
        <v>333</v>
      </c>
      <c r="CG46">
        <f>SUM($BL$38:$BO$38)</f>
        <v>1204990.0000000005</v>
      </c>
    </row>
    <row r="47" spans="1:85" x14ac:dyDescent="0.25">
      <c r="B47" t="s">
        <v>128</v>
      </c>
      <c r="C47" s="24">
        <f>AK38</f>
        <v>1095880.9799999995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I47" s="207">
        <v>6</v>
      </c>
      <c r="BJ47" s="510" t="s">
        <v>322</v>
      </c>
      <c r="BK47" s="510"/>
      <c r="BL47" s="510"/>
      <c r="BM47" s="510"/>
      <c r="BN47" s="510"/>
      <c r="BO47" s="510"/>
      <c r="BP47" s="510"/>
      <c r="BW47" t="s">
        <v>282</v>
      </c>
      <c r="BX47" s="91">
        <f>CD38</f>
        <v>542000</v>
      </c>
      <c r="CF47" t="s">
        <v>331</v>
      </c>
      <c r="CG47">
        <f>SUM($BP$38:$BS$38)</f>
        <v>8980</v>
      </c>
    </row>
    <row r="48" spans="1:85" x14ac:dyDescent="0.25">
      <c r="B48" t="s">
        <v>130</v>
      </c>
      <c r="C48" s="24">
        <f>AO38</f>
        <v>1275030.9800000002</v>
      </c>
      <c r="D48" s="91"/>
      <c r="N48" s="132"/>
      <c r="O48" s="132"/>
      <c r="P48" s="132"/>
      <c r="Q48" s="132"/>
      <c r="R48" s="132"/>
      <c r="S48" s="132"/>
      <c r="T48" s="132"/>
      <c r="U48" s="132"/>
      <c r="V48" s="406" t="s">
        <v>178</v>
      </c>
      <c r="W48" s="406"/>
      <c r="X48" s="406"/>
      <c r="Y48" s="406"/>
      <c r="Z48" s="406"/>
      <c r="AA48" s="406" t="s">
        <v>161</v>
      </c>
      <c r="AB48" s="406"/>
      <c r="AC48" s="406" t="s">
        <v>162</v>
      </c>
      <c r="AD48" s="406"/>
      <c r="BI48" s="207">
        <v>7</v>
      </c>
      <c r="BJ48" s="510" t="s">
        <v>320</v>
      </c>
      <c r="BK48" s="510"/>
      <c r="BL48" s="510"/>
      <c r="BM48" s="510"/>
      <c r="BN48" s="510"/>
      <c r="BO48" s="510"/>
      <c r="BP48" s="510"/>
      <c r="BX48" s="91"/>
      <c r="CG48">
        <f>SUM(CG45:CG47)</f>
        <v>1737870.0000000005</v>
      </c>
    </row>
    <row r="49" spans="2:76" x14ac:dyDescent="0.25">
      <c r="B49" t="s">
        <v>132</v>
      </c>
      <c r="C49" s="24">
        <f>AY38</f>
        <v>1307073.0557280732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I49" s="207">
        <v>8</v>
      </c>
      <c r="BJ49" s="510" t="s">
        <v>321</v>
      </c>
      <c r="BK49" s="510"/>
      <c r="BL49" s="510"/>
      <c r="BM49" s="510"/>
      <c r="BN49" s="510"/>
      <c r="BO49" s="510"/>
      <c r="BP49" s="510"/>
      <c r="BW49" t="s">
        <v>98</v>
      </c>
      <c r="BX49" s="91">
        <f>BX41+BX42-BX44-BX45-BX46-BX47-BX43</f>
        <v>-3.2000000355765224E-2</v>
      </c>
    </row>
    <row r="50" spans="2:76" x14ac:dyDescent="0.25">
      <c r="B50" t="s">
        <v>133</v>
      </c>
      <c r="C50" s="69">
        <f>BD38</f>
        <v>1152329.034271925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I50" s="207">
        <v>9</v>
      </c>
      <c r="BJ50" s="510" t="s">
        <v>325</v>
      </c>
      <c r="BK50" s="510"/>
      <c r="BL50" s="510"/>
      <c r="BM50" s="510"/>
      <c r="BN50" s="510"/>
      <c r="BO50" s="510"/>
      <c r="BP50" s="510"/>
    </row>
    <row r="51" spans="2:76" x14ac:dyDescent="0.25">
      <c r="B51" t="s">
        <v>131</v>
      </c>
      <c r="C51" s="24">
        <f>AS38</f>
        <v>1182440.0000000005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I51" s="207">
        <v>10</v>
      </c>
      <c r="BJ51" s="510" t="s">
        <v>324</v>
      </c>
      <c r="BK51" s="510"/>
      <c r="BL51" s="510"/>
      <c r="BM51" s="510"/>
      <c r="BN51" s="510"/>
      <c r="BO51" s="510"/>
      <c r="BP51" s="510"/>
    </row>
    <row r="52" spans="2:76" x14ac:dyDescent="0.25">
      <c r="B52" t="s">
        <v>19</v>
      </c>
      <c r="C52" s="24">
        <f>BG38</f>
        <v>31530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I52" s="207">
        <v>11</v>
      </c>
      <c r="BJ52" s="510" t="s">
        <v>326</v>
      </c>
      <c r="BK52" s="510"/>
      <c r="BL52" s="510"/>
      <c r="BM52" s="510"/>
      <c r="BN52" s="510"/>
      <c r="BO52" s="510"/>
      <c r="BP52" s="510"/>
    </row>
    <row r="53" spans="2:76" x14ac:dyDescent="0.25">
      <c r="B53" t="s">
        <v>163</v>
      </c>
      <c r="C53" s="24">
        <f>AA38</f>
        <v>80500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I53" s="207">
        <v>12</v>
      </c>
      <c r="BJ53" s="510" t="s">
        <v>327</v>
      </c>
      <c r="BK53" s="510"/>
      <c r="BL53" s="510"/>
      <c r="BM53" s="510"/>
      <c r="BN53" s="510"/>
      <c r="BO53" s="510"/>
      <c r="BP53" s="510"/>
    </row>
    <row r="54" spans="2:76" x14ac:dyDescent="0.25">
      <c r="B54" t="s">
        <v>6</v>
      </c>
      <c r="C54" s="24">
        <f>AB38</f>
        <v>292100.00000000035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I54" s="207">
        <v>13</v>
      </c>
      <c r="BJ54" s="510" t="s">
        <v>327</v>
      </c>
      <c r="BK54" s="510"/>
      <c r="BL54" s="510"/>
      <c r="BM54" s="510"/>
      <c r="BN54" s="510"/>
      <c r="BO54" s="510"/>
      <c r="BP54" s="510"/>
    </row>
    <row r="55" spans="2:76" x14ac:dyDescent="0.25">
      <c r="B55" t="s">
        <v>164</v>
      </c>
      <c r="C55" s="24">
        <f>Z38</f>
        <v>18660.00000000008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I55" s="207">
        <v>14</v>
      </c>
      <c r="BJ55" s="510" t="s">
        <v>327</v>
      </c>
      <c r="BK55" s="510"/>
      <c r="BL55" s="510"/>
      <c r="BM55" s="510"/>
      <c r="BN55" s="510"/>
      <c r="BO55" s="510"/>
      <c r="BP55" s="510"/>
    </row>
    <row r="56" spans="2:76" x14ac:dyDescent="0.25">
      <c r="B56" t="s">
        <v>165</v>
      </c>
      <c r="C56" s="24">
        <f>AC38</f>
        <v>129530.00000000001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I56" s="207">
        <v>15</v>
      </c>
      <c r="BJ56" s="510" t="s">
        <v>327</v>
      </c>
      <c r="BK56" s="510"/>
      <c r="BL56" s="510"/>
      <c r="BM56" s="510"/>
      <c r="BN56" s="510"/>
      <c r="BO56" s="510"/>
      <c r="BP56" s="510"/>
    </row>
    <row r="57" spans="2:76" x14ac:dyDescent="0.25">
      <c r="B57" t="s">
        <v>181</v>
      </c>
      <c r="C57" s="24">
        <f>AD38</f>
        <v>195800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I57" s="207">
        <v>16</v>
      </c>
      <c r="BJ57" s="510" t="s">
        <v>327</v>
      </c>
      <c r="BK57" s="510"/>
      <c r="BL57" s="510"/>
      <c r="BM57" s="510"/>
      <c r="BN57" s="510"/>
      <c r="BO57" s="510"/>
      <c r="BP57" s="510"/>
    </row>
    <row r="58" spans="2:76" x14ac:dyDescent="0.25">
      <c r="B58" t="s">
        <v>166</v>
      </c>
      <c r="C58" s="24">
        <f>AE38</f>
        <v>540278</v>
      </c>
      <c r="D58" s="91"/>
      <c r="N58" s="91"/>
      <c r="O58" s="91"/>
      <c r="P58" s="91"/>
      <c r="Q58" s="91"/>
      <c r="R58" s="91"/>
      <c r="S58" s="91"/>
      <c r="T58" s="91"/>
      <c r="U58" s="91"/>
      <c r="BI58" s="207">
        <v>17</v>
      </c>
      <c r="BJ58" s="510" t="s">
        <v>327</v>
      </c>
      <c r="BK58" s="510"/>
      <c r="BL58" s="510"/>
      <c r="BM58" s="510"/>
      <c r="BN58" s="510"/>
      <c r="BO58" s="510"/>
      <c r="BP58" s="510"/>
    </row>
    <row r="59" spans="2:76" x14ac:dyDescent="0.25">
      <c r="B59" t="s">
        <v>250</v>
      </c>
      <c r="C59" s="24">
        <f>AF38</f>
        <v>1722.0000000000014</v>
      </c>
      <c r="D59" s="91"/>
      <c r="N59" s="91"/>
      <c r="O59" s="91"/>
      <c r="P59" s="91"/>
      <c r="Q59" s="91"/>
      <c r="R59" s="91"/>
      <c r="S59" s="91"/>
      <c r="T59" s="91"/>
      <c r="U59" s="91"/>
      <c r="BI59" s="207">
        <v>18</v>
      </c>
      <c r="BJ59" s="510" t="s">
        <v>327</v>
      </c>
      <c r="BK59" s="510"/>
      <c r="BL59" s="510"/>
      <c r="BM59" s="510"/>
      <c r="BN59" s="510"/>
      <c r="BO59" s="510"/>
      <c r="BP59" s="510"/>
    </row>
    <row r="60" spans="2:76" x14ac:dyDescent="0.25">
      <c r="B60" t="s">
        <v>251</v>
      </c>
      <c r="C60" s="24">
        <f>AG38</f>
        <v>2208321.9999999991</v>
      </c>
      <c r="D60" s="91"/>
      <c r="N60" s="91"/>
      <c r="O60" s="91"/>
      <c r="P60" s="91"/>
      <c r="Q60" s="91"/>
      <c r="R60" s="91"/>
      <c r="S60" s="91"/>
      <c r="T60" s="91"/>
      <c r="U60" s="91"/>
      <c r="BI60" s="207">
        <v>19</v>
      </c>
      <c r="BJ60" s="510" t="s">
        <v>327</v>
      </c>
      <c r="BK60" s="510"/>
      <c r="BL60" s="510"/>
      <c r="BM60" s="510"/>
      <c r="BN60" s="510"/>
      <c r="BO60" s="510"/>
      <c r="BP60" s="510"/>
    </row>
    <row r="61" spans="2:76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I61" s="207">
        <v>20</v>
      </c>
      <c r="BJ61" s="510" t="s">
        <v>327</v>
      </c>
      <c r="BK61" s="510"/>
      <c r="BL61" s="510"/>
      <c r="BM61" s="510"/>
      <c r="BN61" s="510"/>
      <c r="BO61" s="510"/>
      <c r="BP61" s="510"/>
    </row>
    <row r="62" spans="2:76" x14ac:dyDescent="0.25">
      <c r="B62" t="s">
        <v>192</v>
      </c>
      <c r="C62" s="24">
        <f>BU38</f>
        <v>1715000</v>
      </c>
      <c r="D62" s="91"/>
      <c r="N62" s="3"/>
      <c r="O62" s="3"/>
      <c r="P62" s="3"/>
      <c r="Q62" s="3"/>
      <c r="R62" s="3"/>
      <c r="S62" s="3"/>
      <c r="T62" s="3"/>
      <c r="U62" s="3"/>
      <c r="BI62" s="207">
        <v>21</v>
      </c>
      <c r="BJ62" s="510" t="s">
        <v>328</v>
      </c>
      <c r="BK62" s="510"/>
      <c r="BL62" s="510"/>
      <c r="BM62" s="510"/>
      <c r="BN62" s="510"/>
      <c r="BO62" s="510"/>
      <c r="BP62" s="510"/>
    </row>
    <row r="63" spans="2:76" x14ac:dyDescent="0.25">
      <c r="B63" t="s">
        <v>167</v>
      </c>
      <c r="C63" s="24">
        <f>C42-C44-C45-C46-C47-C48-C49-C50-C51-C52-C53-C54-C55-C56-C57-C58-C61+C62-C59-C60</f>
        <v>0.16000001039355993</v>
      </c>
      <c r="D63" s="3"/>
      <c r="N63" s="3"/>
      <c r="O63" s="3"/>
      <c r="P63" s="3"/>
      <c r="Q63" s="3"/>
      <c r="R63" s="3"/>
      <c r="S63" s="3"/>
      <c r="T63" s="3"/>
      <c r="U63" s="3"/>
      <c r="BI63" s="207">
        <v>22</v>
      </c>
      <c r="BJ63" s="510" t="s">
        <v>334</v>
      </c>
      <c r="BK63" s="510"/>
      <c r="BL63" s="510"/>
      <c r="BM63" s="510"/>
      <c r="BN63" s="510"/>
      <c r="BO63" s="510"/>
      <c r="BP63" s="510"/>
    </row>
    <row r="64" spans="2:76" x14ac:dyDescent="0.25">
      <c r="BI64" s="207">
        <v>23</v>
      </c>
      <c r="BJ64" s="510" t="s">
        <v>338</v>
      </c>
      <c r="BK64" s="510"/>
      <c r="BL64" s="510"/>
      <c r="BM64" s="510"/>
      <c r="BN64" s="510"/>
      <c r="BO64" s="510"/>
      <c r="BP64" s="510"/>
    </row>
    <row r="65" spans="2:68" x14ac:dyDescent="0.25">
      <c r="BI65" s="207">
        <v>24</v>
      </c>
      <c r="BJ65" s="510" t="s">
        <v>338</v>
      </c>
      <c r="BK65" s="510"/>
      <c r="BL65" s="510"/>
      <c r="BM65" s="510"/>
      <c r="BN65" s="510"/>
      <c r="BO65" s="510"/>
      <c r="BP65" s="510"/>
    </row>
    <row r="66" spans="2:68" x14ac:dyDescent="0.25">
      <c r="B66" s="3"/>
      <c r="C66" s="3"/>
      <c r="D66" s="151"/>
      <c r="BI66" s="207">
        <v>25</v>
      </c>
      <c r="BJ66" s="510" t="s">
        <v>334</v>
      </c>
      <c r="BK66" s="510"/>
      <c r="BL66" s="510"/>
      <c r="BM66" s="510"/>
      <c r="BN66" s="510"/>
      <c r="BO66" s="510"/>
      <c r="BP66" s="510"/>
    </row>
    <row r="67" spans="2:68" x14ac:dyDescent="0.25">
      <c r="BI67" s="207">
        <v>26</v>
      </c>
      <c r="BJ67" s="510" t="s">
        <v>339</v>
      </c>
      <c r="BK67" s="510"/>
      <c r="BL67" s="510"/>
      <c r="BM67" s="510"/>
      <c r="BN67" s="510"/>
      <c r="BO67" s="510"/>
      <c r="BP67" s="510"/>
    </row>
    <row r="68" spans="2:68" x14ac:dyDescent="0.25">
      <c r="BI68" s="207">
        <v>27</v>
      </c>
      <c r="BJ68" s="510" t="s">
        <v>334</v>
      </c>
      <c r="BK68" s="510"/>
      <c r="BL68" s="510"/>
      <c r="BM68" s="510"/>
      <c r="BN68" s="510"/>
      <c r="BO68" s="510"/>
      <c r="BP68" s="510"/>
    </row>
    <row r="69" spans="2:68" x14ac:dyDescent="0.25">
      <c r="BI69" s="207">
        <v>28</v>
      </c>
      <c r="BJ69" s="510" t="s">
        <v>340</v>
      </c>
      <c r="BK69" s="510"/>
      <c r="BL69" s="510"/>
      <c r="BM69" s="510"/>
      <c r="BN69" s="510"/>
      <c r="BO69" s="510"/>
      <c r="BP69" s="510"/>
    </row>
    <row r="70" spans="2:68" x14ac:dyDescent="0.25">
      <c r="BI70" s="207">
        <v>29</v>
      </c>
      <c r="BJ70" s="510" t="s">
        <v>341</v>
      </c>
      <c r="BK70" s="510"/>
      <c r="BL70" s="510"/>
      <c r="BM70" s="510"/>
      <c r="BN70" s="510"/>
      <c r="BO70" s="510"/>
      <c r="BP70" s="510"/>
    </row>
    <row r="71" spans="2:68" x14ac:dyDescent="0.25">
      <c r="BI71" s="207">
        <v>30</v>
      </c>
      <c r="BJ71" s="510" t="s">
        <v>344</v>
      </c>
      <c r="BK71" s="510"/>
      <c r="BL71" s="510"/>
      <c r="BM71" s="510"/>
      <c r="BN71" s="510"/>
      <c r="BO71" s="510"/>
      <c r="BP71" s="510"/>
    </row>
  </sheetData>
  <customSheetViews>
    <customSheetView guid="{48545DB9-4D9D-4699-ACEC-DA6E2D3586A8}" scale="85" fitToPage="1" hiddenRows="1" hiddenColumns="1">
      <pane xSplit="1" ySplit="6" topLeftCell="N25" activePane="bottomRight" state="frozen"/>
      <selection pane="bottomRight" activeCell="B67" sqref="B67"/>
      <pageMargins left="0.11811023622047245" right="0" top="0.74803149606299213" bottom="0.35433070866141736" header="0.31496062992125984" footer="0.31496062992125984"/>
      <printOptions horizontalCentered="1"/>
      <pageSetup paperSize="9" scale="43" orientation="landscape" r:id="rId1"/>
    </customSheetView>
    <customSheetView guid="{32ABFE17-599B-4D0B-A1DB-D95B181877FC}" scale="85" fitToPage="1" hiddenRows="1" hiddenColumns="1">
      <pane xSplit="1" ySplit="6" topLeftCell="N25" activePane="bottomRight" state="frozen"/>
      <selection pane="bottomRight" activeCell="B67" sqref="B67"/>
      <pageMargins left="0.11811023622047245" right="0" top="0.74803149606299213" bottom="0.35433070866141736" header="0.31496062992125984" footer="0.31496062992125984"/>
      <printOptions horizontalCentered="1"/>
      <pageSetup paperSize="9" scale="43" orientation="landscape" r:id="rId2"/>
    </customSheetView>
  </customSheetViews>
  <mergeCells count="81">
    <mergeCell ref="BJ41:BP41"/>
    <mergeCell ref="BJ67:BP67"/>
    <mergeCell ref="BJ68:BP68"/>
    <mergeCell ref="BJ69:BP69"/>
    <mergeCell ref="BJ70:BP70"/>
    <mergeCell ref="BJ57:BP57"/>
    <mergeCell ref="BJ58:BP58"/>
    <mergeCell ref="BJ59:BP59"/>
    <mergeCell ref="BJ60:BP60"/>
    <mergeCell ref="BJ61:BP61"/>
    <mergeCell ref="BJ52:BP52"/>
    <mergeCell ref="BJ53:BP53"/>
    <mergeCell ref="BJ54:BP54"/>
    <mergeCell ref="BJ55:BP55"/>
    <mergeCell ref="BJ56:BP56"/>
    <mergeCell ref="BJ47:BP47"/>
    <mergeCell ref="BJ71:BP71"/>
    <mergeCell ref="BJ62:BP62"/>
    <mergeCell ref="BJ63:BP63"/>
    <mergeCell ref="BJ64:BP64"/>
    <mergeCell ref="BJ65:BP65"/>
    <mergeCell ref="BJ66:BP66"/>
    <mergeCell ref="BJ48:BP48"/>
    <mergeCell ref="BJ49:BP49"/>
    <mergeCell ref="BJ50:BP50"/>
    <mergeCell ref="BJ51:BP51"/>
    <mergeCell ref="BJ42:BP42"/>
    <mergeCell ref="BJ43:BP43"/>
    <mergeCell ref="BJ44:BP44"/>
    <mergeCell ref="BJ45:BP45"/>
    <mergeCell ref="BJ46:BP46"/>
    <mergeCell ref="V42:AD42"/>
    <mergeCell ref="V43:Z43"/>
    <mergeCell ref="AA43:AD43"/>
    <mergeCell ref="V48:Z48"/>
    <mergeCell ref="AA48:AB48"/>
    <mergeCell ref="AC48:AD48"/>
    <mergeCell ref="BZ4:BZ6"/>
    <mergeCell ref="CA4:CA6"/>
    <mergeCell ref="CB4:CB6"/>
    <mergeCell ref="CD4:CD6"/>
    <mergeCell ref="D5:I5"/>
    <mergeCell ref="J5:K5"/>
    <mergeCell ref="L5:M5"/>
    <mergeCell ref="BL4:BO5"/>
    <mergeCell ref="BP4:BS5"/>
    <mergeCell ref="BT4:BT6"/>
    <mergeCell ref="BU4:BU6"/>
    <mergeCell ref="BX4:BX6"/>
    <mergeCell ref="BY4:BY6"/>
    <mergeCell ref="AS4:AS6"/>
    <mergeCell ref="AT4:AW4"/>
    <mergeCell ref="AY4:AY6"/>
    <mergeCell ref="AE4:AE6"/>
    <mergeCell ref="AZ4:BB4"/>
    <mergeCell ref="BD4:BD6"/>
    <mergeCell ref="BH4:BK5"/>
    <mergeCell ref="AG4:AG6"/>
    <mergeCell ref="AH4:AJ4"/>
    <mergeCell ref="AK4:AK6"/>
    <mergeCell ref="AL4:AN4"/>
    <mergeCell ref="AO4:AO6"/>
    <mergeCell ref="AP4:AR4"/>
    <mergeCell ref="BG4:BG6"/>
    <mergeCell ref="BE4:BF4"/>
    <mergeCell ref="CC4:CC6"/>
    <mergeCell ref="AF4:AF6"/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A4:AA6"/>
    <mergeCell ref="AB4:AB6"/>
    <mergeCell ref="AC4:AC6"/>
    <mergeCell ref="AD4:AD6"/>
  </mergeCells>
  <printOptions horizontalCentered="1"/>
  <pageMargins left="0.11811023622047245" right="0" top="0.74803149606299213" bottom="0.35433070866141736" header="0.31496062992125984" footer="0.31496062992125984"/>
  <pageSetup paperSize="9" scale="43" orientation="landscape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pageSetUpPr fitToPage="1"/>
  </sheetPr>
  <dimension ref="A1:XAU88"/>
  <sheetViews>
    <sheetView zoomScale="85" zoomScaleNormal="85" workbookViewId="0">
      <pane xSplit="1" ySplit="6" topLeftCell="GN7" activePane="bottomRight" state="frozen"/>
      <selection pane="topRight" activeCell="B1" sqref="B1"/>
      <selection pane="bottomLeft" activeCell="A7" sqref="A7"/>
      <selection pane="bottomRight" activeCell="FH18" sqref="FH13:GZ18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5" bestFit="1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5" width="12.28515625" bestFit="1" customWidth="1"/>
    <col min="96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1406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11.5703125" bestFit="1" customWidth="1"/>
    <col min="183" max="183" width="10.42578125" customWidth="1"/>
    <col min="184" max="185" width="10.7109375" bestFit="1" customWidth="1"/>
    <col min="186" max="186" width="8.42578125" customWidth="1"/>
    <col min="187" max="187" width="13.85546875" customWidth="1"/>
    <col min="188" max="188" width="12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4" width="1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2" width="7.42578125" bestFit="1" customWidth="1"/>
    <col min="233" max="233" width="11" bestFit="1" customWidth="1"/>
    <col min="234" max="239" width="11" customWidth="1"/>
    <col min="240" max="240" width="5.5703125" bestFit="1" customWidth="1"/>
    <col min="241" max="241" width="7.28515625" bestFit="1" customWidth="1"/>
    <col min="242" max="242" width="11" bestFit="1" customWidth="1"/>
    <col min="243" max="243" width="24.140625" bestFit="1" customWidth="1"/>
    <col min="244" max="244" width="9.5703125" bestFit="1" customWidth="1"/>
    <col min="245" max="245" width="8.5703125" bestFit="1" customWidth="1"/>
    <col min="246" max="246" width="11" bestFit="1" customWidth="1"/>
    <col min="247" max="248" width="7.42578125" bestFit="1" customWidth="1"/>
    <col min="249" max="249" width="11" bestFit="1" customWidth="1"/>
    <col min="250" max="251" width="8.5703125" bestFit="1" customWidth="1"/>
    <col min="252" max="252" width="11" bestFit="1" customWidth="1"/>
    <col min="253" max="254" width="8.5703125" bestFit="1" customWidth="1"/>
    <col min="255" max="255" width="11" bestFit="1" customWidth="1"/>
    <col min="256" max="257" width="9.5703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8.5703125" bestFit="1" customWidth="1"/>
    <col min="263" max="263" width="7.42578125" bestFit="1" customWidth="1"/>
    <col min="264" max="264" width="11" bestFit="1" customWidth="1"/>
    <col min="265" max="265" width="9.5703125" bestFit="1" customWidth="1"/>
    <col min="266" max="266" width="8.5703125" bestFit="1" customWidth="1"/>
    <col min="267" max="267" width="11" bestFit="1" customWidth="1"/>
    <col min="268" max="268" width="9.5703125" bestFit="1" customWidth="1"/>
    <col min="269" max="269" width="7.42578125" bestFit="1" customWidth="1"/>
    <col min="270" max="270" width="11" bestFit="1" customWidth="1"/>
    <col min="271" max="272" width="8.5703125" bestFit="1" customWidth="1"/>
    <col min="273" max="273" width="11" bestFit="1" customWidth="1"/>
    <col min="274" max="275" width="9.5703125" bestFit="1" customWidth="1"/>
    <col min="276" max="276" width="11" bestFit="1" customWidth="1"/>
    <col min="277" max="277" width="9.5703125" bestFit="1" customWidth="1"/>
    <col min="278" max="278" width="8.5703125" bestFit="1" customWidth="1"/>
    <col min="279" max="279" width="11" bestFit="1" customWidth="1"/>
    <col min="280" max="281" width="8.5703125" bestFit="1" customWidth="1"/>
    <col min="282" max="282" width="11" bestFit="1" customWidth="1"/>
    <col min="283" max="283" width="9.5703125" bestFit="1" customWidth="1"/>
    <col min="284" max="284" width="10.5703125" bestFit="1" customWidth="1"/>
    <col min="285" max="285" width="11" bestFit="1" customWidth="1"/>
    <col min="286" max="286" width="7.42578125" bestFit="1" customWidth="1"/>
    <col min="287" max="287" width="7.28515625" bestFit="1" customWidth="1"/>
    <col min="288" max="288" width="11" bestFit="1" customWidth="1"/>
    <col min="289" max="289" width="8.5703125" bestFit="1" customWidth="1"/>
    <col min="290" max="290" width="7.42578125" bestFit="1" customWidth="1"/>
    <col min="291" max="291" width="11" bestFit="1" customWidth="1"/>
    <col min="292" max="292" width="12.140625" bestFit="1" customWidth="1"/>
    <col min="293" max="293" width="14.42578125" bestFit="1" customWidth="1"/>
    <col min="294" max="294" width="13.28515625" bestFit="1" customWidth="1"/>
    <col min="295" max="295" width="11.5703125" bestFit="1" customWidth="1"/>
    <col min="296" max="296" width="7.7109375" bestFit="1" customWidth="1"/>
    <col min="297" max="298" width="14.42578125" bestFit="1" customWidth="1"/>
    <col min="299" max="299" width="11.5703125" bestFit="1" customWidth="1"/>
    <col min="300" max="300" width="7.7109375" bestFit="1" customWidth="1"/>
    <col min="301" max="301" width="13.5703125" customWidth="1"/>
    <col min="302" max="302" width="15.28515625" customWidth="1"/>
    <col min="303" max="303" width="14.5703125" customWidth="1"/>
    <col min="304" max="304" width="13.28515625" bestFit="1" customWidth="1"/>
    <col min="305" max="305" width="7.7109375" bestFit="1" customWidth="1"/>
    <col min="306" max="306" width="12.7109375" bestFit="1" customWidth="1"/>
    <col min="307" max="307" width="11.7109375" bestFit="1" customWidth="1"/>
    <col min="308" max="308" width="11.5703125" bestFit="1" customWidth="1"/>
    <col min="309" max="309" width="5.28515625" bestFit="1" customWidth="1"/>
    <col min="310" max="310" width="13.28515625" bestFit="1" customWidth="1"/>
    <col min="311" max="311" width="13.5703125" bestFit="1" customWidth="1"/>
    <col min="312" max="312" width="10.5703125" bestFit="1" customWidth="1"/>
    <col min="313" max="313" width="13.28515625" bestFit="1" customWidth="1"/>
    <col min="314" max="314" width="11.5703125" bestFit="1" customWidth="1"/>
    <col min="315" max="315" width="10.5703125" bestFit="1" customWidth="1"/>
    <col min="316" max="316" width="16.140625" bestFit="1" customWidth="1"/>
    <col min="317" max="318" width="11.28515625" bestFit="1" customWidth="1"/>
    <col min="319" max="319" width="13.28515625" bestFit="1" customWidth="1"/>
    <col min="320" max="320" width="7.7109375" bestFit="1" customWidth="1"/>
    <col min="321" max="324" width="9.140625" hidden="1" customWidth="1"/>
    <col min="325" max="325" width="10.42578125" bestFit="1" customWidth="1"/>
    <col min="326" max="326" width="10.5703125" bestFit="1" customWidth="1"/>
    <col min="327" max="327" width="10.42578125" bestFit="1" customWidth="1"/>
    <col min="328" max="328" width="10.5703125" bestFit="1" customWidth="1"/>
    <col min="329" max="329" width="9.5703125" bestFit="1" customWidth="1"/>
    <col min="330" max="330" width="11.5703125" bestFit="1" customWidth="1"/>
    <col min="331" max="331" width="10.42578125" bestFit="1" customWidth="1"/>
    <col min="332" max="332" width="10.85546875" customWidth="1"/>
    <col min="333" max="334" width="9.85546875" bestFit="1" customWidth="1"/>
    <col min="335" max="335" width="13.5703125" bestFit="1" customWidth="1"/>
    <col min="336" max="336" width="7.7109375" bestFit="1" customWidth="1"/>
    <col min="337" max="337" width="13.28515625" bestFit="1" customWidth="1"/>
    <col min="338" max="338" width="11.5703125" bestFit="1" customWidth="1"/>
    <col min="339" max="339" width="10.42578125" bestFit="1" customWidth="1"/>
    <col min="340" max="340" width="7.7109375" bestFit="1" customWidth="1"/>
    <col min="341" max="341" width="11.5703125" bestFit="1" customWidth="1"/>
    <col min="342" max="342" width="10.85546875" bestFit="1" customWidth="1"/>
    <col min="343" max="343" width="13.28515625" bestFit="1" customWidth="1"/>
    <col min="344" max="344" width="10.85546875" bestFit="1" customWidth="1"/>
    <col min="345" max="346" width="7.5703125" bestFit="1" customWidth="1"/>
    <col min="347" max="348" width="10.42578125" bestFit="1" customWidth="1"/>
    <col min="349" max="349" width="11.5703125" bestFit="1" customWidth="1"/>
    <col min="350" max="350" width="5.28515625" bestFit="1" customWidth="1"/>
    <col min="351" max="351" width="10.28515625" bestFit="1" customWidth="1"/>
    <col min="352" max="352" width="10.42578125" bestFit="1" customWidth="1"/>
    <col min="353" max="353" width="11.5703125" bestFit="1" customWidth="1"/>
    <col min="354" max="354" width="5.28515625" bestFit="1" customWidth="1"/>
    <col min="355" max="357" width="11.5703125" bestFit="1" customWidth="1"/>
    <col min="358" max="358" width="5.28515625" bestFit="1" customWidth="1"/>
    <col min="359" max="360" width="10.42578125" bestFit="1" customWidth="1"/>
    <col min="361" max="361" width="11.5703125" bestFit="1" customWidth="1"/>
    <col min="362" max="362" width="5.28515625" bestFit="1" customWidth="1"/>
    <col min="363" max="363" width="14.28515625" bestFit="1" customWidth="1"/>
    <col min="364" max="364" width="13" bestFit="1" customWidth="1"/>
    <col min="365" max="365" width="11.5703125" bestFit="1" customWidth="1"/>
    <col min="366" max="366" width="8.85546875" bestFit="1" customWidth="1"/>
    <col min="367" max="367" width="14.42578125" bestFit="1" customWidth="1"/>
    <col min="368" max="368" width="10.42578125" bestFit="1" customWidth="1"/>
    <col min="369" max="369" width="12.28515625" bestFit="1" customWidth="1"/>
    <col min="370" max="370" width="13.85546875" bestFit="1" customWidth="1"/>
    <col min="371" max="371" width="11.28515625" customWidth="1"/>
    <col min="372" max="372" width="11.5703125" customWidth="1"/>
    <col min="373" max="373" width="13.42578125" bestFit="1" customWidth="1"/>
    <col min="374" max="374" width="10.42578125" customWidth="1"/>
    <col min="375" max="375" width="13.85546875" bestFit="1" customWidth="1"/>
    <col min="376" max="376" width="15.42578125" bestFit="1" customWidth="1"/>
    <col min="377" max="377" width="12.28515625" bestFit="1" customWidth="1"/>
    <col min="378" max="378" width="12.7109375" customWidth="1"/>
    <col min="379" max="379" width="10.7109375" bestFit="1" customWidth="1"/>
    <col min="380" max="380" width="9.85546875" customWidth="1"/>
    <col min="381" max="382" width="10.140625" bestFit="1" customWidth="1"/>
    <col min="383" max="383" width="7.5703125" bestFit="1" customWidth="1"/>
    <col min="384" max="384" width="9.42578125" bestFit="1" customWidth="1"/>
    <col min="385" max="385" width="14.5703125" bestFit="1" customWidth="1"/>
    <col min="386" max="386" width="14.85546875" customWidth="1"/>
    <col min="387" max="387" width="15.140625" bestFit="1" customWidth="1"/>
    <col min="388" max="388" width="12.140625" bestFit="1" customWidth="1"/>
    <col min="389" max="389" width="14.85546875" bestFit="1" customWidth="1"/>
    <col min="390" max="390" width="12.28515625" bestFit="1" customWidth="1"/>
    <col min="391" max="399" width="9.140625" hidden="1" customWidth="1"/>
    <col min="400" max="400" width="5.28515625" bestFit="1" customWidth="1"/>
    <col min="401" max="406" width="11.5703125" bestFit="1" customWidth="1"/>
    <col min="407" max="407" width="11.28515625" bestFit="1" customWidth="1"/>
    <col min="408" max="408" width="10.140625" bestFit="1" customWidth="1"/>
    <col min="409" max="409" width="11.5703125" bestFit="1" customWidth="1"/>
    <col min="410" max="410" width="16.140625" customWidth="1"/>
    <col min="411" max="411" width="13.42578125" customWidth="1"/>
    <col min="412" max="412" width="10.140625" bestFit="1" customWidth="1"/>
    <col min="413" max="413" width="12.85546875" bestFit="1" customWidth="1"/>
    <col min="414" max="414" width="12.28515625" bestFit="1" customWidth="1"/>
    <col min="415" max="415" width="11.28515625" bestFit="1" customWidth="1"/>
    <col min="416" max="416" width="11.5703125" bestFit="1" customWidth="1"/>
    <col min="417" max="417" width="10.85546875" bestFit="1" customWidth="1"/>
    <col min="418" max="418" width="11.28515625" bestFit="1" customWidth="1"/>
    <col min="419" max="419" width="10.140625" bestFit="1" customWidth="1"/>
    <col min="420" max="420" width="13.28515625" bestFit="1" customWidth="1"/>
    <col min="421" max="422" width="12.7109375" bestFit="1" customWidth="1"/>
    <col min="423" max="423" width="11" bestFit="1" customWidth="1"/>
    <col min="424" max="424" width="11.28515625" bestFit="1" customWidth="1"/>
    <col min="425" max="425" width="11.5703125" bestFit="1" customWidth="1"/>
    <col min="426" max="426" width="12.28515625" bestFit="1" customWidth="1"/>
    <col min="427" max="427" width="15.140625" bestFit="1" customWidth="1"/>
    <col min="428" max="428" width="14.42578125" bestFit="1" customWidth="1"/>
    <col min="429" max="429" width="12.28515625" bestFit="1" customWidth="1"/>
    <col min="430" max="430" width="15.140625" bestFit="1" customWidth="1"/>
    <col min="431" max="431" width="14.42578125" bestFit="1" customWidth="1"/>
    <col min="432" max="432" width="12.28515625" bestFit="1" customWidth="1"/>
    <col min="433" max="433" width="14.42578125" bestFit="1" customWidth="1"/>
    <col min="434" max="434" width="11.28515625" bestFit="1" customWidth="1"/>
    <col min="435" max="435" width="12.28515625" bestFit="1" customWidth="1"/>
    <col min="436" max="436" width="13" bestFit="1" customWidth="1"/>
    <col min="437" max="437" width="15.140625" bestFit="1" customWidth="1"/>
    <col min="438" max="438" width="12.28515625" bestFit="1" customWidth="1"/>
    <col min="439" max="439" width="13.85546875" bestFit="1" customWidth="1"/>
    <col min="440" max="440" width="11.28515625" bestFit="1" customWidth="1"/>
    <col min="441" max="441" width="12.28515625" bestFit="1" customWidth="1"/>
    <col min="442" max="442" width="13.85546875" bestFit="1" customWidth="1"/>
    <col min="443" max="444" width="15.140625" bestFit="1" customWidth="1"/>
    <col min="445" max="445" width="12.28515625" bestFit="1" customWidth="1"/>
    <col min="446" max="446" width="5.7109375" bestFit="1" customWidth="1"/>
    <col min="447" max="447" width="8.5703125" bestFit="1" customWidth="1"/>
    <col min="448" max="448" width="5.5703125" bestFit="1" customWidth="1"/>
    <col min="449" max="449" width="14.42578125" bestFit="1" customWidth="1"/>
    <col min="450" max="450" width="11.28515625" bestFit="1" customWidth="1"/>
    <col min="451" max="452" width="12.28515625" bestFit="1" customWidth="1"/>
    <col min="453" max="453" width="11.28515625" bestFit="1" customWidth="1"/>
    <col min="454" max="454" width="13.85546875" bestFit="1" customWidth="1"/>
    <col min="455" max="455" width="12" bestFit="1" customWidth="1"/>
    <col min="456" max="456" width="13.85546875" bestFit="1" customWidth="1"/>
    <col min="457" max="458" width="14.42578125" customWidth="1"/>
    <col min="459" max="459" width="10.140625" bestFit="1" customWidth="1"/>
    <col min="460" max="460" width="12.28515625" bestFit="1" customWidth="1"/>
    <col min="461" max="461" width="7.42578125" bestFit="1" customWidth="1"/>
    <col min="462" max="462" width="8.5703125" bestFit="1" customWidth="1"/>
    <col min="463" max="463" width="11.5703125" bestFit="1" customWidth="1"/>
    <col min="464" max="464" width="13.28515625" bestFit="1" customWidth="1"/>
    <col min="465" max="465" width="13.28515625" customWidth="1"/>
    <col min="466" max="466" width="13.140625" customWidth="1"/>
    <col min="467" max="467" width="12.7109375" bestFit="1" customWidth="1"/>
    <col min="468" max="468" width="13.28515625" bestFit="1" customWidth="1"/>
    <col min="469" max="471" width="13.28515625" customWidth="1"/>
    <col min="472" max="472" width="12.140625" bestFit="1" customWidth="1"/>
    <col min="473" max="473" width="12.7109375" bestFit="1" customWidth="1"/>
    <col min="474" max="474" width="11" customWidth="1"/>
    <col min="475" max="475" width="16.7109375" customWidth="1"/>
    <col min="476" max="476" width="17" customWidth="1"/>
    <col min="477" max="477" width="10.42578125" bestFit="1" customWidth="1"/>
    <col min="521" max="521" width="3.85546875" customWidth="1"/>
    <col min="522" max="522" width="15.28515625" bestFit="1" customWidth="1"/>
    <col min="523" max="523" width="12.28515625" customWidth="1"/>
    <col min="524" max="524" width="16.28515625" bestFit="1" customWidth="1"/>
    <col min="525" max="525" width="6.42578125" bestFit="1" customWidth="1"/>
    <col min="526" max="526" width="9.28515625" bestFit="1" customWidth="1"/>
    <col min="527" max="527" width="7.5703125" bestFit="1" customWidth="1"/>
    <col min="528" max="528" width="13.28515625" bestFit="1" customWidth="1"/>
    <col min="529" max="529" width="9.28515625" bestFit="1" customWidth="1"/>
    <col min="530" max="530" width="11.5703125" bestFit="1" customWidth="1"/>
    <col min="531" max="531" width="13.28515625" bestFit="1" customWidth="1"/>
    <col min="532" max="532" width="7.140625" bestFit="1" customWidth="1"/>
    <col min="533" max="533" width="12" bestFit="1" customWidth="1"/>
    <col min="534" max="534" width="13.28515625" bestFit="1" customWidth="1"/>
    <col min="535" max="535" width="7" bestFit="1" customWidth="1"/>
    <col min="536" max="536" width="12.7109375" bestFit="1" customWidth="1"/>
    <col min="537" max="537" width="11.5703125" bestFit="1" customWidth="1"/>
    <col min="538" max="538" width="10.5703125" bestFit="1" customWidth="1"/>
    <col min="539" max="540" width="15.7109375" bestFit="1" customWidth="1"/>
    <col min="541" max="541" width="11.5703125" bestFit="1" customWidth="1"/>
    <col min="542" max="542" width="7.7109375" bestFit="1" customWidth="1"/>
    <col min="543" max="543" width="15.140625" bestFit="1" customWidth="1"/>
    <col min="544" max="544" width="11.5703125" bestFit="1" customWidth="1"/>
    <col min="545" max="545" width="13.28515625" bestFit="1" customWidth="1"/>
    <col min="546" max="546" width="10.42578125" bestFit="1" customWidth="1"/>
    <col min="547" max="547" width="13.28515625" bestFit="1" customWidth="1"/>
    <col min="548" max="548" width="12.140625" bestFit="1" customWidth="1"/>
    <col min="549" max="549" width="14.42578125" bestFit="1" customWidth="1"/>
    <col min="550" max="550" width="13.28515625" bestFit="1" customWidth="1"/>
    <col min="551" max="551" width="11.5703125" bestFit="1" customWidth="1"/>
    <col min="552" max="552" width="7.7109375" bestFit="1" customWidth="1"/>
    <col min="553" max="554" width="14.42578125" bestFit="1" customWidth="1"/>
    <col min="555" max="555" width="11.5703125" bestFit="1" customWidth="1"/>
    <col min="556" max="556" width="7.7109375" bestFit="1" customWidth="1"/>
    <col min="557" max="557" width="13.5703125" customWidth="1"/>
    <col min="558" max="558" width="15.28515625" customWidth="1"/>
    <col min="559" max="559" width="14.5703125" customWidth="1"/>
    <col min="560" max="560" width="13.28515625" bestFit="1" customWidth="1"/>
    <col min="561" max="561" width="7.7109375" bestFit="1" customWidth="1"/>
    <col min="562" max="562" width="12.7109375" bestFit="1" customWidth="1"/>
    <col min="563" max="563" width="11.7109375" bestFit="1" customWidth="1"/>
    <col min="564" max="564" width="11.5703125" bestFit="1" customWidth="1"/>
    <col min="565" max="565" width="5.28515625" bestFit="1" customWidth="1"/>
    <col min="566" max="566" width="13.28515625" bestFit="1" customWidth="1"/>
    <col min="567" max="567" width="13.5703125" bestFit="1" customWidth="1"/>
    <col min="568" max="568" width="10.5703125" bestFit="1" customWidth="1"/>
    <col min="569" max="569" width="13.28515625" bestFit="1" customWidth="1"/>
    <col min="570" max="570" width="11.5703125" bestFit="1" customWidth="1"/>
    <col min="571" max="571" width="10.5703125" bestFit="1" customWidth="1"/>
    <col min="572" max="572" width="16.140625" bestFit="1" customWidth="1"/>
    <col min="573" max="574" width="11.28515625" bestFit="1" customWidth="1"/>
    <col min="575" max="575" width="13.28515625" bestFit="1" customWidth="1"/>
    <col min="576" max="576" width="7.7109375" bestFit="1" customWidth="1"/>
    <col min="577" max="580" width="9.140625" hidden="1" customWidth="1"/>
    <col min="581" max="581" width="10.42578125" bestFit="1" customWidth="1"/>
    <col min="582" max="582" width="10.5703125" bestFit="1" customWidth="1"/>
    <col min="583" max="583" width="10.42578125" bestFit="1" customWidth="1"/>
    <col min="584" max="584" width="10.5703125" bestFit="1" customWidth="1"/>
    <col min="585" max="585" width="9.5703125" bestFit="1" customWidth="1"/>
    <col min="586" max="586" width="11.5703125" bestFit="1" customWidth="1"/>
    <col min="587" max="587" width="10.42578125" bestFit="1" customWidth="1"/>
    <col min="588" max="588" width="10.85546875" customWidth="1"/>
    <col min="589" max="590" width="9.85546875" bestFit="1" customWidth="1"/>
    <col min="591" max="591" width="13.5703125" bestFit="1" customWidth="1"/>
    <col min="592" max="592" width="7.7109375" bestFit="1" customWidth="1"/>
    <col min="593" max="593" width="13.28515625" bestFit="1" customWidth="1"/>
    <col min="594" max="594" width="11.5703125" bestFit="1" customWidth="1"/>
    <col min="595" max="595" width="10.42578125" bestFit="1" customWidth="1"/>
    <col min="596" max="596" width="7.7109375" bestFit="1" customWidth="1"/>
    <col min="597" max="597" width="11.5703125" bestFit="1" customWidth="1"/>
    <col min="598" max="598" width="10.85546875" bestFit="1" customWidth="1"/>
    <col min="599" max="599" width="13.28515625" bestFit="1" customWidth="1"/>
    <col min="600" max="600" width="10.85546875" bestFit="1" customWidth="1"/>
    <col min="601" max="602" width="7.5703125" bestFit="1" customWidth="1"/>
    <col min="603" max="604" width="10.42578125" bestFit="1" customWidth="1"/>
    <col min="605" max="605" width="11.5703125" bestFit="1" customWidth="1"/>
    <col min="606" max="606" width="5.28515625" bestFit="1" customWidth="1"/>
    <col min="607" max="607" width="10.28515625" bestFit="1" customWidth="1"/>
    <col min="608" max="608" width="10.42578125" bestFit="1" customWidth="1"/>
    <col min="609" max="609" width="11.5703125" bestFit="1" customWidth="1"/>
    <col min="610" max="610" width="5.28515625" bestFit="1" customWidth="1"/>
    <col min="611" max="613" width="11.5703125" bestFit="1" customWidth="1"/>
    <col min="614" max="614" width="5.28515625" bestFit="1" customWidth="1"/>
    <col min="615" max="616" width="10.42578125" bestFit="1" customWidth="1"/>
    <col min="617" max="617" width="11.5703125" bestFit="1" customWidth="1"/>
    <col min="618" max="618" width="5.28515625" bestFit="1" customWidth="1"/>
    <col min="619" max="619" width="14.28515625" bestFit="1" customWidth="1"/>
    <col min="620" max="620" width="13" bestFit="1" customWidth="1"/>
    <col min="621" max="621" width="11.5703125" bestFit="1" customWidth="1"/>
    <col min="622" max="622" width="8.85546875" bestFit="1" customWidth="1"/>
    <col min="623" max="623" width="14.42578125" bestFit="1" customWidth="1"/>
    <col min="624" max="624" width="10.42578125" bestFit="1" customWidth="1"/>
    <col min="625" max="625" width="12.28515625" bestFit="1" customWidth="1"/>
    <col min="626" max="626" width="13.85546875" bestFit="1" customWidth="1"/>
    <col min="627" max="627" width="11.28515625" customWidth="1"/>
    <col min="628" max="628" width="11.5703125" customWidth="1"/>
    <col min="629" max="629" width="13.42578125" bestFit="1" customWidth="1"/>
    <col min="630" max="630" width="10.42578125" customWidth="1"/>
    <col min="631" max="631" width="13.85546875" bestFit="1" customWidth="1"/>
    <col min="632" max="632" width="15.42578125" bestFit="1" customWidth="1"/>
    <col min="633" max="633" width="12.28515625" bestFit="1" customWidth="1"/>
    <col min="634" max="634" width="12.7109375" customWidth="1"/>
    <col min="635" max="635" width="10.7109375" bestFit="1" customWidth="1"/>
    <col min="636" max="636" width="9.85546875" customWidth="1"/>
    <col min="637" max="638" width="10.140625" bestFit="1" customWidth="1"/>
    <col min="639" max="639" width="7.5703125" bestFit="1" customWidth="1"/>
    <col min="640" max="640" width="9.42578125" bestFit="1" customWidth="1"/>
    <col min="641" max="641" width="14.5703125" bestFit="1" customWidth="1"/>
    <col min="642" max="642" width="14.85546875" customWidth="1"/>
    <col min="643" max="643" width="15.140625" bestFit="1" customWidth="1"/>
    <col min="644" max="644" width="12.140625" bestFit="1" customWidth="1"/>
    <col min="645" max="645" width="14.85546875" bestFit="1" customWidth="1"/>
    <col min="646" max="646" width="12.28515625" bestFit="1" customWidth="1"/>
    <col min="647" max="655" width="9.140625" hidden="1" customWidth="1"/>
    <col min="656" max="656" width="5.28515625" bestFit="1" customWidth="1"/>
    <col min="657" max="662" width="11.5703125" bestFit="1" customWidth="1"/>
    <col min="663" max="663" width="11.28515625" bestFit="1" customWidth="1"/>
    <col min="664" max="664" width="10.140625" bestFit="1" customWidth="1"/>
    <col min="665" max="665" width="11.5703125" bestFit="1" customWidth="1"/>
    <col min="666" max="666" width="16.140625" customWidth="1"/>
    <col min="667" max="667" width="13.42578125" customWidth="1"/>
    <col min="668" max="668" width="10.140625" bestFit="1" customWidth="1"/>
    <col min="669" max="669" width="12.85546875" bestFit="1" customWidth="1"/>
    <col min="670" max="670" width="12.28515625" bestFit="1" customWidth="1"/>
    <col min="671" max="671" width="11.28515625" bestFit="1" customWidth="1"/>
    <col min="672" max="672" width="11.5703125" bestFit="1" customWidth="1"/>
    <col min="673" max="673" width="10.85546875" bestFit="1" customWidth="1"/>
    <col min="674" max="674" width="11.28515625" bestFit="1" customWidth="1"/>
    <col min="675" max="675" width="10.140625" bestFit="1" customWidth="1"/>
    <col min="676" max="676" width="13.28515625" bestFit="1" customWidth="1"/>
    <col min="677" max="678" width="12.7109375" bestFit="1" customWidth="1"/>
    <col min="679" max="679" width="11" bestFit="1" customWidth="1"/>
    <col min="680" max="680" width="11.28515625" bestFit="1" customWidth="1"/>
    <col min="681" max="681" width="11.5703125" bestFit="1" customWidth="1"/>
    <col min="682" max="682" width="12.28515625" bestFit="1" customWidth="1"/>
    <col min="683" max="683" width="15.140625" bestFit="1" customWidth="1"/>
    <col min="684" max="684" width="14.42578125" bestFit="1" customWidth="1"/>
    <col min="685" max="685" width="12.28515625" bestFit="1" customWidth="1"/>
    <col min="686" max="686" width="15.140625" bestFit="1" customWidth="1"/>
    <col min="687" max="687" width="14.42578125" bestFit="1" customWidth="1"/>
    <col min="688" max="688" width="12.28515625" bestFit="1" customWidth="1"/>
    <col min="689" max="689" width="14.42578125" bestFit="1" customWidth="1"/>
    <col min="690" max="690" width="11.28515625" bestFit="1" customWidth="1"/>
    <col min="691" max="691" width="12.28515625" bestFit="1" customWidth="1"/>
    <col min="692" max="692" width="13" bestFit="1" customWidth="1"/>
    <col min="693" max="693" width="15.140625" bestFit="1" customWidth="1"/>
    <col min="694" max="694" width="12.28515625" bestFit="1" customWidth="1"/>
    <col min="695" max="695" width="13.85546875" bestFit="1" customWidth="1"/>
    <col min="696" max="696" width="11.28515625" bestFit="1" customWidth="1"/>
    <col min="697" max="697" width="12.28515625" bestFit="1" customWidth="1"/>
    <col min="698" max="698" width="13.85546875" bestFit="1" customWidth="1"/>
    <col min="699" max="700" width="15.140625" bestFit="1" customWidth="1"/>
    <col min="701" max="701" width="12.28515625" bestFit="1" customWidth="1"/>
    <col min="702" max="702" width="5.7109375" bestFit="1" customWidth="1"/>
    <col min="703" max="703" width="8.5703125" bestFit="1" customWidth="1"/>
    <col min="704" max="704" width="5.5703125" bestFit="1" customWidth="1"/>
    <col min="705" max="705" width="14.42578125" bestFit="1" customWidth="1"/>
    <col min="706" max="706" width="11.28515625" bestFit="1" customWidth="1"/>
    <col min="707" max="708" width="12.28515625" bestFit="1" customWidth="1"/>
    <col min="709" max="709" width="11.28515625" bestFit="1" customWidth="1"/>
    <col min="710" max="710" width="13.85546875" bestFit="1" customWidth="1"/>
    <col min="711" max="711" width="12" bestFit="1" customWidth="1"/>
    <col min="712" max="712" width="13.85546875" bestFit="1" customWidth="1"/>
    <col min="713" max="714" width="14.42578125" customWidth="1"/>
    <col min="715" max="715" width="10.140625" bestFit="1" customWidth="1"/>
    <col min="716" max="716" width="12.28515625" bestFit="1" customWidth="1"/>
    <col min="717" max="717" width="7.42578125" bestFit="1" customWidth="1"/>
    <col min="718" max="718" width="8.5703125" bestFit="1" customWidth="1"/>
    <col min="719" max="719" width="11.5703125" bestFit="1" customWidth="1"/>
    <col min="720" max="720" width="13.28515625" bestFit="1" customWidth="1"/>
    <col min="721" max="721" width="13.28515625" customWidth="1"/>
    <col min="722" max="722" width="13.140625" customWidth="1"/>
    <col min="723" max="723" width="12.7109375" bestFit="1" customWidth="1"/>
    <col min="724" max="724" width="13.28515625" bestFit="1" customWidth="1"/>
    <col min="725" max="727" width="13.28515625" customWidth="1"/>
    <col min="728" max="728" width="12.140625" bestFit="1" customWidth="1"/>
    <col min="729" max="729" width="12.7109375" bestFit="1" customWidth="1"/>
    <col min="730" max="730" width="11" customWidth="1"/>
    <col min="731" max="731" width="16.7109375" customWidth="1"/>
    <col min="732" max="732" width="17" customWidth="1"/>
    <col min="733" max="733" width="10.42578125" bestFit="1" customWidth="1"/>
    <col min="777" max="777" width="3.85546875" customWidth="1"/>
    <col min="778" max="778" width="15.28515625" bestFit="1" customWidth="1"/>
    <col min="779" max="779" width="12.28515625" customWidth="1"/>
    <col min="780" max="780" width="16.28515625" bestFit="1" customWidth="1"/>
    <col min="781" max="781" width="6.42578125" bestFit="1" customWidth="1"/>
    <col min="782" max="782" width="9.28515625" bestFit="1" customWidth="1"/>
    <col min="783" max="783" width="7.5703125" bestFit="1" customWidth="1"/>
    <col min="784" max="784" width="13.28515625" bestFit="1" customWidth="1"/>
    <col min="785" max="785" width="9.28515625" bestFit="1" customWidth="1"/>
    <col min="786" max="786" width="11.5703125" bestFit="1" customWidth="1"/>
    <col min="787" max="787" width="13.28515625" bestFit="1" customWidth="1"/>
    <col min="788" max="788" width="7.140625" bestFit="1" customWidth="1"/>
    <col min="789" max="789" width="12" bestFit="1" customWidth="1"/>
    <col min="790" max="790" width="13.28515625" bestFit="1" customWidth="1"/>
    <col min="791" max="791" width="7" bestFit="1" customWidth="1"/>
    <col min="792" max="792" width="12.7109375" bestFit="1" customWidth="1"/>
    <col min="793" max="793" width="11.5703125" bestFit="1" customWidth="1"/>
    <col min="794" max="794" width="10.5703125" bestFit="1" customWidth="1"/>
    <col min="795" max="796" width="15.7109375" bestFit="1" customWidth="1"/>
    <col min="797" max="797" width="11.5703125" bestFit="1" customWidth="1"/>
    <col min="798" max="798" width="7.7109375" bestFit="1" customWidth="1"/>
    <col min="799" max="799" width="15.140625" bestFit="1" customWidth="1"/>
    <col min="800" max="800" width="11.5703125" bestFit="1" customWidth="1"/>
    <col min="801" max="801" width="13.28515625" bestFit="1" customWidth="1"/>
    <col min="802" max="802" width="10.42578125" bestFit="1" customWidth="1"/>
    <col min="803" max="803" width="13.28515625" bestFit="1" customWidth="1"/>
    <col min="804" max="804" width="12.140625" bestFit="1" customWidth="1"/>
    <col min="805" max="805" width="14.42578125" bestFit="1" customWidth="1"/>
    <col min="806" max="806" width="13.28515625" bestFit="1" customWidth="1"/>
    <col min="807" max="807" width="11.5703125" bestFit="1" customWidth="1"/>
    <col min="808" max="808" width="7.7109375" bestFit="1" customWidth="1"/>
    <col min="809" max="810" width="14.42578125" bestFit="1" customWidth="1"/>
    <col min="811" max="811" width="11.5703125" bestFit="1" customWidth="1"/>
    <col min="812" max="812" width="7.7109375" bestFit="1" customWidth="1"/>
    <col min="813" max="813" width="13.5703125" customWidth="1"/>
    <col min="814" max="814" width="15.28515625" customWidth="1"/>
    <col min="815" max="815" width="14.5703125" customWidth="1"/>
    <col min="816" max="816" width="13.28515625" bestFit="1" customWidth="1"/>
    <col min="817" max="817" width="7.7109375" bestFit="1" customWidth="1"/>
    <col min="818" max="818" width="12.7109375" bestFit="1" customWidth="1"/>
    <col min="819" max="819" width="11.7109375" bestFit="1" customWidth="1"/>
    <col min="820" max="820" width="11.5703125" bestFit="1" customWidth="1"/>
    <col min="821" max="821" width="5.28515625" bestFit="1" customWidth="1"/>
    <col min="822" max="822" width="13.28515625" bestFit="1" customWidth="1"/>
    <col min="823" max="823" width="13.5703125" bestFit="1" customWidth="1"/>
    <col min="824" max="824" width="10.5703125" bestFit="1" customWidth="1"/>
    <col min="825" max="825" width="13.28515625" bestFit="1" customWidth="1"/>
    <col min="826" max="826" width="11.5703125" bestFit="1" customWidth="1"/>
    <col min="827" max="827" width="10.5703125" bestFit="1" customWidth="1"/>
    <col min="828" max="828" width="16.140625" bestFit="1" customWidth="1"/>
    <col min="829" max="830" width="11.28515625" bestFit="1" customWidth="1"/>
    <col min="831" max="831" width="13.28515625" bestFit="1" customWidth="1"/>
    <col min="832" max="832" width="7.7109375" bestFit="1" customWidth="1"/>
    <col min="833" max="836" width="9.140625" hidden="1" customWidth="1"/>
    <col min="837" max="837" width="10.42578125" bestFit="1" customWidth="1"/>
    <col min="838" max="838" width="10.5703125" bestFit="1" customWidth="1"/>
    <col min="839" max="839" width="10.42578125" bestFit="1" customWidth="1"/>
    <col min="840" max="840" width="10.5703125" bestFit="1" customWidth="1"/>
    <col min="841" max="841" width="9.5703125" bestFit="1" customWidth="1"/>
    <col min="842" max="842" width="11.5703125" bestFit="1" customWidth="1"/>
    <col min="843" max="843" width="10.42578125" bestFit="1" customWidth="1"/>
    <col min="844" max="844" width="10.85546875" customWidth="1"/>
    <col min="845" max="846" width="9.85546875" bestFit="1" customWidth="1"/>
    <col min="847" max="847" width="13.5703125" bestFit="1" customWidth="1"/>
    <col min="848" max="848" width="7.7109375" bestFit="1" customWidth="1"/>
    <col min="849" max="849" width="13.28515625" bestFit="1" customWidth="1"/>
    <col min="850" max="850" width="11.5703125" bestFit="1" customWidth="1"/>
    <col min="851" max="851" width="10.42578125" bestFit="1" customWidth="1"/>
    <col min="852" max="852" width="7.7109375" bestFit="1" customWidth="1"/>
    <col min="853" max="853" width="11.5703125" bestFit="1" customWidth="1"/>
    <col min="854" max="854" width="10.85546875" bestFit="1" customWidth="1"/>
    <col min="855" max="855" width="13.28515625" bestFit="1" customWidth="1"/>
    <col min="856" max="856" width="10.85546875" bestFit="1" customWidth="1"/>
    <col min="857" max="858" width="7.5703125" bestFit="1" customWidth="1"/>
    <col min="859" max="860" width="10.42578125" bestFit="1" customWidth="1"/>
    <col min="861" max="861" width="11.5703125" bestFit="1" customWidth="1"/>
    <col min="862" max="862" width="5.28515625" bestFit="1" customWidth="1"/>
    <col min="863" max="863" width="10.28515625" bestFit="1" customWidth="1"/>
    <col min="864" max="864" width="10.42578125" bestFit="1" customWidth="1"/>
    <col min="865" max="865" width="11.5703125" bestFit="1" customWidth="1"/>
    <col min="866" max="866" width="5.28515625" bestFit="1" customWidth="1"/>
    <col min="867" max="869" width="11.5703125" bestFit="1" customWidth="1"/>
    <col min="870" max="870" width="5.28515625" bestFit="1" customWidth="1"/>
    <col min="871" max="872" width="10.42578125" bestFit="1" customWidth="1"/>
    <col min="873" max="873" width="11.5703125" bestFit="1" customWidth="1"/>
    <col min="874" max="874" width="5.28515625" bestFit="1" customWidth="1"/>
    <col min="875" max="875" width="14.28515625" bestFit="1" customWidth="1"/>
    <col min="876" max="876" width="13" bestFit="1" customWidth="1"/>
    <col min="877" max="877" width="11.5703125" bestFit="1" customWidth="1"/>
    <col min="878" max="878" width="8.85546875" bestFit="1" customWidth="1"/>
    <col min="879" max="879" width="14.42578125" bestFit="1" customWidth="1"/>
    <col min="880" max="880" width="10.42578125" bestFit="1" customWidth="1"/>
    <col min="881" max="881" width="12.28515625" bestFit="1" customWidth="1"/>
    <col min="882" max="882" width="13.85546875" bestFit="1" customWidth="1"/>
    <col min="883" max="883" width="11.28515625" customWidth="1"/>
    <col min="884" max="884" width="11.5703125" customWidth="1"/>
    <col min="885" max="885" width="13.42578125" bestFit="1" customWidth="1"/>
    <col min="886" max="886" width="10.42578125" customWidth="1"/>
    <col min="887" max="887" width="13.85546875" bestFit="1" customWidth="1"/>
    <col min="888" max="888" width="15.42578125" bestFit="1" customWidth="1"/>
    <col min="889" max="889" width="12.28515625" bestFit="1" customWidth="1"/>
    <col min="890" max="890" width="12.7109375" customWidth="1"/>
    <col min="891" max="891" width="10.7109375" bestFit="1" customWidth="1"/>
    <col min="892" max="892" width="9.85546875" customWidth="1"/>
    <col min="893" max="894" width="10.140625" bestFit="1" customWidth="1"/>
    <col min="895" max="895" width="7.5703125" bestFit="1" customWidth="1"/>
    <col min="896" max="896" width="9.42578125" bestFit="1" customWidth="1"/>
    <col min="897" max="897" width="14.5703125" bestFit="1" customWidth="1"/>
    <col min="898" max="898" width="14.85546875" customWidth="1"/>
    <col min="899" max="899" width="15.140625" bestFit="1" customWidth="1"/>
    <col min="900" max="900" width="12.140625" bestFit="1" customWidth="1"/>
    <col min="901" max="901" width="14.85546875" bestFit="1" customWidth="1"/>
    <col min="902" max="902" width="12.28515625" bestFit="1" customWidth="1"/>
    <col min="903" max="911" width="9.140625" hidden="1" customWidth="1"/>
    <col min="912" max="912" width="5.28515625" bestFit="1" customWidth="1"/>
    <col min="913" max="918" width="11.5703125" bestFit="1" customWidth="1"/>
    <col min="919" max="919" width="11.28515625" bestFit="1" customWidth="1"/>
    <col min="920" max="920" width="10.140625" bestFit="1" customWidth="1"/>
    <col min="921" max="921" width="11.5703125" bestFit="1" customWidth="1"/>
    <col min="922" max="922" width="16.140625" customWidth="1"/>
    <col min="923" max="923" width="13.42578125" customWidth="1"/>
    <col min="924" max="924" width="10.140625" bestFit="1" customWidth="1"/>
    <col min="925" max="925" width="12.85546875" bestFit="1" customWidth="1"/>
    <col min="926" max="926" width="12.28515625" bestFit="1" customWidth="1"/>
    <col min="927" max="927" width="11.28515625" bestFit="1" customWidth="1"/>
    <col min="928" max="928" width="11.5703125" bestFit="1" customWidth="1"/>
    <col min="929" max="929" width="10.85546875" bestFit="1" customWidth="1"/>
    <col min="930" max="930" width="11.28515625" bestFit="1" customWidth="1"/>
    <col min="931" max="931" width="10.140625" bestFit="1" customWidth="1"/>
    <col min="932" max="932" width="13.28515625" bestFit="1" customWidth="1"/>
    <col min="933" max="934" width="12.7109375" bestFit="1" customWidth="1"/>
    <col min="935" max="935" width="11" bestFit="1" customWidth="1"/>
    <col min="936" max="936" width="11.28515625" bestFit="1" customWidth="1"/>
    <col min="937" max="937" width="11.5703125" bestFit="1" customWidth="1"/>
    <col min="938" max="938" width="12.28515625" bestFit="1" customWidth="1"/>
    <col min="939" max="939" width="15.140625" bestFit="1" customWidth="1"/>
    <col min="940" max="940" width="14.42578125" bestFit="1" customWidth="1"/>
    <col min="941" max="941" width="12.28515625" bestFit="1" customWidth="1"/>
    <col min="942" max="942" width="15.140625" bestFit="1" customWidth="1"/>
    <col min="943" max="943" width="14.42578125" bestFit="1" customWidth="1"/>
    <col min="944" max="944" width="12.28515625" bestFit="1" customWidth="1"/>
    <col min="945" max="945" width="14.42578125" bestFit="1" customWidth="1"/>
    <col min="946" max="946" width="11.28515625" bestFit="1" customWidth="1"/>
    <col min="947" max="947" width="12.28515625" bestFit="1" customWidth="1"/>
    <col min="948" max="948" width="13" bestFit="1" customWidth="1"/>
    <col min="949" max="949" width="15.140625" bestFit="1" customWidth="1"/>
    <col min="950" max="950" width="12.28515625" bestFit="1" customWidth="1"/>
    <col min="951" max="951" width="13.85546875" bestFit="1" customWidth="1"/>
    <col min="952" max="952" width="11.28515625" bestFit="1" customWidth="1"/>
    <col min="953" max="953" width="12.28515625" bestFit="1" customWidth="1"/>
    <col min="954" max="954" width="13.85546875" bestFit="1" customWidth="1"/>
    <col min="955" max="956" width="15.140625" bestFit="1" customWidth="1"/>
    <col min="957" max="957" width="12.28515625" bestFit="1" customWidth="1"/>
    <col min="958" max="958" width="5.7109375" bestFit="1" customWidth="1"/>
    <col min="959" max="959" width="8.5703125" bestFit="1" customWidth="1"/>
    <col min="960" max="960" width="5.5703125" bestFit="1" customWidth="1"/>
    <col min="961" max="961" width="14.42578125" bestFit="1" customWidth="1"/>
    <col min="962" max="962" width="11.28515625" bestFit="1" customWidth="1"/>
    <col min="963" max="964" width="12.28515625" bestFit="1" customWidth="1"/>
    <col min="965" max="965" width="11.28515625" bestFit="1" customWidth="1"/>
    <col min="966" max="966" width="13.85546875" bestFit="1" customWidth="1"/>
    <col min="967" max="967" width="12" bestFit="1" customWidth="1"/>
    <col min="968" max="968" width="13.85546875" bestFit="1" customWidth="1"/>
    <col min="969" max="970" width="14.42578125" customWidth="1"/>
    <col min="971" max="971" width="10.140625" bestFit="1" customWidth="1"/>
    <col min="972" max="972" width="12.28515625" bestFit="1" customWidth="1"/>
    <col min="973" max="973" width="7.42578125" bestFit="1" customWidth="1"/>
    <col min="974" max="974" width="8.5703125" bestFit="1" customWidth="1"/>
    <col min="975" max="975" width="11.5703125" bestFit="1" customWidth="1"/>
    <col min="976" max="976" width="13.28515625" bestFit="1" customWidth="1"/>
    <col min="977" max="977" width="13.28515625" customWidth="1"/>
    <col min="978" max="978" width="13.140625" customWidth="1"/>
    <col min="979" max="979" width="12.7109375" bestFit="1" customWidth="1"/>
    <col min="980" max="980" width="13.28515625" bestFit="1" customWidth="1"/>
    <col min="981" max="983" width="13.28515625" customWidth="1"/>
    <col min="984" max="984" width="12.140625" bestFit="1" customWidth="1"/>
    <col min="985" max="985" width="12.7109375" bestFit="1" customWidth="1"/>
    <col min="986" max="986" width="11" customWidth="1"/>
    <col min="987" max="987" width="16.7109375" customWidth="1"/>
    <col min="988" max="988" width="17" customWidth="1"/>
    <col min="989" max="989" width="10.42578125" bestFit="1" customWidth="1"/>
    <col min="1033" max="1033" width="3.85546875" customWidth="1"/>
    <col min="1034" max="1034" width="15.28515625" bestFit="1" customWidth="1"/>
    <col min="1035" max="1035" width="12.28515625" customWidth="1"/>
    <col min="1036" max="1036" width="16.28515625" bestFit="1" customWidth="1"/>
    <col min="1037" max="1037" width="6.42578125" bestFit="1" customWidth="1"/>
    <col min="1038" max="1038" width="9.28515625" bestFit="1" customWidth="1"/>
    <col min="1039" max="1039" width="7.5703125" bestFit="1" customWidth="1"/>
    <col min="1040" max="1040" width="13.28515625" bestFit="1" customWidth="1"/>
    <col min="1041" max="1041" width="9.28515625" bestFit="1" customWidth="1"/>
    <col min="1042" max="1042" width="11.5703125" bestFit="1" customWidth="1"/>
    <col min="1043" max="1043" width="13.28515625" bestFit="1" customWidth="1"/>
    <col min="1044" max="1044" width="7.140625" bestFit="1" customWidth="1"/>
    <col min="1045" max="1045" width="12" bestFit="1" customWidth="1"/>
    <col min="1046" max="1046" width="13.28515625" bestFit="1" customWidth="1"/>
    <col min="1047" max="1047" width="7" bestFit="1" customWidth="1"/>
    <col min="1048" max="1048" width="12.7109375" bestFit="1" customWidth="1"/>
    <col min="1049" max="1049" width="11.5703125" bestFit="1" customWidth="1"/>
    <col min="1050" max="1050" width="10.5703125" bestFit="1" customWidth="1"/>
    <col min="1051" max="1052" width="15.7109375" bestFit="1" customWidth="1"/>
    <col min="1053" max="1053" width="11.5703125" bestFit="1" customWidth="1"/>
    <col min="1054" max="1054" width="7.7109375" bestFit="1" customWidth="1"/>
    <col min="1055" max="1055" width="15.140625" bestFit="1" customWidth="1"/>
    <col min="1056" max="1056" width="11.5703125" bestFit="1" customWidth="1"/>
    <col min="1057" max="1057" width="13.28515625" bestFit="1" customWidth="1"/>
    <col min="1058" max="1058" width="10.42578125" bestFit="1" customWidth="1"/>
    <col min="1059" max="1059" width="13.28515625" bestFit="1" customWidth="1"/>
    <col min="1060" max="1060" width="12.140625" bestFit="1" customWidth="1"/>
    <col min="1061" max="1061" width="14.42578125" bestFit="1" customWidth="1"/>
    <col min="1062" max="1062" width="13.28515625" bestFit="1" customWidth="1"/>
    <col min="1063" max="1063" width="11.5703125" bestFit="1" customWidth="1"/>
    <col min="1064" max="1064" width="7.7109375" bestFit="1" customWidth="1"/>
    <col min="1065" max="1066" width="14.42578125" bestFit="1" customWidth="1"/>
    <col min="1067" max="1067" width="11.5703125" bestFit="1" customWidth="1"/>
    <col min="1068" max="1068" width="7.7109375" bestFit="1" customWidth="1"/>
    <col min="1069" max="1069" width="13.5703125" customWidth="1"/>
    <col min="1070" max="1070" width="15.28515625" customWidth="1"/>
    <col min="1071" max="1071" width="14.5703125" customWidth="1"/>
    <col min="1072" max="1072" width="13.28515625" bestFit="1" customWidth="1"/>
    <col min="1073" max="1073" width="7.7109375" bestFit="1" customWidth="1"/>
    <col min="1074" max="1074" width="12.7109375" bestFit="1" customWidth="1"/>
    <col min="1075" max="1075" width="11.7109375" bestFit="1" customWidth="1"/>
    <col min="1076" max="1076" width="11.5703125" bestFit="1" customWidth="1"/>
    <col min="1077" max="1077" width="5.28515625" bestFit="1" customWidth="1"/>
    <col min="1078" max="1078" width="13.28515625" bestFit="1" customWidth="1"/>
    <col min="1079" max="1079" width="13.5703125" bestFit="1" customWidth="1"/>
    <col min="1080" max="1080" width="10.5703125" bestFit="1" customWidth="1"/>
    <col min="1081" max="1081" width="13.28515625" bestFit="1" customWidth="1"/>
    <col min="1082" max="1082" width="11.5703125" bestFit="1" customWidth="1"/>
    <col min="1083" max="1083" width="10.5703125" bestFit="1" customWidth="1"/>
    <col min="1084" max="1084" width="16.140625" bestFit="1" customWidth="1"/>
    <col min="1085" max="1086" width="11.28515625" bestFit="1" customWidth="1"/>
    <col min="1087" max="1087" width="13.28515625" bestFit="1" customWidth="1"/>
    <col min="1088" max="1088" width="7.7109375" bestFit="1" customWidth="1"/>
    <col min="1089" max="1092" width="9.140625" hidden="1" customWidth="1"/>
    <col min="1093" max="1093" width="10.42578125" bestFit="1" customWidth="1"/>
    <col min="1094" max="1094" width="10.5703125" bestFit="1" customWidth="1"/>
    <col min="1095" max="1095" width="10.42578125" bestFit="1" customWidth="1"/>
    <col min="1096" max="1096" width="10.5703125" bestFit="1" customWidth="1"/>
    <col min="1097" max="1097" width="9.5703125" bestFit="1" customWidth="1"/>
    <col min="1098" max="1098" width="11.5703125" bestFit="1" customWidth="1"/>
    <col min="1099" max="1099" width="10.42578125" bestFit="1" customWidth="1"/>
    <col min="1100" max="1100" width="10.85546875" customWidth="1"/>
    <col min="1101" max="1102" width="9.85546875" bestFit="1" customWidth="1"/>
    <col min="1103" max="1103" width="13.5703125" bestFit="1" customWidth="1"/>
    <col min="1104" max="1104" width="7.7109375" bestFit="1" customWidth="1"/>
    <col min="1105" max="1105" width="13.28515625" bestFit="1" customWidth="1"/>
    <col min="1106" max="1106" width="11.5703125" bestFit="1" customWidth="1"/>
    <col min="1107" max="1107" width="10.42578125" bestFit="1" customWidth="1"/>
    <col min="1108" max="1108" width="7.7109375" bestFit="1" customWidth="1"/>
    <col min="1109" max="1109" width="11.5703125" bestFit="1" customWidth="1"/>
    <col min="1110" max="1110" width="10.85546875" bestFit="1" customWidth="1"/>
    <col min="1111" max="1111" width="13.28515625" bestFit="1" customWidth="1"/>
    <col min="1112" max="1112" width="10.85546875" bestFit="1" customWidth="1"/>
    <col min="1113" max="1114" width="7.5703125" bestFit="1" customWidth="1"/>
    <col min="1115" max="1116" width="10.42578125" bestFit="1" customWidth="1"/>
    <col min="1117" max="1117" width="11.5703125" bestFit="1" customWidth="1"/>
    <col min="1118" max="1118" width="5.28515625" bestFit="1" customWidth="1"/>
    <col min="1119" max="1119" width="10.28515625" bestFit="1" customWidth="1"/>
    <col min="1120" max="1120" width="10.42578125" bestFit="1" customWidth="1"/>
    <col min="1121" max="1121" width="11.5703125" bestFit="1" customWidth="1"/>
    <col min="1122" max="1122" width="5.28515625" bestFit="1" customWidth="1"/>
    <col min="1123" max="1125" width="11.5703125" bestFit="1" customWidth="1"/>
    <col min="1126" max="1126" width="5.28515625" bestFit="1" customWidth="1"/>
    <col min="1127" max="1128" width="10.42578125" bestFit="1" customWidth="1"/>
    <col min="1129" max="1129" width="11.5703125" bestFit="1" customWidth="1"/>
    <col min="1130" max="1130" width="5.28515625" bestFit="1" customWidth="1"/>
    <col min="1131" max="1131" width="14.28515625" bestFit="1" customWidth="1"/>
    <col min="1132" max="1132" width="13" bestFit="1" customWidth="1"/>
    <col min="1133" max="1133" width="11.5703125" bestFit="1" customWidth="1"/>
    <col min="1134" max="1134" width="8.85546875" bestFit="1" customWidth="1"/>
    <col min="1135" max="1135" width="14.42578125" bestFit="1" customWidth="1"/>
    <col min="1136" max="1136" width="10.42578125" bestFit="1" customWidth="1"/>
    <col min="1137" max="1137" width="12.28515625" bestFit="1" customWidth="1"/>
    <col min="1138" max="1138" width="13.85546875" bestFit="1" customWidth="1"/>
    <col min="1139" max="1139" width="11.28515625" customWidth="1"/>
    <col min="1140" max="1140" width="11.5703125" customWidth="1"/>
    <col min="1141" max="1141" width="13.42578125" bestFit="1" customWidth="1"/>
    <col min="1142" max="1142" width="10.42578125" customWidth="1"/>
    <col min="1143" max="1143" width="13.85546875" bestFit="1" customWidth="1"/>
    <col min="1144" max="1144" width="15.42578125" bestFit="1" customWidth="1"/>
    <col min="1145" max="1145" width="12.28515625" bestFit="1" customWidth="1"/>
    <col min="1146" max="1146" width="12.7109375" customWidth="1"/>
    <col min="1147" max="1147" width="10.7109375" bestFit="1" customWidth="1"/>
    <col min="1148" max="1148" width="9.85546875" customWidth="1"/>
    <col min="1149" max="1150" width="10.140625" bestFit="1" customWidth="1"/>
    <col min="1151" max="1151" width="7.5703125" bestFit="1" customWidth="1"/>
    <col min="1152" max="1152" width="9.42578125" bestFit="1" customWidth="1"/>
    <col min="1153" max="1153" width="14.5703125" bestFit="1" customWidth="1"/>
    <col min="1154" max="1154" width="14.85546875" customWidth="1"/>
    <col min="1155" max="1155" width="15.140625" bestFit="1" customWidth="1"/>
    <col min="1156" max="1156" width="12.140625" bestFit="1" customWidth="1"/>
    <col min="1157" max="1157" width="14.85546875" bestFit="1" customWidth="1"/>
    <col min="1158" max="1158" width="12.28515625" bestFit="1" customWidth="1"/>
    <col min="1159" max="1167" width="9.140625" hidden="1" customWidth="1"/>
    <col min="1168" max="1168" width="5.28515625" bestFit="1" customWidth="1"/>
    <col min="1169" max="1174" width="11.5703125" bestFit="1" customWidth="1"/>
    <col min="1175" max="1175" width="11.28515625" bestFit="1" customWidth="1"/>
    <col min="1176" max="1176" width="10.140625" bestFit="1" customWidth="1"/>
    <col min="1177" max="1177" width="11.5703125" bestFit="1" customWidth="1"/>
    <col min="1178" max="1178" width="16.140625" customWidth="1"/>
    <col min="1179" max="1179" width="13.42578125" customWidth="1"/>
    <col min="1180" max="1180" width="10.140625" bestFit="1" customWidth="1"/>
    <col min="1181" max="1181" width="12.85546875" bestFit="1" customWidth="1"/>
    <col min="1182" max="1182" width="12.28515625" bestFit="1" customWidth="1"/>
    <col min="1183" max="1183" width="11.28515625" bestFit="1" customWidth="1"/>
    <col min="1184" max="1184" width="11.5703125" bestFit="1" customWidth="1"/>
    <col min="1185" max="1185" width="10.85546875" bestFit="1" customWidth="1"/>
    <col min="1186" max="1186" width="11.28515625" bestFit="1" customWidth="1"/>
    <col min="1187" max="1187" width="10.140625" bestFit="1" customWidth="1"/>
    <col min="1188" max="1188" width="13.28515625" bestFit="1" customWidth="1"/>
    <col min="1189" max="1190" width="12.7109375" bestFit="1" customWidth="1"/>
    <col min="1191" max="1191" width="11" bestFit="1" customWidth="1"/>
    <col min="1192" max="1192" width="11.28515625" bestFit="1" customWidth="1"/>
    <col min="1193" max="1193" width="11.5703125" bestFit="1" customWidth="1"/>
    <col min="1194" max="1194" width="12.28515625" bestFit="1" customWidth="1"/>
    <col min="1195" max="1195" width="15.140625" bestFit="1" customWidth="1"/>
    <col min="1196" max="1196" width="14.42578125" bestFit="1" customWidth="1"/>
    <col min="1197" max="1197" width="12.28515625" bestFit="1" customWidth="1"/>
    <col min="1198" max="1198" width="15.140625" bestFit="1" customWidth="1"/>
    <col min="1199" max="1199" width="14.42578125" bestFit="1" customWidth="1"/>
    <col min="1200" max="1200" width="12.28515625" bestFit="1" customWidth="1"/>
    <col min="1201" max="1201" width="14.42578125" bestFit="1" customWidth="1"/>
    <col min="1202" max="1202" width="11.28515625" bestFit="1" customWidth="1"/>
    <col min="1203" max="1203" width="12.28515625" bestFit="1" customWidth="1"/>
    <col min="1204" max="1204" width="13" bestFit="1" customWidth="1"/>
    <col min="1205" max="1205" width="15.140625" bestFit="1" customWidth="1"/>
    <col min="1206" max="1206" width="12.28515625" bestFit="1" customWidth="1"/>
    <col min="1207" max="1207" width="13.85546875" bestFit="1" customWidth="1"/>
    <col min="1208" max="1208" width="11.28515625" bestFit="1" customWidth="1"/>
    <col min="1209" max="1209" width="12.28515625" bestFit="1" customWidth="1"/>
    <col min="1210" max="1210" width="13.85546875" bestFit="1" customWidth="1"/>
    <col min="1211" max="1212" width="15.140625" bestFit="1" customWidth="1"/>
    <col min="1213" max="1213" width="12.28515625" bestFit="1" customWidth="1"/>
    <col min="1214" max="1214" width="5.7109375" bestFit="1" customWidth="1"/>
    <col min="1215" max="1215" width="8.5703125" bestFit="1" customWidth="1"/>
    <col min="1216" max="1216" width="5.5703125" bestFit="1" customWidth="1"/>
    <col min="1217" max="1217" width="14.42578125" bestFit="1" customWidth="1"/>
    <col min="1218" max="1218" width="11.28515625" bestFit="1" customWidth="1"/>
    <col min="1219" max="1220" width="12.28515625" bestFit="1" customWidth="1"/>
    <col min="1221" max="1221" width="11.28515625" bestFit="1" customWidth="1"/>
    <col min="1222" max="1222" width="13.85546875" bestFit="1" customWidth="1"/>
    <col min="1223" max="1223" width="12" bestFit="1" customWidth="1"/>
    <col min="1224" max="1224" width="13.85546875" bestFit="1" customWidth="1"/>
    <col min="1225" max="1226" width="14.42578125" customWidth="1"/>
    <col min="1227" max="1227" width="10.140625" bestFit="1" customWidth="1"/>
    <col min="1228" max="1228" width="12.28515625" bestFit="1" customWidth="1"/>
    <col min="1229" max="1229" width="7.42578125" bestFit="1" customWidth="1"/>
    <col min="1230" max="1230" width="8.5703125" bestFit="1" customWidth="1"/>
    <col min="1231" max="1231" width="11.5703125" bestFit="1" customWidth="1"/>
    <col min="1232" max="1232" width="13.28515625" bestFit="1" customWidth="1"/>
    <col min="1233" max="1233" width="13.28515625" customWidth="1"/>
    <col min="1234" max="1234" width="13.140625" customWidth="1"/>
    <col min="1235" max="1235" width="12.7109375" bestFit="1" customWidth="1"/>
    <col min="1236" max="1236" width="13.28515625" bestFit="1" customWidth="1"/>
    <col min="1237" max="1239" width="13.28515625" customWidth="1"/>
    <col min="1240" max="1240" width="12.140625" bestFit="1" customWidth="1"/>
    <col min="1241" max="1241" width="12.7109375" bestFit="1" customWidth="1"/>
    <col min="1242" max="1242" width="11" customWidth="1"/>
    <col min="1243" max="1243" width="16.7109375" customWidth="1"/>
    <col min="1244" max="1244" width="17" customWidth="1"/>
    <col min="1245" max="1245" width="10.42578125" bestFit="1" customWidth="1"/>
    <col min="1289" max="1289" width="3.85546875" customWidth="1"/>
    <col min="1290" max="1290" width="15.28515625" bestFit="1" customWidth="1"/>
    <col min="1291" max="1291" width="12.28515625" customWidth="1"/>
    <col min="1292" max="1292" width="16.28515625" bestFit="1" customWidth="1"/>
    <col min="1293" max="1293" width="6.42578125" bestFit="1" customWidth="1"/>
    <col min="1294" max="1294" width="9.28515625" bestFit="1" customWidth="1"/>
    <col min="1295" max="1295" width="7.5703125" bestFit="1" customWidth="1"/>
    <col min="1296" max="1296" width="13.28515625" bestFit="1" customWidth="1"/>
    <col min="1297" max="1297" width="9.28515625" bestFit="1" customWidth="1"/>
    <col min="1298" max="1298" width="11.5703125" bestFit="1" customWidth="1"/>
    <col min="1299" max="1299" width="13.28515625" bestFit="1" customWidth="1"/>
    <col min="1300" max="1300" width="7.140625" bestFit="1" customWidth="1"/>
    <col min="1301" max="1301" width="12" bestFit="1" customWidth="1"/>
    <col min="1302" max="1302" width="13.28515625" bestFit="1" customWidth="1"/>
    <col min="1303" max="1303" width="7" bestFit="1" customWidth="1"/>
    <col min="1304" max="1304" width="12.7109375" bestFit="1" customWidth="1"/>
    <col min="1305" max="1305" width="11.5703125" bestFit="1" customWidth="1"/>
    <col min="1306" max="1306" width="10.5703125" bestFit="1" customWidth="1"/>
    <col min="1307" max="1308" width="15.7109375" bestFit="1" customWidth="1"/>
    <col min="1309" max="1309" width="11.5703125" bestFit="1" customWidth="1"/>
    <col min="1310" max="1310" width="7.7109375" bestFit="1" customWidth="1"/>
    <col min="1311" max="1311" width="15.140625" bestFit="1" customWidth="1"/>
    <col min="1312" max="1312" width="11.5703125" bestFit="1" customWidth="1"/>
    <col min="1313" max="1313" width="13.28515625" bestFit="1" customWidth="1"/>
    <col min="1314" max="1314" width="10.42578125" bestFit="1" customWidth="1"/>
    <col min="1315" max="1315" width="13.28515625" bestFit="1" customWidth="1"/>
    <col min="1316" max="1316" width="12.140625" bestFit="1" customWidth="1"/>
    <col min="1317" max="1317" width="14.42578125" bestFit="1" customWidth="1"/>
    <col min="1318" max="1318" width="13.28515625" bestFit="1" customWidth="1"/>
    <col min="1319" max="1319" width="11.5703125" bestFit="1" customWidth="1"/>
    <col min="1320" max="1320" width="7.7109375" bestFit="1" customWidth="1"/>
    <col min="1321" max="1322" width="14.42578125" bestFit="1" customWidth="1"/>
    <col min="1323" max="1323" width="11.5703125" bestFit="1" customWidth="1"/>
    <col min="1324" max="1324" width="7.7109375" bestFit="1" customWidth="1"/>
    <col min="1325" max="1325" width="13.5703125" customWidth="1"/>
    <col min="1326" max="1326" width="15.28515625" customWidth="1"/>
    <col min="1327" max="1327" width="14.5703125" customWidth="1"/>
    <col min="1328" max="1328" width="13.28515625" bestFit="1" customWidth="1"/>
    <col min="1329" max="1329" width="7.7109375" bestFit="1" customWidth="1"/>
    <col min="1330" max="1330" width="12.7109375" bestFit="1" customWidth="1"/>
    <col min="1331" max="1331" width="11.7109375" bestFit="1" customWidth="1"/>
    <col min="1332" max="1332" width="11.5703125" bestFit="1" customWidth="1"/>
    <col min="1333" max="1333" width="5.28515625" bestFit="1" customWidth="1"/>
    <col min="1334" max="1334" width="13.28515625" bestFit="1" customWidth="1"/>
    <col min="1335" max="1335" width="13.5703125" bestFit="1" customWidth="1"/>
    <col min="1336" max="1336" width="10.5703125" bestFit="1" customWidth="1"/>
    <col min="1337" max="1337" width="13.28515625" bestFit="1" customWidth="1"/>
    <col min="1338" max="1338" width="11.5703125" bestFit="1" customWidth="1"/>
    <col min="1339" max="1339" width="10.5703125" bestFit="1" customWidth="1"/>
    <col min="1340" max="1340" width="16.140625" bestFit="1" customWidth="1"/>
    <col min="1341" max="1342" width="11.28515625" bestFit="1" customWidth="1"/>
    <col min="1343" max="1343" width="13.28515625" bestFit="1" customWidth="1"/>
    <col min="1344" max="1344" width="7.7109375" bestFit="1" customWidth="1"/>
    <col min="1345" max="1348" width="9.140625" hidden="1" customWidth="1"/>
    <col min="1349" max="1349" width="10.42578125" bestFit="1" customWidth="1"/>
    <col min="1350" max="1350" width="10.5703125" bestFit="1" customWidth="1"/>
    <col min="1351" max="1351" width="10.42578125" bestFit="1" customWidth="1"/>
    <col min="1352" max="1352" width="10.5703125" bestFit="1" customWidth="1"/>
    <col min="1353" max="1353" width="9.5703125" bestFit="1" customWidth="1"/>
    <col min="1354" max="1354" width="11.5703125" bestFit="1" customWidth="1"/>
    <col min="1355" max="1355" width="10.42578125" bestFit="1" customWidth="1"/>
    <col min="1356" max="1356" width="10.85546875" customWidth="1"/>
    <col min="1357" max="1358" width="9.85546875" bestFit="1" customWidth="1"/>
    <col min="1359" max="1359" width="13.5703125" bestFit="1" customWidth="1"/>
    <col min="1360" max="1360" width="7.7109375" bestFit="1" customWidth="1"/>
    <col min="1361" max="1361" width="13.28515625" bestFit="1" customWidth="1"/>
    <col min="1362" max="1362" width="11.5703125" bestFit="1" customWidth="1"/>
    <col min="1363" max="1363" width="10.42578125" bestFit="1" customWidth="1"/>
    <col min="1364" max="1364" width="7.7109375" bestFit="1" customWidth="1"/>
    <col min="1365" max="1365" width="11.5703125" bestFit="1" customWidth="1"/>
    <col min="1366" max="1366" width="10.85546875" bestFit="1" customWidth="1"/>
    <col min="1367" max="1367" width="13.28515625" bestFit="1" customWidth="1"/>
    <col min="1368" max="1368" width="10.85546875" bestFit="1" customWidth="1"/>
    <col min="1369" max="1370" width="7.5703125" bestFit="1" customWidth="1"/>
    <col min="1371" max="1372" width="10.42578125" bestFit="1" customWidth="1"/>
    <col min="1373" max="1373" width="11.5703125" bestFit="1" customWidth="1"/>
    <col min="1374" max="1374" width="5.28515625" bestFit="1" customWidth="1"/>
    <col min="1375" max="1375" width="10.28515625" bestFit="1" customWidth="1"/>
    <col min="1376" max="1376" width="10.42578125" bestFit="1" customWidth="1"/>
    <col min="1377" max="1377" width="11.5703125" bestFit="1" customWidth="1"/>
    <col min="1378" max="1378" width="5.28515625" bestFit="1" customWidth="1"/>
    <col min="1379" max="1381" width="11.5703125" bestFit="1" customWidth="1"/>
    <col min="1382" max="1382" width="5.28515625" bestFit="1" customWidth="1"/>
    <col min="1383" max="1384" width="10.42578125" bestFit="1" customWidth="1"/>
    <col min="1385" max="1385" width="11.5703125" bestFit="1" customWidth="1"/>
    <col min="1386" max="1386" width="5.28515625" bestFit="1" customWidth="1"/>
    <col min="1387" max="1387" width="14.28515625" bestFit="1" customWidth="1"/>
    <col min="1388" max="1388" width="13" bestFit="1" customWidth="1"/>
    <col min="1389" max="1389" width="11.5703125" bestFit="1" customWidth="1"/>
    <col min="1390" max="1390" width="8.85546875" bestFit="1" customWidth="1"/>
    <col min="1391" max="1391" width="14.42578125" bestFit="1" customWidth="1"/>
    <col min="1392" max="1392" width="10.42578125" bestFit="1" customWidth="1"/>
    <col min="1393" max="1393" width="12.28515625" bestFit="1" customWidth="1"/>
    <col min="1394" max="1394" width="13.85546875" bestFit="1" customWidth="1"/>
    <col min="1395" max="1395" width="11.28515625" customWidth="1"/>
    <col min="1396" max="1396" width="11.5703125" customWidth="1"/>
    <col min="1397" max="1397" width="13.42578125" bestFit="1" customWidth="1"/>
    <col min="1398" max="1398" width="10.42578125" customWidth="1"/>
    <col min="1399" max="1399" width="13.85546875" bestFit="1" customWidth="1"/>
    <col min="1400" max="1400" width="15.42578125" bestFit="1" customWidth="1"/>
    <col min="1401" max="1401" width="12.28515625" bestFit="1" customWidth="1"/>
    <col min="1402" max="1402" width="12.7109375" customWidth="1"/>
    <col min="1403" max="1403" width="10.7109375" bestFit="1" customWidth="1"/>
    <col min="1404" max="1404" width="9.85546875" customWidth="1"/>
    <col min="1405" max="1406" width="10.140625" bestFit="1" customWidth="1"/>
    <col min="1407" max="1407" width="7.5703125" bestFit="1" customWidth="1"/>
    <col min="1408" max="1408" width="9.42578125" bestFit="1" customWidth="1"/>
    <col min="1409" max="1409" width="14.5703125" bestFit="1" customWidth="1"/>
    <col min="1410" max="1410" width="14.85546875" customWidth="1"/>
    <col min="1411" max="1411" width="15.140625" bestFit="1" customWidth="1"/>
    <col min="1412" max="1412" width="12.140625" bestFit="1" customWidth="1"/>
    <col min="1413" max="1413" width="14.85546875" bestFit="1" customWidth="1"/>
    <col min="1414" max="1414" width="12.28515625" bestFit="1" customWidth="1"/>
    <col min="1415" max="1423" width="9.140625" hidden="1" customWidth="1"/>
    <col min="1424" max="1424" width="5.28515625" bestFit="1" customWidth="1"/>
    <col min="1425" max="1430" width="11.5703125" bestFit="1" customWidth="1"/>
    <col min="1431" max="1431" width="11.28515625" bestFit="1" customWidth="1"/>
    <col min="1432" max="1432" width="10.140625" bestFit="1" customWidth="1"/>
    <col min="1433" max="1433" width="11.5703125" bestFit="1" customWidth="1"/>
    <col min="1434" max="1434" width="16.140625" customWidth="1"/>
    <col min="1435" max="1435" width="13.42578125" customWidth="1"/>
    <col min="1436" max="1436" width="10.140625" bestFit="1" customWidth="1"/>
    <col min="1437" max="1437" width="12.85546875" bestFit="1" customWidth="1"/>
    <col min="1438" max="1438" width="12.28515625" bestFit="1" customWidth="1"/>
    <col min="1439" max="1439" width="11.28515625" bestFit="1" customWidth="1"/>
    <col min="1440" max="1440" width="11.5703125" bestFit="1" customWidth="1"/>
    <col min="1441" max="1441" width="10.85546875" bestFit="1" customWidth="1"/>
    <col min="1442" max="1442" width="11.28515625" bestFit="1" customWidth="1"/>
    <col min="1443" max="1443" width="10.140625" bestFit="1" customWidth="1"/>
    <col min="1444" max="1444" width="13.28515625" bestFit="1" customWidth="1"/>
    <col min="1445" max="1446" width="12.7109375" bestFit="1" customWidth="1"/>
    <col min="1447" max="1447" width="11" bestFit="1" customWidth="1"/>
    <col min="1448" max="1448" width="11.28515625" bestFit="1" customWidth="1"/>
    <col min="1449" max="1449" width="11.5703125" bestFit="1" customWidth="1"/>
    <col min="1450" max="1450" width="12.28515625" bestFit="1" customWidth="1"/>
    <col min="1451" max="1451" width="15.140625" bestFit="1" customWidth="1"/>
    <col min="1452" max="1452" width="14.42578125" bestFit="1" customWidth="1"/>
    <col min="1453" max="1453" width="12.28515625" bestFit="1" customWidth="1"/>
    <col min="1454" max="1454" width="15.140625" bestFit="1" customWidth="1"/>
    <col min="1455" max="1455" width="14.42578125" bestFit="1" customWidth="1"/>
    <col min="1456" max="1456" width="12.28515625" bestFit="1" customWidth="1"/>
    <col min="1457" max="1457" width="14.42578125" bestFit="1" customWidth="1"/>
    <col min="1458" max="1458" width="11.28515625" bestFit="1" customWidth="1"/>
    <col min="1459" max="1459" width="12.28515625" bestFit="1" customWidth="1"/>
    <col min="1460" max="1460" width="13" bestFit="1" customWidth="1"/>
    <col min="1461" max="1461" width="15.140625" bestFit="1" customWidth="1"/>
    <col min="1462" max="1462" width="12.28515625" bestFit="1" customWidth="1"/>
    <col min="1463" max="1463" width="13.85546875" bestFit="1" customWidth="1"/>
    <col min="1464" max="1464" width="11.28515625" bestFit="1" customWidth="1"/>
    <col min="1465" max="1465" width="12.28515625" bestFit="1" customWidth="1"/>
    <col min="1466" max="1466" width="13.85546875" bestFit="1" customWidth="1"/>
    <col min="1467" max="1468" width="15.140625" bestFit="1" customWidth="1"/>
    <col min="1469" max="1469" width="12.28515625" bestFit="1" customWidth="1"/>
    <col min="1470" max="1470" width="5.7109375" bestFit="1" customWidth="1"/>
    <col min="1471" max="1471" width="8.5703125" bestFit="1" customWidth="1"/>
    <col min="1472" max="1472" width="5.5703125" bestFit="1" customWidth="1"/>
    <col min="1473" max="1473" width="14.42578125" bestFit="1" customWidth="1"/>
    <col min="1474" max="1474" width="11.28515625" bestFit="1" customWidth="1"/>
    <col min="1475" max="1476" width="12.28515625" bestFit="1" customWidth="1"/>
    <col min="1477" max="1477" width="11.28515625" bestFit="1" customWidth="1"/>
    <col min="1478" max="1478" width="13.85546875" bestFit="1" customWidth="1"/>
    <col min="1479" max="1479" width="12" bestFit="1" customWidth="1"/>
    <col min="1480" max="1480" width="13.85546875" bestFit="1" customWidth="1"/>
    <col min="1481" max="1482" width="14.42578125" customWidth="1"/>
    <col min="1483" max="1483" width="10.140625" bestFit="1" customWidth="1"/>
    <col min="1484" max="1484" width="12.28515625" bestFit="1" customWidth="1"/>
    <col min="1485" max="1485" width="7.42578125" bestFit="1" customWidth="1"/>
    <col min="1486" max="1486" width="8.5703125" bestFit="1" customWidth="1"/>
    <col min="1487" max="1487" width="11.5703125" bestFit="1" customWidth="1"/>
    <col min="1488" max="1488" width="13.28515625" bestFit="1" customWidth="1"/>
    <col min="1489" max="1489" width="13.28515625" customWidth="1"/>
    <col min="1490" max="1490" width="13.140625" customWidth="1"/>
    <col min="1491" max="1491" width="12.7109375" bestFit="1" customWidth="1"/>
    <col min="1492" max="1492" width="13.28515625" bestFit="1" customWidth="1"/>
    <col min="1493" max="1495" width="13.28515625" customWidth="1"/>
    <col min="1496" max="1496" width="12.140625" bestFit="1" customWidth="1"/>
    <col min="1497" max="1497" width="12.7109375" bestFit="1" customWidth="1"/>
    <col min="1498" max="1498" width="11" customWidth="1"/>
    <col min="1499" max="1499" width="16.7109375" customWidth="1"/>
    <col min="1500" max="1500" width="17" customWidth="1"/>
    <col min="1501" max="1501" width="10.42578125" bestFit="1" customWidth="1"/>
    <col min="1545" max="1545" width="3.85546875" customWidth="1"/>
    <col min="1546" max="1546" width="15.28515625" bestFit="1" customWidth="1"/>
    <col min="1547" max="1547" width="12.28515625" customWidth="1"/>
    <col min="1548" max="1548" width="16.28515625" bestFit="1" customWidth="1"/>
    <col min="1549" max="1549" width="6.42578125" bestFit="1" customWidth="1"/>
    <col min="1550" max="1550" width="9.28515625" bestFit="1" customWidth="1"/>
    <col min="1551" max="1551" width="7.5703125" bestFit="1" customWidth="1"/>
    <col min="1552" max="1552" width="13.28515625" bestFit="1" customWidth="1"/>
    <col min="1553" max="1553" width="9.28515625" bestFit="1" customWidth="1"/>
    <col min="1554" max="1554" width="11.5703125" bestFit="1" customWidth="1"/>
    <col min="1555" max="1555" width="13.28515625" bestFit="1" customWidth="1"/>
    <col min="1556" max="1556" width="7.140625" bestFit="1" customWidth="1"/>
    <col min="1557" max="1557" width="12" bestFit="1" customWidth="1"/>
    <col min="1558" max="1558" width="13.28515625" bestFit="1" customWidth="1"/>
    <col min="1559" max="1559" width="7" bestFit="1" customWidth="1"/>
    <col min="1560" max="1560" width="12.7109375" bestFit="1" customWidth="1"/>
    <col min="1561" max="1561" width="11.5703125" bestFit="1" customWidth="1"/>
    <col min="1562" max="1562" width="10.5703125" bestFit="1" customWidth="1"/>
    <col min="1563" max="1564" width="15.7109375" bestFit="1" customWidth="1"/>
    <col min="1565" max="1565" width="11.5703125" bestFit="1" customWidth="1"/>
    <col min="1566" max="1566" width="7.7109375" bestFit="1" customWidth="1"/>
    <col min="1567" max="1567" width="15.140625" bestFit="1" customWidth="1"/>
    <col min="1568" max="1568" width="11.5703125" bestFit="1" customWidth="1"/>
    <col min="1569" max="1569" width="13.28515625" bestFit="1" customWidth="1"/>
    <col min="1570" max="1570" width="10.42578125" bestFit="1" customWidth="1"/>
    <col min="1571" max="1571" width="13.28515625" bestFit="1" customWidth="1"/>
    <col min="1572" max="1572" width="12.140625" bestFit="1" customWidth="1"/>
    <col min="1573" max="1573" width="14.42578125" bestFit="1" customWidth="1"/>
    <col min="1574" max="1574" width="13.28515625" bestFit="1" customWidth="1"/>
    <col min="1575" max="1575" width="11.5703125" bestFit="1" customWidth="1"/>
    <col min="1576" max="1576" width="7.7109375" bestFit="1" customWidth="1"/>
    <col min="1577" max="1578" width="14.42578125" bestFit="1" customWidth="1"/>
    <col min="1579" max="1579" width="11.5703125" bestFit="1" customWidth="1"/>
    <col min="1580" max="1580" width="7.7109375" bestFit="1" customWidth="1"/>
    <col min="1581" max="1581" width="13.5703125" customWidth="1"/>
    <col min="1582" max="1582" width="15.28515625" customWidth="1"/>
    <col min="1583" max="1583" width="14.5703125" customWidth="1"/>
    <col min="1584" max="1584" width="13.28515625" bestFit="1" customWidth="1"/>
    <col min="1585" max="1585" width="7.7109375" bestFit="1" customWidth="1"/>
    <col min="1586" max="1586" width="12.7109375" bestFit="1" customWidth="1"/>
    <col min="1587" max="1587" width="11.7109375" bestFit="1" customWidth="1"/>
    <col min="1588" max="1588" width="11.5703125" bestFit="1" customWidth="1"/>
    <col min="1589" max="1589" width="5.28515625" bestFit="1" customWidth="1"/>
    <col min="1590" max="1590" width="13.28515625" bestFit="1" customWidth="1"/>
    <col min="1591" max="1591" width="13.5703125" bestFit="1" customWidth="1"/>
    <col min="1592" max="1592" width="10.5703125" bestFit="1" customWidth="1"/>
    <col min="1593" max="1593" width="13.28515625" bestFit="1" customWidth="1"/>
    <col min="1594" max="1594" width="11.5703125" bestFit="1" customWidth="1"/>
    <col min="1595" max="1595" width="10.5703125" bestFit="1" customWidth="1"/>
    <col min="1596" max="1596" width="16.140625" bestFit="1" customWidth="1"/>
    <col min="1597" max="1598" width="11.28515625" bestFit="1" customWidth="1"/>
    <col min="1599" max="1599" width="13.28515625" bestFit="1" customWidth="1"/>
    <col min="1600" max="1600" width="7.7109375" bestFit="1" customWidth="1"/>
    <col min="1601" max="1604" width="9.140625" hidden="1" customWidth="1"/>
    <col min="1605" max="1605" width="10.42578125" bestFit="1" customWidth="1"/>
    <col min="1606" max="1606" width="10.5703125" bestFit="1" customWidth="1"/>
    <col min="1607" max="1607" width="10.42578125" bestFit="1" customWidth="1"/>
    <col min="1608" max="1608" width="10.5703125" bestFit="1" customWidth="1"/>
    <col min="1609" max="1609" width="9.5703125" bestFit="1" customWidth="1"/>
    <col min="1610" max="1610" width="11.5703125" bestFit="1" customWidth="1"/>
    <col min="1611" max="1611" width="10.42578125" bestFit="1" customWidth="1"/>
    <col min="1612" max="1612" width="10.85546875" customWidth="1"/>
    <col min="1613" max="1614" width="9.85546875" bestFit="1" customWidth="1"/>
    <col min="1615" max="1615" width="13.5703125" bestFit="1" customWidth="1"/>
    <col min="1616" max="1616" width="7.7109375" bestFit="1" customWidth="1"/>
    <col min="1617" max="1617" width="13.28515625" bestFit="1" customWidth="1"/>
    <col min="1618" max="1618" width="11.5703125" bestFit="1" customWidth="1"/>
    <col min="1619" max="1619" width="10.42578125" bestFit="1" customWidth="1"/>
    <col min="1620" max="1620" width="7.7109375" bestFit="1" customWidth="1"/>
    <col min="1621" max="1621" width="11.5703125" bestFit="1" customWidth="1"/>
    <col min="1622" max="1622" width="10.85546875" bestFit="1" customWidth="1"/>
    <col min="1623" max="1623" width="13.28515625" bestFit="1" customWidth="1"/>
    <col min="1624" max="1624" width="10.85546875" bestFit="1" customWidth="1"/>
    <col min="1625" max="1626" width="7.5703125" bestFit="1" customWidth="1"/>
    <col min="1627" max="1628" width="10.42578125" bestFit="1" customWidth="1"/>
    <col min="1629" max="1629" width="11.5703125" bestFit="1" customWidth="1"/>
    <col min="1630" max="1630" width="5.28515625" bestFit="1" customWidth="1"/>
    <col min="1631" max="1631" width="10.28515625" bestFit="1" customWidth="1"/>
    <col min="1632" max="1632" width="10.42578125" bestFit="1" customWidth="1"/>
    <col min="1633" max="1633" width="11.5703125" bestFit="1" customWidth="1"/>
    <col min="1634" max="1634" width="5.28515625" bestFit="1" customWidth="1"/>
    <col min="1635" max="1637" width="11.5703125" bestFit="1" customWidth="1"/>
    <col min="1638" max="1638" width="5.28515625" bestFit="1" customWidth="1"/>
    <col min="1639" max="1640" width="10.42578125" bestFit="1" customWidth="1"/>
    <col min="1641" max="1641" width="11.5703125" bestFit="1" customWidth="1"/>
    <col min="1642" max="1642" width="5.28515625" bestFit="1" customWidth="1"/>
    <col min="1643" max="1643" width="14.28515625" bestFit="1" customWidth="1"/>
    <col min="1644" max="1644" width="13" bestFit="1" customWidth="1"/>
    <col min="1645" max="1645" width="11.5703125" bestFit="1" customWidth="1"/>
    <col min="1646" max="1646" width="8.85546875" bestFit="1" customWidth="1"/>
    <col min="1647" max="1647" width="14.42578125" bestFit="1" customWidth="1"/>
    <col min="1648" max="1648" width="10.42578125" bestFit="1" customWidth="1"/>
    <col min="1649" max="1649" width="12.28515625" bestFit="1" customWidth="1"/>
    <col min="1650" max="1650" width="13.85546875" bestFit="1" customWidth="1"/>
    <col min="1651" max="1651" width="11.28515625" customWidth="1"/>
    <col min="1652" max="1652" width="11.5703125" customWidth="1"/>
    <col min="1653" max="1653" width="13.42578125" bestFit="1" customWidth="1"/>
    <col min="1654" max="1654" width="10.42578125" customWidth="1"/>
    <col min="1655" max="1655" width="13.85546875" bestFit="1" customWidth="1"/>
    <col min="1656" max="1656" width="15.42578125" bestFit="1" customWidth="1"/>
    <col min="1657" max="1657" width="12.28515625" bestFit="1" customWidth="1"/>
    <col min="1658" max="1658" width="12.7109375" customWidth="1"/>
    <col min="1659" max="1659" width="10.7109375" bestFit="1" customWidth="1"/>
    <col min="1660" max="1660" width="9.85546875" customWidth="1"/>
    <col min="1661" max="1662" width="10.140625" bestFit="1" customWidth="1"/>
    <col min="1663" max="1663" width="7.5703125" bestFit="1" customWidth="1"/>
    <col min="1664" max="1664" width="9.42578125" bestFit="1" customWidth="1"/>
    <col min="1665" max="1665" width="14.5703125" bestFit="1" customWidth="1"/>
    <col min="1666" max="1666" width="14.85546875" customWidth="1"/>
    <col min="1667" max="1667" width="15.140625" bestFit="1" customWidth="1"/>
    <col min="1668" max="1668" width="12.140625" bestFit="1" customWidth="1"/>
    <col min="1669" max="1669" width="14.85546875" bestFit="1" customWidth="1"/>
    <col min="1670" max="1670" width="12.28515625" bestFit="1" customWidth="1"/>
    <col min="1671" max="1679" width="9.140625" hidden="1" customWidth="1"/>
    <col min="1680" max="1680" width="5.28515625" bestFit="1" customWidth="1"/>
    <col min="1681" max="1686" width="11.5703125" bestFit="1" customWidth="1"/>
    <col min="1687" max="1687" width="11.28515625" bestFit="1" customWidth="1"/>
    <col min="1688" max="1688" width="10.140625" bestFit="1" customWidth="1"/>
    <col min="1689" max="1689" width="11.5703125" bestFit="1" customWidth="1"/>
    <col min="1690" max="1690" width="16.140625" customWidth="1"/>
    <col min="1691" max="1691" width="13.42578125" customWidth="1"/>
    <col min="1692" max="1692" width="10.140625" bestFit="1" customWidth="1"/>
    <col min="1693" max="1693" width="12.85546875" bestFit="1" customWidth="1"/>
    <col min="1694" max="1694" width="12.28515625" bestFit="1" customWidth="1"/>
    <col min="1695" max="1695" width="11.28515625" bestFit="1" customWidth="1"/>
    <col min="1696" max="1696" width="11.5703125" bestFit="1" customWidth="1"/>
    <col min="1697" max="1697" width="10.85546875" bestFit="1" customWidth="1"/>
    <col min="1698" max="1698" width="11.28515625" bestFit="1" customWidth="1"/>
    <col min="1699" max="1699" width="10.140625" bestFit="1" customWidth="1"/>
    <col min="1700" max="1700" width="13.28515625" bestFit="1" customWidth="1"/>
    <col min="1701" max="1702" width="12.7109375" bestFit="1" customWidth="1"/>
    <col min="1703" max="1703" width="11" bestFit="1" customWidth="1"/>
    <col min="1704" max="1704" width="11.28515625" bestFit="1" customWidth="1"/>
    <col min="1705" max="1705" width="11.5703125" bestFit="1" customWidth="1"/>
    <col min="1706" max="1706" width="12.28515625" bestFit="1" customWidth="1"/>
    <col min="1707" max="1707" width="15.140625" bestFit="1" customWidth="1"/>
    <col min="1708" max="1708" width="14.42578125" bestFit="1" customWidth="1"/>
    <col min="1709" max="1709" width="12.28515625" bestFit="1" customWidth="1"/>
    <col min="1710" max="1710" width="15.140625" bestFit="1" customWidth="1"/>
    <col min="1711" max="1711" width="14.42578125" bestFit="1" customWidth="1"/>
    <col min="1712" max="1712" width="12.28515625" bestFit="1" customWidth="1"/>
    <col min="1713" max="1713" width="14.42578125" bestFit="1" customWidth="1"/>
    <col min="1714" max="1714" width="11.28515625" bestFit="1" customWidth="1"/>
    <col min="1715" max="1715" width="12.28515625" bestFit="1" customWidth="1"/>
    <col min="1716" max="1716" width="13" bestFit="1" customWidth="1"/>
    <col min="1717" max="1717" width="15.140625" bestFit="1" customWidth="1"/>
    <col min="1718" max="1718" width="12.28515625" bestFit="1" customWidth="1"/>
    <col min="1719" max="1719" width="13.85546875" bestFit="1" customWidth="1"/>
    <col min="1720" max="1720" width="11.28515625" bestFit="1" customWidth="1"/>
    <col min="1721" max="1721" width="12.28515625" bestFit="1" customWidth="1"/>
    <col min="1722" max="1722" width="13.85546875" bestFit="1" customWidth="1"/>
    <col min="1723" max="1724" width="15.140625" bestFit="1" customWidth="1"/>
    <col min="1725" max="1725" width="12.28515625" bestFit="1" customWidth="1"/>
    <col min="1726" max="1726" width="5.7109375" bestFit="1" customWidth="1"/>
    <col min="1727" max="1727" width="8.5703125" bestFit="1" customWidth="1"/>
    <col min="1728" max="1728" width="5.5703125" bestFit="1" customWidth="1"/>
    <col min="1729" max="1729" width="14.42578125" bestFit="1" customWidth="1"/>
    <col min="1730" max="1730" width="11.28515625" bestFit="1" customWidth="1"/>
    <col min="1731" max="1732" width="12.28515625" bestFit="1" customWidth="1"/>
    <col min="1733" max="1733" width="11.28515625" bestFit="1" customWidth="1"/>
    <col min="1734" max="1734" width="13.85546875" bestFit="1" customWidth="1"/>
    <col min="1735" max="1735" width="12" bestFit="1" customWidth="1"/>
    <col min="1736" max="1736" width="13.85546875" bestFit="1" customWidth="1"/>
    <col min="1737" max="1738" width="14.42578125" customWidth="1"/>
    <col min="1739" max="1739" width="10.140625" bestFit="1" customWidth="1"/>
    <col min="1740" max="1740" width="12.28515625" bestFit="1" customWidth="1"/>
    <col min="1741" max="1741" width="7.42578125" bestFit="1" customWidth="1"/>
    <col min="1742" max="1742" width="8.5703125" bestFit="1" customWidth="1"/>
    <col min="1743" max="1743" width="11.5703125" bestFit="1" customWidth="1"/>
    <col min="1744" max="1744" width="13.28515625" bestFit="1" customWidth="1"/>
    <col min="1745" max="1745" width="13.28515625" customWidth="1"/>
    <col min="1746" max="1746" width="13.140625" customWidth="1"/>
    <col min="1747" max="1747" width="12.7109375" bestFit="1" customWidth="1"/>
    <col min="1748" max="1748" width="13.28515625" bestFit="1" customWidth="1"/>
    <col min="1749" max="1751" width="13.28515625" customWidth="1"/>
    <col min="1752" max="1752" width="12.140625" bestFit="1" customWidth="1"/>
    <col min="1753" max="1753" width="12.7109375" bestFit="1" customWidth="1"/>
    <col min="1754" max="1754" width="11" customWidth="1"/>
    <col min="1755" max="1755" width="16.7109375" customWidth="1"/>
    <col min="1756" max="1756" width="17" customWidth="1"/>
    <col min="1757" max="1757" width="10.42578125" bestFit="1" customWidth="1"/>
    <col min="1801" max="1801" width="3.85546875" customWidth="1"/>
    <col min="1802" max="1802" width="15.28515625" bestFit="1" customWidth="1"/>
    <col min="1803" max="1803" width="12.28515625" customWidth="1"/>
    <col min="1804" max="1804" width="16.28515625" bestFit="1" customWidth="1"/>
    <col min="1805" max="1805" width="6.42578125" bestFit="1" customWidth="1"/>
    <col min="1806" max="1806" width="9.28515625" bestFit="1" customWidth="1"/>
    <col min="1807" max="1807" width="7.5703125" bestFit="1" customWidth="1"/>
    <col min="1808" max="1808" width="13.28515625" bestFit="1" customWidth="1"/>
    <col min="1809" max="1809" width="9.28515625" bestFit="1" customWidth="1"/>
    <col min="1810" max="1810" width="11.5703125" bestFit="1" customWidth="1"/>
    <col min="1811" max="1811" width="13.28515625" bestFit="1" customWidth="1"/>
    <col min="1812" max="1812" width="7.140625" bestFit="1" customWidth="1"/>
    <col min="1813" max="1813" width="12" bestFit="1" customWidth="1"/>
    <col min="1814" max="1814" width="13.28515625" bestFit="1" customWidth="1"/>
    <col min="1815" max="1815" width="7" bestFit="1" customWidth="1"/>
    <col min="1816" max="1816" width="12.7109375" bestFit="1" customWidth="1"/>
    <col min="1817" max="1817" width="11.5703125" bestFit="1" customWidth="1"/>
    <col min="1818" max="1818" width="10.5703125" bestFit="1" customWidth="1"/>
    <col min="1819" max="1820" width="15.7109375" bestFit="1" customWidth="1"/>
    <col min="1821" max="1821" width="11.5703125" bestFit="1" customWidth="1"/>
    <col min="1822" max="1822" width="7.7109375" bestFit="1" customWidth="1"/>
    <col min="1823" max="1823" width="15.140625" bestFit="1" customWidth="1"/>
    <col min="1824" max="1824" width="11.5703125" bestFit="1" customWidth="1"/>
    <col min="1825" max="1825" width="13.28515625" bestFit="1" customWidth="1"/>
    <col min="1826" max="1826" width="10.42578125" bestFit="1" customWidth="1"/>
    <col min="1827" max="1827" width="13.28515625" bestFit="1" customWidth="1"/>
    <col min="1828" max="1828" width="12.140625" bestFit="1" customWidth="1"/>
    <col min="1829" max="1829" width="14.42578125" bestFit="1" customWidth="1"/>
    <col min="1830" max="1830" width="13.28515625" bestFit="1" customWidth="1"/>
    <col min="1831" max="1831" width="11.5703125" bestFit="1" customWidth="1"/>
    <col min="1832" max="1832" width="7.7109375" bestFit="1" customWidth="1"/>
    <col min="1833" max="1834" width="14.42578125" bestFit="1" customWidth="1"/>
    <col min="1835" max="1835" width="11.5703125" bestFit="1" customWidth="1"/>
    <col min="1836" max="1836" width="7.7109375" bestFit="1" customWidth="1"/>
    <col min="1837" max="1837" width="13.5703125" customWidth="1"/>
    <col min="1838" max="1838" width="15.28515625" customWidth="1"/>
    <col min="1839" max="1839" width="14.5703125" customWidth="1"/>
    <col min="1840" max="1840" width="13.28515625" bestFit="1" customWidth="1"/>
    <col min="1841" max="1841" width="7.7109375" bestFit="1" customWidth="1"/>
    <col min="1842" max="1842" width="12.7109375" bestFit="1" customWidth="1"/>
    <col min="1843" max="1843" width="11.7109375" bestFit="1" customWidth="1"/>
    <col min="1844" max="1844" width="11.5703125" bestFit="1" customWidth="1"/>
    <col min="1845" max="1845" width="5.28515625" bestFit="1" customWidth="1"/>
    <col min="1846" max="1846" width="13.28515625" bestFit="1" customWidth="1"/>
    <col min="1847" max="1847" width="13.5703125" bestFit="1" customWidth="1"/>
    <col min="1848" max="1848" width="10.5703125" bestFit="1" customWidth="1"/>
    <col min="1849" max="1849" width="13.28515625" bestFit="1" customWidth="1"/>
    <col min="1850" max="1850" width="11.5703125" bestFit="1" customWidth="1"/>
    <col min="1851" max="1851" width="10.5703125" bestFit="1" customWidth="1"/>
    <col min="1852" max="1852" width="16.140625" bestFit="1" customWidth="1"/>
    <col min="1853" max="1854" width="11.28515625" bestFit="1" customWidth="1"/>
    <col min="1855" max="1855" width="13.28515625" bestFit="1" customWidth="1"/>
    <col min="1856" max="1856" width="7.7109375" bestFit="1" customWidth="1"/>
    <col min="1857" max="1860" width="9.140625" hidden="1" customWidth="1"/>
    <col min="1861" max="1861" width="10.42578125" bestFit="1" customWidth="1"/>
    <col min="1862" max="1862" width="10.5703125" bestFit="1" customWidth="1"/>
    <col min="1863" max="1863" width="10.42578125" bestFit="1" customWidth="1"/>
    <col min="1864" max="1864" width="10.5703125" bestFit="1" customWidth="1"/>
    <col min="1865" max="1865" width="9.5703125" bestFit="1" customWidth="1"/>
    <col min="1866" max="1866" width="11.5703125" bestFit="1" customWidth="1"/>
    <col min="1867" max="1867" width="10.42578125" bestFit="1" customWidth="1"/>
    <col min="1868" max="1868" width="10.85546875" customWidth="1"/>
    <col min="1869" max="1870" width="9.85546875" bestFit="1" customWidth="1"/>
    <col min="1871" max="1871" width="13.5703125" bestFit="1" customWidth="1"/>
    <col min="1872" max="1872" width="7.7109375" bestFit="1" customWidth="1"/>
    <col min="1873" max="1873" width="13.28515625" bestFit="1" customWidth="1"/>
    <col min="1874" max="1874" width="11.5703125" bestFit="1" customWidth="1"/>
    <col min="1875" max="1875" width="10.42578125" bestFit="1" customWidth="1"/>
    <col min="1876" max="1876" width="7.7109375" bestFit="1" customWidth="1"/>
    <col min="1877" max="1877" width="11.5703125" bestFit="1" customWidth="1"/>
    <col min="1878" max="1878" width="10.85546875" bestFit="1" customWidth="1"/>
    <col min="1879" max="1879" width="13.28515625" bestFit="1" customWidth="1"/>
    <col min="1880" max="1880" width="10.85546875" bestFit="1" customWidth="1"/>
    <col min="1881" max="1882" width="7.5703125" bestFit="1" customWidth="1"/>
    <col min="1883" max="1884" width="10.42578125" bestFit="1" customWidth="1"/>
    <col min="1885" max="1885" width="11.5703125" bestFit="1" customWidth="1"/>
    <col min="1886" max="1886" width="5.28515625" bestFit="1" customWidth="1"/>
    <col min="1887" max="1887" width="10.28515625" bestFit="1" customWidth="1"/>
    <col min="1888" max="1888" width="10.42578125" bestFit="1" customWidth="1"/>
    <col min="1889" max="1889" width="11.5703125" bestFit="1" customWidth="1"/>
    <col min="1890" max="1890" width="5.28515625" bestFit="1" customWidth="1"/>
    <col min="1891" max="1893" width="11.5703125" bestFit="1" customWidth="1"/>
    <col min="1894" max="1894" width="5.28515625" bestFit="1" customWidth="1"/>
    <col min="1895" max="1896" width="10.42578125" bestFit="1" customWidth="1"/>
    <col min="1897" max="1897" width="11.5703125" bestFit="1" customWidth="1"/>
    <col min="1898" max="1898" width="5.28515625" bestFit="1" customWidth="1"/>
    <col min="1899" max="1899" width="14.28515625" bestFit="1" customWidth="1"/>
    <col min="1900" max="1900" width="13" bestFit="1" customWidth="1"/>
    <col min="1901" max="1901" width="11.5703125" bestFit="1" customWidth="1"/>
    <col min="1902" max="1902" width="8.85546875" bestFit="1" customWidth="1"/>
    <col min="1903" max="1903" width="14.42578125" bestFit="1" customWidth="1"/>
    <col min="1904" max="1904" width="10.42578125" bestFit="1" customWidth="1"/>
    <col min="1905" max="1905" width="12.28515625" bestFit="1" customWidth="1"/>
    <col min="1906" max="1906" width="13.85546875" bestFit="1" customWidth="1"/>
    <col min="1907" max="1907" width="11.28515625" customWidth="1"/>
    <col min="1908" max="1908" width="11.5703125" customWidth="1"/>
    <col min="1909" max="1909" width="13.42578125" bestFit="1" customWidth="1"/>
    <col min="1910" max="1910" width="10.42578125" customWidth="1"/>
    <col min="1911" max="1911" width="13.85546875" bestFit="1" customWidth="1"/>
    <col min="1912" max="1912" width="15.42578125" bestFit="1" customWidth="1"/>
    <col min="1913" max="1913" width="12.28515625" bestFit="1" customWidth="1"/>
    <col min="1914" max="1914" width="12.7109375" customWidth="1"/>
    <col min="1915" max="1915" width="10.7109375" bestFit="1" customWidth="1"/>
    <col min="1916" max="1916" width="9.85546875" customWidth="1"/>
    <col min="1917" max="1918" width="10.140625" bestFit="1" customWidth="1"/>
    <col min="1919" max="1919" width="7.5703125" bestFit="1" customWidth="1"/>
    <col min="1920" max="1920" width="9.42578125" bestFit="1" customWidth="1"/>
    <col min="1921" max="1921" width="14.5703125" bestFit="1" customWidth="1"/>
    <col min="1922" max="1922" width="14.85546875" customWidth="1"/>
    <col min="1923" max="1923" width="15.140625" bestFit="1" customWidth="1"/>
    <col min="1924" max="1924" width="12.140625" bestFit="1" customWidth="1"/>
    <col min="1925" max="1925" width="14.85546875" bestFit="1" customWidth="1"/>
    <col min="1926" max="1926" width="12.28515625" bestFit="1" customWidth="1"/>
    <col min="1927" max="1935" width="9.140625" hidden="1" customWidth="1"/>
    <col min="1936" max="1936" width="5.28515625" bestFit="1" customWidth="1"/>
    <col min="1937" max="1942" width="11.5703125" bestFit="1" customWidth="1"/>
    <col min="1943" max="1943" width="11.28515625" bestFit="1" customWidth="1"/>
    <col min="1944" max="1944" width="10.140625" bestFit="1" customWidth="1"/>
    <col min="1945" max="1945" width="11.5703125" bestFit="1" customWidth="1"/>
    <col min="1946" max="1946" width="16.140625" customWidth="1"/>
    <col min="1947" max="1947" width="13.42578125" customWidth="1"/>
    <col min="1948" max="1948" width="10.140625" bestFit="1" customWidth="1"/>
    <col min="1949" max="1949" width="12.85546875" bestFit="1" customWidth="1"/>
    <col min="1950" max="1950" width="12.28515625" bestFit="1" customWidth="1"/>
    <col min="1951" max="1951" width="11.28515625" bestFit="1" customWidth="1"/>
    <col min="1952" max="1952" width="11.5703125" bestFit="1" customWidth="1"/>
    <col min="1953" max="1953" width="10.85546875" bestFit="1" customWidth="1"/>
    <col min="1954" max="1954" width="11.28515625" bestFit="1" customWidth="1"/>
    <col min="1955" max="1955" width="10.140625" bestFit="1" customWidth="1"/>
    <col min="1956" max="1956" width="13.28515625" bestFit="1" customWidth="1"/>
    <col min="1957" max="1958" width="12.7109375" bestFit="1" customWidth="1"/>
    <col min="1959" max="1959" width="11" bestFit="1" customWidth="1"/>
    <col min="1960" max="1960" width="11.28515625" bestFit="1" customWidth="1"/>
    <col min="1961" max="1961" width="11.5703125" bestFit="1" customWidth="1"/>
    <col min="1962" max="1962" width="12.28515625" bestFit="1" customWidth="1"/>
    <col min="1963" max="1963" width="15.140625" bestFit="1" customWidth="1"/>
    <col min="1964" max="1964" width="14.42578125" bestFit="1" customWidth="1"/>
    <col min="1965" max="1965" width="12.28515625" bestFit="1" customWidth="1"/>
    <col min="1966" max="1966" width="15.140625" bestFit="1" customWidth="1"/>
    <col min="1967" max="1967" width="14.42578125" bestFit="1" customWidth="1"/>
    <col min="1968" max="1968" width="12.28515625" bestFit="1" customWidth="1"/>
    <col min="1969" max="1969" width="14.42578125" bestFit="1" customWidth="1"/>
    <col min="1970" max="1970" width="11.28515625" bestFit="1" customWidth="1"/>
    <col min="1971" max="1971" width="12.28515625" bestFit="1" customWidth="1"/>
    <col min="1972" max="1972" width="13" bestFit="1" customWidth="1"/>
    <col min="1973" max="1973" width="15.140625" bestFit="1" customWidth="1"/>
    <col min="1974" max="1974" width="12.28515625" bestFit="1" customWidth="1"/>
    <col min="1975" max="1975" width="13.85546875" bestFit="1" customWidth="1"/>
    <col min="1976" max="1976" width="11.28515625" bestFit="1" customWidth="1"/>
    <col min="1977" max="1977" width="12.28515625" bestFit="1" customWidth="1"/>
    <col min="1978" max="1978" width="13.85546875" bestFit="1" customWidth="1"/>
    <col min="1979" max="1980" width="15.140625" bestFit="1" customWidth="1"/>
    <col min="1981" max="1981" width="12.28515625" bestFit="1" customWidth="1"/>
    <col min="1982" max="1982" width="5.7109375" bestFit="1" customWidth="1"/>
    <col min="1983" max="1983" width="8.5703125" bestFit="1" customWidth="1"/>
    <col min="1984" max="1984" width="5.5703125" bestFit="1" customWidth="1"/>
    <col min="1985" max="1985" width="14.42578125" bestFit="1" customWidth="1"/>
    <col min="1986" max="1986" width="11.28515625" bestFit="1" customWidth="1"/>
    <col min="1987" max="1988" width="12.28515625" bestFit="1" customWidth="1"/>
    <col min="1989" max="1989" width="11.28515625" bestFit="1" customWidth="1"/>
    <col min="1990" max="1990" width="13.85546875" bestFit="1" customWidth="1"/>
    <col min="1991" max="1991" width="12" bestFit="1" customWidth="1"/>
    <col min="1992" max="1992" width="13.85546875" bestFit="1" customWidth="1"/>
    <col min="1993" max="1994" width="14.42578125" customWidth="1"/>
    <col min="1995" max="1995" width="10.140625" bestFit="1" customWidth="1"/>
    <col min="1996" max="1996" width="12.28515625" bestFit="1" customWidth="1"/>
    <col min="1997" max="1997" width="7.42578125" bestFit="1" customWidth="1"/>
    <col min="1998" max="1998" width="8.5703125" bestFit="1" customWidth="1"/>
    <col min="1999" max="1999" width="11.5703125" bestFit="1" customWidth="1"/>
    <col min="2000" max="2000" width="13.28515625" bestFit="1" customWidth="1"/>
    <col min="2001" max="2001" width="13.28515625" customWidth="1"/>
    <col min="2002" max="2002" width="13.140625" customWidth="1"/>
    <col min="2003" max="2003" width="12.7109375" bestFit="1" customWidth="1"/>
    <col min="2004" max="2004" width="13.28515625" bestFit="1" customWidth="1"/>
    <col min="2005" max="2007" width="13.28515625" customWidth="1"/>
    <col min="2008" max="2008" width="12.140625" bestFit="1" customWidth="1"/>
    <col min="2009" max="2009" width="12.7109375" bestFit="1" customWidth="1"/>
    <col min="2010" max="2010" width="11" customWidth="1"/>
    <col min="2011" max="2011" width="16.7109375" customWidth="1"/>
    <col min="2012" max="2012" width="17" customWidth="1"/>
    <col min="2013" max="2013" width="10.42578125" bestFit="1" customWidth="1"/>
    <col min="2057" max="2057" width="3.85546875" customWidth="1"/>
    <col min="2058" max="2058" width="15.28515625" bestFit="1" customWidth="1"/>
    <col min="2059" max="2059" width="12.28515625" customWidth="1"/>
    <col min="2060" max="2060" width="16.28515625" bestFit="1" customWidth="1"/>
    <col min="2061" max="2061" width="6.42578125" bestFit="1" customWidth="1"/>
    <col min="2062" max="2062" width="9.28515625" bestFit="1" customWidth="1"/>
    <col min="2063" max="2063" width="7.5703125" bestFit="1" customWidth="1"/>
    <col min="2064" max="2064" width="13.28515625" bestFit="1" customWidth="1"/>
    <col min="2065" max="2065" width="9.28515625" bestFit="1" customWidth="1"/>
    <col min="2066" max="2066" width="11.5703125" bestFit="1" customWidth="1"/>
    <col min="2067" max="2067" width="13.28515625" bestFit="1" customWidth="1"/>
    <col min="2068" max="2068" width="7.140625" bestFit="1" customWidth="1"/>
    <col min="2069" max="2069" width="12" bestFit="1" customWidth="1"/>
    <col min="2070" max="2070" width="13.28515625" bestFit="1" customWidth="1"/>
    <col min="2071" max="2071" width="7" bestFit="1" customWidth="1"/>
    <col min="2072" max="2072" width="12.7109375" bestFit="1" customWidth="1"/>
    <col min="2073" max="2073" width="11.5703125" bestFit="1" customWidth="1"/>
    <col min="2074" max="2074" width="10.5703125" bestFit="1" customWidth="1"/>
    <col min="2075" max="2076" width="15.7109375" bestFit="1" customWidth="1"/>
    <col min="2077" max="2077" width="11.5703125" bestFit="1" customWidth="1"/>
    <col min="2078" max="2078" width="7.7109375" bestFit="1" customWidth="1"/>
    <col min="2079" max="2079" width="15.140625" bestFit="1" customWidth="1"/>
    <col min="2080" max="2080" width="11.5703125" bestFit="1" customWidth="1"/>
    <col min="2081" max="2081" width="13.28515625" bestFit="1" customWidth="1"/>
    <col min="2082" max="2082" width="10.42578125" bestFit="1" customWidth="1"/>
    <col min="2083" max="2083" width="13.28515625" bestFit="1" customWidth="1"/>
    <col min="2084" max="2084" width="12.140625" bestFit="1" customWidth="1"/>
    <col min="2085" max="2085" width="14.42578125" bestFit="1" customWidth="1"/>
    <col min="2086" max="2086" width="13.28515625" bestFit="1" customWidth="1"/>
    <col min="2087" max="2087" width="11.5703125" bestFit="1" customWidth="1"/>
    <col min="2088" max="2088" width="7.7109375" bestFit="1" customWidth="1"/>
    <col min="2089" max="2090" width="14.42578125" bestFit="1" customWidth="1"/>
    <col min="2091" max="2091" width="11.5703125" bestFit="1" customWidth="1"/>
    <col min="2092" max="2092" width="7.7109375" bestFit="1" customWidth="1"/>
    <col min="2093" max="2093" width="13.5703125" customWidth="1"/>
    <col min="2094" max="2094" width="15.28515625" customWidth="1"/>
    <col min="2095" max="2095" width="14.5703125" customWidth="1"/>
    <col min="2096" max="2096" width="13.28515625" bestFit="1" customWidth="1"/>
    <col min="2097" max="2097" width="7.7109375" bestFit="1" customWidth="1"/>
    <col min="2098" max="2098" width="12.7109375" bestFit="1" customWidth="1"/>
    <col min="2099" max="2099" width="11.7109375" bestFit="1" customWidth="1"/>
    <col min="2100" max="2100" width="11.5703125" bestFit="1" customWidth="1"/>
    <col min="2101" max="2101" width="5.28515625" bestFit="1" customWidth="1"/>
    <col min="2102" max="2102" width="13.28515625" bestFit="1" customWidth="1"/>
    <col min="2103" max="2103" width="13.5703125" bestFit="1" customWidth="1"/>
    <col min="2104" max="2104" width="10.5703125" bestFit="1" customWidth="1"/>
    <col min="2105" max="2105" width="13.28515625" bestFit="1" customWidth="1"/>
    <col min="2106" max="2106" width="11.5703125" bestFit="1" customWidth="1"/>
    <col min="2107" max="2107" width="10.5703125" bestFit="1" customWidth="1"/>
    <col min="2108" max="2108" width="16.140625" bestFit="1" customWidth="1"/>
    <col min="2109" max="2110" width="11.28515625" bestFit="1" customWidth="1"/>
    <col min="2111" max="2111" width="13.28515625" bestFit="1" customWidth="1"/>
    <col min="2112" max="2112" width="7.7109375" bestFit="1" customWidth="1"/>
    <col min="2113" max="2116" width="9.140625" hidden="1" customWidth="1"/>
    <col min="2117" max="2117" width="10.42578125" bestFit="1" customWidth="1"/>
    <col min="2118" max="2118" width="10.5703125" bestFit="1" customWidth="1"/>
    <col min="2119" max="2119" width="10.42578125" bestFit="1" customWidth="1"/>
    <col min="2120" max="2120" width="10.5703125" bestFit="1" customWidth="1"/>
    <col min="2121" max="2121" width="9.5703125" bestFit="1" customWidth="1"/>
    <col min="2122" max="2122" width="11.5703125" bestFit="1" customWidth="1"/>
    <col min="2123" max="2123" width="10.42578125" bestFit="1" customWidth="1"/>
    <col min="2124" max="2124" width="10.85546875" customWidth="1"/>
    <col min="2125" max="2126" width="9.85546875" bestFit="1" customWidth="1"/>
    <col min="2127" max="2127" width="13.5703125" bestFit="1" customWidth="1"/>
    <col min="2128" max="2128" width="7.7109375" bestFit="1" customWidth="1"/>
    <col min="2129" max="2129" width="13.28515625" bestFit="1" customWidth="1"/>
    <col min="2130" max="2130" width="11.5703125" bestFit="1" customWidth="1"/>
    <col min="2131" max="2131" width="10.42578125" bestFit="1" customWidth="1"/>
    <col min="2132" max="2132" width="7.7109375" bestFit="1" customWidth="1"/>
    <col min="2133" max="2133" width="11.5703125" bestFit="1" customWidth="1"/>
    <col min="2134" max="2134" width="10.85546875" bestFit="1" customWidth="1"/>
    <col min="2135" max="2135" width="13.28515625" bestFit="1" customWidth="1"/>
    <col min="2136" max="2136" width="10.85546875" bestFit="1" customWidth="1"/>
    <col min="2137" max="2138" width="7.5703125" bestFit="1" customWidth="1"/>
    <col min="2139" max="2140" width="10.42578125" bestFit="1" customWidth="1"/>
    <col min="2141" max="2141" width="11.5703125" bestFit="1" customWidth="1"/>
    <col min="2142" max="2142" width="5.28515625" bestFit="1" customWidth="1"/>
    <col min="2143" max="2143" width="10.28515625" bestFit="1" customWidth="1"/>
    <col min="2144" max="2144" width="10.42578125" bestFit="1" customWidth="1"/>
    <col min="2145" max="2145" width="11.5703125" bestFit="1" customWidth="1"/>
    <col min="2146" max="2146" width="5.28515625" bestFit="1" customWidth="1"/>
    <col min="2147" max="2149" width="11.5703125" bestFit="1" customWidth="1"/>
    <col min="2150" max="2150" width="5.28515625" bestFit="1" customWidth="1"/>
    <col min="2151" max="2152" width="10.42578125" bestFit="1" customWidth="1"/>
    <col min="2153" max="2153" width="11.5703125" bestFit="1" customWidth="1"/>
    <col min="2154" max="2154" width="5.28515625" bestFit="1" customWidth="1"/>
    <col min="2155" max="2155" width="14.28515625" bestFit="1" customWidth="1"/>
    <col min="2156" max="2156" width="13" bestFit="1" customWidth="1"/>
    <col min="2157" max="2157" width="11.5703125" bestFit="1" customWidth="1"/>
    <col min="2158" max="2158" width="8.85546875" bestFit="1" customWidth="1"/>
    <col min="2159" max="2159" width="14.42578125" bestFit="1" customWidth="1"/>
    <col min="2160" max="2160" width="10.42578125" bestFit="1" customWidth="1"/>
    <col min="2161" max="2161" width="12.28515625" bestFit="1" customWidth="1"/>
    <col min="2162" max="2162" width="13.85546875" bestFit="1" customWidth="1"/>
    <col min="2163" max="2163" width="11.28515625" customWidth="1"/>
    <col min="2164" max="2164" width="11.5703125" customWidth="1"/>
    <col min="2165" max="2165" width="13.42578125" bestFit="1" customWidth="1"/>
    <col min="2166" max="2166" width="10.42578125" customWidth="1"/>
    <col min="2167" max="2167" width="13.85546875" bestFit="1" customWidth="1"/>
    <col min="2168" max="2168" width="15.42578125" bestFit="1" customWidth="1"/>
    <col min="2169" max="2169" width="12.28515625" bestFit="1" customWidth="1"/>
    <col min="2170" max="2170" width="12.7109375" customWidth="1"/>
    <col min="2171" max="2171" width="10.7109375" bestFit="1" customWidth="1"/>
    <col min="2172" max="2172" width="9.85546875" customWidth="1"/>
    <col min="2173" max="2174" width="10.140625" bestFit="1" customWidth="1"/>
    <col min="2175" max="2175" width="7.5703125" bestFit="1" customWidth="1"/>
    <col min="2176" max="2176" width="9.42578125" bestFit="1" customWidth="1"/>
    <col min="2177" max="2177" width="14.5703125" bestFit="1" customWidth="1"/>
    <col min="2178" max="2178" width="14.85546875" customWidth="1"/>
    <col min="2179" max="2179" width="15.140625" bestFit="1" customWidth="1"/>
    <col min="2180" max="2180" width="12.140625" bestFit="1" customWidth="1"/>
    <col min="2181" max="2181" width="14.85546875" bestFit="1" customWidth="1"/>
    <col min="2182" max="2182" width="12.28515625" bestFit="1" customWidth="1"/>
    <col min="2183" max="2191" width="9.140625" hidden="1" customWidth="1"/>
    <col min="2192" max="2192" width="5.28515625" bestFit="1" customWidth="1"/>
    <col min="2193" max="2198" width="11.5703125" bestFit="1" customWidth="1"/>
    <col min="2199" max="2199" width="11.28515625" bestFit="1" customWidth="1"/>
    <col min="2200" max="2200" width="10.140625" bestFit="1" customWidth="1"/>
    <col min="2201" max="2201" width="11.5703125" bestFit="1" customWidth="1"/>
    <col min="2202" max="2202" width="16.140625" customWidth="1"/>
    <col min="2203" max="2203" width="13.42578125" customWidth="1"/>
    <col min="2204" max="2204" width="10.140625" bestFit="1" customWidth="1"/>
    <col min="2205" max="2205" width="12.85546875" bestFit="1" customWidth="1"/>
    <col min="2206" max="2206" width="12.28515625" bestFit="1" customWidth="1"/>
    <col min="2207" max="2207" width="11.28515625" bestFit="1" customWidth="1"/>
    <col min="2208" max="2208" width="11.5703125" bestFit="1" customWidth="1"/>
    <col min="2209" max="2209" width="10.85546875" bestFit="1" customWidth="1"/>
    <col min="2210" max="2210" width="11.28515625" bestFit="1" customWidth="1"/>
    <col min="2211" max="2211" width="10.140625" bestFit="1" customWidth="1"/>
    <col min="2212" max="2212" width="13.28515625" bestFit="1" customWidth="1"/>
    <col min="2213" max="2214" width="12.7109375" bestFit="1" customWidth="1"/>
    <col min="2215" max="2215" width="11" bestFit="1" customWidth="1"/>
    <col min="2216" max="2216" width="11.28515625" bestFit="1" customWidth="1"/>
    <col min="2217" max="2217" width="11.5703125" bestFit="1" customWidth="1"/>
    <col min="2218" max="2218" width="12.28515625" bestFit="1" customWidth="1"/>
    <col min="2219" max="2219" width="15.140625" bestFit="1" customWidth="1"/>
    <col min="2220" max="2220" width="14.42578125" bestFit="1" customWidth="1"/>
    <col min="2221" max="2221" width="12.28515625" bestFit="1" customWidth="1"/>
    <col min="2222" max="2222" width="15.140625" bestFit="1" customWidth="1"/>
    <col min="2223" max="2223" width="14.42578125" bestFit="1" customWidth="1"/>
    <col min="2224" max="2224" width="12.28515625" bestFit="1" customWidth="1"/>
    <col min="2225" max="2225" width="14.42578125" bestFit="1" customWidth="1"/>
    <col min="2226" max="2226" width="11.28515625" bestFit="1" customWidth="1"/>
    <col min="2227" max="2227" width="12.28515625" bestFit="1" customWidth="1"/>
    <col min="2228" max="2228" width="13" bestFit="1" customWidth="1"/>
    <col min="2229" max="2229" width="15.140625" bestFit="1" customWidth="1"/>
    <col min="2230" max="2230" width="12.28515625" bestFit="1" customWidth="1"/>
    <col min="2231" max="2231" width="13.85546875" bestFit="1" customWidth="1"/>
    <col min="2232" max="2232" width="11.28515625" bestFit="1" customWidth="1"/>
    <col min="2233" max="2233" width="12.28515625" bestFit="1" customWidth="1"/>
    <col min="2234" max="2234" width="13.85546875" bestFit="1" customWidth="1"/>
    <col min="2235" max="2236" width="15.140625" bestFit="1" customWidth="1"/>
    <col min="2237" max="2237" width="12.28515625" bestFit="1" customWidth="1"/>
    <col min="2238" max="2238" width="5.7109375" bestFit="1" customWidth="1"/>
    <col min="2239" max="2239" width="8.5703125" bestFit="1" customWidth="1"/>
    <col min="2240" max="2240" width="5.5703125" bestFit="1" customWidth="1"/>
    <col min="2241" max="2241" width="14.42578125" bestFit="1" customWidth="1"/>
    <col min="2242" max="2242" width="11.28515625" bestFit="1" customWidth="1"/>
    <col min="2243" max="2244" width="12.28515625" bestFit="1" customWidth="1"/>
    <col min="2245" max="2245" width="11.28515625" bestFit="1" customWidth="1"/>
    <col min="2246" max="2246" width="13.85546875" bestFit="1" customWidth="1"/>
    <col min="2247" max="2247" width="12" bestFit="1" customWidth="1"/>
    <col min="2248" max="2248" width="13.85546875" bestFit="1" customWidth="1"/>
    <col min="2249" max="2250" width="14.42578125" customWidth="1"/>
    <col min="2251" max="2251" width="10.140625" bestFit="1" customWidth="1"/>
    <col min="2252" max="2252" width="12.28515625" bestFit="1" customWidth="1"/>
    <col min="2253" max="2253" width="7.42578125" bestFit="1" customWidth="1"/>
    <col min="2254" max="2254" width="8.5703125" bestFit="1" customWidth="1"/>
    <col min="2255" max="2255" width="11.5703125" bestFit="1" customWidth="1"/>
    <col min="2256" max="2256" width="13.28515625" bestFit="1" customWidth="1"/>
    <col min="2257" max="2257" width="13.28515625" customWidth="1"/>
    <col min="2258" max="2258" width="13.140625" customWidth="1"/>
    <col min="2259" max="2259" width="12.7109375" bestFit="1" customWidth="1"/>
    <col min="2260" max="2260" width="13.28515625" bestFit="1" customWidth="1"/>
    <col min="2261" max="2263" width="13.28515625" customWidth="1"/>
    <col min="2264" max="2264" width="12.140625" bestFit="1" customWidth="1"/>
    <col min="2265" max="2265" width="12.7109375" bestFit="1" customWidth="1"/>
    <col min="2266" max="2266" width="11" customWidth="1"/>
    <col min="2267" max="2267" width="16.7109375" customWidth="1"/>
    <col min="2268" max="2268" width="17" customWidth="1"/>
    <col min="2269" max="2269" width="10.42578125" bestFit="1" customWidth="1"/>
    <col min="2313" max="2313" width="3.85546875" customWidth="1"/>
    <col min="2314" max="2314" width="15.28515625" bestFit="1" customWidth="1"/>
    <col min="2315" max="2315" width="12.28515625" customWidth="1"/>
    <col min="2316" max="2316" width="16.28515625" bestFit="1" customWidth="1"/>
    <col min="2317" max="2317" width="6.42578125" bestFit="1" customWidth="1"/>
    <col min="2318" max="2318" width="9.28515625" bestFit="1" customWidth="1"/>
    <col min="2319" max="2319" width="7.5703125" bestFit="1" customWidth="1"/>
    <col min="2320" max="2320" width="13.28515625" bestFit="1" customWidth="1"/>
    <col min="2321" max="2321" width="9.28515625" bestFit="1" customWidth="1"/>
    <col min="2322" max="2322" width="11.5703125" bestFit="1" customWidth="1"/>
    <col min="2323" max="2323" width="13.28515625" bestFit="1" customWidth="1"/>
    <col min="2324" max="2324" width="7.140625" bestFit="1" customWidth="1"/>
    <col min="2325" max="2325" width="12" bestFit="1" customWidth="1"/>
    <col min="2326" max="2326" width="13.28515625" bestFit="1" customWidth="1"/>
    <col min="2327" max="2327" width="7" bestFit="1" customWidth="1"/>
    <col min="2328" max="2328" width="12.7109375" bestFit="1" customWidth="1"/>
    <col min="2329" max="2329" width="11.5703125" bestFit="1" customWidth="1"/>
    <col min="2330" max="2330" width="10.5703125" bestFit="1" customWidth="1"/>
    <col min="2331" max="2332" width="15.7109375" bestFit="1" customWidth="1"/>
    <col min="2333" max="2333" width="11.5703125" bestFit="1" customWidth="1"/>
    <col min="2334" max="2334" width="7.7109375" bestFit="1" customWidth="1"/>
    <col min="2335" max="2335" width="15.140625" bestFit="1" customWidth="1"/>
    <col min="2336" max="2336" width="11.5703125" bestFit="1" customWidth="1"/>
    <col min="2337" max="2337" width="13.28515625" bestFit="1" customWidth="1"/>
    <col min="2338" max="2338" width="10.42578125" bestFit="1" customWidth="1"/>
    <col min="2339" max="2339" width="13.28515625" bestFit="1" customWidth="1"/>
    <col min="2340" max="2340" width="12.140625" bestFit="1" customWidth="1"/>
    <col min="2341" max="2341" width="14.42578125" bestFit="1" customWidth="1"/>
    <col min="2342" max="2342" width="13.28515625" bestFit="1" customWidth="1"/>
    <col min="2343" max="2343" width="11.5703125" bestFit="1" customWidth="1"/>
    <col min="2344" max="2344" width="7.7109375" bestFit="1" customWidth="1"/>
    <col min="2345" max="2346" width="14.42578125" bestFit="1" customWidth="1"/>
    <col min="2347" max="2347" width="11.5703125" bestFit="1" customWidth="1"/>
    <col min="2348" max="2348" width="7.7109375" bestFit="1" customWidth="1"/>
    <col min="2349" max="2349" width="13.5703125" customWidth="1"/>
    <col min="2350" max="2350" width="15.28515625" customWidth="1"/>
    <col min="2351" max="2351" width="14.5703125" customWidth="1"/>
    <col min="2352" max="2352" width="13.28515625" bestFit="1" customWidth="1"/>
    <col min="2353" max="2353" width="7.7109375" bestFit="1" customWidth="1"/>
    <col min="2354" max="2354" width="12.7109375" bestFit="1" customWidth="1"/>
    <col min="2355" max="2355" width="11.7109375" bestFit="1" customWidth="1"/>
    <col min="2356" max="2356" width="11.5703125" bestFit="1" customWidth="1"/>
    <col min="2357" max="2357" width="5.28515625" bestFit="1" customWidth="1"/>
    <col min="2358" max="2358" width="13.28515625" bestFit="1" customWidth="1"/>
    <col min="2359" max="2359" width="13.5703125" bestFit="1" customWidth="1"/>
    <col min="2360" max="2360" width="10.5703125" bestFit="1" customWidth="1"/>
    <col min="2361" max="2361" width="13.28515625" bestFit="1" customWidth="1"/>
    <col min="2362" max="2362" width="11.5703125" bestFit="1" customWidth="1"/>
    <col min="2363" max="2363" width="10.5703125" bestFit="1" customWidth="1"/>
    <col min="2364" max="2364" width="16.140625" bestFit="1" customWidth="1"/>
    <col min="2365" max="2366" width="11.28515625" bestFit="1" customWidth="1"/>
    <col min="2367" max="2367" width="13.28515625" bestFit="1" customWidth="1"/>
    <col min="2368" max="2368" width="7.7109375" bestFit="1" customWidth="1"/>
    <col min="2369" max="2372" width="9.140625" hidden="1" customWidth="1"/>
    <col min="2373" max="2373" width="10.42578125" bestFit="1" customWidth="1"/>
    <col min="2374" max="2374" width="10.5703125" bestFit="1" customWidth="1"/>
    <col min="2375" max="2375" width="10.42578125" bestFit="1" customWidth="1"/>
    <col min="2376" max="2376" width="10.5703125" bestFit="1" customWidth="1"/>
    <col min="2377" max="2377" width="9.5703125" bestFit="1" customWidth="1"/>
    <col min="2378" max="2378" width="11.5703125" bestFit="1" customWidth="1"/>
    <col min="2379" max="2379" width="10.42578125" bestFit="1" customWidth="1"/>
    <col min="2380" max="2380" width="10.85546875" customWidth="1"/>
    <col min="2381" max="2382" width="9.85546875" bestFit="1" customWidth="1"/>
    <col min="2383" max="2383" width="13.5703125" bestFit="1" customWidth="1"/>
    <col min="2384" max="2384" width="7.7109375" bestFit="1" customWidth="1"/>
    <col min="2385" max="2385" width="13.28515625" bestFit="1" customWidth="1"/>
    <col min="2386" max="2386" width="11.5703125" bestFit="1" customWidth="1"/>
    <col min="2387" max="2387" width="10.42578125" bestFit="1" customWidth="1"/>
    <col min="2388" max="2388" width="7.7109375" bestFit="1" customWidth="1"/>
    <col min="2389" max="2389" width="11.5703125" bestFit="1" customWidth="1"/>
    <col min="2390" max="2390" width="10.85546875" bestFit="1" customWidth="1"/>
    <col min="2391" max="2391" width="13.28515625" bestFit="1" customWidth="1"/>
    <col min="2392" max="2392" width="10.85546875" bestFit="1" customWidth="1"/>
    <col min="2393" max="2394" width="7.5703125" bestFit="1" customWidth="1"/>
    <col min="2395" max="2396" width="10.42578125" bestFit="1" customWidth="1"/>
    <col min="2397" max="2397" width="11.5703125" bestFit="1" customWidth="1"/>
    <col min="2398" max="2398" width="5.28515625" bestFit="1" customWidth="1"/>
    <col min="2399" max="2399" width="10.28515625" bestFit="1" customWidth="1"/>
    <col min="2400" max="2400" width="10.42578125" bestFit="1" customWidth="1"/>
    <col min="2401" max="2401" width="11.5703125" bestFit="1" customWidth="1"/>
    <col min="2402" max="2402" width="5.28515625" bestFit="1" customWidth="1"/>
    <col min="2403" max="2405" width="11.5703125" bestFit="1" customWidth="1"/>
    <col min="2406" max="2406" width="5.28515625" bestFit="1" customWidth="1"/>
    <col min="2407" max="2408" width="10.42578125" bestFit="1" customWidth="1"/>
    <col min="2409" max="2409" width="11.5703125" bestFit="1" customWidth="1"/>
    <col min="2410" max="2410" width="5.28515625" bestFit="1" customWidth="1"/>
    <col min="2411" max="2411" width="14.28515625" bestFit="1" customWidth="1"/>
    <col min="2412" max="2412" width="13" bestFit="1" customWidth="1"/>
    <col min="2413" max="2413" width="11.5703125" bestFit="1" customWidth="1"/>
    <col min="2414" max="2414" width="8.85546875" bestFit="1" customWidth="1"/>
    <col min="2415" max="2415" width="14.42578125" bestFit="1" customWidth="1"/>
    <col min="2416" max="2416" width="10.42578125" bestFit="1" customWidth="1"/>
    <col min="2417" max="2417" width="12.28515625" bestFit="1" customWidth="1"/>
    <col min="2418" max="2418" width="13.85546875" bestFit="1" customWidth="1"/>
    <col min="2419" max="2419" width="11.28515625" customWidth="1"/>
    <col min="2420" max="2420" width="11.5703125" customWidth="1"/>
    <col min="2421" max="2421" width="13.42578125" bestFit="1" customWidth="1"/>
    <col min="2422" max="2422" width="10.42578125" customWidth="1"/>
    <col min="2423" max="2423" width="13.85546875" bestFit="1" customWidth="1"/>
    <col min="2424" max="2424" width="15.42578125" bestFit="1" customWidth="1"/>
    <col min="2425" max="2425" width="12.28515625" bestFit="1" customWidth="1"/>
    <col min="2426" max="2426" width="12.7109375" customWidth="1"/>
    <col min="2427" max="2427" width="10.7109375" bestFit="1" customWidth="1"/>
    <col min="2428" max="2428" width="9.85546875" customWidth="1"/>
    <col min="2429" max="2430" width="10.140625" bestFit="1" customWidth="1"/>
    <col min="2431" max="2431" width="7.5703125" bestFit="1" customWidth="1"/>
    <col min="2432" max="2432" width="9.42578125" bestFit="1" customWidth="1"/>
    <col min="2433" max="2433" width="14.5703125" bestFit="1" customWidth="1"/>
    <col min="2434" max="2434" width="14.85546875" customWidth="1"/>
    <col min="2435" max="2435" width="15.140625" bestFit="1" customWidth="1"/>
    <col min="2436" max="2436" width="12.140625" bestFit="1" customWidth="1"/>
    <col min="2437" max="2437" width="14.85546875" bestFit="1" customWidth="1"/>
    <col min="2438" max="2438" width="12.28515625" bestFit="1" customWidth="1"/>
    <col min="2439" max="2447" width="9.140625" hidden="1" customWidth="1"/>
    <col min="2448" max="2448" width="5.28515625" bestFit="1" customWidth="1"/>
    <col min="2449" max="2454" width="11.5703125" bestFit="1" customWidth="1"/>
    <col min="2455" max="2455" width="11.28515625" bestFit="1" customWidth="1"/>
    <col min="2456" max="2456" width="10.140625" bestFit="1" customWidth="1"/>
    <col min="2457" max="2457" width="11.5703125" bestFit="1" customWidth="1"/>
    <col min="2458" max="2458" width="16.140625" customWidth="1"/>
    <col min="2459" max="2459" width="13.42578125" customWidth="1"/>
    <col min="2460" max="2460" width="10.140625" bestFit="1" customWidth="1"/>
    <col min="2461" max="2461" width="12.85546875" bestFit="1" customWidth="1"/>
    <col min="2462" max="2462" width="12.28515625" bestFit="1" customWidth="1"/>
    <col min="2463" max="2463" width="11.28515625" bestFit="1" customWidth="1"/>
    <col min="2464" max="2464" width="11.5703125" bestFit="1" customWidth="1"/>
    <col min="2465" max="2465" width="10.85546875" bestFit="1" customWidth="1"/>
    <col min="2466" max="2466" width="11.28515625" bestFit="1" customWidth="1"/>
    <col min="2467" max="2467" width="10.140625" bestFit="1" customWidth="1"/>
    <col min="2468" max="2468" width="13.28515625" bestFit="1" customWidth="1"/>
    <col min="2469" max="2470" width="12.7109375" bestFit="1" customWidth="1"/>
    <col min="2471" max="2471" width="11" bestFit="1" customWidth="1"/>
    <col min="2472" max="2472" width="11.28515625" bestFit="1" customWidth="1"/>
    <col min="2473" max="2473" width="11.5703125" bestFit="1" customWidth="1"/>
    <col min="2474" max="2474" width="12.28515625" bestFit="1" customWidth="1"/>
    <col min="2475" max="2475" width="15.140625" bestFit="1" customWidth="1"/>
    <col min="2476" max="2476" width="14.42578125" bestFit="1" customWidth="1"/>
    <col min="2477" max="2477" width="12.28515625" bestFit="1" customWidth="1"/>
    <col min="2478" max="2478" width="15.140625" bestFit="1" customWidth="1"/>
    <col min="2479" max="2479" width="14.42578125" bestFit="1" customWidth="1"/>
    <col min="2480" max="2480" width="12.28515625" bestFit="1" customWidth="1"/>
    <col min="2481" max="2481" width="14.42578125" bestFit="1" customWidth="1"/>
    <col min="2482" max="2482" width="11.28515625" bestFit="1" customWidth="1"/>
    <col min="2483" max="2483" width="12.28515625" bestFit="1" customWidth="1"/>
    <col min="2484" max="2484" width="13" bestFit="1" customWidth="1"/>
    <col min="2485" max="2485" width="15.140625" bestFit="1" customWidth="1"/>
    <col min="2486" max="2486" width="12.28515625" bestFit="1" customWidth="1"/>
    <col min="2487" max="2487" width="13.85546875" bestFit="1" customWidth="1"/>
    <col min="2488" max="2488" width="11.28515625" bestFit="1" customWidth="1"/>
    <col min="2489" max="2489" width="12.28515625" bestFit="1" customWidth="1"/>
    <col min="2490" max="2490" width="13.85546875" bestFit="1" customWidth="1"/>
    <col min="2491" max="2492" width="15.140625" bestFit="1" customWidth="1"/>
    <col min="2493" max="2493" width="12.28515625" bestFit="1" customWidth="1"/>
    <col min="2494" max="2494" width="5.7109375" bestFit="1" customWidth="1"/>
    <col min="2495" max="2495" width="8.5703125" bestFit="1" customWidth="1"/>
    <col min="2496" max="2496" width="5.5703125" bestFit="1" customWidth="1"/>
    <col min="2497" max="2497" width="14.42578125" bestFit="1" customWidth="1"/>
    <col min="2498" max="2498" width="11.28515625" bestFit="1" customWidth="1"/>
    <col min="2499" max="2500" width="12.28515625" bestFit="1" customWidth="1"/>
    <col min="2501" max="2501" width="11.28515625" bestFit="1" customWidth="1"/>
    <col min="2502" max="2502" width="13.85546875" bestFit="1" customWidth="1"/>
    <col min="2503" max="2503" width="12" bestFit="1" customWidth="1"/>
    <col min="2504" max="2504" width="13.85546875" bestFit="1" customWidth="1"/>
    <col min="2505" max="2506" width="14.42578125" customWidth="1"/>
    <col min="2507" max="2507" width="10.140625" bestFit="1" customWidth="1"/>
    <col min="2508" max="2508" width="12.28515625" bestFit="1" customWidth="1"/>
    <col min="2509" max="2509" width="7.42578125" bestFit="1" customWidth="1"/>
    <col min="2510" max="2510" width="8.5703125" bestFit="1" customWidth="1"/>
    <col min="2511" max="2511" width="11.5703125" bestFit="1" customWidth="1"/>
    <col min="2512" max="2512" width="13.28515625" bestFit="1" customWidth="1"/>
    <col min="2513" max="2513" width="13.28515625" customWidth="1"/>
    <col min="2514" max="2514" width="13.140625" customWidth="1"/>
    <col min="2515" max="2515" width="12.7109375" bestFit="1" customWidth="1"/>
    <col min="2516" max="2516" width="13.28515625" bestFit="1" customWidth="1"/>
    <col min="2517" max="2519" width="13.28515625" customWidth="1"/>
    <col min="2520" max="2520" width="12.140625" bestFit="1" customWidth="1"/>
    <col min="2521" max="2521" width="12.7109375" bestFit="1" customWidth="1"/>
    <col min="2522" max="2522" width="11" customWidth="1"/>
    <col min="2523" max="2523" width="16.7109375" customWidth="1"/>
    <col min="2524" max="2524" width="17" customWidth="1"/>
    <col min="2525" max="2525" width="10.42578125" bestFit="1" customWidth="1"/>
    <col min="2569" max="2569" width="3.85546875" customWidth="1"/>
    <col min="2570" max="2570" width="15.28515625" bestFit="1" customWidth="1"/>
    <col min="2571" max="2571" width="12.28515625" customWidth="1"/>
    <col min="2572" max="2572" width="16.28515625" bestFit="1" customWidth="1"/>
    <col min="2573" max="2573" width="6.42578125" bestFit="1" customWidth="1"/>
    <col min="2574" max="2574" width="9.28515625" bestFit="1" customWidth="1"/>
    <col min="2575" max="2575" width="7.5703125" bestFit="1" customWidth="1"/>
    <col min="2576" max="2576" width="13.28515625" bestFit="1" customWidth="1"/>
    <col min="2577" max="2577" width="9.28515625" bestFit="1" customWidth="1"/>
    <col min="2578" max="2578" width="11.5703125" bestFit="1" customWidth="1"/>
    <col min="2579" max="2579" width="13.28515625" bestFit="1" customWidth="1"/>
    <col min="2580" max="2580" width="7.140625" bestFit="1" customWidth="1"/>
    <col min="2581" max="2581" width="12" bestFit="1" customWidth="1"/>
    <col min="2582" max="2582" width="13.28515625" bestFit="1" customWidth="1"/>
    <col min="2583" max="2583" width="7" bestFit="1" customWidth="1"/>
    <col min="2584" max="2584" width="12.7109375" bestFit="1" customWidth="1"/>
    <col min="2585" max="2585" width="11.5703125" bestFit="1" customWidth="1"/>
    <col min="2586" max="2586" width="10.5703125" bestFit="1" customWidth="1"/>
    <col min="2587" max="2588" width="15.7109375" bestFit="1" customWidth="1"/>
    <col min="2589" max="2589" width="11.5703125" bestFit="1" customWidth="1"/>
    <col min="2590" max="2590" width="7.7109375" bestFit="1" customWidth="1"/>
    <col min="2591" max="2591" width="15.140625" bestFit="1" customWidth="1"/>
    <col min="2592" max="2592" width="11.5703125" bestFit="1" customWidth="1"/>
    <col min="2593" max="2593" width="13.28515625" bestFit="1" customWidth="1"/>
    <col min="2594" max="2594" width="10.42578125" bestFit="1" customWidth="1"/>
    <col min="2595" max="2595" width="13.28515625" bestFit="1" customWidth="1"/>
    <col min="2596" max="2596" width="12.140625" bestFit="1" customWidth="1"/>
    <col min="2597" max="2597" width="14.42578125" bestFit="1" customWidth="1"/>
    <col min="2598" max="2598" width="13.28515625" bestFit="1" customWidth="1"/>
    <col min="2599" max="2599" width="11.5703125" bestFit="1" customWidth="1"/>
    <col min="2600" max="2600" width="7.7109375" bestFit="1" customWidth="1"/>
    <col min="2601" max="2602" width="14.42578125" bestFit="1" customWidth="1"/>
    <col min="2603" max="2603" width="11.5703125" bestFit="1" customWidth="1"/>
    <col min="2604" max="2604" width="7.7109375" bestFit="1" customWidth="1"/>
    <col min="2605" max="2605" width="13.5703125" customWidth="1"/>
    <col min="2606" max="2606" width="15.28515625" customWidth="1"/>
    <col min="2607" max="2607" width="14.5703125" customWidth="1"/>
    <col min="2608" max="2608" width="13.28515625" bestFit="1" customWidth="1"/>
    <col min="2609" max="2609" width="7.7109375" bestFit="1" customWidth="1"/>
    <col min="2610" max="2610" width="12.7109375" bestFit="1" customWidth="1"/>
    <col min="2611" max="2611" width="11.7109375" bestFit="1" customWidth="1"/>
    <col min="2612" max="2612" width="11.5703125" bestFit="1" customWidth="1"/>
    <col min="2613" max="2613" width="5.28515625" bestFit="1" customWidth="1"/>
    <col min="2614" max="2614" width="13.28515625" bestFit="1" customWidth="1"/>
    <col min="2615" max="2615" width="13.5703125" bestFit="1" customWidth="1"/>
    <col min="2616" max="2616" width="10.5703125" bestFit="1" customWidth="1"/>
    <col min="2617" max="2617" width="13.28515625" bestFit="1" customWidth="1"/>
    <col min="2618" max="2618" width="11.5703125" bestFit="1" customWidth="1"/>
    <col min="2619" max="2619" width="10.5703125" bestFit="1" customWidth="1"/>
    <col min="2620" max="2620" width="16.140625" bestFit="1" customWidth="1"/>
    <col min="2621" max="2622" width="11.28515625" bestFit="1" customWidth="1"/>
    <col min="2623" max="2623" width="13.28515625" bestFit="1" customWidth="1"/>
    <col min="2624" max="2624" width="7.7109375" bestFit="1" customWidth="1"/>
    <col min="2625" max="2628" width="9.140625" hidden="1" customWidth="1"/>
    <col min="2629" max="2629" width="10.42578125" bestFit="1" customWidth="1"/>
    <col min="2630" max="2630" width="10.5703125" bestFit="1" customWidth="1"/>
    <col min="2631" max="2631" width="10.42578125" bestFit="1" customWidth="1"/>
    <col min="2632" max="2632" width="10.5703125" bestFit="1" customWidth="1"/>
    <col min="2633" max="2633" width="9.5703125" bestFit="1" customWidth="1"/>
    <col min="2634" max="2634" width="11.5703125" bestFit="1" customWidth="1"/>
    <col min="2635" max="2635" width="10.42578125" bestFit="1" customWidth="1"/>
    <col min="2636" max="2636" width="10.85546875" customWidth="1"/>
    <col min="2637" max="2638" width="9.85546875" bestFit="1" customWidth="1"/>
    <col min="2639" max="2639" width="13.5703125" bestFit="1" customWidth="1"/>
    <col min="2640" max="2640" width="7.7109375" bestFit="1" customWidth="1"/>
    <col min="2641" max="2641" width="13.28515625" bestFit="1" customWidth="1"/>
    <col min="2642" max="2642" width="11.5703125" bestFit="1" customWidth="1"/>
    <col min="2643" max="2643" width="10.42578125" bestFit="1" customWidth="1"/>
    <col min="2644" max="2644" width="7.7109375" bestFit="1" customWidth="1"/>
    <col min="2645" max="2645" width="11.5703125" bestFit="1" customWidth="1"/>
    <col min="2646" max="2646" width="10.85546875" bestFit="1" customWidth="1"/>
    <col min="2647" max="2647" width="13.28515625" bestFit="1" customWidth="1"/>
    <col min="2648" max="2648" width="10.85546875" bestFit="1" customWidth="1"/>
    <col min="2649" max="2650" width="7.5703125" bestFit="1" customWidth="1"/>
    <col min="2651" max="2652" width="10.42578125" bestFit="1" customWidth="1"/>
    <col min="2653" max="2653" width="11.5703125" bestFit="1" customWidth="1"/>
    <col min="2654" max="2654" width="5.28515625" bestFit="1" customWidth="1"/>
    <col min="2655" max="2655" width="10.28515625" bestFit="1" customWidth="1"/>
    <col min="2656" max="2656" width="10.42578125" bestFit="1" customWidth="1"/>
    <col min="2657" max="2657" width="11.5703125" bestFit="1" customWidth="1"/>
    <col min="2658" max="2658" width="5.28515625" bestFit="1" customWidth="1"/>
    <col min="2659" max="2661" width="11.5703125" bestFit="1" customWidth="1"/>
    <col min="2662" max="2662" width="5.28515625" bestFit="1" customWidth="1"/>
    <col min="2663" max="2664" width="10.42578125" bestFit="1" customWidth="1"/>
    <col min="2665" max="2665" width="11.5703125" bestFit="1" customWidth="1"/>
    <col min="2666" max="2666" width="5.28515625" bestFit="1" customWidth="1"/>
    <col min="2667" max="2667" width="14.28515625" bestFit="1" customWidth="1"/>
    <col min="2668" max="2668" width="13" bestFit="1" customWidth="1"/>
    <col min="2669" max="2669" width="11.5703125" bestFit="1" customWidth="1"/>
    <col min="2670" max="2670" width="8.85546875" bestFit="1" customWidth="1"/>
    <col min="2671" max="2671" width="14.42578125" bestFit="1" customWidth="1"/>
    <col min="2672" max="2672" width="10.42578125" bestFit="1" customWidth="1"/>
    <col min="2673" max="2673" width="12.28515625" bestFit="1" customWidth="1"/>
    <col min="2674" max="2674" width="13.85546875" bestFit="1" customWidth="1"/>
    <col min="2675" max="2675" width="11.28515625" customWidth="1"/>
    <col min="2676" max="2676" width="11.5703125" customWidth="1"/>
    <col min="2677" max="2677" width="13.42578125" bestFit="1" customWidth="1"/>
    <col min="2678" max="2678" width="10.42578125" customWidth="1"/>
    <col min="2679" max="2679" width="13.85546875" bestFit="1" customWidth="1"/>
    <col min="2680" max="2680" width="15.42578125" bestFit="1" customWidth="1"/>
    <col min="2681" max="2681" width="12.28515625" bestFit="1" customWidth="1"/>
    <col min="2682" max="2682" width="12.7109375" customWidth="1"/>
    <col min="2683" max="2683" width="10.7109375" bestFit="1" customWidth="1"/>
    <col min="2684" max="2684" width="9.85546875" customWidth="1"/>
    <col min="2685" max="2686" width="10.140625" bestFit="1" customWidth="1"/>
    <col min="2687" max="2687" width="7.5703125" bestFit="1" customWidth="1"/>
    <col min="2688" max="2688" width="9.42578125" bestFit="1" customWidth="1"/>
    <col min="2689" max="2689" width="14.5703125" bestFit="1" customWidth="1"/>
    <col min="2690" max="2690" width="14.85546875" customWidth="1"/>
    <col min="2691" max="2691" width="15.140625" bestFit="1" customWidth="1"/>
    <col min="2692" max="2692" width="12.140625" bestFit="1" customWidth="1"/>
    <col min="2693" max="2693" width="14.85546875" bestFit="1" customWidth="1"/>
    <col min="2694" max="2694" width="12.28515625" bestFit="1" customWidth="1"/>
    <col min="2695" max="2703" width="9.140625" hidden="1" customWidth="1"/>
    <col min="2704" max="2704" width="5.28515625" bestFit="1" customWidth="1"/>
    <col min="2705" max="2710" width="11.5703125" bestFit="1" customWidth="1"/>
    <col min="2711" max="2711" width="11.28515625" bestFit="1" customWidth="1"/>
    <col min="2712" max="2712" width="10.140625" bestFit="1" customWidth="1"/>
    <col min="2713" max="2713" width="11.5703125" bestFit="1" customWidth="1"/>
    <col min="2714" max="2714" width="16.140625" customWidth="1"/>
    <col min="2715" max="2715" width="13.42578125" customWidth="1"/>
    <col min="2716" max="2716" width="10.140625" bestFit="1" customWidth="1"/>
    <col min="2717" max="2717" width="12.85546875" bestFit="1" customWidth="1"/>
    <col min="2718" max="2718" width="12.28515625" bestFit="1" customWidth="1"/>
    <col min="2719" max="2719" width="11.28515625" bestFit="1" customWidth="1"/>
    <col min="2720" max="2720" width="11.5703125" bestFit="1" customWidth="1"/>
    <col min="2721" max="2721" width="10.85546875" bestFit="1" customWidth="1"/>
    <col min="2722" max="2722" width="11.28515625" bestFit="1" customWidth="1"/>
    <col min="2723" max="2723" width="10.140625" bestFit="1" customWidth="1"/>
    <col min="2724" max="2724" width="13.28515625" bestFit="1" customWidth="1"/>
    <col min="2725" max="2726" width="12.7109375" bestFit="1" customWidth="1"/>
    <col min="2727" max="2727" width="11" bestFit="1" customWidth="1"/>
    <col min="2728" max="2728" width="11.28515625" bestFit="1" customWidth="1"/>
    <col min="2729" max="2729" width="11.5703125" bestFit="1" customWidth="1"/>
    <col min="2730" max="2730" width="12.28515625" bestFit="1" customWidth="1"/>
    <col min="2731" max="2731" width="15.140625" bestFit="1" customWidth="1"/>
    <col min="2732" max="2732" width="14.42578125" bestFit="1" customWidth="1"/>
    <col min="2733" max="2733" width="12.28515625" bestFit="1" customWidth="1"/>
    <col min="2734" max="2734" width="15.140625" bestFit="1" customWidth="1"/>
    <col min="2735" max="2735" width="14.42578125" bestFit="1" customWidth="1"/>
    <col min="2736" max="2736" width="12.28515625" bestFit="1" customWidth="1"/>
    <col min="2737" max="2737" width="14.42578125" bestFit="1" customWidth="1"/>
    <col min="2738" max="2738" width="11.28515625" bestFit="1" customWidth="1"/>
    <col min="2739" max="2739" width="12.28515625" bestFit="1" customWidth="1"/>
    <col min="2740" max="2740" width="13" bestFit="1" customWidth="1"/>
    <col min="2741" max="2741" width="15.140625" bestFit="1" customWidth="1"/>
    <col min="2742" max="2742" width="12.28515625" bestFit="1" customWidth="1"/>
    <col min="2743" max="2743" width="13.85546875" bestFit="1" customWidth="1"/>
    <col min="2744" max="2744" width="11.28515625" bestFit="1" customWidth="1"/>
    <col min="2745" max="2745" width="12.28515625" bestFit="1" customWidth="1"/>
    <col min="2746" max="2746" width="13.85546875" bestFit="1" customWidth="1"/>
    <col min="2747" max="2748" width="15.140625" bestFit="1" customWidth="1"/>
    <col min="2749" max="2749" width="12.28515625" bestFit="1" customWidth="1"/>
    <col min="2750" max="2750" width="5.7109375" bestFit="1" customWidth="1"/>
    <col min="2751" max="2751" width="8.5703125" bestFit="1" customWidth="1"/>
    <col min="2752" max="2752" width="5.5703125" bestFit="1" customWidth="1"/>
    <col min="2753" max="2753" width="14.42578125" bestFit="1" customWidth="1"/>
    <col min="2754" max="2754" width="11.28515625" bestFit="1" customWidth="1"/>
    <col min="2755" max="2756" width="12.28515625" bestFit="1" customWidth="1"/>
    <col min="2757" max="2757" width="11.28515625" bestFit="1" customWidth="1"/>
    <col min="2758" max="2758" width="13.85546875" bestFit="1" customWidth="1"/>
    <col min="2759" max="2759" width="12" bestFit="1" customWidth="1"/>
    <col min="2760" max="2760" width="13.85546875" bestFit="1" customWidth="1"/>
    <col min="2761" max="2762" width="14.42578125" customWidth="1"/>
    <col min="2763" max="2763" width="10.140625" bestFit="1" customWidth="1"/>
    <col min="2764" max="2764" width="12.28515625" bestFit="1" customWidth="1"/>
    <col min="2765" max="2765" width="7.42578125" bestFit="1" customWidth="1"/>
    <col min="2766" max="2766" width="8.5703125" bestFit="1" customWidth="1"/>
    <col min="2767" max="2767" width="11.5703125" bestFit="1" customWidth="1"/>
    <col min="2768" max="2768" width="13.28515625" bestFit="1" customWidth="1"/>
    <col min="2769" max="2769" width="13.28515625" customWidth="1"/>
    <col min="2770" max="2770" width="13.140625" customWidth="1"/>
    <col min="2771" max="2771" width="12.7109375" bestFit="1" customWidth="1"/>
    <col min="2772" max="2772" width="13.28515625" bestFit="1" customWidth="1"/>
    <col min="2773" max="2775" width="13.28515625" customWidth="1"/>
    <col min="2776" max="2776" width="12.140625" bestFit="1" customWidth="1"/>
    <col min="2777" max="2777" width="12.7109375" bestFit="1" customWidth="1"/>
    <col min="2778" max="2778" width="11" customWidth="1"/>
    <col min="2779" max="2779" width="16.7109375" customWidth="1"/>
    <col min="2780" max="2780" width="17" customWidth="1"/>
    <col min="2781" max="2781" width="10.42578125" bestFit="1" customWidth="1"/>
    <col min="2825" max="2825" width="3.85546875" customWidth="1"/>
    <col min="2826" max="2826" width="15.28515625" bestFit="1" customWidth="1"/>
    <col min="2827" max="2827" width="12.28515625" customWidth="1"/>
    <col min="2828" max="2828" width="16.28515625" bestFit="1" customWidth="1"/>
    <col min="2829" max="2829" width="6.42578125" bestFit="1" customWidth="1"/>
    <col min="2830" max="2830" width="9.28515625" bestFit="1" customWidth="1"/>
    <col min="2831" max="2831" width="7.5703125" bestFit="1" customWidth="1"/>
    <col min="2832" max="2832" width="13.28515625" bestFit="1" customWidth="1"/>
    <col min="2833" max="2833" width="9.28515625" bestFit="1" customWidth="1"/>
    <col min="2834" max="2834" width="11.5703125" bestFit="1" customWidth="1"/>
    <col min="2835" max="2835" width="13.28515625" bestFit="1" customWidth="1"/>
    <col min="2836" max="2836" width="7.140625" bestFit="1" customWidth="1"/>
    <col min="2837" max="2837" width="12" bestFit="1" customWidth="1"/>
    <col min="2838" max="2838" width="13.28515625" bestFit="1" customWidth="1"/>
    <col min="2839" max="2839" width="7" bestFit="1" customWidth="1"/>
    <col min="2840" max="2840" width="12.7109375" bestFit="1" customWidth="1"/>
    <col min="2841" max="2841" width="11.5703125" bestFit="1" customWidth="1"/>
    <col min="2842" max="2842" width="10.5703125" bestFit="1" customWidth="1"/>
    <col min="2843" max="2844" width="15.7109375" bestFit="1" customWidth="1"/>
    <col min="2845" max="2845" width="11.5703125" bestFit="1" customWidth="1"/>
    <col min="2846" max="2846" width="7.7109375" bestFit="1" customWidth="1"/>
    <col min="2847" max="2847" width="15.140625" bestFit="1" customWidth="1"/>
    <col min="2848" max="2848" width="11.5703125" bestFit="1" customWidth="1"/>
    <col min="2849" max="2849" width="13.28515625" bestFit="1" customWidth="1"/>
    <col min="2850" max="2850" width="10.42578125" bestFit="1" customWidth="1"/>
    <col min="2851" max="2851" width="13.28515625" bestFit="1" customWidth="1"/>
    <col min="2852" max="2852" width="12.140625" bestFit="1" customWidth="1"/>
    <col min="2853" max="2853" width="14.42578125" bestFit="1" customWidth="1"/>
    <col min="2854" max="2854" width="13.28515625" bestFit="1" customWidth="1"/>
    <col min="2855" max="2855" width="11.5703125" bestFit="1" customWidth="1"/>
    <col min="2856" max="2856" width="7.7109375" bestFit="1" customWidth="1"/>
    <col min="2857" max="2858" width="14.42578125" bestFit="1" customWidth="1"/>
    <col min="2859" max="2859" width="11.5703125" bestFit="1" customWidth="1"/>
    <col min="2860" max="2860" width="7.7109375" bestFit="1" customWidth="1"/>
    <col min="2861" max="2861" width="13.5703125" customWidth="1"/>
    <col min="2862" max="2862" width="15.28515625" customWidth="1"/>
    <col min="2863" max="2863" width="14.5703125" customWidth="1"/>
    <col min="2864" max="2864" width="13.28515625" bestFit="1" customWidth="1"/>
    <col min="2865" max="2865" width="7.7109375" bestFit="1" customWidth="1"/>
    <col min="2866" max="2866" width="12.7109375" bestFit="1" customWidth="1"/>
    <col min="2867" max="2867" width="11.7109375" bestFit="1" customWidth="1"/>
    <col min="2868" max="2868" width="11.5703125" bestFit="1" customWidth="1"/>
    <col min="2869" max="2869" width="5.28515625" bestFit="1" customWidth="1"/>
    <col min="2870" max="2870" width="13.28515625" bestFit="1" customWidth="1"/>
    <col min="2871" max="2871" width="13.5703125" bestFit="1" customWidth="1"/>
    <col min="2872" max="2872" width="10.5703125" bestFit="1" customWidth="1"/>
    <col min="2873" max="2873" width="13.28515625" bestFit="1" customWidth="1"/>
    <col min="2874" max="2874" width="11.5703125" bestFit="1" customWidth="1"/>
    <col min="2875" max="2875" width="10.5703125" bestFit="1" customWidth="1"/>
    <col min="2876" max="2876" width="16.140625" bestFit="1" customWidth="1"/>
    <col min="2877" max="2878" width="11.28515625" bestFit="1" customWidth="1"/>
    <col min="2879" max="2879" width="13.28515625" bestFit="1" customWidth="1"/>
    <col min="2880" max="2880" width="7.7109375" bestFit="1" customWidth="1"/>
    <col min="2881" max="2884" width="9.140625" hidden="1" customWidth="1"/>
    <col min="2885" max="2885" width="10.42578125" bestFit="1" customWidth="1"/>
    <col min="2886" max="2886" width="10.5703125" bestFit="1" customWidth="1"/>
    <col min="2887" max="2887" width="10.42578125" bestFit="1" customWidth="1"/>
    <col min="2888" max="2888" width="10.5703125" bestFit="1" customWidth="1"/>
    <col min="2889" max="2889" width="9.5703125" bestFit="1" customWidth="1"/>
    <col min="2890" max="2890" width="11.5703125" bestFit="1" customWidth="1"/>
    <col min="2891" max="2891" width="10.42578125" bestFit="1" customWidth="1"/>
    <col min="2892" max="2892" width="10.85546875" customWidth="1"/>
    <col min="2893" max="2894" width="9.85546875" bestFit="1" customWidth="1"/>
    <col min="2895" max="2895" width="13.5703125" bestFit="1" customWidth="1"/>
    <col min="2896" max="2896" width="7.7109375" bestFit="1" customWidth="1"/>
    <col min="2897" max="2897" width="13.28515625" bestFit="1" customWidth="1"/>
    <col min="2898" max="2898" width="11.5703125" bestFit="1" customWidth="1"/>
    <col min="2899" max="2899" width="10.42578125" bestFit="1" customWidth="1"/>
    <col min="2900" max="2900" width="7.7109375" bestFit="1" customWidth="1"/>
    <col min="2901" max="2901" width="11.5703125" bestFit="1" customWidth="1"/>
    <col min="2902" max="2902" width="10.85546875" bestFit="1" customWidth="1"/>
    <col min="2903" max="2903" width="13.28515625" bestFit="1" customWidth="1"/>
    <col min="2904" max="2904" width="10.85546875" bestFit="1" customWidth="1"/>
    <col min="2905" max="2906" width="7.5703125" bestFit="1" customWidth="1"/>
    <col min="2907" max="2908" width="10.42578125" bestFit="1" customWidth="1"/>
    <col min="2909" max="2909" width="11.5703125" bestFit="1" customWidth="1"/>
    <col min="2910" max="2910" width="5.28515625" bestFit="1" customWidth="1"/>
    <col min="2911" max="2911" width="10.28515625" bestFit="1" customWidth="1"/>
    <col min="2912" max="2912" width="10.42578125" bestFit="1" customWidth="1"/>
    <col min="2913" max="2913" width="11.5703125" bestFit="1" customWidth="1"/>
    <col min="2914" max="2914" width="5.28515625" bestFit="1" customWidth="1"/>
    <col min="2915" max="2917" width="11.5703125" bestFit="1" customWidth="1"/>
    <col min="2918" max="2918" width="5.28515625" bestFit="1" customWidth="1"/>
    <col min="2919" max="2920" width="10.42578125" bestFit="1" customWidth="1"/>
    <col min="2921" max="2921" width="11.5703125" bestFit="1" customWidth="1"/>
    <col min="2922" max="2922" width="5.28515625" bestFit="1" customWidth="1"/>
    <col min="2923" max="2923" width="14.28515625" bestFit="1" customWidth="1"/>
    <col min="2924" max="2924" width="13" bestFit="1" customWidth="1"/>
    <col min="2925" max="2925" width="11.5703125" bestFit="1" customWidth="1"/>
    <col min="2926" max="2926" width="8.85546875" bestFit="1" customWidth="1"/>
    <col min="2927" max="2927" width="14.42578125" bestFit="1" customWidth="1"/>
    <col min="2928" max="2928" width="10.42578125" bestFit="1" customWidth="1"/>
    <col min="2929" max="2929" width="12.28515625" bestFit="1" customWidth="1"/>
    <col min="2930" max="2930" width="13.85546875" bestFit="1" customWidth="1"/>
    <col min="2931" max="2931" width="11.28515625" customWidth="1"/>
    <col min="2932" max="2932" width="11.5703125" customWidth="1"/>
    <col min="2933" max="2933" width="13.42578125" bestFit="1" customWidth="1"/>
    <col min="2934" max="2934" width="10.42578125" customWidth="1"/>
    <col min="2935" max="2935" width="13.85546875" bestFit="1" customWidth="1"/>
    <col min="2936" max="2936" width="15.42578125" bestFit="1" customWidth="1"/>
    <col min="2937" max="2937" width="12.28515625" bestFit="1" customWidth="1"/>
    <col min="2938" max="2938" width="12.7109375" customWidth="1"/>
    <col min="2939" max="2939" width="10.7109375" bestFit="1" customWidth="1"/>
    <col min="2940" max="2940" width="9.85546875" customWidth="1"/>
    <col min="2941" max="2942" width="10.140625" bestFit="1" customWidth="1"/>
    <col min="2943" max="2943" width="7.5703125" bestFit="1" customWidth="1"/>
    <col min="2944" max="2944" width="9.42578125" bestFit="1" customWidth="1"/>
    <col min="2945" max="2945" width="14.5703125" bestFit="1" customWidth="1"/>
    <col min="2946" max="2946" width="14.85546875" customWidth="1"/>
    <col min="2947" max="2947" width="15.140625" bestFit="1" customWidth="1"/>
    <col min="2948" max="2948" width="12.140625" bestFit="1" customWidth="1"/>
    <col min="2949" max="2949" width="14.85546875" bestFit="1" customWidth="1"/>
    <col min="2950" max="2950" width="12.28515625" bestFit="1" customWidth="1"/>
    <col min="2951" max="2959" width="9.140625" hidden="1" customWidth="1"/>
    <col min="2960" max="2960" width="5.28515625" bestFit="1" customWidth="1"/>
    <col min="2961" max="2966" width="11.5703125" bestFit="1" customWidth="1"/>
    <col min="2967" max="2967" width="11.28515625" bestFit="1" customWidth="1"/>
    <col min="2968" max="2968" width="10.140625" bestFit="1" customWidth="1"/>
    <col min="2969" max="2969" width="11.5703125" bestFit="1" customWidth="1"/>
    <col min="2970" max="2970" width="16.140625" customWidth="1"/>
    <col min="2971" max="2971" width="13.42578125" customWidth="1"/>
    <col min="2972" max="2972" width="10.140625" bestFit="1" customWidth="1"/>
    <col min="2973" max="2973" width="12.85546875" bestFit="1" customWidth="1"/>
    <col min="2974" max="2974" width="12.28515625" bestFit="1" customWidth="1"/>
    <col min="2975" max="2975" width="11.28515625" bestFit="1" customWidth="1"/>
    <col min="2976" max="2976" width="11.5703125" bestFit="1" customWidth="1"/>
    <col min="2977" max="2977" width="10.85546875" bestFit="1" customWidth="1"/>
    <col min="2978" max="2978" width="11.28515625" bestFit="1" customWidth="1"/>
    <col min="2979" max="2979" width="10.140625" bestFit="1" customWidth="1"/>
    <col min="2980" max="2980" width="13.28515625" bestFit="1" customWidth="1"/>
    <col min="2981" max="2982" width="12.7109375" bestFit="1" customWidth="1"/>
    <col min="2983" max="2983" width="11" bestFit="1" customWidth="1"/>
    <col min="2984" max="2984" width="11.28515625" bestFit="1" customWidth="1"/>
    <col min="2985" max="2985" width="11.5703125" bestFit="1" customWidth="1"/>
    <col min="2986" max="2986" width="12.28515625" bestFit="1" customWidth="1"/>
    <col min="2987" max="2987" width="15.140625" bestFit="1" customWidth="1"/>
    <col min="2988" max="2988" width="14.42578125" bestFit="1" customWidth="1"/>
    <col min="2989" max="2989" width="12.28515625" bestFit="1" customWidth="1"/>
    <col min="2990" max="2990" width="15.140625" bestFit="1" customWidth="1"/>
    <col min="2991" max="2991" width="14.42578125" bestFit="1" customWidth="1"/>
    <col min="2992" max="2992" width="12.28515625" bestFit="1" customWidth="1"/>
    <col min="2993" max="2993" width="14.42578125" bestFit="1" customWidth="1"/>
    <col min="2994" max="2994" width="11.28515625" bestFit="1" customWidth="1"/>
    <col min="2995" max="2995" width="12.28515625" bestFit="1" customWidth="1"/>
    <col min="2996" max="2996" width="13" bestFit="1" customWidth="1"/>
    <col min="2997" max="2997" width="15.140625" bestFit="1" customWidth="1"/>
    <col min="2998" max="2998" width="12.28515625" bestFit="1" customWidth="1"/>
    <col min="2999" max="2999" width="13.85546875" bestFit="1" customWidth="1"/>
    <col min="3000" max="3000" width="11.28515625" bestFit="1" customWidth="1"/>
    <col min="3001" max="3001" width="12.28515625" bestFit="1" customWidth="1"/>
    <col min="3002" max="3002" width="13.85546875" bestFit="1" customWidth="1"/>
    <col min="3003" max="3004" width="15.140625" bestFit="1" customWidth="1"/>
    <col min="3005" max="3005" width="12.28515625" bestFit="1" customWidth="1"/>
    <col min="3006" max="3006" width="5.7109375" bestFit="1" customWidth="1"/>
    <col min="3007" max="3007" width="8.5703125" bestFit="1" customWidth="1"/>
    <col min="3008" max="3008" width="5.5703125" bestFit="1" customWidth="1"/>
    <col min="3009" max="3009" width="14.42578125" bestFit="1" customWidth="1"/>
    <col min="3010" max="3010" width="11.28515625" bestFit="1" customWidth="1"/>
    <col min="3011" max="3012" width="12.28515625" bestFit="1" customWidth="1"/>
    <col min="3013" max="3013" width="11.28515625" bestFit="1" customWidth="1"/>
    <col min="3014" max="3014" width="13.85546875" bestFit="1" customWidth="1"/>
    <col min="3015" max="3015" width="12" bestFit="1" customWidth="1"/>
    <col min="3016" max="3016" width="13.85546875" bestFit="1" customWidth="1"/>
    <col min="3017" max="3018" width="14.42578125" customWidth="1"/>
    <col min="3019" max="3019" width="10.140625" bestFit="1" customWidth="1"/>
    <col min="3020" max="3020" width="12.28515625" bestFit="1" customWidth="1"/>
    <col min="3021" max="3021" width="7.42578125" bestFit="1" customWidth="1"/>
    <col min="3022" max="3022" width="8.5703125" bestFit="1" customWidth="1"/>
    <col min="3023" max="3023" width="11.5703125" bestFit="1" customWidth="1"/>
    <col min="3024" max="3024" width="13.28515625" bestFit="1" customWidth="1"/>
    <col min="3025" max="3025" width="13.28515625" customWidth="1"/>
    <col min="3026" max="3026" width="13.140625" customWidth="1"/>
    <col min="3027" max="3027" width="12.7109375" bestFit="1" customWidth="1"/>
    <col min="3028" max="3028" width="13.28515625" bestFit="1" customWidth="1"/>
    <col min="3029" max="3031" width="13.28515625" customWidth="1"/>
    <col min="3032" max="3032" width="12.140625" bestFit="1" customWidth="1"/>
    <col min="3033" max="3033" width="12.7109375" bestFit="1" customWidth="1"/>
    <col min="3034" max="3034" width="11" customWidth="1"/>
    <col min="3035" max="3035" width="16.7109375" customWidth="1"/>
    <col min="3036" max="3036" width="17" customWidth="1"/>
    <col min="3037" max="3037" width="10.42578125" bestFit="1" customWidth="1"/>
    <col min="3081" max="3081" width="3.85546875" customWidth="1"/>
    <col min="3082" max="3082" width="15.28515625" bestFit="1" customWidth="1"/>
    <col min="3083" max="3083" width="12.28515625" customWidth="1"/>
    <col min="3084" max="3084" width="16.28515625" bestFit="1" customWidth="1"/>
    <col min="3085" max="3085" width="6.42578125" bestFit="1" customWidth="1"/>
    <col min="3086" max="3086" width="9.28515625" bestFit="1" customWidth="1"/>
    <col min="3087" max="3087" width="7.5703125" bestFit="1" customWidth="1"/>
    <col min="3088" max="3088" width="13.28515625" bestFit="1" customWidth="1"/>
    <col min="3089" max="3089" width="9.28515625" bestFit="1" customWidth="1"/>
    <col min="3090" max="3090" width="11.5703125" bestFit="1" customWidth="1"/>
    <col min="3091" max="3091" width="13.28515625" bestFit="1" customWidth="1"/>
    <col min="3092" max="3092" width="7.140625" bestFit="1" customWidth="1"/>
    <col min="3093" max="3093" width="12" bestFit="1" customWidth="1"/>
    <col min="3094" max="3094" width="13.28515625" bestFit="1" customWidth="1"/>
    <col min="3095" max="3095" width="7" bestFit="1" customWidth="1"/>
    <col min="3096" max="3096" width="12.7109375" bestFit="1" customWidth="1"/>
    <col min="3097" max="3097" width="11.5703125" bestFit="1" customWidth="1"/>
    <col min="3098" max="3098" width="10.5703125" bestFit="1" customWidth="1"/>
    <col min="3099" max="3100" width="15.7109375" bestFit="1" customWidth="1"/>
    <col min="3101" max="3101" width="11.5703125" bestFit="1" customWidth="1"/>
    <col min="3102" max="3102" width="7.7109375" bestFit="1" customWidth="1"/>
    <col min="3103" max="3103" width="15.140625" bestFit="1" customWidth="1"/>
    <col min="3104" max="3104" width="11.5703125" bestFit="1" customWidth="1"/>
    <col min="3105" max="3105" width="13.28515625" bestFit="1" customWidth="1"/>
    <col min="3106" max="3106" width="10.42578125" bestFit="1" customWidth="1"/>
    <col min="3107" max="3107" width="13.28515625" bestFit="1" customWidth="1"/>
    <col min="3108" max="3108" width="12.140625" bestFit="1" customWidth="1"/>
    <col min="3109" max="3109" width="14.42578125" bestFit="1" customWidth="1"/>
    <col min="3110" max="3110" width="13.28515625" bestFit="1" customWidth="1"/>
    <col min="3111" max="3111" width="11.5703125" bestFit="1" customWidth="1"/>
    <col min="3112" max="3112" width="7.7109375" bestFit="1" customWidth="1"/>
    <col min="3113" max="3114" width="14.42578125" bestFit="1" customWidth="1"/>
    <col min="3115" max="3115" width="11.5703125" bestFit="1" customWidth="1"/>
    <col min="3116" max="3116" width="7.7109375" bestFit="1" customWidth="1"/>
    <col min="3117" max="3117" width="13.5703125" customWidth="1"/>
    <col min="3118" max="3118" width="15.28515625" customWidth="1"/>
    <col min="3119" max="3119" width="14.5703125" customWidth="1"/>
    <col min="3120" max="3120" width="13.28515625" bestFit="1" customWidth="1"/>
    <col min="3121" max="3121" width="7.7109375" bestFit="1" customWidth="1"/>
    <col min="3122" max="3122" width="12.7109375" bestFit="1" customWidth="1"/>
    <col min="3123" max="3123" width="11.7109375" bestFit="1" customWidth="1"/>
    <col min="3124" max="3124" width="11.5703125" bestFit="1" customWidth="1"/>
    <col min="3125" max="3125" width="5.28515625" bestFit="1" customWidth="1"/>
    <col min="3126" max="3126" width="13.28515625" bestFit="1" customWidth="1"/>
    <col min="3127" max="3127" width="13.5703125" bestFit="1" customWidth="1"/>
    <col min="3128" max="3128" width="10.5703125" bestFit="1" customWidth="1"/>
    <col min="3129" max="3129" width="13.28515625" bestFit="1" customWidth="1"/>
    <col min="3130" max="3130" width="11.5703125" bestFit="1" customWidth="1"/>
    <col min="3131" max="3131" width="10.5703125" bestFit="1" customWidth="1"/>
    <col min="3132" max="3132" width="16.140625" bestFit="1" customWidth="1"/>
    <col min="3133" max="3134" width="11.28515625" bestFit="1" customWidth="1"/>
    <col min="3135" max="3135" width="13.28515625" bestFit="1" customWidth="1"/>
    <col min="3136" max="3136" width="7.7109375" bestFit="1" customWidth="1"/>
    <col min="3137" max="3140" width="9.140625" hidden="1" customWidth="1"/>
    <col min="3141" max="3141" width="10.42578125" bestFit="1" customWidth="1"/>
    <col min="3142" max="3142" width="10.5703125" bestFit="1" customWidth="1"/>
    <col min="3143" max="3143" width="10.42578125" bestFit="1" customWidth="1"/>
    <col min="3144" max="3144" width="10.5703125" bestFit="1" customWidth="1"/>
    <col min="3145" max="3145" width="9.5703125" bestFit="1" customWidth="1"/>
    <col min="3146" max="3146" width="11.5703125" bestFit="1" customWidth="1"/>
    <col min="3147" max="3147" width="10.42578125" bestFit="1" customWidth="1"/>
    <col min="3148" max="3148" width="10.85546875" customWidth="1"/>
    <col min="3149" max="3150" width="9.85546875" bestFit="1" customWidth="1"/>
    <col min="3151" max="3151" width="13.5703125" bestFit="1" customWidth="1"/>
    <col min="3152" max="3152" width="7.7109375" bestFit="1" customWidth="1"/>
    <col min="3153" max="3153" width="13.28515625" bestFit="1" customWidth="1"/>
    <col min="3154" max="3154" width="11.5703125" bestFit="1" customWidth="1"/>
    <col min="3155" max="3155" width="10.42578125" bestFit="1" customWidth="1"/>
    <col min="3156" max="3156" width="7.7109375" bestFit="1" customWidth="1"/>
    <col min="3157" max="3157" width="11.5703125" bestFit="1" customWidth="1"/>
    <col min="3158" max="3158" width="10.85546875" bestFit="1" customWidth="1"/>
    <col min="3159" max="3159" width="13.28515625" bestFit="1" customWidth="1"/>
    <col min="3160" max="3160" width="10.85546875" bestFit="1" customWidth="1"/>
    <col min="3161" max="3162" width="7.5703125" bestFit="1" customWidth="1"/>
    <col min="3163" max="3164" width="10.42578125" bestFit="1" customWidth="1"/>
    <col min="3165" max="3165" width="11.5703125" bestFit="1" customWidth="1"/>
    <col min="3166" max="3166" width="5.28515625" bestFit="1" customWidth="1"/>
    <col min="3167" max="3167" width="10.28515625" bestFit="1" customWidth="1"/>
    <col min="3168" max="3168" width="10.42578125" bestFit="1" customWidth="1"/>
    <col min="3169" max="3169" width="11.5703125" bestFit="1" customWidth="1"/>
    <col min="3170" max="3170" width="5.28515625" bestFit="1" customWidth="1"/>
    <col min="3171" max="3173" width="11.5703125" bestFit="1" customWidth="1"/>
    <col min="3174" max="3174" width="5.28515625" bestFit="1" customWidth="1"/>
    <col min="3175" max="3176" width="10.42578125" bestFit="1" customWidth="1"/>
    <col min="3177" max="3177" width="11.5703125" bestFit="1" customWidth="1"/>
    <col min="3178" max="3178" width="5.28515625" bestFit="1" customWidth="1"/>
    <col min="3179" max="3179" width="14.28515625" bestFit="1" customWidth="1"/>
    <col min="3180" max="3180" width="13" bestFit="1" customWidth="1"/>
    <col min="3181" max="3181" width="11.5703125" bestFit="1" customWidth="1"/>
    <col min="3182" max="3182" width="8.85546875" bestFit="1" customWidth="1"/>
    <col min="3183" max="3183" width="14.42578125" bestFit="1" customWidth="1"/>
    <col min="3184" max="3184" width="10.42578125" bestFit="1" customWidth="1"/>
    <col min="3185" max="3185" width="12.28515625" bestFit="1" customWidth="1"/>
    <col min="3186" max="3186" width="13.85546875" bestFit="1" customWidth="1"/>
    <col min="3187" max="3187" width="11.28515625" customWidth="1"/>
    <col min="3188" max="3188" width="11.5703125" customWidth="1"/>
    <col min="3189" max="3189" width="13.42578125" bestFit="1" customWidth="1"/>
    <col min="3190" max="3190" width="10.42578125" customWidth="1"/>
    <col min="3191" max="3191" width="13.85546875" bestFit="1" customWidth="1"/>
    <col min="3192" max="3192" width="15.42578125" bestFit="1" customWidth="1"/>
    <col min="3193" max="3193" width="12.28515625" bestFit="1" customWidth="1"/>
    <col min="3194" max="3194" width="12.7109375" customWidth="1"/>
    <col min="3195" max="3195" width="10.7109375" bestFit="1" customWidth="1"/>
    <col min="3196" max="3196" width="9.85546875" customWidth="1"/>
    <col min="3197" max="3198" width="10.140625" bestFit="1" customWidth="1"/>
    <col min="3199" max="3199" width="7.5703125" bestFit="1" customWidth="1"/>
    <col min="3200" max="3200" width="9.42578125" bestFit="1" customWidth="1"/>
    <col min="3201" max="3201" width="14.5703125" bestFit="1" customWidth="1"/>
    <col min="3202" max="3202" width="14.85546875" customWidth="1"/>
    <col min="3203" max="3203" width="15.140625" bestFit="1" customWidth="1"/>
    <col min="3204" max="3204" width="12.140625" bestFit="1" customWidth="1"/>
    <col min="3205" max="3205" width="14.85546875" bestFit="1" customWidth="1"/>
    <col min="3206" max="3206" width="12.28515625" bestFit="1" customWidth="1"/>
    <col min="3207" max="3215" width="9.140625" hidden="1" customWidth="1"/>
    <col min="3216" max="3216" width="5.28515625" bestFit="1" customWidth="1"/>
    <col min="3217" max="3222" width="11.5703125" bestFit="1" customWidth="1"/>
    <col min="3223" max="3223" width="11.28515625" bestFit="1" customWidth="1"/>
    <col min="3224" max="3224" width="10.140625" bestFit="1" customWidth="1"/>
    <col min="3225" max="3225" width="11.5703125" bestFit="1" customWidth="1"/>
    <col min="3226" max="3226" width="16.140625" customWidth="1"/>
    <col min="3227" max="3227" width="13.42578125" customWidth="1"/>
    <col min="3228" max="3228" width="10.140625" bestFit="1" customWidth="1"/>
    <col min="3229" max="3229" width="12.85546875" bestFit="1" customWidth="1"/>
    <col min="3230" max="3230" width="12.28515625" bestFit="1" customWidth="1"/>
    <col min="3231" max="3231" width="11.28515625" bestFit="1" customWidth="1"/>
    <col min="3232" max="3232" width="11.5703125" bestFit="1" customWidth="1"/>
    <col min="3233" max="3233" width="10.85546875" bestFit="1" customWidth="1"/>
    <col min="3234" max="3234" width="11.28515625" bestFit="1" customWidth="1"/>
    <col min="3235" max="3235" width="10.140625" bestFit="1" customWidth="1"/>
    <col min="3236" max="3236" width="13.28515625" bestFit="1" customWidth="1"/>
    <col min="3237" max="3238" width="12.7109375" bestFit="1" customWidth="1"/>
    <col min="3239" max="3239" width="11" bestFit="1" customWidth="1"/>
    <col min="3240" max="3240" width="11.28515625" bestFit="1" customWidth="1"/>
    <col min="3241" max="3241" width="11.5703125" bestFit="1" customWidth="1"/>
    <col min="3242" max="3242" width="12.28515625" bestFit="1" customWidth="1"/>
    <col min="3243" max="3243" width="15.140625" bestFit="1" customWidth="1"/>
    <col min="3244" max="3244" width="14.42578125" bestFit="1" customWidth="1"/>
    <col min="3245" max="3245" width="12.28515625" bestFit="1" customWidth="1"/>
    <col min="3246" max="3246" width="15.140625" bestFit="1" customWidth="1"/>
    <col min="3247" max="3247" width="14.42578125" bestFit="1" customWidth="1"/>
    <col min="3248" max="3248" width="12.28515625" bestFit="1" customWidth="1"/>
    <col min="3249" max="3249" width="14.42578125" bestFit="1" customWidth="1"/>
    <col min="3250" max="3250" width="11.28515625" bestFit="1" customWidth="1"/>
    <col min="3251" max="3251" width="12.28515625" bestFit="1" customWidth="1"/>
    <col min="3252" max="3252" width="13" bestFit="1" customWidth="1"/>
    <col min="3253" max="3253" width="15.140625" bestFit="1" customWidth="1"/>
    <col min="3254" max="3254" width="12.28515625" bestFit="1" customWidth="1"/>
    <col min="3255" max="3255" width="13.85546875" bestFit="1" customWidth="1"/>
    <col min="3256" max="3256" width="11.28515625" bestFit="1" customWidth="1"/>
    <col min="3257" max="3257" width="12.28515625" bestFit="1" customWidth="1"/>
    <col min="3258" max="3258" width="13.85546875" bestFit="1" customWidth="1"/>
    <col min="3259" max="3260" width="15.140625" bestFit="1" customWidth="1"/>
    <col min="3261" max="3261" width="12.28515625" bestFit="1" customWidth="1"/>
    <col min="3262" max="3262" width="5.7109375" bestFit="1" customWidth="1"/>
    <col min="3263" max="3263" width="8.5703125" bestFit="1" customWidth="1"/>
    <col min="3264" max="3264" width="5.5703125" bestFit="1" customWidth="1"/>
    <col min="3265" max="3265" width="14.42578125" bestFit="1" customWidth="1"/>
    <col min="3266" max="3266" width="11.28515625" bestFit="1" customWidth="1"/>
    <col min="3267" max="3268" width="12.28515625" bestFit="1" customWidth="1"/>
    <col min="3269" max="3269" width="11.28515625" bestFit="1" customWidth="1"/>
    <col min="3270" max="3270" width="13.85546875" bestFit="1" customWidth="1"/>
    <col min="3271" max="3271" width="12" bestFit="1" customWidth="1"/>
    <col min="3272" max="3272" width="13.85546875" bestFit="1" customWidth="1"/>
    <col min="3273" max="3274" width="14.42578125" customWidth="1"/>
    <col min="3275" max="3275" width="10.140625" bestFit="1" customWidth="1"/>
    <col min="3276" max="3276" width="12.28515625" bestFit="1" customWidth="1"/>
    <col min="3277" max="3277" width="7.42578125" bestFit="1" customWidth="1"/>
    <col min="3278" max="3278" width="8.5703125" bestFit="1" customWidth="1"/>
    <col min="3279" max="3279" width="11.5703125" bestFit="1" customWidth="1"/>
    <col min="3280" max="3280" width="13.28515625" bestFit="1" customWidth="1"/>
    <col min="3281" max="3281" width="13.28515625" customWidth="1"/>
    <col min="3282" max="3282" width="13.140625" customWidth="1"/>
    <col min="3283" max="3283" width="12.7109375" bestFit="1" customWidth="1"/>
    <col min="3284" max="3284" width="13.28515625" bestFit="1" customWidth="1"/>
    <col min="3285" max="3287" width="13.28515625" customWidth="1"/>
    <col min="3288" max="3288" width="12.140625" bestFit="1" customWidth="1"/>
    <col min="3289" max="3289" width="12.7109375" bestFit="1" customWidth="1"/>
    <col min="3290" max="3290" width="11" customWidth="1"/>
    <col min="3291" max="3291" width="16.7109375" customWidth="1"/>
    <col min="3292" max="3292" width="17" customWidth="1"/>
    <col min="3293" max="3293" width="10.42578125" bestFit="1" customWidth="1"/>
    <col min="3337" max="3337" width="3.85546875" customWidth="1"/>
    <col min="3338" max="3338" width="15.28515625" bestFit="1" customWidth="1"/>
    <col min="3339" max="3339" width="12.28515625" customWidth="1"/>
    <col min="3340" max="3340" width="16.28515625" bestFit="1" customWidth="1"/>
    <col min="3341" max="3341" width="6.42578125" bestFit="1" customWidth="1"/>
    <col min="3342" max="3342" width="9.28515625" bestFit="1" customWidth="1"/>
    <col min="3343" max="3343" width="7.5703125" bestFit="1" customWidth="1"/>
    <col min="3344" max="3344" width="13.28515625" bestFit="1" customWidth="1"/>
    <col min="3345" max="3345" width="9.28515625" bestFit="1" customWidth="1"/>
    <col min="3346" max="3346" width="11.5703125" bestFit="1" customWidth="1"/>
    <col min="3347" max="3347" width="13.28515625" bestFit="1" customWidth="1"/>
    <col min="3348" max="3348" width="7.140625" bestFit="1" customWidth="1"/>
    <col min="3349" max="3349" width="12" bestFit="1" customWidth="1"/>
    <col min="3350" max="3350" width="13.28515625" bestFit="1" customWidth="1"/>
    <col min="3351" max="3351" width="7" bestFit="1" customWidth="1"/>
    <col min="3352" max="3352" width="12.7109375" bestFit="1" customWidth="1"/>
    <col min="3353" max="3353" width="11.5703125" bestFit="1" customWidth="1"/>
    <col min="3354" max="3354" width="10.5703125" bestFit="1" customWidth="1"/>
    <col min="3355" max="3356" width="15.7109375" bestFit="1" customWidth="1"/>
    <col min="3357" max="3357" width="11.5703125" bestFit="1" customWidth="1"/>
    <col min="3358" max="3358" width="7.7109375" bestFit="1" customWidth="1"/>
    <col min="3359" max="3359" width="15.140625" bestFit="1" customWidth="1"/>
    <col min="3360" max="3360" width="11.5703125" bestFit="1" customWidth="1"/>
    <col min="3361" max="3361" width="13.28515625" bestFit="1" customWidth="1"/>
    <col min="3362" max="3362" width="10.42578125" bestFit="1" customWidth="1"/>
    <col min="3363" max="3363" width="13.28515625" bestFit="1" customWidth="1"/>
    <col min="3364" max="3364" width="12.140625" bestFit="1" customWidth="1"/>
    <col min="3365" max="3365" width="14.42578125" bestFit="1" customWidth="1"/>
    <col min="3366" max="3366" width="13.28515625" bestFit="1" customWidth="1"/>
    <col min="3367" max="3367" width="11.5703125" bestFit="1" customWidth="1"/>
    <col min="3368" max="3368" width="7.7109375" bestFit="1" customWidth="1"/>
    <col min="3369" max="3370" width="14.42578125" bestFit="1" customWidth="1"/>
    <col min="3371" max="3371" width="11.5703125" bestFit="1" customWidth="1"/>
    <col min="3372" max="3372" width="7.7109375" bestFit="1" customWidth="1"/>
    <col min="3373" max="3373" width="13.5703125" customWidth="1"/>
    <col min="3374" max="3374" width="15.28515625" customWidth="1"/>
    <col min="3375" max="3375" width="14.5703125" customWidth="1"/>
    <col min="3376" max="3376" width="13.28515625" bestFit="1" customWidth="1"/>
    <col min="3377" max="3377" width="7.7109375" bestFit="1" customWidth="1"/>
    <col min="3378" max="3378" width="12.7109375" bestFit="1" customWidth="1"/>
    <col min="3379" max="3379" width="11.7109375" bestFit="1" customWidth="1"/>
    <col min="3380" max="3380" width="11.5703125" bestFit="1" customWidth="1"/>
    <col min="3381" max="3381" width="5.28515625" bestFit="1" customWidth="1"/>
    <col min="3382" max="3382" width="13.28515625" bestFit="1" customWidth="1"/>
    <col min="3383" max="3383" width="13.5703125" bestFit="1" customWidth="1"/>
    <col min="3384" max="3384" width="10.5703125" bestFit="1" customWidth="1"/>
    <col min="3385" max="3385" width="13.28515625" bestFit="1" customWidth="1"/>
    <col min="3386" max="3386" width="11.5703125" bestFit="1" customWidth="1"/>
    <col min="3387" max="3387" width="10.5703125" bestFit="1" customWidth="1"/>
    <col min="3388" max="3388" width="16.140625" bestFit="1" customWidth="1"/>
    <col min="3389" max="3390" width="11.28515625" bestFit="1" customWidth="1"/>
    <col min="3391" max="3391" width="13.28515625" bestFit="1" customWidth="1"/>
    <col min="3392" max="3392" width="7.7109375" bestFit="1" customWidth="1"/>
    <col min="3393" max="3396" width="9.140625" hidden="1" customWidth="1"/>
    <col min="3397" max="3397" width="10.42578125" bestFit="1" customWidth="1"/>
    <col min="3398" max="3398" width="10.5703125" bestFit="1" customWidth="1"/>
    <col min="3399" max="3399" width="10.42578125" bestFit="1" customWidth="1"/>
    <col min="3400" max="3400" width="10.5703125" bestFit="1" customWidth="1"/>
    <col min="3401" max="3401" width="9.5703125" bestFit="1" customWidth="1"/>
    <col min="3402" max="3402" width="11.5703125" bestFit="1" customWidth="1"/>
    <col min="3403" max="3403" width="10.42578125" bestFit="1" customWidth="1"/>
    <col min="3404" max="3404" width="10.85546875" customWidth="1"/>
    <col min="3405" max="3406" width="9.85546875" bestFit="1" customWidth="1"/>
    <col min="3407" max="3407" width="13.5703125" bestFit="1" customWidth="1"/>
    <col min="3408" max="3408" width="7.7109375" bestFit="1" customWidth="1"/>
    <col min="3409" max="3409" width="13.28515625" bestFit="1" customWidth="1"/>
    <col min="3410" max="3410" width="11.5703125" bestFit="1" customWidth="1"/>
    <col min="3411" max="3411" width="10.42578125" bestFit="1" customWidth="1"/>
    <col min="3412" max="3412" width="7.7109375" bestFit="1" customWidth="1"/>
    <col min="3413" max="3413" width="11.5703125" bestFit="1" customWidth="1"/>
    <col min="3414" max="3414" width="10.85546875" bestFit="1" customWidth="1"/>
    <col min="3415" max="3415" width="13.28515625" bestFit="1" customWidth="1"/>
    <col min="3416" max="3416" width="10.85546875" bestFit="1" customWidth="1"/>
    <col min="3417" max="3418" width="7.5703125" bestFit="1" customWidth="1"/>
    <col min="3419" max="3420" width="10.42578125" bestFit="1" customWidth="1"/>
    <col min="3421" max="3421" width="11.5703125" bestFit="1" customWidth="1"/>
    <col min="3422" max="3422" width="5.28515625" bestFit="1" customWidth="1"/>
    <col min="3423" max="3423" width="10.28515625" bestFit="1" customWidth="1"/>
    <col min="3424" max="3424" width="10.42578125" bestFit="1" customWidth="1"/>
    <col min="3425" max="3425" width="11.5703125" bestFit="1" customWidth="1"/>
    <col min="3426" max="3426" width="5.28515625" bestFit="1" customWidth="1"/>
    <col min="3427" max="3429" width="11.5703125" bestFit="1" customWidth="1"/>
    <col min="3430" max="3430" width="5.28515625" bestFit="1" customWidth="1"/>
    <col min="3431" max="3432" width="10.42578125" bestFit="1" customWidth="1"/>
    <col min="3433" max="3433" width="11.5703125" bestFit="1" customWidth="1"/>
    <col min="3434" max="3434" width="5.28515625" bestFit="1" customWidth="1"/>
    <col min="3435" max="3435" width="14.28515625" bestFit="1" customWidth="1"/>
    <col min="3436" max="3436" width="13" bestFit="1" customWidth="1"/>
    <col min="3437" max="3437" width="11.5703125" bestFit="1" customWidth="1"/>
    <col min="3438" max="3438" width="8.85546875" bestFit="1" customWidth="1"/>
    <col min="3439" max="3439" width="14.42578125" bestFit="1" customWidth="1"/>
    <col min="3440" max="3440" width="10.42578125" bestFit="1" customWidth="1"/>
    <col min="3441" max="3441" width="12.28515625" bestFit="1" customWidth="1"/>
    <col min="3442" max="3442" width="13.85546875" bestFit="1" customWidth="1"/>
    <col min="3443" max="3443" width="11.28515625" customWidth="1"/>
    <col min="3444" max="3444" width="11.5703125" customWidth="1"/>
    <col min="3445" max="3445" width="13.42578125" bestFit="1" customWidth="1"/>
    <col min="3446" max="3446" width="10.42578125" customWidth="1"/>
    <col min="3447" max="3447" width="13.85546875" bestFit="1" customWidth="1"/>
    <col min="3448" max="3448" width="15.42578125" bestFit="1" customWidth="1"/>
    <col min="3449" max="3449" width="12.28515625" bestFit="1" customWidth="1"/>
    <col min="3450" max="3450" width="12.7109375" customWidth="1"/>
    <col min="3451" max="3451" width="10.7109375" bestFit="1" customWidth="1"/>
    <col min="3452" max="3452" width="9.85546875" customWidth="1"/>
    <col min="3453" max="3454" width="10.140625" bestFit="1" customWidth="1"/>
    <col min="3455" max="3455" width="7.5703125" bestFit="1" customWidth="1"/>
    <col min="3456" max="3456" width="9.42578125" bestFit="1" customWidth="1"/>
    <col min="3457" max="3457" width="14.5703125" bestFit="1" customWidth="1"/>
    <col min="3458" max="3458" width="14.85546875" customWidth="1"/>
    <col min="3459" max="3459" width="15.140625" bestFit="1" customWidth="1"/>
    <col min="3460" max="3460" width="12.140625" bestFit="1" customWidth="1"/>
    <col min="3461" max="3461" width="14.85546875" bestFit="1" customWidth="1"/>
    <col min="3462" max="3462" width="12.28515625" bestFit="1" customWidth="1"/>
    <col min="3463" max="3471" width="9.140625" hidden="1" customWidth="1"/>
    <col min="3472" max="3472" width="5.28515625" bestFit="1" customWidth="1"/>
    <col min="3473" max="3478" width="11.5703125" bestFit="1" customWidth="1"/>
    <col min="3479" max="3479" width="11.28515625" bestFit="1" customWidth="1"/>
    <col min="3480" max="3480" width="10.140625" bestFit="1" customWidth="1"/>
    <col min="3481" max="3481" width="11.5703125" bestFit="1" customWidth="1"/>
    <col min="3482" max="3482" width="16.140625" customWidth="1"/>
    <col min="3483" max="3483" width="13.42578125" customWidth="1"/>
    <col min="3484" max="3484" width="10.140625" bestFit="1" customWidth="1"/>
    <col min="3485" max="3485" width="12.85546875" bestFit="1" customWidth="1"/>
    <col min="3486" max="3486" width="12.28515625" bestFit="1" customWidth="1"/>
    <col min="3487" max="3487" width="11.28515625" bestFit="1" customWidth="1"/>
    <col min="3488" max="3488" width="11.5703125" bestFit="1" customWidth="1"/>
    <col min="3489" max="3489" width="10.85546875" bestFit="1" customWidth="1"/>
    <col min="3490" max="3490" width="11.28515625" bestFit="1" customWidth="1"/>
    <col min="3491" max="3491" width="10.140625" bestFit="1" customWidth="1"/>
    <col min="3492" max="3492" width="13.28515625" bestFit="1" customWidth="1"/>
    <col min="3493" max="3494" width="12.7109375" bestFit="1" customWidth="1"/>
    <col min="3495" max="3495" width="11" bestFit="1" customWidth="1"/>
    <col min="3496" max="3496" width="11.28515625" bestFit="1" customWidth="1"/>
    <col min="3497" max="3497" width="11.5703125" bestFit="1" customWidth="1"/>
    <col min="3498" max="3498" width="12.28515625" bestFit="1" customWidth="1"/>
    <col min="3499" max="3499" width="15.140625" bestFit="1" customWidth="1"/>
    <col min="3500" max="3500" width="14.42578125" bestFit="1" customWidth="1"/>
    <col min="3501" max="3501" width="12.28515625" bestFit="1" customWidth="1"/>
    <col min="3502" max="3502" width="15.140625" bestFit="1" customWidth="1"/>
    <col min="3503" max="3503" width="14.42578125" bestFit="1" customWidth="1"/>
    <col min="3504" max="3504" width="12.28515625" bestFit="1" customWidth="1"/>
    <col min="3505" max="3505" width="14.42578125" bestFit="1" customWidth="1"/>
    <col min="3506" max="3506" width="11.28515625" bestFit="1" customWidth="1"/>
    <col min="3507" max="3507" width="12.28515625" bestFit="1" customWidth="1"/>
    <col min="3508" max="3508" width="13" bestFit="1" customWidth="1"/>
    <col min="3509" max="3509" width="15.140625" bestFit="1" customWidth="1"/>
    <col min="3510" max="3510" width="12.28515625" bestFit="1" customWidth="1"/>
    <col min="3511" max="3511" width="13.85546875" bestFit="1" customWidth="1"/>
    <col min="3512" max="3512" width="11.28515625" bestFit="1" customWidth="1"/>
    <col min="3513" max="3513" width="12.28515625" bestFit="1" customWidth="1"/>
    <col min="3514" max="3514" width="13.85546875" bestFit="1" customWidth="1"/>
    <col min="3515" max="3516" width="15.140625" bestFit="1" customWidth="1"/>
    <col min="3517" max="3517" width="12.28515625" bestFit="1" customWidth="1"/>
    <col min="3518" max="3518" width="5.7109375" bestFit="1" customWidth="1"/>
    <col min="3519" max="3519" width="8.5703125" bestFit="1" customWidth="1"/>
    <col min="3520" max="3520" width="5.5703125" bestFit="1" customWidth="1"/>
    <col min="3521" max="3521" width="14.42578125" bestFit="1" customWidth="1"/>
    <col min="3522" max="3522" width="11.28515625" bestFit="1" customWidth="1"/>
    <col min="3523" max="3524" width="12.28515625" bestFit="1" customWidth="1"/>
    <col min="3525" max="3525" width="11.28515625" bestFit="1" customWidth="1"/>
    <col min="3526" max="3526" width="13.85546875" bestFit="1" customWidth="1"/>
    <col min="3527" max="3527" width="12" bestFit="1" customWidth="1"/>
    <col min="3528" max="3528" width="13.85546875" bestFit="1" customWidth="1"/>
    <col min="3529" max="3530" width="14.42578125" customWidth="1"/>
    <col min="3531" max="3531" width="10.140625" bestFit="1" customWidth="1"/>
    <col min="3532" max="3532" width="12.28515625" bestFit="1" customWidth="1"/>
    <col min="3533" max="3533" width="7.42578125" bestFit="1" customWidth="1"/>
    <col min="3534" max="3534" width="8.5703125" bestFit="1" customWidth="1"/>
    <col min="3535" max="3535" width="11.5703125" bestFit="1" customWidth="1"/>
    <col min="3536" max="3536" width="13.28515625" bestFit="1" customWidth="1"/>
    <col min="3537" max="3537" width="13.28515625" customWidth="1"/>
    <col min="3538" max="3538" width="13.140625" customWidth="1"/>
    <col min="3539" max="3539" width="12.7109375" bestFit="1" customWidth="1"/>
    <col min="3540" max="3540" width="13.28515625" bestFit="1" customWidth="1"/>
    <col min="3541" max="3543" width="13.28515625" customWidth="1"/>
    <col min="3544" max="3544" width="12.140625" bestFit="1" customWidth="1"/>
    <col min="3545" max="3545" width="12.7109375" bestFit="1" customWidth="1"/>
    <col min="3546" max="3546" width="11" customWidth="1"/>
    <col min="3547" max="3547" width="16.7109375" customWidth="1"/>
    <col min="3548" max="3548" width="17" customWidth="1"/>
    <col min="3549" max="3549" width="10.42578125" bestFit="1" customWidth="1"/>
    <col min="3593" max="3593" width="3.85546875" customWidth="1"/>
    <col min="3594" max="3594" width="15.28515625" bestFit="1" customWidth="1"/>
    <col min="3595" max="3595" width="12.28515625" customWidth="1"/>
    <col min="3596" max="3596" width="16.28515625" bestFit="1" customWidth="1"/>
    <col min="3597" max="3597" width="6.42578125" bestFit="1" customWidth="1"/>
    <col min="3598" max="3598" width="9.28515625" bestFit="1" customWidth="1"/>
    <col min="3599" max="3599" width="7.5703125" bestFit="1" customWidth="1"/>
    <col min="3600" max="3600" width="13.28515625" bestFit="1" customWidth="1"/>
    <col min="3601" max="3601" width="9.28515625" bestFit="1" customWidth="1"/>
    <col min="3602" max="3602" width="11.5703125" bestFit="1" customWidth="1"/>
    <col min="3603" max="3603" width="13.28515625" bestFit="1" customWidth="1"/>
    <col min="3604" max="3604" width="7.140625" bestFit="1" customWidth="1"/>
    <col min="3605" max="3605" width="12" bestFit="1" customWidth="1"/>
    <col min="3606" max="3606" width="13.28515625" bestFit="1" customWidth="1"/>
    <col min="3607" max="3607" width="7" bestFit="1" customWidth="1"/>
    <col min="3608" max="3608" width="12.7109375" bestFit="1" customWidth="1"/>
    <col min="3609" max="3609" width="11.5703125" bestFit="1" customWidth="1"/>
    <col min="3610" max="3610" width="10.5703125" bestFit="1" customWidth="1"/>
    <col min="3611" max="3612" width="15.7109375" bestFit="1" customWidth="1"/>
    <col min="3613" max="3613" width="11.5703125" bestFit="1" customWidth="1"/>
    <col min="3614" max="3614" width="7.7109375" bestFit="1" customWidth="1"/>
    <col min="3615" max="3615" width="15.140625" bestFit="1" customWidth="1"/>
    <col min="3616" max="3616" width="11.5703125" bestFit="1" customWidth="1"/>
    <col min="3617" max="3617" width="13.28515625" bestFit="1" customWidth="1"/>
    <col min="3618" max="3618" width="10.42578125" bestFit="1" customWidth="1"/>
    <col min="3619" max="3619" width="13.28515625" bestFit="1" customWidth="1"/>
    <col min="3620" max="3620" width="12.140625" bestFit="1" customWidth="1"/>
    <col min="3621" max="3621" width="14.42578125" bestFit="1" customWidth="1"/>
    <col min="3622" max="3622" width="13.28515625" bestFit="1" customWidth="1"/>
    <col min="3623" max="3623" width="11.5703125" bestFit="1" customWidth="1"/>
    <col min="3624" max="3624" width="7.7109375" bestFit="1" customWidth="1"/>
    <col min="3625" max="3626" width="14.42578125" bestFit="1" customWidth="1"/>
    <col min="3627" max="3627" width="11.5703125" bestFit="1" customWidth="1"/>
    <col min="3628" max="3628" width="7.7109375" bestFit="1" customWidth="1"/>
    <col min="3629" max="3629" width="13.5703125" customWidth="1"/>
    <col min="3630" max="3630" width="15.28515625" customWidth="1"/>
    <col min="3631" max="3631" width="14.5703125" customWidth="1"/>
    <col min="3632" max="3632" width="13.28515625" bestFit="1" customWidth="1"/>
    <col min="3633" max="3633" width="7.7109375" bestFit="1" customWidth="1"/>
    <col min="3634" max="3634" width="12.7109375" bestFit="1" customWidth="1"/>
    <col min="3635" max="3635" width="11.7109375" bestFit="1" customWidth="1"/>
    <col min="3636" max="3636" width="11.5703125" bestFit="1" customWidth="1"/>
    <col min="3637" max="3637" width="5.28515625" bestFit="1" customWidth="1"/>
    <col min="3638" max="3638" width="13.28515625" bestFit="1" customWidth="1"/>
    <col min="3639" max="3639" width="13.5703125" bestFit="1" customWidth="1"/>
    <col min="3640" max="3640" width="10.5703125" bestFit="1" customWidth="1"/>
    <col min="3641" max="3641" width="13.28515625" bestFit="1" customWidth="1"/>
    <col min="3642" max="3642" width="11.5703125" bestFit="1" customWidth="1"/>
    <col min="3643" max="3643" width="10.5703125" bestFit="1" customWidth="1"/>
    <col min="3644" max="3644" width="16.140625" bestFit="1" customWidth="1"/>
    <col min="3645" max="3646" width="11.28515625" bestFit="1" customWidth="1"/>
    <col min="3647" max="3647" width="13.28515625" bestFit="1" customWidth="1"/>
    <col min="3648" max="3648" width="7.7109375" bestFit="1" customWidth="1"/>
    <col min="3649" max="3652" width="9.140625" hidden="1" customWidth="1"/>
    <col min="3653" max="3653" width="10.42578125" bestFit="1" customWidth="1"/>
    <col min="3654" max="3654" width="10.5703125" bestFit="1" customWidth="1"/>
    <col min="3655" max="3655" width="10.42578125" bestFit="1" customWidth="1"/>
    <col min="3656" max="3656" width="10.5703125" bestFit="1" customWidth="1"/>
    <col min="3657" max="3657" width="9.5703125" bestFit="1" customWidth="1"/>
    <col min="3658" max="3658" width="11.5703125" bestFit="1" customWidth="1"/>
    <col min="3659" max="3659" width="10.42578125" bestFit="1" customWidth="1"/>
    <col min="3660" max="3660" width="10.85546875" customWidth="1"/>
    <col min="3661" max="3662" width="9.85546875" bestFit="1" customWidth="1"/>
    <col min="3663" max="3663" width="13.5703125" bestFit="1" customWidth="1"/>
    <col min="3664" max="3664" width="7.7109375" bestFit="1" customWidth="1"/>
    <col min="3665" max="3665" width="13.28515625" bestFit="1" customWidth="1"/>
    <col min="3666" max="3666" width="11.5703125" bestFit="1" customWidth="1"/>
    <col min="3667" max="3667" width="10.42578125" bestFit="1" customWidth="1"/>
    <col min="3668" max="3668" width="7.7109375" bestFit="1" customWidth="1"/>
    <col min="3669" max="3669" width="11.5703125" bestFit="1" customWidth="1"/>
    <col min="3670" max="3670" width="10.85546875" bestFit="1" customWidth="1"/>
    <col min="3671" max="3671" width="13.28515625" bestFit="1" customWidth="1"/>
    <col min="3672" max="3672" width="10.85546875" bestFit="1" customWidth="1"/>
    <col min="3673" max="3674" width="7.5703125" bestFit="1" customWidth="1"/>
    <col min="3675" max="3676" width="10.42578125" bestFit="1" customWidth="1"/>
    <col min="3677" max="3677" width="11.5703125" bestFit="1" customWidth="1"/>
    <col min="3678" max="3678" width="5.28515625" bestFit="1" customWidth="1"/>
    <col min="3679" max="3679" width="10.28515625" bestFit="1" customWidth="1"/>
    <col min="3680" max="3680" width="10.42578125" bestFit="1" customWidth="1"/>
    <col min="3681" max="3681" width="11.5703125" bestFit="1" customWidth="1"/>
    <col min="3682" max="3682" width="5.28515625" bestFit="1" customWidth="1"/>
    <col min="3683" max="3685" width="11.5703125" bestFit="1" customWidth="1"/>
    <col min="3686" max="3686" width="5.28515625" bestFit="1" customWidth="1"/>
    <col min="3687" max="3688" width="10.42578125" bestFit="1" customWidth="1"/>
    <col min="3689" max="3689" width="11.5703125" bestFit="1" customWidth="1"/>
    <col min="3690" max="3690" width="5.28515625" bestFit="1" customWidth="1"/>
    <col min="3691" max="3691" width="14.28515625" bestFit="1" customWidth="1"/>
    <col min="3692" max="3692" width="13" bestFit="1" customWidth="1"/>
    <col min="3693" max="3693" width="11.5703125" bestFit="1" customWidth="1"/>
    <col min="3694" max="3694" width="8.85546875" bestFit="1" customWidth="1"/>
    <col min="3695" max="3695" width="14.42578125" bestFit="1" customWidth="1"/>
    <col min="3696" max="3696" width="10.42578125" bestFit="1" customWidth="1"/>
    <col min="3697" max="3697" width="12.28515625" bestFit="1" customWidth="1"/>
    <col min="3698" max="3698" width="13.85546875" bestFit="1" customWidth="1"/>
    <col min="3699" max="3699" width="11.28515625" customWidth="1"/>
    <col min="3700" max="3700" width="11.5703125" customWidth="1"/>
    <col min="3701" max="3701" width="13.42578125" bestFit="1" customWidth="1"/>
    <col min="3702" max="3702" width="10.42578125" customWidth="1"/>
    <col min="3703" max="3703" width="13.85546875" bestFit="1" customWidth="1"/>
    <col min="3704" max="3704" width="15.42578125" bestFit="1" customWidth="1"/>
    <col min="3705" max="3705" width="12.28515625" bestFit="1" customWidth="1"/>
    <col min="3706" max="3706" width="12.7109375" customWidth="1"/>
    <col min="3707" max="3707" width="10.7109375" bestFit="1" customWidth="1"/>
    <col min="3708" max="3708" width="9.85546875" customWidth="1"/>
    <col min="3709" max="3710" width="10.140625" bestFit="1" customWidth="1"/>
    <col min="3711" max="3711" width="7.5703125" bestFit="1" customWidth="1"/>
    <col min="3712" max="3712" width="9.42578125" bestFit="1" customWidth="1"/>
    <col min="3713" max="3713" width="14.5703125" bestFit="1" customWidth="1"/>
    <col min="3714" max="3714" width="14.85546875" customWidth="1"/>
    <col min="3715" max="3715" width="15.140625" bestFit="1" customWidth="1"/>
    <col min="3716" max="3716" width="12.140625" bestFit="1" customWidth="1"/>
    <col min="3717" max="3717" width="14.85546875" bestFit="1" customWidth="1"/>
    <col min="3718" max="3718" width="12.28515625" bestFit="1" customWidth="1"/>
    <col min="3719" max="3727" width="9.140625" hidden="1" customWidth="1"/>
    <col min="3728" max="3728" width="5.28515625" bestFit="1" customWidth="1"/>
    <col min="3729" max="3734" width="11.5703125" bestFit="1" customWidth="1"/>
    <col min="3735" max="3735" width="11.28515625" bestFit="1" customWidth="1"/>
    <col min="3736" max="3736" width="10.140625" bestFit="1" customWidth="1"/>
    <col min="3737" max="3737" width="11.5703125" bestFit="1" customWidth="1"/>
    <col min="3738" max="3738" width="16.140625" customWidth="1"/>
    <col min="3739" max="3739" width="13.42578125" customWidth="1"/>
    <col min="3740" max="3740" width="10.140625" bestFit="1" customWidth="1"/>
    <col min="3741" max="3741" width="12.85546875" bestFit="1" customWidth="1"/>
    <col min="3742" max="3742" width="12.28515625" bestFit="1" customWidth="1"/>
    <col min="3743" max="3743" width="11.28515625" bestFit="1" customWidth="1"/>
    <col min="3744" max="3744" width="11.5703125" bestFit="1" customWidth="1"/>
    <col min="3745" max="3745" width="10.85546875" bestFit="1" customWidth="1"/>
    <col min="3746" max="3746" width="11.28515625" bestFit="1" customWidth="1"/>
    <col min="3747" max="3747" width="10.140625" bestFit="1" customWidth="1"/>
    <col min="3748" max="3748" width="13.28515625" bestFit="1" customWidth="1"/>
    <col min="3749" max="3750" width="12.7109375" bestFit="1" customWidth="1"/>
    <col min="3751" max="3751" width="11" bestFit="1" customWidth="1"/>
    <col min="3752" max="3752" width="11.28515625" bestFit="1" customWidth="1"/>
    <col min="3753" max="3753" width="11.5703125" bestFit="1" customWidth="1"/>
    <col min="3754" max="3754" width="12.28515625" bestFit="1" customWidth="1"/>
    <col min="3755" max="3755" width="15.140625" bestFit="1" customWidth="1"/>
    <col min="3756" max="3756" width="14.42578125" bestFit="1" customWidth="1"/>
    <col min="3757" max="3757" width="12.28515625" bestFit="1" customWidth="1"/>
    <col min="3758" max="3758" width="15.140625" bestFit="1" customWidth="1"/>
    <col min="3759" max="3759" width="14.42578125" bestFit="1" customWidth="1"/>
    <col min="3760" max="3760" width="12.28515625" bestFit="1" customWidth="1"/>
    <col min="3761" max="3761" width="14.42578125" bestFit="1" customWidth="1"/>
    <col min="3762" max="3762" width="11.28515625" bestFit="1" customWidth="1"/>
    <col min="3763" max="3763" width="12.28515625" bestFit="1" customWidth="1"/>
    <col min="3764" max="3764" width="13" bestFit="1" customWidth="1"/>
    <col min="3765" max="3765" width="15.140625" bestFit="1" customWidth="1"/>
    <col min="3766" max="3766" width="12.28515625" bestFit="1" customWidth="1"/>
    <col min="3767" max="3767" width="13.85546875" bestFit="1" customWidth="1"/>
    <col min="3768" max="3768" width="11.28515625" bestFit="1" customWidth="1"/>
    <col min="3769" max="3769" width="12.28515625" bestFit="1" customWidth="1"/>
    <col min="3770" max="3770" width="13.85546875" bestFit="1" customWidth="1"/>
    <col min="3771" max="3772" width="15.140625" bestFit="1" customWidth="1"/>
    <col min="3773" max="3773" width="12.28515625" bestFit="1" customWidth="1"/>
    <col min="3774" max="3774" width="5.7109375" bestFit="1" customWidth="1"/>
    <col min="3775" max="3775" width="8.5703125" bestFit="1" customWidth="1"/>
    <col min="3776" max="3776" width="5.5703125" bestFit="1" customWidth="1"/>
    <col min="3777" max="3777" width="14.42578125" bestFit="1" customWidth="1"/>
    <col min="3778" max="3778" width="11.28515625" bestFit="1" customWidth="1"/>
    <col min="3779" max="3780" width="12.28515625" bestFit="1" customWidth="1"/>
    <col min="3781" max="3781" width="11.28515625" bestFit="1" customWidth="1"/>
    <col min="3782" max="3782" width="13.85546875" bestFit="1" customWidth="1"/>
    <col min="3783" max="3783" width="12" bestFit="1" customWidth="1"/>
    <col min="3784" max="3784" width="13.85546875" bestFit="1" customWidth="1"/>
    <col min="3785" max="3786" width="14.42578125" customWidth="1"/>
    <col min="3787" max="3787" width="10.140625" bestFit="1" customWidth="1"/>
    <col min="3788" max="3788" width="12.28515625" bestFit="1" customWidth="1"/>
    <col min="3789" max="3789" width="7.42578125" bestFit="1" customWidth="1"/>
    <col min="3790" max="3790" width="8.5703125" bestFit="1" customWidth="1"/>
    <col min="3791" max="3791" width="11.5703125" bestFit="1" customWidth="1"/>
    <col min="3792" max="3792" width="13.28515625" bestFit="1" customWidth="1"/>
    <col min="3793" max="3793" width="13.28515625" customWidth="1"/>
    <col min="3794" max="3794" width="13.140625" customWidth="1"/>
    <col min="3795" max="3795" width="12.7109375" bestFit="1" customWidth="1"/>
    <col min="3796" max="3796" width="13.28515625" bestFit="1" customWidth="1"/>
    <col min="3797" max="3799" width="13.28515625" customWidth="1"/>
    <col min="3800" max="3800" width="12.140625" bestFit="1" customWidth="1"/>
    <col min="3801" max="3801" width="12.7109375" bestFit="1" customWidth="1"/>
    <col min="3802" max="3802" width="11" customWidth="1"/>
    <col min="3803" max="3803" width="16.7109375" customWidth="1"/>
    <col min="3804" max="3804" width="17" customWidth="1"/>
    <col min="3805" max="3805" width="10.42578125" bestFit="1" customWidth="1"/>
    <col min="3849" max="3849" width="3.85546875" customWidth="1"/>
    <col min="3850" max="3850" width="15.28515625" bestFit="1" customWidth="1"/>
    <col min="3851" max="3851" width="12.28515625" customWidth="1"/>
    <col min="3852" max="3852" width="16.28515625" bestFit="1" customWidth="1"/>
    <col min="3853" max="3853" width="6.42578125" bestFit="1" customWidth="1"/>
    <col min="3854" max="3854" width="9.28515625" bestFit="1" customWidth="1"/>
    <col min="3855" max="3855" width="7.5703125" bestFit="1" customWidth="1"/>
    <col min="3856" max="3856" width="13.28515625" bestFit="1" customWidth="1"/>
    <col min="3857" max="3857" width="9.28515625" bestFit="1" customWidth="1"/>
    <col min="3858" max="3858" width="11.5703125" bestFit="1" customWidth="1"/>
    <col min="3859" max="3859" width="13.28515625" bestFit="1" customWidth="1"/>
    <col min="3860" max="3860" width="7.140625" bestFit="1" customWidth="1"/>
    <col min="3861" max="3861" width="12" bestFit="1" customWidth="1"/>
    <col min="3862" max="3862" width="13.28515625" bestFit="1" customWidth="1"/>
    <col min="3863" max="3863" width="7" bestFit="1" customWidth="1"/>
    <col min="3864" max="3864" width="12.7109375" bestFit="1" customWidth="1"/>
    <col min="3865" max="3865" width="11.5703125" bestFit="1" customWidth="1"/>
    <col min="3866" max="3866" width="10.5703125" bestFit="1" customWidth="1"/>
    <col min="3867" max="3868" width="15.7109375" bestFit="1" customWidth="1"/>
    <col min="3869" max="3869" width="11.5703125" bestFit="1" customWidth="1"/>
    <col min="3870" max="3870" width="7.7109375" bestFit="1" customWidth="1"/>
    <col min="3871" max="3871" width="15.140625" bestFit="1" customWidth="1"/>
    <col min="3872" max="3872" width="11.5703125" bestFit="1" customWidth="1"/>
    <col min="3873" max="3873" width="13.28515625" bestFit="1" customWidth="1"/>
    <col min="3874" max="3874" width="10.42578125" bestFit="1" customWidth="1"/>
    <col min="3875" max="3875" width="13.28515625" bestFit="1" customWidth="1"/>
    <col min="3876" max="3876" width="12.140625" bestFit="1" customWidth="1"/>
    <col min="3877" max="3877" width="14.42578125" bestFit="1" customWidth="1"/>
    <col min="3878" max="3878" width="13.28515625" bestFit="1" customWidth="1"/>
    <col min="3879" max="3879" width="11.5703125" bestFit="1" customWidth="1"/>
    <col min="3880" max="3880" width="7.7109375" bestFit="1" customWidth="1"/>
    <col min="3881" max="3882" width="14.42578125" bestFit="1" customWidth="1"/>
    <col min="3883" max="3883" width="11.5703125" bestFit="1" customWidth="1"/>
    <col min="3884" max="3884" width="7.7109375" bestFit="1" customWidth="1"/>
    <col min="3885" max="3885" width="13.5703125" customWidth="1"/>
    <col min="3886" max="3886" width="15.28515625" customWidth="1"/>
    <col min="3887" max="3887" width="14.5703125" customWidth="1"/>
    <col min="3888" max="3888" width="13.28515625" bestFit="1" customWidth="1"/>
    <col min="3889" max="3889" width="7.7109375" bestFit="1" customWidth="1"/>
    <col min="3890" max="3890" width="12.7109375" bestFit="1" customWidth="1"/>
    <col min="3891" max="3891" width="11.7109375" bestFit="1" customWidth="1"/>
    <col min="3892" max="3892" width="11.5703125" bestFit="1" customWidth="1"/>
    <col min="3893" max="3893" width="5.28515625" bestFit="1" customWidth="1"/>
    <col min="3894" max="3894" width="13.28515625" bestFit="1" customWidth="1"/>
    <col min="3895" max="3895" width="13.5703125" bestFit="1" customWidth="1"/>
    <col min="3896" max="3896" width="10.5703125" bestFit="1" customWidth="1"/>
    <col min="3897" max="3897" width="13.28515625" bestFit="1" customWidth="1"/>
    <col min="3898" max="3898" width="11.5703125" bestFit="1" customWidth="1"/>
    <col min="3899" max="3899" width="10.5703125" bestFit="1" customWidth="1"/>
    <col min="3900" max="3900" width="16.140625" bestFit="1" customWidth="1"/>
    <col min="3901" max="3902" width="11.28515625" bestFit="1" customWidth="1"/>
    <col min="3903" max="3903" width="13.28515625" bestFit="1" customWidth="1"/>
    <col min="3904" max="3904" width="7.7109375" bestFit="1" customWidth="1"/>
    <col min="3905" max="3908" width="9.140625" hidden="1" customWidth="1"/>
    <col min="3909" max="3909" width="10.42578125" bestFit="1" customWidth="1"/>
    <col min="3910" max="3910" width="10.5703125" bestFit="1" customWidth="1"/>
    <col min="3911" max="3911" width="10.42578125" bestFit="1" customWidth="1"/>
    <col min="3912" max="3912" width="10.5703125" bestFit="1" customWidth="1"/>
    <col min="3913" max="3913" width="9.5703125" bestFit="1" customWidth="1"/>
    <col min="3914" max="3914" width="11.5703125" bestFit="1" customWidth="1"/>
    <col min="3915" max="3915" width="10.42578125" bestFit="1" customWidth="1"/>
    <col min="3916" max="3916" width="10.85546875" customWidth="1"/>
    <col min="3917" max="3918" width="9.85546875" bestFit="1" customWidth="1"/>
    <col min="3919" max="3919" width="13.5703125" bestFit="1" customWidth="1"/>
    <col min="3920" max="3920" width="7.7109375" bestFit="1" customWidth="1"/>
    <col min="3921" max="3921" width="13.28515625" bestFit="1" customWidth="1"/>
    <col min="3922" max="3922" width="11.5703125" bestFit="1" customWidth="1"/>
    <col min="3923" max="3923" width="10.42578125" bestFit="1" customWidth="1"/>
    <col min="3924" max="3924" width="7.7109375" bestFit="1" customWidth="1"/>
    <col min="3925" max="3925" width="11.5703125" bestFit="1" customWidth="1"/>
    <col min="3926" max="3926" width="10.85546875" bestFit="1" customWidth="1"/>
    <col min="3927" max="3927" width="13.28515625" bestFit="1" customWidth="1"/>
    <col min="3928" max="3928" width="10.85546875" bestFit="1" customWidth="1"/>
    <col min="3929" max="3930" width="7.5703125" bestFit="1" customWidth="1"/>
    <col min="3931" max="3932" width="10.42578125" bestFit="1" customWidth="1"/>
    <col min="3933" max="3933" width="11.5703125" bestFit="1" customWidth="1"/>
    <col min="3934" max="3934" width="5.28515625" bestFit="1" customWidth="1"/>
    <col min="3935" max="3935" width="10.28515625" bestFit="1" customWidth="1"/>
    <col min="3936" max="3936" width="10.42578125" bestFit="1" customWidth="1"/>
    <col min="3937" max="3937" width="11.5703125" bestFit="1" customWidth="1"/>
    <col min="3938" max="3938" width="5.28515625" bestFit="1" customWidth="1"/>
    <col min="3939" max="3941" width="11.5703125" bestFit="1" customWidth="1"/>
    <col min="3942" max="3942" width="5.28515625" bestFit="1" customWidth="1"/>
    <col min="3943" max="3944" width="10.42578125" bestFit="1" customWidth="1"/>
    <col min="3945" max="3945" width="11.5703125" bestFit="1" customWidth="1"/>
    <col min="3946" max="3946" width="5.28515625" bestFit="1" customWidth="1"/>
    <col min="3947" max="3947" width="14.28515625" bestFit="1" customWidth="1"/>
    <col min="3948" max="3948" width="13" bestFit="1" customWidth="1"/>
    <col min="3949" max="3949" width="11.5703125" bestFit="1" customWidth="1"/>
    <col min="3950" max="3950" width="8.85546875" bestFit="1" customWidth="1"/>
    <col min="3951" max="3951" width="14.42578125" bestFit="1" customWidth="1"/>
    <col min="3952" max="3952" width="10.42578125" bestFit="1" customWidth="1"/>
    <col min="3953" max="3953" width="12.28515625" bestFit="1" customWidth="1"/>
    <col min="3954" max="3954" width="13.85546875" bestFit="1" customWidth="1"/>
    <col min="3955" max="3955" width="11.28515625" customWidth="1"/>
    <col min="3956" max="3956" width="11.5703125" customWidth="1"/>
    <col min="3957" max="3957" width="13.42578125" bestFit="1" customWidth="1"/>
    <col min="3958" max="3958" width="10.42578125" customWidth="1"/>
    <col min="3959" max="3959" width="13.85546875" bestFit="1" customWidth="1"/>
    <col min="3960" max="3960" width="15.42578125" bestFit="1" customWidth="1"/>
    <col min="3961" max="3961" width="12.28515625" bestFit="1" customWidth="1"/>
    <col min="3962" max="3962" width="12.7109375" customWidth="1"/>
    <col min="3963" max="3963" width="10.7109375" bestFit="1" customWidth="1"/>
    <col min="3964" max="3964" width="9.85546875" customWidth="1"/>
    <col min="3965" max="3966" width="10.140625" bestFit="1" customWidth="1"/>
    <col min="3967" max="3967" width="7.5703125" bestFit="1" customWidth="1"/>
    <col min="3968" max="3968" width="9.42578125" bestFit="1" customWidth="1"/>
    <col min="3969" max="3969" width="14.5703125" bestFit="1" customWidth="1"/>
    <col min="3970" max="3970" width="14.85546875" customWidth="1"/>
    <col min="3971" max="3971" width="15.140625" bestFit="1" customWidth="1"/>
    <col min="3972" max="3972" width="12.140625" bestFit="1" customWidth="1"/>
    <col min="3973" max="3973" width="14.85546875" bestFit="1" customWidth="1"/>
    <col min="3974" max="3974" width="12.28515625" bestFit="1" customWidth="1"/>
    <col min="3975" max="3983" width="9.140625" hidden="1" customWidth="1"/>
    <col min="3984" max="3984" width="5.28515625" bestFit="1" customWidth="1"/>
    <col min="3985" max="3990" width="11.5703125" bestFit="1" customWidth="1"/>
    <col min="3991" max="3991" width="11.28515625" bestFit="1" customWidth="1"/>
    <col min="3992" max="3992" width="10.140625" bestFit="1" customWidth="1"/>
    <col min="3993" max="3993" width="11.5703125" bestFit="1" customWidth="1"/>
    <col min="3994" max="3994" width="16.140625" customWidth="1"/>
    <col min="3995" max="3995" width="13.42578125" customWidth="1"/>
    <col min="3996" max="3996" width="10.140625" bestFit="1" customWidth="1"/>
    <col min="3997" max="3997" width="12.85546875" bestFit="1" customWidth="1"/>
    <col min="3998" max="3998" width="12.28515625" bestFit="1" customWidth="1"/>
    <col min="3999" max="3999" width="11.28515625" bestFit="1" customWidth="1"/>
    <col min="4000" max="4000" width="11.5703125" bestFit="1" customWidth="1"/>
    <col min="4001" max="4001" width="10.85546875" bestFit="1" customWidth="1"/>
    <col min="4002" max="4002" width="11.28515625" bestFit="1" customWidth="1"/>
    <col min="4003" max="4003" width="10.140625" bestFit="1" customWidth="1"/>
    <col min="4004" max="4004" width="13.28515625" bestFit="1" customWidth="1"/>
    <col min="4005" max="4006" width="12.7109375" bestFit="1" customWidth="1"/>
    <col min="4007" max="4007" width="11" bestFit="1" customWidth="1"/>
    <col min="4008" max="4008" width="11.28515625" bestFit="1" customWidth="1"/>
    <col min="4009" max="4009" width="11.5703125" bestFit="1" customWidth="1"/>
    <col min="4010" max="4010" width="12.28515625" bestFit="1" customWidth="1"/>
    <col min="4011" max="4011" width="15.140625" bestFit="1" customWidth="1"/>
    <col min="4012" max="4012" width="14.42578125" bestFit="1" customWidth="1"/>
    <col min="4013" max="4013" width="12.28515625" bestFit="1" customWidth="1"/>
    <col min="4014" max="4014" width="15.140625" bestFit="1" customWidth="1"/>
    <col min="4015" max="4015" width="14.42578125" bestFit="1" customWidth="1"/>
    <col min="4016" max="4016" width="12.28515625" bestFit="1" customWidth="1"/>
    <col min="4017" max="4017" width="14.42578125" bestFit="1" customWidth="1"/>
    <col min="4018" max="4018" width="11.28515625" bestFit="1" customWidth="1"/>
    <col min="4019" max="4019" width="12.28515625" bestFit="1" customWidth="1"/>
    <col min="4020" max="4020" width="13" bestFit="1" customWidth="1"/>
    <col min="4021" max="4021" width="15.140625" bestFit="1" customWidth="1"/>
    <col min="4022" max="4022" width="12.28515625" bestFit="1" customWidth="1"/>
    <col min="4023" max="4023" width="13.85546875" bestFit="1" customWidth="1"/>
    <col min="4024" max="4024" width="11.28515625" bestFit="1" customWidth="1"/>
    <col min="4025" max="4025" width="12.28515625" bestFit="1" customWidth="1"/>
    <col min="4026" max="4026" width="13.85546875" bestFit="1" customWidth="1"/>
    <col min="4027" max="4028" width="15.140625" bestFit="1" customWidth="1"/>
    <col min="4029" max="4029" width="12.28515625" bestFit="1" customWidth="1"/>
    <col min="4030" max="4030" width="5.7109375" bestFit="1" customWidth="1"/>
    <col min="4031" max="4031" width="8.5703125" bestFit="1" customWidth="1"/>
    <col min="4032" max="4032" width="5.5703125" bestFit="1" customWidth="1"/>
    <col min="4033" max="4033" width="14.42578125" bestFit="1" customWidth="1"/>
    <col min="4034" max="4034" width="11.28515625" bestFit="1" customWidth="1"/>
    <col min="4035" max="4036" width="12.28515625" bestFit="1" customWidth="1"/>
    <col min="4037" max="4037" width="11.28515625" bestFit="1" customWidth="1"/>
    <col min="4038" max="4038" width="13.85546875" bestFit="1" customWidth="1"/>
    <col min="4039" max="4039" width="12" bestFit="1" customWidth="1"/>
    <col min="4040" max="4040" width="13.85546875" bestFit="1" customWidth="1"/>
    <col min="4041" max="4042" width="14.42578125" customWidth="1"/>
    <col min="4043" max="4043" width="10.140625" bestFit="1" customWidth="1"/>
    <col min="4044" max="4044" width="12.28515625" bestFit="1" customWidth="1"/>
    <col min="4045" max="4045" width="7.42578125" bestFit="1" customWidth="1"/>
    <col min="4046" max="4046" width="8.5703125" bestFit="1" customWidth="1"/>
    <col min="4047" max="4047" width="11.5703125" bestFit="1" customWidth="1"/>
    <col min="4048" max="4048" width="13.28515625" bestFit="1" customWidth="1"/>
    <col min="4049" max="4049" width="13.28515625" customWidth="1"/>
    <col min="4050" max="4050" width="13.140625" customWidth="1"/>
    <col min="4051" max="4051" width="12.7109375" bestFit="1" customWidth="1"/>
    <col min="4052" max="4052" width="13.28515625" bestFit="1" customWidth="1"/>
    <col min="4053" max="4055" width="13.28515625" customWidth="1"/>
    <col min="4056" max="4056" width="12.140625" bestFit="1" customWidth="1"/>
    <col min="4057" max="4057" width="12.7109375" bestFit="1" customWidth="1"/>
    <col min="4058" max="4058" width="11" customWidth="1"/>
    <col min="4059" max="4059" width="16.7109375" customWidth="1"/>
    <col min="4060" max="4060" width="17" customWidth="1"/>
    <col min="4061" max="4061" width="10.42578125" bestFit="1" customWidth="1"/>
    <col min="4105" max="4105" width="3.85546875" customWidth="1"/>
    <col min="4106" max="4106" width="15.28515625" bestFit="1" customWidth="1"/>
    <col min="4107" max="4107" width="12.28515625" customWidth="1"/>
    <col min="4108" max="4108" width="16.28515625" bestFit="1" customWidth="1"/>
    <col min="4109" max="4109" width="6.42578125" bestFit="1" customWidth="1"/>
    <col min="4110" max="4110" width="9.28515625" bestFit="1" customWidth="1"/>
    <col min="4111" max="4111" width="7.5703125" bestFit="1" customWidth="1"/>
    <col min="4112" max="4112" width="13.28515625" bestFit="1" customWidth="1"/>
    <col min="4113" max="4113" width="9.28515625" bestFit="1" customWidth="1"/>
    <col min="4114" max="4114" width="11.5703125" bestFit="1" customWidth="1"/>
    <col min="4115" max="4115" width="13.28515625" bestFit="1" customWidth="1"/>
    <col min="4116" max="4116" width="7.140625" bestFit="1" customWidth="1"/>
    <col min="4117" max="4117" width="12" bestFit="1" customWidth="1"/>
    <col min="4118" max="4118" width="13.28515625" bestFit="1" customWidth="1"/>
    <col min="4119" max="4119" width="7" bestFit="1" customWidth="1"/>
    <col min="4120" max="4120" width="12.7109375" bestFit="1" customWidth="1"/>
    <col min="4121" max="4121" width="11.5703125" bestFit="1" customWidth="1"/>
    <col min="4122" max="4122" width="10.5703125" bestFit="1" customWidth="1"/>
    <col min="4123" max="4124" width="15.7109375" bestFit="1" customWidth="1"/>
    <col min="4125" max="4125" width="11.5703125" bestFit="1" customWidth="1"/>
    <col min="4126" max="4126" width="7.7109375" bestFit="1" customWidth="1"/>
    <col min="4127" max="4127" width="15.140625" bestFit="1" customWidth="1"/>
    <col min="4128" max="4128" width="11.5703125" bestFit="1" customWidth="1"/>
    <col min="4129" max="4129" width="13.28515625" bestFit="1" customWidth="1"/>
    <col min="4130" max="4130" width="10.42578125" bestFit="1" customWidth="1"/>
    <col min="4131" max="4131" width="13.28515625" bestFit="1" customWidth="1"/>
    <col min="4132" max="4132" width="12.140625" bestFit="1" customWidth="1"/>
    <col min="4133" max="4133" width="14.42578125" bestFit="1" customWidth="1"/>
    <col min="4134" max="4134" width="13.28515625" bestFit="1" customWidth="1"/>
    <col min="4135" max="4135" width="11.5703125" bestFit="1" customWidth="1"/>
    <col min="4136" max="4136" width="7.7109375" bestFit="1" customWidth="1"/>
    <col min="4137" max="4138" width="14.42578125" bestFit="1" customWidth="1"/>
    <col min="4139" max="4139" width="11.5703125" bestFit="1" customWidth="1"/>
    <col min="4140" max="4140" width="7.7109375" bestFit="1" customWidth="1"/>
    <col min="4141" max="4141" width="13.5703125" customWidth="1"/>
    <col min="4142" max="4142" width="15.28515625" customWidth="1"/>
    <col min="4143" max="4143" width="14.5703125" customWidth="1"/>
    <col min="4144" max="4144" width="13.28515625" bestFit="1" customWidth="1"/>
    <col min="4145" max="4145" width="7.7109375" bestFit="1" customWidth="1"/>
    <col min="4146" max="4146" width="12.7109375" bestFit="1" customWidth="1"/>
    <col min="4147" max="4147" width="11.7109375" bestFit="1" customWidth="1"/>
    <col min="4148" max="4148" width="11.5703125" bestFit="1" customWidth="1"/>
    <col min="4149" max="4149" width="5.28515625" bestFit="1" customWidth="1"/>
    <col min="4150" max="4150" width="13.28515625" bestFit="1" customWidth="1"/>
    <col min="4151" max="4151" width="13.5703125" bestFit="1" customWidth="1"/>
    <col min="4152" max="4152" width="10.5703125" bestFit="1" customWidth="1"/>
    <col min="4153" max="4153" width="13.28515625" bestFit="1" customWidth="1"/>
    <col min="4154" max="4154" width="11.5703125" bestFit="1" customWidth="1"/>
    <col min="4155" max="4155" width="10.5703125" bestFit="1" customWidth="1"/>
    <col min="4156" max="4156" width="16.140625" bestFit="1" customWidth="1"/>
    <col min="4157" max="4158" width="11.28515625" bestFit="1" customWidth="1"/>
    <col min="4159" max="4159" width="13.28515625" bestFit="1" customWidth="1"/>
    <col min="4160" max="4160" width="7.7109375" bestFit="1" customWidth="1"/>
    <col min="4161" max="4164" width="9.140625" hidden="1" customWidth="1"/>
    <col min="4165" max="4165" width="10.42578125" bestFit="1" customWidth="1"/>
    <col min="4166" max="4166" width="10.5703125" bestFit="1" customWidth="1"/>
    <col min="4167" max="4167" width="10.42578125" bestFit="1" customWidth="1"/>
    <col min="4168" max="4168" width="10.5703125" bestFit="1" customWidth="1"/>
    <col min="4169" max="4169" width="9.5703125" bestFit="1" customWidth="1"/>
    <col min="4170" max="4170" width="11.5703125" bestFit="1" customWidth="1"/>
    <col min="4171" max="4171" width="10.42578125" bestFit="1" customWidth="1"/>
    <col min="4172" max="4172" width="10.85546875" customWidth="1"/>
    <col min="4173" max="4174" width="9.85546875" bestFit="1" customWidth="1"/>
    <col min="4175" max="4175" width="13.5703125" bestFit="1" customWidth="1"/>
    <col min="4176" max="4176" width="7.7109375" bestFit="1" customWidth="1"/>
    <col min="4177" max="4177" width="13.28515625" bestFit="1" customWidth="1"/>
    <col min="4178" max="4178" width="11.5703125" bestFit="1" customWidth="1"/>
    <col min="4179" max="4179" width="10.42578125" bestFit="1" customWidth="1"/>
    <col min="4180" max="4180" width="7.7109375" bestFit="1" customWidth="1"/>
    <col min="4181" max="4181" width="11.5703125" bestFit="1" customWidth="1"/>
    <col min="4182" max="4182" width="10.85546875" bestFit="1" customWidth="1"/>
    <col min="4183" max="4183" width="13.28515625" bestFit="1" customWidth="1"/>
    <col min="4184" max="4184" width="10.85546875" bestFit="1" customWidth="1"/>
    <col min="4185" max="4186" width="7.5703125" bestFit="1" customWidth="1"/>
    <col min="4187" max="4188" width="10.42578125" bestFit="1" customWidth="1"/>
    <col min="4189" max="4189" width="11.5703125" bestFit="1" customWidth="1"/>
    <col min="4190" max="4190" width="5.28515625" bestFit="1" customWidth="1"/>
    <col min="4191" max="4191" width="10.28515625" bestFit="1" customWidth="1"/>
    <col min="4192" max="4192" width="10.42578125" bestFit="1" customWidth="1"/>
    <col min="4193" max="4193" width="11.5703125" bestFit="1" customWidth="1"/>
    <col min="4194" max="4194" width="5.28515625" bestFit="1" customWidth="1"/>
    <col min="4195" max="4197" width="11.5703125" bestFit="1" customWidth="1"/>
    <col min="4198" max="4198" width="5.28515625" bestFit="1" customWidth="1"/>
    <col min="4199" max="4200" width="10.42578125" bestFit="1" customWidth="1"/>
    <col min="4201" max="4201" width="11.5703125" bestFit="1" customWidth="1"/>
    <col min="4202" max="4202" width="5.28515625" bestFit="1" customWidth="1"/>
    <col min="4203" max="4203" width="14.28515625" bestFit="1" customWidth="1"/>
    <col min="4204" max="4204" width="13" bestFit="1" customWidth="1"/>
    <col min="4205" max="4205" width="11.5703125" bestFit="1" customWidth="1"/>
    <col min="4206" max="4206" width="8.85546875" bestFit="1" customWidth="1"/>
    <col min="4207" max="4207" width="14.42578125" bestFit="1" customWidth="1"/>
    <col min="4208" max="4208" width="10.42578125" bestFit="1" customWidth="1"/>
    <col min="4209" max="4209" width="12.28515625" bestFit="1" customWidth="1"/>
    <col min="4210" max="4210" width="13.85546875" bestFit="1" customWidth="1"/>
    <col min="4211" max="4211" width="11.28515625" customWidth="1"/>
    <col min="4212" max="4212" width="11.5703125" customWidth="1"/>
    <col min="4213" max="4213" width="13.42578125" bestFit="1" customWidth="1"/>
    <col min="4214" max="4214" width="10.42578125" customWidth="1"/>
    <col min="4215" max="4215" width="13.85546875" bestFit="1" customWidth="1"/>
    <col min="4216" max="4216" width="15.42578125" bestFit="1" customWidth="1"/>
    <col min="4217" max="4217" width="12.28515625" bestFit="1" customWidth="1"/>
    <col min="4218" max="4218" width="12.7109375" customWidth="1"/>
    <col min="4219" max="4219" width="10.7109375" bestFit="1" customWidth="1"/>
    <col min="4220" max="4220" width="9.85546875" customWidth="1"/>
    <col min="4221" max="4222" width="10.140625" bestFit="1" customWidth="1"/>
    <col min="4223" max="4223" width="7.5703125" bestFit="1" customWidth="1"/>
    <col min="4224" max="4224" width="9.42578125" bestFit="1" customWidth="1"/>
    <col min="4225" max="4225" width="14.5703125" bestFit="1" customWidth="1"/>
    <col min="4226" max="4226" width="14.85546875" customWidth="1"/>
    <col min="4227" max="4227" width="15.140625" bestFit="1" customWidth="1"/>
    <col min="4228" max="4228" width="12.140625" bestFit="1" customWidth="1"/>
    <col min="4229" max="4229" width="14.85546875" bestFit="1" customWidth="1"/>
    <col min="4230" max="4230" width="12.28515625" bestFit="1" customWidth="1"/>
    <col min="4231" max="4239" width="9.140625" hidden="1" customWidth="1"/>
    <col min="4240" max="4240" width="5.28515625" bestFit="1" customWidth="1"/>
    <col min="4241" max="4246" width="11.5703125" bestFit="1" customWidth="1"/>
    <col min="4247" max="4247" width="11.28515625" bestFit="1" customWidth="1"/>
    <col min="4248" max="4248" width="10.140625" bestFit="1" customWidth="1"/>
    <col min="4249" max="4249" width="11.5703125" bestFit="1" customWidth="1"/>
    <col min="4250" max="4250" width="16.140625" customWidth="1"/>
    <col min="4251" max="4251" width="13.42578125" customWidth="1"/>
    <col min="4252" max="4252" width="10.140625" bestFit="1" customWidth="1"/>
    <col min="4253" max="4253" width="12.85546875" bestFit="1" customWidth="1"/>
    <col min="4254" max="4254" width="12.28515625" bestFit="1" customWidth="1"/>
    <col min="4255" max="4255" width="11.28515625" bestFit="1" customWidth="1"/>
    <col min="4256" max="4256" width="11.5703125" bestFit="1" customWidth="1"/>
    <col min="4257" max="4257" width="10.85546875" bestFit="1" customWidth="1"/>
    <col min="4258" max="4258" width="11.28515625" bestFit="1" customWidth="1"/>
    <col min="4259" max="4259" width="10.140625" bestFit="1" customWidth="1"/>
    <col min="4260" max="4260" width="13.28515625" bestFit="1" customWidth="1"/>
    <col min="4261" max="4262" width="12.7109375" bestFit="1" customWidth="1"/>
    <col min="4263" max="4263" width="11" bestFit="1" customWidth="1"/>
    <col min="4264" max="4264" width="11.28515625" bestFit="1" customWidth="1"/>
    <col min="4265" max="4265" width="11.5703125" bestFit="1" customWidth="1"/>
    <col min="4266" max="4266" width="12.28515625" bestFit="1" customWidth="1"/>
    <col min="4267" max="4267" width="15.140625" bestFit="1" customWidth="1"/>
    <col min="4268" max="4268" width="14.42578125" bestFit="1" customWidth="1"/>
    <col min="4269" max="4269" width="12.28515625" bestFit="1" customWidth="1"/>
    <col min="4270" max="4270" width="15.140625" bestFit="1" customWidth="1"/>
    <col min="4271" max="4271" width="14.42578125" bestFit="1" customWidth="1"/>
    <col min="4272" max="4272" width="12.28515625" bestFit="1" customWidth="1"/>
    <col min="4273" max="4273" width="14.42578125" bestFit="1" customWidth="1"/>
    <col min="4274" max="4274" width="11.28515625" bestFit="1" customWidth="1"/>
    <col min="4275" max="4275" width="12.28515625" bestFit="1" customWidth="1"/>
    <col min="4276" max="4276" width="13" bestFit="1" customWidth="1"/>
    <col min="4277" max="4277" width="15.140625" bestFit="1" customWidth="1"/>
    <col min="4278" max="4278" width="12.28515625" bestFit="1" customWidth="1"/>
    <col min="4279" max="4279" width="13.85546875" bestFit="1" customWidth="1"/>
    <col min="4280" max="4280" width="11.28515625" bestFit="1" customWidth="1"/>
    <col min="4281" max="4281" width="12.28515625" bestFit="1" customWidth="1"/>
    <col min="4282" max="4282" width="13.85546875" bestFit="1" customWidth="1"/>
    <col min="4283" max="4284" width="15.140625" bestFit="1" customWidth="1"/>
    <col min="4285" max="4285" width="12.28515625" bestFit="1" customWidth="1"/>
    <col min="4286" max="4286" width="5.7109375" bestFit="1" customWidth="1"/>
    <col min="4287" max="4287" width="8.5703125" bestFit="1" customWidth="1"/>
    <col min="4288" max="4288" width="5.5703125" bestFit="1" customWidth="1"/>
    <col min="4289" max="4289" width="14.42578125" bestFit="1" customWidth="1"/>
    <col min="4290" max="4290" width="11.28515625" bestFit="1" customWidth="1"/>
    <col min="4291" max="4292" width="12.28515625" bestFit="1" customWidth="1"/>
    <col min="4293" max="4293" width="11.28515625" bestFit="1" customWidth="1"/>
    <col min="4294" max="4294" width="13.85546875" bestFit="1" customWidth="1"/>
    <col min="4295" max="4295" width="12" bestFit="1" customWidth="1"/>
    <col min="4296" max="4296" width="13.85546875" bestFit="1" customWidth="1"/>
    <col min="4297" max="4298" width="14.42578125" customWidth="1"/>
    <col min="4299" max="4299" width="10.140625" bestFit="1" customWidth="1"/>
    <col min="4300" max="4300" width="12.28515625" bestFit="1" customWidth="1"/>
    <col min="4301" max="4301" width="7.42578125" bestFit="1" customWidth="1"/>
    <col min="4302" max="4302" width="8.5703125" bestFit="1" customWidth="1"/>
    <col min="4303" max="4303" width="11.5703125" bestFit="1" customWidth="1"/>
    <col min="4304" max="4304" width="13.28515625" bestFit="1" customWidth="1"/>
    <col min="4305" max="4305" width="13.28515625" customWidth="1"/>
    <col min="4306" max="4306" width="13.140625" customWidth="1"/>
    <col min="4307" max="4307" width="12.7109375" bestFit="1" customWidth="1"/>
    <col min="4308" max="4308" width="13.28515625" bestFit="1" customWidth="1"/>
    <col min="4309" max="4311" width="13.28515625" customWidth="1"/>
    <col min="4312" max="4312" width="12.140625" bestFit="1" customWidth="1"/>
    <col min="4313" max="4313" width="12.7109375" bestFit="1" customWidth="1"/>
    <col min="4314" max="4314" width="11" customWidth="1"/>
    <col min="4315" max="4315" width="16.7109375" customWidth="1"/>
    <col min="4316" max="4316" width="17" customWidth="1"/>
    <col min="4317" max="4317" width="10.42578125" bestFit="1" customWidth="1"/>
    <col min="4361" max="4361" width="3.85546875" customWidth="1"/>
    <col min="4362" max="4362" width="15.28515625" bestFit="1" customWidth="1"/>
    <col min="4363" max="4363" width="12.28515625" customWidth="1"/>
    <col min="4364" max="4364" width="16.28515625" bestFit="1" customWidth="1"/>
    <col min="4365" max="4365" width="6.42578125" bestFit="1" customWidth="1"/>
    <col min="4366" max="4366" width="9.28515625" bestFit="1" customWidth="1"/>
    <col min="4367" max="4367" width="7.5703125" bestFit="1" customWidth="1"/>
    <col min="4368" max="4368" width="13.28515625" bestFit="1" customWidth="1"/>
    <col min="4369" max="4369" width="9.28515625" bestFit="1" customWidth="1"/>
    <col min="4370" max="4370" width="11.5703125" bestFit="1" customWidth="1"/>
    <col min="4371" max="4371" width="13.28515625" bestFit="1" customWidth="1"/>
    <col min="4372" max="4372" width="7.140625" bestFit="1" customWidth="1"/>
    <col min="4373" max="4373" width="12" bestFit="1" customWidth="1"/>
    <col min="4374" max="4374" width="13.28515625" bestFit="1" customWidth="1"/>
    <col min="4375" max="4375" width="7" bestFit="1" customWidth="1"/>
    <col min="4376" max="4376" width="12.7109375" bestFit="1" customWidth="1"/>
    <col min="4377" max="4377" width="11.5703125" bestFit="1" customWidth="1"/>
    <col min="4378" max="4378" width="10.5703125" bestFit="1" customWidth="1"/>
    <col min="4379" max="4380" width="15.7109375" bestFit="1" customWidth="1"/>
    <col min="4381" max="4381" width="11.5703125" bestFit="1" customWidth="1"/>
    <col min="4382" max="4382" width="7.7109375" bestFit="1" customWidth="1"/>
    <col min="4383" max="4383" width="15.140625" bestFit="1" customWidth="1"/>
    <col min="4384" max="4384" width="11.5703125" bestFit="1" customWidth="1"/>
    <col min="4385" max="4385" width="13.28515625" bestFit="1" customWidth="1"/>
    <col min="4386" max="4386" width="10.42578125" bestFit="1" customWidth="1"/>
    <col min="4387" max="4387" width="13.28515625" bestFit="1" customWidth="1"/>
    <col min="4388" max="4388" width="12.140625" bestFit="1" customWidth="1"/>
    <col min="4389" max="4389" width="14.42578125" bestFit="1" customWidth="1"/>
    <col min="4390" max="4390" width="13.28515625" bestFit="1" customWidth="1"/>
    <col min="4391" max="4391" width="11.5703125" bestFit="1" customWidth="1"/>
    <col min="4392" max="4392" width="7.7109375" bestFit="1" customWidth="1"/>
    <col min="4393" max="4394" width="14.42578125" bestFit="1" customWidth="1"/>
    <col min="4395" max="4395" width="11.5703125" bestFit="1" customWidth="1"/>
    <col min="4396" max="4396" width="7.7109375" bestFit="1" customWidth="1"/>
    <col min="4397" max="4397" width="13.5703125" customWidth="1"/>
    <col min="4398" max="4398" width="15.28515625" customWidth="1"/>
    <col min="4399" max="4399" width="14.5703125" customWidth="1"/>
    <col min="4400" max="4400" width="13.28515625" bestFit="1" customWidth="1"/>
    <col min="4401" max="4401" width="7.7109375" bestFit="1" customWidth="1"/>
    <col min="4402" max="4402" width="12.7109375" bestFit="1" customWidth="1"/>
    <col min="4403" max="4403" width="11.7109375" bestFit="1" customWidth="1"/>
    <col min="4404" max="4404" width="11.5703125" bestFit="1" customWidth="1"/>
    <col min="4405" max="4405" width="5.28515625" bestFit="1" customWidth="1"/>
    <col min="4406" max="4406" width="13.28515625" bestFit="1" customWidth="1"/>
    <col min="4407" max="4407" width="13.5703125" bestFit="1" customWidth="1"/>
    <col min="4408" max="4408" width="10.5703125" bestFit="1" customWidth="1"/>
    <col min="4409" max="4409" width="13.28515625" bestFit="1" customWidth="1"/>
    <col min="4410" max="4410" width="11.5703125" bestFit="1" customWidth="1"/>
    <col min="4411" max="4411" width="10.5703125" bestFit="1" customWidth="1"/>
    <col min="4412" max="4412" width="16.140625" bestFit="1" customWidth="1"/>
    <col min="4413" max="4414" width="11.28515625" bestFit="1" customWidth="1"/>
    <col min="4415" max="4415" width="13.28515625" bestFit="1" customWidth="1"/>
    <col min="4416" max="4416" width="7.7109375" bestFit="1" customWidth="1"/>
    <col min="4417" max="4420" width="9.140625" hidden="1" customWidth="1"/>
    <col min="4421" max="4421" width="10.42578125" bestFit="1" customWidth="1"/>
    <col min="4422" max="4422" width="10.5703125" bestFit="1" customWidth="1"/>
    <col min="4423" max="4423" width="10.42578125" bestFit="1" customWidth="1"/>
    <col min="4424" max="4424" width="10.5703125" bestFit="1" customWidth="1"/>
    <col min="4425" max="4425" width="9.5703125" bestFit="1" customWidth="1"/>
    <col min="4426" max="4426" width="11.5703125" bestFit="1" customWidth="1"/>
    <col min="4427" max="4427" width="10.42578125" bestFit="1" customWidth="1"/>
    <col min="4428" max="4428" width="10.85546875" customWidth="1"/>
    <col min="4429" max="4430" width="9.85546875" bestFit="1" customWidth="1"/>
    <col min="4431" max="4431" width="13.5703125" bestFit="1" customWidth="1"/>
    <col min="4432" max="4432" width="7.7109375" bestFit="1" customWidth="1"/>
    <col min="4433" max="4433" width="13.28515625" bestFit="1" customWidth="1"/>
    <col min="4434" max="4434" width="11.5703125" bestFit="1" customWidth="1"/>
    <col min="4435" max="4435" width="10.42578125" bestFit="1" customWidth="1"/>
    <col min="4436" max="4436" width="7.7109375" bestFit="1" customWidth="1"/>
    <col min="4437" max="4437" width="11.5703125" bestFit="1" customWidth="1"/>
    <col min="4438" max="4438" width="10.85546875" bestFit="1" customWidth="1"/>
    <col min="4439" max="4439" width="13.28515625" bestFit="1" customWidth="1"/>
    <col min="4440" max="4440" width="10.85546875" bestFit="1" customWidth="1"/>
    <col min="4441" max="4442" width="7.5703125" bestFit="1" customWidth="1"/>
    <col min="4443" max="4444" width="10.42578125" bestFit="1" customWidth="1"/>
    <col min="4445" max="4445" width="11.5703125" bestFit="1" customWidth="1"/>
    <col min="4446" max="4446" width="5.28515625" bestFit="1" customWidth="1"/>
    <col min="4447" max="4447" width="10.28515625" bestFit="1" customWidth="1"/>
    <col min="4448" max="4448" width="10.42578125" bestFit="1" customWidth="1"/>
    <col min="4449" max="4449" width="11.5703125" bestFit="1" customWidth="1"/>
    <col min="4450" max="4450" width="5.28515625" bestFit="1" customWidth="1"/>
    <col min="4451" max="4453" width="11.5703125" bestFit="1" customWidth="1"/>
    <col min="4454" max="4454" width="5.28515625" bestFit="1" customWidth="1"/>
    <col min="4455" max="4456" width="10.42578125" bestFit="1" customWidth="1"/>
    <col min="4457" max="4457" width="11.5703125" bestFit="1" customWidth="1"/>
    <col min="4458" max="4458" width="5.28515625" bestFit="1" customWidth="1"/>
    <col min="4459" max="4459" width="14.28515625" bestFit="1" customWidth="1"/>
    <col min="4460" max="4460" width="13" bestFit="1" customWidth="1"/>
    <col min="4461" max="4461" width="11.5703125" bestFit="1" customWidth="1"/>
    <col min="4462" max="4462" width="8.85546875" bestFit="1" customWidth="1"/>
    <col min="4463" max="4463" width="14.42578125" bestFit="1" customWidth="1"/>
    <col min="4464" max="4464" width="10.42578125" bestFit="1" customWidth="1"/>
    <col min="4465" max="4465" width="12.28515625" bestFit="1" customWidth="1"/>
    <col min="4466" max="4466" width="13.85546875" bestFit="1" customWidth="1"/>
    <col min="4467" max="4467" width="11.28515625" customWidth="1"/>
    <col min="4468" max="4468" width="11.5703125" customWidth="1"/>
    <col min="4469" max="4469" width="13.42578125" bestFit="1" customWidth="1"/>
    <col min="4470" max="4470" width="10.42578125" customWidth="1"/>
    <col min="4471" max="4471" width="13.85546875" bestFit="1" customWidth="1"/>
    <col min="4472" max="4472" width="15.42578125" bestFit="1" customWidth="1"/>
    <col min="4473" max="4473" width="12.28515625" bestFit="1" customWidth="1"/>
    <col min="4474" max="4474" width="12.7109375" customWidth="1"/>
    <col min="4475" max="4475" width="10.7109375" bestFit="1" customWidth="1"/>
    <col min="4476" max="4476" width="9.85546875" customWidth="1"/>
    <col min="4477" max="4478" width="10.140625" bestFit="1" customWidth="1"/>
    <col min="4479" max="4479" width="7.5703125" bestFit="1" customWidth="1"/>
    <col min="4480" max="4480" width="9.42578125" bestFit="1" customWidth="1"/>
    <col min="4481" max="4481" width="14.5703125" bestFit="1" customWidth="1"/>
    <col min="4482" max="4482" width="14.85546875" customWidth="1"/>
    <col min="4483" max="4483" width="15.140625" bestFit="1" customWidth="1"/>
    <col min="4484" max="4484" width="12.140625" bestFit="1" customWidth="1"/>
    <col min="4485" max="4485" width="14.85546875" bestFit="1" customWidth="1"/>
    <col min="4486" max="4486" width="12.28515625" bestFit="1" customWidth="1"/>
    <col min="4487" max="4495" width="9.140625" hidden="1" customWidth="1"/>
    <col min="4496" max="4496" width="5.28515625" bestFit="1" customWidth="1"/>
    <col min="4497" max="4502" width="11.5703125" bestFit="1" customWidth="1"/>
    <col min="4503" max="4503" width="11.28515625" bestFit="1" customWidth="1"/>
    <col min="4504" max="4504" width="10.140625" bestFit="1" customWidth="1"/>
    <col min="4505" max="4505" width="11.5703125" bestFit="1" customWidth="1"/>
    <col min="4506" max="4506" width="16.140625" customWidth="1"/>
    <col min="4507" max="4507" width="13.42578125" customWidth="1"/>
    <col min="4508" max="4508" width="10.140625" bestFit="1" customWidth="1"/>
    <col min="4509" max="4509" width="12.85546875" bestFit="1" customWidth="1"/>
    <col min="4510" max="4510" width="12.28515625" bestFit="1" customWidth="1"/>
    <col min="4511" max="4511" width="11.28515625" bestFit="1" customWidth="1"/>
    <col min="4512" max="4512" width="11.5703125" bestFit="1" customWidth="1"/>
    <col min="4513" max="4513" width="10.85546875" bestFit="1" customWidth="1"/>
    <col min="4514" max="4514" width="11.28515625" bestFit="1" customWidth="1"/>
    <col min="4515" max="4515" width="10.140625" bestFit="1" customWidth="1"/>
    <col min="4516" max="4516" width="13.28515625" bestFit="1" customWidth="1"/>
    <col min="4517" max="4518" width="12.7109375" bestFit="1" customWidth="1"/>
    <col min="4519" max="4519" width="11" bestFit="1" customWidth="1"/>
    <col min="4520" max="4520" width="11.28515625" bestFit="1" customWidth="1"/>
    <col min="4521" max="4521" width="11.5703125" bestFit="1" customWidth="1"/>
    <col min="4522" max="4522" width="12.28515625" bestFit="1" customWidth="1"/>
    <col min="4523" max="4523" width="15.140625" bestFit="1" customWidth="1"/>
    <col min="4524" max="4524" width="14.42578125" bestFit="1" customWidth="1"/>
    <col min="4525" max="4525" width="12.28515625" bestFit="1" customWidth="1"/>
    <col min="4526" max="4526" width="15.140625" bestFit="1" customWidth="1"/>
    <col min="4527" max="4527" width="14.42578125" bestFit="1" customWidth="1"/>
    <col min="4528" max="4528" width="12.28515625" bestFit="1" customWidth="1"/>
    <col min="4529" max="4529" width="14.42578125" bestFit="1" customWidth="1"/>
    <col min="4530" max="4530" width="11.28515625" bestFit="1" customWidth="1"/>
    <col min="4531" max="4531" width="12.28515625" bestFit="1" customWidth="1"/>
    <col min="4532" max="4532" width="13" bestFit="1" customWidth="1"/>
    <col min="4533" max="4533" width="15.140625" bestFit="1" customWidth="1"/>
    <col min="4534" max="4534" width="12.28515625" bestFit="1" customWidth="1"/>
    <col min="4535" max="4535" width="13.85546875" bestFit="1" customWidth="1"/>
    <col min="4536" max="4536" width="11.28515625" bestFit="1" customWidth="1"/>
    <col min="4537" max="4537" width="12.28515625" bestFit="1" customWidth="1"/>
    <col min="4538" max="4538" width="13.85546875" bestFit="1" customWidth="1"/>
    <col min="4539" max="4540" width="15.140625" bestFit="1" customWidth="1"/>
    <col min="4541" max="4541" width="12.28515625" bestFit="1" customWidth="1"/>
    <col min="4542" max="4542" width="5.7109375" bestFit="1" customWidth="1"/>
    <col min="4543" max="4543" width="8.5703125" bestFit="1" customWidth="1"/>
    <col min="4544" max="4544" width="5.5703125" bestFit="1" customWidth="1"/>
    <col min="4545" max="4545" width="14.42578125" bestFit="1" customWidth="1"/>
    <col min="4546" max="4546" width="11.28515625" bestFit="1" customWidth="1"/>
    <col min="4547" max="4548" width="12.28515625" bestFit="1" customWidth="1"/>
    <col min="4549" max="4549" width="11.28515625" bestFit="1" customWidth="1"/>
    <col min="4550" max="4550" width="13.85546875" bestFit="1" customWidth="1"/>
    <col min="4551" max="4551" width="12" bestFit="1" customWidth="1"/>
    <col min="4552" max="4552" width="13.85546875" bestFit="1" customWidth="1"/>
    <col min="4553" max="4554" width="14.42578125" customWidth="1"/>
    <col min="4555" max="4555" width="10.140625" bestFit="1" customWidth="1"/>
    <col min="4556" max="4556" width="12.28515625" bestFit="1" customWidth="1"/>
    <col min="4557" max="4557" width="7.42578125" bestFit="1" customWidth="1"/>
    <col min="4558" max="4558" width="8.5703125" bestFit="1" customWidth="1"/>
    <col min="4559" max="4559" width="11.5703125" bestFit="1" customWidth="1"/>
    <col min="4560" max="4560" width="13.28515625" bestFit="1" customWidth="1"/>
    <col min="4561" max="4561" width="13.28515625" customWidth="1"/>
    <col min="4562" max="4562" width="13.140625" customWidth="1"/>
    <col min="4563" max="4563" width="12.7109375" bestFit="1" customWidth="1"/>
    <col min="4564" max="4564" width="13.28515625" bestFit="1" customWidth="1"/>
    <col min="4565" max="4567" width="13.28515625" customWidth="1"/>
    <col min="4568" max="4568" width="12.140625" bestFit="1" customWidth="1"/>
    <col min="4569" max="4569" width="12.7109375" bestFit="1" customWidth="1"/>
    <col min="4570" max="4570" width="11" customWidth="1"/>
    <col min="4571" max="4571" width="16.7109375" customWidth="1"/>
    <col min="4572" max="4572" width="17" customWidth="1"/>
    <col min="4573" max="4573" width="10.42578125" bestFit="1" customWidth="1"/>
    <col min="4617" max="4617" width="3.85546875" customWidth="1"/>
    <col min="4618" max="4618" width="15.28515625" bestFit="1" customWidth="1"/>
    <col min="4619" max="4619" width="12.28515625" customWidth="1"/>
    <col min="4620" max="4620" width="16.28515625" bestFit="1" customWidth="1"/>
    <col min="4621" max="4621" width="6.42578125" bestFit="1" customWidth="1"/>
    <col min="4622" max="4622" width="9.28515625" bestFit="1" customWidth="1"/>
    <col min="4623" max="4623" width="7.5703125" bestFit="1" customWidth="1"/>
    <col min="4624" max="4624" width="13.28515625" bestFit="1" customWidth="1"/>
    <col min="4625" max="4625" width="9.28515625" bestFit="1" customWidth="1"/>
    <col min="4626" max="4626" width="11.5703125" bestFit="1" customWidth="1"/>
    <col min="4627" max="4627" width="13.28515625" bestFit="1" customWidth="1"/>
    <col min="4628" max="4628" width="7.140625" bestFit="1" customWidth="1"/>
    <col min="4629" max="4629" width="12" bestFit="1" customWidth="1"/>
    <col min="4630" max="4630" width="13.28515625" bestFit="1" customWidth="1"/>
    <col min="4631" max="4631" width="7" bestFit="1" customWidth="1"/>
    <col min="4632" max="4632" width="12.7109375" bestFit="1" customWidth="1"/>
    <col min="4633" max="4633" width="11.5703125" bestFit="1" customWidth="1"/>
    <col min="4634" max="4634" width="10.5703125" bestFit="1" customWidth="1"/>
    <col min="4635" max="4636" width="15.7109375" bestFit="1" customWidth="1"/>
    <col min="4637" max="4637" width="11.5703125" bestFit="1" customWidth="1"/>
    <col min="4638" max="4638" width="7.7109375" bestFit="1" customWidth="1"/>
    <col min="4639" max="4639" width="15.140625" bestFit="1" customWidth="1"/>
    <col min="4640" max="4640" width="11.5703125" bestFit="1" customWidth="1"/>
    <col min="4641" max="4641" width="13.28515625" bestFit="1" customWidth="1"/>
    <col min="4642" max="4642" width="10.42578125" bestFit="1" customWidth="1"/>
    <col min="4643" max="4643" width="13.28515625" bestFit="1" customWidth="1"/>
    <col min="4644" max="4644" width="12.140625" bestFit="1" customWidth="1"/>
    <col min="4645" max="4645" width="14.42578125" bestFit="1" customWidth="1"/>
    <col min="4646" max="4646" width="13.28515625" bestFit="1" customWidth="1"/>
    <col min="4647" max="4647" width="11.5703125" bestFit="1" customWidth="1"/>
    <col min="4648" max="4648" width="7.7109375" bestFit="1" customWidth="1"/>
    <col min="4649" max="4650" width="14.42578125" bestFit="1" customWidth="1"/>
    <col min="4651" max="4651" width="11.5703125" bestFit="1" customWidth="1"/>
    <col min="4652" max="4652" width="7.7109375" bestFit="1" customWidth="1"/>
    <col min="4653" max="4653" width="13.5703125" customWidth="1"/>
    <col min="4654" max="4654" width="15.28515625" customWidth="1"/>
    <col min="4655" max="4655" width="14.5703125" customWidth="1"/>
    <col min="4656" max="4656" width="13.28515625" bestFit="1" customWidth="1"/>
    <col min="4657" max="4657" width="7.7109375" bestFit="1" customWidth="1"/>
    <col min="4658" max="4658" width="12.7109375" bestFit="1" customWidth="1"/>
    <col min="4659" max="4659" width="11.7109375" bestFit="1" customWidth="1"/>
    <col min="4660" max="4660" width="11.5703125" bestFit="1" customWidth="1"/>
    <col min="4661" max="4661" width="5.28515625" bestFit="1" customWidth="1"/>
    <col min="4662" max="4662" width="13.28515625" bestFit="1" customWidth="1"/>
    <col min="4663" max="4663" width="13.5703125" bestFit="1" customWidth="1"/>
    <col min="4664" max="4664" width="10.5703125" bestFit="1" customWidth="1"/>
    <col min="4665" max="4665" width="13.28515625" bestFit="1" customWidth="1"/>
    <col min="4666" max="4666" width="11.5703125" bestFit="1" customWidth="1"/>
    <col min="4667" max="4667" width="10.5703125" bestFit="1" customWidth="1"/>
    <col min="4668" max="4668" width="16.140625" bestFit="1" customWidth="1"/>
    <col min="4669" max="4670" width="11.28515625" bestFit="1" customWidth="1"/>
    <col min="4671" max="4671" width="13.28515625" bestFit="1" customWidth="1"/>
    <col min="4672" max="4672" width="7.7109375" bestFit="1" customWidth="1"/>
    <col min="4673" max="4676" width="9.140625" hidden="1" customWidth="1"/>
    <col min="4677" max="4677" width="10.42578125" bestFit="1" customWidth="1"/>
    <col min="4678" max="4678" width="10.5703125" bestFit="1" customWidth="1"/>
    <col min="4679" max="4679" width="10.42578125" bestFit="1" customWidth="1"/>
    <col min="4680" max="4680" width="10.5703125" bestFit="1" customWidth="1"/>
    <col min="4681" max="4681" width="9.5703125" bestFit="1" customWidth="1"/>
    <col min="4682" max="4682" width="11.5703125" bestFit="1" customWidth="1"/>
    <col min="4683" max="4683" width="10.42578125" bestFit="1" customWidth="1"/>
    <col min="4684" max="4684" width="10.85546875" customWidth="1"/>
    <col min="4685" max="4686" width="9.85546875" bestFit="1" customWidth="1"/>
    <col min="4687" max="4687" width="13.5703125" bestFit="1" customWidth="1"/>
    <col min="4688" max="4688" width="7.7109375" bestFit="1" customWidth="1"/>
    <col min="4689" max="4689" width="13.28515625" bestFit="1" customWidth="1"/>
    <col min="4690" max="4690" width="11.5703125" bestFit="1" customWidth="1"/>
    <col min="4691" max="4691" width="10.42578125" bestFit="1" customWidth="1"/>
    <col min="4692" max="4692" width="7.7109375" bestFit="1" customWidth="1"/>
    <col min="4693" max="4693" width="11.5703125" bestFit="1" customWidth="1"/>
    <col min="4694" max="4694" width="10.85546875" bestFit="1" customWidth="1"/>
    <col min="4695" max="4695" width="13.28515625" bestFit="1" customWidth="1"/>
    <col min="4696" max="4696" width="10.85546875" bestFit="1" customWidth="1"/>
    <col min="4697" max="4698" width="7.5703125" bestFit="1" customWidth="1"/>
    <col min="4699" max="4700" width="10.42578125" bestFit="1" customWidth="1"/>
    <col min="4701" max="4701" width="11.5703125" bestFit="1" customWidth="1"/>
    <col min="4702" max="4702" width="5.28515625" bestFit="1" customWidth="1"/>
    <col min="4703" max="4703" width="10.28515625" bestFit="1" customWidth="1"/>
    <col min="4704" max="4704" width="10.42578125" bestFit="1" customWidth="1"/>
    <col min="4705" max="4705" width="11.5703125" bestFit="1" customWidth="1"/>
    <col min="4706" max="4706" width="5.28515625" bestFit="1" customWidth="1"/>
    <col min="4707" max="4709" width="11.5703125" bestFit="1" customWidth="1"/>
    <col min="4710" max="4710" width="5.28515625" bestFit="1" customWidth="1"/>
    <col min="4711" max="4712" width="10.42578125" bestFit="1" customWidth="1"/>
    <col min="4713" max="4713" width="11.5703125" bestFit="1" customWidth="1"/>
    <col min="4714" max="4714" width="5.28515625" bestFit="1" customWidth="1"/>
    <col min="4715" max="4715" width="14.28515625" bestFit="1" customWidth="1"/>
    <col min="4716" max="4716" width="13" bestFit="1" customWidth="1"/>
    <col min="4717" max="4717" width="11.5703125" bestFit="1" customWidth="1"/>
    <col min="4718" max="4718" width="8.85546875" bestFit="1" customWidth="1"/>
    <col min="4719" max="4719" width="14.42578125" bestFit="1" customWidth="1"/>
    <col min="4720" max="4720" width="10.42578125" bestFit="1" customWidth="1"/>
    <col min="4721" max="4721" width="12.28515625" bestFit="1" customWidth="1"/>
    <col min="4722" max="4722" width="13.85546875" bestFit="1" customWidth="1"/>
    <col min="4723" max="4723" width="11.28515625" customWidth="1"/>
    <col min="4724" max="4724" width="11.5703125" customWidth="1"/>
    <col min="4725" max="4725" width="13.42578125" bestFit="1" customWidth="1"/>
    <col min="4726" max="4726" width="10.42578125" customWidth="1"/>
    <col min="4727" max="4727" width="13.85546875" bestFit="1" customWidth="1"/>
    <col min="4728" max="4728" width="15.42578125" bestFit="1" customWidth="1"/>
    <col min="4729" max="4729" width="12.28515625" bestFit="1" customWidth="1"/>
    <col min="4730" max="4730" width="12.7109375" customWidth="1"/>
    <col min="4731" max="4731" width="10.7109375" bestFit="1" customWidth="1"/>
    <col min="4732" max="4732" width="9.85546875" customWidth="1"/>
    <col min="4733" max="4734" width="10.140625" bestFit="1" customWidth="1"/>
    <col min="4735" max="4735" width="7.5703125" bestFit="1" customWidth="1"/>
    <col min="4736" max="4736" width="9.42578125" bestFit="1" customWidth="1"/>
    <col min="4737" max="4737" width="14.5703125" bestFit="1" customWidth="1"/>
    <col min="4738" max="4738" width="14.85546875" customWidth="1"/>
    <col min="4739" max="4739" width="15.140625" bestFit="1" customWidth="1"/>
    <col min="4740" max="4740" width="12.140625" bestFit="1" customWidth="1"/>
    <col min="4741" max="4741" width="14.85546875" bestFit="1" customWidth="1"/>
    <col min="4742" max="4742" width="12.28515625" bestFit="1" customWidth="1"/>
    <col min="4743" max="4751" width="9.140625" hidden="1" customWidth="1"/>
    <col min="4752" max="4752" width="5.28515625" bestFit="1" customWidth="1"/>
    <col min="4753" max="4758" width="11.5703125" bestFit="1" customWidth="1"/>
    <col min="4759" max="4759" width="11.28515625" bestFit="1" customWidth="1"/>
    <col min="4760" max="4760" width="10.140625" bestFit="1" customWidth="1"/>
    <col min="4761" max="4761" width="11.5703125" bestFit="1" customWidth="1"/>
    <col min="4762" max="4762" width="16.140625" customWidth="1"/>
    <col min="4763" max="4763" width="13.42578125" customWidth="1"/>
    <col min="4764" max="4764" width="10.140625" bestFit="1" customWidth="1"/>
    <col min="4765" max="4765" width="12.85546875" bestFit="1" customWidth="1"/>
    <col min="4766" max="4766" width="12.28515625" bestFit="1" customWidth="1"/>
    <col min="4767" max="4767" width="11.28515625" bestFit="1" customWidth="1"/>
    <col min="4768" max="4768" width="11.5703125" bestFit="1" customWidth="1"/>
    <col min="4769" max="4769" width="10.85546875" bestFit="1" customWidth="1"/>
    <col min="4770" max="4770" width="11.28515625" bestFit="1" customWidth="1"/>
    <col min="4771" max="4771" width="10.140625" bestFit="1" customWidth="1"/>
    <col min="4772" max="4772" width="13.28515625" bestFit="1" customWidth="1"/>
    <col min="4773" max="4774" width="12.7109375" bestFit="1" customWidth="1"/>
    <col min="4775" max="4775" width="11" bestFit="1" customWidth="1"/>
    <col min="4776" max="4776" width="11.28515625" bestFit="1" customWidth="1"/>
    <col min="4777" max="4777" width="11.5703125" bestFit="1" customWidth="1"/>
    <col min="4778" max="4778" width="12.28515625" bestFit="1" customWidth="1"/>
    <col min="4779" max="4779" width="15.140625" bestFit="1" customWidth="1"/>
    <col min="4780" max="4780" width="14.42578125" bestFit="1" customWidth="1"/>
    <col min="4781" max="4781" width="12.28515625" bestFit="1" customWidth="1"/>
    <col min="4782" max="4782" width="15.140625" bestFit="1" customWidth="1"/>
    <col min="4783" max="4783" width="14.42578125" bestFit="1" customWidth="1"/>
    <col min="4784" max="4784" width="12.28515625" bestFit="1" customWidth="1"/>
    <col min="4785" max="4785" width="14.42578125" bestFit="1" customWidth="1"/>
    <col min="4786" max="4786" width="11.28515625" bestFit="1" customWidth="1"/>
    <col min="4787" max="4787" width="12.28515625" bestFit="1" customWidth="1"/>
    <col min="4788" max="4788" width="13" bestFit="1" customWidth="1"/>
    <col min="4789" max="4789" width="15.140625" bestFit="1" customWidth="1"/>
    <col min="4790" max="4790" width="12.28515625" bestFit="1" customWidth="1"/>
    <col min="4791" max="4791" width="13.85546875" bestFit="1" customWidth="1"/>
    <col min="4792" max="4792" width="11.28515625" bestFit="1" customWidth="1"/>
    <col min="4793" max="4793" width="12.28515625" bestFit="1" customWidth="1"/>
    <col min="4794" max="4794" width="13.85546875" bestFit="1" customWidth="1"/>
    <col min="4795" max="4796" width="15.140625" bestFit="1" customWidth="1"/>
    <col min="4797" max="4797" width="12.28515625" bestFit="1" customWidth="1"/>
    <col min="4798" max="4798" width="5.7109375" bestFit="1" customWidth="1"/>
    <col min="4799" max="4799" width="8.5703125" bestFit="1" customWidth="1"/>
    <col min="4800" max="4800" width="5.5703125" bestFit="1" customWidth="1"/>
    <col min="4801" max="4801" width="14.42578125" bestFit="1" customWidth="1"/>
    <col min="4802" max="4802" width="11.28515625" bestFit="1" customWidth="1"/>
    <col min="4803" max="4804" width="12.28515625" bestFit="1" customWidth="1"/>
    <col min="4805" max="4805" width="11.28515625" bestFit="1" customWidth="1"/>
    <col min="4806" max="4806" width="13.85546875" bestFit="1" customWidth="1"/>
    <col min="4807" max="4807" width="12" bestFit="1" customWidth="1"/>
    <col min="4808" max="4808" width="13.85546875" bestFit="1" customWidth="1"/>
    <col min="4809" max="4810" width="14.42578125" customWidth="1"/>
    <col min="4811" max="4811" width="10.140625" bestFit="1" customWidth="1"/>
    <col min="4812" max="4812" width="12.28515625" bestFit="1" customWidth="1"/>
    <col min="4813" max="4813" width="7.42578125" bestFit="1" customWidth="1"/>
    <col min="4814" max="4814" width="8.5703125" bestFit="1" customWidth="1"/>
    <col min="4815" max="4815" width="11.5703125" bestFit="1" customWidth="1"/>
    <col min="4816" max="4816" width="13.28515625" bestFit="1" customWidth="1"/>
    <col min="4817" max="4817" width="13.28515625" customWidth="1"/>
    <col min="4818" max="4818" width="13.140625" customWidth="1"/>
    <col min="4819" max="4819" width="12.7109375" bestFit="1" customWidth="1"/>
    <col min="4820" max="4820" width="13.28515625" bestFit="1" customWidth="1"/>
    <col min="4821" max="4823" width="13.28515625" customWidth="1"/>
    <col min="4824" max="4824" width="12.140625" bestFit="1" customWidth="1"/>
    <col min="4825" max="4825" width="12.7109375" bestFit="1" customWidth="1"/>
    <col min="4826" max="4826" width="11" customWidth="1"/>
    <col min="4827" max="4827" width="16.7109375" customWidth="1"/>
    <col min="4828" max="4828" width="17" customWidth="1"/>
    <col min="4829" max="4829" width="10.42578125" bestFit="1" customWidth="1"/>
    <col min="4873" max="4873" width="3.85546875" customWidth="1"/>
    <col min="4874" max="4874" width="15.28515625" bestFit="1" customWidth="1"/>
    <col min="4875" max="4875" width="12.28515625" customWidth="1"/>
    <col min="4876" max="4876" width="16.28515625" bestFit="1" customWidth="1"/>
    <col min="4877" max="4877" width="6.42578125" bestFit="1" customWidth="1"/>
    <col min="4878" max="4878" width="9.28515625" bestFit="1" customWidth="1"/>
    <col min="4879" max="4879" width="7.5703125" bestFit="1" customWidth="1"/>
    <col min="4880" max="4880" width="13.28515625" bestFit="1" customWidth="1"/>
    <col min="4881" max="4881" width="9.28515625" bestFit="1" customWidth="1"/>
    <col min="4882" max="4882" width="11.5703125" bestFit="1" customWidth="1"/>
    <col min="4883" max="4883" width="13.28515625" bestFit="1" customWidth="1"/>
    <col min="4884" max="4884" width="7.140625" bestFit="1" customWidth="1"/>
    <col min="4885" max="4885" width="12" bestFit="1" customWidth="1"/>
    <col min="4886" max="4886" width="13.28515625" bestFit="1" customWidth="1"/>
    <col min="4887" max="4887" width="7" bestFit="1" customWidth="1"/>
    <col min="4888" max="4888" width="12.7109375" bestFit="1" customWidth="1"/>
    <col min="4889" max="4889" width="11.5703125" bestFit="1" customWidth="1"/>
    <col min="4890" max="4890" width="10.5703125" bestFit="1" customWidth="1"/>
    <col min="4891" max="4892" width="15.7109375" bestFit="1" customWidth="1"/>
    <col min="4893" max="4893" width="11.5703125" bestFit="1" customWidth="1"/>
    <col min="4894" max="4894" width="7.7109375" bestFit="1" customWidth="1"/>
    <col min="4895" max="4895" width="15.140625" bestFit="1" customWidth="1"/>
    <col min="4896" max="4896" width="11.5703125" bestFit="1" customWidth="1"/>
    <col min="4897" max="4897" width="13.28515625" bestFit="1" customWidth="1"/>
    <col min="4898" max="4898" width="10.42578125" bestFit="1" customWidth="1"/>
    <col min="4899" max="4899" width="13.28515625" bestFit="1" customWidth="1"/>
    <col min="4900" max="4900" width="12.140625" bestFit="1" customWidth="1"/>
    <col min="4901" max="4901" width="14.42578125" bestFit="1" customWidth="1"/>
    <col min="4902" max="4902" width="13.28515625" bestFit="1" customWidth="1"/>
    <col min="4903" max="4903" width="11.5703125" bestFit="1" customWidth="1"/>
    <col min="4904" max="4904" width="7.7109375" bestFit="1" customWidth="1"/>
    <col min="4905" max="4906" width="14.42578125" bestFit="1" customWidth="1"/>
    <col min="4907" max="4907" width="11.5703125" bestFit="1" customWidth="1"/>
    <col min="4908" max="4908" width="7.7109375" bestFit="1" customWidth="1"/>
    <col min="4909" max="4909" width="13.5703125" customWidth="1"/>
    <col min="4910" max="4910" width="15.28515625" customWidth="1"/>
    <col min="4911" max="4911" width="14.5703125" customWidth="1"/>
    <col min="4912" max="4912" width="13.28515625" bestFit="1" customWidth="1"/>
    <col min="4913" max="4913" width="7.7109375" bestFit="1" customWidth="1"/>
    <col min="4914" max="4914" width="12.7109375" bestFit="1" customWidth="1"/>
    <col min="4915" max="4915" width="11.7109375" bestFit="1" customWidth="1"/>
    <col min="4916" max="4916" width="11.5703125" bestFit="1" customWidth="1"/>
    <col min="4917" max="4917" width="5.28515625" bestFit="1" customWidth="1"/>
    <col min="4918" max="4918" width="13.28515625" bestFit="1" customWidth="1"/>
    <col min="4919" max="4919" width="13.5703125" bestFit="1" customWidth="1"/>
    <col min="4920" max="4920" width="10.5703125" bestFit="1" customWidth="1"/>
    <col min="4921" max="4921" width="13.28515625" bestFit="1" customWidth="1"/>
    <col min="4922" max="4922" width="11.5703125" bestFit="1" customWidth="1"/>
    <col min="4923" max="4923" width="10.5703125" bestFit="1" customWidth="1"/>
    <col min="4924" max="4924" width="16.140625" bestFit="1" customWidth="1"/>
    <col min="4925" max="4926" width="11.28515625" bestFit="1" customWidth="1"/>
    <col min="4927" max="4927" width="13.28515625" bestFit="1" customWidth="1"/>
    <col min="4928" max="4928" width="7.7109375" bestFit="1" customWidth="1"/>
    <col min="4929" max="4932" width="9.140625" hidden="1" customWidth="1"/>
    <col min="4933" max="4933" width="10.42578125" bestFit="1" customWidth="1"/>
    <col min="4934" max="4934" width="10.5703125" bestFit="1" customWidth="1"/>
    <col min="4935" max="4935" width="10.42578125" bestFit="1" customWidth="1"/>
    <col min="4936" max="4936" width="10.5703125" bestFit="1" customWidth="1"/>
    <col min="4937" max="4937" width="9.5703125" bestFit="1" customWidth="1"/>
    <col min="4938" max="4938" width="11.5703125" bestFit="1" customWidth="1"/>
    <col min="4939" max="4939" width="10.42578125" bestFit="1" customWidth="1"/>
    <col min="4940" max="4940" width="10.85546875" customWidth="1"/>
    <col min="4941" max="4942" width="9.85546875" bestFit="1" customWidth="1"/>
    <col min="4943" max="4943" width="13.5703125" bestFit="1" customWidth="1"/>
    <col min="4944" max="4944" width="7.7109375" bestFit="1" customWidth="1"/>
    <col min="4945" max="4945" width="13.28515625" bestFit="1" customWidth="1"/>
    <col min="4946" max="4946" width="11.5703125" bestFit="1" customWidth="1"/>
    <col min="4947" max="4947" width="10.42578125" bestFit="1" customWidth="1"/>
    <col min="4948" max="4948" width="7.7109375" bestFit="1" customWidth="1"/>
    <col min="4949" max="4949" width="11.5703125" bestFit="1" customWidth="1"/>
    <col min="4950" max="4950" width="10.85546875" bestFit="1" customWidth="1"/>
    <col min="4951" max="4951" width="13.28515625" bestFit="1" customWidth="1"/>
    <col min="4952" max="4952" width="10.85546875" bestFit="1" customWidth="1"/>
    <col min="4953" max="4954" width="7.5703125" bestFit="1" customWidth="1"/>
    <col min="4955" max="4956" width="10.42578125" bestFit="1" customWidth="1"/>
    <col min="4957" max="4957" width="11.5703125" bestFit="1" customWidth="1"/>
    <col min="4958" max="4958" width="5.28515625" bestFit="1" customWidth="1"/>
    <col min="4959" max="4959" width="10.28515625" bestFit="1" customWidth="1"/>
    <col min="4960" max="4960" width="10.42578125" bestFit="1" customWidth="1"/>
    <col min="4961" max="4961" width="11.5703125" bestFit="1" customWidth="1"/>
    <col min="4962" max="4962" width="5.28515625" bestFit="1" customWidth="1"/>
    <col min="4963" max="4965" width="11.5703125" bestFit="1" customWidth="1"/>
    <col min="4966" max="4966" width="5.28515625" bestFit="1" customWidth="1"/>
    <col min="4967" max="4968" width="10.42578125" bestFit="1" customWidth="1"/>
    <col min="4969" max="4969" width="11.5703125" bestFit="1" customWidth="1"/>
    <col min="4970" max="4970" width="5.28515625" bestFit="1" customWidth="1"/>
    <col min="4971" max="4971" width="14.28515625" bestFit="1" customWidth="1"/>
    <col min="4972" max="4972" width="13" bestFit="1" customWidth="1"/>
    <col min="4973" max="4973" width="11.5703125" bestFit="1" customWidth="1"/>
    <col min="4974" max="4974" width="8.85546875" bestFit="1" customWidth="1"/>
    <col min="4975" max="4975" width="14.42578125" bestFit="1" customWidth="1"/>
    <col min="4976" max="4976" width="10.42578125" bestFit="1" customWidth="1"/>
    <col min="4977" max="4977" width="12.28515625" bestFit="1" customWidth="1"/>
    <col min="4978" max="4978" width="13.85546875" bestFit="1" customWidth="1"/>
    <col min="4979" max="4979" width="11.28515625" customWidth="1"/>
    <col min="4980" max="4980" width="11.5703125" customWidth="1"/>
    <col min="4981" max="4981" width="13.42578125" bestFit="1" customWidth="1"/>
    <col min="4982" max="4982" width="10.42578125" customWidth="1"/>
    <col min="4983" max="4983" width="13.85546875" bestFit="1" customWidth="1"/>
    <col min="4984" max="4984" width="15.42578125" bestFit="1" customWidth="1"/>
    <col min="4985" max="4985" width="12.28515625" bestFit="1" customWidth="1"/>
    <col min="4986" max="4986" width="12.7109375" customWidth="1"/>
    <col min="4987" max="4987" width="10.7109375" bestFit="1" customWidth="1"/>
    <col min="4988" max="4988" width="9.85546875" customWidth="1"/>
    <col min="4989" max="4990" width="10.140625" bestFit="1" customWidth="1"/>
    <col min="4991" max="4991" width="7.5703125" bestFit="1" customWidth="1"/>
    <col min="4992" max="4992" width="9.42578125" bestFit="1" customWidth="1"/>
    <col min="4993" max="4993" width="14.5703125" bestFit="1" customWidth="1"/>
    <col min="4994" max="4994" width="14.85546875" customWidth="1"/>
    <col min="4995" max="4995" width="15.140625" bestFit="1" customWidth="1"/>
    <col min="4996" max="4996" width="12.140625" bestFit="1" customWidth="1"/>
    <col min="4997" max="4997" width="14.85546875" bestFit="1" customWidth="1"/>
    <col min="4998" max="4998" width="12.28515625" bestFit="1" customWidth="1"/>
    <col min="4999" max="5007" width="9.140625" hidden="1" customWidth="1"/>
    <col min="5008" max="5008" width="5.28515625" bestFit="1" customWidth="1"/>
    <col min="5009" max="5014" width="11.5703125" bestFit="1" customWidth="1"/>
    <col min="5015" max="5015" width="11.28515625" bestFit="1" customWidth="1"/>
    <col min="5016" max="5016" width="10.140625" bestFit="1" customWidth="1"/>
    <col min="5017" max="5017" width="11.5703125" bestFit="1" customWidth="1"/>
    <col min="5018" max="5018" width="16.140625" customWidth="1"/>
    <col min="5019" max="5019" width="13.42578125" customWidth="1"/>
    <col min="5020" max="5020" width="10.140625" bestFit="1" customWidth="1"/>
    <col min="5021" max="5021" width="12.85546875" bestFit="1" customWidth="1"/>
    <col min="5022" max="5022" width="12.28515625" bestFit="1" customWidth="1"/>
    <col min="5023" max="5023" width="11.28515625" bestFit="1" customWidth="1"/>
    <col min="5024" max="5024" width="11.5703125" bestFit="1" customWidth="1"/>
    <col min="5025" max="5025" width="10.85546875" bestFit="1" customWidth="1"/>
    <col min="5026" max="5026" width="11.28515625" bestFit="1" customWidth="1"/>
    <col min="5027" max="5027" width="10.140625" bestFit="1" customWidth="1"/>
    <col min="5028" max="5028" width="13.28515625" bestFit="1" customWidth="1"/>
    <col min="5029" max="5030" width="12.7109375" bestFit="1" customWidth="1"/>
    <col min="5031" max="5031" width="11" bestFit="1" customWidth="1"/>
    <col min="5032" max="5032" width="11.28515625" bestFit="1" customWidth="1"/>
    <col min="5033" max="5033" width="11.5703125" bestFit="1" customWidth="1"/>
    <col min="5034" max="5034" width="12.28515625" bestFit="1" customWidth="1"/>
    <col min="5035" max="5035" width="15.140625" bestFit="1" customWidth="1"/>
    <col min="5036" max="5036" width="14.42578125" bestFit="1" customWidth="1"/>
    <col min="5037" max="5037" width="12.28515625" bestFit="1" customWidth="1"/>
    <col min="5038" max="5038" width="15.140625" bestFit="1" customWidth="1"/>
    <col min="5039" max="5039" width="14.42578125" bestFit="1" customWidth="1"/>
    <col min="5040" max="5040" width="12.28515625" bestFit="1" customWidth="1"/>
    <col min="5041" max="5041" width="14.42578125" bestFit="1" customWidth="1"/>
    <col min="5042" max="5042" width="11.28515625" bestFit="1" customWidth="1"/>
    <col min="5043" max="5043" width="12.28515625" bestFit="1" customWidth="1"/>
    <col min="5044" max="5044" width="13" bestFit="1" customWidth="1"/>
    <col min="5045" max="5045" width="15.140625" bestFit="1" customWidth="1"/>
    <col min="5046" max="5046" width="12.28515625" bestFit="1" customWidth="1"/>
    <col min="5047" max="5047" width="13.85546875" bestFit="1" customWidth="1"/>
    <col min="5048" max="5048" width="11.28515625" bestFit="1" customWidth="1"/>
    <col min="5049" max="5049" width="12.28515625" bestFit="1" customWidth="1"/>
    <col min="5050" max="5050" width="13.85546875" bestFit="1" customWidth="1"/>
    <col min="5051" max="5052" width="15.140625" bestFit="1" customWidth="1"/>
    <col min="5053" max="5053" width="12.28515625" bestFit="1" customWidth="1"/>
    <col min="5054" max="5054" width="5.7109375" bestFit="1" customWidth="1"/>
    <col min="5055" max="5055" width="8.5703125" bestFit="1" customWidth="1"/>
    <col min="5056" max="5056" width="5.5703125" bestFit="1" customWidth="1"/>
    <col min="5057" max="5057" width="14.42578125" bestFit="1" customWidth="1"/>
    <col min="5058" max="5058" width="11.28515625" bestFit="1" customWidth="1"/>
    <col min="5059" max="5060" width="12.28515625" bestFit="1" customWidth="1"/>
    <col min="5061" max="5061" width="11.28515625" bestFit="1" customWidth="1"/>
    <col min="5062" max="5062" width="13.85546875" bestFit="1" customWidth="1"/>
    <col min="5063" max="5063" width="12" bestFit="1" customWidth="1"/>
    <col min="5064" max="5064" width="13.85546875" bestFit="1" customWidth="1"/>
    <col min="5065" max="5066" width="14.42578125" customWidth="1"/>
    <col min="5067" max="5067" width="10.140625" bestFit="1" customWidth="1"/>
    <col min="5068" max="5068" width="12.28515625" bestFit="1" customWidth="1"/>
    <col min="5069" max="5069" width="7.42578125" bestFit="1" customWidth="1"/>
    <col min="5070" max="5070" width="8.5703125" bestFit="1" customWidth="1"/>
    <col min="5071" max="5071" width="11.5703125" bestFit="1" customWidth="1"/>
    <col min="5072" max="5072" width="13.28515625" bestFit="1" customWidth="1"/>
    <col min="5073" max="5073" width="13.28515625" customWidth="1"/>
    <col min="5074" max="5074" width="13.140625" customWidth="1"/>
    <col min="5075" max="5075" width="12.7109375" bestFit="1" customWidth="1"/>
    <col min="5076" max="5076" width="13.28515625" bestFit="1" customWidth="1"/>
    <col min="5077" max="5079" width="13.28515625" customWidth="1"/>
    <col min="5080" max="5080" width="12.140625" bestFit="1" customWidth="1"/>
    <col min="5081" max="5081" width="12.7109375" bestFit="1" customWidth="1"/>
    <col min="5082" max="5082" width="11" customWidth="1"/>
    <col min="5083" max="5083" width="16.7109375" customWidth="1"/>
    <col min="5084" max="5084" width="17" customWidth="1"/>
    <col min="5085" max="5085" width="10.42578125" bestFit="1" customWidth="1"/>
    <col min="5129" max="5129" width="3.85546875" customWidth="1"/>
    <col min="5130" max="5130" width="15.28515625" bestFit="1" customWidth="1"/>
    <col min="5131" max="5131" width="12.28515625" customWidth="1"/>
    <col min="5132" max="5132" width="16.28515625" bestFit="1" customWidth="1"/>
    <col min="5133" max="5133" width="6.42578125" bestFit="1" customWidth="1"/>
    <col min="5134" max="5134" width="9.28515625" bestFit="1" customWidth="1"/>
    <col min="5135" max="5135" width="7.5703125" bestFit="1" customWidth="1"/>
    <col min="5136" max="5136" width="13.28515625" bestFit="1" customWidth="1"/>
    <col min="5137" max="5137" width="9.28515625" bestFit="1" customWidth="1"/>
    <col min="5138" max="5138" width="11.5703125" bestFit="1" customWidth="1"/>
    <col min="5139" max="5139" width="13.28515625" bestFit="1" customWidth="1"/>
    <col min="5140" max="5140" width="7.140625" bestFit="1" customWidth="1"/>
    <col min="5141" max="5141" width="12" bestFit="1" customWidth="1"/>
    <col min="5142" max="5142" width="13.28515625" bestFit="1" customWidth="1"/>
    <col min="5143" max="5143" width="7" bestFit="1" customWidth="1"/>
    <col min="5144" max="5144" width="12.7109375" bestFit="1" customWidth="1"/>
    <col min="5145" max="5145" width="11.5703125" bestFit="1" customWidth="1"/>
    <col min="5146" max="5146" width="10.5703125" bestFit="1" customWidth="1"/>
    <col min="5147" max="5148" width="15.7109375" bestFit="1" customWidth="1"/>
    <col min="5149" max="5149" width="11.5703125" bestFit="1" customWidth="1"/>
    <col min="5150" max="5150" width="7.7109375" bestFit="1" customWidth="1"/>
    <col min="5151" max="5151" width="15.140625" bestFit="1" customWidth="1"/>
    <col min="5152" max="5152" width="11.5703125" bestFit="1" customWidth="1"/>
    <col min="5153" max="5153" width="13.28515625" bestFit="1" customWidth="1"/>
    <col min="5154" max="5154" width="10.42578125" bestFit="1" customWidth="1"/>
    <col min="5155" max="5155" width="13.28515625" bestFit="1" customWidth="1"/>
    <col min="5156" max="5156" width="12.140625" bestFit="1" customWidth="1"/>
    <col min="5157" max="5157" width="14.42578125" bestFit="1" customWidth="1"/>
    <col min="5158" max="5158" width="13.28515625" bestFit="1" customWidth="1"/>
    <col min="5159" max="5159" width="11.5703125" bestFit="1" customWidth="1"/>
    <col min="5160" max="5160" width="7.7109375" bestFit="1" customWidth="1"/>
    <col min="5161" max="5162" width="14.42578125" bestFit="1" customWidth="1"/>
    <col min="5163" max="5163" width="11.5703125" bestFit="1" customWidth="1"/>
    <col min="5164" max="5164" width="7.7109375" bestFit="1" customWidth="1"/>
    <col min="5165" max="5165" width="13.5703125" customWidth="1"/>
    <col min="5166" max="5166" width="15.28515625" customWidth="1"/>
    <col min="5167" max="5167" width="14.5703125" customWidth="1"/>
    <col min="5168" max="5168" width="13.28515625" bestFit="1" customWidth="1"/>
    <col min="5169" max="5169" width="7.7109375" bestFit="1" customWidth="1"/>
    <col min="5170" max="5170" width="12.7109375" bestFit="1" customWidth="1"/>
    <col min="5171" max="5171" width="11.7109375" bestFit="1" customWidth="1"/>
    <col min="5172" max="5172" width="11.5703125" bestFit="1" customWidth="1"/>
    <col min="5173" max="5173" width="5.28515625" bestFit="1" customWidth="1"/>
    <col min="5174" max="5174" width="13.28515625" bestFit="1" customWidth="1"/>
    <col min="5175" max="5175" width="13.5703125" bestFit="1" customWidth="1"/>
    <col min="5176" max="5176" width="10.5703125" bestFit="1" customWidth="1"/>
    <col min="5177" max="5177" width="13.28515625" bestFit="1" customWidth="1"/>
    <col min="5178" max="5178" width="11.5703125" bestFit="1" customWidth="1"/>
    <col min="5179" max="5179" width="10.5703125" bestFit="1" customWidth="1"/>
    <col min="5180" max="5180" width="16.140625" bestFit="1" customWidth="1"/>
    <col min="5181" max="5182" width="11.28515625" bestFit="1" customWidth="1"/>
    <col min="5183" max="5183" width="13.28515625" bestFit="1" customWidth="1"/>
    <col min="5184" max="5184" width="7.7109375" bestFit="1" customWidth="1"/>
    <col min="5185" max="5188" width="9.140625" hidden="1" customWidth="1"/>
    <col min="5189" max="5189" width="10.42578125" bestFit="1" customWidth="1"/>
    <col min="5190" max="5190" width="10.5703125" bestFit="1" customWidth="1"/>
    <col min="5191" max="5191" width="10.42578125" bestFit="1" customWidth="1"/>
    <col min="5192" max="5192" width="10.5703125" bestFit="1" customWidth="1"/>
    <col min="5193" max="5193" width="9.5703125" bestFit="1" customWidth="1"/>
    <col min="5194" max="5194" width="11.5703125" bestFit="1" customWidth="1"/>
    <col min="5195" max="5195" width="10.42578125" bestFit="1" customWidth="1"/>
    <col min="5196" max="5196" width="10.85546875" customWidth="1"/>
    <col min="5197" max="5198" width="9.85546875" bestFit="1" customWidth="1"/>
    <col min="5199" max="5199" width="13.5703125" bestFit="1" customWidth="1"/>
    <col min="5200" max="5200" width="7.7109375" bestFit="1" customWidth="1"/>
    <col min="5201" max="5201" width="13.28515625" bestFit="1" customWidth="1"/>
    <col min="5202" max="5202" width="11.5703125" bestFit="1" customWidth="1"/>
    <col min="5203" max="5203" width="10.42578125" bestFit="1" customWidth="1"/>
    <col min="5204" max="5204" width="7.7109375" bestFit="1" customWidth="1"/>
    <col min="5205" max="5205" width="11.5703125" bestFit="1" customWidth="1"/>
    <col min="5206" max="5206" width="10.85546875" bestFit="1" customWidth="1"/>
    <col min="5207" max="5207" width="13.28515625" bestFit="1" customWidth="1"/>
    <col min="5208" max="5208" width="10.85546875" bestFit="1" customWidth="1"/>
    <col min="5209" max="5210" width="7.5703125" bestFit="1" customWidth="1"/>
    <col min="5211" max="5212" width="10.42578125" bestFit="1" customWidth="1"/>
    <col min="5213" max="5213" width="11.5703125" bestFit="1" customWidth="1"/>
    <col min="5214" max="5214" width="5.28515625" bestFit="1" customWidth="1"/>
    <col min="5215" max="5215" width="10.28515625" bestFit="1" customWidth="1"/>
    <col min="5216" max="5216" width="10.42578125" bestFit="1" customWidth="1"/>
    <col min="5217" max="5217" width="11.5703125" bestFit="1" customWidth="1"/>
    <col min="5218" max="5218" width="5.28515625" bestFit="1" customWidth="1"/>
    <col min="5219" max="5221" width="11.5703125" bestFit="1" customWidth="1"/>
    <col min="5222" max="5222" width="5.28515625" bestFit="1" customWidth="1"/>
    <col min="5223" max="5224" width="10.42578125" bestFit="1" customWidth="1"/>
    <col min="5225" max="5225" width="11.5703125" bestFit="1" customWidth="1"/>
    <col min="5226" max="5226" width="5.28515625" bestFit="1" customWidth="1"/>
    <col min="5227" max="5227" width="14.28515625" bestFit="1" customWidth="1"/>
    <col min="5228" max="5228" width="13" bestFit="1" customWidth="1"/>
    <col min="5229" max="5229" width="11.5703125" bestFit="1" customWidth="1"/>
    <col min="5230" max="5230" width="8.85546875" bestFit="1" customWidth="1"/>
    <col min="5231" max="5231" width="14.42578125" bestFit="1" customWidth="1"/>
    <col min="5232" max="5232" width="10.42578125" bestFit="1" customWidth="1"/>
    <col min="5233" max="5233" width="12.28515625" bestFit="1" customWidth="1"/>
    <col min="5234" max="5234" width="13.85546875" bestFit="1" customWidth="1"/>
    <col min="5235" max="5235" width="11.28515625" customWidth="1"/>
    <col min="5236" max="5236" width="11.5703125" customWidth="1"/>
    <col min="5237" max="5237" width="13.42578125" bestFit="1" customWidth="1"/>
    <col min="5238" max="5238" width="10.42578125" customWidth="1"/>
    <col min="5239" max="5239" width="13.85546875" bestFit="1" customWidth="1"/>
    <col min="5240" max="5240" width="15.42578125" bestFit="1" customWidth="1"/>
    <col min="5241" max="5241" width="12.28515625" bestFit="1" customWidth="1"/>
    <col min="5242" max="5242" width="12.7109375" customWidth="1"/>
    <col min="5243" max="5243" width="10.7109375" bestFit="1" customWidth="1"/>
    <col min="5244" max="5244" width="9.85546875" customWidth="1"/>
    <col min="5245" max="5246" width="10.140625" bestFit="1" customWidth="1"/>
    <col min="5247" max="5247" width="7.5703125" bestFit="1" customWidth="1"/>
    <col min="5248" max="5248" width="9.42578125" bestFit="1" customWidth="1"/>
    <col min="5249" max="5249" width="14.5703125" bestFit="1" customWidth="1"/>
    <col min="5250" max="5250" width="14.85546875" customWidth="1"/>
    <col min="5251" max="5251" width="15.140625" bestFit="1" customWidth="1"/>
    <col min="5252" max="5252" width="12.140625" bestFit="1" customWidth="1"/>
    <col min="5253" max="5253" width="14.85546875" bestFit="1" customWidth="1"/>
    <col min="5254" max="5254" width="12.28515625" bestFit="1" customWidth="1"/>
    <col min="5255" max="5263" width="9.140625" hidden="1" customWidth="1"/>
    <col min="5264" max="5264" width="5.28515625" bestFit="1" customWidth="1"/>
    <col min="5265" max="5270" width="11.5703125" bestFit="1" customWidth="1"/>
    <col min="5271" max="5271" width="11.28515625" bestFit="1" customWidth="1"/>
    <col min="5272" max="5272" width="10.140625" bestFit="1" customWidth="1"/>
    <col min="5273" max="5273" width="11.5703125" bestFit="1" customWidth="1"/>
    <col min="5274" max="5274" width="16.140625" customWidth="1"/>
    <col min="5275" max="5275" width="13.42578125" customWidth="1"/>
    <col min="5276" max="5276" width="10.140625" bestFit="1" customWidth="1"/>
    <col min="5277" max="5277" width="12.85546875" bestFit="1" customWidth="1"/>
    <col min="5278" max="5278" width="12.28515625" bestFit="1" customWidth="1"/>
    <col min="5279" max="5279" width="11.28515625" bestFit="1" customWidth="1"/>
    <col min="5280" max="5280" width="11.5703125" bestFit="1" customWidth="1"/>
    <col min="5281" max="5281" width="10.85546875" bestFit="1" customWidth="1"/>
    <col min="5282" max="5282" width="11.28515625" bestFit="1" customWidth="1"/>
    <col min="5283" max="5283" width="10.140625" bestFit="1" customWidth="1"/>
    <col min="5284" max="5284" width="13.28515625" bestFit="1" customWidth="1"/>
    <col min="5285" max="5286" width="12.7109375" bestFit="1" customWidth="1"/>
    <col min="5287" max="5287" width="11" bestFit="1" customWidth="1"/>
    <col min="5288" max="5288" width="11.28515625" bestFit="1" customWidth="1"/>
    <col min="5289" max="5289" width="11.5703125" bestFit="1" customWidth="1"/>
    <col min="5290" max="5290" width="12.28515625" bestFit="1" customWidth="1"/>
    <col min="5291" max="5291" width="15.140625" bestFit="1" customWidth="1"/>
    <col min="5292" max="5292" width="14.42578125" bestFit="1" customWidth="1"/>
    <col min="5293" max="5293" width="12.28515625" bestFit="1" customWidth="1"/>
    <col min="5294" max="5294" width="15.140625" bestFit="1" customWidth="1"/>
    <col min="5295" max="5295" width="14.42578125" bestFit="1" customWidth="1"/>
    <col min="5296" max="5296" width="12.28515625" bestFit="1" customWidth="1"/>
    <col min="5297" max="5297" width="14.42578125" bestFit="1" customWidth="1"/>
    <col min="5298" max="5298" width="11.28515625" bestFit="1" customWidth="1"/>
    <col min="5299" max="5299" width="12.28515625" bestFit="1" customWidth="1"/>
    <col min="5300" max="5300" width="13" bestFit="1" customWidth="1"/>
    <col min="5301" max="5301" width="15.140625" bestFit="1" customWidth="1"/>
    <col min="5302" max="5302" width="12.28515625" bestFit="1" customWidth="1"/>
    <col min="5303" max="5303" width="13.85546875" bestFit="1" customWidth="1"/>
    <col min="5304" max="5304" width="11.28515625" bestFit="1" customWidth="1"/>
    <col min="5305" max="5305" width="12.28515625" bestFit="1" customWidth="1"/>
    <col min="5306" max="5306" width="13.85546875" bestFit="1" customWidth="1"/>
    <col min="5307" max="5308" width="15.140625" bestFit="1" customWidth="1"/>
    <col min="5309" max="5309" width="12.28515625" bestFit="1" customWidth="1"/>
    <col min="5310" max="5310" width="5.7109375" bestFit="1" customWidth="1"/>
    <col min="5311" max="5311" width="8.5703125" bestFit="1" customWidth="1"/>
    <col min="5312" max="5312" width="5.5703125" bestFit="1" customWidth="1"/>
    <col min="5313" max="5313" width="14.42578125" bestFit="1" customWidth="1"/>
    <col min="5314" max="5314" width="11.28515625" bestFit="1" customWidth="1"/>
    <col min="5315" max="5316" width="12.28515625" bestFit="1" customWidth="1"/>
    <col min="5317" max="5317" width="11.28515625" bestFit="1" customWidth="1"/>
    <col min="5318" max="5318" width="13.85546875" bestFit="1" customWidth="1"/>
    <col min="5319" max="5319" width="12" bestFit="1" customWidth="1"/>
    <col min="5320" max="5320" width="13.85546875" bestFit="1" customWidth="1"/>
    <col min="5321" max="5322" width="14.42578125" customWidth="1"/>
    <col min="5323" max="5323" width="10.140625" bestFit="1" customWidth="1"/>
    <col min="5324" max="5324" width="12.28515625" bestFit="1" customWidth="1"/>
    <col min="5325" max="5325" width="7.42578125" bestFit="1" customWidth="1"/>
    <col min="5326" max="5326" width="8.5703125" bestFit="1" customWidth="1"/>
    <col min="5327" max="5327" width="11.5703125" bestFit="1" customWidth="1"/>
    <col min="5328" max="5328" width="13.28515625" bestFit="1" customWidth="1"/>
    <col min="5329" max="5329" width="13.28515625" customWidth="1"/>
    <col min="5330" max="5330" width="13.140625" customWidth="1"/>
    <col min="5331" max="5331" width="12.7109375" bestFit="1" customWidth="1"/>
    <col min="5332" max="5332" width="13.28515625" bestFit="1" customWidth="1"/>
    <col min="5333" max="5335" width="13.28515625" customWidth="1"/>
    <col min="5336" max="5336" width="12.140625" bestFit="1" customWidth="1"/>
    <col min="5337" max="5337" width="12.7109375" bestFit="1" customWidth="1"/>
    <col min="5338" max="5338" width="11" customWidth="1"/>
    <col min="5339" max="5339" width="16.7109375" customWidth="1"/>
    <col min="5340" max="5340" width="17" customWidth="1"/>
    <col min="5341" max="5341" width="10.42578125" bestFit="1" customWidth="1"/>
    <col min="5385" max="5385" width="3.85546875" customWidth="1"/>
    <col min="5386" max="5386" width="15.28515625" bestFit="1" customWidth="1"/>
    <col min="5387" max="5387" width="12.28515625" customWidth="1"/>
    <col min="5388" max="5388" width="16.28515625" bestFit="1" customWidth="1"/>
    <col min="5389" max="5389" width="6.42578125" bestFit="1" customWidth="1"/>
    <col min="5390" max="5390" width="9.28515625" bestFit="1" customWidth="1"/>
    <col min="5391" max="5391" width="7.5703125" bestFit="1" customWidth="1"/>
    <col min="5392" max="5392" width="13.28515625" bestFit="1" customWidth="1"/>
    <col min="5393" max="5393" width="9.28515625" bestFit="1" customWidth="1"/>
    <col min="5394" max="5394" width="11.5703125" bestFit="1" customWidth="1"/>
    <col min="5395" max="5395" width="13.28515625" bestFit="1" customWidth="1"/>
    <col min="5396" max="5396" width="7.140625" bestFit="1" customWidth="1"/>
    <col min="5397" max="5397" width="12" bestFit="1" customWidth="1"/>
    <col min="5398" max="5398" width="13.28515625" bestFit="1" customWidth="1"/>
    <col min="5399" max="5399" width="7" bestFit="1" customWidth="1"/>
    <col min="5400" max="5400" width="12.7109375" bestFit="1" customWidth="1"/>
    <col min="5401" max="5401" width="11.5703125" bestFit="1" customWidth="1"/>
    <col min="5402" max="5402" width="10.5703125" bestFit="1" customWidth="1"/>
    <col min="5403" max="5404" width="15.7109375" bestFit="1" customWidth="1"/>
    <col min="5405" max="5405" width="11.5703125" bestFit="1" customWidth="1"/>
    <col min="5406" max="5406" width="7.7109375" bestFit="1" customWidth="1"/>
    <col min="5407" max="5407" width="15.140625" bestFit="1" customWidth="1"/>
    <col min="5408" max="5408" width="11.5703125" bestFit="1" customWidth="1"/>
    <col min="5409" max="5409" width="13.28515625" bestFit="1" customWidth="1"/>
    <col min="5410" max="5410" width="10.42578125" bestFit="1" customWidth="1"/>
    <col min="5411" max="5411" width="13.28515625" bestFit="1" customWidth="1"/>
    <col min="5412" max="5412" width="12.140625" bestFit="1" customWidth="1"/>
    <col min="5413" max="5413" width="14.42578125" bestFit="1" customWidth="1"/>
    <col min="5414" max="5414" width="13.28515625" bestFit="1" customWidth="1"/>
    <col min="5415" max="5415" width="11.5703125" bestFit="1" customWidth="1"/>
    <col min="5416" max="5416" width="7.7109375" bestFit="1" customWidth="1"/>
    <col min="5417" max="5418" width="14.42578125" bestFit="1" customWidth="1"/>
    <col min="5419" max="5419" width="11.5703125" bestFit="1" customWidth="1"/>
    <col min="5420" max="5420" width="7.7109375" bestFit="1" customWidth="1"/>
    <col min="5421" max="5421" width="13.5703125" customWidth="1"/>
    <col min="5422" max="5422" width="15.28515625" customWidth="1"/>
    <col min="5423" max="5423" width="14.5703125" customWidth="1"/>
    <col min="5424" max="5424" width="13.28515625" bestFit="1" customWidth="1"/>
    <col min="5425" max="5425" width="7.7109375" bestFit="1" customWidth="1"/>
    <col min="5426" max="5426" width="12.7109375" bestFit="1" customWidth="1"/>
    <col min="5427" max="5427" width="11.7109375" bestFit="1" customWidth="1"/>
    <col min="5428" max="5428" width="11.5703125" bestFit="1" customWidth="1"/>
    <col min="5429" max="5429" width="5.28515625" bestFit="1" customWidth="1"/>
    <col min="5430" max="5430" width="13.28515625" bestFit="1" customWidth="1"/>
    <col min="5431" max="5431" width="13.5703125" bestFit="1" customWidth="1"/>
    <col min="5432" max="5432" width="10.5703125" bestFit="1" customWidth="1"/>
    <col min="5433" max="5433" width="13.28515625" bestFit="1" customWidth="1"/>
    <col min="5434" max="5434" width="11.5703125" bestFit="1" customWidth="1"/>
    <col min="5435" max="5435" width="10.5703125" bestFit="1" customWidth="1"/>
    <col min="5436" max="5436" width="16.140625" bestFit="1" customWidth="1"/>
    <col min="5437" max="5438" width="11.28515625" bestFit="1" customWidth="1"/>
    <col min="5439" max="5439" width="13.28515625" bestFit="1" customWidth="1"/>
    <col min="5440" max="5440" width="7.7109375" bestFit="1" customWidth="1"/>
    <col min="5441" max="5444" width="9.140625" hidden="1" customWidth="1"/>
    <col min="5445" max="5445" width="10.42578125" bestFit="1" customWidth="1"/>
    <col min="5446" max="5446" width="10.5703125" bestFit="1" customWidth="1"/>
    <col min="5447" max="5447" width="10.42578125" bestFit="1" customWidth="1"/>
    <col min="5448" max="5448" width="10.5703125" bestFit="1" customWidth="1"/>
    <col min="5449" max="5449" width="9.5703125" bestFit="1" customWidth="1"/>
    <col min="5450" max="5450" width="11.5703125" bestFit="1" customWidth="1"/>
    <col min="5451" max="5451" width="10.42578125" bestFit="1" customWidth="1"/>
    <col min="5452" max="5452" width="10.85546875" customWidth="1"/>
    <col min="5453" max="5454" width="9.85546875" bestFit="1" customWidth="1"/>
    <col min="5455" max="5455" width="13.5703125" bestFit="1" customWidth="1"/>
    <col min="5456" max="5456" width="7.7109375" bestFit="1" customWidth="1"/>
    <col min="5457" max="5457" width="13.28515625" bestFit="1" customWidth="1"/>
    <col min="5458" max="5458" width="11.5703125" bestFit="1" customWidth="1"/>
    <col min="5459" max="5459" width="10.42578125" bestFit="1" customWidth="1"/>
    <col min="5460" max="5460" width="7.7109375" bestFit="1" customWidth="1"/>
    <col min="5461" max="5461" width="11.5703125" bestFit="1" customWidth="1"/>
    <col min="5462" max="5462" width="10.85546875" bestFit="1" customWidth="1"/>
    <col min="5463" max="5463" width="13.28515625" bestFit="1" customWidth="1"/>
    <col min="5464" max="5464" width="10.85546875" bestFit="1" customWidth="1"/>
    <col min="5465" max="5466" width="7.5703125" bestFit="1" customWidth="1"/>
    <col min="5467" max="5468" width="10.42578125" bestFit="1" customWidth="1"/>
    <col min="5469" max="5469" width="11.5703125" bestFit="1" customWidth="1"/>
    <col min="5470" max="5470" width="5.28515625" bestFit="1" customWidth="1"/>
    <col min="5471" max="5471" width="10.28515625" bestFit="1" customWidth="1"/>
    <col min="5472" max="5472" width="10.42578125" bestFit="1" customWidth="1"/>
    <col min="5473" max="5473" width="11.5703125" bestFit="1" customWidth="1"/>
    <col min="5474" max="5474" width="5.28515625" bestFit="1" customWidth="1"/>
    <col min="5475" max="5477" width="11.5703125" bestFit="1" customWidth="1"/>
    <col min="5478" max="5478" width="5.28515625" bestFit="1" customWidth="1"/>
    <col min="5479" max="5480" width="10.42578125" bestFit="1" customWidth="1"/>
    <col min="5481" max="5481" width="11.5703125" bestFit="1" customWidth="1"/>
    <col min="5482" max="5482" width="5.28515625" bestFit="1" customWidth="1"/>
    <col min="5483" max="5483" width="14.28515625" bestFit="1" customWidth="1"/>
    <col min="5484" max="5484" width="13" bestFit="1" customWidth="1"/>
    <col min="5485" max="5485" width="11.5703125" bestFit="1" customWidth="1"/>
    <col min="5486" max="5486" width="8.85546875" bestFit="1" customWidth="1"/>
    <col min="5487" max="5487" width="14.42578125" bestFit="1" customWidth="1"/>
    <col min="5488" max="5488" width="10.42578125" bestFit="1" customWidth="1"/>
    <col min="5489" max="5489" width="12.28515625" bestFit="1" customWidth="1"/>
    <col min="5490" max="5490" width="13.85546875" bestFit="1" customWidth="1"/>
    <col min="5491" max="5491" width="11.28515625" customWidth="1"/>
    <col min="5492" max="5492" width="11.5703125" customWidth="1"/>
    <col min="5493" max="5493" width="13.42578125" bestFit="1" customWidth="1"/>
    <col min="5494" max="5494" width="10.42578125" customWidth="1"/>
    <col min="5495" max="5495" width="13.85546875" bestFit="1" customWidth="1"/>
    <col min="5496" max="5496" width="15.42578125" bestFit="1" customWidth="1"/>
    <col min="5497" max="5497" width="12.28515625" bestFit="1" customWidth="1"/>
    <col min="5498" max="5498" width="12.7109375" customWidth="1"/>
    <col min="5499" max="5499" width="10.7109375" bestFit="1" customWidth="1"/>
    <col min="5500" max="5500" width="9.85546875" customWidth="1"/>
    <col min="5501" max="5502" width="10.140625" bestFit="1" customWidth="1"/>
    <col min="5503" max="5503" width="7.5703125" bestFit="1" customWidth="1"/>
    <col min="5504" max="5504" width="9.42578125" bestFit="1" customWidth="1"/>
    <col min="5505" max="5505" width="14.5703125" bestFit="1" customWidth="1"/>
    <col min="5506" max="5506" width="14.85546875" customWidth="1"/>
    <col min="5507" max="5507" width="15.140625" bestFit="1" customWidth="1"/>
    <col min="5508" max="5508" width="12.140625" bestFit="1" customWidth="1"/>
    <col min="5509" max="5509" width="14.85546875" bestFit="1" customWidth="1"/>
    <col min="5510" max="5510" width="12.28515625" bestFit="1" customWidth="1"/>
    <col min="5511" max="5519" width="9.140625" hidden="1" customWidth="1"/>
    <col min="5520" max="5520" width="5.28515625" bestFit="1" customWidth="1"/>
    <col min="5521" max="5526" width="11.5703125" bestFit="1" customWidth="1"/>
    <col min="5527" max="5527" width="11.28515625" bestFit="1" customWidth="1"/>
    <col min="5528" max="5528" width="10.140625" bestFit="1" customWidth="1"/>
    <col min="5529" max="5529" width="11.5703125" bestFit="1" customWidth="1"/>
    <col min="5530" max="5530" width="16.140625" customWidth="1"/>
    <col min="5531" max="5531" width="13.42578125" customWidth="1"/>
    <col min="5532" max="5532" width="10.140625" bestFit="1" customWidth="1"/>
    <col min="5533" max="5533" width="12.85546875" bestFit="1" customWidth="1"/>
    <col min="5534" max="5534" width="12.28515625" bestFit="1" customWidth="1"/>
    <col min="5535" max="5535" width="11.28515625" bestFit="1" customWidth="1"/>
    <col min="5536" max="5536" width="11.5703125" bestFit="1" customWidth="1"/>
    <col min="5537" max="5537" width="10.85546875" bestFit="1" customWidth="1"/>
    <col min="5538" max="5538" width="11.28515625" bestFit="1" customWidth="1"/>
    <col min="5539" max="5539" width="10.140625" bestFit="1" customWidth="1"/>
    <col min="5540" max="5540" width="13.28515625" bestFit="1" customWidth="1"/>
    <col min="5541" max="5542" width="12.7109375" bestFit="1" customWidth="1"/>
    <col min="5543" max="5543" width="11" bestFit="1" customWidth="1"/>
    <col min="5544" max="5544" width="11.28515625" bestFit="1" customWidth="1"/>
    <col min="5545" max="5545" width="11.5703125" bestFit="1" customWidth="1"/>
    <col min="5546" max="5546" width="12.28515625" bestFit="1" customWidth="1"/>
    <col min="5547" max="5547" width="15.140625" bestFit="1" customWidth="1"/>
    <col min="5548" max="5548" width="14.42578125" bestFit="1" customWidth="1"/>
    <col min="5549" max="5549" width="12.28515625" bestFit="1" customWidth="1"/>
    <col min="5550" max="5550" width="15.140625" bestFit="1" customWidth="1"/>
    <col min="5551" max="5551" width="14.42578125" bestFit="1" customWidth="1"/>
    <col min="5552" max="5552" width="12.28515625" bestFit="1" customWidth="1"/>
    <col min="5553" max="5553" width="14.42578125" bestFit="1" customWidth="1"/>
    <col min="5554" max="5554" width="11.28515625" bestFit="1" customWidth="1"/>
    <col min="5555" max="5555" width="12.28515625" bestFit="1" customWidth="1"/>
    <col min="5556" max="5556" width="13" bestFit="1" customWidth="1"/>
    <col min="5557" max="5557" width="15.140625" bestFit="1" customWidth="1"/>
    <col min="5558" max="5558" width="12.28515625" bestFit="1" customWidth="1"/>
    <col min="5559" max="5559" width="13.85546875" bestFit="1" customWidth="1"/>
    <col min="5560" max="5560" width="11.28515625" bestFit="1" customWidth="1"/>
    <col min="5561" max="5561" width="12.28515625" bestFit="1" customWidth="1"/>
    <col min="5562" max="5562" width="13.85546875" bestFit="1" customWidth="1"/>
    <col min="5563" max="5564" width="15.140625" bestFit="1" customWidth="1"/>
    <col min="5565" max="5565" width="12.28515625" bestFit="1" customWidth="1"/>
    <col min="5566" max="5566" width="5.7109375" bestFit="1" customWidth="1"/>
    <col min="5567" max="5567" width="8.5703125" bestFit="1" customWidth="1"/>
    <col min="5568" max="5568" width="5.5703125" bestFit="1" customWidth="1"/>
    <col min="5569" max="5569" width="14.42578125" bestFit="1" customWidth="1"/>
    <col min="5570" max="5570" width="11.28515625" bestFit="1" customWidth="1"/>
    <col min="5571" max="5572" width="12.28515625" bestFit="1" customWidth="1"/>
    <col min="5573" max="5573" width="11.28515625" bestFit="1" customWidth="1"/>
    <col min="5574" max="5574" width="13.85546875" bestFit="1" customWidth="1"/>
    <col min="5575" max="5575" width="12" bestFit="1" customWidth="1"/>
    <col min="5576" max="5576" width="13.85546875" bestFit="1" customWidth="1"/>
    <col min="5577" max="5578" width="14.42578125" customWidth="1"/>
    <col min="5579" max="5579" width="10.140625" bestFit="1" customWidth="1"/>
    <col min="5580" max="5580" width="12.28515625" bestFit="1" customWidth="1"/>
    <col min="5581" max="5581" width="7.42578125" bestFit="1" customWidth="1"/>
    <col min="5582" max="5582" width="8.5703125" bestFit="1" customWidth="1"/>
    <col min="5583" max="5583" width="11.5703125" bestFit="1" customWidth="1"/>
    <col min="5584" max="5584" width="13.28515625" bestFit="1" customWidth="1"/>
    <col min="5585" max="5585" width="13.28515625" customWidth="1"/>
    <col min="5586" max="5586" width="13.140625" customWidth="1"/>
    <col min="5587" max="5587" width="12.7109375" bestFit="1" customWidth="1"/>
    <col min="5588" max="5588" width="13.28515625" bestFit="1" customWidth="1"/>
    <col min="5589" max="5591" width="13.28515625" customWidth="1"/>
    <col min="5592" max="5592" width="12.140625" bestFit="1" customWidth="1"/>
    <col min="5593" max="5593" width="12.7109375" bestFit="1" customWidth="1"/>
    <col min="5594" max="5594" width="11" customWidth="1"/>
    <col min="5595" max="5595" width="16.7109375" customWidth="1"/>
    <col min="5596" max="5596" width="17" customWidth="1"/>
    <col min="5597" max="5597" width="10.42578125" bestFit="1" customWidth="1"/>
    <col min="5641" max="5641" width="3.85546875" customWidth="1"/>
    <col min="5642" max="5642" width="15.28515625" bestFit="1" customWidth="1"/>
    <col min="5643" max="5643" width="12.28515625" customWidth="1"/>
    <col min="5644" max="5644" width="16.28515625" bestFit="1" customWidth="1"/>
    <col min="5645" max="5645" width="6.42578125" bestFit="1" customWidth="1"/>
    <col min="5646" max="5646" width="9.28515625" bestFit="1" customWidth="1"/>
    <col min="5647" max="5647" width="7.5703125" bestFit="1" customWidth="1"/>
    <col min="5648" max="5648" width="13.28515625" bestFit="1" customWidth="1"/>
    <col min="5649" max="5649" width="9.28515625" bestFit="1" customWidth="1"/>
    <col min="5650" max="5650" width="11.5703125" bestFit="1" customWidth="1"/>
    <col min="5651" max="5651" width="13.28515625" bestFit="1" customWidth="1"/>
    <col min="5652" max="5652" width="7.140625" bestFit="1" customWidth="1"/>
    <col min="5653" max="5653" width="12" bestFit="1" customWidth="1"/>
    <col min="5654" max="5654" width="13.28515625" bestFit="1" customWidth="1"/>
    <col min="5655" max="5655" width="7" bestFit="1" customWidth="1"/>
    <col min="5656" max="5656" width="12.7109375" bestFit="1" customWidth="1"/>
    <col min="5657" max="5657" width="11.5703125" bestFit="1" customWidth="1"/>
    <col min="5658" max="5658" width="10.5703125" bestFit="1" customWidth="1"/>
    <col min="5659" max="5660" width="15.7109375" bestFit="1" customWidth="1"/>
    <col min="5661" max="5661" width="11.5703125" bestFit="1" customWidth="1"/>
    <col min="5662" max="5662" width="7.7109375" bestFit="1" customWidth="1"/>
    <col min="5663" max="5663" width="15.140625" bestFit="1" customWidth="1"/>
    <col min="5664" max="5664" width="11.5703125" bestFit="1" customWidth="1"/>
    <col min="5665" max="5665" width="13.28515625" bestFit="1" customWidth="1"/>
    <col min="5666" max="5666" width="10.42578125" bestFit="1" customWidth="1"/>
    <col min="5667" max="5667" width="13.28515625" bestFit="1" customWidth="1"/>
    <col min="5668" max="5668" width="12.140625" bestFit="1" customWidth="1"/>
    <col min="5669" max="5669" width="14.42578125" bestFit="1" customWidth="1"/>
    <col min="5670" max="5670" width="13.28515625" bestFit="1" customWidth="1"/>
    <col min="5671" max="5671" width="11.5703125" bestFit="1" customWidth="1"/>
    <col min="5672" max="5672" width="7.7109375" bestFit="1" customWidth="1"/>
    <col min="5673" max="5674" width="14.42578125" bestFit="1" customWidth="1"/>
    <col min="5675" max="5675" width="11.5703125" bestFit="1" customWidth="1"/>
    <col min="5676" max="5676" width="7.7109375" bestFit="1" customWidth="1"/>
    <col min="5677" max="5677" width="13.5703125" customWidth="1"/>
    <col min="5678" max="5678" width="15.28515625" customWidth="1"/>
    <col min="5679" max="5679" width="14.5703125" customWidth="1"/>
    <col min="5680" max="5680" width="13.28515625" bestFit="1" customWidth="1"/>
    <col min="5681" max="5681" width="7.7109375" bestFit="1" customWidth="1"/>
    <col min="5682" max="5682" width="12.7109375" bestFit="1" customWidth="1"/>
    <col min="5683" max="5683" width="11.7109375" bestFit="1" customWidth="1"/>
    <col min="5684" max="5684" width="11.5703125" bestFit="1" customWidth="1"/>
    <col min="5685" max="5685" width="5.28515625" bestFit="1" customWidth="1"/>
    <col min="5686" max="5686" width="13.28515625" bestFit="1" customWidth="1"/>
    <col min="5687" max="5687" width="13.5703125" bestFit="1" customWidth="1"/>
    <col min="5688" max="5688" width="10.5703125" bestFit="1" customWidth="1"/>
    <col min="5689" max="5689" width="13.28515625" bestFit="1" customWidth="1"/>
    <col min="5690" max="5690" width="11.5703125" bestFit="1" customWidth="1"/>
    <col min="5691" max="5691" width="10.5703125" bestFit="1" customWidth="1"/>
    <col min="5692" max="5692" width="16.140625" bestFit="1" customWidth="1"/>
    <col min="5693" max="5694" width="11.28515625" bestFit="1" customWidth="1"/>
    <col min="5695" max="5695" width="13.28515625" bestFit="1" customWidth="1"/>
    <col min="5696" max="5696" width="7.7109375" bestFit="1" customWidth="1"/>
    <col min="5697" max="5700" width="9.140625" hidden="1" customWidth="1"/>
    <col min="5701" max="5701" width="10.42578125" bestFit="1" customWidth="1"/>
    <col min="5702" max="5702" width="10.5703125" bestFit="1" customWidth="1"/>
    <col min="5703" max="5703" width="10.42578125" bestFit="1" customWidth="1"/>
    <col min="5704" max="5704" width="10.5703125" bestFit="1" customWidth="1"/>
    <col min="5705" max="5705" width="9.5703125" bestFit="1" customWidth="1"/>
    <col min="5706" max="5706" width="11.5703125" bestFit="1" customWidth="1"/>
    <col min="5707" max="5707" width="10.42578125" bestFit="1" customWidth="1"/>
    <col min="5708" max="5708" width="10.85546875" customWidth="1"/>
    <col min="5709" max="5710" width="9.85546875" bestFit="1" customWidth="1"/>
    <col min="5711" max="5711" width="13.5703125" bestFit="1" customWidth="1"/>
    <col min="5712" max="5712" width="7.7109375" bestFit="1" customWidth="1"/>
    <col min="5713" max="5713" width="13.28515625" bestFit="1" customWidth="1"/>
    <col min="5714" max="5714" width="11.5703125" bestFit="1" customWidth="1"/>
    <col min="5715" max="5715" width="10.42578125" bestFit="1" customWidth="1"/>
    <col min="5716" max="5716" width="7.7109375" bestFit="1" customWidth="1"/>
    <col min="5717" max="5717" width="11.5703125" bestFit="1" customWidth="1"/>
    <col min="5718" max="5718" width="10.85546875" bestFit="1" customWidth="1"/>
    <col min="5719" max="5719" width="13.28515625" bestFit="1" customWidth="1"/>
    <col min="5720" max="5720" width="10.85546875" bestFit="1" customWidth="1"/>
    <col min="5721" max="5722" width="7.5703125" bestFit="1" customWidth="1"/>
    <col min="5723" max="5724" width="10.42578125" bestFit="1" customWidth="1"/>
    <col min="5725" max="5725" width="11.5703125" bestFit="1" customWidth="1"/>
    <col min="5726" max="5726" width="5.28515625" bestFit="1" customWidth="1"/>
    <col min="5727" max="5727" width="10.28515625" bestFit="1" customWidth="1"/>
    <col min="5728" max="5728" width="10.42578125" bestFit="1" customWidth="1"/>
    <col min="5729" max="5729" width="11.5703125" bestFit="1" customWidth="1"/>
    <col min="5730" max="5730" width="5.28515625" bestFit="1" customWidth="1"/>
    <col min="5731" max="5733" width="11.5703125" bestFit="1" customWidth="1"/>
    <col min="5734" max="5734" width="5.28515625" bestFit="1" customWidth="1"/>
    <col min="5735" max="5736" width="10.42578125" bestFit="1" customWidth="1"/>
    <col min="5737" max="5737" width="11.5703125" bestFit="1" customWidth="1"/>
    <col min="5738" max="5738" width="5.28515625" bestFit="1" customWidth="1"/>
    <col min="5739" max="5739" width="14.28515625" bestFit="1" customWidth="1"/>
    <col min="5740" max="5740" width="13" bestFit="1" customWidth="1"/>
    <col min="5741" max="5741" width="11.5703125" bestFit="1" customWidth="1"/>
    <col min="5742" max="5742" width="8.85546875" bestFit="1" customWidth="1"/>
    <col min="5743" max="5743" width="14.42578125" bestFit="1" customWidth="1"/>
    <col min="5744" max="5744" width="10.42578125" bestFit="1" customWidth="1"/>
    <col min="5745" max="5745" width="12.28515625" bestFit="1" customWidth="1"/>
    <col min="5746" max="5746" width="13.85546875" bestFit="1" customWidth="1"/>
    <col min="5747" max="5747" width="11.28515625" customWidth="1"/>
    <col min="5748" max="5748" width="11.5703125" customWidth="1"/>
    <col min="5749" max="5749" width="13.42578125" bestFit="1" customWidth="1"/>
    <col min="5750" max="5750" width="10.42578125" customWidth="1"/>
    <col min="5751" max="5751" width="13.85546875" bestFit="1" customWidth="1"/>
    <col min="5752" max="5752" width="15.42578125" bestFit="1" customWidth="1"/>
    <col min="5753" max="5753" width="12.28515625" bestFit="1" customWidth="1"/>
    <col min="5754" max="5754" width="12.7109375" customWidth="1"/>
    <col min="5755" max="5755" width="10.7109375" bestFit="1" customWidth="1"/>
    <col min="5756" max="5756" width="9.85546875" customWidth="1"/>
    <col min="5757" max="5758" width="10.140625" bestFit="1" customWidth="1"/>
    <col min="5759" max="5759" width="7.5703125" bestFit="1" customWidth="1"/>
    <col min="5760" max="5760" width="9.42578125" bestFit="1" customWidth="1"/>
    <col min="5761" max="5761" width="14.5703125" bestFit="1" customWidth="1"/>
    <col min="5762" max="5762" width="14.85546875" customWidth="1"/>
    <col min="5763" max="5763" width="15.140625" bestFit="1" customWidth="1"/>
    <col min="5764" max="5764" width="12.140625" bestFit="1" customWidth="1"/>
    <col min="5765" max="5765" width="14.85546875" bestFit="1" customWidth="1"/>
    <col min="5766" max="5766" width="12.28515625" bestFit="1" customWidth="1"/>
    <col min="5767" max="5775" width="9.140625" hidden="1" customWidth="1"/>
    <col min="5776" max="5776" width="5.28515625" bestFit="1" customWidth="1"/>
    <col min="5777" max="5782" width="11.5703125" bestFit="1" customWidth="1"/>
    <col min="5783" max="5783" width="11.28515625" bestFit="1" customWidth="1"/>
    <col min="5784" max="5784" width="10.140625" bestFit="1" customWidth="1"/>
    <col min="5785" max="5785" width="11.5703125" bestFit="1" customWidth="1"/>
    <col min="5786" max="5786" width="16.140625" customWidth="1"/>
    <col min="5787" max="5787" width="13.42578125" customWidth="1"/>
    <col min="5788" max="5788" width="10.140625" bestFit="1" customWidth="1"/>
    <col min="5789" max="5789" width="12.85546875" bestFit="1" customWidth="1"/>
    <col min="5790" max="5790" width="12.28515625" bestFit="1" customWidth="1"/>
    <col min="5791" max="5791" width="11.28515625" bestFit="1" customWidth="1"/>
    <col min="5792" max="5792" width="11.5703125" bestFit="1" customWidth="1"/>
    <col min="5793" max="5793" width="10.85546875" bestFit="1" customWidth="1"/>
    <col min="5794" max="5794" width="11.28515625" bestFit="1" customWidth="1"/>
    <col min="5795" max="5795" width="10.140625" bestFit="1" customWidth="1"/>
    <col min="5796" max="5796" width="13.28515625" bestFit="1" customWidth="1"/>
    <col min="5797" max="5798" width="12.7109375" bestFit="1" customWidth="1"/>
    <col min="5799" max="5799" width="11" bestFit="1" customWidth="1"/>
    <col min="5800" max="5800" width="11.28515625" bestFit="1" customWidth="1"/>
    <col min="5801" max="5801" width="11.5703125" bestFit="1" customWidth="1"/>
    <col min="5802" max="5802" width="12.28515625" bestFit="1" customWidth="1"/>
    <col min="5803" max="5803" width="15.140625" bestFit="1" customWidth="1"/>
    <col min="5804" max="5804" width="14.42578125" bestFit="1" customWidth="1"/>
    <col min="5805" max="5805" width="12.28515625" bestFit="1" customWidth="1"/>
    <col min="5806" max="5806" width="15.140625" bestFit="1" customWidth="1"/>
    <col min="5807" max="5807" width="14.42578125" bestFit="1" customWidth="1"/>
    <col min="5808" max="5808" width="12.28515625" bestFit="1" customWidth="1"/>
    <col min="5809" max="5809" width="14.42578125" bestFit="1" customWidth="1"/>
    <col min="5810" max="5810" width="11.28515625" bestFit="1" customWidth="1"/>
    <col min="5811" max="5811" width="12.28515625" bestFit="1" customWidth="1"/>
    <col min="5812" max="5812" width="13" bestFit="1" customWidth="1"/>
    <col min="5813" max="5813" width="15.140625" bestFit="1" customWidth="1"/>
    <col min="5814" max="5814" width="12.28515625" bestFit="1" customWidth="1"/>
    <col min="5815" max="5815" width="13.85546875" bestFit="1" customWidth="1"/>
    <col min="5816" max="5816" width="11.28515625" bestFit="1" customWidth="1"/>
    <col min="5817" max="5817" width="12.28515625" bestFit="1" customWidth="1"/>
    <col min="5818" max="5818" width="13.85546875" bestFit="1" customWidth="1"/>
    <col min="5819" max="5820" width="15.140625" bestFit="1" customWidth="1"/>
    <col min="5821" max="5821" width="12.28515625" bestFit="1" customWidth="1"/>
    <col min="5822" max="5822" width="5.7109375" bestFit="1" customWidth="1"/>
    <col min="5823" max="5823" width="8.5703125" bestFit="1" customWidth="1"/>
    <col min="5824" max="5824" width="5.5703125" bestFit="1" customWidth="1"/>
    <col min="5825" max="5825" width="14.42578125" bestFit="1" customWidth="1"/>
    <col min="5826" max="5826" width="11.28515625" bestFit="1" customWidth="1"/>
    <col min="5827" max="5828" width="12.28515625" bestFit="1" customWidth="1"/>
    <col min="5829" max="5829" width="11.28515625" bestFit="1" customWidth="1"/>
    <col min="5830" max="5830" width="13.85546875" bestFit="1" customWidth="1"/>
    <col min="5831" max="5831" width="12" bestFit="1" customWidth="1"/>
    <col min="5832" max="5832" width="13.85546875" bestFit="1" customWidth="1"/>
    <col min="5833" max="5834" width="14.42578125" customWidth="1"/>
    <col min="5835" max="5835" width="10.140625" bestFit="1" customWidth="1"/>
    <col min="5836" max="5836" width="12.28515625" bestFit="1" customWidth="1"/>
    <col min="5837" max="5837" width="7.42578125" bestFit="1" customWidth="1"/>
    <col min="5838" max="5838" width="8.5703125" bestFit="1" customWidth="1"/>
    <col min="5839" max="5839" width="11.5703125" bestFit="1" customWidth="1"/>
    <col min="5840" max="5840" width="13.28515625" bestFit="1" customWidth="1"/>
    <col min="5841" max="5841" width="13.28515625" customWidth="1"/>
    <col min="5842" max="5842" width="13.140625" customWidth="1"/>
    <col min="5843" max="5843" width="12.7109375" bestFit="1" customWidth="1"/>
    <col min="5844" max="5844" width="13.28515625" bestFit="1" customWidth="1"/>
    <col min="5845" max="5847" width="13.28515625" customWidth="1"/>
    <col min="5848" max="5848" width="12.140625" bestFit="1" customWidth="1"/>
    <col min="5849" max="5849" width="12.7109375" bestFit="1" customWidth="1"/>
    <col min="5850" max="5850" width="11" customWidth="1"/>
    <col min="5851" max="5851" width="16.7109375" customWidth="1"/>
    <col min="5852" max="5852" width="17" customWidth="1"/>
    <col min="5853" max="5853" width="10.42578125" bestFit="1" customWidth="1"/>
    <col min="5897" max="5897" width="3.85546875" customWidth="1"/>
    <col min="5898" max="5898" width="15.28515625" bestFit="1" customWidth="1"/>
    <col min="5899" max="5899" width="12.28515625" customWidth="1"/>
    <col min="5900" max="5900" width="16.28515625" bestFit="1" customWidth="1"/>
    <col min="5901" max="5901" width="6.42578125" bestFit="1" customWidth="1"/>
    <col min="5902" max="5902" width="9.28515625" bestFit="1" customWidth="1"/>
    <col min="5903" max="5903" width="7.5703125" bestFit="1" customWidth="1"/>
    <col min="5904" max="5904" width="13.28515625" bestFit="1" customWidth="1"/>
    <col min="5905" max="5905" width="9.28515625" bestFit="1" customWidth="1"/>
    <col min="5906" max="5906" width="11.5703125" bestFit="1" customWidth="1"/>
    <col min="5907" max="5907" width="13.28515625" bestFit="1" customWidth="1"/>
    <col min="5908" max="5908" width="7.140625" bestFit="1" customWidth="1"/>
    <col min="5909" max="5909" width="12" bestFit="1" customWidth="1"/>
    <col min="5910" max="5910" width="13.28515625" bestFit="1" customWidth="1"/>
    <col min="5911" max="5911" width="7" bestFit="1" customWidth="1"/>
    <col min="5912" max="5912" width="12.7109375" bestFit="1" customWidth="1"/>
    <col min="5913" max="5913" width="11.5703125" bestFit="1" customWidth="1"/>
    <col min="5914" max="5914" width="10.5703125" bestFit="1" customWidth="1"/>
    <col min="5915" max="5916" width="15.7109375" bestFit="1" customWidth="1"/>
    <col min="5917" max="5917" width="11.5703125" bestFit="1" customWidth="1"/>
    <col min="5918" max="5918" width="7.7109375" bestFit="1" customWidth="1"/>
    <col min="5919" max="5919" width="15.140625" bestFit="1" customWidth="1"/>
    <col min="5920" max="5920" width="11.5703125" bestFit="1" customWidth="1"/>
    <col min="5921" max="5921" width="13.28515625" bestFit="1" customWidth="1"/>
    <col min="5922" max="5922" width="10.42578125" bestFit="1" customWidth="1"/>
    <col min="5923" max="5923" width="13.28515625" bestFit="1" customWidth="1"/>
    <col min="5924" max="5924" width="12.140625" bestFit="1" customWidth="1"/>
    <col min="5925" max="5925" width="14.42578125" bestFit="1" customWidth="1"/>
    <col min="5926" max="5926" width="13.28515625" bestFit="1" customWidth="1"/>
    <col min="5927" max="5927" width="11.5703125" bestFit="1" customWidth="1"/>
    <col min="5928" max="5928" width="7.7109375" bestFit="1" customWidth="1"/>
    <col min="5929" max="5930" width="14.42578125" bestFit="1" customWidth="1"/>
    <col min="5931" max="5931" width="11.5703125" bestFit="1" customWidth="1"/>
    <col min="5932" max="5932" width="7.7109375" bestFit="1" customWidth="1"/>
    <col min="5933" max="5933" width="13.5703125" customWidth="1"/>
    <col min="5934" max="5934" width="15.28515625" customWidth="1"/>
    <col min="5935" max="5935" width="14.5703125" customWidth="1"/>
    <col min="5936" max="5936" width="13.28515625" bestFit="1" customWidth="1"/>
    <col min="5937" max="5937" width="7.7109375" bestFit="1" customWidth="1"/>
    <col min="5938" max="5938" width="12.7109375" bestFit="1" customWidth="1"/>
    <col min="5939" max="5939" width="11.7109375" bestFit="1" customWidth="1"/>
    <col min="5940" max="5940" width="11.5703125" bestFit="1" customWidth="1"/>
    <col min="5941" max="5941" width="5.28515625" bestFit="1" customWidth="1"/>
    <col min="5942" max="5942" width="13.28515625" bestFit="1" customWidth="1"/>
    <col min="5943" max="5943" width="13.5703125" bestFit="1" customWidth="1"/>
    <col min="5944" max="5944" width="10.5703125" bestFit="1" customWidth="1"/>
    <col min="5945" max="5945" width="13.28515625" bestFit="1" customWidth="1"/>
    <col min="5946" max="5946" width="11.5703125" bestFit="1" customWidth="1"/>
    <col min="5947" max="5947" width="10.5703125" bestFit="1" customWidth="1"/>
    <col min="5948" max="5948" width="16.140625" bestFit="1" customWidth="1"/>
    <col min="5949" max="5950" width="11.28515625" bestFit="1" customWidth="1"/>
    <col min="5951" max="5951" width="13.28515625" bestFit="1" customWidth="1"/>
    <col min="5952" max="5952" width="7.7109375" bestFit="1" customWidth="1"/>
    <col min="5953" max="5956" width="9.140625" hidden="1" customWidth="1"/>
    <col min="5957" max="5957" width="10.42578125" bestFit="1" customWidth="1"/>
    <col min="5958" max="5958" width="10.5703125" bestFit="1" customWidth="1"/>
    <col min="5959" max="5959" width="10.42578125" bestFit="1" customWidth="1"/>
    <col min="5960" max="5960" width="10.5703125" bestFit="1" customWidth="1"/>
    <col min="5961" max="5961" width="9.5703125" bestFit="1" customWidth="1"/>
    <col min="5962" max="5962" width="11.5703125" bestFit="1" customWidth="1"/>
    <col min="5963" max="5963" width="10.42578125" bestFit="1" customWidth="1"/>
    <col min="5964" max="5964" width="10.85546875" customWidth="1"/>
    <col min="5965" max="5966" width="9.85546875" bestFit="1" customWidth="1"/>
    <col min="5967" max="5967" width="13.5703125" bestFit="1" customWidth="1"/>
    <col min="5968" max="5968" width="7.7109375" bestFit="1" customWidth="1"/>
    <col min="5969" max="5969" width="13.28515625" bestFit="1" customWidth="1"/>
    <col min="5970" max="5970" width="11.5703125" bestFit="1" customWidth="1"/>
    <col min="5971" max="5971" width="10.42578125" bestFit="1" customWidth="1"/>
    <col min="5972" max="5972" width="7.7109375" bestFit="1" customWidth="1"/>
    <col min="5973" max="5973" width="11.5703125" bestFit="1" customWidth="1"/>
    <col min="5974" max="5974" width="10.85546875" bestFit="1" customWidth="1"/>
    <col min="5975" max="5975" width="13.28515625" bestFit="1" customWidth="1"/>
    <col min="5976" max="5976" width="10.85546875" bestFit="1" customWidth="1"/>
    <col min="5977" max="5978" width="7.5703125" bestFit="1" customWidth="1"/>
    <col min="5979" max="5980" width="10.42578125" bestFit="1" customWidth="1"/>
    <col min="5981" max="5981" width="11.5703125" bestFit="1" customWidth="1"/>
    <col min="5982" max="5982" width="5.28515625" bestFit="1" customWidth="1"/>
    <col min="5983" max="5983" width="10.28515625" bestFit="1" customWidth="1"/>
    <col min="5984" max="5984" width="10.42578125" bestFit="1" customWidth="1"/>
    <col min="5985" max="5985" width="11.5703125" bestFit="1" customWidth="1"/>
    <col min="5986" max="5986" width="5.28515625" bestFit="1" customWidth="1"/>
    <col min="5987" max="5989" width="11.5703125" bestFit="1" customWidth="1"/>
    <col min="5990" max="5990" width="5.28515625" bestFit="1" customWidth="1"/>
    <col min="5991" max="5992" width="10.42578125" bestFit="1" customWidth="1"/>
    <col min="5993" max="5993" width="11.5703125" bestFit="1" customWidth="1"/>
    <col min="5994" max="5994" width="5.28515625" bestFit="1" customWidth="1"/>
    <col min="5995" max="5995" width="14.28515625" bestFit="1" customWidth="1"/>
    <col min="5996" max="5996" width="13" bestFit="1" customWidth="1"/>
    <col min="5997" max="5997" width="11.5703125" bestFit="1" customWidth="1"/>
    <col min="5998" max="5998" width="8.85546875" bestFit="1" customWidth="1"/>
    <col min="5999" max="5999" width="14.42578125" bestFit="1" customWidth="1"/>
    <col min="6000" max="6000" width="10.42578125" bestFit="1" customWidth="1"/>
    <col min="6001" max="6001" width="12.28515625" bestFit="1" customWidth="1"/>
    <col min="6002" max="6002" width="13.85546875" bestFit="1" customWidth="1"/>
    <col min="6003" max="6003" width="11.28515625" customWidth="1"/>
    <col min="6004" max="6004" width="11.5703125" customWidth="1"/>
    <col min="6005" max="6005" width="13.42578125" bestFit="1" customWidth="1"/>
    <col min="6006" max="6006" width="10.42578125" customWidth="1"/>
    <col min="6007" max="6007" width="13.85546875" bestFit="1" customWidth="1"/>
    <col min="6008" max="6008" width="15.42578125" bestFit="1" customWidth="1"/>
    <col min="6009" max="6009" width="12.28515625" bestFit="1" customWidth="1"/>
    <col min="6010" max="6010" width="12.7109375" customWidth="1"/>
    <col min="6011" max="6011" width="10.7109375" bestFit="1" customWidth="1"/>
    <col min="6012" max="6012" width="9.85546875" customWidth="1"/>
    <col min="6013" max="6014" width="10.140625" bestFit="1" customWidth="1"/>
    <col min="6015" max="6015" width="7.5703125" bestFit="1" customWidth="1"/>
    <col min="6016" max="6016" width="9.42578125" bestFit="1" customWidth="1"/>
    <col min="6017" max="6017" width="14.5703125" bestFit="1" customWidth="1"/>
    <col min="6018" max="6018" width="14.85546875" customWidth="1"/>
    <col min="6019" max="6019" width="15.140625" bestFit="1" customWidth="1"/>
    <col min="6020" max="6020" width="12.140625" bestFit="1" customWidth="1"/>
    <col min="6021" max="6021" width="14.85546875" bestFit="1" customWidth="1"/>
    <col min="6022" max="6022" width="12.28515625" bestFit="1" customWidth="1"/>
    <col min="6023" max="6031" width="9.140625" hidden="1" customWidth="1"/>
    <col min="6032" max="6032" width="5.28515625" bestFit="1" customWidth="1"/>
    <col min="6033" max="6038" width="11.5703125" bestFit="1" customWidth="1"/>
    <col min="6039" max="6039" width="11.28515625" bestFit="1" customWidth="1"/>
    <col min="6040" max="6040" width="10.140625" bestFit="1" customWidth="1"/>
    <col min="6041" max="6041" width="11.5703125" bestFit="1" customWidth="1"/>
    <col min="6042" max="6042" width="16.140625" customWidth="1"/>
    <col min="6043" max="6043" width="13.42578125" customWidth="1"/>
    <col min="6044" max="6044" width="10.140625" bestFit="1" customWidth="1"/>
    <col min="6045" max="6045" width="12.85546875" bestFit="1" customWidth="1"/>
    <col min="6046" max="6046" width="12.28515625" bestFit="1" customWidth="1"/>
    <col min="6047" max="6047" width="11.28515625" bestFit="1" customWidth="1"/>
    <col min="6048" max="6048" width="11.5703125" bestFit="1" customWidth="1"/>
    <col min="6049" max="6049" width="10.85546875" bestFit="1" customWidth="1"/>
    <col min="6050" max="6050" width="11.28515625" bestFit="1" customWidth="1"/>
    <col min="6051" max="6051" width="10.140625" bestFit="1" customWidth="1"/>
    <col min="6052" max="6052" width="13.28515625" bestFit="1" customWidth="1"/>
    <col min="6053" max="6054" width="12.7109375" bestFit="1" customWidth="1"/>
    <col min="6055" max="6055" width="11" bestFit="1" customWidth="1"/>
    <col min="6056" max="6056" width="11.28515625" bestFit="1" customWidth="1"/>
    <col min="6057" max="6057" width="11.5703125" bestFit="1" customWidth="1"/>
    <col min="6058" max="6058" width="12.28515625" bestFit="1" customWidth="1"/>
    <col min="6059" max="6059" width="15.140625" bestFit="1" customWidth="1"/>
    <col min="6060" max="6060" width="14.42578125" bestFit="1" customWidth="1"/>
    <col min="6061" max="6061" width="12.28515625" bestFit="1" customWidth="1"/>
    <col min="6062" max="6062" width="15.140625" bestFit="1" customWidth="1"/>
    <col min="6063" max="6063" width="14.42578125" bestFit="1" customWidth="1"/>
    <col min="6064" max="6064" width="12.28515625" bestFit="1" customWidth="1"/>
    <col min="6065" max="6065" width="14.42578125" bestFit="1" customWidth="1"/>
    <col min="6066" max="6066" width="11.28515625" bestFit="1" customWidth="1"/>
    <col min="6067" max="6067" width="12.28515625" bestFit="1" customWidth="1"/>
    <col min="6068" max="6068" width="13" bestFit="1" customWidth="1"/>
    <col min="6069" max="6069" width="15.140625" bestFit="1" customWidth="1"/>
    <col min="6070" max="6070" width="12.28515625" bestFit="1" customWidth="1"/>
    <col min="6071" max="6071" width="13.85546875" bestFit="1" customWidth="1"/>
    <col min="6072" max="6072" width="11.28515625" bestFit="1" customWidth="1"/>
    <col min="6073" max="6073" width="12.28515625" bestFit="1" customWidth="1"/>
    <col min="6074" max="6074" width="13.85546875" bestFit="1" customWidth="1"/>
    <col min="6075" max="6076" width="15.140625" bestFit="1" customWidth="1"/>
    <col min="6077" max="6077" width="12.28515625" bestFit="1" customWidth="1"/>
    <col min="6078" max="6078" width="5.7109375" bestFit="1" customWidth="1"/>
    <col min="6079" max="6079" width="8.5703125" bestFit="1" customWidth="1"/>
    <col min="6080" max="6080" width="5.5703125" bestFit="1" customWidth="1"/>
    <col min="6081" max="6081" width="14.42578125" bestFit="1" customWidth="1"/>
    <col min="6082" max="6082" width="11.28515625" bestFit="1" customWidth="1"/>
    <col min="6083" max="6084" width="12.28515625" bestFit="1" customWidth="1"/>
    <col min="6085" max="6085" width="11.28515625" bestFit="1" customWidth="1"/>
    <col min="6086" max="6086" width="13.85546875" bestFit="1" customWidth="1"/>
    <col min="6087" max="6087" width="12" bestFit="1" customWidth="1"/>
    <col min="6088" max="6088" width="13.85546875" bestFit="1" customWidth="1"/>
    <col min="6089" max="6090" width="14.42578125" customWidth="1"/>
    <col min="6091" max="6091" width="10.140625" bestFit="1" customWidth="1"/>
    <col min="6092" max="6092" width="12.28515625" bestFit="1" customWidth="1"/>
    <col min="6093" max="6093" width="7.42578125" bestFit="1" customWidth="1"/>
    <col min="6094" max="6094" width="8.5703125" bestFit="1" customWidth="1"/>
    <col min="6095" max="6095" width="11.5703125" bestFit="1" customWidth="1"/>
    <col min="6096" max="6096" width="13.28515625" bestFit="1" customWidth="1"/>
    <col min="6097" max="6097" width="13.28515625" customWidth="1"/>
    <col min="6098" max="6098" width="13.140625" customWidth="1"/>
    <col min="6099" max="6099" width="12.7109375" bestFit="1" customWidth="1"/>
    <col min="6100" max="6100" width="13.28515625" bestFit="1" customWidth="1"/>
    <col min="6101" max="6103" width="13.28515625" customWidth="1"/>
    <col min="6104" max="6104" width="12.140625" bestFit="1" customWidth="1"/>
    <col min="6105" max="6105" width="12.7109375" bestFit="1" customWidth="1"/>
    <col min="6106" max="6106" width="11" customWidth="1"/>
    <col min="6107" max="6107" width="16.7109375" customWidth="1"/>
    <col min="6108" max="6108" width="17" customWidth="1"/>
    <col min="6109" max="6109" width="10.42578125" bestFit="1" customWidth="1"/>
    <col min="6153" max="6153" width="3.85546875" customWidth="1"/>
    <col min="6154" max="6154" width="15.28515625" bestFit="1" customWidth="1"/>
    <col min="6155" max="6155" width="12.28515625" customWidth="1"/>
    <col min="6156" max="6156" width="16.28515625" bestFit="1" customWidth="1"/>
    <col min="6157" max="6157" width="6.42578125" bestFit="1" customWidth="1"/>
    <col min="6158" max="6158" width="9.28515625" bestFit="1" customWidth="1"/>
    <col min="6159" max="6159" width="7.5703125" bestFit="1" customWidth="1"/>
    <col min="6160" max="6160" width="13.28515625" bestFit="1" customWidth="1"/>
    <col min="6161" max="6161" width="9.28515625" bestFit="1" customWidth="1"/>
    <col min="6162" max="6162" width="11.5703125" bestFit="1" customWidth="1"/>
    <col min="6163" max="6163" width="13.28515625" bestFit="1" customWidth="1"/>
    <col min="6164" max="6164" width="7.140625" bestFit="1" customWidth="1"/>
    <col min="6165" max="6165" width="12" bestFit="1" customWidth="1"/>
    <col min="6166" max="6166" width="13.28515625" bestFit="1" customWidth="1"/>
    <col min="6167" max="6167" width="7" bestFit="1" customWidth="1"/>
    <col min="6168" max="6168" width="12.7109375" bestFit="1" customWidth="1"/>
    <col min="6169" max="6169" width="11.5703125" bestFit="1" customWidth="1"/>
    <col min="6170" max="6170" width="10.5703125" bestFit="1" customWidth="1"/>
    <col min="6171" max="6172" width="15.7109375" bestFit="1" customWidth="1"/>
    <col min="6173" max="6173" width="11.5703125" bestFit="1" customWidth="1"/>
    <col min="6174" max="6174" width="7.7109375" bestFit="1" customWidth="1"/>
    <col min="6175" max="6175" width="15.140625" bestFit="1" customWidth="1"/>
    <col min="6176" max="6176" width="11.5703125" bestFit="1" customWidth="1"/>
    <col min="6177" max="6177" width="13.28515625" bestFit="1" customWidth="1"/>
    <col min="6178" max="6178" width="10.42578125" bestFit="1" customWidth="1"/>
    <col min="6179" max="6179" width="13.28515625" bestFit="1" customWidth="1"/>
    <col min="6180" max="6180" width="12.140625" bestFit="1" customWidth="1"/>
    <col min="6181" max="6181" width="14.42578125" bestFit="1" customWidth="1"/>
    <col min="6182" max="6182" width="13.28515625" bestFit="1" customWidth="1"/>
    <col min="6183" max="6183" width="11.5703125" bestFit="1" customWidth="1"/>
    <col min="6184" max="6184" width="7.7109375" bestFit="1" customWidth="1"/>
    <col min="6185" max="6186" width="14.42578125" bestFit="1" customWidth="1"/>
    <col min="6187" max="6187" width="11.5703125" bestFit="1" customWidth="1"/>
    <col min="6188" max="6188" width="7.7109375" bestFit="1" customWidth="1"/>
    <col min="6189" max="6189" width="13.5703125" customWidth="1"/>
    <col min="6190" max="6190" width="15.28515625" customWidth="1"/>
    <col min="6191" max="6191" width="14.5703125" customWidth="1"/>
    <col min="6192" max="6192" width="13.28515625" bestFit="1" customWidth="1"/>
    <col min="6193" max="6193" width="7.7109375" bestFit="1" customWidth="1"/>
    <col min="6194" max="6194" width="12.7109375" bestFit="1" customWidth="1"/>
    <col min="6195" max="6195" width="11.7109375" bestFit="1" customWidth="1"/>
    <col min="6196" max="6196" width="11.5703125" bestFit="1" customWidth="1"/>
    <col min="6197" max="6197" width="5.28515625" bestFit="1" customWidth="1"/>
    <col min="6198" max="6198" width="13.28515625" bestFit="1" customWidth="1"/>
    <col min="6199" max="6199" width="13.5703125" bestFit="1" customWidth="1"/>
    <col min="6200" max="6200" width="10.5703125" bestFit="1" customWidth="1"/>
    <col min="6201" max="6201" width="13.28515625" bestFit="1" customWidth="1"/>
    <col min="6202" max="6202" width="11.5703125" bestFit="1" customWidth="1"/>
    <col min="6203" max="6203" width="10.5703125" bestFit="1" customWidth="1"/>
    <col min="6204" max="6204" width="16.140625" bestFit="1" customWidth="1"/>
    <col min="6205" max="6206" width="11.28515625" bestFit="1" customWidth="1"/>
    <col min="6207" max="6207" width="13.28515625" bestFit="1" customWidth="1"/>
    <col min="6208" max="6208" width="7.7109375" bestFit="1" customWidth="1"/>
    <col min="6209" max="6212" width="9.140625" hidden="1" customWidth="1"/>
    <col min="6213" max="6213" width="10.42578125" bestFit="1" customWidth="1"/>
    <col min="6214" max="6214" width="10.5703125" bestFit="1" customWidth="1"/>
    <col min="6215" max="6215" width="10.42578125" bestFit="1" customWidth="1"/>
    <col min="6216" max="6216" width="10.5703125" bestFit="1" customWidth="1"/>
    <col min="6217" max="6217" width="9.5703125" bestFit="1" customWidth="1"/>
    <col min="6218" max="6218" width="11.5703125" bestFit="1" customWidth="1"/>
    <col min="6219" max="6219" width="10.42578125" bestFit="1" customWidth="1"/>
    <col min="6220" max="6220" width="10.85546875" customWidth="1"/>
    <col min="6221" max="6222" width="9.85546875" bestFit="1" customWidth="1"/>
    <col min="6223" max="6223" width="13.5703125" bestFit="1" customWidth="1"/>
    <col min="6224" max="6224" width="7.7109375" bestFit="1" customWidth="1"/>
    <col min="6225" max="6225" width="13.28515625" bestFit="1" customWidth="1"/>
    <col min="6226" max="6226" width="11.5703125" bestFit="1" customWidth="1"/>
    <col min="6227" max="6227" width="10.42578125" bestFit="1" customWidth="1"/>
    <col min="6228" max="6228" width="7.7109375" bestFit="1" customWidth="1"/>
    <col min="6229" max="6229" width="11.5703125" bestFit="1" customWidth="1"/>
    <col min="6230" max="6230" width="10.85546875" bestFit="1" customWidth="1"/>
    <col min="6231" max="6231" width="13.28515625" bestFit="1" customWidth="1"/>
    <col min="6232" max="6232" width="10.85546875" bestFit="1" customWidth="1"/>
    <col min="6233" max="6234" width="7.5703125" bestFit="1" customWidth="1"/>
    <col min="6235" max="6236" width="10.42578125" bestFit="1" customWidth="1"/>
    <col min="6237" max="6237" width="11.5703125" bestFit="1" customWidth="1"/>
    <col min="6238" max="6238" width="5.28515625" bestFit="1" customWidth="1"/>
    <col min="6239" max="6239" width="10.28515625" bestFit="1" customWidth="1"/>
    <col min="6240" max="6240" width="10.42578125" bestFit="1" customWidth="1"/>
    <col min="6241" max="6241" width="11.5703125" bestFit="1" customWidth="1"/>
    <col min="6242" max="6242" width="5.28515625" bestFit="1" customWidth="1"/>
    <col min="6243" max="6245" width="11.5703125" bestFit="1" customWidth="1"/>
    <col min="6246" max="6246" width="5.28515625" bestFit="1" customWidth="1"/>
    <col min="6247" max="6248" width="10.42578125" bestFit="1" customWidth="1"/>
    <col min="6249" max="6249" width="11.5703125" bestFit="1" customWidth="1"/>
    <col min="6250" max="6250" width="5.28515625" bestFit="1" customWidth="1"/>
    <col min="6251" max="6251" width="14.28515625" bestFit="1" customWidth="1"/>
    <col min="6252" max="6252" width="13" bestFit="1" customWidth="1"/>
    <col min="6253" max="6253" width="11.5703125" bestFit="1" customWidth="1"/>
    <col min="6254" max="6254" width="8.85546875" bestFit="1" customWidth="1"/>
    <col min="6255" max="6255" width="14.42578125" bestFit="1" customWidth="1"/>
    <col min="6256" max="6256" width="10.42578125" bestFit="1" customWidth="1"/>
    <col min="6257" max="6257" width="12.28515625" bestFit="1" customWidth="1"/>
    <col min="6258" max="6258" width="13.85546875" bestFit="1" customWidth="1"/>
    <col min="6259" max="6259" width="11.28515625" customWidth="1"/>
    <col min="6260" max="6260" width="11.5703125" customWidth="1"/>
    <col min="6261" max="6261" width="13.42578125" bestFit="1" customWidth="1"/>
    <col min="6262" max="6262" width="10.42578125" customWidth="1"/>
    <col min="6263" max="6263" width="13.85546875" bestFit="1" customWidth="1"/>
    <col min="6264" max="6264" width="15.42578125" bestFit="1" customWidth="1"/>
    <col min="6265" max="6265" width="12.28515625" bestFit="1" customWidth="1"/>
    <col min="6266" max="6266" width="12.7109375" customWidth="1"/>
    <col min="6267" max="6267" width="10.7109375" bestFit="1" customWidth="1"/>
    <col min="6268" max="6268" width="9.85546875" customWidth="1"/>
    <col min="6269" max="6270" width="10.140625" bestFit="1" customWidth="1"/>
    <col min="6271" max="6271" width="7.5703125" bestFit="1" customWidth="1"/>
    <col min="6272" max="6272" width="9.42578125" bestFit="1" customWidth="1"/>
    <col min="6273" max="6273" width="14.5703125" bestFit="1" customWidth="1"/>
    <col min="6274" max="6274" width="14.85546875" customWidth="1"/>
    <col min="6275" max="6275" width="15.140625" bestFit="1" customWidth="1"/>
    <col min="6276" max="6276" width="12.140625" bestFit="1" customWidth="1"/>
    <col min="6277" max="6277" width="14.85546875" bestFit="1" customWidth="1"/>
    <col min="6278" max="6278" width="12.28515625" bestFit="1" customWidth="1"/>
    <col min="6279" max="6287" width="9.140625" hidden="1" customWidth="1"/>
    <col min="6288" max="6288" width="5.28515625" bestFit="1" customWidth="1"/>
    <col min="6289" max="6294" width="11.5703125" bestFit="1" customWidth="1"/>
    <col min="6295" max="6295" width="11.28515625" bestFit="1" customWidth="1"/>
    <col min="6296" max="6296" width="10.140625" bestFit="1" customWidth="1"/>
    <col min="6297" max="6297" width="11.5703125" bestFit="1" customWidth="1"/>
    <col min="6298" max="6298" width="16.140625" customWidth="1"/>
    <col min="6299" max="6299" width="13.42578125" customWidth="1"/>
    <col min="6300" max="6300" width="10.140625" bestFit="1" customWidth="1"/>
    <col min="6301" max="6301" width="12.85546875" bestFit="1" customWidth="1"/>
    <col min="6302" max="6302" width="12.28515625" bestFit="1" customWidth="1"/>
    <col min="6303" max="6303" width="11.28515625" bestFit="1" customWidth="1"/>
    <col min="6304" max="6304" width="11.5703125" bestFit="1" customWidth="1"/>
    <col min="6305" max="6305" width="10.85546875" bestFit="1" customWidth="1"/>
    <col min="6306" max="6306" width="11.28515625" bestFit="1" customWidth="1"/>
    <col min="6307" max="6307" width="10.140625" bestFit="1" customWidth="1"/>
    <col min="6308" max="6308" width="13.28515625" bestFit="1" customWidth="1"/>
    <col min="6309" max="6310" width="12.7109375" bestFit="1" customWidth="1"/>
    <col min="6311" max="6311" width="11" bestFit="1" customWidth="1"/>
    <col min="6312" max="6312" width="11.28515625" bestFit="1" customWidth="1"/>
    <col min="6313" max="6313" width="11.5703125" bestFit="1" customWidth="1"/>
    <col min="6314" max="6314" width="12.28515625" bestFit="1" customWidth="1"/>
    <col min="6315" max="6315" width="15.140625" bestFit="1" customWidth="1"/>
    <col min="6316" max="6316" width="14.42578125" bestFit="1" customWidth="1"/>
    <col min="6317" max="6317" width="12.28515625" bestFit="1" customWidth="1"/>
    <col min="6318" max="6318" width="15.140625" bestFit="1" customWidth="1"/>
    <col min="6319" max="6319" width="14.42578125" bestFit="1" customWidth="1"/>
    <col min="6320" max="6320" width="12.28515625" bestFit="1" customWidth="1"/>
    <col min="6321" max="6321" width="14.42578125" bestFit="1" customWidth="1"/>
    <col min="6322" max="6322" width="11.28515625" bestFit="1" customWidth="1"/>
    <col min="6323" max="6323" width="12.28515625" bestFit="1" customWidth="1"/>
    <col min="6324" max="6324" width="13" bestFit="1" customWidth="1"/>
    <col min="6325" max="6325" width="15.140625" bestFit="1" customWidth="1"/>
    <col min="6326" max="6326" width="12.28515625" bestFit="1" customWidth="1"/>
    <col min="6327" max="6327" width="13.85546875" bestFit="1" customWidth="1"/>
    <col min="6328" max="6328" width="11.28515625" bestFit="1" customWidth="1"/>
    <col min="6329" max="6329" width="12.28515625" bestFit="1" customWidth="1"/>
    <col min="6330" max="6330" width="13.85546875" bestFit="1" customWidth="1"/>
    <col min="6331" max="6332" width="15.140625" bestFit="1" customWidth="1"/>
    <col min="6333" max="6333" width="12.28515625" bestFit="1" customWidth="1"/>
    <col min="6334" max="6334" width="5.7109375" bestFit="1" customWidth="1"/>
    <col min="6335" max="6335" width="8.5703125" bestFit="1" customWidth="1"/>
    <col min="6336" max="6336" width="5.5703125" bestFit="1" customWidth="1"/>
    <col min="6337" max="6337" width="14.42578125" bestFit="1" customWidth="1"/>
    <col min="6338" max="6338" width="11.28515625" bestFit="1" customWidth="1"/>
    <col min="6339" max="6340" width="12.28515625" bestFit="1" customWidth="1"/>
    <col min="6341" max="6341" width="11.28515625" bestFit="1" customWidth="1"/>
    <col min="6342" max="6342" width="13.85546875" bestFit="1" customWidth="1"/>
    <col min="6343" max="6343" width="12" bestFit="1" customWidth="1"/>
    <col min="6344" max="6344" width="13.85546875" bestFit="1" customWidth="1"/>
    <col min="6345" max="6346" width="14.42578125" customWidth="1"/>
    <col min="6347" max="6347" width="10.140625" bestFit="1" customWidth="1"/>
    <col min="6348" max="6348" width="12.28515625" bestFit="1" customWidth="1"/>
    <col min="6349" max="6349" width="7.42578125" bestFit="1" customWidth="1"/>
    <col min="6350" max="6350" width="8.5703125" bestFit="1" customWidth="1"/>
    <col min="6351" max="6351" width="11.5703125" bestFit="1" customWidth="1"/>
    <col min="6352" max="6352" width="13.28515625" bestFit="1" customWidth="1"/>
    <col min="6353" max="6353" width="13.28515625" customWidth="1"/>
    <col min="6354" max="6354" width="13.140625" customWidth="1"/>
    <col min="6355" max="6355" width="12.7109375" bestFit="1" customWidth="1"/>
    <col min="6356" max="6356" width="13.28515625" bestFit="1" customWidth="1"/>
    <col min="6357" max="6359" width="13.28515625" customWidth="1"/>
    <col min="6360" max="6360" width="12.140625" bestFit="1" customWidth="1"/>
    <col min="6361" max="6361" width="12.7109375" bestFit="1" customWidth="1"/>
    <col min="6362" max="6362" width="11" customWidth="1"/>
    <col min="6363" max="6363" width="16.7109375" customWidth="1"/>
    <col min="6364" max="6364" width="17" customWidth="1"/>
    <col min="6365" max="6365" width="10.42578125" bestFit="1" customWidth="1"/>
    <col min="6409" max="6409" width="3.85546875" customWidth="1"/>
    <col min="6410" max="6410" width="15.28515625" bestFit="1" customWidth="1"/>
    <col min="6411" max="6411" width="12.28515625" customWidth="1"/>
    <col min="6412" max="6412" width="16.28515625" bestFit="1" customWidth="1"/>
    <col min="6413" max="6413" width="6.42578125" bestFit="1" customWidth="1"/>
    <col min="6414" max="6414" width="9.28515625" bestFit="1" customWidth="1"/>
    <col min="6415" max="6415" width="7.5703125" bestFit="1" customWidth="1"/>
    <col min="6416" max="6416" width="13.28515625" bestFit="1" customWidth="1"/>
    <col min="6417" max="6417" width="9.28515625" bestFit="1" customWidth="1"/>
    <col min="6418" max="6418" width="11.5703125" bestFit="1" customWidth="1"/>
    <col min="6419" max="6419" width="13.28515625" bestFit="1" customWidth="1"/>
    <col min="6420" max="6420" width="7.140625" bestFit="1" customWidth="1"/>
    <col min="6421" max="6421" width="12" bestFit="1" customWidth="1"/>
    <col min="6422" max="6422" width="13.28515625" bestFit="1" customWidth="1"/>
    <col min="6423" max="6423" width="7" bestFit="1" customWidth="1"/>
    <col min="6424" max="6424" width="12.7109375" bestFit="1" customWidth="1"/>
    <col min="6425" max="6425" width="11.5703125" bestFit="1" customWidth="1"/>
    <col min="6426" max="6426" width="10.5703125" bestFit="1" customWidth="1"/>
    <col min="6427" max="6428" width="15.7109375" bestFit="1" customWidth="1"/>
    <col min="6429" max="6429" width="11.5703125" bestFit="1" customWidth="1"/>
    <col min="6430" max="6430" width="7.7109375" bestFit="1" customWidth="1"/>
    <col min="6431" max="6431" width="15.140625" bestFit="1" customWidth="1"/>
    <col min="6432" max="6432" width="11.5703125" bestFit="1" customWidth="1"/>
    <col min="6433" max="6433" width="13.28515625" bestFit="1" customWidth="1"/>
    <col min="6434" max="6434" width="10.42578125" bestFit="1" customWidth="1"/>
    <col min="6435" max="6435" width="13.28515625" bestFit="1" customWidth="1"/>
    <col min="6436" max="6436" width="12.140625" bestFit="1" customWidth="1"/>
    <col min="6437" max="6437" width="14.42578125" bestFit="1" customWidth="1"/>
    <col min="6438" max="6438" width="13.28515625" bestFit="1" customWidth="1"/>
    <col min="6439" max="6439" width="11.5703125" bestFit="1" customWidth="1"/>
    <col min="6440" max="6440" width="7.7109375" bestFit="1" customWidth="1"/>
    <col min="6441" max="6442" width="14.42578125" bestFit="1" customWidth="1"/>
    <col min="6443" max="6443" width="11.5703125" bestFit="1" customWidth="1"/>
    <col min="6444" max="6444" width="7.7109375" bestFit="1" customWidth="1"/>
    <col min="6445" max="6445" width="13.5703125" customWidth="1"/>
    <col min="6446" max="6446" width="15.28515625" customWidth="1"/>
    <col min="6447" max="6447" width="14.5703125" customWidth="1"/>
    <col min="6448" max="6448" width="13.28515625" bestFit="1" customWidth="1"/>
    <col min="6449" max="6449" width="7.7109375" bestFit="1" customWidth="1"/>
    <col min="6450" max="6450" width="12.7109375" bestFit="1" customWidth="1"/>
    <col min="6451" max="6451" width="11.7109375" bestFit="1" customWidth="1"/>
    <col min="6452" max="6452" width="11.5703125" bestFit="1" customWidth="1"/>
    <col min="6453" max="6453" width="5.28515625" bestFit="1" customWidth="1"/>
    <col min="6454" max="6454" width="13.28515625" bestFit="1" customWidth="1"/>
    <col min="6455" max="6455" width="13.5703125" bestFit="1" customWidth="1"/>
    <col min="6456" max="6456" width="10.5703125" bestFit="1" customWidth="1"/>
    <col min="6457" max="6457" width="13.28515625" bestFit="1" customWidth="1"/>
    <col min="6458" max="6458" width="11.5703125" bestFit="1" customWidth="1"/>
    <col min="6459" max="6459" width="10.5703125" bestFit="1" customWidth="1"/>
    <col min="6460" max="6460" width="16.140625" bestFit="1" customWidth="1"/>
    <col min="6461" max="6462" width="11.28515625" bestFit="1" customWidth="1"/>
    <col min="6463" max="6463" width="13.28515625" bestFit="1" customWidth="1"/>
    <col min="6464" max="6464" width="7.7109375" bestFit="1" customWidth="1"/>
    <col min="6465" max="6468" width="9.140625" hidden="1" customWidth="1"/>
    <col min="6469" max="6469" width="10.42578125" bestFit="1" customWidth="1"/>
    <col min="6470" max="6470" width="10.5703125" bestFit="1" customWidth="1"/>
    <col min="6471" max="6471" width="10.42578125" bestFit="1" customWidth="1"/>
    <col min="6472" max="6472" width="10.5703125" bestFit="1" customWidth="1"/>
    <col min="6473" max="6473" width="9.5703125" bestFit="1" customWidth="1"/>
    <col min="6474" max="6474" width="11.5703125" bestFit="1" customWidth="1"/>
    <col min="6475" max="6475" width="10.42578125" bestFit="1" customWidth="1"/>
    <col min="6476" max="6476" width="10.85546875" customWidth="1"/>
    <col min="6477" max="6478" width="9.85546875" bestFit="1" customWidth="1"/>
    <col min="6479" max="6479" width="13.5703125" bestFit="1" customWidth="1"/>
    <col min="6480" max="6480" width="7.7109375" bestFit="1" customWidth="1"/>
    <col min="6481" max="6481" width="13.28515625" bestFit="1" customWidth="1"/>
    <col min="6482" max="6482" width="11.5703125" bestFit="1" customWidth="1"/>
    <col min="6483" max="6483" width="10.42578125" bestFit="1" customWidth="1"/>
    <col min="6484" max="6484" width="7.7109375" bestFit="1" customWidth="1"/>
    <col min="6485" max="6485" width="11.5703125" bestFit="1" customWidth="1"/>
    <col min="6486" max="6486" width="10.85546875" bestFit="1" customWidth="1"/>
    <col min="6487" max="6487" width="13.28515625" bestFit="1" customWidth="1"/>
    <col min="6488" max="6488" width="10.85546875" bestFit="1" customWidth="1"/>
    <col min="6489" max="6490" width="7.5703125" bestFit="1" customWidth="1"/>
    <col min="6491" max="6492" width="10.42578125" bestFit="1" customWidth="1"/>
    <col min="6493" max="6493" width="11.5703125" bestFit="1" customWidth="1"/>
    <col min="6494" max="6494" width="5.28515625" bestFit="1" customWidth="1"/>
    <col min="6495" max="6495" width="10.28515625" bestFit="1" customWidth="1"/>
    <col min="6496" max="6496" width="10.42578125" bestFit="1" customWidth="1"/>
    <col min="6497" max="6497" width="11.5703125" bestFit="1" customWidth="1"/>
    <col min="6498" max="6498" width="5.28515625" bestFit="1" customWidth="1"/>
    <col min="6499" max="6501" width="11.5703125" bestFit="1" customWidth="1"/>
    <col min="6502" max="6502" width="5.28515625" bestFit="1" customWidth="1"/>
    <col min="6503" max="6504" width="10.42578125" bestFit="1" customWidth="1"/>
    <col min="6505" max="6505" width="11.5703125" bestFit="1" customWidth="1"/>
    <col min="6506" max="6506" width="5.28515625" bestFit="1" customWidth="1"/>
    <col min="6507" max="6507" width="14.28515625" bestFit="1" customWidth="1"/>
    <col min="6508" max="6508" width="13" bestFit="1" customWidth="1"/>
    <col min="6509" max="6509" width="11.5703125" bestFit="1" customWidth="1"/>
    <col min="6510" max="6510" width="8.85546875" bestFit="1" customWidth="1"/>
    <col min="6511" max="6511" width="14.42578125" bestFit="1" customWidth="1"/>
    <col min="6512" max="6512" width="10.42578125" bestFit="1" customWidth="1"/>
    <col min="6513" max="6513" width="12.28515625" bestFit="1" customWidth="1"/>
    <col min="6514" max="6514" width="13.85546875" bestFit="1" customWidth="1"/>
    <col min="6515" max="6515" width="11.28515625" customWidth="1"/>
    <col min="6516" max="6516" width="11.5703125" customWidth="1"/>
    <col min="6517" max="6517" width="13.42578125" bestFit="1" customWidth="1"/>
    <col min="6518" max="6518" width="10.42578125" customWidth="1"/>
    <col min="6519" max="6519" width="13.85546875" bestFit="1" customWidth="1"/>
    <col min="6520" max="6520" width="15.42578125" bestFit="1" customWidth="1"/>
    <col min="6521" max="6521" width="12.28515625" bestFit="1" customWidth="1"/>
    <col min="6522" max="6522" width="12.7109375" customWidth="1"/>
    <col min="6523" max="6523" width="10.7109375" bestFit="1" customWidth="1"/>
    <col min="6524" max="6524" width="9.85546875" customWidth="1"/>
    <col min="6525" max="6526" width="10.140625" bestFit="1" customWidth="1"/>
    <col min="6527" max="6527" width="7.5703125" bestFit="1" customWidth="1"/>
    <col min="6528" max="6528" width="9.42578125" bestFit="1" customWidth="1"/>
    <col min="6529" max="6529" width="14.5703125" bestFit="1" customWidth="1"/>
    <col min="6530" max="6530" width="14.85546875" customWidth="1"/>
    <col min="6531" max="6531" width="15.140625" bestFit="1" customWidth="1"/>
    <col min="6532" max="6532" width="12.140625" bestFit="1" customWidth="1"/>
    <col min="6533" max="6533" width="14.85546875" bestFit="1" customWidth="1"/>
    <col min="6534" max="6534" width="12.28515625" bestFit="1" customWidth="1"/>
    <col min="6535" max="6543" width="9.140625" hidden="1" customWidth="1"/>
    <col min="6544" max="6544" width="5.28515625" bestFit="1" customWidth="1"/>
    <col min="6545" max="6550" width="11.5703125" bestFit="1" customWidth="1"/>
    <col min="6551" max="6551" width="11.28515625" bestFit="1" customWidth="1"/>
    <col min="6552" max="6552" width="10.140625" bestFit="1" customWidth="1"/>
    <col min="6553" max="6553" width="11.5703125" bestFit="1" customWidth="1"/>
    <col min="6554" max="6554" width="16.140625" customWidth="1"/>
    <col min="6555" max="6555" width="13.42578125" customWidth="1"/>
    <col min="6556" max="6556" width="10.140625" bestFit="1" customWidth="1"/>
    <col min="6557" max="6557" width="12.85546875" bestFit="1" customWidth="1"/>
    <col min="6558" max="6558" width="12.28515625" bestFit="1" customWidth="1"/>
    <col min="6559" max="6559" width="11.28515625" bestFit="1" customWidth="1"/>
    <col min="6560" max="6560" width="11.5703125" bestFit="1" customWidth="1"/>
    <col min="6561" max="6561" width="10.85546875" bestFit="1" customWidth="1"/>
    <col min="6562" max="6562" width="11.28515625" bestFit="1" customWidth="1"/>
    <col min="6563" max="6563" width="10.140625" bestFit="1" customWidth="1"/>
    <col min="6564" max="6564" width="13.28515625" bestFit="1" customWidth="1"/>
    <col min="6565" max="6566" width="12.7109375" bestFit="1" customWidth="1"/>
    <col min="6567" max="6567" width="11" bestFit="1" customWidth="1"/>
    <col min="6568" max="6568" width="11.28515625" bestFit="1" customWidth="1"/>
    <col min="6569" max="6569" width="11.5703125" bestFit="1" customWidth="1"/>
    <col min="6570" max="6570" width="12.28515625" bestFit="1" customWidth="1"/>
    <col min="6571" max="6571" width="15.140625" bestFit="1" customWidth="1"/>
    <col min="6572" max="6572" width="14.42578125" bestFit="1" customWidth="1"/>
    <col min="6573" max="6573" width="12.28515625" bestFit="1" customWidth="1"/>
    <col min="6574" max="6574" width="15.140625" bestFit="1" customWidth="1"/>
    <col min="6575" max="6575" width="14.42578125" bestFit="1" customWidth="1"/>
    <col min="6576" max="6576" width="12.28515625" bestFit="1" customWidth="1"/>
    <col min="6577" max="6577" width="14.42578125" bestFit="1" customWidth="1"/>
    <col min="6578" max="6578" width="11.28515625" bestFit="1" customWidth="1"/>
    <col min="6579" max="6579" width="12.28515625" bestFit="1" customWidth="1"/>
    <col min="6580" max="6580" width="13" bestFit="1" customWidth="1"/>
    <col min="6581" max="6581" width="15.140625" bestFit="1" customWidth="1"/>
    <col min="6582" max="6582" width="12.28515625" bestFit="1" customWidth="1"/>
    <col min="6583" max="6583" width="13.85546875" bestFit="1" customWidth="1"/>
    <col min="6584" max="6584" width="11.28515625" bestFit="1" customWidth="1"/>
    <col min="6585" max="6585" width="12.28515625" bestFit="1" customWidth="1"/>
    <col min="6586" max="6586" width="13.85546875" bestFit="1" customWidth="1"/>
    <col min="6587" max="6588" width="15.140625" bestFit="1" customWidth="1"/>
    <col min="6589" max="6589" width="12.28515625" bestFit="1" customWidth="1"/>
    <col min="6590" max="6590" width="5.7109375" bestFit="1" customWidth="1"/>
    <col min="6591" max="6591" width="8.5703125" bestFit="1" customWidth="1"/>
    <col min="6592" max="6592" width="5.5703125" bestFit="1" customWidth="1"/>
    <col min="6593" max="6593" width="14.42578125" bestFit="1" customWidth="1"/>
    <col min="6594" max="6594" width="11.28515625" bestFit="1" customWidth="1"/>
    <col min="6595" max="6596" width="12.28515625" bestFit="1" customWidth="1"/>
    <col min="6597" max="6597" width="11.28515625" bestFit="1" customWidth="1"/>
    <col min="6598" max="6598" width="13.85546875" bestFit="1" customWidth="1"/>
    <col min="6599" max="6599" width="12" bestFit="1" customWidth="1"/>
    <col min="6600" max="6600" width="13.85546875" bestFit="1" customWidth="1"/>
    <col min="6601" max="6602" width="14.42578125" customWidth="1"/>
    <col min="6603" max="6603" width="10.140625" bestFit="1" customWidth="1"/>
    <col min="6604" max="6604" width="12.28515625" bestFit="1" customWidth="1"/>
    <col min="6605" max="6605" width="7.42578125" bestFit="1" customWidth="1"/>
    <col min="6606" max="6606" width="8.5703125" bestFit="1" customWidth="1"/>
    <col min="6607" max="6607" width="11.5703125" bestFit="1" customWidth="1"/>
    <col min="6608" max="6608" width="13.28515625" bestFit="1" customWidth="1"/>
    <col min="6609" max="6609" width="13.28515625" customWidth="1"/>
    <col min="6610" max="6610" width="13.140625" customWidth="1"/>
    <col min="6611" max="6611" width="12.7109375" bestFit="1" customWidth="1"/>
    <col min="6612" max="6612" width="13.28515625" bestFit="1" customWidth="1"/>
    <col min="6613" max="6615" width="13.28515625" customWidth="1"/>
    <col min="6616" max="6616" width="12.140625" bestFit="1" customWidth="1"/>
    <col min="6617" max="6617" width="12.7109375" bestFit="1" customWidth="1"/>
    <col min="6618" max="6618" width="11" customWidth="1"/>
    <col min="6619" max="6619" width="16.7109375" customWidth="1"/>
    <col min="6620" max="6620" width="17" customWidth="1"/>
    <col min="6621" max="6621" width="10.42578125" bestFit="1" customWidth="1"/>
    <col min="6665" max="6665" width="3.85546875" customWidth="1"/>
    <col min="6666" max="6666" width="15.28515625" bestFit="1" customWidth="1"/>
    <col min="6667" max="6667" width="12.28515625" customWidth="1"/>
    <col min="6668" max="6668" width="16.28515625" bestFit="1" customWidth="1"/>
    <col min="6669" max="6669" width="6.42578125" bestFit="1" customWidth="1"/>
    <col min="6670" max="6670" width="9.28515625" bestFit="1" customWidth="1"/>
    <col min="6671" max="6671" width="7.5703125" bestFit="1" customWidth="1"/>
    <col min="6672" max="6672" width="13.28515625" bestFit="1" customWidth="1"/>
    <col min="6673" max="6673" width="9.28515625" bestFit="1" customWidth="1"/>
    <col min="6674" max="6674" width="11.5703125" bestFit="1" customWidth="1"/>
    <col min="6675" max="6675" width="13.28515625" bestFit="1" customWidth="1"/>
    <col min="6676" max="6676" width="7.140625" bestFit="1" customWidth="1"/>
    <col min="6677" max="6677" width="12" bestFit="1" customWidth="1"/>
    <col min="6678" max="6678" width="13.28515625" bestFit="1" customWidth="1"/>
    <col min="6679" max="6679" width="7" bestFit="1" customWidth="1"/>
    <col min="6680" max="6680" width="12.7109375" bestFit="1" customWidth="1"/>
    <col min="6681" max="6681" width="11.5703125" bestFit="1" customWidth="1"/>
    <col min="6682" max="6682" width="10.5703125" bestFit="1" customWidth="1"/>
    <col min="6683" max="6684" width="15.7109375" bestFit="1" customWidth="1"/>
    <col min="6685" max="6685" width="11.5703125" bestFit="1" customWidth="1"/>
    <col min="6686" max="6686" width="7.7109375" bestFit="1" customWidth="1"/>
    <col min="6687" max="6687" width="15.140625" bestFit="1" customWidth="1"/>
    <col min="6688" max="6688" width="11.5703125" bestFit="1" customWidth="1"/>
    <col min="6689" max="6689" width="13.28515625" bestFit="1" customWidth="1"/>
    <col min="6690" max="6690" width="10.42578125" bestFit="1" customWidth="1"/>
    <col min="6691" max="6691" width="13.28515625" bestFit="1" customWidth="1"/>
    <col min="6692" max="6692" width="12.140625" bestFit="1" customWidth="1"/>
    <col min="6693" max="6693" width="14.42578125" bestFit="1" customWidth="1"/>
    <col min="6694" max="6694" width="13.28515625" bestFit="1" customWidth="1"/>
    <col min="6695" max="6695" width="11.5703125" bestFit="1" customWidth="1"/>
    <col min="6696" max="6696" width="7.7109375" bestFit="1" customWidth="1"/>
    <col min="6697" max="6698" width="14.42578125" bestFit="1" customWidth="1"/>
    <col min="6699" max="6699" width="11.5703125" bestFit="1" customWidth="1"/>
    <col min="6700" max="6700" width="7.7109375" bestFit="1" customWidth="1"/>
    <col min="6701" max="6701" width="13.5703125" customWidth="1"/>
    <col min="6702" max="6702" width="15.28515625" customWidth="1"/>
    <col min="6703" max="6703" width="14.5703125" customWidth="1"/>
    <col min="6704" max="6704" width="13.28515625" bestFit="1" customWidth="1"/>
    <col min="6705" max="6705" width="7.7109375" bestFit="1" customWidth="1"/>
    <col min="6706" max="6706" width="12.7109375" bestFit="1" customWidth="1"/>
    <col min="6707" max="6707" width="11.7109375" bestFit="1" customWidth="1"/>
    <col min="6708" max="6708" width="11.5703125" bestFit="1" customWidth="1"/>
    <col min="6709" max="6709" width="5.28515625" bestFit="1" customWidth="1"/>
    <col min="6710" max="6710" width="13.28515625" bestFit="1" customWidth="1"/>
    <col min="6711" max="6711" width="13.5703125" bestFit="1" customWidth="1"/>
    <col min="6712" max="6712" width="10.5703125" bestFit="1" customWidth="1"/>
    <col min="6713" max="6713" width="13.28515625" bestFit="1" customWidth="1"/>
    <col min="6714" max="6714" width="11.5703125" bestFit="1" customWidth="1"/>
    <col min="6715" max="6715" width="10.5703125" bestFit="1" customWidth="1"/>
    <col min="6716" max="6716" width="16.140625" bestFit="1" customWidth="1"/>
    <col min="6717" max="6718" width="11.28515625" bestFit="1" customWidth="1"/>
    <col min="6719" max="6719" width="13.28515625" bestFit="1" customWidth="1"/>
    <col min="6720" max="6720" width="7.7109375" bestFit="1" customWidth="1"/>
    <col min="6721" max="6724" width="9.140625" hidden="1" customWidth="1"/>
    <col min="6725" max="6725" width="10.42578125" bestFit="1" customWidth="1"/>
    <col min="6726" max="6726" width="10.5703125" bestFit="1" customWidth="1"/>
    <col min="6727" max="6727" width="10.42578125" bestFit="1" customWidth="1"/>
    <col min="6728" max="6728" width="10.5703125" bestFit="1" customWidth="1"/>
    <col min="6729" max="6729" width="9.5703125" bestFit="1" customWidth="1"/>
    <col min="6730" max="6730" width="11.5703125" bestFit="1" customWidth="1"/>
    <col min="6731" max="6731" width="10.42578125" bestFit="1" customWidth="1"/>
    <col min="6732" max="6732" width="10.85546875" customWidth="1"/>
    <col min="6733" max="6734" width="9.85546875" bestFit="1" customWidth="1"/>
    <col min="6735" max="6735" width="13.5703125" bestFit="1" customWidth="1"/>
    <col min="6736" max="6736" width="7.7109375" bestFit="1" customWidth="1"/>
    <col min="6737" max="6737" width="13.28515625" bestFit="1" customWidth="1"/>
    <col min="6738" max="6738" width="11.5703125" bestFit="1" customWidth="1"/>
    <col min="6739" max="6739" width="10.42578125" bestFit="1" customWidth="1"/>
    <col min="6740" max="6740" width="7.7109375" bestFit="1" customWidth="1"/>
    <col min="6741" max="6741" width="11.5703125" bestFit="1" customWidth="1"/>
    <col min="6742" max="6742" width="10.85546875" bestFit="1" customWidth="1"/>
    <col min="6743" max="6743" width="13.28515625" bestFit="1" customWidth="1"/>
    <col min="6744" max="6744" width="10.85546875" bestFit="1" customWidth="1"/>
    <col min="6745" max="6746" width="7.5703125" bestFit="1" customWidth="1"/>
    <col min="6747" max="6748" width="10.42578125" bestFit="1" customWidth="1"/>
    <col min="6749" max="6749" width="11.5703125" bestFit="1" customWidth="1"/>
    <col min="6750" max="6750" width="5.28515625" bestFit="1" customWidth="1"/>
    <col min="6751" max="6751" width="10.28515625" bestFit="1" customWidth="1"/>
    <col min="6752" max="6752" width="10.42578125" bestFit="1" customWidth="1"/>
    <col min="6753" max="6753" width="11.5703125" bestFit="1" customWidth="1"/>
    <col min="6754" max="6754" width="5.28515625" bestFit="1" customWidth="1"/>
    <col min="6755" max="6757" width="11.5703125" bestFit="1" customWidth="1"/>
    <col min="6758" max="6758" width="5.28515625" bestFit="1" customWidth="1"/>
    <col min="6759" max="6760" width="10.42578125" bestFit="1" customWidth="1"/>
    <col min="6761" max="6761" width="11.5703125" bestFit="1" customWidth="1"/>
    <col min="6762" max="6762" width="5.28515625" bestFit="1" customWidth="1"/>
    <col min="6763" max="6763" width="14.28515625" bestFit="1" customWidth="1"/>
    <col min="6764" max="6764" width="13" bestFit="1" customWidth="1"/>
    <col min="6765" max="6765" width="11.5703125" bestFit="1" customWidth="1"/>
    <col min="6766" max="6766" width="8.85546875" bestFit="1" customWidth="1"/>
    <col min="6767" max="6767" width="14.42578125" bestFit="1" customWidth="1"/>
    <col min="6768" max="6768" width="10.42578125" bestFit="1" customWidth="1"/>
    <col min="6769" max="6769" width="12.28515625" bestFit="1" customWidth="1"/>
    <col min="6770" max="6770" width="13.85546875" bestFit="1" customWidth="1"/>
    <col min="6771" max="6771" width="11.28515625" customWidth="1"/>
    <col min="6772" max="6772" width="11.5703125" customWidth="1"/>
    <col min="6773" max="6773" width="13.42578125" bestFit="1" customWidth="1"/>
    <col min="6774" max="6774" width="10.42578125" customWidth="1"/>
    <col min="6775" max="6775" width="13.85546875" bestFit="1" customWidth="1"/>
    <col min="6776" max="6776" width="15.42578125" bestFit="1" customWidth="1"/>
    <col min="6777" max="6777" width="12.28515625" bestFit="1" customWidth="1"/>
    <col min="6778" max="6778" width="12.7109375" customWidth="1"/>
    <col min="6779" max="6779" width="10.7109375" bestFit="1" customWidth="1"/>
    <col min="6780" max="6780" width="9.85546875" customWidth="1"/>
    <col min="6781" max="6782" width="10.140625" bestFit="1" customWidth="1"/>
    <col min="6783" max="6783" width="7.5703125" bestFit="1" customWidth="1"/>
    <col min="6784" max="6784" width="9.42578125" bestFit="1" customWidth="1"/>
    <col min="6785" max="6785" width="14.5703125" bestFit="1" customWidth="1"/>
    <col min="6786" max="6786" width="14.85546875" customWidth="1"/>
    <col min="6787" max="6787" width="15.140625" bestFit="1" customWidth="1"/>
    <col min="6788" max="6788" width="12.140625" bestFit="1" customWidth="1"/>
    <col min="6789" max="6789" width="14.85546875" bestFit="1" customWidth="1"/>
    <col min="6790" max="6790" width="12.28515625" bestFit="1" customWidth="1"/>
    <col min="6791" max="6799" width="9.140625" hidden="1" customWidth="1"/>
    <col min="6800" max="6800" width="5.28515625" bestFit="1" customWidth="1"/>
    <col min="6801" max="6806" width="11.5703125" bestFit="1" customWidth="1"/>
    <col min="6807" max="6807" width="11.28515625" bestFit="1" customWidth="1"/>
    <col min="6808" max="6808" width="10.140625" bestFit="1" customWidth="1"/>
    <col min="6809" max="6809" width="11.5703125" bestFit="1" customWidth="1"/>
    <col min="6810" max="6810" width="16.140625" customWidth="1"/>
    <col min="6811" max="6811" width="13.42578125" customWidth="1"/>
    <col min="6812" max="6812" width="10.140625" bestFit="1" customWidth="1"/>
    <col min="6813" max="6813" width="12.85546875" bestFit="1" customWidth="1"/>
    <col min="6814" max="6814" width="12.28515625" bestFit="1" customWidth="1"/>
    <col min="6815" max="6815" width="11.28515625" bestFit="1" customWidth="1"/>
    <col min="6816" max="6816" width="11.5703125" bestFit="1" customWidth="1"/>
    <col min="6817" max="6817" width="10.85546875" bestFit="1" customWidth="1"/>
    <col min="6818" max="6818" width="11.28515625" bestFit="1" customWidth="1"/>
    <col min="6819" max="6819" width="10.140625" bestFit="1" customWidth="1"/>
    <col min="6820" max="6820" width="13.28515625" bestFit="1" customWidth="1"/>
    <col min="6821" max="6822" width="12.7109375" bestFit="1" customWidth="1"/>
    <col min="6823" max="6823" width="11" bestFit="1" customWidth="1"/>
    <col min="6824" max="6824" width="11.28515625" bestFit="1" customWidth="1"/>
    <col min="6825" max="6825" width="11.5703125" bestFit="1" customWidth="1"/>
    <col min="6826" max="6826" width="12.28515625" bestFit="1" customWidth="1"/>
    <col min="6827" max="6827" width="15.140625" bestFit="1" customWidth="1"/>
    <col min="6828" max="6828" width="14.42578125" bestFit="1" customWidth="1"/>
    <col min="6829" max="6829" width="12.28515625" bestFit="1" customWidth="1"/>
    <col min="6830" max="6830" width="15.140625" bestFit="1" customWidth="1"/>
    <col min="6831" max="6831" width="14.42578125" bestFit="1" customWidth="1"/>
    <col min="6832" max="6832" width="12.28515625" bestFit="1" customWidth="1"/>
    <col min="6833" max="6833" width="14.42578125" bestFit="1" customWidth="1"/>
    <col min="6834" max="6834" width="11.28515625" bestFit="1" customWidth="1"/>
    <col min="6835" max="6835" width="12.28515625" bestFit="1" customWidth="1"/>
    <col min="6836" max="6836" width="13" bestFit="1" customWidth="1"/>
    <col min="6837" max="6837" width="15.140625" bestFit="1" customWidth="1"/>
    <col min="6838" max="6838" width="12.28515625" bestFit="1" customWidth="1"/>
    <col min="6839" max="6839" width="13.85546875" bestFit="1" customWidth="1"/>
    <col min="6840" max="6840" width="11.28515625" bestFit="1" customWidth="1"/>
    <col min="6841" max="6841" width="12.28515625" bestFit="1" customWidth="1"/>
    <col min="6842" max="6842" width="13.85546875" bestFit="1" customWidth="1"/>
    <col min="6843" max="6844" width="15.140625" bestFit="1" customWidth="1"/>
    <col min="6845" max="6845" width="12.28515625" bestFit="1" customWidth="1"/>
    <col min="6846" max="6846" width="5.7109375" bestFit="1" customWidth="1"/>
    <col min="6847" max="6847" width="8.5703125" bestFit="1" customWidth="1"/>
    <col min="6848" max="6848" width="5.5703125" bestFit="1" customWidth="1"/>
    <col min="6849" max="6849" width="14.42578125" bestFit="1" customWidth="1"/>
    <col min="6850" max="6850" width="11.28515625" bestFit="1" customWidth="1"/>
    <col min="6851" max="6852" width="12.28515625" bestFit="1" customWidth="1"/>
    <col min="6853" max="6853" width="11.28515625" bestFit="1" customWidth="1"/>
    <col min="6854" max="6854" width="13.85546875" bestFit="1" customWidth="1"/>
    <col min="6855" max="6855" width="12" bestFit="1" customWidth="1"/>
    <col min="6856" max="6856" width="13.85546875" bestFit="1" customWidth="1"/>
    <col min="6857" max="6858" width="14.42578125" customWidth="1"/>
    <col min="6859" max="6859" width="10.140625" bestFit="1" customWidth="1"/>
    <col min="6860" max="6860" width="12.28515625" bestFit="1" customWidth="1"/>
    <col min="6861" max="6861" width="7.42578125" bestFit="1" customWidth="1"/>
    <col min="6862" max="6862" width="8.5703125" bestFit="1" customWidth="1"/>
    <col min="6863" max="6863" width="11.5703125" bestFit="1" customWidth="1"/>
    <col min="6864" max="6864" width="13.28515625" bestFit="1" customWidth="1"/>
    <col min="6865" max="6865" width="13.28515625" customWidth="1"/>
    <col min="6866" max="6866" width="13.140625" customWidth="1"/>
    <col min="6867" max="6867" width="12.7109375" bestFit="1" customWidth="1"/>
    <col min="6868" max="6868" width="13.28515625" bestFit="1" customWidth="1"/>
    <col min="6869" max="6871" width="13.28515625" customWidth="1"/>
    <col min="6872" max="6872" width="12.140625" bestFit="1" customWidth="1"/>
    <col min="6873" max="6873" width="12.7109375" bestFit="1" customWidth="1"/>
    <col min="6874" max="6874" width="11" customWidth="1"/>
    <col min="6875" max="6875" width="16.7109375" customWidth="1"/>
    <col min="6876" max="6876" width="17" customWidth="1"/>
    <col min="6877" max="6877" width="10.42578125" bestFit="1" customWidth="1"/>
    <col min="6921" max="6921" width="3.85546875" customWidth="1"/>
    <col min="6922" max="6922" width="15.28515625" bestFit="1" customWidth="1"/>
    <col min="6923" max="6923" width="12.28515625" customWidth="1"/>
    <col min="6924" max="6924" width="16.28515625" bestFit="1" customWidth="1"/>
    <col min="6925" max="6925" width="6.42578125" bestFit="1" customWidth="1"/>
    <col min="6926" max="6926" width="9.28515625" bestFit="1" customWidth="1"/>
    <col min="6927" max="6927" width="7.5703125" bestFit="1" customWidth="1"/>
    <col min="6928" max="6928" width="13.28515625" bestFit="1" customWidth="1"/>
    <col min="6929" max="6929" width="9.28515625" bestFit="1" customWidth="1"/>
    <col min="6930" max="6930" width="11.5703125" bestFit="1" customWidth="1"/>
    <col min="6931" max="6931" width="13.28515625" bestFit="1" customWidth="1"/>
    <col min="6932" max="6932" width="7.140625" bestFit="1" customWidth="1"/>
    <col min="6933" max="6933" width="12" bestFit="1" customWidth="1"/>
    <col min="6934" max="6934" width="13.28515625" bestFit="1" customWidth="1"/>
    <col min="6935" max="6935" width="7" bestFit="1" customWidth="1"/>
    <col min="6936" max="6936" width="12.7109375" bestFit="1" customWidth="1"/>
    <col min="6937" max="6937" width="11.5703125" bestFit="1" customWidth="1"/>
    <col min="6938" max="6938" width="10.5703125" bestFit="1" customWidth="1"/>
    <col min="6939" max="6940" width="15.7109375" bestFit="1" customWidth="1"/>
    <col min="6941" max="6941" width="11.5703125" bestFit="1" customWidth="1"/>
    <col min="6942" max="6942" width="7.7109375" bestFit="1" customWidth="1"/>
    <col min="6943" max="6943" width="15.140625" bestFit="1" customWidth="1"/>
    <col min="6944" max="6944" width="11.5703125" bestFit="1" customWidth="1"/>
    <col min="6945" max="6945" width="13.28515625" bestFit="1" customWidth="1"/>
    <col min="6946" max="6946" width="10.42578125" bestFit="1" customWidth="1"/>
    <col min="6947" max="6947" width="13.28515625" bestFit="1" customWidth="1"/>
    <col min="6948" max="6948" width="12.140625" bestFit="1" customWidth="1"/>
    <col min="6949" max="6949" width="14.42578125" bestFit="1" customWidth="1"/>
    <col min="6950" max="6950" width="13.28515625" bestFit="1" customWidth="1"/>
    <col min="6951" max="6951" width="11.5703125" bestFit="1" customWidth="1"/>
    <col min="6952" max="6952" width="7.7109375" bestFit="1" customWidth="1"/>
    <col min="6953" max="6954" width="14.42578125" bestFit="1" customWidth="1"/>
    <col min="6955" max="6955" width="11.5703125" bestFit="1" customWidth="1"/>
    <col min="6956" max="6956" width="7.7109375" bestFit="1" customWidth="1"/>
    <col min="6957" max="6957" width="13.5703125" customWidth="1"/>
    <col min="6958" max="6958" width="15.28515625" customWidth="1"/>
    <col min="6959" max="6959" width="14.5703125" customWidth="1"/>
    <col min="6960" max="6960" width="13.28515625" bestFit="1" customWidth="1"/>
    <col min="6961" max="6961" width="7.7109375" bestFit="1" customWidth="1"/>
    <col min="6962" max="6962" width="12.7109375" bestFit="1" customWidth="1"/>
    <col min="6963" max="6963" width="11.7109375" bestFit="1" customWidth="1"/>
    <col min="6964" max="6964" width="11.5703125" bestFit="1" customWidth="1"/>
    <col min="6965" max="6965" width="5.28515625" bestFit="1" customWidth="1"/>
    <col min="6966" max="6966" width="13.28515625" bestFit="1" customWidth="1"/>
    <col min="6967" max="6967" width="13.5703125" bestFit="1" customWidth="1"/>
    <col min="6968" max="6968" width="10.5703125" bestFit="1" customWidth="1"/>
    <col min="6969" max="6969" width="13.28515625" bestFit="1" customWidth="1"/>
    <col min="6970" max="6970" width="11.5703125" bestFit="1" customWidth="1"/>
    <col min="6971" max="6971" width="10.5703125" bestFit="1" customWidth="1"/>
    <col min="6972" max="6972" width="16.140625" bestFit="1" customWidth="1"/>
    <col min="6973" max="6974" width="11.28515625" bestFit="1" customWidth="1"/>
    <col min="6975" max="6975" width="13.28515625" bestFit="1" customWidth="1"/>
    <col min="6976" max="6976" width="7.7109375" bestFit="1" customWidth="1"/>
    <col min="6977" max="6980" width="9.140625" hidden="1" customWidth="1"/>
    <col min="6981" max="6981" width="10.42578125" bestFit="1" customWidth="1"/>
    <col min="6982" max="6982" width="10.5703125" bestFit="1" customWidth="1"/>
    <col min="6983" max="6983" width="10.42578125" bestFit="1" customWidth="1"/>
    <col min="6984" max="6984" width="10.5703125" bestFit="1" customWidth="1"/>
    <col min="6985" max="6985" width="9.5703125" bestFit="1" customWidth="1"/>
    <col min="6986" max="6986" width="11.5703125" bestFit="1" customWidth="1"/>
    <col min="6987" max="6987" width="10.42578125" bestFit="1" customWidth="1"/>
    <col min="6988" max="6988" width="10.85546875" customWidth="1"/>
    <col min="6989" max="6990" width="9.85546875" bestFit="1" customWidth="1"/>
    <col min="6991" max="6991" width="13.5703125" bestFit="1" customWidth="1"/>
    <col min="6992" max="6992" width="7.7109375" bestFit="1" customWidth="1"/>
    <col min="6993" max="6993" width="13.28515625" bestFit="1" customWidth="1"/>
    <col min="6994" max="6994" width="11.5703125" bestFit="1" customWidth="1"/>
    <col min="6995" max="6995" width="10.42578125" bestFit="1" customWidth="1"/>
    <col min="6996" max="6996" width="7.7109375" bestFit="1" customWidth="1"/>
    <col min="6997" max="6997" width="11.5703125" bestFit="1" customWidth="1"/>
    <col min="6998" max="6998" width="10.85546875" bestFit="1" customWidth="1"/>
    <col min="6999" max="6999" width="13.28515625" bestFit="1" customWidth="1"/>
    <col min="7000" max="7000" width="10.85546875" bestFit="1" customWidth="1"/>
    <col min="7001" max="7002" width="7.5703125" bestFit="1" customWidth="1"/>
    <col min="7003" max="7004" width="10.42578125" bestFit="1" customWidth="1"/>
    <col min="7005" max="7005" width="11.5703125" bestFit="1" customWidth="1"/>
    <col min="7006" max="7006" width="5.28515625" bestFit="1" customWidth="1"/>
    <col min="7007" max="7007" width="10.28515625" bestFit="1" customWidth="1"/>
    <col min="7008" max="7008" width="10.42578125" bestFit="1" customWidth="1"/>
    <col min="7009" max="7009" width="11.5703125" bestFit="1" customWidth="1"/>
    <col min="7010" max="7010" width="5.28515625" bestFit="1" customWidth="1"/>
    <col min="7011" max="7013" width="11.5703125" bestFit="1" customWidth="1"/>
    <col min="7014" max="7014" width="5.28515625" bestFit="1" customWidth="1"/>
    <col min="7015" max="7016" width="10.42578125" bestFit="1" customWidth="1"/>
    <col min="7017" max="7017" width="11.5703125" bestFit="1" customWidth="1"/>
    <col min="7018" max="7018" width="5.28515625" bestFit="1" customWidth="1"/>
    <col min="7019" max="7019" width="14.28515625" bestFit="1" customWidth="1"/>
    <col min="7020" max="7020" width="13" bestFit="1" customWidth="1"/>
    <col min="7021" max="7021" width="11.5703125" bestFit="1" customWidth="1"/>
    <col min="7022" max="7022" width="8.85546875" bestFit="1" customWidth="1"/>
    <col min="7023" max="7023" width="14.42578125" bestFit="1" customWidth="1"/>
    <col min="7024" max="7024" width="10.42578125" bestFit="1" customWidth="1"/>
    <col min="7025" max="7025" width="12.28515625" bestFit="1" customWidth="1"/>
    <col min="7026" max="7026" width="13.85546875" bestFit="1" customWidth="1"/>
    <col min="7027" max="7027" width="11.28515625" customWidth="1"/>
    <col min="7028" max="7028" width="11.5703125" customWidth="1"/>
    <col min="7029" max="7029" width="13.42578125" bestFit="1" customWidth="1"/>
    <col min="7030" max="7030" width="10.42578125" customWidth="1"/>
    <col min="7031" max="7031" width="13.85546875" bestFit="1" customWidth="1"/>
    <col min="7032" max="7032" width="15.42578125" bestFit="1" customWidth="1"/>
    <col min="7033" max="7033" width="12.28515625" bestFit="1" customWidth="1"/>
    <col min="7034" max="7034" width="12.7109375" customWidth="1"/>
    <col min="7035" max="7035" width="10.7109375" bestFit="1" customWidth="1"/>
    <col min="7036" max="7036" width="9.85546875" customWidth="1"/>
    <col min="7037" max="7038" width="10.140625" bestFit="1" customWidth="1"/>
    <col min="7039" max="7039" width="7.5703125" bestFit="1" customWidth="1"/>
    <col min="7040" max="7040" width="9.42578125" bestFit="1" customWidth="1"/>
    <col min="7041" max="7041" width="14.5703125" bestFit="1" customWidth="1"/>
    <col min="7042" max="7042" width="14.85546875" customWidth="1"/>
    <col min="7043" max="7043" width="15.140625" bestFit="1" customWidth="1"/>
    <col min="7044" max="7044" width="12.140625" bestFit="1" customWidth="1"/>
    <col min="7045" max="7045" width="14.85546875" bestFit="1" customWidth="1"/>
    <col min="7046" max="7046" width="12.28515625" bestFit="1" customWidth="1"/>
    <col min="7047" max="7055" width="9.140625" hidden="1" customWidth="1"/>
    <col min="7056" max="7056" width="5.28515625" bestFit="1" customWidth="1"/>
    <col min="7057" max="7062" width="11.5703125" bestFit="1" customWidth="1"/>
    <col min="7063" max="7063" width="11.28515625" bestFit="1" customWidth="1"/>
    <col min="7064" max="7064" width="10.140625" bestFit="1" customWidth="1"/>
    <col min="7065" max="7065" width="11.5703125" bestFit="1" customWidth="1"/>
    <col min="7066" max="7066" width="16.140625" customWidth="1"/>
    <col min="7067" max="7067" width="13.42578125" customWidth="1"/>
    <col min="7068" max="7068" width="10.140625" bestFit="1" customWidth="1"/>
    <col min="7069" max="7069" width="12.85546875" bestFit="1" customWidth="1"/>
    <col min="7070" max="7070" width="12.28515625" bestFit="1" customWidth="1"/>
    <col min="7071" max="7071" width="11.28515625" bestFit="1" customWidth="1"/>
    <col min="7072" max="7072" width="11.5703125" bestFit="1" customWidth="1"/>
    <col min="7073" max="7073" width="10.85546875" bestFit="1" customWidth="1"/>
    <col min="7074" max="7074" width="11.28515625" bestFit="1" customWidth="1"/>
    <col min="7075" max="7075" width="10.140625" bestFit="1" customWidth="1"/>
    <col min="7076" max="7076" width="13.28515625" bestFit="1" customWidth="1"/>
    <col min="7077" max="7078" width="12.7109375" bestFit="1" customWidth="1"/>
    <col min="7079" max="7079" width="11" bestFit="1" customWidth="1"/>
    <col min="7080" max="7080" width="11.28515625" bestFit="1" customWidth="1"/>
    <col min="7081" max="7081" width="11.5703125" bestFit="1" customWidth="1"/>
    <col min="7082" max="7082" width="12.28515625" bestFit="1" customWidth="1"/>
    <col min="7083" max="7083" width="15.140625" bestFit="1" customWidth="1"/>
    <col min="7084" max="7084" width="14.42578125" bestFit="1" customWidth="1"/>
    <col min="7085" max="7085" width="12.28515625" bestFit="1" customWidth="1"/>
    <col min="7086" max="7086" width="15.140625" bestFit="1" customWidth="1"/>
    <col min="7087" max="7087" width="14.42578125" bestFit="1" customWidth="1"/>
    <col min="7088" max="7088" width="12.28515625" bestFit="1" customWidth="1"/>
    <col min="7089" max="7089" width="14.42578125" bestFit="1" customWidth="1"/>
    <col min="7090" max="7090" width="11.28515625" bestFit="1" customWidth="1"/>
    <col min="7091" max="7091" width="12.28515625" bestFit="1" customWidth="1"/>
    <col min="7092" max="7092" width="13" bestFit="1" customWidth="1"/>
    <col min="7093" max="7093" width="15.140625" bestFit="1" customWidth="1"/>
    <col min="7094" max="7094" width="12.28515625" bestFit="1" customWidth="1"/>
    <col min="7095" max="7095" width="13.85546875" bestFit="1" customWidth="1"/>
    <col min="7096" max="7096" width="11.28515625" bestFit="1" customWidth="1"/>
    <col min="7097" max="7097" width="12.28515625" bestFit="1" customWidth="1"/>
    <col min="7098" max="7098" width="13.85546875" bestFit="1" customWidth="1"/>
    <col min="7099" max="7100" width="15.140625" bestFit="1" customWidth="1"/>
    <col min="7101" max="7101" width="12.28515625" bestFit="1" customWidth="1"/>
    <col min="7102" max="7102" width="5.7109375" bestFit="1" customWidth="1"/>
    <col min="7103" max="7103" width="8.5703125" bestFit="1" customWidth="1"/>
    <col min="7104" max="7104" width="5.5703125" bestFit="1" customWidth="1"/>
    <col min="7105" max="7105" width="14.42578125" bestFit="1" customWidth="1"/>
    <col min="7106" max="7106" width="11.28515625" bestFit="1" customWidth="1"/>
    <col min="7107" max="7108" width="12.28515625" bestFit="1" customWidth="1"/>
    <col min="7109" max="7109" width="11.28515625" bestFit="1" customWidth="1"/>
    <col min="7110" max="7110" width="13.85546875" bestFit="1" customWidth="1"/>
    <col min="7111" max="7111" width="12" bestFit="1" customWidth="1"/>
    <col min="7112" max="7112" width="13.85546875" bestFit="1" customWidth="1"/>
    <col min="7113" max="7114" width="14.42578125" customWidth="1"/>
    <col min="7115" max="7115" width="10.140625" bestFit="1" customWidth="1"/>
    <col min="7116" max="7116" width="12.28515625" bestFit="1" customWidth="1"/>
    <col min="7117" max="7117" width="7.42578125" bestFit="1" customWidth="1"/>
    <col min="7118" max="7118" width="8.5703125" bestFit="1" customWidth="1"/>
    <col min="7119" max="7119" width="11.5703125" bestFit="1" customWidth="1"/>
    <col min="7120" max="7120" width="13.28515625" bestFit="1" customWidth="1"/>
    <col min="7121" max="7121" width="13.28515625" customWidth="1"/>
    <col min="7122" max="7122" width="13.140625" customWidth="1"/>
    <col min="7123" max="7123" width="12.7109375" bestFit="1" customWidth="1"/>
    <col min="7124" max="7124" width="13.28515625" bestFit="1" customWidth="1"/>
    <col min="7125" max="7127" width="13.28515625" customWidth="1"/>
    <col min="7128" max="7128" width="12.140625" bestFit="1" customWidth="1"/>
    <col min="7129" max="7129" width="12.7109375" bestFit="1" customWidth="1"/>
    <col min="7130" max="7130" width="11" customWidth="1"/>
    <col min="7131" max="7131" width="16.7109375" customWidth="1"/>
    <col min="7132" max="7132" width="17" customWidth="1"/>
    <col min="7133" max="7133" width="10.42578125" bestFit="1" customWidth="1"/>
    <col min="7177" max="7177" width="3.85546875" customWidth="1"/>
    <col min="7178" max="7178" width="15.28515625" bestFit="1" customWidth="1"/>
    <col min="7179" max="7179" width="12.28515625" customWidth="1"/>
    <col min="7180" max="7180" width="16.28515625" bestFit="1" customWidth="1"/>
    <col min="7181" max="7181" width="6.42578125" bestFit="1" customWidth="1"/>
    <col min="7182" max="7182" width="9.28515625" bestFit="1" customWidth="1"/>
    <col min="7183" max="7183" width="7.5703125" bestFit="1" customWidth="1"/>
    <col min="7184" max="7184" width="13.28515625" bestFit="1" customWidth="1"/>
    <col min="7185" max="7185" width="9.28515625" bestFit="1" customWidth="1"/>
    <col min="7186" max="7186" width="11.5703125" bestFit="1" customWidth="1"/>
    <col min="7187" max="7187" width="13.28515625" bestFit="1" customWidth="1"/>
    <col min="7188" max="7188" width="7.140625" bestFit="1" customWidth="1"/>
    <col min="7189" max="7189" width="12" bestFit="1" customWidth="1"/>
    <col min="7190" max="7190" width="13.28515625" bestFit="1" customWidth="1"/>
    <col min="7191" max="7191" width="7" bestFit="1" customWidth="1"/>
    <col min="7192" max="7192" width="12.7109375" bestFit="1" customWidth="1"/>
    <col min="7193" max="7193" width="11.5703125" bestFit="1" customWidth="1"/>
    <col min="7194" max="7194" width="10.5703125" bestFit="1" customWidth="1"/>
    <col min="7195" max="7196" width="15.7109375" bestFit="1" customWidth="1"/>
    <col min="7197" max="7197" width="11.5703125" bestFit="1" customWidth="1"/>
    <col min="7198" max="7198" width="7.7109375" bestFit="1" customWidth="1"/>
    <col min="7199" max="7199" width="15.140625" bestFit="1" customWidth="1"/>
    <col min="7200" max="7200" width="11.5703125" bestFit="1" customWidth="1"/>
    <col min="7201" max="7201" width="13.28515625" bestFit="1" customWidth="1"/>
    <col min="7202" max="7202" width="10.42578125" bestFit="1" customWidth="1"/>
    <col min="7203" max="7203" width="13.28515625" bestFit="1" customWidth="1"/>
    <col min="7204" max="7204" width="12.140625" bestFit="1" customWidth="1"/>
    <col min="7205" max="7205" width="14.42578125" bestFit="1" customWidth="1"/>
    <col min="7206" max="7206" width="13.28515625" bestFit="1" customWidth="1"/>
    <col min="7207" max="7207" width="11.5703125" bestFit="1" customWidth="1"/>
    <col min="7208" max="7208" width="7.7109375" bestFit="1" customWidth="1"/>
    <col min="7209" max="7210" width="14.42578125" bestFit="1" customWidth="1"/>
    <col min="7211" max="7211" width="11.5703125" bestFit="1" customWidth="1"/>
    <col min="7212" max="7212" width="7.7109375" bestFit="1" customWidth="1"/>
    <col min="7213" max="7213" width="13.5703125" customWidth="1"/>
    <col min="7214" max="7214" width="15.28515625" customWidth="1"/>
    <col min="7215" max="7215" width="14.5703125" customWidth="1"/>
    <col min="7216" max="7216" width="13.28515625" bestFit="1" customWidth="1"/>
    <col min="7217" max="7217" width="7.7109375" bestFit="1" customWidth="1"/>
    <col min="7218" max="7218" width="12.7109375" bestFit="1" customWidth="1"/>
    <col min="7219" max="7219" width="11.7109375" bestFit="1" customWidth="1"/>
    <col min="7220" max="7220" width="11.5703125" bestFit="1" customWidth="1"/>
    <col min="7221" max="7221" width="5.28515625" bestFit="1" customWidth="1"/>
    <col min="7222" max="7222" width="13.28515625" bestFit="1" customWidth="1"/>
    <col min="7223" max="7223" width="13.5703125" bestFit="1" customWidth="1"/>
    <col min="7224" max="7224" width="10.5703125" bestFit="1" customWidth="1"/>
    <col min="7225" max="7225" width="13.28515625" bestFit="1" customWidth="1"/>
    <col min="7226" max="7226" width="11.5703125" bestFit="1" customWidth="1"/>
    <col min="7227" max="7227" width="10.5703125" bestFit="1" customWidth="1"/>
    <col min="7228" max="7228" width="16.140625" bestFit="1" customWidth="1"/>
    <col min="7229" max="7230" width="11.28515625" bestFit="1" customWidth="1"/>
    <col min="7231" max="7231" width="13.28515625" bestFit="1" customWidth="1"/>
    <col min="7232" max="7232" width="7.7109375" bestFit="1" customWidth="1"/>
    <col min="7233" max="7236" width="9.140625" hidden="1" customWidth="1"/>
    <col min="7237" max="7237" width="10.42578125" bestFit="1" customWidth="1"/>
    <col min="7238" max="7238" width="10.5703125" bestFit="1" customWidth="1"/>
    <col min="7239" max="7239" width="10.42578125" bestFit="1" customWidth="1"/>
    <col min="7240" max="7240" width="10.5703125" bestFit="1" customWidth="1"/>
    <col min="7241" max="7241" width="9.5703125" bestFit="1" customWidth="1"/>
    <col min="7242" max="7242" width="11.5703125" bestFit="1" customWidth="1"/>
    <col min="7243" max="7243" width="10.42578125" bestFit="1" customWidth="1"/>
    <col min="7244" max="7244" width="10.85546875" customWidth="1"/>
    <col min="7245" max="7246" width="9.85546875" bestFit="1" customWidth="1"/>
    <col min="7247" max="7247" width="13.5703125" bestFit="1" customWidth="1"/>
    <col min="7248" max="7248" width="7.7109375" bestFit="1" customWidth="1"/>
    <col min="7249" max="7249" width="13.28515625" bestFit="1" customWidth="1"/>
    <col min="7250" max="7250" width="11.5703125" bestFit="1" customWidth="1"/>
    <col min="7251" max="7251" width="10.42578125" bestFit="1" customWidth="1"/>
    <col min="7252" max="7252" width="7.7109375" bestFit="1" customWidth="1"/>
    <col min="7253" max="7253" width="11.5703125" bestFit="1" customWidth="1"/>
    <col min="7254" max="7254" width="10.85546875" bestFit="1" customWidth="1"/>
    <col min="7255" max="7255" width="13.28515625" bestFit="1" customWidth="1"/>
    <col min="7256" max="7256" width="10.85546875" bestFit="1" customWidth="1"/>
    <col min="7257" max="7258" width="7.5703125" bestFit="1" customWidth="1"/>
    <col min="7259" max="7260" width="10.42578125" bestFit="1" customWidth="1"/>
    <col min="7261" max="7261" width="11.5703125" bestFit="1" customWidth="1"/>
    <col min="7262" max="7262" width="5.28515625" bestFit="1" customWidth="1"/>
    <col min="7263" max="7263" width="10.28515625" bestFit="1" customWidth="1"/>
    <col min="7264" max="7264" width="10.42578125" bestFit="1" customWidth="1"/>
    <col min="7265" max="7265" width="11.5703125" bestFit="1" customWidth="1"/>
    <col min="7266" max="7266" width="5.28515625" bestFit="1" customWidth="1"/>
    <col min="7267" max="7269" width="11.5703125" bestFit="1" customWidth="1"/>
    <col min="7270" max="7270" width="5.28515625" bestFit="1" customWidth="1"/>
    <col min="7271" max="7272" width="10.42578125" bestFit="1" customWidth="1"/>
    <col min="7273" max="7273" width="11.5703125" bestFit="1" customWidth="1"/>
    <col min="7274" max="7274" width="5.28515625" bestFit="1" customWidth="1"/>
    <col min="7275" max="7275" width="14.28515625" bestFit="1" customWidth="1"/>
    <col min="7276" max="7276" width="13" bestFit="1" customWidth="1"/>
    <col min="7277" max="7277" width="11.5703125" bestFit="1" customWidth="1"/>
    <col min="7278" max="7278" width="8.85546875" bestFit="1" customWidth="1"/>
    <col min="7279" max="7279" width="14.42578125" bestFit="1" customWidth="1"/>
    <col min="7280" max="7280" width="10.42578125" bestFit="1" customWidth="1"/>
    <col min="7281" max="7281" width="12.28515625" bestFit="1" customWidth="1"/>
    <col min="7282" max="7282" width="13.85546875" bestFit="1" customWidth="1"/>
    <col min="7283" max="7283" width="11.28515625" customWidth="1"/>
    <col min="7284" max="7284" width="11.5703125" customWidth="1"/>
    <col min="7285" max="7285" width="13.42578125" bestFit="1" customWidth="1"/>
    <col min="7286" max="7286" width="10.42578125" customWidth="1"/>
    <col min="7287" max="7287" width="13.85546875" bestFit="1" customWidth="1"/>
    <col min="7288" max="7288" width="15.42578125" bestFit="1" customWidth="1"/>
    <col min="7289" max="7289" width="12.28515625" bestFit="1" customWidth="1"/>
    <col min="7290" max="7290" width="12.7109375" customWidth="1"/>
    <col min="7291" max="7291" width="10.7109375" bestFit="1" customWidth="1"/>
    <col min="7292" max="7292" width="9.85546875" customWidth="1"/>
    <col min="7293" max="7294" width="10.140625" bestFit="1" customWidth="1"/>
    <col min="7295" max="7295" width="7.5703125" bestFit="1" customWidth="1"/>
    <col min="7296" max="7296" width="9.42578125" bestFit="1" customWidth="1"/>
    <col min="7297" max="7297" width="14.5703125" bestFit="1" customWidth="1"/>
    <col min="7298" max="7298" width="14.85546875" customWidth="1"/>
    <col min="7299" max="7299" width="15.140625" bestFit="1" customWidth="1"/>
    <col min="7300" max="7300" width="12.140625" bestFit="1" customWidth="1"/>
    <col min="7301" max="7301" width="14.85546875" bestFit="1" customWidth="1"/>
    <col min="7302" max="7302" width="12.28515625" bestFit="1" customWidth="1"/>
    <col min="7303" max="7311" width="9.140625" hidden="1" customWidth="1"/>
    <col min="7312" max="7312" width="5.28515625" bestFit="1" customWidth="1"/>
    <col min="7313" max="7318" width="11.5703125" bestFit="1" customWidth="1"/>
    <col min="7319" max="7319" width="11.28515625" bestFit="1" customWidth="1"/>
    <col min="7320" max="7320" width="10.140625" bestFit="1" customWidth="1"/>
    <col min="7321" max="7321" width="11.5703125" bestFit="1" customWidth="1"/>
    <col min="7322" max="7322" width="16.140625" customWidth="1"/>
    <col min="7323" max="7323" width="13.42578125" customWidth="1"/>
    <col min="7324" max="7324" width="10.140625" bestFit="1" customWidth="1"/>
    <col min="7325" max="7325" width="12.85546875" bestFit="1" customWidth="1"/>
    <col min="7326" max="7326" width="12.28515625" bestFit="1" customWidth="1"/>
    <col min="7327" max="7327" width="11.28515625" bestFit="1" customWidth="1"/>
    <col min="7328" max="7328" width="11.5703125" bestFit="1" customWidth="1"/>
    <col min="7329" max="7329" width="10.85546875" bestFit="1" customWidth="1"/>
    <col min="7330" max="7330" width="11.28515625" bestFit="1" customWidth="1"/>
    <col min="7331" max="7331" width="10.140625" bestFit="1" customWidth="1"/>
    <col min="7332" max="7332" width="13.28515625" bestFit="1" customWidth="1"/>
    <col min="7333" max="7334" width="12.7109375" bestFit="1" customWidth="1"/>
    <col min="7335" max="7335" width="11" bestFit="1" customWidth="1"/>
    <col min="7336" max="7336" width="11.28515625" bestFit="1" customWidth="1"/>
    <col min="7337" max="7337" width="11.5703125" bestFit="1" customWidth="1"/>
    <col min="7338" max="7338" width="12.28515625" bestFit="1" customWidth="1"/>
    <col min="7339" max="7339" width="15.140625" bestFit="1" customWidth="1"/>
    <col min="7340" max="7340" width="14.42578125" bestFit="1" customWidth="1"/>
    <col min="7341" max="7341" width="12.28515625" bestFit="1" customWidth="1"/>
    <col min="7342" max="7342" width="15.140625" bestFit="1" customWidth="1"/>
    <col min="7343" max="7343" width="14.42578125" bestFit="1" customWidth="1"/>
    <col min="7344" max="7344" width="12.28515625" bestFit="1" customWidth="1"/>
    <col min="7345" max="7345" width="14.42578125" bestFit="1" customWidth="1"/>
    <col min="7346" max="7346" width="11.28515625" bestFit="1" customWidth="1"/>
    <col min="7347" max="7347" width="12.28515625" bestFit="1" customWidth="1"/>
    <col min="7348" max="7348" width="13" bestFit="1" customWidth="1"/>
    <col min="7349" max="7349" width="15.140625" bestFit="1" customWidth="1"/>
    <col min="7350" max="7350" width="12.28515625" bestFit="1" customWidth="1"/>
    <col min="7351" max="7351" width="13.85546875" bestFit="1" customWidth="1"/>
    <col min="7352" max="7352" width="11.28515625" bestFit="1" customWidth="1"/>
    <col min="7353" max="7353" width="12.28515625" bestFit="1" customWidth="1"/>
    <col min="7354" max="7354" width="13.85546875" bestFit="1" customWidth="1"/>
    <col min="7355" max="7356" width="15.140625" bestFit="1" customWidth="1"/>
    <col min="7357" max="7357" width="12.28515625" bestFit="1" customWidth="1"/>
    <col min="7358" max="7358" width="5.7109375" bestFit="1" customWidth="1"/>
    <col min="7359" max="7359" width="8.5703125" bestFit="1" customWidth="1"/>
    <col min="7360" max="7360" width="5.5703125" bestFit="1" customWidth="1"/>
    <col min="7361" max="7361" width="14.42578125" bestFit="1" customWidth="1"/>
    <col min="7362" max="7362" width="11.28515625" bestFit="1" customWidth="1"/>
    <col min="7363" max="7364" width="12.28515625" bestFit="1" customWidth="1"/>
    <col min="7365" max="7365" width="11.28515625" bestFit="1" customWidth="1"/>
    <col min="7366" max="7366" width="13.85546875" bestFit="1" customWidth="1"/>
    <col min="7367" max="7367" width="12" bestFit="1" customWidth="1"/>
    <col min="7368" max="7368" width="13.85546875" bestFit="1" customWidth="1"/>
    <col min="7369" max="7370" width="14.42578125" customWidth="1"/>
    <col min="7371" max="7371" width="10.140625" bestFit="1" customWidth="1"/>
    <col min="7372" max="7372" width="12.28515625" bestFit="1" customWidth="1"/>
    <col min="7373" max="7373" width="7.42578125" bestFit="1" customWidth="1"/>
    <col min="7374" max="7374" width="8.5703125" bestFit="1" customWidth="1"/>
    <col min="7375" max="7375" width="11.5703125" bestFit="1" customWidth="1"/>
    <col min="7376" max="7376" width="13.28515625" bestFit="1" customWidth="1"/>
    <col min="7377" max="7377" width="13.28515625" customWidth="1"/>
    <col min="7378" max="7378" width="13.140625" customWidth="1"/>
    <col min="7379" max="7379" width="12.7109375" bestFit="1" customWidth="1"/>
    <col min="7380" max="7380" width="13.28515625" bestFit="1" customWidth="1"/>
    <col min="7381" max="7383" width="13.28515625" customWidth="1"/>
    <col min="7384" max="7384" width="12.140625" bestFit="1" customWidth="1"/>
    <col min="7385" max="7385" width="12.7109375" bestFit="1" customWidth="1"/>
    <col min="7386" max="7386" width="11" customWidth="1"/>
    <col min="7387" max="7387" width="16.7109375" customWidth="1"/>
    <col min="7388" max="7388" width="17" customWidth="1"/>
    <col min="7389" max="7389" width="10.42578125" bestFit="1" customWidth="1"/>
    <col min="7433" max="7433" width="3.85546875" customWidth="1"/>
    <col min="7434" max="7434" width="15.28515625" bestFit="1" customWidth="1"/>
    <col min="7435" max="7435" width="12.28515625" customWidth="1"/>
    <col min="7436" max="7436" width="16.28515625" bestFit="1" customWidth="1"/>
    <col min="7437" max="7437" width="6.42578125" bestFit="1" customWidth="1"/>
    <col min="7438" max="7438" width="9.28515625" bestFit="1" customWidth="1"/>
    <col min="7439" max="7439" width="7.5703125" bestFit="1" customWidth="1"/>
    <col min="7440" max="7440" width="13.28515625" bestFit="1" customWidth="1"/>
    <col min="7441" max="7441" width="9.28515625" bestFit="1" customWidth="1"/>
    <col min="7442" max="7442" width="11.5703125" bestFit="1" customWidth="1"/>
    <col min="7443" max="7443" width="13.28515625" bestFit="1" customWidth="1"/>
    <col min="7444" max="7444" width="7.140625" bestFit="1" customWidth="1"/>
    <col min="7445" max="7445" width="12" bestFit="1" customWidth="1"/>
    <col min="7446" max="7446" width="13.28515625" bestFit="1" customWidth="1"/>
    <col min="7447" max="7447" width="7" bestFit="1" customWidth="1"/>
    <col min="7448" max="7448" width="12.7109375" bestFit="1" customWidth="1"/>
    <col min="7449" max="7449" width="11.5703125" bestFit="1" customWidth="1"/>
    <col min="7450" max="7450" width="10.5703125" bestFit="1" customWidth="1"/>
    <col min="7451" max="7452" width="15.7109375" bestFit="1" customWidth="1"/>
    <col min="7453" max="7453" width="11.5703125" bestFit="1" customWidth="1"/>
    <col min="7454" max="7454" width="7.7109375" bestFit="1" customWidth="1"/>
    <col min="7455" max="7455" width="15.140625" bestFit="1" customWidth="1"/>
    <col min="7456" max="7456" width="11.5703125" bestFit="1" customWidth="1"/>
    <col min="7457" max="7457" width="13.28515625" bestFit="1" customWidth="1"/>
    <col min="7458" max="7458" width="10.42578125" bestFit="1" customWidth="1"/>
    <col min="7459" max="7459" width="13.28515625" bestFit="1" customWidth="1"/>
    <col min="7460" max="7460" width="12.140625" bestFit="1" customWidth="1"/>
    <col min="7461" max="7461" width="14.42578125" bestFit="1" customWidth="1"/>
    <col min="7462" max="7462" width="13.28515625" bestFit="1" customWidth="1"/>
    <col min="7463" max="7463" width="11.5703125" bestFit="1" customWidth="1"/>
    <col min="7464" max="7464" width="7.7109375" bestFit="1" customWidth="1"/>
    <col min="7465" max="7466" width="14.42578125" bestFit="1" customWidth="1"/>
    <col min="7467" max="7467" width="11.5703125" bestFit="1" customWidth="1"/>
    <col min="7468" max="7468" width="7.7109375" bestFit="1" customWidth="1"/>
    <col min="7469" max="7469" width="13.5703125" customWidth="1"/>
    <col min="7470" max="7470" width="15.28515625" customWidth="1"/>
    <col min="7471" max="7471" width="14.5703125" customWidth="1"/>
    <col min="7472" max="7472" width="13.28515625" bestFit="1" customWidth="1"/>
    <col min="7473" max="7473" width="7.7109375" bestFit="1" customWidth="1"/>
    <col min="7474" max="7474" width="12.7109375" bestFit="1" customWidth="1"/>
    <col min="7475" max="7475" width="11.7109375" bestFit="1" customWidth="1"/>
    <col min="7476" max="7476" width="11.5703125" bestFit="1" customWidth="1"/>
    <col min="7477" max="7477" width="5.28515625" bestFit="1" customWidth="1"/>
    <col min="7478" max="7478" width="13.28515625" bestFit="1" customWidth="1"/>
    <col min="7479" max="7479" width="13.5703125" bestFit="1" customWidth="1"/>
    <col min="7480" max="7480" width="10.5703125" bestFit="1" customWidth="1"/>
    <col min="7481" max="7481" width="13.28515625" bestFit="1" customWidth="1"/>
    <col min="7482" max="7482" width="11.5703125" bestFit="1" customWidth="1"/>
    <col min="7483" max="7483" width="10.5703125" bestFit="1" customWidth="1"/>
    <col min="7484" max="7484" width="16.140625" bestFit="1" customWidth="1"/>
    <col min="7485" max="7486" width="11.28515625" bestFit="1" customWidth="1"/>
    <col min="7487" max="7487" width="13.28515625" bestFit="1" customWidth="1"/>
    <col min="7488" max="7488" width="7.7109375" bestFit="1" customWidth="1"/>
    <col min="7489" max="7492" width="9.140625" hidden="1" customWidth="1"/>
    <col min="7493" max="7493" width="10.42578125" bestFit="1" customWidth="1"/>
    <col min="7494" max="7494" width="10.5703125" bestFit="1" customWidth="1"/>
    <col min="7495" max="7495" width="10.42578125" bestFit="1" customWidth="1"/>
    <col min="7496" max="7496" width="10.5703125" bestFit="1" customWidth="1"/>
    <col min="7497" max="7497" width="9.5703125" bestFit="1" customWidth="1"/>
    <col min="7498" max="7498" width="11.5703125" bestFit="1" customWidth="1"/>
    <col min="7499" max="7499" width="10.42578125" bestFit="1" customWidth="1"/>
    <col min="7500" max="7500" width="10.85546875" customWidth="1"/>
    <col min="7501" max="7502" width="9.85546875" bestFit="1" customWidth="1"/>
    <col min="7503" max="7503" width="13.5703125" bestFit="1" customWidth="1"/>
    <col min="7504" max="7504" width="7.7109375" bestFit="1" customWidth="1"/>
    <col min="7505" max="7505" width="13.28515625" bestFit="1" customWidth="1"/>
    <col min="7506" max="7506" width="11.5703125" bestFit="1" customWidth="1"/>
    <col min="7507" max="7507" width="10.42578125" bestFit="1" customWidth="1"/>
    <col min="7508" max="7508" width="7.7109375" bestFit="1" customWidth="1"/>
    <col min="7509" max="7509" width="11.5703125" bestFit="1" customWidth="1"/>
    <col min="7510" max="7510" width="10.85546875" bestFit="1" customWidth="1"/>
    <col min="7511" max="7511" width="13.28515625" bestFit="1" customWidth="1"/>
    <col min="7512" max="7512" width="10.85546875" bestFit="1" customWidth="1"/>
    <col min="7513" max="7514" width="7.5703125" bestFit="1" customWidth="1"/>
    <col min="7515" max="7516" width="10.42578125" bestFit="1" customWidth="1"/>
    <col min="7517" max="7517" width="11.5703125" bestFit="1" customWidth="1"/>
    <col min="7518" max="7518" width="5.28515625" bestFit="1" customWidth="1"/>
    <col min="7519" max="7519" width="10.28515625" bestFit="1" customWidth="1"/>
    <col min="7520" max="7520" width="10.42578125" bestFit="1" customWidth="1"/>
    <col min="7521" max="7521" width="11.5703125" bestFit="1" customWidth="1"/>
    <col min="7522" max="7522" width="5.28515625" bestFit="1" customWidth="1"/>
    <col min="7523" max="7525" width="11.5703125" bestFit="1" customWidth="1"/>
    <col min="7526" max="7526" width="5.28515625" bestFit="1" customWidth="1"/>
    <col min="7527" max="7528" width="10.42578125" bestFit="1" customWidth="1"/>
    <col min="7529" max="7529" width="11.5703125" bestFit="1" customWidth="1"/>
    <col min="7530" max="7530" width="5.28515625" bestFit="1" customWidth="1"/>
    <col min="7531" max="7531" width="14.28515625" bestFit="1" customWidth="1"/>
    <col min="7532" max="7532" width="13" bestFit="1" customWidth="1"/>
    <col min="7533" max="7533" width="11.5703125" bestFit="1" customWidth="1"/>
    <col min="7534" max="7534" width="8.85546875" bestFit="1" customWidth="1"/>
    <col min="7535" max="7535" width="14.42578125" bestFit="1" customWidth="1"/>
    <col min="7536" max="7536" width="10.42578125" bestFit="1" customWidth="1"/>
    <col min="7537" max="7537" width="12.28515625" bestFit="1" customWidth="1"/>
    <col min="7538" max="7538" width="13.85546875" bestFit="1" customWidth="1"/>
    <col min="7539" max="7539" width="11.28515625" customWidth="1"/>
    <col min="7540" max="7540" width="11.5703125" customWidth="1"/>
    <col min="7541" max="7541" width="13.42578125" bestFit="1" customWidth="1"/>
    <col min="7542" max="7542" width="10.42578125" customWidth="1"/>
    <col min="7543" max="7543" width="13.85546875" bestFit="1" customWidth="1"/>
    <col min="7544" max="7544" width="15.42578125" bestFit="1" customWidth="1"/>
    <col min="7545" max="7545" width="12.28515625" bestFit="1" customWidth="1"/>
    <col min="7546" max="7546" width="12.7109375" customWidth="1"/>
    <col min="7547" max="7547" width="10.7109375" bestFit="1" customWidth="1"/>
    <col min="7548" max="7548" width="9.85546875" customWidth="1"/>
    <col min="7549" max="7550" width="10.140625" bestFit="1" customWidth="1"/>
    <col min="7551" max="7551" width="7.5703125" bestFit="1" customWidth="1"/>
    <col min="7552" max="7552" width="9.42578125" bestFit="1" customWidth="1"/>
    <col min="7553" max="7553" width="14.5703125" bestFit="1" customWidth="1"/>
    <col min="7554" max="7554" width="14.85546875" customWidth="1"/>
    <col min="7555" max="7555" width="15.140625" bestFit="1" customWidth="1"/>
    <col min="7556" max="7556" width="12.140625" bestFit="1" customWidth="1"/>
    <col min="7557" max="7557" width="14.85546875" bestFit="1" customWidth="1"/>
    <col min="7558" max="7558" width="12.28515625" bestFit="1" customWidth="1"/>
    <col min="7559" max="7567" width="9.140625" hidden="1" customWidth="1"/>
    <col min="7568" max="7568" width="5.28515625" bestFit="1" customWidth="1"/>
    <col min="7569" max="7574" width="11.5703125" bestFit="1" customWidth="1"/>
    <col min="7575" max="7575" width="11.28515625" bestFit="1" customWidth="1"/>
    <col min="7576" max="7576" width="10.140625" bestFit="1" customWidth="1"/>
    <col min="7577" max="7577" width="11.5703125" bestFit="1" customWidth="1"/>
    <col min="7578" max="7578" width="16.140625" customWidth="1"/>
    <col min="7579" max="7579" width="13.42578125" customWidth="1"/>
    <col min="7580" max="7580" width="10.140625" bestFit="1" customWidth="1"/>
    <col min="7581" max="7581" width="12.85546875" bestFit="1" customWidth="1"/>
    <col min="7582" max="7582" width="12.28515625" bestFit="1" customWidth="1"/>
    <col min="7583" max="7583" width="11.28515625" bestFit="1" customWidth="1"/>
    <col min="7584" max="7584" width="11.5703125" bestFit="1" customWidth="1"/>
    <col min="7585" max="7585" width="10.85546875" bestFit="1" customWidth="1"/>
    <col min="7586" max="7586" width="11.28515625" bestFit="1" customWidth="1"/>
    <col min="7587" max="7587" width="10.140625" bestFit="1" customWidth="1"/>
    <col min="7588" max="7588" width="13.28515625" bestFit="1" customWidth="1"/>
    <col min="7589" max="7590" width="12.7109375" bestFit="1" customWidth="1"/>
    <col min="7591" max="7591" width="11" bestFit="1" customWidth="1"/>
    <col min="7592" max="7592" width="11.28515625" bestFit="1" customWidth="1"/>
    <col min="7593" max="7593" width="11.5703125" bestFit="1" customWidth="1"/>
    <col min="7594" max="7594" width="12.28515625" bestFit="1" customWidth="1"/>
    <col min="7595" max="7595" width="15.140625" bestFit="1" customWidth="1"/>
    <col min="7596" max="7596" width="14.42578125" bestFit="1" customWidth="1"/>
    <col min="7597" max="7597" width="12.28515625" bestFit="1" customWidth="1"/>
    <col min="7598" max="7598" width="15.140625" bestFit="1" customWidth="1"/>
    <col min="7599" max="7599" width="14.42578125" bestFit="1" customWidth="1"/>
    <col min="7600" max="7600" width="12.28515625" bestFit="1" customWidth="1"/>
    <col min="7601" max="7601" width="14.42578125" bestFit="1" customWidth="1"/>
    <col min="7602" max="7602" width="11.28515625" bestFit="1" customWidth="1"/>
    <col min="7603" max="7603" width="12.28515625" bestFit="1" customWidth="1"/>
    <col min="7604" max="7604" width="13" bestFit="1" customWidth="1"/>
    <col min="7605" max="7605" width="15.140625" bestFit="1" customWidth="1"/>
    <col min="7606" max="7606" width="12.28515625" bestFit="1" customWidth="1"/>
    <col min="7607" max="7607" width="13.85546875" bestFit="1" customWidth="1"/>
    <col min="7608" max="7608" width="11.28515625" bestFit="1" customWidth="1"/>
    <col min="7609" max="7609" width="12.28515625" bestFit="1" customWidth="1"/>
    <col min="7610" max="7610" width="13.85546875" bestFit="1" customWidth="1"/>
    <col min="7611" max="7612" width="15.140625" bestFit="1" customWidth="1"/>
    <col min="7613" max="7613" width="12.28515625" bestFit="1" customWidth="1"/>
    <col min="7614" max="7614" width="5.7109375" bestFit="1" customWidth="1"/>
    <col min="7615" max="7615" width="8.5703125" bestFit="1" customWidth="1"/>
    <col min="7616" max="7616" width="5.5703125" bestFit="1" customWidth="1"/>
    <col min="7617" max="7617" width="14.42578125" bestFit="1" customWidth="1"/>
    <col min="7618" max="7618" width="11.28515625" bestFit="1" customWidth="1"/>
    <col min="7619" max="7620" width="12.28515625" bestFit="1" customWidth="1"/>
    <col min="7621" max="7621" width="11.28515625" bestFit="1" customWidth="1"/>
    <col min="7622" max="7622" width="13.85546875" bestFit="1" customWidth="1"/>
    <col min="7623" max="7623" width="12" bestFit="1" customWidth="1"/>
    <col min="7624" max="7624" width="13.85546875" bestFit="1" customWidth="1"/>
    <col min="7625" max="7626" width="14.42578125" customWidth="1"/>
    <col min="7627" max="7627" width="10.140625" bestFit="1" customWidth="1"/>
    <col min="7628" max="7628" width="12.28515625" bestFit="1" customWidth="1"/>
    <col min="7629" max="7629" width="7.42578125" bestFit="1" customWidth="1"/>
    <col min="7630" max="7630" width="8.5703125" bestFit="1" customWidth="1"/>
    <col min="7631" max="7631" width="11.5703125" bestFit="1" customWidth="1"/>
    <col min="7632" max="7632" width="13.28515625" bestFit="1" customWidth="1"/>
    <col min="7633" max="7633" width="13.28515625" customWidth="1"/>
    <col min="7634" max="7634" width="13.140625" customWidth="1"/>
    <col min="7635" max="7635" width="12.7109375" bestFit="1" customWidth="1"/>
    <col min="7636" max="7636" width="13.28515625" bestFit="1" customWidth="1"/>
    <col min="7637" max="7639" width="13.28515625" customWidth="1"/>
    <col min="7640" max="7640" width="12.140625" bestFit="1" customWidth="1"/>
    <col min="7641" max="7641" width="12.7109375" bestFit="1" customWidth="1"/>
    <col min="7642" max="7642" width="11" customWidth="1"/>
    <col min="7643" max="7643" width="16.7109375" customWidth="1"/>
    <col min="7644" max="7644" width="17" customWidth="1"/>
    <col min="7645" max="7645" width="10.42578125" bestFit="1" customWidth="1"/>
    <col min="7689" max="7689" width="3.85546875" customWidth="1"/>
    <col min="7690" max="7690" width="15.28515625" bestFit="1" customWidth="1"/>
    <col min="7691" max="7691" width="12.28515625" customWidth="1"/>
    <col min="7692" max="7692" width="16.28515625" bestFit="1" customWidth="1"/>
    <col min="7693" max="7693" width="6.42578125" bestFit="1" customWidth="1"/>
    <col min="7694" max="7694" width="9.28515625" bestFit="1" customWidth="1"/>
    <col min="7695" max="7695" width="7.5703125" bestFit="1" customWidth="1"/>
    <col min="7696" max="7696" width="13.28515625" bestFit="1" customWidth="1"/>
    <col min="7697" max="7697" width="9.28515625" bestFit="1" customWidth="1"/>
    <col min="7698" max="7698" width="11.5703125" bestFit="1" customWidth="1"/>
    <col min="7699" max="7699" width="13.28515625" bestFit="1" customWidth="1"/>
    <col min="7700" max="7700" width="7.140625" bestFit="1" customWidth="1"/>
    <col min="7701" max="7701" width="12" bestFit="1" customWidth="1"/>
    <col min="7702" max="7702" width="13.28515625" bestFit="1" customWidth="1"/>
    <col min="7703" max="7703" width="7" bestFit="1" customWidth="1"/>
    <col min="7704" max="7704" width="12.7109375" bestFit="1" customWidth="1"/>
    <col min="7705" max="7705" width="11.5703125" bestFit="1" customWidth="1"/>
    <col min="7706" max="7706" width="10.5703125" bestFit="1" customWidth="1"/>
    <col min="7707" max="7708" width="15.7109375" bestFit="1" customWidth="1"/>
    <col min="7709" max="7709" width="11.5703125" bestFit="1" customWidth="1"/>
    <col min="7710" max="7710" width="7.7109375" bestFit="1" customWidth="1"/>
    <col min="7711" max="7711" width="15.140625" bestFit="1" customWidth="1"/>
    <col min="7712" max="7712" width="11.5703125" bestFit="1" customWidth="1"/>
    <col min="7713" max="7713" width="13.28515625" bestFit="1" customWidth="1"/>
    <col min="7714" max="7714" width="10.42578125" bestFit="1" customWidth="1"/>
    <col min="7715" max="7715" width="13.28515625" bestFit="1" customWidth="1"/>
    <col min="7716" max="7716" width="12.140625" bestFit="1" customWidth="1"/>
    <col min="7717" max="7717" width="14.42578125" bestFit="1" customWidth="1"/>
    <col min="7718" max="7718" width="13.28515625" bestFit="1" customWidth="1"/>
    <col min="7719" max="7719" width="11.5703125" bestFit="1" customWidth="1"/>
    <col min="7720" max="7720" width="7.7109375" bestFit="1" customWidth="1"/>
    <col min="7721" max="7722" width="14.42578125" bestFit="1" customWidth="1"/>
    <col min="7723" max="7723" width="11.5703125" bestFit="1" customWidth="1"/>
    <col min="7724" max="7724" width="7.7109375" bestFit="1" customWidth="1"/>
    <col min="7725" max="7725" width="13.5703125" customWidth="1"/>
    <col min="7726" max="7726" width="15.28515625" customWidth="1"/>
    <col min="7727" max="7727" width="14.5703125" customWidth="1"/>
    <col min="7728" max="7728" width="13.28515625" bestFit="1" customWidth="1"/>
    <col min="7729" max="7729" width="7.7109375" bestFit="1" customWidth="1"/>
    <col min="7730" max="7730" width="12.7109375" bestFit="1" customWidth="1"/>
    <col min="7731" max="7731" width="11.7109375" bestFit="1" customWidth="1"/>
    <col min="7732" max="7732" width="11.5703125" bestFit="1" customWidth="1"/>
    <col min="7733" max="7733" width="5.28515625" bestFit="1" customWidth="1"/>
    <col min="7734" max="7734" width="13.28515625" bestFit="1" customWidth="1"/>
    <col min="7735" max="7735" width="13.5703125" bestFit="1" customWidth="1"/>
    <col min="7736" max="7736" width="10.5703125" bestFit="1" customWidth="1"/>
    <col min="7737" max="7737" width="13.28515625" bestFit="1" customWidth="1"/>
    <col min="7738" max="7738" width="11.5703125" bestFit="1" customWidth="1"/>
    <col min="7739" max="7739" width="10.5703125" bestFit="1" customWidth="1"/>
    <col min="7740" max="7740" width="16.140625" bestFit="1" customWidth="1"/>
    <col min="7741" max="7742" width="11.28515625" bestFit="1" customWidth="1"/>
    <col min="7743" max="7743" width="13.28515625" bestFit="1" customWidth="1"/>
    <col min="7744" max="7744" width="7.7109375" bestFit="1" customWidth="1"/>
    <col min="7745" max="7748" width="9.140625" hidden="1" customWidth="1"/>
    <col min="7749" max="7749" width="10.42578125" bestFit="1" customWidth="1"/>
    <col min="7750" max="7750" width="10.5703125" bestFit="1" customWidth="1"/>
    <col min="7751" max="7751" width="10.42578125" bestFit="1" customWidth="1"/>
    <col min="7752" max="7752" width="10.5703125" bestFit="1" customWidth="1"/>
    <col min="7753" max="7753" width="9.5703125" bestFit="1" customWidth="1"/>
    <col min="7754" max="7754" width="11.5703125" bestFit="1" customWidth="1"/>
    <col min="7755" max="7755" width="10.42578125" bestFit="1" customWidth="1"/>
    <col min="7756" max="7756" width="10.85546875" customWidth="1"/>
    <col min="7757" max="7758" width="9.85546875" bestFit="1" customWidth="1"/>
    <col min="7759" max="7759" width="13.5703125" bestFit="1" customWidth="1"/>
    <col min="7760" max="7760" width="7.7109375" bestFit="1" customWidth="1"/>
    <col min="7761" max="7761" width="13.28515625" bestFit="1" customWidth="1"/>
    <col min="7762" max="7762" width="11.5703125" bestFit="1" customWidth="1"/>
    <col min="7763" max="7763" width="10.42578125" bestFit="1" customWidth="1"/>
    <col min="7764" max="7764" width="7.7109375" bestFit="1" customWidth="1"/>
    <col min="7765" max="7765" width="11.5703125" bestFit="1" customWidth="1"/>
    <col min="7766" max="7766" width="10.85546875" bestFit="1" customWidth="1"/>
    <col min="7767" max="7767" width="13.28515625" bestFit="1" customWidth="1"/>
    <col min="7768" max="7768" width="10.85546875" bestFit="1" customWidth="1"/>
    <col min="7769" max="7770" width="7.5703125" bestFit="1" customWidth="1"/>
    <col min="7771" max="7772" width="10.42578125" bestFit="1" customWidth="1"/>
    <col min="7773" max="7773" width="11.5703125" bestFit="1" customWidth="1"/>
    <col min="7774" max="7774" width="5.28515625" bestFit="1" customWidth="1"/>
    <col min="7775" max="7775" width="10.28515625" bestFit="1" customWidth="1"/>
    <col min="7776" max="7776" width="10.42578125" bestFit="1" customWidth="1"/>
    <col min="7777" max="7777" width="11.5703125" bestFit="1" customWidth="1"/>
    <col min="7778" max="7778" width="5.28515625" bestFit="1" customWidth="1"/>
    <col min="7779" max="7781" width="11.5703125" bestFit="1" customWidth="1"/>
    <col min="7782" max="7782" width="5.28515625" bestFit="1" customWidth="1"/>
    <col min="7783" max="7784" width="10.42578125" bestFit="1" customWidth="1"/>
    <col min="7785" max="7785" width="11.5703125" bestFit="1" customWidth="1"/>
    <col min="7786" max="7786" width="5.28515625" bestFit="1" customWidth="1"/>
    <col min="7787" max="7787" width="14.28515625" bestFit="1" customWidth="1"/>
    <col min="7788" max="7788" width="13" bestFit="1" customWidth="1"/>
    <col min="7789" max="7789" width="11.5703125" bestFit="1" customWidth="1"/>
    <col min="7790" max="7790" width="8.85546875" bestFit="1" customWidth="1"/>
    <col min="7791" max="7791" width="14.42578125" bestFit="1" customWidth="1"/>
    <col min="7792" max="7792" width="10.42578125" bestFit="1" customWidth="1"/>
    <col min="7793" max="7793" width="12.28515625" bestFit="1" customWidth="1"/>
    <col min="7794" max="7794" width="13.85546875" bestFit="1" customWidth="1"/>
    <col min="7795" max="7795" width="11.28515625" customWidth="1"/>
    <col min="7796" max="7796" width="11.5703125" customWidth="1"/>
    <col min="7797" max="7797" width="13.42578125" bestFit="1" customWidth="1"/>
    <col min="7798" max="7798" width="10.42578125" customWidth="1"/>
    <col min="7799" max="7799" width="13.85546875" bestFit="1" customWidth="1"/>
    <col min="7800" max="7800" width="15.42578125" bestFit="1" customWidth="1"/>
    <col min="7801" max="7801" width="12.28515625" bestFit="1" customWidth="1"/>
    <col min="7802" max="7802" width="12.7109375" customWidth="1"/>
    <col min="7803" max="7803" width="10.7109375" bestFit="1" customWidth="1"/>
    <col min="7804" max="7804" width="9.85546875" customWidth="1"/>
    <col min="7805" max="7806" width="10.140625" bestFit="1" customWidth="1"/>
    <col min="7807" max="7807" width="7.5703125" bestFit="1" customWidth="1"/>
    <col min="7808" max="7808" width="9.42578125" bestFit="1" customWidth="1"/>
    <col min="7809" max="7809" width="14.5703125" bestFit="1" customWidth="1"/>
    <col min="7810" max="7810" width="14.85546875" customWidth="1"/>
    <col min="7811" max="7811" width="15.140625" bestFit="1" customWidth="1"/>
    <col min="7812" max="7812" width="12.140625" bestFit="1" customWidth="1"/>
    <col min="7813" max="7813" width="14.85546875" bestFit="1" customWidth="1"/>
    <col min="7814" max="7814" width="12.28515625" bestFit="1" customWidth="1"/>
    <col min="7815" max="7823" width="9.140625" hidden="1" customWidth="1"/>
    <col min="7824" max="7824" width="5.28515625" bestFit="1" customWidth="1"/>
    <col min="7825" max="7830" width="11.5703125" bestFit="1" customWidth="1"/>
    <col min="7831" max="7831" width="11.28515625" bestFit="1" customWidth="1"/>
    <col min="7832" max="7832" width="10.140625" bestFit="1" customWidth="1"/>
    <col min="7833" max="7833" width="11.5703125" bestFit="1" customWidth="1"/>
    <col min="7834" max="7834" width="16.140625" customWidth="1"/>
    <col min="7835" max="7835" width="13.42578125" customWidth="1"/>
    <col min="7836" max="7836" width="10.140625" bestFit="1" customWidth="1"/>
    <col min="7837" max="7837" width="12.85546875" bestFit="1" customWidth="1"/>
    <col min="7838" max="7838" width="12.28515625" bestFit="1" customWidth="1"/>
    <col min="7839" max="7839" width="11.28515625" bestFit="1" customWidth="1"/>
    <col min="7840" max="7840" width="11.5703125" bestFit="1" customWidth="1"/>
    <col min="7841" max="7841" width="10.85546875" bestFit="1" customWidth="1"/>
    <col min="7842" max="7842" width="11.28515625" bestFit="1" customWidth="1"/>
    <col min="7843" max="7843" width="10.140625" bestFit="1" customWidth="1"/>
    <col min="7844" max="7844" width="13.28515625" bestFit="1" customWidth="1"/>
    <col min="7845" max="7846" width="12.7109375" bestFit="1" customWidth="1"/>
    <col min="7847" max="7847" width="11" bestFit="1" customWidth="1"/>
    <col min="7848" max="7848" width="11.28515625" bestFit="1" customWidth="1"/>
    <col min="7849" max="7849" width="11.5703125" bestFit="1" customWidth="1"/>
    <col min="7850" max="7850" width="12.28515625" bestFit="1" customWidth="1"/>
    <col min="7851" max="7851" width="15.140625" bestFit="1" customWidth="1"/>
    <col min="7852" max="7852" width="14.42578125" bestFit="1" customWidth="1"/>
    <col min="7853" max="7853" width="12.28515625" bestFit="1" customWidth="1"/>
    <col min="7854" max="7854" width="15.140625" bestFit="1" customWidth="1"/>
    <col min="7855" max="7855" width="14.42578125" bestFit="1" customWidth="1"/>
    <col min="7856" max="7856" width="12.28515625" bestFit="1" customWidth="1"/>
    <col min="7857" max="7857" width="14.42578125" bestFit="1" customWidth="1"/>
    <col min="7858" max="7858" width="11.28515625" bestFit="1" customWidth="1"/>
    <col min="7859" max="7859" width="12.28515625" bestFit="1" customWidth="1"/>
    <col min="7860" max="7860" width="13" bestFit="1" customWidth="1"/>
    <col min="7861" max="7861" width="15.140625" bestFit="1" customWidth="1"/>
    <col min="7862" max="7862" width="12.28515625" bestFit="1" customWidth="1"/>
    <col min="7863" max="7863" width="13.85546875" bestFit="1" customWidth="1"/>
    <col min="7864" max="7864" width="11.28515625" bestFit="1" customWidth="1"/>
    <col min="7865" max="7865" width="12.28515625" bestFit="1" customWidth="1"/>
    <col min="7866" max="7866" width="13.85546875" bestFit="1" customWidth="1"/>
    <col min="7867" max="7868" width="15.140625" bestFit="1" customWidth="1"/>
    <col min="7869" max="7869" width="12.28515625" bestFit="1" customWidth="1"/>
    <col min="7870" max="7870" width="5.7109375" bestFit="1" customWidth="1"/>
    <col min="7871" max="7871" width="8.5703125" bestFit="1" customWidth="1"/>
    <col min="7872" max="7872" width="5.5703125" bestFit="1" customWidth="1"/>
    <col min="7873" max="7873" width="14.42578125" bestFit="1" customWidth="1"/>
    <col min="7874" max="7874" width="11.28515625" bestFit="1" customWidth="1"/>
    <col min="7875" max="7876" width="12.28515625" bestFit="1" customWidth="1"/>
    <col min="7877" max="7877" width="11.28515625" bestFit="1" customWidth="1"/>
    <col min="7878" max="7878" width="13.85546875" bestFit="1" customWidth="1"/>
    <col min="7879" max="7879" width="12" bestFit="1" customWidth="1"/>
    <col min="7880" max="7880" width="13.85546875" bestFit="1" customWidth="1"/>
    <col min="7881" max="7882" width="14.42578125" customWidth="1"/>
    <col min="7883" max="7883" width="10.140625" bestFit="1" customWidth="1"/>
    <col min="7884" max="7884" width="12.28515625" bestFit="1" customWidth="1"/>
    <col min="7885" max="7885" width="7.42578125" bestFit="1" customWidth="1"/>
    <col min="7886" max="7886" width="8.5703125" bestFit="1" customWidth="1"/>
    <col min="7887" max="7887" width="11.5703125" bestFit="1" customWidth="1"/>
    <col min="7888" max="7888" width="13.28515625" bestFit="1" customWidth="1"/>
    <col min="7889" max="7889" width="13.28515625" customWidth="1"/>
    <col min="7890" max="7890" width="13.140625" customWidth="1"/>
    <col min="7891" max="7891" width="12.7109375" bestFit="1" customWidth="1"/>
    <col min="7892" max="7892" width="13.28515625" bestFit="1" customWidth="1"/>
    <col min="7893" max="7895" width="13.28515625" customWidth="1"/>
    <col min="7896" max="7896" width="12.140625" bestFit="1" customWidth="1"/>
    <col min="7897" max="7897" width="12.7109375" bestFit="1" customWidth="1"/>
    <col min="7898" max="7898" width="11" customWidth="1"/>
    <col min="7899" max="7899" width="16.7109375" customWidth="1"/>
    <col min="7900" max="7900" width="17" customWidth="1"/>
    <col min="7901" max="7901" width="10.42578125" bestFit="1" customWidth="1"/>
    <col min="7945" max="7945" width="3.85546875" customWidth="1"/>
    <col min="7946" max="7946" width="15.28515625" bestFit="1" customWidth="1"/>
    <col min="7947" max="7947" width="12.28515625" customWidth="1"/>
    <col min="7948" max="7948" width="16.28515625" bestFit="1" customWidth="1"/>
    <col min="7949" max="7949" width="6.42578125" bestFit="1" customWidth="1"/>
    <col min="7950" max="7950" width="9.28515625" bestFit="1" customWidth="1"/>
    <col min="7951" max="7951" width="7.5703125" bestFit="1" customWidth="1"/>
    <col min="7952" max="7952" width="13.28515625" bestFit="1" customWidth="1"/>
    <col min="7953" max="7953" width="9.28515625" bestFit="1" customWidth="1"/>
    <col min="7954" max="7954" width="11.5703125" bestFit="1" customWidth="1"/>
    <col min="7955" max="7955" width="13.28515625" bestFit="1" customWidth="1"/>
    <col min="7956" max="7956" width="7.140625" bestFit="1" customWidth="1"/>
    <col min="7957" max="7957" width="12" bestFit="1" customWidth="1"/>
    <col min="7958" max="7958" width="13.28515625" bestFit="1" customWidth="1"/>
    <col min="7959" max="7959" width="7" bestFit="1" customWidth="1"/>
    <col min="7960" max="7960" width="12.7109375" bestFit="1" customWidth="1"/>
    <col min="7961" max="7961" width="11.5703125" bestFit="1" customWidth="1"/>
    <col min="7962" max="7962" width="10.5703125" bestFit="1" customWidth="1"/>
    <col min="7963" max="7964" width="15.7109375" bestFit="1" customWidth="1"/>
    <col min="7965" max="7965" width="11.5703125" bestFit="1" customWidth="1"/>
    <col min="7966" max="7966" width="7.7109375" bestFit="1" customWidth="1"/>
    <col min="7967" max="7967" width="15.140625" bestFit="1" customWidth="1"/>
    <col min="7968" max="7968" width="11.5703125" bestFit="1" customWidth="1"/>
    <col min="7969" max="7969" width="13.28515625" bestFit="1" customWidth="1"/>
    <col min="7970" max="7970" width="10.42578125" bestFit="1" customWidth="1"/>
    <col min="7971" max="7971" width="13.28515625" bestFit="1" customWidth="1"/>
    <col min="7972" max="7972" width="12.140625" bestFit="1" customWidth="1"/>
    <col min="7973" max="7973" width="14.42578125" bestFit="1" customWidth="1"/>
    <col min="7974" max="7974" width="13.28515625" bestFit="1" customWidth="1"/>
    <col min="7975" max="7975" width="11.5703125" bestFit="1" customWidth="1"/>
    <col min="7976" max="7976" width="7.7109375" bestFit="1" customWidth="1"/>
    <col min="7977" max="7978" width="14.42578125" bestFit="1" customWidth="1"/>
    <col min="7979" max="7979" width="11.5703125" bestFit="1" customWidth="1"/>
    <col min="7980" max="7980" width="7.7109375" bestFit="1" customWidth="1"/>
    <col min="7981" max="7981" width="13.5703125" customWidth="1"/>
    <col min="7982" max="7982" width="15.28515625" customWidth="1"/>
    <col min="7983" max="7983" width="14.5703125" customWidth="1"/>
    <col min="7984" max="7984" width="13.28515625" bestFit="1" customWidth="1"/>
    <col min="7985" max="7985" width="7.7109375" bestFit="1" customWidth="1"/>
    <col min="7986" max="7986" width="12.7109375" bestFit="1" customWidth="1"/>
    <col min="7987" max="7987" width="11.7109375" bestFit="1" customWidth="1"/>
    <col min="7988" max="7988" width="11.5703125" bestFit="1" customWidth="1"/>
    <col min="7989" max="7989" width="5.28515625" bestFit="1" customWidth="1"/>
    <col min="7990" max="7990" width="13.28515625" bestFit="1" customWidth="1"/>
    <col min="7991" max="7991" width="13.5703125" bestFit="1" customWidth="1"/>
    <col min="7992" max="7992" width="10.5703125" bestFit="1" customWidth="1"/>
    <col min="7993" max="7993" width="13.28515625" bestFit="1" customWidth="1"/>
    <col min="7994" max="7994" width="11.5703125" bestFit="1" customWidth="1"/>
    <col min="7995" max="7995" width="10.5703125" bestFit="1" customWidth="1"/>
    <col min="7996" max="7996" width="16.140625" bestFit="1" customWidth="1"/>
    <col min="7997" max="7998" width="11.28515625" bestFit="1" customWidth="1"/>
    <col min="7999" max="7999" width="13.28515625" bestFit="1" customWidth="1"/>
    <col min="8000" max="8000" width="7.7109375" bestFit="1" customWidth="1"/>
    <col min="8001" max="8004" width="9.140625" hidden="1" customWidth="1"/>
    <col min="8005" max="8005" width="10.42578125" bestFit="1" customWidth="1"/>
    <col min="8006" max="8006" width="10.5703125" bestFit="1" customWidth="1"/>
    <col min="8007" max="8007" width="10.42578125" bestFit="1" customWidth="1"/>
    <col min="8008" max="8008" width="10.5703125" bestFit="1" customWidth="1"/>
    <col min="8009" max="8009" width="9.5703125" bestFit="1" customWidth="1"/>
    <col min="8010" max="8010" width="11.5703125" bestFit="1" customWidth="1"/>
    <col min="8011" max="8011" width="10.42578125" bestFit="1" customWidth="1"/>
    <col min="8012" max="8012" width="10.85546875" customWidth="1"/>
    <col min="8013" max="8014" width="9.85546875" bestFit="1" customWidth="1"/>
    <col min="8015" max="8015" width="13.5703125" bestFit="1" customWidth="1"/>
    <col min="8016" max="8016" width="7.7109375" bestFit="1" customWidth="1"/>
    <col min="8017" max="8017" width="13.28515625" bestFit="1" customWidth="1"/>
    <col min="8018" max="8018" width="11.5703125" bestFit="1" customWidth="1"/>
    <col min="8019" max="8019" width="10.42578125" bestFit="1" customWidth="1"/>
    <col min="8020" max="8020" width="7.7109375" bestFit="1" customWidth="1"/>
    <col min="8021" max="8021" width="11.5703125" bestFit="1" customWidth="1"/>
    <col min="8022" max="8022" width="10.85546875" bestFit="1" customWidth="1"/>
    <col min="8023" max="8023" width="13.28515625" bestFit="1" customWidth="1"/>
    <col min="8024" max="8024" width="10.85546875" bestFit="1" customWidth="1"/>
    <col min="8025" max="8026" width="7.5703125" bestFit="1" customWidth="1"/>
    <col min="8027" max="8028" width="10.42578125" bestFit="1" customWidth="1"/>
    <col min="8029" max="8029" width="11.5703125" bestFit="1" customWidth="1"/>
    <col min="8030" max="8030" width="5.28515625" bestFit="1" customWidth="1"/>
    <col min="8031" max="8031" width="10.28515625" bestFit="1" customWidth="1"/>
    <col min="8032" max="8032" width="10.42578125" bestFit="1" customWidth="1"/>
    <col min="8033" max="8033" width="11.5703125" bestFit="1" customWidth="1"/>
    <col min="8034" max="8034" width="5.28515625" bestFit="1" customWidth="1"/>
    <col min="8035" max="8037" width="11.5703125" bestFit="1" customWidth="1"/>
    <col min="8038" max="8038" width="5.28515625" bestFit="1" customWidth="1"/>
    <col min="8039" max="8040" width="10.42578125" bestFit="1" customWidth="1"/>
    <col min="8041" max="8041" width="11.5703125" bestFit="1" customWidth="1"/>
    <col min="8042" max="8042" width="5.28515625" bestFit="1" customWidth="1"/>
    <col min="8043" max="8043" width="14.28515625" bestFit="1" customWidth="1"/>
    <col min="8044" max="8044" width="13" bestFit="1" customWidth="1"/>
    <col min="8045" max="8045" width="11.5703125" bestFit="1" customWidth="1"/>
    <col min="8046" max="8046" width="8.85546875" bestFit="1" customWidth="1"/>
    <col min="8047" max="8047" width="14.42578125" bestFit="1" customWidth="1"/>
    <col min="8048" max="8048" width="10.42578125" bestFit="1" customWidth="1"/>
    <col min="8049" max="8049" width="12.28515625" bestFit="1" customWidth="1"/>
    <col min="8050" max="8050" width="13.85546875" bestFit="1" customWidth="1"/>
    <col min="8051" max="8051" width="11.28515625" customWidth="1"/>
    <col min="8052" max="8052" width="11.5703125" customWidth="1"/>
    <col min="8053" max="8053" width="13.42578125" bestFit="1" customWidth="1"/>
    <col min="8054" max="8054" width="10.42578125" customWidth="1"/>
    <col min="8055" max="8055" width="13.85546875" bestFit="1" customWidth="1"/>
    <col min="8056" max="8056" width="15.42578125" bestFit="1" customWidth="1"/>
    <col min="8057" max="8057" width="12.28515625" bestFit="1" customWidth="1"/>
    <col min="8058" max="8058" width="12.7109375" customWidth="1"/>
    <col min="8059" max="8059" width="10.7109375" bestFit="1" customWidth="1"/>
    <col min="8060" max="8060" width="9.85546875" customWidth="1"/>
    <col min="8061" max="8062" width="10.140625" bestFit="1" customWidth="1"/>
    <col min="8063" max="8063" width="7.5703125" bestFit="1" customWidth="1"/>
    <col min="8064" max="8064" width="9.42578125" bestFit="1" customWidth="1"/>
    <col min="8065" max="8065" width="14.5703125" bestFit="1" customWidth="1"/>
    <col min="8066" max="8066" width="14.85546875" customWidth="1"/>
    <col min="8067" max="8067" width="15.140625" bestFit="1" customWidth="1"/>
    <col min="8068" max="8068" width="12.140625" bestFit="1" customWidth="1"/>
    <col min="8069" max="8069" width="14.85546875" bestFit="1" customWidth="1"/>
    <col min="8070" max="8070" width="12.28515625" bestFit="1" customWidth="1"/>
    <col min="8071" max="8079" width="9.140625" hidden="1" customWidth="1"/>
    <col min="8080" max="8080" width="5.28515625" bestFit="1" customWidth="1"/>
    <col min="8081" max="8086" width="11.5703125" bestFit="1" customWidth="1"/>
    <col min="8087" max="8087" width="11.28515625" bestFit="1" customWidth="1"/>
    <col min="8088" max="8088" width="10.140625" bestFit="1" customWidth="1"/>
    <col min="8089" max="8089" width="11.5703125" bestFit="1" customWidth="1"/>
    <col min="8090" max="8090" width="16.140625" customWidth="1"/>
    <col min="8091" max="8091" width="13.42578125" customWidth="1"/>
    <col min="8092" max="8092" width="10.140625" bestFit="1" customWidth="1"/>
    <col min="8093" max="8093" width="12.85546875" bestFit="1" customWidth="1"/>
    <col min="8094" max="8094" width="12.28515625" bestFit="1" customWidth="1"/>
    <col min="8095" max="8095" width="11.28515625" bestFit="1" customWidth="1"/>
    <col min="8096" max="8096" width="11.5703125" bestFit="1" customWidth="1"/>
    <col min="8097" max="8097" width="10.85546875" bestFit="1" customWidth="1"/>
    <col min="8098" max="8098" width="11.28515625" bestFit="1" customWidth="1"/>
    <col min="8099" max="8099" width="10.140625" bestFit="1" customWidth="1"/>
    <col min="8100" max="8100" width="13.28515625" bestFit="1" customWidth="1"/>
    <col min="8101" max="8102" width="12.7109375" bestFit="1" customWidth="1"/>
    <col min="8103" max="8103" width="11" bestFit="1" customWidth="1"/>
    <col min="8104" max="8104" width="11.28515625" bestFit="1" customWidth="1"/>
    <col min="8105" max="8105" width="11.5703125" bestFit="1" customWidth="1"/>
    <col min="8106" max="8106" width="12.28515625" bestFit="1" customWidth="1"/>
    <col min="8107" max="8107" width="15.140625" bestFit="1" customWidth="1"/>
    <col min="8108" max="8108" width="14.42578125" bestFit="1" customWidth="1"/>
    <col min="8109" max="8109" width="12.28515625" bestFit="1" customWidth="1"/>
    <col min="8110" max="8110" width="15.140625" bestFit="1" customWidth="1"/>
    <col min="8111" max="8111" width="14.42578125" bestFit="1" customWidth="1"/>
    <col min="8112" max="8112" width="12.28515625" bestFit="1" customWidth="1"/>
    <col min="8113" max="8113" width="14.42578125" bestFit="1" customWidth="1"/>
    <col min="8114" max="8114" width="11.28515625" bestFit="1" customWidth="1"/>
    <col min="8115" max="8115" width="12.28515625" bestFit="1" customWidth="1"/>
    <col min="8116" max="8116" width="13" bestFit="1" customWidth="1"/>
    <col min="8117" max="8117" width="15.140625" bestFit="1" customWidth="1"/>
    <col min="8118" max="8118" width="12.28515625" bestFit="1" customWidth="1"/>
    <col min="8119" max="8119" width="13.85546875" bestFit="1" customWidth="1"/>
    <col min="8120" max="8120" width="11.28515625" bestFit="1" customWidth="1"/>
    <col min="8121" max="8121" width="12.28515625" bestFit="1" customWidth="1"/>
    <col min="8122" max="8122" width="13.85546875" bestFit="1" customWidth="1"/>
    <col min="8123" max="8124" width="15.140625" bestFit="1" customWidth="1"/>
    <col min="8125" max="8125" width="12.28515625" bestFit="1" customWidth="1"/>
    <col min="8126" max="8126" width="5.7109375" bestFit="1" customWidth="1"/>
    <col min="8127" max="8127" width="8.5703125" bestFit="1" customWidth="1"/>
    <col min="8128" max="8128" width="5.5703125" bestFit="1" customWidth="1"/>
    <col min="8129" max="8129" width="14.42578125" bestFit="1" customWidth="1"/>
    <col min="8130" max="8130" width="11.28515625" bestFit="1" customWidth="1"/>
    <col min="8131" max="8132" width="12.28515625" bestFit="1" customWidth="1"/>
    <col min="8133" max="8133" width="11.28515625" bestFit="1" customWidth="1"/>
    <col min="8134" max="8134" width="13.85546875" bestFit="1" customWidth="1"/>
    <col min="8135" max="8135" width="12" bestFit="1" customWidth="1"/>
    <col min="8136" max="8136" width="13.85546875" bestFit="1" customWidth="1"/>
    <col min="8137" max="8138" width="14.42578125" customWidth="1"/>
    <col min="8139" max="8139" width="10.140625" bestFit="1" customWidth="1"/>
    <col min="8140" max="8140" width="12.28515625" bestFit="1" customWidth="1"/>
    <col min="8141" max="8141" width="7.42578125" bestFit="1" customWidth="1"/>
    <col min="8142" max="8142" width="8.5703125" bestFit="1" customWidth="1"/>
    <col min="8143" max="8143" width="11.5703125" bestFit="1" customWidth="1"/>
    <col min="8144" max="8144" width="13.28515625" bestFit="1" customWidth="1"/>
    <col min="8145" max="8145" width="13.28515625" customWidth="1"/>
    <col min="8146" max="8146" width="13.140625" customWidth="1"/>
    <col min="8147" max="8147" width="12.7109375" bestFit="1" customWidth="1"/>
    <col min="8148" max="8148" width="13.28515625" bestFit="1" customWidth="1"/>
    <col min="8149" max="8151" width="13.28515625" customWidth="1"/>
    <col min="8152" max="8152" width="12.140625" bestFit="1" customWidth="1"/>
    <col min="8153" max="8153" width="12.7109375" bestFit="1" customWidth="1"/>
    <col min="8154" max="8154" width="11" customWidth="1"/>
    <col min="8155" max="8155" width="16.7109375" customWidth="1"/>
    <col min="8156" max="8156" width="17" customWidth="1"/>
    <col min="8157" max="8157" width="10.42578125" bestFit="1" customWidth="1"/>
    <col min="8201" max="8201" width="3.85546875" customWidth="1"/>
    <col min="8202" max="8202" width="15.28515625" bestFit="1" customWidth="1"/>
    <col min="8203" max="8203" width="12.28515625" customWidth="1"/>
    <col min="8204" max="8204" width="16.28515625" bestFit="1" customWidth="1"/>
    <col min="8205" max="8205" width="6.42578125" bestFit="1" customWidth="1"/>
    <col min="8206" max="8206" width="9.28515625" bestFit="1" customWidth="1"/>
    <col min="8207" max="8207" width="7.5703125" bestFit="1" customWidth="1"/>
    <col min="8208" max="8208" width="13.28515625" bestFit="1" customWidth="1"/>
    <col min="8209" max="8209" width="9.28515625" bestFit="1" customWidth="1"/>
    <col min="8210" max="8210" width="11.5703125" bestFit="1" customWidth="1"/>
    <col min="8211" max="8211" width="13.28515625" bestFit="1" customWidth="1"/>
    <col min="8212" max="8212" width="7.140625" bestFit="1" customWidth="1"/>
    <col min="8213" max="8213" width="12" bestFit="1" customWidth="1"/>
    <col min="8214" max="8214" width="13.28515625" bestFit="1" customWidth="1"/>
    <col min="8215" max="8215" width="7" bestFit="1" customWidth="1"/>
    <col min="8216" max="8216" width="12.7109375" bestFit="1" customWidth="1"/>
    <col min="8217" max="8217" width="11.5703125" bestFit="1" customWidth="1"/>
    <col min="8218" max="8218" width="10.5703125" bestFit="1" customWidth="1"/>
    <col min="8219" max="8220" width="15.7109375" bestFit="1" customWidth="1"/>
    <col min="8221" max="8221" width="11.5703125" bestFit="1" customWidth="1"/>
    <col min="8222" max="8222" width="7.7109375" bestFit="1" customWidth="1"/>
    <col min="8223" max="8223" width="15.140625" bestFit="1" customWidth="1"/>
    <col min="8224" max="8224" width="11.5703125" bestFit="1" customWidth="1"/>
    <col min="8225" max="8225" width="13.28515625" bestFit="1" customWidth="1"/>
    <col min="8226" max="8226" width="10.42578125" bestFit="1" customWidth="1"/>
    <col min="8227" max="8227" width="13.28515625" bestFit="1" customWidth="1"/>
    <col min="8228" max="8228" width="12.140625" bestFit="1" customWidth="1"/>
    <col min="8229" max="8229" width="14.42578125" bestFit="1" customWidth="1"/>
    <col min="8230" max="8230" width="13.28515625" bestFit="1" customWidth="1"/>
    <col min="8231" max="8231" width="11.5703125" bestFit="1" customWidth="1"/>
    <col min="8232" max="8232" width="7.7109375" bestFit="1" customWidth="1"/>
    <col min="8233" max="8234" width="14.42578125" bestFit="1" customWidth="1"/>
    <col min="8235" max="8235" width="11.5703125" bestFit="1" customWidth="1"/>
    <col min="8236" max="8236" width="7.7109375" bestFit="1" customWidth="1"/>
    <col min="8237" max="8237" width="13.5703125" customWidth="1"/>
    <col min="8238" max="8238" width="15.28515625" customWidth="1"/>
    <col min="8239" max="8239" width="14.5703125" customWidth="1"/>
    <col min="8240" max="8240" width="13.28515625" bestFit="1" customWidth="1"/>
    <col min="8241" max="8241" width="7.7109375" bestFit="1" customWidth="1"/>
    <col min="8242" max="8242" width="12.7109375" bestFit="1" customWidth="1"/>
    <col min="8243" max="8243" width="11.7109375" bestFit="1" customWidth="1"/>
    <col min="8244" max="8244" width="11.5703125" bestFit="1" customWidth="1"/>
    <col min="8245" max="8245" width="5.28515625" bestFit="1" customWidth="1"/>
    <col min="8246" max="8246" width="13.28515625" bestFit="1" customWidth="1"/>
    <col min="8247" max="8247" width="13.5703125" bestFit="1" customWidth="1"/>
    <col min="8248" max="8248" width="10.5703125" bestFit="1" customWidth="1"/>
    <col min="8249" max="8249" width="13.28515625" bestFit="1" customWidth="1"/>
    <col min="8250" max="8250" width="11.5703125" bestFit="1" customWidth="1"/>
    <col min="8251" max="8251" width="10.5703125" bestFit="1" customWidth="1"/>
    <col min="8252" max="8252" width="16.140625" bestFit="1" customWidth="1"/>
    <col min="8253" max="8254" width="11.28515625" bestFit="1" customWidth="1"/>
    <col min="8255" max="8255" width="13.28515625" bestFit="1" customWidth="1"/>
    <col min="8256" max="8256" width="7.7109375" bestFit="1" customWidth="1"/>
    <col min="8257" max="8260" width="9.140625" hidden="1" customWidth="1"/>
    <col min="8261" max="8261" width="10.42578125" bestFit="1" customWidth="1"/>
    <col min="8262" max="8262" width="10.5703125" bestFit="1" customWidth="1"/>
    <col min="8263" max="8263" width="10.42578125" bestFit="1" customWidth="1"/>
    <col min="8264" max="8264" width="10.5703125" bestFit="1" customWidth="1"/>
    <col min="8265" max="8265" width="9.5703125" bestFit="1" customWidth="1"/>
    <col min="8266" max="8266" width="11.5703125" bestFit="1" customWidth="1"/>
    <col min="8267" max="8267" width="10.42578125" bestFit="1" customWidth="1"/>
    <col min="8268" max="8268" width="10.85546875" customWidth="1"/>
    <col min="8269" max="8270" width="9.85546875" bestFit="1" customWidth="1"/>
    <col min="8271" max="8271" width="13.5703125" bestFit="1" customWidth="1"/>
    <col min="8272" max="8272" width="7.7109375" bestFit="1" customWidth="1"/>
    <col min="8273" max="8273" width="13.28515625" bestFit="1" customWidth="1"/>
    <col min="8274" max="8274" width="11.5703125" bestFit="1" customWidth="1"/>
    <col min="8275" max="8275" width="10.42578125" bestFit="1" customWidth="1"/>
    <col min="8276" max="8276" width="7.7109375" bestFit="1" customWidth="1"/>
    <col min="8277" max="8277" width="11.5703125" bestFit="1" customWidth="1"/>
    <col min="8278" max="8278" width="10.85546875" bestFit="1" customWidth="1"/>
    <col min="8279" max="8279" width="13.28515625" bestFit="1" customWidth="1"/>
    <col min="8280" max="8280" width="10.85546875" bestFit="1" customWidth="1"/>
    <col min="8281" max="8282" width="7.5703125" bestFit="1" customWidth="1"/>
    <col min="8283" max="8284" width="10.42578125" bestFit="1" customWidth="1"/>
    <col min="8285" max="8285" width="11.5703125" bestFit="1" customWidth="1"/>
    <col min="8286" max="8286" width="5.28515625" bestFit="1" customWidth="1"/>
    <col min="8287" max="8287" width="10.28515625" bestFit="1" customWidth="1"/>
    <col min="8288" max="8288" width="10.42578125" bestFit="1" customWidth="1"/>
    <col min="8289" max="8289" width="11.5703125" bestFit="1" customWidth="1"/>
    <col min="8290" max="8290" width="5.28515625" bestFit="1" customWidth="1"/>
    <col min="8291" max="8293" width="11.5703125" bestFit="1" customWidth="1"/>
    <col min="8294" max="8294" width="5.28515625" bestFit="1" customWidth="1"/>
    <col min="8295" max="8296" width="10.42578125" bestFit="1" customWidth="1"/>
    <col min="8297" max="8297" width="11.5703125" bestFit="1" customWidth="1"/>
    <col min="8298" max="8298" width="5.28515625" bestFit="1" customWidth="1"/>
    <col min="8299" max="8299" width="14.28515625" bestFit="1" customWidth="1"/>
    <col min="8300" max="8300" width="13" bestFit="1" customWidth="1"/>
    <col min="8301" max="8301" width="11.5703125" bestFit="1" customWidth="1"/>
    <col min="8302" max="8302" width="8.85546875" bestFit="1" customWidth="1"/>
    <col min="8303" max="8303" width="14.42578125" bestFit="1" customWidth="1"/>
    <col min="8304" max="8304" width="10.42578125" bestFit="1" customWidth="1"/>
    <col min="8305" max="8305" width="12.28515625" bestFit="1" customWidth="1"/>
    <col min="8306" max="8306" width="13.85546875" bestFit="1" customWidth="1"/>
    <col min="8307" max="8307" width="11.28515625" customWidth="1"/>
    <col min="8308" max="8308" width="11.5703125" customWidth="1"/>
    <col min="8309" max="8309" width="13.42578125" bestFit="1" customWidth="1"/>
    <col min="8310" max="8310" width="10.42578125" customWidth="1"/>
    <col min="8311" max="8311" width="13.85546875" bestFit="1" customWidth="1"/>
    <col min="8312" max="8312" width="15.42578125" bestFit="1" customWidth="1"/>
    <col min="8313" max="8313" width="12.28515625" bestFit="1" customWidth="1"/>
    <col min="8314" max="8314" width="12.7109375" customWidth="1"/>
    <col min="8315" max="8315" width="10.7109375" bestFit="1" customWidth="1"/>
    <col min="8316" max="8316" width="9.85546875" customWidth="1"/>
    <col min="8317" max="8318" width="10.140625" bestFit="1" customWidth="1"/>
    <col min="8319" max="8319" width="7.5703125" bestFit="1" customWidth="1"/>
    <col min="8320" max="8320" width="9.42578125" bestFit="1" customWidth="1"/>
    <col min="8321" max="8321" width="14.5703125" bestFit="1" customWidth="1"/>
    <col min="8322" max="8322" width="14.85546875" customWidth="1"/>
    <col min="8323" max="8323" width="15.140625" bestFit="1" customWidth="1"/>
    <col min="8324" max="8324" width="12.140625" bestFit="1" customWidth="1"/>
    <col min="8325" max="8325" width="14.85546875" bestFit="1" customWidth="1"/>
    <col min="8326" max="8326" width="12.28515625" bestFit="1" customWidth="1"/>
    <col min="8327" max="8335" width="9.140625" hidden="1" customWidth="1"/>
    <col min="8336" max="8336" width="5.28515625" bestFit="1" customWidth="1"/>
    <col min="8337" max="8342" width="11.5703125" bestFit="1" customWidth="1"/>
    <col min="8343" max="8343" width="11.28515625" bestFit="1" customWidth="1"/>
    <col min="8344" max="8344" width="10.140625" bestFit="1" customWidth="1"/>
    <col min="8345" max="8345" width="11.5703125" bestFit="1" customWidth="1"/>
    <col min="8346" max="8346" width="16.140625" customWidth="1"/>
    <col min="8347" max="8347" width="13.42578125" customWidth="1"/>
    <col min="8348" max="8348" width="10.140625" bestFit="1" customWidth="1"/>
    <col min="8349" max="8349" width="12.85546875" bestFit="1" customWidth="1"/>
    <col min="8350" max="8350" width="12.28515625" bestFit="1" customWidth="1"/>
    <col min="8351" max="8351" width="11.28515625" bestFit="1" customWidth="1"/>
    <col min="8352" max="8352" width="11.5703125" bestFit="1" customWidth="1"/>
    <col min="8353" max="8353" width="10.85546875" bestFit="1" customWidth="1"/>
    <col min="8354" max="8354" width="11.28515625" bestFit="1" customWidth="1"/>
    <col min="8355" max="8355" width="10.140625" bestFit="1" customWidth="1"/>
    <col min="8356" max="8356" width="13.28515625" bestFit="1" customWidth="1"/>
    <col min="8357" max="8358" width="12.7109375" bestFit="1" customWidth="1"/>
    <col min="8359" max="8359" width="11" bestFit="1" customWidth="1"/>
    <col min="8360" max="8360" width="11.28515625" bestFit="1" customWidth="1"/>
    <col min="8361" max="8361" width="11.5703125" bestFit="1" customWidth="1"/>
    <col min="8362" max="8362" width="12.28515625" bestFit="1" customWidth="1"/>
    <col min="8363" max="8363" width="15.140625" bestFit="1" customWidth="1"/>
    <col min="8364" max="8364" width="14.42578125" bestFit="1" customWidth="1"/>
    <col min="8365" max="8365" width="12.28515625" bestFit="1" customWidth="1"/>
    <col min="8366" max="8366" width="15.140625" bestFit="1" customWidth="1"/>
    <col min="8367" max="8367" width="14.42578125" bestFit="1" customWidth="1"/>
    <col min="8368" max="8368" width="12.28515625" bestFit="1" customWidth="1"/>
    <col min="8369" max="8369" width="14.42578125" bestFit="1" customWidth="1"/>
    <col min="8370" max="8370" width="11.28515625" bestFit="1" customWidth="1"/>
    <col min="8371" max="8371" width="12.28515625" bestFit="1" customWidth="1"/>
    <col min="8372" max="8372" width="13" bestFit="1" customWidth="1"/>
    <col min="8373" max="8373" width="15.140625" bestFit="1" customWidth="1"/>
    <col min="8374" max="8374" width="12.28515625" bestFit="1" customWidth="1"/>
    <col min="8375" max="8375" width="13.85546875" bestFit="1" customWidth="1"/>
    <col min="8376" max="8376" width="11.28515625" bestFit="1" customWidth="1"/>
    <col min="8377" max="8377" width="12.28515625" bestFit="1" customWidth="1"/>
    <col min="8378" max="8378" width="13.85546875" bestFit="1" customWidth="1"/>
    <col min="8379" max="8380" width="15.140625" bestFit="1" customWidth="1"/>
    <col min="8381" max="8381" width="12.28515625" bestFit="1" customWidth="1"/>
    <col min="8382" max="8382" width="5.7109375" bestFit="1" customWidth="1"/>
    <col min="8383" max="8383" width="8.5703125" bestFit="1" customWidth="1"/>
    <col min="8384" max="8384" width="5.5703125" bestFit="1" customWidth="1"/>
    <col min="8385" max="8385" width="14.42578125" bestFit="1" customWidth="1"/>
    <col min="8386" max="8386" width="11.28515625" bestFit="1" customWidth="1"/>
    <col min="8387" max="8388" width="12.28515625" bestFit="1" customWidth="1"/>
    <col min="8389" max="8389" width="11.28515625" bestFit="1" customWidth="1"/>
    <col min="8390" max="8390" width="13.85546875" bestFit="1" customWidth="1"/>
    <col min="8391" max="8391" width="12" bestFit="1" customWidth="1"/>
    <col min="8392" max="8392" width="13.85546875" bestFit="1" customWidth="1"/>
    <col min="8393" max="8394" width="14.42578125" customWidth="1"/>
    <col min="8395" max="8395" width="10.140625" bestFit="1" customWidth="1"/>
    <col min="8396" max="8396" width="12.28515625" bestFit="1" customWidth="1"/>
    <col min="8397" max="8397" width="7.42578125" bestFit="1" customWidth="1"/>
    <col min="8398" max="8398" width="8.5703125" bestFit="1" customWidth="1"/>
    <col min="8399" max="8399" width="11.5703125" bestFit="1" customWidth="1"/>
    <col min="8400" max="8400" width="13.28515625" bestFit="1" customWidth="1"/>
    <col min="8401" max="8401" width="13.28515625" customWidth="1"/>
    <col min="8402" max="8402" width="13.140625" customWidth="1"/>
    <col min="8403" max="8403" width="12.7109375" bestFit="1" customWidth="1"/>
    <col min="8404" max="8404" width="13.28515625" bestFit="1" customWidth="1"/>
    <col min="8405" max="8407" width="13.28515625" customWidth="1"/>
    <col min="8408" max="8408" width="12.140625" bestFit="1" customWidth="1"/>
    <col min="8409" max="8409" width="12.7109375" bestFit="1" customWidth="1"/>
    <col min="8410" max="8410" width="11" customWidth="1"/>
    <col min="8411" max="8411" width="16.7109375" customWidth="1"/>
    <col min="8412" max="8412" width="17" customWidth="1"/>
    <col min="8413" max="8413" width="10.42578125" bestFit="1" customWidth="1"/>
    <col min="8457" max="8457" width="3.85546875" customWidth="1"/>
    <col min="8458" max="8458" width="15.28515625" bestFit="1" customWidth="1"/>
    <col min="8459" max="8459" width="12.28515625" customWidth="1"/>
    <col min="8460" max="8460" width="16.28515625" bestFit="1" customWidth="1"/>
    <col min="8461" max="8461" width="6.42578125" bestFit="1" customWidth="1"/>
    <col min="8462" max="8462" width="9.28515625" bestFit="1" customWidth="1"/>
    <col min="8463" max="8463" width="7.5703125" bestFit="1" customWidth="1"/>
    <col min="8464" max="8464" width="13.28515625" bestFit="1" customWidth="1"/>
    <col min="8465" max="8465" width="9.28515625" bestFit="1" customWidth="1"/>
    <col min="8466" max="8466" width="11.5703125" bestFit="1" customWidth="1"/>
    <col min="8467" max="8467" width="13.28515625" bestFit="1" customWidth="1"/>
    <col min="8468" max="8468" width="7.140625" bestFit="1" customWidth="1"/>
    <col min="8469" max="8469" width="12" bestFit="1" customWidth="1"/>
    <col min="8470" max="8470" width="13.28515625" bestFit="1" customWidth="1"/>
    <col min="8471" max="8471" width="7" bestFit="1" customWidth="1"/>
    <col min="8472" max="8472" width="12.7109375" bestFit="1" customWidth="1"/>
    <col min="8473" max="8473" width="11.5703125" bestFit="1" customWidth="1"/>
    <col min="8474" max="8474" width="10.5703125" bestFit="1" customWidth="1"/>
    <col min="8475" max="8476" width="15.7109375" bestFit="1" customWidth="1"/>
    <col min="8477" max="8477" width="11.5703125" bestFit="1" customWidth="1"/>
    <col min="8478" max="8478" width="7.7109375" bestFit="1" customWidth="1"/>
    <col min="8479" max="8479" width="15.140625" bestFit="1" customWidth="1"/>
    <col min="8480" max="8480" width="11.5703125" bestFit="1" customWidth="1"/>
    <col min="8481" max="8481" width="13.28515625" bestFit="1" customWidth="1"/>
    <col min="8482" max="8482" width="10.42578125" bestFit="1" customWidth="1"/>
    <col min="8483" max="8483" width="13.28515625" bestFit="1" customWidth="1"/>
    <col min="8484" max="8484" width="12.140625" bestFit="1" customWidth="1"/>
    <col min="8485" max="8485" width="14.42578125" bestFit="1" customWidth="1"/>
    <col min="8486" max="8486" width="13.28515625" bestFit="1" customWidth="1"/>
    <col min="8487" max="8487" width="11.5703125" bestFit="1" customWidth="1"/>
    <col min="8488" max="8488" width="7.7109375" bestFit="1" customWidth="1"/>
    <col min="8489" max="8490" width="14.42578125" bestFit="1" customWidth="1"/>
    <col min="8491" max="8491" width="11.5703125" bestFit="1" customWidth="1"/>
    <col min="8492" max="8492" width="7.7109375" bestFit="1" customWidth="1"/>
    <col min="8493" max="8493" width="13.5703125" customWidth="1"/>
    <col min="8494" max="8494" width="15.28515625" customWidth="1"/>
    <col min="8495" max="8495" width="14.5703125" customWidth="1"/>
    <col min="8496" max="8496" width="13.28515625" bestFit="1" customWidth="1"/>
    <col min="8497" max="8497" width="7.7109375" bestFit="1" customWidth="1"/>
    <col min="8498" max="8498" width="12.7109375" bestFit="1" customWidth="1"/>
    <col min="8499" max="8499" width="11.7109375" bestFit="1" customWidth="1"/>
    <col min="8500" max="8500" width="11.5703125" bestFit="1" customWidth="1"/>
    <col min="8501" max="8501" width="5.28515625" bestFit="1" customWidth="1"/>
    <col min="8502" max="8502" width="13.28515625" bestFit="1" customWidth="1"/>
    <col min="8503" max="8503" width="13.5703125" bestFit="1" customWidth="1"/>
    <col min="8504" max="8504" width="10.5703125" bestFit="1" customWidth="1"/>
    <col min="8505" max="8505" width="13.28515625" bestFit="1" customWidth="1"/>
    <col min="8506" max="8506" width="11.5703125" bestFit="1" customWidth="1"/>
    <col min="8507" max="8507" width="10.5703125" bestFit="1" customWidth="1"/>
    <col min="8508" max="8508" width="16.140625" bestFit="1" customWidth="1"/>
    <col min="8509" max="8510" width="11.28515625" bestFit="1" customWidth="1"/>
    <col min="8511" max="8511" width="13.28515625" bestFit="1" customWidth="1"/>
    <col min="8512" max="8512" width="7.7109375" bestFit="1" customWidth="1"/>
    <col min="8513" max="8516" width="9.140625" hidden="1" customWidth="1"/>
    <col min="8517" max="8517" width="10.42578125" bestFit="1" customWidth="1"/>
    <col min="8518" max="8518" width="10.5703125" bestFit="1" customWidth="1"/>
    <col min="8519" max="8519" width="10.42578125" bestFit="1" customWidth="1"/>
    <col min="8520" max="8520" width="10.5703125" bestFit="1" customWidth="1"/>
    <col min="8521" max="8521" width="9.5703125" bestFit="1" customWidth="1"/>
    <col min="8522" max="8522" width="11.5703125" bestFit="1" customWidth="1"/>
    <col min="8523" max="8523" width="10.42578125" bestFit="1" customWidth="1"/>
    <col min="8524" max="8524" width="10.85546875" customWidth="1"/>
    <col min="8525" max="8526" width="9.85546875" bestFit="1" customWidth="1"/>
    <col min="8527" max="8527" width="13.5703125" bestFit="1" customWidth="1"/>
    <col min="8528" max="8528" width="7.7109375" bestFit="1" customWidth="1"/>
    <col min="8529" max="8529" width="13.28515625" bestFit="1" customWidth="1"/>
    <col min="8530" max="8530" width="11.5703125" bestFit="1" customWidth="1"/>
    <col min="8531" max="8531" width="10.42578125" bestFit="1" customWidth="1"/>
    <col min="8532" max="8532" width="7.7109375" bestFit="1" customWidth="1"/>
    <col min="8533" max="8533" width="11.5703125" bestFit="1" customWidth="1"/>
    <col min="8534" max="8534" width="10.85546875" bestFit="1" customWidth="1"/>
    <col min="8535" max="8535" width="13.28515625" bestFit="1" customWidth="1"/>
    <col min="8536" max="8536" width="10.85546875" bestFit="1" customWidth="1"/>
    <col min="8537" max="8538" width="7.5703125" bestFit="1" customWidth="1"/>
    <col min="8539" max="8540" width="10.42578125" bestFit="1" customWidth="1"/>
    <col min="8541" max="8541" width="11.5703125" bestFit="1" customWidth="1"/>
    <col min="8542" max="8542" width="5.28515625" bestFit="1" customWidth="1"/>
    <col min="8543" max="8543" width="10.28515625" bestFit="1" customWidth="1"/>
    <col min="8544" max="8544" width="10.42578125" bestFit="1" customWidth="1"/>
    <col min="8545" max="8545" width="11.5703125" bestFit="1" customWidth="1"/>
    <col min="8546" max="8546" width="5.28515625" bestFit="1" customWidth="1"/>
    <col min="8547" max="8549" width="11.5703125" bestFit="1" customWidth="1"/>
    <col min="8550" max="8550" width="5.28515625" bestFit="1" customWidth="1"/>
    <col min="8551" max="8552" width="10.42578125" bestFit="1" customWidth="1"/>
    <col min="8553" max="8553" width="11.5703125" bestFit="1" customWidth="1"/>
    <col min="8554" max="8554" width="5.28515625" bestFit="1" customWidth="1"/>
    <col min="8555" max="8555" width="14.28515625" bestFit="1" customWidth="1"/>
    <col min="8556" max="8556" width="13" bestFit="1" customWidth="1"/>
    <col min="8557" max="8557" width="11.5703125" bestFit="1" customWidth="1"/>
    <col min="8558" max="8558" width="8.85546875" bestFit="1" customWidth="1"/>
    <col min="8559" max="8559" width="14.42578125" bestFit="1" customWidth="1"/>
    <col min="8560" max="8560" width="10.42578125" bestFit="1" customWidth="1"/>
    <col min="8561" max="8561" width="12.28515625" bestFit="1" customWidth="1"/>
    <col min="8562" max="8562" width="13.85546875" bestFit="1" customWidth="1"/>
    <col min="8563" max="8563" width="11.28515625" customWidth="1"/>
    <col min="8564" max="8564" width="11.5703125" customWidth="1"/>
    <col min="8565" max="8565" width="13.42578125" bestFit="1" customWidth="1"/>
    <col min="8566" max="8566" width="10.42578125" customWidth="1"/>
    <col min="8567" max="8567" width="13.85546875" bestFit="1" customWidth="1"/>
    <col min="8568" max="8568" width="15.42578125" bestFit="1" customWidth="1"/>
    <col min="8569" max="8569" width="12.28515625" bestFit="1" customWidth="1"/>
    <col min="8570" max="8570" width="12.7109375" customWidth="1"/>
    <col min="8571" max="8571" width="10.7109375" bestFit="1" customWidth="1"/>
    <col min="8572" max="8572" width="9.85546875" customWidth="1"/>
    <col min="8573" max="8574" width="10.140625" bestFit="1" customWidth="1"/>
    <col min="8575" max="8575" width="7.5703125" bestFit="1" customWidth="1"/>
    <col min="8576" max="8576" width="9.42578125" bestFit="1" customWidth="1"/>
    <col min="8577" max="8577" width="14.5703125" bestFit="1" customWidth="1"/>
    <col min="8578" max="8578" width="14.85546875" customWidth="1"/>
    <col min="8579" max="8579" width="15.140625" bestFit="1" customWidth="1"/>
    <col min="8580" max="8580" width="12.140625" bestFit="1" customWidth="1"/>
    <col min="8581" max="8581" width="14.85546875" bestFit="1" customWidth="1"/>
    <col min="8582" max="8582" width="12.28515625" bestFit="1" customWidth="1"/>
    <col min="8583" max="8591" width="9.140625" hidden="1" customWidth="1"/>
    <col min="8592" max="8592" width="5.28515625" bestFit="1" customWidth="1"/>
    <col min="8593" max="8598" width="11.5703125" bestFit="1" customWidth="1"/>
    <col min="8599" max="8599" width="11.28515625" bestFit="1" customWidth="1"/>
    <col min="8600" max="8600" width="10.140625" bestFit="1" customWidth="1"/>
    <col min="8601" max="8601" width="11.5703125" bestFit="1" customWidth="1"/>
    <col min="8602" max="8602" width="16.140625" customWidth="1"/>
    <col min="8603" max="8603" width="13.42578125" customWidth="1"/>
    <col min="8604" max="8604" width="10.140625" bestFit="1" customWidth="1"/>
    <col min="8605" max="8605" width="12.85546875" bestFit="1" customWidth="1"/>
    <col min="8606" max="8606" width="12.28515625" bestFit="1" customWidth="1"/>
    <col min="8607" max="8607" width="11.28515625" bestFit="1" customWidth="1"/>
    <col min="8608" max="8608" width="11.5703125" bestFit="1" customWidth="1"/>
    <col min="8609" max="8609" width="10.85546875" bestFit="1" customWidth="1"/>
    <col min="8610" max="8610" width="11.28515625" bestFit="1" customWidth="1"/>
    <col min="8611" max="8611" width="10.140625" bestFit="1" customWidth="1"/>
    <col min="8612" max="8612" width="13.28515625" bestFit="1" customWidth="1"/>
    <col min="8613" max="8614" width="12.7109375" bestFit="1" customWidth="1"/>
    <col min="8615" max="8615" width="11" bestFit="1" customWidth="1"/>
    <col min="8616" max="8616" width="11.28515625" bestFit="1" customWidth="1"/>
    <col min="8617" max="8617" width="11.5703125" bestFit="1" customWidth="1"/>
    <col min="8618" max="8618" width="12.28515625" bestFit="1" customWidth="1"/>
    <col min="8619" max="8619" width="15.140625" bestFit="1" customWidth="1"/>
    <col min="8620" max="8620" width="14.42578125" bestFit="1" customWidth="1"/>
    <col min="8621" max="8621" width="12.28515625" bestFit="1" customWidth="1"/>
    <col min="8622" max="8622" width="15.140625" bestFit="1" customWidth="1"/>
    <col min="8623" max="8623" width="14.42578125" bestFit="1" customWidth="1"/>
    <col min="8624" max="8624" width="12.28515625" bestFit="1" customWidth="1"/>
    <col min="8625" max="8625" width="14.42578125" bestFit="1" customWidth="1"/>
    <col min="8626" max="8626" width="11.28515625" bestFit="1" customWidth="1"/>
    <col min="8627" max="8627" width="12.28515625" bestFit="1" customWidth="1"/>
    <col min="8628" max="8628" width="13" bestFit="1" customWidth="1"/>
    <col min="8629" max="8629" width="15.140625" bestFit="1" customWidth="1"/>
    <col min="8630" max="8630" width="12.28515625" bestFit="1" customWidth="1"/>
    <col min="8631" max="8631" width="13.85546875" bestFit="1" customWidth="1"/>
    <col min="8632" max="8632" width="11.28515625" bestFit="1" customWidth="1"/>
    <col min="8633" max="8633" width="12.28515625" bestFit="1" customWidth="1"/>
    <col min="8634" max="8634" width="13.85546875" bestFit="1" customWidth="1"/>
    <col min="8635" max="8636" width="15.140625" bestFit="1" customWidth="1"/>
    <col min="8637" max="8637" width="12.28515625" bestFit="1" customWidth="1"/>
    <col min="8638" max="8638" width="5.7109375" bestFit="1" customWidth="1"/>
    <col min="8639" max="8639" width="8.5703125" bestFit="1" customWidth="1"/>
    <col min="8640" max="8640" width="5.5703125" bestFit="1" customWidth="1"/>
    <col min="8641" max="8641" width="14.42578125" bestFit="1" customWidth="1"/>
    <col min="8642" max="8642" width="11.28515625" bestFit="1" customWidth="1"/>
    <col min="8643" max="8644" width="12.28515625" bestFit="1" customWidth="1"/>
    <col min="8645" max="8645" width="11.28515625" bestFit="1" customWidth="1"/>
    <col min="8646" max="8646" width="13.85546875" bestFit="1" customWidth="1"/>
    <col min="8647" max="8647" width="12" bestFit="1" customWidth="1"/>
    <col min="8648" max="8648" width="13.85546875" bestFit="1" customWidth="1"/>
    <col min="8649" max="8650" width="14.42578125" customWidth="1"/>
    <col min="8651" max="8651" width="10.140625" bestFit="1" customWidth="1"/>
    <col min="8652" max="8652" width="12.28515625" bestFit="1" customWidth="1"/>
    <col min="8653" max="8653" width="7.42578125" bestFit="1" customWidth="1"/>
    <col min="8654" max="8654" width="8.5703125" bestFit="1" customWidth="1"/>
    <col min="8655" max="8655" width="11.5703125" bestFit="1" customWidth="1"/>
    <col min="8656" max="8656" width="13.28515625" bestFit="1" customWidth="1"/>
    <col min="8657" max="8657" width="13.28515625" customWidth="1"/>
    <col min="8658" max="8658" width="13.140625" customWidth="1"/>
    <col min="8659" max="8659" width="12.7109375" bestFit="1" customWidth="1"/>
    <col min="8660" max="8660" width="13.28515625" bestFit="1" customWidth="1"/>
    <col min="8661" max="8663" width="13.28515625" customWidth="1"/>
    <col min="8664" max="8664" width="12.140625" bestFit="1" customWidth="1"/>
    <col min="8665" max="8665" width="12.7109375" bestFit="1" customWidth="1"/>
    <col min="8666" max="8666" width="11" customWidth="1"/>
    <col min="8667" max="8667" width="16.7109375" customWidth="1"/>
    <col min="8668" max="8668" width="17" customWidth="1"/>
    <col min="8669" max="8669" width="10.42578125" bestFit="1" customWidth="1"/>
    <col min="8713" max="8713" width="3.85546875" customWidth="1"/>
    <col min="8714" max="8714" width="15.28515625" bestFit="1" customWidth="1"/>
    <col min="8715" max="8715" width="12.28515625" customWidth="1"/>
    <col min="8716" max="8716" width="16.28515625" bestFit="1" customWidth="1"/>
    <col min="8717" max="8717" width="6.42578125" bestFit="1" customWidth="1"/>
    <col min="8718" max="8718" width="9.28515625" bestFit="1" customWidth="1"/>
    <col min="8719" max="8719" width="7.5703125" bestFit="1" customWidth="1"/>
    <col min="8720" max="8720" width="13.28515625" bestFit="1" customWidth="1"/>
    <col min="8721" max="8721" width="9.28515625" bestFit="1" customWidth="1"/>
    <col min="8722" max="8722" width="11.5703125" bestFit="1" customWidth="1"/>
    <col min="8723" max="8723" width="13.28515625" bestFit="1" customWidth="1"/>
    <col min="8724" max="8724" width="7.140625" bestFit="1" customWidth="1"/>
    <col min="8725" max="8725" width="12" bestFit="1" customWidth="1"/>
    <col min="8726" max="8726" width="13.28515625" bestFit="1" customWidth="1"/>
    <col min="8727" max="8727" width="7" bestFit="1" customWidth="1"/>
    <col min="8728" max="8728" width="12.7109375" bestFit="1" customWidth="1"/>
    <col min="8729" max="8729" width="11.5703125" bestFit="1" customWidth="1"/>
    <col min="8730" max="8730" width="10.5703125" bestFit="1" customWidth="1"/>
    <col min="8731" max="8732" width="15.7109375" bestFit="1" customWidth="1"/>
    <col min="8733" max="8733" width="11.5703125" bestFit="1" customWidth="1"/>
    <col min="8734" max="8734" width="7.7109375" bestFit="1" customWidth="1"/>
    <col min="8735" max="8735" width="15.140625" bestFit="1" customWidth="1"/>
    <col min="8736" max="8736" width="11.5703125" bestFit="1" customWidth="1"/>
    <col min="8737" max="8737" width="13.28515625" bestFit="1" customWidth="1"/>
    <col min="8738" max="8738" width="10.42578125" bestFit="1" customWidth="1"/>
    <col min="8739" max="8739" width="13.28515625" bestFit="1" customWidth="1"/>
    <col min="8740" max="8740" width="12.140625" bestFit="1" customWidth="1"/>
    <col min="8741" max="8741" width="14.42578125" bestFit="1" customWidth="1"/>
    <col min="8742" max="8742" width="13.28515625" bestFit="1" customWidth="1"/>
    <col min="8743" max="8743" width="11.5703125" bestFit="1" customWidth="1"/>
    <col min="8744" max="8744" width="7.7109375" bestFit="1" customWidth="1"/>
    <col min="8745" max="8746" width="14.42578125" bestFit="1" customWidth="1"/>
    <col min="8747" max="8747" width="11.5703125" bestFit="1" customWidth="1"/>
    <col min="8748" max="8748" width="7.7109375" bestFit="1" customWidth="1"/>
    <col min="8749" max="8749" width="13.5703125" customWidth="1"/>
    <col min="8750" max="8750" width="15.28515625" customWidth="1"/>
    <col min="8751" max="8751" width="14.5703125" customWidth="1"/>
    <col min="8752" max="8752" width="13.28515625" bestFit="1" customWidth="1"/>
    <col min="8753" max="8753" width="7.7109375" bestFit="1" customWidth="1"/>
    <col min="8754" max="8754" width="12.7109375" bestFit="1" customWidth="1"/>
    <col min="8755" max="8755" width="11.7109375" bestFit="1" customWidth="1"/>
    <col min="8756" max="8756" width="11.5703125" bestFit="1" customWidth="1"/>
    <col min="8757" max="8757" width="5.28515625" bestFit="1" customWidth="1"/>
    <col min="8758" max="8758" width="13.28515625" bestFit="1" customWidth="1"/>
    <col min="8759" max="8759" width="13.5703125" bestFit="1" customWidth="1"/>
    <col min="8760" max="8760" width="10.5703125" bestFit="1" customWidth="1"/>
    <col min="8761" max="8761" width="13.28515625" bestFit="1" customWidth="1"/>
    <col min="8762" max="8762" width="11.5703125" bestFit="1" customWidth="1"/>
    <col min="8763" max="8763" width="10.5703125" bestFit="1" customWidth="1"/>
    <col min="8764" max="8764" width="16.140625" bestFit="1" customWidth="1"/>
    <col min="8765" max="8766" width="11.28515625" bestFit="1" customWidth="1"/>
    <col min="8767" max="8767" width="13.28515625" bestFit="1" customWidth="1"/>
    <col min="8768" max="8768" width="7.7109375" bestFit="1" customWidth="1"/>
    <col min="8769" max="8772" width="9.140625" hidden="1" customWidth="1"/>
    <col min="8773" max="8773" width="10.42578125" bestFit="1" customWidth="1"/>
    <col min="8774" max="8774" width="10.5703125" bestFit="1" customWidth="1"/>
    <col min="8775" max="8775" width="10.42578125" bestFit="1" customWidth="1"/>
    <col min="8776" max="8776" width="10.5703125" bestFit="1" customWidth="1"/>
    <col min="8777" max="8777" width="9.5703125" bestFit="1" customWidth="1"/>
    <col min="8778" max="8778" width="11.5703125" bestFit="1" customWidth="1"/>
    <col min="8779" max="8779" width="10.42578125" bestFit="1" customWidth="1"/>
    <col min="8780" max="8780" width="10.85546875" customWidth="1"/>
    <col min="8781" max="8782" width="9.85546875" bestFit="1" customWidth="1"/>
    <col min="8783" max="8783" width="13.5703125" bestFit="1" customWidth="1"/>
    <col min="8784" max="8784" width="7.7109375" bestFit="1" customWidth="1"/>
    <col min="8785" max="8785" width="13.28515625" bestFit="1" customWidth="1"/>
    <col min="8786" max="8786" width="11.5703125" bestFit="1" customWidth="1"/>
    <col min="8787" max="8787" width="10.42578125" bestFit="1" customWidth="1"/>
    <col min="8788" max="8788" width="7.7109375" bestFit="1" customWidth="1"/>
    <col min="8789" max="8789" width="11.5703125" bestFit="1" customWidth="1"/>
    <col min="8790" max="8790" width="10.85546875" bestFit="1" customWidth="1"/>
    <col min="8791" max="8791" width="13.28515625" bestFit="1" customWidth="1"/>
    <col min="8792" max="8792" width="10.85546875" bestFit="1" customWidth="1"/>
    <col min="8793" max="8794" width="7.5703125" bestFit="1" customWidth="1"/>
    <col min="8795" max="8796" width="10.42578125" bestFit="1" customWidth="1"/>
    <col min="8797" max="8797" width="11.5703125" bestFit="1" customWidth="1"/>
    <col min="8798" max="8798" width="5.28515625" bestFit="1" customWidth="1"/>
    <col min="8799" max="8799" width="10.28515625" bestFit="1" customWidth="1"/>
    <col min="8800" max="8800" width="10.42578125" bestFit="1" customWidth="1"/>
    <col min="8801" max="8801" width="11.5703125" bestFit="1" customWidth="1"/>
    <col min="8802" max="8802" width="5.28515625" bestFit="1" customWidth="1"/>
    <col min="8803" max="8805" width="11.5703125" bestFit="1" customWidth="1"/>
    <col min="8806" max="8806" width="5.28515625" bestFit="1" customWidth="1"/>
    <col min="8807" max="8808" width="10.42578125" bestFit="1" customWidth="1"/>
    <col min="8809" max="8809" width="11.5703125" bestFit="1" customWidth="1"/>
    <col min="8810" max="8810" width="5.28515625" bestFit="1" customWidth="1"/>
    <col min="8811" max="8811" width="14.28515625" bestFit="1" customWidth="1"/>
    <col min="8812" max="8812" width="13" bestFit="1" customWidth="1"/>
    <col min="8813" max="8813" width="11.5703125" bestFit="1" customWidth="1"/>
    <col min="8814" max="8814" width="8.85546875" bestFit="1" customWidth="1"/>
    <col min="8815" max="8815" width="14.42578125" bestFit="1" customWidth="1"/>
    <col min="8816" max="8816" width="10.42578125" bestFit="1" customWidth="1"/>
    <col min="8817" max="8817" width="12.28515625" bestFit="1" customWidth="1"/>
    <col min="8818" max="8818" width="13.85546875" bestFit="1" customWidth="1"/>
    <col min="8819" max="8819" width="11.28515625" customWidth="1"/>
    <col min="8820" max="8820" width="11.5703125" customWidth="1"/>
    <col min="8821" max="8821" width="13.42578125" bestFit="1" customWidth="1"/>
    <col min="8822" max="8822" width="10.42578125" customWidth="1"/>
    <col min="8823" max="8823" width="13.85546875" bestFit="1" customWidth="1"/>
    <col min="8824" max="8824" width="15.42578125" bestFit="1" customWidth="1"/>
    <col min="8825" max="8825" width="12.28515625" bestFit="1" customWidth="1"/>
    <col min="8826" max="8826" width="12.7109375" customWidth="1"/>
    <col min="8827" max="8827" width="10.7109375" bestFit="1" customWidth="1"/>
    <col min="8828" max="8828" width="9.85546875" customWidth="1"/>
    <col min="8829" max="8830" width="10.140625" bestFit="1" customWidth="1"/>
    <col min="8831" max="8831" width="7.5703125" bestFit="1" customWidth="1"/>
    <col min="8832" max="8832" width="9.42578125" bestFit="1" customWidth="1"/>
    <col min="8833" max="8833" width="14.5703125" bestFit="1" customWidth="1"/>
    <col min="8834" max="8834" width="14.85546875" customWidth="1"/>
    <col min="8835" max="8835" width="15.140625" bestFit="1" customWidth="1"/>
    <col min="8836" max="8836" width="12.140625" bestFit="1" customWidth="1"/>
    <col min="8837" max="8837" width="14.85546875" bestFit="1" customWidth="1"/>
    <col min="8838" max="8838" width="12.28515625" bestFit="1" customWidth="1"/>
    <col min="8839" max="8847" width="9.140625" hidden="1" customWidth="1"/>
    <col min="8848" max="8848" width="5.28515625" bestFit="1" customWidth="1"/>
    <col min="8849" max="8854" width="11.5703125" bestFit="1" customWidth="1"/>
    <col min="8855" max="8855" width="11.28515625" bestFit="1" customWidth="1"/>
    <col min="8856" max="8856" width="10.140625" bestFit="1" customWidth="1"/>
    <col min="8857" max="8857" width="11.5703125" bestFit="1" customWidth="1"/>
    <col min="8858" max="8858" width="16.140625" customWidth="1"/>
    <col min="8859" max="8859" width="13.42578125" customWidth="1"/>
    <col min="8860" max="8860" width="10.140625" bestFit="1" customWidth="1"/>
    <col min="8861" max="8861" width="12.85546875" bestFit="1" customWidth="1"/>
    <col min="8862" max="8862" width="12.28515625" bestFit="1" customWidth="1"/>
    <col min="8863" max="8863" width="11.28515625" bestFit="1" customWidth="1"/>
    <col min="8864" max="8864" width="11.5703125" bestFit="1" customWidth="1"/>
    <col min="8865" max="8865" width="10.85546875" bestFit="1" customWidth="1"/>
    <col min="8866" max="8866" width="11.28515625" bestFit="1" customWidth="1"/>
    <col min="8867" max="8867" width="10.140625" bestFit="1" customWidth="1"/>
    <col min="8868" max="8868" width="13.28515625" bestFit="1" customWidth="1"/>
    <col min="8869" max="8870" width="12.7109375" bestFit="1" customWidth="1"/>
    <col min="8871" max="8871" width="11" bestFit="1" customWidth="1"/>
    <col min="8872" max="8872" width="11.28515625" bestFit="1" customWidth="1"/>
    <col min="8873" max="8873" width="11.5703125" bestFit="1" customWidth="1"/>
    <col min="8874" max="8874" width="12.28515625" bestFit="1" customWidth="1"/>
    <col min="8875" max="8875" width="15.140625" bestFit="1" customWidth="1"/>
    <col min="8876" max="8876" width="14.42578125" bestFit="1" customWidth="1"/>
    <col min="8877" max="8877" width="12.28515625" bestFit="1" customWidth="1"/>
    <col min="8878" max="8878" width="15.140625" bestFit="1" customWidth="1"/>
    <col min="8879" max="8879" width="14.42578125" bestFit="1" customWidth="1"/>
    <col min="8880" max="8880" width="12.28515625" bestFit="1" customWidth="1"/>
    <col min="8881" max="8881" width="14.42578125" bestFit="1" customWidth="1"/>
    <col min="8882" max="8882" width="11.28515625" bestFit="1" customWidth="1"/>
    <col min="8883" max="8883" width="12.28515625" bestFit="1" customWidth="1"/>
    <col min="8884" max="8884" width="13" bestFit="1" customWidth="1"/>
    <col min="8885" max="8885" width="15.140625" bestFit="1" customWidth="1"/>
    <col min="8886" max="8886" width="12.28515625" bestFit="1" customWidth="1"/>
    <col min="8887" max="8887" width="13.85546875" bestFit="1" customWidth="1"/>
    <col min="8888" max="8888" width="11.28515625" bestFit="1" customWidth="1"/>
    <col min="8889" max="8889" width="12.28515625" bestFit="1" customWidth="1"/>
    <col min="8890" max="8890" width="13.85546875" bestFit="1" customWidth="1"/>
    <col min="8891" max="8892" width="15.140625" bestFit="1" customWidth="1"/>
    <col min="8893" max="8893" width="12.28515625" bestFit="1" customWidth="1"/>
    <col min="8894" max="8894" width="5.7109375" bestFit="1" customWidth="1"/>
    <col min="8895" max="8895" width="8.5703125" bestFit="1" customWidth="1"/>
    <col min="8896" max="8896" width="5.5703125" bestFit="1" customWidth="1"/>
    <col min="8897" max="8897" width="14.42578125" bestFit="1" customWidth="1"/>
    <col min="8898" max="8898" width="11.28515625" bestFit="1" customWidth="1"/>
    <col min="8899" max="8900" width="12.28515625" bestFit="1" customWidth="1"/>
    <col min="8901" max="8901" width="11.28515625" bestFit="1" customWidth="1"/>
    <col min="8902" max="8902" width="13.85546875" bestFit="1" customWidth="1"/>
    <col min="8903" max="8903" width="12" bestFit="1" customWidth="1"/>
    <col min="8904" max="8904" width="13.85546875" bestFit="1" customWidth="1"/>
    <col min="8905" max="8906" width="14.42578125" customWidth="1"/>
    <col min="8907" max="8907" width="10.140625" bestFit="1" customWidth="1"/>
    <col min="8908" max="8908" width="12.28515625" bestFit="1" customWidth="1"/>
    <col min="8909" max="8909" width="7.42578125" bestFit="1" customWidth="1"/>
    <col min="8910" max="8910" width="8.5703125" bestFit="1" customWidth="1"/>
    <col min="8911" max="8911" width="11.5703125" bestFit="1" customWidth="1"/>
    <col min="8912" max="8912" width="13.28515625" bestFit="1" customWidth="1"/>
    <col min="8913" max="8913" width="13.28515625" customWidth="1"/>
    <col min="8914" max="8914" width="13.140625" customWidth="1"/>
    <col min="8915" max="8915" width="12.7109375" bestFit="1" customWidth="1"/>
    <col min="8916" max="8916" width="13.28515625" bestFit="1" customWidth="1"/>
    <col min="8917" max="8919" width="13.28515625" customWidth="1"/>
    <col min="8920" max="8920" width="12.140625" bestFit="1" customWidth="1"/>
    <col min="8921" max="8921" width="12.7109375" bestFit="1" customWidth="1"/>
    <col min="8922" max="8922" width="11" customWidth="1"/>
    <col min="8923" max="8923" width="16.7109375" customWidth="1"/>
    <col min="8924" max="8924" width="17" customWidth="1"/>
    <col min="8925" max="8925" width="10.42578125" bestFit="1" customWidth="1"/>
    <col min="8969" max="8969" width="3.85546875" customWidth="1"/>
    <col min="8970" max="8970" width="15.28515625" bestFit="1" customWidth="1"/>
    <col min="8971" max="8971" width="12.28515625" customWidth="1"/>
    <col min="8972" max="8972" width="16.28515625" bestFit="1" customWidth="1"/>
    <col min="8973" max="8973" width="6.42578125" bestFit="1" customWidth="1"/>
    <col min="8974" max="8974" width="9.28515625" bestFit="1" customWidth="1"/>
    <col min="8975" max="8975" width="7.5703125" bestFit="1" customWidth="1"/>
    <col min="8976" max="8976" width="13.28515625" bestFit="1" customWidth="1"/>
    <col min="8977" max="8977" width="9.28515625" bestFit="1" customWidth="1"/>
    <col min="8978" max="8978" width="11.5703125" bestFit="1" customWidth="1"/>
    <col min="8979" max="8979" width="13.28515625" bestFit="1" customWidth="1"/>
    <col min="8980" max="8980" width="7.140625" bestFit="1" customWidth="1"/>
    <col min="8981" max="8981" width="12" bestFit="1" customWidth="1"/>
    <col min="8982" max="8982" width="13.28515625" bestFit="1" customWidth="1"/>
    <col min="8983" max="8983" width="7" bestFit="1" customWidth="1"/>
    <col min="8984" max="8984" width="12.7109375" bestFit="1" customWidth="1"/>
    <col min="8985" max="8985" width="11.5703125" bestFit="1" customWidth="1"/>
    <col min="8986" max="8986" width="10.5703125" bestFit="1" customWidth="1"/>
    <col min="8987" max="8988" width="15.7109375" bestFit="1" customWidth="1"/>
    <col min="8989" max="8989" width="11.5703125" bestFit="1" customWidth="1"/>
    <col min="8990" max="8990" width="7.7109375" bestFit="1" customWidth="1"/>
    <col min="8991" max="8991" width="15.140625" bestFit="1" customWidth="1"/>
    <col min="8992" max="8992" width="11.5703125" bestFit="1" customWidth="1"/>
    <col min="8993" max="8993" width="13.28515625" bestFit="1" customWidth="1"/>
    <col min="8994" max="8994" width="10.42578125" bestFit="1" customWidth="1"/>
    <col min="8995" max="8995" width="13.28515625" bestFit="1" customWidth="1"/>
    <col min="8996" max="8996" width="12.140625" bestFit="1" customWidth="1"/>
    <col min="8997" max="8997" width="14.42578125" bestFit="1" customWidth="1"/>
    <col min="8998" max="8998" width="13.28515625" bestFit="1" customWidth="1"/>
    <col min="8999" max="8999" width="11.5703125" bestFit="1" customWidth="1"/>
    <col min="9000" max="9000" width="7.7109375" bestFit="1" customWidth="1"/>
    <col min="9001" max="9002" width="14.42578125" bestFit="1" customWidth="1"/>
    <col min="9003" max="9003" width="11.5703125" bestFit="1" customWidth="1"/>
    <col min="9004" max="9004" width="7.7109375" bestFit="1" customWidth="1"/>
    <col min="9005" max="9005" width="13.5703125" customWidth="1"/>
    <col min="9006" max="9006" width="15.28515625" customWidth="1"/>
    <col min="9007" max="9007" width="14.5703125" customWidth="1"/>
    <col min="9008" max="9008" width="13.28515625" bestFit="1" customWidth="1"/>
    <col min="9009" max="9009" width="7.7109375" bestFit="1" customWidth="1"/>
    <col min="9010" max="9010" width="12.7109375" bestFit="1" customWidth="1"/>
    <col min="9011" max="9011" width="11.7109375" bestFit="1" customWidth="1"/>
    <col min="9012" max="9012" width="11.5703125" bestFit="1" customWidth="1"/>
    <col min="9013" max="9013" width="5.28515625" bestFit="1" customWidth="1"/>
    <col min="9014" max="9014" width="13.28515625" bestFit="1" customWidth="1"/>
    <col min="9015" max="9015" width="13.5703125" bestFit="1" customWidth="1"/>
    <col min="9016" max="9016" width="10.5703125" bestFit="1" customWidth="1"/>
    <col min="9017" max="9017" width="13.28515625" bestFit="1" customWidth="1"/>
    <col min="9018" max="9018" width="11.5703125" bestFit="1" customWidth="1"/>
    <col min="9019" max="9019" width="10.5703125" bestFit="1" customWidth="1"/>
    <col min="9020" max="9020" width="16.140625" bestFit="1" customWidth="1"/>
    <col min="9021" max="9022" width="11.28515625" bestFit="1" customWidth="1"/>
    <col min="9023" max="9023" width="13.28515625" bestFit="1" customWidth="1"/>
    <col min="9024" max="9024" width="7.7109375" bestFit="1" customWidth="1"/>
    <col min="9025" max="9028" width="9.140625" hidden="1" customWidth="1"/>
    <col min="9029" max="9029" width="10.42578125" bestFit="1" customWidth="1"/>
    <col min="9030" max="9030" width="10.5703125" bestFit="1" customWidth="1"/>
    <col min="9031" max="9031" width="10.42578125" bestFit="1" customWidth="1"/>
    <col min="9032" max="9032" width="10.5703125" bestFit="1" customWidth="1"/>
    <col min="9033" max="9033" width="9.5703125" bestFit="1" customWidth="1"/>
    <col min="9034" max="9034" width="11.5703125" bestFit="1" customWidth="1"/>
    <col min="9035" max="9035" width="10.42578125" bestFit="1" customWidth="1"/>
    <col min="9036" max="9036" width="10.85546875" customWidth="1"/>
    <col min="9037" max="9038" width="9.85546875" bestFit="1" customWidth="1"/>
    <col min="9039" max="9039" width="13.5703125" bestFit="1" customWidth="1"/>
    <col min="9040" max="9040" width="7.7109375" bestFit="1" customWidth="1"/>
    <col min="9041" max="9041" width="13.28515625" bestFit="1" customWidth="1"/>
    <col min="9042" max="9042" width="11.5703125" bestFit="1" customWidth="1"/>
    <col min="9043" max="9043" width="10.42578125" bestFit="1" customWidth="1"/>
    <col min="9044" max="9044" width="7.7109375" bestFit="1" customWidth="1"/>
    <col min="9045" max="9045" width="11.5703125" bestFit="1" customWidth="1"/>
    <col min="9046" max="9046" width="10.85546875" bestFit="1" customWidth="1"/>
    <col min="9047" max="9047" width="13.28515625" bestFit="1" customWidth="1"/>
    <col min="9048" max="9048" width="10.85546875" bestFit="1" customWidth="1"/>
    <col min="9049" max="9050" width="7.5703125" bestFit="1" customWidth="1"/>
    <col min="9051" max="9052" width="10.42578125" bestFit="1" customWidth="1"/>
    <col min="9053" max="9053" width="11.5703125" bestFit="1" customWidth="1"/>
    <col min="9054" max="9054" width="5.28515625" bestFit="1" customWidth="1"/>
    <col min="9055" max="9055" width="10.28515625" bestFit="1" customWidth="1"/>
    <col min="9056" max="9056" width="10.42578125" bestFit="1" customWidth="1"/>
    <col min="9057" max="9057" width="11.5703125" bestFit="1" customWidth="1"/>
    <col min="9058" max="9058" width="5.28515625" bestFit="1" customWidth="1"/>
    <col min="9059" max="9061" width="11.5703125" bestFit="1" customWidth="1"/>
    <col min="9062" max="9062" width="5.28515625" bestFit="1" customWidth="1"/>
    <col min="9063" max="9064" width="10.42578125" bestFit="1" customWidth="1"/>
    <col min="9065" max="9065" width="11.5703125" bestFit="1" customWidth="1"/>
    <col min="9066" max="9066" width="5.28515625" bestFit="1" customWidth="1"/>
    <col min="9067" max="9067" width="14.28515625" bestFit="1" customWidth="1"/>
    <col min="9068" max="9068" width="13" bestFit="1" customWidth="1"/>
    <col min="9069" max="9069" width="11.5703125" bestFit="1" customWidth="1"/>
    <col min="9070" max="9070" width="8.85546875" bestFit="1" customWidth="1"/>
    <col min="9071" max="9071" width="14.42578125" bestFit="1" customWidth="1"/>
    <col min="9072" max="9072" width="10.42578125" bestFit="1" customWidth="1"/>
    <col min="9073" max="9073" width="12.28515625" bestFit="1" customWidth="1"/>
    <col min="9074" max="9074" width="13.85546875" bestFit="1" customWidth="1"/>
    <col min="9075" max="9075" width="11.28515625" customWidth="1"/>
    <col min="9076" max="9076" width="11.5703125" customWidth="1"/>
    <col min="9077" max="9077" width="13.42578125" bestFit="1" customWidth="1"/>
    <col min="9078" max="9078" width="10.42578125" customWidth="1"/>
    <col min="9079" max="9079" width="13.85546875" bestFit="1" customWidth="1"/>
    <col min="9080" max="9080" width="15.42578125" bestFit="1" customWidth="1"/>
    <col min="9081" max="9081" width="12.28515625" bestFit="1" customWidth="1"/>
    <col min="9082" max="9082" width="12.7109375" customWidth="1"/>
    <col min="9083" max="9083" width="10.7109375" bestFit="1" customWidth="1"/>
    <col min="9084" max="9084" width="9.85546875" customWidth="1"/>
    <col min="9085" max="9086" width="10.140625" bestFit="1" customWidth="1"/>
    <col min="9087" max="9087" width="7.5703125" bestFit="1" customWidth="1"/>
    <col min="9088" max="9088" width="9.42578125" bestFit="1" customWidth="1"/>
    <col min="9089" max="9089" width="14.5703125" bestFit="1" customWidth="1"/>
    <col min="9090" max="9090" width="14.85546875" customWidth="1"/>
    <col min="9091" max="9091" width="15.140625" bestFit="1" customWidth="1"/>
    <col min="9092" max="9092" width="12.140625" bestFit="1" customWidth="1"/>
    <col min="9093" max="9093" width="14.85546875" bestFit="1" customWidth="1"/>
    <col min="9094" max="9094" width="12.28515625" bestFit="1" customWidth="1"/>
    <col min="9095" max="9103" width="9.140625" hidden="1" customWidth="1"/>
    <col min="9104" max="9104" width="5.28515625" bestFit="1" customWidth="1"/>
    <col min="9105" max="9110" width="11.5703125" bestFit="1" customWidth="1"/>
    <col min="9111" max="9111" width="11.28515625" bestFit="1" customWidth="1"/>
    <col min="9112" max="9112" width="10.140625" bestFit="1" customWidth="1"/>
    <col min="9113" max="9113" width="11.5703125" bestFit="1" customWidth="1"/>
    <col min="9114" max="9114" width="16.140625" customWidth="1"/>
    <col min="9115" max="9115" width="13.42578125" customWidth="1"/>
    <col min="9116" max="9116" width="10.140625" bestFit="1" customWidth="1"/>
    <col min="9117" max="9117" width="12.85546875" bestFit="1" customWidth="1"/>
    <col min="9118" max="9118" width="12.28515625" bestFit="1" customWidth="1"/>
    <col min="9119" max="9119" width="11.28515625" bestFit="1" customWidth="1"/>
    <col min="9120" max="9120" width="11.5703125" bestFit="1" customWidth="1"/>
    <col min="9121" max="9121" width="10.85546875" bestFit="1" customWidth="1"/>
    <col min="9122" max="9122" width="11.28515625" bestFit="1" customWidth="1"/>
    <col min="9123" max="9123" width="10.140625" bestFit="1" customWidth="1"/>
    <col min="9124" max="9124" width="13.28515625" bestFit="1" customWidth="1"/>
    <col min="9125" max="9126" width="12.7109375" bestFit="1" customWidth="1"/>
    <col min="9127" max="9127" width="11" bestFit="1" customWidth="1"/>
    <col min="9128" max="9128" width="11.28515625" bestFit="1" customWidth="1"/>
    <col min="9129" max="9129" width="11.5703125" bestFit="1" customWidth="1"/>
    <col min="9130" max="9130" width="12.28515625" bestFit="1" customWidth="1"/>
    <col min="9131" max="9131" width="15.140625" bestFit="1" customWidth="1"/>
    <col min="9132" max="9132" width="14.42578125" bestFit="1" customWidth="1"/>
    <col min="9133" max="9133" width="12.28515625" bestFit="1" customWidth="1"/>
    <col min="9134" max="9134" width="15.140625" bestFit="1" customWidth="1"/>
    <col min="9135" max="9135" width="14.42578125" bestFit="1" customWidth="1"/>
    <col min="9136" max="9136" width="12.28515625" bestFit="1" customWidth="1"/>
    <col min="9137" max="9137" width="14.42578125" bestFit="1" customWidth="1"/>
    <col min="9138" max="9138" width="11.28515625" bestFit="1" customWidth="1"/>
    <col min="9139" max="9139" width="12.28515625" bestFit="1" customWidth="1"/>
    <col min="9140" max="9140" width="13" bestFit="1" customWidth="1"/>
    <col min="9141" max="9141" width="15.140625" bestFit="1" customWidth="1"/>
    <col min="9142" max="9142" width="12.28515625" bestFit="1" customWidth="1"/>
    <col min="9143" max="9143" width="13.85546875" bestFit="1" customWidth="1"/>
    <col min="9144" max="9144" width="11.28515625" bestFit="1" customWidth="1"/>
    <col min="9145" max="9145" width="12.28515625" bestFit="1" customWidth="1"/>
    <col min="9146" max="9146" width="13.85546875" bestFit="1" customWidth="1"/>
    <col min="9147" max="9148" width="15.140625" bestFit="1" customWidth="1"/>
    <col min="9149" max="9149" width="12.28515625" bestFit="1" customWidth="1"/>
    <col min="9150" max="9150" width="5.7109375" bestFit="1" customWidth="1"/>
    <col min="9151" max="9151" width="8.5703125" bestFit="1" customWidth="1"/>
    <col min="9152" max="9152" width="5.5703125" bestFit="1" customWidth="1"/>
    <col min="9153" max="9153" width="14.42578125" bestFit="1" customWidth="1"/>
    <col min="9154" max="9154" width="11.28515625" bestFit="1" customWidth="1"/>
    <col min="9155" max="9156" width="12.28515625" bestFit="1" customWidth="1"/>
    <col min="9157" max="9157" width="11.28515625" bestFit="1" customWidth="1"/>
    <col min="9158" max="9158" width="13.85546875" bestFit="1" customWidth="1"/>
    <col min="9159" max="9159" width="12" bestFit="1" customWidth="1"/>
    <col min="9160" max="9160" width="13.85546875" bestFit="1" customWidth="1"/>
    <col min="9161" max="9162" width="14.42578125" customWidth="1"/>
    <col min="9163" max="9163" width="10.140625" bestFit="1" customWidth="1"/>
    <col min="9164" max="9164" width="12.28515625" bestFit="1" customWidth="1"/>
    <col min="9165" max="9165" width="7.42578125" bestFit="1" customWidth="1"/>
    <col min="9166" max="9166" width="8.5703125" bestFit="1" customWidth="1"/>
    <col min="9167" max="9167" width="11.5703125" bestFit="1" customWidth="1"/>
    <col min="9168" max="9168" width="13.28515625" bestFit="1" customWidth="1"/>
    <col min="9169" max="9169" width="13.28515625" customWidth="1"/>
    <col min="9170" max="9170" width="13.140625" customWidth="1"/>
    <col min="9171" max="9171" width="12.7109375" bestFit="1" customWidth="1"/>
    <col min="9172" max="9172" width="13.28515625" bestFit="1" customWidth="1"/>
    <col min="9173" max="9175" width="13.28515625" customWidth="1"/>
    <col min="9176" max="9176" width="12.140625" bestFit="1" customWidth="1"/>
    <col min="9177" max="9177" width="12.7109375" bestFit="1" customWidth="1"/>
    <col min="9178" max="9178" width="11" customWidth="1"/>
    <col min="9179" max="9179" width="16.7109375" customWidth="1"/>
    <col min="9180" max="9180" width="17" customWidth="1"/>
    <col min="9181" max="9181" width="10.42578125" bestFit="1" customWidth="1"/>
    <col min="9225" max="9225" width="3.85546875" customWidth="1"/>
    <col min="9226" max="9226" width="15.28515625" bestFit="1" customWidth="1"/>
    <col min="9227" max="9227" width="12.28515625" customWidth="1"/>
    <col min="9228" max="9228" width="16.28515625" bestFit="1" customWidth="1"/>
    <col min="9229" max="9229" width="6.42578125" bestFit="1" customWidth="1"/>
    <col min="9230" max="9230" width="9.28515625" bestFit="1" customWidth="1"/>
    <col min="9231" max="9231" width="7.5703125" bestFit="1" customWidth="1"/>
    <col min="9232" max="9232" width="13.28515625" bestFit="1" customWidth="1"/>
    <col min="9233" max="9233" width="9.28515625" bestFit="1" customWidth="1"/>
    <col min="9234" max="9234" width="11.5703125" bestFit="1" customWidth="1"/>
    <col min="9235" max="9235" width="13.28515625" bestFit="1" customWidth="1"/>
    <col min="9236" max="9236" width="7.140625" bestFit="1" customWidth="1"/>
    <col min="9237" max="9237" width="12" bestFit="1" customWidth="1"/>
    <col min="9238" max="9238" width="13.28515625" bestFit="1" customWidth="1"/>
    <col min="9239" max="9239" width="7" bestFit="1" customWidth="1"/>
    <col min="9240" max="9240" width="12.7109375" bestFit="1" customWidth="1"/>
    <col min="9241" max="9241" width="11.5703125" bestFit="1" customWidth="1"/>
    <col min="9242" max="9242" width="10.5703125" bestFit="1" customWidth="1"/>
    <col min="9243" max="9244" width="15.7109375" bestFit="1" customWidth="1"/>
    <col min="9245" max="9245" width="11.5703125" bestFit="1" customWidth="1"/>
    <col min="9246" max="9246" width="7.7109375" bestFit="1" customWidth="1"/>
    <col min="9247" max="9247" width="15.140625" bestFit="1" customWidth="1"/>
    <col min="9248" max="9248" width="11.5703125" bestFit="1" customWidth="1"/>
    <col min="9249" max="9249" width="13.28515625" bestFit="1" customWidth="1"/>
    <col min="9250" max="9250" width="10.42578125" bestFit="1" customWidth="1"/>
    <col min="9251" max="9251" width="13.28515625" bestFit="1" customWidth="1"/>
    <col min="9252" max="9252" width="12.140625" bestFit="1" customWidth="1"/>
    <col min="9253" max="9253" width="14.42578125" bestFit="1" customWidth="1"/>
    <col min="9254" max="9254" width="13.28515625" bestFit="1" customWidth="1"/>
    <col min="9255" max="9255" width="11.5703125" bestFit="1" customWidth="1"/>
    <col min="9256" max="9256" width="7.7109375" bestFit="1" customWidth="1"/>
    <col min="9257" max="9258" width="14.42578125" bestFit="1" customWidth="1"/>
    <col min="9259" max="9259" width="11.5703125" bestFit="1" customWidth="1"/>
    <col min="9260" max="9260" width="7.7109375" bestFit="1" customWidth="1"/>
    <col min="9261" max="9261" width="13.5703125" customWidth="1"/>
    <col min="9262" max="9262" width="15.28515625" customWidth="1"/>
    <col min="9263" max="9263" width="14.5703125" customWidth="1"/>
    <col min="9264" max="9264" width="13.28515625" bestFit="1" customWidth="1"/>
    <col min="9265" max="9265" width="7.7109375" bestFit="1" customWidth="1"/>
    <col min="9266" max="9266" width="12.7109375" bestFit="1" customWidth="1"/>
    <col min="9267" max="9267" width="11.7109375" bestFit="1" customWidth="1"/>
    <col min="9268" max="9268" width="11.5703125" bestFit="1" customWidth="1"/>
    <col min="9269" max="9269" width="5.28515625" bestFit="1" customWidth="1"/>
    <col min="9270" max="9270" width="13.28515625" bestFit="1" customWidth="1"/>
    <col min="9271" max="9271" width="13.5703125" bestFit="1" customWidth="1"/>
    <col min="9272" max="9272" width="10.5703125" bestFit="1" customWidth="1"/>
    <col min="9273" max="9273" width="13.28515625" bestFit="1" customWidth="1"/>
    <col min="9274" max="9274" width="11.5703125" bestFit="1" customWidth="1"/>
    <col min="9275" max="9275" width="10.5703125" bestFit="1" customWidth="1"/>
    <col min="9276" max="9276" width="16.140625" bestFit="1" customWidth="1"/>
    <col min="9277" max="9278" width="11.28515625" bestFit="1" customWidth="1"/>
    <col min="9279" max="9279" width="13.28515625" bestFit="1" customWidth="1"/>
    <col min="9280" max="9280" width="7.7109375" bestFit="1" customWidth="1"/>
    <col min="9281" max="9284" width="9.140625" hidden="1" customWidth="1"/>
    <col min="9285" max="9285" width="10.42578125" bestFit="1" customWidth="1"/>
    <col min="9286" max="9286" width="10.5703125" bestFit="1" customWidth="1"/>
    <col min="9287" max="9287" width="10.42578125" bestFit="1" customWidth="1"/>
    <col min="9288" max="9288" width="10.5703125" bestFit="1" customWidth="1"/>
    <col min="9289" max="9289" width="9.5703125" bestFit="1" customWidth="1"/>
    <col min="9290" max="9290" width="11.5703125" bestFit="1" customWidth="1"/>
    <col min="9291" max="9291" width="10.42578125" bestFit="1" customWidth="1"/>
    <col min="9292" max="9292" width="10.85546875" customWidth="1"/>
    <col min="9293" max="9294" width="9.85546875" bestFit="1" customWidth="1"/>
    <col min="9295" max="9295" width="13.5703125" bestFit="1" customWidth="1"/>
    <col min="9296" max="9296" width="7.7109375" bestFit="1" customWidth="1"/>
    <col min="9297" max="9297" width="13.28515625" bestFit="1" customWidth="1"/>
    <col min="9298" max="9298" width="11.5703125" bestFit="1" customWidth="1"/>
    <col min="9299" max="9299" width="10.42578125" bestFit="1" customWidth="1"/>
    <col min="9300" max="9300" width="7.7109375" bestFit="1" customWidth="1"/>
    <col min="9301" max="9301" width="11.5703125" bestFit="1" customWidth="1"/>
    <col min="9302" max="9302" width="10.85546875" bestFit="1" customWidth="1"/>
    <col min="9303" max="9303" width="13.28515625" bestFit="1" customWidth="1"/>
    <col min="9304" max="9304" width="10.85546875" bestFit="1" customWidth="1"/>
    <col min="9305" max="9306" width="7.5703125" bestFit="1" customWidth="1"/>
    <col min="9307" max="9308" width="10.42578125" bestFit="1" customWidth="1"/>
    <col min="9309" max="9309" width="11.5703125" bestFit="1" customWidth="1"/>
    <col min="9310" max="9310" width="5.28515625" bestFit="1" customWidth="1"/>
    <col min="9311" max="9311" width="10.28515625" bestFit="1" customWidth="1"/>
    <col min="9312" max="9312" width="10.42578125" bestFit="1" customWidth="1"/>
    <col min="9313" max="9313" width="11.5703125" bestFit="1" customWidth="1"/>
    <col min="9314" max="9314" width="5.28515625" bestFit="1" customWidth="1"/>
    <col min="9315" max="9317" width="11.5703125" bestFit="1" customWidth="1"/>
    <col min="9318" max="9318" width="5.28515625" bestFit="1" customWidth="1"/>
    <col min="9319" max="9320" width="10.42578125" bestFit="1" customWidth="1"/>
    <col min="9321" max="9321" width="11.5703125" bestFit="1" customWidth="1"/>
    <col min="9322" max="9322" width="5.28515625" bestFit="1" customWidth="1"/>
    <col min="9323" max="9323" width="14.28515625" bestFit="1" customWidth="1"/>
    <col min="9324" max="9324" width="13" bestFit="1" customWidth="1"/>
    <col min="9325" max="9325" width="11.5703125" bestFit="1" customWidth="1"/>
    <col min="9326" max="9326" width="8.85546875" bestFit="1" customWidth="1"/>
    <col min="9327" max="9327" width="14.42578125" bestFit="1" customWidth="1"/>
    <col min="9328" max="9328" width="10.42578125" bestFit="1" customWidth="1"/>
    <col min="9329" max="9329" width="12.28515625" bestFit="1" customWidth="1"/>
    <col min="9330" max="9330" width="13.85546875" bestFit="1" customWidth="1"/>
    <col min="9331" max="9331" width="11.28515625" customWidth="1"/>
    <col min="9332" max="9332" width="11.5703125" customWidth="1"/>
    <col min="9333" max="9333" width="13.42578125" bestFit="1" customWidth="1"/>
    <col min="9334" max="9334" width="10.42578125" customWidth="1"/>
    <col min="9335" max="9335" width="13.85546875" bestFit="1" customWidth="1"/>
    <col min="9336" max="9336" width="15.42578125" bestFit="1" customWidth="1"/>
    <col min="9337" max="9337" width="12.28515625" bestFit="1" customWidth="1"/>
    <col min="9338" max="9338" width="12.7109375" customWidth="1"/>
    <col min="9339" max="9339" width="10.7109375" bestFit="1" customWidth="1"/>
    <col min="9340" max="9340" width="9.85546875" customWidth="1"/>
    <col min="9341" max="9342" width="10.140625" bestFit="1" customWidth="1"/>
    <col min="9343" max="9343" width="7.5703125" bestFit="1" customWidth="1"/>
    <col min="9344" max="9344" width="9.42578125" bestFit="1" customWidth="1"/>
    <col min="9345" max="9345" width="14.5703125" bestFit="1" customWidth="1"/>
    <col min="9346" max="9346" width="14.85546875" customWidth="1"/>
    <col min="9347" max="9347" width="15.140625" bestFit="1" customWidth="1"/>
    <col min="9348" max="9348" width="12.140625" bestFit="1" customWidth="1"/>
    <col min="9349" max="9349" width="14.85546875" bestFit="1" customWidth="1"/>
    <col min="9350" max="9350" width="12.28515625" bestFit="1" customWidth="1"/>
    <col min="9351" max="9359" width="9.140625" hidden="1" customWidth="1"/>
    <col min="9360" max="9360" width="5.28515625" bestFit="1" customWidth="1"/>
    <col min="9361" max="9366" width="11.5703125" bestFit="1" customWidth="1"/>
    <col min="9367" max="9367" width="11.28515625" bestFit="1" customWidth="1"/>
    <col min="9368" max="9368" width="10.140625" bestFit="1" customWidth="1"/>
    <col min="9369" max="9369" width="11.5703125" bestFit="1" customWidth="1"/>
    <col min="9370" max="9370" width="16.140625" customWidth="1"/>
    <col min="9371" max="9371" width="13.42578125" customWidth="1"/>
    <col min="9372" max="9372" width="10.140625" bestFit="1" customWidth="1"/>
    <col min="9373" max="9373" width="12.85546875" bestFit="1" customWidth="1"/>
    <col min="9374" max="9374" width="12.28515625" bestFit="1" customWidth="1"/>
    <col min="9375" max="9375" width="11.28515625" bestFit="1" customWidth="1"/>
    <col min="9376" max="9376" width="11.5703125" bestFit="1" customWidth="1"/>
    <col min="9377" max="9377" width="10.85546875" bestFit="1" customWidth="1"/>
    <col min="9378" max="9378" width="11.28515625" bestFit="1" customWidth="1"/>
    <col min="9379" max="9379" width="10.140625" bestFit="1" customWidth="1"/>
    <col min="9380" max="9380" width="13.28515625" bestFit="1" customWidth="1"/>
    <col min="9381" max="9382" width="12.7109375" bestFit="1" customWidth="1"/>
    <col min="9383" max="9383" width="11" bestFit="1" customWidth="1"/>
    <col min="9384" max="9384" width="11.28515625" bestFit="1" customWidth="1"/>
    <col min="9385" max="9385" width="11.5703125" bestFit="1" customWidth="1"/>
    <col min="9386" max="9386" width="12.28515625" bestFit="1" customWidth="1"/>
    <col min="9387" max="9387" width="15.140625" bestFit="1" customWidth="1"/>
    <col min="9388" max="9388" width="14.42578125" bestFit="1" customWidth="1"/>
    <col min="9389" max="9389" width="12.28515625" bestFit="1" customWidth="1"/>
    <col min="9390" max="9390" width="15.140625" bestFit="1" customWidth="1"/>
    <col min="9391" max="9391" width="14.42578125" bestFit="1" customWidth="1"/>
    <col min="9392" max="9392" width="12.28515625" bestFit="1" customWidth="1"/>
    <col min="9393" max="9393" width="14.42578125" bestFit="1" customWidth="1"/>
    <col min="9394" max="9394" width="11.28515625" bestFit="1" customWidth="1"/>
    <col min="9395" max="9395" width="12.28515625" bestFit="1" customWidth="1"/>
    <col min="9396" max="9396" width="13" bestFit="1" customWidth="1"/>
    <col min="9397" max="9397" width="15.140625" bestFit="1" customWidth="1"/>
    <col min="9398" max="9398" width="12.28515625" bestFit="1" customWidth="1"/>
    <col min="9399" max="9399" width="13.85546875" bestFit="1" customWidth="1"/>
    <col min="9400" max="9400" width="11.28515625" bestFit="1" customWidth="1"/>
    <col min="9401" max="9401" width="12.28515625" bestFit="1" customWidth="1"/>
    <col min="9402" max="9402" width="13.85546875" bestFit="1" customWidth="1"/>
    <col min="9403" max="9404" width="15.140625" bestFit="1" customWidth="1"/>
    <col min="9405" max="9405" width="12.28515625" bestFit="1" customWidth="1"/>
    <col min="9406" max="9406" width="5.7109375" bestFit="1" customWidth="1"/>
    <col min="9407" max="9407" width="8.5703125" bestFit="1" customWidth="1"/>
    <col min="9408" max="9408" width="5.5703125" bestFit="1" customWidth="1"/>
    <col min="9409" max="9409" width="14.42578125" bestFit="1" customWidth="1"/>
    <col min="9410" max="9410" width="11.28515625" bestFit="1" customWidth="1"/>
    <col min="9411" max="9412" width="12.28515625" bestFit="1" customWidth="1"/>
    <col min="9413" max="9413" width="11.28515625" bestFit="1" customWidth="1"/>
    <col min="9414" max="9414" width="13.85546875" bestFit="1" customWidth="1"/>
    <col min="9415" max="9415" width="12" bestFit="1" customWidth="1"/>
    <col min="9416" max="9416" width="13.85546875" bestFit="1" customWidth="1"/>
    <col min="9417" max="9418" width="14.42578125" customWidth="1"/>
    <col min="9419" max="9419" width="10.140625" bestFit="1" customWidth="1"/>
    <col min="9420" max="9420" width="12.28515625" bestFit="1" customWidth="1"/>
    <col min="9421" max="9421" width="7.42578125" bestFit="1" customWidth="1"/>
    <col min="9422" max="9422" width="8.5703125" bestFit="1" customWidth="1"/>
    <col min="9423" max="9423" width="11.5703125" bestFit="1" customWidth="1"/>
    <col min="9424" max="9424" width="13.28515625" bestFit="1" customWidth="1"/>
    <col min="9425" max="9425" width="13.28515625" customWidth="1"/>
    <col min="9426" max="9426" width="13.140625" customWidth="1"/>
    <col min="9427" max="9427" width="12.7109375" bestFit="1" customWidth="1"/>
    <col min="9428" max="9428" width="13.28515625" bestFit="1" customWidth="1"/>
    <col min="9429" max="9431" width="13.28515625" customWidth="1"/>
    <col min="9432" max="9432" width="12.140625" bestFit="1" customWidth="1"/>
    <col min="9433" max="9433" width="12.7109375" bestFit="1" customWidth="1"/>
    <col min="9434" max="9434" width="11" customWidth="1"/>
    <col min="9435" max="9435" width="16.7109375" customWidth="1"/>
    <col min="9436" max="9436" width="17" customWidth="1"/>
    <col min="9437" max="9437" width="10.42578125" bestFit="1" customWidth="1"/>
    <col min="9481" max="9481" width="3.85546875" customWidth="1"/>
    <col min="9482" max="9482" width="15.28515625" bestFit="1" customWidth="1"/>
    <col min="9483" max="9483" width="12.28515625" customWidth="1"/>
    <col min="9484" max="9484" width="16.28515625" bestFit="1" customWidth="1"/>
    <col min="9485" max="9485" width="6.42578125" bestFit="1" customWidth="1"/>
    <col min="9486" max="9486" width="9.28515625" bestFit="1" customWidth="1"/>
    <col min="9487" max="9487" width="7.5703125" bestFit="1" customWidth="1"/>
    <col min="9488" max="9488" width="13.28515625" bestFit="1" customWidth="1"/>
    <col min="9489" max="9489" width="9.28515625" bestFit="1" customWidth="1"/>
    <col min="9490" max="9490" width="11.5703125" bestFit="1" customWidth="1"/>
    <col min="9491" max="9491" width="13.28515625" bestFit="1" customWidth="1"/>
    <col min="9492" max="9492" width="7.140625" bestFit="1" customWidth="1"/>
    <col min="9493" max="9493" width="12" bestFit="1" customWidth="1"/>
    <col min="9494" max="9494" width="13.28515625" bestFit="1" customWidth="1"/>
    <col min="9495" max="9495" width="7" bestFit="1" customWidth="1"/>
    <col min="9496" max="9496" width="12.7109375" bestFit="1" customWidth="1"/>
    <col min="9497" max="9497" width="11.5703125" bestFit="1" customWidth="1"/>
    <col min="9498" max="9498" width="10.5703125" bestFit="1" customWidth="1"/>
    <col min="9499" max="9500" width="15.7109375" bestFit="1" customWidth="1"/>
    <col min="9501" max="9501" width="11.5703125" bestFit="1" customWidth="1"/>
    <col min="9502" max="9502" width="7.7109375" bestFit="1" customWidth="1"/>
    <col min="9503" max="9503" width="15.140625" bestFit="1" customWidth="1"/>
    <col min="9504" max="9504" width="11.5703125" bestFit="1" customWidth="1"/>
    <col min="9505" max="9505" width="13.28515625" bestFit="1" customWidth="1"/>
    <col min="9506" max="9506" width="10.42578125" bestFit="1" customWidth="1"/>
    <col min="9507" max="9507" width="13.28515625" bestFit="1" customWidth="1"/>
    <col min="9508" max="9508" width="12.140625" bestFit="1" customWidth="1"/>
    <col min="9509" max="9509" width="14.42578125" bestFit="1" customWidth="1"/>
    <col min="9510" max="9510" width="13.28515625" bestFit="1" customWidth="1"/>
    <col min="9511" max="9511" width="11.5703125" bestFit="1" customWidth="1"/>
    <col min="9512" max="9512" width="7.7109375" bestFit="1" customWidth="1"/>
    <col min="9513" max="9514" width="14.42578125" bestFit="1" customWidth="1"/>
    <col min="9515" max="9515" width="11.5703125" bestFit="1" customWidth="1"/>
    <col min="9516" max="9516" width="7.7109375" bestFit="1" customWidth="1"/>
    <col min="9517" max="9517" width="13.5703125" customWidth="1"/>
    <col min="9518" max="9518" width="15.28515625" customWidth="1"/>
    <col min="9519" max="9519" width="14.5703125" customWidth="1"/>
    <col min="9520" max="9520" width="13.28515625" bestFit="1" customWidth="1"/>
    <col min="9521" max="9521" width="7.7109375" bestFit="1" customWidth="1"/>
    <col min="9522" max="9522" width="12.7109375" bestFit="1" customWidth="1"/>
    <col min="9523" max="9523" width="11.7109375" bestFit="1" customWidth="1"/>
    <col min="9524" max="9524" width="11.5703125" bestFit="1" customWidth="1"/>
    <col min="9525" max="9525" width="5.28515625" bestFit="1" customWidth="1"/>
    <col min="9526" max="9526" width="13.28515625" bestFit="1" customWidth="1"/>
    <col min="9527" max="9527" width="13.5703125" bestFit="1" customWidth="1"/>
    <col min="9528" max="9528" width="10.5703125" bestFit="1" customWidth="1"/>
    <col min="9529" max="9529" width="13.28515625" bestFit="1" customWidth="1"/>
    <col min="9530" max="9530" width="11.5703125" bestFit="1" customWidth="1"/>
    <col min="9531" max="9531" width="10.5703125" bestFit="1" customWidth="1"/>
    <col min="9532" max="9532" width="16.140625" bestFit="1" customWidth="1"/>
    <col min="9533" max="9534" width="11.28515625" bestFit="1" customWidth="1"/>
    <col min="9535" max="9535" width="13.28515625" bestFit="1" customWidth="1"/>
    <col min="9536" max="9536" width="7.7109375" bestFit="1" customWidth="1"/>
    <col min="9537" max="9540" width="9.140625" hidden="1" customWidth="1"/>
    <col min="9541" max="9541" width="10.42578125" bestFit="1" customWidth="1"/>
    <col min="9542" max="9542" width="10.5703125" bestFit="1" customWidth="1"/>
    <col min="9543" max="9543" width="10.42578125" bestFit="1" customWidth="1"/>
    <col min="9544" max="9544" width="10.5703125" bestFit="1" customWidth="1"/>
    <col min="9545" max="9545" width="9.5703125" bestFit="1" customWidth="1"/>
    <col min="9546" max="9546" width="11.5703125" bestFit="1" customWidth="1"/>
    <col min="9547" max="9547" width="10.42578125" bestFit="1" customWidth="1"/>
    <col min="9548" max="9548" width="10.85546875" customWidth="1"/>
    <col min="9549" max="9550" width="9.85546875" bestFit="1" customWidth="1"/>
    <col min="9551" max="9551" width="13.5703125" bestFit="1" customWidth="1"/>
    <col min="9552" max="9552" width="7.7109375" bestFit="1" customWidth="1"/>
    <col min="9553" max="9553" width="13.28515625" bestFit="1" customWidth="1"/>
    <col min="9554" max="9554" width="11.5703125" bestFit="1" customWidth="1"/>
    <col min="9555" max="9555" width="10.42578125" bestFit="1" customWidth="1"/>
    <col min="9556" max="9556" width="7.7109375" bestFit="1" customWidth="1"/>
    <col min="9557" max="9557" width="11.5703125" bestFit="1" customWidth="1"/>
    <col min="9558" max="9558" width="10.85546875" bestFit="1" customWidth="1"/>
    <col min="9559" max="9559" width="13.28515625" bestFit="1" customWidth="1"/>
    <col min="9560" max="9560" width="10.85546875" bestFit="1" customWidth="1"/>
    <col min="9561" max="9562" width="7.5703125" bestFit="1" customWidth="1"/>
    <col min="9563" max="9564" width="10.42578125" bestFit="1" customWidth="1"/>
    <col min="9565" max="9565" width="11.5703125" bestFit="1" customWidth="1"/>
    <col min="9566" max="9566" width="5.28515625" bestFit="1" customWidth="1"/>
    <col min="9567" max="9567" width="10.28515625" bestFit="1" customWidth="1"/>
    <col min="9568" max="9568" width="10.42578125" bestFit="1" customWidth="1"/>
    <col min="9569" max="9569" width="11.5703125" bestFit="1" customWidth="1"/>
    <col min="9570" max="9570" width="5.28515625" bestFit="1" customWidth="1"/>
    <col min="9571" max="9573" width="11.5703125" bestFit="1" customWidth="1"/>
    <col min="9574" max="9574" width="5.28515625" bestFit="1" customWidth="1"/>
    <col min="9575" max="9576" width="10.42578125" bestFit="1" customWidth="1"/>
    <col min="9577" max="9577" width="11.5703125" bestFit="1" customWidth="1"/>
    <col min="9578" max="9578" width="5.28515625" bestFit="1" customWidth="1"/>
    <col min="9579" max="9579" width="14.28515625" bestFit="1" customWidth="1"/>
    <col min="9580" max="9580" width="13" bestFit="1" customWidth="1"/>
    <col min="9581" max="9581" width="11.5703125" bestFit="1" customWidth="1"/>
    <col min="9582" max="9582" width="8.85546875" bestFit="1" customWidth="1"/>
    <col min="9583" max="9583" width="14.42578125" bestFit="1" customWidth="1"/>
    <col min="9584" max="9584" width="10.42578125" bestFit="1" customWidth="1"/>
    <col min="9585" max="9585" width="12.28515625" bestFit="1" customWidth="1"/>
    <col min="9586" max="9586" width="13.85546875" bestFit="1" customWidth="1"/>
    <col min="9587" max="9587" width="11.28515625" customWidth="1"/>
    <col min="9588" max="9588" width="11.5703125" customWidth="1"/>
    <col min="9589" max="9589" width="13.42578125" bestFit="1" customWidth="1"/>
    <col min="9590" max="9590" width="10.42578125" customWidth="1"/>
    <col min="9591" max="9591" width="13.85546875" bestFit="1" customWidth="1"/>
    <col min="9592" max="9592" width="15.42578125" bestFit="1" customWidth="1"/>
    <col min="9593" max="9593" width="12.28515625" bestFit="1" customWidth="1"/>
    <col min="9594" max="9594" width="12.7109375" customWidth="1"/>
    <col min="9595" max="9595" width="10.7109375" bestFit="1" customWidth="1"/>
    <col min="9596" max="9596" width="9.85546875" customWidth="1"/>
    <col min="9597" max="9598" width="10.140625" bestFit="1" customWidth="1"/>
    <col min="9599" max="9599" width="7.5703125" bestFit="1" customWidth="1"/>
    <col min="9600" max="9600" width="9.42578125" bestFit="1" customWidth="1"/>
    <col min="9601" max="9601" width="14.5703125" bestFit="1" customWidth="1"/>
    <col min="9602" max="9602" width="14.85546875" customWidth="1"/>
    <col min="9603" max="9603" width="15.140625" bestFit="1" customWidth="1"/>
    <col min="9604" max="9604" width="12.140625" bestFit="1" customWidth="1"/>
    <col min="9605" max="9605" width="14.85546875" bestFit="1" customWidth="1"/>
    <col min="9606" max="9606" width="12.28515625" bestFit="1" customWidth="1"/>
    <col min="9607" max="9615" width="9.140625" hidden="1" customWidth="1"/>
    <col min="9616" max="9616" width="5.28515625" bestFit="1" customWidth="1"/>
    <col min="9617" max="9622" width="11.5703125" bestFit="1" customWidth="1"/>
    <col min="9623" max="9623" width="11.28515625" bestFit="1" customWidth="1"/>
    <col min="9624" max="9624" width="10.140625" bestFit="1" customWidth="1"/>
    <col min="9625" max="9625" width="11.5703125" bestFit="1" customWidth="1"/>
    <col min="9626" max="9626" width="16.140625" customWidth="1"/>
    <col min="9627" max="9627" width="13.42578125" customWidth="1"/>
    <col min="9628" max="9628" width="10.140625" bestFit="1" customWidth="1"/>
    <col min="9629" max="9629" width="12.85546875" bestFit="1" customWidth="1"/>
    <col min="9630" max="9630" width="12.28515625" bestFit="1" customWidth="1"/>
    <col min="9631" max="9631" width="11.28515625" bestFit="1" customWidth="1"/>
    <col min="9632" max="9632" width="11.5703125" bestFit="1" customWidth="1"/>
    <col min="9633" max="9633" width="10.85546875" bestFit="1" customWidth="1"/>
    <col min="9634" max="9634" width="11.28515625" bestFit="1" customWidth="1"/>
    <col min="9635" max="9635" width="10.140625" bestFit="1" customWidth="1"/>
    <col min="9636" max="9636" width="13.28515625" bestFit="1" customWidth="1"/>
    <col min="9637" max="9638" width="12.7109375" bestFit="1" customWidth="1"/>
    <col min="9639" max="9639" width="11" bestFit="1" customWidth="1"/>
    <col min="9640" max="9640" width="11.28515625" bestFit="1" customWidth="1"/>
    <col min="9641" max="9641" width="11.5703125" bestFit="1" customWidth="1"/>
    <col min="9642" max="9642" width="12.28515625" bestFit="1" customWidth="1"/>
    <col min="9643" max="9643" width="15.140625" bestFit="1" customWidth="1"/>
    <col min="9644" max="9644" width="14.42578125" bestFit="1" customWidth="1"/>
    <col min="9645" max="9645" width="12.28515625" bestFit="1" customWidth="1"/>
    <col min="9646" max="9646" width="15.140625" bestFit="1" customWidth="1"/>
    <col min="9647" max="9647" width="14.42578125" bestFit="1" customWidth="1"/>
    <col min="9648" max="9648" width="12.28515625" bestFit="1" customWidth="1"/>
    <col min="9649" max="9649" width="14.42578125" bestFit="1" customWidth="1"/>
    <col min="9650" max="9650" width="11.28515625" bestFit="1" customWidth="1"/>
    <col min="9651" max="9651" width="12.28515625" bestFit="1" customWidth="1"/>
    <col min="9652" max="9652" width="13" bestFit="1" customWidth="1"/>
    <col min="9653" max="9653" width="15.140625" bestFit="1" customWidth="1"/>
    <col min="9654" max="9654" width="12.28515625" bestFit="1" customWidth="1"/>
    <col min="9655" max="9655" width="13.85546875" bestFit="1" customWidth="1"/>
    <col min="9656" max="9656" width="11.28515625" bestFit="1" customWidth="1"/>
    <col min="9657" max="9657" width="12.28515625" bestFit="1" customWidth="1"/>
    <col min="9658" max="9658" width="13.85546875" bestFit="1" customWidth="1"/>
    <col min="9659" max="9660" width="15.140625" bestFit="1" customWidth="1"/>
    <col min="9661" max="9661" width="12.28515625" bestFit="1" customWidth="1"/>
    <col min="9662" max="9662" width="5.7109375" bestFit="1" customWidth="1"/>
    <col min="9663" max="9663" width="8.5703125" bestFit="1" customWidth="1"/>
    <col min="9664" max="9664" width="5.5703125" bestFit="1" customWidth="1"/>
    <col min="9665" max="9665" width="14.42578125" bestFit="1" customWidth="1"/>
    <col min="9666" max="9666" width="11.28515625" bestFit="1" customWidth="1"/>
    <col min="9667" max="9668" width="12.28515625" bestFit="1" customWidth="1"/>
    <col min="9669" max="9669" width="11.28515625" bestFit="1" customWidth="1"/>
    <col min="9670" max="9670" width="13.85546875" bestFit="1" customWidth="1"/>
    <col min="9671" max="9671" width="12" bestFit="1" customWidth="1"/>
    <col min="9672" max="9672" width="13.85546875" bestFit="1" customWidth="1"/>
    <col min="9673" max="9674" width="14.42578125" customWidth="1"/>
    <col min="9675" max="9675" width="10.140625" bestFit="1" customWidth="1"/>
    <col min="9676" max="9676" width="12.28515625" bestFit="1" customWidth="1"/>
    <col min="9677" max="9677" width="7.42578125" bestFit="1" customWidth="1"/>
    <col min="9678" max="9678" width="8.5703125" bestFit="1" customWidth="1"/>
    <col min="9679" max="9679" width="11.5703125" bestFit="1" customWidth="1"/>
    <col min="9680" max="9680" width="13.28515625" bestFit="1" customWidth="1"/>
    <col min="9681" max="9681" width="13.28515625" customWidth="1"/>
    <col min="9682" max="9682" width="13.140625" customWidth="1"/>
    <col min="9683" max="9683" width="12.7109375" bestFit="1" customWidth="1"/>
    <col min="9684" max="9684" width="13.28515625" bestFit="1" customWidth="1"/>
    <col min="9685" max="9687" width="13.28515625" customWidth="1"/>
    <col min="9688" max="9688" width="12.140625" bestFit="1" customWidth="1"/>
    <col min="9689" max="9689" width="12.7109375" bestFit="1" customWidth="1"/>
    <col min="9690" max="9690" width="11" customWidth="1"/>
    <col min="9691" max="9691" width="16.7109375" customWidth="1"/>
    <col min="9692" max="9692" width="17" customWidth="1"/>
    <col min="9693" max="9693" width="10.42578125" bestFit="1" customWidth="1"/>
    <col min="9737" max="9737" width="3.85546875" customWidth="1"/>
    <col min="9738" max="9738" width="15.28515625" bestFit="1" customWidth="1"/>
    <col min="9739" max="9739" width="12.28515625" customWidth="1"/>
    <col min="9740" max="9740" width="16.28515625" bestFit="1" customWidth="1"/>
    <col min="9741" max="9741" width="6.42578125" bestFit="1" customWidth="1"/>
    <col min="9742" max="9742" width="9.28515625" bestFit="1" customWidth="1"/>
    <col min="9743" max="9743" width="7.5703125" bestFit="1" customWidth="1"/>
    <col min="9744" max="9744" width="13.28515625" bestFit="1" customWidth="1"/>
    <col min="9745" max="9745" width="9.28515625" bestFit="1" customWidth="1"/>
    <col min="9746" max="9746" width="11.5703125" bestFit="1" customWidth="1"/>
    <col min="9747" max="9747" width="13.28515625" bestFit="1" customWidth="1"/>
    <col min="9748" max="9748" width="7.140625" bestFit="1" customWidth="1"/>
    <col min="9749" max="9749" width="12" bestFit="1" customWidth="1"/>
    <col min="9750" max="9750" width="13.28515625" bestFit="1" customWidth="1"/>
    <col min="9751" max="9751" width="7" bestFit="1" customWidth="1"/>
    <col min="9752" max="9752" width="12.7109375" bestFit="1" customWidth="1"/>
    <col min="9753" max="9753" width="11.5703125" bestFit="1" customWidth="1"/>
    <col min="9754" max="9754" width="10.5703125" bestFit="1" customWidth="1"/>
    <col min="9755" max="9756" width="15.7109375" bestFit="1" customWidth="1"/>
    <col min="9757" max="9757" width="11.5703125" bestFit="1" customWidth="1"/>
    <col min="9758" max="9758" width="7.7109375" bestFit="1" customWidth="1"/>
    <col min="9759" max="9759" width="15.140625" bestFit="1" customWidth="1"/>
    <col min="9760" max="9760" width="11.5703125" bestFit="1" customWidth="1"/>
    <col min="9761" max="9761" width="13.28515625" bestFit="1" customWidth="1"/>
    <col min="9762" max="9762" width="10.42578125" bestFit="1" customWidth="1"/>
    <col min="9763" max="9763" width="13.28515625" bestFit="1" customWidth="1"/>
    <col min="9764" max="9764" width="12.140625" bestFit="1" customWidth="1"/>
    <col min="9765" max="9765" width="14.42578125" bestFit="1" customWidth="1"/>
    <col min="9766" max="9766" width="13.28515625" bestFit="1" customWidth="1"/>
    <col min="9767" max="9767" width="11.5703125" bestFit="1" customWidth="1"/>
    <col min="9768" max="9768" width="7.7109375" bestFit="1" customWidth="1"/>
    <col min="9769" max="9770" width="14.42578125" bestFit="1" customWidth="1"/>
    <col min="9771" max="9771" width="11.5703125" bestFit="1" customWidth="1"/>
    <col min="9772" max="9772" width="7.7109375" bestFit="1" customWidth="1"/>
    <col min="9773" max="9773" width="13.5703125" customWidth="1"/>
    <col min="9774" max="9774" width="15.28515625" customWidth="1"/>
    <col min="9775" max="9775" width="14.5703125" customWidth="1"/>
    <col min="9776" max="9776" width="13.28515625" bestFit="1" customWidth="1"/>
    <col min="9777" max="9777" width="7.7109375" bestFit="1" customWidth="1"/>
    <col min="9778" max="9778" width="12.7109375" bestFit="1" customWidth="1"/>
    <col min="9779" max="9779" width="11.7109375" bestFit="1" customWidth="1"/>
    <col min="9780" max="9780" width="11.5703125" bestFit="1" customWidth="1"/>
    <col min="9781" max="9781" width="5.28515625" bestFit="1" customWidth="1"/>
    <col min="9782" max="9782" width="13.28515625" bestFit="1" customWidth="1"/>
    <col min="9783" max="9783" width="13.5703125" bestFit="1" customWidth="1"/>
    <col min="9784" max="9784" width="10.5703125" bestFit="1" customWidth="1"/>
    <col min="9785" max="9785" width="13.28515625" bestFit="1" customWidth="1"/>
    <col min="9786" max="9786" width="11.5703125" bestFit="1" customWidth="1"/>
    <col min="9787" max="9787" width="10.5703125" bestFit="1" customWidth="1"/>
    <col min="9788" max="9788" width="16.140625" bestFit="1" customWidth="1"/>
    <col min="9789" max="9790" width="11.28515625" bestFit="1" customWidth="1"/>
    <col min="9791" max="9791" width="13.28515625" bestFit="1" customWidth="1"/>
    <col min="9792" max="9792" width="7.7109375" bestFit="1" customWidth="1"/>
    <col min="9793" max="9796" width="9.140625" hidden="1" customWidth="1"/>
    <col min="9797" max="9797" width="10.42578125" bestFit="1" customWidth="1"/>
    <col min="9798" max="9798" width="10.5703125" bestFit="1" customWidth="1"/>
    <col min="9799" max="9799" width="10.42578125" bestFit="1" customWidth="1"/>
    <col min="9800" max="9800" width="10.5703125" bestFit="1" customWidth="1"/>
    <col min="9801" max="9801" width="9.5703125" bestFit="1" customWidth="1"/>
    <col min="9802" max="9802" width="11.5703125" bestFit="1" customWidth="1"/>
    <col min="9803" max="9803" width="10.42578125" bestFit="1" customWidth="1"/>
    <col min="9804" max="9804" width="10.85546875" customWidth="1"/>
    <col min="9805" max="9806" width="9.85546875" bestFit="1" customWidth="1"/>
    <col min="9807" max="9807" width="13.5703125" bestFit="1" customWidth="1"/>
    <col min="9808" max="9808" width="7.7109375" bestFit="1" customWidth="1"/>
    <col min="9809" max="9809" width="13.28515625" bestFit="1" customWidth="1"/>
    <col min="9810" max="9810" width="11.5703125" bestFit="1" customWidth="1"/>
    <col min="9811" max="9811" width="10.42578125" bestFit="1" customWidth="1"/>
    <col min="9812" max="9812" width="7.7109375" bestFit="1" customWidth="1"/>
    <col min="9813" max="9813" width="11.5703125" bestFit="1" customWidth="1"/>
    <col min="9814" max="9814" width="10.85546875" bestFit="1" customWidth="1"/>
    <col min="9815" max="9815" width="13.28515625" bestFit="1" customWidth="1"/>
    <col min="9816" max="9816" width="10.85546875" bestFit="1" customWidth="1"/>
    <col min="9817" max="9818" width="7.5703125" bestFit="1" customWidth="1"/>
    <col min="9819" max="9820" width="10.42578125" bestFit="1" customWidth="1"/>
    <col min="9821" max="9821" width="11.5703125" bestFit="1" customWidth="1"/>
    <col min="9822" max="9822" width="5.28515625" bestFit="1" customWidth="1"/>
    <col min="9823" max="9823" width="10.28515625" bestFit="1" customWidth="1"/>
    <col min="9824" max="9824" width="10.42578125" bestFit="1" customWidth="1"/>
    <col min="9825" max="9825" width="11.5703125" bestFit="1" customWidth="1"/>
    <col min="9826" max="9826" width="5.28515625" bestFit="1" customWidth="1"/>
    <col min="9827" max="9829" width="11.5703125" bestFit="1" customWidth="1"/>
    <col min="9830" max="9830" width="5.28515625" bestFit="1" customWidth="1"/>
    <col min="9831" max="9832" width="10.42578125" bestFit="1" customWidth="1"/>
    <col min="9833" max="9833" width="11.5703125" bestFit="1" customWidth="1"/>
    <col min="9834" max="9834" width="5.28515625" bestFit="1" customWidth="1"/>
    <col min="9835" max="9835" width="14.28515625" bestFit="1" customWidth="1"/>
    <col min="9836" max="9836" width="13" bestFit="1" customWidth="1"/>
    <col min="9837" max="9837" width="11.5703125" bestFit="1" customWidth="1"/>
    <col min="9838" max="9838" width="8.85546875" bestFit="1" customWidth="1"/>
    <col min="9839" max="9839" width="14.42578125" bestFit="1" customWidth="1"/>
    <col min="9840" max="9840" width="10.42578125" bestFit="1" customWidth="1"/>
    <col min="9841" max="9841" width="12.28515625" bestFit="1" customWidth="1"/>
    <col min="9842" max="9842" width="13.85546875" bestFit="1" customWidth="1"/>
    <col min="9843" max="9843" width="11.28515625" customWidth="1"/>
    <col min="9844" max="9844" width="11.5703125" customWidth="1"/>
    <col min="9845" max="9845" width="13.42578125" bestFit="1" customWidth="1"/>
    <col min="9846" max="9846" width="10.42578125" customWidth="1"/>
    <col min="9847" max="9847" width="13.85546875" bestFit="1" customWidth="1"/>
    <col min="9848" max="9848" width="15.42578125" bestFit="1" customWidth="1"/>
    <col min="9849" max="9849" width="12.28515625" bestFit="1" customWidth="1"/>
    <col min="9850" max="9850" width="12.7109375" customWidth="1"/>
    <col min="9851" max="9851" width="10.7109375" bestFit="1" customWidth="1"/>
    <col min="9852" max="9852" width="9.85546875" customWidth="1"/>
    <col min="9853" max="9854" width="10.140625" bestFit="1" customWidth="1"/>
    <col min="9855" max="9855" width="7.5703125" bestFit="1" customWidth="1"/>
    <col min="9856" max="9856" width="9.42578125" bestFit="1" customWidth="1"/>
    <col min="9857" max="9857" width="14.5703125" bestFit="1" customWidth="1"/>
    <col min="9858" max="9858" width="14.85546875" customWidth="1"/>
    <col min="9859" max="9859" width="15.140625" bestFit="1" customWidth="1"/>
    <col min="9860" max="9860" width="12.140625" bestFit="1" customWidth="1"/>
    <col min="9861" max="9861" width="14.85546875" bestFit="1" customWidth="1"/>
    <col min="9862" max="9862" width="12.28515625" bestFit="1" customWidth="1"/>
    <col min="9863" max="9871" width="9.140625" hidden="1" customWidth="1"/>
    <col min="9872" max="9872" width="5.28515625" bestFit="1" customWidth="1"/>
    <col min="9873" max="9878" width="11.5703125" bestFit="1" customWidth="1"/>
    <col min="9879" max="9879" width="11.28515625" bestFit="1" customWidth="1"/>
    <col min="9880" max="9880" width="10.140625" bestFit="1" customWidth="1"/>
    <col min="9881" max="9881" width="11.5703125" bestFit="1" customWidth="1"/>
    <col min="9882" max="9882" width="16.140625" customWidth="1"/>
    <col min="9883" max="9883" width="13.42578125" customWidth="1"/>
    <col min="9884" max="9884" width="10.140625" bestFit="1" customWidth="1"/>
    <col min="9885" max="9885" width="12.85546875" bestFit="1" customWidth="1"/>
    <col min="9886" max="9886" width="12.28515625" bestFit="1" customWidth="1"/>
    <col min="9887" max="9887" width="11.28515625" bestFit="1" customWidth="1"/>
    <col min="9888" max="9888" width="11.5703125" bestFit="1" customWidth="1"/>
    <col min="9889" max="9889" width="10.85546875" bestFit="1" customWidth="1"/>
    <col min="9890" max="9890" width="11.28515625" bestFit="1" customWidth="1"/>
    <col min="9891" max="9891" width="10.140625" bestFit="1" customWidth="1"/>
    <col min="9892" max="9892" width="13.28515625" bestFit="1" customWidth="1"/>
    <col min="9893" max="9894" width="12.7109375" bestFit="1" customWidth="1"/>
    <col min="9895" max="9895" width="11" bestFit="1" customWidth="1"/>
    <col min="9896" max="9896" width="11.28515625" bestFit="1" customWidth="1"/>
    <col min="9897" max="9897" width="11.5703125" bestFit="1" customWidth="1"/>
    <col min="9898" max="9898" width="12.28515625" bestFit="1" customWidth="1"/>
    <col min="9899" max="9899" width="15.140625" bestFit="1" customWidth="1"/>
    <col min="9900" max="9900" width="14.42578125" bestFit="1" customWidth="1"/>
    <col min="9901" max="9901" width="12.28515625" bestFit="1" customWidth="1"/>
    <col min="9902" max="9902" width="15.140625" bestFit="1" customWidth="1"/>
    <col min="9903" max="9903" width="14.42578125" bestFit="1" customWidth="1"/>
    <col min="9904" max="9904" width="12.28515625" bestFit="1" customWidth="1"/>
    <col min="9905" max="9905" width="14.42578125" bestFit="1" customWidth="1"/>
    <col min="9906" max="9906" width="11.28515625" bestFit="1" customWidth="1"/>
    <col min="9907" max="9907" width="12.28515625" bestFit="1" customWidth="1"/>
    <col min="9908" max="9908" width="13" bestFit="1" customWidth="1"/>
    <col min="9909" max="9909" width="15.140625" bestFit="1" customWidth="1"/>
    <col min="9910" max="9910" width="12.28515625" bestFit="1" customWidth="1"/>
    <col min="9911" max="9911" width="13.85546875" bestFit="1" customWidth="1"/>
    <col min="9912" max="9912" width="11.28515625" bestFit="1" customWidth="1"/>
    <col min="9913" max="9913" width="12.28515625" bestFit="1" customWidth="1"/>
    <col min="9914" max="9914" width="13.85546875" bestFit="1" customWidth="1"/>
    <col min="9915" max="9916" width="15.140625" bestFit="1" customWidth="1"/>
    <col min="9917" max="9917" width="12.28515625" bestFit="1" customWidth="1"/>
    <col min="9918" max="9918" width="5.7109375" bestFit="1" customWidth="1"/>
    <col min="9919" max="9919" width="8.5703125" bestFit="1" customWidth="1"/>
    <col min="9920" max="9920" width="5.5703125" bestFit="1" customWidth="1"/>
    <col min="9921" max="9921" width="14.42578125" bestFit="1" customWidth="1"/>
    <col min="9922" max="9922" width="11.28515625" bestFit="1" customWidth="1"/>
    <col min="9923" max="9924" width="12.28515625" bestFit="1" customWidth="1"/>
    <col min="9925" max="9925" width="11.28515625" bestFit="1" customWidth="1"/>
    <col min="9926" max="9926" width="13.85546875" bestFit="1" customWidth="1"/>
    <col min="9927" max="9927" width="12" bestFit="1" customWidth="1"/>
    <col min="9928" max="9928" width="13.85546875" bestFit="1" customWidth="1"/>
    <col min="9929" max="9930" width="14.42578125" customWidth="1"/>
    <col min="9931" max="9931" width="10.140625" bestFit="1" customWidth="1"/>
    <col min="9932" max="9932" width="12.28515625" bestFit="1" customWidth="1"/>
    <col min="9933" max="9933" width="7.42578125" bestFit="1" customWidth="1"/>
    <col min="9934" max="9934" width="8.5703125" bestFit="1" customWidth="1"/>
    <col min="9935" max="9935" width="11.5703125" bestFit="1" customWidth="1"/>
    <col min="9936" max="9936" width="13.28515625" bestFit="1" customWidth="1"/>
    <col min="9937" max="9937" width="13.28515625" customWidth="1"/>
    <col min="9938" max="9938" width="13.140625" customWidth="1"/>
    <col min="9939" max="9939" width="12.7109375" bestFit="1" customWidth="1"/>
    <col min="9940" max="9940" width="13.28515625" bestFit="1" customWidth="1"/>
    <col min="9941" max="9943" width="13.28515625" customWidth="1"/>
    <col min="9944" max="9944" width="12.140625" bestFit="1" customWidth="1"/>
    <col min="9945" max="9945" width="12.7109375" bestFit="1" customWidth="1"/>
    <col min="9946" max="9946" width="11" customWidth="1"/>
    <col min="9947" max="9947" width="16.7109375" customWidth="1"/>
    <col min="9948" max="9948" width="17" customWidth="1"/>
    <col min="9949" max="9949" width="10.42578125" bestFit="1" customWidth="1"/>
    <col min="9993" max="9993" width="3.85546875" customWidth="1"/>
    <col min="9994" max="9994" width="15.28515625" bestFit="1" customWidth="1"/>
    <col min="9995" max="9995" width="12.28515625" customWidth="1"/>
    <col min="9996" max="9996" width="16.28515625" bestFit="1" customWidth="1"/>
    <col min="9997" max="9997" width="6.42578125" bestFit="1" customWidth="1"/>
    <col min="9998" max="9998" width="9.28515625" bestFit="1" customWidth="1"/>
    <col min="9999" max="9999" width="7.5703125" bestFit="1" customWidth="1"/>
    <col min="10000" max="10000" width="13.28515625" bestFit="1" customWidth="1"/>
    <col min="10001" max="10001" width="9.28515625" bestFit="1" customWidth="1"/>
    <col min="10002" max="10002" width="11.5703125" bestFit="1" customWidth="1"/>
    <col min="10003" max="10003" width="13.28515625" bestFit="1" customWidth="1"/>
    <col min="10004" max="10004" width="7.140625" bestFit="1" customWidth="1"/>
    <col min="10005" max="10005" width="12" bestFit="1" customWidth="1"/>
    <col min="10006" max="10006" width="13.28515625" bestFit="1" customWidth="1"/>
    <col min="10007" max="10007" width="7" bestFit="1" customWidth="1"/>
    <col min="10008" max="10008" width="12.7109375" bestFit="1" customWidth="1"/>
    <col min="10009" max="10009" width="11.5703125" bestFit="1" customWidth="1"/>
    <col min="10010" max="10010" width="10.5703125" bestFit="1" customWidth="1"/>
    <col min="10011" max="10012" width="15.7109375" bestFit="1" customWidth="1"/>
    <col min="10013" max="10013" width="11.5703125" bestFit="1" customWidth="1"/>
    <col min="10014" max="10014" width="7.7109375" bestFit="1" customWidth="1"/>
    <col min="10015" max="10015" width="15.140625" bestFit="1" customWidth="1"/>
    <col min="10016" max="10016" width="11.5703125" bestFit="1" customWidth="1"/>
    <col min="10017" max="10017" width="13.28515625" bestFit="1" customWidth="1"/>
    <col min="10018" max="10018" width="10.42578125" bestFit="1" customWidth="1"/>
    <col min="10019" max="10019" width="13.28515625" bestFit="1" customWidth="1"/>
    <col min="10020" max="10020" width="12.140625" bestFit="1" customWidth="1"/>
    <col min="10021" max="10021" width="14.42578125" bestFit="1" customWidth="1"/>
    <col min="10022" max="10022" width="13.28515625" bestFit="1" customWidth="1"/>
    <col min="10023" max="10023" width="11.5703125" bestFit="1" customWidth="1"/>
    <col min="10024" max="10024" width="7.7109375" bestFit="1" customWidth="1"/>
    <col min="10025" max="10026" width="14.42578125" bestFit="1" customWidth="1"/>
    <col min="10027" max="10027" width="11.5703125" bestFit="1" customWidth="1"/>
    <col min="10028" max="10028" width="7.7109375" bestFit="1" customWidth="1"/>
    <col min="10029" max="10029" width="13.5703125" customWidth="1"/>
    <col min="10030" max="10030" width="15.28515625" customWidth="1"/>
    <col min="10031" max="10031" width="14.5703125" customWidth="1"/>
    <col min="10032" max="10032" width="13.28515625" bestFit="1" customWidth="1"/>
    <col min="10033" max="10033" width="7.7109375" bestFit="1" customWidth="1"/>
    <col min="10034" max="10034" width="12.7109375" bestFit="1" customWidth="1"/>
    <col min="10035" max="10035" width="11.7109375" bestFit="1" customWidth="1"/>
    <col min="10036" max="10036" width="11.5703125" bestFit="1" customWidth="1"/>
    <col min="10037" max="10037" width="5.28515625" bestFit="1" customWidth="1"/>
    <col min="10038" max="10038" width="13.28515625" bestFit="1" customWidth="1"/>
    <col min="10039" max="10039" width="13.5703125" bestFit="1" customWidth="1"/>
    <col min="10040" max="10040" width="10.5703125" bestFit="1" customWidth="1"/>
    <col min="10041" max="10041" width="13.28515625" bestFit="1" customWidth="1"/>
    <col min="10042" max="10042" width="11.5703125" bestFit="1" customWidth="1"/>
    <col min="10043" max="10043" width="10.5703125" bestFit="1" customWidth="1"/>
    <col min="10044" max="10044" width="16.140625" bestFit="1" customWidth="1"/>
    <col min="10045" max="10046" width="11.28515625" bestFit="1" customWidth="1"/>
    <col min="10047" max="10047" width="13.28515625" bestFit="1" customWidth="1"/>
    <col min="10048" max="10048" width="7.7109375" bestFit="1" customWidth="1"/>
    <col min="10049" max="10052" width="9.140625" hidden="1" customWidth="1"/>
    <col min="10053" max="10053" width="10.42578125" bestFit="1" customWidth="1"/>
    <col min="10054" max="10054" width="10.5703125" bestFit="1" customWidth="1"/>
    <col min="10055" max="10055" width="10.42578125" bestFit="1" customWidth="1"/>
    <col min="10056" max="10056" width="10.5703125" bestFit="1" customWidth="1"/>
    <col min="10057" max="10057" width="9.5703125" bestFit="1" customWidth="1"/>
    <col min="10058" max="10058" width="11.5703125" bestFit="1" customWidth="1"/>
    <col min="10059" max="10059" width="10.42578125" bestFit="1" customWidth="1"/>
    <col min="10060" max="10060" width="10.85546875" customWidth="1"/>
    <col min="10061" max="10062" width="9.85546875" bestFit="1" customWidth="1"/>
    <col min="10063" max="10063" width="13.5703125" bestFit="1" customWidth="1"/>
    <col min="10064" max="10064" width="7.7109375" bestFit="1" customWidth="1"/>
    <col min="10065" max="10065" width="13.28515625" bestFit="1" customWidth="1"/>
    <col min="10066" max="10066" width="11.5703125" bestFit="1" customWidth="1"/>
    <col min="10067" max="10067" width="10.42578125" bestFit="1" customWidth="1"/>
    <col min="10068" max="10068" width="7.7109375" bestFit="1" customWidth="1"/>
    <col min="10069" max="10069" width="11.5703125" bestFit="1" customWidth="1"/>
    <col min="10070" max="10070" width="10.85546875" bestFit="1" customWidth="1"/>
    <col min="10071" max="10071" width="13.28515625" bestFit="1" customWidth="1"/>
    <col min="10072" max="10072" width="10.85546875" bestFit="1" customWidth="1"/>
    <col min="10073" max="10074" width="7.5703125" bestFit="1" customWidth="1"/>
    <col min="10075" max="10076" width="10.42578125" bestFit="1" customWidth="1"/>
    <col min="10077" max="10077" width="11.5703125" bestFit="1" customWidth="1"/>
    <col min="10078" max="10078" width="5.28515625" bestFit="1" customWidth="1"/>
    <col min="10079" max="10079" width="10.28515625" bestFit="1" customWidth="1"/>
    <col min="10080" max="10080" width="10.42578125" bestFit="1" customWidth="1"/>
    <col min="10081" max="10081" width="11.5703125" bestFit="1" customWidth="1"/>
    <col min="10082" max="10082" width="5.28515625" bestFit="1" customWidth="1"/>
    <col min="10083" max="10085" width="11.5703125" bestFit="1" customWidth="1"/>
    <col min="10086" max="10086" width="5.28515625" bestFit="1" customWidth="1"/>
    <col min="10087" max="10088" width="10.42578125" bestFit="1" customWidth="1"/>
    <col min="10089" max="10089" width="11.5703125" bestFit="1" customWidth="1"/>
    <col min="10090" max="10090" width="5.28515625" bestFit="1" customWidth="1"/>
    <col min="10091" max="10091" width="14.28515625" bestFit="1" customWidth="1"/>
    <col min="10092" max="10092" width="13" bestFit="1" customWidth="1"/>
    <col min="10093" max="10093" width="11.5703125" bestFit="1" customWidth="1"/>
    <col min="10094" max="10094" width="8.85546875" bestFit="1" customWidth="1"/>
    <col min="10095" max="10095" width="14.42578125" bestFit="1" customWidth="1"/>
    <col min="10096" max="10096" width="10.42578125" bestFit="1" customWidth="1"/>
    <col min="10097" max="10097" width="12.28515625" bestFit="1" customWidth="1"/>
    <col min="10098" max="10098" width="13.85546875" bestFit="1" customWidth="1"/>
    <col min="10099" max="10099" width="11.28515625" customWidth="1"/>
    <col min="10100" max="10100" width="11.5703125" customWidth="1"/>
    <col min="10101" max="10101" width="13.42578125" bestFit="1" customWidth="1"/>
    <col min="10102" max="10102" width="10.42578125" customWidth="1"/>
    <col min="10103" max="10103" width="13.85546875" bestFit="1" customWidth="1"/>
    <col min="10104" max="10104" width="15.42578125" bestFit="1" customWidth="1"/>
    <col min="10105" max="10105" width="12.28515625" bestFit="1" customWidth="1"/>
    <col min="10106" max="10106" width="12.7109375" customWidth="1"/>
    <col min="10107" max="10107" width="10.7109375" bestFit="1" customWidth="1"/>
    <col min="10108" max="10108" width="9.85546875" customWidth="1"/>
    <col min="10109" max="10110" width="10.140625" bestFit="1" customWidth="1"/>
    <col min="10111" max="10111" width="7.5703125" bestFit="1" customWidth="1"/>
    <col min="10112" max="10112" width="9.42578125" bestFit="1" customWidth="1"/>
    <col min="10113" max="10113" width="14.5703125" bestFit="1" customWidth="1"/>
    <col min="10114" max="10114" width="14.85546875" customWidth="1"/>
    <col min="10115" max="10115" width="15.140625" bestFit="1" customWidth="1"/>
    <col min="10116" max="10116" width="12.140625" bestFit="1" customWidth="1"/>
    <col min="10117" max="10117" width="14.85546875" bestFit="1" customWidth="1"/>
    <col min="10118" max="10118" width="12.28515625" bestFit="1" customWidth="1"/>
    <col min="10119" max="10127" width="9.140625" hidden="1" customWidth="1"/>
    <col min="10128" max="10128" width="5.28515625" bestFit="1" customWidth="1"/>
    <col min="10129" max="10134" width="11.5703125" bestFit="1" customWidth="1"/>
    <col min="10135" max="10135" width="11.28515625" bestFit="1" customWidth="1"/>
    <col min="10136" max="10136" width="10.140625" bestFit="1" customWidth="1"/>
    <col min="10137" max="10137" width="11.5703125" bestFit="1" customWidth="1"/>
    <col min="10138" max="10138" width="16.140625" customWidth="1"/>
    <col min="10139" max="10139" width="13.42578125" customWidth="1"/>
    <col min="10140" max="10140" width="10.140625" bestFit="1" customWidth="1"/>
    <col min="10141" max="10141" width="12.85546875" bestFit="1" customWidth="1"/>
    <col min="10142" max="10142" width="12.28515625" bestFit="1" customWidth="1"/>
    <col min="10143" max="10143" width="11.28515625" bestFit="1" customWidth="1"/>
    <col min="10144" max="10144" width="11.5703125" bestFit="1" customWidth="1"/>
    <col min="10145" max="10145" width="10.85546875" bestFit="1" customWidth="1"/>
    <col min="10146" max="10146" width="11.28515625" bestFit="1" customWidth="1"/>
    <col min="10147" max="10147" width="10.140625" bestFit="1" customWidth="1"/>
    <col min="10148" max="10148" width="13.28515625" bestFit="1" customWidth="1"/>
    <col min="10149" max="10150" width="12.7109375" bestFit="1" customWidth="1"/>
    <col min="10151" max="10151" width="11" bestFit="1" customWidth="1"/>
    <col min="10152" max="10152" width="11.28515625" bestFit="1" customWidth="1"/>
    <col min="10153" max="10153" width="11.5703125" bestFit="1" customWidth="1"/>
    <col min="10154" max="10154" width="12.28515625" bestFit="1" customWidth="1"/>
    <col min="10155" max="10155" width="15.140625" bestFit="1" customWidth="1"/>
    <col min="10156" max="10156" width="14.42578125" bestFit="1" customWidth="1"/>
    <col min="10157" max="10157" width="12.28515625" bestFit="1" customWidth="1"/>
    <col min="10158" max="10158" width="15.140625" bestFit="1" customWidth="1"/>
    <col min="10159" max="10159" width="14.42578125" bestFit="1" customWidth="1"/>
    <col min="10160" max="10160" width="12.28515625" bestFit="1" customWidth="1"/>
    <col min="10161" max="10161" width="14.42578125" bestFit="1" customWidth="1"/>
    <col min="10162" max="10162" width="11.28515625" bestFit="1" customWidth="1"/>
    <col min="10163" max="10163" width="12.28515625" bestFit="1" customWidth="1"/>
    <col min="10164" max="10164" width="13" bestFit="1" customWidth="1"/>
    <col min="10165" max="10165" width="15.140625" bestFit="1" customWidth="1"/>
    <col min="10166" max="10166" width="12.28515625" bestFit="1" customWidth="1"/>
    <col min="10167" max="10167" width="13.85546875" bestFit="1" customWidth="1"/>
    <col min="10168" max="10168" width="11.28515625" bestFit="1" customWidth="1"/>
    <col min="10169" max="10169" width="12.28515625" bestFit="1" customWidth="1"/>
    <col min="10170" max="10170" width="13.85546875" bestFit="1" customWidth="1"/>
    <col min="10171" max="10172" width="15.140625" bestFit="1" customWidth="1"/>
    <col min="10173" max="10173" width="12.28515625" bestFit="1" customWidth="1"/>
    <col min="10174" max="10174" width="5.7109375" bestFit="1" customWidth="1"/>
    <col min="10175" max="10175" width="8.5703125" bestFit="1" customWidth="1"/>
    <col min="10176" max="10176" width="5.5703125" bestFit="1" customWidth="1"/>
    <col min="10177" max="10177" width="14.42578125" bestFit="1" customWidth="1"/>
    <col min="10178" max="10178" width="11.28515625" bestFit="1" customWidth="1"/>
    <col min="10179" max="10180" width="12.28515625" bestFit="1" customWidth="1"/>
    <col min="10181" max="10181" width="11.28515625" bestFit="1" customWidth="1"/>
    <col min="10182" max="10182" width="13.85546875" bestFit="1" customWidth="1"/>
    <col min="10183" max="10183" width="12" bestFit="1" customWidth="1"/>
    <col min="10184" max="10184" width="13.85546875" bestFit="1" customWidth="1"/>
    <col min="10185" max="10186" width="14.42578125" customWidth="1"/>
    <col min="10187" max="10187" width="10.140625" bestFit="1" customWidth="1"/>
    <col min="10188" max="10188" width="12.28515625" bestFit="1" customWidth="1"/>
    <col min="10189" max="10189" width="7.42578125" bestFit="1" customWidth="1"/>
    <col min="10190" max="10190" width="8.5703125" bestFit="1" customWidth="1"/>
    <col min="10191" max="10191" width="11.5703125" bestFit="1" customWidth="1"/>
    <col min="10192" max="10192" width="13.28515625" bestFit="1" customWidth="1"/>
    <col min="10193" max="10193" width="13.28515625" customWidth="1"/>
    <col min="10194" max="10194" width="13.140625" customWidth="1"/>
    <col min="10195" max="10195" width="12.7109375" bestFit="1" customWidth="1"/>
    <col min="10196" max="10196" width="13.28515625" bestFit="1" customWidth="1"/>
    <col min="10197" max="10199" width="13.28515625" customWidth="1"/>
    <col min="10200" max="10200" width="12.140625" bestFit="1" customWidth="1"/>
    <col min="10201" max="10201" width="12.7109375" bestFit="1" customWidth="1"/>
    <col min="10202" max="10202" width="11" customWidth="1"/>
    <col min="10203" max="10203" width="16.7109375" customWidth="1"/>
    <col min="10204" max="10204" width="17" customWidth="1"/>
    <col min="10205" max="10205" width="10.42578125" bestFit="1" customWidth="1"/>
    <col min="10249" max="10249" width="3.85546875" customWidth="1"/>
    <col min="10250" max="10250" width="15.28515625" bestFit="1" customWidth="1"/>
    <col min="10251" max="10251" width="12.28515625" customWidth="1"/>
    <col min="10252" max="10252" width="16.28515625" bestFit="1" customWidth="1"/>
    <col min="10253" max="10253" width="6.42578125" bestFit="1" customWidth="1"/>
    <col min="10254" max="10254" width="9.28515625" bestFit="1" customWidth="1"/>
    <col min="10255" max="10255" width="7.5703125" bestFit="1" customWidth="1"/>
    <col min="10256" max="10256" width="13.28515625" bestFit="1" customWidth="1"/>
    <col min="10257" max="10257" width="9.28515625" bestFit="1" customWidth="1"/>
    <col min="10258" max="10258" width="11.5703125" bestFit="1" customWidth="1"/>
    <col min="10259" max="10259" width="13.28515625" bestFit="1" customWidth="1"/>
    <col min="10260" max="10260" width="7.140625" bestFit="1" customWidth="1"/>
    <col min="10261" max="10261" width="12" bestFit="1" customWidth="1"/>
    <col min="10262" max="10262" width="13.28515625" bestFit="1" customWidth="1"/>
    <col min="10263" max="10263" width="7" bestFit="1" customWidth="1"/>
    <col min="10264" max="10264" width="12.7109375" bestFit="1" customWidth="1"/>
    <col min="10265" max="10265" width="11.5703125" bestFit="1" customWidth="1"/>
    <col min="10266" max="10266" width="10.5703125" bestFit="1" customWidth="1"/>
    <col min="10267" max="10268" width="15.7109375" bestFit="1" customWidth="1"/>
    <col min="10269" max="10269" width="11.5703125" bestFit="1" customWidth="1"/>
    <col min="10270" max="10270" width="7.7109375" bestFit="1" customWidth="1"/>
    <col min="10271" max="10271" width="15.140625" bestFit="1" customWidth="1"/>
    <col min="10272" max="10272" width="11.5703125" bestFit="1" customWidth="1"/>
    <col min="10273" max="10273" width="13.28515625" bestFit="1" customWidth="1"/>
    <col min="10274" max="10274" width="10.42578125" bestFit="1" customWidth="1"/>
    <col min="10275" max="10275" width="13.28515625" bestFit="1" customWidth="1"/>
    <col min="10276" max="10276" width="12.140625" bestFit="1" customWidth="1"/>
    <col min="10277" max="10277" width="14.42578125" bestFit="1" customWidth="1"/>
    <col min="10278" max="10278" width="13.28515625" bestFit="1" customWidth="1"/>
    <col min="10279" max="10279" width="11.5703125" bestFit="1" customWidth="1"/>
    <col min="10280" max="10280" width="7.7109375" bestFit="1" customWidth="1"/>
    <col min="10281" max="10282" width="14.42578125" bestFit="1" customWidth="1"/>
    <col min="10283" max="10283" width="11.5703125" bestFit="1" customWidth="1"/>
    <col min="10284" max="10284" width="7.7109375" bestFit="1" customWidth="1"/>
    <col min="10285" max="10285" width="13.5703125" customWidth="1"/>
    <col min="10286" max="10286" width="15.28515625" customWidth="1"/>
    <col min="10287" max="10287" width="14.5703125" customWidth="1"/>
    <col min="10288" max="10288" width="13.28515625" bestFit="1" customWidth="1"/>
    <col min="10289" max="10289" width="7.7109375" bestFit="1" customWidth="1"/>
    <col min="10290" max="10290" width="12.7109375" bestFit="1" customWidth="1"/>
    <col min="10291" max="10291" width="11.7109375" bestFit="1" customWidth="1"/>
    <col min="10292" max="10292" width="11.5703125" bestFit="1" customWidth="1"/>
    <col min="10293" max="10293" width="5.28515625" bestFit="1" customWidth="1"/>
    <col min="10294" max="10294" width="13.28515625" bestFit="1" customWidth="1"/>
    <col min="10295" max="10295" width="13.5703125" bestFit="1" customWidth="1"/>
    <col min="10296" max="10296" width="10.5703125" bestFit="1" customWidth="1"/>
    <col min="10297" max="10297" width="13.28515625" bestFit="1" customWidth="1"/>
    <col min="10298" max="10298" width="11.5703125" bestFit="1" customWidth="1"/>
    <col min="10299" max="10299" width="10.5703125" bestFit="1" customWidth="1"/>
    <col min="10300" max="10300" width="16.140625" bestFit="1" customWidth="1"/>
    <col min="10301" max="10302" width="11.28515625" bestFit="1" customWidth="1"/>
    <col min="10303" max="10303" width="13.28515625" bestFit="1" customWidth="1"/>
    <col min="10304" max="10304" width="7.7109375" bestFit="1" customWidth="1"/>
    <col min="10305" max="10308" width="9.140625" hidden="1" customWidth="1"/>
    <col min="10309" max="10309" width="10.42578125" bestFit="1" customWidth="1"/>
    <col min="10310" max="10310" width="10.5703125" bestFit="1" customWidth="1"/>
    <col min="10311" max="10311" width="10.42578125" bestFit="1" customWidth="1"/>
    <col min="10312" max="10312" width="10.5703125" bestFit="1" customWidth="1"/>
    <col min="10313" max="10313" width="9.5703125" bestFit="1" customWidth="1"/>
    <col min="10314" max="10314" width="11.5703125" bestFit="1" customWidth="1"/>
    <col min="10315" max="10315" width="10.42578125" bestFit="1" customWidth="1"/>
    <col min="10316" max="10316" width="10.85546875" customWidth="1"/>
    <col min="10317" max="10318" width="9.85546875" bestFit="1" customWidth="1"/>
    <col min="10319" max="10319" width="13.5703125" bestFit="1" customWidth="1"/>
    <col min="10320" max="10320" width="7.7109375" bestFit="1" customWidth="1"/>
    <col min="10321" max="10321" width="13.28515625" bestFit="1" customWidth="1"/>
    <col min="10322" max="10322" width="11.5703125" bestFit="1" customWidth="1"/>
    <col min="10323" max="10323" width="10.42578125" bestFit="1" customWidth="1"/>
    <col min="10324" max="10324" width="7.7109375" bestFit="1" customWidth="1"/>
    <col min="10325" max="10325" width="11.5703125" bestFit="1" customWidth="1"/>
    <col min="10326" max="10326" width="10.85546875" bestFit="1" customWidth="1"/>
    <col min="10327" max="10327" width="13.28515625" bestFit="1" customWidth="1"/>
    <col min="10328" max="10328" width="10.85546875" bestFit="1" customWidth="1"/>
    <col min="10329" max="10330" width="7.5703125" bestFit="1" customWidth="1"/>
    <col min="10331" max="10332" width="10.42578125" bestFit="1" customWidth="1"/>
    <col min="10333" max="10333" width="11.5703125" bestFit="1" customWidth="1"/>
    <col min="10334" max="10334" width="5.28515625" bestFit="1" customWidth="1"/>
    <col min="10335" max="10335" width="10.28515625" bestFit="1" customWidth="1"/>
    <col min="10336" max="10336" width="10.42578125" bestFit="1" customWidth="1"/>
    <col min="10337" max="10337" width="11.5703125" bestFit="1" customWidth="1"/>
    <col min="10338" max="10338" width="5.28515625" bestFit="1" customWidth="1"/>
    <col min="10339" max="10341" width="11.5703125" bestFit="1" customWidth="1"/>
    <col min="10342" max="10342" width="5.28515625" bestFit="1" customWidth="1"/>
    <col min="10343" max="10344" width="10.42578125" bestFit="1" customWidth="1"/>
    <col min="10345" max="10345" width="11.5703125" bestFit="1" customWidth="1"/>
    <col min="10346" max="10346" width="5.28515625" bestFit="1" customWidth="1"/>
    <col min="10347" max="10347" width="14.28515625" bestFit="1" customWidth="1"/>
    <col min="10348" max="10348" width="13" bestFit="1" customWidth="1"/>
    <col min="10349" max="10349" width="11.5703125" bestFit="1" customWidth="1"/>
    <col min="10350" max="10350" width="8.85546875" bestFit="1" customWidth="1"/>
    <col min="10351" max="10351" width="14.42578125" bestFit="1" customWidth="1"/>
    <col min="10352" max="10352" width="10.42578125" bestFit="1" customWidth="1"/>
    <col min="10353" max="10353" width="12.28515625" bestFit="1" customWidth="1"/>
    <col min="10354" max="10354" width="13.85546875" bestFit="1" customWidth="1"/>
    <col min="10355" max="10355" width="11.28515625" customWidth="1"/>
    <col min="10356" max="10356" width="11.5703125" customWidth="1"/>
    <col min="10357" max="10357" width="13.42578125" bestFit="1" customWidth="1"/>
    <col min="10358" max="10358" width="10.42578125" customWidth="1"/>
    <col min="10359" max="10359" width="13.85546875" bestFit="1" customWidth="1"/>
    <col min="10360" max="10360" width="15.42578125" bestFit="1" customWidth="1"/>
    <col min="10361" max="10361" width="12.28515625" bestFit="1" customWidth="1"/>
    <col min="10362" max="10362" width="12.7109375" customWidth="1"/>
    <col min="10363" max="10363" width="10.7109375" bestFit="1" customWidth="1"/>
    <col min="10364" max="10364" width="9.85546875" customWidth="1"/>
    <col min="10365" max="10366" width="10.140625" bestFit="1" customWidth="1"/>
    <col min="10367" max="10367" width="7.5703125" bestFit="1" customWidth="1"/>
    <col min="10368" max="10368" width="9.42578125" bestFit="1" customWidth="1"/>
    <col min="10369" max="10369" width="14.5703125" bestFit="1" customWidth="1"/>
    <col min="10370" max="10370" width="14.85546875" customWidth="1"/>
    <col min="10371" max="10371" width="15.140625" bestFit="1" customWidth="1"/>
    <col min="10372" max="10372" width="12.140625" bestFit="1" customWidth="1"/>
    <col min="10373" max="10373" width="14.85546875" bestFit="1" customWidth="1"/>
    <col min="10374" max="10374" width="12.28515625" bestFit="1" customWidth="1"/>
    <col min="10375" max="10383" width="9.140625" hidden="1" customWidth="1"/>
    <col min="10384" max="10384" width="5.28515625" bestFit="1" customWidth="1"/>
    <col min="10385" max="10390" width="11.5703125" bestFit="1" customWidth="1"/>
    <col min="10391" max="10391" width="11.28515625" bestFit="1" customWidth="1"/>
    <col min="10392" max="10392" width="10.140625" bestFit="1" customWidth="1"/>
    <col min="10393" max="10393" width="11.5703125" bestFit="1" customWidth="1"/>
    <col min="10394" max="10394" width="16.140625" customWidth="1"/>
    <col min="10395" max="10395" width="13.42578125" customWidth="1"/>
    <col min="10396" max="10396" width="10.140625" bestFit="1" customWidth="1"/>
    <col min="10397" max="10397" width="12.85546875" bestFit="1" customWidth="1"/>
    <col min="10398" max="10398" width="12.28515625" bestFit="1" customWidth="1"/>
    <col min="10399" max="10399" width="11.28515625" bestFit="1" customWidth="1"/>
    <col min="10400" max="10400" width="11.5703125" bestFit="1" customWidth="1"/>
    <col min="10401" max="10401" width="10.85546875" bestFit="1" customWidth="1"/>
    <col min="10402" max="10402" width="11.28515625" bestFit="1" customWidth="1"/>
    <col min="10403" max="10403" width="10.140625" bestFit="1" customWidth="1"/>
    <col min="10404" max="10404" width="13.28515625" bestFit="1" customWidth="1"/>
    <col min="10405" max="10406" width="12.7109375" bestFit="1" customWidth="1"/>
    <col min="10407" max="10407" width="11" bestFit="1" customWidth="1"/>
    <col min="10408" max="10408" width="11.28515625" bestFit="1" customWidth="1"/>
    <col min="10409" max="10409" width="11.5703125" bestFit="1" customWidth="1"/>
    <col min="10410" max="10410" width="12.28515625" bestFit="1" customWidth="1"/>
    <col min="10411" max="10411" width="15.140625" bestFit="1" customWidth="1"/>
    <col min="10412" max="10412" width="14.42578125" bestFit="1" customWidth="1"/>
    <col min="10413" max="10413" width="12.28515625" bestFit="1" customWidth="1"/>
    <col min="10414" max="10414" width="15.140625" bestFit="1" customWidth="1"/>
    <col min="10415" max="10415" width="14.42578125" bestFit="1" customWidth="1"/>
    <col min="10416" max="10416" width="12.28515625" bestFit="1" customWidth="1"/>
    <col min="10417" max="10417" width="14.42578125" bestFit="1" customWidth="1"/>
    <col min="10418" max="10418" width="11.28515625" bestFit="1" customWidth="1"/>
    <col min="10419" max="10419" width="12.28515625" bestFit="1" customWidth="1"/>
    <col min="10420" max="10420" width="13" bestFit="1" customWidth="1"/>
    <col min="10421" max="10421" width="15.140625" bestFit="1" customWidth="1"/>
    <col min="10422" max="10422" width="12.28515625" bestFit="1" customWidth="1"/>
    <col min="10423" max="10423" width="13.85546875" bestFit="1" customWidth="1"/>
    <col min="10424" max="10424" width="11.28515625" bestFit="1" customWidth="1"/>
    <col min="10425" max="10425" width="12.28515625" bestFit="1" customWidth="1"/>
    <col min="10426" max="10426" width="13.85546875" bestFit="1" customWidth="1"/>
    <col min="10427" max="10428" width="15.140625" bestFit="1" customWidth="1"/>
    <col min="10429" max="10429" width="12.28515625" bestFit="1" customWidth="1"/>
    <col min="10430" max="10430" width="5.7109375" bestFit="1" customWidth="1"/>
    <col min="10431" max="10431" width="8.5703125" bestFit="1" customWidth="1"/>
    <col min="10432" max="10432" width="5.5703125" bestFit="1" customWidth="1"/>
    <col min="10433" max="10433" width="14.42578125" bestFit="1" customWidth="1"/>
    <col min="10434" max="10434" width="11.28515625" bestFit="1" customWidth="1"/>
    <col min="10435" max="10436" width="12.28515625" bestFit="1" customWidth="1"/>
    <col min="10437" max="10437" width="11.28515625" bestFit="1" customWidth="1"/>
    <col min="10438" max="10438" width="13.85546875" bestFit="1" customWidth="1"/>
    <col min="10439" max="10439" width="12" bestFit="1" customWidth="1"/>
    <col min="10440" max="10440" width="13.85546875" bestFit="1" customWidth="1"/>
    <col min="10441" max="10442" width="14.42578125" customWidth="1"/>
    <col min="10443" max="10443" width="10.140625" bestFit="1" customWidth="1"/>
    <col min="10444" max="10444" width="12.28515625" bestFit="1" customWidth="1"/>
    <col min="10445" max="10445" width="7.42578125" bestFit="1" customWidth="1"/>
    <col min="10446" max="10446" width="8.5703125" bestFit="1" customWidth="1"/>
    <col min="10447" max="10447" width="11.5703125" bestFit="1" customWidth="1"/>
    <col min="10448" max="10448" width="13.28515625" bestFit="1" customWidth="1"/>
    <col min="10449" max="10449" width="13.28515625" customWidth="1"/>
    <col min="10450" max="10450" width="13.140625" customWidth="1"/>
    <col min="10451" max="10451" width="12.7109375" bestFit="1" customWidth="1"/>
    <col min="10452" max="10452" width="13.28515625" bestFit="1" customWidth="1"/>
    <col min="10453" max="10455" width="13.28515625" customWidth="1"/>
    <col min="10456" max="10456" width="12.140625" bestFit="1" customWidth="1"/>
    <col min="10457" max="10457" width="12.7109375" bestFit="1" customWidth="1"/>
    <col min="10458" max="10458" width="11" customWidth="1"/>
    <col min="10459" max="10459" width="16.7109375" customWidth="1"/>
    <col min="10460" max="10460" width="17" customWidth="1"/>
    <col min="10461" max="10461" width="10.42578125" bestFit="1" customWidth="1"/>
    <col min="10505" max="10505" width="3.85546875" customWidth="1"/>
    <col min="10506" max="10506" width="15.28515625" bestFit="1" customWidth="1"/>
    <col min="10507" max="10507" width="12.28515625" customWidth="1"/>
    <col min="10508" max="10508" width="16.28515625" bestFit="1" customWidth="1"/>
    <col min="10509" max="10509" width="6.42578125" bestFit="1" customWidth="1"/>
    <col min="10510" max="10510" width="9.28515625" bestFit="1" customWidth="1"/>
    <col min="10511" max="10511" width="7.5703125" bestFit="1" customWidth="1"/>
    <col min="10512" max="10512" width="13.28515625" bestFit="1" customWidth="1"/>
    <col min="10513" max="10513" width="9.28515625" bestFit="1" customWidth="1"/>
    <col min="10514" max="10514" width="11.5703125" bestFit="1" customWidth="1"/>
    <col min="10515" max="10515" width="13.28515625" bestFit="1" customWidth="1"/>
    <col min="10516" max="10516" width="7.140625" bestFit="1" customWidth="1"/>
    <col min="10517" max="10517" width="12" bestFit="1" customWidth="1"/>
    <col min="10518" max="10518" width="13.28515625" bestFit="1" customWidth="1"/>
    <col min="10519" max="10519" width="7" bestFit="1" customWidth="1"/>
    <col min="10520" max="10520" width="12.7109375" bestFit="1" customWidth="1"/>
    <col min="10521" max="10521" width="11.5703125" bestFit="1" customWidth="1"/>
    <col min="10522" max="10522" width="10.5703125" bestFit="1" customWidth="1"/>
    <col min="10523" max="10524" width="15.7109375" bestFit="1" customWidth="1"/>
    <col min="10525" max="10525" width="11.5703125" bestFit="1" customWidth="1"/>
    <col min="10526" max="10526" width="7.7109375" bestFit="1" customWidth="1"/>
    <col min="10527" max="10527" width="15.140625" bestFit="1" customWidth="1"/>
    <col min="10528" max="10528" width="11.5703125" bestFit="1" customWidth="1"/>
    <col min="10529" max="10529" width="13.28515625" bestFit="1" customWidth="1"/>
    <col min="10530" max="10530" width="10.42578125" bestFit="1" customWidth="1"/>
    <col min="10531" max="10531" width="13.28515625" bestFit="1" customWidth="1"/>
    <col min="10532" max="10532" width="12.140625" bestFit="1" customWidth="1"/>
    <col min="10533" max="10533" width="14.42578125" bestFit="1" customWidth="1"/>
    <col min="10534" max="10534" width="13.28515625" bestFit="1" customWidth="1"/>
    <col min="10535" max="10535" width="11.5703125" bestFit="1" customWidth="1"/>
    <col min="10536" max="10536" width="7.7109375" bestFit="1" customWidth="1"/>
    <col min="10537" max="10538" width="14.42578125" bestFit="1" customWidth="1"/>
    <col min="10539" max="10539" width="11.5703125" bestFit="1" customWidth="1"/>
    <col min="10540" max="10540" width="7.7109375" bestFit="1" customWidth="1"/>
    <col min="10541" max="10541" width="13.5703125" customWidth="1"/>
    <col min="10542" max="10542" width="15.28515625" customWidth="1"/>
    <col min="10543" max="10543" width="14.5703125" customWidth="1"/>
    <col min="10544" max="10544" width="13.28515625" bestFit="1" customWidth="1"/>
    <col min="10545" max="10545" width="7.7109375" bestFit="1" customWidth="1"/>
    <col min="10546" max="10546" width="12.7109375" bestFit="1" customWidth="1"/>
    <col min="10547" max="10547" width="11.7109375" bestFit="1" customWidth="1"/>
    <col min="10548" max="10548" width="11.5703125" bestFit="1" customWidth="1"/>
    <col min="10549" max="10549" width="5.28515625" bestFit="1" customWidth="1"/>
    <col min="10550" max="10550" width="13.28515625" bestFit="1" customWidth="1"/>
    <col min="10551" max="10551" width="13.5703125" bestFit="1" customWidth="1"/>
    <col min="10552" max="10552" width="10.5703125" bestFit="1" customWidth="1"/>
    <col min="10553" max="10553" width="13.28515625" bestFit="1" customWidth="1"/>
    <col min="10554" max="10554" width="11.5703125" bestFit="1" customWidth="1"/>
    <col min="10555" max="10555" width="10.5703125" bestFit="1" customWidth="1"/>
    <col min="10556" max="10556" width="16.140625" bestFit="1" customWidth="1"/>
    <col min="10557" max="10558" width="11.28515625" bestFit="1" customWidth="1"/>
    <col min="10559" max="10559" width="13.28515625" bestFit="1" customWidth="1"/>
    <col min="10560" max="10560" width="7.7109375" bestFit="1" customWidth="1"/>
    <col min="10561" max="10564" width="9.140625" hidden="1" customWidth="1"/>
    <col min="10565" max="10565" width="10.42578125" bestFit="1" customWidth="1"/>
    <col min="10566" max="10566" width="10.5703125" bestFit="1" customWidth="1"/>
    <col min="10567" max="10567" width="10.42578125" bestFit="1" customWidth="1"/>
    <col min="10568" max="10568" width="10.5703125" bestFit="1" customWidth="1"/>
    <col min="10569" max="10569" width="9.5703125" bestFit="1" customWidth="1"/>
    <col min="10570" max="10570" width="11.5703125" bestFit="1" customWidth="1"/>
    <col min="10571" max="10571" width="10.42578125" bestFit="1" customWidth="1"/>
    <col min="10572" max="10572" width="10.85546875" customWidth="1"/>
    <col min="10573" max="10574" width="9.85546875" bestFit="1" customWidth="1"/>
    <col min="10575" max="10575" width="13.5703125" bestFit="1" customWidth="1"/>
    <col min="10576" max="10576" width="7.7109375" bestFit="1" customWidth="1"/>
    <col min="10577" max="10577" width="13.28515625" bestFit="1" customWidth="1"/>
    <col min="10578" max="10578" width="11.5703125" bestFit="1" customWidth="1"/>
    <col min="10579" max="10579" width="10.42578125" bestFit="1" customWidth="1"/>
    <col min="10580" max="10580" width="7.7109375" bestFit="1" customWidth="1"/>
    <col min="10581" max="10581" width="11.5703125" bestFit="1" customWidth="1"/>
    <col min="10582" max="10582" width="10.85546875" bestFit="1" customWidth="1"/>
    <col min="10583" max="10583" width="13.28515625" bestFit="1" customWidth="1"/>
    <col min="10584" max="10584" width="10.85546875" bestFit="1" customWidth="1"/>
    <col min="10585" max="10586" width="7.5703125" bestFit="1" customWidth="1"/>
    <col min="10587" max="10588" width="10.42578125" bestFit="1" customWidth="1"/>
    <col min="10589" max="10589" width="11.5703125" bestFit="1" customWidth="1"/>
    <col min="10590" max="10590" width="5.28515625" bestFit="1" customWidth="1"/>
    <col min="10591" max="10591" width="10.28515625" bestFit="1" customWidth="1"/>
    <col min="10592" max="10592" width="10.42578125" bestFit="1" customWidth="1"/>
    <col min="10593" max="10593" width="11.5703125" bestFit="1" customWidth="1"/>
    <col min="10594" max="10594" width="5.28515625" bestFit="1" customWidth="1"/>
    <col min="10595" max="10597" width="11.5703125" bestFit="1" customWidth="1"/>
    <col min="10598" max="10598" width="5.28515625" bestFit="1" customWidth="1"/>
    <col min="10599" max="10600" width="10.42578125" bestFit="1" customWidth="1"/>
    <col min="10601" max="10601" width="11.5703125" bestFit="1" customWidth="1"/>
    <col min="10602" max="10602" width="5.28515625" bestFit="1" customWidth="1"/>
    <col min="10603" max="10603" width="14.28515625" bestFit="1" customWidth="1"/>
    <col min="10604" max="10604" width="13" bestFit="1" customWidth="1"/>
    <col min="10605" max="10605" width="11.5703125" bestFit="1" customWidth="1"/>
    <col min="10606" max="10606" width="8.85546875" bestFit="1" customWidth="1"/>
    <col min="10607" max="10607" width="14.42578125" bestFit="1" customWidth="1"/>
    <col min="10608" max="10608" width="10.42578125" bestFit="1" customWidth="1"/>
    <col min="10609" max="10609" width="12.28515625" bestFit="1" customWidth="1"/>
    <col min="10610" max="10610" width="13.85546875" bestFit="1" customWidth="1"/>
    <col min="10611" max="10611" width="11.28515625" customWidth="1"/>
    <col min="10612" max="10612" width="11.5703125" customWidth="1"/>
    <col min="10613" max="10613" width="13.42578125" bestFit="1" customWidth="1"/>
    <col min="10614" max="10614" width="10.42578125" customWidth="1"/>
    <col min="10615" max="10615" width="13.85546875" bestFit="1" customWidth="1"/>
    <col min="10616" max="10616" width="15.42578125" bestFit="1" customWidth="1"/>
    <col min="10617" max="10617" width="12.28515625" bestFit="1" customWidth="1"/>
    <col min="10618" max="10618" width="12.7109375" customWidth="1"/>
    <col min="10619" max="10619" width="10.7109375" bestFit="1" customWidth="1"/>
    <col min="10620" max="10620" width="9.85546875" customWidth="1"/>
    <col min="10621" max="10622" width="10.140625" bestFit="1" customWidth="1"/>
    <col min="10623" max="10623" width="7.5703125" bestFit="1" customWidth="1"/>
    <col min="10624" max="10624" width="9.42578125" bestFit="1" customWidth="1"/>
    <col min="10625" max="10625" width="14.5703125" bestFit="1" customWidth="1"/>
    <col min="10626" max="10626" width="14.85546875" customWidth="1"/>
    <col min="10627" max="10627" width="15.140625" bestFit="1" customWidth="1"/>
    <col min="10628" max="10628" width="12.140625" bestFit="1" customWidth="1"/>
    <col min="10629" max="10629" width="14.85546875" bestFit="1" customWidth="1"/>
    <col min="10630" max="10630" width="12.28515625" bestFit="1" customWidth="1"/>
    <col min="10631" max="10639" width="9.140625" hidden="1" customWidth="1"/>
    <col min="10640" max="10640" width="5.28515625" bestFit="1" customWidth="1"/>
    <col min="10641" max="10646" width="11.5703125" bestFit="1" customWidth="1"/>
    <col min="10647" max="10647" width="11.28515625" bestFit="1" customWidth="1"/>
    <col min="10648" max="10648" width="10.140625" bestFit="1" customWidth="1"/>
    <col min="10649" max="10649" width="11.5703125" bestFit="1" customWidth="1"/>
    <col min="10650" max="10650" width="16.140625" customWidth="1"/>
    <col min="10651" max="10651" width="13.42578125" customWidth="1"/>
    <col min="10652" max="10652" width="10.140625" bestFit="1" customWidth="1"/>
    <col min="10653" max="10653" width="12.85546875" bestFit="1" customWidth="1"/>
    <col min="10654" max="10654" width="12.28515625" bestFit="1" customWidth="1"/>
    <col min="10655" max="10655" width="11.28515625" bestFit="1" customWidth="1"/>
    <col min="10656" max="10656" width="11.5703125" bestFit="1" customWidth="1"/>
    <col min="10657" max="10657" width="10.85546875" bestFit="1" customWidth="1"/>
    <col min="10658" max="10658" width="11.28515625" bestFit="1" customWidth="1"/>
    <col min="10659" max="10659" width="10.140625" bestFit="1" customWidth="1"/>
    <col min="10660" max="10660" width="13.28515625" bestFit="1" customWidth="1"/>
    <col min="10661" max="10662" width="12.7109375" bestFit="1" customWidth="1"/>
    <col min="10663" max="10663" width="11" bestFit="1" customWidth="1"/>
    <col min="10664" max="10664" width="11.28515625" bestFit="1" customWidth="1"/>
    <col min="10665" max="10665" width="11.5703125" bestFit="1" customWidth="1"/>
    <col min="10666" max="10666" width="12.28515625" bestFit="1" customWidth="1"/>
    <col min="10667" max="10667" width="15.140625" bestFit="1" customWidth="1"/>
    <col min="10668" max="10668" width="14.42578125" bestFit="1" customWidth="1"/>
    <col min="10669" max="10669" width="12.28515625" bestFit="1" customWidth="1"/>
    <col min="10670" max="10670" width="15.140625" bestFit="1" customWidth="1"/>
    <col min="10671" max="10671" width="14.42578125" bestFit="1" customWidth="1"/>
    <col min="10672" max="10672" width="12.28515625" bestFit="1" customWidth="1"/>
    <col min="10673" max="10673" width="14.42578125" bestFit="1" customWidth="1"/>
    <col min="10674" max="10674" width="11.28515625" bestFit="1" customWidth="1"/>
    <col min="10675" max="10675" width="12.28515625" bestFit="1" customWidth="1"/>
    <col min="10676" max="10676" width="13" bestFit="1" customWidth="1"/>
    <col min="10677" max="10677" width="15.140625" bestFit="1" customWidth="1"/>
    <col min="10678" max="10678" width="12.28515625" bestFit="1" customWidth="1"/>
    <col min="10679" max="10679" width="13.85546875" bestFit="1" customWidth="1"/>
    <col min="10680" max="10680" width="11.28515625" bestFit="1" customWidth="1"/>
    <col min="10681" max="10681" width="12.28515625" bestFit="1" customWidth="1"/>
    <col min="10682" max="10682" width="13.85546875" bestFit="1" customWidth="1"/>
    <col min="10683" max="10684" width="15.140625" bestFit="1" customWidth="1"/>
    <col min="10685" max="10685" width="12.28515625" bestFit="1" customWidth="1"/>
    <col min="10686" max="10686" width="5.7109375" bestFit="1" customWidth="1"/>
    <col min="10687" max="10687" width="8.5703125" bestFit="1" customWidth="1"/>
    <col min="10688" max="10688" width="5.5703125" bestFit="1" customWidth="1"/>
    <col min="10689" max="10689" width="14.42578125" bestFit="1" customWidth="1"/>
    <col min="10690" max="10690" width="11.28515625" bestFit="1" customWidth="1"/>
    <col min="10691" max="10692" width="12.28515625" bestFit="1" customWidth="1"/>
    <col min="10693" max="10693" width="11.28515625" bestFit="1" customWidth="1"/>
    <col min="10694" max="10694" width="13.85546875" bestFit="1" customWidth="1"/>
    <col min="10695" max="10695" width="12" bestFit="1" customWidth="1"/>
    <col min="10696" max="10696" width="13.85546875" bestFit="1" customWidth="1"/>
    <col min="10697" max="10698" width="14.42578125" customWidth="1"/>
    <col min="10699" max="10699" width="10.140625" bestFit="1" customWidth="1"/>
    <col min="10700" max="10700" width="12.28515625" bestFit="1" customWidth="1"/>
    <col min="10701" max="10701" width="7.42578125" bestFit="1" customWidth="1"/>
    <col min="10702" max="10702" width="8.5703125" bestFit="1" customWidth="1"/>
    <col min="10703" max="10703" width="11.5703125" bestFit="1" customWidth="1"/>
    <col min="10704" max="10704" width="13.28515625" bestFit="1" customWidth="1"/>
    <col min="10705" max="10705" width="13.28515625" customWidth="1"/>
    <col min="10706" max="10706" width="13.140625" customWidth="1"/>
    <col min="10707" max="10707" width="12.7109375" bestFit="1" customWidth="1"/>
    <col min="10708" max="10708" width="13.28515625" bestFit="1" customWidth="1"/>
    <col min="10709" max="10711" width="13.28515625" customWidth="1"/>
    <col min="10712" max="10712" width="12.140625" bestFit="1" customWidth="1"/>
    <col min="10713" max="10713" width="12.7109375" bestFit="1" customWidth="1"/>
    <col min="10714" max="10714" width="11" customWidth="1"/>
    <col min="10715" max="10715" width="16.7109375" customWidth="1"/>
    <col min="10716" max="10716" width="17" customWidth="1"/>
    <col min="10717" max="10717" width="10.42578125" bestFit="1" customWidth="1"/>
    <col min="10761" max="10761" width="3.85546875" customWidth="1"/>
    <col min="10762" max="10762" width="15.28515625" bestFit="1" customWidth="1"/>
    <col min="10763" max="10763" width="12.28515625" customWidth="1"/>
    <col min="10764" max="10764" width="16.28515625" bestFit="1" customWidth="1"/>
    <col min="10765" max="10765" width="6.42578125" bestFit="1" customWidth="1"/>
    <col min="10766" max="10766" width="9.28515625" bestFit="1" customWidth="1"/>
    <col min="10767" max="10767" width="7.5703125" bestFit="1" customWidth="1"/>
    <col min="10768" max="10768" width="13.28515625" bestFit="1" customWidth="1"/>
    <col min="10769" max="10769" width="9.28515625" bestFit="1" customWidth="1"/>
    <col min="10770" max="10770" width="11.5703125" bestFit="1" customWidth="1"/>
    <col min="10771" max="10771" width="13.28515625" bestFit="1" customWidth="1"/>
    <col min="10772" max="10772" width="7.140625" bestFit="1" customWidth="1"/>
    <col min="10773" max="10773" width="12" bestFit="1" customWidth="1"/>
    <col min="10774" max="10774" width="13.28515625" bestFit="1" customWidth="1"/>
    <col min="10775" max="10775" width="7" bestFit="1" customWidth="1"/>
    <col min="10776" max="10776" width="12.7109375" bestFit="1" customWidth="1"/>
    <col min="10777" max="10777" width="11.5703125" bestFit="1" customWidth="1"/>
    <col min="10778" max="10778" width="10.5703125" bestFit="1" customWidth="1"/>
    <col min="10779" max="10780" width="15.7109375" bestFit="1" customWidth="1"/>
    <col min="10781" max="10781" width="11.5703125" bestFit="1" customWidth="1"/>
    <col min="10782" max="10782" width="7.7109375" bestFit="1" customWidth="1"/>
    <col min="10783" max="10783" width="15.140625" bestFit="1" customWidth="1"/>
    <col min="10784" max="10784" width="11.5703125" bestFit="1" customWidth="1"/>
    <col min="10785" max="10785" width="13.28515625" bestFit="1" customWidth="1"/>
    <col min="10786" max="10786" width="10.42578125" bestFit="1" customWidth="1"/>
    <col min="10787" max="10787" width="13.28515625" bestFit="1" customWidth="1"/>
    <col min="10788" max="10788" width="12.140625" bestFit="1" customWidth="1"/>
    <col min="10789" max="10789" width="14.42578125" bestFit="1" customWidth="1"/>
    <col min="10790" max="10790" width="13.28515625" bestFit="1" customWidth="1"/>
    <col min="10791" max="10791" width="11.5703125" bestFit="1" customWidth="1"/>
    <col min="10792" max="10792" width="7.7109375" bestFit="1" customWidth="1"/>
    <col min="10793" max="10794" width="14.42578125" bestFit="1" customWidth="1"/>
    <col min="10795" max="10795" width="11.5703125" bestFit="1" customWidth="1"/>
    <col min="10796" max="10796" width="7.7109375" bestFit="1" customWidth="1"/>
    <col min="10797" max="10797" width="13.5703125" customWidth="1"/>
    <col min="10798" max="10798" width="15.28515625" customWidth="1"/>
    <col min="10799" max="10799" width="14.5703125" customWidth="1"/>
    <col min="10800" max="10800" width="13.28515625" bestFit="1" customWidth="1"/>
    <col min="10801" max="10801" width="7.7109375" bestFit="1" customWidth="1"/>
    <col min="10802" max="10802" width="12.7109375" bestFit="1" customWidth="1"/>
    <col min="10803" max="10803" width="11.7109375" bestFit="1" customWidth="1"/>
    <col min="10804" max="10804" width="11.5703125" bestFit="1" customWidth="1"/>
    <col min="10805" max="10805" width="5.28515625" bestFit="1" customWidth="1"/>
    <col min="10806" max="10806" width="13.28515625" bestFit="1" customWidth="1"/>
    <col min="10807" max="10807" width="13.5703125" bestFit="1" customWidth="1"/>
    <col min="10808" max="10808" width="10.5703125" bestFit="1" customWidth="1"/>
    <col min="10809" max="10809" width="13.28515625" bestFit="1" customWidth="1"/>
    <col min="10810" max="10810" width="11.5703125" bestFit="1" customWidth="1"/>
    <col min="10811" max="10811" width="10.5703125" bestFit="1" customWidth="1"/>
    <col min="10812" max="10812" width="16.140625" bestFit="1" customWidth="1"/>
    <col min="10813" max="10814" width="11.28515625" bestFit="1" customWidth="1"/>
    <col min="10815" max="10815" width="13.28515625" bestFit="1" customWidth="1"/>
    <col min="10816" max="10816" width="7.7109375" bestFit="1" customWidth="1"/>
    <col min="10817" max="10820" width="9.140625" hidden="1" customWidth="1"/>
    <col min="10821" max="10821" width="10.42578125" bestFit="1" customWidth="1"/>
    <col min="10822" max="10822" width="10.5703125" bestFit="1" customWidth="1"/>
    <col min="10823" max="10823" width="10.42578125" bestFit="1" customWidth="1"/>
    <col min="10824" max="10824" width="10.5703125" bestFit="1" customWidth="1"/>
    <col min="10825" max="10825" width="9.5703125" bestFit="1" customWidth="1"/>
    <col min="10826" max="10826" width="11.5703125" bestFit="1" customWidth="1"/>
    <col min="10827" max="10827" width="10.42578125" bestFit="1" customWidth="1"/>
    <col min="10828" max="10828" width="10.85546875" customWidth="1"/>
    <col min="10829" max="10830" width="9.85546875" bestFit="1" customWidth="1"/>
    <col min="10831" max="10831" width="13.5703125" bestFit="1" customWidth="1"/>
    <col min="10832" max="10832" width="7.7109375" bestFit="1" customWidth="1"/>
    <col min="10833" max="10833" width="13.28515625" bestFit="1" customWidth="1"/>
    <col min="10834" max="10834" width="11.5703125" bestFit="1" customWidth="1"/>
    <col min="10835" max="10835" width="10.42578125" bestFit="1" customWidth="1"/>
    <col min="10836" max="10836" width="7.7109375" bestFit="1" customWidth="1"/>
    <col min="10837" max="10837" width="11.5703125" bestFit="1" customWidth="1"/>
    <col min="10838" max="10838" width="10.85546875" bestFit="1" customWidth="1"/>
    <col min="10839" max="10839" width="13.28515625" bestFit="1" customWidth="1"/>
    <col min="10840" max="10840" width="10.85546875" bestFit="1" customWidth="1"/>
    <col min="10841" max="10842" width="7.5703125" bestFit="1" customWidth="1"/>
    <col min="10843" max="10844" width="10.42578125" bestFit="1" customWidth="1"/>
    <col min="10845" max="10845" width="11.5703125" bestFit="1" customWidth="1"/>
    <col min="10846" max="10846" width="5.28515625" bestFit="1" customWidth="1"/>
    <col min="10847" max="10847" width="10.28515625" bestFit="1" customWidth="1"/>
    <col min="10848" max="10848" width="10.42578125" bestFit="1" customWidth="1"/>
    <col min="10849" max="10849" width="11.5703125" bestFit="1" customWidth="1"/>
    <col min="10850" max="10850" width="5.28515625" bestFit="1" customWidth="1"/>
    <col min="10851" max="10853" width="11.5703125" bestFit="1" customWidth="1"/>
    <col min="10854" max="10854" width="5.28515625" bestFit="1" customWidth="1"/>
    <col min="10855" max="10856" width="10.42578125" bestFit="1" customWidth="1"/>
    <col min="10857" max="10857" width="11.5703125" bestFit="1" customWidth="1"/>
    <col min="10858" max="10858" width="5.28515625" bestFit="1" customWidth="1"/>
    <col min="10859" max="10859" width="14.28515625" bestFit="1" customWidth="1"/>
    <col min="10860" max="10860" width="13" bestFit="1" customWidth="1"/>
    <col min="10861" max="10861" width="11.5703125" bestFit="1" customWidth="1"/>
    <col min="10862" max="10862" width="8.85546875" bestFit="1" customWidth="1"/>
    <col min="10863" max="10863" width="14.42578125" bestFit="1" customWidth="1"/>
    <col min="10864" max="10864" width="10.42578125" bestFit="1" customWidth="1"/>
    <col min="10865" max="10865" width="12.28515625" bestFit="1" customWidth="1"/>
    <col min="10866" max="10866" width="13.85546875" bestFit="1" customWidth="1"/>
    <col min="10867" max="10867" width="11.28515625" customWidth="1"/>
    <col min="10868" max="10868" width="11.5703125" customWidth="1"/>
    <col min="10869" max="10869" width="13.42578125" bestFit="1" customWidth="1"/>
    <col min="10870" max="10870" width="10.42578125" customWidth="1"/>
    <col min="10871" max="10871" width="13.85546875" bestFit="1" customWidth="1"/>
    <col min="10872" max="10872" width="15.42578125" bestFit="1" customWidth="1"/>
    <col min="10873" max="10873" width="12.28515625" bestFit="1" customWidth="1"/>
    <col min="10874" max="10874" width="12.7109375" customWidth="1"/>
    <col min="10875" max="10875" width="10.7109375" bestFit="1" customWidth="1"/>
    <col min="10876" max="10876" width="9.85546875" customWidth="1"/>
    <col min="10877" max="10878" width="10.140625" bestFit="1" customWidth="1"/>
    <col min="10879" max="10879" width="7.5703125" bestFit="1" customWidth="1"/>
    <col min="10880" max="10880" width="9.42578125" bestFit="1" customWidth="1"/>
    <col min="10881" max="10881" width="14.5703125" bestFit="1" customWidth="1"/>
    <col min="10882" max="10882" width="14.85546875" customWidth="1"/>
    <col min="10883" max="10883" width="15.140625" bestFit="1" customWidth="1"/>
    <col min="10884" max="10884" width="12.140625" bestFit="1" customWidth="1"/>
    <col min="10885" max="10885" width="14.85546875" bestFit="1" customWidth="1"/>
    <col min="10886" max="10886" width="12.28515625" bestFit="1" customWidth="1"/>
    <col min="10887" max="10895" width="9.140625" hidden="1" customWidth="1"/>
    <col min="10896" max="10896" width="5.28515625" bestFit="1" customWidth="1"/>
    <col min="10897" max="10902" width="11.5703125" bestFit="1" customWidth="1"/>
    <col min="10903" max="10903" width="11.28515625" bestFit="1" customWidth="1"/>
    <col min="10904" max="10904" width="10.140625" bestFit="1" customWidth="1"/>
    <col min="10905" max="10905" width="11.5703125" bestFit="1" customWidth="1"/>
    <col min="10906" max="10906" width="16.140625" customWidth="1"/>
    <col min="10907" max="10907" width="13.42578125" customWidth="1"/>
    <col min="10908" max="10908" width="10.140625" bestFit="1" customWidth="1"/>
    <col min="10909" max="10909" width="12.85546875" bestFit="1" customWidth="1"/>
    <col min="10910" max="10910" width="12.28515625" bestFit="1" customWidth="1"/>
    <col min="10911" max="10911" width="11.28515625" bestFit="1" customWidth="1"/>
    <col min="10912" max="10912" width="11.5703125" bestFit="1" customWidth="1"/>
    <col min="10913" max="10913" width="10.85546875" bestFit="1" customWidth="1"/>
    <col min="10914" max="10914" width="11.28515625" bestFit="1" customWidth="1"/>
    <col min="10915" max="10915" width="10.140625" bestFit="1" customWidth="1"/>
    <col min="10916" max="10916" width="13.28515625" bestFit="1" customWidth="1"/>
    <col min="10917" max="10918" width="12.7109375" bestFit="1" customWidth="1"/>
    <col min="10919" max="10919" width="11" bestFit="1" customWidth="1"/>
    <col min="10920" max="10920" width="11.28515625" bestFit="1" customWidth="1"/>
    <col min="10921" max="10921" width="11.5703125" bestFit="1" customWidth="1"/>
    <col min="10922" max="10922" width="12.28515625" bestFit="1" customWidth="1"/>
    <col min="10923" max="10923" width="15.140625" bestFit="1" customWidth="1"/>
    <col min="10924" max="10924" width="14.42578125" bestFit="1" customWidth="1"/>
    <col min="10925" max="10925" width="12.28515625" bestFit="1" customWidth="1"/>
    <col min="10926" max="10926" width="15.140625" bestFit="1" customWidth="1"/>
    <col min="10927" max="10927" width="14.42578125" bestFit="1" customWidth="1"/>
    <col min="10928" max="10928" width="12.28515625" bestFit="1" customWidth="1"/>
    <col min="10929" max="10929" width="14.42578125" bestFit="1" customWidth="1"/>
    <col min="10930" max="10930" width="11.28515625" bestFit="1" customWidth="1"/>
    <col min="10931" max="10931" width="12.28515625" bestFit="1" customWidth="1"/>
    <col min="10932" max="10932" width="13" bestFit="1" customWidth="1"/>
    <col min="10933" max="10933" width="15.140625" bestFit="1" customWidth="1"/>
    <col min="10934" max="10934" width="12.28515625" bestFit="1" customWidth="1"/>
    <col min="10935" max="10935" width="13.85546875" bestFit="1" customWidth="1"/>
    <col min="10936" max="10936" width="11.28515625" bestFit="1" customWidth="1"/>
    <col min="10937" max="10937" width="12.28515625" bestFit="1" customWidth="1"/>
    <col min="10938" max="10938" width="13.85546875" bestFit="1" customWidth="1"/>
    <col min="10939" max="10940" width="15.140625" bestFit="1" customWidth="1"/>
    <col min="10941" max="10941" width="12.28515625" bestFit="1" customWidth="1"/>
    <col min="10942" max="10942" width="5.7109375" bestFit="1" customWidth="1"/>
    <col min="10943" max="10943" width="8.5703125" bestFit="1" customWidth="1"/>
    <col min="10944" max="10944" width="5.5703125" bestFit="1" customWidth="1"/>
    <col min="10945" max="10945" width="14.42578125" bestFit="1" customWidth="1"/>
    <col min="10946" max="10946" width="11.28515625" bestFit="1" customWidth="1"/>
    <col min="10947" max="10948" width="12.28515625" bestFit="1" customWidth="1"/>
    <col min="10949" max="10949" width="11.28515625" bestFit="1" customWidth="1"/>
    <col min="10950" max="10950" width="13.85546875" bestFit="1" customWidth="1"/>
    <col min="10951" max="10951" width="12" bestFit="1" customWidth="1"/>
    <col min="10952" max="10952" width="13.85546875" bestFit="1" customWidth="1"/>
    <col min="10953" max="10954" width="14.42578125" customWidth="1"/>
    <col min="10955" max="10955" width="10.140625" bestFit="1" customWidth="1"/>
    <col min="10956" max="10956" width="12.28515625" bestFit="1" customWidth="1"/>
    <col min="10957" max="10957" width="7.42578125" bestFit="1" customWidth="1"/>
    <col min="10958" max="10958" width="8.5703125" bestFit="1" customWidth="1"/>
    <col min="10959" max="10959" width="11.5703125" bestFit="1" customWidth="1"/>
    <col min="10960" max="10960" width="13.28515625" bestFit="1" customWidth="1"/>
    <col min="10961" max="10961" width="13.28515625" customWidth="1"/>
    <col min="10962" max="10962" width="13.140625" customWidth="1"/>
    <col min="10963" max="10963" width="12.7109375" bestFit="1" customWidth="1"/>
    <col min="10964" max="10964" width="13.28515625" bestFit="1" customWidth="1"/>
    <col min="10965" max="10967" width="13.28515625" customWidth="1"/>
    <col min="10968" max="10968" width="12.140625" bestFit="1" customWidth="1"/>
    <col min="10969" max="10969" width="12.7109375" bestFit="1" customWidth="1"/>
    <col min="10970" max="10970" width="11" customWidth="1"/>
    <col min="10971" max="10971" width="16.7109375" customWidth="1"/>
    <col min="10972" max="10972" width="17" customWidth="1"/>
    <col min="10973" max="10973" width="10.42578125" bestFit="1" customWidth="1"/>
    <col min="11017" max="11017" width="3.85546875" customWidth="1"/>
    <col min="11018" max="11018" width="15.28515625" bestFit="1" customWidth="1"/>
    <col min="11019" max="11019" width="12.28515625" customWidth="1"/>
    <col min="11020" max="11020" width="16.28515625" bestFit="1" customWidth="1"/>
    <col min="11021" max="11021" width="6.42578125" bestFit="1" customWidth="1"/>
    <col min="11022" max="11022" width="9.28515625" bestFit="1" customWidth="1"/>
    <col min="11023" max="11023" width="7.5703125" bestFit="1" customWidth="1"/>
    <col min="11024" max="11024" width="13.28515625" bestFit="1" customWidth="1"/>
    <col min="11025" max="11025" width="9.28515625" bestFit="1" customWidth="1"/>
    <col min="11026" max="11026" width="11.5703125" bestFit="1" customWidth="1"/>
    <col min="11027" max="11027" width="13.28515625" bestFit="1" customWidth="1"/>
    <col min="11028" max="11028" width="7.140625" bestFit="1" customWidth="1"/>
    <col min="11029" max="11029" width="12" bestFit="1" customWidth="1"/>
    <col min="11030" max="11030" width="13.28515625" bestFit="1" customWidth="1"/>
    <col min="11031" max="11031" width="7" bestFit="1" customWidth="1"/>
    <col min="11032" max="11032" width="12.7109375" bestFit="1" customWidth="1"/>
    <col min="11033" max="11033" width="11.5703125" bestFit="1" customWidth="1"/>
    <col min="11034" max="11034" width="10.5703125" bestFit="1" customWidth="1"/>
    <col min="11035" max="11036" width="15.7109375" bestFit="1" customWidth="1"/>
    <col min="11037" max="11037" width="11.5703125" bestFit="1" customWidth="1"/>
    <col min="11038" max="11038" width="7.7109375" bestFit="1" customWidth="1"/>
    <col min="11039" max="11039" width="15.140625" bestFit="1" customWidth="1"/>
    <col min="11040" max="11040" width="11.5703125" bestFit="1" customWidth="1"/>
    <col min="11041" max="11041" width="13.28515625" bestFit="1" customWidth="1"/>
    <col min="11042" max="11042" width="10.42578125" bestFit="1" customWidth="1"/>
    <col min="11043" max="11043" width="13.28515625" bestFit="1" customWidth="1"/>
    <col min="11044" max="11044" width="12.140625" bestFit="1" customWidth="1"/>
    <col min="11045" max="11045" width="14.42578125" bestFit="1" customWidth="1"/>
    <col min="11046" max="11046" width="13.28515625" bestFit="1" customWidth="1"/>
    <col min="11047" max="11047" width="11.5703125" bestFit="1" customWidth="1"/>
    <col min="11048" max="11048" width="7.7109375" bestFit="1" customWidth="1"/>
    <col min="11049" max="11050" width="14.42578125" bestFit="1" customWidth="1"/>
    <col min="11051" max="11051" width="11.5703125" bestFit="1" customWidth="1"/>
    <col min="11052" max="11052" width="7.7109375" bestFit="1" customWidth="1"/>
    <col min="11053" max="11053" width="13.5703125" customWidth="1"/>
    <col min="11054" max="11054" width="15.28515625" customWidth="1"/>
    <col min="11055" max="11055" width="14.5703125" customWidth="1"/>
    <col min="11056" max="11056" width="13.28515625" bestFit="1" customWidth="1"/>
    <col min="11057" max="11057" width="7.7109375" bestFit="1" customWidth="1"/>
    <col min="11058" max="11058" width="12.7109375" bestFit="1" customWidth="1"/>
    <col min="11059" max="11059" width="11.7109375" bestFit="1" customWidth="1"/>
    <col min="11060" max="11060" width="11.5703125" bestFit="1" customWidth="1"/>
    <col min="11061" max="11061" width="5.28515625" bestFit="1" customWidth="1"/>
    <col min="11062" max="11062" width="13.28515625" bestFit="1" customWidth="1"/>
    <col min="11063" max="11063" width="13.5703125" bestFit="1" customWidth="1"/>
    <col min="11064" max="11064" width="10.5703125" bestFit="1" customWidth="1"/>
    <col min="11065" max="11065" width="13.28515625" bestFit="1" customWidth="1"/>
    <col min="11066" max="11066" width="11.5703125" bestFit="1" customWidth="1"/>
    <col min="11067" max="11067" width="10.5703125" bestFit="1" customWidth="1"/>
    <col min="11068" max="11068" width="16.140625" bestFit="1" customWidth="1"/>
    <col min="11069" max="11070" width="11.28515625" bestFit="1" customWidth="1"/>
    <col min="11071" max="11071" width="13.28515625" bestFit="1" customWidth="1"/>
    <col min="11072" max="11072" width="7.7109375" bestFit="1" customWidth="1"/>
    <col min="11073" max="11076" width="9.140625" hidden="1" customWidth="1"/>
    <col min="11077" max="11077" width="10.42578125" bestFit="1" customWidth="1"/>
    <col min="11078" max="11078" width="10.5703125" bestFit="1" customWidth="1"/>
    <col min="11079" max="11079" width="10.42578125" bestFit="1" customWidth="1"/>
    <col min="11080" max="11080" width="10.5703125" bestFit="1" customWidth="1"/>
    <col min="11081" max="11081" width="9.5703125" bestFit="1" customWidth="1"/>
    <col min="11082" max="11082" width="11.5703125" bestFit="1" customWidth="1"/>
    <col min="11083" max="11083" width="10.42578125" bestFit="1" customWidth="1"/>
    <col min="11084" max="11084" width="10.85546875" customWidth="1"/>
    <col min="11085" max="11086" width="9.85546875" bestFit="1" customWidth="1"/>
    <col min="11087" max="11087" width="13.5703125" bestFit="1" customWidth="1"/>
    <col min="11088" max="11088" width="7.7109375" bestFit="1" customWidth="1"/>
    <col min="11089" max="11089" width="13.28515625" bestFit="1" customWidth="1"/>
    <col min="11090" max="11090" width="11.5703125" bestFit="1" customWidth="1"/>
    <col min="11091" max="11091" width="10.42578125" bestFit="1" customWidth="1"/>
    <col min="11092" max="11092" width="7.7109375" bestFit="1" customWidth="1"/>
    <col min="11093" max="11093" width="11.5703125" bestFit="1" customWidth="1"/>
    <col min="11094" max="11094" width="10.85546875" bestFit="1" customWidth="1"/>
    <col min="11095" max="11095" width="13.28515625" bestFit="1" customWidth="1"/>
    <col min="11096" max="11096" width="10.85546875" bestFit="1" customWidth="1"/>
    <col min="11097" max="11098" width="7.5703125" bestFit="1" customWidth="1"/>
    <col min="11099" max="11100" width="10.42578125" bestFit="1" customWidth="1"/>
    <col min="11101" max="11101" width="11.5703125" bestFit="1" customWidth="1"/>
    <col min="11102" max="11102" width="5.28515625" bestFit="1" customWidth="1"/>
    <col min="11103" max="11103" width="10.28515625" bestFit="1" customWidth="1"/>
    <col min="11104" max="11104" width="10.42578125" bestFit="1" customWidth="1"/>
    <col min="11105" max="11105" width="11.5703125" bestFit="1" customWidth="1"/>
    <col min="11106" max="11106" width="5.28515625" bestFit="1" customWidth="1"/>
    <col min="11107" max="11109" width="11.5703125" bestFit="1" customWidth="1"/>
    <col min="11110" max="11110" width="5.28515625" bestFit="1" customWidth="1"/>
    <col min="11111" max="11112" width="10.42578125" bestFit="1" customWidth="1"/>
    <col min="11113" max="11113" width="11.5703125" bestFit="1" customWidth="1"/>
    <col min="11114" max="11114" width="5.28515625" bestFit="1" customWidth="1"/>
    <col min="11115" max="11115" width="14.28515625" bestFit="1" customWidth="1"/>
    <col min="11116" max="11116" width="13" bestFit="1" customWidth="1"/>
    <col min="11117" max="11117" width="11.5703125" bestFit="1" customWidth="1"/>
    <col min="11118" max="11118" width="8.85546875" bestFit="1" customWidth="1"/>
    <col min="11119" max="11119" width="14.42578125" bestFit="1" customWidth="1"/>
    <col min="11120" max="11120" width="10.42578125" bestFit="1" customWidth="1"/>
    <col min="11121" max="11121" width="12.28515625" bestFit="1" customWidth="1"/>
    <col min="11122" max="11122" width="13.85546875" bestFit="1" customWidth="1"/>
    <col min="11123" max="11123" width="11.28515625" customWidth="1"/>
    <col min="11124" max="11124" width="11.5703125" customWidth="1"/>
    <col min="11125" max="11125" width="13.42578125" bestFit="1" customWidth="1"/>
    <col min="11126" max="11126" width="10.42578125" customWidth="1"/>
    <col min="11127" max="11127" width="13.85546875" bestFit="1" customWidth="1"/>
    <col min="11128" max="11128" width="15.42578125" bestFit="1" customWidth="1"/>
    <col min="11129" max="11129" width="12.28515625" bestFit="1" customWidth="1"/>
    <col min="11130" max="11130" width="12.7109375" customWidth="1"/>
    <col min="11131" max="11131" width="10.7109375" bestFit="1" customWidth="1"/>
    <col min="11132" max="11132" width="9.85546875" customWidth="1"/>
    <col min="11133" max="11134" width="10.140625" bestFit="1" customWidth="1"/>
    <col min="11135" max="11135" width="7.5703125" bestFit="1" customWidth="1"/>
    <col min="11136" max="11136" width="9.42578125" bestFit="1" customWidth="1"/>
    <col min="11137" max="11137" width="14.5703125" bestFit="1" customWidth="1"/>
    <col min="11138" max="11138" width="14.85546875" customWidth="1"/>
    <col min="11139" max="11139" width="15.140625" bestFit="1" customWidth="1"/>
    <col min="11140" max="11140" width="12.140625" bestFit="1" customWidth="1"/>
    <col min="11141" max="11141" width="14.85546875" bestFit="1" customWidth="1"/>
    <col min="11142" max="11142" width="12.28515625" bestFit="1" customWidth="1"/>
    <col min="11143" max="11151" width="9.140625" hidden="1" customWidth="1"/>
    <col min="11152" max="11152" width="5.28515625" bestFit="1" customWidth="1"/>
    <col min="11153" max="11158" width="11.5703125" bestFit="1" customWidth="1"/>
    <col min="11159" max="11159" width="11.28515625" bestFit="1" customWidth="1"/>
    <col min="11160" max="11160" width="10.140625" bestFit="1" customWidth="1"/>
    <col min="11161" max="11161" width="11.5703125" bestFit="1" customWidth="1"/>
    <col min="11162" max="11162" width="16.140625" customWidth="1"/>
    <col min="11163" max="11163" width="13.42578125" customWidth="1"/>
    <col min="11164" max="11164" width="10.140625" bestFit="1" customWidth="1"/>
    <col min="11165" max="11165" width="12.85546875" bestFit="1" customWidth="1"/>
    <col min="11166" max="11166" width="12.28515625" bestFit="1" customWidth="1"/>
    <col min="11167" max="11167" width="11.28515625" bestFit="1" customWidth="1"/>
    <col min="11168" max="11168" width="11.5703125" bestFit="1" customWidth="1"/>
    <col min="11169" max="11169" width="10.85546875" bestFit="1" customWidth="1"/>
    <col min="11170" max="11170" width="11.28515625" bestFit="1" customWidth="1"/>
    <col min="11171" max="11171" width="10.140625" bestFit="1" customWidth="1"/>
    <col min="11172" max="11172" width="13.28515625" bestFit="1" customWidth="1"/>
    <col min="11173" max="11174" width="12.7109375" bestFit="1" customWidth="1"/>
    <col min="11175" max="11175" width="11" bestFit="1" customWidth="1"/>
    <col min="11176" max="11176" width="11.28515625" bestFit="1" customWidth="1"/>
    <col min="11177" max="11177" width="11.5703125" bestFit="1" customWidth="1"/>
    <col min="11178" max="11178" width="12.28515625" bestFit="1" customWidth="1"/>
    <col min="11179" max="11179" width="15.140625" bestFit="1" customWidth="1"/>
    <col min="11180" max="11180" width="14.42578125" bestFit="1" customWidth="1"/>
    <col min="11181" max="11181" width="12.28515625" bestFit="1" customWidth="1"/>
    <col min="11182" max="11182" width="15.140625" bestFit="1" customWidth="1"/>
    <col min="11183" max="11183" width="14.42578125" bestFit="1" customWidth="1"/>
    <col min="11184" max="11184" width="12.28515625" bestFit="1" customWidth="1"/>
    <col min="11185" max="11185" width="14.42578125" bestFit="1" customWidth="1"/>
    <col min="11186" max="11186" width="11.28515625" bestFit="1" customWidth="1"/>
    <col min="11187" max="11187" width="12.28515625" bestFit="1" customWidth="1"/>
    <col min="11188" max="11188" width="13" bestFit="1" customWidth="1"/>
    <col min="11189" max="11189" width="15.140625" bestFit="1" customWidth="1"/>
    <col min="11190" max="11190" width="12.28515625" bestFit="1" customWidth="1"/>
    <col min="11191" max="11191" width="13.85546875" bestFit="1" customWidth="1"/>
    <col min="11192" max="11192" width="11.28515625" bestFit="1" customWidth="1"/>
    <col min="11193" max="11193" width="12.28515625" bestFit="1" customWidth="1"/>
    <col min="11194" max="11194" width="13.85546875" bestFit="1" customWidth="1"/>
    <col min="11195" max="11196" width="15.140625" bestFit="1" customWidth="1"/>
    <col min="11197" max="11197" width="12.28515625" bestFit="1" customWidth="1"/>
    <col min="11198" max="11198" width="5.7109375" bestFit="1" customWidth="1"/>
    <col min="11199" max="11199" width="8.5703125" bestFit="1" customWidth="1"/>
    <col min="11200" max="11200" width="5.5703125" bestFit="1" customWidth="1"/>
    <col min="11201" max="11201" width="14.42578125" bestFit="1" customWidth="1"/>
    <col min="11202" max="11202" width="11.28515625" bestFit="1" customWidth="1"/>
    <col min="11203" max="11204" width="12.28515625" bestFit="1" customWidth="1"/>
    <col min="11205" max="11205" width="11.28515625" bestFit="1" customWidth="1"/>
    <col min="11206" max="11206" width="13.85546875" bestFit="1" customWidth="1"/>
    <col min="11207" max="11207" width="12" bestFit="1" customWidth="1"/>
    <col min="11208" max="11208" width="13.85546875" bestFit="1" customWidth="1"/>
    <col min="11209" max="11210" width="14.42578125" customWidth="1"/>
    <col min="11211" max="11211" width="10.140625" bestFit="1" customWidth="1"/>
    <col min="11212" max="11212" width="12.28515625" bestFit="1" customWidth="1"/>
    <col min="11213" max="11213" width="7.42578125" bestFit="1" customWidth="1"/>
    <col min="11214" max="11214" width="8.5703125" bestFit="1" customWidth="1"/>
    <col min="11215" max="11215" width="11.5703125" bestFit="1" customWidth="1"/>
    <col min="11216" max="11216" width="13.28515625" bestFit="1" customWidth="1"/>
    <col min="11217" max="11217" width="13.28515625" customWidth="1"/>
    <col min="11218" max="11218" width="13.140625" customWidth="1"/>
    <col min="11219" max="11219" width="12.7109375" bestFit="1" customWidth="1"/>
    <col min="11220" max="11220" width="13.28515625" bestFit="1" customWidth="1"/>
    <col min="11221" max="11223" width="13.28515625" customWidth="1"/>
    <col min="11224" max="11224" width="12.140625" bestFit="1" customWidth="1"/>
    <col min="11225" max="11225" width="12.7109375" bestFit="1" customWidth="1"/>
    <col min="11226" max="11226" width="11" customWidth="1"/>
    <col min="11227" max="11227" width="16.7109375" customWidth="1"/>
    <col min="11228" max="11228" width="17" customWidth="1"/>
    <col min="11229" max="11229" width="10.42578125" bestFit="1" customWidth="1"/>
    <col min="11273" max="11273" width="3.85546875" customWidth="1"/>
    <col min="11274" max="11274" width="15.28515625" bestFit="1" customWidth="1"/>
    <col min="11275" max="11275" width="12.28515625" customWidth="1"/>
    <col min="11276" max="11276" width="16.28515625" bestFit="1" customWidth="1"/>
    <col min="11277" max="11277" width="6.42578125" bestFit="1" customWidth="1"/>
    <col min="11278" max="11278" width="9.28515625" bestFit="1" customWidth="1"/>
    <col min="11279" max="11279" width="7.5703125" bestFit="1" customWidth="1"/>
    <col min="11280" max="11280" width="13.28515625" bestFit="1" customWidth="1"/>
    <col min="11281" max="11281" width="9.28515625" bestFit="1" customWidth="1"/>
    <col min="11282" max="11282" width="11.5703125" bestFit="1" customWidth="1"/>
    <col min="11283" max="11283" width="13.28515625" bestFit="1" customWidth="1"/>
    <col min="11284" max="11284" width="7.140625" bestFit="1" customWidth="1"/>
    <col min="11285" max="11285" width="12" bestFit="1" customWidth="1"/>
    <col min="11286" max="11286" width="13.28515625" bestFit="1" customWidth="1"/>
    <col min="11287" max="11287" width="7" bestFit="1" customWidth="1"/>
    <col min="11288" max="11288" width="12.7109375" bestFit="1" customWidth="1"/>
    <col min="11289" max="11289" width="11.5703125" bestFit="1" customWidth="1"/>
    <col min="11290" max="11290" width="10.5703125" bestFit="1" customWidth="1"/>
    <col min="11291" max="11292" width="15.7109375" bestFit="1" customWidth="1"/>
    <col min="11293" max="11293" width="11.5703125" bestFit="1" customWidth="1"/>
    <col min="11294" max="11294" width="7.7109375" bestFit="1" customWidth="1"/>
    <col min="11295" max="11295" width="15.140625" bestFit="1" customWidth="1"/>
    <col min="11296" max="11296" width="11.5703125" bestFit="1" customWidth="1"/>
    <col min="11297" max="11297" width="13.28515625" bestFit="1" customWidth="1"/>
    <col min="11298" max="11298" width="10.42578125" bestFit="1" customWidth="1"/>
    <col min="11299" max="11299" width="13.28515625" bestFit="1" customWidth="1"/>
    <col min="11300" max="11300" width="12.140625" bestFit="1" customWidth="1"/>
    <col min="11301" max="11301" width="14.42578125" bestFit="1" customWidth="1"/>
    <col min="11302" max="11302" width="13.28515625" bestFit="1" customWidth="1"/>
    <col min="11303" max="11303" width="11.5703125" bestFit="1" customWidth="1"/>
    <col min="11304" max="11304" width="7.7109375" bestFit="1" customWidth="1"/>
    <col min="11305" max="11306" width="14.42578125" bestFit="1" customWidth="1"/>
    <col min="11307" max="11307" width="11.5703125" bestFit="1" customWidth="1"/>
    <col min="11308" max="11308" width="7.7109375" bestFit="1" customWidth="1"/>
    <col min="11309" max="11309" width="13.5703125" customWidth="1"/>
    <col min="11310" max="11310" width="15.28515625" customWidth="1"/>
    <col min="11311" max="11311" width="14.5703125" customWidth="1"/>
    <col min="11312" max="11312" width="13.28515625" bestFit="1" customWidth="1"/>
    <col min="11313" max="11313" width="7.7109375" bestFit="1" customWidth="1"/>
    <col min="11314" max="11314" width="12.7109375" bestFit="1" customWidth="1"/>
    <col min="11315" max="11315" width="11.7109375" bestFit="1" customWidth="1"/>
    <col min="11316" max="11316" width="11.5703125" bestFit="1" customWidth="1"/>
    <col min="11317" max="11317" width="5.28515625" bestFit="1" customWidth="1"/>
    <col min="11318" max="11318" width="13.28515625" bestFit="1" customWidth="1"/>
    <col min="11319" max="11319" width="13.5703125" bestFit="1" customWidth="1"/>
    <col min="11320" max="11320" width="10.5703125" bestFit="1" customWidth="1"/>
    <col min="11321" max="11321" width="13.28515625" bestFit="1" customWidth="1"/>
    <col min="11322" max="11322" width="11.5703125" bestFit="1" customWidth="1"/>
    <col min="11323" max="11323" width="10.5703125" bestFit="1" customWidth="1"/>
    <col min="11324" max="11324" width="16.140625" bestFit="1" customWidth="1"/>
    <col min="11325" max="11326" width="11.28515625" bestFit="1" customWidth="1"/>
    <col min="11327" max="11327" width="13.28515625" bestFit="1" customWidth="1"/>
    <col min="11328" max="11328" width="7.7109375" bestFit="1" customWidth="1"/>
    <col min="11329" max="11332" width="9.140625" hidden="1" customWidth="1"/>
    <col min="11333" max="11333" width="10.42578125" bestFit="1" customWidth="1"/>
    <col min="11334" max="11334" width="10.5703125" bestFit="1" customWidth="1"/>
    <col min="11335" max="11335" width="10.42578125" bestFit="1" customWidth="1"/>
    <col min="11336" max="11336" width="10.5703125" bestFit="1" customWidth="1"/>
    <col min="11337" max="11337" width="9.5703125" bestFit="1" customWidth="1"/>
    <col min="11338" max="11338" width="11.5703125" bestFit="1" customWidth="1"/>
    <col min="11339" max="11339" width="10.42578125" bestFit="1" customWidth="1"/>
    <col min="11340" max="11340" width="10.85546875" customWidth="1"/>
    <col min="11341" max="11342" width="9.85546875" bestFit="1" customWidth="1"/>
    <col min="11343" max="11343" width="13.5703125" bestFit="1" customWidth="1"/>
    <col min="11344" max="11344" width="7.7109375" bestFit="1" customWidth="1"/>
    <col min="11345" max="11345" width="13.28515625" bestFit="1" customWidth="1"/>
    <col min="11346" max="11346" width="11.5703125" bestFit="1" customWidth="1"/>
    <col min="11347" max="11347" width="10.42578125" bestFit="1" customWidth="1"/>
    <col min="11348" max="11348" width="7.7109375" bestFit="1" customWidth="1"/>
    <col min="11349" max="11349" width="11.5703125" bestFit="1" customWidth="1"/>
    <col min="11350" max="11350" width="10.85546875" bestFit="1" customWidth="1"/>
    <col min="11351" max="11351" width="13.28515625" bestFit="1" customWidth="1"/>
    <col min="11352" max="11352" width="10.85546875" bestFit="1" customWidth="1"/>
    <col min="11353" max="11354" width="7.5703125" bestFit="1" customWidth="1"/>
    <col min="11355" max="11356" width="10.42578125" bestFit="1" customWidth="1"/>
    <col min="11357" max="11357" width="11.5703125" bestFit="1" customWidth="1"/>
    <col min="11358" max="11358" width="5.28515625" bestFit="1" customWidth="1"/>
    <col min="11359" max="11359" width="10.28515625" bestFit="1" customWidth="1"/>
    <col min="11360" max="11360" width="10.42578125" bestFit="1" customWidth="1"/>
    <col min="11361" max="11361" width="11.5703125" bestFit="1" customWidth="1"/>
    <col min="11362" max="11362" width="5.28515625" bestFit="1" customWidth="1"/>
    <col min="11363" max="11365" width="11.5703125" bestFit="1" customWidth="1"/>
    <col min="11366" max="11366" width="5.28515625" bestFit="1" customWidth="1"/>
    <col min="11367" max="11368" width="10.42578125" bestFit="1" customWidth="1"/>
    <col min="11369" max="11369" width="11.5703125" bestFit="1" customWidth="1"/>
    <col min="11370" max="11370" width="5.28515625" bestFit="1" customWidth="1"/>
    <col min="11371" max="11371" width="14.28515625" bestFit="1" customWidth="1"/>
    <col min="11372" max="11372" width="13" bestFit="1" customWidth="1"/>
    <col min="11373" max="11373" width="11.5703125" bestFit="1" customWidth="1"/>
    <col min="11374" max="11374" width="8.85546875" bestFit="1" customWidth="1"/>
    <col min="11375" max="11375" width="14.42578125" bestFit="1" customWidth="1"/>
    <col min="11376" max="11376" width="10.42578125" bestFit="1" customWidth="1"/>
    <col min="11377" max="11377" width="12.28515625" bestFit="1" customWidth="1"/>
    <col min="11378" max="11378" width="13.85546875" bestFit="1" customWidth="1"/>
    <col min="11379" max="11379" width="11.28515625" customWidth="1"/>
    <col min="11380" max="11380" width="11.5703125" customWidth="1"/>
    <col min="11381" max="11381" width="13.42578125" bestFit="1" customWidth="1"/>
    <col min="11382" max="11382" width="10.42578125" customWidth="1"/>
    <col min="11383" max="11383" width="13.85546875" bestFit="1" customWidth="1"/>
    <col min="11384" max="11384" width="15.42578125" bestFit="1" customWidth="1"/>
    <col min="11385" max="11385" width="12.28515625" bestFit="1" customWidth="1"/>
    <col min="11386" max="11386" width="12.7109375" customWidth="1"/>
    <col min="11387" max="11387" width="10.7109375" bestFit="1" customWidth="1"/>
    <col min="11388" max="11388" width="9.85546875" customWidth="1"/>
    <col min="11389" max="11390" width="10.140625" bestFit="1" customWidth="1"/>
    <col min="11391" max="11391" width="7.5703125" bestFit="1" customWidth="1"/>
    <col min="11392" max="11392" width="9.42578125" bestFit="1" customWidth="1"/>
    <col min="11393" max="11393" width="14.5703125" bestFit="1" customWidth="1"/>
    <col min="11394" max="11394" width="14.85546875" customWidth="1"/>
    <col min="11395" max="11395" width="15.140625" bestFit="1" customWidth="1"/>
    <col min="11396" max="11396" width="12.140625" bestFit="1" customWidth="1"/>
    <col min="11397" max="11397" width="14.85546875" bestFit="1" customWidth="1"/>
    <col min="11398" max="11398" width="12.28515625" bestFit="1" customWidth="1"/>
    <col min="11399" max="11407" width="9.140625" hidden="1" customWidth="1"/>
    <col min="11408" max="11408" width="5.28515625" bestFit="1" customWidth="1"/>
    <col min="11409" max="11414" width="11.5703125" bestFit="1" customWidth="1"/>
    <col min="11415" max="11415" width="11.28515625" bestFit="1" customWidth="1"/>
    <col min="11416" max="11416" width="10.140625" bestFit="1" customWidth="1"/>
    <col min="11417" max="11417" width="11.5703125" bestFit="1" customWidth="1"/>
    <col min="11418" max="11418" width="16.140625" customWidth="1"/>
    <col min="11419" max="11419" width="13.42578125" customWidth="1"/>
    <col min="11420" max="11420" width="10.140625" bestFit="1" customWidth="1"/>
    <col min="11421" max="11421" width="12.85546875" bestFit="1" customWidth="1"/>
    <col min="11422" max="11422" width="12.28515625" bestFit="1" customWidth="1"/>
    <col min="11423" max="11423" width="11.28515625" bestFit="1" customWidth="1"/>
    <col min="11424" max="11424" width="11.5703125" bestFit="1" customWidth="1"/>
    <col min="11425" max="11425" width="10.85546875" bestFit="1" customWidth="1"/>
    <col min="11426" max="11426" width="11.28515625" bestFit="1" customWidth="1"/>
    <col min="11427" max="11427" width="10.140625" bestFit="1" customWidth="1"/>
    <col min="11428" max="11428" width="13.28515625" bestFit="1" customWidth="1"/>
    <col min="11429" max="11430" width="12.7109375" bestFit="1" customWidth="1"/>
    <col min="11431" max="11431" width="11" bestFit="1" customWidth="1"/>
    <col min="11432" max="11432" width="11.28515625" bestFit="1" customWidth="1"/>
    <col min="11433" max="11433" width="11.5703125" bestFit="1" customWidth="1"/>
    <col min="11434" max="11434" width="12.28515625" bestFit="1" customWidth="1"/>
    <col min="11435" max="11435" width="15.140625" bestFit="1" customWidth="1"/>
    <col min="11436" max="11436" width="14.42578125" bestFit="1" customWidth="1"/>
    <col min="11437" max="11437" width="12.28515625" bestFit="1" customWidth="1"/>
    <col min="11438" max="11438" width="15.140625" bestFit="1" customWidth="1"/>
    <col min="11439" max="11439" width="14.42578125" bestFit="1" customWidth="1"/>
    <col min="11440" max="11440" width="12.28515625" bestFit="1" customWidth="1"/>
    <col min="11441" max="11441" width="14.42578125" bestFit="1" customWidth="1"/>
    <col min="11442" max="11442" width="11.28515625" bestFit="1" customWidth="1"/>
    <col min="11443" max="11443" width="12.28515625" bestFit="1" customWidth="1"/>
    <col min="11444" max="11444" width="13" bestFit="1" customWidth="1"/>
    <col min="11445" max="11445" width="15.140625" bestFit="1" customWidth="1"/>
    <col min="11446" max="11446" width="12.28515625" bestFit="1" customWidth="1"/>
    <col min="11447" max="11447" width="13.85546875" bestFit="1" customWidth="1"/>
    <col min="11448" max="11448" width="11.28515625" bestFit="1" customWidth="1"/>
    <col min="11449" max="11449" width="12.28515625" bestFit="1" customWidth="1"/>
    <col min="11450" max="11450" width="13.85546875" bestFit="1" customWidth="1"/>
    <col min="11451" max="11452" width="15.140625" bestFit="1" customWidth="1"/>
    <col min="11453" max="11453" width="12.28515625" bestFit="1" customWidth="1"/>
    <col min="11454" max="11454" width="5.7109375" bestFit="1" customWidth="1"/>
    <col min="11455" max="11455" width="8.5703125" bestFit="1" customWidth="1"/>
    <col min="11456" max="11456" width="5.5703125" bestFit="1" customWidth="1"/>
    <col min="11457" max="11457" width="14.42578125" bestFit="1" customWidth="1"/>
    <col min="11458" max="11458" width="11.28515625" bestFit="1" customWidth="1"/>
    <col min="11459" max="11460" width="12.28515625" bestFit="1" customWidth="1"/>
    <col min="11461" max="11461" width="11.28515625" bestFit="1" customWidth="1"/>
    <col min="11462" max="11462" width="13.85546875" bestFit="1" customWidth="1"/>
    <col min="11463" max="11463" width="12" bestFit="1" customWidth="1"/>
    <col min="11464" max="11464" width="13.85546875" bestFit="1" customWidth="1"/>
    <col min="11465" max="11466" width="14.42578125" customWidth="1"/>
    <col min="11467" max="11467" width="10.140625" bestFit="1" customWidth="1"/>
    <col min="11468" max="11468" width="12.28515625" bestFit="1" customWidth="1"/>
    <col min="11469" max="11469" width="7.42578125" bestFit="1" customWidth="1"/>
    <col min="11470" max="11470" width="8.5703125" bestFit="1" customWidth="1"/>
    <col min="11471" max="11471" width="11.5703125" bestFit="1" customWidth="1"/>
    <col min="11472" max="11472" width="13.28515625" bestFit="1" customWidth="1"/>
    <col min="11473" max="11473" width="13.28515625" customWidth="1"/>
    <col min="11474" max="11474" width="13.140625" customWidth="1"/>
    <col min="11475" max="11475" width="12.7109375" bestFit="1" customWidth="1"/>
    <col min="11476" max="11476" width="13.28515625" bestFit="1" customWidth="1"/>
    <col min="11477" max="11479" width="13.28515625" customWidth="1"/>
    <col min="11480" max="11480" width="12.140625" bestFit="1" customWidth="1"/>
    <col min="11481" max="11481" width="12.7109375" bestFit="1" customWidth="1"/>
    <col min="11482" max="11482" width="11" customWidth="1"/>
    <col min="11483" max="11483" width="16.7109375" customWidth="1"/>
    <col min="11484" max="11484" width="17" customWidth="1"/>
    <col min="11485" max="11485" width="10.42578125" bestFit="1" customWidth="1"/>
    <col min="11529" max="11529" width="3.85546875" customWidth="1"/>
    <col min="11530" max="11530" width="15.28515625" bestFit="1" customWidth="1"/>
    <col min="11531" max="11531" width="12.28515625" customWidth="1"/>
    <col min="11532" max="11532" width="16.28515625" bestFit="1" customWidth="1"/>
    <col min="11533" max="11533" width="6.42578125" bestFit="1" customWidth="1"/>
    <col min="11534" max="11534" width="9.28515625" bestFit="1" customWidth="1"/>
    <col min="11535" max="11535" width="7.5703125" bestFit="1" customWidth="1"/>
    <col min="11536" max="11536" width="13.28515625" bestFit="1" customWidth="1"/>
    <col min="11537" max="11537" width="9.28515625" bestFit="1" customWidth="1"/>
    <col min="11538" max="11538" width="11.5703125" bestFit="1" customWidth="1"/>
    <col min="11539" max="11539" width="13.28515625" bestFit="1" customWidth="1"/>
    <col min="11540" max="11540" width="7.140625" bestFit="1" customWidth="1"/>
    <col min="11541" max="11541" width="12" bestFit="1" customWidth="1"/>
    <col min="11542" max="11542" width="13.28515625" bestFit="1" customWidth="1"/>
    <col min="11543" max="11543" width="7" bestFit="1" customWidth="1"/>
    <col min="11544" max="11544" width="12.7109375" bestFit="1" customWidth="1"/>
    <col min="11545" max="11545" width="11.5703125" bestFit="1" customWidth="1"/>
    <col min="11546" max="11546" width="10.5703125" bestFit="1" customWidth="1"/>
    <col min="11547" max="11548" width="15.7109375" bestFit="1" customWidth="1"/>
    <col min="11549" max="11549" width="11.5703125" bestFit="1" customWidth="1"/>
    <col min="11550" max="11550" width="7.7109375" bestFit="1" customWidth="1"/>
    <col min="11551" max="11551" width="15.140625" bestFit="1" customWidth="1"/>
    <col min="11552" max="11552" width="11.5703125" bestFit="1" customWidth="1"/>
    <col min="11553" max="11553" width="13.28515625" bestFit="1" customWidth="1"/>
    <col min="11554" max="11554" width="10.42578125" bestFit="1" customWidth="1"/>
    <col min="11555" max="11555" width="13.28515625" bestFit="1" customWidth="1"/>
    <col min="11556" max="11556" width="12.140625" bestFit="1" customWidth="1"/>
    <col min="11557" max="11557" width="14.42578125" bestFit="1" customWidth="1"/>
    <col min="11558" max="11558" width="13.28515625" bestFit="1" customWidth="1"/>
    <col min="11559" max="11559" width="11.5703125" bestFit="1" customWidth="1"/>
    <col min="11560" max="11560" width="7.7109375" bestFit="1" customWidth="1"/>
    <col min="11561" max="11562" width="14.42578125" bestFit="1" customWidth="1"/>
    <col min="11563" max="11563" width="11.5703125" bestFit="1" customWidth="1"/>
    <col min="11564" max="11564" width="7.7109375" bestFit="1" customWidth="1"/>
    <col min="11565" max="11565" width="13.5703125" customWidth="1"/>
    <col min="11566" max="11566" width="15.28515625" customWidth="1"/>
    <col min="11567" max="11567" width="14.5703125" customWidth="1"/>
    <col min="11568" max="11568" width="13.28515625" bestFit="1" customWidth="1"/>
    <col min="11569" max="11569" width="7.7109375" bestFit="1" customWidth="1"/>
    <col min="11570" max="11570" width="12.7109375" bestFit="1" customWidth="1"/>
    <col min="11571" max="11571" width="11.7109375" bestFit="1" customWidth="1"/>
    <col min="11572" max="11572" width="11.5703125" bestFit="1" customWidth="1"/>
    <col min="11573" max="11573" width="5.28515625" bestFit="1" customWidth="1"/>
    <col min="11574" max="11574" width="13.28515625" bestFit="1" customWidth="1"/>
    <col min="11575" max="11575" width="13.5703125" bestFit="1" customWidth="1"/>
    <col min="11576" max="11576" width="10.5703125" bestFit="1" customWidth="1"/>
    <col min="11577" max="11577" width="13.28515625" bestFit="1" customWidth="1"/>
    <col min="11578" max="11578" width="11.5703125" bestFit="1" customWidth="1"/>
    <col min="11579" max="11579" width="10.5703125" bestFit="1" customWidth="1"/>
    <col min="11580" max="11580" width="16.140625" bestFit="1" customWidth="1"/>
    <col min="11581" max="11582" width="11.28515625" bestFit="1" customWidth="1"/>
    <col min="11583" max="11583" width="13.28515625" bestFit="1" customWidth="1"/>
    <col min="11584" max="11584" width="7.7109375" bestFit="1" customWidth="1"/>
    <col min="11585" max="11588" width="9.140625" hidden="1" customWidth="1"/>
    <col min="11589" max="11589" width="10.42578125" bestFit="1" customWidth="1"/>
    <col min="11590" max="11590" width="10.5703125" bestFit="1" customWidth="1"/>
    <col min="11591" max="11591" width="10.42578125" bestFit="1" customWidth="1"/>
    <col min="11592" max="11592" width="10.5703125" bestFit="1" customWidth="1"/>
    <col min="11593" max="11593" width="9.5703125" bestFit="1" customWidth="1"/>
    <col min="11594" max="11594" width="11.5703125" bestFit="1" customWidth="1"/>
    <col min="11595" max="11595" width="10.42578125" bestFit="1" customWidth="1"/>
    <col min="11596" max="11596" width="10.85546875" customWidth="1"/>
    <col min="11597" max="11598" width="9.85546875" bestFit="1" customWidth="1"/>
    <col min="11599" max="11599" width="13.5703125" bestFit="1" customWidth="1"/>
    <col min="11600" max="11600" width="7.7109375" bestFit="1" customWidth="1"/>
    <col min="11601" max="11601" width="13.28515625" bestFit="1" customWidth="1"/>
    <col min="11602" max="11602" width="11.5703125" bestFit="1" customWidth="1"/>
    <col min="11603" max="11603" width="10.42578125" bestFit="1" customWidth="1"/>
    <col min="11604" max="11604" width="7.7109375" bestFit="1" customWidth="1"/>
    <col min="11605" max="11605" width="11.5703125" bestFit="1" customWidth="1"/>
    <col min="11606" max="11606" width="10.85546875" bestFit="1" customWidth="1"/>
    <col min="11607" max="11607" width="13.28515625" bestFit="1" customWidth="1"/>
    <col min="11608" max="11608" width="10.85546875" bestFit="1" customWidth="1"/>
    <col min="11609" max="11610" width="7.5703125" bestFit="1" customWidth="1"/>
    <col min="11611" max="11612" width="10.42578125" bestFit="1" customWidth="1"/>
    <col min="11613" max="11613" width="11.5703125" bestFit="1" customWidth="1"/>
    <col min="11614" max="11614" width="5.28515625" bestFit="1" customWidth="1"/>
    <col min="11615" max="11615" width="10.28515625" bestFit="1" customWidth="1"/>
    <col min="11616" max="11616" width="10.42578125" bestFit="1" customWidth="1"/>
    <col min="11617" max="11617" width="11.5703125" bestFit="1" customWidth="1"/>
    <col min="11618" max="11618" width="5.28515625" bestFit="1" customWidth="1"/>
    <col min="11619" max="11621" width="11.5703125" bestFit="1" customWidth="1"/>
    <col min="11622" max="11622" width="5.28515625" bestFit="1" customWidth="1"/>
    <col min="11623" max="11624" width="10.42578125" bestFit="1" customWidth="1"/>
    <col min="11625" max="11625" width="11.5703125" bestFit="1" customWidth="1"/>
    <col min="11626" max="11626" width="5.28515625" bestFit="1" customWidth="1"/>
    <col min="11627" max="11627" width="14.28515625" bestFit="1" customWidth="1"/>
    <col min="11628" max="11628" width="13" bestFit="1" customWidth="1"/>
    <col min="11629" max="11629" width="11.5703125" bestFit="1" customWidth="1"/>
    <col min="11630" max="11630" width="8.85546875" bestFit="1" customWidth="1"/>
    <col min="11631" max="11631" width="14.42578125" bestFit="1" customWidth="1"/>
    <col min="11632" max="11632" width="10.42578125" bestFit="1" customWidth="1"/>
    <col min="11633" max="11633" width="12.28515625" bestFit="1" customWidth="1"/>
    <col min="11634" max="11634" width="13.85546875" bestFit="1" customWidth="1"/>
    <col min="11635" max="11635" width="11.28515625" customWidth="1"/>
    <col min="11636" max="11636" width="11.5703125" customWidth="1"/>
    <col min="11637" max="11637" width="13.42578125" bestFit="1" customWidth="1"/>
    <col min="11638" max="11638" width="10.42578125" customWidth="1"/>
    <col min="11639" max="11639" width="13.85546875" bestFit="1" customWidth="1"/>
    <col min="11640" max="11640" width="15.42578125" bestFit="1" customWidth="1"/>
    <col min="11641" max="11641" width="12.28515625" bestFit="1" customWidth="1"/>
    <col min="11642" max="11642" width="12.7109375" customWidth="1"/>
    <col min="11643" max="11643" width="10.7109375" bestFit="1" customWidth="1"/>
    <col min="11644" max="11644" width="9.85546875" customWidth="1"/>
    <col min="11645" max="11646" width="10.140625" bestFit="1" customWidth="1"/>
    <col min="11647" max="11647" width="7.5703125" bestFit="1" customWidth="1"/>
    <col min="11648" max="11648" width="9.42578125" bestFit="1" customWidth="1"/>
    <col min="11649" max="11649" width="14.5703125" bestFit="1" customWidth="1"/>
    <col min="11650" max="11650" width="14.85546875" customWidth="1"/>
    <col min="11651" max="11651" width="15.140625" bestFit="1" customWidth="1"/>
    <col min="11652" max="11652" width="12.140625" bestFit="1" customWidth="1"/>
    <col min="11653" max="11653" width="14.85546875" bestFit="1" customWidth="1"/>
    <col min="11654" max="11654" width="12.28515625" bestFit="1" customWidth="1"/>
    <col min="11655" max="11663" width="9.140625" hidden="1" customWidth="1"/>
    <col min="11664" max="11664" width="5.28515625" bestFit="1" customWidth="1"/>
    <col min="11665" max="11670" width="11.5703125" bestFit="1" customWidth="1"/>
    <col min="11671" max="11671" width="11.28515625" bestFit="1" customWidth="1"/>
    <col min="11672" max="11672" width="10.140625" bestFit="1" customWidth="1"/>
    <col min="11673" max="11673" width="11.5703125" bestFit="1" customWidth="1"/>
    <col min="11674" max="11674" width="16.140625" customWidth="1"/>
    <col min="11675" max="11675" width="13.42578125" customWidth="1"/>
    <col min="11676" max="11676" width="10.140625" bestFit="1" customWidth="1"/>
    <col min="11677" max="11677" width="12.85546875" bestFit="1" customWidth="1"/>
    <col min="11678" max="11678" width="12.28515625" bestFit="1" customWidth="1"/>
    <col min="11679" max="11679" width="11.28515625" bestFit="1" customWidth="1"/>
    <col min="11680" max="11680" width="11.5703125" bestFit="1" customWidth="1"/>
    <col min="11681" max="11681" width="10.85546875" bestFit="1" customWidth="1"/>
    <col min="11682" max="11682" width="11.28515625" bestFit="1" customWidth="1"/>
    <col min="11683" max="11683" width="10.140625" bestFit="1" customWidth="1"/>
    <col min="11684" max="11684" width="13.28515625" bestFit="1" customWidth="1"/>
    <col min="11685" max="11686" width="12.7109375" bestFit="1" customWidth="1"/>
    <col min="11687" max="11687" width="11" bestFit="1" customWidth="1"/>
    <col min="11688" max="11688" width="11.28515625" bestFit="1" customWidth="1"/>
    <col min="11689" max="11689" width="11.5703125" bestFit="1" customWidth="1"/>
    <col min="11690" max="11690" width="12.28515625" bestFit="1" customWidth="1"/>
    <col min="11691" max="11691" width="15.140625" bestFit="1" customWidth="1"/>
    <col min="11692" max="11692" width="14.42578125" bestFit="1" customWidth="1"/>
    <col min="11693" max="11693" width="12.28515625" bestFit="1" customWidth="1"/>
    <col min="11694" max="11694" width="15.140625" bestFit="1" customWidth="1"/>
    <col min="11695" max="11695" width="14.42578125" bestFit="1" customWidth="1"/>
    <col min="11696" max="11696" width="12.28515625" bestFit="1" customWidth="1"/>
    <col min="11697" max="11697" width="14.42578125" bestFit="1" customWidth="1"/>
    <col min="11698" max="11698" width="11.28515625" bestFit="1" customWidth="1"/>
    <col min="11699" max="11699" width="12.28515625" bestFit="1" customWidth="1"/>
    <col min="11700" max="11700" width="13" bestFit="1" customWidth="1"/>
    <col min="11701" max="11701" width="15.140625" bestFit="1" customWidth="1"/>
    <col min="11702" max="11702" width="12.28515625" bestFit="1" customWidth="1"/>
    <col min="11703" max="11703" width="13.85546875" bestFit="1" customWidth="1"/>
    <col min="11704" max="11704" width="11.28515625" bestFit="1" customWidth="1"/>
    <col min="11705" max="11705" width="12.28515625" bestFit="1" customWidth="1"/>
    <col min="11706" max="11706" width="13.85546875" bestFit="1" customWidth="1"/>
    <col min="11707" max="11708" width="15.140625" bestFit="1" customWidth="1"/>
    <col min="11709" max="11709" width="12.28515625" bestFit="1" customWidth="1"/>
    <col min="11710" max="11710" width="5.7109375" bestFit="1" customWidth="1"/>
    <col min="11711" max="11711" width="8.5703125" bestFit="1" customWidth="1"/>
    <col min="11712" max="11712" width="5.5703125" bestFit="1" customWidth="1"/>
    <col min="11713" max="11713" width="14.42578125" bestFit="1" customWidth="1"/>
    <col min="11714" max="11714" width="11.28515625" bestFit="1" customWidth="1"/>
    <col min="11715" max="11716" width="12.28515625" bestFit="1" customWidth="1"/>
    <col min="11717" max="11717" width="11.28515625" bestFit="1" customWidth="1"/>
    <col min="11718" max="11718" width="13.85546875" bestFit="1" customWidth="1"/>
    <col min="11719" max="11719" width="12" bestFit="1" customWidth="1"/>
    <col min="11720" max="11720" width="13.85546875" bestFit="1" customWidth="1"/>
    <col min="11721" max="11722" width="14.42578125" customWidth="1"/>
    <col min="11723" max="11723" width="10.140625" bestFit="1" customWidth="1"/>
    <col min="11724" max="11724" width="12.28515625" bestFit="1" customWidth="1"/>
    <col min="11725" max="11725" width="7.42578125" bestFit="1" customWidth="1"/>
    <col min="11726" max="11726" width="8.5703125" bestFit="1" customWidth="1"/>
    <col min="11727" max="11727" width="11.5703125" bestFit="1" customWidth="1"/>
    <col min="11728" max="11728" width="13.28515625" bestFit="1" customWidth="1"/>
    <col min="11729" max="11729" width="13.28515625" customWidth="1"/>
    <col min="11730" max="11730" width="13.140625" customWidth="1"/>
    <col min="11731" max="11731" width="12.7109375" bestFit="1" customWidth="1"/>
    <col min="11732" max="11732" width="13.28515625" bestFit="1" customWidth="1"/>
    <col min="11733" max="11735" width="13.28515625" customWidth="1"/>
    <col min="11736" max="11736" width="12.140625" bestFit="1" customWidth="1"/>
    <col min="11737" max="11737" width="12.7109375" bestFit="1" customWidth="1"/>
    <col min="11738" max="11738" width="11" customWidth="1"/>
    <col min="11739" max="11739" width="16.7109375" customWidth="1"/>
    <col min="11740" max="11740" width="17" customWidth="1"/>
    <col min="11741" max="11741" width="10.42578125" bestFit="1" customWidth="1"/>
    <col min="11785" max="11785" width="3.85546875" customWidth="1"/>
    <col min="11786" max="11786" width="15.28515625" bestFit="1" customWidth="1"/>
    <col min="11787" max="11787" width="12.28515625" customWidth="1"/>
    <col min="11788" max="11788" width="16.28515625" bestFit="1" customWidth="1"/>
    <col min="11789" max="11789" width="6.42578125" bestFit="1" customWidth="1"/>
    <col min="11790" max="11790" width="9.28515625" bestFit="1" customWidth="1"/>
    <col min="11791" max="11791" width="7.5703125" bestFit="1" customWidth="1"/>
    <col min="11792" max="11792" width="13.28515625" bestFit="1" customWidth="1"/>
    <col min="11793" max="11793" width="9.28515625" bestFit="1" customWidth="1"/>
    <col min="11794" max="11794" width="11.5703125" bestFit="1" customWidth="1"/>
    <col min="11795" max="11795" width="13.28515625" bestFit="1" customWidth="1"/>
    <col min="11796" max="11796" width="7.140625" bestFit="1" customWidth="1"/>
    <col min="11797" max="11797" width="12" bestFit="1" customWidth="1"/>
    <col min="11798" max="11798" width="13.28515625" bestFit="1" customWidth="1"/>
    <col min="11799" max="11799" width="7" bestFit="1" customWidth="1"/>
    <col min="11800" max="11800" width="12.7109375" bestFit="1" customWidth="1"/>
    <col min="11801" max="11801" width="11.5703125" bestFit="1" customWidth="1"/>
    <col min="11802" max="11802" width="10.5703125" bestFit="1" customWidth="1"/>
    <col min="11803" max="11804" width="15.7109375" bestFit="1" customWidth="1"/>
    <col min="11805" max="11805" width="11.5703125" bestFit="1" customWidth="1"/>
    <col min="11806" max="11806" width="7.7109375" bestFit="1" customWidth="1"/>
    <col min="11807" max="11807" width="15.140625" bestFit="1" customWidth="1"/>
    <col min="11808" max="11808" width="11.5703125" bestFit="1" customWidth="1"/>
    <col min="11809" max="11809" width="13.28515625" bestFit="1" customWidth="1"/>
    <col min="11810" max="11810" width="10.42578125" bestFit="1" customWidth="1"/>
    <col min="11811" max="11811" width="13.28515625" bestFit="1" customWidth="1"/>
    <col min="11812" max="11812" width="12.140625" bestFit="1" customWidth="1"/>
    <col min="11813" max="11813" width="14.42578125" bestFit="1" customWidth="1"/>
    <col min="11814" max="11814" width="13.28515625" bestFit="1" customWidth="1"/>
    <col min="11815" max="11815" width="11.5703125" bestFit="1" customWidth="1"/>
    <col min="11816" max="11816" width="7.7109375" bestFit="1" customWidth="1"/>
    <col min="11817" max="11818" width="14.42578125" bestFit="1" customWidth="1"/>
    <col min="11819" max="11819" width="11.5703125" bestFit="1" customWidth="1"/>
    <col min="11820" max="11820" width="7.7109375" bestFit="1" customWidth="1"/>
    <col min="11821" max="11821" width="13.5703125" customWidth="1"/>
    <col min="11822" max="11822" width="15.28515625" customWidth="1"/>
    <col min="11823" max="11823" width="14.5703125" customWidth="1"/>
    <col min="11824" max="11824" width="13.28515625" bestFit="1" customWidth="1"/>
    <col min="11825" max="11825" width="7.7109375" bestFit="1" customWidth="1"/>
    <col min="11826" max="11826" width="12.7109375" bestFit="1" customWidth="1"/>
    <col min="11827" max="11827" width="11.7109375" bestFit="1" customWidth="1"/>
    <col min="11828" max="11828" width="11.5703125" bestFit="1" customWidth="1"/>
    <col min="11829" max="11829" width="5.28515625" bestFit="1" customWidth="1"/>
    <col min="11830" max="11830" width="13.28515625" bestFit="1" customWidth="1"/>
    <col min="11831" max="11831" width="13.5703125" bestFit="1" customWidth="1"/>
    <col min="11832" max="11832" width="10.5703125" bestFit="1" customWidth="1"/>
    <col min="11833" max="11833" width="13.28515625" bestFit="1" customWidth="1"/>
    <col min="11834" max="11834" width="11.5703125" bestFit="1" customWidth="1"/>
    <col min="11835" max="11835" width="10.5703125" bestFit="1" customWidth="1"/>
    <col min="11836" max="11836" width="16.140625" bestFit="1" customWidth="1"/>
    <col min="11837" max="11838" width="11.28515625" bestFit="1" customWidth="1"/>
    <col min="11839" max="11839" width="13.28515625" bestFit="1" customWidth="1"/>
    <col min="11840" max="11840" width="7.7109375" bestFit="1" customWidth="1"/>
    <col min="11841" max="11844" width="9.140625" hidden="1" customWidth="1"/>
    <col min="11845" max="11845" width="10.42578125" bestFit="1" customWidth="1"/>
    <col min="11846" max="11846" width="10.5703125" bestFit="1" customWidth="1"/>
    <col min="11847" max="11847" width="10.42578125" bestFit="1" customWidth="1"/>
    <col min="11848" max="11848" width="10.5703125" bestFit="1" customWidth="1"/>
    <col min="11849" max="11849" width="9.5703125" bestFit="1" customWidth="1"/>
    <col min="11850" max="11850" width="11.5703125" bestFit="1" customWidth="1"/>
    <col min="11851" max="11851" width="10.42578125" bestFit="1" customWidth="1"/>
    <col min="11852" max="11852" width="10.85546875" customWidth="1"/>
    <col min="11853" max="11854" width="9.85546875" bestFit="1" customWidth="1"/>
    <col min="11855" max="11855" width="13.5703125" bestFit="1" customWidth="1"/>
    <col min="11856" max="11856" width="7.7109375" bestFit="1" customWidth="1"/>
    <col min="11857" max="11857" width="13.28515625" bestFit="1" customWidth="1"/>
    <col min="11858" max="11858" width="11.5703125" bestFit="1" customWidth="1"/>
    <col min="11859" max="11859" width="10.42578125" bestFit="1" customWidth="1"/>
    <col min="11860" max="11860" width="7.7109375" bestFit="1" customWidth="1"/>
    <col min="11861" max="11861" width="11.5703125" bestFit="1" customWidth="1"/>
    <col min="11862" max="11862" width="10.85546875" bestFit="1" customWidth="1"/>
    <col min="11863" max="11863" width="13.28515625" bestFit="1" customWidth="1"/>
    <col min="11864" max="11864" width="10.85546875" bestFit="1" customWidth="1"/>
    <col min="11865" max="11866" width="7.5703125" bestFit="1" customWidth="1"/>
    <col min="11867" max="11868" width="10.42578125" bestFit="1" customWidth="1"/>
    <col min="11869" max="11869" width="11.5703125" bestFit="1" customWidth="1"/>
    <col min="11870" max="11870" width="5.28515625" bestFit="1" customWidth="1"/>
    <col min="11871" max="11871" width="10.28515625" bestFit="1" customWidth="1"/>
    <col min="11872" max="11872" width="10.42578125" bestFit="1" customWidth="1"/>
    <col min="11873" max="11873" width="11.5703125" bestFit="1" customWidth="1"/>
    <col min="11874" max="11874" width="5.28515625" bestFit="1" customWidth="1"/>
    <col min="11875" max="11877" width="11.5703125" bestFit="1" customWidth="1"/>
    <col min="11878" max="11878" width="5.28515625" bestFit="1" customWidth="1"/>
    <col min="11879" max="11880" width="10.42578125" bestFit="1" customWidth="1"/>
    <col min="11881" max="11881" width="11.5703125" bestFit="1" customWidth="1"/>
    <col min="11882" max="11882" width="5.28515625" bestFit="1" customWidth="1"/>
    <col min="11883" max="11883" width="14.28515625" bestFit="1" customWidth="1"/>
    <col min="11884" max="11884" width="13" bestFit="1" customWidth="1"/>
    <col min="11885" max="11885" width="11.5703125" bestFit="1" customWidth="1"/>
    <col min="11886" max="11886" width="8.85546875" bestFit="1" customWidth="1"/>
    <col min="11887" max="11887" width="14.42578125" bestFit="1" customWidth="1"/>
    <col min="11888" max="11888" width="10.42578125" bestFit="1" customWidth="1"/>
    <col min="11889" max="11889" width="12.28515625" bestFit="1" customWidth="1"/>
    <col min="11890" max="11890" width="13.85546875" bestFit="1" customWidth="1"/>
    <col min="11891" max="11891" width="11.28515625" customWidth="1"/>
    <col min="11892" max="11892" width="11.5703125" customWidth="1"/>
    <col min="11893" max="11893" width="13.42578125" bestFit="1" customWidth="1"/>
    <col min="11894" max="11894" width="10.42578125" customWidth="1"/>
    <col min="11895" max="11895" width="13.85546875" bestFit="1" customWidth="1"/>
    <col min="11896" max="11896" width="15.42578125" bestFit="1" customWidth="1"/>
    <col min="11897" max="11897" width="12.28515625" bestFit="1" customWidth="1"/>
    <col min="11898" max="11898" width="12.7109375" customWidth="1"/>
    <col min="11899" max="11899" width="10.7109375" bestFit="1" customWidth="1"/>
    <col min="11900" max="11900" width="9.85546875" customWidth="1"/>
    <col min="11901" max="11902" width="10.140625" bestFit="1" customWidth="1"/>
    <col min="11903" max="11903" width="7.5703125" bestFit="1" customWidth="1"/>
    <col min="11904" max="11904" width="9.42578125" bestFit="1" customWidth="1"/>
    <col min="11905" max="11905" width="14.5703125" bestFit="1" customWidth="1"/>
    <col min="11906" max="11906" width="14.85546875" customWidth="1"/>
    <col min="11907" max="11907" width="15.140625" bestFit="1" customWidth="1"/>
    <col min="11908" max="11908" width="12.140625" bestFit="1" customWidth="1"/>
    <col min="11909" max="11909" width="14.85546875" bestFit="1" customWidth="1"/>
    <col min="11910" max="11910" width="12.28515625" bestFit="1" customWidth="1"/>
    <col min="11911" max="11919" width="9.140625" hidden="1" customWidth="1"/>
    <col min="11920" max="11920" width="5.28515625" bestFit="1" customWidth="1"/>
    <col min="11921" max="11926" width="11.5703125" bestFit="1" customWidth="1"/>
    <col min="11927" max="11927" width="11.28515625" bestFit="1" customWidth="1"/>
    <col min="11928" max="11928" width="10.140625" bestFit="1" customWidth="1"/>
    <col min="11929" max="11929" width="11.5703125" bestFit="1" customWidth="1"/>
    <col min="11930" max="11930" width="16.140625" customWidth="1"/>
    <col min="11931" max="11931" width="13.42578125" customWidth="1"/>
    <col min="11932" max="11932" width="10.140625" bestFit="1" customWidth="1"/>
    <col min="11933" max="11933" width="12.85546875" bestFit="1" customWidth="1"/>
    <col min="11934" max="11934" width="12.28515625" bestFit="1" customWidth="1"/>
    <col min="11935" max="11935" width="11.28515625" bestFit="1" customWidth="1"/>
    <col min="11936" max="11936" width="11.5703125" bestFit="1" customWidth="1"/>
    <col min="11937" max="11937" width="10.85546875" bestFit="1" customWidth="1"/>
    <col min="11938" max="11938" width="11.28515625" bestFit="1" customWidth="1"/>
    <col min="11939" max="11939" width="10.140625" bestFit="1" customWidth="1"/>
    <col min="11940" max="11940" width="13.28515625" bestFit="1" customWidth="1"/>
    <col min="11941" max="11942" width="12.7109375" bestFit="1" customWidth="1"/>
    <col min="11943" max="11943" width="11" bestFit="1" customWidth="1"/>
    <col min="11944" max="11944" width="11.28515625" bestFit="1" customWidth="1"/>
    <col min="11945" max="11945" width="11.5703125" bestFit="1" customWidth="1"/>
    <col min="11946" max="11946" width="12.28515625" bestFit="1" customWidth="1"/>
    <col min="11947" max="11947" width="15.140625" bestFit="1" customWidth="1"/>
    <col min="11948" max="11948" width="14.42578125" bestFit="1" customWidth="1"/>
    <col min="11949" max="11949" width="12.28515625" bestFit="1" customWidth="1"/>
    <col min="11950" max="11950" width="15.140625" bestFit="1" customWidth="1"/>
    <col min="11951" max="11951" width="14.42578125" bestFit="1" customWidth="1"/>
    <col min="11952" max="11952" width="12.28515625" bestFit="1" customWidth="1"/>
    <col min="11953" max="11953" width="14.42578125" bestFit="1" customWidth="1"/>
    <col min="11954" max="11954" width="11.28515625" bestFit="1" customWidth="1"/>
    <col min="11955" max="11955" width="12.28515625" bestFit="1" customWidth="1"/>
    <col min="11956" max="11956" width="13" bestFit="1" customWidth="1"/>
    <col min="11957" max="11957" width="15.140625" bestFit="1" customWidth="1"/>
    <col min="11958" max="11958" width="12.28515625" bestFit="1" customWidth="1"/>
    <col min="11959" max="11959" width="13.85546875" bestFit="1" customWidth="1"/>
    <col min="11960" max="11960" width="11.28515625" bestFit="1" customWidth="1"/>
    <col min="11961" max="11961" width="12.28515625" bestFit="1" customWidth="1"/>
    <col min="11962" max="11962" width="13.85546875" bestFit="1" customWidth="1"/>
    <col min="11963" max="11964" width="15.140625" bestFit="1" customWidth="1"/>
    <col min="11965" max="11965" width="12.28515625" bestFit="1" customWidth="1"/>
    <col min="11966" max="11966" width="5.7109375" bestFit="1" customWidth="1"/>
    <col min="11967" max="11967" width="8.5703125" bestFit="1" customWidth="1"/>
    <col min="11968" max="11968" width="5.5703125" bestFit="1" customWidth="1"/>
    <col min="11969" max="11969" width="14.42578125" bestFit="1" customWidth="1"/>
    <col min="11970" max="11970" width="11.28515625" bestFit="1" customWidth="1"/>
    <col min="11971" max="11972" width="12.28515625" bestFit="1" customWidth="1"/>
    <col min="11973" max="11973" width="11.28515625" bestFit="1" customWidth="1"/>
    <col min="11974" max="11974" width="13.85546875" bestFit="1" customWidth="1"/>
    <col min="11975" max="11975" width="12" bestFit="1" customWidth="1"/>
    <col min="11976" max="11976" width="13.85546875" bestFit="1" customWidth="1"/>
    <col min="11977" max="11978" width="14.42578125" customWidth="1"/>
    <col min="11979" max="11979" width="10.140625" bestFit="1" customWidth="1"/>
    <col min="11980" max="11980" width="12.28515625" bestFit="1" customWidth="1"/>
    <col min="11981" max="11981" width="7.42578125" bestFit="1" customWidth="1"/>
    <col min="11982" max="11982" width="8.5703125" bestFit="1" customWidth="1"/>
    <col min="11983" max="11983" width="11.5703125" bestFit="1" customWidth="1"/>
    <col min="11984" max="11984" width="13.28515625" bestFit="1" customWidth="1"/>
    <col min="11985" max="11985" width="13.28515625" customWidth="1"/>
    <col min="11986" max="11986" width="13.140625" customWidth="1"/>
    <col min="11987" max="11987" width="12.7109375" bestFit="1" customWidth="1"/>
    <col min="11988" max="11988" width="13.28515625" bestFit="1" customWidth="1"/>
    <col min="11989" max="11991" width="13.28515625" customWidth="1"/>
    <col min="11992" max="11992" width="12.140625" bestFit="1" customWidth="1"/>
    <col min="11993" max="11993" width="12.7109375" bestFit="1" customWidth="1"/>
    <col min="11994" max="11994" width="11" customWidth="1"/>
    <col min="11995" max="11995" width="16.7109375" customWidth="1"/>
    <col min="11996" max="11996" width="17" customWidth="1"/>
    <col min="11997" max="11997" width="10.42578125" bestFit="1" customWidth="1"/>
    <col min="12041" max="12041" width="3.85546875" customWidth="1"/>
    <col min="12042" max="12042" width="15.28515625" bestFit="1" customWidth="1"/>
    <col min="12043" max="12043" width="12.28515625" customWidth="1"/>
    <col min="12044" max="12044" width="16.28515625" bestFit="1" customWidth="1"/>
    <col min="12045" max="12045" width="6.42578125" bestFit="1" customWidth="1"/>
    <col min="12046" max="12046" width="9.28515625" bestFit="1" customWidth="1"/>
    <col min="12047" max="12047" width="7.5703125" bestFit="1" customWidth="1"/>
    <col min="12048" max="12048" width="13.28515625" bestFit="1" customWidth="1"/>
    <col min="12049" max="12049" width="9.28515625" bestFit="1" customWidth="1"/>
    <col min="12050" max="12050" width="11.5703125" bestFit="1" customWidth="1"/>
    <col min="12051" max="12051" width="13.28515625" bestFit="1" customWidth="1"/>
    <col min="12052" max="12052" width="7.140625" bestFit="1" customWidth="1"/>
    <col min="12053" max="12053" width="12" bestFit="1" customWidth="1"/>
    <col min="12054" max="12054" width="13.28515625" bestFit="1" customWidth="1"/>
    <col min="12055" max="12055" width="7" bestFit="1" customWidth="1"/>
    <col min="12056" max="12056" width="12.7109375" bestFit="1" customWidth="1"/>
    <col min="12057" max="12057" width="11.5703125" bestFit="1" customWidth="1"/>
    <col min="12058" max="12058" width="10.5703125" bestFit="1" customWidth="1"/>
    <col min="12059" max="12060" width="15.7109375" bestFit="1" customWidth="1"/>
    <col min="12061" max="12061" width="11.5703125" bestFit="1" customWidth="1"/>
    <col min="12062" max="12062" width="7.7109375" bestFit="1" customWidth="1"/>
    <col min="12063" max="12063" width="15.140625" bestFit="1" customWidth="1"/>
    <col min="12064" max="12064" width="11.5703125" bestFit="1" customWidth="1"/>
    <col min="12065" max="12065" width="13.28515625" bestFit="1" customWidth="1"/>
    <col min="12066" max="12066" width="10.42578125" bestFit="1" customWidth="1"/>
    <col min="12067" max="12067" width="13.28515625" bestFit="1" customWidth="1"/>
    <col min="12068" max="12068" width="12.140625" bestFit="1" customWidth="1"/>
    <col min="12069" max="12069" width="14.42578125" bestFit="1" customWidth="1"/>
    <col min="12070" max="12070" width="13.28515625" bestFit="1" customWidth="1"/>
    <col min="12071" max="12071" width="11.5703125" bestFit="1" customWidth="1"/>
    <col min="12072" max="12072" width="7.7109375" bestFit="1" customWidth="1"/>
    <col min="12073" max="12074" width="14.42578125" bestFit="1" customWidth="1"/>
    <col min="12075" max="12075" width="11.5703125" bestFit="1" customWidth="1"/>
    <col min="12076" max="12076" width="7.7109375" bestFit="1" customWidth="1"/>
    <col min="12077" max="12077" width="13.5703125" customWidth="1"/>
    <col min="12078" max="12078" width="15.28515625" customWidth="1"/>
    <col min="12079" max="12079" width="14.5703125" customWidth="1"/>
    <col min="12080" max="12080" width="13.28515625" bestFit="1" customWidth="1"/>
    <col min="12081" max="12081" width="7.7109375" bestFit="1" customWidth="1"/>
    <col min="12082" max="12082" width="12.7109375" bestFit="1" customWidth="1"/>
    <col min="12083" max="12083" width="11.7109375" bestFit="1" customWidth="1"/>
    <col min="12084" max="12084" width="11.5703125" bestFit="1" customWidth="1"/>
    <col min="12085" max="12085" width="5.28515625" bestFit="1" customWidth="1"/>
    <col min="12086" max="12086" width="13.28515625" bestFit="1" customWidth="1"/>
    <col min="12087" max="12087" width="13.5703125" bestFit="1" customWidth="1"/>
    <col min="12088" max="12088" width="10.5703125" bestFit="1" customWidth="1"/>
    <col min="12089" max="12089" width="13.28515625" bestFit="1" customWidth="1"/>
    <col min="12090" max="12090" width="11.5703125" bestFit="1" customWidth="1"/>
    <col min="12091" max="12091" width="10.5703125" bestFit="1" customWidth="1"/>
    <col min="12092" max="12092" width="16.140625" bestFit="1" customWidth="1"/>
    <col min="12093" max="12094" width="11.28515625" bestFit="1" customWidth="1"/>
    <col min="12095" max="12095" width="13.28515625" bestFit="1" customWidth="1"/>
    <col min="12096" max="12096" width="7.7109375" bestFit="1" customWidth="1"/>
    <col min="12097" max="12100" width="9.140625" hidden="1" customWidth="1"/>
    <col min="12101" max="12101" width="10.42578125" bestFit="1" customWidth="1"/>
    <col min="12102" max="12102" width="10.5703125" bestFit="1" customWidth="1"/>
    <col min="12103" max="12103" width="10.42578125" bestFit="1" customWidth="1"/>
    <col min="12104" max="12104" width="10.5703125" bestFit="1" customWidth="1"/>
    <col min="12105" max="12105" width="9.5703125" bestFit="1" customWidth="1"/>
    <col min="12106" max="12106" width="11.5703125" bestFit="1" customWidth="1"/>
    <col min="12107" max="12107" width="10.42578125" bestFit="1" customWidth="1"/>
    <col min="12108" max="12108" width="10.85546875" customWidth="1"/>
    <col min="12109" max="12110" width="9.85546875" bestFit="1" customWidth="1"/>
    <col min="12111" max="12111" width="13.5703125" bestFit="1" customWidth="1"/>
    <col min="12112" max="12112" width="7.7109375" bestFit="1" customWidth="1"/>
    <col min="12113" max="12113" width="13.28515625" bestFit="1" customWidth="1"/>
    <col min="12114" max="12114" width="11.5703125" bestFit="1" customWidth="1"/>
    <col min="12115" max="12115" width="10.42578125" bestFit="1" customWidth="1"/>
    <col min="12116" max="12116" width="7.7109375" bestFit="1" customWidth="1"/>
    <col min="12117" max="12117" width="11.5703125" bestFit="1" customWidth="1"/>
    <col min="12118" max="12118" width="10.85546875" bestFit="1" customWidth="1"/>
    <col min="12119" max="12119" width="13.28515625" bestFit="1" customWidth="1"/>
    <col min="12120" max="12120" width="10.85546875" bestFit="1" customWidth="1"/>
    <col min="12121" max="12122" width="7.5703125" bestFit="1" customWidth="1"/>
    <col min="12123" max="12124" width="10.42578125" bestFit="1" customWidth="1"/>
    <col min="12125" max="12125" width="11.5703125" bestFit="1" customWidth="1"/>
    <col min="12126" max="12126" width="5.28515625" bestFit="1" customWidth="1"/>
    <col min="12127" max="12127" width="10.28515625" bestFit="1" customWidth="1"/>
    <col min="12128" max="12128" width="10.42578125" bestFit="1" customWidth="1"/>
    <col min="12129" max="12129" width="11.5703125" bestFit="1" customWidth="1"/>
    <col min="12130" max="12130" width="5.28515625" bestFit="1" customWidth="1"/>
    <col min="12131" max="12133" width="11.5703125" bestFit="1" customWidth="1"/>
    <col min="12134" max="12134" width="5.28515625" bestFit="1" customWidth="1"/>
    <col min="12135" max="12136" width="10.42578125" bestFit="1" customWidth="1"/>
    <col min="12137" max="12137" width="11.5703125" bestFit="1" customWidth="1"/>
    <col min="12138" max="12138" width="5.28515625" bestFit="1" customWidth="1"/>
    <col min="12139" max="12139" width="14.28515625" bestFit="1" customWidth="1"/>
    <col min="12140" max="12140" width="13" bestFit="1" customWidth="1"/>
    <col min="12141" max="12141" width="11.5703125" bestFit="1" customWidth="1"/>
    <col min="12142" max="12142" width="8.85546875" bestFit="1" customWidth="1"/>
    <col min="12143" max="12143" width="14.42578125" bestFit="1" customWidth="1"/>
    <col min="12144" max="12144" width="10.42578125" bestFit="1" customWidth="1"/>
    <col min="12145" max="12145" width="12.28515625" bestFit="1" customWidth="1"/>
    <col min="12146" max="12146" width="13.85546875" bestFit="1" customWidth="1"/>
    <col min="12147" max="12147" width="11.28515625" customWidth="1"/>
    <col min="12148" max="12148" width="11.5703125" customWidth="1"/>
    <col min="12149" max="12149" width="13.42578125" bestFit="1" customWidth="1"/>
    <col min="12150" max="12150" width="10.42578125" customWidth="1"/>
    <col min="12151" max="12151" width="13.85546875" bestFit="1" customWidth="1"/>
    <col min="12152" max="12152" width="15.42578125" bestFit="1" customWidth="1"/>
    <col min="12153" max="12153" width="12.28515625" bestFit="1" customWidth="1"/>
    <col min="12154" max="12154" width="12.7109375" customWidth="1"/>
    <col min="12155" max="12155" width="10.7109375" bestFit="1" customWidth="1"/>
    <col min="12156" max="12156" width="9.85546875" customWidth="1"/>
    <col min="12157" max="12158" width="10.140625" bestFit="1" customWidth="1"/>
    <col min="12159" max="12159" width="7.5703125" bestFit="1" customWidth="1"/>
    <col min="12160" max="12160" width="9.42578125" bestFit="1" customWidth="1"/>
    <col min="12161" max="12161" width="14.5703125" bestFit="1" customWidth="1"/>
    <col min="12162" max="12162" width="14.85546875" customWidth="1"/>
    <col min="12163" max="12163" width="15.140625" bestFit="1" customWidth="1"/>
    <col min="12164" max="12164" width="12.140625" bestFit="1" customWidth="1"/>
    <col min="12165" max="12165" width="14.85546875" bestFit="1" customWidth="1"/>
    <col min="12166" max="12166" width="12.28515625" bestFit="1" customWidth="1"/>
    <col min="12167" max="12175" width="9.140625" hidden="1" customWidth="1"/>
    <col min="12176" max="12176" width="5.28515625" bestFit="1" customWidth="1"/>
    <col min="12177" max="12182" width="11.5703125" bestFit="1" customWidth="1"/>
    <col min="12183" max="12183" width="11.28515625" bestFit="1" customWidth="1"/>
    <col min="12184" max="12184" width="10.140625" bestFit="1" customWidth="1"/>
    <col min="12185" max="12185" width="11.5703125" bestFit="1" customWidth="1"/>
    <col min="12186" max="12186" width="16.140625" customWidth="1"/>
    <col min="12187" max="12187" width="13.42578125" customWidth="1"/>
    <col min="12188" max="12188" width="10.140625" bestFit="1" customWidth="1"/>
    <col min="12189" max="12189" width="12.85546875" bestFit="1" customWidth="1"/>
    <col min="12190" max="12190" width="12.28515625" bestFit="1" customWidth="1"/>
    <col min="12191" max="12191" width="11.28515625" bestFit="1" customWidth="1"/>
    <col min="12192" max="12192" width="11.5703125" bestFit="1" customWidth="1"/>
    <col min="12193" max="12193" width="10.85546875" bestFit="1" customWidth="1"/>
    <col min="12194" max="12194" width="11.28515625" bestFit="1" customWidth="1"/>
    <col min="12195" max="12195" width="10.140625" bestFit="1" customWidth="1"/>
    <col min="12196" max="12196" width="13.28515625" bestFit="1" customWidth="1"/>
    <col min="12197" max="12198" width="12.7109375" bestFit="1" customWidth="1"/>
    <col min="12199" max="12199" width="11" bestFit="1" customWidth="1"/>
    <col min="12200" max="12200" width="11.28515625" bestFit="1" customWidth="1"/>
    <col min="12201" max="12201" width="11.5703125" bestFit="1" customWidth="1"/>
    <col min="12202" max="12202" width="12.28515625" bestFit="1" customWidth="1"/>
    <col min="12203" max="12203" width="15.140625" bestFit="1" customWidth="1"/>
    <col min="12204" max="12204" width="14.42578125" bestFit="1" customWidth="1"/>
    <col min="12205" max="12205" width="12.28515625" bestFit="1" customWidth="1"/>
    <col min="12206" max="12206" width="15.140625" bestFit="1" customWidth="1"/>
    <col min="12207" max="12207" width="14.42578125" bestFit="1" customWidth="1"/>
    <col min="12208" max="12208" width="12.28515625" bestFit="1" customWidth="1"/>
    <col min="12209" max="12209" width="14.42578125" bestFit="1" customWidth="1"/>
    <col min="12210" max="12210" width="11.28515625" bestFit="1" customWidth="1"/>
    <col min="12211" max="12211" width="12.28515625" bestFit="1" customWidth="1"/>
    <col min="12212" max="12212" width="13" bestFit="1" customWidth="1"/>
    <col min="12213" max="12213" width="15.140625" bestFit="1" customWidth="1"/>
    <col min="12214" max="12214" width="12.28515625" bestFit="1" customWidth="1"/>
    <col min="12215" max="12215" width="13.85546875" bestFit="1" customWidth="1"/>
    <col min="12216" max="12216" width="11.28515625" bestFit="1" customWidth="1"/>
    <col min="12217" max="12217" width="12.28515625" bestFit="1" customWidth="1"/>
    <col min="12218" max="12218" width="13.85546875" bestFit="1" customWidth="1"/>
    <col min="12219" max="12220" width="15.140625" bestFit="1" customWidth="1"/>
    <col min="12221" max="12221" width="12.28515625" bestFit="1" customWidth="1"/>
    <col min="12222" max="12222" width="5.7109375" bestFit="1" customWidth="1"/>
    <col min="12223" max="12223" width="8.5703125" bestFit="1" customWidth="1"/>
    <col min="12224" max="12224" width="5.5703125" bestFit="1" customWidth="1"/>
    <col min="12225" max="12225" width="14.42578125" bestFit="1" customWidth="1"/>
    <col min="12226" max="12226" width="11.28515625" bestFit="1" customWidth="1"/>
    <col min="12227" max="12228" width="12.28515625" bestFit="1" customWidth="1"/>
    <col min="12229" max="12229" width="11.28515625" bestFit="1" customWidth="1"/>
    <col min="12230" max="12230" width="13.85546875" bestFit="1" customWidth="1"/>
    <col min="12231" max="12231" width="12" bestFit="1" customWidth="1"/>
    <col min="12232" max="12232" width="13.85546875" bestFit="1" customWidth="1"/>
    <col min="12233" max="12234" width="14.42578125" customWidth="1"/>
    <col min="12235" max="12235" width="10.140625" bestFit="1" customWidth="1"/>
    <col min="12236" max="12236" width="12.28515625" bestFit="1" customWidth="1"/>
    <col min="12237" max="12237" width="7.42578125" bestFit="1" customWidth="1"/>
    <col min="12238" max="12238" width="8.5703125" bestFit="1" customWidth="1"/>
    <col min="12239" max="12239" width="11.5703125" bestFit="1" customWidth="1"/>
    <col min="12240" max="12240" width="13.28515625" bestFit="1" customWidth="1"/>
    <col min="12241" max="12241" width="13.28515625" customWidth="1"/>
    <col min="12242" max="12242" width="13.140625" customWidth="1"/>
    <col min="12243" max="12243" width="12.7109375" bestFit="1" customWidth="1"/>
    <col min="12244" max="12244" width="13.28515625" bestFit="1" customWidth="1"/>
    <col min="12245" max="12247" width="13.28515625" customWidth="1"/>
    <col min="12248" max="12248" width="12.140625" bestFit="1" customWidth="1"/>
    <col min="12249" max="12249" width="12.7109375" bestFit="1" customWidth="1"/>
    <col min="12250" max="12250" width="11" customWidth="1"/>
    <col min="12251" max="12251" width="16.7109375" customWidth="1"/>
    <col min="12252" max="12252" width="17" customWidth="1"/>
    <col min="12253" max="12253" width="10.42578125" bestFit="1" customWidth="1"/>
    <col min="12297" max="12297" width="3.85546875" customWidth="1"/>
    <col min="12298" max="12298" width="15.28515625" bestFit="1" customWidth="1"/>
    <col min="12299" max="12299" width="12.28515625" customWidth="1"/>
    <col min="12300" max="12300" width="16.28515625" bestFit="1" customWidth="1"/>
    <col min="12301" max="12301" width="6.42578125" bestFit="1" customWidth="1"/>
    <col min="12302" max="12302" width="9.28515625" bestFit="1" customWidth="1"/>
    <col min="12303" max="12303" width="7.5703125" bestFit="1" customWidth="1"/>
    <col min="12304" max="12304" width="13.28515625" bestFit="1" customWidth="1"/>
    <col min="12305" max="12305" width="9.28515625" bestFit="1" customWidth="1"/>
    <col min="12306" max="12306" width="11.5703125" bestFit="1" customWidth="1"/>
    <col min="12307" max="12307" width="13.28515625" bestFit="1" customWidth="1"/>
    <col min="12308" max="12308" width="7.140625" bestFit="1" customWidth="1"/>
    <col min="12309" max="12309" width="12" bestFit="1" customWidth="1"/>
    <col min="12310" max="12310" width="13.28515625" bestFit="1" customWidth="1"/>
    <col min="12311" max="12311" width="7" bestFit="1" customWidth="1"/>
    <col min="12312" max="12312" width="12.7109375" bestFit="1" customWidth="1"/>
    <col min="12313" max="12313" width="11.5703125" bestFit="1" customWidth="1"/>
    <col min="12314" max="12314" width="10.5703125" bestFit="1" customWidth="1"/>
    <col min="12315" max="12316" width="15.7109375" bestFit="1" customWidth="1"/>
    <col min="12317" max="12317" width="11.5703125" bestFit="1" customWidth="1"/>
    <col min="12318" max="12318" width="7.7109375" bestFit="1" customWidth="1"/>
    <col min="12319" max="12319" width="15.140625" bestFit="1" customWidth="1"/>
    <col min="12320" max="12320" width="11.5703125" bestFit="1" customWidth="1"/>
    <col min="12321" max="12321" width="13.28515625" bestFit="1" customWidth="1"/>
    <col min="12322" max="12322" width="10.42578125" bestFit="1" customWidth="1"/>
    <col min="12323" max="12323" width="13.28515625" bestFit="1" customWidth="1"/>
    <col min="12324" max="12324" width="12.140625" bestFit="1" customWidth="1"/>
    <col min="12325" max="12325" width="14.42578125" bestFit="1" customWidth="1"/>
    <col min="12326" max="12326" width="13.28515625" bestFit="1" customWidth="1"/>
    <col min="12327" max="12327" width="11.5703125" bestFit="1" customWidth="1"/>
    <col min="12328" max="12328" width="7.7109375" bestFit="1" customWidth="1"/>
    <col min="12329" max="12330" width="14.42578125" bestFit="1" customWidth="1"/>
    <col min="12331" max="12331" width="11.5703125" bestFit="1" customWidth="1"/>
    <col min="12332" max="12332" width="7.7109375" bestFit="1" customWidth="1"/>
    <col min="12333" max="12333" width="13.5703125" customWidth="1"/>
    <col min="12334" max="12334" width="15.28515625" customWidth="1"/>
    <col min="12335" max="12335" width="14.5703125" customWidth="1"/>
    <col min="12336" max="12336" width="13.28515625" bestFit="1" customWidth="1"/>
    <col min="12337" max="12337" width="7.7109375" bestFit="1" customWidth="1"/>
    <col min="12338" max="12338" width="12.7109375" bestFit="1" customWidth="1"/>
    <col min="12339" max="12339" width="11.7109375" bestFit="1" customWidth="1"/>
    <col min="12340" max="12340" width="11.5703125" bestFit="1" customWidth="1"/>
    <col min="12341" max="12341" width="5.28515625" bestFit="1" customWidth="1"/>
    <col min="12342" max="12342" width="13.28515625" bestFit="1" customWidth="1"/>
    <col min="12343" max="12343" width="13.5703125" bestFit="1" customWidth="1"/>
    <col min="12344" max="12344" width="10.5703125" bestFit="1" customWidth="1"/>
    <col min="12345" max="12345" width="13.28515625" bestFit="1" customWidth="1"/>
    <col min="12346" max="12346" width="11.5703125" bestFit="1" customWidth="1"/>
    <col min="12347" max="12347" width="10.5703125" bestFit="1" customWidth="1"/>
    <col min="12348" max="12348" width="16.140625" bestFit="1" customWidth="1"/>
    <col min="12349" max="12350" width="11.28515625" bestFit="1" customWidth="1"/>
    <col min="12351" max="12351" width="13.28515625" bestFit="1" customWidth="1"/>
    <col min="12352" max="12352" width="7.7109375" bestFit="1" customWidth="1"/>
    <col min="12353" max="12356" width="9.140625" hidden="1" customWidth="1"/>
    <col min="12357" max="12357" width="10.42578125" bestFit="1" customWidth="1"/>
    <col min="12358" max="12358" width="10.5703125" bestFit="1" customWidth="1"/>
    <col min="12359" max="12359" width="10.42578125" bestFit="1" customWidth="1"/>
    <col min="12360" max="12360" width="10.5703125" bestFit="1" customWidth="1"/>
    <col min="12361" max="12361" width="9.5703125" bestFit="1" customWidth="1"/>
    <col min="12362" max="12362" width="11.5703125" bestFit="1" customWidth="1"/>
    <col min="12363" max="12363" width="10.42578125" bestFit="1" customWidth="1"/>
    <col min="12364" max="12364" width="10.85546875" customWidth="1"/>
    <col min="12365" max="12366" width="9.85546875" bestFit="1" customWidth="1"/>
    <col min="12367" max="12367" width="13.5703125" bestFit="1" customWidth="1"/>
    <col min="12368" max="12368" width="7.7109375" bestFit="1" customWidth="1"/>
    <col min="12369" max="12369" width="13.28515625" bestFit="1" customWidth="1"/>
    <col min="12370" max="12370" width="11.5703125" bestFit="1" customWidth="1"/>
    <col min="12371" max="12371" width="10.42578125" bestFit="1" customWidth="1"/>
    <col min="12372" max="12372" width="7.7109375" bestFit="1" customWidth="1"/>
    <col min="12373" max="12373" width="11.5703125" bestFit="1" customWidth="1"/>
    <col min="12374" max="12374" width="10.85546875" bestFit="1" customWidth="1"/>
    <col min="12375" max="12375" width="13.28515625" bestFit="1" customWidth="1"/>
    <col min="12376" max="12376" width="10.85546875" bestFit="1" customWidth="1"/>
    <col min="12377" max="12378" width="7.5703125" bestFit="1" customWidth="1"/>
    <col min="12379" max="12380" width="10.42578125" bestFit="1" customWidth="1"/>
    <col min="12381" max="12381" width="11.5703125" bestFit="1" customWidth="1"/>
    <col min="12382" max="12382" width="5.28515625" bestFit="1" customWidth="1"/>
    <col min="12383" max="12383" width="10.28515625" bestFit="1" customWidth="1"/>
    <col min="12384" max="12384" width="10.42578125" bestFit="1" customWidth="1"/>
    <col min="12385" max="12385" width="11.5703125" bestFit="1" customWidth="1"/>
    <col min="12386" max="12386" width="5.28515625" bestFit="1" customWidth="1"/>
    <col min="12387" max="12389" width="11.5703125" bestFit="1" customWidth="1"/>
    <col min="12390" max="12390" width="5.28515625" bestFit="1" customWidth="1"/>
    <col min="12391" max="12392" width="10.42578125" bestFit="1" customWidth="1"/>
    <col min="12393" max="12393" width="11.5703125" bestFit="1" customWidth="1"/>
    <col min="12394" max="12394" width="5.28515625" bestFit="1" customWidth="1"/>
    <col min="12395" max="12395" width="14.28515625" bestFit="1" customWidth="1"/>
    <col min="12396" max="12396" width="13" bestFit="1" customWidth="1"/>
    <col min="12397" max="12397" width="11.5703125" bestFit="1" customWidth="1"/>
    <col min="12398" max="12398" width="8.85546875" bestFit="1" customWidth="1"/>
    <col min="12399" max="12399" width="14.42578125" bestFit="1" customWidth="1"/>
    <col min="12400" max="12400" width="10.42578125" bestFit="1" customWidth="1"/>
    <col min="12401" max="12401" width="12.28515625" bestFit="1" customWidth="1"/>
    <col min="12402" max="12402" width="13.85546875" bestFit="1" customWidth="1"/>
    <col min="12403" max="12403" width="11.28515625" customWidth="1"/>
    <col min="12404" max="12404" width="11.5703125" customWidth="1"/>
    <col min="12405" max="12405" width="13.42578125" bestFit="1" customWidth="1"/>
    <col min="12406" max="12406" width="10.42578125" customWidth="1"/>
    <col min="12407" max="12407" width="13.85546875" bestFit="1" customWidth="1"/>
    <col min="12408" max="12408" width="15.42578125" bestFit="1" customWidth="1"/>
    <col min="12409" max="12409" width="12.28515625" bestFit="1" customWidth="1"/>
    <col min="12410" max="12410" width="12.7109375" customWidth="1"/>
    <col min="12411" max="12411" width="10.7109375" bestFit="1" customWidth="1"/>
    <col min="12412" max="12412" width="9.85546875" customWidth="1"/>
    <col min="12413" max="12414" width="10.140625" bestFit="1" customWidth="1"/>
    <col min="12415" max="12415" width="7.5703125" bestFit="1" customWidth="1"/>
    <col min="12416" max="12416" width="9.42578125" bestFit="1" customWidth="1"/>
    <col min="12417" max="12417" width="14.5703125" bestFit="1" customWidth="1"/>
    <col min="12418" max="12418" width="14.85546875" customWidth="1"/>
    <col min="12419" max="12419" width="15.140625" bestFit="1" customWidth="1"/>
    <col min="12420" max="12420" width="12.140625" bestFit="1" customWidth="1"/>
    <col min="12421" max="12421" width="14.85546875" bestFit="1" customWidth="1"/>
    <col min="12422" max="12422" width="12.28515625" bestFit="1" customWidth="1"/>
    <col min="12423" max="12431" width="9.140625" hidden="1" customWidth="1"/>
    <col min="12432" max="12432" width="5.28515625" bestFit="1" customWidth="1"/>
    <col min="12433" max="12438" width="11.5703125" bestFit="1" customWidth="1"/>
    <col min="12439" max="12439" width="11.28515625" bestFit="1" customWidth="1"/>
    <col min="12440" max="12440" width="10.140625" bestFit="1" customWidth="1"/>
    <col min="12441" max="12441" width="11.5703125" bestFit="1" customWidth="1"/>
    <col min="12442" max="12442" width="16.140625" customWidth="1"/>
    <col min="12443" max="12443" width="13.42578125" customWidth="1"/>
    <col min="12444" max="12444" width="10.140625" bestFit="1" customWidth="1"/>
    <col min="12445" max="12445" width="12.85546875" bestFit="1" customWidth="1"/>
    <col min="12446" max="12446" width="12.28515625" bestFit="1" customWidth="1"/>
    <col min="12447" max="12447" width="11.28515625" bestFit="1" customWidth="1"/>
    <col min="12448" max="12448" width="11.5703125" bestFit="1" customWidth="1"/>
    <col min="12449" max="12449" width="10.85546875" bestFit="1" customWidth="1"/>
    <col min="12450" max="12450" width="11.28515625" bestFit="1" customWidth="1"/>
    <col min="12451" max="12451" width="10.140625" bestFit="1" customWidth="1"/>
    <col min="12452" max="12452" width="13.28515625" bestFit="1" customWidth="1"/>
    <col min="12453" max="12454" width="12.7109375" bestFit="1" customWidth="1"/>
    <col min="12455" max="12455" width="11" bestFit="1" customWidth="1"/>
    <col min="12456" max="12456" width="11.28515625" bestFit="1" customWidth="1"/>
    <col min="12457" max="12457" width="11.5703125" bestFit="1" customWidth="1"/>
    <col min="12458" max="12458" width="12.28515625" bestFit="1" customWidth="1"/>
    <col min="12459" max="12459" width="15.140625" bestFit="1" customWidth="1"/>
    <col min="12460" max="12460" width="14.42578125" bestFit="1" customWidth="1"/>
    <col min="12461" max="12461" width="12.28515625" bestFit="1" customWidth="1"/>
    <col min="12462" max="12462" width="15.140625" bestFit="1" customWidth="1"/>
    <col min="12463" max="12463" width="14.42578125" bestFit="1" customWidth="1"/>
    <col min="12464" max="12464" width="12.28515625" bestFit="1" customWidth="1"/>
    <col min="12465" max="12465" width="14.42578125" bestFit="1" customWidth="1"/>
    <col min="12466" max="12466" width="11.28515625" bestFit="1" customWidth="1"/>
    <col min="12467" max="12467" width="12.28515625" bestFit="1" customWidth="1"/>
    <col min="12468" max="12468" width="13" bestFit="1" customWidth="1"/>
    <col min="12469" max="12469" width="15.140625" bestFit="1" customWidth="1"/>
    <col min="12470" max="12470" width="12.28515625" bestFit="1" customWidth="1"/>
    <col min="12471" max="12471" width="13.85546875" bestFit="1" customWidth="1"/>
    <col min="12472" max="12472" width="11.28515625" bestFit="1" customWidth="1"/>
    <col min="12473" max="12473" width="12.28515625" bestFit="1" customWidth="1"/>
    <col min="12474" max="12474" width="13.85546875" bestFit="1" customWidth="1"/>
    <col min="12475" max="12476" width="15.140625" bestFit="1" customWidth="1"/>
    <col min="12477" max="12477" width="12.28515625" bestFit="1" customWidth="1"/>
    <col min="12478" max="12478" width="5.7109375" bestFit="1" customWidth="1"/>
    <col min="12479" max="12479" width="8.5703125" bestFit="1" customWidth="1"/>
    <col min="12480" max="12480" width="5.5703125" bestFit="1" customWidth="1"/>
    <col min="12481" max="12481" width="14.42578125" bestFit="1" customWidth="1"/>
    <col min="12482" max="12482" width="11.28515625" bestFit="1" customWidth="1"/>
    <col min="12483" max="12484" width="12.28515625" bestFit="1" customWidth="1"/>
    <col min="12485" max="12485" width="11.28515625" bestFit="1" customWidth="1"/>
    <col min="12486" max="12486" width="13.85546875" bestFit="1" customWidth="1"/>
    <col min="12487" max="12487" width="12" bestFit="1" customWidth="1"/>
    <col min="12488" max="12488" width="13.85546875" bestFit="1" customWidth="1"/>
    <col min="12489" max="12490" width="14.42578125" customWidth="1"/>
    <col min="12491" max="12491" width="10.140625" bestFit="1" customWidth="1"/>
    <col min="12492" max="12492" width="12.28515625" bestFit="1" customWidth="1"/>
    <col min="12493" max="12493" width="7.42578125" bestFit="1" customWidth="1"/>
    <col min="12494" max="12494" width="8.5703125" bestFit="1" customWidth="1"/>
    <col min="12495" max="12495" width="11.5703125" bestFit="1" customWidth="1"/>
    <col min="12496" max="12496" width="13.28515625" bestFit="1" customWidth="1"/>
    <col min="12497" max="12497" width="13.28515625" customWidth="1"/>
    <col min="12498" max="12498" width="13.140625" customWidth="1"/>
    <col min="12499" max="12499" width="12.7109375" bestFit="1" customWidth="1"/>
    <col min="12500" max="12500" width="13.28515625" bestFit="1" customWidth="1"/>
    <col min="12501" max="12503" width="13.28515625" customWidth="1"/>
    <col min="12504" max="12504" width="12.140625" bestFit="1" customWidth="1"/>
    <col min="12505" max="12505" width="12.7109375" bestFit="1" customWidth="1"/>
    <col min="12506" max="12506" width="11" customWidth="1"/>
    <col min="12507" max="12507" width="16.7109375" customWidth="1"/>
    <col min="12508" max="12508" width="17" customWidth="1"/>
    <col min="12509" max="12509" width="10.42578125" bestFit="1" customWidth="1"/>
    <col min="12553" max="12553" width="3.85546875" customWidth="1"/>
    <col min="12554" max="12554" width="15.28515625" bestFit="1" customWidth="1"/>
    <col min="12555" max="12555" width="12.28515625" customWidth="1"/>
    <col min="12556" max="12556" width="16.28515625" bestFit="1" customWidth="1"/>
    <col min="12557" max="12557" width="6.42578125" bestFit="1" customWidth="1"/>
    <col min="12558" max="12558" width="9.28515625" bestFit="1" customWidth="1"/>
    <col min="12559" max="12559" width="7.5703125" bestFit="1" customWidth="1"/>
    <col min="12560" max="12560" width="13.28515625" bestFit="1" customWidth="1"/>
    <col min="12561" max="12561" width="9.28515625" bestFit="1" customWidth="1"/>
    <col min="12562" max="12562" width="11.5703125" bestFit="1" customWidth="1"/>
    <col min="12563" max="12563" width="13.28515625" bestFit="1" customWidth="1"/>
    <col min="12564" max="12564" width="7.140625" bestFit="1" customWidth="1"/>
    <col min="12565" max="12565" width="12" bestFit="1" customWidth="1"/>
    <col min="12566" max="12566" width="13.28515625" bestFit="1" customWidth="1"/>
    <col min="12567" max="12567" width="7" bestFit="1" customWidth="1"/>
    <col min="12568" max="12568" width="12.7109375" bestFit="1" customWidth="1"/>
    <col min="12569" max="12569" width="11.5703125" bestFit="1" customWidth="1"/>
    <col min="12570" max="12570" width="10.5703125" bestFit="1" customWidth="1"/>
    <col min="12571" max="12572" width="15.7109375" bestFit="1" customWidth="1"/>
    <col min="12573" max="12573" width="11.5703125" bestFit="1" customWidth="1"/>
    <col min="12574" max="12574" width="7.7109375" bestFit="1" customWidth="1"/>
    <col min="12575" max="12575" width="15.140625" bestFit="1" customWidth="1"/>
    <col min="12576" max="12576" width="11.5703125" bestFit="1" customWidth="1"/>
    <col min="12577" max="12577" width="13.28515625" bestFit="1" customWidth="1"/>
    <col min="12578" max="12578" width="10.42578125" bestFit="1" customWidth="1"/>
    <col min="12579" max="12579" width="13.28515625" bestFit="1" customWidth="1"/>
    <col min="12580" max="12580" width="12.140625" bestFit="1" customWidth="1"/>
    <col min="12581" max="12581" width="14.42578125" bestFit="1" customWidth="1"/>
    <col min="12582" max="12582" width="13.28515625" bestFit="1" customWidth="1"/>
    <col min="12583" max="12583" width="11.5703125" bestFit="1" customWidth="1"/>
    <col min="12584" max="12584" width="7.7109375" bestFit="1" customWidth="1"/>
    <col min="12585" max="12586" width="14.42578125" bestFit="1" customWidth="1"/>
    <col min="12587" max="12587" width="11.5703125" bestFit="1" customWidth="1"/>
    <col min="12588" max="12588" width="7.7109375" bestFit="1" customWidth="1"/>
    <col min="12589" max="12589" width="13.5703125" customWidth="1"/>
    <col min="12590" max="12590" width="15.28515625" customWidth="1"/>
    <col min="12591" max="12591" width="14.5703125" customWidth="1"/>
    <col min="12592" max="12592" width="13.28515625" bestFit="1" customWidth="1"/>
    <col min="12593" max="12593" width="7.7109375" bestFit="1" customWidth="1"/>
    <col min="12594" max="12594" width="12.7109375" bestFit="1" customWidth="1"/>
    <col min="12595" max="12595" width="11.7109375" bestFit="1" customWidth="1"/>
    <col min="12596" max="12596" width="11.5703125" bestFit="1" customWidth="1"/>
    <col min="12597" max="12597" width="5.28515625" bestFit="1" customWidth="1"/>
    <col min="12598" max="12598" width="13.28515625" bestFit="1" customWidth="1"/>
    <col min="12599" max="12599" width="13.5703125" bestFit="1" customWidth="1"/>
    <col min="12600" max="12600" width="10.5703125" bestFit="1" customWidth="1"/>
    <col min="12601" max="12601" width="13.28515625" bestFit="1" customWidth="1"/>
    <col min="12602" max="12602" width="11.5703125" bestFit="1" customWidth="1"/>
    <col min="12603" max="12603" width="10.5703125" bestFit="1" customWidth="1"/>
    <col min="12604" max="12604" width="16.140625" bestFit="1" customWidth="1"/>
    <col min="12605" max="12606" width="11.28515625" bestFit="1" customWidth="1"/>
    <col min="12607" max="12607" width="13.28515625" bestFit="1" customWidth="1"/>
    <col min="12608" max="12608" width="7.7109375" bestFit="1" customWidth="1"/>
    <col min="12609" max="12612" width="9.140625" hidden="1" customWidth="1"/>
    <col min="12613" max="12613" width="10.42578125" bestFit="1" customWidth="1"/>
    <col min="12614" max="12614" width="10.5703125" bestFit="1" customWidth="1"/>
    <col min="12615" max="12615" width="10.42578125" bestFit="1" customWidth="1"/>
    <col min="12616" max="12616" width="10.5703125" bestFit="1" customWidth="1"/>
    <col min="12617" max="12617" width="9.5703125" bestFit="1" customWidth="1"/>
    <col min="12618" max="12618" width="11.5703125" bestFit="1" customWidth="1"/>
    <col min="12619" max="12619" width="10.42578125" bestFit="1" customWidth="1"/>
    <col min="12620" max="12620" width="10.85546875" customWidth="1"/>
    <col min="12621" max="12622" width="9.85546875" bestFit="1" customWidth="1"/>
    <col min="12623" max="12623" width="13.5703125" bestFit="1" customWidth="1"/>
    <col min="12624" max="12624" width="7.7109375" bestFit="1" customWidth="1"/>
    <col min="12625" max="12625" width="13.28515625" bestFit="1" customWidth="1"/>
    <col min="12626" max="12626" width="11.5703125" bestFit="1" customWidth="1"/>
    <col min="12627" max="12627" width="10.42578125" bestFit="1" customWidth="1"/>
    <col min="12628" max="12628" width="7.7109375" bestFit="1" customWidth="1"/>
    <col min="12629" max="12629" width="11.5703125" bestFit="1" customWidth="1"/>
    <col min="12630" max="12630" width="10.85546875" bestFit="1" customWidth="1"/>
    <col min="12631" max="12631" width="13.28515625" bestFit="1" customWidth="1"/>
    <col min="12632" max="12632" width="10.85546875" bestFit="1" customWidth="1"/>
    <col min="12633" max="12634" width="7.5703125" bestFit="1" customWidth="1"/>
    <col min="12635" max="12636" width="10.42578125" bestFit="1" customWidth="1"/>
    <col min="12637" max="12637" width="11.5703125" bestFit="1" customWidth="1"/>
    <col min="12638" max="12638" width="5.28515625" bestFit="1" customWidth="1"/>
    <col min="12639" max="12639" width="10.28515625" bestFit="1" customWidth="1"/>
    <col min="12640" max="12640" width="10.42578125" bestFit="1" customWidth="1"/>
    <col min="12641" max="12641" width="11.5703125" bestFit="1" customWidth="1"/>
    <col min="12642" max="12642" width="5.28515625" bestFit="1" customWidth="1"/>
    <col min="12643" max="12645" width="11.5703125" bestFit="1" customWidth="1"/>
    <col min="12646" max="12646" width="5.28515625" bestFit="1" customWidth="1"/>
    <col min="12647" max="12648" width="10.42578125" bestFit="1" customWidth="1"/>
    <col min="12649" max="12649" width="11.5703125" bestFit="1" customWidth="1"/>
    <col min="12650" max="12650" width="5.28515625" bestFit="1" customWidth="1"/>
    <col min="12651" max="12651" width="14.28515625" bestFit="1" customWidth="1"/>
    <col min="12652" max="12652" width="13" bestFit="1" customWidth="1"/>
    <col min="12653" max="12653" width="11.5703125" bestFit="1" customWidth="1"/>
    <col min="12654" max="12654" width="8.85546875" bestFit="1" customWidth="1"/>
    <col min="12655" max="12655" width="14.42578125" bestFit="1" customWidth="1"/>
    <col min="12656" max="12656" width="10.42578125" bestFit="1" customWidth="1"/>
    <col min="12657" max="12657" width="12.28515625" bestFit="1" customWidth="1"/>
    <col min="12658" max="12658" width="13.85546875" bestFit="1" customWidth="1"/>
    <col min="12659" max="12659" width="11.28515625" customWidth="1"/>
    <col min="12660" max="12660" width="11.5703125" customWidth="1"/>
    <col min="12661" max="12661" width="13.42578125" bestFit="1" customWidth="1"/>
    <col min="12662" max="12662" width="10.42578125" customWidth="1"/>
    <col min="12663" max="12663" width="13.85546875" bestFit="1" customWidth="1"/>
    <col min="12664" max="12664" width="15.42578125" bestFit="1" customWidth="1"/>
    <col min="12665" max="12665" width="12.28515625" bestFit="1" customWidth="1"/>
    <col min="12666" max="12666" width="12.7109375" customWidth="1"/>
    <col min="12667" max="12667" width="10.7109375" bestFit="1" customWidth="1"/>
    <col min="12668" max="12668" width="9.85546875" customWidth="1"/>
    <col min="12669" max="12670" width="10.140625" bestFit="1" customWidth="1"/>
    <col min="12671" max="12671" width="7.5703125" bestFit="1" customWidth="1"/>
    <col min="12672" max="12672" width="9.42578125" bestFit="1" customWidth="1"/>
    <col min="12673" max="12673" width="14.5703125" bestFit="1" customWidth="1"/>
    <col min="12674" max="12674" width="14.85546875" customWidth="1"/>
    <col min="12675" max="12675" width="15.140625" bestFit="1" customWidth="1"/>
    <col min="12676" max="12676" width="12.140625" bestFit="1" customWidth="1"/>
    <col min="12677" max="12677" width="14.85546875" bestFit="1" customWidth="1"/>
    <col min="12678" max="12678" width="12.28515625" bestFit="1" customWidth="1"/>
    <col min="12679" max="12687" width="9.140625" hidden="1" customWidth="1"/>
    <col min="12688" max="12688" width="5.28515625" bestFit="1" customWidth="1"/>
    <col min="12689" max="12694" width="11.5703125" bestFit="1" customWidth="1"/>
    <col min="12695" max="12695" width="11.28515625" bestFit="1" customWidth="1"/>
    <col min="12696" max="12696" width="10.140625" bestFit="1" customWidth="1"/>
    <col min="12697" max="12697" width="11.5703125" bestFit="1" customWidth="1"/>
    <col min="12698" max="12698" width="16.140625" customWidth="1"/>
    <col min="12699" max="12699" width="13.42578125" customWidth="1"/>
    <col min="12700" max="12700" width="10.140625" bestFit="1" customWidth="1"/>
    <col min="12701" max="12701" width="12.85546875" bestFit="1" customWidth="1"/>
    <col min="12702" max="12702" width="12.28515625" bestFit="1" customWidth="1"/>
    <col min="12703" max="12703" width="11.28515625" bestFit="1" customWidth="1"/>
    <col min="12704" max="12704" width="11.5703125" bestFit="1" customWidth="1"/>
    <col min="12705" max="12705" width="10.85546875" bestFit="1" customWidth="1"/>
    <col min="12706" max="12706" width="11.28515625" bestFit="1" customWidth="1"/>
    <col min="12707" max="12707" width="10.140625" bestFit="1" customWidth="1"/>
    <col min="12708" max="12708" width="13.28515625" bestFit="1" customWidth="1"/>
    <col min="12709" max="12710" width="12.7109375" bestFit="1" customWidth="1"/>
    <col min="12711" max="12711" width="11" bestFit="1" customWidth="1"/>
    <col min="12712" max="12712" width="11.28515625" bestFit="1" customWidth="1"/>
    <col min="12713" max="12713" width="11.5703125" bestFit="1" customWidth="1"/>
    <col min="12714" max="12714" width="12.28515625" bestFit="1" customWidth="1"/>
    <col min="12715" max="12715" width="15.140625" bestFit="1" customWidth="1"/>
    <col min="12716" max="12716" width="14.42578125" bestFit="1" customWidth="1"/>
    <col min="12717" max="12717" width="12.28515625" bestFit="1" customWidth="1"/>
    <col min="12718" max="12718" width="15.140625" bestFit="1" customWidth="1"/>
    <col min="12719" max="12719" width="14.42578125" bestFit="1" customWidth="1"/>
    <col min="12720" max="12720" width="12.28515625" bestFit="1" customWidth="1"/>
    <col min="12721" max="12721" width="14.42578125" bestFit="1" customWidth="1"/>
    <col min="12722" max="12722" width="11.28515625" bestFit="1" customWidth="1"/>
    <col min="12723" max="12723" width="12.28515625" bestFit="1" customWidth="1"/>
    <col min="12724" max="12724" width="13" bestFit="1" customWidth="1"/>
    <col min="12725" max="12725" width="15.140625" bestFit="1" customWidth="1"/>
    <col min="12726" max="12726" width="12.28515625" bestFit="1" customWidth="1"/>
    <col min="12727" max="12727" width="13.85546875" bestFit="1" customWidth="1"/>
    <col min="12728" max="12728" width="11.28515625" bestFit="1" customWidth="1"/>
    <col min="12729" max="12729" width="12.28515625" bestFit="1" customWidth="1"/>
    <col min="12730" max="12730" width="13.85546875" bestFit="1" customWidth="1"/>
    <col min="12731" max="12732" width="15.140625" bestFit="1" customWidth="1"/>
    <col min="12733" max="12733" width="12.28515625" bestFit="1" customWidth="1"/>
    <col min="12734" max="12734" width="5.7109375" bestFit="1" customWidth="1"/>
    <col min="12735" max="12735" width="8.5703125" bestFit="1" customWidth="1"/>
    <col min="12736" max="12736" width="5.5703125" bestFit="1" customWidth="1"/>
    <col min="12737" max="12737" width="14.42578125" bestFit="1" customWidth="1"/>
    <col min="12738" max="12738" width="11.28515625" bestFit="1" customWidth="1"/>
    <col min="12739" max="12740" width="12.28515625" bestFit="1" customWidth="1"/>
    <col min="12741" max="12741" width="11.28515625" bestFit="1" customWidth="1"/>
    <col min="12742" max="12742" width="13.85546875" bestFit="1" customWidth="1"/>
    <col min="12743" max="12743" width="12" bestFit="1" customWidth="1"/>
    <col min="12744" max="12744" width="13.85546875" bestFit="1" customWidth="1"/>
    <col min="12745" max="12746" width="14.42578125" customWidth="1"/>
    <col min="12747" max="12747" width="10.140625" bestFit="1" customWidth="1"/>
    <col min="12748" max="12748" width="12.28515625" bestFit="1" customWidth="1"/>
    <col min="12749" max="12749" width="7.42578125" bestFit="1" customWidth="1"/>
    <col min="12750" max="12750" width="8.5703125" bestFit="1" customWidth="1"/>
    <col min="12751" max="12751" width="11.5703125" bestFit="1" customWidth="1"/>
    <col min="12752" max="12752" width="13.28515625" bestFit="1" customWidth="1"/>
    <col min="12753" max="12753" width="13.28515625" customWidth="1"/>
    <col min="12754" max="12754" width="13.140625" customWidth="1"/>
    <col min="12755" max="12755" width="12.7109375" bestFit="1" customWidth="1"/>
    <col min="12756" max="12756" width="13.28515625" bestFit="1" customWidth="1"/>
    <col min="12757" max="12759" width="13.28515625" customWidth="1"/>
    <col min="12760" max="12760" width="12.140625" bestFit="1" customWidth="1"/>
    <col min="12761" max="12761" width="12.7109375" bestFit="1" customWidth="1"/>
    <col min="12762" max="12762" width="11" customWidth="1"/>
    <col min="12763" max="12763" width="16.7109375" customWidth="1"/>
    <col min="12764" max="12764" width="17" customWidth="1"/>
    <col min="12765" max="12765" width="10.42578125" bestFit="1" customWidth="1"/>
    <col min="12809" max="12809" width="3.85546875" customWidth="1"/>
    <col min="12810" max="12810" width="15.28515625" bestFit="1" customWidth="1"/>
    <col min="12811" max="12811" width="12.28515625" customWidth="1"/>
    <col min="12812" max="12812" width="16.28515625" bestFit="1" customWidth="1"/>
    <col min="12813" max="12813" width="6.42578125" bestFit="1" customWidth="1"/>
    <col min="12814" max="12814" width="9.28515625" bestFit="1" customWidth="1"/>
    <col min="12815" max="12815" width="7.5703125" bestFit="1" customWidth="1"/>
    <col min="12816" max="12816" width="13.28515625" bestFit="1" customWidth="1"/>
    <col min="12817" max="12817" width="9.28515625" bestFit="1" customWidth="1"/>
    <col min="12818" max="12818" width="11.5703125" bestFit="1" customWidth="1"/>
    <col min="12819" max="12819" width="13.28515625" bestFit="1" customWidth="1"/>
    <col min="12820" max="12820" width="7.140625" bestFit="1" customWidth="1"/>
    <col min="12821" max="12821" width="12" bestFit="1" customWidth="1"/>
    <col min="12822" max="12822" width="13.28515625" bestFit="1" customWidth="1"/>
    <col min="12823" max="12823" width="7" bestFit="1" customWidth="1"/>
    <col min="12824" max="12824" width="12.7109375" bestFit="1" customWidth="1"/>
    <col min="12825" max="12825" width="11.5703125" bestFit="1" customWidth="1"/>
    <col min="12826" max="12826" width="10.5703125" bestFit="1" customWidth="1"/>
    <col min="12827" max="12828" width="15.7109375" bestFit="1" customWidth="1"/>
    <col min="12829" max="12829" width="11.5703125" bestFit="1" customWidth="1"/>
    <col min="12830" max="12830" width="7.7109375" bestFit="1" customWidth="1"/>
    <col min="12831" max="12831" width="15.140625" bestFit="1" customWidth="1"/>
    <col min="12832" max="12832" width="11.5703125" bestFit="1" customWidth="1"/>
    <col min="12833" max="12833" width="13.28515625" bestFit="1" customWidth="1"/>
    <col min="12834" max="12834" width="10.42578125" bestFit="1" customWidth="1"/>
    <col min="12835" max="12835" width="13.28515625" bestFit="1" customWidth="1"/>
    <col min="12836" max="12836" width="12.140625" bestFit="1" customWidth="1"/>
    <col min="12837" max="12837" width="14.42578125" bestFit="1" customWidth="1"/>
    <col min="12838" max="12838" width="13.28515625" bestFit="1" customWidth="1"/>
    <col min="12839" max="12839" width="11.5703125" bestFit="1" customWidth="1"/>
    <col min="12840" max="12840" width="7.7109375" bestFit="1" customWidth="1"/>
    <col min="12841" max="12842" width="14.42578125" bestFit="1" customWidth="1"/>
    <col min="12843" max="12843" width="11.5703125" bestFit="1" customWidth="1"/>
    <col min="12844" max="12844" width="7.7109375" bestFit="1" customWidth="1"/>
    <col min="12845" max="12845" width="13.5703125" customWidth="1"/>
    <col min="12846" max="12846" width="15.28515625" customWidth="1"/>
    <col min="12847" max="12847" width="14.5703125" customWidth="1"/>
    <col min="12848" max="12848" width="13.28515625" bestFit="1" customWidth="1"/>
    <col min="12849" max="12849" width="7.7109375" bestFit="1" customWidth="1"/>
    <col min="12850" max="12850" width="12.7109375" bestFit="1" customWidth="1"/>
    <col min="12851" max="12851" width="11.7109375" bestFit="1" customWidth="1"/>
    <col min="12852" max="12852" width="11.5703125" bestFit="1" customWidth="1"/>
    <col min="12853" max="12853" width="5.28515625" bestFit="1" customWidth="1"/>
    <col min="12854" max="12854" width="13.28515625" bestFit="1" customWidth="1"/>
    <col min="12855" max="12855" width="13.5703125" bestFit="1" customWidth="1"/>
    <col min="12856" max="12856" width="10.5703125" bestFit="1" customWidth="1"/>
    <col min="12857" max="12857" width="13.28515625" bestFit="1" customWidth="1"/>
    <col min="12858" max="12858" width="11.5703125" bestFit="1" customWidth="1"/>
    <col min="12859" max="12859" width="10.5703125" bestFit="1" customWidth="1"/>
    <col min="12860" max="12860" width="16.140625" bestFit="1" customWidth="1"/>
    <col min="12861" max="12862" width="11.28515625" bestFit="1" customWidth="1"/>
    <col min="12863" max="12863" width="13.28515625" bestFit="1" customWidth="1"/>
    <col min="12864" max="12864" width="7.7109375" bestFit="1" customWidth="1"/>
    <col min="12865" max="12868" width="9.140625" hidden="1" customWidth="1"/>
    <col min="12869" max="12869" width="10.42578125" bestFit="1" customWidth="1"/>
    <col min="12870" max="12870" width="10.5703125" bestFit="1" customWidth="1"/>
    <col min="12871" max="12871" width="10.42578125" bestFit="1" customWidth="1"/>
    <col min="12872" max="12872" width="10.5703125" bestFit="1" customWidth="1"/>
    <col min="12873" max="12873" width="9.5703125" bestFit="1" customWidth="1"/>
    <col min="12874" max="12874" width="11.5703125" bestFit="1" customWidth="1"/>
    <col min="12875" max="12875" width="10.42578125" bestFit="1" customWidth="1"/>
    <col min="12876" max="12876" width="10.85546875" customWidth="1"/>
    <col min="12877" max="12878" width="9.85546875" bestFit="1" customWidth="1"/>
    <col min="12879" max="12879" width="13.5703125" bestFit="1" customWidth="1"/>
    <col min="12880" max="12880" width="7.7109375" bestFit="1" customWidth="1"/>
    <col min="12881" max="12881" width="13.28515625" bestFit="1" customWidth="1"/>
    <col min="12882" max="12882" width="11.5703125" bestFit="1" customWidth="1"/>
    <col min="12883" max="12883" width="10.42578125" bestFit="1" customWidth="1"/>
    <col min="12884" max="12884" width="7.7109375" bestFit="1" customWidth="1"/>
    <col min="12885" max="12885" width="11.5703125" bestFit="1" customWidth="1"/>
    <col min="12886" max="12886" width="10.85546875" bestFit="1" customWidth="1"/>
    <col min="12887" max="12887" width="13.28515625" bestFit="1" customWidth="1"/>
    <col min="12888" max="12888" width="10.85546875" bestFit="1" customWidth="1"/>
    <col min="12889" max="12890" width="7.5703125" bestFit="1" customWidth="1"/>
    <col min="12891" max="12892" width="10.42578125" bestFit="1" customWidth="1"/>
    <col min="12893" max="12893" width="11.5703125" bestFit="1" customWidth="1"/>
    <col min="12894" max="12894" width="5.28515625" bestFit="1" customWidth="1"/>
    <col min="12895" max="12895" width="10.28515625" bestFit="1" customWidth="1"/>
    <col min="12896" max="12896" width="10.42578125" bestFit="1" customWidth="1"/>
    <col min="12897" max="12897" width="11.5703125" bestFit="1" customWidth="1"/>
    <col min="12898" max="12898" width="5.28515625" bestFit="1" customWidth="1"/>
    <col min="12899" max="12901" width="11.5703125" bestFit="1" customWidth="1"/>
    <col min="12902" max="12902" width="5.28515625" bestFit="1" customWidth="1"/>
    <col min="12903" max="12904" width="10.42578125" bestFit="1" customWidth="1"/>
    <col min="12905" max="12905" width="11.5703125" bestFit="1" customWidth="1"/>
    <col min="12906" max="12906" width="5.28515625" bestFit="1" customWidth="1"/>
    <col min="12907" max="12907" width="14.28515625" bestFit="1" customWidth="1"/>
    <col min="12908" max="12908" width="13" bestFit="1" customWidth="1"/>
    <col min="12909" max="12909" width="11.5703125" bestFit="1" customWidth="1"/>
    <col min="12910" max="12910" width="8.85546875" bestFit="1" customWidth="1"/>
    <col min="12911" max="12911" width="14.42578125" bestFit="1" customWidth="1"/>
    <col min="12912" max="12912" width="10.42578125" bestFit="1" customWidth="1"/>
    <col min="12913" max="12913" width="12.28515625" bestFit="1" customWidth="1"/>
    <col min="12914" max="12914" width="13.85546875" bestFit="1" customWidth="1"/>
    <col min="12915" max="12915" width="11.28515625" customWidth="1"/>
    <col min="12916" max="12916" width="11.5703125" customWidth="1"/>
    <col min="12917" max="12917" width="13.42578125" bestFit="1" customWidth="1"/>
    <col min="12918" max="12918" width="10.42578125" customWidth="1"/>
    <col min="12919" max="12919" width="13.85546875" bestFit="1" customWidth="1"/>
    <col min="12920" max="12920" width="15.42578125" bestFit="1" customWidth="1"/>
    <col min="12921" max="12921" width="12.28515625" bestFit="1" customWidth="1"/>
    <col min="12922" max="12922" width="12.7109375" customWidth="1"/>
    <col min="12923" max="12923" width="10.7109375" bestFit="1" customWidth="1"/>
    <col min="12924" max="12924" width="9.85546875" customWidth="1"/>
    <col min="12925" max="12926" width="10.140625" bestFit="1" customWidth="1"/>
    <col min="12927" max="12927" width="7.5703125" bestFit="1" customWidth="1"/>
    <col min="12928" max="12928" width="9.42578125" bestFit="1" customWidth="1"/>
    <col min="12929" max="12929" width="14.5703125" bestFit="1" customWidth="1"/>
    <col min="12930" max="12930" width="14.85546875" customWidth="1"/>
    <col min="12931" max="12931" width="15.140625" bestFit="1" customWidth="1"/>
    <col min="12932" max="12932" width="12.140625" bestFit="1" customWidth="1"/>
    <col min="12933" max="12933" width="14.85546875" bestFit="1" customWidth="1"/>
    <col min="12934" max="12934" width="12.28515625" bestFit="1" customWidth="1"/>
    <col min="12935" max="12943" width="9.140625" hidden="1" customWidth="1"/>
    <col min="12944" max="12944" width="5.28515625" bestFit="1" customWidth="1"/>
    <col min="12945" max="12950" width="11.5703125" bestFit="1" customWidth="1"/>
    <col min="12951" max="12951" width="11.28515625" bestFit="1" customWidth="1"/>
    <col min="12952" max="12952" width="10.140625" bestFit="1" customWidth="1"/>
    <col min="12953" max="12953" width="11.5703125" bestFit="1" customWidth="1"/>
    <col min="12954" max="12954" width="16.140625" customWidth="1"/>
    <col min="12955" max="12955" width="13.42578125" customWidth="1"/>
    <col min="12956" max="12956" width="10.140625" bestFit="1" customWidth="1"/>
    <col min="12957" max="12957" width="12.85546875" bestFit="1" customWidth="1"/>
    <col min="12958" max="12958" width="12.28515625" bestFit="1" customWidth="1"/>
    <col min="12959" max="12959" width="11.28515625" bestFit="1" customWidth="1"/>
    <col min="12960" max="12960" width="11.5703125" bestFit="1" customWidth="1"/>
    <col min="12961" max="12961" width="10.85546875" bestFit="1" customWidth="1"/>
    <col min="12962" max="12962" width="11.28515625" bestFit="1" customWidth="1"/>
    <col min="12963" max="12963" width="10.140625" bestFit="1" customWidth="1"/>
    <col min="12964" max="12964" width="13.28515625" bestFit="1" customWidth="1"/>
    <col min="12965" max="12966" width="12.7109375" bestFit="1" customWidth="1"/>
    <col min="12967" max="12967" width="11" bestFit="1" customWidth="1"/>
    <col min="12968" max="12968" width="11.28515625" bestFit="1" customWidth="1"/>
    <col min="12969" max="12969" width="11.5703125" bestFit="1" customWidth="1"/>
    <col min="12970" max="12970" width="12.28515625" bestFit="1" customWidth="1"/>
    <col min="12971" max="12971" width="15.140625" bestFit="1" customWidth="1"/>
    <col min="12972" max="12972" width="14.42578125" bestFit="1" customWidth="1"/>
    <col min="12973" max="12973" width="12.28515625" bestFit="1" customWidth="1"/>
    <col min="12974" max="12974" width="15.140625" bestFit="1" customWidth="1"/>
    <col min="12975" max="12975" width="14.42578125" bestFit="1" customWidth="1"/>
    <col min="12976" max="12976" width="12.28515625" bestFit="1" customWidth="1"/>
    <col min="12977" max="12977" width="14.42578125" bestFit="1" customWidth="1"/>
    <col min="12978" max="12978" width="11.28515625" bestFit="1" customWidth="1"/>
    <col min="12979" max="12979" width="12.28515625" bestFit="1" customWidth="1"/>
    <col min="12980" max="12980" width="13" bestFit="1" customWidth="1"/>
    <col min="12981" max="12981" width="15.140625" bestFit="1" customWidth="1"/>
    <col min="12982" max="12982" width="12.28515625" bestFit="1" customWidth="1"/>
    <col min="12983" max="12983" width="13.85546875" bestFit="1" customWidth="1"/>
    <col min="12984" max="12984" width="11.28515625" bestFit="1" customWidth="1"/>
    <col min="12985" max="12985" width="12.28515625" bestFit="1" customWidth="1"/>
    <col min="12986" max="12986" width="13.85546875" bestFit="1" customWidth="1"/>
    <col min="12987" max="12988" width="15.140625" bestFit="1" customWidth="1"/>
    <col min="12989" max="12989" width="12.28515625" bestFit="1" customWidth="1"/>
    <col min="12990" max="12990" width="5.7109375" bestFit="1" customWidth="1"/>
    <col min="12991" max="12991" width="8.5703125" bestFit="1" customWidth="1"/>
    <col min="12992" max="12992" width="5.5703125" bestFit="1" customWidth="1"/>
    <col min="12993" max="12993" width="14.42578125" bestFit="1" customWidth="1"/>
    <col min="12994" max="12994" width="11.28515625" bestFit="1" customWidth="1"/>
    <col min="12995" max="12996" width="12.28515625" bestFit="1" customWidth="1"/>
    <col min="12997" max="12997" width="11.28515625" bestFit="1" customWidth="1"/>
    <col min="12998" max="12998" width="13.85546875" bestFit="1" customWidth="1"/>
    <col min="12999" max="12999" width="12" bestFit="1" customWidth="1"/>
    <col min="13000" max="13000" width="13.85546875" bestFit="1" customWidth="1"/>
    <col min="13001" max="13002" width="14.42578125" customWidth="1"/>
    <col min="13003" max="13003" width="10.140625" bestFit="1" customWidth="1"/>
    <col min="13004" max="13004" width="12.28515625" bestFit="1" customWidth="1"/>
    <col min="13005" max="13005" width="7.42578125" bestFit="1" customWidth="1"/>
    <col min="13006" max="13006" width="8.5703125" bestFit="1" customWidth="1"/>
    <col min="13007" max="13007" width="11.5703125" bestFit="1" customWidth="1"/>
    <col min="13008" max="13008" width="13.28515625" bestFit="1" customWidth="1"/>
    <col min="13009" max="13009" width="13.28515625" customWidth="1"/>
    <col min="13010" max="13010" width="13.140625" customWidth="1"/>
    <col min="13011" max="13011" width="12.7109375" bestFit="1" customWidth="1"/>
    <col min="13012" max="13012" width="13.28515625" bestFit="1" customWidth="1"/>
    <col min="13013" max="13015" width="13.28515625" customWidth="1"/>
    <col min="13016" max="13016" width="12.140625" bestFit="1" customWidth="1"/>
    <col min="13017" max="13017" width="12.7109375" bestFit="1" customWidth="1"/>
    <col min="13018" max="13018" width="11" customWidth="1"/>
    <col min="13019" max="13019" width="16.7109375" customWidth="1"/>
    <col min="13020" max="13020" width="17" customWidth="1"/>
    <col min="13021" max="13021" width="10.42578125" bestFit="1" customWidth="1"/>
    <col min="13065" max="13065" width="3.85546875" customWidth="1"/>
    <col min="13066" max="13066" width="15.28515625" bestFit="1" customWidth="1"/>
    <col min="13067" max="13067" width="12.28515625" customWidth="1"/>
    <col min="13068" max="13068" width="16.28515625" bestFit="1" customWidth="1"/>
    <col min="13069" max="13069" width="6.42578125" bestFit="1" customWidth="1"/>
    <col min="13070" max="13070" width="9.28515625" bestFit="1" customWidth="1"/>
    <col min="13071" max="13071" width="7.5703125" bestFit="1" customWidth="1"/>
    <col min="13072" max="13072" width="13.28515625" bestFit="1" customWidth="1"/>
    <col min="13073" max="13073" width="9.28515625" bestFit="1" customWidth="1"/>
    <col min="13074" max="13074" width="11.5703125" bestFit="1" customWidth="1"/>
    <col min="13075" max="13075" width="13.28515625" bestFit="1" customWidth="1"/>
    <col min="13076" max="13076" width="7.140625" bestFit="1" customWidth="1"/>
    <col min="13077" max="13077" width="12" bestFit="1" customWidth="1"/>
    <col min="13078" max="13078" width="13.28515625" bestFit="1" customWidth="1"/>
    <col min="13079" max="13079" width="7" bestFit="1" customWidth="1"/>
    <col min="13080" max="13080" width="12.7109375" bestFit="1" customWidth="1"/>
    <col min="13081" max="13081" width="11.5703125" bestFit="1" customWidth="1"/>
    <col min="13082" max="13082" width="10.5703125" bestFit="1" customWidth="1"/>
    <col min="13083" max="13084" width="15.7109375" bestFit="1" customWidth="1"/>
    <col min="13085" max="13085" width="11.5703125" bestFit="1" customWidth="1"/>
    <col min="13086" max="13086" width="7.7109375" bestFit="1" customWidth="1"/>
    <col min="13087" max="13087" width="15.140625" bestFit="1" customWidth="1"/>
    <col min="13088" max="13088" width="11.5703125" bestFit="1" customWidth="1"/>
    <col min="13089" max="13089" width="13.28515625" bestFit="1" customWidth="1"/>
    <col min="13090" max="13090" width="10.42578125" bestFit="1" customWidth="1"/>
    <col min="13091" max="13091" width="13.28515625" bestFit="1" customWidth="1"/>
    <col min="13092" max="13092" width="12.140625" bestFit="1" customWidth="1"/>
    <col min="13093" max="13093" width="14.42578125" bestFit="1" customWidth="1"/>
    <col min="13094" max="13094" width="13.28515625" bestFit="1" customWidth="1"/>
    <col min="13095" max="13095" width="11.5703125" bestFit="1" customWidth="1"/>
    <col min="13096" max="13096" width="7.7109375" bestFit="1" customWidth="1"/>
    <col min="13097" max="13098" width="14.42578125" bestFit="1" customWidth="1"/>
    <col min="13099" max="13099" width="11.5703125" bestFit="1" customWidth="1"/>
    <col min="13100" max="13100" width="7.7109375" bestFit="1" customWidth="1"/>
    <col min="13101" max="13101" width="13.5703125" customWidth="1"/>
    <col min="13102" max="13102" width="15.28515625" customWidth="1"/>
    <col min="13103" max="13103" width="14.5703125" customWidth="1"/>
    <col min="13104" max="13104" width="13.28515625" bestFit="1" customWidth="1"/>
    <col min="13105" max="13105" width="7.7109375" bestFit="1" customWidth="1"/>
    <col min="13106" max="13106" width="12.7109375" bestFit="1" customWidth="1"/>
    <col min="13107" max="13107" width="11.7109375" bestFit="1" customWidth="1"/>
    <col min="13108" max="13108" width="11.5703125" bestFit="1" customWidth="1"/>
    <col min="13109" max="13109" width="5.28515625" bestFit="1" customWidth="1"/>
    <col min="13110" max="13110" width="13.28515625" bestFit="1" customWidth="1"/>
    <col min="13111" max="13111" width="13.5703125" bestFit="1" customWidth="1"/>
    <col min="13112" max="13112" width="10.5703125" bestFit="1" customWidth="1"/>
    <col min="13113" max="13113" width="13.28515625" bestFit="1" customWidth="1"/>
    <col min="13114" max="13114" width="11.5703125" bestFit="1" customWidth="1"/>
    <col min="13115" max="13115" width="10.5703125" bestFit="1" customWidth="1"/>
    <col min="13116" max="13116" width="16.140625" bestFit="1" customWidth="1"/>
    <col min="13117" max="13118" width="11.28515625" bestFit="1" customWidth="1"/>
    <col min="13119" max="13119" width="13.28515625" bestFit="1" customWidth="1"/>
    <col min="13120" max="13120" width="7.7109375" bestFit="1" customWidth="1"/>
    <col min="13121" max="13124" width="9.140625" hidden="1" customWidth="1"/>
    <col min="13125" max="13125" width="10.42578125" bestFit="1" customWidth="1"/>
    <col min="13126" max="13126" width="10.5703125" bestFit="1" customWidth="1"/>
    <col min="13127" max="13127" width="10.42578125" bestFit="1" customWidth="1"/>
    <col min="13128" max="13128" width="10.5703125" bestFit="1" customWidth="1"/>
    <col min="13129" max="13129" width="9.5703125" bestFit="1" customWidth="1"/>
    <col min="13130" max="13130" width="11.5703125" bestFit="1" customWidth="1"/>
    <col min="13131" max="13131" width="10.42578125" bestFit="1" customWidth="1"/>
    <col min="13132" max="13132" width="10.85546875" customWidth="1"/>
    <col min="13133" max="13134" width="9.85546875" bestFit="1" customWidth="1"/>
    <col min="13135" max="13135" width="13.5703125" bestFit="1" customWidth="1"/>
    <col min="13136" max="13136" width="7.7109375" bestFit="1" customWidth="1"/>
    <col min="13137" max="13137" width="13.28515625" bestFit="1" customWidth="1"/>
    <col min="13138" max="13138" width="11.5703125" bestFit="1" customWidth="1"/>
    <col min="13139" max="13139" width="10.42578125" bestFit="1" customWidth="1"/>
    <col min="13140" max="13140" width="7.7109375" bestFit="1" customWidth="1"/>
    <col min="13141" max="13141" width="11.5703125" bestFit="1" customWidth="1"/>
    <col min="13142" max="13142" width="10.85546875" bestFit="1" customWidth="1"/>
    <col min="13143" max="13143" width="13.28515625" bestFit="1" customWidth="1"/>
    <col min="13144" max="13144" width="10.85546875" bestFit="1" customWidth="1"/>
    <col min="13145" max="13146" width="7.5703125" bestFit="1" customWidth="1"/>
    <col min="13147" max="13148" width="10.42578125" bestFit="1" customWidth="1"/>
    <col min="13149" max="13149" width="11.5703125" bestFit="1" customWidth="1"/>
    <col min="13150" max="13150" width="5.28515625" bestFit="1" customWidth="1"/>
    <col min="13151" max="13151" width="10.28515625" bestFit="1" customWidth="1"/>
    <col min="13152" max="13152" width="10.42578125" bestFit="1" customWidth="1"/>
    <col min="13153" max="13153" width="11.5703125" bestFit="1" customWidth="1"/>
    <col min="13154" max="13154" width="5.28515625" bestFit="1" customWidth="1"/>
    <col min="13155" max="13157" width="11.5703125" bestFit="1" customWidth="1"/>
    <col min="13158" max="13158" width="5.28515625" bestFit="1" customWidth="1"/>
    <col min="13159" max="13160" width="10.42578125" bestFit="1" customWidth="1"/>
    <col min="13161" max="13161" width="11.5703125" bestFit="1" customWidth="1"/>
    <col min="13162" max="13162" width="5.28515625" bestFit="1" customWidth="1"/>
    <col min="13163" max="13163" width="14.28515625" bestFit="1" customWidth="1"/>
    <col min="13164" max="13164" width="13" bestFit="1" customWidth="1"/>
    <col min="13165" max="13165" width="11.5703125" bestFit="1" customWidth="1"/>
    <col min="13166" max="13166" width="8.85546875" bestFit="1" customWidth="1"/>
    <col min="13167" max="13167" width="14.42578125" bestFit="1" customWidth="1"/>
    <col min="13168" max="13168" width="10.42578125" bestFit="1" customWidth="1"/>
    <col min="13169" max="13169" width="12.28515625" bestFit="1" customWidth="1"/>
    <col min="13170" max="13170" width="13.85546875" bestFit="1" customWidth="1"/>
    <col min="13171" max="13171" width="11.28515625" customWidth="1"/>
    <col min="13172" max="13172" width="11.5703125" customWidth="1"/>
    <col min="13173" max="13173" width="13.42578125" bestFit="1" customWidth="1"/>
    <col min="13174" max="13174" width="10.42578125" customWidth="1"/>
    <col min="13175" max="13175" width="13.85546875" bestFit="1" customWidth="1"/>
    <col min="13176" max="13176" width="15.42578125" bestFit="1" customWidth="1"/>
    <col min="13177" max="13177" width="12.28515625" bestFit="1" customWidth="1"/>
    <col min="13178" max="13178" width="12.7109375" customWidth="1"/>
    <col min="13179" max="13179" width="10.7109375" bestFit="1" customWidth="1"/>
    <col min="13180" max="13180" width="9.85546875" customWidth="1"/>
    <col min="13181" max="13182" width="10.140625" bestFit="1" customWidth="1"/>
    <col min="13183" max="13183" width="7.5703125" bestFit="1" customWidth="1"/>
    <col min="13184" max="13184" width="9.42578125" bestFit="1" customWidth="1"/>
    <col min="13185" max="13185" width="14.5703125" bestFit="1" customWidth="1"/>
    <col min="13186" max="13186" width="14.85546875" customWidth="1"/>
    <col min="13187" max="13187" width="15.140625" bestFit="1" customWidth="1"/>
    <col min="13188" max="13188" width="12.140625" bestFit="1" customWidth="1"/>
    <col min="13189" max="13189" width="14.85546875" bestFit="1" customWidth="1"/>
    <col min="13190" max="13190" width="12.28515625" bestFit="1" customWidth="1"/>
    <col min="13191" max="13199" width="9.140625" hidden="1" customWidth="1"/>
    <col min="13200" max="13200" width="5.28515625" bestFit="1" customWidth="1"/>
    <col min="13201" max="13206" width="11.5703125" bestFit="1" customWidth="1"/>
    <col min="13207" max="13207" width="11.28515625" bestFit="1" customWidth="1"/>
    <col min="13208" max="13208" width="10.140625" bestFit="1" customWidth="1"/>
    <col min="13209" max="13209" width="11.5703125" bestFit="1" customWidth="1"/>
    <col min="13210" max="13210" width="16.140625" customWidth="1"/>
    <col min="13211" max="13211" width="13.42578125" customWidth="1"/>
    <col min="13212" max="13212" width="10.140625" bestFit="1" customWidth="1"/>
    <col min="13213" max="13213" width="12.85546875" bestFit="1" customWidth="1"/>
    <col min="13214" max="13214" width="12.28515625" bestFit="1" customWidth="1"/>
    <col min="13215" max="13215" width="11.28515625" bestFit="1" customWidth="1"/>
    <col min="13216" max="13216" width="11.5703125" bestFit="1" customWidth="1"/>
    <col min="13217" max="13217" width="10.85546875" bestFit="1" customWidth="1"/>
    <col min="13218" max="13218" width="11.28515625" bestFit="1" customWidth="1"/>
    <col min="13219" max="13219" width="10.140625" bestFit="1" customWidth="1"/>
    <col min="13220" max="13220" width="13.28515625" bestFit="1" customWidth="1"/>
    <col min="13221" max="13222" width="12.7109375" bestFit="1" customWidth="1"/>
    <col min="13223" max="13223" width="11" bestFit="1" customWidth="1"/>
    <col min="13224" max="13224" width="11.28515625" bestFit="1" customWidth="1"/>
    <col min="13225" max="13225" width="11.5703125" bestFit="1" customWidth="1"/>
    <col min="13226" max="13226" width="12.28515625" bestFit="1" customWidth="1"/>
    <col min="13227" max="13227" width="15.140625" bestFit="1" customWidth="1"/>
    <col min="13228" max="13228" width="14.42578125" bestFit="1" customWidth="1"/>
    <col min="13229" max="13229" width="12.28515625" bestFit="1" customWidth="1"/>
    <col min="13230" max="13230" width="15.140625" bestFit="1" customWidth="1"/>
    <col min="13231" max="13231" width="14.42578125" bestFit="1" customWidth="1"/>
    <col min="13232" max="13232" width="12.28515625" bestFit="1" customWidth="1"/>
    <col min="13233" max="13233" width="14.42578125" bestFit="1" customWidth="1"/>
    <col min="13234" max="13234" width="11.28515625" bestFit="1" customWidth="1"/>
    <col min="13235" max="13235" width="12.28515625" bestFit="1" customWidth="1"/>
    <col min="13236" max="13236" width="13" bestFit="1" customWidth="1"/>
    <col min="13237" max="13237" width="15.140625" bestFit="1" customWidth="1"/>
    <col min="13238" max="13238" width="12.28515625" bestFit="1" customWidth="1"/>
    <col min="13239" max="13239" width="13.85546875" bestFit="1" customWidth="1"/>
    <col min="13240" max="13240" width="11.28515625" bestFit="1" customWidth="1"/>
    <col min="13241" max="13241" width="12.28515625" bestFit="1" customWidth="1"/>
    <col min="13242" max="13242" width="13.85546875" bestFit="1" customWidth="1"/>
    <col min="13243" max="13244" width="15.140625" bestFit="1" customWidth="1"/>
    <col min="13245" max="13245" width="12.28515625" bestFit="1" customWidth="1"/>
    <col min="13246" max="13246" width="5.7109375" bestFit="1" customWidth="1"/>
    <col min="13247" max="13247" width="8.5703125" bestFit="1" customWidth="1"/>
    <col min="13248" max="13248" width="5.5703125" bestFit="1" customWidth="1"/>
    <col min="13249" max="13249" width="14.42578125" bestFit="1" customWidth="1"/>
    <col min="13250" max="13250" width="11.28515625" bestFit="1" customWidth="1"/>
    <col min="13251" max="13252" width="12.28515625" bestFit="1" customWidth="1"/>
    <col min="13253" max="13253" width="11.28515625" bestFit="1" customWidth="1"/>
    <col min="13254" max="13254" width="13.85546875" bestFit="1" customWidth="1"/>
    <col min="13255" max="13255" width="12" bestFit="1" customWidth="1"/>
    <col min="13256" max="13256" width="13.85546875" bestFit="1" customWidth="1"/>
    <col min="13257" max="13258" width="14.42578125" customWidth="1"/>
    <col min="13259" max="13259" width="10.140625" bestFit="1" customWidth="1"/>
    <col min="13260" max="13260" width="12.28515625" bestFit="1" customWidth="1"/>
    <col min="13261" max="13261" width="7.42578125" bestFit="1" customWidth="1"/>
    <col min="13262" max="13262" width="8.5703125" bestFit="1" customWidth="1"/>
    <col min="13263" max="13263" width="11.5703125" bestFit="1" customWidth="1"/>
    <col min="13264" max="13264" width="13.28515625" bestFit="1" customWidth="1"/>
    <col min="13265" max="13265" width="13.28515625" customWidth="1"/>
    <col min="13266" max="13266" width="13.140625" customWidth="1"/>
    <col min="13267" max="13267" width="12.7109375" bestFit="1" customWidth="1"/>
    <col min="13268" max="13268" width="13.28515625" bestFit="1" customWidth="1"/>
    <col min="13269" max="13271" width="13.28515625" customWidth="1"/>
    <col min="13272" max="13272" width="12.140625" bestFit="1" customWidth="1"/>
    <col min="13273" max="13273" width="12.7109375" bestFit="1" customWidth="1"/>
    <col min="13274" max="13274" width="11" customWidth="1"/>
    <col min="13275" max="13275" width="16.7109375" customWidth="1"/>
    <col min="13276" max="13276" width="17" customWidth="1"/>
    <col min="13277" max="13277" width="10.42578125" bestFit="1" customWidth="1"/>
    <col min="13321" max="13321" width="3.85546875" customWidth="1"/>
    <col min="13322" max="13322" width="15.28515625" bestFit="1" customWidth="1"/>
    <col min="13323" max="13323" width="12.28515625" customWidth="1"/>
    <col min="13324" max="13324" width="16.28515625" bestFit="1" customWidth="1"/>
    <col min="13325" max="13325" width="6.42578125" bestFit="1" customWidth="1"/>
    <col min="13326" max="13326" width="9.28515625" bestFit="1" customWidth="1"/>
    <col min="13327" max="13327" width="7.5703125" bestFit="1" customWidth="1"/>
    <col min="13328" max="13328" width="13.28515625" bestFit="1" customWidth="1"/>
    <col min="13329" max="13329" width="9.28515625" bestFit="1" customWidth="1"/>
    <col min="13330" max="13330" width="11.5703125" bestFit="1" customWidth="1"/>
    <col min="13331" max="13331" width="13.28515625" bestFit="1" customWidth="1"/>
    <col min="13332" max="13332" width="7.140625" bestFit="1" customWidth="1"/>
    <col min="13333" max="13333" width="12" bestFit="1" customWidth="1"/>
    <col min="13334" max="13334" width="13.28515625" bestFit="1" customWidth="1"/>
    <col min="13335" max="13335" width="7" bestFit="1" customWidth="1"/>
    <col min="13336" max="13336" width="12.7109375" bestFit="1" customWidth="1"/>
    <col min="13337" max="13337" width="11.5703125" bestFit="1" customWidth="1"/>
    <col min="13338" max="13338" width="10.5703125" bestFit="1" customWidth="1"/>
    <col min="13339" max="13340" width="15.7109375" bestFit="1" customWidth="1"/>
    <col min="13341" max="13341" width="11.5703125" bestFit="1" customWidth="1"/>
    <col min="13342" max="13342" width="7.7109375" bestFit="1" customWidth="1"/>
    <col min="13343" max="13343" width="15.140625" bestFit="1" customWidth="1"/>
    <col min="13344" max="13344" width="11.5703125" bestFit="1" customWidth="1"/>
    <col min="13345" max="13345" width="13.28515625" bestFit="1" customWidth="1"/>
    <col min="13346" max="13346" width="10.42578125" bestFit="1" customWidth="1"/>
    <col min="13347" max="13347" width="13.28515625" bestFit="1" customWidth="1"/>
    <col min="13348" max="13348" width="12.140625" bestFit="1" customWidth="1"/>
    <col min="13349" max="13349" width="14.42578125" bestFit="1" customWidth="1"/>
    <col min="13350" max="13350" width="13.28515625" bestFit="1" customWidth="1"/>
    <col min="13351" max="13351" width="11.5703125" bestFit="1" customWidth="1"/>
    <col min="13352" max="13352" width="7.7109375" bestFit="1" customWidth="1"/>
    <col min="13353" max="13354" width="14.42578125" bestFit="1" customWidth="1"/>
    <col min="13355" max="13355" width="11.5703125" bestFit="1" customWidth="1"/>
    <col min="13356" max="13356" width="7.7109375" bestFit="1" customWidth="1"/>
    <col min="13357" max="13357" width="13.5703125" customWidth="1"/>
    <col min="13358" max="13358" width="15.28515625" customWidth="1"/>
    <col min="13359" max="13359" width="14.5703125" customWidth="1"/>
    <col min="13360" max="13360" width="13.28515625" bestFit="1" customWidth="1"/>
    <col min="13361" max="13361" width="7.7109375" bestFit="1" customWidth="1"/>
    <col min="13362" max="13362" width="12.7109375" bestFit="1" customWidth="1"/>
    <col min="13363" max="13363" width="11.7109375" bestFit="1" customWidth="1"/>
    <col min="13364" max="13364" width="11.5703125" bestFit="1" customWidth="1"/>
    <col min="13365" max="13365" width="5.28515625" bestFit="1" customWidth="1"/>
    <col min="13366" max="13366" width="13.28515625" bestFit="1" customWidth="1"/>
    <col min="13367" max="13367" width="13.5703125" bestFit="1" customWidth="1"/>
    <col min="13368" max="13368" width="10.5703125" bestFit="1" customWidth="1"/>
    <col min="13369" max="13369" width="13.28515625" bestFit="1" customWidth="1"/>
    <col min="13370" max="13370" width="11.5703125" bestFit="1" customWidth="1"/>
    <col min="13371" max="13371" width="10.5703125" bestFit="1" customWidth="1"/>
    <col min="13372" max="13372" width="16.140625" bestFit="1" customWidth="1"/>
    <col min="13373" max="13374" width="11.28515625" bestFit="1" customWidth="1"/>
    <col min="13375" max="13375" width="13.28515625" bestFit="1" customWidth="1"/>
    <col min="13376" max="13376" width="7.7109375" bestFit="1" customWidth="1"/>
    <col min="13377" max="13380" width="9.140625" hidden="1" customWidth="1"/>
    <col min="13381" max="13381" width="10.42578125" bestFit="1" customWidth="1"/>
    <col min="13382" max="13382" width="10.5703125" bestFit="1" customWidth="1"/>
    <col min="13383" max="13383" width="10.42578125" bestFit="1" customWidth="1"/>
    <col min="13384" max="13384" width="10.5703125" bestFit="1" customWidth="1"/>
    <col min="13385" max="13385" width="9.5703125" bestFit="1" customWidth="1"/>
    <col min="13386" max="13386" width="11.5703125" bestFit="1" customWidth="1"/>
    <col min="13387" max="13387" width="10.42578125" bestFit="1" customWidth="1"/>
    <col min="13388" max="13388" width="10.85546875" customWidth="1"/>
    <col min="13389" max="13390" width="9.85546875" bestFit="1" customWidth="1"/>
    <col min="13391" max="13391" width="13.5703125" bestFit="1" customWidth="1"/>
    <col min="13392" max="13392" width="7.7109375" bestFit="1" customWidth="1"/>
    <col min="13393" max="13393" width="13.28515625" bestFit="1" customWidth="1"/>
    <col min="13394" max="13394" width="11.5703125" bestFit="1" customWidth="1"/>
    <col min="13395" max="13395" width="10.42578125" bestFit="1" customWidth="1"/>
    <col min="13396" max="13396" width="7.7109375" bestFit="1" customWidth="1"/>
    <col min="13397" max="13397" width="11.5703125" bestFit="1" customWidth="1"/>
    <col min="13398" max="13398" width="10.85546875" bestFit="1" customWidth="1"/>
    <col min="13399" max="13399" width="13.28515625" bestFit="1" customWidth="1"/>
    <col min="13400" max="13400" width="10.85546875" bestFit="1" customWidth="1"/>
    <col min="13401" max="13402" width="7.5703125" bestFit="1" customWidth="1"/>
    <col min="13403" max="13404" width="10.42578125" bestFit="1" customWidth="1"/>
    <col min="13405" max="13405" width="11.5703125" bestFit="1" customWidth="1"/>
    <col min="13406" max="13406" width="5.28515625" bestFit="1" customWidth="1"/>
    <col min="13407" max="13407" width="10.28515625" bestFit="1" customWidth="1"/>
    <col min="13408" max="13408" width="10.42578125" bestFit="1" customWidth="1"/>
    <col min="13409" max="13409" width="11.5703125" bestFit="1" customWidth="1"/>
    <col min="13410" max="13410" width="5.28515625" bestFit="1" customWidth="1"/>
    <col min="13411" max="13413" width="11.5703125" bestFit="1" customWidth="1"/>
    <col min="13414" max="13414" width="5.28515625" bestFit="1" customWidth="1"/>
    <col min="13415" max="13416" width="10.42578125" bestFit="1" customWidth="1"/>
    <col min="13417" max="13417" width="11.5703125" bestFit="1" customWidth="1"/>
    <col min="13418" max="13418" width="5.28515625" bestFit="1" customWidth="1"/>
    <col min="13419" max="13419" width="14.28515625" bestFit="1" customWidth="1"/>
    <col min="13420" max="13420" width="13" bestFit="1" customWidth="1"/>
    <col min="13421" max="13421" width="11.5703125" bestFit="1" customWidth="1"/>
    <col min="13422" max="13422" width="8.85546875" bestFit="1" customWidth="1"/>
    <col min="13423" max="13423" width="14.42578125" bestFit="1" customWidth="1"/>
    <col min="13424" max="13424" width="10.42578125" bestFit="1" customWidth="1"/>
    <col min="13425" max="13425" width="12.28515625" bestFit="1" customWidth="1"/>
    <col min="13426" max="13426" width="13.85546875" bestFit="1" customWidth="1"/>
    <col min="13427" max="13427" width="11.28515625" customWidth="1"/>
    <col min="13428" max="13428" width="11.5703125" customWidth="1"/>
    <col min="13429" max="13429" width="13.42578125" bestFit="1" customWidth="1"/>
    <col min="13430" max="13430" width="10.42578125" customWidth="1"/>
    <col min="13431" max="13431" width="13.85546875" bestFit="1" customWidth="1"/>
    <col min="13432" max="13432" width="15.42578125" bestFit="1" customWidth="1"/>
    <col min="13433" max="13433" width="12.28515625" bestFit="1" customWidth="1"/>
    <col min="13434" max="13434" width="12.7109375" customWidth="1"/>
    <col min="13435" max="13435" width="10.7109375" bestFit="1" customWidth="1"/>
    <col min="13436" max="13436" width="9.85546875" customWidth="1"/>
    <col min="13437" max="13438" width="10.140625" bestFit="1" customWidth="1"/>
    <col min="13439" max="13439" width="7.5703125" bestFit="1" customWidth="1"/>
    <col min="13440" max="13440" width="9.42578125" bestFit="1" customWidth="1"/>
    <col min="13441" max="13441" width="14.5703125" bestFit="1" customWidth="1"/>
    <col min="13442" max="13442" width="14.85546875" customWidth="1"/>
    <col min="13443" max="13443" width="15.140625" bestFit="1" customWidth="1"/>
    <col min="13444" max="13444" width="12.140625" bestFit="1" customWidth="1"/>
    <col min="13445" max="13445" width="14.85546875" bestFit="1" customWidth="1"/>
    <col min="13446" max="13446" width="12.28515625" bestFit="1" customWidth="1"/>
    <col min="13447" max="13455" width="9.140625" hidden="1" customWidth="1"/>
    <col min="13456" max="13456" width="5.28515625" bestFit="1" customWidth="1"/>
    <col min="13457" max="13462" width="11.5703125" bestFit="1" customWidth="1"/>
    <col min="13463" max="13463" width="11.28515625" bestFit="1" customWidth="1"/>
    <col min="13464" max="13464" width="10.140625" bestFit="1" customWidth="1"/>
    <col min="13465" max="13465" width="11.5703125" bestFit="1" customWidth="1"/>
    <col min="13466" max="13466" width="16.140625" customWidth="1"/>
    <col min="13467" max="13467" width="13.42578125" customWidth="1"/>
    <col min="13468" max="13468" width="10.140625" bestFit="1" customWidth="1"/>
    <col min="13469" max="13469" width="12.85546875" bestFit="1" customWidth="1"/>
    <col min="13470" max="13470" width="12.28515625" bestFit="1" customWidth="1"/>
    <col min="13471" max="13471" width="11.28515625" bestFit="1" customWidth="1"/>
    <col min="13472" max="13472" width="11.5703125" bestFit="1" customWidth="1"/>
    <col min="13473" max="13473" width="10.85546875" bestFit="1" customWidth="1"/>
    <col min="13474" max="13474" width="11.28515625" bestFit="1" customWidth="1"/>
    <col min="13475" max="13475" width="10.140625" bestFit="1" customWidth="1"/>
    <col min="13476" max="13476" width="13.28515625" bestFit="1" customWidth="1"/>
    <col min="13477" max="13478" width="12.7109375" bestFit="1" customWidth="1"/>
    <col min="13479" max="13479" width="11" bestFit="1" customWidth="1"/>
    <col min="13480" max="13480" width="11.28515625" bestFit="1" customWidth="1"/>
    <col min="13481" max="13481" width="11.5703125" bestFit="1" customWidth="1"/>
    <col min="13482" max="13482" width="12.28515625" bestFit="1" customWidth="1"/>
    <col min="13483" max="13483" width="15.140625" bestFit="1" customWidth="1"/>
    <col min="13484" max="13484" width="14.42578125" bestFit="1" customWidth="1"/>
    <col min="13485" max="13485" width="12.28515625" bestFit="1" customWidth="1"/>
    <col min="13486" max="13486" width="15.140625" bestFit="1" customWidth="1"/>
    <col min="13487" max="13487" width="14.42578125" bestFit="1" customWidth="1"/>
    <col min="13488" max="13488" width="12.28515625" bestFit="1" customWidth="1"/>
    <col min="13489" max="13489" width="14.42578125" bestFit="1" customWidth="1"/>
    <col min="13490" max="13490" width="11.28515625" bestFit="1" customWidth="1"/>
    <col min="13491" max="13491" width="12.28515625" bestFit="1" customWidth="1"/>
    <col min="13492" max="13492" width="13" bestFit="1" customWidth="1"/>
    <col min="13493" max="13493" width="15.140625" bestFit="1" customWidth="1"/>
    <col min="13494" max="13494" width="12.28515625" bestFit="1" customWidth="1"/>
    <col min="13495" max="13495" width="13.85546875" bestFit="1" customWidth="1"/>
    <col min="13496" max="13496" width="11.28515625" bestFit="1" customWidth="1"/>
    <col min="13497" max="13497" width="12.28515625" bestFit="1" customWidth="1"/>
    <col min="13498" max="13498" width="13.85546875" bestFit="1" customWidth="1"/>
    <col min="13499" max="13500" width="15.140625" bestFit="1" customWidth="1"/>
    <col min="13501" max="13501" width="12.28515625" bestFit="1" customWidth="1"/>
    <col min="13502" max="13502" width="5.7109375" bestFit="1" customWidth="1"/>
    <col min="13503" max="13503" width="8.5703125" bestFit="1" customWidth="1"/>
    <col min="13504" max="13504" width="5.5703125" bestFit="1" customWidth="1"/>
    <col min="13505" max="13505" width="14.42578125" bestFit="1" customWidth="1"/>
    <col min="13506" max="13506" width="11.28515625" bestFit="1" customWidth="1"/>
    <col min="13507" max="13508" width="12.28515625" bestFit="1" customWidth="1"/>
    <col min="13509" max="13509" width="11.28515625" bestFit="1" customWidth="1"/>
    <col min="13510" max="13510" width="13.85546875" bestFit="1" customWidth="1"/>
    <col min="13511" max="13511" width="12" bestFit="1" customWidth="1"/>
    <col min="13512" max="13512" width="13.85546875" bestFit="1" customWidth="1"/>
    <col min="13513" max="13514" width="14.42578125" customWidth="1"/>
    <col min="13515" max="13515" width="10.140625" bestFit="1" customWidth="1"/>
    <col min="13516" max="13516" width="12.28515625" bestFit="1" customWidth="1"/>
    <col min="13517" max="13517" width="7.42578125" bestFit="1" customWidth="1"/>
    <col min="13518" max="13518" width="8.5703125" bestFit="1" customWidth="1"/>
    <col min="13519" max="13519" width="11.5703125" bestFit="1" customWidth="1"/>
    <col min="13520" max="13520" width="13.28515625" bestFit="1" customWidth="1"/>
    <col min="13521" max="13521" width="13.28515625" customWidth="1"/>
    <col min="13522" max="13522" width="13.140625" customWidth="1"/>
    <col min="13523" max="13523" width="12.7109375" bestFit="1" customWidth="1"/>
    <col min="13524" max="13524" width="13.28515625" bestFit="1" customWidth="1"/>
    <col min="13525" max="13527" width="13.28515625" customWidth="1"/>
    <col min="13528" max="13528" width="12.140625" bestFit="1" customWidth="1"/>
    <col min="13529" max="13529" width="12.7109375" bestFit="1" customWidth="1"/>
    <col min="13530" max="13530" width="11" customWidth="1"/>
    <col min="13531" max="13531" width="16.7109375" customWidth="1"/>
    <col min="13532" max="13532" width="17" customWidth="1"/>
    <col min="13533" max="13533" width="10.42578125" bestFit="1" customWidth="1"/>
    <col min="13577" max="13577" width="3.85546875" customWidth="1"/>
    <col min="13578" max="13578" width="15.28515625" bestFit="1" customWidth="1"/>
    <col min="13579" max="13579" width="12.28515625" customWidth="1"/>
    <col min="13580" max="13580" width="16.28515625" bestFit="1" customWidth="1"/>
    <col min="13581" max="13581" width="6.42578125" bestFit="1" customWidth="1"/>
    <col min="13582" max="13582" width="9.28515625" bestFit="1" customWidth="1"/>
    <col min="13583" max="13583" width="7.5703125" bestFit="1" customWidth="1"/>
    <col min="13584" max="13584" width="13.28515625" bestFit="1" customWidth="1"/>
    <col min="13585" max="13585" width="9.28515625" bestFit="1" customWidth="1"/>
    <col min="13586" max="13586" width="11.5703125" bestFit="1" customWidth="1"/>
    <col min="13587" max="13587" width="13.28515625" bestFit="1" customWidth="1"/>
    <col min="13588" max="13588" width="7.140625" bestFit="1" customWidth="1"/>
    <col min="13589" max="13589" width="12" bestFit="1" customWidth="1"/>
    <col min="13590" max="13590" width="13.28515625" bestFit="1" customWidth="1"/>
    <col min="13591" max="13591" width="7" bestFit="1" customWidth="1"/>
    <col min="13592" max="13592" width="12.7109375" bestFit="1" customWidth="1"/>
    <col min="13593" max="13593" width="11.5703125" bestFit="1" customWidth="1"/>
    <col min="13594" max="13594" width="10.5703125" bestFit="1" customWidth="1"/>
    <col min="13595" max="13596" width="15.7109375" bestFit="1" customWidth="1"/>
    <col min="13597" max="13597" width="11.5703125" bestFit="1" customWidth="1"/>
    <col min="13598" max="13598" width="7.7109375" bestFit="1" customWidth="1"/>
    <col min="13599" max="13599" width="15.140625" bestFit="1" customWidth="1"/>
    <col min="13600" max="13600" width="11.5703125" bestFit="1" customWidth="1"/>
    <col min="13601" max="13601" width="13.28515625" bestFit="1" customWidth="1"/>
    <col min="13602" max="13602" width="10.42578125" bestFit="1" customWidth="1"/>
    <col min="13603" max="13603" width="13.28515625" bestFit="1" customWidth="1"/>
    <col min="13604" max="13604" width="12.140625" bestFit="1" customWidth="1"/>
    <col min="13605" max="13605" width="14.42578125" bestFit="1" customWidth="1"/>
    <col min="13606" max="13606" width="13.28515625" bestFit="1" customWidth="1"/>
    <col min="13607" max="13607" width="11.5703125" bestFit="1" customWidth="1"/>
    <col min="13608" max="13608" width="7.7109375" bestFit="1" customWidth="1"/>
    <col min="13609" max="13610" width="14.42578125" bestFit="1" customWidth="1"/>
    <col min="13611" max="13611" width="11.5703125" bestFit="1" customWidth="1"/>
    <col min="13612" max="13612" width="7.7109375" bestFit="1" customWidth="1"/>
    <col min="13613" max="13613" width="13.5703125" customWidth="1"/>
    <col min="13614" max="13614" width="15.28515625" customWidth="1"/>
    <col min="13615" max="13615" width="14.5703125" customWidth="1"/>
    <col min="13616" max="13616" width="13.28515625" bestFit="1" customWidth="1"/>
    <col min="13617" max="13617" width="7.7109375" bestFit="1" customWidth="1"/>
    <col min="13618" max="13618" width="12.7109375" bestFit="1" customWidth="1"/>
    <col min="13619" max="13619" width="11.7109375" bestFit="1" customWidth="1"/>
    <col min="13620" max="13620" width="11.5703125" bestFit="1" customWidth="1"/>
    <col min="13621" max="13621" width="5.28515625" bestFit="1" customWidth="1"/>
    <col min="13622" max="13622" width="13.28515625" bestFit="1" customWidth="1"/>
    <col min="13623" max="13623" width="13.5703125" bestFit="1" customWidth="1"/>
    <col min="13624" max="13624" width="10.5703125" bestFit="1" customWidth="1"/>
    <col min="13625" max="13625" width="13.28515625" bestFit="1" customWidth="1"/>
    <col min="13626" max="13626" width="11.5703125" bestFit="1" customWidth="1"/>
    <col min="13627" max="13627" width="10.5703125" bestFit="1" customWidth="1"/>
    <col min="13628" max="13628" width="16.140625" bestFit="1" customWidth="1"/>
    <col min="13629" max="13630" width="11.28515625" bestFit="1" customWidth="1"/>
    <col min="13631" max="13631" width="13.28515625" bestFit="1" customWidth="1"/>
    <col min="13632" max="13632" width="7.7109375" bestFit="1" customWidth="1"/>
    <col min="13633" max="13636" width="9.140625" hidden="1" customWidth="1"/>
    <col min="13637" max="13637" width="10.42578125" bestFit="1" customWidth="1"/>
    <col min="13638" max="13638" width="10.5703125" bestFit="1" customWidth="1"/>
    <col min="13639" max="13639" width="10.42578125" bestFit="1" customWidth="1"/>
    <col min="13640" max="13640" width="10.5703125" bestFit="1" customWidth="1"/>
    <col min="13641" max="13641" width="9.5703125" bestFit="1" customWidth="1"/>
    <col min="13642" max="13642" width="11.5703125" bestFit="1" customWidth="1"/>
    <col min="13643" max="13643" width="10.42578125" bestFit="1" customWidth="1"/>
    <col min="13644" max="13644" width="10.85546875" customWidth="1"/>
    <col min="13645" max="13646" width="9.85546875" bestFit="1" customWidth="1"/>
    <col min="13647" max="13647" width="13.5703125" bestFit="1" customWidth="1"/>
    <col min="13648" max="13648" width="7.7109375" bestFit="1" customWidth="1"/>
    <col min="13649" max="13649" width="13.28515625" bestFit="1" customWidth="1"/>
    <col min="13650" max="13650" width="11.5703125" bestFit="1" customWidth="1"/>
    <col min="13651" max="13651" width="10.42578125" bestFit="1" customWidth="1"/>
    <col min="13652" max="13652" width="7.7109375" bestFit="1" customWidth="1"/>
    <col min="13653" max="13653" width="11.5703125" bestFit="1" customWidth="1"/>
    <col min="13654" max="13654" width="10.85546875" bestFit="1" customWidth="1"/>
    <col min="13655" max="13655" width="13.28515625" bestFit="1" customWidth="1"/>
    <col min="13656" max="13656" width="10.85546875" bestFit="1" customWidth="1"/>
    <col min="13657" max="13658" width="7.5703125" bestFit="1" customWidth="1"/>
    <col min="13659" max="13660" width="10.42578125" bestFit="1" customWidth="1"/>
    <col min="13661" max="13661" width="11.5703125" bestFit="1" customWidth="1"/>
    <col min="13662" max="13662" width="5.28515625" bestFit="1" customWidth="1"/>
    <col min="13663" max="13663" width="10.28515625" bestFit="1" customWidth="1"/>
    <col min="13664" max="13664" width="10.42578125" bestFit="1" customWidth="1"/>
    <col min="13665" max="13665" width="11.5703125" bestFit="1" customWidth="1"/>
    <col min="13666" max="13666" width="5.28515625" bestFit="1" customWidth="1"/>
    <col min="13667" max="13669" width="11.5703125" bestFit="1" customWidth="1"/>
    <col min="13670" max="13670" width="5.28515625" bestFit="1" customWidth="1"/>
    <col min="13671" max="13672" width="10.42578125" bestFit="1" customWidth="1"/>
    <col min="13673" max="13673" width="11.5703125" bestFit="1" customWidth="1"/>
    <col min="13674" max="13674" width="5.28515625" bestFit="1" customWidth="1"/>
    <col min="13675" max="13675" width="14.28515625" bestFit="1" customWidth="1"/>
    <col min="13676" max="13676" width="13" bestFit="1" customWidth="1"/>
    <col min="13677" max="13677" width="11.5703125" bestFit="1" customWidth="1"/>
    <col min="13678" max="13678" width="8.85546875" bestFit="1" customWidth="1"/>
    <col min="13679" max="13679" width="14.42578125" bestFit="1" customWidth="1"/>
    <col min="13680" max="13680" width="10.42578125" bestFit="1" customWidth="1"/>
    <col min="13681" max="13681" width="12.28515625" bestFit="1" customWidth="1"/>
    <col min="13682" max="13682" width="13.85546875" bestFit="1" customWidth="1"/>
    <col min="13683" max="13683" width="11.28515625" customWidth="1"/>
    <col min="13684" max="13684" width="11.5703125" customWidth="1"/>
    <col min="13685" max="13685" width="13.42578125" bestFit="1" customWidth="1"/>
    <col min="13686" max="13686" width="10.42578125" customWidth="1"/>
    <col min="13687" max="13687" width="13.85546875" bestFit="1" customWidth="1"/>
    <col min="13688" max="13688" width="15.42578125" bestFit="1" customWidth="1"/>
    <col min="13689" max="13689" width="12.28515625" bestFit="1" customWidth="1"/>
    <col min="13690" max="13690" width="12.7109375" customWidth="1"/>
    <col min="13691" max="13691" width="10.7109375" bestFit="1" customWidth="1"/>
    <col min="13692" max="13692" width="9.85546875" customWidth="1"/>
    <col min="13693" max="13694" width="10.140625" bestFit="1" customWidth="1"/>
    <col min="13695" max="13695" width="7.5703125" bestFit="1" customWidth="1"/>
    <col min="13696" max="13696" width="9.42578125" bestFit="1" customWidth="1"/>
    <col min="13697" max="13697" width="14.5703125" bestFit="1" customWidth="1"/>
    <col min="13698" max="13698" width="14.85546875" customWidth="1"/>
    <col min="13699" max="13699" width="15.140625" bestFit="1" customWidth="1"/>
    <col min="13700" max="13700" width="12.140625" bestFit="1" customWidth="1"/>
    <col min="13701" max="13701" width="14.85546875" bestFit="1" customWidth="1"/>
    <col min="13702" max="13702" width="12.28515625" bestFit="1" customWidth="1"/>
    <col min="13703" max="13711" width="9.140625" hidden="1" customWidth="1"/>
    <col min="13712" max="13712" width="5.28515625" bestFit="1" customWidth="1"/>
    <col min="13713" max="13718" width="11.5703125" bestFit="1" customWidth="1"/>
    <col min="13719" max="13719" width="11.28515625" bestFit="1" customWidth="1"/>
    <col min="13720" max="13720" width="10.140625" bestFit="1" customWidth="1"/>
    <col min="13721" max="13721" width="11.5703125" bestFit="1" customWidth="1"/>
    <col min="13722" max="13722" width="16.140625" customWidth="1"/>
    <col min="13723" max="13723" width="13.42578125" customWidth="1"/>
    <col min="13724" max="13724" width="10.140625" bestFit="1" customWidth="1"/>
    <col min="13725" max="13725" width="12.85546875" bestFit="1" customWidth="1"/>
    <col min="13726" max="13726" width="12.28515625" bestFit="1" customWidth="1"/>
    <col min="13727" max="13727" width="11.28515625" bestFit="1" customWidth="1"/>
    <col min="13728" max="13728" width="11.5703125" bestFit="1" customWidth="1"/>
    <col min="13729" max="13729" width="10.85546875" bestFit="1" customWidth="1"/>
    <col min="13730" max="13730" width="11.28515625" bestFit="1" customWidth="1"/>
    <col min="13731" max="13731" width="10.140625" bestFit="1" customWidth="1"/>
    <col min="13732" max="13732" width="13.28515625" bestFit="1" customWidth="1"/>
    <col min="13733" max="13734" width="12.7109375" bestFit="1" customWidth="1"/>
    <col min="13735" max="13735" width="11" bestFit="1" customWidth="1"/>
    <col min="13736" max="13736" width="11.28515625" bestFit="1" customWidth="1"/>
    <col min="13737" max="13737" width="11.5703125" bestFit="1" customWidth="1"/>
    <col min="13738" max="13738" width="12.28515625" bestFit="1" customWidth="1"/>
    <col min="13739" max="13739" width="15.140625" bestFit="1" customWidth="1"/>
    <col min="13740" max="13740" width="14.42578125" bestFit="1" customWidth="1"/>
    <col min="13741" max="13741" width="12.28515625" bestFit="1" customWidth="1"/>
    <col min="13742" max="13742" width="15.140625" bestFit="1" customWidth="1"/>
    <col min="13743" max="13743" width="14.42578125" bestFit="1" customWidth="1"/>
    <col min="13744" max="13744" width="12.28515625" bestFit="1" customWidth="1"/>
    <col min="13745" max="13745" width="14.42578125" bestFit="1" customWidth="1"/>
    <col min="13746" max="13746" width="11.28515625" bestFit="1" customWidth="1"/>
    <col min="13747" max="13747" width="12.28515625" bestFit="1" customWidth="1"/>
    <col min="13748" max="13748" width="13" bestFit="1" customWidth="1"/>
    <col min="13749" max="13749" width="15.140625" bestFit="1" customWidth="1"/>
    <col min="13750" max="13750" width="12.28515625" bestFit="1" customWidth="1"/>
    <col min="13751" max="13751" width="13.85546875" bestFit="1" customWidth="1"/>
    <col min="13752" max="13752" width="11.28515625" bestFit="1" customWidth="1"/>
    <col min="13753" max="13753" width="12.28515625" bestFit="1" customWidth="1"/>
    <col min="13754" max="13754" width="13.85546875" bestFit="1" customWidth="1"/>
    <col min="13755" max="13756" width="15.140625" bestFit="1" customWidth="1"/>
    <col min="13757" max="13757" width="12.28515625" bestFit="1" customWidth="1"/>
    <col min="13758" max="13758" width="5.7109375" bestFit="1" customWidth="1"/>
    <col min="13759" max="13759" width="8.5703125" bestFit="1" customWidth="1"/>
    <col min="13760" max="13760" width="5.5703125" bestFit="1" customWidth="1"/>
    <col min="13761" max="13761" width="14.42578125" bestFit="1" customWidth="1"/>
    <col min="13762" max="13762" width="11.28515625" bestFit="1" customWidth="1"/>
    <col min="13763" max="13764" width="12.28515625" bestFit="1" customWidth="1"/>
    <col min="13765" max="13765" width="11.28515625" bestFit="1" customWidth="1"/>
    <col min="13766" max="13766" width="13.85546875" bestFit="1" customWidth="1"/>
    <col min="13767" max="13767" width="12" bestFit="1" customWidth="1"/>
    <col min="13768" max="13768" width="13.85546875" bestFit="1" customWidth="1"/>
    <col min="13769" max="13770" width="14.42578125" customWidth="1"/>
    <col min="13771" max="13771" width="10.140625" bestFit="1" customWidth="1"/>
    <col min="13772" max="13772" width="12.28515625" bestFit="1" customWidth="1"/>
    <col min="13773" max="13773" width="7.42578125" bestFit="1" customWidth="1"/>
    <col min="13774" max="13774" width="8.5703125" bestFit="1" customWidth="1"/>
    <col min="13775" max="13775" width="11.5703125" bestFit="1" customWidth="1"/>
    <col min="13776" max="13776" width="13.28515625" bestFit="1" customWidth="1"/>
    <col min="13777" max="13777" width="13.28515625" customWidth="1"/>
    <col min="13778" max="13778" width="13.140625" customWidth="1"/>
    <col min="13779" max="13779" width="12.7109375" bestFit="1" customWidth="1"/>
    <col min="13780" max="13780" width="13.28515625" bestFit="1" customWidth="1"/>
    <col min="13781" max="13783" width="13.28515625" customWidth="1"/>
    <col min="13784" max="13784" width="12.140625" bestFit="1" customWidth="1"/>
    <col min="13785" max="13785" width="12.7109375" bestFit="1" customWidth="1"/>
    <col min="13786" max="13786" width="11" customWidth="1"/>
    <col min="13787" max="13787" width="16.7109375" customWidth="1"/>
    <col min="13788" max="13788" width="17" customWidth="1"/>
    <col min="13789" max="13789" width="10.42578125" bestFit="1" customWidth="1"/>
    <col min="13833" max="13833" width="3.85546875" customWidth="1"/>
    <col min="13834" max="13834" width="15.28515625" bestFit="1" customWidth="1"/>
    <col min="13835" max="13835" width="12.28515625" customWidth="1"/>
    <col min="13836" max="13836" width="16.28515625" bestFit="1" customWidth="1"/>
    <col min="13837" max="13837" width="6.42578125" bestFit="1" customWidth="1"/>
    <col min="13838" max="13838" width="9.28515625" bestFit="1" customWidth="1"/>
    <col min="13839" max="13839" width="7.5703125" bestFit="1" customWidth="1"/>
    <col min="13840" max="13840" width="13.28515625" bestFit="1" customWidth="1"/>
    <col min="13841" max="13841" width="9.28515625" bestFit="1" customWidth="1"/>
    <col min="13842" max="13842" width="11.5703125" bestFit="1" customWidth="1"/>
    <col min="13843" max="13843" width="13.28515625" bestFit="1" customWidth="1"/>
    <col min="13844" max="13844" width="7.140625" bestFit="1" customWidth="1"/>
    <col min="13845" max="13845" width="12" bestFit="1" customWidth="1"/>
    <col min="13846" max="13846" width="13.28515625" bestFit="1" customWidth="1"/>
    <col min="13847" max="13847" width="7" bestFit="1" customWidth="1"/>
    <col min="13848" max="13848" width="12.7109375" bestFit="1" customWidth="1"/>
    <col min="13849" max="13849" width="11.5703125" bestFit="1" customWidth="1"/>
    <col min="13850" max="13850" width="10.5703125" bestFit="1" customWidth="1"/>
    <col min="13851" max="13852" width="15.7109375" bestFit="1" customWidth="1"/>
    <col min="13853" max="13853" width="11.5703125" bestFit="1" customWidth="1"/>
    <col min="13854" max="13854" width="7.7109375" bestFit="1" customWidth="1"/>
    <col min="13855" max="13855" width="15.140625" bestFit="1" customWidth="1"/>
    <col min="13856" max="13856" width="11.5703125" bestFit="1" customWidth="1"/>
    <col min="13857" max="13857" width="13.28515625" bestFit="1" customWidth="1"/>
    <col min="13858" max="13858" width="10.42578125" bestFit="1" customWidth="1"/>
    <col min="13859" max="13859" width="13.28515625" bestFit="1" customWidth="1"/>
    <col min="13860" max="13860" width="12.140625" bestFit="1" customWidth="1"/>
    <col min="13861" max="13861" width="14.42578125" bestFit="1" customWidth="1"/>
    <col min="13862" max="13862" width="13.28515625" bestFit="1" customWidth="1"/>
    <col min="13863" max="13863" width="11.5703125" bestFit="1" customWidth="1"/>
    <col min="13864" max="13864" width="7.7109375" bestFit="1" customWidth="1"/>
    <col min="13865" max="13866" width="14.42578125" bestFit="1" customWidth="1"/>
    <col min="13867" max="13867" width="11.5703125" bestFit="1" customWidth="1"/>
    <col min="13868" max="13868" width="7.7109375" bestFit="1" customWidth="1"/>
    <col min="13869" max="13869" width="13.5703125" customWidth="1"/>
    <col min="13870" max="13870" width="15.28515625" customWidth="1"/>
    <col min="13871" max="13871" width="14.5703125" customWidth="1"/>
    <col min="13872" max="13872" width="13.28515625" bestFit="1" customWidth="1"/>
    <col min="13873" max="13873" width="7.7109375" bestFit="1" customWidth="1"/>
    <col min="13874" max="13874" width="12.7109375" bestFit="1" customWidth="1"/>
    <col min="13875" max="13875" width="11.7109375" bestFit="1" customWidth="1"/>
    <col min="13876" max="13876" width="11.5703125" bestFit="1" customWidth="1"/>
    <col min="13877" max="13877" width="5.28515625" bestFit="1" customWidth="1"/>
    <col min="13878" max="13878" width="13.28515625" bestFit="1" customWidth="1"/>
    <col min="13879" max="13879" width="13.5703125" bestFit="1" customWidth="1"/>
    <col min="13880" max="13880" width="10.5703125" bestFit="1" customWidth="1"/>
    <col min="13881" max="13881" width="13.28515625" bestFit="1" customWidth="1"/>
    <col min="13882" max="13882" width="11.5703125" bestFit="1" customWidth="1"/>
    <col min="13883" max="13883" width="10.5703125" bestFit="1" customWidth="1"/>
    <col min="13884" max="13884" width="16.140625" bestFit="1" customWidth="1"/>
    <col min="13885" max="13886" width="11.28515625" bestFit="1" customWidth="1"/>
    <col min="13887" max="13887" width="13.28515625" bestFit="1" customWidth="1"/>
    <col min="13888" max="13888" width="7.7109375" bestFit="1" customWidth="1"/>
    <col min="13889" max="13892" width="9.140625" hidden="1" customWidth="1"/>
    <col min="13893" max="13893" width="10.42578125" bestFit="1" customWidth="1"/>
    <col min="13894" max="13894" width="10.5703125" bestFit="1" customWidth="1"/>
    <col min="13895" max="13895" width="10.42578125" bestFit="1" customWidth="1"/>
    <col min="13896" max="13896" width="10.5703125" bestFit="1" customWidth="1"/>
    <col min="13897" max="13897" width="9.5703125" bestFit="1" customWidth="1"/>
    <col min="13898" max="13898" width="11.5703125" bestFit="1" customWidth="1"/>
    <col min="13899" max="13899" width="10.42578125" bestFit="1" customWidth="1"/>
    <col min="13900" max="13900" width="10.85546875" customWidth="1"/>
    <col min="13901" max="13902" width="9.85546875" bestFit="1" customWidth="1"/>
    <col min="13903" max="13903" width="13.5703125" bestFit="1" customWidth="1"/>
    <col min="13904" max="13904" width="7.7109375" bestFit="1" customWidth="1"/>
    <col min="13905" max="13905" width="13.28515625" bestFit="1" customWidth="1"/>
    <col min="13906" max="13906" width="11.5703125" bestFit="1" customWidth="1"/>
    <col min="13907" max="13907" width="10.42578125" bestFit="1" customWidth="1"/>
    <col min="13908" max="13908" width="7.7109375" bestFit="1" customWidth="1"/>
    <col min="13909" max="13909" width="11.5703125" bestFit="1" customWidth="1"/>
    <col min="13910" max="13910" width="10.85546875" bestFit="1" customWidth="1"/>
    <col min="13911" max="13911" width="13.28515625" bestFit="1" customWidth="1"/>
    <col min="13912" max="13912" width="10.85546875" bestFit="1" customWidth="1"/>
    <col min="13913" max="13914" width="7.5703125" bestFit="1" customWidth="1"/>
    <col min="13915" max="13916" width="10.42578125" bestFit="1" customWidth="1"/>
    <col min="13917" max="13917" width="11.5703125" bestFit="1" customWidth="1"/>
    <col min="13918" max="13918" width="5.28515625" bestFit="1" customWidth="1"/>
    <col min="13919" max="13919" width="10.28515625" bestFit="1" customWidth="1"/>
    <col min="13920" max="13920" width="10.42578125" bestFit="1" customWidth="1"/>
    <col min="13921" max="13921" width="11.5703125" bestFit="1" customWidth="1"/>
    <col min="13922" max="13922" width="5.28515625" bestFit="1" customWidth="1"/>
    <col min="13923" max="13925" width="11.5703125" bestFit="1" customWidth="1"/>
    <col min="13926" max="13926" width="5.28515625" bestFit="1" customWidth="1"/>
    <col min="13927" max="13928" width="10.42578125" bestFit="1" customWidth="1"/>
    <col min="13929" max="13929" width="11.5703125" bestFit="1" customWidth="1"/>
    <col min="13930" max="13930" width="5.28515625" bestFit="1" customWidth="1"/>
    <col min="13931" max="13931" width="14.28515625" bestFit="1" customWidth="1"/>
    <col min="13932" max="13932" width="13" bestFit="1" customWidth="1"/>
    <col min="13933" max="13933" width="11.5703125" bestFit="1" customWidth="1"/>
    <col min="13934" max="13934" width="8.85546875" bestFit="1" customWidth="1"/>
    <col min="13935" max="13935" width="14.42578125" bestFit="1" customWidth="1"/>
    <col min="13936" max="13936" width="10.42578125" bestFit="1" customWidth="1"/>
    <col min="13937" max="13937" width="12.28515625" bestFit="1" customWidth="1"/>
    <col min="13938" max="13938" width="13.85546875" bestFit="1" customWidth="1"/>
    <col min="13939" max="13939" width="11.28515625" customWidth="1"/>
    <col min="13940" max="13940" width="11.5703125" customWidth="1"/>
    <col min="13941" max="13941" width="13.42578125" bestFit="1" customWidth="1"/>
    <col min="13942" max="13942" width="10.42578125" customWidth="1"/>
    <col min="13943" max="13943" width="13.85546875" bestFit="1" customWidth="1"/>
    <col min="13944" max="13944" width="15.42578125" bestFit="1" customWidth="1"/>
    <col min="13945" max="13945" width="12.28515625" bestFit="1" customWidth="1"/>
    <col min="13946" max="13946" width="12.7109375" customWidth="1"/>
    <col min="13947" max="13947" width="10.7109375" bestFit="1" customWidth="1"/>
    <col min="13948" max="13948" width="9.85546875" customWidth="1"/>
    <col min="13949" max="13950" width="10.140625" bestFit="1" customWidth="1"/>
    <col min="13951" max="13951" width="7.5703125" bestFit="1" customWidth="1"/>
    <col min="13952" max="13952" width="9.42578125" bestFit="1" customWidth="1"/>
    <col min="13953" max="13953" width="14.5703125" bestFit="1" customWidth="1"/>
    <col min="13954" max="13954" width="14.85546875" customWidth="1"/>
    <col min="13955" max="13955" width="15.140625" bestFit="1" customWidth="1"/>
    <col min="13956" max="13956" width="12.140625" bestFit="1" customWidth="1"/>
    <col min="13957" max="13957" width="14.85546875" bestFit="1" customWidth="1"/>
    <col min="13958" max="13958" width="12.28515625" bestFit="1" customWidth="1"/>
    <col min="13959" max="13967" width="9.140625" hidden="1" customWidth="1"/>
    <col min="13968" max="13968" width="5.28515625" bestFit="1" customWidth="1"/>
    <col min="13969" max="13974" width="11.5703125" bestFit="1" customWidth="1"/>
    <col min="13975" max="13975" width="11.28515625" bestFit="1" customWidth="1"/>
    <col min="13976" max="13976" width="10.140625" bestFit="1" customWidth="1"/>
    <col min="13977" max="13977" width="11.5703125" bestFit="1" customWidth="1"/>
    <col min="13978" max="13978" width="16.140625" customWidth="1"/>
    <col min="13979" max="13979" width="13.42578125" customWidth="1"/>
    <col min="13980" max="13980" width="10.140625" bestFit="1" customWidth="1"/>
    <col min="13981" max="13981" width="12.85546875" bestFit="1" customWidth="1"/>
    <col min="13982" max="13982" width="12.28515625" bestFit="1" customWidth="1"/>
    <col min="13983" max="13983" width="11.28515625" bestFit="1" customWidth="1"/>
    <col min="13984" max="13984" width="11.5703125" bestFit="1" customWidth="1"/>
    <col min="13985" max="13985" width="10.85546875" bestFit="1" customWidth="1"/>
    <col min="13986" max="13986" width="11.28515625" bestFit="1" customWidth="1"/>
    <col min="13987" max="13987" width="10.140625" bestFit="1" customWidth="1"/>
    <col min="13988" max="13988" width="13.28515625" bestFit="1" customWidth="1"/>
    <col min="13989" max="13990" width="12.7109375" bestFit="1" customWidth="1"/>
    <col min="13991" max="13991" width="11" bestFit="1" customWidth="1"/>
    <col min="13992" max="13992" width="11.28515625" bestFit="1" customWidth="1"/>
    <col min="13993" max="13993" width="11.5703125" bestFit="1" customWidth="1"/>
    <col min="13994" max="13994" width="12.28515625" bestFit="1" customWidth="1"/>
    <col min="13995" max="13995" width="15.140625" bestFit="1" customWidth="1"/>
    <col min="13996" max="13996" width="14.42578125" bestFit="1" customWidth="1"/>
    <col min="13997" max="13997" width="12.28515625" bestFit="1" customWidth="1"/>
    <col min="13998" max="13998" width="15.140625" bestFit="1" customWidth="1"/>
    <col min="13999" max="13999" width="14.42578125" bestFit="1" customWidth="1"/>
    <col min="14000" max="14000" width="12.28515625" bestFit="1" customWidth="1"/>
    <col min="14001" max="14001" width="14.42578125" bestFit="1" customWidth="1"/>
    <col min="14002" max="14002" width="11.28515625" bestFit="1" customWidth="1"/>
    <col min="14003" max="14003" width="12.28515625" bestFit="1" customWidth="1"/>
    <col min="14004" max="14004" width="13" bestFit="1" customWidth="1"/>
    <col min="14005" max="14005" width="15.140625" bestFit="1" customWidth="1"/>
    <col min="14006" max="14006" width="12.28515625" bestFit="1" customWidth="1"/>
    <col min="14007" max="14007" width="13.85546875" bestFit="1" customWidth="1"/>
    <col min="14008" max="14008" width="11.28515625" bestFit="1" customWidth="1"/>
    <col min="14009" max="14009" width="12.28515625" bestFit="1" customWidth="1"/>
    <col min="14010" max="14010" width="13.85546875" bestFit="1" customWidth="1"/>
    <col min="14011" max="14012" width="15.140625" bestFit="1" customWidth="1"/>
    <col min="14013" max="14013" width="12.28515625" bestFit="1" customWidth="1"/>
    <col min="14014" max="14014" width="5.7109375" bestFit="1" customWidth="1"/>
    <col min="14015" max="14015" width="8.5703125" bestFit="1" customWidth="1"/>
    <col min="14016" max="14016" width="5.5703125" bestFit="1" customWidth="1"/>
    <col min="14017" max="14017" width="14.42578125" bestFit="1" customWidth="1"/>
    <col min="14018" max="14018" width="11.28515625" bestFit="1" customWidth="1"/>
    <col min="14019" max="14020" width="12.28515625" bestFit="1" customWidth="1"/>
    <col min="14021" max="14021" width="11.28515625" bestFit="1" customWidth="1"/>
    <col min="14022" max="14022" width="13.85546875" bestFit="1" customWidth="1"/>
    <col min="14023" max="14023" width="12" bestFit="1" customWidth="1"/>
    <col min="14024" max="14024" width="13.85546875" bestFit="1" customWidth="1"/>
    <col min="14025" max="14026" width="14.42578125" customWidth="1"/>
    <col min="14027" max="14027" width="10.140625" bestFit="1" customWidth="1"/>
    <col min="14028" max="14028" width="12.28515625" bestFit="1" customWidth="1"/>
    <col min="14029" max="14029" width="7.42578125" bestFit="1" customWidth="1"/>
    <col min="14030" max="14030" width="8.5703125" bestFit="1" customWidth="1"/>
    <col min="14031" max="14031" width="11.5703125" bestFit="1" customWidth="1"/>
    <col min="14032" max="14032" width="13.28515625" bestFit="1" customWidth="1"/>
    <col min="14033" max="14033" width="13.28515625" customWidth="1"/>
    <col min="14034" max="14034" width="13.140625" customWidth="1"/>
    <col min="14035" max="14035" width="12.7109375" bestFit="1" customWidth="1"/>
    <col min="14036" max="14036" width="13.28515625" bestFit="1" customWidth="1"/>
    <col min="14037" max="14039" width="13.28515625" customWidth="1"/>
    <col min="14040" max="14040" width="12.140625" bestFit="1" customWidth="1"/>
    <col min="14041" max="14041" width="12.7109375" bestFit="1" customWidth="1"/>
    <col min="14042" max="14042" width="11" customWidth="1"/>
    <col min="14043" max="14043" width="16.7109375" customWidth="1"/>
    <col min="14044" max="14044" width="17" customWidth="1"/>
    <col min="14045" max="14045" width="10.42578125" bestFit="1" customWidth="1"/>
    <col min="14089" max="14089" width="3.85546875" customWidth="1"/>
    <col min="14090" max="14090" width="15.28515625" bestFit="1" customWidth="1"/>
    <col min="14091" max="14091" width="12.28515625" customWidth="1"/>
    <col min="14092" max="14092" width="16.28515625" bestFit="1" customWidth="1"/>
    <col min="14093" max="14093" width="6.42578125" bestFit="1" customWidth="1"/>
    <col min="14094" max="14094" width="9.28515625" bestFit="1" customWidth="1"/>
    <col min="14095" max="14095" width="7.5703125" bestFit="1" customWidth="1"/>
    <col min="14096" max="14096" width="13.28515625" bestFit="1" customWidth="1"/>
    <col min="14097" max="14097" width="9.28515625" bestFit="1" customWidth="1"/>
    <col min="14098" max="14098" width="11.5703125" bestFit="1" customWidth="1"/>
    <col min="14099" max="14099" width="13.28515625" bestFit="1" customWidth="1"/>
    <col min="14100" max="14100" width="7.140625" bestFit="1" customWidth="1"/>
    <col min="14101" max="14101" width="12" bestFit="1" customWidth="1"/>
    <col min="14102" max="14102" width="13.28515625" bestFit="1" customWidth="1"/>
    <col min="14103" max="14103" width="7" bestFit="1" customWidth="1"/>
    <col min="14104" max="14104" width="12.7109375" bestFit="1" customWidth="1"/>
    <col min="14105" max="14105" width="11.5703125" bestFit="1" customWidth="1"/>
    <col min="14106" max="14106" width="10.5703125" bestFit="1" customWidth="1"/>
    <col min="14107" max="14108" width="15.7109375" bestFit="1" customWidth="1"/>
    <col min="14109" max="14109" width="11.5703125" bestFit="1" customWidth="1"/>
    <col min="14110" max="14110" width="7.7109375" bestFit="1" customWidth="1"/>
    <col min="14111" max="14111" width="15.140625" bestFit="1" customWidth="1"/>
    <col min="14112" max="14112" width="11.5703125" bestFit="1" customWidth="1"/>
    <col min="14113" max="14113" width="13.28515625" bestFit="1" customWidth="1"/>
    <col min="14114" max="14114" width="10.42578125" bestFit="1" customWidth="1"/>
    <col min="14115" max="14115" width="13.28515625" bestFit="1" customWidth="1"/>
    <col min="14116" max="14116" width="12.140625" bestFit="1" customWidth="1"/>
    <col min="14117" max="14117" width="14.42578125" bestFit="1" customWidth="1"/>
    <col min="14118" max="14118" width="13.28515625" bestFit="1" customWidth="1"/>
    <col min="14119" max="14119" width="11.5703125" bestFit="1" customWidth="1"/>
    <col min="14120" max="14120" width="7.7109375" bestFit="1" customWidth="1"/>
    <col min="14121" max="14122" width="14.42578125" bestFit="1" customWidth="1"/>
    <col min="14123" max="14123" width="11.5703125" bestFit="1" customWidth="1"/>
    <col min="14124" max="14124" width="7.7109375" bestFit="1" customWidth="1"/>
    <col min="14125" max="14125" width="13.5703125" customWidth="1"/>
    <col min="14126" max="14126" width="15.28515625" customWidth="1"/>
    <col min="14127" max="14127" width="14.5703125" customWidth="1"/>
    <col min="14128" max="14128" width="13.28515625" bestFit="1" customWidth="1"/>
    <col min="14129" max="14129" width="7.7109375" bestFit="1" customWidth="1"/>
    <col min="14130" max="14130" width="12.7109375" bestFit="1" customWidth="1"/>
    <col min="14131" max="14131" width="11.7109375" bestFit="1" customWidth="1"/>
    <col min="14132" max="14132" width="11.5703125" bestFit="1" customWidth="1"/>
    <col min="14133" max="14133" width="5.28515625" bestFit="1" customWidth="1"/>
    <col min="14134" max="14134" width="13.28515625" bestFit="1" customWidth="1"/>
    <col min="14135" max="14135" width="13.5703125" bestFit="1" customWidth="1"/>
    <col min="14136" max="14136" width="10.5703125" bestFit="1" customWidth="1"/>
    <col min="14137" max="14137" width="13.28515625" bestFit="1" customWidth="1"/>
    <col min="14138" max="14138" width="11.5703125" bestFit="1" customWidth="1"/>
    <col min="14139" max="14139" width="10.5703125" bestFit="1" customWidth="1"/>
    <col min="14140" max="14140" width="16.140625" bestFit="1" customWidth="1"/>
    <col min="14141" max="14142" width="11.28515625" bestFit="1" customWidth="1"/>
    <col min="14143" max="14143" width="13.28515625" bestFit="1" customWidth="1"/>
    <col min="14144" max="14144" width="7.7109375" bestFit="1" customWidth="1"/>
    <col min="14145" max="14148" width="9.140625" hidden="1" customWidth="1"/>
    <col min="14149" max="14149" width="10.42578125" bestFit="1" customWidth="1"/>
    <col min="14150" max="14150" width="10.5703125" bestFit="1" customWidth="1"/>
    <col min="14151" max="14151" width="10.42578125" bestFit="1" customWidth="1"/>
    <col min="14152" max="14152" width="10.5703125" bestFit="1" customWidth="1"/>
    <col min="14153" max="14153" width="9.5703125" bestFit="1" customWidth="1"/>
    <col min="14154" max="14154" width="11.5703125" bestFit="1" customWidth="1"/>
    <col min="14155" max="14155" width="10.42578125" bestFit="1" customWidth="1"/>
    <col min="14156" max="14156" width="10.85546875" customWidth="1"/>
    <col min="14157" max="14158" width="9.85546875" bestFit="1" customWidth="1"/>
    <col min="14159" max="14159" width="13.5703125" bestFit="1" customWidth="1"/>
    <col min="14160" max="14160" width="7.7109375" bestFit="1" customWidth="1"/>
    <col min="14161" max="14161" width="13.28515625" bestFit="1" customWidth="1"/>
    <col min="14162" max="14162" width="11.5703125" bestFit="1" customWidth="1"/>
    <col min="14163" max="14163" width="10.42578125" bestFit="1" customWidth="1"/>
    <col min="14164" max="14164" width="7.7109375" bestFit="1" customWidth="1"/>
    <col min="14165" max="14165" width="11.5703125" bestFit="1" customWidth="1"/>
    <col min="14166" max="14166" width="10.85546875" bestFit="1" customWidth="1"/>
    <col min="14167" max="14167" width="13.28515625" bestFit="1" customWidth="1"/>
    <col min="14168" max="14168" width="10.85546875" bestFit="1" customWidth="1"/>
    <col min="14169" max="14170" width="7.5703125" bestFit="1" customWidth="1"/>
    <col min="14171" max="14172" width="10.42578125" bestFit="1" customWidth="1"/>
    <col min="14173" max="14173" width="11.5703125" bestFit="1" customWidth="1"/>
    <col min="14174" max="14174" width="5.28515625" bestFit="1" customWidth="1"/>
    <col min="14175" max="14175" width="10.28515625" bestFit="1" customWidth="1"/>
    <col min="14176" max="14176" width="10.42578125" bestFit="1" customWidth="1"/>
    <col min="14177" max="14177" width="11.5703125" bestFit="1" customWidth="1"/>
    <col min="14178" max="14178" width="5.28515625" bestFit="1" customWidth="1"/>
    <col min="14179" max="14181" width="11.5703125" bestFit="1" customWidth="1"/>
    <col min="14182" max="14182" width="5.28515625" bestFit="1" customWidth="1"/>
    <col min="14183" max="14184" width="10.42578125" bestFit="1" customWidth="1"/>
    <col min="14185" max="14185" width="11.5703125" bestFit="1" customWidth="1"/>
    <col min="14186" max="14186" width="5.28515625" bestFit="1" customWidth="1"/>
    <col min="14187" max="14187" width="14.28515625" bestFit="1" customWidth="1"/>
    <col min="14188" max="14188" width="13" bestFit="1" customWidth="1"/>
    <col min="14189" max="14189" width="11.5703125" bestFit="1" customWidth="1"/>
    <col min="14190" max="14190" width="8.85546875" bestFit="1" customWidth="1"/>
    <col min="14191" max="14191" width="14.42578125" bestFit="1" customWidth="1"/>
    <col min="14192" max="14192" width="10.42578125" bestFit="1" customWidth="1"/>
    <col min="14193" max="14193" width="12.28515625" bestFit="1" customWidth="1"/>
    <col min="14194" max="14194" width="13.85546875" bestFit="1" customWidth="1"/>
    <col min="14195" max="14195" width="11.28515625" customWidth="1"/>
    <col min="14196" max="14196" width="11.5703125" customWidth="1"/>
    <col min="14197" max="14197" width="13.42578125" bestFit="1" customWidth="1"/>
    <col min="14198" max="14198" width="10.42578125" customWidth="1"/>
    <col min="14199" max="14199" width="13.85546875" bestFit="1" customWidth="1"/>
    <col min="14200" max="14200" width="15.42578125" bestFit="1" customWidth="1"/>
    <col min="14201" max="14201" width="12.28515625" bestFit="1" customWidth="1"/>
    <col min="14202" max="14202" width="12.7109375" customWidth="1"/>
    <col min="14203" max="14203" width="10.7109375" bestFit="1" customWidth="1"/>
    <col min="14204" max="14204" width="9.85546875" customWidth="1"/>
    <col min="14205" max="14206" width="10.140625" bestFit="1" customWidth="1"/>
    <col min="14207" max="14207" width="7.5703125" bestFit="1" customWidth="1"/>
    <col min="14208" max="14208" width="9.42578125" bestFit="1" customWidth="1"/>
    <col min="14209" max="14209" width="14.5703125" bestFit="1" customWidth="1"/>
    <col min="14210" max="14210" width="14.85546875" customWidth="1"/>
    <col min="14211" max="14211" width="15.140625" bestFit="1" customWidth="1"/>
    <col min="14212" max="14212" width="12.140625" bestFit="1" customWidth="1"/>
    <col min="14213" max="14213" width="14.85546875" bestFit="1" customWidth="1"/>
    <col min="14214" max="14214" width="12.28515625" bestFit="1" customWidth="1"/>
    <col min="14215" max="14223" width="9.140625" hidden="1" customWidth="1"/>
    <col min="14224" max="14224" width="5.28515625" bestFit="1" customWidth="1"/>
    <col min="14225" max="14230" width="11.5703125" bestFit="1" customWidth="1"/>
    <col min="14231" max="14231" width="11.28515625" bestFit="1" customWidth="1"/>
    <col min="14232" max="14232" width="10.140625" bestFit="1" customWidth="1"/>
    <col min="14233" max="14233" width="11.5703125" bestFit="1" customWidth="1"/>
    <col min="14234" max="14234" width="16.140625" customWidth="1"/>
    <col min="14235" max="14235" width="13.42578125" customWidth="1"/>
    <col min="14236" max="14236" width="10.140625" bestFit="1" customWidth="1"/>
    <col min="14237" max="14237" width="12.85546875" bestFit="1" customWidth="1"/>
    <col min="14238" max="14238" width="12.28515625" bestFit="1" customWidth="1"/>
    <col min="14239" max="14239" width="11.28515625" bestFit="1" customWidth="1"/>
    <col min="14240" max="14240" width="11.5703125" bestFit="1" customWidth="1"/>
    <col min="14241" max="14241" width="10.85546875" bestFit="1" customWidth="1"/>
    <col min="14242" max="14242" width="11.28515625" bestFit="1" customWidth="1"/>
    <col min="14243" max="14243" width="10.140625" bestFit="1" customWidth="1"/>
    <col min="14244" max="14244" width="13.28515625" bestFit="1" customWidth="1"/>
    <col min="14245" max="14246" width="12.7109375" bestFit="1" customWidth="1"/>
    <col min="14247" max="14247" width="11" bestFit="1" customWidth="1"/>
    <col min="14248" max="14248" width="11.28515625" bestFit="1" customWidth="1"/>
    <col min="14249" max="14249" width="11.5703125" bestFit="1" customWidth="1"/>
    <col min="14250" max="14250" width="12.28515625" bestFit="1" customWidth="1"/>
    <col min="14251" max="14251" width="15.140625" bestFit="1" customWidth="1"/>
    <col min="14252" max="14252" width="14.42578125" bestFit="1" customWidth="1"/>
    <col min="14253" max="14253" width="12.28515625" bestFit="1" customWidth="1"/>
    <col min="14254" max="14254" width="15.140625" bestFit="1" customWidth="1"/>
    <col min="14255" max="14255" width="14.42578125" bestFit="1" customWidth="1"/>
    <col min="14256" max="14256" width="12.28515625" bestFit="1" customWidth="1"/>
    <col min="14257" max="14257" width="14.42578125" bestFit="1" customWidth="1"/>
    <col min="14258" max="14258" width="11.28515625" bestFit="1" customWidth="1"/>
    <col min="14259" max="14259" width="12.28515625" bestFit="1" customWidth="1"/>
    <col min="14260" max="14260" width="13" bestFit="1" customWidth="1"/>
    <col min="14261" max="14261" width="15.140625" bestFit="1" customWidth="1"/>
    <col min="14262" max="14262" width="12.28515625" bestFit="1" customWidth="1"/>
    <col min="14263" max="14263" width="13.85546875" bestFit="1" customWidth="1"/>
    <col min="14264" max="14264" width="11.28515625" bestFit="1" customWidth="1"/>
    <col min="14265" max="14265" width="12.28515625" bestFit="1" customWidth="1"/>
    <col min="14266" max="14266" width="13.85546875" bestFit="1" customWidth="1"/>
    <col min="14267" max="14268" width="15.140625" bestFit="1" customWidth="1"/>
    <col min="14269" max="14269" width="12.28515625" bestFit="1" customWidth="1"/>
    <col min="14270" max="14270" width="5.7109375" bestFit="1" customWidth="1"/>
    <col min="14271" max="14271" width="8.5703125" bestFit="1" customWidth="1"/>
    <col min="14272" max="14272" width="5.5703125" bestFit="1" customWidth="1"/>
    <col min="14273" max="14273" width="14.42578125" bestFit="1" customWidth="1"/>
    <col min="14274" max="14274" width="11.28515625" bestFit="1" customWidth="1"/>
    <col min="14275" max="14276" width="12.28515625" bestFit="1" customWidth="1"/>
    <col min="14277" max="14277" width="11.28515625" bestFit="1" customWidth="1"/>
    <col min="14278" max="14278" width="13.85546875" bestFit="1" customWidth="1"/>
    <col min="14279" max="14279" width="12" bestFit="1" customWidth="1"/>
    <col min="14280" max="14280" width="13.85546875" bestFit="1" customWidth="1"/>
    <col min="14281" max="14282" width="14.42578125" customWidth="1"/>
    <col min="14283" max="14283" width="10.140625" bestFit="1" customWidth="1"/>
    <col min="14284" max="14284" width="12.28515625" bestFit="1" customWidth="1"/>
    <col min="14285" max="14285" width="7.42578125" bestFit="1" customWidth="1"/>
    <col min="14286" max="14286" width="8.5703125" bestFit="1" customWidth="1"/>
    <col min="14287" max="14287" width="11.5703125" bestFit="1" customWidth="1"/>
    <col min="14288" max="14288" width="13.28515625" bestFit="1" customWidth="1"/>
    <col min="14289" max="14289" width="13.28515625" customWidth="1"/>
    <col min="14290" max="14290" width="13.140625" customWidth="1"/>
    <col min="14291" max="14291" width="12.7109375" bestFit="1" customWidth="1"/>
    <col min="14292" max="14292" width="13.28515625" bestFit="1" customWidth="1"/>
    <col min="14293" max="14295" width="13.28515625" customWidth="1"/>
    <col min="14296" max="14296" width="12.140625" bestFit="1" customWidth="1"/>
    <col min="14297" max="14297" width="12.7109375" bestFit="1" customWidth="1"/>
    <col min="14298" max="14298" width="11" customWidth="1"/>
    <col min="14299" max="14299" width="16.7109375" customWidth="1"/>
    <col min="14300" max="14300" width="17" customWidth="1"/>
    <col min="14301" max="14301" width="10.42578125" bestFit="1" customWidth="1"/>
    <col min="14345" max="14345" width="3.85546875" customWidth="1"/>
    <col min="14346" max="14346" width="15.28515625" bestFit="1" customWidth="1"/>
    <col min="14347" max="14347" width="12.28515625" customWidth="1"/>
    <col min="14348" max="14348" width="16.28515625" bestFit="1" customWidth="1"/>
    <col min="14349" max="14349" width="6.42578125" bestFit="1" customWidth="1"/>
    <col min="14350" max="14350" width="9.28515625" bestFit="1" customWidth="1"/>
    <col min="14351" max="14351" width="7.5703125" bestFit="1" customWidth="1"/>
    <col min="14352" max="14352" width="13.28515625" bestFit="1" customWidth="1"/>
    <col min="14353" max="14353" width="9.28515625" bestFit="1" customWidth="1"/>
    <col min="14354" max="14354" width="11.5703125" bestFit="1" customWidth="1"/>
    <col min="14355" max="14355" width="13.28515625" bestFit="1" customWidth="1"/>
    <col min="14356" max="14356" width="7.140625" bestFit="1" customWidth="1"/>
    <col min="14357" max="14357" width="12" bestFit="1" customWidth="1"/>
    <col min="14358" max="14358" width="13.28515625" bestFit="1" customWidth="1"/>
    <col min="14359" max="14359" width="7" bestFit="1" customWidth="1"/>
    <col min="14360" max="14360" width="12.7109375" bestFit="1" customWidth="1"/>
    <col min="14361" max="14361" width="11.5703125" bestFit="1" customWidth="1"/>
    <col min="14362" max="14362" width="10.5703125" bestFit="1" customWidth="1"/>
    <col min="14363" max="14364" width="15.7109375" bestFit="1" customWidth="1"/>
    <col min="14365" max="14365" width="11.5703125" bestFit="1" customWidth="1"/>
    <col min="14366" max="14366" width="7.7109375" bestFit="1" customWidth="1"/>
    <col min="14367" max="14367" width="15.140625" bestFit="1" customWidth="1"/>
    <col min="14368" max="14368" width="11.5703125" bestFit="1" customWidth="1"/>
    <col min="14369" max="14369" width="13.28515625" bestFit="1" customWidth="1"/>
    <col min="14370" max="14370" width="10.42578125" bestFit="1" customWidth="1"/>
    <col min="14371" max="14371" width="13.28515625" bestFit="1" customWidth="1"/>
    <col min="14372" max="14372" width="12.140625" bestFit="1" customWidth="1"/>
    <col min="14373" max="14373" width="14.42578125" bestFit="1" customWidth="1"/>
    <col min="14374" max="14374" width="13.28515625" bestFit="1" customWidth="1"/>
    <col min="14375" max="14375" width="11.5703125" bestFit="1" customWidth="1"/>
    <col min="14376" max="14376" width="7.7109375" bestFit="1" customWidth="1"/>
    <col min="14377" max="14378" width="14.42578125" bestFit="1" customWidth="1"/>
    <col min="14379" max="14379" width="11.5703125" bestFit="1" customWidth="1"/>
    <col min="14380" max="14380" width="7.7109375" bestFit="1" customWidth="1"/>
    <col min="14381" max="14381" width="13.5703125" customWidth="1"/>
    <col min="14382" max="14382" width="15.28515625" customWidth="1"/>
    <col min="14383" max="14383" width="14.5703125" customWidth="1"/>
    <col min="14384" max="14384" width="13.28515625" bestFit="1" customWidth="1"/>
    <col min="14385" max="14385" width="7.7109375" bestFit="1" customWidth="1"/>
    <col min="14386" max="14386" width="12.7109375" bestFit="1" customWidth="1"/>
    <col min="14387" max="14387" width="11.7109375" bestFit="1" customWidth="1"/>
    <col min="14388" max="14388" width="11.5703125" bestFit="1" customWidth="1"/>
    <col min="14389" max="14389" width="5.28515625" bestFit="1" customWidth="1"/>
    <col min="14390" max="14390" width="13.28515625" bestFit="1" customWidth="1"/>
    <col min="14391" max="14391" width="13.5703125" bestFit="1" customWidth="1"/>
    <col min="14392" max="14392" width="10.5703125" bestFit="1" customWidth="1"/>
    <col min="14393" max="14393" width="13.28515625" bestFit="1" customWidth="1"/>
    <col min="14394" max="14394" width="11.5703125" bestFit="1" customWidth="1"/>
    <col min="14395" max="14395" width="10.5703125" bestFit="1" customWidth="1"/>
    <col min="14396" max="14396" width="16.140625" bestFit="1" customWidth="1"/>
    <col min="14397" max="14398" width="11.28515625" bestFit="1" customWidth="1"/>
    <col min="14399" max="14399" width="13.28515625" bestFit="1" customWidth="1"/>
    <col min="14400" max="14400" width="7.7109375" bestFit="1" customWidth="1"/>
    <col min="14401" max="14404" width="9.140625" hidden="1" customWidth="1"/>
    <col min="14405" max="14405" width="10.42578125" bestFit="1" customWidth="1"/>
    <col min="14406" max="14406" width="10.5703125" bestFit="1" customWidth="1"/>
    <col min="14407" max="14407" width="10.42578125" bestFit="1" customWidth="1"/>
    <col min="14408" max="14408" width="10.5703125" bestFit="1" customWidth="1"/>
    <col min="14409" max="14409" width="9.5703125" bestFit="1" customWidth="1"/>
    <col min="14410" max="14410" width="11.5703125" bestFit="1" customWidth="1"/>
    <col min="14411" max="14411" width="10.42578125" bestFit="1" customWidth="1"/>
    <col min="14412" max="14412" width="10.85546875" customWidth="1"/>
    <col min="14413" max="14414" width="9.85546875" bestFit="1" customWidth="1"/>
    <col min="14415" max="14415" width="13.5703125" bestFit="1" customWidth="1"/>
    <col min="14416" max="14416" width="7.7109375" bestFit="1" customWidth="1"/>
    <col min="14417" max="14417" width="13.28515625" bestFit="1" customWidth="1"/>
    <col min="14418" max="14418" width="11.5703125" bestFit="1" customWidth="1"/>
    <col min="14419" max="14419" width="10.42578125" bestFit="1" customWidth="1"/>
    <col min="14420" max="14420" width="7.7109375" bestFit="1" customWidth="1"/>
    <col min="14421" max="14421" width="11.5703125" bestFit="1" customWidth="1"/>
    <col min="14422" max="14422" width="10.85546875" bestFit="1" customWidth="1"/>
    <col min="14423" max="14423" width="13.28515625" bestFit="1" customWidth="1"/>
    <col min="14424" max="14424" width="10.85546875" bestFit="1" customWidth="1"/>
    <col min="14425" max="14426" width="7.5703125" bestFit="1" customWidth="1"/>
    <col min="14427" max="14428" width="10.42578125" bestFit="1" customWidth="1"/>
    <col min="14429" max="14429" width="11.5703125" bestFit="1" customWidth="1"/>
    <col min="14430" max="14430" width="5.28515625" bestFit="1" customWidth="1"/>
    <col min="14431" max="14431" width="10.28515625" bestFit="1" customWidth="1"/>
    <col min="14432" max="14432" width="10.42578125" bestFit="1" customWidth="1"/>
    <col min="14433" max="14433" width="11.5703125" bestFit="1" customWidth="1"/>
    <col min="14434" max="14434" width="5.28515625" bestFit="1" customWidth="1"/>
    <col min="14435" max="14437" width="11.5703125" bestFit="1" customWidth="1"/>
    <col min="14438" max="14438" width="5.28515625" bestFit="1" customWidth="1"/>
    <col min="14439" max="14440" width="10.42578125" bestFit="1" customWidth="1"/>
    <col min="14441" max="14441" width="11.5703125" bestFit="1" customWidth="1"/>
    <col min="14442" max="14442" width="5.28515625" bestFit="1" customWidth="1"/>
    <col min="14443" max="14443" width="14.28515625" bestFit="1" customWidth="1"/>
    <col min="14444" max="14444" width="13" bestFit="1" customWidth="1"/>
    <col min="14445" max="14445" width="11.5703125" bestFit="1" customWidth="1"/>
    <col min="14446" max="14446" width="8.85546875" bestFit="1" customWidth="1"/>
    <col min="14447" max="14447" width="14.42578125" bestFit="1" customWidth="1"/>
    <col min="14448" max="14448" width="10.42578125" bestFit="1" customWidth="1"/>
    <col min="14449" max="14449" width="12.28515625" bestFit="1" customWidth="1"/>
    <col min="14450" max="14450" width="13.85546875" bestFit="1" customWidth="1"/>
    <col min="14451" max="14451" width="11.28515625" customWidth="1"/>
    <col min="14452" max="14452" width="11.5703125" customWidth="1"/>
    <col min="14453" max="14453" width="13.42578125" bestFit="1" customWidth="1"/>
    <col min="14454" max="14454" width="10.42578125" customWidth="1"/>
    <col min="14455" max="14455" width="13.85546875" bestFit="1" customWidth="1"/>
    <col min="14456" max="14456" width="15.42578125" bestFit="1" customWidth="1"/>
    <col min="14457" max="14457" width="12.28515625" bestFit="1" customWidth="1"/>
    <col min="14458" max="14458" width="12.7109375" customWidth="1"/>
    <col min="14459" max="14459" width="10.7109375" bestFit="1" customWidth="1"/>
    <col min="14460" max="14460" width="9.85546875" customWidth="1"/>
    <col min="14461" max="14462" width="10.140625" bestFit="1" customWidth="1"/>
    <col min="14463" max="14463" width="7.5703125" bestFit="1" customWidth="1"/>
    <col min="14464" max="14464" width="9.42578125" bestFit="1" customWidth="1"/>
    <col min="14465" max="14465" width="14.5703125" bestFit="1" customWidth="1"/>
    <col min="14466" max="14466" width="14.85546875" customWidth="1"/>
    <col min="14467" max="14467" width="15.140625" bestFit="1" customWidth="1"/>
    <col min="14468" max="14468" width="12.140625" bestFit="1" customWidth="1"/>
    <col min="14469" max="14469" width="14.85546875" bestFit="1" customWidth="1"/>
    <col min="14470" max="14470" width="12.28515625" bestFit="1" customWidth="1"/>
    <col min="14471" max="14479" width="9.140625" hidden="1" customWidth="1"/>
    <col min="14480" max="14480" width="5.28515625" bestFit="1" customWidth="1"/>
    <col min="14481" max="14486" width="11.5703125" bestFit="1" customWidth="1"/>
    <col min="14487" max="14487" width="11.28515625" bestFit="1" customWidth="1"/>
    <col min="14488" max="14488" width="10.140625" bestFit="1" customWidth="1"/>
    <col min="14489" max="14489" width="11.5703125" bestFit="1" customWidth="1"/>
    <col min="14490" max="14490" width="16.140625" customWidth="1"/>
    <col min="14491" max="14491" width="13.42578125" customWidth="1"/>
    <col min="14492" max="14492" width="10.140625" bestFit="1" customWidth="1"/>
    <col min="14493" max="14493" width="12.85546875" bestFit="1" customWidth="1"/>
    <col min="14494" max="14494" width="12.28515625" bestFit="1" customWidth="1"/>
    <col min="14495" max="14495" width="11.28515625" bestFit="1" customWidth="1"/>
    <col min="14496" max="14496" width="11.5703125" bestFit="1" customWidth="1"/>
    <col min="14497" max="14497" width="10.85546875" bestFit="1" customWidth="1"/>
    <col min="14498" max="14498" width="11.28515625" bestFit="1" customWidth="1"/>
    <col min="14499" max="14499" width="10.140625" bestFit="1" customWidth="1"/>
    <col min="14500" max="14500" width="13.28515625" bestFit="1" customWidth="1"/>
    <col min="14501" max="14502" width="12.7109375" bestFit="1" customWidth="1"/>
    <col min="14503" max="14503" width="11" bestFit="1" customWidth="1"/>
    <col min="14504" max="14504" width="11.28515625" bestFit="1" customWidth="1"/>
    <col min="14505" max="14505" width="11.5703125" bestFit="1" customWidth="1"/>
    <col min="14506" max="14506" width="12.28515625" bestFit="1" customWidth="1"/>
    <col min="14507" max="14507" width="15.140625" bestFit="1" customWidth="1"/>
    <col min="14508" max="14508" width="14.42578125" bestFit="1" customWidth="1"/>
    <col min="14509" max="14509" width="12.28515625" bestFit="1" customWidth="1"/>
    <col min="14510" max="14510" width="15.140625" bestFit="1" customWidth="1"/>
    <col min="14511" max="14511" width="14.42578125" bestFit="1" customWidth="1"/>
    <col min="14512" max="14512" width="12.28515625" bestFit="1" customWidth="1"/>
    <col min="14513" max="14513" width="14.42578125" bestFit="1" customWidth="1"/>
    <col min="14514" max="14514" width="11.28515625" bestFit="1" customWidth="1"/>
    <col min="14515" max="14515" width="12.28515625" bestFit="1" customWidth="1"/>
    <col min="14516" max="14516" width="13" bestFit="1" customWidth="1"/>
    <col min="14517" max="14517" width="15.140625" bestFit="1" customWidth="1"/>
    <col min="14518" max="14518" width="12.28515625" bestFit="1" customWidth="1"/>
    <col min="14519" max="14519" width="13.85546875" bestFit="1" customWidth="1"/>
    <col min="14520" max="14520" width="11.28515625" bestFit="1" customWidth="1"/>
    <col min="14521" max="14521" width="12.28515625" bestFit="1" customWidth="1"/>
    <col min="14522" max="14522" width="13.85546875" bestFit="1" customWidth="1"/>
    <col min="14523" max="14524" width="15.140625" bestFit="1" customWidth="1"/>
    <col min="14525" max="14525" width="12.28515625" bestFit="1" customWidth="1"/>
    <col min="14526" max="14526" width="5.7109375" bestFit="1" customWidth="1"/>
    <col min="14527" max="14527" width="8.5703125" bestFit="1" customWidth="1"/>
    <col min="14528" max="14528" width="5.5703125" bestFit="1" customWidth="1"/>
    <col min="14529" max="14529" width="14.42578125" bestFit="1" customWidth="1"/>
    <col min="14530" max="14530" width="11.28515625" bestFit="1" customWidth="1"/>
    <col min="14531" max="14532" width="12.28515625" bestFit="1" customWidth="1"/>
    <col min="14533" max="14533" width="11.28515625" bestFit="1" customWidth="1"/>
    <col min="14534" max="14534" width="13.85546875" bestFit="1" customWidth="1"/>
    <col min="14535" max="14535" width="12" bestFit="1" customWidth="1"/>
    <col min="14536" max="14536" width="13.85546875" bestFit="1" customWidth="1"/>
    <col min="14537" max="14538" width="14.42578125" customWidth="1"/>
    <col min="14539" max="14539" width="10.140625" bestFit="1" customWidth="1"/>
    <col min="14540" max="14540" width="12.28515625" bestFit="1" customWidth="1"/>
    <col min="14541" max="14541" width="7.42578125" bestFit="1" customWidth="1"/>
    <col min="14542" max="14542" width="8.5703125" bestFit="1" customWidth="1"/>
    <col min="14543" max="14543" width="11.5703125" bestFit="1" customWidth="1"/>
    <col min="14544" max="14544" width="13.28515625" bestFit="1" customWidth="1"/>
    <col min="14545" max="14545" width="13.28515625" customWidth="1"/>
    <col min="14546" max="14546" width="13.140625" customWidth="1"/>
    <col min="14547" max="14547" width="12.7109375" bestFit="1" customWidth="1"/>
    <col min="14548" max="14548" width="13.28515625" bestFit="1" customWidth="1"/>
    <col min="14549" max="14551" width="13.28515625" customWidth="1"/>
    <col min="14552" max="14552" width="12.140625" bestFit="1" customWidth="1"/>
    <col min="14553" max="14553" width="12.7109375" bestFit="1" customWidth="1"/>
    <col min="14554" max="14554" width="11" customWidth="1"/>
    <col min="14555" max="14555" width="16.7109375" customWidth="1"/>
    <col min="14556" max="14556" width="17" customWidth="1"/>
    <col min="14557" max="14557" width="10.42578125" bestFit="1" customWidth="1"/>
    <col min="14601" max="14601" width="3.85546875" customWidth="1"/>
    <col min="14602" max="14602" width="15.28515625" bestFit="1" customWidth="1"/>
    <col min="14603" max="14603" width="12.28515625" customWidth="1"/>
    <col min="14604" max="14604" width="16.28515625" bestFit="1" customWidth="1"/>
    <col min="14605" max="14605" width="6.42578125" bestFit="1" customWidth="1"/>
    <col min="14606" max="14606" width="9.28515625" bestFit="1" customWidth="1"/>
    <col min="14607" max="14607" width="7.5703125" bestFit="1" customWidth="1"/>
    <col min="14608" max="14608" width="13.28515625" bestFit="1" customWidth="1"/>
    <col min="14609" max="14609" width="9.28515625" bestFit="1" customWidth="1"/>
    <col min="14610" max="14610" width="11.5703125" bestFit="1" customWidth="1"/>
    <col min="14611" max="14611" width="13.28515625" bestFit="1" customWidth="1"/>
    <col min="14612" max="14612" width="7.140625" bestFit="1" customWidth="1"/>
    <col min="14613" max="14613" width="12" bestFit="1" customWidth="1"/>
    <col min="14614" max="14614" width="13.28515625" bestFit="1" customWidth="1"/>
    <col min="14615" max="14615" width="7" bestFit="1" customWidth="1"/>
    <col min="14616" max="14616" width="12.7109375" bestFit="1" customWidth="1"/>
    <col min="14617" max="14617" width="11.5703125" bestFit="1" customWidth="1"/>
    <col min="14618" max="14618" width="10.5703125" bestFit="1" customWidth="1"/>
    <col min="14619" max="14620" width="15.7109375" bestFit="1" customWidth="1"/>
    <col min="14621" max="14621" width="11.5703125" bestFit="1" customWidth="1"/>
    <col min="14622" max="14622" width="7.7109375" bestFit="1" customWidth="1"/>
    <col min="14623" max="14623" width="15.140625" bestFit="1" customWidth="1"/>
    <col min="14624" max="14624" width="11.5703125" bestFit="1" customWidth="1"/>
    <col min="14625" max="14625" width="13.28515625" bestFit="1" customWidth="1"/>
    <col min="14626" max="14626" width="10.42578125" bestFit="1" customWidth="1"/>
    <col min="14627" max="14627" width="13.28515625" bestFit="1" customWidth="1"/>
    <col min="14628" max="14628" width="12.140625" bestFit="1" customWidth="1"/>
    <col min="14629" max="14629" width="14.42578125" bestFit="1" customWidth="1"/>
    <col min="14630" max="14630" width="13.28515625" bestFit="1" customWidth="1"/>
    <col min="14631" max="14631" width="11.5703125" bestFit="1" customWidth="1"/>
    <col min="14632" max="14632" width="7.7109375" bestFit="1" customWidth="1"/>
    <col min="14633" max="14634" width="14.42578125" bestFit="1" customWidth="1"/>
    <col min="14635" max="14635" width="11.5703125" bestFit="1" customWidth="1"/>
    <col min="14636" max="14636" width="7.7109375" bestFit="1" customWidth="1"/>
    <col min="14637" max="14637" width="13.5703125" customWidth="1"/>
    <col min="14638" max="14638" width="15.28515625" customWidth="1"/>
    <col min="14639" max="14639" width="14.5703125" customWidth="1"/>
    <col min="14640" max="14640" width="13.28515625" bestFit="1" customWidth="1"/>
    <col min="14641" max="14641" width="7.7109375" bestFit="1" customWidth="1"/>
    <col min="14642" max="14642" width="12.7109375" bestFit="1" customWidth="1"/>
    <col min="14643" max="14643" width="11.7109375" bestFit="1" customWidth="1"/>
    <col min="14644" max="14644" width="11.5703125" bestFit="1" customWidth="1"/>
    <col min="14645" max="14645" width="5.28515625" bestFit="1" customWidth="1"/>
    <col min="14646" max="14646" width="13.28515625" bestFit="1" customWidth="1"/>
    <col min="14647" max="14647" width="13.5703125" bestFit="1" customWidth="1"/>
    <col min="14648" max="14648" width="10.5703125" bestFit="1" customWidth="1"/>
    <col min="14649" max="14649" width="13.28515625" bestFit="1" customWidth="1"/>
    <col min="14650" max="14650" width="11.5703125" bestFit="1" customWidth="1"/>
    <col min="14651" max="14651" width="10.5703125" bestFit="1" customWidth="1"/>
    <col min="14652" max="14652" width="16.140625" bestFit="1" customWidth="1"/>
    <col min="14653" max="14654" width="11.28515625" bestFit="1" customWidth="1"/>
    <col min="14655" max="14655" width="13.28515625" bestFit="1" customWidth="1"/>
    <col min="14656" max="14656" width="7.7109375" bestFit="1" customWidth="1"/>
    <col min="14657" max="14660" width="9.140625" hidden="1" customWidth="1"/>
    <col min="14661" max="14661" width="10.42578125" bestFit="1" customWidth="1"/>
    <col min="14662" max="14662" width="10.5703125" bestFit="1" customWidth="1"/>
    <col min="14663" max="14663" width="10.42578125" bestFit="1" customWidth="1"/>
    <col min="14664" max="14664" width="10.5703125" bestFit="1" customWidth="1"/>
    <col min="14665" max="14665" width="9.5703125" bestFit="1" customWidth="1"/>
    <col min="14666" max="14666" width="11.5703125" bestFit="1" customWidth="1"/>
    <col min="14667" max="14667" width="10.42578125" bestFit="1" customWidth="1"/>
    <col min="14668" max="14668" width="10.85546875" customWidth="1"/>
    <col min="14669" max="14670" width="9.85546875" bestFit="1" customWidth="1"/>
    <col min="14671" max="14671" width="13.5703125" bestFit="1" customWidth="1"/>
    <col min="14672" max="14672" width="7.7109375" bestFit="1" customWidth="1"/>
    <col min="14673" max="14673" width="13.28515625" bestFit="1" customWidth="1"/>
    <col min="14674" max="14674" width="11.5703125" bestFit="1" customWidth="1"/>
    <col min="14675" max="14675" width="10.42578125" bestFit="1" customWidth="1"/>
    <col min="14676" max="14676" width="7.7109375" bestFit="1" customWidth="1"/>
    <col min="14677" max="14677" width="11.5703125" bestFit="1" customWidth="1"/>
    <col min="14678" max="14678" width="10.85546875" bestFit="1" customWidth="1"/>
    <col min="14679" max="14679" width="13.28515625" bestFit="1" customWidth="1"/>
    <col min="14680" max="14680" width="10.85546875" bestFit="1" customWidth="1"/>
    <col min="14681" max="14682" width="7.5703125" bestFit="1" customWidth="1"/>
    <col min="14683" max="14684" width="10.42578125" bestFit="1" customWidth="1"/>
    <col min="14685" max="14685" width="11.5703125" bestFit="1" customWidth="1"/>
    <col min="14686" max="14686" width="5.28515625" bestFit="1" customWidth="1"/>
    <col min="14687" max="14687" width="10.28515625" bestFit="1" customWidth="1"/>
    <col min="14688" max="14688" width="10.42578125" bestFit="1" customWidth="1"/>
    <col min="14689" max="14689" width="11.5703125" bestFit="1" customWidth="1"/>
    <col min="14690" max="14690" width="5.28515625" bestFit="1" customWidth="1"/>
    <col min="14691" max="14693" width="11.5703125" bestFit="1" customWidth="1"/>
    <col min="14694" max="14694" width="5.28515625" bestFit="1" customWidth="1"/>
    <col min="14695" max="14696" width="10.42578125" bestFit="1" customWidth="1"/>
    <col min="14697" max="14697" width="11.5703125" bestFit="1" customWidth="1"/>
    <col min="14698" max="14698" width="5.28515625" bestFit="1" customWidth="1"/>
    <col min="14699" max="14699" width="14.28515625" bestFit="1" customWidth="1"/>
    <col min="14700" max="14700" width="13" bestFit="1" customWidth="1"/>
    <col min="14701" max="14701" width="11.5703125" bestFit="1" customWidth="1"/>
    <col min="14702" max="14702" width="8.85546875" bestFit="1" customWidth="1"/>
    <col min="14703" max="14703" width="14.42578125" bestFit="1" customWidth="1"/>
    <col min="14704" max="14704" width="10.42578125" bestFit="1" customWidth="1"/>
    <col min="14705" max="14705" width="12.28515625" bestFit="1" customWidth="1"/>
    <col min="14706" max="14706" width="13.85546875" bestFit="1" customWidth="1"/>
    <col min="14707" max="14707" width="11.28515625" customWidth="1"/>
    <col min="14708" max="14708" width="11.5703125" customWidth="1"/>
    <col min="14709" max="14709" width="13.42578125" bestFit="1" customWidth="1"/>
    <col min="14710" max="14710" width="10.42578125" customWidth="1"/>
    <col min="14711" max="14711" width="13.85546875" bestFit="1" customWidth="1"/>
    <col min="14712" max="14712" width="15.42578125" bestFit="1" customWidth="1"/>
    <col min="14713" max="14713" width="12.28515625" bestFit="1" customWidth="1"/>
    <col min="14714" max="14714" width="12.7109375" customWidth="1"/>
    <col min="14715" max="14715" width="10.7109375" bestFit="1" customWidth="1"/>
    <col min="14716" max="14716" width="9.85546875" customWidth="1"/>
    <col min="14717" max="14718" width="10.140625" bestFit="1" customWidth="1"/>
    <col min="14719" max="14719" width="7.5703125" bestFit="1" customWidth="1"/>
    <col min="14720" max="14720" width="9.42578125" bestFit="1" customWidth="1"/>
    <col min="14721" max="14721" width="14.5703125" bestFit="1" customWidth="1"/>
    <col min="14722" max="14722" width="14.85546875" customWidth="1"/>
    <col min="14723" max="14723" width="15.140625" bestFit="1" customWidth="1"/>
    <col min="14724" max="14724" width="12.140625" bestFit="1" customWidth="1"/>
    <col min="14725" max="14725" width="14.85546875" bestFit="1" customWidth="1"/>
    <col min="14726" max="14726" width="12.28515625" bestFit="1" customWidth="1"/>
    <col min="14727" max="14735" width="9.140625" hidden="1" customWidth="1"/>
    <col min="14736" max="14736" width="5.28515625" bestFit="1" customWidth="1"/>
    <col min="14737" max="14742" width="11.5703125" bestFit="1" customWidth="1"/>
    <col min="14743" max="14743" width="11.28515625" bestFit="1" customWidth="1"/>
    <col min="14744" max="14744" width="10.140625" bestFit="1" customWidth="1"/>
    <col min="14745" max="14745" width="11.5703125" bestFit="1" customWidth="1"/>
    <col min="14746" max="14746" width="16.140625" customWidth="1"/>
    <col min="14747" max="14747" width="13.42578125" customWidth="1"/>
    <col min="14748" max="14748" width="10.140625" bestFit="1" customWidth="1"/>
    <col min="14749" max="14749" width="12.85546875" bestFit="1" customWidth="1"/>
    <col min="14750" max="14750" width="12.28515625" bestFit="1" customWidth="1"/>
    <col min="14751" max="14751" width="11.28515625" bestFit="1" customWidth="1"/>
    <col min="14752" max="14752" width="11.5703125" bestFit="1" customWidth="1"/>
    <col min="14753" max="14753" width="10.85546875" bestFit="1" customWidth="1"/>
    <col min="14754" max="14754" width="11.28515625" bestFit="1" customWidth="1"/>
    <col min="14755" max="14755" width="10.140625" bestFit="1" customWidth="1"/>
    <col min="14756" max="14756" width="13.28515625" bestFit="1" customWidth="1"/>
    <col min="14757" max="14758" width="12.7109375" bestFit="1" customWidth="1"/>
    <col min="14759" max="14759" width="11" bestFit="1" customWidth="1"/>
    <col min="14760" max="14760" width="11.28515625" bestFit="1" customWidth="1"/>
    <col min="14761" max="14761" width="11.5703125" bestFit="1" customWidth="1"/>
    <col min="14762" max="14762" width="12.28515625" bestFit="1" customWidth="1"/>
    <col min="14763" max="14763" width="15.140625" bestFit="1" customWidth="1"/>
    <col min="14764" max="14764" width="14.42578125" bestFit="1" customWidth="1"/>
    <col min="14765" max="14765" width="12.28515625" bestFit="1" customWidth="1"/>
    <col min="14766" max="14766" width="15.140625" bestFit="1" customWidth="1"/>
    <col min="14767" max="14767" width="14.42578125" bestFit="1" customWidth="1"/>
    <col min="14768" max="14768" width="12.28515625" bestFit="1" customWidth="1"/>
    <col min="14769" max="14769" width="14.42578125" bestFit="1" customWidth="1"/>
    <col min="14770" max="14770" width="11.28515625" bestFit="1" customWidth="1"/>
    <col min="14771" max="14771" width="12.28515625" bestFit="1" customWidth="1"/>
    <col min="14772" max="14772" width="13" bestFit="1" customWidth="1"/>
    <col min="14773" max="14773" width="15.140625" bestFit="1" customWidth="1"/>
    <col min="14774" max="14774" width="12.28515625" bestFit="1" customWidth="1"/>
    <col min="14775" max="14775" width="13.85546875" bestFit="1" customWidth="1"/>
    <col min="14776" max="14776" width="11.28515625" bestFit="1" customWidth="1"/>
    <col min="14777" max="14777" width="12.28515625" bestFit="1" customWidth="1"/>
    <col min="14778" max="14778" width="13.85546875" bestFit="1" customWidth="1"/>
    <col min="14779" max="14780" width="15.140625" bestFit="1" customWidth="1"/>
    <col min="14781" max="14781" width="12.28515625" bestFit="1" customWidth="1"/>
    <col min="14782" max="14782" width="5.7109375" bestFit="1" customWidth="1"/>
    <col min="14783" max="14783" width="8.5703125" bestFit="1" customWidth="1"/>
    <col min="14784" max="14784" width="5.5703125" bestFit="1" customWidth="1"/>
    <col min="14785" max="14785" width="14.42578125" bestFit="1" customWidth="1"/>
    <col min="14786" max="14786" width="11.28515625" bestFit="1" customWidth="1"/>
    <col min="14787" max="14788" width="12.28515625" bestFit="1" customWidth="1"/>
    <col min="14789" max="14789" width="11.28515625" bestFit="1" customWidth="1"/>
    <col min="14790" max="14790" width="13.85546875" bestFit="1" customWidth="1"/>
    <col min="14791" max="14791" width="12" bestFit="1" customWidth="1"/>
    <col min="14792" max="14792" width="13.85546875" bestFit="1" customWidth="1"/>
    <col min="14793" max="14794" width="14.42578125" customWidth="1"/>
    <col min="14795" max="14795" width="10.140625" bestFit="1" customWidth="1"/>
    <col min="14796" max="14796" width="12.28515625" bestFit="1" customWidth="1"/>
    <col min="14797" max="14797" width="7.42578125" bestFit="1" customWidth="1"/>
    <col min="14798" max="14798" width="8.5703125" bestFit="1" customWidth="1"/>
    <col min="14799" max="14799" width="11.5703125" bestFit="1" customWidth="1"/>
    <col min="14800" max="14800" width="13.28515625" bestFit="1" customWidth="1"/>
    <col min="14801" max="14801" width="13.28515625" customWidth="1"/>
    <col min="14802" max="14802" width="13.140625" customWidth="1"/>
    <col min="14803" max="14803" width="12.7109375" bestFit="1" customWidth="1"/>
    <col min="14804" max="14804" width="13.28515625" bestFit="1" customWidth="1"/>
    <col min="14805" max="14807" width="13.28515625" customWidth="1"/>
    <col min="14808" max="14808" width="12.140625" bestFit="1" customWidth="1"/>
    <col min="14809" max="14809" width="12.7109375" bestFit="1" customWidth="1"/>
    <col min="14810" max="14810" width="11" customWidth="1"/>
    <col min="14811" max="14811" width="16.7109375" customWidth="1"/>
    <col min="14812" max="14812" width="17" customWidth="1"/>
    <col min="14813" max="14813" width="10.42578125" bestFit="1" customWidth="1"/>
    <col min="14857" max="14857" width="3.85546875" customWidth="1"/>
    <col min="14858" max="14858" width="15.28515625" bestFit="1" customWidth="1"/>
    <col min="14859" max="14859" width="12.28515625" customWidth="1"/>
    <col min="14860" max="14860" width="16.28515625" bestFit="1" customWidth="1"/>
    <col min="14861" max="14861" width="6.42578125" bestFit="1" customWidth="1"/>
    <col min="14862" max="14862" width="9.28515625" bestFit="1" customWidth="1"/>
    <col min="14863" max="14863" width="7.5703125" bestFit="1" customWidth="1"/>
    <col min="14864" max="14864" width="13.28515625" bestFit="1" customWidth="1"/>
    <col min="14865" max="14865" width="9.28515625" bestFit="1" customWidth="1"/>
    <col min="14866" max="14866" width="11.5703125" bestFit="1" customWidth="1"/>
    <col min="14867" max="14867" width="13.28515625" bestFit="1" customWidth="1"/>
    <col min="14868" max="14868" width="7.140625" bestFit="1" customWidth="1"/>
    <col min="14869" max="14869" width="12" bestFit="1" customWidth="1"/>
    <col min="14870" max="14870" width="13.28515625" bestFit="1" customWidth="1"/>
    <col min="14871" max="14871" width="7" bestFit="1" customWidth="1"/>
    <col min="14872" max="14872" width="12.7109375" bestFit="1" customWidth="1"/>
    <col min="14873" max="14873" width="11.5703125" bestFit="1" customWidth="1"/>
    <col min="14874" max="14874" width="10.5703125" bestFit="1" customWidth="1"/>
    <col min="14875" max="14876" width="15.7109375" bestFit="1" customWidth="1"/>
    <col min="14877" max="14877" width="11.5703125" bestFit="1" customWidth="1"/>
    <col min="14878" max="14878" width="7.7109375" bestFit="1" customWidth="1"/>
    <col min="14879" max="14879" width="15.140625" bestFit="1" customWidth="1"/>
    <col min="14880" max="14880" width="11.5703125" bestFit="1" customWidth="1"/>
    <col min="14881" max="14881" width="13.28515625" bestFit="1" customWidth="1"/>
    <col min="14882" max="14882" width="10.42578125" bestFit="1" customWidth="1"/>
    <col min="14883" max="14883" width="13.28515625" bestFit="1" customWidth="1"/>
    <col min="14884" max="14884" width="12.140625" bestFit="1" customWidth="1"/>
    <col min="14885" max="14885" width="14.42578125" bestFit="1" customWidth="1"/>
    <col min="14886" max="14886" width="13.28515625" bestFit="1" customWidth="1"/>
    <col min="14887" max="14887" width="11.5703125" bestFit="1" customWidth="1"/>
    <col min="14888" max="14888" width="7.7109375" bestFit="1" customWidth="1"/>
    <col min="14889" max="14890" width="14.42578125" bestFit="1" customWidth="1"/>
    <col min="14891" max="14891" width="11.5703125" bestFit="1" customWidth="1"/>
    <col min="14892" max="14892" width="7.7109375" bestFit="1" customWidth="1"/>
    <col min="14893" max="14893" width="13.5703125" customWidth="1"/>
    <col min="14894" max="14894" width="15.28515625" customWidth="1"/>
    <col min="14895" max="14895" width="14.5703125" customWidth="1"/>
    <col min="14896" max="14896" width="13.28515625" bestFit="1" customWidth="1"/>
    <col min="14897" max="14897" width="7.7109375" bestFit="1" customWidth="1"/>
    <col min="14898" max="14898" width="12.7109375" bestFit="1" customWidth="1"/>
    <col min="14899" max="14899" width="11.7109375" bestFit="1" customWidth="1"/>
    <col min="14900" max="14900" width="11.5703125" bestFit="1" customWidth="1"/>
    <col min="14901" max="14901" width="5.28515625" bestFit="1" customWidth="1"/>
    <col min="14902" max="14902" width="13.28515625" bestFit="1" customWidth="1"/>
    <col min="14903" max="14903" width="13.5703125" bestFit="1" customWidth="1"/>
    <col min="14904" max="14904" width="10.5703125" bestFit="1" customWidth="1"/>
    <col min="14905" max="14905" width="13.28515625" bestFit="1" customWidth="1"/>
    <col min="14906" max="14906" width="11.5703125" bestFit="1" customWidth="1"/>
    <col min="14907" max="14907" width="10.5703125" bestFit="1" customWidth="1"/>
    <col min="14908" max="14908" width="16.140625" bestFit="1" customWidth="1"/>
    <col min="14909" max="14910" width="11.28515625" bestFit="1" customWidth="1"/>
    <col min="14911" max="14911" width="13.28515625" bestFit="1" customWidth="1"/>
    <col min="14912" max="14912" width="7.7109375" bestFit="1" customWidth="1"/>
    <col min="14913" max="14916" width="9.140625" hidden="1" customWidth="1"/>
    <col min="14917" max="14917" width="10.42578125" bestFit="1" customWidth="1"/>
    <col min="14918" max="14918" width="10.5703125" bestFit="1" customWidth="1"/>
    <col min="14919" max="14919" width="10.42578125" bestFit="1" customWidth="1"/>
    <col min="14920" max="14920" width="10.5703125" bestFit="1" customWidth="1"/>
    <col min="14921" max="14921" width="9.5703125" bestFit="1" customWidth="1"/>
    <col min="14922" max="14922" width="11.5703125" bestFit="1" customWidth="1"/>
    <col min="14923" max="14923" width="10.42578125" bestFit="1" customWidth="1"/>
    <col min="14924" max="14924" width="10.85546875" customWidth="1"/>
    <col min="14925" max="14926" width="9.85546875" bestFit="1" customWidth="1"/>
    <col min="14927" max="14927" width="13.5703125" bestFit="1" customWidth="1"/>
    <col min="14928" max="14928" width="7.7109375" bestFit="1" customWidth="1"/>
    <col min="14929" max="14929" width="13.28515625" bestFit="1" customWidth="1"/>
    <col min="14930" max="14930" width="11.5703125" bestFit="1" customWidth="1"/>
    <col min="14931" max="14931" width="10.42578125" bestFit="1" customWidth="1"/>
    <col min="14932" max="14932" width="7.7109375" bestFit="1" customWidth="1"/>
    <col min="14933" max="14933" width="11.5703125" bestFit="1" customWidth="1"/>
    <col min="14934" max="14934" width="10.85546875" bestFit="1" customWidth="1"/>
    <col min="14935" max="14935" width="13.28515625" bestFit="1" customWidth="1"/>
    <col min="14936" max="14936" width="10.85546875" bestFit="1" customWidth="1"/>
    <col min="14937" max="14938" width="7.5703125" bestFit="1" customWidth="1"/>
    <col min="14939" max="14940" width="10.42578125" bestFit="1" customWidth="1"/>
    <col min="14941" max="14941" width="11.5703125" bestFit="1" customWidth="1"/>
    <col min="14942" max="14942" width="5.28515625" bestFit="1" customWidth="1"/>
    <col min="14943" max="14943" width="10.28515625" bestFit="1" customWidth="1"/>
    <col min="14944" max="14944" width="10.42578125" bestFit="1" customWidth="1"/>
    <col min="14945" max="14945" width="11.5703125" bestFit="1" customWidth="1"/>
    <col min="14946" max="14946" width="5.28515625" bestFit="1" customWidth="1"/>
    <col min="14947" max="14949" width="11.5703125" bestFit="1" customWidth="1"/>
    <col min="14950" max="14950" width="5.28515625" bestFit="1" customWidth="1"/>
    <col min="14951" max="14952" width="10.42578125" bestFit="1" customWidth="1"/>
    <col min="14953" max="14953" width="11.5703125" bestFit="1" customWidth="1"/>
    <col min="14954" max="14954" width="5.28515625" bestFit="1" customWidth="1"/>
    <col min="14955" max="14955" width="14.28515625" bestFit="1" customWidth="1"/>
    <col min="14956" max="14956" width="13" bestFit="1" customWidth="1"/>
    <col min="14957" max="14957" width="11.5703125" bestFit="1" customWidth="1"/>
    <col min="14958" max="14958" width="8.85546875" bestFit="1" customWidth="1"/>
    <col min="14959" max="14959" width="14.42578125" bestFit="1" customWidth="1"/>
    <col min="14960" max="14960" width="10.42578125" bestFit="1" customWidth="1"/>
    <col min="14961" max="14961" width="12.28515625" bestFit="1" customWidth="1"/>
    <col min="14962" max="14962" width="13.85546875" bestFit="1" customWidth="1"/>
    <col min="14963" max="14963" width="11.28515625" customWidth="1"/>
    <col min="14964" max="14964" width="11.5703125" customWidth="1"/>
    <col min="14965" max="14965" width="13.42578125" bestFit="1" customWidth="1"/>
    <col min="14966" max="14966" width="10.42578125" customWidth="1"/>
    <col min="14967" max="14967" width="13.85546875" bestFit="1" customWidth="1"/>
    <col min="14968" max="14968" width="15.42578125" bestFit="1" customWidth="1"/>
    <col min="14969" max="14969" width="12.28515625" bestFit="1" customWidth="1"/>
    <col min="14970" max="14970" width="12.7109375" customWidth="1"/>
    <col min="14971" max="14971" width="10.7109375" bestFit="1" customWidth="1"/>
    <col min="14972" max="14972" width="9.85546875" customWidth="1"/>
    <col min="14973" max="14974" width="10.140625" bestFit="1" customWidth="1"/>
    <col min="14975" max="14975" width="7.5703125" bestFit="1" customWidth="1"/>
    <col min="14976" max="14976" width="9.42578125" bestFit="1" customWidth="1"/>
    <col min="14977" max="14977" width="14.5703125" bestFit="1" customWidth="1"/>
    <col min="14978" max="14978" width="14.85546875" customWidth="1"/>
    <col min="14979" max="14979" width="15.140625" bestFit="1" customWidth="1"/>
    <col min="14980" max="14980" width="12.140625" bestFit="1" customWidth="1"/>
    <col min="14981" max="14981" width="14.85546875" bestFit="1" customWidth="1"/>
    <col min="14982" max="14982" width="12.28515625" bestFit="1" customWidth="1"/>
    <col min="14983" max="14991" width="9.140625" hidden="1" customWidth="1"/>
    <col min="14992" max="14992" width="5.28515625" bestFit="1" customWidth="1"/>
    <col min="14993" max="14998" width="11.5703125" bestFit="1" customWidth="1"/>
    <col min="14999" max="14999" width="11.28515625" bestFit="1" customWidth="1"/>
    <col min="15000" max="15000" width="10.140625" bestFit="1" customWidth="1"/>
    <col min="15001" max="15001" width="11.5703125" bestFit="1" customWidth="1"/>
    <col min="15002" max="15002" width="16.140625" customWidth="1"/>
    <col min="15003" max="15003" width="13.42578125" customWidth="1"/>
    <col min="15004" max="15004" width="10.140625" bestFit="1" customWidth="1"/>
    <col min="15005" max="15005" width="12.85546875" bestFit="1" customWidth="1"/>
    <col min="15006" max="15006" width="12.28515625" bestFit="1" customWidth="1"/>
    <col min="15007" max="15007" width="11.28515625" bestFit="1" customWidth="1"/>
    <col min="15008" max="15008" width="11.5703125" bestFit="1" customWidth="1"/>
    <col min="15009" max="15009" width="10.85546875" bestFit="1" customWidth="1"/>
    <col min="15010" max="15010" width="11.28515625" bestFit="1" customWidth="1"/>
    <col min="15011" max="15011" width="10.140625" bestFit="1" customWidth="1"/>
    <col min="15012" max="15012" width="13.28515625" bestFit="1" customWidth="1"/>
    <col min="15013" max="15014" width="12.7109375" bestFit="1" customWidth="1"/>
    <col min="15015" max="15015" width="11" bestFit="1" customWidth="1"/>
    <col min="15016" max="15016" width="11.28515625" bestFit="1" customWidth="1"/>
    <col min="15017" max="15017" width="11.5703125" bestFit="1" customWidth="1"/>
    <col min="15018" max="15018" width="12.28515625" bestFit="1" customWidth="1"/>
    <col min="15019" max="15019" width="15.140625" bestFit="1" customWidth="1"/>
    <col min="15020" max="15020" width="14.42578125" bestFit="1" customWidth="1"/>
    <col min="15021" max="15021" width="12.28515625" bestFit="1" customWidth="1"/>
    <col min="15022" max="15022" width="15.140625" bestFit="1" customWidth="1"/>
    <col min="15023" max="15023" width="14.42578125" bestFit="1" customWidth="1"/>
    <col min="15024" max="15024" width="12.28515625" bestFit="1" customWidth="1"/>
    <col min="15025" max="15025" width="14.42578125" bestFit="1" customWidth="1"/>
    <col min="15026" max="15026" width="11.28515625" bestFit="1" customWidth="1"/>
    <col min="15027" max="15027" width="12.28515625" bestFit="1" customWidth="1"/>
    <col min="15028" max="15028" width="13" bestFit="1" customWidth="1"/>
    <col min="15029" max="15029" width="15.140625" bestFit="1" customWidth="1"/>
    <col min="15030" max="15030" width="12.28515625" bestFit="1" customWidth="1"/>
    <col min="15031" max="15031" width="13.85546875" bestFit="1" customWidth="1"/>
    <col min="15032" max="15032" width="11.28515625" bestFit="1" customWidth="1"/>
    <col min="15033" max="15033" width="12.28515625" bestFit="1" customWidth="1"/>
    <col min="15034" max="15034" width="13.85546875" bestFit="1" customWidth="1"/>
    <col min="15035" max="15036" width="15.140625" bestFit="1" customWidth="1"/>
    <col min="15037" max="15037" width="12.28515625" bestFit="1" customWidth="1"/>
    <col min="15038" max="15038" width="5.7109375" bestFit="1" customWidth="1"/>
    <col min="15039" max="15039" width="8.5703125" bestFit="1" customWidth="1"/>
    <col min="15040" max="15040" width="5.5703125" bestFit="1" customWidth="1"/>
    <col min="15041" max="15041" width="14.42578125" bestFit="1" customWidth="1"/>
    <col min="15042" max="15042" width="11.28515625" bestFit="1" customWidth="1"/>
    <col min="15043" max="15044" width="12.28515625" bestFit="1" customWidth="1"/>
    <col min="15045" max="15045" width="11.28515625" bestFit="1" customWidth="1"/>
    <col min="15046" max="15046" width="13.85546875" bestFit="1" customWidth="1"/>
    <col min="15047" max="15047" width="12" bestFit="1" customWidth="1"/>
    <col min="15048" max="15048" width="13.85546875" bestFit="1" customWidth="1"/>
    <col min="15049" max="15050" width="14.42578125" customWidth="1"/>
    <col min="15051" max="15051" width="10.140625" bestFit="1" customWidth="1"/>
    <col min="15052" max="15052" width="12.28515625" bestFit="1" customWidth="1"/>
    <col min="15053" max="15053" width="7.42578125" bestFit="1" customWidth="1"/>
    <col min="15054" max="15054" width="8.5703125" bestFit="1" customWidth="1"/>
    <col min="15055" max="15055" width="11.5703125" bestFit="1" customWidth="1"/>
    <col min="15056" max="15056" width="13.28515625" bestFit="1" customWidth="1"/>
    <col min="15057" max="15057" width="13.28515625" customWidth="1"/>
    <col min="15058" max="15058" width="13.140625" customWidth="1"/>
    <col min="15059" max="15059" width="12.7109375" bestFit="1" customWidth="1"/>
    <col min="15060" max="15060" width="13.28515625" bestFit="1" customWidth="1"/>
    <col min="15061" max="15063" width="13.28515625" customWidth="1"/>
    <col min="15064" max="15064" width="12.140625" bestFit="1" customWidth="1"/>
    <col min="15065" max="15065" width="12.7109375" bestFit="1" customWidth="1"/>
    <col min="15066" max="15066" width="11" customWidth="1"/>
    <col min="15067" max="15067" width="16.7109375" customWidth="1"/>
    <col min="15068" max="15068" width="17" customWidth="1"/>
    <col min="15069" max="15069" width="10.42578125" bestFit="1" customWidth="1"/>
    <col min="15113" max="15113" width="3.85546875" customWidth="1"/>
    <col min="15114" max="15114" width="15.28515625" bestFit="1" customWidth="1"/>
    <col min="15115" max="15115" width="12.28515625" customWidth="1"/>
    <col min="15116" max="15116" width="16.28515625" bestFit="1" customWidth="1"/>
    <col min="15117" max="15117" width="6.42578125" bestFit="1" customWidth="1"/>
    <col min="15118" max="15118" width="9.28515625" bestFit="1" customWidth="1"/>
    <col min="15119" max="15119" width="7.5703125" bestFit="1" customWidth="1"/>
    <col min="15120" max="15120" width="13.28515625" bestFit="1" customWidth="1"/>
    <col min="15121" max="15121" width="9.28515625" bestFit="1" customWidth="1"/>
    <col min="15122" max="15122" width="11.5703125" bestFit="1" customWidth="1"/>
    <col min="15123" max="15123" width="13.28515625" bestFit="1" customWidth="1"/>
    <col min="15124" max="15124" width="7.140625" bestFit="1" customWidth="1"/>
    <col min="15125" max="15125" width="12" bestFit="1" customWidth="1"/>
    <col min="15126" max="15126" width="13.28515625" bestFit="1" customWidth="1"/>
    <col min="15127" max="15127" width="7" bestFit="1" customWidth="1"/>
    <col min="15128" max="15128" width="12.7109375" bestFit="1" customWidth="1"/>
    <col min="15129" max="15129" width="11.5703125" bestFit="1" customWidth="1"/>
    <col min="15130" max="15130" width="10.5703125" bestFit="1" customWidth="1"/>
    <col min="15131" max="15132" width="15.7109375" bestFit="1" customWidth="1"/>
    <col min="15133" max="15133" width="11.5703125" bestFit="1" customWidth="1"/>
    <col min="15134" max="15134" width="7.7109375" bestFit="1" customWidth="1"/>
    <col min="15135" max="15135" width="15.140625" bestFit="1" customWidth="1"/>
    <col min="15136" max="15136" width="11.5703125" bestFit="1" customWidth="1"/>
    <col min="15137" max="15137" width="13.28515625" bestFit="1" customWidth="1"/>
    <col min="15138" max="15138" width="10.42578125" bestFit="1" customWidth="1"/>
    <col min="15139" max="15139" width="13.28515625" bestFit="1" customWidth="1"/>
    <col min="15140" max="15140" width="12.140625" bestFit="1" customWidth="1"/>
    <col min="15141" max="15141" width="14.42578125" bestFit="1" customWidth="1"/>
    <col min="15142" max="15142" width="13.28515625" bestFit="1" customWidth="1"/>
    <col min="15143" max="15143" width="11.5703125" bestFit="1" customWidth="1"/>
    <col min="15144" max="15144" width="7.7109375" bestFit="1" customWidth="1"/>
    <col min="15145" max="15146" width="14.42578125" bestFit="1" customWidth="1"/>
    <col min="15147" max="15147" width="11.5703125" bestFit="1" customWidth="1"/>
    <col min="15148" max="15148" width="7.7109375" bestFit="1" customWidth="1"/>
    <col min="15149" max="15149" width="13.5703125" customWidth="1"/>
    <col min="15150" max="15150" width="15.28515625" customWidth="1"/>
    <col min="15151" max="15151" width="14.5703125" customWidth="1"/>
    <col min="15152" max="15152" width="13.28515625" bestFit="1" customWidth="1"/>
    <col min="15153" max="15153" width="7.7109375" bestFit="1" customWidth="1"/>
    <col min="15154" max="15154" width="12.7109375" bestFit="1" customWidth="1"/>
    <col min="15155" max="15155" width="11.7109375" bestFit="1" customWidth="1"/>
    <col min="15156" max="15156" width="11.5703125" bestFit="1" customWidth="1"/>
    <col min="15157" max="15157" width="5.28515625" bestFit="1" customWidth="1"/>
    <col min="15158" max="15158" width="13.28515625" bestFit="1" customWidth="1"/>
    <col min="15159" max="15159" width="13.5703125" bestFit="1" customWidth="1"/>
    <col min="15160" max="15160" width="10.5703125" bestFit="1" customWidth="1"/>
    <col min="15161" max="15161" width="13.28515625" bestFit="1" customWidth="1"/>
    <col min="15162" max="15162" width="11.5703125" bestFit="1" customWidth="1"/>
    <col min="15163" max="15163" width="10.5703125" bestFit="1" customWidth="1"/>
    <col min="15164" max="15164" width="16.140625" bestFit="1" customWidth="1"/>
    <col min="15165" max="15166" width="11.28515625" bestFit="1" customWidth="1"/>
    <col min="15167" max="15167" width="13.28515625" bestFit="1" customWidth="1"/>
    <col min="15168" max="15168" width="7.7109375" bestFit="1" customWidth="1"/>
    <col min="15169" max="15172" width="9.140625" hidden="1" customWidth="1"/>
    <col min="15173" max="15173" width="10.42578125" bestFit="1" customWidth="1"/>
    <col min="15174" max="15174" width="10.5703125" bestFit="1" customWidth="1"/>
    <col min="15175" max="15175" width="10.42578125" bestFit="1" customWidth="1"/>
    <col min="15176" max="15176" width="10.5703125" bestFit="1" customWidth="1"/>
    <col min="15177" max="15177" width="9.5703125" bestFit="1" customWidth="1"/>
    <col min="15178" max="15178" width="11.5703125" bestFit="1" customWidth="1"/>
    <col min="15179" max="15179" width="10.42578125" bestFit="1" customWidth="1"/>
    <col min="15180" max="15180" width="10.85546875" customWidth="1"/>
    <col min="15181" max="15182" width="9.85546875" bestFit="1" customWidth="1"/>
    <col min="15183" max="15183" width="13.5703125" bestFit="1" customWidth="1"/>
    <col min="15184" max="15184" width="7.7109375" bestFit="1" customWidth="1"/>
    <col min="15185" max="15185" width="13.28515625" bestFit="1" customWidth="1"/>
    <col min="15186" max="15186" width="11.5703125" bestFit="1" customWidth="1"/>
    <col min="15187" max="15187" width="10.42578125" bestFit="1" customWidth="1"/>
    <col min="15188" max="15188" width="7.7109375" bestFit="1" customWidth="1"/>
    <col min="15189" max="15189" width="11.5703125" bestFit="1" customWidth="1"/>
    <col min="15190" max="15190" width="10.85546875" bestFit="1" customWidth="1"/>
    <col min="15191" max="15191" width="13.28515625" bestFit="1" customWidth="1"/>
    <col min="15192" max="15192" width="10.85546875" bestFit="1" customWidth="1"/>
    <col min="15193" max="15194" width="7.5703125" bestFit="1" customWidth="1"/>
    <col min="15195" max="15196" width="10.42578125" bestFit="1" customWidth="1"/>
    <col min="15197" max="15197" width="11.5703125" bestFit="1" customWidth="1"/>
    <col min="15198" max="15198" width="5.28515625" bestFit="1" customWidth="1"/>
    <col min="15199" max="15199" width="10.28515625" bestFit="1" customWidth="1"/>
    <col min="15200" max="15200" width="10.42578125" bestFit="1" customWidth="1"/>
    <col min="15201" max="15201" width="11.5703125" bestFit="1" customWidth="1"/>
    <col min="15202" max="15202" width="5.28515625" bestFit="1" customWidth="1"/>
    <col min="15203" max="15205" width="11.5703125" bestFit="1" customWidth="1"/>
    <col min="15206" max="15206" width="5.28515625" bestFit="1" customWidth="1"/>
    <col min="15207" max="15208" width="10.42578125" bestFit="1" customWidth="1"/>
    <col min="15209" max="15209" width="11.5703125" bestFit="1" customWidth="1"/>
    <col min="15210" max="15210" width="5.28515625" bestFit="1" customWidth="1"/>
    <col min="15211" max="15211" width="14.28515625" bestFit="1" customWidth="1"/>
    <col min="15212" max="15212" width="13" bestFit="1" customWidth="1"/>
    <col min="15213" max="15213" width="11.5703125" bestFit="1" customWidth="1"/>
    <col min="15214" max="15214" width="8.85546875" bestFit="1" customWidth="1"/>
    <col min="15215" max="15215" width="14.42578125" bestFit="1" customWidth="1"/>
    <col min="15216" max="15216" width="10.42578125" bestFit="1" customWidth="1"/>
    <col min="15217" max="15217" width="12.28515625" bestFit="1" customWidth="1"/>
    <col min="15218" max="15218" width="13.85546875" bestFit="1" customWidth="1"/>
    <col min="15219" max="15219" width="11.28515625" customWidth="1"/>
    <col min="15220" max="15220" width="11.5703125" customWidth="1"/>
    <col min="15221" max="15221" width="13.42578125" bestFit="1" customWidth="1"/>
    <col min="15222" max="15222" width="10.42578125" customWidth="1"/>
    <col min="15223" max="15223" width="13.85546875" bestFit="1" customWidth="1"/>
    <col min="15224" max="15224" width="15.42578125" bestFit="1" customWidth="1"/>
    <col min="15225" max="15225" width="12.28515625" bestFit="1" customWidth="1"/>
    <col min="15226" max="15226" width="12.7109375" customWidth="1"/>
    <col min="15227" max="15227" width="10.7109375" bestFit="1" customWidth="1"/>
    <col min="15228" max="15228" width="9.85546875" customWidth="1"/>
    <col min="15229" max="15230" width="10.140625" bestFit="1" customWidth="1"/>
    <col min="15231" max="15231" width="7.5703125" bestFit="1" customWidth="1"/>
    <col min="15232" max="15232" width="9.42578125" bestFit="1" customWidth="1"/>
    <col min="15233" max="15233" width="14.5703125" bestFit="1" customWidth="1"/>
    <col min="15234" max="15234" width="14.85546875" customWidth="1"/>
    <col min="15235" max="15235" width="15.140625" bestFit="1" customWidth="1"/>
    <col min="15236" max="15236" width="12.140625" bestFit="1" customWidth="1"/>
    <col min="15237" max="15237" width="14.85546875" bestFit="1" customWidth="1"/>
    <col min="15238" max="15238" width="12.28515625" bestFit="1" customWidth="1"/>
    <col min="15239" max="15247" width="9.140625" hidden="1" customWidth="1"/>
    <col min="15248" max="15248" width="5.28515625" bestFit="1" customWidth="1"/>
    <col min="15249" max="15254" width="11.5703125" bestFit="1" customWidth="1"/>
    <col min="15255" max="15255" width="11.28515625" bestFit="1" customWidth="1"/>
    <col min="15256" max="15256" width="10.140625" bestFit="1" customWidth="1"/>
    <col min="15257" max="15257" width="11.5703125" bestFit="1" customWidth="1"/>
    <col min="15258" max="15258" width="16.140625" customWidth="1"/>
    <col min="15259" max="15259" width="13.42578125" customWidth="1"/>
    <col min="15260" max="15260" width="10.140625" bestFit="1" customWidth="1"/>
    <col min="15261" max="15261" width="12.85546875" bestFit="1" customWidth="1"/>
    <col min="15262" max="15262" width="12.28515625" bestFit="1" customWidth="1"/>
    <col min="15263" max="15263" width="11.28515625" bestFit="1" customWidth="1"/>
    <col min="15264" max="15264" width="11.5703125" bestFit="1" customWidth="1"/>
    <col min="15265" max="15265" width="10.85546875" bestFit="1" customWidth="1"/>
    <col min="15266" max="15266" width="11.28515625" bestFit="1" customWidth="1"/>
    <col min="15267" max="15267" width="10.140625" bestFit="1" customWidth="1"/>
    <col min="15268" max="15268" width="13.28515625" bestFit="1" customWidth="1"/>
    <col min="15269" max="15270" width="12.7109375" bestFit="1" customWidth="1"/>
    <col min="15271" max="15271" width="11" bestFit="1" customWidth="1"/>
    <col min="15272" max="15272" width="11.28515625" bestFit="1" customWidth="1"/>
    <col min="15273" max="15273" width="11.5703125" bestFit="1" customWidth="1"/>
    <col min="15274" max="15274" width="12.28515625" bestFit="1" customWidth="1"/>
    <col min="15275" max="15275" width="15.140625" bestFit="1" customWidth="1"/>
    <col min="15276" max="15276" width="14.42578125" bestFit="1" customWidth="1"/>
    <col min="15277" max="15277" width="12.28515625" bestFit="1" customWidth="1"/>
    <col min="15278" max="15278" width="15.140625" bestFit="1" customWidth="1"/>
    <col min="15279" max="15279" width="14.42578125" bestFit="1" customWidth="1"/>
    <col min="15280" max="15280" width="12.28515625" bestFit="1" customWidth="1"/>
    <col min="15281" max="15281" width="14.42578125" bestFit="1" customWidth="1"/>
    <col min="15282" max="15282" width="11.28515625" bestFit="1" customWidth="1"/>
    <col min="15283" max="15283" width="12.28515625" bestFit="1" customWidth="1"/>
    <col min="15284" max="15284" width="13" bestFit="1" customWidth="1"/>
    <col min="15285" max="15285" width="15.140625" bestFit="1" customWidth="1"/>
    <col min="15286" max="15286" width="12.28515625" bestFit="1" customWidth="1"/>
    <col min="15287" max="15287" width="13.85546875" bestFit="1" customWidth="1"/>
    <col min="15288" max="15288" width="11.28515625" bestFit="1" customWidth="1"/>
    <col min="15289" max="15289" width="12.28515625" bestFit="1" customWidth="1"/>
    <col min="15290" max="15290" width="13.85546875" bestFit="1" customWidth="1"/>
    <col min="15291" max="15292" width="15.140625" bestFit="1" customWidth="1"/>
    <col min="15293" max="15293" width="12.28515625" bestFit="1" customWidth="1"/>
    <col min="15294" max="15294" width="5.7109375" bestFit="1" customWidth="1"/>
    <col min="15295" max="15295" width="8.5703125" bestFit="1" customWidth="1"/>
    <col min="15296" max="15296" width="5.5703125" bestFit="1" customWidth="1"/>
    <col min="15297" max="15297" width="14.42578125" bestFit="1" customWidth="1"/>
    <col min="15298" max="15298" width="11.28515625" bestFit="1" customWidth="1"/>
    <col min="15299" max="15300" width="12.28515625" bestFit="1" customWidth="1"/>
    <col min="15301" max="15301" width="11.28515625" bestFit="1" customWidth="1"/>
    <col min="15302" max="15302" width="13.85546875" bestFit="1" customWidth="1"/>
    <col min="15303" max="15303" width="12" bestFit="1" customWidth="1"/>
    <col min="15304" max="15304" width="13.85546875" bestFit="1" customWidth="1"/>
    <col min="15305" max="15306" width="14.42578125" customWidth="1"/>
    <col min="15307" max="15307" width="10.140625" bestFit="1" customWidth="1"/>
    <col min="15308" max="15308" width="12.28515625" bestFit="1" customWidth="1"/>
    <col min="15309" max="15309" width="7.42578125" bestFit="1" customWidth="1"/>
    <col min="15310" max="15310" width="8.5703125" bestFit="1" customWidth="1"/>
    <col min="15311" max="15311" width="11.5703125" bestFit="1" customWidth="1"/>
    <col min="15312" max="15312" width="13.28515625" bestFit="1" customWidth="1"/>
    <col min="15313" max="15313" width="13.28515625" customWidth="1"/>
    <col min="15314" max="15314" width="13.140625" customWidth="1"/>
    <col min="15315" max="15315" width="12.7109375" bestFit="1" customWidth="1"/>
    <col min="15316" max="15316" width="13.28515625" bestFit="1" customWidth="1"/>
    <col min="15317" max="15319" width="13.28515625" customWidth="1"/>
    <col min="15320" max="15320" width="12.140625" bestFit="1" customWidth="1"/>
    <col min="15321" max="15321" width="12.7109375" bestFit="1" customWidth="1"/>
    <col min="15322" max="15322" width="11" customWidth="1"/>
    <col min="15323" max="15323" width="16.7109375" customWidth="1"/>
    <col min="15324" max="15324" width="17" customWidth="1"/>
    <col min="15325" max="15325" width="10.42578125" bestFit="1" customWidth="1"/>
    <col min="15369" max="15369" width="3.85546875" customWidth="1"/>
    <col min="15370" max="15370" width="15.28515625" bestFit="1" customWidth="1"/>
    <col min="15371" max="15371" width="12.28515625" customWidth="1"/>
    <col min="15372" max="15372" width="16.28515625" bestFit="1" customWidth="1"/>
    <col min="15373" max="15373" width="6.42578125" bestFit="1" customWidth="1"/>
    <col min="15374" max="15374" width="9.28515625" bestFit="1" customWidth="1"/>
    <col min="15375" max="15375" width="7.5703125" bestFit="1" customWidth="1"/>
    <col min="15376" max="15376" width="13.28515625" bestFit="1" customWidth="1"/>
    <col min="15377" max="15377" width="9.28515625" bestFit="1" customWidth="1"/>
    <col min="15378" max="15378" width="11.5703125" bestFit="1" customWidth="1"/>
    <col min="15379" max="15379" width="13.28515625" bestFit="1" customWidth="1"/>
    <col min="15380" max="15380" width="7.140625" bestFit="1" customWidth="1"/>
    <col min="15381" max="15381" width="12" bestFit="1" customWidth="1"/>
    <col min="15382" max="15382" width="13.28515625" bestFit="1" customWidth="1"/>
    <col min="15383" max="15383" width="7" bestFit="1" customWidth="1"/>
    <col min="15384" max="15384" width="12.7109375" bestFit="1" customWidth="1"/>
    <col min="15385" max="15385" width="11.5703125" bestFit="1" customWidth="1"/>
    <col min="15386" max="15386" width="10.5703125" bestFit="1" customWidth="1"/>
    <col min="15387" max="15388" width="15.7109375" bestFit="1" customWidth="1"/>
    <col min="15389" max="15389" width="11.5703125" bestFit="1" customWidth="1"/>
    <col min="15390" max="15390" width="7.7109375" bestFit="1" customWidth="1"/>
    <col min="15391" max="15391" width="15.140625" bestFit="1" customWidth="1"/>
    <col min="15392" max="15392" width="11.5703125" bestFit="1" customWidth="1"/>
    <col min="15393" max="15393" width="13.28515625" bestFit="1" customWidth="1"/>
    <col min="15394" max="15394" width="10.42578125" bestFit="1" customWidth="1"/>
    <col min="15395" max="15395" width="13.28515625" bestFit="1" customWidth="1"/>
    <col min="15396" max="15396" width="12.140625" bestFit="1" customWidth="1"/>
    <col min="15397" max="15397" width="14.42578125" bestFit="1" customWidth="1"/>
    <col min="15398" max="15398" width="13.28515625" bestFit="1" customWidth="1"/>
    <col min="15399" max="15399" width="11.5703125" bestFit="1" customWidth="1"/>
    <col min="15400" max="15400" width="7.7109375" bestFit="1" customWidth="1"/>
    <col min="15401" max="15402" width="14.42578125" bestFit="1" customWidth="1"/>
    <col min="15403" max="15403" width="11.5703125" bestFit="1" customWidth="1"/>
    <col min="15404" max="15404" width="7.7109375" bestFit="1" customWidth="1"/>
    <col min="15405" max="15405" width="13.5703125" customWidth="1"/>
    <col min="15406" max="15406" width="15.28515625" customWidth="1"/>
    <col min="15407" max="15407" width="14.5703125" customWidth="1"/>
    <col min="15408" max="15408" width="13.28515625" bestFit="1" customWidth="1"/>
    <col min="15409" max="15409" width="7.7109375" bestFit="1" customWidth="1"/>
    <col min="15410" max="15410" width="12.7109375" bestFit="1" customWidth="1"/>
    <col min="15411" max="15411" width="11.7109375" bestFit="1" customWidth="1"/>
    <col min="15412" max="15412" width="11.5703125" bestFit="1" customWidth="1"/>
    <col min="15413" max="15413" width="5.28515625" bestFit="1" customWidth="1"/>
    <col min="15414" max="15414" width="13.28515625" bestFit="1" customWidth="1"/>
    <col min="15415" max="15415" width="13.5703125" bestFit="1" customWidth="1"/>
    <col min="15416" max="15416" width="10.5703125" bestFit="1" customWidth="1"/>
    <col min="15417" max="15417" width="13.28515625" bestFit="1" customWidth="1"/>
    <col min="15418" max="15418" width="11.5703125" bestFit="1" customWidth="1"/>
    <col min="15419" max="15419" width="10.5703125" bestFit="1" customWidth="1"/>
    <col min="15420" max="15420" width="16.140625" bestFit="1" customWidth="1"/>
    <col min="15421" max="15422" width="11.28515625" bestFit="1" customWidth="1"/>
    <col min="15423" max="15423" width="13.28515625" bestFit="1" customWidth="1"/>
    <col min="15424" max="15424" width="7.7109375" bestFit="1" customWidth="1"/>
    <col min="15425" max="15428" width="9.140625" hidden="1" customWidth="1"/>
    <col min="15429" max="15429" width="10.42578125" bestFit="1" customWidth="1"/>
    <col min="15430" max="15430" width="10.5703125" bestFit="1" customWidth="1"/>
    <col min="15431" max="15431" width="10.42578125" bestFit="1" customWidth="1"/>
    <col min="15432" max="15432" width="10.5703125" bestFit="1" customWidth="1"/>
    <col min="15433" max="15433" width="9.5703125" bestFit="1" customWidth="1"/>
    <col min="15434" max="15434" width="11.5703125" bestFit="1" customWidth="1"/>
    <col min="15435" max="15435" width="10.42578125" bestFit="1" customWidth="1"/>
    <col min="15436" max="15436" width="10.85546875" customWidth="1"/>
    <col min="15437" max="15438" width="9.85546875" bestFit="1" customWidth="1"/>
    <col min="15439" max="15439" width="13.5703125" bestFit="1" customWidth="1"/>
    <col min="15440" max="15440" width="7.7109375" bestFit="1" customWidth="1"/>
    <col min="15441" max="15441" width="13.28515625" bestFit="1" customWidth="1"/>
    <col min="15442" max="15442" width="11.5703125" bestFit="1" customWidth="1"/>
    <col min="15443" max="15443" width="10.42578125" bestFit="1" customWidth="1"/>
    <col min="15444" max="15444" width="7.7109375" bestFit="1" customWidth="1"/>
    <col min="15445" max="15445" width="11.5703125" bestFit="1" customWidth="1"/>
    <col min="15446" max="15446" width="10.85546875" bestFit="1" customWidth="1"/>
    <col min="15447" max="15447" width="13.28515625" bestFit="1" customWidth="1"/>
    <col min="15448" max="15448" width="10.85546875" bestFit="1" customWidth="1"/>
    <col min="15449" max="15450" width="7.5703125" bestFit="1" customWidth="1"/>
    <col min="15451" max="15452" width="10.42578125" bestFit="1" customWidth="1"/>
    <col min="15453" max="15453" width="11.5703125" bestFit="1" customWidth="1"/>
    <col min="15454" max="15454" width="5.28515625" bestFit="1" customWidth="1"/>
    <col min="15455" max="15455" width="10.28515625" bestFit="1" customWidth="1"/>
    <col min="15456" max="15456" width="10.42578125" bestFit="1" customWidth="1"/>
    <col min="15457" max="15457" width="11.5703125" bestFit="1" customWidth="1"/>
    <col min="15458" max="15458" width="5.28515625" bestFit="1" customWidth="1"/>
    <col min="15459" max="15461" width="11.5703125" bestFit="1" customWidth="1"/>
    <col min="15462" max="15462" width="5.28515625" bestFit="1" customWidth="1"/>
    <col min="15463" max="15464" width="10.42578125" bestFit="1" customWidth="1"/>
    <col min="15465" max="15465" width="11.5703125" bestFit="1" customWidth="1"/>
    <col min="15466" max="15466" width="5.28515625" bestFit="1" customWidth="1"/>
    <col min="15467" max="15467" width="14.28515625" bestFit="1" customWidth="1"/>
    <col min="15468" max="15468" width="13" bestFit="1" customWidth="1"/>
    <col min="15469" max="15469" width="11.5703125" bestFit="1" customWidth="1"/>
    <col min="15470" max="15470" width="8.85546875" bestFit="1" customWidth="1"/>
    <col min="15471" max="15471" width="14.42578125" bestFit="1" customWidth="1"/>
    <col min="15472" max="15472" width="10.42578125" bestFit="1" customWidth="1"/>
    <col min="15473" max="15473" width="12.28515625" bestFit="1" customWidth="1"/>
    <col min="15474" max="15474" width="13.85546875" bestFit="1" customWidth="1"/>
    <col min="15475" max="15475" width="11.28515625" customWidth="1"/>
    <col min="15476" max="15476" width="11.5703125" customWidth="1"/>
    <col min="15477" max="15477" width="13.42578125" bestFit="1" customWidth="1"/>
    <col min="15478" max="15478" width="10.42578125" customWidth="1"/>
    <col min="15479" max="15479" width="13.85546875" bestFit="1" customWidth="1"/>
    <col min="15480" max="15480" width="15.42578125" bestFit="1" customWidth="1"/>
    <col min="15481" max="15481" width="12.28515625" bestFit="1" customWidth="1"/>
    <col min="15482" max="15482" width="12.7109375" customWidth="1"/>
    <col min="15483" max="15483" width="10.7109375" bestFit="1" customWidth="1"/>
    <col min="15484" max="15484" width="9.85546875" customWidth="1"/>
    <col min="15485" max="15486" width="10.140625" bestFit="1" customWidth="1"/>
    <col min="15487" max="15487" width="7.5703125" bestFit="1" customWidth="1"/>
    <col min="15488" max="15488" width="9.42578125" bestFit="1" customWidth="1"/>
    <col min="15489" max="15489" width="14.5703125" bestFit="1" customWidth="1"/>
    <col min="15490" max="15490" width="14.85546875" customWidth="1"/>
    <col min="15491" max="15491" width="15.140625" bestFit="1" customWidth="1"/>
    <col min="15492" max="15492" width="12.140625" bestFit="1" customWidth="1"/>
    <col min="15493" max="15493" width="14.85546875" bestFit="1" customWidth="1"/>
    <col min="15494" max="15494" width="12.28515625" bestFit="1" customWidth="1"/>
    <col min="15495" max="15503" width="9.140625" hidden="1" customWidth="1"/>
    <col min="15504" max="15504" width="5.28515625" bestFit="1" customWidth="1"/>
    <col min="15505" max="15510" width="11.5703125" bestFit="1" customWidth="1"/>
    <col min="15511" max="15511" width="11.28515625" bestFit="1" customWidth="1"/>
    <col min="15512" max="15512" width="10.140625" bestFit="1" customWidth="1"/>
    <col min="15513" max="15513" width="11.5703125" bestFit="1" customWidth="1"/>
    <col min="15514" max="15514" width="16.140625" customWidth="1"/>
    <col min="15515" max="15515" width="13.42578125" customWidth="1"/>
    <col min="15516" max="15516" width="10.140625" bestFit="1" customWidth="1"/>
    <col min="15517" max="15517" width="12.85546875" bestFit="1" customWidth="1"/>
    <col min="15518" max="15518" width="12.28515625" bestFit="1" customWidth="1"/>
    <col min="15519" max="15519" width="11.28515625" bestFit="1" customWidth="1"/>
    <col min="15520" max="15520" width="11.5703125" bestFit="1" customWidth="1"/>
    <col min="15521" max="15521" width="10.85546875" bestFit="1" customWidth="1"/>
    <col min="15522" max="15522" width="11.28515625" bestFit="1" customWidth="1"/>
    <col min="15523" max="15523" width="10.140625" bestFit="1" customWidth="1"/>
    <col min="15524" max="15524" width="13.28515625" bestFit="1" customWidth="1"/>
    <col min="15525" max="15526" width="12.7109375" bestFit="1" customWidth="1"/>
    <col min="15527" max="15527" width="11" bestFit="1" customWidth="1"/>
    <col min="15528" max="15528" width="11.28515625" bestFit="1" customWidth="1"/>
    <col min="15529" max="15529" width="11.5703125" bestFit="1" customWidth="1"/>
    <col min="15530" max="15530" width="12.28515625" bestFit="1" customWidth="1"/>
    <col min="15531" max="15531" width="15.140625" bestFit="1" customWidth="1"/>
    <col min="15532" max="15532" width="14.42578125" bestFit="1" customWidth="1"/>
    <col min="15533" max="15533" width="12.28515625" bestFit="1" customWidth="1"/>
    <col min="15534" max="15534" width="15.140625" bestFit="1" customWidth="1"/>
    <col min="15535" max="15535" width="14.42578125" bestFit="1" customWidth="1"/>
    <col min="15536" max="15536" width="12.28515625" bestFit="1" customWidth="1"/>
    <col min="15537" max="15537" width="14.42578125" bestFit="1" customWidth="1"/>
    <col min="15538" max="15538" width="11.28515625" bestFit="1" customWidth="1"/>
    <col min="15539" max="15539" width="12.28515625" bestFit="1" customWidth="1"/>
    <col min="15540" max="15540" width="13" bestFit="1" customWidth="1"/>
    <col min="15541" max="15541" width="15.140625" bestFit="1" customWidth="1"/>
    <col min="15542" max="15542" width="12.28515625" bestFit="1" customWidth="1"/>
    <col min="15543" max="15543" width="13.85546875" bestFit="1" customWidth="1"/>
    <col min="15544" max="15544" width="11.28515625" bestFit="1" customWidth="1"/>
    <col min="15545" max="15545" width="12.28515625" bestFit="1" customWidth="1"/>
    <col min="15546" max="15546" width="13.85546875" bestFit="1" customWidth="1"/>
    <col min="15547" max="15548" width="15.140625" bestFit="1" customWidth="1"/>
    <col min="15549" max="15549" width="12.28515625" bestFit="1" customWidth="1"/>
    <col min="15550" max="15550" width="5.7109375" bestFit="1" customWidth="1"/>
    <col min="15551" max="15551" width="8.5703125" bestFit="1" customWidth="1"/>
    <col min="15552" max="15552" width="5.5703125" bestFit="1" customWidth="1"/>
    <col min="15553" max="15553" width="14.42578125" bestFit="1" customWidth="1"/>
    <col min="15554" max="15554" width="11.28515625" bestFit="1" customWidth="1"/>
    <col min="15555" max="15556" width="12.28515625" bestFit="1" customWidth="1"/>
    <col min="15557" max="15557" width="11.28515625" bestFit="1" customWidth="1"/>
    <col min="15558" max="15558" width="13.85546875" bestFit="1" customWidth="1"/>
    <col min="15559" max="15559" width="12" bestFit="1" customWidth="1"/>
    <col min="15560" max="15560" width="13.85546875" bestFit="1" customWidth="1"/>
    <col min="15561" max="15562" width="14.42578125" customWidth="1"/>
    <col min="15563" max="15563" width="10.140625" bestFit="1" customWidth="1"/>
    <col min="15564" max="15564" width="12.28515625" bestFit="1" customWidth="1"/>
    <col min="15565" max="15565" width="7.42578125" bestFit="1" customWidth="1"/>
    <col min="15566" max="15566" width="8.5703125" bestFit="1" customWidth="1"/>
    <col min="15567" max="15567" width="11.5703125" bestFit="1" customWidth="1"/>
    <col min="15568" max="15568" width="13.28515625" bestFit="1" customWidth="1"/>
    <col min="15569" max="15569" width="13.28515625" customWidth="1"/>
    <col min="15570" max="15570" width="13.140625" customWidth="1"/>
    <col min="15571" max="15571" width="12.7109375" bestFit="1" customWidth="1"/>
    <col min="15572" max="15572" width="13.28515625" bestFit="1" customWidth="1"/>
    <col min="15573" max="15575" width="13.28515625" customWidth="1"/>
    <col min="15576" max="15576" width="12.140625" bestFit="1" customWidth="1"/>
    <col min="15577" max="15577" width="12.7109375" bestFit="1" customWidth="1"/>
    <col min="15578" max="15578" width="11" customWidth="1"/>
    <col min="15579" max="15579" width="16.7109375" customWidth="1"/>
    <col min="15580" max="15580" width="17" customWidth="1"/>
    <col min="15581" max="15581" width="10.42578125" bestFit="1" customWidth="1"/>
    <col min="15625" max="15625" width="3.85546875" customWidth="1"/>
    <col min="15626" max="15626" width="15.28515625" bestFit="1" customWidth="1"/>
    <col min="15627" max="15627" width="12.28515625" customWidth="1"/>
    <col min="15628" max="15628" width="16.28515625" bestFit="1" customWidth="1"/>
    <col min="15629" max="15629" width="6.42578125" bestFit="1" customWidth="1"/>
    <col min="15630" max="15630" width="9.28515625" bestFit="1" customWidth="1"/>
    <col min="15631" max="15631" width="7.5703125" bestFit="1" customWidth="1"/>
    <col min="15632" max="15632" width="13.28515625" bestFit="1" customWidth="1"/>
    <col min="15633" max="15633" width="9.28515625" bestFit="1" customWidth="1"/>
    <col min="15634" max="15634" width="11.5703125" bestFit="1" customWidth="1"/>
    <col min="15635" max="15635" width="13.28515625" bestFit="1" customWidth="1"/>
    <col min="15636" max="15636" width="7.140625" bestFit="1" customWidth="1"/>
    <col min="15637" max="15637" width="12" bestFit="1" customWidth="1"/>
    <col min="15638" max="15638" width="13.28515625" bestFit="1" customWidth="1"/>
    <col min="15639" max="15639" width="7" bestFit="1" customWidth="1"/>
    <col min="15640" max="15640" width="12.7109375" bestFit="1" customWidth="1"/>
    <col min="15641" max="15641" width="11.5703125" bestFit="1" customWidth="1"/>
    <col min="15642" max="15642" width="10.5703125" bestFit="1" customWidth="1"/>
    <col min="15643" max="15644" width="15.7109375" bestFit="1" customWidth="1"/>
    <col min="15645" max="15645" width="11.5703125" bestFit="1" customWidth="1"/>
    <col min="15646" max="15646" width="7.7109375" bestFit="1" customWidth="1"/>
    <col min="15647" max="15647" width="15.140625" bestFit="1" customWidth="1"/>
    <col min="15648" max="15648" width="11.5703125" bestFit="1" customWidth="1"/>
    <col min="15649" max="15649" width="13.28515625" bestFit="1" customWidth="1"/>
    <col min="15650" max="15650" width="10.42578125" bestFit="1" customWidth="1"/>
    <col min="15651" max="15651" width="13.28515625" bestFit="1" customWidth="1"/>
    <col min="15652" max="15652" width="12.140625" bestFit="1" customWidth="1"/>
    <col min="15653" max="15653" width="14.42578125" bestFit="1" customWidth="1"/>
    <col min="15654" max="15654" width="13.28515625" bestFit="1" customWidth="1"/>
    <col min="15655" max="15655" width="11.5703125" bestFit="1" customWidth="1"/>
    <col min="15656" max="15656" width="7.7109375" bestFit="1" customWidth="1"/>
    <col min="15657" max="15658" width="14.42578125" bestFit="1" customWidth="1"/>
    <col min="15659" max="15659" width="11.5703125" bestFit="1" customWidth="1"/>
    <col min="15660" max="15660" width="7.7109375" bestFit="1" customWidth="1"/>
    <col min="15661" max="15661" width="13.5703125" customWidth="1"/>
    <col min="15662" max="15662" width="15.28515625" customWidth="1"/>
    <col min="15663" max="15663" width="14.5703125" customWidth="1"/>
    <col min="15664" max="15664" width="13.28515625" bestFit="1" customWidth="1"/>
    <col min="15665" max="15665" width="7.7109375" bestFit="1" customWidth="1"/>
    <col min="15666" max="15666" width="12.7109375" bestFit="1" customWidth="1"/>
    <col min="15667" max="15667" width="11.7109375" bestFit="1" customWidth="1"/>
    <col min="15668" max="15668" width="11.5703125" bestFit="1" customWidth="1"/>
    <col min="15669" max="15669" width="5.28515625" bestFit="1" customWidth="1"/>
    <col min="15670" max="15670" width="13.28515625" bestFit="1" customWidth="1"/>
    <col min="15671" max="15671" width="13.5703125" bestFit="1" customWidth="1"/>
    <col min="15672" max="15672" width="10.5703125" bestFit="1" customWidth="1"/>
    <col min="15673" max="15673" width="13.28515625" bestFit="1" customWidth="1"/>
    <col min="15674" max="15674" width="11.5703125" bestFit="1" customWidth="1"/>
    <col min="15675" max="15675" width="10.5703125" bestFit="1" customWidth="1"/>
    <col min="15676" max="15676" width="16.140625" bestFit="1" customWidth="1"/>
    <col min="15677" max="15678" width="11.28515625" bestFit="1" customWidth="1"/>
    <col min="15679" max="15679" width="13.28515625" bestFit="1" customWidth="1"/>
    <col min="15680" max="15680" width="7.7109375" bestFit="1" customWidth="1"/>
    <col min="15681" max="15684" width="9.140625" hidden="1" customWidth="1"/>
    <col min="15685" max="15685" width="10.42578125" bestFit="1" customWidth="1"/>
    <col min="15686" max="15686" width="10.5703125" bestFit="1" customWidth="1"/>
    <col min="15687" max="15687" width="10.42578125" bestFit="1" customWidth="1"/>
    <col min="15688" max="15688" width="10.5703125" bestFit="1" customWidth="1"/>
    <col min="15689" max="15689" width="9.5703125" bestFit="1" customWidth="1"/>
    <col min="15690" max="15690" width="11.5703125" bestFit="1" customWidth="1"/>
    <col min="15691" max="15691" width="10.42578125" bestFit="1" customWidth="1"/>
    <col min="15692" max="15692" width="10.85546875" customWidth="1"/>
    <col min="15693" max="15694" width="9.85546875" bestFit="1" customWidth="1"/>
    <col min="15695" max="15695" width="13.5703125" bestFit="1" customWidth="1"/>
    <col min="15696" max="15696" width="7.7109375" bestFit="1" customWidth="1"/>
    <col min="15697" max="15697" width="13.28515625" bestFit="1" customWidth="1"/>
    <col min="15698" max="15698" width="11.5703125" bestFit="1" customWidth="1"/>
    <col min="15699" max="15699" width="10.42578125" bestFit="1" customWidth="1"/>
    <col min="15700" max="15700" width="7.7109375" bestFit="1" customWidth="1"/>
    <col min="15701" max="15701" width="11.5703125" bestFit="1" customWidth="1"/>
    <col min="15702" max="15702" width="10.85546875" bestFit="1" customWidth="1"/>
    <col min="15703" max="15703" width="13.28515625" bestFit="1" customWidth="1"/>
    <col min="15704" max="15704" width="10.85546875" bestFit="1" customWidth="1"/>
    <col min="15705" max="15706" width="7.5703125" bestFit="1" customWidth="1"/>
    <col min="15707" max="15708" width="10.42578125" bestFit="1" customWidth="1"/>
    <col min="15709" max="15709" width="11.5703125" bestFit="1" customWidth="1"/>
    <col min="15710" max="15710" width="5.28515625" bestFit="1" customWidth="1"/>
    <col min="15711" max="15711" width="10.28515625" bestFit="1" customWidth="1"/>
    <col min="15712" max="15712" width="10.42578125" bestFit="1" customWidth="1"/>
    <col min="15713" max="15713" width="11.5703125" bestFit="1" customWidth="1"/>
    <col min="15714" max="15714" width="5.28515625" bestFit="1" customWidth="1"/>
    <col min="15715" max="15717" width="11.5703125" bestFit="1" customWidth="1"/>
    <col min="15718" max="15718" width="5.28515625" bestFit="1" customWidth="1"/>
    <col min="15719" max="15720" width="10.42578125" bestFit="1" customWidth="1"/>
    <col min="15721" max="15721" width="11.5703125" bestFit="1" customWidth="1"/>
    <col min="15722" max="15722" width="5.28515625" bestFit="1" customWidth="1"/>
    <col min="15723" max="15723" width="14.28515625" bestFit="1" customWidth="1"/>
    <col min="15724" max="15724" width="13" bestFit="1" customWidth="1"/>
    <col min="15725" max="15725" width="11.5703125" bestFit="1" customWidth="1"/>
    <col min="15726" max="15726" width="8.85546875" bestFit="1" customWidth="1"/>
    <col min="15727" max="15727" width="14.42578125" bestFit="1" customWidth="1"/>
    <col min="15728" max="15728" width="10.42578125" bestFit="1" customWidth="1"/>
    <col min="15729" max="15729" width="12.28515625" bestFit="1" customWidth="1"/>
    <col min="15730" max="15730" width="13.85546875" bestFit="1" customWidth="1"/>
    <col min="15731" max="15731" width="11.28515625" customWidth="1"/>
    <col min="15732" max="15732" width="11.5703125" customWidth="1"/>
    <col min="15733" max="15733" width="13.42578125" bestFit="1" customWidth="1"/>
    <col min="15734" max="15734" width="10.42578125" customWidth="1"/>
    <col min="15735" max="15735" width="13.85546875" bestFit="1" customWidth="1"/>
    <col min="15736" max="15736" width="15.42578125" bestFit="1" customWidth="1"/>
    <col min="15737" max="15737" width="12.28515625" bestFit="1" customWidth="1"/>
    <col min="15738" max="15738" width="12.7109375" customWidth="1"/>
    <col min="15739" max="15739" width="10.7109375" bestFit="1" customWidth="1"/>
    <col min="15740" max="15740" width="9.85546875" customWidth="1"/>
    <col min="15741" max="15742" width="10.140625" bestFit="1" customWidth="1"/>
    <col min="15743" max="15743" width="7.5703125" bestFit="1" customWidth="1"/>
    <col min="15744" max="15744" width="9.42578125" bestFit="1" customWidth="1"/>
    <col min="15745" max="15745" width="14.5703125" bestFit="1" customWidth="1"/>
    <col min="15746" max="15746" width="14.85546875" customWidth="1"/>
    <col min="15747" max="15747" width="15.140625" bestFit="1" customWidth="1"/>
    <col min="15748" max="15748" width="12.140625" bestFit="1" customWidth="1"/>
    <col min="15749" max="15749" width="14.85546875" bestFit="1" customWidth="1"/>
    <col min="15750" max="15750" width="12.28515625" bestFit="1" customWidth="1"/>
    <col min="15751" max="15759" width="9.140625" hidden="1" customWidth="1"/>
    <col min="15760" max="15760" width="5.28515625" bestFit="1" customWidth="1"/>
    <col min="15761" max="15766" width="11.5703125" bestFit="1" customWidth="1"/>
    <col min="15767" max="15767" width="11.28515625" bestFit="1" customWidth="1"/>
    <col min="15768" max="15768" width="10.140625" bestFit="1" customWidth="1"/>
    <col min="15769" max="15769" width="11.5703125" bestFit="1" customWidth="1"/>
    <col min="15770" max="15770" width="16.140625" customWidth="1"/>
    <col min="15771" max="15771" width="13.42578125" customWidth="1"/>
    <col min="15772" max="15772" width="10.140625" bestFit="1" customWidth="1"/>
    <col min="15773" max="15773" width="12.85546875" bestFit="1" customWidth="1"/>
    <col min="15774" max="15774" width="12.28515625" bestFit="1" customWidth="1"/>
    <col min="15775" max="15775" width="11.28515625" bestFit="1" customWidth="1"/>
    <col min="15776" max="15776" width="11.5703125" bestFit="1" customWidth="1"/>
    <col min="15777" max="15777" width="10.85546875" bestFit="1" customWidth="1"/>
    <col min="15778" max="15778" width="11.28515625" bestFit="1" customWidth="1"/>
    <col min="15779" max="15779" width="10.140625" bestFit="1" customWidth="1"/>
    <col min="15780" max="15780" width="13.28515625" bestFit="1" customWidth="1"/>
    <col min="15781" max="15782" width="12.7109375" bestFit="1" customWidth="1"/>
    <col min="15783" max="15783" width="11" bestFit="1" customWidth="1"/>
    <col min="15784" max="15784" width="11.28515625" bestFit="1" customWidth="1"/>
    <col min="15785" max="15785" width="11.5703125" bestFit="1" customWidth="1"/>
    <col min="15786" max="15786" width="12.28515625" bestFit="1" customWidth="1"/>
    <col min="15787" max="15787" width="15.140625" bestFit="1" customWidth="1"/>
    <col min="15788" max="15788" width="14.42578125" bestFit="1" customWidth="1"/>
    <col min="15789" max="15789" width="12.28515625" bestFit="1" customWidth="1"/>
    <col min="15790" max="15790" width="15.140625" bestFit="1" customWidth="1"/>
    <col min="15791" max="15791" width="14.42578125" bestFit="1" customWidth="1"/>
    <col min="15792" max="15792" width="12.28515625" bestFit="1" customWidth="1"/>
    <col min="15793" max="15793" width="14.42578125" bestFit="1" customWidth="1"/>
    <col min="15794" max="15794" width="11.28515625" bestFit="1" customWidth="1"/>
    <col min="15795" max="15795" width="12.28515625" bestFit="1" customWidth="1"/>
    <col min="15796" max="15796" width="13" bestFit="1" customWidth="1"/>
    <col min="15797" max="15797" width="15.140625" bestFit="1" customWidth="1"/>
    <col min="15798" max="15798" width="12.28515625" bestFit="1" customWidth="1"/>
    <col min="15799" max="15799" width="13.85546875" bestFit="1" customWidth="1"/>
    <col min="15800" max="15800" width="11.28515625" bestFit="1" customWidth="1"/>
    <col min="15801" max="15801" width="12.28515625" bestFit="1" customWidth="1"/>
    <col min="15802" max="15802" width="13.85546875" bestFit="1" customWidth="1"/>
    <col min="15803" max="15804" width="15.140625" bestFit="1" customWidth="1"/>
    <col min="15805" max="15805" width="12.28515625" bestFit="1" customWidth="1"/>
    <col min="15806" max="15806" width="5.7109375" bestFit="1" customWidth="1"/>
    <col min="15807" max="15807" width="8.5703125" bestFit="1" customWidth="1"/>
    <col min="15808" max="15808" width="5.5703125" bestFit="1" customWidth="1"/>
    <col min="15809" max="15809" width="14.42578125" bestFit="1" customWidth="1"/>
    <col min="15810" max="15810" width="11.28515625" bestFit="1" customWidth="1"/>
    <col min="15811" max="15812" width="12.28515625" bestFit="1" customWidth="1"/>
    <col min="15813" max="15813" width="11.28515625" bestFit="1" customWidth="1"/>
    <col min="15814" max="15814" width="13.85546875" bestFit="1" customWidth="1"/>
    <col min="15815" max="15815" width="12" bestFit="1" customWidth="1"/>
    <col min="15816" max="15816" width="13.85546875" bestFit="1" customWidth="1"/>
    <col min="15817" max="15818" width="14.42578125" customWidth="1"/>
    <col min="15819" max="15819" width="10.140625" bestFit="1" customWidth="1"/>
    <col min="15820" max="15820" width="12.28515625" bestFit="1" customWidth="1"/>
    <col min="15821" max="15821" width="7.42578125" bestFit="1" customWidth="1"/>
    <col min="15822" max="15822" width="8.5703125" bestFit="1" customWidth="1"/>
    <col min="15823" max="15823" width="11.5703125" bestFit="1" customWidth="1"/>
    <col min="15824" max="15824" width="13.28515625" bestFit="1" customWidth="1"/>
    <col min="15825" max="15825" width="13.28515625" customWidth="1"/>
    <col min="15826" max="15826" width="13.140625" customWidth="1"/>
    <col min="15827" max="15827" width="12.7109375" bestFit="1" customWidth="1"/>
    <col min="15828" max="15828" width="13.28515625" bestFit="1" customWidth="1"/>
    <col min="15829" max="15831" width="13.28515625" customWidth="1"/>
    <col min="15832" max="15832" width="12.140625" bestFit="1" customWidth="1"/>
    <col min="15833" max="15833" width="12.7109375" bestFit="1" customWidth="1"/>
    <col min="15834" max="15834" width="11" customWidth="1"/>
    <col min="15835" max="15835" width="16.7109375" customWidth="1"/>
    <col min="15836" max="15836" width="17" customWidth="1"/>
    <col min="15837" max="15837" width="10.42578125" bestFit="1" customWidth="1"/>
    <col min="15881" max="15881" width="3.85546875" customWidth="1"/>
    <col min="15882" max="15882" width="15.28515625" bestFit="1" customWidth="1"/>
    <col min="15883" max="15883" width="12.28515625" customWidth="1"/>
    <col min="15884" max="15884" width="16.28515625" bestFit="1" customWidth="1"/>
    <col min="15885" max="15885" width="6.42578125" bestFit="1" customWidth="1"/>
    <col min="15886" max="15886" width="9.28515625" bestFit="1" customWidth="1"/>
    <col min="15887" max="15887" width="7.5703125" bestFit="1" customWidth="1"/>
    <col min="15888" max="15888" width="13.28515625" bestFit="1" customWidth="1"/>
    <col min="15889" max="15889" width="9.28515625" bestFit="1" customWidth="1"/>
    <col min="15890" max="15890" width="11.5703125" bestFit="1" customWidth="1"/>
    <col min="15891" max="15891" width="13.28515625" bestFit="1" customWidth="1"/>
    <col min="15892" max="15892" width="7.140625" bestFit="1" customWidth="1"/>
    <col min="15893" max="15893" width="12" bestFit="1" customWidth="1"/>
    <col min="15894" max="15894" width="13.28515625" bestFit="1" customWidth="1"/>
    <col min="15895" max="15895" width="7" bestFit="1" customWidth="1"/>
    <col min="15896" max="15896" width="12.7109375" bestFit="1" customWidth="1"/>
    <col min="15897" max="15897" width="11.5703125" bestFit="1" customWidth="1"/>
    <col min="15898" max="15898" width="10.5703125" bestFit="1" customWidth="1"/>
    <col min="15899" max="15900" width="15.7109375" bestFit="1" customWidth="1"/>
    <col min="15901" max="15901" width="11.5703125" bestFit="1" customWidth="1"/>
    <col min="15902" max="15902" width="7.7109375" bestFit="1" customWidth="1"/>
    <col min="15903" max="15903" width="15.140625" bestFit="1" customWidth="1"/>
    <col min="15904" max="15904" width="11.5703125" bestFit="1" customWidth="1"/>
    <col min="15905" max="15905" width="13.28515625" bestFit="1" customWidth="1"/>
    <col min="15906" max="15906" width="10.42578125" bestFit="1" customWidth="1"/>
    <col min="15907" max="15907" width="13.28515625" bestFit="1" customWidth="1"/>
    <col min="15908" max="15908" width="12.140625" bestFit="1" customWidth="1"/>
    <col min="15909" max="15909" width="14.42578125" bestFit="1" customWidth="1"/>
    <col min="15910" max="15910" width="13.28515625" bestFit="1" customWidth="1"/>
    <col min="15911" max="15911" width="11.5703125" bestFit="1" customWidth="1"/>
    <col min="15912" max="15912" width="7.7109375" bestFit="1" customWidth="1"/>
    <col min="15913" max="15914" width="14.42578125" bestFit="1" customWidth="1"/>
    <col min="15915" max="15915" width="11.5703125" bestFit="1" customWidth="1"/>
    <col min="15916" max="15916" width="7.7109375" bestFit="1" customWidth="1"/>
    <col min="15917" max="15917" width="13.5703125" customWidth="1"/>
    <col min="15918" max="15918" width="15.28515625" customWidth="1"/>
    <col min="15919" max="15919" width="14.5703125" customWidth="1"/>
    <col min="15920" max="15920" width="13.28515625" bestFit="1" customWidth="1"/>
    <col min="15921" max="15921" width="7.7109375" bestFit="1" customWidth="1"/>
    <col min="15922" max="15922" width="12.7109375" bestFit="1" customWidth="1"/>
    <col min="15923" max="15923" width="11.7109375" bestFit="1" customWidth="1"/>
    <col min="15924" max="15924" width="11.5703125" bestFit="1" customWidth="1"/>
    <col min="15925" max="15925" width="5.28515625" bestFit="1" customWidth="1"/>
    <col min="15926" max="15926" width="13.28515625" bestFit="1" customWidth="1"/>
    <col min="15927" max="15927" width="13.5703125" bestFit="1" customWidth="1"/>
    <col min="15928" max="15928" width="10.5703125" bestFit="1" customWidth="1"/>
    <col min="15929" max="15929" width="13.28515625" bestFit="1" customWidth="1"/>
    <col min="15930" max="15930" width="11.5703125" bestFit="1" customWidth="1"/>
    <col min="15931" max="15931" width="10.5703125" bestFit="1" customWidth="1"/>
    <col min="15932" max="15932" width="16.140625" bestFit="1" customWidth="1"/>
    <col min="15933" max="15934" width="11.28515625" bestFit="1" customWidth="1"/>
    <col min="15935" max="15935" width="13.28515625" bestFit="1" customWidth="1"/>
    <col min="15936" max="15936" width="7.7109375" bestFit="1" customWidth="1"/>
    <col min="15937" max="15940" width="9.140625" hidden="1" customWidth="1"/>
    <col min="15941" max="15941" width="10.42578125" bestFit="1" customWidth="1"/>
    <col min="15942" max="15942" width="10.5703125" bestFit="1" customWidth="1"/>
    <col min="15943" max="15943" width="10.42578125" bestFit="1" customWidth="1"/>
    <col min="15944" max="15944" width="10.5703125" bestFit="1" customWidth="1"/>
    <col min="15945" max="15945" width="9.5703125" bestFit="1" customWidth="1"/>
    <col min="15946" max="15946" width="11.5703125" bestFit="1" customWidth="1"/>
    <col min="15947" max="15947" width="10.42578125" bestFit="1" customWidth="1"/>
    <col min="15948" max="15948" width="10.85546875" customWidth="1"/>
    <col min="15949" max="15950" width="9.85546875" bestFit="1" customWidth="1"/>
    <col min="15951" max="15951" width="13.5703125" bestFit="1" customWidth="1"/>
    <col min="15952" max="15952" width="7.7109375" bestFit="1" customWidth="1"/>
    <col min="15953" max="15953" width="13.28515625" bestFit="1" customWidth="1"/>
    <col min="15954" max="15954" width="11.5703125" bestFit="1" customWidth="1"/>
    <col min="15955" max="15955" width="10.42578125" bestFit="1" customWidth="1"/>
    <col min="15956" max="15956" width="7.7109375" bestFit="1" customWidth="1"/>
    <col min="15957" max="15957" width="11.5703125" bestFit="1" customWidth="1"/>
    <col min="15958" max="15958" width="10.85546875" bestFit="1" customWidth="1"/>
    <col min="15959" max="15959" width="13.28515625" bestFit="1" customWidth="1"/>
    <col min="15960" max="15960" width="10.85546875" bestFit="1" customWidth="1"/>
    <col min="15961" max="15962" width="7.5703125" bestFit="1" customWidth="1"/>
    <col min="15963" max="15964" width="10.42578125" bestFit="1" customWidth="1"/>
    <col min="15965" max="15965" width="11.5703125" bestFit="1" customWidth="1"/>
    <col min="15966" max="15966" width="5.28515625" bestFit="1" customWidth="1"/>
    <col min="15967" max="15967" width="10.28515625" bestFit="1" customWidth="1"/>
    <col min="15968" max="15968" width="10.42578125" bestFit="1" customWidth="1"/>
    <col min="15969" max="15969" width="11.5703125" bestFit="1" customWidth="1"/>
    <col min="15970" max="15970" width="5.28515625" bestFit="1" customWidth="1"/>
    <col min="15971" max="15973" width="11.5703125" bestFit="1" customWidth="1"/>
    <col min="15974" max="15974" width="5.28515625" bestFit="1" customWidth="1"/>
    <col min="15975" max="15976" width="10.42578125" bestFit="1" customWidth="1"/>
    <col min="15977" max="15977" width="11.5703125" bestFit="1" customWidth="1"/>
    <col min="15978" max="15978" width="5.28515625" bestFit="1" customWidth="1"/>
    <col min="15979" max="15979" width="14.28515625" bestFit="1" customWidth="1"/>
    <col min="15980" max="15980" width="13" bestFit="1" customWidth="1"/>
    <col min="15981" max="15981" width="11.5703125" bestFit="1" customWidth="1"/>
    <col min="15982" max="15982" width="8.85546875" bestFit="1" customWidth="1"/>
    <col min="15983" max="15983" width="14.42578125" bestFit="1" customWidth="1"/>
    <col min="15984" max="15984" width="10.42578125" bestFit="1" customWidth="1"/>
    <col min="15985" max="15985" width="12.28515625" bestFit="1" customWidth="1"/>
    <col min="15986" max="15986" width="13.85546875" bestFit="1" customWidth="1"/>
    <col min="15987" max="15987" width="11.28515625" customWidth="1"/>
    <col min="15988" max="15988" width="11.5703125" customWidth="1"/>
    <col min="15989" max="15989" width="13.42578125" bestFit="1" customWidth="1"/>
    <col min="15990" max="15990" width="10.42578125" customWidth="1"/>
    <col min="15991" max="15991" width="13.85546875" bestFit="1" customWidth="1"/>
    <col min="15992" max="15992" width="15.42578125" bestFit="1" customWidth="1"/>
    <col min="15993" max="15993" width="12.28515625" bestFit="1" customWidth="1"/>
    <col min="15994" max="15994" width="12.7109375" customWidth="1"/>
    <col min="15995" max="15995" width="10.7109375" bestFit="1" customWidth="1"/>
    <col min="15996" max="15996" width="9.85546875" customWidth="1"/>
    <col min="15997" max="15998" width="10.140625" bestFit="1" customWidth="1"/>
    <col min="15999" max="15999" width="7.5703125" bestFit="1" customWidth="1"/>
    <col min="16000" max="16000" width="9.42578125" bestFit="1" customWidth="1"/>
    <col min="16001" max="16001" width="14.5703125" bestFit="1" customWidth="1"/>
    <col min="16002" max="16002" width="14.85546875" customWidth="1"/>
    <col min="16003" max="16003" width="15.140625" bestFit="1" customWidth="1"/>
    <col min="16004" max="16004" width="12.140625" bestFit="1" customWidth="1"/>
    <col min="16005" max="16005" width="14.85546875" bestFit="1" customWidth="1"/>
    <col min="16006" max="16006" width="12.28515625" bestFit="1" customWidth="1"/>
    <col min="16007" max="16015" width="9.140625" hidden="1" customWidth="1"/>
    <col min="16016" max="16016" width="5.28515625" bestFit="1" customWidth="1"/>
    <col min="16017" max="16022" width="11.5703125" bestFit="1" customWidth="1"/>
    <col min="16023" max="16023" width="11.28515625" bestFit="1" customWidth="1"/>
    <col min="16024" max="16024" width="10.140625" bestFit="1" customWidth="1"/>
    <col min="16025" max="16025" width="11.5703125" bestFit="1" customWidth="1"/>
    <col min="16026" max="16026" width="16.140625" customWidth="1"/>
    <col min="16027" max="16027" width="13.42578125" customWidth="1"/>
    <col min="16028" max="16028" width="10.140625" bestFit="1" customWidth="1"/>
    <col min="16029" max="16029" width="12.85546875" bestFit="1" customWidth="1"/>
    <col min="16030" max="16030" width="12.28515625" bestFit="1" customWidth="1"/>
    <col min="16031" max="16031" width="11.28515625" bestFit="1" customWidth="1"/>
    <col min="16032" max="16032" width="11.5703125" bestFit="1" customWidth="1"/>
    <col min="16033" max="16033" width="10.85546875" bestFit="1" customWidth="1"/>
    <col min="16034" max="16034" width="11.28515625" bestFit="1" customWidth="1"/>
    <col min="16035" max="16035" width="10.140625" bestFit="1" customWidth="1"/>
    <col min="16036" max="16036" width="13.28515625" bestFit="1" customWidth="1"/>
    <col min="16037" max="16038" width="12.7109375" bestFit="1" customWidth="1"/>
    <col min="16039" max="16039" width="11" bestFit="1" customWidth="1"/>
    <col min="16040" max="16040" width="11.28515625" bestFit="1" customWidth="1"/>
    <col min="16041" max="16041" width="11.5703125" bestFit="1" customWidth="1"/>
    <col min="16042" max="16042" width="12.28515625" bestFit="1" customWidth="1"/>
    <col min="16043" max="16043" width="15.140625" bestFit="1" customWidth="1"/>
    <col min="16044" max="16044" width="14.42578125" bestFit="1" customWidth="1"/>
    <col min="16045" max="16045" width="12.28515625" bestFit="1" customWidth="1"/>
    <col min="16046" max="16046" width="15.140625" bestFit="1" customWidth="1"/>
    <col min="16047" max="16047" width="14.42578125" bestFit="1" customWidth="1"/>
    <col min="16048" max="16048" width="12.28515625" bestFit="1" customWidth="1"/>
    <col min="16049" max="16049" width="14.42578125" bestFit="1" customWidth="1"/>
    <col min="16050" max="16050" width="11.28515625" bestFit="1" customWidth="1"/>
    <col min="16051" max="16051" width="12.28515625" bestFit="1" customWidth="1"/>
    <col min="16052" max="16052" width="13" bestFit="1" customWidth="1"/>
    <col min="16053" max="16053" width="15.140625" bestFit="1" customWidth="1"/>
    <col min="16054" max="16054" width="12.28515625" bestFit="1" customWidth="1"/>
    <col min="16055" max="16055" width="13.85546875" bestFit="1" customWidth="1"/>
    <col min="16056" max="16056" width="11.28515625" bestFit="1" customWidth="1"/>
    <col min="16057" max="16057" width="12.28515625" bestFit="1" customWidth="1"/>
    <col min="16058" max="16058" width="13.85546875" bestFit="1" customWidth="1"/>
    <col min="16059" max="16060" width="15.140625" bestFit="1" customWidth="1"/>
    <col min="16061" max="16061" width="12.28515625" bestFit="1" customWidth="1"/>
    <col min="16062" max="16062" width="5.7109375" bestFit="1" customWidth="1"/>
    <col min="16063" max="16063" width="8.5703125" bestFit="1" customWidth="1"/>
    <col min="16064" max="16064" width="5.5703125" bestFit="1" customWidth="1"/>
    <col min="16065" max="16065" width="14.42578125" bestFit="1" customWidth="1"/>
    <col min="16066" max="16066" width="11.28515625" bestFit="1" customWidth="1"/>
    <col min="16067" max="16068" width="12.28515625" bestFit="1" customWidth="1"/>
    <col min="16069" max="16069" width="11.28515625" bestFit="1" customWidth="1"/>
    <col min="16070" max="16070" width="13.85546875" bestFit="1" customWidth="1"/>
    <col min="16071" max="16071" width="12" bestFit="1" customWidth="1"/>
    <col min="16072" max="16072" width="13.85546875" bestFit="1" customWidth="1"/>
    <col min="16073" max="16074" width="14.42578125" customWidth="1"/>
    <col min="16075" max="16075" width="10.140625" bestFit="1" customWidth="1"/>
    <col min="16076" max="16076" width="12.28515625" bestFit="1" customWidth="1"/>
    <col min="16077" max="16077" width="7.42578125" bestFit="1" customWidth="1"/>
    <col min="16078" max="16078" width="8.5703125" bestFit="1" customWidth="1"/>
    <col min="16079" max="16079" width="11.5703125" bestFit="1" customWidth="1"/>
    <col min="16080" max="16080" width="13.28515625" bestFit="1" customWidth="1"/>
    <col min="16081" max="16081" width="13.28515625" customWidth="1"/>
    <col min="16082" max="16082" width="13.140625" customWidth="1"/>
    <col min="16083" max="16083" width="12.7109375" bestFit="1" customWidth="1"/>
    <col min="16084" max="16084" width="13.28515625" bestFit="1" customWidth="1"/>
    <col min="16085" max="16087" width="13.28515625" customWidth="1"/>
    <col min="16088" max="16088" width="12.140625" bestFit="1" customWidth="1"/>
    <col min="16089" max="16089" width="12.7109375" bestFit="1" customWidth="1"/>
    <col min="16090" max="16090" width="11" customWidth="1"/>
    <col min="16091" max="16091" width="16.7109375" customWidth="1"/>
    <col min="16092" max="16092" width="17" customWidth="1"/>
    <col min="16093" max="16093" width="10.42578125" bestFit="1" customWidth="1"/>
    <col min="16137" max="16137" width="3.85546875" customWidth="1"/>
    <col min="16138" max="16138" width="15.28515625" bestFit="1" customWidth="1"/>
    <col min="16139" max="16139" width="12.28515625" customWidth="1"/>
    <col min="16140" max="16140" width="16.28515625" bestFit="1" customWidth="1"/>
    <col min="16141" max="16141" width="6.42578125" bestFit="1" customWidth="1"/>
    <col min="16142" max="16142" width="9.28515625" bestFit="1" customWidth="1"/>
    <col min="16143" max="16143" width="7.5703125" bestFit="1" customWidth="1"/>
    <col min="16144" max="16144" width="13.28515625" bestFit="1" customWidth="1"/>
    <col min="16145" max="16145" width="9.28515625" bestFit="1" customWidth="1"/>
    <col min="16146" max="16146" width="11.5703125" bestFit="1" customWidth="1"/>
    <col min="16147" max="16147" width="13.28515625" bestFit="1" customWidth="1"/>
    <col min="16148" max="16148" width="7.140625" bestFit="1" customWidth="1"/>
    <col min="16149" max="16149" width="12" bestFit="1" customWidth="1"/>
    <col min="16150" max="16150" width="13.28515625" bestFit="1" customWidth="1"/>
    <col min="16151" max="16151" width="7" bestFit="1" customWidth="1"/>
    <col min="16152" max="16152" width="12.7109375" bestFit="1" customWidth="1"/>
    <col min="16153" max="16153" width="11.5703125" bestFit="1" customWidth="1"/>
    <col min="16154" max="16154" width="10.5703125" bestFit="1" customWidth="1"/>
    <col min="16155" max="16156" width="15.7109375" bestFit="1" customWidth="1"/>
    <col min="16157" max="16157" width="11.5703125" bestFit="1" customWidth="1"/>
    <col min="16158" max="16158" width="7.7109375" bestFit="1" customWidth="1"/>
    <col min="16159" max="16159" width="15.140625" bestFit="1" customWidth="1"/>
    <col min="16160" max="16160" width="11.5703125" bestFit="1" customWidth="1"/>
    <col min="16161" max="16161" width="13.28515625" bestFit="1" customWidth="1"/>
    <col min="16162" max="16162" width="10.42578125" bestFit="1" customWidth="1"/>
    <col min="16163" max="16163" width="13.28515625" bestFit="1" customWidth="1"/>
    <col min="16164" max="16164" width="12.140625" bestFit="1" customWidth="1"/>
    <col min="16165" max="16165" width="14.42578125" bestFit="1" customWidth="1"/>
    <col min="16166" max="16166" width="13.28515625" bestFit="1" customWidth="1"/>
    <col min="16167" max="16167" width="11.5703125" bestFit="1" customWidth="1"/>
    <col min="16168" max="16168" width="7.7109375" bestFit="1" customWidth="1"/>
    <col min="16169" max="16170" width="14.42578125" bestFit="1" customWidth="1"/>
    <col min="16171" max="16171" width="11.5703125" bestFit="1" customWidth="1"/>
    <col min="16172" max="16172" width="7.7109375" bestFit="1" customWidth="1"/>
    <col min="16173" max="16173" width="13.5703125" customWidth="1"/>
    <col min="16174" max="16174" width="15.28515625" customWidth="1"/>
    <col min="16175" max="16175" width="14.5703125" customWidth="1"/>
    <col min="16176" max="16176" width="13.28515625" bestFit="1" customWidth="1"/>
    <col min="16177" max="16177" width="7.7109375" bestFit="1" customWidth="1"/>
    <col min="16178" max="16178" width="12.7109375" bestFit="1" customWidth="1"/>
    <col min="16179" max="16179" width="11.7109375" bestFit="1" customWidth="1"/>
    <col min="16180" max="16180" width="11.5703125" bestFit="1" customWidth="1"/>
    <col min="16181" max="16181" width="5.28515625" bestFit="1" customWidth="1"/>
    <col min="16182" max="16182" width="13.28515625" bestFit="1" customWidth="1"/>
    <col min="16183" max="16183" width="13.5703125" bestFit="1" customWidth="1"/>
    <col min="16184" max="16184" width="10.5703125" bestFit="1" customWidth="1"/>
    <col min="16185" max="16185" width="13.28515625" bestFit="1" customWidth="1"/>
    <col min="16186" max="16186" width="11.5703125" bestFit="1" customWidth="1"/>
    <col min="16187" max="16187" width="10.5703125" bestFit="1" customWidth="1"/>
    <col min="16188" max="16188" width="16.140625" bestFit="1" customWidth="1"/>
    <col min="16189" max="16190" width="11.28515625" bestFit="1" customWidth="1"/>
    <col min="16191" max="16191" width="13.28515625" bestFit="1" customWidth="1"/>
    <col min="16192" max="16192" width="7.7109375" bestFit="1" customWidth="1"/>
    <col min="16193" max="16196" width="9.140625" hidden="1" customWidth="1"/>
    <col min="16197" max="16197" width="10.42578125" bestFit="1" customWidth="1"/>
    <col min="16198" max="16198" width="10.5703125" bestFit="1" customWidth="1"/>
    <col min="16199" max="16199" width="10.42578125" bestFit="1" customWidth="1"/>
    <col min="16200" max="16200" width="10.5703125" bestFit="1" customWidth="1"/>
    <col min="16201" max="16201" width="9.5703125" bestFit="1" customWidth="1"/>
    <col min="16202" max="16202" width="11.5703125" bestFit="1" customWidth="1"/>
    <col min="16203" max="16203" width="10.42578125" bestFit="1" customWidth="1"/>
    <col min="16204" max="16204" width="10.85546875" customWidth="1"/>
    <col min="16205" max="16206" width="9.85546875" bestFit="1" customWidth="1"/>
    <col min="16207" max="16207" width="13.5703125" bestFit="1" customWidth="1"/>
    <col min="16208" max="16208" width="7.7109375" bestFit="1" customWidth="1"/>
    <col min="16209" max="16209" width="13.28515625" bestFit="1" customWidth="1"/>
    <col min="16210" max="16210" width="11.5703125" bestFit="1" customWidth="1"/>
    <col min="16211" max="16211" width="10.42578125" bestFit="1" customWidth="1"/>
    <col min="16212" max="16212" width="7.7109375" bestFit="1" customWidth="1"/>
    <col min="16213" max="16213" width="11.5703125" bestFit="1" customWidth="1"/>
    <col min="16214" max="16214" width="10.85546875" bestFit="1" customWidth="1"/>
    <col min="16215" max="16215" width="13.28515625" bestFit="1" customWidth="1"/>
    <col min="16216" max="16216" width="10.85546875" bestFit="1" customWidth="1"/>
    <col min="16217" max="16218" width="7.5703125" bestFit="1" customWidth="1"/>
    <col min="16219" max="16220" width="10.42578125" bestFit="1" customWidth="1"/>
    <col min="16221" max="16221" width="11.5703125" bestFit="1" customWidth="1"/>
    <col min="16222" max="16222" width="5.28515625" bestFit="1" customWidth="1"/>
    <col min="16223" max="16223" width="10.28515625" bestFit="1" customWidth="1"/>
    <col min="16224" max="16224" width="10.42578125" bestFit="1" customWidth="1"/>
    <col min="16225" max="16225" width="11.5703125" bestFit="1" customWidth="1"/>
    <col min="16226" max="16226" width="5.28515625" bestFit="1" customWidth="1"/>
    <col min="16227" max="16229" width="11.5703125" bestFit="1" customWidth="1"/>
    <col min="16230" max="16230" width="5.28515625" bestFit="1" customWidth="1"/>
    <col min="16231" max="16232" width="10.42578125" bestFit="1" customWidth="1"/>
    <col min="16233" max="16233" width="11.5703125" bestFit="1" customWidth="1"/>
    <col min="16234" max="16234" width="5.28515625" bestFit="1" customWidth="1"/>
    <col min="16235" max="16235" width="14.28515625" bestFit="1" customWidth="1"/>
    <col min="16236" max="16236" width="13" bestFit="1" customWidth="1"/>
    <col min="16237" max="16237" width="11.5703125" bestFit="1" customWidth="1"/>
    <col min="16238" max="16238" width="8.85546875" bestFit="1" customWidth="1"/>
    <col min="16239" max="16239" width="14.42578125" bestFit="1" customWidth="1"/>
    <col min="16240" max="16240" width="10.42578125" bestFit="1" customWidth="1"/>
    <col min="16241" max="16241" width="12.28515625" bestFit="1" customWidth="1"/>
    <col min="16242" max="16242" width="13.85546875" bestFit="1" customWidth="1"/>
    <col min="16243" max="16243" width="11.28515625" customWidth="1"/>
    <col min="16244" max="16244" width="11.5703125" customWidth="1"/>
    <col min="16245" max="16245" width="13.42578125" bestFit="1" customWidth="1"/>
    <col min="16246" max="16246" width="10.42578125" customWidth="1"/>
    <col min="16247" max="16247" width="13.85546875" bestFit="1" customWidth="1"/>
    <col min="16248" max="16248" width="15.42578125" bestFit="1" customWidth="1"/>
    <col min="16249" max="16249" width="12.28515625" bestFit="1" customWidth="1"/>
    <col min="16250" max="16250" width="12.7109375" customWidth="1"/>
    <col min="16251" max="16251" width="10.7109375" bestFit="1" customWidth="1"/>
    <col min="16252" max="16252" width="9.85546875" customWidth="1"/>
    <col min="16253" max="16254" width="10.140625" bestFit="1" customWidth="1"/>
    <col min="16255" max="16255" width="7.5703125" bestFit="1" customWidth="1"/>
    <col min="16256" max="16256" width="9.42578125" bestFit="1" customWidth="1"/>
    <col min="16257" max="16257" width="14.5703125" bestFit="1" customWidth="1"/>
    <col min="16258" max="16258" width="14.85546875" customWidth="1"/>
    <col min="16259" max="16259" width="15.140625" bestFit="1" customWidth="1"/>
    <col min="16260" max="16260" width="12.140625" bestFit="1" customWidth="1"/>
    <col min="16261" max="16261" width="14.85546875" bestFit="1" customWidth="1"/>
    <col min="16262" max="16262" width="12.28515625" bestFit="1" customWidth="1"/>
    <col min="16263" max="16271" width="9.140625" hidden="1" customWidth="1"/>
    <col min="16272" max="16272" width="5.28515625" bestFit="1" customWidth="1"/>
    <col min="16273" max="16278" width="11.5703125" bestFit="1" customWidth="1"/>
    <col min="16279" max="16279" width="11.28515625" bestFit="1" customWidth="1"/>
    <col min="16280" max="16280" width="10.140625" bestFit="1" customWidth="1"/>
    <col min="16281" max="16281" width="11.5703125" bestFit="1" customWidth="1"/>
    <col min="16282" max="16282" width="16.140625" customWidth="1"/>
    <col min="16283" max="16283" width="13.42578125" customWidth="1"/>
    <col min="16284" max="16284" width="10.140625" bestFit="1" customWidth="1"/>
    <col min="16285" max="16285" width="12.85546875" bestFit="1" customWidth="1"/>
    <col min="16286" max="16286" width="12.28515625" bestFit="1" customWidth="1"/>
    <col min="16287" max="16287" width="11.28515625" bestFit="1" customWidth="1"/>
    <col min="16288" max="16288" width="11.5703125" bestFit="1" customWidth="1"/>
    <col min="16289" max="16289" width="10.85546875" bestFit="1" customWidth="1"/>
    <col min="16290" max="16290" width="11.28515625" bestFit="1" customWidth="1"/>
    <col min="16291" max="16291" width="10.140625" bestFit="1" customWidth="1"/>
    <col min="16292" max="16292" width="13.28515625" bestFit="1" customWidth="1"/>
    <col min="16293" max="16294" width="12.7109375" bestFit="1" customWidth="1"/>
    <col min="16295" max="16295" width="11" bestFit="1" customWidth="1"/>
    <col min="16296" max="16296" width="11.28515625" bestFit="1" customWidth="1"/>
    <col min="16297" max="16297" width="11.5703125" bestFit="1" customWidth="1"/>
    <col min="16298" max="16298" width="12.28515625" bestFit="1" customWidth="1"/>
    <col min="16299" max="16299" width="15.140625" bestFit="1" customWidth="1"/>
    <col min="16300" max="16300" width="14.42578125" bestFit="1" customWidth="1"/>
    <col min="16301" max="16301" width="12.28515625" bestFit="1" customWidth="1"/>
    <col min="16302" max="16302" width="15.140625" bestFit="1" customWidth="1"/>
    <col min="16303" max="16303" width="14.42578125" bestFit="1" customWidth="1"/>
    <col min="16304" max="16304" width="12.28515625" bestFit="1" customWidth="1"/>
    <col min="16305" max="16305" width="14.42578125" bestFit="1" customWidth="1"/>
    <col min="16306" max="16306" width="11.28515625" bestFit="1" customWidth="1"/>
    <col min="16307" max="16307" width="12.28515625" bestFit="1" customWidth="1"/>
    <col min="16308" max="16308" width="13" bestFit="1" customWidth="1"/>
    <col min="16309" max="16309" width="15.140625" bestFit="1" customWidth="1"/>
    <col min="16310" max="16310" width="12.28515625" bestFit="1" customWidth="1"/>
    <col min="16311" max="16311" width="13.85546875" bestFit="1" customWidth="1"/>
    <col min="16312" max="16312" width="11.28515625" bestFit="1" customWidth="1"/>
    <col min="16313" max="16313" width="12.28515625" bestFit="1" customWidth="1"/>
    <col min="16314" max="16314" width="13.85546875" bestFit="1" customWidth="1"/>
    <col min="16315" max="16316" width="15.140625" bestFit="1" customWidth="1"/>
    <col min="16317" max="16317" width="12.28515625" bestFit="1" customWidth="1"/>
    <col min="16318" max="16318" width="5.7109375" bestFit="1" customWidth="1"/>
    <col min="16319" max="16319" width="8.5703125" bestFit="1" customWidth="1"/>
    <col min="16320" max="16320" width="5.5703125" bestFit="1" customWidth="1"/>
    <col min="16321" max="16321" width="14.42578125" bestFit="1" customWidth="1"/>
    <col min="16322" max="16322" width="11.28515625" bestFit="1" customWidth="1"/>
    <col min="16323" max="16324" width="12.28515625" bestFit="1" customWidth="1"/>
    <col min="16325" max="16325" width="11.28515625" bestFit="1" customWidth="1"/>
    <col min="16326" max="16326" width="13.85546875" bestFit="1" customWidth="1"/>
    <col min="16327" max="16327" width="12" bestFit="1" customWidth="1"/>
    <col min="16328" max="16328" width="13.85546875" bestFit="1" customWidth="1"/>
    <col min="16329" max="16330" width="14.42578125" customWidth="1"/>
    <col min="16331" max="16331" width="10.140625" bestFit="1" customWidth="1"/>
    <col min="16332" max="16332" width="12.28515625" bestFit="1" customWidth="1"/>
    <col min="16333" max="16333" width="7.42578125" bestFit="1" customWidth="1"/>
    <col min="16334" max="16334" width="8.5703125" bestFit="1" customWidth="1"/>
    <col min="16335" max="16335" width="11.5703125" bestFit="1" customWidth="1"/>
    <col min="16336" max="16336" width="13.28515625" bestFit="1" customWidth="1"/>
    <col min="16337" max="16337" width="13.28515625" customWidth="1"/>
    <col min="16338" max="16338" width="13.140625" customWidth="1"/>
    <col min="16339" max="16339" width="12.7109375" bestFit="1" customWidth="1"/>
    <col min="16340" max="16340" width="13.28515625" bestFit="1" customWidth="1"/>
    <col min="16341" max="16343" width="13.28515625" customWidth="1"/>
    <col min="16344" max="16344" width="12.140625" bestFit="1" customWidth="1"/>
    <col min="16345" max="16345" width="12.7109375" bestFit="1" customWidth="1"/>
    <col min="16346" max="16346" width="11" customWidth="1"/>
    <col min="16347" max="16347" width="16.7109375" customWidth="1"/>
    <col min="16348" max="16348" width="17" customWidth="1"/>
    <col min="16349" max="16349" width="10.42578125" bestFit="1" customWidth="1"/>
  </cols>
  <sheetData>
    <row r="1" spans="1:293" x14ac:dyDescent="0.25">
      <c r="A1" s="1" t="s">
        <v>0</v>
      </c>
      <c r="CE1" s="2"/>
      <c r="ED1" s="3"/>
      <c r="EE1" s="3"/>
      <c r="EP1" s="2"/>
      <c r="FD1" s="2"/>
    </row>
    <row r="2" spans="1:293" x14ac:dyDescent="0.25">
      <c r="A2" s="1" t="s">
        <v>184</v>
      </c>
      <c r="ED2" s="3"/>
      <c r="EP2" s="2"/>
      <c r="FD2" s="2"/>
      <c r="FE2" s="3"/>
      <c r="GA2" t="s">
        <v>211</v>
      </c>
      <c r="GP2" s="447" t="s">
        <v>210</v>
      </c>
      <c r="GQ2" s="447"/>
    </row>
    <row r="3" spans="1:293" x14ac:dyDescent="0.25">
      <c r="A3" s="448" t="s">
        <v>1</v>
      </c>
      <c r="B3" s="449" t="s">
        <v>2</v>
      </c>
      <c r="C3" s="449"/>
      <c r="D3" s="449"/>
      <c r="E3" s="449"/>
      <c r="F3" s="449"/>
      <c r="G3" s="449"/>
      <c r="H3" s="420" t="s">
        <v>3</v>
      </c>
      <c r="I3" s="420"/>
      <c r="J3" s="420"/>
      <c r="K3" s="420"/>
      <c r="L3" s="420"/>
      <c r="M3" s="420"/>
      <c r="N3" s="420"/>
      <c r="O3" s="420" t="s">
        <v>4</v>
      </c>
      <c r="P3" s="420"/>
      <c r="Q3" s="420"/>
      <c r="R3" s="420"/>
      <c r="S3" s="420"/>
      <c r="T3" s="420"/>
      <c r="U3" s="420"/>
      <c r="V3" s="420"/>
      <c r="W3" s="420"/>
      <c r="X3" s="420"/>
      <c r="Y3" s="420"/>
      <c r="Z3" s="420"/>
      <c r="AA3" s="420"/>
      <c r="AB3" s="420"/>
      <c r="AC3" s="420"/>
      <c r="AD3" s="420"/>
      <c r="AE3" s="420"/>
      <c r="AF3" s="420"/>
      <c r="AG3" s="420"/>
      <c r="AH3" s="420"/>
      <c r="AI3" s="420"/>
      <c r="AJ3" s="420"/>
      <c r="AK3" s="420"/>
      <c r="AL3" s="420"/>
      <c r="AM3" s="420"/>
      <c r="AN3" s="420"/>
      <c r="AO3" s="420"/>
      <c r="AP3" s="420"/>
      <c r="AQ3" s="420"/>
      <c r="AR3" s="420"/>
      <c r="AS3" s="420"/>
      <c r="AT3" s="420"/>
      <c r="AU3" s="420"/>
      <c r="AV3" s="420"/>
      <c r="AW3" s="420"/>
      <c r="AX3" s="420"/>
      <c r="AY3" s="420"/>
      <c r="AZ3" s="420"/>
      <c r="BA3" s="420"/>
      <c r="BB3" s="420"/>
      <c r="BC3" s="420"/>
      <c r="BD3" s="420"/>
      <c r="BE3" s="433" t="s">
        <v>5</v>
      </c>
      <c r="BF3" s="445"/>
      <c r="BG3" s="434"/>
      <c r="BH3" s="403" t="s">
        <v>6</v>
      </c>
      <c r="BI3" s="417"/>
      <c r="BJ3" s="404"/>
      <c r="BK3" s="433" t="s">
        <v>7</v>
      </c>
      <c r="BL3" s="445"/>
      <c r="BM3" s="445"/>
      <c r="BN3" s="445"/>
      <c r="BO3" s="445"/>
      <c r="BP3" s="434"/>
      <c r="BQ3" s="420" t="s">
        <v>8</v>
      </c>
      <c r="BR3" s="420"/>
      <c r="BS3" s="450"/>
      <c r="BT3" s="451"/>
      <c r="BU3" s="420" t="s">
        <v>9</v>
      </c>
      <c r="BV3" s="420"/>
      <c r="BW3" s="420"/>
      <c r="BX3" s="420"/>
      <c r="BY3" s="420"/>
      <c r="BZ3" s="420"/>
      <c r="CA3" s="420"/>
      <c r="CB3" s="420"/>
      <c r="CC3" s="420"/>
      <c r="CD3" s="420"/>
      <c r="CE3" s="420"/>
      <c r="CF3" s="420"/>
      <c r="CG3" s="420"/>
      <c r="CH3" s="420"/>
      <c r="CI3" s="420"/>
      <c r="CJ3" s="420"/>
      <c r="CK3" s="420"/>
      <c r="CL3" s="420"/>
      <c r="CM3" s="420"/>
      <c r="CN3" s="420"/>
      <c r="CO3" s="420"/>
      <c r="CP3" s="420"/>
      <c r="CQ3" s="420"/>
      <c r="CR3" s="420"/>
      <c r="CS3" s="420"/>
      <c r="CT3" s="420"/>
      <c r="CU3" s="420"/>
      <c r="CV3" s="420"/>
      <c r="CW3" s="420"/>
      <c r="CX3" s="420"/>
      <c r="CY3" s="420"/>
      <c r="CZ3" s="420"/>
      <c r="DA3" s="420"/>
      <c r="DB3" s="420"/>
      <c r="DC3" s="420"/>
      <c r="DD3" s="420"/>
      <c r="DE3" s="420"/>
      <c r="DF3" s="420"/>
      <c r="DG3" s="420"/>
      <c r="DH3" s="438" t="s">
        <v>10</v>
      </c>
      <c r="DI3" s="421" t="s">
        <v>11</v>
      </c>
      <c r="DJ3" s="421"/>
      <c r="DK3" s="421"/>
      <c r="DL3" s="421"/>
      <c r="DM3" s="421"/>
      <c r="DN3" s="421"/>
      <c r="DO3" s="421"/>
      <c r="DP3" s="421"/>
      <c r="DQ3" s="408" t="s">
        <v>180</v>
      </c>
      <c r="DR3" s="409"/>
      <c r="DS3" s="408" t="s">
        <v>12</v>
      </c>
      <c r="DT3" s="409"/>
      <c r="DU3" s="440" t="s">
        <v>13</v>
      </c>
      <c r="DV3" s="441"/>
      <c r="DW3" s="441"/>
      <c r="DX3" s="441"/>
      <c r="DY3" s="441"/>
      <c r="DZ3" s="441"/>
      <c r="EA3" s="441"/>
      <c r="EB3" s="441"/>
      <c r="EC3" s="442"/>
      <c r="ED3" s="4"/>
      <c r="EE3" s="440" t="s">
        <v>14</v>
      </c>
      <c r="EF3" s="441"/>
      <c r="EG3" s="441"/>
      <c r="EH3" s="441"/>
      <c r="EI3" s="441"/>
      <c r="EJ3" s="441"/>
      <c r="EK3" s="441"/>
      <c r="EL3" s="441"/>
      <c r="EM3" s="442"/>
      <c r="EN3" s="5"/>
      <c r="EO3" s="446" t="s">
        <v>15</v>
      </c>
      <c r="EP3" s="446"/>
      <c r="EQ3" s="446"/>
      <c r="ER3" s="446"/>
      <c r="ES3" s="446"/>
      <c r="ET3" s="446"/>
      <c r="EU3" s="446"/>
      <c r="EV3" s="446"/>
      <c r="EW3" s="446"/>
      <c r="EX3" s="446"/>
      <c r="EY3" s="446"/>
      <c r="EZ3" s="446"/>
      <c r="FA3" s="446"/>
      <c r="FB3" s="446"/>
      <c r="FC3" s="446"/>
      <c r="FD3" s="446"/>
      <c r="FE3" s="446" t="s">
        <v>16</v>
      </c>
      <c r="FF3" s="446"/>
      <c r="FG3" s="446"/>
      <c r="FH3" s="446"/>
      <c r="FI3" s="446"/>
      <c r="FJ3" s="446"/>
      <c r="FK3" s="446"/>
      <c r="FL3" s="446"/>
      <c r="FM3" s="446"/>
      <c r="FN3" s="446"/>
      <c r="FO3" s="446"/>
      <c r="FP3" s="446"/>
      <c r="FQ3" s="446"/>
      <c r="FR3" s="446"/>
      <c r="FS3" s="446"/>
      <c r="FT3" s="446"/>
      <c r="FU3" s="446"/>
      <c r="FV3" s="446" t="s">
        <v>17</v>
      </c>
      <c r="FW3" s="446"/>
      <c r="FX3" s="446"/>
      <c r="FY3" s="446"/>
      <c r="FZ3" s="446"/>
      <c r="GA3" s="446"/>
      <c r="GB3" s="446"/>
      <c r="GC3" s="446"/>
      <c r="GD3" s="446"/>
      <c r="GE3" s="446"/>
      <c r="GF3" s="446"/>
      <c r="GG3" s="446"/>
      <c r="GH3" s="404" t="s">
        <v>18</v>
      </c>
      <c r="GI3" s="402"/>
      <c r="GJ3" s="402"/>
      <c r="GK3" s="402"/>
      <c r="GL3" s="402"/>
      <c r="GM3" s="402"/>
      <c r="GN3" s="403" t="s">
        <v>202</v>
      </c>
      <c r="GO3" s="417"/>
      <c r="GP3" s="404"/>
      <c r="GQ3" s="403" t="s">
        <v>209</v>
      </c>
      <c r="GR3" s="417"/>
      <c r="GS3" s="404"/>
      <c r="HH3" s="406" t="s">
        <v>256</v>
      </c>
      <c r="HI3" s="406"/>
      <c r="HJ3" s="406"/>
      <c r="HK3" s="406"/>
      <c r="HL3" s="406"/>
      <c r="HM3" s="406"/>
      <c r="HN3" s="406"/>
      <c r="HO3" s="406"/>
      <c r="HP3" s="406"/>
      <c r="HQ3" s="406"/>
      <c r="HR3" s="406"/>
      <c r="HS3" s="406"/>
      <c r="HT3" s="406"/>
      <c r="HU3" s="406"/>
      <c r="HV3" s="406"/>
      <c r="HW3" s="406"/>
      <c r="HX3" s="406"/>
      <c r="HY3" s="406"/>
      <c r="HZ3" s="406"/>
      <c r="IA3" s="406"/>
      <c r="IB3" s="406"/>
      <c r="IC3" s="406"/>
      <c r="ID3" s="406"/>
      <c r="IE3" s="406"/>
      <c r="IF3" s="406"/>
      <c r="IG3" s="406"/>
      <c r="IH3" s="406"/>
      <c r="II3" s="406"/>
      <c r="IJ3" s="406"/>
      <c r="IK3" s="406"/>
      <c r="IL3" s="406"/>
      <c r="IM3" s="406"/>
      <c r="IN3" s="406"/>
      <c r="IO3" s="406"/>
      <c r="IP3" s="406"/>
      <c r="IQ3" s="406"/>
      <c r="IR3" s="406"/>
      <c r="IS3" s="406"/>
      <c r="IT3" s="406"/>
      <c r="IU3" s="406"/>
      <c r="IV3" s="406"/>
      <c r="IW3" s="406"/>
      <c r="IX3" s="406"/>
      <c r="IY3" s="406"/>
      <c r="IZ3" s="406"/>
      <c r="JA3" s="406"/>
      <c r="JB3" s="406"/>
      <c r="JC3" s="406"/>
      <c r="JD3" s="406"/>
      <c r="JE3" s="406"/>
      <c r="JF3" s="406"/>
      <c r="JG3" s="406"/>
      <c r="JH3" s="406"/>
      <c r="JI3" s="406"/>
      <c r="JJ3" s="406"/>
      <c r="JK3" s="406"/>
      <c r="JL3" s="406"/>
      <c r="JM3" s="406"/>
      <c r="JN3" s="406"/>
      <c r="JO3" s="406"/>
      <c r="JP3" s="406"/>
      <c r="JQ3" s="406"/>
      <c r="JR3" s="406"/>
      <c r="JS3" s="406"/>
      <c r="JT3" s="406"/>
      <c r="JU3" s="406"/>
      <c r="JV3" s="406"/>
      <c r="JW3" s="406"/>
      <c r="JX3" s="406"/>
      <c r="JY3" s="406"/>
      <c r="JZ3" s="406"/>
      <c r="KA3" s="406"/>
      <c r="KB3" s="406"/>
      <c r="KC3" s="406"/>
      <c r="KD3" s="406"/>
      <c r="KE3" s="406"/>
    </row>
    <row r="4" spans="1:293" x14ac:dyDescent="0.25">
      <c r="A4" s="448"/>
      <c r="B4" s="449"/>
      <c r="C4" s="449"/>
      <c r="D4" s="449"/>
      <c r="E4" s="449"/>
      <c r="F4" s="449"/>
      <c r="G4" s="449"/>
      <c r="H4" s="420"/>
      <c r="I4" s="420"/>
      <c r="J4" s="420"/>
      <c r="K4" s="420"/>
      <c r="L4" s="420"/>
      <c r="M4" s="420"/>
      <c r="N4" s="420"/>
      <c r="O4" s="420" t="s">
        <v>20</v>
      </c>
      <c r="P4" s="420"/>
      <c r="Q4" s="420"/>
      <c r="R4" s="420"/>
      <c r="S4" s="420"/>
      <c r="T4" s="420"/>
      <c r="U4" s="420"/>
      <c r="V4" s="420"/>
      <c r="W4" s="420"/>
      <c r="X4" s="420"/>
      <c r="Y4" s="420"/>
      <c r="Z4" s="420"/>
      <c r="AA4" s="420"/>
      <c r="AB4" s="420"/>
      <c r="AC4" s="420"/>
      <c r="AD4" s="420"/>
      <c r="AE4" s="420"/>
      <c r="AF4" s="420"/>
      <c r="AG4" s="420"/>
      <c r="AH4" s="420"/>
      <c r="AI4" s="420"/>
      <c r="AJ4" s="7"/>
      <c r="AK4" s="430" t="s">
        <v>21</v>
      </c>
      <c r="AL4" s="420" t="s">
        <v>22</v>
      </c>
      <c r="AM4" s="420"/>
      <c r="AN4" s="420"/>
      <c r="AO4" s="420"/>
      <c r="AP4" s="420"/>
      <c r="AQ4" s="420"/>
      <c r="AR4" s="420"/>
      <c r="AS4" s="420"/>
      <c r="AT4" s="420"/>
      <c r="AU4" s="420"/>
      <c r="AV4" s="420"/>
      <c r="AW4" s="420"/>
      <c r="AX4" s="420"/>
      <c r="AY4" s="420"/>
      <c r="AZ4" s="420"/>
      <c r="BA4" s="420"/>
      <c r="BB4" s="420"/>
      <c r="BC4" s="420"/>
      <c r="BD4" s="430" t="s">
        <v>23</v>
      </c>
      <c r="BE4" s="420" t="s">
        <v>24</v>
      </c>
      <c r="BF4" s="420"/>
      <c r="BG4" s="420"/>
      <c r="BH4" s="7"/>
      <c r="BI4" s="7"/>
      <c r="BJ4" s="7"/>
      <c r="BK4" s="420" t="s">
        <v>25</v>
      </c>
      <c r="BL4" s="420"/>
      <c r="BM4" s="420" t="s">
        <v>26</v>
      </c>
      <c r="BN4" s="420"/>
      <c r="BO4" s="427" t="s">
        <v>27</v>
      </c>
      <c r="BP4" s="427"/>
      <c r="BQ4" s="420"/>
      <c r="BR4" s="420"/>
      <c r="BS4" s="428" t="s">
        <v>28</v>
      </c>
      <c r="BT4" s="429"/>
      <c r="BU4" s="420"/>
      <c r="BV4" s="420"/>
      <c r="BW4" s="420"/>
      <c r="BX4" s="420"/>
      <c r="BY4" s="420"/>
      <c r="BZ4" s="420"/>
      <c r="CA4" s="420"/>
      <c r="CB4" s="420"/>
      <c r="CC4" s="420"/>
      <c r="CD4" s="420"/>
      <c r="CE4" s="420"/>
      <c r="CF4" s="420"/>
      <c r="CG4" s="420"/>
      <c r="CH4" s="420"/>
      <c r="CI4" s="420"/>
      <c r="CJ4" s="420"/>
      <c r="CK4" s="420"/>
      <c r="CL4" s="420"/>
      <c r="CM4" s="420"/>
      <c r="CN4" s="420"/>
      <c r="CO4" s="420"/>
      <c r="CP4" s="420"/>
      <c r="CQ4" s="420"/>
      <c r="CR4" s="420"/>
      <c r="CS4" s="420"/>
      <c r="CT4" s="420"/>
      <c r="CU4" s="420"/>
      <c r="CV4" s="420"/>
      <c r="CW4" s="420"/>
      <c r="CX4" s="420"/>
      <c r="CY4" s="420"/>
      <c r="CZ4" s="420"/>
      <c r="DA4" s="420"/>
      <c r="DB4" s="420"/>
      <c r="DC4" s="420"/>
      <c r="DD4" s="420"/>
      <c r="DE4" s="420"/>
      <c r="DF4" s="420"/>
      <c r="DG4" s="420"/>
      <c r="DH4" s="439"/>
      <c r="DI4" s="421"/>
      <c r="DJ4" s="421"/>
      <c r="DK4" s="421"/>
      <c r="DL4" s="421"/>
      <c r="DM4" s="421"/>
      <c r="DN4" s="421"/>
      <c r="DO4" s="421"/>
      <c r="DP4" s="421"/>
      <c r="DQ4" s="410"/>
      <c r="DR4" s="411"/>
      <c r="DS4" s="410"/>
      <c r="DT4" s="411"/>
      <c r="DU4" s="435" t="s">
        <v>29</v>
      </c>
      <c r="DV4" s="436"/>
      <c r="DW4" s="437"/>
      <c r="DX4" s="435" t="s">
        <v>30</v>
      </c>
      <c r="DY4" s="436"/>
      <c r="DZ4" s="437"/>
      <c r="EA4" s="435"/>
      <c r="EB4" s="436"/>
      <c r="EC4" s="437"/>
      <c r="ED4" s="8" t="s">
        <v>31</v>
      </c>
      <c r="EE4" s="435"/>
      <c r="EF4" s="436"/>
      <c r="EG4" s="437"/>
      <c r="EH4" s="435"/>
      <c r="EI4" s="436"/>
      <c r="EJ4" s="437"/>
      <c r="EK4" s="435"/>
      <c r="EL4" s="436"/>
      <c r="EM4" s="437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403" t="s">
        <v>33</v>
      </c>
      <c r="FW4" s="417"/>
      <c r="FX4" s="417"/>
      <c r="FY4" s="417" t="s">
        <v>33</v>
      </c>
      <c r="FZ4" s="417"/>
      <c r="GA4" s="417"/>
      <c r="GB4" s="417"/>
      <c r="GC4" s="417"/>
      <c r="GD4" s="417"/>
      <c r="GE4" s="417"/>
      <c r="GF4" s="417"/>
      <c r="GG4" s="404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402" t="s">
        <v>252</v>
      </c>
      <c r="HH4" s="491" t="s">
        <v>106</v>
      </c>
      <c r="HI4" s="491"/>
      <c r="HJ4" s="491"/>
      <c r="HK4" s="491" t="s">
        <v>258</v>
      </c>
      <c r="HL4" s="491"/>
      <c r="HM4" s="491"/>
      <c r="HN4" s="507" t="s">
        <v>259</v>
      </c>
      <c r="HO4" s="508"/>
      <c r="HP4" s="508"/>
      <c r="HQ4" s="508"/>
      <c r="HR4" s="508"/>
      <c r="HS4" s="508"/>
      <c r="HT4" s="508"/>
      <c r="HU4" s="508"/>
      <c r="HV4" s="508"/>
      <c r="HW4" s="508"/>
      <c r="HX4" s="508"/>
      <c r="HY4" s="508"/>
      <c r="HZ4" s="508"/>
      <c r="IA4" s="508"/>
      <c r="IB4" s="508"/>
      <c r="IC4" s="508"/>
      <c r="ID4" s="508"/>
      <c r="IE4" s="508"/>
      <c r="IF4" s="508"/>
      <c r="IG4" s="508"/>
      <c r="IH4" s="509"/>
      <c r="II4" s="494" t="s">
        <v>283</v>
      </c>
      <c r="IJ4" s="493" t="s">
        <v>204</v>
      </c>
      <c r="IK4" s="493"/>
      <c r="IL4" s="493"/>
      <c r="IM4" s="493"/>
      <c r="IN4" s="493"/>
      <c r="IO4" s="493"/>
      <c r="IP4" s="493"/>
      <c r="IQ4" s="493"/>
      <c r="IR4" s="493"/>
      <c r="IS4" s="493"/>
      <c r="IT4" s="493"/>
      <c r="IU4" s="493"/>
      <c r="IV4" s="492" t="s">
        <v>260</v>
      </c>
      <c r="IW4" s="492"/>
      <c r="IX4" s="492"/>
      <c r="IY4" s="492"/>
      <c r="IZ4" s="492"/>
      <c r="JA4" s="492"/>
      <c r="JB4" s="492"/>
      <c r="JC4" s="492"/>
      <c r="JD4" s="492"/>
      <c r="JE4" s="492"/>
      <c r="JF4" s="492"/>
      <c r="JG4" s="492"/>
      <c r="JH4" s="492"/>
      <c r="JI4" s="492"/>
      <c r="JJ4" s="492"/>
      <c r="JK4" s="492"/>
      <c r="JL4" s="492"/>
      <c r="JM4" s="492"/>
      <c r="JN4" s="496" t="s">
        <v>261</v>
      </c>
      <c r="JO4" s="496"/>
      <c r="JP4" s="496"/>
      <c r="JQ4" s="496"/>
      <c r="JR4" s="496"/>
      <c r="JS4" s="496"/>
      <c r="JT4" s="496"/>
      <c r="JU4" s="496"/>
      <c r="JV4" s="496"/>
      <c r="JW4" s="496"/>
      <c r="JX4" s="496"/>
      <c r="JY4" s="496"/>
      <c r="JZ4" s="496"/>
      <c r="KA4" s="496"/>
      <c r="KB4" s="496"/>
      <c r="KC4" s="496"/>
      <c r="KD4" s="496"/>
      <c r="KE4" s="496"/>
      <c r="KG4" t="s">
        <v>98</v>
      </c>
    </row>
    <row r="5" spans="1:293" x14ac:dyDescent="0.25">
      <c r="A5" s="448"/>
      <c r="B5" s="452" t="s">
        <v>35</v>
      </c>
      <c r="C5" s="452"/>
      <c r="D5" s="452"/>
      <c r="E5" s="452" t="s">
        <v>36</v>
      </c>
      <c r="F5" s="452"/>
      <c r="G5" s="15" t="s">
        <v>37</v>
      </c>
      <c r="H5" s="420" t="s">
        <v>38</v>
      </c>
      <c r="I5" s="420"/>
      <c r="J5" s="420"/>
      <c r="K5" s="420"/>
      <c r="L5" s="420" t="s">
        <v>39</v>
      </c>
      <c r="M5" s="420"/>
      <c r="N5" s="420"/>
      <c r="O5" s="420" t="s">
        <v>40</v>
      </c>
      <c r="P5" s="420"/>
      <c r="Q5" s="420"/>
      <c r="R5" s="7"/>
      <c r="S5" s="420" t="s">
        <v>41</v>
      </c>
      <c r="T5" s="420"/>
      <c r="U5" s="420" t="s">
        <v>42</v>
      </c>
      <c r="V5" s="420"/>
      <c r="W5" s="420" t="s">
        <v>43</v>
      </c>
      <c r="X5" s="420"/>
      <c r="Y5" s="431" t="s">
        <v>44</v>
      </c>
      <c r="Z5" s="432"/>
      <c r="AA5" s="433" t="s">
        <v>188</v>
      </c>
      <c r="AB5" s="434"/>
      <c r="AC5" s="420" t="s">
        <v>45</v>
      </c>
      <c r="AD5" s="420"/>
      <c r="AE5" s="420"/>
      <c r="AF5" s="420"/>
      <c r="AG5" s="420" t="s">
        <v>46</v>
      </c>
      <c r="AH5" s="420"/>
      <c r="AI5" s="420"/>
      <c r="AJ5" s="420"/>
      <c r="AK5" s="430"/>
      <c r="AL5" s="421" t="s">
        <v>47</v>
      </c>
      <c r="AM5" s="421"/>
      <c r="AN5" s="421"/>
      <c r="AO5" s="421"/>
      <c r="AP5" s="421" t="s">
        <v>48</v>
      </c>
      <c r="AQ5" s="421"/>
      <c r="AR5" s="421"/>
      <c r="AS5" s="421"/>
      <c r="AT5" s="422" t="s">
        <v>49</v>
      </c>
      <c r="AU5" s="423"/>
      <c r="AV5" s="422" t="s">
        <v>50</v>
      </c>
      <c r="AW5" s="423"/>
      <c r="AX5" s="421" t="s">
        <v>51</v>
      </c>
      <c r="AY5" s="421"/>
      <c r="AZ5" s="421"/>
      <c r="BA5" s="421" t="s">
        <v>52</v>
      </c>
      <c r="BB5" s="421"/>
      <c r="BC5" s="421"/>
      <c r="BD5" s="430"/>
      <c r="BE5" s="420"/>
      <c r="BF5" s="420"/>
      <c r="BG5" s="420"/>
      <c r="BH5" s="16"/>
      <c r="BI5" s="16"/>
      <c r="BJ5" s="16"/>
      <c r="BK5" s="420"/>
      <c r="BL5" s="420"/>
      <c r="BM5" s="420"/>
      <c r="BN5" s="420"/>
      <c r="BO5" s="427"/>
      <c r="BP5" s="427"/>
      <c r="BQ5" s="420"/>
      <c r="BR5" s="420"/>
      <c r="BS5" s="443" t="s">
        <v>53</v>
      </c>
      <c r="BT5" s="444"/>
      <c r="BU5" s="420" t="s">
        <v>54</v>
      </c>
      <c r="BV5" s="420"/>
      <c r="BW5" s="420"/>
      <c r="BX5" s="420"/>
      <c r="BY5" s="433" t="s">
        <v>55</v>
      </c>
      <c r="BZ5" s="445"/>
      <c r="CA5" s="445"/>
      <c r="CB5" s="434"/>
      <c r="CC5" s="420" t="s">
        <v>56</v>
      </c>
      <c r="CD5" s="420"/>
      <c r="CE5" s="420" t="s">
        <v>57</v>
      </c>
      <c r="CF5" s="420"/>
      <c r="CG5" s="420" t="s">
        <v>58</v>
      </c>
      <c r="CH5" s="420"/>
      <c r="CI5" s="420" t="s">
        <v>59</v>
      </c>
      <c r="CJ5" s="420"/>
      <c r="CK5" s="420"/>
      <c r="CL5" s="420"/>
      <c r="CM5" s="420" t="s">
        <v>60</v>
      </c>
      <c r="CN5" s="420"/>
      <c r="CO5" s="420"/>
      <c r="CP5" s="420"/>
      <c r="CQ5" s="421" t="s">
        <v>61</v>
      </c>
      <c r="CR5" s="421"/>
      <c r="CS5" s="421"/>
      <c r="CT5" s="421"/>
      <c r="CU5" s="421" t="s">
        <v>62</v>
      </c>
      <c r="CV5" s="421"/>
      <c r="CW5" s="421"/>
      <c r="CX5" s="421"/>
      <c r="CY5" s="421" t="s">
        <v>63</v>
      </c>
      <c r="CZ5" s="421"/>
      <c r="DA5" s="421"/>
      <c r="DB5" s="421"/>
      <c r="DC5" s="421" t="s">
        <v>64</v>
      </c>
      <c r="DD5" s="421"/>
      <c r="DE5" s="421"/>
      <c r="DF5" s="421"/>
      <c r="DG5" s="17" t="s">
        <v>65</v>
      </c>
      <c r="DH5" s="17"/>
      <c r="DI5" s="421"/>
      <c r="DJ5" s="421"/>
      <c r="DK5" s="421"/>
      <c r="DL5" s="421"/>
      <c r="DM5" s="421"/>
      <c r="DN5" s="421"/>
      <c r="DO5" s="421"/>
      <c r="DP5" s="421"/>
      <c r="DQ5" s="412"/>
      <c r="DR5" s="413"/>
      <c r="DS5" s="412"/>
      <c r="DT5" s="413"/>
      <c r="DU5" s="424" t="s">
        <v>66</v>
      </c>
      <c r="DV5" s="425"/>
      <c r="DW5" s="426"/>
      <c r="DX5" s="424" t="s">
        <v>67</v>
      </c>
      <c r="DY5" s="425"/>
      <c r="DZ5" s="426"/>
      <c r="EA5" s="424" t="s">
        <v>68</v>
      </c>
      <c r="EB5" s="425"/>
      <c r="EC5" s="426"/>
      <c r="ED5" s="18"/>
      <c r="EE5" s="424" t="s">
        <v>69</v>
      </c>
      <c r="EF5" s="425"/>
      <c r="EG5" s="426"/>
      <c r="EH5" s="424" t="s">
        <v>70</v>
      </c>
      <c r="EI5" s="425"/>
      <c r="EJ5" s="426"/>
      <c r="EK5" s="424" t="s">
        <v>71</v>
      </c>
      <c r="EL5" s="425"/>
      <c r="EM5" s="426"/>
      <c r="EN5" s="19"/>
      <c r="EO5" s="403" t="s">
        <v>72</v>
      </c>
      <c r="EP5" s="417"/>
      <c r="EQ5" s="404"/>
      <c r="ER5" s="403" t="s">
        <v>73</v>
      </c>
      <c r="ES5" s="417"/>
      <c r="ET5" s="404"/>
      <c r="EU5" s="403" t="s">
        <v>74</v>
      </c>
      <c r="EV5" s="417"/>
      <c r="EW5" s="404"/>
      <c r="EX5" s="403" t="s">
        <v>75</v>
      </c>
      <c r="EY5" s="417"/>
      <c r="EZ5" s="404"/>
      <c r="FA5" s="20"/>
      <c r="FB5" s="403" t="s">
        <v>76</v>
      </c>
      <c r="FC5" s="404"/>
      <c r="FD5" s="16" t="s">
        <v>77</v>
      </c>
      <c r="FE5" s="403" t="s">
        <v>72</v>
      </c>
      <c r="FF5" s="417"/>
      <c r="FG5" s="404"/>
      <c r="FH5" s="403" t="s">
        <v>73</v>
      </c>
      <c r="FI5" s="417"/>
      <c r="FJ5" s="404"/>
      <c r="FK5" s="10" t="s">
        <v>78</v>
      </c>
      <c r="FL5" s="11"/>
      <c r="FM5" s="21"/>
      <c r="FN5" s="403" t="s">
        <v>75</v>
      </c>
      <c r="FO5" s="417"/>
      <c r="FP5" s="404"/>
      <c r="FQ5" s="403" t="s">
        <v>79</v>
      </c>
      <c r="FR5" s="417"/>
      <c r="FS5" s="404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402"/>
      <c r="HH5" s="16"/>
      <c r="HI5" s="16"/>
      <c r="HJ5" s="16"/>
      <c r="HK5" s="16"/>
      <c r="HL5" s="16"/>
      <c r="HM5" s="16"/>
      <c r="HN5" s="403" t="s">
        <v>204</v>
      </c>
      <c r="HO5" s="417"/>
      <c r="HP5" s="404"/>
      <c r="HQ5" s="403" t="s">
        <v>260</v>
      </c>
      <c r="HR5" s="417"/>
      <c r="HS5" s="404"/>
      <c r="HT5" s="403" t="s">
        <v>261</v>
      </c>
      <c r="HU5" s="417"/>
      <c r="HV5" s="404"/>
      <c r="HW5" s="403" t="s">
        <v>318</v>
      </c>
      <c r="HX5" s="417"/>
      <c r="HY5" s="404"/>
      <c r="HZ5" s="403" t="s">
        <v>346</v>
      </c>
      <c r="IA5" s="417"/>
      <c r="IB5" s="404"/>
      <c r="IC5" s="403" t="s">
        <v>357</v>
      </c>
      <c r="ID5" s="417"/>
      <c r="IE5" s="404"/>
      <c r="IF5" s="402" t="s">
        <v>65</v>
      </c>
      <c r="IG5" s="402"/>
      <c r="IH5" s="402"/>
      <c r="II5" s="495"/>
      <c r="IJ5" s="402" t="s">
        <v>262</v>
      </c>
      <c r="IK5" s="402"/>
      <c r="IL5" s="402"/>
      <c r="IM5" s="402" t="s">
        <v>263</v>
      </c>
      <c r="IN5" s="402"/>
      <c r="IO5" s="402"/>
      <c r="IP5" s="402" t="s">
        <v>264</v>
      </c>
      <c r="IQ5" s="402"/>
      <c r="IR5" s="402"/>
      <c r="IS5" s="402" t="s">
        <v>265</v>
      </c>
      <c r="IT5" s="402"/>
      <c r="IU5" s="402"/>
      <c r="IV5" s="402" t="s">
        <v>152</v>
      </c>
      <c r="IW5" s="402"/>
      <c r="IX5" s="402"/>
      <c r="IY5" s="402" t="s">
        <v>266</v>
      </c>
      <c r="IZ5" s="402"/>
      <c r="JA5" s="402"/>
      <c r="JB5" s="402" t="s">
        <v>165</v>
      </c>
      <c r="JC5" s="402"/>
      <c r="JD5" s="402"/>
      <c r="JE5" s="402" t="s">
        <v>267</v>
      </c>
      <c r="JF5" s="402"/>
      <c r="JG5" s="402"/>
      <c r="JH5" s="402" t="s">
        <v>268</v>
      </c>
      <c r="JI5" s="402"/>
      <c r="JJ5" s="402"/>
      <c r="JK5" s="402" t="s">
        <v>269</v>
      </c>
      <c r="JL5" s="402"/>
      <c r="JM5" s="402"/>
      <c r="JN5" s="402" t="s">
        <v>152</v>
      </c>
      <c r="JO5" s="402"/>
      <c r="JP5" s="402"/>
      <c r="JQ5" s="402" t="s">
        <v>266</v>
      </c>
      <c r="JR5" s="402"/>
      <c r="JS5" s="402"/>
      <c r="JT5" s="402" t="s">
        <v>165</v>
      </c>
      <c r="JU5" s="402"/>
      <c r="JV5" s="402"/>
      <c r="JW5" s="402" t="s">
        <v>267</v>
      </c>
      <c r="JX5" s="402"/>
      <c r="JY5" s="402"/>
      <c r="JZ5" s="402" t="s">
        <v>268</v>
      </c>
      <c r="KA5" s="402"/>
      <c r="KB5" s="402"/>
      <c r="KC5" s="402" t="s">
        <v>269</v>
      </c>
      <c r="KD5" s="402"/>
      <c r="KE5" s="402"/>
    </row>
    <row r="6" spans="1:293" x14ac:dyDescent="0.25">
      <c r="A6" s="448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403" t="s">
        <v>99</v>
      </c>
      <c r="FW6" s="417"/>
      <c r="FX6" s="404"/>
      <c r="FY6" s="403" t="s">
        <v>100</v>
      </c>
      <c r="FZ6" s="417"/>
      <c r="GA6" s="404"/>
      <c r="GB6" s="403" t="s">
        <v>101</v>
      </c>
      <c r="GC6" s="417"/>
      <c r="GD6" s="404"/>
      <c r="GE6" s="403" t="s">
        <v>102</v>
      </c>
      <c r="GF6" s="417"/>
      <c r="GG6" s="404"/>
      <c r="GH6" s="403" t="s">
        <v>103</v>
      </c>
      <c r="GI6" s="417"/>
      <c r="GJ6" s="404"/>
      <c r="GK6" s="403" t="s">
        <v>104</v>
      </c>
      <c r="GL6" s="417"/>
      <c r="GM6" s="404"/>
      <c r="GN6" s="33"/>
      <c r="GO6" s="33"/>
      <c r="GP6" s="33"/>
      <c r="GQ6" s="6"/>
      <c r="GR6" s="6"/>
      <c r="GS6" s="6"/>
      <c r="GT6" s="177"/>
      <c r="GU6" s="402" t="s">
        <v>105</v>
      </c>
      <c r="GV6" s="402"/>
      <c r="GW6" s="402"/>
      <c r="GX6" s="402"/>
      <c r="GY6" s="418"/>
      <c r="GZ6" s="406"/>
      <c r="HA6" s="406"/>
      <c r="HB6" s="406"/>
      <c r="HG6" s="402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7" t="s">
        <v>82</v>
      </c>
      <c r="IA6" s="207" t="s">
        <v>83</v>
      </c>
      <c r="IB6" s="207" t="s">
        <v>257</v>
      </c>
      <c r="IC6" s="207" t="s">
        <v>82</v>
      </c>
      <c r="ID6" s="207" t="s">
        <v>83</v>
      </c>
      <c r="IE6" s="207" t="s">
        <v>257</v>
      </c>
      <c r="IF6" s="207" t="s">
        <v>82</v>
      </c>
      <c r="IG6" s="207" t="s">
        <v>83</v>
      </c>
      <c r="IH6" s="207" t="s">
        <v>257</v>
      </c>
      <c r="II6" s="209"/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W6" s="207" t="s">
        <v>82</v>
      </c>
      <c r="JX6" s="207" t="s">
        <v>83</v>
      </c>
      <c r="JY6" s="207" t="s">
        <v>257</v>
      </c>
      <c r="JZ6" s="207" t="s">
        <v>82</v>
      </c>
      <c r="KA6" s="207" t="s">
        <v>83</v>
      </c>
      <c r="KB6" s="207" t="s">
        <v>257</v>
      </c>
      <c r="KC6" s="207" t="s">
        <v>82</v>
      </c>
      <c r="KD6" s="207" t="s">
        <v>83</v>
      </c>
      <c r="KE6" s="207" t="s">
        <v>257</v>
      </c>
      <c r="KG6" s="208" t="s">
        <v>78</v>
      </c>
    </row>
    <row r="7" spans="1:293" x14ac:dyDescent="0.25">
      <c r="A7" s="35">
        <v>1</v>
      </c>
      <c r="B7" s="38">
        <v>4105.8500000000004</v>
      </c>
      <c r="C7" s="38"/>
      <c r="D7" s="38"/>
      <c r="E7" s="38">
        <v>825.18</v>
      </c>
      <c r="F7" s="38"/>
      <c r="G7" s="38"/>
      <c r="H7" s="37"/>
      <c r="I7" s="39"/>
      <c r="J7" s="42"/>
      <c r="K7" s="37">
        <f>IF(J7&lt;=0,0,(J7/SQRT(J7^2+(I7-I6)^2)))</f>
        <v>0</v>
      </c>
      <c r="L7" s="40">
        <v>12427000</v>
      </c>
      <c r="M7" s="40"/>
      <c r="N7" s="37"/>
      <c r="O7" s="37">
        <v>10695</v>
      </c>
      <c r="P7" s="37"/>
      <c r="Q7" s="37"/>
      <c r="R7" s="37"/>
      <c r="S7" s="37">
        <v>11231861.859999999</v>
      </c>
      <c r="T7" s="37"/>
      <c r="U7" s="37">
        <v>1518173.85</v>
      </c>
      <c r="V7" s="37"/>
      <c r="W7" s="37">
        <v>3798.1</v>
      </c>
      <c r="X7" s="37"/>
      <c r="Y7" s="183"/>
      <c r="Z7" s="183"/>
      <c r="AA7" s="37">
        <v>733650</v>
      </c>
      <c r="AB7" s="37"/>
      <c r="AC7" s="37">
        <v>3975.6</v>
      </c>
      <c r="AD7" s="37"/>
      <c r="AE7" s="37"/>
      <c r="AF7" s="37"/>
      <c r="AG7" s="37">
        <v>8671</v>
      </c>
      <c r="AH7" s="37"/>
      <c r="AI7" s="37"/>
      <c r="AJ7" s="37"/>
      <c r="AK7" s="37"/>
      <c r="AL7" s="42">
        <v>10609</v>
      </c>
      <c r="AM7" s="42"/>
      <c r="AN7" s="37"/>
      <c r="AO7" s="37"/>
      <c r="AP7" s="37">
        <v>8164.4</v>
      </c>
      <c r="AQ7" s="37"/>
      <c r="AR7" s="37"/>
      <c r="AS7" s="37"/>
      <c r="AT7" s="183"/>
      <c r="AU7" s="183"/>
      <c r="AV7" s="183"/>
      <c r="AW7" s="183"/>
      <c r="AX7" s="37">
        <v>474808.12</v>
      </c>
      <c r="AY7" s="37"/>
      <c r="AZ7" s="37"/>
      <c r="BA7" s="37">
        <v>133350.46</v>
      </c>
      <c r="BB7" s="37"/>
      <c r="BC7" s="37"/>
      <c r="BD7" s="37"/>
      <c r="BE7" s="43">
        <v>1860.8</v>
      </c>
      <c r="BF7" s="43">
        <v>1021.3</v>
      </c>
      <c r="BG7" s="37"/>
      <c r="BH7" s="44">
        <v>8699.7000000000007</v>
      </c>
      <c r="BI7" s="44">
        <v>5595.3</v>
      </c>
      <c r="BJ7" s="37"/>
      <c r="BK7" s="40">
        <v>1473300</v>
      </c>
      <c r="BL7" s="40"/>
      <c r="BM7" s="40">
        <v>855.84</v>
      </c>
      <c r="BN7" s="37"/>
      <c r="BO7" s="186"/>
      <c r="BP7" s="183"/>
      <c r="BQ7" s="40">
        <v>809.94</v>
      </c>
      <c r="BR7" s="37"/>
      <c r="BS7" s="37">
        <v>93951.43</v>
      </c>
      <c r="BT7" s="37"/>
      <c r="BU7" s="42">
        <v>2532800</v>
      </c>
      <c r="BV7" s="42"/>
      <c r="BW7" s="37"/>
      <c r="BX7" s="37"/>
      <c r="BY7" s="43">
        <v>331.29</v>
      </c>
      <c r="BZ7" s="43"/>
      <c r="CA7" s="37"/>
      <c r="CB7" s="37"/>
      <c r="CC7" s="37">
        <v>595250</v>
      </c>
      <c r="CD7" s="37"/>
      <c r="CE7" s="41">
        <v>1041700</v>
      </c>
      <c r="CF7" s="37"/>
      <c r="CG7" s="37">
        <v>71456</v>
      </c>
      <c r="CH7" s="37"/>
      <c r="CI7" s="40">
        <v>12379</v>
      </c>
      <c r="CJ7" s="40"/>
      <c r="CK7" s="37"/>
      <c r="CL7" s="37"/>
      <c r="CM7" s="37">
        <v>3407.4</v>
      </c>
      <c r="CN7" s="37"/>
      <c r="CO7" s="37"/>
      <c r="CP7" s="37"/>
      <c r="CQ7" s="39">
        <v>19281</v>
      </c>
      <c r="CR7" s="39"/>
      <c r="CS7" s="37"/>
      <c r="CT7" s="37"/>
      <c r="CU7" s="37">
        <v>3011200</v>
      </c>
      <c r="CV7" s="41"/>
      <c r="CW7" s="38"/>
      <c r="CX7" s="37"/>
      <c r="CY7" s="37">
        <v>1568300</v>
      </c>
      <c r="CZ7" s="37"/>
      <c r="DA7" s="37"/>
      <c r="DB7" s="37"/>
      <c r="DC7" s="37"/>
      <c r="DD7" s="40"/>
      <c r="DE7" s="37" t="e">
        <f>IF((DC7-DC6)&lt;=0,0,(DC7-DC6))</f>
        <v>#VALUE!</v>
      </c>
      <c r="DF7" s="37" t="e">
        <f>IF(DE7&lt;=0,0,(DE7/SQRT(DE7^2+(DD7-DD6)^2)))</f>
        <v>#VALUE!</v>
      </c>
      <c r="DG7" s="37" t="e">
        <f t="shared" ref="DG7" si="0">(DE7)-DA7-CW7-CS7-CO7-CK7-BW7</f>
        <v>#VALUE!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3247200</v>
      </c>
      <c r="DR7" s="49"/>
      <c r="DS7" s="50">
        <v>3348200</v>
      </c>
      <c r="DT7" s="49"/>
      <c r="DU7" s="51">
        <v>7893.4</v>
      </c>
      <c r="DV7" s="51">
        <v>4421.8</v>
      </c>
      <c r="DW7" s="37"/>
      <c r="DX7" s="52">
        <v>13016</v>
      </c>
      <c r="DY7" s="52">
        <v>8384.4</v>
      </c>
      <c r="DZ7" s="37"/>
      <c r="EA7" s="49">
        <v>29648</v>
      </c>
      <c r="EB7" s="49">
        <v>20.713999999999999</v>
      </c>
      <c r="EC7" s="37"/>
      <c r="ED7" s="53"/>
      <c r="EE7" s="49">
        <v>44969</v>
      </c>
      <c r="EF7" s="49">
        <v>29.030999999999999</v>
      </c>
      <c r="EG7" s="37"/>
      <c r="EH7" s="51">
        <v>12835</v>
      </c>
      <c r="EI7" s="51">
        <v>1.7370000000000001</v>
      </c>
      <c r="EJ7" s="37"/>
      <c r="EK7" s="37">
        <v>779.45</v>
      </c>
      <c r="EL7" s="40">
        <v>1117</v>
      </c>
      <c r="EM7" s="37"/>
      <c r="EN7" s="54"/>
      <c r="EO7" s="48">
        <v>12837</v>
      </c>
      <c r="EP7" s="48">
        <v>4486.6000000000004</v>
      </c>
      <c r="EQ7" s="37"/>
      <c r="ER7" s="48">
        <v>9071.7999999999993</v>
      </c>
      <c r="ES7" s="55">
        <v>3718.8</v>
      </c>
      <c r="ET7" s="49"/>
      <c r="EU7" s="48">
        <v>3445.3</v>
      </c>
      <c r="EV7" s="48">
        <v>1225.3</v>
      </c>
      <c r="EW7" s="49"/>
      <c r="EX7" s="48">
        <v>13273</v>
      </c>
      <c r="EY7" s="48">
        <v>1.5208999999999999</v>
      </c>
      <c r="EZ7" s="37"/>
      <c r="FA7" s="48"/>
      <c r="FB7" s="48">
        <v>36082434</v>
      </c>
      <c r="FC7" s="49"/>
      <c r="FD7" s="48"/>
      <c r="FE7" s="153">
        <v>16869</v>
      </c>
      <c r="FF7" s="154">
        <v>6038.2</v>
      </c>
      <c r="FG7" s="37"/>
      <c r="FH7" s="48">
        <v>8429.5</v>
      </c>
      <c r="FI7" s="48">
        <v>3.2545000000000002</v>
      </c>
      <c r="FJ7" s="49"/>
      <c r="FK7" s="48"/>
      <c r="FL7" s="58"/>
      <c r="FM7" s="48"/>
      <c r="FN7" s="48">
        <v>16333</v>
      </c>
      <c r="FO7" s="48">
        <v>0.79400000000000004</v>
      </c>
      <c r="FP7" s="37"/>
      <c r="FQ7" s="48">
        <v>58008</v>
      </c>
      <c r="FR7" s="48">
        <v>14</v>
      </c>
      <c r="FS7" s="37"/>
      <c r="FT7" s="48"/>
      <c r="FU7" s="48"/>
      <c r="FV7" s="44">
        <v>3971800</v>
      </c>
      <c r="FW7" s="44">
        <v>1272700</v>
      </c>
      <c r="FX7" s="37"/>
      <c r="FY7" s="56">
        <v>3234.7</v>
      </c>
      <c r="FZ7" s="56">
        <v>1.9786999999999999</v>
      </c>
      <c r="GA7" s="37"/>
      <c r="GB7" s="56">
        <v>799.19</v>
      </c>
      <c r="GC7" s="56">
        <v>894.64</v>
      </c>
      <c r="GD7" s="37"/>
      <c r="GE7" s="56">
        <v>9878.4</v>
      </c>
      <c r="GF7" s="63">
        <v>3.2496999999999998</v>
      </c>
      <c r="GG7" s="37"/>
      <c r="GH7" s="48">
        <v>1925.9</v>
      </c>
      <c r="GI7" s="56">
        <v>1641.8</v>
      </c>
      <c r="GJ7" s="38"/>
      <c r="GK7" s="56">
        <v>1467.1</v>
      </c>
      <c r="GL7" s="44">
        <v>1119.7</v>
      </c>
      <c r="GM7" s="38"/>
      <c r="GN7" s="57">
        <v>172440</v>
      </c>
      <c r="GO7" s="57">
        <v>151380</v>
      </c>
      <c r="GP7" s="38"/>
      <c r="GQ7" s="38">
        <v>256710</v>
      </c>
      <c r="GR7" s="38">
        <v>252470</v>
      </c>
      <c r="GS7" s="38"/>
      <c r="GT7" s="178"/>
      <c r="GU7" s="144"/>
      <c r="GV7" s="59"/>
      <c r="GW7" s="60"/>
      <c r="GX7" s="61"/>
      <c r="GY7" s="140"/>
      <c r="GZ7" s="74"/>
      <c r="HA7" s="141"/>
      <c r="HB7" s="62"/>
      <c r="HC7" s="74"/>
      <c r="HD7" s="74"/>
      <c r="HE7" s="24">
        <v>0</v>
      </c>
      <c r="HG7" s="213">
        <v>1</v>
      </c>
      <c r="HH7" s="16">
        <v>7448.9</v>
      </c>
      <c r="HI7" s="16">
        <v>2900.9</v>
      </c>
      <c r="HJ7" s="16"/>
      <c r="HK7" s="16">
        <v>1.9189000000000001</v>
      </c>
      <c r="HL7" s="16">
        <v>660.93</v>
      </c>
      <c r="HM7" s="16"/>
      <c r="HN7" s="16">
        <v>2003</v>
      </c>
      <c r="HO7" s="16">
        <v>884.4</v>
      </c>
      <c r="HP7" s="16"/>
      <c r="HQ7" s="16">
        <v>1750.4</v>
      </c>
      <c r="HR7" s="16">
        <v>776.38</v>
      </c>
      <c r="HS7" s="16"/>
      <c r="HT7" s="16">
        <v>1453.8</v>
      </c>
      <c r="HU7" s="16">
        <v>577.55999999999995</v>
      </c>
      <c r="HV7" s="16"/>
      <c r="HW7" s="16">
        <v>483.09</v>
      </c>
      <c r="HX7" s="16">
        <v>229.73</v>
      </c>
      <c r="HY7" s="16"/>
      <c r="HZ7" s="16"/>
      <c r="IA7" s="16"/>
      <c r="IB7" s="16"/>
      <c r="IC7" s="16"/>
      <c r="ID7" s="16"/>
      <c r="IE7" s="16"/>
      <c r="IF7" s="16"/>
      <c r="IG7" s="16"/>
      <c r="IH7" s="128">
        <f t="shared" ref="IH7:IH38" si="1">DT7</f>
        <v>0</v>
      </c>
      <c r="II7" s="211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</row>
    <row r="8" spans="1:293" x14ac:dyDescent="0.25">
      <c r="A8" s="35">
        <f t="shared" ref="A8:A36" si="2">A7+1</f>
        <v>2</v>
      </c>
      <c r="B8" s="38">
        <v>4117.2700000000004</v>
      </c>
      <c r="C8" s="38">
        <f t="shared" ref="C8:C38" si="3">IF((B8-B7)&lt;=0,0,(B8-B7))</f>
        <v>11.420000000000073</v>
      </c>
      <c r="D8" s="38">
        <f t="shared" ref="D8:D38" si="4">IF((B8-B7)*32000&lt;=0,0,(B8-B7)*32000)</f>
        <v>365440.00000000233</v>
      </c>
      <c r="E8" s="38">
        <v>827.5</v>
      </c>
      <c r="F8" s="38">
        <f t="shared" ref="F8:F38" si="5">IF((E8-E7)*32000&lt;=0,0,(E8-E7)*32000)</f>
        <v>74240.000000001601</v>
      </c>
      <c r="G8" s="38">
        <f t="shared" ref="G8:G38" si="6">D8+F8</f>
        <v>439680.00000000396</v>
      </c>
      <c r="H8" s="37"/>
      <c r="I8" s="39"/>
      <c r="J8" s="42"/>
      <c r="K8" s="37">
        <f>IF(J8&lt;=0,0,(J8/SQRT(J8^2+(I8-I7)^2)))</f>
        <v>0</v>
      </c>
      <c r="L8" s="40">
        <v>12471000</v>
      </c>
      <c r="M8" s="40"/>
      <c r="N8" s="37">
        <f>IF((L8-L7)&lt;=0,0,(L8-L7)*10)</f>
        <v>440000</v>
      </c>
      <c r="O8" s="37">
        <v>10708</v>
      </c>
      <c r="P8" s="37"/>
      <c r="Q8" s="37">
        <f t="shared" ref="Q8:Q21" si="7">IF((O8-O7)&lt;=0,0,(O8-O7))*1000</f>
        <v>13000</v>
      </c>
      <c r="R8" s="37">
        <f>IF(Q8&lt;=0,0,(Q8/SQRT(Q8^2+(P8-P7)^2)))</f>
        <v>1</v>
      </c>
      <c r="S8" s="37">
        <v>11231861.890000001</v>
      </c>
      <c r="T8" s="37">
        <f t="shared" ref="T8:T38" si="8">IF((S8-S7)&lt;=0,0,(S8-S7))</f>
        <v>3.0000001192092896E-2</v>
      </c>
      <c r="U8" s="37">
        <v>1518173.85</v>
      </c>
      <c r="V8" s="37">
        <f t="shared" ref="V8:V35" si="9">IF((U8-U7)&lt;=0,0,(U8-U7))</f>
        <v>0</v>
      </c>
      <c r="W8" s="37">
        <v>3804.8</v>
      </c>
      <c r="X8" s="37">
        <f>Q8-T8-V8-AB8</f>
        <v>8419.9699999988079</v>
      </c>
      <c r="Y8" s="183"/>
      <c r="Z8" s="183"/>
      <c r="AA8" s="37">
        <v>738230</v>
      </c>
      <c r="AB8" s="37">
        <f t="shared" ref="AB8:AB38" si="10">IF((AA8-AA7)&lt;=0,0,(AA8-AA7))</f>
        <v>4580</v>
      </c>
      <c r="AC8" s="37">
        <v>3979.5</v>
      </c>
      <c r="AD8" s="37"/>
      <c r="AE8" s="37">
        <f t="shared" ref="AE8:AE21" si="11">IF((AC8-AC7)&lt;=0,0,(AC8-AC7))*1000</f>
        <v>3900.0000000000909</v>
      </c>
      <c r="AF8" s="37">
        <f>IF(AE8&lt;=0,0,(AE8/SQRT(AE8^2+(AD8-AD7)^2)))</f>
        <v>1</v>
      </c>
      <c r="AG8" s="37">
        <v>8679.5</v>
      </c>
      <c r="AH8" s="37"/>
      <c r="AI8" s="37">
        <f t="shared" ref="AI8:AI38" si="12">IF((AG8-AG7)&lt;=0,0,(AG8-AG7))*1000+GX8</f>
        <v>8307.36</v>
      </c>
      <c r="AJ8" s="37">
        <f t="shared" ref="AJ8:AJ38" si="13">IF(AI8&lt;=0,0,(AI8/SQRT(AI8^2+(AH8-AH7)^2)))</f>
        <v>1</v>
      </c>
      <c r="AK8" s="37">
        <f t="shared" ref="AK8:AK38" si="14">T8+V8+X8+AE8+AI8</f>
        <v>20627.360000000092</v>
      </c>
      <c r="AL8" s="42">
        <v>10621</v>
      </c>
      <c r="AM8" s="42"/>
      <c r="AN8" s="37">
        <f>IF((AL8-AL7)&lt;=0,0,(AL8-AL7))*1000+GX8-BL8-BN8-BP8-BR8</f>
        <v>6957.3600000001597</v>
      </c>
      <c r="AO8" s="37">
        <f>IF(AN8&lt;=0,0,(AN8/SQRT(AN8^2+(AM8-AM7)^2)))</f>
        <v>1</v>
      </c>
      <c r="AP8" s="37">
        <v>8176.1</v>
      </c>
      <c r="AQ8" s="37"/>
      <c r="AR8" s="37">
        <f t="shared" ref="AR8:AR38" si="15">IF((AP8-AP7)&lt;=0,0,(AP8-AP7))*1000</f>
        <v>11700.000000000728</v>
      </c>
      <c r="AS8" s="37">
        <f>IF(AR8&lt;=0,0,(AR8/SQRT(AR8^2+(AQ8-AQ7)^2)))</f>
        <v>1</v>
      </c>
      <c r="AT8" s="183"/>
      <c r="AU8" s="183"/>
      <c r="AV8" s="183"/>
      <c r="AW8" s="183"/>
      <c r="AX8" s="37">
        <v>475220.28</v>
      </c>
      <c r="AY8" s="37"/>
      <c r="AZ8" s="37">
        <f t="shared" ref="AZ8:AZ38" si="16">IF((AX8-AX7)&lt;=0,0,(AX8-AX7))</f>
        <v>412.1600000000326</v>
      </c>
      <c r="BA8" s="37">
        <v>133899.84</v>
      </c>
      <c r="BB8" s="37"/>
      <c r="BC8" s="37">
        <f t="shared" ref="BC8:BC38" si="17">IF((BA8-BA7)&lt;=0,0,(BA8-BA7))</f>
        <v>549.38000000000466</v>
      </c>
      <c r="BD8" s="37">
        <f>AN8+AR8+AZ8+BC8</f>
        <v>19618.900000000926</v>
      </c>
      <c r="BE8" s="43">
        <v>1863</v>
      </c>
      <c r="BF8" s="43">
        <v>1022.6</v>
      </c>
      <c r="BG8" s="37">
        <f t="shared" ref="BG8:BG38" si="18">IF((BE8-BE7)&lt;=0,0,(BE8-BE7))*1000</f>
        <v>2200.0000000000455</v>
      </c>
      <c r="BH8" s="44">
        <v>8708.9</v>
      </c>
      <c r="BI8" s="44">
        <v>5601</v>
      </c>
      <c r="BJ8" s="37">
        <f t="shared" ref="BJ8:BJ38" si="19">IF((BH8-BH7)&lt;=0,0,(BH8-BH7))*1000</f>
        <v>9199.9999999989086</v>
      </c>
      <c r="BK8" s="40">
        <v>1477100</v>
      </c>
      <c r="BL8" s="40">
        <f>IF((BK8-BK7)&lt;=0,0,(BK8-BK7))</f>
        <v>3800</v>
      </c>
      <c r="BM8" s="40">
        <v>856.52</v>
      </c>
      <c r="BN8" s="37">
        <f t="shared" ref="BN8:BN38" si="20">IF((BM8-BM7)&lt;=0,0,BM8-BM7)*1000</f>
        <v>679.99999999994998</v>
      </c>
      <c r="BO8" s="186"/>
      <c r="BP8" s="183">
        <f t="shared" ref="BP8:BP38" si="21">IF((BO8-BO7)&lt;=0,0,(BO8-BO7))*1000</f>
        <v>0</v>
      </c>
      <c r="BQ8" s="40">
        <v>810.31</v>
      </c>
      <c r="BR8" s="37">
        <f>IF((BQ8-BQ7)&lt;=0,0,(BQ8-BQ7))*1000</f>
        <v>369.99999999989086</v>
      </c>
      <c r="BS8" s="37">
        <v>94122.43</v>
      </c>
      <c r="BT8" s="37">
        <f t="shared" ref="BT8:BT38" si="22">IF((BS8-BS7)&lt;=0,0,(BS8-BS7))</f>
        <v>171</v>
      </c>
      <c r="BU8" s="42">
        <v>2541400</v>
      </c>
      <c r="BV8" s="42"/>
      <c r="BW8" s="37">
        <f t="shared" ref="BW8:BW38" si="23">IF((BU8-BU7)&lt;=0,0,(BU8-BU7))</f>
        <v>8600</v>
      </c>
      <c r="BX8" s="37">
        <f>IF(BW8&lt;=0,0,(BW8/SQRT(BW8^2+(BV8-BV7)^2)))</f>
        <v>1</v>
      </c>
      <c r="BY8" s="43">
        <v>331.83</v>
      </c>
      <c r="BZ8" s="43"/>
      <c r="CA8" s="37">
        <f t="shared" ref="CA8:CA16" si="24">IF((BY8-BY7)&lt;=0,0,(BY8-BY7)*1000)</f>
        <v>539.99999999996362</v>
      </c>
      <c r="CB8" s="37">
        <f>IF(CA8&lt;=0,0,(CA8/SQRT(CA8^2+(BZ8-BZ7)^2)))</f>
        <v>1</v>
      </c>
      <c r="CC8" s="37">
        <v>596750</v>
      </c>
      <c r="CD8" s="37">
        <f t="shared" ref="CD8:CD38" si="25">IF((CC8-CC7)&lt;=0,0,(CC8-CC7))</f>
        <v>1500</v>
      </c>
      <c r="CE8" s="41">
        <v>1048700</v>
      </c>
      <c r="CF8" s="37">
        <f t="shared" ref="CF8:CF38" si="26">IF((CE8-CE7)&lt;=0,0,(CE8-CE7))</f>
        <v>7000</v>
      </c>
      <c r="CG8" s="37">
        <v>71456</v>
      </c>
      <c r="CH8" s="37">
        <f>IF((CG8-CG7)&lt;=0,0,(CG8-CG7))</f>
        <v>0</v>
      </c>
      <c r="CI8" s="40">
        <v>12402</v>
      </c>
      <c r="CJ8" s="40"/>
      <c r="CK8" s="37">
        <f>IF((CI8-CI7)*1000&lt;=0,0,(CI8-CI7)*1000)+GX8-CA8</f>
        <v>22267.360000000037</v>
      </c>
      <c r="CL8" s="37">
        <f t="shared" ref="CL8:CL38" si="27">IF(CK8&lt;=0,0,(CK8/SQRT(CK8^2+(CJ8-CJ7)^2)))</f>
        <v>1</v>
      </c>
      <c r="CM8" s="37">
        <v>3416.9</v>
      </c>
      <c r="CN8" s="37"/>
      <c r="CO8" s="37">
        <f t="shared" ref="CO8:CO38" si="28">IF((CM8-CM7)&lt;=0,0,(CM8-CM7))*1000+GX8</f>
        <v>9307.36</v>
      </c>
      <c r="CP8" s="37">
        <f>IF(CO8&lt;=0,0,(CO8/SQRT(CO8^2+(CN8-CN7)^2)))</f>
        <v>1</v>
      </c>
      <c r="CQ8" s="39">
        <v>25683</v>
      </c>
      <c r="CR8" s="45"/>
      <c r="CS8" s="37">
        <f>IF((CQ8-CQ7)&lt;=0,0,(CQ8-CQ7))+GX8</f>
        <v>6209.36</v>
      </c>
      <c r="CT8" s="37">
        <f>IF(CS8&lt;=0,0,(CS8/SQRT(CS8^2+(CR8-CR7)^2)))</f>
        <v>1</v>
      </c>
      <c r="CU8" s="37">
        <v>3027500</v>
      </c>
      <c r="CV8" s="37"/>
      <c r="CW8" s="38">
        <f t="shared" ref="CW8:CW38" si="29">IF((CU8-CU7)&lt;=0,0,(CU8-CU7))</f>
        <v>16300</v>
      </c>
      <c r="CX8" s="37">
        <f>IF(CW8&lt;=0,0,(CW8/SQRT(CW8^2+(CV8-CV7)^2)))</f>
        <v>1</v>
      </c>
      <c r="CY8" s="37">
        <v>1577600</v>
      </c>
      <c r="CZ8" s="37"/>
      <c r="DA8" s="37">
        <f t="shared" ref="DA8:DA26" si="30">IF((CY8-CY7)&lt;=0,0,(CY8-CY7))</f>
        <v>9300</v>
      </c>
      <c r="DB8" s="37">
        <f>IF(DA8&lt;=0,0,(DA8/SQRT(DA8^2+(CZ8-CZ7)^2)))</f>
        <v>1</v>
      </c>
      <c r="DC8" s="37"/>
      <c r="DD8" s="40"/>
      <c r="DE8" s="37">
        <f t="shared" ref="DE8:DE33" si="31">IF((DC8-DC7)&lt;=0,0,(DC8-DC7))</f>
        <v>0</v>
      </c>
      <c r="DF8" s="37">
        <f>IF(DE8&lt;=0,0,(DE8/SQRT(DE8^2+(DD8-DD7)^2)))</f>
        <v>0</v>
      </c>
      <c r="DG8" s="37">
        <f t="shared" ref="DG8:DG38" si="32">(DE8)-DA8-CW8-CS8-CO8-CK8-BW8</f>
        <v>-71984.080000000045</v>
      </c>
      <c r="DH8" s="37">
        <f t="shared" ref="DH8:DH38" si="33">DE8+BG8+AK8+N8</f>
        <v>462827.36000000016</v>
      </c>
      <c r="DI8" s="46"/>
      <c r="DJ8" s="46"/>
      <c r="DK8" s="47"/>
      <c r="DL8" s="47"/>
      <c r="DM8" s="37"/>
      <c r="DN8" s="37"/>
      <c r="DO8" s="37"/>
      <c r="DP8" s="37"/>
      <c r="DQ8" s="50">
        <v>3253300</v>
      </c>
      <c r="DR8" s="49">
        <f>IF((DQ8-DQ7)&lt;=0,0,(DQ8-DQ7))</f>
        <v>6100</v>
      </c>
      <c r="DS8" s="50">
        <v>3368400</v>
      </c>
      <c r="DT8" s="49">
        <f>IF((DS8-DS7)&lt;=0,0,(DS8-DS7))</f>
        <v>20200</v>
      </c>
      <c r="DU8" s="52">
        <v>7897.7</v>
      </c>
      <c r="DV8" s="52">
        <v>4424.3</v>
      </c>
      <c r="DW8" s="37">
        <f>IF((DU8-DU7)*1000&lt;=0,0,(DU8-DU7)*1000)</f>
        <v>4300.0000000001819</v>
      </c>
      <c r="DX8" s="52">
        <v>13023</v>
      </c>
      <c r="DY8" s="52">
        <v>8386.4</v>
      </c>
      <c r="DZ8" s="37">
        <f t="shared" ref="DZ8:DZ38" si="34">IF((DX8-DX7)*1000&lt;=0,0,(DX8-DX7)*1000)+GX8</f>
        <v>6807.36</v>
      </c>
      <c r="EA8" s="49">
        <v>29670</v>
      </c>
      <c r="EB8" s="49">
        <v>20.724</v>
      </c>
      <c r="EC8" s="37">
        <f t="shared" ref="EC8:EC38" si="35">IF((EA8-EA7)*1000&lt;=0,0,(EA8-EA7)*1000)+GX8+$EE$40</f>
        <v>23967.360000000001</v>
      </c>
      <c r="ED8" s="53">
        <f t="shared" ref="ED8:ED38" si="36">DW8+DZ8+EC8</f>
        <v>35074.720000000183</v>
      </c>
      <c r="EE8" s="49">
        <v>44995</v>
      </c>
      <c r="EF8" s="49">
        <v>29.048999999999999</v>
      </c>
      <c r="EG8" s="37">
        <f t="shared" ref="EG8:EG38" si="37">IF((EE8-EE7)*1000&lt;=0,0,(EE8-EE7)*1000)+GX8+$EE$40</f>
        <v>27967.360000000001</v>
      </c>
      <c r="EH8" s="52">
        <v>12846</v>
      </c>
      <c r="EI8" s="52">
        <v>1.7392000000000001</v>
      </c>
      <c r="EJ8" s="37">
        <f t="shared" ref="EJ8:EJ38" si="38">IF((EH8-EH7)*1000&lt;=0,0,(EH8-EH7)*1000)+GX8</f>
        <v>10807.36</v>
      </c>
      <c r="EK8" s="37">
        <v>780.33</v>
      </c>
      <c r="EL8" s="40">
        <v>1118.3</v>
      </c>
      <c r="EM8" s="37">
        <f>IF((EK8-EK7)&lt;=0,0,(EK8-EK7))*1000</f>
        <v>879.99999999999545</v>
      </c>
      <c r="EN8" s="54">
        <f>EG8+EJ8+EM8</f>
        <v>39654.719999999994</v>
      </c>
      <c r="EO8" s="48">
        <v>12846</v>
      </c>
      <c r="EP8" s="48">
        <v>4489.8</v>
      </c>
      <c r="EQ8" s="37">
        <f>IF((EO8-EO7)*1000&lt;=0,0,(EO8-EO7)*1000)+GX8-FU45+FV45</f>
        <v>7802.3600000000051</v>
      </c>
      <c r="ER8" s="48">
        <v>9082.9</v>
      </c>
      <c r="ES8" s="48">
        <v>3723.6</v>
      </c>
      <c r="ET8" s="49">
        <f t="shared" ref="ET8:ET14" si="39">IF((ER8-ER7)&lt;=0,0,(ER8-ER7))*1000</f>
        <v>11100.000000000364</v>
      </c>
      <c r="EU8" s="48">
        <v>3454.5</v>
      </c>
      <c r="EV8" s="48">
        <v>1228.5999999999999</v>
      </c>
      <c r="EW8" s="49">
        <f t="shared" ref="EW8:EW38" si="40">IF((EU8-EU7)&lt;=0,0,(EU8-EU7))*1000+GX8</f>
        <v>9007.3599999998187</v>
      </c>
      <c r="EX8" s="48">
        <v>13284</v>
      </c>
      <c r="EY8" s="48">
        <v>1.5222</v>
      </c>
      <c r="EZ8" s="37">
        <f t="shared" ref="EZ8:EZ38" si="41">IF((EX8-EX7)&lt;=0,0,(EX8-EX7))*1000+GX8</f>
        <v>10807.36</v>
      </c>
      <c r="FA8" s="48">
        <f>FC8-EQ8-ET8-EW8-EZ8</f>
        <v>-20070.080000000187</v>
      </c>
      <c r="FB8" s="48">
        <v>36101081</v>
      </c>
      <c r="FC8" s="49">
        <f>IF((FB8-FB7)&lt;=0,0,(FB8-FB7))</f>
        <v>18647</v>
      </c>
      <c r="FD8" s="48">
        <f>EQ8+ET8+EW8+EZ8+GJ8</f>
        <v>40317.080000000104</v>
      </c>
      <c r="FE8" s="48">
        <v>16879</v>
      </c>
      <c r="FF8" s="48">
        <v>6041.5</v>
      </c>
      <c r="FG8" s="37">
        <f>IF((FE8-FE7)*1000&lt;=0,0,(FE8-FE7)*1000)+FL8+GX8+FW45</f>
        <v>11212.359999999997</v>
      </c>
      <c r="FH8" s="48">
        <v>8448.2999999999993</v>
      </c>
      <c r="FI8" s="48">
        <v>3.2618</v>
      </c>
      <c r="FJ8" s="49">
        <f t="shared" ref="FJ8:FJ38" si="42">IF((FH8-FH7)&lt;=0,0,(FH8-FH7))*1000+FL8+GX8</f>
        <v>19007.359999999273</v>
      </c>
      <c r="FK8" s="48"/>
      <c r="FL8" s="58">
        <v>400</v>
      </c>
      <c r="FM8" s="48">
        <f>FT8/3</f>
        <v>-142.35999999975684</v>
      </c>
      <c r="FN8" s="48">
        <v>16344</v>
      </c>
      <c r="FO8" s="48">
        <v>0.79549999999999998</v>
      </c>
      <c r="FP8" s="37">
        <f>IF((FN8-FN7)*1000&lt;=0,0,(FN8-FN7)*1000)+FL8+GX8</f>
        <v>11207.36</v>
      </c>
      <c r="FQ8" s="48">
        <v>58049</v>
      </c>
      <c r="FR8" s="48">
        <v>14.010999999999999</v>
      </c>
      <c r="FS8" s="37">
        <f t="shared" ref="FS8:FS34" si="43">IF((FQ8-FQ7)*1000&lt;=0,0,(FQ8-FQ7)*1000)</f>
        <v>41000</v>
      </c>
      <c r="FT8" s="48">
        <f>FS8-FG8-FJ8-FP8</f>
        <v>-427.07999999927051</v>
      </c>
      <c r="FU8" s="48">
        <f>FG8+FJ8+FP8+GM8</f>
        <v>41427.079999999274</v>
      </c>
      <c r="FV8" s="44">
        <v>4004600</v>
      </c>
      <c r="FW8" s="44">
        <v>1282300</v>
      </c>
      <c r="FX8" s="37">
        <f t="shared" ref="FX8:FX38" si="44">IF((FV8-FV7)*1000&lt;=0,0,(FV8-FV7))</f>
        <v>32800</v>
      </c>
      <c r="FY8" s="56">
        <v>3243.4</v>
      </c>
      <c r="FZ8" s="56">
        <v>1.9864999999999999</v>
      </c>
      <c r="GA8" s="37">
        <f t="shared" ref="GA8:GA38" si="45">IF((FY8-FY7)*1000&lt;=0,0,((FY8-FY7)*1000)-GS8)</f>
        <v>7980.0000000002728</v>
      </c>
      <c r="GB8" s="56">
        <v>800.22</v>
      </c>
      <c r="GC8" s="56">
        <v>895.8</v>
      </c>
      <c r="GD8" s="37">
        <f t="shared" ref="GD8:GD38" si="46">IF((GB8-GB7)*1000&lt;=0,0,(GB8-GB7)*1000)</f>
        <v>1029.9999999999727</v>
      </c>
      <c r="GE8" s="56">
        <v>9888.1</v>
      </c>
      <c r="GF8" s="63">
        <v>3.2574000000000001</v>
      </c>
      <c r="GG8" s="37">
        <f t="shared" ref="GG8:GG38" si="47">IF((GE8-GE7)*1000&lt;=0,0,(GE8-GE7)*1000)-GJ8-GM8</f>
        <v>8100.0000000008185</v>
      </c>
      <c r="GH8" s="48">
        <v>1927.5</v>
      </c>
      <c r="GI8" s="56">
        <v>1643.2</v>
      </c>
      <c r="GJ8" s="38">
        <f t="shared" ref="GJ8:GJ38" si="48">IF((GH8-GH7)&lt;=0,0,(GH8-GH7))*1000</f>
        <v>1599.9999999999091</v>
      </c>
      <c r="GK8" s="56">
        <v>1467.1</v>
      </c>
      <c r="GL8" s="44">
        <v>1119.2</v>
      </c>
      <c r="GM8" s="38">
        <f t="shared" ref="GM8:GM38" si="49">IF((GK8-GK7)&lt;=0,0,(GK8-GK7))*1000</f>
        <v>0</v>
      </c>
      <c r="GN8" s="57">
        <v>173340</v>
      </c>
      <c r="GO8" s="57">
        <v>152270</v>
      </c>
      <c r="GP8" s="38">
        <f>IF((GN8-GN7)&lt;=0,0,(GN8-GN7)+1000)</f>
        <v>1900</v>
      </c>
      <c r="GQ8" s="38">
        <v>257430</v>
      </c>
      <c r="GR8" s="38">
        <v>253330</v>
      </c>
      <c r="GS8" s="38">
        <f>IF((GQ8-GQ7)&lt;=0,0,(GQ8-GQ7))</f>
        <v>720</v>
      </c>
      <c r="GT8" s="178"/>
      <c r="GU8" s="144">
        <f>DailyMei!B7-DailyMei!N7-DailyMei!V7-DailyMei!Y7-DailyMei!Z7-DailyMei!AA7-DailyMei!AB7-DailyMei!AC7-DailyMei!AD7-DailyMei!AE7-DailyMei!AK7-DailyMei!AO7-DailyMei!AS7-DailyMei!AY7-DailyMei!BD7+DailyMei!BU7-DailyMei!BG7-DailyMei!BT7-DailyMei!AF7-DailyMei!AG7</f>
        <v>6.0000003155437298E-2</v>
      </c>
      <c r="GV8" s="59">
        <v>-2889.54</v>
      </c>
      <c r="GW8" s="60">
        <f t="shared" ref="GW8:GW38" si="50">GV8/15</f>
        <v>-192.636</v>
      </c>
      <c r="GX8" s="61">
        <v>-192.64</v>
      </c>
      <c r="GY8" s="140"/>
      <c r="GZ8" s="62"/>
      <c r="HA8" s="62"/>
      <c r="HB8" s="62"/>
      <c r="HC8" s="62"/>
      <c r="HD8" s="74"/>
      <c r="HE8" s="24">
        <f t="shared" ref="HE8:HE35" si="51">HC8-HA8</f>
        <v>0</v>
      </c>
      <c r="HG8" s="213">
        <v>2</v>
      </c>
      <c r="HH8" s="16">
        <v>7541</v>
      </c>
      <c r="HI8" s="16">
        <v>2935.9</v>
      </c>
      <c r="HJ8" s="16">
        <f t="shared" ref="HJ8:HJ37" si="52">IF((HH8-HH7)&lt;=0,0,(HH8-HH7)*1000)</f>
        <v>92100.000000000364</v>
      </c>
      <c r="HK8" s="16">
        <v>1.9189000000000001</v>
      </c>
      <c r="HL8" s="16">
        <v>660.93</v>
      </c>
      <c r="HM8" s="16">
        <f t="shared" ref="HM8:HM14" si="53">IF((HK8-HK7)&lt;=0,0,(HK8-HK7))</f>
        <v>0</v>
      </c>
      <c r="HN8" s="16">
        <v>2031.3</v>
      </c>
      <c r="HO8" s="16">
        <v>896.69</v>
      </c>
      <c r="HP8" s="16">
        <f t="shared" ref="HP8:HP38" si="54">IF((HN8-HN7)&lt;=0,0,(HN8-HN7)*1000)+IL45</f>
        <v>28219.999999999956</v>
      </c>
      <c r="HQ8" s="16">
        <v>1774.2</v>
      </c>
      <c r="HR8" s="16">
        <v>786.39</v>
      </c>
      <c r="HS8" s="16">
        <f t="shared" ref="HS8:HS38" si="55">IF((HQ8-HQ7)&lt;=0,0,(HQ8-HQ7)*1000)+IL45</f>
        <v>23719.999999999956</v>
      </c>
      <c r="HT8" s="16">
        <v>1472.7</v>
      </c>
      <c r="HU8" s="16">
        <v>585.38</v>
      </c>
      <c r="HV8" s="16">
        <f t="shared" ref="HV8:HV38" si="56">IF((HT8-HT7)&lt;=0,0,(HT8-HT7)*1000)+IL45</f>
        <v>18820.000000000091</v>
      </c>
      <c r="HW8" s="16">
        <v>484.31</v>
      </c>
      <c r="HX8" s="16">
        <v>230.51</v>
      </c>
      <c r="HY8" s="16">
        <f t="shared" ref="HY8:HY38" si="57">IF((HW8-HW7)&lt;=0,0,(HW8-HW7)*1000)+IL45</f>
        <v>1140.0000000000273</v>
      </c>
      <c r="HZ8" s="16"/>
      <c r="IA8" s="16"/>
      <c r="IB8" s="16">
        <f t="shared" ref="IB8:IB38" si="58">IF((HZ8-HZ7)&lt;=0,0,(HZ8-HZ7))</f>
        <v>0</v>
      </c>
      <c r="IC8" s="16"/>
      <c r="ID8" s="16"/>
      <c r="IE8" s="16">
        <f t="shared" ref="IE8:IE38" si="59">IF((IC8-IC7)&lt;=0,0,(IC8-IC7))</f>
        <v>0</v>
      </c>
      <c r="IF8" s="16"/>
      <c r="IG8" s="16"/>
      <c r="IH8" s="128">
        <f t="shared" si="1"/>
        <v>20200</v>
      </c>
      <c r="II8" s="211">
        <f t="shared" ref="II8:II28" si="60">HJ8+HM8-HS8-HV8-HY8-IH8-HP8-IB8-IE8</f>
        <v>3.3469405025243759E-10</v>
      </c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G8" s="151">
        <f t="shared" ref="KG8:KG38" si="61">HJ8+HM8-HS8-HV8-HY8-IH8</f>
        <v>28220.000000000291</v>
      </c>
    </row>
    <row r="9" spans="1:293" x14ac:dyDescent="0.25">
      <c r="A9" s="35">
        <f t="shared" si="2"/>
        <v>3</v>
      </c>
      <c r="B9" s="38">
        <v>4128.09</v>
      </c>
      <c r="C9" s="38">
        <f t="shared" si="3"/>
        <v>10.819999999999709</v>
      </c>
      <c r="D9" s="38">
        <f t="shared" si="4"/>
        <v>346239.99999999069</v>
      </c>
      <c r="E9" s="37">
        <v>829.79</v>
      </c>
      <c r="F9" s="38">
        <f t="shared" si="5"/>
        <v>73279.999999998836</v>
      </c>
      <c r="G9" s="38">
        <f t="shared" si="6"/>
        <v>419519.99999998952</v>
      </c>
      <c r="H9" s="37"/>
      <c r="I9" s="39"/>
      <c r="J9" s="42"/>
      <c r="K9" s="37">
        <f>IF(J9&lt;=0,0,(J9/SQRT(J9^2+(I9-I8)^2)))</f>
        <v>0</v>
      </c>
      <c r="L9" s="40">
        <v>12512300</v>
      </c>
      <c r="M9" s="40"/>
      <c r="N9" s="37">
        <f>IF((L9-L8)&lt;=0,0,(L9-L8)*10)</f>
        <v>413000</v>
      </c>
      <c r="O9" s="37">
        <v>10719</v>
      </c>
      <c r="P9" s="37"/>
      <c r="Q9" s="37">
        <f t="shared" si="7"/>
        <v>11000</v>
      </c>
      <c r="R9" s="37">
        <f>IF(Q9&lt;=0,0,(Q9/SQRT(Q9^2+(P9-P8)^2)))</f>
        <v>1</v>
      </c>
      <c r="S9" s="37">
        <v>11231866.98</v>
      </c>
      <c r="T9" s="37">
        <f t="shared" si="8"/>
        <v>5.0899999998509884</v>
      </c>
      <c r="U9" s="37">
        <v>1518173.85</v>
      </c>
      <c r="V9" s="37">
        <f t="shared" si="9"/>
        <v>0</v>
      </c>
      <c r="W9" s="37">
        <v>3810.8</v>
      </c>
      <c r="X9" s="37">
        <f>Q9-T9-V9-AB9</f>
        <v>7024.910000000149</v>
      </c>
      <c r="Y9" s="183"/>
      <c r="Z9" s="183"/>
      <c r="AA9" s="37">
        <v>742200</v>
      </c>
      <c r="AB9" s="37">
        <f t="shared" si="10"/>
        <v>3970</v>
      </c>
      <c r="AC9" s="37">
        <v>3983.5</v>
      </c>
      <c r="AD9" s="37"/>
      <c r="AE9" s="37">
        <f t="shared" si="11"/>
        <v>4000</v>
      </c>
      <c r="AF9" s="37">
        <f>IF(AE9&lt;=0,0,(AE9/SQRT(AE9^2+(AD9-AD8)^2)))</f>
        <v>1</v>
      </c>
      <c r="AG9" s="37">
        <v>8688</v>
      </c>
      <c r="AH9" s="37"/>
      <c r="AI9" s="37">
        <f t="shared" si="12"/>
        <v>8240.64</v>
      </c>
      <c r="AJ9" s="37">
        <f t="shared" si="13"/>
        <v>1</v>
      </c>
      <c r="AK9" s="37">
        <f t="shared" si="14"/>
        <v>19270.64</v>
      </c>
      <c r="AL9" s="42">
        <v>10632</v>
      </c>
      <c r="AM9" s="42"/>
      <c r="AN9" s="37">
        <f t="shared" ref="AN9:AN38" si="62">IF((AL9-AL8)&lt;=0,0,(AL9-AL8))*1000+GX9-BL9-BN9-BP9-BR9</f>
        <v>5480.6399999998584</v>
      </c>
      <c r="AO9" s="37">
        <f>IF(AN9&lt;=0,0,(AN9/SQRT(AN9^2+(AM9-AM8)^2)))</f>
        <v>1</v>
      </c>
      <c r="AP9" s="37">
        <v>8187.3</v>
      </c>
      <c r="AQ9" s="37"/>
      <c r="AR9" s="37">
        <f t="shared" si="15"/>
        <v>11199.999999999818</v>
      </c>
      <c r="AS9" s="37">
        <f>IF(AR9&lt;=0,0,(AR9/SQRT(AR9^2+(AQ9-AQ8)^2)))</f>
        <v>1</v>
      </c>
      <c r="AT9" s="183"/>
      <c r="AU9" s="183"/>
      <c r="AV9" s="183"/>
      <c r="AW9" s="183"/>
      <c r="AX9" s="37">
        <v>475630</v>
      </c>
      <c r="AY9" s="37"/>
      <c r="AZ9" s="37">
        <f t="shared" si="16"/>
        <v>409.71999999997206</v>
      </c>
      <c r="BA9" s="37">
        <v>134490</v>
      </c>
      <c r="BB9" s="37"/>
      <c r="BC9" s="37">
        <f t="shared" si="17"/>
        <v>590.16000000000349</v>
      </c>
      <c r="BD9" s="37">
        <f>AN9+AR9+AZ9+BC9</f>
        <v>17680.519999999651</v>
      </c>
      <c r="BE9" s="43">
        <v>1865.3</v>
      </c>
      <c r="BF9" s="43">
        <v>1024.0999999999999</v>
      </c>
      <c r="BG9" s="37">
        <f t="shared" si="18"/>
        <v>2299.9999999999545</v>
      </c>
      <c r="BH9" s="44">
        <v>8718.1</v>
      </c>
      <c r="BI9" s="44">
        <v>5606.8</v>
      </c>
      <c r="BJ9" s="37">
        <f t="shared" si="19"/>
        <v>9200.0000000007276</v>
      </c>
      <c r="BK9" s="40">
        <v>1480890</v>
      </c>
      <c r="BL9" s="40">
        <f>IF((BK9-BK8)&lt;=0,0,(BK9-BK8))</f>
        <v>3790</v>
      </c>
      <c r="BM9" s="40">
        <v>857.2</v>
      </c>
      <c r="BN9" s="37">
        <f t="shared" si="20"/>
        <v>680.00000000006366</v>
      </c>
      <c r="BO9" s="186"/>
      <c r="BP9" s="183">
        <f t="shared" si="21"/>
        <v>0</v>
      </c>
      <c r="BQ9" s="40">
        <v>811.1</v>
      </c>
      <c r="BR9" s="37">
        <f t="shared" ref="BR9:BR38" si="63">IF((BQ9-BQ8)&lt;=0,0,(BQ9-BQ8))*1000</f>
        <v>790.00000000007731</v>
      </c>
      <c r="BS9" s="37">
        <v>94285.83</v>
      </c>
      <c r="BT9" s="37">
        <f t="shared" si="22"/>
        <v>163.40000000000873</v>
      </c>
      <c r="BU9" s="42">
        <v>2548628</v>
      </c>
      <c r="BV9" s="42"/>
      <c r="BW9" s="37">
        <f t="shared" si="23"/>
        <v>7228</v>
      </c>
      <c r="BX9" s="37">
        <f>IF(BW9&lt;=0,0,(BW9/SQRT(BW9^2+(BV9-BV8)^2)))</f>
        <v>1</v>
      </c>
      <c r="BY9" s="43">
        <v>332.5806</v>
      </c>
      <c r="BZ9" s="43"/>
      <c r="CA9" s="37">
        <f t="shared" si="24"/>
        <v>750.60000000001992</v>
      </c>
      <c r="CB9" s="37">
        <f t="shared" ref="CB9:CB38" si="64">IF(CA9&lt;=0,0,(CA9/SQRT(CA9^2+(BZ9-BZ8)^2)))</f>
        <v>1</v>
      </c>
      <c r="CC9" s="37">
        <v>596963.30000000005</v>
      </c>
      <c r="CD9" s="37">
        <f t="shared" si="25"/>
        <v>213.30000000004657</v>
      </c>
      <c r="CE9" s="41">
        <v>1055642</v>
      </c>
      <c r="CF9" s="37">
        <f t="shared" si="26"/>
        <v>6942</v>
      </c>
      <c r="CG9" s="37">
        <v>71456</v>
      </c>
      <c r="CH9" s="37">
        <f t="shared" ref="CH9:CH38" si="65">IF((CG9-CG8)&lt;=0,0,(CG9-CG8))</f>
        <v>0</v>
      </c>
      <c r="CI9" s="40">
        <v>12422.76</v>
      </c>
      <c r="CJ9" s="40"/>
      <c r="CK9" s="37">
        <f t="shared" ref="CK9:CK38" si="66">IF((CI9-CI8)*1000&lt;=0,0,(CI9-CI8)*1000)+GX9-CA9</f>
        <v>19750.040000000197</v>
      </c>
      <c r="CL9" s="37">
        <f t="shared" si="27"/>
        <v>1</v>
      </c>
      <c r="CM9" s="37">
        <v>3425.8960000000002</v>
      </c>
      <c r="CN9" s="37"/>
      <c r="CO9" s="37">
        <f t="shared" si="28"/>
        <v>8736.640000000094</v>
      </c>
      <c r="CP9" s="37">
        <f>IF(CO9&lt;=0,0,(CO9/SQRT(CO9^2+(CN9-CN8)^2)))</f>
        <v>1</v>
      </c>
      <c r="CQ9" s="39">
        <v>31474.3</v>
      </c>
      <c r="CR9" s="45"/>
      <c r="CS9" s="37">
        <f t="shared" ref="CS9:CS38" si="67">IF((CQ9-CQ8)&lt;=0,0,(CQ9-CQ8))+GX9</f>
        <v>5531.94</v>
      </c>
      <c r="CT9" s="37">
        <f t="shared" ref="CT9:CT38" si="68">IF(CS9&lt;=0,0,(CS9/SQRT(CS9^2+(CR9-CR8)^2)))</f>
        <v>1</v>
      </c>
      <c r="CU9" s="37">
        <v>3043105</v>
      </c>
      <c r="CV9" s="37"/>
      <c r="CW9" s="38">
        <f t="shared" si="29"/>
        <v>15605</v>
      </c>
      <c r="CX9" s="37">
        <f>IF(CW9&lt;=0,0,(CW9/SQRT(CW9^2+(CV9-CV8)^2)))</f>
        <v>1</v>
      </c>
      <c r="CY9" s="37">
        <v>1586153</v>
      </c>
      <c r="CZ9" s="37"/>
      <c r="DA9" s="37">
        <f t="shared" si="30"/>
        <v>8553</v>
      </c>
      <c r="DB9" s="37">
        <f>IF(DA9&lt;=0,0,(DA9/SQRT(DA9^2+(CZ9-CZ8)^2)))</f>
        <v>1</v>
      </c>
      <c r="DC9" s="37"/>
      <c r="DD9" s="40"/>
      <c r="DE9" s="37">
        <f t="shared" si="31"/>
        <v>0</v>
      </c>
      <c r="DF9" s="37">
        <f>IF(DE9&lt;=0,0,(DE9/SQRT(DE9^2+(DD9-DD8)^2)))</f>
        <v>0</v>
      </c>
      <c r="DG9" s="37">
        <f t="shared" si="32"/>
        <v>-65404.620000000286</v>
      </c>
      <c r="DH9" s="37">
        <f t="shared" si="33"/>
        <v>434570.63999999996</v>
      </c>
      <c r="DI9" s="46"/>
      <c r="DJ9" s="46"/>
      <c r="DK9" s="47"/>
      <c r="DL9" s="47"/>
      <c r="DM9" s="37"/>
      <c r="DN9" s="37"/>
      <c r="DO9" s="37"/>
      <c r="DP9" s="37"/>
      <c r="DQ9" s="50">
        <v>3262100</v>
      </c>
      <c r="DR9" s="49">
        <f t="shared" ref="DR9:DR38" si="69">IF((DQ9-DQ8)&lt;=0,0,(DQ9-DQ8))</f>
        <v>8800</v>
      </c>
      <c r="DS9" s="50">
        <v>3386500</v>
      </c>
      <c r="DT9" s="49">
        <f t="shared" ref="DT9:DT38" si="70">IF((DS9-DS8)&lt;=0,0,(DS9-DS8))</f>
        <v>18100</v>
      </c>
      <c r="DU9" s="52">
        <v>7902.6</v>
      </c>
      <c r="DV9" s="52">
        <v>4427.3</v>
      </c>
      <c r="DW9" s="37">
        <f>IF((DU9-DU8)*1000&lt;=0,0,(DU9-DU8)*1000)</f>
        <v>4900.0000000005457</v>
      </c>
      <c r="DX9" s="52">
        <v>13031</v>
      </c>
      <c r="DY9" s="52">
        <v>8388</v>
      </c>
      <c r="DZ9" s="37">
        <f t="shared" si="34"/>
        <v>7740.64</v>
      </c>
      <c r="EA9" s="49">
        <v>29692</v>
      </c>
      <c r="EB9" s="49">
        <v>20.734999999999999</v>
      </c>
      <c r="EC9" s="37">
        <f t="shared" si="35"/>
        <v>23900.639999999999</v>
      </c>
      <c r="ED9" s="53">
        <f t="shared" si="36"/>
        <v>36541.280000000545</v>
      </c>
      <c r="EE9" s="49">
        <v>45022</v>
      </c>
      <c r="EF9" s="49">
        <v>29.068000000000001</v>
      </c>
      <c r="EG9" s="37">
        <f t="shared" si="37"/>
        <v>28900.639999999999</v>
      </c>
      <c r="EH9" s="52">
        <v>12858</v>
      </c>
      <c r="EI9" s="52">
        <v>1.7414000000000001</v>
      </c>
      <c r="EJ9" s="37">
        <f t="shared" si="38"/>
        <v>11740.64</v>
      </c>
      <c r="EK9" s="37">
        <v>781.27</v>
      </c>
      <c r="EL9" s="40">
        <v>1119.7</v>
      </c>
      <c r="EM9" s="37">
        <f t="shared" ref="EM9:EM38" si="71">IF((EK9-EK8)&lt;=0,0,(EK9-EK8))*1000</f>
        <v>939.99999999994088</v>
      </c>
      <c r="EN9" s="54">
        <f t="shared" ref="EN9:EN38" si="72">EG9+EJ9+EM9</f>
        <v>41581.279999999941</v>
      </c>
      <c r="EO9" s="48">
        <v>12850</v>
      </c>
      <c r="EP9" s="48">
        <v>4490.8</v>
      </c>
      <c r="EQ9" s="37">
        <f t="shared" ref="EQ9:EQ38" si="73">IF((EO9-EO8)*1000&lt;=0,0,(EO9-EO8)*1000)+GX9-FU46+FV46</f>
        <v>2740.64</v>
      </c>
      <c r="ER9" s="48">
        <v>9084</v>
      </c>
      <c r="ES9" s="48">
        <v>3724.2</v>
      </c>
      <c r="ET9" s="49">
        <f t="shared" si="39"/>
        <v>1100.0000000003638</v>
      </c>
      <c r="EU9" s="48">
        <v>3455.8</v>
      </c>
      <c r="EV9" s="48">
        <v>1229</v>
      </c>
      <c r="EW9" s="49">
        <f t="shared" si="40"/>
        <v>1040.6400000001818</v>
      </c>
      <c r="EX9" s="48">
        <v>13288</v>
      </c>
      <c r="EY9" s="48">
        <v>1.5232000000000001</v>
      </c>
      <c r="EZ9" s="37">
        <f t="shared" si="41"/>
        <v>3740.64</v>
      </c>
      <c r="FA9" s="48">
        <f t="shared" ref="FA9:FA38" si="74">FC9-EQ9-ET9-EW9-EZ9</f>
        <v>-3078.9200000005453</v>
      </c>
      <c r="FB9" s="48">
        <v>36106624</v>
      </c>
      <c r="FC9" s="49">
        <f>IF((FB9-FB8)&lt;=0,0,(FB9-FB8))</f>
        <v>5543</v>
      </c>
      <c r="FD9" s="48">
        <f t="shared" ref="FD9:FD38" si="75">EQ9+ET9+EW9+EZ9+GJ9</f>
        <v>8821.9200000005912</v>
      </c>
      <c r="FE9" s="48">
        <v>16888</v>
      </c>
      <c r="FF9" s="48">
        <v>6043.9</v>
      </c>
      <c r="FG9" s="37">
        <f t="shared" ref="FG9:FG38" si="76">IF((FE9-FE8)*1000&lt;=0,0,(FE9-FE8)*1000)+FL9+GX9+FW46</f>
        <v>9673.9699999999993</v>
      </c>
      <c r="FH9" s="48">
        <v>8464.5</v>
      </c>
      <c r="FI9" s="48">
        <v>3.2681</v>
      </c>
      <c r="FJ9" s="49">
        <f t="shared" si="42"/>
        <v>15873.970000000727</v>
      </c>
      <c r="FK9" s="48"/>
      <c r="FL9" s="58">
        <v>-66.67</v>
      </c>
      <c r="FM9" s="48">
        <f>FT9/3</f>
        <v>259.36333333309085</v>
      </c>
      <c r="FN9" s="48">
        <v>16355</v>
      </c>
      <c r="FO9" s="48">
        <v>0.79679999999999995</v>
      </c>
      <c r="FP9" s="37">
        <f t="shared" ref="FP9:FP38" si="77">IF((FN9-FN8)*1000&lt;=0,0,(FN9-FN8)*1000)+FL9+GX9</f>
        <v>10673.97</v>
      </c>
      <c r="FQ9" s="48">
        <v>58086</v>
      </c>
      <c r="FR9" s="48">
        <v>14.021000000000001</v>
      </c>
      <c r="FS9" s="37">
        <f t="shared" si="43"/>
        <v>37000</v>
      </c>
      <c r="FT9" s="48">
        <f t="shared" ref="FT9:FT38" si="78">FS9-FG9-FJ9-FP9</f>
        <v>778.08999999927255</v>
      </c>
      <c r="FU9" s="48">
        <f t="shared" ref="FU9:FU38" si="79">FG9+FJ9+FP9+GM9</f>
        <v>36221.910000000724</v>
      </c>
      <c r="FV9" s="44">
        <v>4034800</v>
      </c>
      <c r="FW9" s="44">
        <v>1291500</v>
      </c>
      <c r="FX9" s="37">
        <f t="shared" si="44"/>
        <v>30200</v>
      </c>
      <c r="FY9" s="56">
        <v>3251.8</v>
      </c>
      <c r="FZ9" s="56">
        <v>1.9939</v>
      </c>
      <c r="GA9" s="37">
        <f t="shared" si="45"/>
        <v>7610.0000000000909</v>
      </c>
      <c r="GB9" s="56">
        <v>801.18</v>
      </c>
      <c r="GC9" s="56">
        <v>896.86</v>
      </c>
      <c r="GD9" s="37">
        <f t="shared" si="46"/>
        <v>959.99999999992269</v>
      </c>
      <c r="GE9" s="63">
        <v>9898.1</v>
      </c>
      <c r="GF9" s="56">
        <v>3.2652000000000001</v>
      </c>
      <c r="GG9" s="37">
        <f t="shared" si="47"/>
        <v>9799.9999999999545</v>
      </c>
      <c r="GH9" s="48">
        <v>1927.7</v>
      </c>
      <c r="GI9" s="56">
        <v>1643.5</v>
      </c>
      <c r="GJ9" s="38">
        <f t="shared" si="48"/>
        <v>200.00000000004547</v>
      </c>
      <c r="GK9" s="56">
        <v>1467.1</v>
      </c>
      <c r="GL9" s="44">
        <v>1119.2</v>
      </c>
      <c r="GM9" s="38">
        <f t="shared" si="49"/>
        <v>0</v>
      </c>
      <c r="GN9" s="57">
        <v>176090</v>
      </c>
      <c r="GO9" s="57">
        <v>154830</v>
      </c>
      <c r="GP9" s="38">
        <f>IF((GN9-GN8)&lt;=0,0,(GN9-GN8)+1000)</f>
        <v>3750</v>
      </c>
      <c r="GQ9" s="38">
        <v>258220</v>
      </c>
      <c r="GR9" s="38">
        <v>254240</v>
      </c>
      <c r="GS9" s="38">
        <f t="shared" ref="GS9:GS38" si="80">IF((GQ9-GQ8)&lt;=0,0,(GQ9-GQ8))</f>
        <v>790</v>
      </c>
      <c r="GT9" s="178"/>
      <c r="GU9" s="144">
        <f>DailyMei!B8-DailyMei!N8-DailyMei!V8-DailyMei!Y8-DailyMei!Z8-DailyMei!AA8-DailyMei!AB8-DailyMei!AC8-DailyMei!AD8-DailyMei!AE8-DailyMei!AK8-DailyMei!AO8-DailyMei!AS8-DailyMei!AY8-DailyMei!BD8+DailyMei!BU8-DailyMei!BG8-DailyMei!BT8-DailyMei!AF8-DailyMei!AG8</f>
        <v>-7.0000013496610336E-2</v>
      </c>
      <c r="GV9" s="59">
        <v>-3890.47</v>
      </c>
      <c r="GW9" s="60">
        <f t="shared" si="50"/>
        <v>-259.36466666666666</v>
      </c>
      <c r="GX9" s="61">
        <v>-259.36</v>
      </c>
      <c r="GY9" s="140"/>
      <c r="GZ9" s="62"/>
      <c r="HA9" s="62"/>
      <c r="HB9" s="74"/>
      <c r="HC9" s="62"/>
      <c r="HD9" s="74"/>
      <c r="HE9" s="24">
        <f t="shared" si="51"/>
        <v>0</v>
      </c>
      <c r="HG9" s="213">
        <v>3</v>
      </c>
      <c r="HH9" s="16">
        <v>7652.6</v>
      </c>
      <c r="HI9" s="16">
        <v>2978</v>
      </c>
      <c r="HJ9" s="16">
        <f t="shared" si="52"/>
        <v>111600.00000000036</v>
      </c>
      <c r="HK9" s="16">
        <v>1.9189000000000001</v>
      </c>
      <c r="HL9" s="16">
        <v>660.93</v>
      </c>
      <c r="HM9" s="16">
        <f t="shared" si="53"/>
        <v>0</v>
      </c>
      <c r="HN9" s="16">
        <v>2064.6</v>
      </c>
      <c r="HO9" s="16">
        <v>910.48</v>
      </c>
      <c r="HP9" s="16">
        <f t="shared" si="54"/>
        <v>33365.574999999953</v>
      </c>
      <c r="HQ9" s="16">
        <v>1799.2</v>
      </c>
      <c r="HR9" s="16">
        <v>796.6</v>
      </c>
      <c r="HS9" s="16">
        <f t="shared" si="55"/>
        <v>25065.575000000001</v>
      </c>
      <c r="HT9" s="16">
        <v>1493.8</v>
      </c>
      <c r="HU9" s="16">
        <v>593.62</v>
      </c>
      <c r="HV9" s="16">
        <f t="shared" si="56"/>
        <v>21165.57499999991</v>
      </c>
      <c r="HW9" s="16">
        <v>498.02</v>
      </c>
      <c r="HX9" s="16">
        <v>236.59</v>
      </c>
      <c r="HY9" s="16">
        <f t="shared" si="57"/>
        <v>13775.574999999981</v>
      </c>
      <c r="HZ9" s="16">
        <v>127.7</v>
      </c>
      <c r="IA9" s="16">
        <v>242.63</v>
      </c>
      <c r="IB9" s="16">
        <f t="shared" si="58"/>
        <v>127.7</v>
      </c>
      <c r="IC9" s="16"/>
      <c r="ID9" s="16"/>
      <c r="IE9" s="16">
        <f t="shared" si="59"/>
        <v>0</v>
      </c>
      <c r="IF9" s="16"/>
      <c r="IG9" s="16"/>
      <c r="IH9" s="128">
        <f t="shared" si="1"/>
        <v>18100</v>
      </c>
      <c r="II9" s="211">
        <f t="shared" si="60"/>
        <v>5.2095572300459025E-10</v>
      </c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G9" s="151">
        <f t="shared" si="61"/>
        <v>33493.275000000474</v>
      </c>
    </row>
    <row r="10" spans="1:293" x14ac:dyDescent="0.25">
      <c r="A10" s="35">
        <f t="shared" si="2"/>
        <v>4</v>
      </c>
      <c r="B10" s="38">
        <v>4139.71</v>
      </c>
      <c r="C10" s="38">
        <f t="shared" si="3"/>
        <v>11.619999999999891</v>
      </c>
      <c r="D10" s="38">
        <f t="shared" si="4"/>
        <v>371839.99999999651</v>
      </c>
      <c r="E10" s="38">
        <v>832.24</v>
      </c>
      <c r="F10" s="38">
        <f t="shared" si="5"/>
        <v>78400.000000001455</v>
      </c>
      <c r="G10" s="38">
        <f t="shared" si="6"/>
        <v>450239.99999999796</v>
      </c>
      <c r="H10" s="37"/>
      <c r="I10" s="39"/>
      <c r="J10" s="42"/>
      <c r="K10" s="37">
        <f t="shared" ref="K10:K34" si="81">IF(J10&lt;=0,0,(J10/SQRT(J10^2+(I10-I9)^2)))</f>
        <v>0</v>
      </c>
      <c r="L10" s="40">
        <v>12557200</v>
      </c>
      <c r="M10" s="40"/>
      <c r="N10" s="37">
        <f t="shared" ref="N10:N38" si="82">IF((L10-L9)&lt;=0,0,(L10-L9)*10)</f>
        <v>449000</v>
      </c>
      <c r="O10" s="37">
        <v>10731.5</v>
      </c>
      <c r="P10" s="37"/>
      <c r="Q10" s="37">
        <f t="shared" si="7"/>
        <v>12500</v>
      </c>
      <c r="R10" s="37">
        <f t="shared" ref="R10:R34" si="83">IF(Q10&lt;=0,0,(Q10/SQRT(Q10^2+(P10-P9)^2)))</f>
        <v>1</v>
      </c>
      <c r="S10" s="37">
        <v>11231870.85</v>
      </c>
      <c r="T10" s="37">
        <f t="shared" si="8"/>
        <v>3.8699999991804361</v>
      </c>
      <c r="U10" s="37">
        <v>1518173.85</v>
      </c>
      <c r="V10" s="37">
        <f t="shared" si="9"/>
        <v>0</v>
      </c>
      <c r="W10" s="37">
        <v>3817.5</v>
      </c>
      <c r="X10" s="37">
        <f>Q10-T10-V10-AB10</f>
        <v>8096.1300000008196</v>
      </c>
      <c r="Y10" s="183"/>
      <c r="Z10" s="183"/>
      <c r="AA10" s="37">
        <v>746600</v>
      </c>
      <c r="AB10" s="37">
        <f t="shared" si="10"/>
        <v>4400</v>
      </c>
      <c r="AC10" s="37">
        <v>3988.2</v>
      </c>
      <c r="AD10" s="37"/>
      <c r="AE10" s="37">
        <f t="shared" si="11"/>
        <v>4699.9999999998181</v>
      </c>
      <c r="AF10" s="37">
        <f t="shared" ref="AF10:AF34" si="84">IF(AE10&lt;=0,0,(AE10/SQRT(AE10^2+(AD10-AD9)^2)))</f>
        <v>1</v>
      </c>
      <c r="AG10" s="37">
        <v>8698.1</v>
      </c>
      <c r="AH10" s="37"/>
      <c r="AI10" s="37">
        <f t="shared" si="12"/>
        <v>9030.1500000003634</v>
      </c>
      <c r="AJ10" s="37">
        <f t="shared" si="13"/>
        <v>1</v>
      </c>
      <c r="AK10" s="37">
        <f t="shared" si="14"/>
        <v>21830.150000000183</v>
      </c>
      <c r="AL10" s="2">
        <v>10643.7</v>
      </c>
      <c r="AM10" s="42"/>
      <c r="AN10" s="37">
        <f t="shared" si="62"/>
        <v>5810.1500000007682</v>
      </c>
      <c r="AO10" s="37">
        <f t="shared" ref="AO10:AO34" si="85">IF(AN10&lt;=0,0,(AN10/SQRT(AN10^2+(AM10-AM9)^2)))</f>
        <v>1</v>
      </c>
      <c r="AP10" s="37">
        <v>8200.4</v>
      </c>
      <c r="AQ10" s="37"/>
      <c r="AR10" s="37">
        <f t="shared" si="15"/>
        <v>13099.999999999454</v>
      </c>
      <c r="AS10" s="37">
        <f t="shared" ref="AS10:AS34" si="86">IF(AR10&lt;=0,0,(AR10/SQRT(AR10^2+(AQ10-AQ9)^2)))</f>
        <v>1</v>
      </c>
      <c r="AT10" s="183"/>
      <c r="AU10" s="183"/>
      <c r="AV10" s="183"/>
      <c r="AW10" s="183"/>
      <c r="AX10" s="37">
        <v>476050</v>
      </c>
      <c r="AY10" s="37"/>
      <c r="AZ10" s="37">
        <f t="shared" si="16"/>
        <v>420</v>
      </c>
      <c r="BA10" s="37">
        <v>135160</v>
      </c>
      <c r="BB10" s="37"/>
      <c r="BC10" s="37">
        <f t="shared" si="17"/>
        <v>670</v>
      </c>
      <c r="BD10" s="37">
        <f t="shared" ref="BD10:BD34" si="87">AN10+AR10+AZ10+BC10</f>
        <v>20000.150000000223</v>
      </c>
      <c r="BE10" s="37">
        <v>1867.9</v>
      </c>
      <c r="BF10" s="37">
        <v>1025.7</v>
      </c>
      <c r="BG10" s="37">
        <f t="shared" si="18"/>
        <v>2600.0000000001364</v>
      </c>
      <c r="BH10" s="44">
        <v>8728.2000000000007</v>
      </c>
      <c r="BI10" s="44">
        <v>5613.1</v>
      </c>
      <c r="BJ10" s="37">
        <f t="shared" si="19"/>
        <v>10100.000000000364</v>
      </c>
      <c r="BK10" s="40">
        <v>1484540</v>
      </c>
      <c r="BL10" s="40">
        <f t="shared" ref="BL10:BL38" si="88">IF((BK10-BK9)&lt;=0,0,(BK10-BK9))</f>
        <v>3650</v>
      </c>
      <c r="BM10" s="40">
        <v>857.87</v>
      </c>
      <c r="BN10" s="37">
        <f t="shared" si="20"/>
        <v>669.99999999995907</v>
      </c>
      <c r="BO10" s="186"/>
      <c r="BP10" s="183">
        <f t="shared" si="21"/>
        <v>0</v>
      </c>
      <c r="BQ10" s="40">
        <v>811.6</v>
      </c>
      <c r="BR10" s="37">
        <f t="shared" si="63"/>
        <v>500</v>
      </c>
      <c r="BS10" s="37">
        <v>94468.28</v>
      </c>
      <c r="BT10" s="37">
        <f t="shared" si="22"/>
        <v>182.44999999999709</v>
      </c>
      <c r="BU10" s="42">
        <v>2556718</v>
      </c>
      <c r="BV10" s="42"/>
      <c r="BW10" s="37">
        <f t="shared" si="23"/>
        <v>8090</v>
      </c>
      <c r="BX10" s="37">
        <f t="shared" ref="BX10:BX33" si="89">IF(BW10&lt;=0,0,(BW10/SQRT(BW10^2+(BV10-BV9)^2)))</f>
        <v>1</v>
      </c>
      <c r="BY10" s="43">
        <v>333.24990000000003</v>
      </c>
      <c r="BZ10" s="43"/>
      <c r="CA10" s="37">
        <f t="shared" si="24"/>
        <v>669.3000000000211</v>
      </c>
      <c r="CB10" s="37">
        <f t="shared" si="64"/>
        <v>1</v>
      </c>
      <c r="CC10" s="37">
        <v>598101.30000000005</v>
      </c>
      <c r="CD10" s="37">
        <f t="shared" si="25"/>
        <v>1138</v>
      </c>
      <c r="CE10" s="37">
        <v>1062506</v>
      </c>
      <c r="CF10" s="37">
        <f t="shared" si="26"/>
        <v>6864</v>
      </c>
      <c r="CG10" s="37">
        <v>71455.5</v>
      </c>
      <c r="CH10" s="37">
        <f t="shared" si="65"/>
        <v>0</v>
      </c>
      <c r="CI10" s="40">
        <v>12444.3</v>
      </c>
      <c r="CJ10" s="40"/>
      <c r="CK10" s="37">
        <f t="shared" si="66"/>
        <v>19800.849999999034</v>
      </c>
      <c r="CL10" s="37">
        <f t="shared" si="27"/>
        <v>1</v>
      </c>
      <c r="CM10" s="37">
        <v>3433.6880000000001</v>
      </c>
      <c r="CN10" s="37"/>
      <c r="CO10" s="37">
        <f t="shared" si="28"/>
        <v>6722.149999999916</v>
      </c>
      <c r="CP10" s="37">
        <f t="shared" ref="CP10:CP34" si="90">IF(CO10&lt;=0,0,(CO10/SQRT(CO10^2+(CN10-CN9)^2)))</f>
        <v>1</v>
      </c>
      <c r="CQ10" s="39">
        <v>37235.1</v>
      </c>
      <c r="CR10" s="45"/>
      <c r="CS10" s="37">
        <f t="shared" si="67"/>
        <v>4690.9499999999989</v>
      </c>
      <c r="CT10" s="37">
        <f t="shared" si="68"/>
        <v>1</v>
      </c>
      <c r="CU10" s="37">
        <v>3059401</v>
      </c>
      <c r="CV10" s="37"/>
      <c r="CW10" s="38">
        <f t="shared" si="29"/>
        <v>16296</v>
      </c>
      <c r="CX10" s="37">
        <f t="shared" ref="CX10:CX38" si="91">IF(CW10&lt;=0,0,(CW10/SQRT(CW10^2+(CV10-CV9)^2)))</f>
        <v>1</v>
      </c>
      <c r="CY10" s="37">
        <v>1594858</v>
      </c>
      <c r="CZ10" s="37"/>
      <c r="DA10" s="37">
        <f t="shared" si="30"/>
        <v>8705</v>
      </c>
      <c r="DB10" s="37">
        <f t="shared" ref="DB10:DB34" si="92">IF(DA10&lt;=0,0,(DA10/SQRT(DA10^2+(CZ10-CZ9)^2)))</f>
        <v>1</v>
      </c>
      <c r="DC10" s="37"/>
      <c r="DD10" s="40"/>
      <c r="DE10" s="37">
        <f t="shared" si="31"/>
        <v>0</v>
      </c>
      <c r="DF10" s="37">
        <f>IF(DE10&lt;=0,0,(DE10/SQRT(DE10^2+(DD10-DD9)^2)))</f>
        <v>0</v>
      </c>
      <c r="DG10" s="37">
        <f t="shared" si="32"/>
        <v>-64304.949999998949</v>
      </c>
      <c r="DH10" s="37">
        <f t="shared" si="33"/>
        <v>473430.15000000031</v>
      </c>
      <c r="DI10" s="46"/>
      <c r="DJ10" s="46"/>
      <c r="DK10" s="47"/>
      <c r="DL10" s="47"/>
      <c r="DM10" s="37"/>
      <c r="DN10" s="37"/>
      <c r="DO10" s="37"/>
      <c r="DP10" s="37"/>
      <c r="DQ10" s="50">
        <v>3269600</v>
      </c>
      <c r="DR10" s="49">
        <f t="shared" si="69"/>
        <v>7500</v>
      </c>
      <c r="DS10" s="50">
        <v>3406000</v>
      </c>
      <c r="DT10" s="49">
        <f t="shared" si="70"/>
        <v>19500</v>
      </c>
      <c r="DU10" s="52">
        <v>7907.4</v>
      </c>
      <c r="DV10" s="52">
        <v>4429.8999999999996</v>
      </c>
      <c r="DW10" s="37">
        <f t="shared" ref="DW10:DW38" si="93">IF((DU10-DU9)*1000&lt;=0,0,(DU10-DU9)*1000)</f>
        <v>4799.9999999992724</v>
      </c>
      <c r="DX10" s="52">
        <v>13039</v>
      </c>
      <c r="DY10" s="52">
        <v>8389.2999999999993</v>
      </c>
      <c r="DZ10" s="37">
        <f t="shared" si="34"/>
        <v>6930.15</v>
      </c>
      <c r="EA10" s="49">
        <v>29716</v>
      </c>
      <c r="EB10" s="49">
        <v>20.745999999999999</v>
      </c>
      <c r="EC10" s="37">
        <f t="shared" si="35"/>
        <v>25090.15</v>
      </c>
      <c r="ED10" s="53">
        <f t="shared" si="36"/>
        <v>36820.299999999275</v>
      </c>
      <c r="EE10" s="49">
        <v>45041</v>
      </c>
      <c r="EF10" s="49">
        <v>29.082000000000001</v>
      </c>
      <c r="EG10" s="37">
        <f t="shared" si="37"/>
        <v>20090.150000000001</v>
      </c>
      <c r="EH10" s="52">
        <v>12869</v>
      </c>
      <c r="EI10" s="52">
        <v>1.7435</v>
      </c>
      <c r="EJ10" s="37">
        <f t="shared" si="38"/>
        <v>9930.15</v>
      </c>
      <c r="EK10" s="37">
        <v>782.01</v>
      </c>
      <c r="EL10" s="40">
        <v>1120.7</v>
      </c>
      <c r="EM10" s="37">
        <f t="shared" si="71"/>
        <v>740.00000000000909</v>
      </c>
      <c r="EN10" s="54">
        <f t="shared" si="72"/>
        <v>30760.30000000001</v>
      </c>
      <c r="EO10" s="48">
        <v>12858</v>
      </c>
      <c r="EP10" s="48">
        <v>4493.6000000000004</v>
      </c>
      <c r="EQ10" s="37">
        <f t="shared" si="73"/>
        <v>5895.1500000000315</v>
      </c>
      <c r="ER10" s="48">
        <v>9093.1</v>
      </c>
      <c r="ES10" s="48">
        <v>3728.8</v>
      </c>
      <c r="ET10" s="49">
        <f t="shared" si="39"/>
        <v>9100.0000000003638</v>
      </c>
      <c r="EU10" s="48">
        <v>3462.6</v>
      </c>
      <c r="EV10" s="48">
        <v>1231.5</v>
      </c>
      <c r="EW10" s="49">
        <f t="shared" si="40"/>
        <v>5730.1499999997268</v>
      </c>
      <c r="EX10" s="48">
        <v>13298</v>
      </c>
      <c r="EY10" s="48">
        <v>1.5256000000000001</v>
      </c>
      <c r="EZ10" s="37">
        <f t="shared" si="41"/>
        <v>8930.15</v>
      </c>
      <c r="FA10" s="48">
        <f t="shared" si="74"/>
        <v>-12003.450000000121</v>
      </c>
      <c r="FB10" s="48">
        <v>36124276</v>
      </c>
      <c r="FC10" s="49">
        <f t="shared" ref="FC10:FC35" si="94">IF((FB10-FB9)&lt;=0,0,(FB10-FB9))</f>
        <v>17652</v>
      </c>
      <c r="FD10" s="48">
        <f t="shared" si="75"/>
        <v>31255.45000000003</v>
      </c>
      <c r="FE10" s="48">
        <v>16898</v>
      </c>
      <c r="FF10" s="48">
        <v>6046.6</v>
      </c>
      <c r="FG10" s="37">
        <f t="shared" si="76"/>
        <v>9920.1499999999687</v>
      </c>
      <c r="FH10" s="48">
        <v>8483.6</v>
      </c>
      <c r="FI10" s="48">
        <v>3.2753999999999999</v>
      </c>
      <c r="FJ10" s="49">
        <f t="shared" si="42"/>
        <v>17985.150000000365</v>
      </c>
      <c r="FK10" s="48"/>
      <c r="FL10" s="58">
        <v>-45</v>
      </c>
      <c r="FM10" s="48">
        <f t="shared" ref="FM10:FM38" si="95">FT10/3</f>
        <v>1069.8499999998901</v>
      </c>
      <c r="FN10" s="55">
        <v>16368</v>
      </c>
      <c r="FO10" s="48">
        <v>0.79859999999999998</v>
      </c>
      <c r="FP10" s="37">
        <f t="shared" si="77"/>
        <v>11885.15</v>
      </c>
      <c r="FQ10" s="48">
        <v>58129</v>
      </c>
      <c r="FR10" s="48">
        <v>14.032999999999999</v>
      </c>
      <c r="FS10" s="37">
        <f t="shared" si="43"/>
        <v>43000</v>
      </c>
      <c r="FT10" s="48">
        <f t="shared" si="78"/>
        <v>3209.54999999967</v>
      </c>
      <c r="FU10" s="48">
        <f t="shared" si="79"/>
        <v>39790.450000000332</v>
      </c>
      <c r="FV10" s="44">
        <v>4064500</v>
      </c>
      <c r="FW10" s="44">
        <v>1300700</v>
      </c>
      <c r="FX10" s="37">
        <f t="shared" si="44"/>
        <v>29700</v>
      </c>
      <c r="FY10" s="56">
        <v>3260.2</v>
      </c>
      <c r="FZ10" s="56">
        <v>2.0013000000000001</v>
      </c>
      <c r="GA10" s="37">
        <f t="shared" si="45"/>
        <v>7559.9999999996362</v>
      </c>
      <c r="GB10" s="56">
        <v>802.06</v>
      </c>
      <c r="GC10" s="56">
        <v>897.84</v>
      </c>
      <c r="GD10" s="37">
        <f t="shared" si="46"/>
        <v>879.99999999999545</v>
      </c>
      <c r="GE10" s="56">
        <v>9910.2000000000007</v>
      </c>
      <c r="GF10" s="56">
        <v>3.2747000000000002</v>
      </c>
      <c r="GG10" s="37">
        <f t="shared" si="47"/>
        <v>10500.000000000455</v>
      </c>
      <c r="GH10" s="153">
        <v>1929.3</v>
      </c>
      <c r="GI10" s="162">
        <v>1645</v>
      </c>
      <c r="GJ10" s="38">
        <f t="shared" si="48"/>
        <v>1599.9999999999091</v>
      </c>
      <c r="GK10" s="162">
        <v>1467.1</v>
      </c>
      <c r="GL10" s="163">
        <v>1119.2</v>
      </c>
      <c r="GM10" s="38">
        <f t="shared" si="49"/>
        <v>0</v>
      </c>
      <c r="GN10" s="57">
        <v>179840</v>
      </c>
      <c r="GO10" s="57">
        <v>158000</v>
      </c>
      <c r="GP10" s="38">
        <f>IF((GN10-GN9)&lt;=0,0,(GN10-GN9)+1000)</f>
        <v>4750</v>
      </c>
      <c r="GQ10" s="38">
        <v>259060</v>
      </c>
      <c r="GR10" s="38">
        <v>225220</v>
      </c>
      <c r="GS10" s="38">
        <f t="shared" si="80"/>
        <v>840</v>
      </c>
      <c r="GT10" s="178"/>
      <c r="GU10" s="144">
        <f>DailyMei!B9-DailyMei!N9-DailyMei!V9-DailyMei!Y9-DailyMei!Z9-DailyMei!AA9-DailyMei!AB9-DailyMei!AC9-DailyMei!AD9-DailyMei!AE9-DailyMei!AK9-DailyMei!AO9-DailyMei!AS9-DailyMei!AY9-DailyMei!BD9+DailyMei!BU9-DailyMei!BG9-DailyMei!BT9-DailyMei!AF9-DailyMei!AG9</f>
        <v>-5.0000000992440619E-2</v>
      </c>
      <c r="GV10" s="59">
        <v>-16047.8</v>
      </c>
      <c r="GW10" s="60">
        <f t="shared" si="50"/>
        <v>-1069.8533333333332</v>
      </c>
      <c r="GX10" s="61">
        <v>-1069.8499999999999</v>
      </c>
      <c r="GY10" s="140"/>
      <c r="GZ10" s="62"/>
      <c r="HA10" s="62"/>
      <c r="HB10" s="74"/>
      <c r="HC10" s="62"/>
      <c r="HD10" s="74"/>
      <c r="HE10" s="24">
        <f t="shared" si="51"/>
        <v>0</v>
      </c>
      <c r="HG10" s="213">
        <v>4</v>
      </c>
      <c r="HH10" s="16">
        <v>7774.7</v>
      </c>
      <c r="HI10" s="16">
        <v>3024.2</v>
      </c>
      <c r="HJ10" s="16">
        <f t="shared" si="52"/>
        <v>122099.99999999945</v>
      </c>
      <c r="HK10" s="16">
        <v>1.9189000000000001</v>
      </c>
      <c r="HL10" s="16">
        <v>660.93</v>
      </c>
      <c r="HM10" s="16">
        <f t="shared" si="53"/>
        <v>0</v>
      </c>
      <c r="HN10" s="16">
        <v>2099.4</v>
      </c>
      <c r="HO10" s="16">
        <v>924.7</v>
      </c>
      <c r="HP10" s="16">
        <f t="shared" si="54"/>
        <v>34963.950000000179</v>
      </c>
      <c r="HQ10" s="16">
        <v>1824.7</v>
      </c>
      <c r="HR10" s="16">
        <v>806.95</v>
      </c>
      <c r="HS10" s="16">
        <f t="shared" si="55"/>
        <v>25663.95</v>
      </c>
      <c r="HT10" s="16">
        <v>1515.7</v>
      </c>
      <c r="HU10" s="16">
        <v>602.70000000000005</v>
      </c>
      <c r="HV10" s="16">
        <f t="shared" si="56"/>
        <v>22063.950000000092</v>
      </c>
      <c r="HW10" s="16">
        <v>517.53</v>
      </c>
      <c r="HX10" s="16">
        <v>245.08</v>
      </c>
      <c r="HY10" s="16">
        <f t="shared" si="57"/>
        <v>19673.949999999993</v>
      </c>
      <c r="HZ10" s="16">
        <v>361.9</v>
      </c>
      <c r="IA10" s="16">
        <v>557.64</v>
      </c>
      <c r="IB10" s="16">
        <f t="shared" si="58"/>
        <v>234.2</v>
      </c>
      <c r="IC10" s="16"/>
      <c r="ID10" s="16"/>
      <c r="IE10" s="16">
        <f t="shared" si="59"/>
        <v>0</v>
      </c>
      <c r="IF10" s="16"/>
      <c r="IG10" s="16"/>
      <c r="IH10" s="128">
        <f t="shared" si="1"/>
        <v>19500</v>
      </c>
      <c r="II10" s="211">
        <f t="shared" si="60"/>
        <v>-8.1053030953626148E-10</v>
      </c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G10" s="151">
        <f t="shared" si="61"/>
        <v>35198.149999999368</v>
      </c>
    </row>
    <row r="11" spans="1:293" x14ac:dyDescent="0.25">
      <c r="A11" s="35">
        <f t="shared" si="2"/>
        <v>5</v>
      </c>
      <c r="B11" s="38">
        <v>4151.84</v>
      </c>
      <c r="C11" s="38">
        <f t="shared" si="3"/>
        <v>12.130000000000109</v>
      </c>
      <c r="D11" s="38">
        <f t="shared" si="4"/>
        <v>388160.00000000349</v>
      </c>
      <c r="E11" s="38">
        <v>834.81</v>
      </c>
      <c r="F11" s="38">
        <f t="shared" si="5"/>
        <v>82239.999999997963</v>
      </c>
      <c r="G11" s="38">
        <f t="shared" si="6"/>
        <v>470400.00000000146</v>
      </c>
      <c r="H11" s="37"/>
      <c r="I11" s="39"/>
      <c r="J11" s="42"/>
      <c r="K11" s="37">
        <f t="shared" si="81"/>
        <v>0</v>
      </c>
      <c r="L11" s="40">
        <v>12603600</v>
      </c>
      <c r="M11" s="40"/>
      <c r="N11" s="37">
        <f t="shared" si="82"/>
        <v>464000</v>
      </c>
      <c r="O11" s="37">
        <v>10744.1</v>
      </c>
      <c r="P11" s="37"/>
      <c r="Q11" s="37">
        <f t="shared" si="7"/>
        <v>12600.000000000364</v>
      </c>
      <c r="R11" s="37">
        <f t="shared" si="83"/>
        <v>1</v>
      </c>
      <c r="S11" s="37">
        <v>11231870.85</v>
      </c>
      <c r="T11" s="37">
        <f t="shared" si="8"/>
        <v>0</v>
      </c>
      <c r="U11" s="37">
        <v>1518178.85</v>
      </c>
      <c r="V11" s="37">
        <f t="shared" si="9"/>
        <v>5</v>
      </c>
      <c r="W11" s="37">
        <v>3824.2</v>
      </c>
      <c r="X11" s="37">
        <f t="shared" ref="X11:X38" si="96">Q11-T11-V11-AB11</f>
        <v>8195.0000000003638</v>
      </c>
      <c r="Y11" s="183"/>
      <c r="Z11" s="183"/>
      <c r="AA11" s="37">
        <v>751000</v>
      </c>
      <c r="AB11" s="37">
        <f t="shared" si="10"/>
        <v>4400</v>
      </c>
      <c r="AC11" s="37">
        <v>3992.9</v>
      </c>
      <c r="AD11" s="37"/>
      <c r="AE11" s="37">
        <f t="shared" si="11"/>
        <v>4700.0000000002728</v>
      </c>
      <c r="AF11" s="37">
        <f t="shared" si="84"/>
        <v>1</v>
      </c>
      <c r="AG11" s="37">
        <v>8708</v>
      </c>
      <c r="AH11" s="37"/>
      <c r="AI11" s="37">
        <f t="shared" si="12"/>
        <v>11227.729999999636</v>
      </c>
      <c r="AJ11" s="37">
        <f t="shared" si="13"/>
        <v>1</v>
      </c>
      <c r="AK11" s="37">
        <f t="shared" si="14"/>
        <v>24127.730000000272</v>
      </c>
      <c r="AL11" s="42">
        <v>10655.2</v>
      </c>
      <c r="AM11" s="2"/>
      <c r="AN11" s="37">
        <f t="shared" si="62"/>
        <v>8317.7300000001196</v>
      </c>
      <c r="AO11" s="37">
        <f t="shared" si="85"/>
        <v>1</v>
      </c>
      <c r="AP11" s="37">
        <v>8213.2999999999993</v>
      </c>
      <c r="AQ11" s="37"/>
      <c r="AR11" s="37">
        <f t="shared" si="15"/>
        <v>12899.999999999636</v>
      </c>
      <c r="AS11" s="37">
        <f t="shared" si="86"/>
        <v>1</v>
      </c>
      <c r="AT11" s="183"/>
      <c r="AU11" s="183"/>
      <c r="AV11" s="183"/>
      <c r="AW11" s="183"/>
      <c r="AX11" s="37">
        <v>476440</v>
      </c>
      <c r="AY11" s="37"/>
      <c r="AZ11" s="37">
        <f t="shared" si="16"/>
        <v>390</v>
      </c>
      <c r="BA11" s="37">
        <v>135850</v>
      </c>
      <c r="BB11" s="37"/>
      <c r="BC11" s="37">
        <f t="shared" si="17"/>
        <v>690</v>
      </c>
      <c r="BD11" s="37">
        <f t="shared" si="87"/>
        <v>22297.729999999756</v>
      </c>
      <c r="BE11" s="43">
        <v>1870</v>
      </c>
      <c r="BF11" s="43">
        <v>1027</v>
      </c>
      <c r="BG11" s="37">
        <f t="shared" si="18"/>
        <v>2099.9999999999091</v>
      </c>
      <c r="BH11" s="44">
        <v>8736.9</v>
      </c>
      <c r="BI11" s="44">
        <v>5618.4</v>
      </c>
      <c r="BJ11" s="37">
        <f t="shared" si="19"/>
        <v>8699.9999999989086</v>
      </c>
      <c r="BK11" s="40">
        <v>1488170</v>
      </c>
      <c r="BL11" s="40">
        <f t="shared" si="88"/>
        <v>3630</v>
      </c>
      <c r="BM11" s="40">
        <v>858.55</v>
      </c>
      <c r="BN11" s="37">
        <f t="shared" si="20"/>
        <v>679.99999999994998</v>
      </c>
      <c r="BO11" s="186"/>
      <c r="BP11" s="183">
        <f t="shared" si="21"/>
        <v>0</v>
      </c>
      <c r="BQ11" s="40">
        <v>811.8</v>
      </c>
      <c r="BR11" s="37">
        <f t="shared" si="63"/>
        <v>199.99999999993179</v>
      </c>
      <c r="BS11" s="37">
        <v>94626.6</v>
      </c>
      <c r="BT11" s="37">
        <f t="shared" si="22"/>
        <v>158.32000000000698</v>
      </c>
      <c r="BU11" s="42">
        <v>2567282</v>
      </c>
      <c r="BV11" s="42"/>
      <c r="BW11" s="37">
        <f t="shared" si="23"/>
        <v>10564</v>
      </c>
      <c r="BX11" s="37">
        <f t="shared" si="89"/>
        <v>1</v>
      </c>
      <c r="BY11" s="43">
        <v>333.7944</v>
      </c>
      <c r="BZ11" s="43"/>
      <c r="CA11" s="37">
        <f t="shared" si="24"/>
        <v>544.4999999999709</v>
      </c>
      <c r="CB11" s="37">
        <f t="shared" si="64"/>
        <v>1</v>
      </c>
      <c r="CC11" s="37">
        <v>600412.6</v>
      </c>
      <c r="CD11" s="37">
        <f t="shared" si="25"/>
        <v>2311.2999999999302</v>
      </c>
      <c r="CE11" s="37">
        <v>1070091</v>
      </c>
      <c r="CF11" s="37">
        <f t="shared" si="26"/>
        <v>7585</v>
      </c>
      <c r="CG11" s="37">
        <v>71978.7</v>
      </c>
      <c r="CH11" s="37">
        <f t="shared" si="65"/>
        <v>523.19999999999709</v>
      </c>
      <c r="CI11" s="40">
        <v>12466.52</v>
      </c>
      <c r="CJ11" s="40"/>
      <c r="CK11" s="37">
        <f t="shared" si="66"/>
        <v>23003.230000001193</v>
      </c>
      <c r="CL11" s="37">
        <f t="shared" si="27"/>
        <v>1</v>
      </c>
      <c r="CM11" s="37">
        <v>3439.7620000000002</v>
      </c>
      <c r="CN11" s="37"/>
      <c r="CO11" s="37">
        <f t="shared" si="28"/>
        <v>7401.7300000000687</v>
      </c>
      <c r="CP11" s="37">
        <f>IF(CO11&lt;=0,0,(CO11/SQRT(CO11^2+(CN11-CN10)^2)))</f>
        <v>1</v>
      </c>
      <c r="CQ11" s="39">
        <v>43230.7</v>
      </c>
      <c r="CR11" s="45"/>
      <c r="CS11" s="37">
        <f t="shared" si="67"/>
        <v>7323.3299999999981</v>
      </c>
      <c r="CT11" s="37">
        <f t="shared" si="68"/>
        <v>1</v>
      </c>
      <c r="CU11" s="37">
        <v>3076429</v>
      </c>
      <c r="CV11" s="37"/>
      <c r="CW11" s="38">
        <f t="shared" si="29"/>
        <v>17028</v>
      </c>
      <c r="CX11" s="37">
        <f t="shared" si="91"/>
        <v>1</v>
      </c>
      <c r="CY11" s="37">
        <v>1604343</v>
      </c>
      <c r="CZ11" s="37"/>
      <c r="DA11" s="37">
        <f t="shared" si="30"/>
        <v>9485</v>
      </c>
      <c r="DB11" s="37">
        <f t="shared" si="92"/>
        <v>1</v>
      </c>
      <c r="DC11" s="37"/>
      <c r="DD11" s="40"/>
      <c r="DE11" s="37">
        <f t="shared" si="31"/>
        <v>0</v>
      </c>
      <c r="DF11" s="37">
        <f t="shared" ref="DF11:DF33" si="97">IF(DE11&lt;=0,0,(DE11/SQRT(DE11^2+(DD11-DD10)^2)))</f>
        <v>0</v>
      </c>
      <c r="DG11" s="37">
        <f t="shared" si="32"/>
        <v>-74805.29000000126</v>
      </c>
      <c r="DH11" s="37">
        <f t="shared" si="33"/>
        <v>490227.73000000016</v>
      </c>
      <c r="DI11" s="46"/>
      <c r="DJ11" s="46"/>
      <c r="DK11" s="47"/>
      <c r="DL11" s="47"/>
      <c r="DM11" s="37"/>
      <c r="DN11" s="37"/>
      <c r="DO11" s="37"/>
      <c r="DP11" s="37"/>
      <c r="DQ11" s="50">
        <v>3276200</v>
      </c>
      <c r="DR11" s="49">
        <f t="shared" si="69"/>
        <v>6600</v>
      </c>
      <c r="DS11" s="50">
        <v>3425500</v>
      </c>
      <c r="DT11" s="49">
        <f t="shared" si="70"/>
        <v>19500</v>
      </c>
      <c r="DU11" s="52">
        <v>7911.6</v>
      </c>
      <c r="DV11" s="52">
        <v>4432.3</v>
      </c>
      <c r="DW11" s="37">
        <f t="shared" si="93"/>
        <v>4200.0000000007276</v>
      </c>
      <c r="DX11" s="52">
        <v>13045</v>
      </c>
      <c r="DY11" s="52">
        <v>8390.6</v>
      </c>
      <c r="DZ11" s="37">
        <f t="shared" si="34"/>
        <v>7327.73</v>
      </c>
      <c r="EA11" s="49">
        <v>29737</v>
      </c>
      <c r="EB11" s="49">
        <v>20.756</v>
      </c>
      <c r="EC11" s="37">
        <f t="shared" si="35"/>
        <v>24487.73</v>
      </c>
      <c r="ED11" s="53">
        <f t="shared" si="36"/>
        <v>36015.460000000727</v>
      </c>
      <c r="EE11" s="49">
        <v>45061</v>
      </c>
      <c r="EF11" s="49">
        <v>29.102</v>
      </c>
      <c r="EG11" s="37">
        <f t="shared" si="37"/>
        <v>23487.73</v>
      </c>
      <c r="EH11" s="52">
        <v>12880</v>
      </c>
      <c r="EI11" s="52">
        <v>1.7455000000000001</v>
      </c>
      <c r="EJ11" s="37">
        <f t="shared" si="38"/>
        <v>12327.73</v>
      </c>
      <c r="EK11" s="37">
        <v>782.47</v>
      </c>
      <c r="EL11" s="64">
        <v>1121.3</v>
      </c>
      <c r="EM11" s="37">
        <f t="shared" si="71"/>
        <v>460.00000000003638</v>
      </c>
      <c r="EN11" s="54">
        <f t="shared" si="72"/>
        <v>36275.460000000036</v>
      </c>
      <c r="EO11" s="48">
        <v>12866</v>
      </c>
      <c r="EP11" s="48">
        <v>4496.2</v>
      </c>
      <c r="EQ11" s="37">
        <f t="shared" si="73"/>
        <v>8467.729999999985</v>
      </c>
      <c r="ER11" s="48">
        <v>9104</v>
      </c>
      <c r="ES11" s="48">
        <v>3733.8</v>
      </c>
      <c r="ET11" s="49">
        <f t="shared" si="39"/>
        <v>10899.999999999636</v>
      </c>
      <c r="EU11" s="48">
        <v>3468.8</v>
      </c>
      <c r="EV11" s="48">
        <v>1233.8</v>
      </c>
      <c r="EW11" s="49">
        <f t="shared" si="40"/>
        <v>7527.7300000002724</v>
      </c>
      <c r="EX11" s="48">
        <v>13307</v>
      </c>
      <c r="EY11" s="48">
        <v>1.5264</v>
      </c>
      <c r="EZ11" s="37">
        <f t="shared" si="41"/>
        <v>10327.73</v>
      </c>
      <c r="FA11" s="48">
        <f t="shared" si="74"/>
        <v>-19892.189999999893</v>
      </c>
      <c r="FB11" s="48">
        <v>36141607</v>
      </c>
      <c r="FC11" s="49">
        <f t="shared" si="94"/>
        <v>17331</v>
      </c>
      <c r="FD11" s="48">
        <f t="shared" si="75"/>
        <v>38723.189999999893</v>
      </c>
      <c r="FE11" s="48">
        <v>16906</v>
      </c>
      <c r="FF11" s="48">
        <v>6048.6</v>
      </c>
      <c r="FG11" s="37">
        <f t="shared" si="76"/>
        <v>10167.730000000014</v>
      </c>
      <c r="FH11" s="48">
        <v>8499.7999999999993</v>
      </c>
      <c r="FI11" s="48">
        <v>3.2816000000000001</v>
      </c>
      <c r="FJ11" s="49">
        <f t="shared" si="42"/>
        <v>17507.729999998908</v>
      </c>
      <c r="FK11" s="48"/>
      <c r="FL11" s="58">
        <v>-20</v>
      </c>
      <c r="FM11" s="48">
        <f t="shared" si="95"/>
        <v>-1327.7299999996405</v>
      </c>
      <c r="FN11" s="48">
        <v>16379</v>
      </c>
      <c r="FO11" s="48">
        <v>0.80030000000000001</v>
      </c>
      <c r="FP11" s="37">
        <f t="shared" si="77"/>
        <v>12307.73</v>
      </c>
      <c r="FQ11" s="48">
        <v>58165</v>
      </c>
      <c r="FR11" s="48">
        <v>14.042999999999999</v>
      </c>
      <c r="FS11" s="37">
        <f t="shared" si="43"/>
        <v>36000</v>
      </c>
      <c r="FT11" s="48">
        <f t="shared" si="78"/>
        <v>-3983.1899999989218</v>
      </c>
      <c r="FU11" s="48">
        <f>FG11+FJ11+FP11+GM11</f>
        <v>39983.189999998925</v>
      </c>
      <c r="FV11" s="44">
        <v>4090300</v>
      </c>
      <c r="FW11" s="44">
        <v>1308800</v>
      </c>
      <c r="FX11" s="37">
        <f t="shared" si="44"/>
        <v>25800</v>
      </c>
      <c r="FY11" s="56">
        <v>3268.1</v>
      </c>
      <c r="FZ11" s="56">
        <v>2.0076999999999998</v>
      </c>
      <c r="GA11" s="37">
        <f t="shared" si="45"/>
        <v>7240.0000000000909</v>
      </c>
      <c r="GB11" s="56">
        <v>802.76</v>
      </c>
      <c r="GC11" s="56">
        <v>898.66</v>
      </c>
      <c r="GD11" s="37">
        <f t="shared" si="46"/>
        <v>700.00000000004547</v>
      </c>
      <c r="GE11" s="56">
        <v>9919.6</v>
      </c>
      <c r="GF11" s="63">
        <v>3.2818000000000001</v>
      </c>
      <c r="GG11" s="37">
        <f t="shared" si="47"/>
        <v>7899.9999999996362</v>
      </c>
      <c r="GH11" s="153">
        <v>1930.8</v>
      </c>
      <c r="GI11" s="162">
        <v>1646.3</v>
      </c>
      <c r="GJ11" s="38">
        <f t="shared" si="48"/>
        <v>1500</v>
      </c>
      <c r="GK11" s="162">
        <v>1467.1</v>
      </c>
      <c r="GL11" s="163">
        <v>1119.2</v>
      </c>
      <c r="GM11" s="38">
        <f t="shared" si="49"/>
        <v>0</v>
      </c>
      <c r="GN11" s="57">
        <v>181460</v>
      </c>
      <c r="GO11" s="57">
        <v>159400</v>
      </c>
      <c r="GP11" s="38">
        <f>IF((GN11-GN10)&lt;=0,0,(GN11-GN10)+1000)</f>
        <v>2620</v>
      </c>
      <c r="GQ11" s="38">
        <v>259720</v>
      </c>
      <c r="GR11" s="38">
        <v>225970</v>
      </c>
      <c r="GS11" s="38">
        <f t="shared" si="80"/>
        <v>660</v>
      </c>
      <c r="GT11" s="178"/>
      <c r="GU11" s="144">
        <f>DailyMei!B10-DailyMei!N10-DailyMei!V10-DailyMei!Y10-DailyMei!Z10-DailyMei!AA10-DailyMei!AB10-DailyMei!AC10-DailyMei!AD10-DailyMei!AE10-DailyMei!AK10-DailyMei!AO10-DailyMei!AS10-DailyMei!AY10-DailyMei!BD10+DailyMei!BU10-DailyMei!BG10-DailyMei!BT10-DailyMei!AF10-DailyMei!AG10</f>
        <v>-4.9999997427221388E-2</v>
      </c>
      <c r="GV11" s="59">
        <v>19915.900000000001</v>
      </c>
      <c r="GW11" s="60">
        <f t="shared" si="50"/>
        <v>1327.7266666666667</v>
      </c>
      <c r="GX11" s="61">
        <v>1327.73</v>
      </c>
      <c r="GY11" s="140"/>
      <c r="GZ11" s="62"/>
      <c r="HA11" s="62"/>
      <c r="HB11" s="74"/>
      <c r="HC11" s="62"/>
      <c r="HD11" s="74"/>
      <c r="HE11" s="24">
        <f t="shared" si="51"/>
        <v>0</v>
      </c>
      <c r="HG11" s="213">
        <v>5</v>
      </c>
      <c r="HH11" s="16">
        <v>7901.9</v>
      </c>
      <c r="HI11" s="16">
        <v>3071.5</v>
      </c>
      <c r="HJ11" s="16">
        <f t="shared" si="52"/>
        <v>127199.99999999983</v>
      </c>
      <c r="HK11" s="16">
        <v>1.9189000000000001</v>
      </c>
      <c r="HL11" s="16">
        <v>660.93</v>
      </c>
      <c r="HM11" s="16">
        <f t="shared" si="53"/>
        <v>0</v>
      </c>
      <c r="HN11" s="16">
        <v>2133.9</v>
      </c>
      <c r="HO11" s="16">
        <v>938.37</v>
      </c>
      <c r="HP11" s="16">
        <f t="shared" si="54"/>
        <v>34598.307500000003</v>
      </c>
      <c r="HQ11" s="16">
        <v>1850.2</v>
      </c>
      <c r="HR11" s="16">
        <v>817.35</v>
      </c>
      <c r="HS11" s="16">
        <f t="shared" si="55"/>
        <v>25598.307499999999</v>
      </c>
      <c r="HT11" s="16">
        <v>1539.4</v>
      </c>
      <c r="HU11" s="16">
        <v>610.83000000000004</v>
      </c>
      <c r="HV11" s="16">
        <f t="shared" si="56"/>
        <v>23798.307500000043</v>
      </c>
      <c r="HW11" s="16">
        <v>540.96</v>
      </c>
      <c r="HX11" s="16">
        <v>254.8</v>
      </c>
      <c r="HY11" s="16">
        <f t="shared" si="57"/>
        <v>23528.307500000064</v>
      </c>
      <c r="HZ11" s="16">
        <v>538.66999999999996</v>
      </c>
      <c r="IA11" s="16">
        <v>830.16</v>
      </c>
      <c r="IB11" s="16">
        <f t="shared" si="58"/>
        <v>176.76999999999998</v>
      </c>
      <c r="IC11" s="16"/>
      <c r="ID11" s="16"/>
      <c r="IE11" s="16">
        <f t="shared" si="59"/>
        <v>0</v>
      </c>
      <c r="IF11" s="16"/>
      <c r="IG11" s="16"/>
      <c r="IH11" s="128">
        <f t="shared" si="1"/>
        <v>19500</v>
      </c>
      <c r="II11" s="211">
        <f t="shared" si="60"/>
        <v>-2.7966962079517543E-10</v>
      </c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G11" s="151">
        <f t="shared" si="61"/>
        <v>34775.077499999723</v>
      </c>
    </row>
    <row r="12" spans="1:293" x14ac:dyDescent="0.25">
      <c r="A12" s="35">
        <f t="shared" si="2"/>
        <v>6</v>
      </c>
      <c r="B12" s="38">
        <v>4164.7700000000004</v>
      </c>
      <c r="C12" s="38">
        <f t="shared" si="3"/>
        <v>12.930000000000291</v>
      </c>
      <c r="D12" s="38">
        <f t="shared" si="4"/>
        <v>413760.00000000931</v>
      </c>
      <c r="E12" s="38">
        <v>837.36</v>
      </c>
      <c r="F12" s="38">
        <f t="shared" si="5"/>
        <v>81600.000000002183</v>
      </c>
      <c r="G12" s="38">
        <f t="shared" si="6"/>
        <v>495360.00000001153</v>
      </c>
      <c r="H12" s="37"/>
      <c r="I12" s="39"/>
      <c r="J12" s="42"/>
      <c r="K12" s="37">
        <f>IF(J12&lt;=0,0,(J12/SQRT(J12^2+(I12-I11)^2)))</f>
        <v>0</v>
      </c>
      <c r="L12" s="40">
        <v>12653100</v>
      </c>
      <c r="M12" s="40"/>
      <c r="N12" s="37">
        <f t="shared" si="82"/>
        <v>495000</v>
      </c>
      <c r="O12" s="37">
        <v>10757</v>
      </c>
      <c r="P12" s="37"/>
      <c r="Q12" s="37">
        <f t="shared" si="7"/>
        <v>12899.999999999636</v>
      </c>
      <c r="R12" s="37">
        <f>IF(Q12&lt;=0,0,(Q12/SQRT(Q12^2+(P12-P11)^2)))</f>
        <v>1</v>
      </c>
      <c r="S12" s="37">
        <v>11231870.98</v>
      </c>
      <c r="T12" s="37">
        <f t="shared" si="8"/>
        <v>0.13000000081956387</v>
      </c>
      <c r="U12" s="37">
        <v>1518173.85</v>
      </c>
      <c r="V12" s="37">
        <f t="shared" si="9"/>
        <v>0</v>
      </c>
      <c r="W12" s="37">
        <v>3831</v>
      </c>
      <c r="X12" s="37">
        <f t="shared" si="96"/>
        <v>8399.8699999988166</v>
      </c>
      <c r="Y12" s="183"/>
      <c r="Z12" s="183"/>
      <c r="AA12" s="37">
        <v>755500</v>
      </c>
      <c r="AB12" s="37">
        <f t="shared" si="10"/>
        <v>4500</v>
      </c>
      <c r="AC12" s="37">
        <v>4001.2</v>
      </c>
      <c r="AD12" s="2"/>
      <c r="AE12" s="37">
        <f t="shared" si="11"/>
        <v>8299.9999999997272</v>
      </c>
      <c r="AF12" s="37">
        <f>IF(AE12&lt;=0,0,(AE12/SQRT(AE12^2+(AD12-AD11)^2)))</f>
        <v>1</v>
      </c>
      <c r="AG12" s="37">
        <v>8724</v>
      </c>
      <c r="AH12" s="48"/>
      <c r="AI12" s="37">
        <f t="shared" si="12"/>
        <v>13059.33</v>
      </c>
      <c r="AJ12" s="37">
        <f t="shared" si="13"/>
        <v>1</v>
      </c>
      <c r="AK12" s="37">
        <f t="shared" si="14"/>
        <v>29759.329999999361</v>
      </c>
      <c r="AL12" s="42">
        <v>10666.9</v>
      </c>
      <c r="AM12" s="42"/>
      <c r="AN12" s="37">
        <f t="shared" si="62"/>
        <v>3649.3299999987676</v>
      </c>
      <c r="AO12" s="37">
        <f>IF(AN12&lt;=0,0,(AN12/SQRT(AN12^2+(AM12-AM11)^2)))</f>
        <v>1</v>
      </c>
      <c r="AP12" s="37">
        <v>8222.1</v>
      </c>
      <c r="AQ12" s="37"/>
      <c r="AR12" s="37">
        <f t="shared" si="15"/>
        <v>8800.0000000010914</v>
      </c>
      <c r="AS12" s="37">
        <f>IF(AR12&lt;=0,0,(AR12/SQRT(AR12^2+(AQ12-AQ11)^2)))</f>
        <v>1</v>
      </c>
      <c r="AT12" s="183"/>
      <c r="AU12" s="183"/>
      <c r="AV12" s="183"/>
      <c r="AW12" s="183"/>
      <c r="AX12" s="37">
        <v>476830</v>
      </c>
      <c r="AY12" s="37"/>
      <c r="AZ12" s="37">
        <f t="shared" si="16"/>
        <v>390</v>
      </c>
      <c r="BA12" s="37">
        <v>136450</v>
      </c>
      <c r="BB12" s="37"/>
      <c r="BC12" s="37">
        <f t="shared" si="17"/>
        <v>600</v>
      </c>
      <c r="BD12" s="37">
        <f t="shared" si="87"/>
        <v>13439.32999999986</v>
      </c>
      <c r="BE12" s="43">
        <v>1872.3</v>
      </c>
      <c r="BF12" s="43">
        <v>1028.4000000000001</v>
      </c>
      <c r="BG12" s="37">
        <f t="shared" si="18"/>
        <v>2299.9999999999545</v>
      </c>
      <c r="BH12" s="44">
        <v>8746.5</v>
      </c>
      <c r="BI12" s="44">
        <v>5624.4</v>
      </c>
      <c r="BJ12" s="37">
        <f t="shared" si="19"/>
        <v>9600.0000000003638</v>
      </c>
      <c r="BK12" s="40">
        <v>1491810</v>
      </c>
      <c r="BL12" s="40">
        <f t="shared" si="88"/>
        <v>3640</v>
      </c>
      <c r="BM12" s="40">
        <v>859.22</v>
      </c>
      <c r="BN12" s="37">
        <f t="shared" si="20"/>
        <v>670.00000000007276</v>
      </c>
      <c r="BO12" s="186"/>
      <c r="BP12" s="183">
        <f t="shared" si="21"/>
        <v>0</v>
      </c>
      <c r="BQ12" s="40">
        <v>812.6</v>
      </c>
      <c r="BR12" s="37">
        <f t="shared" si="63"/>
        <v>800.00000000006821</v>
      </c>
      <c r="BS12" s="37">
        <v>94814.56</v>
      </c>
      <c r="BT12" s="37">
        <f t="shared" si="22"/>
        <v>187.95999999999185</v>
      </c>
      <c r="BU12" s="42">
        <v>2577015</v>
      </c>
      <c r="BV12" s="42"/>
      <c r="BW12" s="37">
        <f t="shared" si="23"/>
        <v>9733</v>
      </c>
      <c r="BX12" s="37">
        <f>IF(BW12&lt;=0,0,(BW12/SQRT(BW12^2+(BV12-BV11)^2)))</f>
        <v>1</v>
      </c>
      <c r="BY12" s="43">
        <v>334.32350000000002</v>
      </c>
      <c r="BZ12" s="43"/>
      <c r="CA12" s="37">
        <f t="shared" si="24"/>
        <v>529.1000000000281</v>
      </c>
      <c r="CB12" s="37">
        <f t="shared" si="64"/>
        <v>1</v>
      </c>
      <c r="CC12" s="37">
        <v>602674</v>
      </c>
      <c r="CD12" s="37">
        <f t="shared" si="25"/>
        <v>2261.4000000000233</v>
      </c>
      <c r="CE12" s="37">
        <v>1077531</v>
      </c>
      <c r="CF12" s="37">
        <f t="shared" si="26"/>
        <v>7440</v>
      </c>
      <c r="CG12" s="37">
        <v>71978.7</v>
      </c>
      <c r="CH12" s="37">
        <f t="shared" si="65"/>
        <v>0</v>
      </c>
      <c r="CI12" s="40">
        <v>12488.33</v>
      </c>
      <c r="CJ12" s="40"/>
      <c r="CK12" s="37">
        <f t="shared" si="66"/>
        <v>18340.229999999465</v>
      </c>
      <c r="CL12" s="37">
        <f t="shared" si="27"/>
        <v>1</v>
      </c>
      <c r="CM12" s="37">
        <v>3445.4540000000002</v>
      </c>
      <c r="CN12" s="37"/>
      <c r="CO12" s="37">
        <f t="shared" si="28"/>
        <v>2751.3300000000072</v>
      </c>
      <c r="CP12" s="37">
        <f>IF(CO12&lt;=0,0,(CO12/SQRT(CO12^2+(CN12-CN11)^2)))</f>
        <v>1</v>
      </c>
      <c r="CQ12" s="39">
        <v>48994.400000000001</v>
      </c>
      <c r="CR12" s="45"/>
      <c r="CS12" s="37">
        <f t="shared" si="67"/>
        <v>2823.0300000000043</v>
      </c>
      <c r="CT12" s="37">
        <f t="shared" si="68"/>
        <v>1</v>
      </c>
      <c r="CU12" s="37">
        <v>3096196</v>
      </c>
      <c r="CV12" s="37"/>
      <c r="CW12" s="38">
        <f t="shared" si="29"/>
        <v>19767</v>
      </c>
      <c r="CX12" s="37">
        <f>IF(CW12&lt;=0,0,(CW12/SQRT(CW12^2+(CV12-CV11)^2)))</f>
        <v>1</v>
      </c>
      <c r="CY12" s="37">
        <v>1614938</v>
      </c>
      <c r="CZ12" s="37"/>
      <c r="DA12" s="37">
        <f t="shared" si="30"/>
        <v>10595</v>
      </c>
      <c r="DB12" s="37">
        <f>IF(DA12&lt;=0,0,(DA12/SQRT(DA12^2+(CZ12-CZ11)^2)))</f>
        <v>1</v>
      </c>
      <c r="DC12" s="37"/>
      <c r="DD12" s="40"/>
      <c r="DE12" s="37">
        <f t="shared" si="31"/>
        <v>0</v>
      </c>
      <c r="DF12" s="37">
        <f>IF(DE12&lt;=0,0,(DE12/SQRT(DE12^2+(DD12-DD11)^2)))</f>
        <v>0</v>
      </c>
      <c r="DG12" s="37">
        <f t="shared" si="32"/>
        <v>-64009.58999999948</v>
      </c>
      <c r="DH12" s="37">
        <f t="shared" si="33"/>
        <v>527059.32999999938</v>
      </c>
      <c r="DI12" s="46"/>
      <c r="DJ12" s="46"/>
      <c r="DK12" s="47"/>
      <c r="DL12" s="47"/>
      <c r="DM12" s="37"/>
      <c r="DN12" s="37"/>
      <c r="DO12" s="37"/>
      <c r="DP12" s="37"/>
      <c r="DQ12" s="50">
        <v>3285300</v>
      </c>
      <c r="DR12" s="49">
        <f t="shared" si="69"/>
        <v>9100</v>
      </c>
      <c r="DS12" s="50">
        <v>3446200</v>
      </c>
      <c r="DT12" s="49">
        <f t="shared" si="70"/>
        <v>20700</v>
      </c>
      <c r="DU12" s="52">
        <v>7916.4</v>
      </c>
      <c r="DV12" s="52">
        <v>4435.2</v>
      </c>
      <c r="DW12" s="37">
        <f t="shared" si="93"/>
        <v>4799.9999999992724</v>
      </c>
      <c r="DX12" s="52">
        <v>13053</v>
      </c>
      <c r="DY12" s="52">
        <v>8392.2000000000007</v>
      </c>
      <c r="DZ12" s="37">
        <f t="shared" si="34"/>
        <v>5059.33</v>
      </c>
      <c r="EA12" s="49">
        <v>29759</v>
      </c>
      <c r="EB12" s="49">
        <v>20.766999999999999</v>
      </c>
      <c r="EC12" s="37">
        <f t="shared" si="35"/>
        <v>21219.33</v>
      </c>
      <c r="ED12" s="53">
        <f t="shared" si="36"/>
        <v>31078.659999999276</v>
      </c>
      <c r="EE12" s="49">
        <v>45089</v>
      </c>
      <c r="EF12" s="49">
        <v>29.123999999999999</v>
      </c>
      <c r="EG12" s="37">
        <f t="shared" si="37"/>
        <v>27219.33</v>
      </c>
      <c r="EH12" s="52">
        <v>12891</v>
      </c>
      <c r="EI12" s="52">
        <v>1.7477</v>
      </c>
      <c r="EJ12" s="37">
        <f t="shared" si="38"/>
        <v>8059.33</v>
      </c>
      <c r="EK12" s="37">
        <v>783.28</v>
      </c>
      <c r="EL12" s="64">
        <v>1122.4000000000001</v>
      </c>
      <c r="EM12" s="37">
        <f t="shared" si="71"/>
        <v>809.99999999994543</v>
      </c>
      <c r="EN12" s="54">
        <f t="shared" si="72"/>
        <v>36088.659999999945</v>
      </c>
      <c r="EO12" s="48">
        <v>12874</v>
      </c>
      <c r="EP12" s="48">
        <v>4499</v>
      </c>
      <c r="EQ12" s="37">
        <f t="shared" si="73"/>
        <v>4084.3299999999772</v>
      </c>
      <c r="ER12" s="48">
        <v>9120.5</v>
      </c>
      <c r="ES12" s="48">
        <v>3740.7</v>
      </c>
      <c r="ET12" s="49">
        <f t="shared" si="39"/>
        <v>16500</v>
      </c>
      <c r="EU12" s="48">
        <v>3475.8</v>
      </c>
      <c r="EV12" s="48">
        <v>1236.3</v>
      </c>
      <c r="EW12" s="49">
        <f t="shared" si="40"/>
        <v>4059.33</v>
      </c>
      <c r="EX12" s="48">
        <v>13320</v>
      </c>
      <c r="EY12" s="48">
        <v>1.5286</v>
      </c>
      <c r="EZ12" s="37">
        <f t="shared" si="41"/>
        <v>10059.33</v>
      </c>
      <c r="FA12" s="48">
        <f t="shared" si="74"/>
        <v>-12029.989999999976</v>
      </c>
      <c r="FB12" s="48">
        <v>36164280</v>
      </c>
      <c r="FC12" s="49">
        <f t="shared" si="94"/>
        <v>22673</v>
      </c>
      <c r="FD12" s="48">
        <f t="shared" si="75"/>
        <v>36102.990000000063</v>
      </c>
      <c r="FE12" s="48">
        <v>16916</v>
      </c>
      <c r="FF12" s="48">
        <v>6050.8</v>
      </c>
      <c r="FG12" s="37">
        <f t="shared" si="76"/>
        <v>7609.3300000000227</v>
      </c>
      <c r="FH12" s="48">
        <v>8517.1</v>
      </c>
      <c r="FI12" s="48">
        <v>3.2883</v>
      </c>
      <c r="FJ12" s="49">
        <f t="shared" si="42"/>
        <v>13934.330000001091</v>
      </c>
      <c r="FK12" s="48"/>
      <c r="FL12" s="58">
        <v>-425</v>
      </c>
      <c r="FM12" s="48">
        <f t="shared" si="95"/>
        <v>2940.6699999996276</v>
      </c>
      <c r="FN12" s="48">
        <v>16391</v>
      </c>
      <c r="FO12" s="48">
        <v>0.80179999999999996</v>
      </c>
      <c r="FP12" s="37">
        <f t="shared" si="77"/>
        <v>8634.33</v>
      </c>
      <c r="FQ12" s="48">
        <v>58204</v>
      </c>
      <c r="FR12" s="48">
        <v>14.054</v>
      </c>
      <c r="FS12" s="37">
        <f>IF((FQ12-FQ11)*1000&lt;=0,0,(FQ12-FQ11)*1000)</f>
        <v>39000</v>
      </c>
      <c r="FT12" s="48">
        <f t="shared" si="78"/>
        <v>8822.0099999988834</v>
      </c>
      <c r="FU12" s="48">
        <f>FG12+FJ12+FP12+GM12</f>
        <v>30177.990000001111</v>
      </c>
      <c r="FV12" s="44">
        <v>4123900</v>
      </c>
      <c r="FW12" s="65">
        <v>1319000</v>
      </c>
      <c r="FX12" s="37">
        <f t="shared" si="44"/>
        <v>33600</v>
      </c>
      <c r="FY12" s="56">
        <v>3277.9</v>
      </c>
      <c r="FZ12" s="56">
        <v>2.0156000000000001</v>
      </c>
      <c r="GA12" s="37">
        <f t="shared" si="45"/>
        <v>8970.0000000001819</v>
      </c>
      <c r="GB12" s="56">
        <v>803.61</v>
      </c>
      <c r="GC12" s="63">
        <v>899.59</v>
      </c>
      <c r="GD12" s="37">
        <f t="shared" si="46"/>
        <v>850.00000000002274</v>
      </c>
      <c r="GE12" s="56">
        <v>9930.7999999999993</v>
      </c>
      <c r="GF12" s="56">
        <v>3.2904</v>
      </c>
      <c r="GG12" s="37">
        <f t="shared" si="47"/>
        <v>9799.9999999988177</v>
      </c>
      <c r="GH12" s="153">
        <v>1932.2</v>
      </c>
      <c r="GI12" s="162">
        <v>1647.7</v>
      </c>
      <c r="GJ12" s="38">
        <f t="shared" si="48"/>
        <v>1400.0000000000909</v>
      </c>
      <c r="GK12" s="162">
        <v>1467.1</v>
      </c>
      <c r="GL12" s="163">
        <v>1119.2</v>
      </c>
      <c r="GM12" s="38">
        <f t="shared" si="49"/>
        <v>0</v>
      </c>
      <c r="GN12" s="57">
        <v>183680</v>
      </c>
      <c r="GO12" s="57">
        <v>161520</v>
      </c>
      <c r="GP12" s="38">
        <f t="shared" ref="GP12:GP38" si="98">IF((GN12-GN11)&lt;=0,0,(GN12-GN11))</f>
        <v>2220</v>
      </c>
      <c r="GQ12" s="38">
        <v>260550</v>
      </c>
      <c r="GR12" s="38">
        <v>256850</v>
      </c>
      <c r="GS12" s="38">
        <f t="shared" si="80"/>
        <v>830</v>
      </c>
      <c r="GT12" s="178"/>
      <c r="GU12" s="144">
        <f>DailyMei!B11-DailyMei!N11-DailyMei!V11-DailyMei!Y11-DailyMei!Z11-DailyMei!AA11-DailyMei!AB11-DailyMei!AC11-DailyMei!AD11-DailyMei!AE11-DailyMei!AK11-DailyMei!AO11-DailyMei!AS11-DailyMei!AY11-DailyMei!BD11+DailyMei!BU11-DailyMei!BG11-DailyMei!BT11-DailyMei!AF11-DailyMei!AG11</f>
        <v>-4.9999986993498169E-2</v>
      </c>
      <c r="GV12" s="59">
        <v>-44110.1</v>
      </c>
      <c r="GW12" s="60">
        <f t="shared" si="50"/>
        <v>-2940.6733333333332</v>
      </c>
      <c r="GX12" s="61">
        <v>-2940.67</v>
      </c>
      <c r="GY12" s="140"/>
      <c r="GZ12" s="62"/>
      <c r="HA12" s="62"/>
      <c r="HB12" s="74"/>
      <c r="HC12" s="62"/>
      <c r="HD12" s="74"/>
      <c r="HE12" s="24">
        <f t="shared" si="51"/>
        <v>0</v>
      </c>
      <c r="HG12" s="213">
        <v>6</v>
      </c>
      <c r="HH12" s="16">
        <v>8030.4</v>
      </c>
      <c r="HI12" s="16">
        <v>3118</v>
      </c>
      <c r="HJ12" s="16">
        <f t="shared" si="52"/>
        <v>128500</v>
      </c>
      <c r="HK12" s="16">
        <v>1.9189000000000001</v>
      </c>
      <c r="HL12" s="16">
        <v>660.93</v>
      </c>
      <c r="HM12" s="16">
        <f t="shared" si="53"/>
        <v>0</v>
      </c>
      <c r="HN12" s="16">
        <v>2167.3000000000002</v>
      </c>
      <c r="HO12" s="16">
        <v>952.41</v>
      </c>
      <c r="HP12" s="16">
        <f t="shared" si="54"/>
        <v>33437.652500000084</v>
      </c>
      <c r="HQ12" s="16">
        <v>1877.1</v>
      </c>
      <c r="HR12" s="16">
        <v>828.14</v>
      </c>
      <c r="HS12" s="16">
        <f t="shared" si="55"/>
        <v>26937.652499999862</v>
      </c>
      <c r="HT12" s="16">
        <v>1565.4</v>
      </c>
      <c r="HU12" s="16">
        <v>619.85</v>
      </c>
      <c r="HV12" s="16">
        <f t="shared" si="56"/>
        <v>26037.6525</v>
      </c>
      <c r="HW12" s="16">
        <v>562.1</v>
      </c>
      <c r="HX12" s="16">
        <v>263.60000000000002</v>
      </c>
      <c r="HY12" s="16">
        <f t="shared" si="57"/>
        <v>21177.652499999986</v>
      </c>
      <c r="HZ12" s="16">
        <v>748.06</v>
      </c>
      <c r="IA12" s="16">
        <v>1106.3</v>
      </c>
      <c r="IB12" s="16">
        <f t="shared" si="58"/>
        <v>209.39</v>
      </c>
      <c r="IC12" s="16"/>
      <c r="ID12" s="16"/>
      <c r="IE12" s="16">
        <f t="shared" si="59"/>
        <v>0</v>
      </c>
      <c r="IF12" s="16"/>
      <c r="IG12" s="16"/>
      <c r="IH12" s="128">
        <f t="shared" si="1"/>
        <v>20700</v>
      </c>
      <c r="II12" s="211">
        <f t="shared" si="60"/>
        <v>7.2191141953226179E-11</v>
      </c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G12" s="151">
        <f t="shared" si="61"/>
        <v>33647.042500000156</v>
      </c>
    </row>
    <row r="13" spans="1:293" x14ac:dyDescent="0.25">
      <c r="A13" s="35">
        <f t="shared" si="2"/>
        <v>7</v>
      </c>
      <c r="B13" s="38">
        <v>4174.83</v>
      </c>
      <c r="C13" s="38">
        <f t="shared" si="3"/>
        <v>10.059999999999491</v>
      </c>
      <c r="D13" s="38">
        <f t="shared" si="4"/>
        <v>321919.9999999837</v>
      </c>
      <c r="E13" s="38">
        <v>839.09</v>
      </c>
      <c r="F13" s="38">
        <f t="shared" si="5"/>
        <v>55360.000000000582</v>
      </c>
      <c r="G13" s="38">
        <f t="shared" si="6"/>
        <v>377279.99999998428</v>
      </c>
      <c r="H13" s="37"/>
      <c r="I13" s="39"/>
      <c r="J13" s="42"/>
      <c r="K13" s="37">
        <f t="shared" si="81"/>
        <v>0</v>
      </c>
      <c r="L13" s="40">
        <v>12690600</v>
      </c>
      <c r="M13" s="40"/>
      <c r="N13" s="37">
        <f t="shared" si="82"/>
        <v>375000</v>
      </c>
      <c r="O13" s="37">
        <v>10769</v>
      </c>
      <c r="P13" s="37"/>
      <c r="Q13" s="37">
        <f t="shared" si="7"/>
        <v>12000</v>
      </c>
      <c r="R13" s="37">
        <f t="shared" si="83"/>
        <v>1</v>
      </c>
      <c r="S13" s="37">
        <v>11231876.83</v>
      </c>
      <c r="T13" s="37">
        <f t="shared" si="8"/>
        <v>5.849999999627471</v>
      </c>
      <c r="U13" s="37">
        <v>1518173.85</v>
      </c>
      <c r="V13" s="37">
        <f t="shared" si="9"/>
        <v>0</v>
      </c>
      <c r="W13" s="37">
        <v>3837.4</v>
      </c>
      <c r="X13" s="37">
        <f t="shared" si="96"/>
        <v>7894.1500000003725</v>
      </c>
      <c r="Y13" s="183"/>
      <c r="Z13" s="183"/>
      <c r="AA13" s="37">
        <v>759600</v>
      </c>
      <c r="AB13" s="37">
        <f t="shared" si="10"/>
        <v>4100</v>
      </c>
      <c r="AC13" s="37">
        <v>4008.6</v>
      </c>
      <c r="AD13" s="37"/>
      <c r="AE13" s="37">
        <f t="shared" si="11"/>
        <v>7400.0000000000909</v>
      </c>
      <c r="AF13" s="37">
        <f t="shared" si="84"/>
        <v>1</v>
      </c>
      <c r="AG13" s="37">
        <v>8738.5</v>
      </c>
      <c r="AH13" s="48"/>
      <c r="AI13" s="37">
        <f t="shared" si="12"/>
        <v>13098.369999999999</v>
      </c>
      <c r="AJ13" s="37">
        <f t="shared" si="13"/>
        <v>1</v>
      </c>
      <c r="AK13" s="37">
        <f t="shared" si="14"/>
        <v>28398.37000000009</v>
      </c>
      <c r="AL13" s="42">
        <v>10677.1</v>
      </c>
      <c r="AM13" s="42"/>
      <c r="AN13" s="37">
        <f t="shared" si="62"/>
        <v>3748.3700000008039</v>
      </c>
      <c r="AO13" s="37">
        <f t="shared" si="85"/>
        <v>1</v>
      </c>
      <c r="AP13" s="37">
        <v>8230.4</v>
      </c>
      <c r="AQ13" s="37"/>
      <c r="AR13" s="37">
        <f t="shared" si="15"/>
        <v>8299.9999999992724</v>
      </c>
      <c r="AS13" s="37">
        <f t="shared" si="86"/>
        <v>1</v>
      </c>
      <c r="AT13" s="183"/>
      <c r="AU13" s="183"/>
      <c r="AV13" s="183"/>
      <c r="AW13" s="183"/>
      <c r="AX13" s="37">
        <v>477230</v>
      </c>
      <c r="AY13" s="37"/>
      <c r="AZ13" s="37">
        <f t="shared" si="16"/>
        <v>400</v>
      </c>
      <c r="BA13" s="37">
        <v>136990</v>
      </c>
      <c r="BB13" s="37"/>
      <c r="BC13" s="37">
        <f t="shared" si="17"/>
        <v>540</v>
      </c>
      <c r="BD13" s="37">
        <f t="shared" si="87"/>
        <v>12988.370000000075</v>
      </c>
      <c r="BE13" s="43">
        <v>1874.4</v>
      </c>
      <c r="BF13" s="43">
        <v>1029.5999999999999</v>
      </c>
      <c r="BG13" s="37">
        <f t="shared" si="18"/>
        <v>2100.0000000001364</v>
      </c>
      <c r="BH13" s="44">
        <v>8755.7999999999993</v>
      </c>
      <c r="BI13" s="44">
        <v>5630.3</v>
      </c>
      <c r="BJ13" s="37">
        <f t="shared" si="19"/>
        <v>9299.9999999992724</v>
      </c>
      <c r="BK13" s="40">
        <v>1495400</v>
      </c>
      <c r="BL13" s="40">
        <f t="shared" si="88"/>
        <v>3590</v>
      </c>
      <c r="BM13" s="40">
        <v>859.88</v>
      </c>
      <c r="BN13" s="37">
        <f t="shared" si="20"/>
        <v>659.99999999996817</v>
      </c>
      <c r="BO13" s="186"/>
      <c r="BP13" s="183">
        <f t="shared" si="21"/>
        <v>0</v>
      </c>
      <c r="BQ13" s="40">
        <v>813.4</v>
      </c>
      <c r="BR13" s="37">
        <f t="shared" si="63"/>
        <v>799.99999999995453</v>
      </c>
      <c r="BS13" s="37">
        <v>95003.15</v>
      </c>
      <c r="BT13" s="37">
        <f t="shared" si="22"/>
        <v>188.58999999999651</v>
      </c>
      <c r="BU13" s="42">
        <v>2584290</v>
      </c>
      <c r="BV13" s="42"/>
      <c r="BW13" s="37">
        <f t="shared" si="23"/>
        <v>7275</v>
      </c>
      <c r="BX13" s="37">
        <f t="shared" si="89"/>
        <v>1</v>
      </c>
      <c r="BY13" s="43">
        <v>334.77850000000001</v>
      </c>
      <c r="BZ13" s="37"/>
      <c r="CA13" s="37">
        <f t="shared" si="24"/>
        <v>454.99999999998408</v>
      </c>
      <c r="CB13" s="37">
        <f t="shared" si="64"/>
        <v>1</v>
      </c>
      <c r="CC13" s="37">
        <v>602674</v>
      </c>
      <c r="CD13" s="37">
        <f t="shared" si="25"/>
        <v>0</v>
      </c>
      <c r="CE13" s="37">
        <v>1084124</v>
      </c>
      <c r="CF13" s="37">
        <f t="shared" si="26"/>
        <v>6593</v>
      </c>
      <c r="CG13" s="37">
        <v>72565.899999999994</v>
      </c>
      <c r="CH13" s="37">
        <f t="shared" si="65"/>
        <v>587.19999999999709</v>
      </c>
      <c r="CI13" s="40">
        <v>12505.24</v>
      </c>
      <c r="CJ13" s="40"/>
      <c r="CK13" s="37">
        <f t="shared" si="66"/>
        <v>15053.36999999987</v>
      </c>
      <c r="CL13" s="37">
        <f t="shared" si="27"/>
        <v>1</v>
      </c>
      <c r="CM13" s="37">
        <v>3450.0070000000001</v>
      </c>
      <c r="CN13" s="37"/>
      <c r="CO13" s="37">
        <f t="shared" si="28"/>
        <v>3151.3699999998835</v>
      </c>
      <c r="CP13" s="37">
        <f t="shared" si="90"/>
        <v>1</v>
      </c>
      <c r="CQ13" s="39">
        <v>53993.2</v>
      </c>
      <c r="CR13" s="45"/>
      <c r="CS13" s="37">
        <f t="shared" si="67"/>
        <v>3597.1699999999955</v>
      </c>
      <c r="CT13" s="37">
        <f t="shared" si="68"/>
        <v>1</v>
      </c>
      <c r="CU13" s="37">
        <v>3113218</v>
      </c>
      <c r="CV13" s="37"/>
      <c r="CW13" s="38">
        <f t="shared" si="29"/>
        <v>17022</v>
      </c>
      <c r="CX13" s="37">
        <f t="shared" si="91"/>
        <v>1</v>
      </c>
      <c r="CY13" s="37">
        <v>1624593</v>
      </c>
      <c r="CZ13" s="37"/>
      <c r="DA13" s="37">
        <f t="shared" si="30"/>
        <v>9655</v>
      </c>
      <c r="DB13" s="37">
        <f t="shared" si="92"/>
        <v>1</v>
      </c>
      <c r="DC13" s="37"/>
      <c r="DD13" s="40"/>
      <c r="DE13" s="37">
        <f t="shared" si="31"/>
        <v>0</v>
      </c>
      <c r="DF13" s="37">
        <f t="shared" si="97"/>
        <v>0</v>
      </c>
      <c r="DG13" s="37">
        <f t="shared" si="32"/>
        <v>-55753.909999999749</v>
      </c>
      <c r="DH13" s="37">
        <f t="shared" si="33"/>
        <v>405498.37000000023</v>
      </c>
      <c r="DI13" s="46"/>
      <c r="DJ13" s="46"/>
      <c r="DK13" s="47"/>
      <c r="DL13" s="47"/>
      <c r="DM13" s="37"/>
      <c r="DN13" s="37"/>
      <c r="DO13" s="37"/>
      <c r="DP13" s="37"/>
      <c r="DQ13" s="50">
        <v>3293600</v>
      </c>
      <c r="DR13" s="49">
        <f t="shared" si="69"/>
        <v>8300</v>
      </c>
      <c r="DS13" s="50">
        <v>3464600</v>
      </c>
      <c r="DT13" s="49">
        <f t="shared" si="70"/>
        <v>18400</v>
      </c>
      <c r="DU13" s="52">
        <v>7920.9</v>
      </c>
      <c r="DV13" s="52">
        <v>4437.8999999999996</v>
      </c>
      <c r="DW13" s="37">
        <f t="shared" si="93"/>
        <v>4500</v>
      </c>
      <c r="DX13" s="52">
        <v>13060</v>
      </c>
      <c r="DY13" s="52">
        <v>8393.7000000000007</v>
      </c>
      <c r="DZ13" s="37">
        <f t="shared" si="34"/>
        <v>5598.37</v>
      </c>
      <c r="EA13" s="49">
        <v>29780</v>
      </c>
      <c r="EB13" s="49">
        <v>20.777000000000001</v>
      </c>
      <c r="EC13" s="37">
        <f t="shared" si="35"/>
        <v>21758.37</v>
      </c>
      <c r="ED13" s="53">
        <f t="shared" si="36"/>
        <v>31856.739999999998</v>
      </c>
      <c r="EE13" s="49">
        <v>45097</v>
      </c>
      <c r="EF13" s="49">
        <v>29.13</v>
      </c>
      <c r="EG13" s="37">
        <f t="shared" si="37"/>
        <v>8758.369999999999</v>
      </c>
      <c r="EH13" s="52">
        <v>12899</v>
      </c>
      <c r="EI13" s="52">
        <v>1.7491000000000001</v>
      </c>
      <c r="EJ13" s="37">
        <f t="shared" si="38"/>
        <v>6598.37</v>
      </c>
      <c r="EK13" s="37">
        <v>783.73</v>
      </c>
      <c r="EL13" s="40">
        <v>1123</v>
      </c>
      <c r="EM13" s="37">
        <f t="shared" si="71"/>
        <v>450.00000000004547</v>
      </c>
      <c r="EN13" s="54">
        <f t="shared" si="72"/>
        <v>15806.740000000043</v>
      </c>
      <c r="EO13" s="48">
        <v>12881</v>
      </c>
      <c r="EP13" s="48">
        <v>4501.3999999999996</v>
      </c>
      <c r="EQ13" s="37">
        <f t="shared" si="73"/>
        <v>4683.3700000000363</v>
      </c>
      <c r="ER13" s="48">
        <v>9136.7000000000007</v>
      </c>
      <c r="ES13" s="48">
        <v>3747.6</v>
      </c>
      <c r="ET13" s="49">
        <f t="shared" si="39"/>
        <v>16200.000000000728</v>
      </c>
      <c r="EU13" s="48">
        <v>3482.8</v>
      </c>
      <c r="EV13" s="48">
        <v>1238.8</v>
      </c>
      <c r="EW13" s="49">
        <f t="shared" si="40"/>
        <v>5598.37</v>
      </c>
      <c r="EX13" s="48">
        <v>13333</v>
      </c>
      <c r="EY13" s="48">
        <v>1.5316000000000001</v>
      </c>
      <c r="EZ13" s="37">
        <f t="shared" si="41"/>
        <v>11598.369999999999</v>
      </c>
      <c r="FA13" s="48">
        <f>FC13-EQ13-ET13-EW13-EZ13</f>
        <v>-16221.110000000761</v>
      </c>
      <c r="FB13" s="48">
        <v>36186139</v>
      </c>
      <c r="FC13" s="49">
        <f t="shared" si="94"/>
        <v>21859</v>
      </c>
      <c r="FD13" s="48">
        <f t="shared" si="75"/>
        <v>39780.110000000801</v>
      </c>
      <c r="FE13" s="48">
        <v>16920</v>
      </c>
      <c r="FF13" s="48">
        <v>6052.3</v>
      </c>
      <c r="FG13" s="37">
        <f t="shared" si="76"/>
        <v>3275.0399999999636</v>
      </c>
      <c r="FH13" s="48">
        <v>8521.9</v>
      </c>
      <c r="FI13" s="48">
        <v>3.2904</v>
      </c>
      <c r="FJ13" s="49">
        <f t="shared" si="42"/>
        <v>3160.0399999992724</v>
      </c>
      <c r="FK13" s="48"/>
      <c r="FL13" s="58">
        <v>-238.33</v>
      </c>
      <c r="FM13" s="48">
        <f t="shared" si="95"/>
        <v>1401.6266666669208</v>
      </c>
      <c r="FN13" s="48">
        <v>16397</v>
      </c>
      <c r="FO13" s="48">
        <v>0.80289999999999995</v>
      </c>
      <c r="FP13" s="37">
        <f t="shared" si="77"/>
        <v>4360.04</v>
      </c>
      <c r="FQ13" s="48">
        <v>58219</v>
      </c>
      <c r="FR13" s="48">
        <v>14.058999999999999</v>
      </c>
      <c r="FS13" s="37">
        <f t="shared" si="43"/>
        <v>15000</v>
      </c>
      <c r="FT13" s="48">
        <f t="shared" si="78"/>
        <v>4204.8800000007623</v>
      </c>
      <c r="FU13" s="48">
        <f>FG13+FJ13+FP13+GM13</f>
        <v>11295.119999999235</v>
      </c>
      <c r="FV13" s="44">
        <v>4129600</v>
      </c>
      <c r="FW13" s="44">
        <v>1321000</v>
      </c>
      <c r="FX13" s="37">
        <f t="shared" si="44"/>
        <v>5700</v>
      </c>
      <c r="FY13" s="56">
        <v>3280.5</v>
      </c>
      <c r="FZ13" s="56">
        <v>2.0173000000000001</v>
      </c>
      <c r="GA13" s="37">
        <f t="shared" si="45"/>
        <v>2059.9999999999091</v>
      </c>
      <c r="GB13" s="56">
        <v>804.02</v>
      </c>
      <c r="GC13" s="56">
        <v>900.11</v>
      </c>
      <c r="GD13" s="37">
        <f t="shared" si="46"/>
        <v>409.99999999996817</v>
      </c>
      <c r="GE13" s="56">
        <v>9936.4</v>
      </c>
      <c r="GF13" s="56">
        <v>3.2951999999999999</v>
      </c>
      <c r="GG13" s="37">
        <f t="shared" si="47"/>
        <v>3400.0000000003183</v>
      </c>
      <c r="GH13" s="153">
        <v>1933.9</v>
      </c>
      <c r="GI13" s="162">
        <v>1649.2</v>
      </c>
      <c r="GJ13" s="38">
        <f t="shared" si="48"/>
        <v>1700.0000000000455</v>
      </c>
      <c r="GK13" s="162">
        <v>1467.6</v>
      </c>
      <c r="GL13" s="163">
        <v>1119.4000000000001</v>
      </c>
      <c r="GM13" s="38">
        <f t="shared" si="49"/>
        <v>500</v>
      </c>
      <c r="GN13" s="57">
        <v>185190</v>
      </c>
      <c r="GO13" s="57">
        <v>163020</v>
      </c>
      <c r="GP13" s="38">
        <f t="shared" si="98"/>
        <v>1510</v>
      </c>
      <c r="GQ13" s="38">
        <v>261090</v>
      </c>
      <c r="GR13" s="38">
        <v>257550</v>
      </c>
      <c r="GS13" s="38">
        <f t="shared" si="80"/>
        <v>540</v>
      </c>
      <c r="GT13" s="178"/>
      <c r="GU13" s="144">
        <f>DailyMei!B12-DailyMei!N12-DailyMei!V12-DailyMei!Y12-DailyMei!Z12-DailyMei!AA12-DailyMei!AB12-DailyMei!AC12-DailyMei!AD12-DailyMei!AE12-DailyMei!AK12-DailyMei!AO12-DailyMei!AS12-DailyMei!AY12-DailyMei!BD12+DailyMei!BU12-DailyMei!BG12-DailyMei!BT12-DailyMei!AF12-DailyMei!AG12</f>
        <v>-6.0000015437253751E-2</v>
      </c>
      <c r="GV13" s="59">
        <v>-21024.51</v>
      </c>
      <c r="GW13" s="60">
        <f t="shared" si="50"/>
        <v>-1401.6339999999998</v>
      </c>
      <c r="GX13" s="61">
        <v>-1401.63</v>
      </c>
      <c r="GY13" s="140"/>
      <c r="GZ13" s="62"/>
      <c r="HA13" s="62"/>
      <c r="HB13" s="74"/>
      <c r="HC13" s="62"/>
      <c r="HD13" s="74"/>
      <c r="HE13" s="24">
        <f t="shared" si="51"/>
        <v>0</v>
      </c>
      <c r="HG13" s="213">
        <v>7</v>
      </c>
      <c r="HH13" s="16">
        <v>8129.7</v>
      </c>
      <c r="HI13" s="16">
        <v>3155.7</v>
      </c>
      <c r="HJ13" s="16">
        <f t="shared" si="52"/>
        <v>99300.000000000175</v>
      </c>
      <c r="HK13" s="16">
        <v>1.9189000000000001</v>
      </c>
      <c r="HL13" s="16">
        <v>660.93</v>
      </c>
      <c r="HM13" s="16">
        <f t="shared" si="53"/>
        <v>0</v>
      </c>
      <c r="HN13" s="16">
        <v>2194.1</v>
      </c>
      <c r="HO13" s="16">
        <v>964.06</v>
      </c>
      <c r="HP13" s="16">
        <f t="shared" si="54"/>
        <v>27034.999999999727</v>
      </c>
      <c r="HQ13" s="16">
        <v>1892.3</v>
      </c>
      <c r="HR13" s="16">
        <v>834.79</v>
      </c>
      <c r="HS13" s="16">
        <f t="shared" si="55"/>
        <v>15435.000000000045</v>
      </c>
      <c r="HT13" s="16">
        <v>1586.7</v>
      </c>
      <c r="HU13" s="16">
        <v>627.9</v>
      </c>
      <c r="HV13" s="16">
        <f t="shared" si="56"/>
        <v>21534.999999999956</v>
      </c>
      <c r="HW13" s="16">
        <v>578.76</v>
      </c>
      <c r="HX13" s="16">
        <v>271.31</v>
      </c>
      <c r="HY13" s="16">
        <f t="shared" si="57"/>
        <v>16894.999999999967</v>
      </c>
      <c r="HZ13" s="16">
        <v>748.06</v>
      </c>
      <c r="IA13" s="16">
        <v>1106.3</v>
      </c>
      <c r="IB13" s="16">
        <f t="shared" si="58"/>
        <v>0</v>
      </c>
      <c r="IC13" s="16"/>
      <c r="ID13" s="16"/>
      <c r="IE13" s="16">
        <f t="shared" si="59"/>
        <v>0</v>
      </c>
      <c r="IF13" s="16"/>
      <c r="IG13" s="16"/>
      <c r="IH13" s="128">
        <f t="shared" si="1"/>
        <v>18400</v>
      </c>
      <c r="II13" s="211">
        <f t="shared" si="60"/>
        <v>4.765752237290144E-10</v>
      </c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G13" s="151">
        <f t="shared" si="61"/>
        <v>27035.000000000204</v>
      </c>
    </row>
    <row r="14" spans="1:293" x14ac:dyDescent="0.25">
      <c r="A14" s="35">
        <f t="shared" si="2"/>
        <v>8</v>
      </c>
      <c r="B14" s="38">
        <v>4186.99</v>
      </c>
      <c r="C14" s="38">
        <f t="shared" si="3"/>
        <v>12.159999999999854</v>
      </c>
      <c r="D14" s="38">
        <f t="shared" si="4"/>
        <v>389119.99999999534</v>
      </c>
      <c r="E14" s="38">
        <v>841.68</v>
      </c>
      <c r="F14" s="38">
        <f t="shared" si="5"/>
        <v>82879.999999997381</v>
      </c>
      <c r="G14" s="38">
        <f t="shared" si="6"/>
        <v>471999.99999999272</v>
      </c>
      <c r="H14" s="37"/>
      <c r="I14" s="39"/>
      <c r="J14" s="42"/>
      <c r="K14" s="37">
        <f>IF(J14&lt;=0,0,(J14/SQRT(J14^2+(I14-I13)^2)))</f>
        <v>0</v>
      </c>
      <c r="L14" s="40">
        <v>12737100</v>
      </c>
      <c r="M14" s="40"/>
      <c r="N14" s="37">
        <f t="shared" si="82"/>
        <v>465000</v>
      </c>
      <c r="O14" s="37">
        <f>O13+12</f>
        <v>10781</v>
      </c>
      <c r="P14" s="37"/>
      <c r="Q14" s="37">
        <f t="shared" si="7"/>
        <v>12000</v>
      </c>
      <c r="R14" s="37">
        <f t="shared" si="83"/>
        <v>1</v>
      </c>
      <c r="S14" s="37">
        <v>11231876.66</v>
      </c>
      <c r="T14" s="37">
        <f t="shared" si="8"/>
        <v>0</v>
      </c>
      <c r="U14" s="37">
        <v>1518173.85</v>
      </c>
      <c r="V14" s="37">
        <f t="shared" si="9"/>
        <v>0</v>
      </c>
      <c r="W14" s="37">
        <v>3844.2</v>
      </c>
      <c r="X14" s="37">
        <f t="shared" si="96"/>
        <v>7500</v>
      </c>
      <c r="Y14" s="183"/>
      <c r="Z14" s="183"/>
      <c r="AA14" s="37">
        <v>764100</v>
      </c>
      <c r="AB14" s="37">
        <f t="shared" si="10"/>
        <v>4500</v>
      </c>
      <c r="AC14" s="37">
        <v>4016.7</v>
      </c>
      <c r="AD14" s="37"/>
      <c r="AE14" s="37">
        <f t="shared" si="11"/>
        <v>8099.9999999999091</v>
      </c>
      <c r="AF14" s="37">
        <f t="shared" si="84"/>
        <v>1</v>
      </c>
      <c r="AG14" s="37">
        <v>8755.2000000000007</v>
      </c>
      <c r="AH14" s="48"/>
      <c r="AI14" s="37">
        <f t="shared" si="12"/>
        <v>16637.780000000726</v>
      </c>
      <c r="AJ14" s="37">
        <f t="shared" si="13"/>
        <v>1</v>
      </c>
      <c r="AK14" s="37">
        <f t="shared" si="14"/>
        <v>32237.780000000635</v>
      </c>
      <c r="AL14" s="42">
        <v>10687.2</v>
      </c>
      <c r="AM14" s="42"/>
      <c r="AN14" s="37">
        <f t="shared" si="62"/>
        <v>5007.7800000003099</v>
      </c>
      <c r="AO14" s="37">
        <f t="shared" si="85"/>
        <v>1</v>
      </c>
      <c r="AP14" s="37">
        <v>8238.9</v>
      </c>
      <c r="AQ14" s="37"/>
      <c r="AR14" s="37">
        <f t="shared" si="15"/>
        <v>8500</v>
      </c>
      <c r="AS14" s="37">
        <f t="shared" si="86"/>
        <v>1</v>
      </c>
      <c r="AT14" s="183"/>
      <c r="AU14" s="183"/>
      <c r="AV14" s="183"/>
      <c r="AW14" s="183"/>
      <c r="AX14" s="37">
        <v>477620</v>
      </c>
      <c r="AY14" s="37"/>
      <c r="AZ14" s="37">
        <f t="shared" si="16"/>
        <v>390</v>
      </c>
      <c r="BA14" s="37">
        <v>137560</v>
      </c>
      <c r="BB14" s="37"/>
      <c r="BC14" s="37">
        <f t="shared" si="17"/>
        <v>570</v>
      </c>
      <c r="BD14" s="37">
        <f t="shared" si="87"/>
        <v>14467.78000000031</v>
      </c>
      <c r="BE14" s="43">
        <v>1876.3</v>
      </c>
      <c r="BF14" s="43">
        <v>1030.8</v>
      </c>
      <c r="BG14" s="37">
        <f t="shared" si="18"/>
        <v>1899.9999999998636</v>
      </c>
      <c r="BH14" s="44">
        <v>8765.2999999999993</v>
      </c>
      <c r="BI14" s="44">
        <v>5636.4</v>
      </c>
      <c r="BJ14" s="37">
        <f t="shared" si="19"/>
        <v>9500</v>
      </c>
      <c r="BK14" s="40">
        <v>1498990</v>
      </c>
      <c r="BL14" s="40">
        <f t="shared" si="88"/>
        <v>3590</v>
      </c>
      <c r="BM14" s="40">
        <v>860.52</v>
      </c>
      <c r="BN14" s="37">
        <f t="shared" si="20"/>
        <v>639.99999999998636</v>
      </c>
      <c r="BO14" s="186"/>
      <c r="BP14" s="183">
        <f t="shared" si="21"/>
        <v>0</v>
      </c>
      <c r="BQ14" s="40">
        <v>814.2</v>
      </c>
      <c r="BR14" s="37">
        <f t="shared" si="63"/>
        <v>800.00000000006821</v>
      </c>
      <c r="BS14" s="37">
        <v>95188.08</v>
      </c>
      <c r="BT14" s="37">
        <f t="shared" si="22"/>
        <v>184.93000000000757</v>
      </c>
      <c r="BU14" s="42">
        <v>2592068</v>
      </c>
      <c r="BV14" s="42"/>
      <c r="BW14" s="37">
        <f t="shared" si="23"/>
        <v>7778</v>
      </c>
      <c r="BX14" s="37">
        <f t="shared" si="89"/>
        <v>1</v>
      </c>
      <c r="BY14" s="147">
        <v>335.27780000000001</v>
      </c>
      <c r="BZ14" s="40"/>
      <c r="CA14" s="37">
        <f t="shared" si="24"/>
        <v>499.30000000000518</v>
      </c>
      <c r="CB14" s="37">
        <f t="shared" si="64"/>
        <v>1</v>
      </c>
      <c r="CC14" s="37">
        <v>602674</v>
      </c>
      <c r="CD14" s="37">
        <f t="shared" si="25"/>
        <v>0</v>
      </c>
      <c r="CE14" s="37">
        <v>1091309</v>
      </c>
      <c r="CF14" s="37">
        <f t="shared" si="26"/>
        <v>7185</v>
      </c>
      <c r="CG14" s="37">
        <v>72810.600000000006</v>
      </c>
      <c r="CH14" s="37">
        <f t="shared" si="65"/>
        <v>244.70000000001164</v>
      </c>
      <c r="CI14" s="40">
        <v>12521.47</v>
      </c>
      <c r="CJ14" s="40"/>
      <c r="CK14" s="37">
        <f t="shared" si="66"/>
        <v>15668.479999999559</v>
      </c>
      <c r="CL14" s="37">
        <f t="shared" si="27"/>
        <v>1</v>
      </c>
      <c r="CM14" s="37">
        <v>3455.038</v>
      </c>
      <c r="CN14" s="37"/>
      <c r="CO14" s="37">
        <f t="shared" si="28"/>
        <v>4968.7799999999488</v>
      </c>
      <c r="CP14" s="37">
        <f t="shared" si="90"/>
        <v>1</v>
      </c>
      <c r="CQ14" s="39">
        <v>59173.3</v>
      </c>
      <c r="CR14" s="45"/>
      <c r="CS14" s="37">
        <f t="shared" si="67"/>
        <v>5117.8800000000056</v>
      </c>
      <c r="CT14" s="37">
        <f t="shared" si="68"/>
        <v>1</v>
      </c>
      <c r="CU14" s="37">
        <v>3132837</v>
      </c>
      <c r="CV14" s="37"/>
      <c r="CW14" s="38">
        <f t="shared" si="29"/>
        <v>19619</v>
      </c>
      <c r="CX14" s="37">
        <f t="shared" si="91"/>
        <v>1</v>
      </c>
      <c r="CY14" s="37">
        <v>1635321</v>
      </c>
      <c r="CZ14" s="37"/>
      <c r="DA14" s="37">
        <f t="shared" si="30"/>
        <v>10728</v>
      </c>
      <c r="DB14" s="37">
        <f t="shared" si="92"/>
        <v>1</v>
      </c>
      <c r="DC14" s="37"/>
      <c r="DD14" s="40"/>
      <c r="DE14" s="37">
        <f t="shared" si="31"/>
        <v>0</v>
      </c>
      <c r="DF14" s="37">
        <f t="shared" si="97"/>
        <v>0</v>
      </c>
      <c r="DG14" s="37">
        <f t="shared" si="32"/>
        <v>-63880.139999999512</v>
      </c>
      <c r="DH14" s="37">
        <f t="shared" si="33"/>
        <v>499137.78000000049</v>
      </c>
      <c r="DI14" s="46"/>
      <c r="DJ14" s="46"/>
      <c r="DK14" s="47"/>
      <c r="DL14" s="47"/>
      <c r="DM14" s="37"/>
      <c r="DN14" s="37"/>
      <c r="DO14" s="37"/>
      <c r="DP14" s="37"/>
      <c r="DQ14" s="50">
        <v>3303800</v>
      </c>
      <c r="DR14" s="49">
        <f t="shared" si="69"/>
        <v>10200</v>
      </c>
      <c r="DS14" s="50">
        <v>3483100</v>
      </c>
      <c r="DT14" s="49">
        <f t="shared" si="70"/>
        <v>18500</v>
      </c>
      <c r="DU14" s="52">
        <v>7925.6</v>
      </c>
      <c r="DV14" s="52">
        <v>4440.7</v>
      </c>
      <c r="DW14" s="37">
        <f t="shared" si="93"/>
        <v>4700.0000000007276</v>
      </c>
      <c r="DX14" s="52">
        <v>13067</v>
      </c>
      <c r="DY14" s="52">
        <v>8395.1</v>
      </c>
      <c r="DZ14" s="37">
        <f t="shared" si="34"/>
        <v>6937.78</v>
      </c>
      <c r="EA14" s="49">
        <v>29802</v>
      </c>
      <c r="EB14" s="49">
        <v>20.788</v>
      </c>
      <c r="EC14" s="37">
        <f t="shared" si="35"/>
        <v>24097.78</v>
      </c>
      <c r="ED14" s="53">
        <f t="shared" si="36"/>
        <v>35735.560000000725</v>
      </c>
      <c r="EE14" s="49">
        <v>45117</v>
      </c>
      <c r="EF14" s="49">
        <v>29.148</v>
      </c>
      <c r="EG14" s="37">
        <f t="shared" si="37"/>
        <v>22097.78</v>
      </c>
      <c r="EH14" s="52">
        <v>12910</v>
      </c>
      <c r="EI14" s="52">
        <v>1.7513000000000001</v>
      </c>
      <c r="EJ14" s="37">
        <f t="shared" si="38"/>
        <v>10937.78</v>
      </c>
      <c r="EK14" s="37">
        <v>784.41</v>
      </c>
      <c r="EL14" s="40">
        <v>1123.9000000000001</v>
      </c>
      <c r="EM14" s="37">
        <f t="shared" si="71"/>
        <v>679.99999999994998</v>
      </c>
      <c r="EN14" s="54">
        <f t="shared" si="72"/>
        <v>33715.559999999947</v>
      </c>
      <c r="EO14" s="48">
        <v>12889</v>
      </c>
      <c r="EP14" s="48">
        <v>4504.1000000000004</v>
      </c>
      <c r="EQ14" s="37">
        <f t="shared" si="73"/>
        <v>6922.779999999957</v>
      </c>
      <c r="ER14" s="48">
        <v>9154.5</v>
      </c>
      <c r="ES14" s="48">
        <v>3755.1</v>
      </c>
      <c r="ET14" s="49">
        <f t="shared" si="39"/>
        <v>17799.999999999272</v>
      </c>
      <c r="EU14" s="48">
        <v>3490.3</v>
      </c>
      <c r="EV14" s="48">
        <v>1241.4000000000001</v>
      </c>
      <c r="EW14" s="49">
        <f t="shared" si="40"/>
        <v>7437.78</v>
      </c>
      <c r="EX14" s="48">
        <v>13346</v>
      </c>
      <c r="EY14" s="48">
        <v>1.5344</v>
      </c>
      <c r="EZ14" s="37">
        <f t="shared" si="41"/>
        <v>12937.78</v>
      </c>
      <c r="FA14" s="48">
        <f t="shared" si="74"/>
        <v>-21166.339999999225</v>
      </c>
      <c r="FB14" s="48">
        <v>36210071</v>
      </c>
      <c r="FC14" s="49">
        <f t="shared" si="94"/>
        <v>23932</v>
      </c>
      <c r="FD14" s="48">
        <f t="shared" si="75"/>
        <v>46998.339999999087</v>
      </c>
      <c r="FE14" s="48">
        <v>16929</v>
      </c>
      <c r="FF14" s="48">
        <v>6056.1</v>
      </c>
      <c r="FG14" s="37">
        <f t="shared" si="76"/>
        <v>10047.780000000044</v>
      </c>
      <c r="FH14" s="48">
        <v>8535.6</v>
      </c>
      <c r="FI14" s="48">
        <v>3.2959999999999998</v>
      </c>
      <c r="FJ14" s="49">
        <f t="shared" si="42"/>
        <v>13732.780000000728</v>
      </c>
      <c r="FK14" s="48"/>
      <c r="FL14" s="58">
        <v>95</v>
      </c>
      <c r="FM14" s="48">
        <f t="shared" si="95"/>
        <v>62.219999999742868</v>
      </c>
      <c r="FN14" s="48">
        <v>16411</v>
      </c>
      <c r="FO14" s="48">
        <v>0.80459999999999998</v>
      </c>
      <c r="FP14" s="37">
        <f t="shared" si="77"/>
        <v>14032.78</v>
      </c>
      <c r="FQ14" s="48">
        <v>58257</v>
      </c>
      <c r="FR14" s="48">
        <v>14.07</v>
      </c>
      <c r="FS14" s="37">
        <f t="shared" si="43"/>
        <v>38000</v>
      </c>
      <c r="FT14" s="48">
        <f t="shared" si="78"/>
        <v>186.6599999992286</v>
      </c>
      <c r="FU14" s="48">
        <f t="shared" si="79"/>
        <v>38813.340000000775</v>
      </c>
      <c r="FV14" s="44">
        <v>4143300</v>
      </c>
      <c r="FW14" s="44">
        <v>1325500</v>
      </c>
      <c r="FX14" s="37">
        <f t="shared" si="44"/>
        <v>13700</v>
      </c>
      <c r="FY14" s="56">
        <v>3285.5</v>
      </c>
      <c r="FZ14" s="56">
        <v>2.0215000000000001</v>
      </c>
      <c r="GA14" s="37">
        <f t="shared" si="45"/>
        <v>4290</v>
      </c>
      <c r="GB14" s="56">
        <v>804.55</v>
      </c>
      <c r="GC14" s="56">
        <v>900.74</v>
      </c>
      <c r="GD14" s="37">
        <f t="shared" si="46"/>
        <v>529.99999999997272</v>
      </c>
      <c r="GE14" s="56">
        <v>9945.2000000000007</v>
      </c>
      <c r="GF14" s="56">
        <v>3.3020999999999998</v>
      </c>
      <c r="GG14" s="37">
        <f t="shared" si="47"/>
        <v>5900.0000000012278</v>
      </c>
      <c r="GH14" s="153">
        <v>1935.8</v>
      </c>
      <c r="GI14" s="162">
        <v>1651</v>
      </c>
      <c r="GJ14" s="38">
        <f t="shared" si="48"/>
        <v>1899.9999999998636</v>
      </c>
      <c r="GK14" s="162">
        <v>1468.6</v>
      </c>
      <c r="GL14" s="163">
        <v>1119.8</v>
      </c>
      <c r="GM14" s="38">
        <f t="shared" si="49"/>
        <v>1000</v>
      </c>
      <c r="GN14" s="57">
        <v>187580</v>
      </c>
      <c r="GO14" s="57">
        <v>165380</v>
      </c>
      <c r="GP14" s="38">
        <f t="shared" si="98"/>
        <v>2390</v>
      </c>
      <c r="GQ14" s="38">
        <v>261800</v>
      </c>
      <c r="GR14" s="38">
        <v>258340</v>
      </c>
      <c r="GS14" s="38">
        <f t="shared" si="80"/>
        <v>710</v>
      </c>
      <c r="GT14" s="178"/>
      <c r="GU14" s="144">
        <f>DailyMei!B13-DailyMei!N13-DailyMei!V13-DailyMei!Y13-DailyMei!Z13-DailyMei!AA13-DailyMei!AB13-DailyMei!AC13-DailyMei!AD13-DailyMei!AE13-DailyMei!AK13-DailyMei!AO13-DailyMei!AS13-DailyMei!AY13-DailyMei!BD13+DailyMei!BU13-DailyMei!BG13-DailyMei!BT13-DailyMei!AF13-DailyMei!AG13</f>
        <v>-9.2550180852413177E-9</v>
      </c>
      <c r="GV14" s="59">
        <v>-933.3</v>
      </c>
      <c r="GW14" s="60">
        <f t="shared" si="50"/>
        <v>-62.22</v>
      </c>
      <c r="GX14" s="61">
        <v>-62.22</v>
      </c>
      <c r="GY14" s="140"/>
      <c r="GZ14" s="62"/>
      <c r="HA14" s="62"/>
      <c r="HB14" s="74"/>
      <c r="HC14" s="62"/>
      <c r="HD14" s="74"/>
      <c r="HE14" s="24">
        <f t="shared" si="51"/>
        <v>0</v>
      </c>
      <c r="HG14" s="213">
        <v>8</v>
      </c>
      <c r="HH14" s="16">
        <v>8237.9</v>
      </c>
      <c r="HI14" s="16">
        <v>3196.8</v>
      </c>
      <c r="HJ14" s="16">
        <f t="shared" si="52"/>
        <v>108199.99999999983</v>
      </c>
      <c r="HK14" s="16">
        <v>1.9189000000000001</v>
      </c>
      <c r="HL14" s="16">
        <v>660.93</v>
      </c>
      <c r="HM14" s="16">
        <f t="shared" si="53"/>
        <v>0</v>
      </c>
      <c r="HN14" s="16">
        <v>2220.6999999999998</v>
      </c>
      <c r="HO14" s="16">
        <v>975.62</v>
      </c>
      <c r="HP14" s="16">
        <f t="shared" si="54"/>
        <v>26647.91499999991</v>
      </c>
      <c r="HQ14" s="16">
        <v>1911.9</v>
      </c>
      <c r="HR14" s="16">
        <v>843.14</v>
      </c>
      <c r="HS14" s="16">
        <f t="shared" si="55"/>
        <v>19647.915000000139</v>
      </c>
      <c r="HT14" s="16">
        <v>1611.4</v>
      </c>
      <c r="HU14" s="16">
        <v>636.96</v>
      </c>
      <c r="HV14" s="16">
        <f t="shared" si="56"/>
        <v>24747.915000000045</v>
      </c>
      <c r="HW14" s="16">
        <v>596.95000000000005</v>
      </c>
      <c r="HX14" s="16">
        <v>279.27</v>
      </c>
      <c r="HY14" s="16">
        <f t="shared" si="57"/>
        <v>18237.915000000055</v>
      </c>
      <c r="HZ14" s="16">
        <v>1166.4000000000001</v>
      </c>
      <c r="IA14" s="16">
        <v>1756.4</v>
      </c>
      <c r="IB14" s="16">
        <f t="shared" si="58"/>
        <v>418.34000000000015</v>
      </c>
      <c r="IC14" s="16"/>
      <c r="ID14" s="16"/>
      <c r="IE14" s="16">
        <f t="shared" si="59"/>
        <v>0</v>
      </c>
      <c r="IF14" s="16"/>
      <c r="IG14" s="16"/>
      <c r="IH14" s="128">
        <f t="shared" si="1"/>
        <v>18500</v>
      </c>
      <c r="II14" s="211">
        <f t="shared" si="60"/>
        <v>-3.2741809263825417E-10</v>
      </c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G14" s="151">
        <f t="shared" si="61"/>
        <v>27066.254999999583</v>
      </c>
    </row>
    <row r="15" spans="1:293" x14ac:dyDescent="0.25">
      <c r="A15" s="215">
        <f t="shared" si="2"/>
        <v>9</v>
      </c>
      <c r="B15" s="38">
        <v>4199.45</v>
      </c>
      <c r="C15" s="38">
        <f t="shared" si="3"/>
        <v>12.460000000000036</v>
      </c>
      <c r="D15" s="38">
        <f t="shared" si="4"/>
        <v>398720.00000000116</v>
      </c>
      <c r="E15" s="38">
        <v>844.45</v>
      </c>
      <c r="F15" s="38">
        <f t="shared" si="5"/>
        <v>88640.000000003056</v>
      </c>
      <c r="G15" s="38">
        <f t="shared" si="6"/>
        <v>487360.00000000419</v>
      </c>
      <c r="H15" s="37"/>
      <c r="I15" s="39"/>
      <c r="J15" s="42"/>
      <c r="K15" s="37">
        <f>IF(J15&lt;=0,0,(J15/SQRT(J15^2+(I15-I14)^2)))</f>
        <v>0</v>
      </c>
      <c r="L15" s="40">
        <v>12785700</v>
      </c>
      <c r="M15" s="40"/>
      <c r="N15" s="37">
        <f t="shared" si="82"/>
        <v>486000</v>
      </c>
      <c r="O15" s="37">
        <f>O14+12</f>
        <v>10793</v>
      </c>
      <c r="P15" s="2"/>
      <c r="Q15" s="37">
        <f t="shared" si="7"/>
        <v>12000</v>
      </c>
      <c r="R15" s="37">
        <f>IF(Q15&lt;=0,0,(Q15/SQRT(Q15^2+(P15-P14)^2)))</f>
        <v>1</v>
      </c>
      <c r="S15" s="37">
        <v>11231876.890000001</v>
      </c>
      <c r="T15" s="37">
        <f t="shared" si="8"/>
        <v>0.23000000044703484</v>
      </c>
      <c r="U15" s="37">
        <v>1518173.85</v>
      </c>
      <c r="V15" s="37">
        <f t="shared" si="9"/>
        <v>0</v>
      </c>
      <c r="W15" s="37">
        <v>3850.8</v>
      </c>
      <c r="X15" s="37">
        <f t="shared" si="96"/>
        <v>7599.769999999553</v>
      </c>
      <c r="Y15" s="183"/>
      <c r="Z15" s="183"/>
      <c r="AA15" s="37">
        <v>768500</v>
      </c>
      <c r="AB15" s="37">
        <f t="shared" si="10"/>
        <v>4400</v>
      </c>
      <c r="AC15" s="37">
        <v>4024.4</v>
      </c>
      <c r="AD15" s="37"/>
      <c r="AE15" s="37">
        <f t="shared" si="11"/>
        <v>7700.0000000002728</v>
      </c>
      <c r="AF15" s="37">
        <f>IF(AE15&lt;=0,0,(AE15/SQRT(AE15^2+(AD15-AD14)^2)))</f>
        <v>1</v>
      </c>
      <c r="AG15" s="37">
        <v>8770.2999999999993</v>
      </c>
      <c r="AH15" s="48"/>
      <c r="AI15" s="37">
        <f t="shared" si="12"/>
        <v>15413.859999998545</v>
      </c>
      <c r="AJ15" s="37">
        <f t="shared" si="13"/>
        <v>1</v>
      </c>
      <c r="AK15" s="37">
        <f t="shared" si="14"/>
        <v>30713.859999998818</v>
      </c>
      <c r="AL15" s="2">
        <v>10697.1</v>
      </c>
      <c r="AM15" s="42"/>
      <c r="AN15" s="37">
        <f t="shared" si="62"/>
        <v>5243.8599999997368</v>
      </c>
      <c r="AO15" s="37">
        <f>IF(AN15&lt;=0,0,(AN15/SQRT(AN15^2+(AM15-AM14)^2)))</f>
        <v>1</v>
      </c>
      <c r="AP15" s="37">
        <v>8247.7000000000007</v>
      </c>
      <c r="AQ15" s="37"/>
      <c r="AR15" s="37">
        <f t="shared" si="15"/>
        <v>8800.0000000010914</v>
      </c>
      <c r="AS15" s="37">
        <f>IF(AR15&lt;=0,0,(AR15/SQRT(AR15^2+(AQ15-AQ14)^2)))</f>
        <v>1</v>
      </c>
      <c r="AT15" s="183"/>
      <c r="AU15" s="183"/>
      <c r="AV15" s="183"/>
      <c r="AW15" s="183"/>
      <c r="AX15" s="37">
        <v>478010</v>
      </c>
      <c r="AY15" s="37"/>
      <c r="AZ15" s="37">
        <f t="shared" si="16"/>
        <v>390</v>
      </c>
      <c r="BA15" s="37">
        <v>138110</v>
      </c>
      <c r="BB15" s="37"/>
      <c r="BC15" s="37">
        <f t="shared" si="17"/>
        <v>550</v>
      </c>
      <c r="BD15" s="37">
        <f t="shared" si="87"/>
        <v>14983.860000000828</v>
      </c>
      <c r="BE15" s="43">
        <v>1878.5</v>
      </c>
      <c r="BF15" s="43">
        <v>1032.0999999999999</v>
      </c>
      <c r="BG15" s="37">
        <f t="shared" si="18"/>
        <v>2200.0000000000455</v>
      </c>
      <c r="BH15" s="44">
        <v>8774.7000000000007</v>
      </c>
      <c r="BI15" s="44">
        <v>5642.3</v>
      </c>
      <c r="BJ15" s="37">
        <f t="shared" si="19"/>
        <v>9400.0000000014552</v>
      </c>
      <c r="BK15" s="40">
        <v>1502600</v>
      </c>
      <c r="BL15" s="40">
        <f t="shared" si="88"/>
        <v>3610</v>
      </c>
      <c r="BM15" s="40">
        <v>861.18</v>
      </c>
      <c r="BN15" s="37">
        <f t="shared" si="20"/>
        <v>659.99999999996817</v>
      </c>
      <c r="BO15" s="186"/>
      <c r="BP15" s="183">
        <f t="shared" si="21"/>
        <v>0</v>
      </c>
      <c r="BQ15" s="40">
        <v>814.9</v>
      </c>
      <c r="BR15" s="37">
        <f t="shared" si="63"/>
        <v>699.99999999993179</v>
      </c>
      <c r="BS15" s="37">
        <v>95370.11</v>
      </c>
      <c r="BT15" s="37">
        <f t="shared" si="22"/>
        <v>182.02999999999884</v>
      </c>
      <c r="BU15" s="42">
        <v>2604312</v>
      </c>
      <c r="BV15" s="42"/>
      <c r="BW15" s="37">
        <f t="shared" si="23"/>
        <v>12244</v>
      </c>
      <c r="BX15" s="37">
        <f>IF(BW15&lt;=0,0,(BW15/SQRT(BW15^2+(BV15-BV14)^2)))</f>
        <v>1</v>
      </c>
      <c r="BY15" s="43">
        <v>335.81330000000003</v>
      </c>
      <c r="BZ15" s="37"/>
      <c r="CA15" s="37">
        <f t="shared" si="24"/>
        <v>535.50000000001319</v>
      </c>
      <c r="CB15" s="37">
        <f t="shared" si="64"/>
        <v>1</v>
      </c>
      <c r="CC15" s="37">
        <v>606981.30000000005</v>
      </c>
      <c r="CD15" s="37">
        <f t="shared" si="25"/>
        <v>4307.3000000000466</v>
      </c>
      <c r="CE15" s="37">
        <v>1098827</v>
      </c>
      <c r="CF15" s="37">
        <f t="shared" si="26"/>
        <v>7518</v>
      </c>
      <c r="CG15" s="37">
        <v>72810.600000000006</v>
      </c>
      <c r="CH15" s="37">
        <f t="shared" si="65"/>
        <v>0</v>
      </c>
      <c r="CI15" s="40">
        <v>12538.45</v>
      </c>
      <c r="CJ15" s="40"/>
      <c r="CK15" s="37">
        <f t="shared" si="66"/>
        <v>16758.360000001368</v>
      </c>
      <c r="CL15" s="37">
        <f t="shared" si="27"/>
        <v>1</v>
      </c>
      <c r="CM15" s="37">
        <v>3461.268</v>
      </c>
      <c r="CN15" s="37"/>
      <c r="CO15" s="37">
        <f t="shared" si="28"/>
        <v>6543.8600000000179</v>
      </c>
      <c r="CP15" s="37">
        <f>IF(CO15&lt;=0,0,(CO15/SQRT(CO15^2+(CN15-CN14)^2)))</f>
        <v>1</v>
      </c>
      <c r="CQ15" s="39">
        <v>64683.1</v>
      </c>
      <c r="CR15" s="45"/>
      <c r="CS15" s="37">
        <f t="shared" si="67"/>
        <v>5823.6599999999953</v>
      </c>
      <c r="CT15" s="37">
        <f t="shared" si="68"/>
        <v>1</v>
      </c>
      <c r="CU15" s="37">
        <v>3152094</v>
      </c>
      <c r="CV15" s="37"/>
      <c r="CW15" s="38">
        <f t="shared" si="29"/>
        <v>19257</v>
      </c>
      <c r="CX15" s="37">
        <f t="shared" si="91"/>
        <v>1</v>
      </c>
      <c r="CY15" s="37">
        <v>1646027</v>
      </c>
      <c r="CZ15" s="37"/>
      <c r="DA15" s="37">
        <f t="shared" si="30"/>
        <v>10706</v>
      </c>
      <c r="DB15" s="37">
        <f>IF(DA15&lt;=0,0,(DA15/SQRT(DA15^2+(CZ15-CZ14)^2)))</f>
        <v>1</v>
      </c>
      <c r="DC15" s="37"/>
      <c r="DD15" s="40"/>
      <c r="DE15" s="37">
        <f t="shared" si="31"/>
        <v>0</v>
      </c>
      <c r="DF15" s="37">
        <f>IF(DE15&lt;=0,0,(DE15/SQRT(DE15^2+(DD15-DD14)^2)))</f>
        <v>0</v>
      </c>
      <c r="DG15" s="37">
        <f t="shared" si="32"/>
        <v>-71332.880000001373</v>
      </c>
      <c r="DH15" s="37">
        <f t="shared" si="33"/>
        <v>518913.85999999888</v>
      </c>
      <c r="DI15" s="46"/>
      <c r="DJ15" s="46"/>
      <c r="DK15" s="47"/>
      <c r="DL15" s="47"/>
      <c r="DM15" s="37"/>
      <c r="DN15" s="37"/>
      <c r="DO15" s="37"/>
      <c r="DP15" s="37"/>
      <c r="DQ15" s="50">
        <v>3313300</v>
      </c>
      <c r="DR15" s="49">
        <f t="shared" si="69"/>
        <v>9500</v>
      </c>
      <c r="DS15" s="50">
        <v>3501300</v>
      </c>
      <c r="DT15" s="49">
        <f t="shared" si="70"/>
        <v>18200</v>
      </c>
      <c r="DU15" s="52">
        <v>7929.8</v>
      </c>
      <c r="DV15" s="52">
        <v>4443.1000000000004</v>
      </c>
      <c r="DW15" s="37">
        <f t="shared" si="93"/>
        <v>4199.9999999998181</v>
      </c>
      <c r="DX15" s="52">
        <v>13075</v>
      </c>
      <c r="DY15" s="52">
        <v>8397.1</v>
      </c>
      <c r="DZ15" s="37">
        <f t="shared" si="34"/>
        <v>8313.86</v>
      </c>
      <c r="EA15" s="49">
        <v>29826</v>
      </c>
      <c r="EB15" s="49">
        <v>20.798999999999999</v>
      </c>
      <c r="EC15" s="37">
        <f t="shared" si="35"/>
        <v>26473.86</v>
      </c>
      <c r="ED15" s="53">
        <f t="shared" si="36"/>
        <v>38987.719999999819</v>
      </c>
      <c r="EE15" s="49">
        <v>45140</v>
      </c>
      <c r="EF15" s="49">
        <v>29.167000000000002</v>
      </c>
      <c r="EG15" s="37">
        <f t="shared" si="37"/>
        <v>25473.86</v>
      </c>
      <c r="EH15" s="52">
        <v>12922</v>
      </c>
      <c r="EI15" s="52">
        <v>1.7535000000000001</v>
      </c>
      <c r="EJ15" s="37">
        <f t="shared" si="38"/>
        <v>12313.86</v>
      </c>
      <c r="EK15" s="37">
        <v>785.22</v>
      </c>
      <c r="EL15" s="40">
        <v>1125.0999999999999</v>
      </c>
      <c r="EM15" s="37">
        <f t="shared" si="71"/>
        <v>810.00000000005912</v>
      </c>
      <c r="EN15" s="54">
        <f t="shared" si="72"/>
        <v>38597.720000000059</v>
      </c>
      <c r="EO15" s="48">
        <v>12897</v>
      </c>
      <c r="EP15" s="48">
        <v>4506.7</v>
      </c>
      <c r="EQ15" s="37">
        <f t="shared" si="73"/>
        <v>7393.8600000000415</v>
      </c>
      <c r="ER15" s="48">
        <v>9171.2999999999993</v>
      </c>
      <c r="ES15" s="48">
        <v>3762</v>
      </c>
      <c r="ET15" s="49">
        <f>IF((ER15-ER14)&lt;=0,0,(ER15-ER14))*1000</f>
        <v>16799.999999999272</v>
      </c>
      <c r="EU15" s="48">
        <v>3497.3</v>
      </c>
      <c r="EV15" s="48">
        <v>1243.9000000000001</v>
      </c>
      <c r="EW15" s="49">
        <f t="shared" si="40"/>
        <v>7313.86</v>
      </c>
      <c r="EX15" s="48">
        <v>13359</v>
      </c>
      <c r="EY15" s="48">
        <v>1.5366</v>
      </c>
      <c r="EZ15" s="37">
        <f t="shared" si="41"/>
        <v>13313.86</v>
      </c>
      <c r="FA15" s="48">
        <f t="shared" si="74"/>
        <v>-22274.579999999314</v>
      </c>
      <c r="FB15" s="48">
        <v>36232618</v>
      </c>
      <c r="FC15" s="49">
        <f>IF((FB15-FB14)&lt;=0,0,(FB15-FB14))</f>
        <v>22547</v>
      </c>
      <c r="FD15" s="48">
        <f t="shared" si="75"/>
        <v>46321.579999999318</v>
      </c>
      <c r="FE15" s="48">
        <v>16939</v>
      </c>
      <c r="FF15" s="48">
        <v>6060.2</v>
      </c>
      <c r="FG15" s="37">
        <f t="shared" si="76"/>
        <v>11193.859999999961</v>
      </c>
      <c r="FH15" s="48">
        <v>8552.7999999999993</v>
      </c>
      <c r="FI15" s="48">
        <v>3.3027000000000002</v>
      </c>
      <c r="FJ15" s="49">
        <f t="shared" si="42"/>
        <v>17473.859999998909</v>
      </c>
      <c r="FK15" s="48"/>
      <c r="FL15" s="58">
        <v>-40</v>
      </c>
      <c r="FM15" s="48">
        <f>FT15/3</f>
        <v>-313.85999999962343</v>
      </c>
      <c r="FN15" s="48">
        <v>16425</v>
      </c>
      <c r="FO15" s="48">
        <v>0.80620000000000003</v>
      </c>
      <c r="FP15" s="37">
        <f t="shared" si="77"/>
        <v>14273.86</v>
      </c>
      <c r="FQ15" s="48">
        <v>58299</v>
      </c>
      <c r="FR15" s="48">
        <v>14.083</v>
      </c>
      <c r="FS15" s="37">
        <f t="shared" si="43"/>
        <v>42000</v>
      </c>
      <c r="FT15" s="48">
        <f t="shared" si="78"/>
        <v>-941.57999999887033</v>
      </c>
      <c r="FU15" s="48">
        <f t="shared" si="79"/>
        <v>44141.57999999891</v>
      </c>
      <c r="FV15" s="44">
        <v>4157100</v>
      </c>
      <c r="FW15" s="44">
        <v>1330000</v>
      </c>
      <c r="FX15" s="37">
        <f t="shared" si="44"/>
        <v>13800</v>
      </c>
      <c r="FY15" s="56">
        <v>3289.9</v>
      </c>
      <c r="FZ15" s="56">
        <v>2.0255999999999998</v>
      </c>
      <c r="GA15" s="37">
        <f t="shared" si="45"/>
        <v>3700.0000000000909</v>
      </c>
      <c r="GB15" s="56">
        <v>805.1</v>
      </c>
      <c r="GC15" s="56">
        <v>901.4</v>
      </c>
      <c r="GD15" s="37">
        <f t="shared" si="46"/>
        <v>550.00000000006821</v>
      </c>
      <c r="GE15" s="56">
        <v>9952.9</v>
      </c>
      <c r="GF15" s="56">
        <v>3.3077000000000001</v>
      </c>
      <c r="GG15" s="37">
        <f t="shared" si="47"/>
        <v>4999.9999999988631</v>
      </c>
      <c r="GH15" s="153">
        <v>1937.3</v>
      </c>
      <c r="GI15" s="162">
        <v>1652.5</v>
      </c>
      <c r="GJ15" s="38">
        <f t="shared" si="48"/>
        <v>1500</v>
      </c>
      <c r="GK15" s="162">
        <v>1469.8</v>
      </c>
      <c r="GL15" s="163">
        <v>1120.2</v>
      </c>
      <c r="GM15" s="38">
        <f t="shared" si="49"/>
        <v>1200.0000000000455</v>
      </c>
      <c r="GN15" s="57">
        <v>189130</v>
      </c>
      <c r="GO15" s="57">
        <v>166770</v>
      </c>
      <c r="GP15" s="38">
        <f t="shared" si="98"/>
        <v>1550</v>
      </c>
      <c r="GQ15" s="38">
        <v>262500</v>
      </c>
      <c r="GR15" s="38">
        <v>259100</v>
      </c>
      <c r="GS15" s="38">
        <f t="shared" si="80"/>
        <v>700</v>
      </c>
      <c r="GT15" s="178"/>
      <c r="GU15" s="144">
        <f>DailyMei!B14-DailyMei!N14-DailyMei!V14-DailyMei!Y14-DailyMei!Z14-DailyMei!AA14-DailyMei!AB14-DailyMei!AC14-DailyMei!AD14-DailyMei!AE14-DailyMei!AK14-DailyMei!AO14-DailyMei!AS14-DailyMei!AY14-DailyMei!BD14+DailyMei!BU14-DailyMei!BG14-DailyMei!BT14-DailyMei!AF14-DailyMei!AG14</f>
        <v>4.71482053399086E-9</v>
      </c>
      <c r="GV15" s="59">
        <v>4707.8999999999996</v>
      </c>
      <c r="GW15" s="60">
        <f t="shared" si="50"/>
        <v>313.85999999999996</v>
      </c>
      <c r="GX15" s="61">
        <v>313.86</v>
      </c>
      <c r="GY15" s="140"/>
      <c r="GZ15" s="62"/>
      <c r="HA15" s="62"/>
      <c r="HB15" s="142"/>
      <c r="HC15" s="62"/>
      <c r="HD15" s="74"/>
      <c r="HE15" s="24">
        <f t="shared" si="51"/>
        <v>0</v>
      </c>
      <c r="HF15" s="151"/>
      <c r="HG15" s="213">
        <v>9</v>
      </c>
      <c r="HH15" s="16">
        <v>8354.9</v>
      </c>
      <c r="HI15" s="16">
        <v>3240.1</v>
      </c>
      <c r="HJ15" s="16">
        <f t="shared" si="52"/>
        <v>117000</v>
      </c>
      <c r="HK15" s="16">
        <v>1.9189000000000001</v>
      </c>
      <c r="HL15" s="16">
        <v>660.93</v>
      </c>
      <c r="HM15" s="16">
        <f>IF((HK15-HK14)&lt;=0,0,(HK15-HK14))</f>
        <v>0</v>
      </c>
      <c r="HN15" s="16">
        <v>2247.1999999999998</v>
      </c>
      <c r="HO15" s="16">
        <v>987.12</v>
      </c>
      <c r="HP15" s="16">
        <f t="shared" si="54"/>
        <v>26674.724999999999</v>
      </c>
      <c r="HQ15" s="16">
        <v>1935.2</v>
      </c>
      <c r="HR15" s="16">
        <v>852.62</v>
      </c>
      <c r="HS15" s="16">
        <f t="shared" si="55"/>
        <v>23474.724999999955</v>
      </c>
      <c r="HT15" s="16">
        <v>1637.5</v>
      </c>
      <c r="HU15" s="16">
        <v>646.30999999999995</v>
      </c>
      <c r="HV15" s="16">
        <f t="shared" si="56"/>
        <v>26274.724999999908</v>
      </c>
      <c r="HW15" s="16">
        <v>618.84</v>
      </c>
      <c r="HX15" s="16">
        <v>288.44</v>
      </c>
      <c r="HY15" s="16">
        <f t="shared" si="57"/>
        <v>22064.724999999984</v>
      </c>
      <c r="HZ15" s="16">
        <v>1477.5</v>
      </c>
      <c r="IA15" s="16">
        <v>2260.1999999999998</v>
      </c>
      <c r="IB15" s="16">
        <f t="shared" si="58"/>
        <v>311.09999999999991</v>
      </c>
      <c r="IC15" s="16"/>
      <c r="ID15" s="16"/>
      <c r="IE15" s="16">
        <f t="shared" si="59"/>
        <v>0</v>
      </c>
      <c r="IF15" s="16"/>
      <c r="IG15" s="16"/>
      <c r="IH15" s="128">
        <f t="shared" si="1"/>
        <v>18200</v>
      </c>
      <c r="II15" s="211">
        <f t="shared" si="60"/>
        <v>1.659827830735594E-10</v>
      </c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G15" s="151">
        <f t="shared" si="61"/>
        <v>26985.825000000164</v>
      </c>
    </row>
    <row r="16" spans="1:293" x14ac:dyDescent="0.25">
      <c r="A16" s="35">
        <f t="shared" si="2"/>
        <v>10</v>
      </c>
      <c r="B16" s="38">
        <v>4212.82</v>
      </c>
      <c r="C16" s="38">
        <f t="shared" si="3"/>
        <v>13.369999999999891</v>
      </c>
      <c r="D16" s="38">
        <f t="shared" si="4"/>
        <v>427839.99999999651</v>
      </c>
      <c r="E16" s="38">
        <v>847.13</v>
      </c>
      <c r="F16" s="38">
        <f t="shared" si="5"/>
        <v>85759.999999998399</v>
      </c>
      <c r="G16" s="38">
        <f t="shared" si="6"/>
        <v>513599.99999999488</v>
      </c>
      <c r="H16" s="37"/>
      <c r="I16" s="39"/>
      <c r="J16" s="42"/>
      <c r="K16" s="37">
        <f t="shared" si="81"/>
        <v>0</v>
      </c>
      <c r="L16" s="40">
        <v>12836900</v>
      </c>
      <c r="M16" s="40"/>
      <c r="N16" s="37">
        <f t="shared" si="82"/>
        <v>512000</v>
      </c>
      <c r="O16" s="37">
        <v>10807</v>
      </c>
      <c r="P16" s="48"/>
      <c r="Q16" s="37">
        <f t="shared" si="7"/>
        <v>14000</v>
      </c>
      <c r="R16" s="37">
        <f t="shared" si="83"/>
        <v>1</v>
      </c>
      <c r="S16" s="37">
        <v>11231877.6</v>
      </c>
      <c r="T16" s="37">
        <f t="shared" si="8"/>
        <v>0.70999999903142452</v>
      </c>
      <c r="U16" s="37">
        <v>1518173.85</v>
      </c>
      <c r="V16" s="37">
        <f t="shared" si="9"/>
        <v>0</v>
      </c>
      <c r="W16" s="37">
        <v>3857.6</v>
      </c>
      <c r="X16" s="37">
        <f t="shared" si="96"/>
        <v>9499.2900000009686</v>
      </c>
      <c r="Y16" s="183"/>
      <c r="Z16" s="183"/>
      <c r="AA16" s="37">
        <v>773000</v>
      </c>
      <c r="AB16" s="37">
        <f t="shared" si="10"/>
        <v>4500</v>
      </c>
      <c r="AC16" s="37">
        <v>4032.5</v>
      </c>
      <c r="AD16" s="37"/>
      <c r="AE16" s="37">
        <f t="shared" si="11"/>
        <v>8099.9999999999091</v>
      </c>
      <c r="AF16" s="37">
        <f t="shared" si="84"/>
        <v>1</v>
      </c>
      <c r="AG16" s="37">
        <v>8787.6</v>
      </c>
      <c r="AH16" s="37"/>
      <c r="AI16" s="37">
        <f t="shared" si="12"/>
        <v>17502.240000001093</v>
      </c>
      <c r="AJ16" s="37">
        <f t="shared" si="13"/>
        <v>1</v>
      </c>
      <c r="AK16" s="37">
        <f t="shared" si="14"/>
        <v>35102.240000001002</v>
      </c>
      <c r="AL16" s="42">
        <v>10707</v>
      </c>
      <c r="AM16" s="42"/>
      <c r="AN16" s="37">
        <f t="shared" si="62"/>
        <v>5052.2399999995268</v>
      </c>
      <c r="AO16" s="37">
        <f t="shared" si="85"/>
        <v>1</v>
      </c>
      <c r="AP16" s="37">
        <v>8256.2999999999993</v>
      </c>
      <c r="AQ16" s="37"/>
      <c r="AR16" s="37">
        <f t="shared" si="15"/>
        <v>8599.9999999985448</v>
      </c>
      <c r="AS16" s="37">
        <f t="shared" si="86"/>
        <v>1</v>
      </c>
      <c r="AT16" s="183"/>
      <c r="AU16" s="183"/>
      <c r="AV16" s="183"/>
      <c r="AW16" s="183"/>
      <c r="AX16" s="37">
        <v>478410</v>
      </c>
      <c r="AY16" s="37"/>
      <c r="AZ16" s="37">
        <f t="shared" si="16"/>
        <v>400</v>
      </c>
      <c r="BA16" s="37">
        <v>138760</v>
      </c>
      <c r="BB16" s="37"/>
      <c r="BC16" s="37">
        <f t="shared" si="17"/>
        <v>650</v>
      </c>
      <c r="BD16" s="37">
        <f t="shared" si="87"/>
        <v>14702.239999998072</v>
      </c>
      <c r="BE16" s="43">
        <v>1880.8</v>
      </c>
      <c r="BF16" s="43">
        <v>1033.5999999999999</v>
      </c>
      <c r="BG16" s="37">
        <f t="shared" si="18"/>
        <v>2299.9999999999545</v>
      </c>
      <c r="BH16" s="44">
        <v>8784.4</v>
      </c>
      <c r="BI16" s="44">
        <v>5648.3</v>
      </c>
      <c r="BJ16" s="37">
        <f t="shared" si="19"/>
        <v>9699.9999999989086</v>
      </c>
      <c r="BK16" s="40">
        <v>1506270</v>
      </c>
      <c r="BL16" s="40">
        <f t="shared" si="88"/>
        <v>3670</v>
      </c>
      <c r="BM16" s="40">
        <v>861.86</v>
      </c>
      <c r="BN16" s="37">
        <f t="shared" si="20"/>
        <v>680.00000000006366</v>
      </c>
      <c r="BO16" s="186"/>
      <c r="BP16" s="183">
        <f t="shared" si="21"/>
        <v>0</v>
      </c>
      <c r="BQ16" s="40">
        <v>815.6</v>
      </c>
      <c r="BR16" s="37">
        <f t="shared" si="63"/>
        <v>700.00000000004547</v>
      </c>
      <c r="BS16" s="37">
        <v>95541.84</v>
      </c>
      <c r="BT16" s="37">
        <f t="shared" si="22"/>
        <v>171.72999999999593</v>
      </c>
      <c r="BU16" s="42">
        <v>2616963</v>
      </c>
      <c r="BV16" s="42"/>
      <c r="BW16" s="37">
        <f t="shared" si="23"/>
        <v>12651</v>
      </c>
      <c r="BX16" s="37">
        <f t="shared" si="89"/>
        <v>1</v>
      </c>
      <c r="BY16" s="43">
        <v>336.37959999999998</v>
      </c>
      <c r="BZ16" s="37"/>
      <c r="CA16" s="37">
        <f t="shared" si="24"/>
        <v>566.29999999995562</v>
      </c>
      <c r="CB16" s="37">
        <f t="shared" si="64"/>
        <v>1</v>
      </c>
      <c r="CC16" s="37">
        <v>612133.19999999995</v>
      </c>
      <c r="CD16" s="37">
        <f t="shared" si="25"/>
        <v>5151.8999999999069</v>
      </c>
      <c r="CE16" s="37">
        <v>1106080</v>
      </c>
      <c r="CF16" s="37">
        <f t="shared" si="26"/>
        <v>7253</v>
      </c>
      <c r="CG16" s="37">
        <v>72810.600000000006</v>
      </c>
      <c r="CH16" s="37">
        <f t="shared" si="65"/>
        <v>0</v>
      </c>
      <c r="CI16" s="40">
        <v>12555.58</v>
      </c>
      <c r="CJ16" s="40"/>
      <c r="CK16" s="37">
        <f t="shared" si="66"/>
        <v>16765.939999999246</v>
      </c>
      <c r="CL16" s="37">
        <f t="shared" si="27"/>
        <v>1</v>
      </c>
      <c r="CM16" s="37">
        <v>3467.8530000000001</v>
      </c>
      <c r="CN16" s="37"/>
      <c r="CO16" s="37">
        <f t="shared" si="28"/>
        <v>6787.2400000000362</v>
      </c>
      <c r="CP16" s="37">
        <f t="shared" si="90"/>
        <v>1</v>
      </c>
      <c r="CQ16" s="39">
        <v>70657.600000000006</v>
      </c>
      <c r="CR16" s="45"/>
      <c r="CS16" s="37">
        <f t="shared" si="67"/>
        <v>6176.7400000000071</v>
      </c>
      <c r="CT16" s="37">
        <f t="shared" si="68"/>
        <v>1</v>
      </c>
      <c r="CU16" s="37">
        <v>3171873</v>
      </c>
      <c r="CV16" s="37"/>
      <c r="CW16" s="38">
        <f t="shared" si="29"/>
        <v>19779</v>
      </c>
      <c r="CX16" s="37">
        <f t="shared" si="91"/>
        <v>1</v>
      </c>
      <c r="CY16" s="37">
        <v>1657777</v>
      </c>
      <c r="CZ16" s="37"/>
      <c r="DA16" s="37">
        <f t="shared" si="30"/>
        <v>11750</v>
      </c>
      <c r="DB16" s="37">
        <f t="shared" si="92"/>
        <v>1</v>
      </c>
      <c r="DC16" s="37"/>
      <c r="DD16" s="40"/>
      <c r="DE16" s="37">
        <f t="shared" si="31"/>
        <v>0</v>
      </c>
      <c r="DF16" s="37">
        <f t="shared" si="97"/>
        <v>0</v>
      </c>
      <c r="DG16" s="37">
        <f t="shared" si="32"/>
        <v>-73909.919999999285</v>
      </c>
      <c r="DH16" s="37">
        <f t="shared" si="33"/>
        <v>549402.24000000092</v>
      </c>
      <c r="DI16" s="46"/>
      <c r="DJ16" s="46"/>
      <c r="DK16" s="47"/>
      <c r="DL16" s="47"/>
      <c r="DM16" s="37"/>
      <c r="DN16" s="37"/>
      <c r="DO16" s="37"/>
      <c r="DP16" s="37"/>
      <c r="DQ16" s="50">
        <v>3322500</v>
      </c>
      <c r="DR16" s="49">
        <f t="shared" si="69"/>
        <v>9200</v>
      </c>
      <c r="DS16" s="50">
        <v>3520500</v>
      </c>
      <c r="DT16" s="49">
        <f t="shared" si="70"/>
        <v>19200</v>
      </c>
      <c r="DU16" s="52">
        <v>7933.8</v>
      </c>
      <c r="DV16" s="52">
        <v>4445.3999999999996</v>
      </c>
      <c r="DW16" s="37">
        <f t="shared" si="93"/>
        <v>4000</v>
      </c>
      <c r="DX16" s="52">
        <v>13082</v>
      </c>
      <c r="DY16" s="52">
        <v>8399.2000000000007</v>
      </c>
      <c r="DZ16" s="37">
        <f t="shared" si="34"/>
        <v>7202.24</v>
      </c>
      <c r="EA16" s="49">
        <v>29849</v>
      </c>
      <c r="EB16" s="49">
        <v>20.81</v>
      </c>
      <c r="EC16" s="37">
        <f t="shared" si="35"/>
        <v>25362.240000000002</v>
      </c>
      <c r="ED16" s="53">
        <f t="shared" si="36"/>
        <v>36564.480000000003</v>
      </c>
      <c r="EE16" s="49">
        <v>45167</v>
      </c>
      <c r="EF16" s="49">
        <v>29.189</v>
      </c>
      <c r="EG16" s="37">
        <f t="shared" si="37"/>
        <v>29362.240000000002</v>
      </c>
      <c r="EH16" s="52">
        <v>12934</v>
      </c>
      <c r="EI16" s="52">
        <v>1.7553000000000001</v>
      </c>
      <c r="EJ16" s="37">
        <f t="shared" si="38"/>
        <v>12202.24</v>
      </c>
      <c r="EK16" s="37">
        <v>785.99</v>
      </c>
      <c r="EL16" s="40">
        <v>1126.2</v>
      </c>
      <c r="EM16" s="37">
        <f t="shared" si="71"/>
        <v>769.99999999998181</v>
      </c>
      <c r="EN16" s="54">
        <f t="shared" si="72"/>
        <v>42334.479999999981</v>
      </c>
      <c r="EO16" s="48">
        <v>12905</v>
      </c>
      <c r="EP16" s="48">
        <v>4509.6000000000004</v>
      </c>
      <c r="EQ16" s="37">
        <f t="shared" si="73"/>
        <v>7217.2399999999861</v>
      </c>
      <c r="ER16" s="48">
        <v>9188.9</v>
      </c>
      <c r="ES16" s="48">
        <v>3769.4</v>
      </c>
      <c r="ET16" s="49">
        <f t="shared" ref="ET16:ET38" si="99">IF((ER16-ER15)&lt;=0,0,(ER16-ER15))*1000</f>
        <v>17600.000000000364</v>
      </c>
      <c r="EU16" s="48">
        <v>3504.6</v>
      </c>
      <c r="EV16" s="48">
        <v>1246.5</v>
      </c>
      <c r="EW16" s="49">
        <f t="shared" si="40"/>
        <v>7502.2399999997269</v>
      </c>
      <c r="EX16" s="48">
        <v>13371</v>
      </c>
      <c r="EY16" s="48">
        <v>1.5387</v>
      </c>
      <c r="EZ16" s="37">
        <f t="shared" si="41"/>
        <v>12202.24</v>
      </c>
      <c r="FA16" s="48">
        <f t="shared" si="74"/>
        <v>-21372.720000000078</v>
      </c>
      <c r="FB16" s="48">
        <v>36255767</v>
      </c>
      <c r="FC16" s="49">
        <f t="shared" si="94"/>
        <v>23149</v>
      </c>
      <c r="FD16" s="48">
        <f t="shared" si="75"/>
        <v>46121.720000000212</v>
      </c>
      <c r="FE16" s="48">
        <v>16950</v>
      </c>
      <c r="FF16" s="48">
        <v>6064.4</v>
      </c>
      <c r="FG16" s="37">
        <f t="shared" si="76"/>
        <v>11825.570000000014</v>
      </c>
      <c r="FH16" s="48">
        <v>8569.9</v>
      </c>
      <c r="FI16" s="48">
        <v>3.3094000000000001</v>
      </c>
      <c r="FJ16" s="49">
        <f t="shared" si="42"/>
        <v>16940.570000000367</v>
      </c>
      <c r="FK16" s="48"/>
      <c r="FL16" s="58">
        <v>-361.67</v>
      </c>
      <c r="FM16" s="48">
        <f t="shared" si="95"/>
        <v>-202.2366666667937</v>
      </c>
      <c r="FN16" s="48">
        <v>16439</v>
      </c>
      <c r="FO16" s="48">
        <v>0.80769999999999997</v>
      </c>
      <c r="FP16" s="37">
        <f t="shared" si="77"/>
        <v>13840.57</v>
      </c>
      <c r="FQ16" s="48">
        <v>58341</v>
      </c>
      <c r="FR16" s="48">
        <v>14.095000000000001</v>
      </c>
      <c r="FS16" s="37">
        <f t="shared" si="43"/>
        <v>42000</v>
      </c>
      <c r="FT16" s="48">
        <f t="shared" si="78"/>
        <v>-606.71000000038111</v>
      </c>
      <c r="FU16" s="48">
        <f t="shared" si="79"/>
        <v>43806.710000000428</v>
      </c>
      <c r="FV16" s="44">
        <v>4175400</v>
      </c>
      <c r="FW16" s="44">
        <v>1335700</v>
      </c>
      <c r="FX16" s="37">
        <f t="shared" si="44"/>
        <v>18300</v>
      </c>
      <c r="FY16" s="56">
        <v>3296.1</v>
      </c>
      <c r="FZ16" s="56">
        <v>2.0308999999999999</v>
      </c>
      <c r="GA16" s="37">
        <f t="shared" si="45"/>
        <v>5269.9999999998181</v>
      </c>
      <c r="GB16" s="56">
        <v>805.85</v>
      </c>
      <c r="GC16" s="56">
        <v>902.24</v>
      </c>
      <c r="GD16" s="37">
        <f t="shared" si="46"/>
        <v>750</v>
      </c>
      <c r="GE16" s="56">
        <v>9963.4</v>
      </c>
      <c r="GF16" s="56">
        <v>3.3153999999999999</v>
      </c>
      <c r="GG16" s="37">
        <f t="shared" si="47"/>
        <v>7699.9999999998181</v>
      </c>
      <c r="GH16" s="153">
        <v>1938.9</v>
      </c>
      <c r="GI16" s="162">
        <v>1654.1</v>
      </c>
      <c r="GJ16" s="38">
        <f t="shared" si="48"/>
        <v>1600.0000000001364</v>
      </c>
      <c r="GK16" s="162">
        <v>1471</v>
      </c>
      <c r="GL16" s="163">
        <v>1120.7</v>
      </c>
      <c r="GM16" s="38">
        <f t="shared" si="49"/>
        <v>1200.0000000000455</v>
      </c>
      <c r="GN16" s="57">
        <v>191970</v>
      </c>
      <c r="GO16" s="57">
        <v>169330</v>
      </c>
      <c r="GP16" s="38">
        <f t="shared" si="98"/>
        <v>2840</v>
      </c>
      <c r="GQ16" s="38">
        <v>263430</v>
      </c>
      <c r="GR16" s="38">
        <v>260030</v>
      </c>
      <c r="GS16" s="38">
        <f t="shared" si="80"/>
        <v>930</v>
      </c>
      <c r="GT16" s="178"/>
      <c r="GU16" s="144">
        <f>DailyMei!B15-DailyMei!N15-DailyMei!V15-DailyMei!Y15-DailyMei!Z15-DailyMei!AA15-DailyMei!AB15-DailyMei!AC15-DailyMei!AD15-DailyMei!AE15-DailyMei!AK15-DailyMei!AO15-DailyMei!AS15-DailyMei!AY15-DailyMei!BD15+DailyMei!BU15-DailyMei!BG15-DailyMei!BT15-DailyMei!AF15-DailyMei!AG15</f>
        <v>9.9999970552744344E-3</v>
      </c>
      <c r="GV16" s="59">
        <v>3033.61</v>
      </c>
      <c r="GW16" s="60">
        <f t="shared" si="50"/>
        <v>202.24066666666667</v>
      </c>
      <c r="GX16" s="61">
        <v>202.24</v>
      </c>
      <c r="GY16" s="140"/>
      <c r="GZ16" s="62"/>
      <c r="HA16" s="62"/>
      <c r="HB16" s="74"/>
      <c r="HC16" s="62"/>
      <c r="HD16" s="74"/>
      <c r="HE16" s="24">
        <f t="shared" si="51"/>
        <v>0</v>
      </c>
      <c r="HF16" s="151"/>
      <c r="HG16" s="213">
        <v>10</v>
      </c>
      <c r="HH16" s="16">
        <v>8476</v>
      </c>
      <c r="HI16" s="16">
        <v>3285.1</v>
      </c>
      <c r="HJ16" s="16">
        <f t="shared" si="52"/>
        <v>121100.00000000036</v>
      </c>
      <c r="HK16" s="16">
        <v>1.9189000000000001</v>
      </c>
      <c r="HL16" s="16">
        <v>660.93</v>
      </c>
      <c r="HM16" s="16">
        <f t="shared" ref="HM16:HM38" si="100">IF((HK16-HK15)&lt;=0,0,(HK16-HK15))</f>
        <v>0</v>
      </c>
      <c r="HN16" s="16">
        <v>2276.1999999999998</v>
      </c>
      <c r="HO16" s="16"/>
      <c r="HP16" s="16">
        <f t="shared" si="54"/>
        <v>29132.275000000001</v>
      </c>
      <c r="HQ16" s="16">
        <v>1958.7</v>
      </c>
      <c r="HR16" s="16">
        <v>862.22</v>
      </c>
      <c r="HS16" s="16">
        <f t="shared" si="55"/>
        <v>23632.275000000001</v>
      </c>
      <c r="HT16" s="16">
        <v>1662.8</v>
      </c>
      <c r="HU16" s="16">
        <v>655.49</v>
      </c>
      <c r="HV16" s="16">
        <f t="shared" si="56"/>
        <v>25432.274999999958</v>
      </c>
      <c r="HW16" s="16">
        <v>642.20000000000005</v>
      </c>
      <c r="HX16" s="16">
        <v>298.14999999999998</v>
      </c>
      <c r="HY16" s="16">
        <f t="shared" si="57"/>
        <v>23492.275000000016</v>
      </c>
      <c r="HZ16" s="16">
        <v>1688.4</v>
      </c>
      <c r="IA16" s="16">
        <v>2523.6999999999998</v>
      </c>
      <c r="IB16" s="16">
        <f t="shared" si="58"/>
        <v>210.90000000000009</v>
      </c>
      <c r="IC16" s="16"/>
      <c r="ID16" s="16"/>
      <c r="IE16" s="16">
        <f t="shared" si="59"/>
        <v>0</v>
      </c>
      <c r="IF16" s="16"/>
      <c r="IG16" s="16"/>
      <c r="IH16" s="128">
        <f t="shared" si="1"/>
        <v>19200</v>
      </c>
      <c r="II16" s="211">
        <f t="shared" si="60"/>
        <v>3.7243808037601411E-10</v>
      </c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G16" s="151">
        <f t="shared" si="61"/>
        <v>29343.175000000374</v>
      </c>
    </row>
    <row r="17" spans="1:293" x14ac:dyDescent="0.25">
      <c r="A17" s="35">
        <f t="shared" si="2"/>
        <v>11</v>
      </c>
      <c r="B17" s="38">
        <v>4225.57</v>
      </c>
      <c r="C17" s="38">
        <f t="shared" si="3"/>
        <v>12.75</v>
      </c>
      <c r="D17" s="38">
        <f t="shared" si="4"/>
        <v>408000</v>
      </c>
      <c r="E17" s="38">
        <v>849.86</v>
      </c>
      <c r="F17" s="38">
        <f t="shared" si="5"/>
        <v>87360.000000000582</v>
      </c>
      <c r="G17" s="38">
        <f t="shared" si="6"/>
        <v>495360.00000000058</v>
      </c>
      <c r="H17" s="37"/>
      <c r="I17" s="39"/>
      <c r="J17" s="42"/>
      <c r="K17" s="37">
        <f t="shared" si="81"/>
        <v>0</v>
      </c>
      <c r="L17" s="40">
        <v>12886000</v>
      </c>
      <c r="M17" s="40"/>
      <c r="N17" s="37">
        <f t="shared" si="82"/>
        <v>491000</v>
      </c>
      <c r="O17" s="37">
        <v>10820</v>
      </c>
      <c r="P17" s="37"/>
      <c r="Q17" s="37">
        <f t="shared" si="7"/>
        <v>13000</v>
      </c>
      <c r="R17" s="37">
        <f t="shared" si="83"/>
        <v>1</v>
      </c>
      <c r="S17" s="37">
        <v>11231877.800000001</v>
      </c>
      <c r="T17" s="37">
        <f t="shared" si="8"/>
        <v>0.20000000111758709</v>
      </c>
      <c r="U17" s="37">
        <v>1518173.85</v>
      </c>
      <c r="V17" s="37">
        <f>IF((U17-U16)&lt;=0,0,(U17-U16))</f>
        <v>0</v>
      </c>
      <c r="W17" s="37">
        <v>3864.4</v>
      </c>
      <c r="X17" s="37">
        <f t="shared" si="96"/>
        <v>8499.7999999988824</v>
      </c>
      <c r="Y17" s="183"/>
      <c r="Z17" s="183"/>
      <c r="AA17" s="37">
        <v>777500</v>
      </c>
      <c r="AB17" s="37">
        <f t="shared" si="10"/>
        <v>4500</v>
      </c>
      <c r="AC17" s="37">
        <v>4040.5</v>
      </c>
      <c r="AD17" s="37"/>
      <c r="AE17" s="37">
        <f t="shared" si="11"/>
        <v>8000</v>
      </c>
      <c r="AF17" s="37">
        <f t="shared" si="84"/>
        <v>1</v>
      </c>
      <c r="AG17" s="37">
        <v>8804.7000000000007</v>
      </c>
      <c r="AH17" s="37"/>
      <c r="AI17" s="37">
        <f t="shared" si="12"/>
        <v>15749.870000000363</v>
      </c>
      <c r="AJ17" s="37">
        <f t="shared" si="13"/>
        <v>1</v>
      </c>
      <c r="AK17" s="37">
        <f t="shared" si="14"/>
        <v>32249.870000000363</v>
      </c>
      <c r="AL17" s="2">
        <v>10716.8</v>
      </c>
      <c r="AM17" s="42"/>
      <c r="AN17" s="37">
        <f t="shared" si="62"/>
        <v>3509.8699999993305</v>
      </c>
      <c r="AO17" s="37">
        <f t="shared" si="85"/>
        <v>1</v>
      </c>
      <c r="AP17" s="37">
        <v>8264.9</v>
      </c>
      <c r="AQ17" s="37"/>
      <c r="AR17" s="37">
        <f t="shared" si="15"/>
        <v>8600.0000000003638</v>
      </c>
      <c r="AS17" s="37">
        <f t="shared" si="86"/>
        <v>1</v>
      </c>
      <c r="AT17" s="183"/>
      <c r="AU17" s="183"/>
      <c r="AV17" s="183"/>
      <c r="AW17" s="183"/>
      <c r="AX17" s="37">
        <v>478800</v>
      </c>
      <c r="AY17" s="37"/>
      <c r="AZ17" s="37">
        <f t="shared" si="16"/>
        <v>390</v>
      </c>
      <c r="BA17" s="37">
        <v>139360</v>
      </c>
      <c r="BB17" s="37"/>
      <c r="BC17" s="37">
        <f t="shared" si="17"/>
        <v>600</v>
      </c>
      <c r="BD17" s="37">
        <f t="shared" si="87"/>
        <v>13099.869999999693</v>
      </c>
      <c r="BE17" s="43">
        <v>1882.8</v>
      </c>
      <c r="BF17" s="43">
        <v>1034.9000000000001</v>
      </c>
      <c r="BG17" s="37">
        <f t="shared" si="18"/>
        <v>2000</v>
      </c>
      <c r="BH17" s="44">
        <v>8793.1</v>
      </c>
      <c r="BI17" s="44">
        <v>5653.8</v>
      </c>
      <c r="BJ17" s="37">
        <f t="shared" si="19"/>
        <v>8700.0000000007276</v>
      </c>
      <c r="BK17" s="40">
        <v>1510020</v>
      </c>
      <c r="BL17" s="40">
        <f t="shared" si="88"/>
        <v>3750</v>
      </c>
      <c r="BM17" s="40">
        <v>862.55</v>
      </c>
      <c r="BN17" s="37">
        <f t="shared" si="20"/>
        <v>689.99999999994088</v>
      </c>
      <c r="BO17" s="186"/>
      <c r="BP17" s="183">
        <f t="shared" si="21"/>
        <v>0</v>
      </c>
      <c r="BQ17" s="40">
        <v>816.1</v>
      </c>
      <c r="BR17" s="37">
        <f t="shared" si="63"/>
        <v>500</v>
      </c>
      <c r="BS17" s="37">
        <v>95707.28</v>
      </c>
      <c r="BT17" s="37">
        <f t="shared" si="22"/>
        <v>165.44000000000233</v>
      </c>
      <c r="BU17" s="42">
        <v>2628185</v>
      </c>
      <c r="BV17" s="42"/>
      <c r="BW17" s="37">
        <f t="shared" si="23"/>
        <v>11222</v>
      </c>
      <c r="BX17" s="37">
        <f t="shared" si="89"/>
        <v>1</v>
      </c>
      <c r="BY17" s="43">
        <v>336.90320000000003</v>
      </c>
      <c r="BZ17" s="43"/>
      <c r="CA17" s="37">
        <f>IF((BY17-BY16)&lt;=0,0,(BY17-BY16)*1000)</f>
        <v>523.60000000004447</v>
      </c>
      <c r="CB17" s="37">
        <f t="shared" si="64"/>
        <v>1</v>
      </c>
      <c r="CC17" s="37">
        <v>616376.80000000005</v>
      </c>
      <c r="CD17" s="37">
        <f t="shared" si="25"/>
        <v>4243.6000000000931</v>
      </c>
      <c r="CE17" s="37">
        <v>1112953</v>
      </c>
      <c r="CF17" s="37">
        <f t="shared" si="26"/>
        <v>6873</v>
      </c>
      <c r="CG17" s="37">
        <v>72810.600000000006</v>
      </c>
      <c r="CH17" s="37">
        <f t="shared" si="65"/>
        <v>0</v>
      </c>
      <c r="CI17" s="40">
        <v>12572.03</v>
      </c>
      <c r="CJ17" s="40"/>
      <c r="CK17" s="37">
        <f t="shared" si="66"/>
        <v>14576.270000000683</v>
      </c>
      <c r="CL17" s="37">
        <f t="shared" si="27"/>
        <v>1</v>
      </c>
      <c r="CM17" s="37">
        <v>3474.0349999999999</v>
      </c>
      <c r="CN17" s="37"/>
      <c r="CO17" s="37">
        <f t="shared" si="28"/>
        <v>4831.8699999997889</v>
      </c>
      <c r="CP17" s="37">
        <f t="shared" si="90"/>
        <v>1</v>
      </c>
      <c r="CQ17" s="39">
        <v>76288</v>
      </c>
      <c r="CR17" s="45"/>
      <c r="CS17" s="37">
        <f t="shared" si="67"/>
        <v>4280.2699999999941</v>
      </c>
      <c r="CT17" s="37">
        <f t="shared" si="68"/>
        <v>1</v>
      </c>
      <c r="CU17" s="37">
        <v>3186601</v>
      </c>
      <c r="CV17" s="37"/>
      <c r="CW17" s="38">
        <f t="shared" si="29"/>
        <v>14728</v>
      </c>
      <c r="CX17" s="37">
        <f t="shared" si="91"/>
        <v>1</v>
      </c>
      <c r="CY17" s="37">
        <v>1666145</v>
      </c>
      <c r="CZ17" s="37"/>
      <c r="DA17" s="37">
        <f t="shared" si="30"/>
        <v>8368</v>
      </c>
      <c r="DB17" s="37">
        <f t="shared" si="92"/>
        <v>1</v>
      </c>
      <c r="DC17" s="37"/>
      <c r="DD17" s="40"/>
      <c r="DE17" s="37">
        <f t="shared" si="31"/>
        <v>0</v>
      </c>
      <c r="DF17" s="37">
        <f t="shared" si="97"/>
        <v>0</v>
      </c>
      <c r="DG17" s="37">
        <f t="shared" si="32"/>
        <v>-58006.410000000462</v>
      </c>
      <c r="DH17" s="37">
        <f t="shared" si="33"/>
        <v>525249.87000000034</v>
      </c>
      <c r="DI17" s="46"/>
      <c r="DJ17" s="46"/>
      <c r="DK17" s="47"/>
      <c r="DL17" s="47"/>
      <c r="DM17" s="37"/>
      <c r="DN17" s="37"/>
      <c r="DO17" s="37"/>
      <c r="DP17" s="37"/>
      <c r="DQ17" s="50">
        <v>3331000</v>
      </c>
      <c r="DR17" s="49">
        <f t="shared" si="69"/>
        <v>8500</v>
      </c>
      <c r="DS17" s="50">
        <v>3540600</v>
      </c>
      <c r="DT17" s="49">
        <f t="shared" si="70"/>
        <v>20100</v>
      </c>
      <c r="DU17" s="36">
        <v>7937.7</v>
      </c>
      <c r="DV17" s="36">
        <v>4447.6000000000004</v>
      </c>
      <c r="DW17" s="37">
        <f t="shared" si="93"/>
        <v>3899.9999999996362</v>
      </c>
      <c r="DX17" s="52">
        <v>13090</v>
      </c>
      <c r="DY17" s="52">
        <v>8401.2000000000007</v>
      </c>
      <c r="DZ17" s="37">
        <f t="shared" si="34"/>
        <v>6649.87</v>
      </c>
      <c r="EA17" s="50">
        <v>29873</v>
      </c>
      <c r="EB17" s="49">
        <v>20.821000000000002</v>
      </c>
      <c r="EC17" s="37">
        <f t="shared" si="35"/>
        <v>24809.87</v>
      </c>
      <c r="ED17" s="53">
        <f t="shared" si="36"/>
        <v>35359.739999999634</v>
      </c>
      <c r="EE17" s="49">
        <v>45195</v>
      </c>
      <c r="EF17" s="49">
        <v>29.210999999999999</v>
      </c>
      <c r="EG17" s="37">
        <f t="shared" si="37"/>
        <v>28809.87</v>
      </c>
      <c r="EH17" s="52">
        <v>12945</v>
      </c>
      <c r="EI17" s="52">
        <v>1.7572000000000001</v>
      </c>
      <c r="EJ17" s="37">
        <f t="shared" si="38"/>
        <v>9649.869999999999</v>
      </c>
      <c r="EK17" s="37">
        <v>786.71</v>
      </c>
      <c r="EL17" s="40">
        <v>1127.2</v>
      </c>
      <c r="EM17" s="37">
        <f t="shared" si="71"/>
        <v>720.00000000002728</v>
      </c>
      <c r="EN17" s="54">
        <f t="shared" si="72"/>
        <v>39179.740000000027</v>
      </c>
      <c r="EO17" s="55">
        <v>12914</v>
      </c>
      <c r="EP17" s="48">
        <v>4512.5</v>
      </c>
      <c r="EQ17" s="37">
        <f t="shared" si="73"/>
        <v>6644.8700000000044</v>
      </c>
      <c r="ER17" s="48">
        <v>9206.7000000000007</v>
      </c>
      <c r="ES17" s="48">
        <v>3777.9</v>
      </c>
      <c r="ET17" s="49">
        <f t="shared" si="99"/>
        <v>17800.000000001091</v>
      </c>
      <c r="EU17" s="48">
        <v>3512</v>
      </c>
      <c r="EV17" s="48">
        <v>1249.0999999999999</v>
      </c>
      <c r="EW17" s="49">
        <f t="shared" si="40"/>
        <v>6049.8700000000908</v>
      </c>
      <c r="EX17" s="48">
        <v>13382</v>
      </c>
      <c r="EY17" s="48">
        <v>1.5407</v>
      </c>
      <c r="EZ17" s="37">
        <f t="shared" si="41"/>
        <v>9649.869999999999</v>
      </c>
      <c r="FA17" s="48">
        <f t="shared" si="74"/>
        <v>-17111.610000001183</v>
      </c>
      <c r="FB17" s="48">
        <v>36278800</v>
      </c>
      <c r="FC17" s="49">
        <f t="shared" si="94"/>
        <v>23033</v>
      </c>
      <c r="FD17" s="48">
        <f t="shared" si="75"/>
        <v>41944.610000001136</v>
      </c>
      <c r="FE17" s="48">
        <v>16960</v>
      </c>
      <c r="FF17" s="48">
        <v>6068.6</v>
      </c>
      <c r="FG17" s="37">
        <f t="shared" si="76"/>
        <v>9886.5399999999972</v>
      </c>
      <c r="FH17" s="48">
        <v>8587.2000000000007</v>
      </c>
      <c r="FI17" s="48">
        <v>3.3163</v>
      </c>
      <c r="FJ17" s="49">
        <f t="shared" si="42"/>
        <v>16181.540000001089</v>
      </c>
      <c r="FK17" s="48"/>
      <c r="FL17" s="58">
        <v>231.67</v>
      </c>
      <c r="FM17" s="48">
        <f t="shared" si="95"/>
        <v>1350.1266666663043</v>
      </c>
      <c r="FN17" s="48">
        <v>16452</v>
      </c>
      <c r="FO17" s="48">
        <v>0.80920000000000003</v>
      </c>
      <c r="FP17" s="37">
        <f t="shared" si="77"/>
        <v>11881.54</v>
      </c>
      <c r="FQ17" s="48">
        <v>58383</v>
      </c>
      <c r="FR17" s="48">
        <v>14.109</v>
      </c>
      <c r="FS17" s="37">
        <f t="shared" si="43"/>
        <v>42000</v>
      </c>
      <c r="FT17" s="48">
        <f t="shared" si="78"/>
        <v>4050.3799999989133</v>
      </c>
      <c r="FU17" s="48">
        <f t="shared" si="79"/>
        <v>39049.620000000999</v>
      </c>
      <c r="FV17" s="44">
        <v>4191800</v>
      </c>
      <c r="FW17" s="44">
        <v>1340800</v>
      </c>
      <c r="FX17" s="37">
        <f t="shared" si="44"/>
        <v>16400</v>
      </c>
      <c r="FY17" s="56">
        <v>3302.1</v>
      </c>
      <c r="FZ17" s="56">
        <v>2.036</v>
      </c>
      <c r="GA17" s="37">
        <f t="shared" si="45"/>
        <v>5020</v>
      </c>
      <c r="GB17" s="56">
        <v>806.49</v>
      </c>
      <c r="GC17" s="56">
        <v>902.97</v>
      </c>
      <c r="GD17" s="37">
        <f t="shared" si="46"/>
        <v>639.99999999998636</v>
      </c>
      <c r="GE17" s="56">
        <v>9973.7999999999993</v>
      </c>
      <c r="GF17" s="56">
        <v>3.3233999999999999</v>
      </c>
      <c r="GG17" s="37">
        <f t="shared" si="47"/>
        <v>7499.9999999997726</v>
      </c>
      <c r="GH17" s="153">
        <v>1940.7</v>
      </c>
      <c r="GI17" s="162">
        <v>1655.8</v>
      </c>
      <c r="GJ17" s="38">
        <f t="shared" si="48"/>
        <v>1799.9999999999545</v>
      </c>
      <c r="GK17" s="162">
        <v>1472.1</v>
      </c>
      <c r="GL17" s="163">
        <v>1121.2</v>
      </c>
      <c r="GM17" s="38">
        <f t="shared" si="49"/>
        <v>1099.9999999999091</v>
      </c>
      <c r="GN17" s="57">
        <v>195160</v>
      </c>
      <c r="GO17" s="57">
        <v>172280</v>
      </c>
      <c r="GP17" s="38">
        <f t="shared" si="98"/>
        <v>3190</v>
      </c>
      <c r="GQ17" s="38">
        <v>264410</v>
      </c>
      <c r="GR17" s="38">
        <v>261010</v>
      </c>
      <c r="GS17" s="38">
        <f t="shared" si="80"/>
        <v>980</v>
      </c>
      <c r="GT17" s="178"/>
      <c r="GU17" s="144">
        <f>DailyMei!B16-DailyMei!N16-DailyMei!V16-DailyMei!Y16-DailyMei!Z16-DailyMei!AA16-DailyMei!AB16-DailyMei!AC16-DailyMei!AD16-DailyMei!AE16-DailyMei!AK16-DailyMei!AO16-DailyMei!AS16-DailyMei!AY16-DailyMei!BD16+DailyMei!BU16-DailyMei!BG16-DailyMei!BT16-DailyMei!AF16-DailyMei!AG16</f>
        <v>-6.0000001569278538E-2</v>
      </c>
      <c r="GV17" s="59">
        <v>-20252.009999999998</v>
      </c>
      <c r="GW17" s="60">
        <f t="shared" si="50"/>
        <v>-1350.1339999999998</v>
      </c>
      <c r="GX17" s="61">
        <v>-1350.13</v>
      </c>
      <c r="GY17" s="140"/>
      <c r="GZ17" s="62"/>
      <c r="HA17" s="62"/>
      <c r="HB17" s="74"/>
      <c r="HC17" s="62"/>
      <c r="HD17" s="74"/>
      <c r="HE17" s="24">
        <f t="shared" si="51"/>
        <v>0</v>
      </c>
      <c r="HF17" s="151"/>
      <c r="HG17" s="213">
        <v>11</v>
      </c>
      <c r="HH17" s="16">
        <v>8613.2999999999993</v>
      </c>
      <c r="HI17" s="16">
        <v>3337.5</v>
      </c>
      <c r="HJ17" s="16">
        <f t="shared" si="52"/>
        <v>137299.99999999927</v>
      </c>
      <c r="HK17" s="16">
        <v>1.9189000000000001</v>
      </c>
      <c r="HL17" s="16">
        <v>660.93</v>
      </c>
      <c r="HM17" s="16">
        <f t="shared" si="100"/>
        <v>0</v>
      </c>
      <c r="HN17" s="16">
        <v>2307.8000000000002</v>
      </c>
      <c r="HO17" s="16">
        <v>1013.5</v>
      </c>
      <c r="HP17" s="16">
        <f t="shared" si="54"/>
        <v>32673.380000000365</v>
      </c>
      <c r="HQ17" s="16">
        <v>1989.1</v>
      </c>
      <c r="HR17" s="16">
        <v>874.71</v>
      </c>
      <c r="HS17" s="16">
        <f t="shared" si="55"/>
        <v>31473.379999999863</v>
      </c>
      <c r="HT17" s="16">
        <v>1682</v>
      </c>
      <c r="HU17" s="16">
        <v>662.62</v>
      </c>
      <c r="HV17" s="16">
        <f t="shared" si="56"/>
        <v>20273.380000000045</v>
      </c>
      <c r="HW17" s="16">
        <v>673.56</v>
      </c>
      <c r="HX17" s="16">
        <v>311.08999999999997</v>
      </c>
      <c r="HY17" s="16">
        <f t="shared" si="57"/>
        <v>32433.379999999899</v>
      </c>
      <c r="HZ17" s="16">
        <v>2034.9</v>
      </c>
      <c r="IA17" s="16">
        <v>3156.6</v>
      </c>
      <c r="IB17" s="16">
        <f t="shared" si="58"/>
        <v>346.5</v>
      </c>
      <c r="IC17" s="16"/>
      <c r="ID17" s="16"/>
      <c r="IE17" s="16">
        <f t="shared" si="59"/>
        <v>0</v>
      </c>
      <c r="IF17" s="16"/>
      <c r="IG17" s="16"/>
      <c r="IH17" s="128">
        <f t="shared" si="1"/>
        <v>20100</v>
      </c>
      <c r="II17" s="211">
        <f t="shared" si="60"/>
        <v>-2.0000000902655302E-2</v>
      </c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G17" s="151">
        <f t="shared" si="61"/>
        <v>33019.859999999462</v>
      </c>
    </row>
    <row r="18" spans="1:293" x14ac:dyDescent="0.25">
      <c r="A18" s="35">
        <f t="shared" si="2"/>
        <v>12</v>
      </c>
      <c r="B18" s="38">
        <v>4237.8500000000004</v>
      </c>
      <c r="C18" s="38">
        <f t="shared" si="3"/>
        <v>12.280000000000655</v>
      </c>
      <c r="D18" s="38">
        <f t="shared" si="4"/>
        <v>392960.00000002095</v>
      </c>
      <c r="E18" s="38">
        <v>852.62</v>
      </c>
      <c r="F18" s="38">
        <f t="shared" si="5"/>
        <v>88319.999999999709</v>
      </c>
      <c r="G18" s="38">
        <f t="shared" si="6"/>
        <v>481280.00000002066</v>
      </c>
      <c r="H18" s="37"/>
      <c r="I18" s="39"/>
      <c r="J18" s="42"/>
      <c r="K18" s="37">
        <f t="shared" si="81"/>
        <v>0</v>
      </c>
      <c r="L18" s="40">
        <v>12933900</v>
      </c>
      <c r="M18" s="40"/>
      <c r="N18" s="37">
        <f t="shared" si="82"/>
        <v>479000</v>
      </c>
      <c r="O18" s="37">
        <v>10833</v>
      </c>
      <c r="P18" s="37"/>
      <c r="Q18" s="37">
        <f t="shared" si="7"/>
        <v>13000</v>
      </c>
      <c r="R18" s="37">
        <f t="shared" si="83"/>
        <v>1</v>
      </c>
      <c r="S18" s="37">
        <v>11231877.800000001</v>
      </c>
      <c r="T18" s="37">
        <f t="shared" si="8"/>
        <v>0</v>
      </c>
      <c r="U18" s="37">
        <v>1518173.85</v>
      </c>
      <c r="V18" s="37">
        <f>IF((U18-U17)&lt;=0,0,(U18-U17))</f>
        <v>0</v>
      </c>
      <c r="W18" s="37">
        <v>3871.1</v>
      </c>
      <c r="X18" s="37">
        <f t="shared" si="96"/>
        <v>8600</v>
      </c>
      <c r="Y18" s="183"/>
      <c r="Z18" s="183"/>
      <c r="AA18" s="37">
        <v>781900</v>
      </c>
      <c r="AB18" s="37">
        <f t="shared" si="10"/>
        <v>4400</v>
      </c>
      <c r="AC18" s="173">
        <v>4048.3</v>
      </c>
      <c r="AD18" s="37"/>
      <c r="AE18" s="37">
        <f t="shared" si="11"/>
        <v>7800.0000000001819</v>
      </c>
      <c r="AF18" s="37">
        <f t="shared" si="84"/>
        <v>1</v>
      </c>
      <c r="AG18" s="37">
        <v>8821.4</v>
      </c>
      <c r="AH18" s="37"/>
      <c r="AI18" s="37">
        <f t="shared" si="12"/>
        <v>18223.619999998908</v>
      </c>
      <c r="AJ18" s="37">
        <f t="shared" si="13"/>
        <v>1</v>
      </c>
      <c r="AK18" s="37">
        <f t="shared" si="14"/>
        <v>34623.619999999093</v>
      </c>
      <c r="AL18" s="48">
        <v>10726.4</v>
      </c>
      <c r="AM18" s="66"/>
      <c r="AN18" s="37">
        <f>IF((AL18-AL17)&lt;=0,0,(AL18-AL17))*1000+GX18-BL18-BN18-BP18-BR18</f>
        <v>6583.6200000003491</v>
      </c>
      <c r="AO18" s="37">
        <f t="shared" si="85"/>
        <v>1</v>
      </c>
      <c r="AP18" s="37">
        <v>8273.7000000000007</v>
      </c>
      <c r="AQ18" s="37"/>
      <c r="AR18" s="37">
        <f t="shared" si="15"/>
        <v>8800.0000000010914</v>
      </c>
      <c r="AS18" s="37">
        <f t="shared" si="86"/>
        <v>1</v>
      </c>
      <c r="AT18" s="183"/>
      <c r="AU18" s="183"/>
      <c r="AV18" s="183"/>
      <c r="AW18" s="183"/>
      <c r="AX18" s="37">
        <v>479200</v>
      </c>
      <c r="AY18" s="37"/>
      <c r="AZ18" s="37">
        <f t="shared" si="16"/>
        <v>400</v>
      </c>
      <c r="BA18" s="40">
        <v>139910</v>
      </c>
      <c r="BB18" s="37"/>
      <c r="BC18" s="37">
        <f t="shared" si="17"/>
        <v>550</v>
      </c>
      <c r="BD18" s="37">
        <f t="shared" si="87"/>
        <v>16333.62000000144</v>
      </c>
      <c r="BE18" s="43">
        <v>1885.5</v>
      </c>
      <c r="BF18" s="43">
        <v>1036.5999999999999</v>
      </c>
      <c r="BG18" s="37">
        <f t="shared" si="18"/>
        <v>2700.0000000000455</v>
      </c>
      <c r="BH18" s="44">
        <v>8802.7000000000007</v>
      </c>
      <c r="BI18" s="44">
        <v>5659.9</v>
      </c>
      <c r="BJ18" s="37">
        <f t="shared" si="19"/>
        <v>9600.0000000003638</v>
      </c>
      <c r="BK18" s="40">
        <v>1513700</v>
      </c>
      <c r="BL18" s="40">
        <f t="shared" si="88"/>
        <v>3680</v>
      </c>
      <c r="BM18" s="40">
        <v>863.21</v>
      </c>
      <c r="BN18" s="37">
        <f t="shared" si="20"/>
        <v>660.00000000008185</v>
      </c>
      <c r="BO18" s="186"/>
      <c r="BP18" s="183">
        <f t="shared" si="21"/>
        <v>0</v>
      </c>
      <c r="BQ18" s="40">
        <v>816.3</v>
      </c>
      <c r="BR18" s="37">
        <f t="shared" si="63"/>
        <v>199.99999999993179</v>
      </c>
      <c r="BS18" s="37">
        <v>95865.76</v>
      </c>
      <c r="BT18" s="37">
        <f t="shared" si="22"/>
        <v>158.47999999999593</v>
      </c>
      <c r="BU18" s="42">
        <v>2639861</v>
      </c>
      <c r="BV18" s="42"/>
      <c r="BW18" s="37">
        <f t="shared" si="23"/>
        <v>11676</v>
      </c>
      <c r="BX18" s="37">
        <f t="shared" si="89"/>
        <v>1</v>
      </c>
      <c r="BY18" s="43">
        <v>337.50049999999999</v>
      </c>
      <c r="BZ18" s="43"/>
      <c r="CA18" s="37">
        <f>IF((BY18-BY17)&lt;=0,0,(BY18-BY17)*1000)</f>
        <v>597.29999999996153</v>
      </c>
      <c r="CB18" s="37">
        <f t="shared" si="64"/>
        <v>1</v>
      </c>
      <c r="CC18" s="37">
        <v>621136.6</v>
      </c>
      <c r="CD18" s="37">
        <f t="shared" si="25"/>
        <v>4759.7999999999302</v>
      </c>
      <c r="CE18" s="37">
        <v>1119604</v>
      </c>
      <c r="CF18" s="37">
        <f t="shared" si="26"/>
        <v>6651</v>
      </c>
      <c r="CG18" s="37">
        <v>72810.600000000006</v>
      </c>
      <c r="CH18" s="37">
        <f t="shared" si="65"/>
        <v>0</v>
      </c>
      <c r="CI18" s="40">
        <v>12588.61</v>
      </c>
      <c r="CJ18" s="40"/>
      <c r="CK18" s="37">
        <f t="shared" si="66"/>
        <v>17506.319999999963</v>
      </c>
      <c r="CL18" s="37">
        <f t="shared" si="27"/>
        <v>1</v>
      </c>
      <c r="CM18" s="37">
        <v>3480.5459999999998</v>
      </c>
      <c r="CN18" s="37"/>
      <c r="CO18" s="37">
        <f t="shared" si="28"/>
        <v>8034.6199999999671</v>
      </c>
      <c r="CP18" s="37">
        <f t="shared" si="90"/>
        <v>1</v>
      </c>
      <c r="CQ18" s="39">
        <v>82286.899999999994</v>
      </c>
      <c r="CR18" s="39"/>
      <c r="CS18" s="37">
        <f t="shared" si="67"/>
        <v>7522.5199999999941</v>
      </c>
      <c r="CT18" s="37">
        <f t="shared" si="68"/>
        <v>1</v>
      </c>
      <c r="CU18" s="37">
        <v>3206013</v>
      </c>
      <c r="CV18" s="37"/>
      <c r="CW18" s="38">
        <f t="shared" si="29"/>
        <v>19412</v>
      </c>
      <c r="CX18" s="37">
        <f t="shared" si="91"/>
        <v>1</v>
      </c>
      <c r="CY18" s="37">
        <v>1677565</v>
      </c>
      <c r="CZ18" s="37"/>
      <c r="DA18" s="37">
        <f t="shared" si="30"/>
        <v>11420</v>
      </c>
      <c r="DB18" s="37">
        <f t="shared" si="92"/>
        <v>1</v>
      </c>
      <c r="DC18" s="37"/>
      <c r="DD18" s="40"/>
      <c r="DE18" s="37">
        <f>IF((DC18-DC17)&lt;=0,0,(DC18-DC17))</f>
        <v>0</v>
      </c>
      <c r="DF18" s="37">
        <f t="shared" si="97"/>
        <v>0</v>
      </c>
      <c r="DG18" s="37">
        <f t="shared" si="32"/>
        <v>-75571.459999999934</v>
      </c>
      <c r="DH18" s="37">
        <f t="shared" si="33"/>
        <v>516323.61999999912</v>
      </c>
      <c r="DI18" s="46"/>
      <c r="DJ18" s="46"/>
      <c r="DK18" s="46"/>
      <c r="DL18" s="47"/>
      <c r="DM18" s="37"/>
      <c r="DN18" s="37"/>
      <c r="DO18" s="37"/>
      <c r="DP18" s="37"/>
      <c r="DQ18" s="50">
        <v>3338900</v>
      </c>
      <c r="DR18" s="49">
        <f t="shared" si="69"/>
        <v>7900</v>
      </c>
      <c r="DS18" s="50">
        <v>3559800</v>
      </c>
      <c r="DT18" s="49">
        <f t="shared" si="70"/>
        <v>19200</v>
      </c>
      <c r="DU18" s="52">
        <v>7941.7</v>
      </c>
      <c r="DV18" s="52">
        <v>4450</v>
      </c>
      <c r="DW18" s="37">
        <f t="shared" si="93"/>
        <v>4000</v>
      </c>
      <c r="DX18" s="52">
        <v>13097</v>
      </c>
      <c r="DY18" s="52">
        <v>8403.2999999999993</v>
      </c>
      <c r="DZ18" s="37">
        <f t="shared" si="34"/>
        <v>8523.619999999999</v>
      </c>
      <c r="EA18" s="49">
        <v>29897</v>
      </c>
      <c r="EB18" s="49">
        <v>20.832999999999998</v>
      </c>
      <c r="EC18" s="37">
        <f t="shared" si="35"/>
        <v>27683.62</v>
      </c>
      <c r="ED18" s="53">
        <f t="shared" si="36"/>
        <v>40207.24</v>
      </c>
      <c r="EE18" s="49">
        <v>45216</v>
      </c>
      <c r="EF18" s="49">
        <v>29.23</v>
      </c>
      <c r="EG18" s="37">
        <f t="shared" si="37"/>
        <v>24683.62</v>
      </c>
      <c r="EH18" s="52">
        <v>12955</v>
      </c>
      <c r="EI18" s="44">
        <v>1.7589999999999999</v>
      </c>
      <c r="EJ18" s="37">
        <f t="shared" si="38"/>
        <v>11523.619999999999</v>
      </c>
      <c r="EK18" s="37">
        <v>787.33</v>
      </c>
      <c r="EL18" s="40">
        <v>1128</v>
      </c>
      <c r="EM18" s="37">
        <f t="shared" si="71"/>
        <v>620.00000000000455</v>
      </c>
      <c r="EN18" s="54">
        <f t="shared" si="72"/>
        <v>36827.240000000005</v>
      </c>
      <c r="EO18" s="48">
        <v>12922</v>
      </c>
      <c r="EP18" s="48">
        <v>4515.3999999999996</v>
      </c>
      <c r="EQ18" s="37">
        <f t="shared" si="73"/>
        <v>8563.6199999999626</v>
      </c>
      <c r="ER18" s="48">
        <v>9224.7999999999993</v>
      </c>
      <c r="ES18" s="48">
        <v>3784.7</v>
      </c>
      <c r="ET18" s="49">
        <f t="shared" si="99"/>
        <v>18099.999999998545</v>
      </c>
      <c r="EU18" s="48">
        <v>3519.1</v>
      </c>
      <c r="EV18" s="48">
        <v>1251.5999999999999</v>
      </c>
      <c r="EW18" s="49">
        <f t="shared" si="40"/>
        <v>8623.619999999908</v>
      </c>
      <c r="EX18" s="55">
        <v>13396</v>
      </c>
      <c r="EY18" s="48">
        <v>1.5424</v>
      </c>
      <c r="EZ18" s="37">
        <f t="shared" si="41"/>
        <v>15523.619999999999</v>
      </c>
      <c r="FA18" s="48">
        <f t="shared" si="74"/>
        <v>-26840.859999998414</v>
      </c>
      <c r="FB18" s="48">
        <v>36302770</v>
      </c>
      <c r="FC18" s="49">
        <f>IF((FB18-FB17)&lt;=0,0,(FB18-FB17))</f>
        <v>23970</v>
      </c>
      <c r="FD18" s="48">
        <f t="shared" si="75"/>
        <v>52510.859999998458</v>
      </c>
      <c r="FE18" s="48">
        <v>16970</v>
      </c>
      <c r="FF18" s="48">
        <v>6072.5</v>
      </c>
      <c r="FG18" s="37">
        <f t="shared" si="76"/>
        <v>12196.950000000037</v>
      </c>
      <c r="FH18" s="48">
        <v>8604.1</v>
      </c>
      <c r="FI18" s="48">
        <v>3.323</v>
      </c>
      <c r="FJ18" s="49">
        <f t="shared" si="42"/>
        <v>18136.949999999637</v>
      </c>
      <c r="FK18" s="48"/>
      <c r="FL18" s="58">
        <v>-286.67</v>
      </c>
      <c r="FM18" s="48">
        <f>FT18/3</f>
        <v>-1523.6166666665583</v>
      </c>
      <c r="FN18" s="48">
        <v>16465</v>
      </c>
      <c r="FO18" s="48">
        <v>0.81079999999999997</v>
      </c>
      <c r="FP18" s="37">
        <f t="shared" si="77"/>
        <v>14236.95</v>
      </c>
      <c r="FQ18" s="48">
        <v>58423</v>
      </c>
      <c r="FR18" s="48">
        <v>14.121</v>
      </c>
      <c r="FS18" s="37">
        <f>IF((FQ18-FQ17)*1000&lt;=0,0,(FQ18-FQ17)*1000)</f>
        <v>40000</v>
      </c>
      <c r="FT18" s="48">
        <f t="shared" si="78"/>
        <v>-4570.8499999996748</v>
      </c>
      <c r="FU18" s="48">
        <f t="shared" si="79"/>
        <v>45670.849999999809</v>
      </c>
      <c r="FV18" s="44">
        <v>4203000</v>
      </c>
      <c r="FW18" s="44">
        <v>1344300</v>
      </c>
      <c r="FX18" s="37">
        <f t="shared" si="44"/>
        <v>11200</v>
      </c>
      <c r="FY18" s="56">
        <v>3307</v>
      </c>
      <c r="FZ18" s="56">
        <v>2.04</v>
      </c>
      <c r="GA18" s="37">
        <f t="shared" si="45"/>
        <v>3910.0000000000909</v>
      </c>
      <c r="GB18" s="56">
        <v>807.03</v>
      </c>
      <c r="GC18" s="56">
        <v>903.61</v>
      </c>
      <c r="GD18" s="37">
        <f t="shared" si="46"/>
        <v>539.99999999996362</v>
      </c>
      <c r="GE18" s="56">
        <v>9983.4</v>
      </c>
      <c r="GF18" s="56">
        <v>3.3306</v>
      </c>
      <c r="GG18" s="37">
        <f t="shared" si="47"/>
        <v>6800.0000000001819</v>
      </c>
      <c r="GH18" s="153">
        <v>1942.4</v>
      </c>
      <c r="GI18" s="162">
        <v>1657.4</v>
      </c>
      <c r="GJ18" s="38">
        <f t="shared" si="48"/>
        <v>1700.0000000000455</v>
      </c>
      <c r="GK18" s="162">
        <v>1473.2</v>
      </c>
      <c r="GL18" s="163">
        <v>1121.7</v>
      </c>
      <c r="GM18" s="38">
        <f t="shared" si="49"/>
        <v>1100.0000000001364</v>
      </c>
      <c r="GN18" s="57">
        <v>198380</v>
      </c>
      <c r="GO18" s="57">
        <v>175220</v>
      </c>
      <c r="GP18" s="38">
        <f t="shared" si="98"/>
        <v>3220</v>
      </c>
      <c r="GQ18" s="38">
        <v>265400</v>
      </c>
      <c r="GR18" s="38">
        <v>262010</v>
      </c>
      <c r="GS18" s="38">
        <f t="shared" si="80"/>
        <v>990</v>
      </c>
      <c r="GT18" s="178"/>
      <c r="GU18" s="144">
        <f>DailyMei!B17-DailyMei!N17-DailyMei!V17-DailyMei!Y17-DailyMei!Z17-DailyMei!AA17-DailyMei!AB17-DailyMei!AC17-DailyMei!AD17-DailyMei!AE17-DailyMei!AK17-DailyMei!AO17-DailyMei!AS17-DailyMei!AY17-DailyMei!BD17+DailyMei!BU17-DailyMei!BG17-DailyMei!BT17-DailyMei!AF17-DailyMei!AG17</f>
        <v>1.0000021386076696E-2</v>
      </c>
      <c r="GV18" s="59">
        <v>22854.31</v>
      </c>
      <c r="GW18" s="60">
        <f t="shared" si="50"/>
        <v>1523.6206666666667</v>
      </c>
      <c r="GX18" s="61">
        <v>1523.62</v>
      </c>
      <c r="GY18" s="140"/>
      <c r="GZ18" s="62"/>
      <c r="HA18" s="62"/>
      <c r="HB18" s="74"/>
      <c r="HC18" s="62"/>
      <c r="HD18" s="74"/>
      <c r="HE18" s="24">
        <f t="shared" si="51"/>
        <v>0</v>
      </c>
      <c r="HF18" s="151"/>
      <c r="HG18" s="213">
        <v>12</v>
      </c>
      <c r="HH18" s="16">
        <v>8700.7999999999993</v>
      </c>
      <c r="HI18" s="16">
        <v>3371.2</v>
      </c>
      <c r="HJ18" s="16">
        <f t="shared" si="52"/>
        <v>87500</v>
      </c>
      <c r="HK18" s="16">
        <v>1.9189000000000001</v>
      </c>
      <c r="HL18" s="16">
        <v>660.93</v>
      </c>
      <c r="HM18" s="16">
        <f t="shared" si="100"/>
        <v>0</v>
      </c>
      <c r="HN18" s="16">
        <v>2328.4</v>
      </c>
      <c r="HO18" s="16">
        <v>1022.7</v>
      </c>
      <c r="HP18" s="16">
        <f t="shared" si="54"/>
        <v>19280.869999999908</v>
      </c>
      <c r="HQ18" s="16">
        <v>2007.4</v>
      </c>
      <c r="HR18" s="16">
        <v>882.3</v>
      </c>
      <c r="HS18" s="16">
        <f t="shared" si="55"/>
        <v>16980.870000000181</v>
      </c>
      <c r="HT18" s="16">
        <v>1696.5</v>
      </c>
      <c r="HU18" s="16">
        <v>668.28</v>
      </c>
      <c r="HV18" s="16">
        <f t="shared" si="56"/>
        <v>13180.869999999999</v>
      </c>
      <c r="HW18" s="16">
        <v>693.58</v>
      </c>
      <c r="HX18" s="16">
        <v>319.36</v>
      </c>
      <c r="HY18" s="16">
        <f t="shared" si="57"/>
        <v>18700.870000000094</v>
      </c>
      <c r="HZ18" s="16">
        <v>2191.4</v>
      </c>
      <c r="IA18" s="16">
        <v>3405.8</v>
      </c>
      <c r="IB18" s="16">
        <f t="shared" si="58"/>
        <v>156.5</v>
      </c>
      <c r="IC18" s="16"/>
      <c r="ID18" s="16"/>
      <c r="IE18" s="16">
        <f t="shared" si="59"/>
        <v>0</v>
      </c>
      <c r="IF18" s="16"/>
      <c r="IG18" s="16"/>
      <c r="IH18" s="128">
        <f t="shared" si="1"/>
        <v>19200</v>
      </c>
      <c r="II18" s="211">
        <f t="shared" si="60"/>
        <v>1.9999999814899638E-2</v>
      </c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G18" s="151">
        <f t="shared" si="61"/>
        <v>19437.389999999723</v>
      </c>
    </row>
    <row r="19" spans="1:293" x14ac:dyDescent="0.25">
      <c r="A19" s="35">
        <f t="shared" si="2"/>
        <v>13</v>
      </c>
      <c r="B19" s="38">
        <v>4250.33</v>
      </c>
      <c r="C19" s="38">
        <f t="shared" si="3"/>
        <v>12.479999999999563</v>
      </c>
      <c r="D19" s="38">
        <f t="shared" si="4"/>
        <v>399359.99999998603</v>
      </c>
      <c r="E19" s="38">
        <v>855</v>
      </c>
      <c r="F19" s="38">
        <f t="shared" si="5"/>
        <v>76159.999999999854</v>
      </c>
      <c r="G19" s="38">
        <f t="shared" si="6"/>
        <v>475519.99999998591</v>
      </c>
      <c r="H19" s="37"/>
      <c r="I19" s="39"/>
      <c r="J19" s="42"/>
      <c r="K19" s="37">
        <f t="shared" si="81"/>
        <v>0</v>
      </c>
      <c r="L19" s="40">
        <v>12980800</v>
      </c>
      <c r="M19" s="40"/>
      <c r="N19" s="37">
        <f t="shared" si="82"/>
        <v>469000</v>
      </c>
      <c r="O19" s="37">
        <v>10845</v>
      </c>
      <c r="P19" s="37"/>
      <c r="Q19" s="37">
        <f t="shared" si="7"/>
        <v>12000</v>
      </c>
      <c r="R19" s="37">
        <f t="shared" si="83"/>
        <v>1</v>
      </c>
      <c r="S19" s="37">
        <v>11231877.800000001</v>
      </c>
      <c r="T19" s="37">
        <f t="shared" si="8"/>
        <v>0</v>
      </c>
      <c r="U19" s="37">
        <v>1518173.85</v>
      </c>
      <c r="V19" s="37">
        <f t="shared" si="9"/>
        <v>0</v>
      </c>
      <c r="W19" s="37">
        <v>3877.7</v>
      </c>
      <c r="X19" s="37">
        <f t="shared" si="96"/>
        <v>7700</v>
      </c>
      <c r="Y19" s="183"/>
      <c r="Z19" s="183"/>
      <c r="AA19" s="37">
        <v>786200</v>
      </c>
      <c r="AB19" s="37">
        <f t="shared" si="10"/>
        <v>4300</v>
      </c>
      <c r="AC19" s="37">
        <v>4055.6</v>
      </c>
      <c r="AD19" s="37"/>
      <c r="AE19" s="37">
        <f t="shared" si="11"/>
        <v>7299.9999999997272</v>
      </c>
      <c r="AF19" s="37">
        <f t="shared" si="84"/>
        <v>1</v>
      </c>
      <c r="AG19" s="37">
        <v>8837.2000000000007</v>
      </c>
      <c r="AH19" s="67"/>
      <c r="AI19" s="37">
        <f t="shared" si="12"/>
        <v>15782.260000001092</v>
      </c>
      <c r="AJ19" s="37">
        <f t="shared" si="13"/>
        <v>1</v>
      </c>
      <c r="AK19" s="37">
        <f t="shared" si="14"/>
        <v>30782.260000000817</v>
      </c>
      <c r="AL19" s="48">
        <v>10735.8</v>
      </c>
      <c r="AM19" s="66"/>
      <c r="AN19" s="37">
        <f t="shared" si="62"/>
        <v>4782.2599999995909</v>
      </c>
      <c r="AO19" s="37">
        <f t="shared" si="85"/>
        <v>1</v>
      </c>
      <c r="AP19" s="37">
        <v>8282.7000000000007</v>
      </c>
      <c r="AQ19" s="37"/>
      <c r="AR19" s="37">
        <f t="shared" si="15"/>
        <v>9000</v>
      </c>
      <c r="AS19" s="37">
        <f t="shared" si="86"/>
        <v>1</v>
      </c>
      <c r="AT19" s="183"/>
      <c r="AU19" s="183"/>
      <c r="AV19" s="183"/>
      <c r="AW19" s="183"/>
      <c r="AX19" s="37">
        <v>479550</v>
      </c>
      <c r="AY19" s="37"/>
      <c r="AZ19" s="37">
        <f t="shared" si="16"/>
        <v>350</v>
      </c>
      <c r="BA19" s="37">
        <v>140470</v>
      </c>
      <c r="BB19" s="37"/>
      <c r="BC19" s="37">
        <f t="shared" si="17"/>
        <v>560</v>
      </c>
      <c r="BD19" s="37">
        <f>AN19+AR19+AZ19+BC19</f>
        <v>14692.259999999591</v>
      </c>
      <c r="BE19" s="43">
        <v>1887.7</v>
      </c>
      <c r="BF19" s="43">
        <v>1037.9000000000001</v>
      </c>
      <c r="BG19" s="37">
        <f t="shared" si="18"/>
        <v>2200.0000000000455</v>
      </c>
      <c r="BH19" s="44">
        <v>8811.7000000000007</v>
      </c>
      <c r="BI19" s="44">
        <v>5665.7</v>
      </c>
      <c r="BJ19" s="37">
        <f t="shared" si="19"/>
        <v>9000</v>
      </c>
      <c r="BK19" s="40">
        <v>1517350</v>
      </c>
      <c r="BL19" s="40">
        <f t="shared" si="88"/>
        <v>3650</v>
      </c>
      <c r="BM19" s="40">
        <v>863.86</v>
      </c>
      <c r="BN19" s="37">
        <f t="shared" si="20"/>
        <v>649.99999999997726</v>
      </c>
      <c r="BO19" s="186"/>
      <c r="BP19" s="183">
        <f t="shared" si="21"/>
        <v>0</v>
      </c>
      <c r="BQ19" s="40">
        <v>816.6</v>
      </c>
      <c r="BR19" s="37">
        <f t="shared" si="63"/>
        <v>300.00000000006821</v>
      </c>
      <c r="BS19" s="37">
        <v>96028.84</v>
      </c>
      <c r="BT19" s="37">
        <f t="shared" si="22"/>
        <v>163.08000000000175</v>
      </c>
      <c r="BU19" s="42">
        <v>2644746</v>
      </c>
      <c r="BV19" s="42"/>
      <c r="BW19" s="37">
        <f t="shared" si="23"/>
        <v>4885</v>
      </c>
      <c r="BX19" s="37">
        <f t="shared" si="89"/>
        <v>1</v>
      </c>
      <c r="BY19" s="43">
        <v>338.05700000000002</v>
      </c>
      <c r="BZ19" s="43"/>
      <c r="CA19" s="37">
        <f>IF((BY19-BY18)&lt;=0,0,(BY19-BY18)*1000)</f>
        <v>556.50000000002819</v>
      </c>
      <c r="CB19" s="37">
        <f t="shared" si="64"/>
        <v>1</v>
      </c>
      <c r="CC19" s="37">
        <v>621266.4</v>
      </c>
      <c r="CD19" s="37">
        <f t="shared" si="25"/>
        <v>129.80000000004657</v>
      </c>
      <c r="CE19" s="41">
        <v>1124365</v>
      </c>
      <c r="CF19" s="37">
        <f t="shared" si="26"/>
        <v>4761</v>
      </c>
      <c r="CG19" s="37">
        <v>72810.600000000006</v>
      </c>
      <c r="CH19" s="37">
        <f t="shared" si="65"/>
        <v>0</v>
      </c>
      <c r="CI19" s="40">
        <v>12603.96</v>
      </c>
      <c r="CJ19" s="40"/>
      <c r="CK19" s="37">
        <f t="shared" si="66"/>
        <v>14775.759999998518</v>
      </c>
      <c r="CL19" s="37">
        <f t="shared" si="27"/>
        <v>1</v>
      </c>
      <c r="CM19" s="37">
        <v>3485.3020000000001</v>
      </c>
      <c r="CN19" s="37"/>
      <c r="CO19" s="37">
        <f t="shared" si="28"/>
        <v>4738.2600000003131</v>
      </c>
      <c r="CP19" s="37">
        <f t="shared" si="90"/>
        <v>1</v>
      </c>
      <c r="CQ19" s="39">
        <v>87650.2</v>
      </c>
      <c r="CR19" s="39"/>
      <c r="CS19" s="37">
        <f t="shared" si="67"/>
        <v>5345.5600000000031</v>
      </c>
      <c r="CT19" s="37">
        <f t="shared" si="68"/>
        <v>1</v>
      </c>
      <c r="CU19" s="37">
        <v>3225252</v>
      </c>
      <c r="CV19" s="37"/>
      <c r="CW19" s="38">
        <f t="shared" si="29"/>
        <v>19239</v>
      </c>
      <c r="CX19" s="37">
        <f t="shared" si="91"/>
        <v>1</v>
      </c>
      <c r="CY19" s="37">
        <v>1688457</v>
      </c>
      <c r="CZ19" s="37"/>
      <c r="DA19" s="37">
        <f t="shared" si="30"/>
        <v>10892</v>
      </c>
      <c r="DB19" s="37">
        <f t="shared" si="92"/>
        <v>1</v>
      </c>
      <c r="DC19" s="37"/>
      <c r="DD19" s="40"/>
      <c r="DE19" s="37">
        <f t="shared" si="31"/>
        <v>0</v>
      </c>
      <c r="DF19" s="37">
        <f t="shared" si="97"/>
        <v>0</v>
      </c>
      <c r="DG19" s="37">
        <f t="shared" si="32"/>
        <v>-59875.579999998838</v>
      </c>
      <c r="DH19" s="37">
        <f t="shared" si="33"/>
        <v>501982.26000000088</v>
      </c>
      <c r="DI19" s="46"/>
      <c r="DJ19" s="46"/>
      <c r="DK19" s="47"/>
      <c r="DL19" s="47"/>
      <c r="DM19" s="37"/>
      <c r="DN19" s="37"/>
      <c r="DO19" s="37"/>
      <c r="DP19" s="37"/>
      <c r="DQ19" s="50">
        <v>3346200</v>
      </c>
      <c r="DR19" s="49">
        <f t="shared" si="69"/>
        <v>7300</v>
      </c>
      <c r="DS19" s="50">
        <v>3579500</v>
      </c>
      <c r="DT19" s="49">
        <f t="shared" si="70"/>
        <v>19700</v>
      </c>
      <c r="DU19" s="52">
        <v>7945.7</v>
      </c>
      <c r="DV19" s="52">
        <v>4452.2</v>
      </c>
      <c r="DW19" s="37">
        <f t="shared" si="93"/>
        <v>4000</v>
      </c>
      <c r="DX19" s="52">
        <v>13104</v>
      </c>
      <c r="DY19" s="52">
        <v>8405.1</v>
      </c>
      <c r="DZ19" s="37">
        <f t="shared" si="34"/>
        <v>6982.26</v>
      </c>
      <c r="EA19" s="49">
        <v>29920</v>
      </c>
      <c r="EB19" s="49">
        <v>20.844000000000001</v>
      </c>
      <c r="EC19" s="37">
        <f t="shared" si="35"/>
        <v>25142.26</v>
      </c>
      <c r="ED19" s="53">
        <f t="shared" si="36"/>
        <v>36124.519999999997</v>
      </c>
      <c r="EE19" s="49">
        <v>45240</v>
      </c>
      <c r="EF19" s="49">
        <v>29.254000000000001</v>
      </c>
      <c r="EG19" s="37">
        <f t="shared" si="37"/>
        <v>26142.26</v>
      </c>
      <c r="EH19" s="44">
        <v>12967</v>
      </c>
      <c r="EI19" s="68">
        <v>1.7609999999999999</v>
      </c>
      <c r="EJ19" s="37">
        <f t="shared" si="38"/>
        <v>11982.26</v>
      </c>
      <c r="EK19" s="37">
        <v>787.92</v>
      </c>
      <c r="EL19" s="40">
        <v>1128.8</v>
      </c>
      <c r="EM19" s="37">
        <f t="shared" si="71"/>
        <v>589.99999999991815</v>
      </c>
      <c r="EN19" s="54">
        <f t="shared" si="72"/>
        <v>38714.519999999917</v>
      </c>
      <c r="EO19" s="48">
        <v>12930</v>
      </c>
      <c r="EP19" s="48">
        <v>4518.2</v>
      </c>
      <c r="EQ19" s="37">
        <f t="shared" si="73"/>
        <v>7007.2600000000348</v>
      </c>
      <c r="ER19" s="48">
        <v>9241.2999999999993</v>
      </c>
      <c r="ES19" s="48">
        <v>3791.7</v>
      </c>
      <c r="ET19" s="49">
        <f t="shared" si="99"/>
        <v>16500</v>
      </c>
      <c r="EU19" s="48">
        <v>3526.1</v>
      </c>
      <c r="EV19" s="48">
        <v>1254.2</v>
      </c>
      <c r="EW19" s="49">
        <f t="shared" si="40"/>
        <v>6982.26</v>
      </c>
      <c r="EX19" s="48">
        <v>13409</v>
      </c>
      <c r="EY19" s="48">
        <v>1.5438000000000001</v>
      </c>
      <c r="EZ19" s="37">
        <f t="shared" si="41"/>
        <v>12982.26</v>
      </c>
      <c r="FA19" s="48">
        <f t="shared" si="74"/>
        <v>-20557.780000000035</v>
      </c>
      <c r="FB19" s="48">
        <v>36325684</v>
      </c>
      <c r="FC19" s="49">
        <f t="shared" si="94"/>
        <v>22914</v>
      </c>
      <c r="FD19" s="48">
        <f t="shared" si="75"/>
        <v>45171.779999999853</v>
      </c>
      <c r="FE19" s="48">
        <v>16980</v>
      </c>
      <c r="FF19" s="48">
        <v>6076.5</v>
      </c>
      <c r="FG19" s="37">
        <f t="shared" si="76"/>
        <v>10965.589999999966</v>
      </c>
      <c r="FH19" s="48">
        <v>8621.1</v>
      </c>
      <c r="FI19" s="48">
        <v>3.3298000000000001</v>
      </c>
      <c r="FJ19" s="49">
        <f t="shared" si="42"/>
        <v>16990.59</v>
      </c>
      <c r="FK19" s="48"/>
      <c r="FL19" s="58">
        <v>8.33</v>
      </c>
      <c r="FM19" s="48">
        <f t="shared" si="95"/>
        <v>17.743333333344101</v>
      </c>
      <c r="FN19" s="48">
        <v>16478</v>
      </c>
      <c r="FO19" s="48">
        <v>0.81220000000000003</v>
      </c>
      <c r="FP19" s="37">
        <f t="shared" si="77"/>
        <v>12990.59</v>
      </c>
      <c r="FQ19" s="48">
        <v>58464</v>
      </c>
      <c r="FR19" s="48">
        <v>14.134</v>
      </c>
      <c r="FS19" s="37">
        <f t="shared" si="43"/>
        <v>41000</v>
      </c>
      <c r="FT19" s="48">
        <f t="shared" si="78"/>
        <v>53.230000000032305</v>
      </c>
      <c r="FU19" s="48">
        <f t="shared" si="79"/>
        <v>42046.769999999873</v>
      </c>
      <c r="FV19" s="44">
        <v>4214700</v>
      </c>
      <c r="FW19" s="44">
        <v>1348100</v>
      </c>
      <c r="FX19" s="37">
        <f t="shared" si="44"/>
        <v>11700</v>
      </c>
      <c r="FY19" s="56">
        <v>3312.1</v>
      </c>
      <c r="FZ19" s="63">
        <v>2.0440999999999998</v>
      </c>
      <c r="GA19" s="37">
        <f t="shared" si="45"/>
        <v>4109.9999999999091</v>
      </c>
      <c r="GB19" s="56">
        <v>807.56</v>
      </c>
      <c r="GC19" s="56">
        <v>904.27</v>
      </c>
      <c r="GD19" s="37">
        <f t="shared" si="46"/>
        <v>529.99999999997272</v>
      </c>
      <c r="GE19" s="56">
        <v>9993</v>
      </c>
      <c r="GF19" s="56">
        <v>3.3378000000000001</v>
      </c>
      <c r="GG19" s="37">
        <f t="shared" si="47"/>
        <v>6800.0000000006366</v>
      </c>
      <c r="GH19" s="153">
        <v>1944.1</v>
      </c>
      <c r="GI19" s="162">
        <v>1659</v>
      </c>
      <c r="GJ19" s="38">
        <f t="shared" si="48"/>
        <v>1699.9999999998181</v>
      </c>
      <c r="GK19" s="162">
        <v>1474.3</v>
      </c>
      <c r="GL19" s="163">
        <v>1122.0999999999999</v>
      </c>
      <c r="GM19" s="38">
        <f t="shared" si="49"/>
        <v>1099.9999999999091</v>
      </c>
      <c r="GN19" s="57">
        <v>201810</v>
      </c>
      <c r="GO19" s="57">
        <v>178200</v>
      </c>
      <c r="GP19" s="38">
        <f t="shared" si="98"/>
        <v>3430</v>
      </c>
      <c r="GQ19" s="38">
        <v>266390</v>
      </c>
      <c r="GR19" s="38">
        <v>262980</v>
      </c>
      <c r="GS19" s="38">
        <f t="shared" si="80"/>
        <v>990</v>
      </c>
      <c r="GT19" s="178"/>
      <c r="GU19" s="144">
        <f>DailyMei!B18-DailyMei!N18-DailyMei!V18-DailyMei!Y18-DailyMei!Z18-DailyMei!AA18-DailyMei!AB18-DailyMei!AC18-DailyMei!AD18-DailyMei!AE18-DailyMei!AK18-DailyMei!AO18-DailyMei!AS18-DailyMei!AY18-DailyMei!BD18+DailyMei!BU18-DailyMei!BG18-DailyMei!BT18-DailyMei!AF18-DailyMei!AG18</f>
        <v>9.9999848171137273E-3</v>
      </c>
      <c r="GV19" s="59">
        <v>-266.08999999999997</v>
      </c>
      <c r="GW19" s="60">
        <f t="shared" si="50"/>
        <v>-17.739333333333331</v>
      </c>
      <c r="GX19" s="61">
        <v>-17.739999999999998</v>
      </c>
      <c r="GY19" s="140"/>
      <c r="GZ19" s="62"/>
      <c r="HA19" s="62"/>
      <c r="HB19" s="74"/>
      <c r="HC19" s="62"/>
      <c r="HD19" s="74"/>
      <c r="HE19" s="24">
        <f t="shared" si="51"/>
        <v>0</v>
      </c>
      <c r="HF19" s="151"/>
      <c r="HG19" s="213">
        <v>13</v>
      </c>
      <c r="HH19" s="16">
        <v>8817.2000000000007</v>
      </c>
      <c r="HI19" s="16">
        <v>3415.6</v>
      </c>
      <c r="HJ19" s="16">
        <f t="shared" si="52"/>
        <v>116400.00000000146</v>
      </c>
      <c r="HK19" s="16">
        <v>1.9189000000000001</v>
      </c>
      <c r="HL19" s="16">
        <v>660.93</v>
      </c>
      <c r="HM19" s="16">
        <f t="shared" si="100"/>
        <v>0</v>
      </c>
      <c r="HN19" s="16">
        <v>2355.5</v>
      </c>
      <c r="HO19" s="16">
        <v>1034.5999999999999</v>
      </c>
      <c r="HP19" s="16">
        <f t="shared" si="54"/>
        <v>27484.924999999908</v>
      </c>
      <c r="HQ19" s="16">
        <v>2030.8</v>
      </c>
      <c r="HR19" s="16">
        <v>891.95</v>
      </c>
      <c r="HS19" s="16">
        <f t="shared" si="55"/>
        <v>23784.924999999861</v>
      </c>
      <c r="HT19" s="16">
        <v>1716.4</v>
      </c>
      <c r="HU19" s="16">
        <v>676.06</v>
      </c>
      <c r="HV19" s="16">
        <f t="shared" si="56"/>
        <v>20284.92500000009</v>
      </c>
      <c r="HW19" s="16">
        <v>718.08</v>
      </c>
      <c r="HX19" s="16">
        <v>329.38</v>
      </c>
      <c r="HY19" s="16">
        <f t="shared" si="57"/>
        <v>24884.924999999999</v>
      </c>
      <c r="HZ19" s="16">
        <v>2451.6999999999998</v>
      </c>
      <c r="IA19" s="16">
        <v>3761.7</v>
      </c>
      <c r="IB19" s="16">
        <f t="shared" si="58"/>
        <v>260.29999999999973</v>
      </c>
      <c r="IC19" s="16"/>
      <c r="ID19" s="16"/>
      <c r="IE19" s="16">
        <f t="shared" si="59"/>
        <v>0</v>
      </c>
      <c r="IF19" s="16"/>
      <c r="IG19" s="16"/>
      <c r="IH19" s="128">
        <f t="shared" si="1"/>
        <v>19700</v>
      </c>
      <c r="II19" s="211">
        <f t="shared" si="60"/>
        <v>1.5966179489623755E-9</v>
      </c>
      <c r="IJ19" s="16"/>
      <c r="IK19" s="16"/>
      <c r="IL19" s="16">
        <f t="shared" ref="IL19:IL38" si="101">IF((IJ19-IJ18)&lt;=0,0,(IJ19-IJ18))</f>
        <v>0</v>
      </c>
      <c r="IM19" s="16"/>
      <c r="IN19" s="16"/>
      <c r="IO19" s="16">
        <f t="shared" ref="IO19:IO38" si="102">IF((IM19-IM18)&lt;=0,0,(IM19-IM18)*1000)</f>
        <v>0</v>
      </c>
      <c r="IP19" s="16"/>
      <c r="IQ19" s="16"/>
      <c r="IR19" s="16">
        <f t="shared" ref="IR19:IR38" si="103">IF((IP19-IP18)&lt;=0,0,(IP19-IP18))</f>
        <v>0</v>
      </c>
      <c r="IS19" s="16"/>
      <c r="IT19" s="16"/>
      <c r="IU19" s="16">
        <f t="shared" ref="IU19:IU38" si="104">IF((IS19-IS18)&lt;=0,0,(IS19-IS18))</f>
        <v>0</v>
      </c>
      <c r="IV19" s="16"/>
      <c r="IW19" s="16"/>
      <c r="IX19" s="16">
        <f t="shared" ref="IX19:IX38" si="105">IF((IV19-IV18)&lt;=0,0,(IV19-IV18))</f>
        <v>0</v>
      </c>
      <c r="IY19" s="16"/>
      <c r="IZ19" s="16"/>
      <c r="JA19" s="16">
        <f t="shared" ref="JA19:JA38" si="106">IF((IY19-IY18)&lt;=0,0,(IY19-IY18))</f>
        <v>0</v>
      </c>
      <c r="JB19" s="16"/>
      <c r="JC19" s="16"/>
      <c r="JD19" s="16">
        <f t="shared" ref="JD19:JD38" si="107">IF((JB19-JB18)&lt;=0,0,(JB19-JB18))</f>
        <v>0</v>
      </c>
      <c r="JE19" s="16"/>
      <c r="JF19" s="16"/>
      <c r="JG19" s="16">
        <f t="shared" ref="JG19:JG38" si="108">IF((JE19-JE18)&lt;=0,0,(JE19-JE18))</f>
        <v>0</v>
      </c>
      <c r="JH19" s="16"/>
      <c r="JI19" s="16"/>
      <c r="JJ19" s="16">
        <f t="shared" ref="JJ19:JJ38" si="109">IF((JH19-JH18)&lt;=0,0,(JH19-JH18))</f>
        <v>0</v>
      </c>
      <c r="JK19" s="16"/>
      <c r="JL19" s="16"/>
      <c r="JM19" s="16">
        <f t="shared" ref="JM19:JM38" si="110">IF((JK19-JK18)&lt;=0,0,(JK19-JK18))</f>
        <v>0</v>
      </c>
      <c r="JN19" s="16"/>
      <c r="JO19" s="16"/>
      <c r="JP19" s="16">
        <f t="shared" ref="JP19:JP38" si="111">IF((JN19-JN18)&lt;=0,0,(JN19-JN18))</f>
        <v>0</v>
      </c>
      <c r="JQ19" s="16"/>
      <c r="JR19" s="16"/>
      <c r="JS19" s="16">
        <f t="shared" ref="JS19:JS38" si="112">IF((JQ19-JQ18)&lt;=0,0,(JQ19-JQ18))</f>
        <v>0</v>
      </c>
      <c r="JT19" s="16"/>
      <c r="JU19" s="16"/>
      <c r="JV19" s="16">
        <f t="shared" ref="JV19:JV38" si="113">IF((JT19-JT18)&lt;=0,0,(JT19-JT18))</f>
        <v>0</v>
      </c>
      <c r="JW19" s="16"/>
      <c r="JX19" s="16"/>
      <c r="JY19" s="16">
        <f t="shared" ref="JY19:JY38" si="114">IF((JW19-JW18)&lt;=0,0,(JW19-JW18))</f>
        <v>0</v>
      </c>
      <c r="JZ19" s="16"/>
      <c r="KA19" s="16"/>
      <c r="KB19" s="16">
        <f t="shared" ref="KB19:KB38" si="115">IF((JZ19-JZ18)&lt;=0,0,(JZ19-JZ18))</f>
        <v>0</v>
      </c>
      <c r="KC19" s="16"/>
      <c r="KD19" s="16"/>
      <c r="KE19" s="16">
        <f t="shared" ref="KE19:KE38" si="116">IF((KC19-KC18)&lt;=0,0,(KC19-KC18))</f>
        <v>0</v>
      </c>
      <c r="KG19" s="151">
        <f t="shared" si="61"/>
        <v>27745.225000001505</v>
      </c>
    </row>
    <row r="20" spans="1:293" x14ac:dyDescent="0.25">
      <c r="A20" s="35">
        <f t="shared" si="2"/>
        <v>14</v>
      </c>
      <c r="B20" s="38">
        <v>4261.75</v>
      </c>
      <c r="C20" s="38">
        <f t="shared" si="3"/>
        <v>11.420000000000073</v>
      </c>
      <c r="D20" s="38">
        <f t="shared" si="4"/>
        <v>365440.00000000233</v>
      </c>
      <c r="E20" s="38">
        <v>857.4</v>
      </c>
      <c r="F20" s="38">
        <f t="shared" si="5"/>
        <v>76799.999999999272</v>
      </c>
      <c r="G20" s="38">
        <f t="shared" si="6"/>
        <v>442240.00000000163</v>
      </c>
      <c r="H20" s="37"/>
      <c r="I20" s="39"/>
      <c r="J20" s="42"/>
      <c r="K20" s="37">
        <f t="shared" si="81"/>
        <v>0</v>
      </c>
      <c r="L20" s="40">
        <v>13025400</v>
      </c>
      <c r="M20" s="40"/>
      <c r="N20" s="37">
        <f t="shared" si="82"/>
        <v>446000</v>
      </c>
      <c r="O20" s="37">
        <v>10847</v>
      </c>
      <c r="P20" s="37"/>
      <c r="Q20" s="37">
        <f t="shared" si="7"/>
        <v>2000</v>
      </c>
      <c r="R20" s="37">
        <f t="shared" si="83"/>
        <v>1</v>
      </c>
      <c r="S20" s="37">
        <v>11231877.6</v>
      </c>
      <c r="T20" s="37">
        <f t="shared" si="8"/>
        <v>0</v>
      </c>
      <c r="U20" s="37">
        <v>1518173.85</v>
      </c>
      <c r="V20" s="37">
        <f t="shared" si="9"/>
        <v>0</v>
      </c>
      <c r="W20" s="37">
        <v>3879</v>
      </c>
      <c r="X20" s="37">
        <f t="shared" si="96"/>
        <v>1600</v>
      </c>
      <c r="Y20" s="183"/>
      <c r="Z20" s="183"/>
      <c r="AA20" s="37">
        <v>786600</v>
      </c>
      <c r="AB20" s="37">
        <f t="shared" si="10"/>
        <v>400</v>
      </c>
      <c r="AC20" s="37">
        <v>4056.2</v>
      </c>
      <c r="AD20" s="37"/>
      <c r="AE20" s="37">
        <f t="shared" si="11"/>
        <v>599.99999999990905</v>
      </c>
      <c r="AF20" s="37">
        <f t="shared" si="84"/>
        <v>1</v>
      </c>
      <c r="AG20" s="37">
        <v>8838.4</v>
      </c>
      <c r="AH20" s="67"/>
      <c r="AI20" s="37">
        <f t="shared" si="12"/>
        <v>1216.9599999989086</v>
      </c>
      <c r="AJ20" s="37">
        <f t="shared" si="13"/>
        <v>1</v>
      </c>
      <c r="AK20" s="37">
        <f t="shared" si="14"/>
        <v>3416.9599999988177</v>
      </c>
      <c r="AL20" s="48">
        <v>10741.9</v>
      </c>
      <c r="AM20" s="66"/>
      <c r="AN20" s="37">
        <f t="shared" si="62"/>
        <v>1316.9600000004457</v>
      </c>
      <c r="AO20" s="37">
        <f t="shared" si="85"/>
        <v>1</v>
      </c>
      <c r="AP20" s="37">
        <v>8283.7000000000007</v>
      </c>
      <c r="AQ20" s="37"/>
      <c r="AR20" s="37">
        <f t="shared" si="15"/>
        <v>1000</v>
      </c>
      <c r="AS20" s="37">
        <f t="shared" si="86"/>
        <v>1</v>
      </c>
      <c r="AT20" s="183"/>
      <c r="AU20" s="183"/>
      <c r="AV20" s="183"/>
      <c r="AW20" s="183"/>
      <c r="AX20" s="37">
        <v>479690</v>
      </c>
      <c r="AY20" s="37"/>
      <c r="AZ20" s="37">
        <f t="shared" si="16"/>
        <v>140</v>
      </c>
      <c r="BA20" s="37">
        <v>140650</v>
      </c>
      <c r="BB20" s="37"/>
      <c r="BC20" s="37">
        <f t="shared" si="17"/>
        <v>180</v>
      </c>
      <c r="BD20" s="37">
        <f t="shared" si="87"/>
        <v>2636.9600000004457</v>
      </c>
      <c r="BE20" s="43">
        <v>1890</v>
      </c>
      <c r="BF20" s="43">
        <v>1039.3</v>
      </c>
      <c r="BG20" s="37">
        <f t="shared" si="18"/>
        <v>2299.9999999999545</v>
      </c>
      <c r="BH20" s="44">
        <v>8821.2999999999993</v>
      </c>
      <c r="BI20" s="44">
        <v>5671.9</v>
      </c>
      <c r="BJ20" s="37">
        <f t="shared" si="19"/>
        <v>9599.9999999985448</v>
      </c>
      <c r="BK20" s="40">
        <v>1520810</v>
      </c>
      <c r="BL20" s="40">
        <f t="shared" si="88"/>
        <v>3460</v>
      </c>
      <c r="BM20" s="40">
        <v>864.5</v>
      </c>
      <c r="BN20" s="37">
        <f t="shared" si="20"/>
        <v>639.99999999998636</v>
      </c>
      <c r="BO20" s="186"/>
      <c r="BP20" s="183">
        <f t="shared" si="21"/>
        <v>0</v>
      </c>
      <c r="BQ20" s="40">
        <v>817.3</v>
      </c>
      <c r="BR20" s="37">
        <f t="shared" si="63"/>
        <v>699.99999999993179</v>
      </c>
      <c r="BS20" s="37">
        <v>96214.75</v>
      </c>
      <c r="BT20" s="37">
        <f t="shared" si="22"/>
        <v>185.91000000000349</v>
      </c>
      <c r="BU20" s="42">
        <v>2648986</v>
      </c>
      <c r="BV20" s="42"/>
      <c r="BW20" s="37">
        <f t="shared" si="23"/>
        <v>4240</v>
      </c>
      <c r="BX20" s="37">
        <f t="shared" si="89"/>
        <v>1</v>
      </c>
      <c r="BY20" s="43">
        <v>338.64600000000002</v>
      </c>
      <c r="BZ20" s="43"/>
      <c r="CA20" s="37">
        <f>IF((BY20-BY19)&lt;=0,0,(BY20-BY19)*1000)</f>
        <v>588.99999999999864</v>
      </c>
      <c r="CB20" s="37">
        <f t="shared" si="64"/>
        <v>1</v>
      </c>
      <c r="CC20" s="37">
        <v>621266.4</v>
      </c>
      <c r="CD20" s="37">
        <f t="shared" si="25"/>
        <v>0</v>
      </c>
      <c r="CE20" s="41">
        <v>1128901</v>
      </c>
      <c r="CF20" s="37">
        <f t="shared" si="26"/>
        <v>4536</v>
      </c>
      <c r="CG20" s="37">
        <v>72810.600000000006</v>
      </c>
      <c r="CH20" s="37">
        <f t="shared" si="65"/>
        <v>0</v>
      </c>
      <c r="CI20" s="40">
        <v>12619.61</v>
      </c>
      <c r="CJ20" s="40"/>
      <c r="CK20" s="37">
        <f t="shared" si="66"/>
        <v>15077.960000001456</v>
      </c>
      <c r="CL20" s="37">
        <f t="shared" si="27"/>
        <v>1</v>
      </c>
      <c r="CM20" s="37">
        <v>3490.73</v>
      </c>
      <c r="CN20" s="37"/>
      <c r="CO20" s="37">
        <f t="shared" si="28"/>
        <v>5444.9599999998836</v>
      </c>
      <c r="CP20" s="37">
        <f t="shared" si="90"/>
        <v>1</v>
      </c>
      <c r="CQ20" s="39">
        <v>93412.800000000003</v>
      </c>
      <c r="CR20" s="39"/>
      <c r="CS20" s="37">
        <f t="shared" si="67"/>
        <v>5779.5600000000059</v>
      </c>
      <c r="CT20" s="37">
        <f t="shared" si="68"/>
        <v>1</v>
      </c>
      <c r="CU20" s="37">
        <v>3245107</v>
      </c>
      <c r="CV20" s="37"/>
      <c r="CW20" s="38">
        <f t="shared" si="29"/>
        <v>19855</v>
      </c>
      <c r="CX20" s="37">
        <f t="shared" si="91"/>
        <v>1</v>
      </c>
      <c r="CY20" s="37">
        <v>1699671</v>
      </c>
      <c r="CZ20" s="37"/>
      <c r="DA20" s="37">
        <f t="shared" si="30"/>
        <v>11214</v>
      </c>
      <c r="DB20" s="37">
        <f t="shared" si="92"/>
        <v>1</v>
      </c>
      <c r="DC20" s="37"/>
      <c r="DD20" s="40"/>
      <c r="DE20" s="37">
        <f t="shared" si="31"/>
        <v>0</v>
      </c>
      <c r="DF20" s="37">
        <f t="shared" si="97"/>
        <v>0</v>
      </c>
      <c r="DG20" s="37">
        <f t="shared" si="32"/>
        <v>-61611.480000001342</v>
      </c>
      <c r="DH20" s="37">
        <f t="shared" si="33"/>
        <v>451716.9599999988</v>
      </c>
      <c r="DI20" s="46"/>
      <c r="DJ20" s="46"/>
      <c r="DK20" s="47"/>
      <c r="DL20" s="47"/>
      <c r="DM20" s="37"/>
      <c r="DN20" s="37"/>
      <c r="DO20" s="37"/>
      <c r="DP20" s="37"/>
      <c r="DQ20" s="50">
        <v>3355400</v>
      </c>
      <c r="DR20" s="49">
        <f t="shared" si="69"/>
        <v>9200</v>
      </c>
      <c r="DS20" s="50">
        <v>3600000</v>
      </c>
      <c r="DT20" s="49">
        <f t="shared" si="70"/>
        <v>20500</v>
      </c>
      <c r="DU20" s="52">
        <v>7949.9</v>
      </c>
      <c r="DV20" s="52">
        <v>4454.6000000000004</v>
      </c>
      <c r="DW20" s="37">
        <f t="shared" si="93"/>
        <v>4199.9999999998181</v>
      </c>
      <c r="DX20" s="52">
        <v>13112</v>
      </c>
      <c r="DY20" s="52">
        <v>8407.2999999999993</v>
      </c>
      <c r="DZ20" s="37">
        <f t="shared" si="34"/>
        <v>8016.96</v>
      </c>
      <c r="EA20" s="49">
        <v>29944</v>
      </c>
      <c r="EB20" s="49">
        <v>20.855</v>
      </c>
      <c r="EC20" s="37">
        <f t="shared" si="35"/>
        <v>26176.959999999999</v>
      </c>
      <c r="ED20" s="53">
        <f t="shared" si="36"/>
        <v>38393.919999999816</v>
      </c>
      <c r="EE20" s="49">
        <v>45267</v>
      </c>
      <c r="EF20" s="49">
        <v>29.282</v>
      </c>
      <c r="EG20" s="37">
        <f t="shared" si="37"/>
        <v>29176.959999999999</v>
      </c>
      <c r="EH20" s="68">
        <v>12978</v>
      </c>
      <c r="EI20" s="52">
        <v>1.7630999999999999</v>
      </c>
      <c r="EJ20" s="37">
        <f t="shared" si="38"/>
        <v>11016.96</v>
      </c>
      <c r="EK20" s="37">
        <v>788.74</v>
      </c>
      <c r="EL20" s="40">
        <v>1130</v>
      </c>
      <c r="EM20" s="37">
        <f t="shared" si="71"/>
        <v>820.00000000005002</v>
      </c>
      <c r="EN20" s="54">
        <f t="shared" si="72"/>
        <v>41013.920000000049</v>
      </c>
      <c r="EO20" s="48">
        <v>12937</v>
      </c>
      <c r="EP20" s="48">
        <v>4520.8999999999996</v>
      </c>
      <c r="EQ20" s="37">
        <f t="shared" si="73"/>
        <v>6026.9599999999909</v>
      </c>
      <c r="ER20" s="48">
        <v>9259.2000000000007</v>
      </c>
      <c r="ES20" s="48">
        <v>3799.3</v>
      </c>
      <c r="ET20" s="49">
        <f t="shared" si="99"/>
        <v>17900.000000001455</v>
      </c>
      <c r="EU20" s="48">
        <v>3533.7</v>
      </c>
      <c r="EV20" s="48">
        <v>1256.9000000000001</v>
      </c>
      <c r="EW20" s="49">
        <f t="shared" si="40"/>
        <v>7616.9599999999091</v>
      </c>
      <c r="EX20" s="48">
        <v>13423</v>
      </c>
      <c r="EY20" s="48">
        <v>1.5462</v>
      </c>
      <c r="EZ20" s="37">
        <f t="shared" si="41"/>
        <v>14016.96</v>
      </c>
      <c r="FA20" s="48">
        <f t="shared" si="74"/>
        <v>-22249.880000001354</v>
      </c>
      <c r="FB20" s="48">
        <v>36348995</v>
      </c>
      <c r="FC20" s="49">
        <f t="shared" si="94"/>
        <v>23311</v>
      </c>
      <c r="FD20" s="48">
        <f t="shared" si="75"/>
        <v>47260.880000001402</v>
      </c>
      <c r="FE20" s="48">
        <v>16990</v>
      </c>
      <c r="FF20" s="48">
        <v>6080.4</v>
      </c>
      <c r="FG20" s="37">
        <f t="shared" si="76"/>
        <v>10776.960000000008</v>
      </c>
      <c r="FH20" s="48">
        <v>8637.7999999999993</v>
      </c>
      <c r="FI20" s="48">
        <v>3.3363999999999998</v>
      </c>
      <c r="FJ20" s="49">
        <f t="shared" si="42"/>
        <v>16486.959999998908</v>
      </c>
      <c r="FK20" s="48"/>
      <c r="FL20" s="58">
        <v>-230</v>
      </c>
      <c r="FM20" s="48">
        <f t="shared" si="95"/>
        <v>-16.959999999637756</v>
      </c>
      <c r="FN20" s="48">
        <v>16491</v>
      </c>
      <c r="FO20" s="48">
        <v>0.81359999999999999</v>
      </c>
      <c r="FP20" s="37">
        <f t="shared" si="77"/>
        <v>12786.96</v>
      </c>
      <c r="FQ20" s="48">
        <v>58504</v>
      </c>
      <c r="FR20" s="48">
        <v>14.146000000000001</v>
      </c>
      <c r="FS20" s="37">
        <f t="shared" si="43"/>
        <v>40000</v>
      </c>
      <c r="FT20" s="48">
        <f t="shared" si="78"/>
        <v>-50.879999998913263</v>
      </c>
      <c r="FU20" s="48">
        <f t="shared" si="79"/>
        <v>40750.879999998957</v>
      </c>
      <c r="FV20" s="44">
        <v>4230100</v>
      </c>
      <c r="FW20" s="44">
        <v>1352900</v>
      </c>
      <c r="FX20" s="37">
        <f t="shared" si="44"/>
        <v>15400</v>
      </c>
      <c r="FY20" s="56">
        <v>3317.6</v>
      </c>
      <c r="FZ20" s="63">
        <v>2.0488</v>
      </c>
      <c r="GA20" s="37">
        <f t="shared" si="45"/>
        <v>4670</v>
      </c>
      <c r="GB20" s="56">
        <v>808.17</v>
      </c>
      <c r="GC20" s="56">
        <v>904.96</v>
      </c>
      <c r="GD20" s="37">
        <f t="shared" si="46"/>
        <v>610.00000000001364</v>
      </c>
      <c r="GE20" s="56">
        <v>10003</v>
      </c>
      <c r="GF20" s="56">
        <v>3.3456999999999999</v>
      </c>
      <c r="GG20" s="37">
        <f t="shared" si="47"/>
        <v>7599.9999999999091</v>
      </c>
      <c r="GH20" s="153">
        <v>1945.8</v>
      </c>
      <c r="GI20" s="162">
        <v>1660.5</v>
      </c>
      <c r="GJ20" s="38">
        <f t="shared" si="48"/>
        <v>1700.0000000000455</v>
      </c>
      <c r="GK20" s="162">
        <v>1475</v>
      </c>
      <c r="GL20" s="163">
        <v>1122.4000000000001</v>
      </c>
      <c r="GM20" s="38">
        <f t="shared" si="49"/>
        <v>700.00000000004547</v>
      </c>
      <c r="GN20" s="57">
        <v>204660</v>
      </c>
      <c r="GO20" s="57">
        <v>180960</v>
      </c>
      <c r="GP20" s="38">
        <f t="shared" si="98"/>
        <v>2850</v>
      </c>
      <c r="GQ20" s="38">
        <v>267220</v>
      </c>
      <c r="GR20" s="38">
        <v>263890</v>
      </c>
      <c r="GS20" s="38">
        <f t="shared" si="80"/>
        <v>830</v>
      </c>
      <c r="GT20" s="178"/>
      <c r="GU20" s="144">
        <f>DailyMei!B19-DailyMei!N19-DailyMei!V19-DailyMei!Y19-DailyMei!Z19-DailyMei!AA19-DailyMei!AB19-DailyMei!AC19-DailyMei!AD19-DailyMei!AE19-DailyMei!AK19-DailyMei!AO19-DailyMei!AS19-DailyMei!AY19-DailyMei!BD19+DailyMei!BU19-DailyMei!BG19-DailyMei!BT19-DailyMei!AF19-DailyMei!AG19</f>
        <v>2.5320332497358322E-9</v>
      </c>
      <c r="GV20" s="59">
        <v>254.4</v>
      </c>
      <c r="GW20" s="60">
        <f t="shared" si="50"/>
        <v>16.96</v>
      </c>
      <c r="GX20" s="61">
        <v>16.96</v>
      </c>
      <c r="GY20" s="140"/>
      <c r="GZ20" s="62"/>
      <c r="HA20" s="62"/>
      <c r="HB20" s="74"/>
      <c r="HC20" s="62"/>
      <c r="HD20" s="74"/>
      <c r="HE20" s="24">
        <f t="shared" si="51"/>
        <v>0</v>
      </c>
      <c r="HF20" s="151"/>
      <c r="HG20" s="213">
        <v>14</v>
      </c>
      <c r="HH20" s="128">
        <v>8929.2000000000007</v>
      </c>
      <c r="HI20" s="128">
        <v>3458.5</v>
      </c>
      <c r="HJ20" s="16">
        <f t="shared" si="52"/>
        <v>112000</v>
      </c>
      <c r="HK20" s="16">
        <v>1.9189000000000001</v>
      </c>
      <c r="HL20" s="16">
        <v>660.93</v>
      </c>
      <c r="HM20" s="16">
        <f t="shared" si="100"/>
        <v>0</v>
      </c>
      <c r="HN20" s="16">
        <v>2381.3000000000002</v>
      </c>
      <c r="HO20" s="16">
        <v>1046.0999999999999</v>
      </c>
      <c r="HP20" s="16">
        <f t="shared" si="54"/>
        <v>25546.250000000182</v>
      </c>
      <c r="HQ20" s="16">
        <v>2055.5</v>
      </c>
      <c r="HR20" s="16">
        <v>902.14</v>
      </c>
      <c r="HS20" s="16">
        <f t="shared" si="55"/>
        <v>24446.250000000044</v>
      </c>
      <c r="HT20" s="16">
        <v>1738.3</v>
      </c>
      <c r="HU20" s="16">
        <v>684.48</v>
      </c>
      <c r="HV20" s="16">
        <f t="shared" si="56"/>
        <v>21646.249999999862</v>
      </c>
      <c r="HW20" s="16">
        <v>737.91</v>
      </c>
      <c r="HX20" s="16">
        <v>337.78</v>
      </c>
      <c r="HY20" s="16">
        <f t="shared" si="57"/>
        <v>19576.249999999927</v>
      </c>
      <c r="HZ20" s="16">
        <v>2736.7</v>
      </c>
      <c r="IA20" s="16">
        <v>4502.2</v>
      </c>
      <c r="IB20" s="16">
        <f t="shared" si="58"/>
        <v>285</v>
      </c>
      <c r="IC20" s="16"/>
      <c r="ID20" s="16"/>
      <c r="IE20" s="16">
        <f t="shared" si="59"/>
        <v>0</v>
      </c>
      <c r="IF20" s="16"/>
      <c r="IG20" s="16"/>
      <c r="IH20" s="128">
        <f t="shared" si="1"/>
        <v>20500</v>
      </c>
      <c r="II20" s="211">
        <f t="shared" si="60"/>
        <v>-2.1827872842550278E-11</v>
      </c>
      <c r="IJ20" s="16"/>
      <c r="IK20" s="16"/>
      <c r="IL20" s="16">
        <f t="shared" si="101"/>
        <v>0</v>
      </c>
      <c r="IM20" s="16"/>
      <c r="IN20" s="16"/>
      <c r="IO20" s="16">
        <f t="shared" si="102"/>
        <v>0</v>
      </c>
      <c r="IP20" s="16"/>
      <c r="IQ20" s="16"/>
      <c r="IR20" s="16">
        <f t="shared" si="103"/>
        <v>0</v>
      </c>
      <c r="IS20" s="16"/>
      <c r="IT20" s="16"/>
      <c r="IU20" s="16">
        <f t="shared" si="104"/>
        <v>0</v>
      </c>
      <c r="IV20" s="16"/>
      <c r="IW20" s="16"/>
      <c r="IX20" s="16">
        <f t="shared" si="105"/>
        <v>0</v>
      </c>
      <c r="IY20" s="16"/>
      <c r="IZ20" s="16"/>
      <c r="JA20" s="16">
        <f t="shared" si="106"/>
        <v>0</v>
      </c>
      <c r="JB20" s="16"/>
      <c r="JC20" s="16"/>
      <c r="JD20" s="16">
        <f t="shared" si="107"/>
        <v>0</v>
      </c>
      <c r="JE20" s="16"/>
      <c r="JF20" s="16"/>
      <c r="JG20" s="16">
        <f t="shared" si="108"/>
        <v>0</v>
      </c>
      <c r="JH20" s="16"/>
      <c r="JI20" s="16"/>
      <c r="JJ20" s="16">
        <f t="shared" si="109"/>
        <v>0</v>
      </c>
      <c r="JK20" s="16"/>
      <c r="JL20" s="16"/>
      <c r="JM20" s="16">
        <f t="shared" si="110"/>
        <v>0</v>
      </c>
      <c r="JN20" s="16"/>
      <c r="JO20" s="16"/>
      <c r="JP20" s="16">
        <f t="shared" si="111"/>
        <v>0</v>
      </c>
      <c r="JQ20" s="16"/>
      <c r="JR20" s="16"/>
      <c r="JS20" s="16">
        <f t="shared" si="112"/>
        <v>0</v>
      </c>
      <c r="JT20" s="16"/>
      <c r="JU20" s="16"/>
      <c r="JV20" s="16">
        <f t="shared" si="113"/>
        <v>0</v>
      </c>
      <c r="JW20" s="16"/>
      <c r="JX20" s="16"/>
      <c r="JY20" s="16">
        <f t="shared" si="114"/>
        <v>0</v>
      </c>
      <c r="JZ20" s="16"/>
      <c r="KA20" s="16"/>
      <c r="KB20" s="16">
        <f t="shared" si="115"/>
        <v>0</v>
      </c>
      <c r="KC20" s="16"/>
      <c r="KD20" s="16"/>
      <c r="KE20" s="16">
        <f t="shared" si="116"/>
        <v>0</v>
      </c>
      <c r="KG20" s="151">
        <f t="shared" si="61"/>
        <v>25831.25000000016</v>
      </c>
    </row>
    <row r="21" spans="1:293" x14ac:dyDescent="0.25">
      <c r="A21" s="35">
        <f t="shared" si="2"/>
        <v>15</v>
      </c>
      <c r="B21" s="38">
        <v>4273.3</v>
      </c>
      <c r="C21" s="38">
        <f t="shared" si="3"/>
        <v>11.550000000000182</v>
      </c>
      <c r="D21" s="38">
        <f t="shared" si="4"/>
        <v>369600.00000000582</v>
      </c>
      <c r="E21" s="38">
        <v>859.81</v>
      </c>
      <c r="F21" s="38">
        <f t="shared" si="5"/>
        <v>77119.999999998981</v>
      </c>
      <c r="G21" s="38">
        <f t="shared" si="6"/>
        <v>446720.00000000477</v>
      </c>
      <c r="H21" s="37"/>
      <c r="I21" s="39"/>
      <c r="J21" s="42"/>
      <c r="K21" s="37">
        <f t="shared" si="81"/>
        <v>0</v>
      </c>
      <c r="L21" s="40">
        <v>13070000</v>
      </c>
      <c r="M21" s="40"/>
      <c r="N21" s="37">
        <f t="shared" si="82"/>
        <v>446000</v>
      </c>
      <c r="O21" s="37">
        <v>10852</v>
      </c>
      <c r="P21" s="37"/>
      <c r="Q21" s="37">
        <f t="shared" si="7"/>
        <v>5000</v>
      </c>
      <c r="R21" s="37">
        <f t="shared" si="83"/>
        <v>1</v>
      </c>
      <c r="S21" s="37">
        <v>11231940.800000001</v>
      </c>
      <c r="T21" s="37">
        <f t="shared" si="8"/>
        <v>63.200000001117587</v>
      </c>
      <c r="U21" s="37">
        <v>1518173.85</v>
      </c>
      <c r="V21" s="37">
        <f t="shared" si="9"/>
        <v>0</v>
      </c>
      <c r="W21" s="37">
        <v>3881.3</v>
      </c>
      <c r="X21" s="37">
        <f t="shared" si="96"/>
        <v>4936.7999999988824</v>
      </c>
      <c r="Y21" s="183"/>
      <c r="Z21" s="183"/>
      <c r="AA21" s="37">
        <v>786600</v>
      </c>
      <c r="AB21" s="37">
        <f t="shared" si="10"/>
        <v>0</v>
      </c>
      <c r="AC21" s="37">
        <v>4057.3</v>
      </c>
      <c r="AD21" s="37"/>
      <c r="AE21" s="37">
        <f t="shared" si="11"/>
        <v>1100.0000000003638</v>
      </c>
      <c r="AF21" s="37">
        <f t="shared" si="84"/>
        <v>1</v>
      </c>
      <c r="AG21" s="37">
        <v>8840.9</v>
      </c>
      <c r="AH21" s="67"/>
      <c r="AI21" s="37">
        <f t="shared" si="12"/>
        <v>1367.06</v>
      </c>
      <c r="AJ21" s="37">
        <f t="shared" si="13"/>
        <v>1</v>
      </c>
      <c r="AK21" s="37">
        <f t="shared" si="14"/>
        <v>7467.0600000003633</v>
      </c>
      <c r="AL21" s="42">
        <v>10748</v>
      </c>
      <c r="AM21" s="42"/>
      <c r="AN21" s="37">
        <f t="shared" si="62"/>
        <v>467.06000000030417</v>
      </c>
      <c r="AO21" s="37">
        <f t="shared" si="85"/>
        <v>1</v>
      </c>
      <c r="AP21" s="37">
        <v>8285</v>
      </c>
      <c r="AQ21" s="37"/>
      <c r="AR21" s="37">
        <f t="shared" si="15"/>
        <v>1299.9999999992724</v>
      </c>
      <c r="AS21" s="37">
        <f t="shared" si="86"/>
        <v>1</v>
      </c>
      <c r="AT21" s="183"/>
      <c r="AU21" s="183"/>
      <c r="AV21" s="183"/>
      <c r="AW21" s="183"/>
      <c r="AX21" s="37">
        <v>479731.44</v>
      </c>
      <c r="AY21" s="37"/>
      <c r="AZ21" s="37">
        <f t="shared" si="16"/>
        <v>41.440000000002328</v>
      </c>
      <c r="BA21" s="37">
        <v>140671.46</v>
      </c>
      <c r="BB21" s="37"/>
      <c r="BC21" s="37">
        <f t="shared" si="17"/>
        <v>21.459999999991851</v>
      </c>
      <c r="BD21" s="37">
        <f t="shared" si="87"/>
        <v>1829.9599999995708</v>
      </c>
      <c r="BE21" s="43">
        <v>1892.7</v>
      </c>
      <c r="BF21" s="43">
        <v>1040.8</v>
      </c>
      <c r="BG21" s="37">
        <f t="shared" si="18"/>
        <v>2700.0000000000455</v>
      </c>
      <c r="BH21" s="44">
        <v>8830.4</v>
      </c>
      <c r="BI21" s="44">
        <v>5677.8</v>
      </c>
      <c r="BJ21" s="37">
        <f t="shared" si="19"/>
        <v>9100.0000000003638</v>
      </c>
      <c r="BK21" s="40">
        <v>1524000</v>
      </c>
      <c r="BL21" s="40">
        <f t="shared" si="88"/>
        <v>3190</v>
      </c>
      <c r="BM21" s="40">
        <v>865.11</v>
      </c>
      <c r="BN21" s="37">
        <f t="shared" si="20"/>
        <v>610.00000000001364</v>
      </c>
      <c r="BO21" s="186"/>
      <c r="BP21" s="183">
        <f t="shared" si="21"/>
        <v>0</v>
      </c>
      <c r="BQ21" s="40">
        <v>818</v>
      </c>
      <c r="BR21" s="37">
        <f>IF((BQ21-BQ20)&lt;=0,0,(BQ21-BQ20))*1000</f>
        <v>700.00000000004547</v>
      </c>
      <c r="BS21" s="37">
        <v>96403.48</v>
      </c>
      <c r="BT21" s="37">
        <f t="shared" si="22"/>
        <v>188.72999999999593</v>
      </c>
      <c r="BU21" s="42">
        <v>2654500</v>
      </c>
      <c r="BV21" s="42"/>
      <c r="BW21" s="37">
        <f t="shared" si="23"/>
        <v>5514</v>
      </c>
      <c r="BX21" s="37">
        <f t="shared" si="89"/>
        <v>1</v>
      </c>
      <c r="BY21" s="43">
        <v>339.25</v>
      </c>
      <c r="BZ21" s="43"/>
      <c r="CA21" s="37">
        <f t="shared" ref="CA21:CA38" si="117">IF((BY21-BY20)&lt;=0,0,(BY21-BY20)*1000)</f>
        <v>603.99999999998499</v>
      </c>
      <c r="CB21" s="37">
        <f t="shared" si="64"/>
        <v>1</v>
      </c>
      <c r="CC21" s="37">
        <v>621270</v>
      </c>
      <c r="CD21" s="37">
        <f t="shared" si="25"/>
        <v>3.5999999999767169</v>
      </c>
      <c r="CE21" s="41">
        <v>1134500</v>
      </c>
      <c r="CF21" s="37">
        <f t="shared" si="26"/>
        <v>5599</v>
      </c>
      <c r="CG21" s="37">
        <v>72811</v>
      </c>
      <c r="CH21" s="37">
        <f t="shared" si="65"/>
        <v>0.39999999999417923</v>
      </c>
      <c r="CI21" s="40">
        <v>12635</v>
      </c>
      <c r="CJ21" s="40"/>
      <c r="CK21" s="37">
        <f t="shared" si="66"/>
        <v>13653.059999999432</v>
      </c>
      <c r="CL21" s="37">
        <f t="shared" si="27"/>
        <v>1</v>
      </c>
      <c r="CM21" s="37">
        <v>3495.9</v>
      </c>
      <c r="CN21" s="37"/>
      <c r="CO21" s="37">
        <f t="shared" si="28"/>
        <v>4037.0600000000727</v>
      </c>
      <c r="CP21" s="37">
        <f t="shared" si="90"/>
        <v>1</v>
      </c>
      <c r="CQ21" s="39">
        <v>98852</v>
      </c>
      <c r="CR21" s="39"/>
      <c r="CS21" s="37">
        <f t="shared" si="67"/>
        <v>4306.2599999999966</v>
      </c>
      <c r="CT21" s="37">
        <f t="shared" si="68"/>
        <v>1</v>
      </c>
      <c r="CU21" s="37">
        <v>3264400</v>
      </c>
      <c r="CV21" s="37"/>
      <c r="CW21" s="38">
        <f t="shared" si="29"/>
        <v>19293</v>
      </c>
      <c r="CX21" s="37">
        <f t="shared" si="91"/>
        <v>1</v>
      </c>
      <c r="CY21" s="37">
        <v>1710500</v>
      </c>
      <c r="CZ21" s="37"/>
      <c r="DA21" s="37">
        <f t="shared" si="30"/>
        <v>10829</v>
      </c>
      <c r="DB21" s="37">
        <f t="shared" si="92"/>
        <v>1</v>
      </c>
      <c r="DC21" s="37"/>
      <c r="DD21" s="40"/>
      <c r="DE21" s="37">
        <f t="shared" si="31"/>
        <v>0</v>
      </c>
      <c r="DF21" s="37">
        <f t="shared" si="97"/>
        <v>0</v>
      </c>
      <c r="DG21" s="37">
        <f t="shared" si="32"/>
        <v>-57632.379999999495</v>
      </c>
      <c r="DH21" s="37">
        <f t="shared" si="33"/>
        <v>456167.06000000041</v>
      </c>
      <c r="DI21" s="46"/>
      <c r="DJ21" s="46"/>
      <c r="DK21" s="47"/>
      <c r="DL21" s="47"/>
      <c r="DM21" s="37"/>
      <c r="DN21" s="37"/>
      <c r="DO21" s="37"/>
      <c r="DP21" s="37"/>
      <c r="DQ21" s="50">
        <v>3364700</v>
      </c>
      <c r="DR21" s="49">
        <f t="shared" si="69"/>
        <v>9300</v>
      </c>
      <c r="DS21" s="50">
        <v>3619400</v>
      </c>
      <c r="DT21" s="49">
        <f t="shared" si="70"/>
        <v>19400</v>
      </c>
      <c r="DU21" s="52">
        <v>7952</v>
      </c>
      <c r="DV21" s="52">
        <v>4455.6000000000004</v>
      </c>
      <c r="DW21" s="37">
        <f t="shared" si="93"/>
        <v>2100.0000000003638</v>
      </c>
      <c r="DX21" s="52">
        <v>13115</v>
      </c>
      <c r="DY21" s="52">
        <v>8408.9</v>
      </c>
      <c r="DZ21" s="37">
        <f t="shared" si="34"/>
        <v>1867.06</v>
      </c>
      <c r="EA21" s="49">
        <v>29955</v>
      </c>
      <c r="EB21" s="49">
        <v>20.861000000000001</v>
      </c>
      <c r="EC21" s="37">
        <f t="shared" si="35"/>
        <v>12027.06</v>
      </c>
      <c r="ED21" s="53">
        <f t="shared" si="36"/>
        <v>15994.120000000363</v>
      </c>
      <c r="EE21" s="49">
        <v>45296</v>
      </c>
      <c r="EF21" s="49">
        <v>29.311</v>
      </c>
      <c r="EG21" s="37">
        <f t="shared" si="37"/>
        <v>30027.06</v>
      </c>
      <c r="EH21" s="52">
        <v>12989</v>
      </c>
      <c r="EI21" s="52">
        <v>1.7650999999999999</v>
      </c>
      <c r="EJ21" s="37">
        <f t="shared" si="38"/>
        <v>9867.06</v>
      </c>
      <c r="EK21" s="37">
        <v>789.67</v>
      </c>
      <c r="EL21" s="40">
        <v>1131.4000000000001</v>
      </c>
      <c r="EM21" s="37">
        <f t="shared" si="71"/>
        <v>929.99999999994998</v>
      </c>
      <c r="EN21" s="54">
        <f t="shared" si="72"/>
        <v>40824.119999999952</v>
      </c>
      <c r="EO21" s="48">
        <v>12946</v>
      </c>
      <c r="EP21" s="48">
        <v>4524</v>
      </c>
      <c r="EQ21" s="37">
        <f t="shared" si="73"/>
        <v>6737.060000000004</v>
      </c>
      <c r="ER21" s="48">
        <v>9277.7000000000007</v>
      </c>
      <c r="ES21" s="48">
        <v>3807.1</v>
      </c>
      <c r="ET21" s="49">
        <f t="shared" si="99"/>
        <v>18500</v>
      </c>
      <c r="EU21" s="48">
        <v>3542.4</v>
      </c>
      <c r="EV21" s="48">
        <v>1259.9000000000001</v>
      </c>
      <c r="EW21" s="49">
        <f t="shared" si="40"/>
        <v>7567.0600000002723</v>
      </c>
      <c r="EX21" s="48">
        <v>13435</v>
      </c>
      <c r="EY21" s="48">
        <v>1.5487</v>
      </c>
      <c r="EZ21" s="37">
        <f t="shared" si="41"/>
        <v>10867.06</v>
      </c>
      <c r="FA21" s="48">
        <f t="shared" si="74"/>
        <v>-18731.180000000277</v>
      </c>
      <c r="FB21" s="48">
        <v>36373935</v>
      </c>
      <c r="FC21" s="49">
        <f t="shared" si="94"/>
        <v>24940</v>
      </c>
      <c r="FD21" s="48">
        <f t="shared" si="75"/>
        <v>45671.180000000277</v>
      </c>
      <c r="FE21" s="48">
        <v>17001</v>
      </c>
      <c r="FF21" s="48">
        <v>6083.8</v>
      </c>
      <c r="FG21" s="37">
        <f t="shared" si="76"/>
        <v>10753.729999999996</v>
      </c>
      <c r="FH21" s="48">
        <v>8658.4</v>
      </c>
      <c r="FI21" s="48">
        <v>3.3441999999999998</v>
      </c>
      <c r="FJ21" s="49">
        <f t="shared" si="42"/>
        <v>19223.730000000363</v>
      </c>
      <c r="FK21" s="48"/>
      <c r="FL21" s="58">
        <v>-243.33</v>
      </c>
      <c r="FM21" s="48">
        <f t="shared" si="95"/>
        <v>1132.9366666665471</v>
      </c>
      <c r="FN21" s="48">
        <v>16505</v>
      </c>
      <c r="FO21" s="48">
        <v>0.81530000000000002</v>
      </c>
      <c r="FP21" s="37">
        <f t="shared" si="77"/>
        <v>12623.73</v>
      </c>
      <c r="FQ21" s="48">
        <v>58550</v>
      </c>
      <c r="FR21" s="48">
        <v>14.159000000000001</v>
      </c>
      <c r="FS21" s="37">
        <f t="shared" si="43"/>
        <v>46000</v>
      </c>
      <c r="FT21" s="48">
        <f t="shared" si="78"/>
        <v>3398.8099999996411</v>
      </c>
      <c r="FU21" s="48">
        <f>FG21+FJ21+FP21+GM21</f>
        <v>43301.190000000403</v>
      </c>
      <c r="FV21" s="44">
        <v>4248500</v>
      </c>
      <c r="FW21" s="44">
        <v>1358600</v>
      </c>
      <c r="FX21" s="37">
        <f t="shared" si="44"/>
        <v>18400</v>
      </c>
      <c r="FY21" s="56">
        <v>3323.9</v>
      </c>
      <c r="FZ21" s="56">
        <v>2.0541999999999998</v>
      </c>
      <c r="GA21" s="37">
        <f t="shared" si="45"/>
        <v>5480.0000000001819</v>
      </c>
      <c r="GB21" s="56">
        <v>808.84</v>
      </c>
      <c r="GC21" s="56">
        <v>905.7</v>
      </c>
      <c r="GD21" s="37">
        <f t="shared" si="46"/>
        <v>670.00000000007276</v>
      </c>
      <c r="GE21" s="56">
        <v>10015</v>
      </c>
      <c r="GF21" s="56">
        <v>3.3542999999999998</v>
      </c>
      <c r="GG21" s="37">
        <f t="shared" si="47"/>
        <v>9299.9999999999545</v>
      </c>
      <c r="GH21" s="153">
        <v>1947.8</v>
      </c>
      <c r="GI21" s="162">
        <v>1662.3</v>
      </c>
      <c r="GJ21" s="38">
        <f t="shared" si="48"/>
        <v>2000</v>
      </c>
      <c r="GK21" s="162">
        <v>1475.7</v>
      </c>
      <c r="GL21" s="163">
        <v>1122.5999999999999</v>
      </c>
      <c r="GM21" s="38">
        <f t="shared" si="49"/>
        <v>700.00000000004547</v>
      </c>
      <c r="GN21" s="57">
        <v>207820</v>
      </c>
      <c r="GO21" s="57">
        <v>184040</v>
      </c>
      <c r="GP21" s="38">
        <f t="shared" si="98"/>
        <v>3160</v>
      </c>
      <c r="GQ21" s="38">
        <v>268040</v>
      </c>
      <c r="GR21" s="38">
        <v>264870</v>
      </c>
      <c r="GS21" s="38">
        <f t="shared" si="80"/>
        <v>820</v>
      </c>
      <c r="GT21" s="178"/>
      <c r="GU21" s="144">
        <f>DailyMei!B20-DailyMei!N20-DailyMei!V20-DailyMei!Y20-DailyMei!Z20-DailyMei!AA20-DailyMei!AB20-DailyMei!AC20-DailyMei!AD20-DailyMei!AE20-DailyMei!AK20-DailyMei!AO20-DailyMei!AS20-DailyMei!AY20-DailyMei!BD20+DailyMei!BU20-DailyMei!BG20-DailyMei!BT20-DailyMei!AF20-DailyMei!AG20</f>
        <v>-9.9999951489735395E-3</v>
      </c>
      <c r="GV21" s="59">
        <v>-16994.11</v>
      </c>
      <c r="GW21" s="60">
        <f t="shared" si="50"/>
        <v>-1132.9406666666666</v>
      </c>
      <c r="GX21" s="61">
        <v>-1132.94</v>
      </c>
      <c r="GY21" s="140"/>
      <c r="GZ21" s="62"/>
      <c r="HA21" s="62"/>
      <c r="HB21" s="74"/>
      <c r="HC21" s="62"/>
      <c r="HD21" s="74"/>
      <c r="HE21" s="24">
        <f t="shared" si="51"/>
        <v>0</v>
      </c>
      <c r="HF21" s="151"/>
      <c r="HG21" s="213">
        <v>15</v>
      </c>
      <c r="HH21" s="128">
        <v>9062.4</v>
      </c>
      <c r="HI21" s="16">
        <v>3507</v>
      </c>
      <c r="HJ21" s="16">
        <f t="shared" si="52"/>
        <v>133199.99999999889</v>
      </c>
      <c r="HK21" s="16">
        <v>1.9189000000000001</v>
      </c>
      <c r="HL21" s="16">
        <v>660.93</v>
      </c>
      <c r="HM21" s="16">
        <f t="shared" si="100"/>
        <v>0</v>
      </c>
      <c r="HN21" s="16">
        <v>2407.5</v>
      </c>
      <c r="HO21" s="16">
        <v>1057.5999999999999</v>
      </c>
      <c r="HP21" s="16">
        <f t="shared" si="54"/>
        <v>26464.099999999817</v>
      </c>
      <c r="HQ21" s="16">
        <v>2084.3000000000002</v>
      </c>
      <c r="HR21" s="16">
        <v>913.59</v>
      </c>
      <c r="HS21" s="16">
        <f t="shared" si="55"/>
        <v>29064.10000000018</v>
      </c>
      <c r="HT21" s="16">
        <v>1765.8</v>
      </c>
      <c r="HU21" s="16">
        <v>693.84</v>
      </c>
      <c r="HV21" s="16">
        <f t="shared" si="56"/>
        <v>27764.1</v>
      </c>
      <c r="HW21" s="16">
        <v>767.75</v>
      </c>
      <c r="HX21" s="16">
        <v>349.65</v>
      </c>
      <c r="HY21" s="16">
        <f t="shared" si="57"/>
        <v>30104.100000000031</v>
      </c>
      <c r="HZ21" s="16">
        <v>3140.3</v>
      </c>
      <c r="IA21" s="16">
        <v>5515.9</v>
      </c>
      <c r="IB21" s="16">
        <f t="shared" si="58"/>
        <v>403.60000000000036</v>
      </c>
      <c r="IC21" s="16"/>
      <c r="ID21" s="16"/>
      <c r="IE21" s="16">
        <f t="shared" si="59"/>
        <v>0</v>
      </c>
      <c r="IF21" s="16"/>
      <c r="IG21" s="16"/>
      <c r="IH21" s="128">
        <f t="shared" si="1"/>
        <v>19400</v>
      </c>
      <c r="II21" s="211">
        <f t="shared" si="60"/>
        <v>-1.1441443348303437E-9</v>
      </c>
      <c r="IJ21" s="16"/>
      <c r="IK21" s="16"/>
      <c r="IL21" s="16">
        <f t="shared" si="101"/>
        <v>0</v>
      </c>
      <c r="IM21" s="16"/>
      <c r="IN21" s="16"/>
      <c r="IO21" s="16">
        <f t="shared" si="102"/>
        <v>0</v>
      </c>
      <c r="IP21" s="16"/>
      <c r="IQ21" s="16"/>
      <c r="IR21" s="16">
        <f t="shared" si="103"/>
        <v>0</v>
      </c>
      <c r="IS21" s="16"/>
      <c r="IT21" s="16"/>
      <c r="IU21" s="16">
        <f t="shared" si="104"/>
        <v>0</v>
      </c>
      <c r="IV21" s="16"/>
      <c r="IW21" s="16"/>
      <c r="IX21" s="16">
        <f t="shared" si="105"/>
        <v>0</v>
      </c>
      <c r="IY21" s="16"/>
      <c r="IZ21" s="16"/>
      <c r="JA21" s="16">
        <f t="shared" si="106"/>
        <v>0</v>
      </c>
      <c r="JB21" s="16"/>
      <c r="JC21" s="16"/>
      <c r="JD21" s="16">
        <f t="shared" si="107"/>
        <v>0</v>
      </c>
      <c r="JE21" s="16"/>
      <c r="JF21" s="16"/>
      <c r="JG21" s="16">
        <f t="shared" si="108"/>
        <v>0</v>
      </c>
      <c r="JH21" s="16"/>
      <c r="JI21" s="16"/>
      <c r="JJ21" s="16">
        <f t="shared" si="109"/>
        <v>0</v>
      </c>
      <c r="JK21" s="16"/>
      <c r="JL21" s="16"/>
      <c r="JM21" s="16">
        <f t="shared" si="110"/>
        <v>0</v>
      </c>
      <c r="JN21" s="16"/>
      <c r="JO21" s="16"/>
      <c r="JP21" s="16">
        <f t="shared" si="111"/>
        <v>0</v>
      </c>
      <c r="JQ21" s="16"/>
      <c r="JR21" s="16"/>
      <c r="JS21" s="16">
        <f t="shared" si="112"/>
        <v>0</v>
      </c>
      <c r="JT21" s="16"/>
      <c r="JU21" s="16"/>
      <c r="JV21" s="16">
        <f t="shared" si="113"/>
        <v>0</v>
      </c>
      <c r="JW21" s="16"/>
      <c r="JX21" s="16"/>
      <c r="JY21" s="16">
        <f t="shared" si="114"/>
        <v>0</v>
      </c>
      <c r="JZ21" s="16"/>
      <c r="KA21" s="16"/>
      <c r="KB21" s="16">
        <f t="shared" si="115"/>
        <v>0</v>
      </c>
      <c r="KC21" s="16"/>
      <c r="KD21" s="16"/>
      <c r="KE21" s="16">
        <f t="shared" si="116"/>
        <v>0</v>
      </c>
      <c r="KG21" s="151">
        <f t="shared" si="61"/>
        <v>26867.699999998673</v>
      </c>
    </row>
    <row r="22" spans="1:293" x14ac:dyDescent="0.25">
      <c r="A22" s="35">
        <f t="shared" si="2"/>
        <v>16</v>
      </c>
      <c r="B22" s="38">
        <v>4284.5</v>
      </c>
      <c r="C22" s="38">
        <f t="shared" si="3"/>
        <v>11.199999999999818</v>
      </c>
      <c r="D22" s="38">
        <f t="shared" si="4"/>
        <v>358399.99999999418</v>
      </c>
      <c r="E22" s="38">
        <v>861.74</v>
      </c>
      <c r="F22" s="38">
        <f t="shared" si="5"/>
        <v>61760.000000002037</v>
      </c>
      <c r="G22" s="38">
        <f t="shared" si="6"/>
        <v>420159.99999999622</v>
      </c>
      <c r="H22" s="37"/>
      <c r="I22" s="39"/>
      <c r="J22" s="42"/>
      <c r="K22" s="37">
        <f>IF(J22&lt;=0,0,(J22/SQRT(J22^2+(I22-I21)^2)))</f>
        <v>0</v>
      </c>
      <c r="L22" s="40">
        <v>13110100</v>
      </c>
      <c r="M22" s="40"/>
      <c r="N22" s="37">
        <f t="shared" si="82"/>
        <v>401000</v>
      </c>
      <c r="O22" s="37">
        <v>10869.6</v>
      </c>
      <c r="P22" s="37"/>
      <c r="Q22" s="37">
        <f>IF((O22-O21)&lt;=0,0,(O22-O21))*1000</f>
        <v>17600.000000000364</v>
      </c>
      <c r="R22" s="37">
        <f>IF(Q22&lt;=0,0,(Q22/SQRT(Q22^2+(P22-P21)^2)))</f>
        <v>1</v>
      </c>
      <c r="S22" s="37">
        <v>11231940.800000001</v>
      </c>
      <c r="T22" s="37">
        <f t="shared" si="8"/>
        <v>0</v>
      </c>
      <c r="U22" s="37">
        <v>1518173.85</v>
      </c>
      <c r="V22" s="37">
        <f t="shared" si="9"/>
        <v>0</v>
      </c>
      <c r="W22" s="37">
        <v>3888.1</v>
      </c>
      <c r="X22" s="37">
        <f t="shared" si="96"/>
        <v>17500.000000000364</v>
      </c>
      <c r="Y22" s="183"/>
      <c r="Z22" s="183"/>
      <c r="AA22" s="37">
        <v>786700</v>
      </c>
      <c r="AB22" s="37">
        <f t="shared" si="10"/>
        <v>100</v>
      </c>
      <c r="AC22" s="37">
        <v>4065.5</v>
      </c>
      <c r="AD22" s="37"/>
      <c r="AE22" s="37">
        <f>IF((AC22-AC21)&lt;=0,0,(AC22-AC21))*1000</f>
        <v>8199.9999999998181</v>
      </c>
      <c r="AF22" s="37">
        <f>IF(AE22&lt;=0,0,(AE22/SQRT(AE22^2+(AD22-AD21)^2)))</f>
        <v>1</v>
      </c>
      <c r="AG22" s="37">
        <v>8856.5</v>
      </c>
      <c r="AH22" s="37"/>
      <c r="AI22" s="37">
        <f t="shared" si="12"/>
        <v>17302.890000000363</v>
      </c>
      <c r="AJ22" s="37">
        <f t="shared" si="13"/>
        <v>1</v>
      </c>
      <c r="AK22" s="37">
        <f t="shared" si="14"/>
        <v>43002.890000000545</v>
      </c>
      <c r="AL22" s="42">
        <v>10758.9</v>
      </c>
      <c r="AM22" s="42"/>
      <c r="AN22" s="37">
        <f t="shared" si="62"/>
        <v>7082.8899999995947</v>
      </c>
      <c r="AO22" s="37">
        <f t="shared" si="85"/>
        <v>1</v>
      </c>
      <c r="AP22" s="37">
        <v>8293.9</v>
      </c>
      <c r="AQ22" s="37"/>
      <c r="AR22" s="37">
        <f t="shared" si="15"/>
        <v>8899.9999999996362</v>
      </c>
      <c r="AS22" s="37">
        <f t="shared" si="86"/>
        <v>1</v>
      </c>
      <c r="AT22" s="183"/>
      <c r="AU22" s="183"/>
      <c r="AV22" s="183"/>
      <c r="AW22" s="183"/>
      <c r="AX22" s="37">
        <v>480080</v>
      </c>
      <c r="AY22" s="37"/>
      <c r="AZ22" s="37">
        <f t="shared" si="16"/>
        <v>348.55999999999767</v>
      </c>
      <c r="BA22" s="37">
        <v>141260</v>
      </c>
      <c r="BB22" s="37"/>
      <c r="BC22" s="37">
        <f t="shared" si="17"/>
        <v>588.54000000000815</v>
      </c>
      <c r="BD22" s="37">
        <f t="shared" si="87"/>
        <v>16919.989999999238</v>
      </c>
      <c r="BE22" s="43">
        <v>1895.2</v>
      </c>
      <c r="BF22" s="43">
        <v>1042.2</v>
      </c>
      <c r="BG22" s="37">
        <f t="shared" si="18"/>
        <v>2500</v>
      </c>
      <c r="BH22" s="44">
        <v>8839.5</v>
      </c>
      <c r="BI22" s="44">
        <v>5683.7</v>
      </c>
      <c r="BJ22" s="37">
        <f t="shared" si="19"/>
        <v>9100.0000000003638</v>
      </c>
      <c r="BK22" s="40">
        <v>1528190</v>
      </c>
      <c r="BL22" s="40">
        <f t="shared" si="88"/>
        <v>4190</v>
      </c>
      <c r="BM22" s="40">
        <v>865.74</v>
      </c>
      <c r="BN22" s="37">
        <f t="shared" si="20"/>
        <v>629.99999999999545</v>
      </c>
      <c r="BO22" s="186"/>
      <c r="BP22" s="183">
        <f t="shared" si="21"/>
        <v>0</v>
      </c>
      <c r="BQ22" s="40">
        <v>818.7</v>
      </c>
      <c r="BR22" s="37">
        <f t="shared" si="63"/>
        <v>700.00000000004547</v>
      </c>
      <c r="BS22" s="37">
        <v>96597.64</v>
      </c>
      <c r="BT22" s="37">
        <f t="shared" si="22"/>
        <v>194.16000000000349</v>
      </c>
      <c r="BU22" s="42">
        <v>2662148</v>
      </c>
      <c r="BV22" s="42"/>
      <c r="BW22" s="37">
        <f t="shared" si="23"/>
        <v>7648</v>
      </c>
      <c r="BX22" s="37">
        <f t="shared" si="89"/>
        <v>1</v>
      </c>
      <c r="BY22" s="43">
        <v>339.8605</v>
      </c>
      <c r="BZ22" s="43"/>
      <c r="CA22" s="37">
        <f t="shared" si="117"/>
        <v>610.50000000000182</v>
      </c>
      <c r="CB22" s="37">
        <f t="shared" si="64"/>
        <v>1</v>
      </c>
      <c r="CC22" s="37">
        <v>622939.19999999995</v>
      </c>
      <c r="CD22" s="37">
        <f t="shared" si="25"/>
        <v>1669.1999999999534</v>
      </c>
      <c r="CE22" s="41">
        <v>1140485</v>
      </c>
      <c r="CF22" s="37">
        <f t="shared" si="26"/>
        <v>5985</v>
      </c>
      <c r="CG22" s="37">
        <v>72810.600000000006</v>
      </c>
      <c r="CH22" s="37">
        <f t="shared" si="65"/>
        <v>0</v>
      </c>
      <c r="CI22" s="40">
        <v>12650.97</v>
      </c>
      <c r="CJ22" s="40"/>
      <c r="CK22" s="37">
        <f t="shared" si="66"/>
        <v>17062.389999999345</v>
      </c>
      <c r="CL22" s="37">
        <f t="shared" si="27"/>
        <v>1</v>
      </c>
      <c r="CM22" s="37">
        <v>3501.6779999999999</v>
      </c>
      <c r="CN22" s="37"/>
      <c r="CO22" s="37">
        <f t="shared" si="28"/>
        <v>7480.889999999793</v>
      </c>
      <c r="CP22" s="37">
        <f t="shared" si="90"/>
        <v>1</v>
      </c>
      <c r="CQ22" s="39">
        <v>104436.3</v>
      </c>
      <c r="CR22" s="39"/>
      <c r="CS22" s="37">
        <f t="shared" si="67"/>
        <v>7287.1900000000032</v>
      </c>
      <c r="CT22" s="37">
        <f t="shared" si="68"/>
        <v>1</v>
      </c>
      <c r="CU22" s="37">
        <v>3283814</v>
      </c>
      <c r="CV22" s="37"/>
      <c r="CW22" s="38">
        <f t="shared" si="29"/>
        <v>19414</v>
      </c>
      <c r="CX22" s="37">
        <f t="shared" si="91"/>
        <v>1</v>
      </c>
      <c r="CY22" s="37">
        <v>1721483</v>
      </c>
      <c r="CZ22" s="37"/>
      <c r="DA22" s="37">
        <f t="shared" si="30"/>
        <v>10983</v>
      </c>
      <c r="DB22" s="37">
        <f t="shared" si="92"/>
        <v>1</v>
      </c>
      <c r="DC22" s="37"/>
      <c r="DD22" s="40"/>
      <c r="DE22" s="37">
        <f t="shared" si="31"/>
        <v>0</v>
      </c>
      <c r="DF22" s="37">
        <f t="shared" si="97"/>
        <v>0</v>
      </c>
      <c r="DG22" s="37">
        <f t="shared" si="32"/>
        <v>-69875.469999999143</v>
      </c>
      <c r="DH22" s="37">
        <f t="shared" si="33"/>
        <v>446502.89000000054</v>
      </c>
      <c r="DI22" s="46"/>
      <c r="DJ22" s="46"/>
      <c r="DK22" s="47"/>
      <c r="DL22" s="47"/>
      <c r="DM22" s="37"/>
      <c r="DN22" s="37"/>
      <c r="DO22" s="37"/>
      <c r="DP22" s="37"/>
      <c r="DQ22" s="50">
        <v>3374600</v>
      </c>
      <c r="DR22" s="49">
        <f t="shared" si="69"/>
        <v>9900</v>
      </c>
      <c r="DS22" s="50">
        <v>3635000</v>
      </c>
      <c r="DT22" s="49">
        <f>IF((DS22-DS21)&lt;=0,0,(DS22-DS21))</f>
        <v>15600</v>
      </c>
      <c r="DU22" s="52">
        <v>7955.4</v>
      </c>
      <c r="DV22" s="52">
        <v>4457.6000000000004</v>
      </c>
      <c r="DW22" s="37">
        <f t="shared" si="93"/>
        <v>3399.9999999996362</v>
      </c>
      <c r="DX22" s="52">
        <v>13119</v>
      </c>
      <c r="DY22" s="52">
        <v>8411.2999999999993</v>
      </c>
      <c r="DZ22" s="37">
        <f t="shared" si="34"/>
        <v>5702.89</v>
      </c>
      <c r="EA22" s="49">
        <v>29970</v>
      </c>
      <c r="EB22" s="69">
        <v>20.87</v>
      </c>
      <c r="EC22" s="37">
        <f t="shared" si="35"/>
        <v>18862.89</v>
      </c>
      <c r="ED22" s="53">
        <f t="shared" si="36"/>
        <v>27965.779999999635</v>
      </c>
      <c r="EE22" s="49">
        <v>45318</v>
      </c>
      <c r="EF22" s="49">
        <v>29.331</v>
      </c>
      <c r="EG22" s="37">
        <f t="shared" si="37"/>
        <v>25862.89</v>
      </c>
      <c r="EH22" s="52">
        <v>12999</v>
      </c>
      <c r="EI22" s="52">
        <v>1.7672000000000001</v>
      </c>
      <c r="EJ22" s="37">
        <f t="shared" si="38"/>
        <v>11702.89</v>
      </c>
      <c r="EK22" s="37">
        <v>790.46</v>
      </c>
      <c r="EL22" s="40">
        <v>1132.5</v>
      </c>
      <c r="EM22" s="37">
        <f t="shared" si="71"/>
        <v>790.00000000007731</v>
      </c>
      <c r="EN22" s="54">
        <f t="shared" si="72"/>
        <v>38355.780000000079</v>
      </c>
      <c r="EO22" s="48">
        <v>12954</v>
      </c>
      <c r="EP22" s="48">
        <v>4526.5</v>
      </c>
      <c r="EQ22" s="37">
        <f t="shared" si="73"/>
        <v>8782.889999999983</v>
      </c>
      <c r="ER22" s="48">
        <v>9293.7999999999993</v>
      </c>
      <c r="ES22" s="48">
        <v>3813.7</v>
      </c>
      <c r="ET22" s="49">
        <f t="shared" si="99"/>
        <v>16099.999999998545</v>
      </c>
      <c r="EU22" s="48">
        <v>3550</v>
      </c>
      <c r="EV22" s="48">
        <v>1262.5999999999999</v>
      </c>
      <c r="EW22" s="49">
        <f t="shared" si="40"/>
        <v>9302.8899999999085</v>
      </c>
      <c r="EX22" s="48">
        <v>13446</v>
      </c>
      <c r="EY22" s="48">
        <v>1.5509999999999999</v>
      </c>
      <c r="EZ22" s="37">
        <f t="shared" si="41"/>
        <v>12702.89</v>
      </c>
      <c r="FA22" s="48">
        <f t="shared" si="74"/>
        <v>-25127.669999998434</v>
      </c>
      <c r="FB22" s="48">
        <v>36395696</v>
      </c>
      <c r="FC22" s="49">
        <f t="shared" si="94"/>
        <v>21761</v>
      </c>
      <c r="FD22" s="48">
        <f t="shared" si="75"/>
        <v>48388.669999998441</v>
      </c>
      <c r="FE22" s="48">
        <v>17010</v>
      </c>
      <c r="FF22" s="48">
        <v>6084</v>
      </c>
      <c r="FG22" s="37">
        <f t="shared" si="76"/>
        <v>11716.220000000016</v>
      </c>
      <c r="FH22" s="48">
        <v>8674.2000000000007</v>
      </c>
      <c r="FI22" s="48">
        <v>3.35</v>
      </c>
      <c r="FJ22" s="49">
        <f t="shared" si="42"/>
        <v>17596.220000001093</v>
      </c>
      <c r="FK22" s="48"/>
      <c r="FL22" s="58">
        <v>93.33</v>
      </c>
      <c r="FM22" s="48">
        <f t="shared" si="95"/>
        <v>-1702.8866666670358</v>
      </c>
      <c r="FN22" s="48">
        <v>16516</v>
      </c>
      <c r="FO22" s="48">
        <v>0.81679999999999997</v>
      </c>
      <c r="FP22" s="37">
        <f t="shared" si="77"/>
        <v>12796.22</v>
      </c>
      <c r="FQ22" s="48">
        <v>58587</v>
      </c>
      <c r="FR22" s="48">
        <v>14.167</v>
      </c>
      <c r="FS22" s="37">
        <f t="shared" si="43"/>
        <v>37000</v>
      </c>
      <c r="FT22" s="48">
        <f t="shared" si="78"/>
        <v>-5108.6600000011076</v>
      </c>
      <c r="FU22" s="48">
        <f t="shared" si="79"/>
        <v>43108.660000001109</v>
      </c>
      <c r="FV22" s="44">
        <v>4260900</v>
      </c>
      <c r="FW22" s="44">
        <v>1362700</v>
      </c>
      <c r="FX22" s="37">
        <f t="shared" si="44"/>
        <v>12400</v>
      </c>
      <c r="FY22" s="56">
        <v>3327.9</v>
      </c>
      <c r="FZ22" s="56">
        <v>2.0577000000000001</v>
      </c>
      <c r="GA22" s="37">
        <f t="shared" si="45"/>
        <v>3740</v>
      </c>
      <c r="GB22" s="56">
        <v>809.33</v>
      </c>
      <c r="GC22" s="56">
        <v>906.29</v>
      </c>
      <c r="GD22" s="37">
        <f t="shared" si="46"/>
        <v>490.00000000000909</v>
      </c>
      <c r="GE22" s="56">
        <v>10021</v>
      </c>
      <c r="GF22" s="56">
        <v>3.359</v>
      </c>
      <c r="GG22" s="37">
        <f t="shared" si="47"/>
        <v>3500</v>
      </c>
      <c r="GH22" s="153">
        <v>1949.3</v>
      </c>
      <c r="GI22" s="162">
        <v>1663.8</v>
      </c>
      <c r="GJ22" s="38">
        <f t="shared" si="48"/>
        <v>1500</v>
      </c>
      <c r="GK22" s="162">
        <v>1476.7</v>
      </c>
      <c r="GL22" s="163">
        <v>1123</v>
      </c>
      <c r="GM22" s="38">
        <f t="shared" si="49"/>
        <v>1000</v>
      </c>
      <c r="GN22" s="57">
        <v>208200</v>
      </c>
      <c r="GO22" s="57">
        <v>184380</v>
      </c>
      <c r="GP22" s="38">
        <f t="shared" si="98"/>
        <v>380</v>
      </c>
      <c r="GQ22" s="38">
        <v>268300</v>
      </c>
      <c r="GR22" s="38">
        <v>265140</v>
      </c>
      <c r="GS22" s="38">
        <f t="shared" si="80"/>
        <v>260</v>
      </c>
      <c r="GT22" s="178"/>
      <c r="GU22" s="144">
        <f>DailyMei!B21-DailyMei!N21-DailyMei!V21-DailyMei!Y21-DailyMei!Z21-DailyMei!AA21-DailyMei!AB21-DailyMei!AC21-DailyMei!AD21-DailyMei!AE21-DailyMei!AK21-DailyMei!AO21-DailyMei!AS21-DailyMei!AY21-DailyMei!BD21+DailyMei!BU21-DailyMei!BG21-DailyMei!BT21-DailyMei!AF21-DailyMei!AG21</f>
        <v>5.9999996534315869E-2</v>
      </c>
      <c r="GV22" s="59">
        <v>25543.41</v>
      </c>
      <c r="GW22" s="60">
        <f t="shared" si="50"/>
        <v>1702.894</v>
      </c>
      <c r="GX22" s="61">
        <v>1702.89</v>
      </c>
      <c r="GY22" s="140"/>
      <c r="GZ22" s="62"/>
      <c r="HA22" s="62"/>
      <c r="HB22" s="74"/>
      <c r="HC22" s="62"/>
      <c r="HD22" s="74"/>
      <c r="HE22" s="24">
        <f t="shared" si="51"/>
        <v>0</v>
      </c>
      <c r="HF22" s="151"/>
      <c r="HG22" s="213">
        <v>16</v>
      </c>
      <c r="HH22" s="179">
        <v>9193.7000000000007</v>
      </c>
      <c r="HI22" s="16">
        <v>3554.8</v>
      </c>
      <c r="HJ22" s="16">
        <f t="shared" si="52"/>
        <v>131300.00000000111</v>
      </c>
      <c r="HK22" s="16">
        <v>1.9189000000000001</v>
      </c>
      <c r="HL22" s="16">
        <v>660.93</v>
      </c>
      <c r="HM22" s="16">
        <f t="shared" si="100"/>
        <v>0</v>
      </c>
      <c r="HN22" s="16">
        <v>2435.8000000000002</v>
      </c>
      <c r="HO22" s="16">
        <v>1069.7</v>
      </c>
      <c r="HP22" s="16">
        <f t="shared" si="54"/>
        <v>28330.425000000181</v>
      </c>
      <c r="HQ22" s="16">
        <v>2112.9</v>
      </c>
      <c r="HR22" s="16">
        <v>924.93</v>
      </c>
      <c r="HS22" s="16">
        <f t="shared" si="55"/>
        <v>28630.424999999908</v>
      </c>
      <c r="HT22" s="16">
        <v>1793.7</v>
      </c>
      <c r="HU22" s="16">
        <v>703.27</v>
      </c>
      <c r="HV22" s="16">
        <f t="shared" si="56"/>
        <v>27930.42500000009</v>
      </c>
      <c r="HW22" s="16">
        <v>798.19</v>
      </c>
      <c r="HX22" s="16">
        <v>361.75</v>
      </c>
      <c r="HY22" s="16">
        <f t="shared" si="57"/>
        <v>30470.425000000054</v>
      </c>
      <c r="HZ22" s="16">
        <v>3478.6</v>
      </c>
      <c r="IA22" s="16">
        <v>5928.1</v>
      </c>
      <c r="IB22" s="16">
        <f t="shared" si="58"/>
        <v>338.29999999999973</v>
      </c>
      <c r="IC22" s="16"/>
      <c r="ID22" s="16"/>
      <c r="IE22" s="16">
        <f t="shared" si="59"/>
        <v>0</v>
      </c>
      <c r="IF22" s="16"/>
      <c r="IG22" s="16"/>
      <c r="IH22" s="128">
        <f t="shared" si="1"/>
        <v>15600</v>
      </c>
      <c r="II22" s="211">
        <f t="shared" si="60"/>
        <v>8.7993612396530807E-10</v>
      </c>
      <c r="IJ22" s="16"/>
      <c r="IK22" s="16"/>
      <c r="IL22" s="16">
        <f t="shared" si="101"/>
        <v>0</v>
      </c>
      <c r="IM22" s="16"/>
      <c r="IN22" s="16"/>
      <c r="IO22" s="16">
        <f t="shared" si="102"/>
        <v>0</v>
      </c>
      <c r="IP22" s="16"/>
      <c r="IQ22" s="16"/>
      <c r="IR22" s="16">
        <f t="shared" si="103"/>
        <v>0</v>
      </c>
      <c r="IS22" s="16"/>
      <c r="IT22" s="16"/>
      <c r="IU22" s="16">
        <f t="shared" si="104"/>
        <v>0</v>
      </c>
      <c r="IV22" s="16"/>
      <c r="IW22" s="16"/>
      <c r="IX22" s="16">
        <f t="shared" si="105"/>
        <v>0</v>
      </c>
      <c r="IY22" s="16"/>
      <c r="IZ22" s="16"/>
      <c r="JA22" s="16">
        <f t="shared" si="106"/>
        <v>0</v>
      </c>
      <c r="JB22" s="16"/>
      <c r="JC22" s="16"/>
      <c r="JD22" s="16">
        <f t="shared" si="107"/>
        <v>0</v>
      </c>
      <c r="JE22" s="16"/>
      <c r="JF22" s="16"/>
      <c r="JG22" s="16">
        <f t="shared" si="108"/>
        <v>0</v>
      </c>
      <c r="JH22" s="16"/>
      <c r="JI22" s="16"/>
      <c r="JJ22" s="16">
        <f t="shared" si="109"/>
        <v>0</v>
      </c>
      <c r="JK22" s="16"/>
      <c r="JL22" s="16"/>
      <c r="JM22" s="16">
        <f t="shared" si="110"/>
        <v>0</v>
      </c>
      <c r="JN22" s="16"/>
      <c r="JO22" s="16"/>
      <c r="JP22" s="16">
        <f t="shared" si="111"/>
        <v>0</v>
      </c>
      <c r="JQ22" s="16"/>
      <c r="JR22" s="16"/>
      <c r="JS22" s="16">
        <f t="shared" si="112"/>
        <v>0</v>
      </c>
      <c r="JT22" s="16"/>
      <c r="JU22" s="16"/>
      <c r="JV22" s="16">
        <f t="shared" si="113"/>
        <v>0</v>
      </c>
      <c r="JW22" s="16"/>
      <c r="JX22" s="16"/>
      <c r="JY22" s="16">
        <f t="shared" si="114"/>
        <v>0</v>
      </c>
      <c r="JZ22" s="16"/>
      <c r="KA22" s="16"/>
      <c r="KB22" s="16">
        <f t="shared" si="115"/>
        <v>0</v>
      </c>
      <c r="KC22" s="16"/>
      <c r="KD22" s="16"/>
      <c r="KE22" s="16">
        <f t="shared" si="116"/>
        <v>0</v>
      </c>
      <c r="KG22" s="151">
        <f t="shared" si="61"/>
        <v>28668.725000001061</v>
      </c>
    </row>
    <row r="23" spans="1:293" x14ac:dyDescent="0.25">
      <c r="A23" s="35">
        <f t="shared" si="2"/>
        <v>17</v>
      </c>
      <c r="B23" s="38">
        <v>4294.82</v>
      </c>
      <c r="C23" s="38">
        <f t="shared" si="3"/>
        <v>10.319999999999709</v>
      </c>
      <c r="D23" s="38">
        <f t="shared" si="4"/>
        <v>330239.99999999069</v>
      </c>
      <c r="E23" s="38">
        <v>863.64</v>
      </c>
      <c r="F23" s="38">
        <f t="shared" si="5"/>
        <v>60799.999999999272</v>
      </c>
      <c r="G23" s="38">
        <f t="shared" si="6"/>
        <v>391039.99999998999</v>
      </c>
      <c r="H23" s="37"/>
      <c r="I23" s="39"/>
      <c r="J23" s="42"/>
      <c r="K23" s="37">
        <f t="shared" ref="K23:K24" si="118">IF(J23&lt;=0,0,(J23/SQRT(J23^2+(I23-I22)^2)))</f>
        <v>0</v>
      </c>
      <c r="L23" s="40">
        <v>13150100</v>
      </c>
      <c r="M23" s="40"/>
      <c r="N23" s="37">
        <f t="shared" si="82"/>
        <v>400000</v>
      </c>
      <c r="O23" s="37">
        <v>10890.1</v>
      </c>
      <c r="P23" s="37"/>
      <c r="Q23" s="37">
        <f t="shared" ref="Q23:Q38" si="119">IF((O23-O22)&lt;=0,0,(O23-O22))*1000</f>
        <v>20500</v>
      </c>
      <c r="R23" s="37">
        <f t="shared" ref="R23:R24" si="120">IF(Q23&lt;=0,0,(Q23/SQRT(Q23^2+(P23-P22)^2)))</f>
        <v>1</v>
      </c>
      <c r="S23" s="37">
        <v>11232638.24</v>
      </c>
      <c r="T23" s="37">
        <f t="shared" si="8"/>
        <v>697.43999999947846</v>
      </c>
      <c r="U23" s="37">
        <v>1520585.33</v>
      </c>
      <c r="V23" s="37">
        <f t="shared" si="9"/>
        <v>2411.4799999999814</v>
      </c>
      <c r="W23" s="37">
        <v>3894.8</v>
      </c>
      <c r="X23" s="37">
        <f t="shared" si="96"/>
        <v>17391.08000000054</v>
      </c>
      <c r="Y23" s="183"/>
      <c r="Z23" s="183"/>
      <c r="AA23" s="37">
        <v>786700</v>
      </c>
      <c r="AB23" s="37">
        <f t="shared" si="10"/>
        <v>0</v>
      </c>
      <c r="AC23" s="37">
        <v>4069.9</v>
      </c>
      <c r="AD23" s="37"/>
      <c r="AE23" s="37">
        <f t="shared" ref="AE23:AE38" si="121">IF((AC23-AC22)&lt;=0,0,(AC23-AC22))*1000</f>
        <v>4400.0000000000909</v>
      </c>
      <c r="AF23" s="37">
        <f t="shared" ref="AF23:AF24" si="122">IF(AE23&lt;=0,0,(AE23/SQRT(AE23^2+(AD23-AD22)^2)))</f>
        <v>1</v>
      </c>
      <c r="AG23" s="37">
        <v>8867.4</v>
      </c>
      <c r="AH23" s="70"/>
      <c r="AI23" s="37">
        <f t="shared" si="12"/>
        <v>10607.209999999635</v>
      </c>
      <c r="AJ23" s="37">
        <f t="shared" si="13"/>
        <v>1</v>
      </c>
      <c r="AK23" s="37">
        <f t="shared" si="14"/>
        <v>35507.20999999973</v>
      </c>
      <c r="AL23" s="42">
        <v>10770.8</v>
      </c>
      <c r="AM23" s="42"/>
      <c r="AN23" s="37">
        <f t="shared" si="62"/>
        <v>5877.2099999996854</v>
      </c>
      <c r="AO23" s="37">
        <f t="shared" si="85"/>
        <v>1</v>
      </c>
      <c r="AP23" s="37">
        <v>8306.2999999999993</v>
      </c>
      <c r="AQ23" s="37"/>
      <c r="AR23" s="37">
        <f t="shared" si="15"/>
        <v>12399.999999999636</v>
      </c>
      <c r="AS23" s="37">
        <f t="shared" si="86"/>
        <v>1</v>
      </c>
      <c r="AT23" s="183"/>
      <c r="AU23" s="183"/>
      <c r="AV23" s="183"/>
      <c r="AW23" s="183"/>
      <c r="AX23" s="37">
        <v>480460</v>
      </c>
      <c r="AY23" s="37"/>
      <c r="AZ23" s="37">
        <f t="shared" si="16"/>
        <v>380</v>
      </c>
      <c r="BA23" s="37">
        <v>141810</v>
      </c>
      <c r="BB23" s="37"/>
      <c r="BC23" s="37">
        <f t="shared" si="17"/>
        <v>550</v>
      </c>
      <c r="BD23" s="37">
        <f t="shared" si="87"/>
        <v>19207.209999999322</v>
      </c>
      <c r="BE23" s="43">
        <v>1897.2</v>
      </c>
      <c r="BF23" s="43">
        <v>1043.5</v>
      </c>
      <c r="BG23" s="37">
        <f t="shared" si="18"/>
        <v>2000</v>
      </c>
      <c r="BH23" s="44">
        <v>8848.7999999999993</v>
      </c>
      <c r="BI23" s="44">
        <v>5689.8</v>
      </c>
      <c r="BJ23" s="37">
        <f t="shared" si="19"/>
        <v>9299.9999999992724</v>
      </c>
      <c r="BK23" s="40">
        <v>1532490</v>
      </c>
      <c r="BL23" s="40">
        <f t="shared" si="88"/>
        <v>4300</v>
      </c>
      <c r="BM23" s="40">
        <v>866.37</v>
      </c>
      <c r="BN23" s="37">
        <f t="shared" si="20"/>
        <v>629.99999999999545</v>
      </c>
      <c r="BO23" s="186"/>
      <c r="BP23" s="183">
        <f t="shared" si="21"/>
        <v>0</v>
      </c>
      <c r="BQ23" s="40">
        <v>819.5</v>
      </c>
      <c r="BR23" s="37">
        <f t="shared" si="63"/>
        <v>799.99999999995453</v>
      </c>
      <c r="BS23" s="37">
        <v>96809.53</v>
      </c>
      <c r="BT23" s="37">
        <f t="shared" si="22"/>
        <v>211.88999999999942</v>
      </c>
      <c r="BU23" s="42">
        <v>2672874</v>
      </c>
      <c r="BV23" s="42"/>
      <c r="BW23" s="37">
        <f t="shared" si="23"/>
        <v>10726</v>
      </c>
      <c r="BX23" s="37">
        <f t="shared" si="89"/>
        <v>1</v>
      </c>
      <c r="BY23" s="43">
        <v>340.50080000000003</v>
      </c>
      <c r="BZ23" s="43"/>
      <c r="CA23" s="37">
        <f t="shared" si="117"/>
        <v>640.30000000002474</v>
      </c>
      <c r="CB23" s="37">
        <f t="shared" si="64"/>
        <v>1</v>
      </c>
      <c r="CC23" s="37">
        <v>627004.4</v>
      </c>
      <c r="CD23" s="37">
        <f t="shared" si="25"/>
        <v>4065.2000000000698</v>
      </c>
      <c r="CE23" s="41">
        <v>1147179</v>
      </c>
      <c r="CF23" s="37">
        <f t="shared" si="26"/>
        <v>6694</v>
      </c>
      <c r="CG23" s="37">
        <v>72810.600000000006</v>
      </c>
      <c r="CH23" s="37">
        <f t="shared" si="65"/>
        <v>0</v>
      </c>
      <c r="CI23" s="40">
        <v>12668.23</v>
      </c>
      <c r="CJ23" s="40"/>
      <c r="CK23" s="37">
        <f t="shared" si="66"/>
        <v>16326.910000000193</v>
      </c>
      <c r="CL23" s="37">
        <f t="shared" si="27"/>
        <v>1</v>
      </c>
      <c r="CM23" s="37">
        <v>3508.4180000000001</v>
      </c>
      <c r="CN23" s="37"/>
      <c r="CO23" s="37">
        <f t="shared" si="28"/>
        <v>6447.2100000002365</v>
      </c>
      <c r="CP23" s="37">
        <f t="shared" si="90"/>
        <v>1</v>
      </c>
      <c r="CQ23" s="39">
        <v>110340.9</v>
      </c>
      <c r="CR23" s="39"/>
      <c r="CS23" s="37">
        <f t="shared" si="67"/>
        <v>5611.8099999999913</v>
      </c>
      <c r="CT23" s="37">
        <f t="shared" si="68"/>
        <v>1</v>
      </c>
      <c r="CU23" s="37">
        <v>3300911</v>
      </c>
      <c r="CV23" s="37"/>
      <c r="CW23" s="38">
        <f t="shared" si="29"/>
        <v>17097</v>
      </c>
      <c r="CX23" s="37">
        <f t="shared" si="91"/>
        <v>1</v>
      </c>
      <c r="CY23" s="37">
        <v>1731558</v>
      </c>
      <c r="CZ23" s="37"/>
      <c r="DA23" s="37">
        <f t="shared" si="30"/>
        <v>10075</v>
      </c>
      <c r="DB23" s="37">
        <f t="shared" si="92"/>
        <v>1</v>
      </c>
      <c r="DC23" s="37"/>
      <c r="DD23" s="40"/>
      <c r="DE23" s="37">
        <f t="shared" si="31"/>
        <v>0</v>
      </c>
      <c r="DF23" s="37">
        <f t="shared" si="97"/>
        <v>0</v>
      </c>
      <c r="DG23" s="37">
        <f t="shared" si="32"/>
        <v>-66283.93000000043</v>
      </c>
      <c r="DH23" s="37">
        <f t="shared" si="33"/>
        <v>437507.20999999973</v>
      </c>
      <c r="DI23" s="46"/>
      <c r="DJ23" s="46"/>
      <c r="DK23" s="47"/>
      <c r="DL23" s="47"/>
      <c r="DM23" s="37"/>
      <c r="DN23" s="37"/>
      <c r="DO23" s="37"/>
      <c r="DP23" s="37"/>
      <c r="DQ23" s="50">
        <v>3384200</v>
      </c>
      <c r="DR23" s="49">
        <f t="shared" si="69"/>
        <v>9600</v>
      </c>
      <c r="DS23" s="50">
        <v>3651300</v>
      </c>
      <c r="DT23" s="49">
        <f>IF((DS23-DS22)&lt;=0,0,(DS23-DS22))</f>
        <v>16300</v>
      </c>
      <c r="DU23" s="51">
        <v>7960.2</v>
      </c>
      <c r="DV23" s="51">
        <v>4460.6000000000004</v>
      </c>
      <c r="DW23" s="37">
        <f t="shared" si="93"/>
        <v>4800.0000000001819</v>
      </c>
      <c r="DX23" s="51">
        <v>13125</v>
      </c>
      <c r="DY23" s="51">
        <v>8412.6</v>
      </c>
      <c r="DZ23" s="37">
        <f t="shared" si="34"/>
        <v>5707.21</v>
      </c>
      <c r="EA23" s="49">
        <v>29992</v>
      </c>
      <c r="EB23" s="49">
        <v>20.882999999999999</v>
      </c>
      <c r="EC23" s="37">
        <f t="shared" si="35"/>
        <v>23867.21</v>
      </c>
      <c r="ED23" s="53">
        <f t="shared" si="36"/>
        <v>34374.42000000018</v>
      </c>
      <c r="EE23" s="49">
        <v>45346</v>
      </c>
      <c r="EF23" s="49">
        <v>29.355</v>
      </c>
      <c r="EG23" s="37">
        <f t="shared" si="37"/>
        <v>29867.21</v>
      </c>
      <c r="EH23" s="51">
        <v>13011</v>
      </c>
      <c r="EI23" s="51">
        <v>1.7697000000000001</v>
      </c>
      <c r="EJ23" s="37">
        <f t="shared" si="38"/>
        <v>11707.21</v>
      </c>
      <c r="EK23" s="37">
        <v>791.37</v>
      </c>
      <c r="EL23" s="40">
        <v>1133.9000000000001</v>
      </c>
      <c r="EM23" s="37">
        <f t="shared" si="71"/>
        <v>909.99999999996817</v>
      </c>
      <c r="EN23" s="54">
        <f t="shared" si="72"/>
        <v>42484.419999999969</v>
      </c>
      <c r="EO23" s="48">
        <v>12961</v>
      </c>
      <c r="EP23" s="48">
        <v>4529.2</v>
      </c>
      <c r="EQ23" s="37">
        <f t="shared" si="73"/>
        <v>5707.21</v>
      </c>
      <c r="ER23" s="48">
        <v>9312.5</v>
      </c>
      <c r="ES23" s="48">
        <v>3821.5</v>
      </c>
      <c r="ET23" s="49">
        <f t="shared" si="99"/>
        <v>18700.000000000728</v>
      </c>
      <c r="EU23" s="48">
        <v>3558.5</v>
      </c>
      <c r="EV23" s="48">
        <v>1265.5</v>
      </c>
      <c r="EW23" s="49">
        <f t="shared" si="40"/>
        <v>8207.2099999999991</v>
      </c>
      <c r="EX23" s="48">
        <v>13459</v>
      </c>
      <c r="EY23" s="48">
        <v>1.5542</v>
      </c>
      <c r="EZ23" s="37">
        <f t="shared" si="41"/>
        <v>12707.21</v>
      </c>
      <c r="FA23" s="48">
        <f t="shared" si="74"/>
        <v>-20897.630000000725</v>
      </c>
      <c r="FB23" s="48">
        <v>36420120</v>
      </c>
      <c r="FC23" s="49">
        <f t="shared" si="94"/>
        <v>24424</v>
      </c>
      <c r="FD23" s="48">
        <f t="shared" si="75"/>
        <v>47021.630000000769</v>
      </c>
      <c r="FE23" s="48">
        <v>17021</v>
      </c>
      <c r="FF23" s="48">
        <v>6084</v>
      </c>
      <c r="FG23" s="37">
        <f t="shared" si="76"/>
        <v>11540.539999999999</v>
      </c>
      <c r="FH23" s="48">
        <v>8689.7000000000007</v>
      </c>
      <c r="FI23" s="48">
        <v>3.3557999999999999</v>
      </c>
      <c r="FJ23" s="49">
        <f t="shared" si="42"/>
        <v>15040.539999999999</v>
      </c>
      <c r="FK23" s="48"/>
      <c r="FL23" s="58">
        <v>-166.67</v>
      </c>
      <c r="FM23" s="48">
        <f t="shared" si="95"/>
        <v>292.79333333333244</v>
      </c>
      <c r="FN23" s="48">
        <v>16535</v>
      </c>
      <c r="FO23" s="48">
        <v>0.81879999999999997</v>
      </c>
      <c r="FP23" s="37">
        <f t="shared" si="77"/>
        <v>18540.54</v>
      </c>
      <c r="FQ23" s="48">
        <v>58633</v>
      </c>
      <c r="FR23" s="48">
        <v>14.177</v>
      </c>
      <c r="FS23" s="37">
        <f t="shared" si="43"/>
        <v>46000</v>
      </c>
      <c r="FT23" s="48">
        <f t="shared" si="78"/>
        <v>878.37999999999738</v>
      </c>
      <c r="FU23" s="48">
        <f t="shared" si="79"/>
        <v>46821.620000000039</v>
      </c>
      <c r="FV23" s="44">
        <v>4279700</v>
      </c>
      <c r="FW23" s="44">
        <v>1368600</v>
      </c>
      <c r="FX23" s="37">
        <f t="shared" si="44"/>
        <v>18800</v>
      </c>
      <c r="FY23" s="56">
        <v>3333.6</v>
      </c>
      <c r="FZ23" s="56">
        <v>2.0625</v>
      </c>
      <c r="GA23" s="37">
        <f t="shared" si="45"/>
        <v>5549.9999999998181</v>
      </c>
      <c r="GB23" s="56">
        <v>810.02</v>
      </c>
      <c r="GC23" s="56">
        <v>907.09</v>
      </c>
      <c r="GD23" s="37">
        <f t="shared" si="46"/>
        <v>689.99999999994088</v>
      </c>
      <c r="GE23" s="56">
        <v>10030</v>
      </c>
      <c r="GF23" s="56">
        <v>3.3647999999999998</v>
      </c>
      <c r="GG23" s="37">
        <f t="shared" si="47"/>
        <v>5599.9999999999091</v>
      </c>
      <c r="GH23" s="137">
        <v>1951</v>
      </c>
      <c r="GI23" s="162">
        <v>1665.4</v>
      </c>
      <c r="GJ23" s="38">
        <f t="shared" si="48"/>
        <v>1700.0000000000455</v>
      </c>
      <c r="GK23" s="162">
        <v>1478.4</v>
      </c>
      <c r="GL23" s="163">
        <v>1123.8</v>
      </c>
      <c r="GM23" s="38">
        <f t="shared" si="49"/>
        <v>1700.0000000000455</v>
      </c>
      <c r="GN23" s="57">
        <v>208200</v>
      </c>
      <c r="GO23" s="57">
        <v>184390</v>
      </c>
      <c r="GP23" s="38">
        <f t="shared" si="98"/>
        <v>0</v>
      </c>
      <c r="GQ23" s="38">
        <v>268450</v>
      </c>
      <c r="GR23" s="38">
        <v>265250</v>
      </c>
      <c r="GS23" s="38">
        <f t="shared" si="80"/>
        <v>150</v>
      </c>
      <c r="GT23" s="178"/>
      <c r="GU23" s="144">
        <f>DailyMei!B22-DailyMei!N22-DailyMei!V22-DailyMei!Y22-DailyMei!Z22-DailyMei!AA22-DailyMei!AB22-DailyMei!AC22-DailyMei!AD22-DailyMei!AE22-DailyMei!AK22-DailyMei!AO22-DailyMei!AS22-DailyMei!AY22-DailyMei!BD22+DailyMei!BU22-DailyMei!BG22-DailyMei!BT22-DailyMei!AF22-DailyMei!AG22</f>
        <v>5.9999990626238286E-2</v>
      </c>
      <c r="GV23" s="59">
        <v>-4391.79</v>
      </c>
      <c r="GW23" s="60">
        <f t="shared" si="50"/>
        <v>-292.786</v>
      </c>
      <c r="GX23" s="61">
        <v>-292.79000000000002</v>
      </c>
      <c r="GY23" s="140"/>
      <c r="GZ23" s="62"/>
      <c r="HA23" s="62"/>
      <c r="HB23" s="74"/>
      <c r="HC23" s="62"/>
      <c r="HD23" s="74"/>
      <c r="HE23" s="24">
        <f t="shared" si="51"/>
        <v>0</v>
      </c>
      <c r="HF23" s="151"/>
      <c r="HG23" s="213">
        <v>17</v>
      </c>
      <c r="HH23" s="179">
        <v>9321.61</v>
      </c>
      <c r="HI23" s="16">
        <v>3602.1</v>
      </c>
      <c r="HJ23" s="16">
        <f t="shared" si="52"/>
        <v>127909.99999999985</v>
      </c>
      <c r="HK23" s="16">
        <v>1.9189000000000001</v>
      </c>
      <c r="HL23" s="16">
        <v>660.93</v>
      </c>
      <c r="HM23" s="16">
        <f t="shared" si="100"/>
        <v>0</v>
      </c>
      <c r="HN23" s="16">
        <v>2465.1</v>
      </c>
      <c r="HO23" s="16">
        <v>1082</v>
      </c>
      <c r="HP23" s="16">
        <f t="shared" si="54"/>
        <v>29413.949999999728</v>
      </c>
      <c r="HQ23" s="16">
        <v>2140.1999999999998</v>
      </c>
      <c r="HR23" s="16">
        <v>935.9</v>
      </c>
      <c r="HS23" s="16">
        <f t="shared" si="55"/>
        <v>27413.949999999728</v>
      </c>
      <c r="HT23" s="16">
        <v>1820.4</v>
      </c>
      <c r="HU23" s="16">
        <v>712.37</v>
      </c>
      <c r="HV23" s="16">
        <f t="shared" si="56"/>
        <v>26813.950000000044</v>
      </c>
      <c r="HW23" s="16">
        <v>825.46</v>
      </c>
      <c r="HX23" s="16">
        <v>372.87</v>
      </c>
      <c r="HY23" s="16">
        <f t="shared" si="57"/>
        <v>27383.949999999983</v>
      </c>
      <c r="HZ23" s="16">
        <v>4062.8</v>
      </c>
      <c r="IA23" s="16">
        <v>7213.7</v>
      </c>
      <c r="IB23" s="16">
        <f t="shared" si="58"/>
        <v>584.20000000000027</v>
      </c>
      <c r="IC23" s="16"/>
      <c r="ID23" s="16"/>
      <c r="IE23" s="16">
        <f t="shared" si="59"/>
        <v>0</v>
      </c>
      <c r="IF23" s="16"/>
      <c r="IG23" s="16"/>
      <c r="IH23" s="128">
        <f t="shared" si="1"/>
        <v>16300</v>
      </c>
      <c r="II23" s="211">
        <f t="shared" si="60"/>
        <v>3.8244252209551632E-10</v>
      </c>
      <c r="IJ23" s="16"/>
      <c r="IK23" s="16"/>
      <c r="IL23" s="16">
        <f t="shared" si="101"/>
        <v>0</v>
      </c>
      <c r="IM23" s="16"/>
      <c r="IN23" s="16"/>
      <c r="IO23" s="16">
        <f t="shared" si="102"/>
        <v>0</v>
      </c>
      <c r="IP23" s="16"/>
      <c r="IQ23" s="16"/>
      <c r="IR23" s="16">
        <f t="shared" si="103"/>
        <v>0</v>
      </c>
      <c r="IS23" s="16"/>
      <c r="IT23" s="16"/>
      <c r="IU23" s="16">
        <f t="shared" si="104"/>
        <v>0</v>
      </c>
      <c r="IV23" s="16"/>
      <c r="IW23" s="16"/>
      <c r="IX23" s="16">
        <f t="shared" si="105"/>
        <v>0</v>
      </c>
      <c r="IY23" s="16"/>
      <c r="IZ23" s="16"/>
      <c r="JA23" s="16">
        <f t="shared" si="106"/>
        <v>0</v>
      </c>
      <c r="JB23" s="16"/>
      <c r="JC23" s="16"/>
      <c r="JD23" s="16">
        <f t="shared" si="107"/>
        <v>0</v>
      </c>
      <c r="JE23" s="16"/>
      <c r="JF23" s="16"/>
      <c r="JG23" s="16">
        <f t="shared" si="108"/>
        <v>0</v>
      </c>
      <c r="JH23" s="16"/>
      <c r="JI23" s="16"/>
      <c r="JJ23" s="16">
        <f t="shared" si="109"/>
        <v>0</v>
      </c>
      <c r="JK23" s="16"/>
      <c r="JL23" s="16"/>
      <c r="JM23" s="16">
        <f t="shared" si="110"/>
        <v>0</v>
      </c>
      <c r="JN23" s="16"/>
      <c r="JO23" s="16"/>
      <c r="JP23" s="16">
        <f t="shared" si="111"/>
        <v>0</v>
      </c>
      <c r="JQ23" s="16"/>
      <c r="JR23" s="16"/>
      <c r="JS23" s="16">
        <f t="shared" si="112"/>
        <v>0</v>
      </c>
      <c r="JT23" s="16"/>
      <c r="JU23" s="16"/>
      <c r="JV23" s="16">
        <f t="shared" si="113"/>
        <v>0</v>
      </c>
      <c r="JW23" s="16"/>
      <c r="JX23" s="16"/>
      <c r="JY23" s="16">
        <f t="shared" si="114"/>
        <v>0</v>
      </c>
      <c r="JZ23" s="16"/>
      <c r="KA23" s="16"/>
      <c r="KB23" s="16">
        <f t="shared" si="115"/>
        <v>0</v>
      </c>
      <c r="KC23" s="16"/>
      <c r="KD23" s="16"/>
      <c r="KE23" s="16">
        <f t="shared" si="116"/>
        <v>0</v>
      </c>
      <c r="KG23" s="151">
        <f t="shared" si="61"/>
        <v>29998.150000000111</v>
      </c>
    </row>
    <row r="24" spans="1:293" x14ac:dyDescent="0.25">
      <c r="A24" s="35">
        <f t="shared" si="2"/>
        <v>18</v>
      </c>
      <c r="B24" s="38">
        <v>4305.1099999999997</v>
      </c>
      <c r="C24" s="38">
        <f t="shared" si="3"/>
        <v>10.289999999999964</v>
      </c>
      <c r="D24" s="38">
        <f t="shared" si="4"/>
        <v>329279.99999999884</v>
      </c>
      <c r="E24" s="38">
        <v>865.6</v>
      </c>
      <c r="F24" s="38">
        <f t="shared" si="5"/>
        <v>62720.000000001164</v>
      </c>
      <c r="G24" s="38">
        <f t="shared" si="6"/>
        <v>392000</v>
      </c>
      <c r="H24" s="37"/>
      <c r="I24" s="39"/>
      <c r="J24" s="42"/>
      <c r="K24" s="37">
        <f t="shared" si="118"/>
        <v>0</v>
      </c>
      <c r="L24" s="40">
        <v>13189200</v>
      </c>
      <c r="M24" s="40"/>
      <c r="N24" s="37">
        <f t="shared" si="82"/>
        <v>391000</v>
      </c>
      <c r="O24" s="37">
        <v>10911.6</v>
      </c>
      <c r="P24" s="37"/>
      <c r="Q24" s="37">
        <f t="shared" si="119"/>
        <v>21500</v>
      </c>
      <c r="R24" s="37">
        <f t="shared" si="120"/>
        <v>1</v>
      </c>
      <c r="S24" s="37">
        <v>11232980.51</v>
      </c>
      <c r="T24" s="37">
        <f t="shared" si="8"/>
        <v>342.26999999955297</v>
      </c>
      <c r="U24" s="37">
        <v>1522530.79</v>
      </c>
      <c r="V24" s="37">
        <f t="shared" si="9"/>
        <v>1945.4599999999627</v>
      </c>
      <c r="W24" s="37">
        <v>3901.9</v>
      </c>
      <c r="X24" s="37">
        <f t="shared" si="96"/>
        <v>19112.270000000484</v>
      </c>
      <c r="Y24" s="183"/>
      <c r="Z24" s="183"/>
      <c r="AA24" s="37">
        <v>786800</v>
      </c>
      <c r="AB24" s="37">
        <f t="shared" si="10"/>
        <v>100</v>
      </c>
      <c r="AC24" s="37">
        <v>4074.5</v>
      </c>
      <c r="AD24" s="37"/>
      <c r="AE24" s="37">
        <f t="shared" si="121"/>
        <v>4599.9999999999091</v>
      </c>
      <c r="AF24" s="37">
        <f t="shared" si="122"/>
        <v>1</v>
      </c>
      <c r="AG24" s="37">
        <v>8879</v>
      </c>
      <c r="AH24" s="37"/>
      <c r="AI24" s="37">
        <f t="shared" si="12"/>
        <v>11867.430000000364</v>
      </c>
      <c r="AJ24" s="37">
        <f t="shared" si="13"/>
        <v>1</v>
      </c>
      <c r="AK24" s="37">
        <f t="shared" si="14"/>
        <v>37867.43000000027</v>
      </c>
      <c r="AL24" s="42">
        <v>10782.8</v>
      </c>
      <c r="AM24" s="42"/>
      <c r="AN24" s="37">
        <f t="shared" si="62"/>
        <v>6807.4300000000048</v>
      </c>
      <c r="AO24" s="37">
        <f t="shared" si="85"/>
        <v>1</v>
      </c>
      <c r="AP24" s="37">
        <v>8319.7999999999993</v>
      </c>
      <c r="AQ24" s="37"/>
      <c r="AR24" s="37">
        <f t="shared" si="15"/>
        <v>13500</v>
      </c>
      <c r="AS24" s="37">
        <f t="shared" si="86"/>
        <v>1</v>
      </c>
      <c r="AT24" s="183"/>
      <c r="AU24" s="183"/>
      <c r="AV24" s="183"/>
      <c r="AW24" s="183"/>
      <c r="AX24" s="37">
        <v>480890</v>
      </c>
      <c r="AY24" s="37"/>
      <c r="AZ24" s="37">
        <f t="shared" si="16"/>
        <v>430</v>
      </c>
      <c r="BA24" s="37">
        <v>142490</v>
      </c>
      <c r="BB24" s="37"/>
      <c r="BC24" s="37">
        <f t="shared" si="17"/>
        <v>680</v>
      </c>
      <c r="BD24" s="37">
        <f>AN24+AR24+AZ24+BC24</f>
        <v>21417.430000000004</v>
      </c>
      <c r="BE24" s="43">
        <v>1898.9</v>
      </c>
      <c r="BF24" s="43">
        <v>1044.7</v>
      </c>
      <c r="BG24" s="37">
        <f t="shared" si="18"/>
        <v>1700.0000000000455</v>
      </c>
      <c r="BH24" s="44">
        <v>8857.7000000000007</v>
      </c>
      <c r="BI24" s="44">
        <v>5695.7</v>
      </c>
      <c r="BJ24" s="37">
        <f t="shared" si="19"/>
        <v>8900.0000000014552</v>
      </c>
      <c r="BK24" s="40">
        <v>1536820</v>
      </c>
      <c r="BL24" s="40">
        <f t="shared" si="88"/>
        <v>4330</v>
      </c>
      <c r="BM24" s="40">
        <v>867</v>
      </c>
      <c r="BN24" s="37">
        <f t="shared" si="20"/>
        <v>629.99999999999545</v>
      </c>
      <c r="BO24" s="186"/>
      <c r="BP24" s="183">
        <f t="shared" si="21"/>
        <v>0</v>
      </c>
      <c r="BQ24" s="40">
        <v>820</v>
      </c>
      <c r="BR24" s="37">
        <f t="shared" si="63"/>
        <v>500</v>
      </c>
      <c r="BS24" s="37">
        <v>97009.09</v>
      </c>
      <c r="BT24" s="37">
        <f t="shared" si="22"/>
        <v>199.55999999999767</v>
      </c>
      <c r="BU24" s="42">
        <v>2683918</v>
      </c>
      <c r="BV24" s="42"/>
      <c r="BW24" s="37">
        <f t="shared" si="23"/>
        <v>11044</v>
      </c>
      <c r="BX24" s="37">
        <f t="shared" si="89"/>
        <v>1</v>
      </c>
      <c r="BY24" s="43">
        <v>341.13040000000001</v>
      </c>
      <c r="BZ24" s="37"/>
      <c r="CA24" s="37">
        <f t="shared" si="117"/>
        <v>629.59999999998217</v>
      </c>
      <c r="CB24" s="37">
        <f t="shared" si="64"/>
        <v>1</v>
      </c>
      <c r="CC24" s="37">
        <v>631683</v>
      </c>
      <c r="CD24" s="37">
        <f t="shared" si="25"/>
        <v>4678.5999999999767</v>
      </c>
      <c r="CE24" s="41">
        <v>1153525</v>
      </c>
      <c r="CF24" s="37">
        <f t="shared" si="26"/>
        <v>6346</v>
      </c>
      <c r="CG24" s="37">
        <v>72810.600000000006</v>
      </c>
      <c r="CH24" s="37">
        <f t="shared" si="65"/>
        <v>0</v>
      </c>
      <c r="CI24" s="40">
        <v>12685.3</v>
      </c>
      <c r="CJ24" s="40"/>
      <c r="CK24" s="37">
        <f t="shared" si="66"/>
        <v>16707.829999999725</v>
      </c>
      <c r="CL24" s="37">
        <f t="shared" si="27"/>
        <v>1</v>
      </c>
      <c r="CM24" s="37">
        <v>3515.2959999999998</v>
      </c>
      <c r="CN24" s="37"/>
      <c r="CO24" s="37">
        <f t="shared" si="28"/>
        <v>7145.429999999702</v>
      </c>
      <c r="CP24" s="37">
        <f t="shared" si="90"/>
        <v>1</v>
      </c>
      <c r="CQ24" s="39">
        <v>116228.8</v>
      </c>
      <c r="CR24" s="39"/>
      <c r="CS24" s="37">
        <f t="shared" si="67"/>
        <v>6155.330000000009</v>
      </c>
      <c r="CT24" s="37">
        <f t="shared" si="68"/>
        <v>1</v>
      </c>
      <c r="CU24" s="37">
        <v>3320850</v>
      </c>
      <c r="CV24" s="37"/>
      <c r="CW24" s="38">
        <f t="shared" si="29"/>
        <v>19939</v>
      </c>
      <c r="CX24" s="37">
        <f t="shared" si="91"/>
        <v>1</v>
      </c>
      <c r="CY24" s="37">
        <v>1742640</v>
      </c>
      <c r="CZ24" s="37"/>
      <c r="DA24" s="37">
        <f t="shared" si="30"/>
        <v>11082</v>
      </c>
      <c r="DB24" s="37">
        <f t="shared" si="92"/>
        <v>1</v>
      </c>
      <c r="DC24" s="37"/>
      <c r="DD24" s="40"/>
      <c r="DE24" s="37">
        <f t="shared" si="31"/>
        <v>0</v>
      </c>
      <c r="DF24" s="37">
        <f t="shared" si="97"/>
        <v>0</v>
      </c>
      <c r="DG24" s="37">
        <f t="shared" si="32"/>
        <v>-72073.589999999444</v>
      </c>
      <c r="DH24" s="37">
        <f t="shared" si="33"/>
        <v>430567.43000000028</v>
      </c>
      <c r="DI24" s="46"/>
      <c r="DJ24" s="46"/>
      <c r="DK24" s="47"/>
      <c r="DL24" s="47"/>
      <c r="DM24" s="37"/>
      <c r="DN24" s="37"/>
      <c r="DO24" s="37"/>
      <c r="DP24" s="37"/>
      <c r="DQ24" s="50">
        <v>3392600</v>
      </c>
      <c r="DR24" s="49">
        <f t="shared" si="69"/>
        <v>8400</v>
      </c>
      <c r="DS24" s="50">
        <v>3668600</v>
      </c>
      <c r="DT24" s="49">
        <f>IF((DS24-DS23)&lt;=0,0,(DS24-DS23))</f>
        <v>17300</v>
      </c>
      <c r="DU24" s="51">
        <v>7964.9</v>
      </c>
      <c r="DV24" s="51">
        <v>4463.3999999999996</v>
      </c>
      <c r="DW24" s="37">
        <f t="shared" si="93"/>
        <v>4699.9999999998181</v>
      </c>
      <c r="DX24" s="52">
        <v>13132</v>
      </c>
      <c r="DY24" s="52">
        <v>8413</v>
      </c>
      <c r="DZ24" s="37">
        <f t="shared" si="34"/>
        <v>7267.43</v>
      </c>
      <c r="EA24" s="49">
        <v>30014</v>
      </c>
      <c r="EB24" s="49">
        <v>20.896000000000001</v>
      </c>
      <c r="EC24" s="37">
        <f t="shared" si="35"/>
        <v>24427.43</v>
      </c>
      <c r="ED24" s="53">
        <f t="shared" si="36"/>
        <v>36394.859999999819</v>
      </c>
      <c r="EE24" s="49">
        <v>45370</v>
      </c>
      <c r="EF24" s="49">
        <v>29.381</v>
      </c>
      <c r="EG24" s="37">
        <f t="shared" si="37"/>
        <v>26427.43</v>
      </c>
      <c r="EH24" s="51">
        <v>13022</v>
      </c>
      <c r="EI24" s="51">
        <v>1.772</v>
      </c>
      <c r="EJ24" s="37">
        <f t="shared" si="38"/>
        <v>11267.43</v>
      </c>
      <c r="EK24" s="37">
        <v>792.24</v>
      </c>
      <c r="EL24" s="40">
        <v>1135.0999999999999</v>
      </c>
      <c r="EM24" s="37">
        <f t="shared" si="71"/>
        <v>870.00000000000455</v>
      </c>
      <c r="EN24" s="54">
        <f t="shared" si="72"/>
        <v>38564.860000000008</v>
      </c>
      <c r="EO24" s="48">
        <v>12968</v>
      </c>
      <c r="EP24" s="48">
        <v>4532.2</v>
      </c>
      <c r="EQ24" s="37">
        <f t="shared" si="73"/>
        <v>6262.4300000000048</v>
      </c>
      <c r="ER24" s="48">
        <v>9331.4</v>
      </c>
      <c r="ES24" s="48">
        <v>3829.2</v>
      </c>
      <c r="ET24" s="49">
        <f t="shared" si="99"/>
        <v>18899.999999999636</v>
      </c>
      <c r="EU24" s="48">
        <v>3566.9</v>
      </c>
      <c r="EV24" s="48">
        <v>1268.5</v>
      </c>
      <c r="EW24" s="49">
        <f t="shared" si="40"/>
        <v>8667.4300000000912</v>
      </c>
      <c r="EX24" s="48">
        <v>13473</v>
      </c>
      <c r="EY24" s="48">
        <v>1.5577000000000001</v>
      </c>
      <c r="EZ24" s="37">
        <f t="shared" si="41"/>
        <v>14267.43</v>
      </c>
      <c r="FA24" s="48">
        <f t="shared" si="74"/>
        <v>-23482.289999999732</v>
      </c>
      <c r="FB24" s="48">
        <v>36444735</v>
      </c>
      <c r="FC24" s="49">
        <f t="shared" si="94"/>
        <v>24615</v>
      </c>
      <c r="FD24" s="48">
        <f t="shared" si="75"/>
        <v>49797.289999999775</v>
      </c>
      <c r="FE24" s="48">
        <v>17032</v>
      </c>
      <c r="FF24" s="48">
        <v>6084</v>
      </c>
      <c r="FG24" s="37">
        <f t="shared" si="76"/>
        <v>12070.759999999995</v>
      </c>
      <c r="FH24" s="48">
        <v>8705.2999999999993</v>
      </c>
      <c r="FI24" s="48">
        <v>3.3616000000000001</v>
      </c>
      <c r="FJ24" s="49">
        <f t="shared" si="42"/>
        <v>15665.759999998545</v>
      </c>
      <c r="FK24" s="48"/>
      <c r="FL24" s="58">
        <v>-201.67</v>
      </c>
      <c r="FM24" s="48">
        <f t="shared" si="95"/>
        <v>-267.42666666618123</v>
      </c>
      <c r="FN24" s="48">
        <v>16556</v>
      </c>
      <c r="FO24" s="48">
        <v>0.82130000000000003</v>
      </c>
      <c r="FP24" s="37">
        <f t="shared" si="77"/>
        <v>21065.760000000002</v>
      </c>
      <c r="FQ24" s="48">
        <v>58681</v>
      </c>
      <c r="FR24" s="48">
        <v>14.186999999999999</v>
      </c>
      <c r="FS24" s="37">
        <f t="shared" si="43"/>
        <v>48000</v>
      </c>
      <c r="FT24" s="48">
        <f t="shared" si="78"/>
        <v>-802.27999999854364</v>
      </c>
      <c r="FU24" s="48">
        <f t="shared" si="79"/>
        <v>50802.279999998544</v>
      </c>
      <c r="FV24" s="44">
        <v>4294400</v>
      </c>
      <c r="FW24" s="44">
        <v>1373300</v>
      </c>
      <c r="FX24" s="37">
        <f t="shared" si="44"/>
        <v>14700</v>
      </c>
      <c r="FY24" s="56">
        <v>3338.1</v>
      </c>
      <c r="FZ24" s="56">
        <v>2.0663999999999998</v>
      </c>
      <c r="GA24" s="37">
        <f t="shared" si="45"/>
        <v>4370</v>
      </c>
      <c r="GB24" s="56">
        <v>810.67</v>
      </c>
      <c r="GC24" s="56">
        <v>907.94</v>
      </c>
      <c r="GD24" s="37">
        <f t="shared" si="46"/>
        <v>649.99999999997726</v>
      </c>
      <c r="GE24" s="56">
        <v>10038</v>
      </c>
      <c r="GF24" s="56">
        <v>3.37</v>
      </c>
      <c r="GG24" s="37">
        <f t="shared" si="47"/>
        <v>4299.9999999999545</v>
      </c>
      <c r="GH24" s="158">
        <v>1952.7</v>
      </c>
      <c r="GI24" s="159">
        <v>1667.1</v>
      </c>
      <c r="GJ24" s="38">
        <f t="shared" si="48"/>
        <v>1700.0000000000455</v>
      </c>
      <c r="GK24" s="159">
        <v>1480.4</v>
      </c>
      <c r="GL24" s="160">
        <v>1124.5999999999999</v>
      </c>
      <c r="GM24" s="38">
        <f t="shared" si="49"/>
        <v>2000</v>
      </c>
      <c r="GN24" s="57">
        <v>208210</v>
      </c>
      <c r="GO24" s="57">
        <v>184400</v>
      </c>
      <c r="GP24" s="38">
        <f t="shared" si="98"/>
        <v>10</v>
      </c>
      <c r="GQ24" s="38">
        <v>268580</v>
      </c>
      <c r="GR24" s="38">
        <v>265340</v>
      </c>
      <c r="GS24" s="38">
        <f t="shared" si="80"/>
        <v>130</v>
      </c>
      <c r="GT24" s="178"/>
      <c r="GU24" s="144">
        <f>DailyMei!B23-DailyMei!N23-DailyMei!V23-DailyMei!Y23-DailyMei!Z23-DailyMei!AA23-DailyMei!AB23-DailyMei!AC23-DailyMei!AD23-DailyMei!AE23-DailyMei!AK23-DailyMei!AO23-DailyMei!AS23-DailyMei!AY23-DailyMei!BD23+DailyMei!BU23-DailyMei!BG23-DailyMei!BT23-DailyMei!AF23-DailyMei!AG23</f>
        <v>6.0000001321895979E-2</v>
      </c>
      <c r="GV24" s="59">
        <v>4011.51</v>
      </c>
      <c r="GW24" s="60">
        <f t="shared" si="50"/>
        <v>267.43400000000003</v>
      </c>
      <c r="GX24" s="61">
        <v>267.43</v>
      </c>
      <c r="GY24" s="140"/>
      <c r="GZ24" s="62"/>
      <c r="HA24" s="62"/>
      <c r="HB24" s="74"/>
      <c r="HC24" s="62"/>
      <c r="HD24" s="74"/>
      <c r="HE24" s="24">
        <f t="shared" si="51"/>
        <v>0</v>
      </c>
      <c r="HF24" s="151"/>
      <c r="HG24" s="213">
        <v>18</v>
      </c>
      <c r="HH24" s="16">
        <v>9443</v>
      </c>
      <c r="HI24" s="16">
        <v>3648</v>
      </c>
      <c r="HJ24" s="16">
        <f t="shared" si="52"/>
        <v>121389.99999999942</v>
      </c>
      <c r="HK24" s="16">
        <v>1.9189000000000001</v>
      </c>
      <c r="HL24" s="16">
        <v>660.93</v>
      </c>
      <c r="HM24" s="16">
        <f t="shared" si="100"/>
        <v>0</v>
      </c>
      <c r="HN24" s="16">
        <v>2492.3000000000002</v>
      </c>
      <c r="HO24" s="16">
        <v>1093.8</v>
      </c>
      <c r="HP24" s="16">
        <f t="shared" si="54"/>
        <v>27287.400000000274</v>
      </c>
      <c r="HQ24" s="16">
        <v>2167.6</v>
      </c>
      <c r="HR24" s="16">
        <v>946.94</v>
      </c>
      <c r="HS24" s="16">
        <f t="shared" si="55"/>
        <v>27487.400000000092</v>
      </c>
      <c r="HT24" s="16">
        <v>1840.6</v>
      </c>
      <c r="HU24" s="16">
        <v>719.88</v>
      </c>
      <c r="HV24" s="16">
        <f t="shared" si="56"/>
        <v>20287.39999999982</v>
      </c>
      <c r="HW24" s="16">
        <v>853.09</v>
      </c>
      <c r="HX24" s="16">
        <v>384.18</v>
      </c>
      <c r="HY24" s="16">
        <f t="shared" si="57"/>
        <v>27717.399999999998</v>
      </c>
      <c r="HZ24" s="16">
        <v>5373.2</v>
      </c>
      <c r="IA24" s="16">
        <v>8668.7000000000007</v>
      </c>
      <c r="IB24" s="16">
        <f t="shared" si="58"/>
        <v>1310.3999999999996</v>
      </c>
      <c r="IC24" s="16"/>
      <c r="ID24" s="16"/>
      <c r="IE24" s="16">
        <f t="shared" si="59"/>
        <v>0</v>
      </c>
      <c r="IF24" s="16"/>
      <c r="IG24" s="16"/>
      <c r="IH24" s="128">
        <f t="shared" si="1"/>
        <v>17300</v>
      </c>
      <c r="II24" s="211">
        <f t="shared" si="60"/>
        <v>-7.6579453889280558E-10</v>
      </c>
      <c r="IJ24" s="16"/>
      <c r="IK24" s="16"/>
      <c r="IL24" s="16">
        <f t="shared" si="101"/>
        <v>0</v>
      </c>
      <c r="IM24" s="16"/>
      <c r="IN24" s="16"/>
      <c r="IO24" s="16">
        <f t="shared" si="102"/>
        <v>0</v>
      </c>
      <c r="IP24" s="16"/>
      <c r="IQ24" s="16"/>
      <c r="IR24" s="16">
        <f t="shared" si="103"/>
        <v>0</v>
      </c>
      <c r="IS24" s="16"/>
      <c r="IT24" s="16"/>
      <c r="IU24" s="16">
        <f t="shared" si="104"/>
        <v>0</v>
      </c>
      <c r="IV24" s="16"/>
      <c r="IW24" s="16"/>
      <c r="IX24" s="16">
        <f t="shared" si="105"/>
        <v>0</v>
      </c>
      <c r="IY24" s="16"/>
      <c r="IZ24" s="16"/>
      <c r="JA24" s="16">
        <f t="shared" si="106"/>
        <v>0</v>
      </c>
      <c r="JB24" s="16"/>
      <c r="JC24" s="16"/>
      <c r="JD24" s="16">
        <f t="shared" si="107"/>
        <v>0</v>
      </c>
      <c r="JE24" s="16"/>
      <c r="JF24" s="16"/>
      <c r="JG24" s="16">
        <f t="shared" si="108"/>
        <v>0</v>
      </c>
      <c r="JH24" s="16"/>
      <c r="JI24" s="16"/>
      <c r="JJ24" s="16">
        <f t="shared" si="109"/>
        <v>0</v>
      </c>
      <c r="JK24" s="16"/>
      <c r="JL24" s="16"/>
      <c r="JM24" s="16">
        <f t="shared" si="110"/>
        <v>0</v>
      </c>
      <c r="JN24" s="16"/>
      <c r="JO24" s="16"/>
      <c r="JP24" s="16">
        <f t="shared" si="111"/>
        <v>0</v>
      </c>
      <c r="JQ24" s="16"/>
      <c r="JR24" s="16"/>
      <c r="JS24" s="16">
        <f t="shared" si="112"/>
        <v>0</v>
      </c>
      <c r="JT24" s="16"/>
      <c r="JU24" s="16"/>
      <c r="JV24" s="16">
        <f t="shared" si="113"/>
        <v>0</v>
      </c>
      <c r="JW24" s="16"/>
      <c r="JX24" s="16"/>
      <c r="JY24" s="16">
        <f t="shared" si="114"/>
        <v>0</v>
      </c>
      <c r="JZ24" s="16"/>
      <c r="KA24" s="16"/>
      <c r="KB24" s="16">
        <f t="shared" si="115"/>
        <v>0</v>
      </c>
      <c r="KC24" s="16"/>
      <c r="KD24" s="16"/>
      <c r="KE24" s="16">
        <f t="shared" si="116"/>
        <v>0</v>
      </c>
      <c r="KG24" s="151">
        <f t="shared" si="61"/>
        <v>28597.799999999508</v>
      </c>
    </row>
    <row r="25" spans="1:293" x14ac:dyDescent="0.25">
      <c r="A25" s="35">
        <f t="shared" si="2"/>
        <v>19</v>
      </c>
      <c r="B25" s="38">
        <v>4314.46</v>
      </c>
      <c r="C25" s="38">
        <f t="shared" si="3"/>
        <v>9.3500000000003638</v>
      </c>
      <c r="D25" s="38">
        <f t="shared" si="4"/>
        <v>299200.00000001164</v>
      </c>
      <c r="E25" s="38">
        <v>867.59</v>
      </c>
      <c r="F25" s="38">
        <f t="shared" si="5"/>
        <v>63680.000000000291</v>
      </c>
      <c r="G25" s="38">
        <f t="shared" si="6"/>
        <v>362880.00000001193</v>
      </c>
      <c r="H25" s="37"/>
      <c r="I25" s="39"/>
      <c r="J25" s="42"/>
      <c r="K25" s="37">
        <f t="shared" si="81"/>
        <v>0</v>
      </c>
      <c r="L25" s="40">
        <v>13224000</v>
      </c>
      <c r="M25" s="40"/>
      <c r="N25" s="37">
        <f t="shared" si="82"/>
        <v>348000</v>
      </c>
      <c r="O25" s="37">
        <v>10931.3</v>
      </c>
      <c r="P25" s="70"/>
      <c r="Q25" s="37">
        <f t="shared" si="119"/>
        <v>19699.999999998909</v>
      </c>
      <c r="R25" s="37">
        <f t="shared" si="83"/>
        <v>1</v>
      </c>
      <c r="S25" s="37">
        <v>11233320.199999999</v>
      </c>
      <c r="T25" s="37">
        <f t="shared" si="8"/>
        <v>339.68999999947846</v>
      </c>
      <c r="U25" s="37">
        <v>1523790.61</v>
      </c>
      <c r="V25" s="37">
        <f t="shared" si="9"/>
        <v>1259.8200000000652</v>
      </c>
      <c r="W25" s="37">
        <v>3908.8</v>
      </c>
      <c r="X25" s="37">
        <f t="shared" si="96"/>
        <v>18000.489999999365</v>
      </c>
      <c r="Y25" s="183"/>
      <c r="Z25" s="183"/>
      <c r="AA25" s="37">
        <v>786900</v>
      </c>
      <c r="AB25" s="37">
        <f t="shared" si="10"/>
        <v>100</v>
      </c>
      <c r="AC25" s="37">
        <v>4080</v>
      </c>
      <c r="AD25" s="37"/>
      <c r="AE25" s="37">
        <f t="shared" si="121"/>
        <v>5500</v>
      </c>
      <c r="AF25" s="37">
        <f t="shared" si="84"/>
        <v>1</v>
      </c>
      <c r="AG25" s="37">
        <v>8892.5</v>
      </c>
      <c r="AH25" s="37"/>
      <c r="AI25" s="37">
        <f t="shared" si="12"/>
        <v>14246.09</v>
      </c>
      <c r="AJ25" s="37">
        <f t="shared" si="13"/>
        <v>1</v>
      </c>
      <c r="AK25" s="37">
        <f t="shared" si="14"/>
        <v>39346.089999998905</v>
      </c>
      <c r="AL25" s="42">
        <v>10794.3</v>
      </c>
      <c r="AM25" s="42"/>
      <c r="AN25" s="37">
        <f t="shared" si="62"/>
        <v>7186.0900000000138</v>
      </c>
      <c r="AO25" s="37">
        <f t="shared" si="85"/>
        <v>1</v>
      </c>
      <c r="AP25" s="37">
        <v>8333.5</v>
      </c>
      <c r="AQ25" s="37"/>
      <c r="AR25" s="37">
        <f t="shared" si="15"/>
        <v>13700.000000000728</v>
      </c>
      <c r="AS25" s="37">
        <f t="shared" si="86"/>
        <v>1</v>
      </c>
      <c r="AT25" s="183"/>
      <c r="AU25" s="183"/>
      <c r="AV25" s="183"/>
      <c r="AW25" s="183"/>
      <c r="AX25" s="37">
        <v>481330</v>
      </c>
      <c r="AY25" s="37"/>
      <c r="AZ25" s="37">
        <f t="shared" si="16"/>
        <v>440</v>
      </c>
      <c r="BA25" s="37">
        <v>143180</v>
      </c>
      <c r="BB25" s="37"/>
      <c r="BC25" s="37">
        <f t="shared" si="17"/>
        <v>690</v>
      </c>
      <c r="BD25" s="37">
        <f t="shared" si="87"/>
        <v>22016.090000000742</v>
      </c>
      <c r="BE25" s="37">
        <v>1900.3</v>
      </c>
      <c r="BF25" s="37">
        <v>1045.7</v>
      </c>
      <c r="BG25" s="37">
        <f t="shared" si="18"/>
        <v>1399.9999999998636</v>
      </c>
      <c r="BH25" s="44">
        <v>8866.7999999999993</v>
      </c>
      <c r="BI25" s="44">
        <v>5701.9</v>
      </c>
      <c r="BJ25" s="37">
        <f t="shared" si="19"/>
        <v>9099.9999999985448</v>
      </c>
      <c r="BK25" s="40">
        <v>1540990</v>
      </c>
      <c r="BL25" s="40">
        <f t="shared" si="88"/>
        <v>4170</v>
      </c>
      <c r="BM25" s="40">
        <v>867.59</v>
      </c>
      <c r="BN25" s="37">
        <f t="shared" si="20"/>
        <v>590.00000000003183</v>
      </c>
      <c r="BO25" s="186"/>
      <c r="BP25" s="183">
        <f t="shared" si="21"/>
        <v>0</v>
      </c>
      <c r="BQ25" s="40">
        <v>820.3</v>
      </c>
      <c r="BR25" s="37">
        <f t="shared" si="63"/>
        <v>299.99999999995453</v>
      </c>
      <c r="BS25" s="37">
        <v>97210.65</v>
      </c>
      <c r="BT25" s="37">
        <f t="shared" si="22"/>
        <v>201.55999999999767</v>
      </c>
      <c r="BU25" s="42">
        <v>2692700</v>
      </c>
      <c r="BV25" s="42"/>
      <c r="BW25" s="37">
        <f t="shared" si="23"/>
        <v>8782</v>
      </c>
      <c r="BX25" s="37">
        <f t="shared" si="89"/>
        <v>1</v>
      </c>
      <c r="BY25" s="37">
        <v>341.7097</v>
      </c>
      <c r="BZ25" s="37"/>
      <c r="CA25" s="37">
        <f t="shared" si="117"/>
        <v>579.29999999998927</v>
      </c>
      <c r="CB25" s="37">
        <f t="shared" si="64"/>
        <v>1</v>
      </c>
      <c r="CC25" s="37">
        <v>634877.6</v>
      </c>
      <c r="CD25" s="37">
        <f t="shared" si="25"/>
        <v>3194.5999999999767</v>
      </c>
      <c r="CE25" s="41">
        <v>1159110</v>
      </c>
      <c r="CF25" s="37">
        <f t="shared" si="26"/>
        <v>5585</v>
      </c>
      <c r="CG25" s="37">
        <v>72810.600000000006</v>
      </c>
      <c r="CH25" s="37">
        <f t="shared" si="65"/>
        <v>0</v>
      </c>
      <c r="CI25" s="40">
        <v>12699.94</v>
      </c>
      <c r="CJ25" s="40"/>
      <c r="CK25" s="37">
        <f t="shared" si="66"/>
        <v>14806.790000001249</v>
      </c>
      <c r="CL25" s="37">
        <f t="shared" si="27"/>
        <v>1</v>
      </c>
      <c r="CM25" s="37">
        <v>3521.3139999999999</v>
      </c>
      <c r="CN25" s="37"/>
      <c r="CO25" s="37">
        <f t="shared" si="28"/>
        <v>6764.0900000000292</v>
      </c>
      <c r="CP25" s="37">
        <f t="shared" si="90"/>
        <v>1</v>
      </c>
      <c r="CQ25" s="39">
        <v>121278.8</v>
      </c>
      <c r="CR25" s="39"/>
      <c r="CS25" s="37">
        <f t="shared" si="67"/>
        <v>5796.09</v>
      </c>
      <c r="CT25" s="37">
        <f t="shared" si="68"/>
        <v>1</v>
      </c>
      <c r="CU25" s="37">
        <v>3336092</v>
      </c>
      <c r="CV25" s="37"/>
      <c r="CW25" s="38">
        <f t="shared" si="29"/>
        <v>15242</v>
      </c>
      <c r="CX25" s="37">
        <f t="shared" si="91"/>
        <v>1</v>
      </c>
      <c r="CY25" s="37">
        <v>1750689</v>
      </c>
      <c r="CZ25" s="37"/>
      <c r="DA25" s="37">
        <f t="shared" si="30"/>
        <v>8049</v>
      </c>
      <c r="DB25" s="37">
        <f t="shared" si="92"/>
        <v>1</v>
      </c>
      <c r="DC25" s="37"/>
      <c r="DD25" s="40"/>
      <c r="DE25" s="37">
        <f t="shared" si="31"/>
        <v>0</v>
      </c>
      <c r="DF25" s="37">
        <f t="shared" si="97"/>
        <v>0</v>
      </c>
      <c r="DG25" s="37">
        <f t="shared" si="32"/>
        <v>-59439.970000001282</v>
      </c>
      <c r="DH25" s="37">
        <f t="shared" si="33"/>
        <v>388746.08999999875</v>
      </c>
      <c r="DI25" s="46"/>
      <c r="DJ25" s="46"/>
      <c r="DK25" s="47"/>
      <c r="DL25" s="47"/>
      <c r="DM25" s="37"/>
      <c r="DN25" s="37"/>
      <c r="DO25" s="37"/>
      <c r="DP25" s="37"/>
      <c r="DQ25" s="50">
        <v>3401500</v>
      </c>
      <c r="DR25" s="49">
        <f t="shared" si="69"/>
        <v>8900</v>
      </c>
      <c r="DS25" s="50">
        <v>3688400</v>
      </c>
      <c r="DT25" s="49">
        <f t="shared" si="70"/>
        <v>19800</v>
      </c>
      <c r="DU25" s="51">
        <v>7969.5</v>
      </c>
      <c r="DV25" s="51">
        <v>4466.3</v>
      </c>
      <c r="DW25" s="37">
        <f t="shared" si="93"/>
        <v>4600.0000000003638</v>
      </c>
      <c r="DX25" s="52">
        <v>13139</v>
      </c>
      <c r="DY25" s="52">
        <v>8413.4</v>
      </c>
      <c r="DZ25" s="37">
        <f t="shared" si="34"/>
        <v>7746.09</v>
      </c>
      <c r="EA25" s="49">
        <v>30037</v>
      </c>
      <c r="EB25" s="49">
        <v>20.908999999999999</v>
      </c>
      <c r="EC25" s="37">
        <f t="shared" si="35"/>
        <v>25906.09</v>
      </c>
      <c r="ED25" s="53">
        <f t="shared" si="36"/>
        <v>38252.180000000364</v>
      </c>
      <c r="EE25" s="49">
        <v>45378</v>
      </c>
      <c r="EF25" s="49">
        <v>29.39</v>
      </c>
      <c r="EG25" s="37">
        <f t="shared" si="37"/>
        <v>10906.09</v>
      </c>
      <c r="EH25" s="51">
        <v>13029</v>
      </c>
      <c r="EI25" s="51">
        <v>1.7728999999999999</v>
      </c>
      <c r="EJ25" s="37">
        <f t="shared" si="38"/>
        <v>7746.09</v>
      </c>
      <c r="EK25" s="37">
        <v>792.45</v>
      </c>
      <c r="EL25" s="40">
        <v>1135.4000000000001</v>
      </c>
      <c r="EM25" s="37">
        <f t="shared" si="71"/>
        <v>210.00000000003638</v>
      </c>
      <c r="EN25" s="54">
        <f t="shared" si="72"/>
        <v>18862.180000000037</v>
      </c>
      <c r="EO25" s="48">
        <v>12975</v>
      </c>
      <c r="EP25" s="48">
        <v>4534.8</v>
      </c>
      <c r="EQ25" s="37">
        <f t="shared" si="73"/>
        <v>6881.0899999999911</v>
      </c>
      <c r="ER25" s="48">
        <v>9348.4</v>
      </c>
      <c r="ES25" s="48">
        <v>3836.2</v>
      </c>
      <c r="ET25" s="49">
        <f t="shared" si="99"/>
        <v>17000</v>
      </c>
      <c r="EU25" s="48">
        <v>3574.4</v>
      </c>
      <c r="EV25" s="48">
        <v>1271.0999999999999</v>
      </c>
      <c r="EW25" s="49">
        <f t="shared" si="40"/>
        <v>8246.09</v>
      </c>
      <c r="EX25" s="48">
        <v>13485</v>
      </c>
      <c r="EY25" s="48">
        <v>1.5605</v>
      </c>
      <c r="EZ25" s="37">
        <f t="shared" si="41"/>
        <v>12746.09</v>
      </c>
      <c r="FA25" s="48">
        <f t="shared" si="74"/>
        <v>-22774.26999999999</v>
      </c>
      <c r="FB25" s="48">
        <v>36466834</v>
      </c>
      <c r="FC25" s="49">
        <f t="shared" si="94"/>
        <v>22099</v>
      </c>
      <c r="FD25" s="48">
        <f t="shared" si="75"/>
        <v>46373.26999999999</v>
      </c>
      <c r="FE25" s="48">
        <v>17042</v>
      </c>
      <c r="FF25" s="48">
        <v>6084</v>
      </c>
      <c r="FG25" s="37">
        <f t="shared" si="76"/>
        <v>11122.760000000009</v>
      </c>
      <c r="FH25" s="48">
        <v>8718.9</v>
      </c>
      <c r="FI25" s="48">
        <v>3.3666999999999998</v>
      </c>
      <c r="FJ25" s="49">
        <f t="shared" si="42"/>
        <v>13857.760000000364</v>
      </c>
      <c r="FK25" s="48"/>
      <c r="FL25" s="58">
        <v>-488.33</v>
      </c>
      <c r="FM25" s="48">
        <f t="shared" si="95"/>
        <v>-746.09333333345785</v>
      </c>
      <c r="FN25" s="48">
        <v>16575</v>
      </c>
      <c r="FO25" s="48">
        <v>0.82379999999999998</v>
      </c>
      <c r="FP25" s="37">
        <f t="shared" si="77"/>
        <v>19257.759999999998</v>
      </c>
      <c r="FQ25" s="48">
        <v>58723</v>
      </c>
      <c r="FR25" s="48">
        <v>14.196</v>
      </c>
      <c r="FS25" s="37">
        <f t="shared" si="43"/>
        <v>42000</v>
      </c>
      <c r="FT25" s="48">
        <f t="shared" si="78"/>
        <v>-2238.2800000003735</v>
      </c>
      <c r="FU25" s="48">
        <f>FG25+FJ25+FP25+GM25</f>
        <v>45938.280000000195</v>
      </c>
      <c r="FV25" s="44">
        <v>4296100</v>
      </c>
      <c r="FW25" s="44">
        <v>1374100</v>
      </c>
      <c r="FX25" s="37">
        <f t="shared" si="44"/>
        <v>1700</v>
      </c>
      <c r="FY25" s="56">
        <v>3339.1</v>
      </c>
      <c r="FZ25" s="56">
        <v>2.0674999999999999</v>
      </c>
      <c r="GA25" s="37">
        <f t="shared" si="45"/>
        <v>970</v>
      </c>
      <c r="GB25" s="56">
        <v>810.95</v>
      </c>
      <c r="GC25" s="56">
        <v>908.32</v>
      </c>
      <c r="GD25" s="37">
        <f t="shared" si="46"/>
        <v>280.0000000000864</v>
      </c>
      <c r="GE25" s="56">
        <v>10042</v>
      </c>
      <c r="GF25" s="56">
        <v>3.3727</v>
      </c>
      <c r="GG25" s="37">
        <f t="shared" si="47"/>
        <v>800.0000000001819</v>
      </c>
      <c r="GH25" s="158">
        <v>1954.2</v>
      </c>
      <c r="GI25" s="159">
        <v>1668.6</v>
      </c>
      <c r="GJ25" s="38">
        <f t="shared" si="48"/>
        <v>1500</v>
      </c>
      <c r="GK25" s="159">
        <v>1482.1</v>
      </c>
      <c r="GL25" s="160">
        <v>1125.4000000000001</v>
      </c>
      <c r="GM25" s="38">
        <f t="shared" si="49"/>
        <v>1699.9999999998181</v>
      </c>
      <c r="GN25" s="57">
        <v>208210</v>
      </c>
      <c r="GO25" s="57">
        <v>184400</v>
      </c>
      <c r="GP25" s="38">
        <f t="shared" si="98"/>
        <v>0</v>
      </c>
      <c r="GQ25" s="38">
        <v>268610</v>
      </c>
      <c r="GR25" s="38">
        <v>265360</v>
      </c>
      <c r="GS25" s="38">
        <f t="shared" si="80"/>
        <v>30</v>
      </c>
      <c r="GT25" s="178"/>
      <c r="GU25" s="144">
        <f>DailyMei!B24-DailyMei!N24-DailyMei!V24-DailyMei!Y24-DailyMei!Z24-DailyMei!AA24-DailyMei!AB24-DailyMei!AC24-DailyMei!AD24-DailyMei!AE24-DailyMei!AK24-DailyMei!AO24-DailyMei!AS24-DailyMei!AY24-DailyMei!BD24+DailyMei!BU24-DailyMei!BG24-DailyMei!BT24-DailyMei!AF24-DailyMei!AG24</f>
        <v>4.0000011882511899E-2</v>
      </c>
      <c r="GV25" s="59">
        <v>11191.39</v>
      </c>
      <c r="GW25" s="60">
        <f t="shared" si="50"/>
        <v>746.09266666666667</v>
      </c>
      <c r="GX25" s="61">
        <v>746.09</v>
      </c>
      <c r="GY25" s="140"/>
      <c r="GZ25" s="62"/>
      <c r="HA25" s="62"/>
      <c r="HB25" s="74"/>
      <c r="HC25" s="62"/>
      <c r="HD25" s="74"/>
      <c r="HE25" s="24">
        <f t="shared" si="51"/>
        <v>0</v>
      </c>
      <c r="HF25" s="151"/>
      <c r="HG25" s="213">
        <v>19</v>
      </c>
      <c r="HH25" s="16">
        <v>9566</v>
      </c>
      <c r="HI25" s="16">
        <v>3694.9</v>
      </c>
      <c r="HJ25" s="16">
        <f t="shared" si="52"/>
        <v>123000</v>
      </c>
      <c r="HK25" s="16">
        <v>1.9189000000000001</v>
      </c>
      <c r="HL25" s="16">
        <v>660.93</v>
      </c>
      <c r="HM25" s="16">
        <f t="shared" si="100"/>
        <v>0</v>
      </c>
      <c r="HN25" s="16">
        <v>2521</v>
      </c>
      <c r="HO25" s="16">
        <v>1106.0999999999999</v>
      </c>
      <c r="HP25" s="16">
        <f t="shared" si="54"/>
        <v>28684.799999999817</v>
      </c>
      <c r="HQ25" s="16">
        <v>2193.4</v>
      </c>
      <c r="HR25" s="16">
        <v>957.48</v>
      </c>
      <c r="HS25" s="16">
        <f t="shared" si="55"/>
        <v>25784.800000000181</v>
      </c>
      <c r="HT25" s="16">
        <v>1860.4</v>
      </c>
      <c r="HU25" s="16">
        <v>727.29</v>
      </c>
      <c r="HV25" s="16">
        <f t="shared" si="56"/>
        <v>19784.800000000181</v>
      </c>
      <c r="HW25" s="16">
        <v>880.68</v>
      </c>
      <c r="HX25" s="16">
        <v>395.47</v>
      </c>
      <c r="HY25" s="16">
        <f t="shared" si="57"/>
        <v>27574.799999999919</v>
      </c>
      <c r="HZ25" s="16">
        <v>6744</v>
      </c>
      <c r="IA25" s="16">
        <v>10214</v>
      </c>
      <c r="IB25" s="16">
        <f t="shared" si="58"/>
        <v>1370.8000000000002</v>
      </c>
      <c r="IC25" s="16"/>
      <c r="ID25" s="16"/>
      <c r="IE25" s="16">
        <f t="shared" si="59"/>
        <v>0</v>
      </c>
      <c r="IF25" s="16"/>
      <c r="IG25" s="16"/>
      <c r="IH25" s="128">
        <f t="shared" si="1"/>
        <v>19800</v>
      </c>
      <c r="II25" s="211">
        <f t="shared" si="60"/>
        <v>-8.8220986071974039E-11</v>
      </c>
      <c r="IJ25" s="16"/>
      <c r="IK25" s="16"/>
      <c r="IL25" s="16">
        <f t="shared" si="101"/>
        <v>0</v>
      </c>
      <c r="IM25" s="16"/>
      <c r="IN25" s="16"/>
      <c r="IO25" s="16">
        <f t="shared" si="102"/>
        <v>0</v>
      </c>
      <c r="IP25" s="16"/>
      <c r="IQ25" s="16"/>
      <c r="IR25" s="16">
        <f t="shared" si="103"/>
        <v>0</v>
      </c>
      <c r="IS25" s="16"/>
      <c r="IT25" s="16"/>
      <c r="IU25" s="16">
        <f t="shared" si="104"/>
        <v>0</v>
      </c>
      <c r="IV25" s="16"/>
      <c r="IW25" s="16"/>
      <c r="IX25" s="16">
        <f t="shared" si="105"/>
        <v>0</v>
      </c>
      <c r="IY25" s="16"/>
      <c r="IZ25" s="16"/>
      <c r="JA25" s="16">
        <f t="shared" si="106"/>
        <v>0</v>
      </c>
      <c r="JB25" s="16"/>
      <c r="JC25" s="16"/>
      <c r="JD25" s="16">
        <f t="shared" si="107"/>
        <v>0</v>
      </c>
      <c r="JE25" s="16"/>
      <c r="JF25" s="16"/>
      <c r="JG25" s="16">
        <f t="shared" si="108"/>
        <v>0</v>
      </c>
      <c r="JH25" s="16"/>
      <c r="JI25" s="16"/>
      <c r="JJ25" s="16">
        <f t="shared" si="109"/>
        <v>0</v>
      </c>
      <c r="JK25" s="16"/>
      <c r="JL25" s="16"/>
      <c r="JM25" s="16">
        <f t="shared" si="110"/>
        <v>0</v>
      </c>
      <c r="JN25" s="16"/>
      <c r="JO25" s="16"/>
      <c r="JP25" s="16">
        <f t="shared" si="111"/>
        <v>0</v>
      </c>
      <c r="JQ25" s="16"/>
      <c r="JR25" s="16"/>
      <c r="JS25" s="16">
        <f t="shared" si="112"/>
        <v>0</v>
      </c>
      <c r="JT25" s="16"/>
      <c r="JU25" s="16"/>
      <c r="JV25" s="16">
        <f t="shared" si="113"/>
        <v>0</v>
      </c>
      <c r="JW25" s="16"/>
      <c r="JX25" s="16"/>
      <c r="JY25" s="16">
        <f t="shared" si="114"/>
        <v>0</v>
      </c>
      <c r="JZ25" s="16"/>
      <c r="KA25" s="16"/>
      <c r="KB25" s="16">
        <f t="shared" si="115"/>
        <v>0</v>
      </c>
      <c r="KC25" s="16"/>
      <c r="KD25" s="16"/>
      <c r="KE25" s="16">
        <f t="shared" si="116"/>
        <v>0</v>
      </c>
      <c r="KG25" s="151">
        <f t="shared" si="61"/>
        <v>30055.599999999729</v>
      </c>
    </row>
    <row r="26" spans="1:293" x14ac:dyDescent="0.25">
      <c r="A26" s="35">
        <f t="shared" si="2"/>
        <v>20</v>
      </c>
      <c r="B26" s="38">
        <v>4323.22</v>
      </c>
      <c r="C26" s="38">
        <f t="shared" si="3"/>
        <v>8.7600000000002183</v>
      </c>
      <c r="D26" s="38">
        <f t="shared" si="4"/>
        <v>280320.00000000698</v>
      </c>
      <c r="E26" s="38">
        <v>869.4</v>
      </c>
      <c r="F26" s="38">
        <f t="shared" si="5"/>
        <v>57919.999999998254</v>
      </c>
      <c r="G26" s="38">
        <f t="shared" si="6"/>
        <v>338240.00000000524</v>
      </c>
      <c r="H26" s="37"/>
      <c r="I26" s="39"/>
      <c r="J26" s="42"/>
      <c r="K26" s="37">
        <f t="shared" si="81"/>
        <v>0</v>
      </c>
      <c r="L26" s="40">
        <v>13258500</v>
      </c>
      <c r="M26" s="40"/>
      <c r="N26" s="37">
        <f t="shared" si="82"/>
        <v>345000</v>
      </c>
      <c r="O26" s="37">
        <v>10949.9</v>
      </c>
      <c r="P26" s="37"/>
      <c r="Q26" s="37">
        <f t="shared" si="119"/>
        <v>18600.000000000364</v>
      </c>
      <c r="R26" s="37">
        <f t="shared" si="83"/>
        <v>1</v>
      </c>
      <c r="S26" s="37">
        <v>11233701.109999999</v>
      </c>
      <c r="T26" s="37">
        <f t="shared" si="8"/>
        <v>380.91000000014901</v>
      </c>
      <c r="U26" s="37">
        <v>1523790.61</v>
      </c>
      <c r="V26" s="37">
        <f t="shared" si="9"/>
        <v>0</v>
      </c>
      <c r="W26" s="37">
        <v>3915.7</v>
      </c>
      <c r="X26" s="37">
        <f t="shared" si="96"/>
        <v>18119.090000000215</v>
      </c>
      <c r="Y26" s="183"/>
      <c r="Z26" s="183"/>
      <c r="AA26" s="37">
        <v>787000</v>
      </c>
      <c r="AB26" s="37">
        <f t="shared" si="10"/>
        <v>100</v>
      </c>
      <c r="AC26" s="37">
        <v>4086.1</v>
      </c>
      <c r="AD26" s="37"/>
      <c r="AE26" s="37">
        <f t="shared" si="121"/>
        <v>6099.9999999999091</v>
      </c>
      <c r="AF26" s="37">
        <f>IF(AE26&lt;=0,0,(AE26/SQRT(AE26^2+(AD26-AD25)^2)))</f>
        <v>1</v>
      </c>
      <c r="AG26" s="37">
        <v>8905.7999999999993</v>
      </c>
      <c r="AH26" s="37"/>
      <c r="AI26" s="37">
        <f t="shared" si="12"/>
        <v>12979.029999999273</v>
      </c>
      <c r="AJ26" s="37">
        <f t="shared" si="13"/>
        <v>1</v>
      </c>
      <c r="AK26" s="37">
        <f t="shared" si="14"/>
        <v>37579.029999999548</v>
      </c>
      <c r="AL26" s="42">
        <v>10806.6</v>
      </c>
      <c r="AM26" s="42"/>
      <c r="AN26" s="37">
        <f t="shared" si="62"/>
        <v>6559.0300000010511</v>
      </c>
      <c r="AO26" s="37">
        <f t="shared" si="85"/>
        <v>1</v>
      </c>
      <c r="AP26" s="37">
        <v>8348.2999999999993</v>
      </c>
      <c r="AQ26" s="37"/>
      <c r="AR26" s="37">
        <f t="shared" si="15"/>
        <v>14799.999999999272</v>
      </c>
      <c r="AS26" s="37">
        <f t="shared" si="86"/>
        <v>1</v>
      </c>
      <c r="AT26" s="183"/>
      <c r="AU26" s="183"/>
      <c r="AV26" s="183"/>
      <c r="AW26" s="183"/>
      <c r="AX26" s="37">
        <v>481810</v>
      </c>
      <c r="AY26" s="37"/>
      <c r="AZ26" s="37">
        <f t="shared" si="16"/>
        <v>480</v>
      </c>
      <c r="BA26" s="37">
        <v>143920</v>
      </c>
      <c r="BB26" s="37"/>
      <c r="BC26" s="37">
        <f t="shared" si="17"/>
        <v>740</v>
      </c>
      <c r="BD26" s="37">
        <f t="shared" si="87"/>
        <v>22579.030000000323</v>
      </c>
      <c r="BE26" s="43">
        <v>1902.2</v>
      </c>
      <c r="BF26" s="43">
        <v>1046.9000000000001</v>
      </c>
      <c r="BG26" s="37">
        <f t="shared" si="18"/>
        <v>1900.0000000000909</v>
      </c>
      <c r="BH26" s="44">
        <v>8876</v>
      </c>
      <c r="BI26" s="44">
        <v>5708.1</v>
      </c>
      <c r="BJ26" s="37">
        <f t="shared" si="19"/>
        <v>9200.0000000007276</v>
      </c>
      <c r="BK26" s="40">
        <v>1545080</v>
      </c>
      <c r="BL26" s="40">
        <f t="shared" si="88"/>
        <v>4090</v>
      </c>
      <c r="BM26" s="40">
        <v>868.22</v>
      </c>
      <c r="BN26" s="37">
        <f t="shared" si="20"/>
        <v>629.99999999999545</v>
      </c>
      <c r="BO26" s="186"/>
      <c r="BP26" s="183">
        <f t="shared" si="21"/>
        <v>0</v>
      </c>
      <c r="BQ26" s="40">
        <v>821</v>
      </c>
      <c r="BR26" s="37">
        <f t="shared" si="63"/>
        <v>700.00000000004547</v>
      </c>
      <c r="BS26" s="37">
        <v>97419.88</v>
      </c>
      <c r="BT26" s="37">
        <f t="shared" si="22"/>
        <v>209.23000000001048</v>
      </c>
      <c r="BU26" s="42">
        <v>2692799</v>
      </c>
      <c r="BV26" s="42"/>
      <c r="BW26" s="37">
        <f t="shared" si="23"/>
        <v>99</v>
      </c>
      <c r="BX26" s="37">
        <f t="shared" si="89"/>
        <v>1</v>
      </c>
      <c r="BY26" s="43">
        <v>341.8023</v>
      </c>
      <c r="BZ26" s="37"/>
      <c r="CA26" s="37">
        <f t="shared" si="117"/>
        <v>92.600000000004457</v>
      </c>
      <c r="CB26" s="37">
        <f t="shared" si="64"/>
        <v>1</v>
      </c>
      <c r="CC26" s="37">
        <v>634877.6</v>
      </c>
      <c r="CD26" s="37">
        <f t="shared" si="25"/>
        <v>0</v>
      </c>
      <c r="CE26" s="41">
        <v>1159232</v>
      </c>
      <c r="CF26" s="37">
        <f t="shared" si="26"/>
        <v>122</v>
      </c>
      <c r="CG26" s="37">
        <v>72810.600000000006</v>
      </c>
      <c r="CH26" s="37">
        <f t="shared" si="65"/>
        <v>0</v>
      </c>
      <c r="CI26" s="40">
        <v>12703.34</v>
      </c>
      <c r="CJ26" s="40"/>
      <c r="CK26" s="37">
        <f t="shared" si="66"/>
        <v>2986.4299999996315</v>
      </c>
      <c r="CL26" s="37">
        <f t="shared" si="27"/>
        <v>1</v>
      </c>
      <c r="CM26" s="37">
        <v>3521.5709999999999</v>
      </c>
      <c r="CN26" s="37"/>
      <c r="CO26" s="37">
        <f>IF((CM26-CM25)&lt;=0,0,(CM26-CM25))*1000</f>
        <v>257.00000000006185</v>
      </c>
      <c r="CP26" s="37">
        <f t="shared" si="90"/>
        <v>1</v>
      </c>
      <c r="CQ26" s="39">
        <v>121490.4</v>
      </c>
      <c r="CR26" s="39"/>
      <c r="CS26" s="37">
        <f>IF((CQ26-CQ25)&lt;=0,0,(CQ26-CQ25))</f>
        <v>211.59999999999127</v>
      </c>
      <c r="CT26" s="37">
        <f t="shared" si="68"/>
        <v>1</v>
      </c>
      <c r="CU26" s="37">
        <v>3336685</v>
      </c>
      <c r="CV26" s="37"/>
      <c r="CW26" s="38">
        <f t="shared" si="29"/>
        <v>593</v>
      </c>
      <c r="CX26" s="37">
        <f t="shared" si="91"/>
        <v>1</v>
      </c>
      <c r="CY26" s="37">
        <v>1750939</v>
      </c>
      <c r="CZ26" s="37"/>
      <c r="DA26" s="37">
        <f t="shared" si="30"/>
        <v>250</v>
      </c>
      <c r="DB26" s="37">
        <f t="shared" si="92"/>
        <v>1</v>
      </c>
      <c r="DC26" s="37"/>
      <c r="DD26" s="40"/>
      <c r="DE26" s="37">
        <f t="shared" si="31"/>
        <v>0</v>
      </c>
      <c r="DF26" s="37">
        <f t="shared" si="97"/>
        <v>0</v>
      </c>
      <c r="DG26" s="37">
        <f t="shared" si="32"/>
        <v>-4397.0299999996842</v>
      </c>
      <c r="DH26" s="37">
        <f t="shared" si="33"/>
        <v>384479.02999999962</v>
      </c>
      <c r="DI26" s="46"/>
      <c r="DJ26" s="46"/>
      <c r="DK26" s="47"/>
      <c r="DL26" s="47"/>
      <c r="DM26" s="37"/>
      <c r="DN26" s="37"/>
      <c r="DO26" s="37"/>
      <c r="DP26" s="37"/>
      <c r="DQ26" s="50">
        <v>3411400</v>
      </c>
      <c r="DR26" s="49">
        <f t="shared" si="69"/>
        <v>9900</v>
      </c>
      <c r="DS26" s="50">
        <v>3707500</v>
      </c>
      <c r="DT26" s="49">
        <f t="shared" si="70"/>
        <v>19100</v>
      </c>
      <c r="DU26" s="51">
        <v>7974.2</v>
      </c>
      <c r="DV26" s="51">
        <v>4469.2</v>
      </c>
      <c r="DW26" s="37">
        <f t="shared" si="93"/>
        <v>4699.9999999998181</v>
      </c>
      <c r="DX26" s="52">
        <v>13146</v>
      </c>
      <c r="DY26" s="52">
        <v>8413.7999999999993</v>
      </c>
      <c r="DZ26" s="37">
        <f t="shared" si="34"/>
        <v>6679.03</v>
      </c>
      <c r="EA26" s="49">
        <v>30060</v>
      </c>
      <c r="EB26" s="49">
        <v>20.922999999999998</v>
      </c>
      <c r="EC26" s="37">
        <f t="shared" si="35"/>
        <v>24839.03</v>
      </c>
      <c r="ED26" s="53">
        <f t="shared" si="36"/>
        <v>36218.059999999816</v>
      </c>
      <c r="EE26" s="49">
        <v>45404</v>
      </c>
      <c r="EF26" s="49">
        <v>29.414999999999999</v>
      </c>
      <c r="EG26" s="37">
        <f t="shared" si="37"/>
        <v>27839.03</v>
      </c>
      <c r="EH26" s="51">
        <v>13041</v>
      </c>
      <c r="EI26" s="51">
        <v>1.7753000000000001</v>
      </c>
      <c r="EJ26" s="37">
        <f t="shared" si="38"/>
        <v>11679.03</v>
      </c>
      <c r="EK26" s="37">
        <v>793.28</v>
      </c>
      <c r="EL26" s="40">
        <v>1136.7</v>
      </c>
      <c r="EM26" s="37">
        <f t="shared" si="71"/>
        <v>829.99999999992724</v>
      </c>
      <c r="EN26" s="54">
        <f t="shared" si="72"/>
        <v>40348.059999999925</v>
      </c>
      <c r="EO26" s="48">
        <v>12982</v>
      </c>
      <c r="EP26" s="48">
        <v>4537.3999999999996</v>
      </c>
      <c r="EQ26" s="37">
        <f t="shared" si="73"/>
        <v>5784.0300000000179</v>
      </c>
      <c r="ER26" s="48">
        <v>9366.7000000000007</v>
      </c>
      <c r="ES26" s="48">
        <v>3843.8</v>
      </c>
      <c r="ET26" s="49">
        <f t="shared" si="99"/>
        <v>18300.000000001091</v>
      </c>
      <c r="EU26" s="48">
        <v>3582.6</v>
      </c>
      <c r="EV26" s="48">
        <v>1274</v>
      </c>
      <c r="EW26" s="49">
        <f t="shared" si="40"/>
        <v>7879.0299999998178</v>
      </c>
      <c r="EX26" s="48">
        <v>13497</v>
      </c>
      <c r="EY26" s="48">
        <v>1.5629999999999999</v>
      </c>
      <c r="EZ26" s="37">
        <f t="shared" si="41"/>
        <v>11679.03</v>
      </c>
      <c r="FA26" s="48">
        <f t="shared" si="74"/>
        <v>-19981.090000000928</v>
      </c>
      <c r="FB26" s="60">
        <v>36490495</v>
      </c>
      <c r="FC26" s="49">
        <f t="shared" si="94"/>
        <v>23661</v>
      </c>
      <c r="FD26" s="48">
        <f t="shared" si="75"/>
        <v>45342.090000000971</v>
      </c>
      <c r="FE26" s="48">
        <v>17052</v>
      </c>
      <c r="FF26" s="48">
        <v>6084</v>
      </c>
      <c r="FG26" s="37">
        <f t="shared" si="76"/>
        <v>10875.699999999983</v>
      </c>
      <c r="FH26" s="48">
        <v>8733.1</v>
      </c>
      <c r="FI26" s="48">
        <v>3.3719999999999999</v>
      </c>
      <c r="FJ26" s="49">
        <f t="shared" si="42"/>
        <v>14180.700000000728</v>
      </c>
      <c r="FK26" s="48"/>
      <c r="FL26" s="58">
        <v>301.67</v>
      </c>
      <c r="FM26" s="48">
        <f t="shared" si="95"/>
        <v>320.96666666643068</v>
      </c>
      <c r="FN26" s="48">
        <v>16594</v>
      </c>
      <c r="FO26" s="48">
        <v>0.82599999999999996</v>
      </c>
      <c r="FP26" s="37">
        <f t="shared" si="77"/>
        <v>18980.699999999997</v>
      </c>
      <c r="FQ26" s="48">
        <v>58768</v>
      </c>
      <c r="FR26" s="48">
        <v>14.205</v>
      </c>
      <c r="FS26" s="37">
        <f t="shared" si="43"/>
        <v>45000</v>
      </c>
      <c r="FT26" s="48">
        <f t="shared" si="78"/>
        <v>962.89999999929205</v>
      </c>
      <c r="FU26" s="48">
        <f t="shared" si="79"/>
        <v>45837.10000000077</v>
      </c>
      <c r="FV26" s="71">
        <v>4318500</v>
      </c>
      <c r="FW26" s="44">
        <v>1381100</v>
      </c>
      <c r="FX26" s="37">
        <f t="shared" si="44"/>
        <v>22400</v>
      </c>
      <c r="FY26" s="56">
        <v>3345.3</v>
      </c>
      <c r="FZ26" s="56">
        <v>2.0728</v>
      </c>
      <c r="GA26" s="37">
        <f t="shared" si="45"/>
        <v>6050.0000000002728</v>
      </c>
      <c r="GB26" s="56">
        <v>811.7</v>
      </c>
      <c r="GC26" s="56">
        <v>909.2</v>
      </c>
      <c r="GD26" s="37">
        <f t="shared" si="46"/>
        <v>750</v>
      </c>
      <c r="GE26" s="56">
        <v>10052</v>
      </c>
      <c r="GF26" s="56">
        <v>3.3788999999999998</v>
      </c>
      <c r="GG26" s="37">
        <f t="shared" si="47"/>
        <v>6499.9999999998863</v>
      </c>
      <c r="GH26" s="158">
        <v>1955.9</v>
      </c>
      <c r="GI26" s="159">
        <v>1670.2</v>
      </c>
      <c r="GJ26" s="38">
        <f t="shared" si="48"/>
        <v>1700.0000000000455</v>
      </c>
      <c r="GK26" s="159">
        <v>1484</v>
      </c>
      <c r="GL26" s="160">
        <v>1126.0999999999999</v>
      </c>
      <c r="GM26" s="38">
        <f>IF((GK26-GK25)&lt;=0,0,((((GH26-GH25))*1000)+((GK26-GK25))*1000))/2</f>
        <v>1800.0000000000682</v>
      </c>
      <c r="GN26" s="57">
        <v>208210</v>
      </c>
      <c r="GO26" s="57">
        <v>184400</v>
      </c>
      <c r="GP26" s="38">
        <f t="shared" si="98"/>
        <v>0</v>
      </c>
      <c r="GQ26" s="38">
        <v>268760</v>
      </c>
      <c r="GR26" s="38">
        <v>265470</v>
      </c>
      <c r="GS26" s="38">
        <f t="shared" si="80"/>
        <v>150</v>
      </c>
      <c r="GT26" s="178"/>
      <c r="GU26" s="144">
        <f>DailyMei!B25-DailyMei!N25-DailyMei!V25-DailyMei!Y25-DailyMei!Z25-DailyMei!AA25-DailyMei!AB25-DailyMei!AC25-DailyMei!AD25-DailyMei!AE25-DailyMei!AK25-DailyMei!AO25-DailyMei!AS25-DailyMei!AY25-DailyMei!BD25+DailyMei!BU25-DailyMei!BG25-DailyMei!BT25-DailyMei!AF25-DailyMei!AG25</f>
        <v>2.3719621822237968E-9</v>
      </c>
      <c r="GV26" s="59">
        <v>-4172.6099999999997</v>
      </c>
      <c r="GW26" s="223">
        <f>GV26/13</f>
        <v>-320.96999999999997</v>
      </c>
      <c r="GX26" s="61">
        <v>-320.97000000000003</v>
      </c>
      <c r="GY26" s="140"/>
      <c r="GZ26" s="62"/>
      <c r="HA26" s="62"/>
      <c r="HB26" s="74"/>
      <c r="HC26" s="62"/>
      <c r="HD26" s="74"/>
      <c r="HE26" s="24">
        <f t="shared" si="51"/>
        <v>0</v>
      </c>
      <c r="HF26" s="151"/>
      <c r="HG26" s="213">
        <v>20</v>
      </c>
      <c r="HH26" s="16">
        <v>9694.2000000000007</v>
      </c>
      <c r="HI26" s="16">
        <v>3744.5</v>
      </c>
      <c r="HJ26" s="16">
        <f t="shared" si="52"/>
        <v>128200.00000000073</v>
      </c>
      <c r="HK26" s="16">
        <v>1.9189000000000001</v>
      </c>
      <c r="HL26" s="16">
        <v>660.93</v>
      </c>
      <c r="HM26" s="16">
        <f t="shared" si="100"/>
        <v>0</v>
      </c>
      <c r="HN26" s="16">
        <v>2551.9</v>
      </c>
      <c r="HO26" s="16">
        <v>1119.2</v>
      </c>
      <c r="HP26" s="16">
        <f t="shared" si="54"/>
        <v>31154.500000000091</v>
      </c>
      <c r="HQ26" s="16">
        <v>2219.4</v>
      </c>
      <c r="HR26" s="16">
        <v>968.03</v>
      </c>
      <c r="HS26" s="16">
        <f t="shared" si="55"/>
        <v>26254.5</v>
      </c>
      <c r="HT26" s="16">
        <v>1880.7</v>
      </c>
      <c r="HU26" s="16">
        <v>734.89</v>
      </c>
      <c r="HV26" s="16">
        <f t="shared" si="56"/>
        <v>20554.499999999956</v>
      </c>
      <c r="HW26" s="16">
        <v>908.05</v>
      </c>
      <c r="HX26" s="16">
        <v>406.69</v>
      </c>
      <c r="HY26" s="16">
        <f t="shared" si="57"/>
        <v>27624.500000000004</v>
      </c>
      <c r="HZ26" s="16">
        <v>10256</v>
      </c>
      <c r="IA26" s="16">
        <v>13283</v>
      </c>
      <c r="IB26" s="16">
        <f t="shared" si="58"/>
        <v>3512</v>
      </c>
      <c r="IC26" s="16"/>
      <c r="ID26" s="16"/>
      <c r="IE26" s="16">
        <f t="shared" si="59"/>
        <v>0</v>
      </c>
      <c r="IF26" s="16"/>
      <c r="IG26" s="16"/>
      <c r="IH26" s="128">
        <f t="shared" si="1"/>
        <v>19100</v>
      </c>
      <c r="II26" s="211">
        <f t="shared" si="60"/>
        <v>6.8030203692615032E-10</v>
      </c>
      <c r="IJ26" s="16"/>
      <c r="IK26" s="16"/>
      <c r="IL26" s="16">
        <f t="shared" si="101"/>
        <v>0</v>
      </c>
      <c r="IM26" s="16"/>
      <c r="IN26" s="16"/>
      <c r="IO26" s="16">
        <f t="shared" si="102"/>
        <v>0</v>
      </c>
      <c r="IP26" s="16"/>
      <c r="IQ26" s="16"/>
      <c r="IR26" s="16">
        <f t="shared" si="103"/>
        <v>0</v>
      </c>
      <c r="IS26" s="16"/>
      <c r="IT26" s="16"/>
      <c r="IU26" s="16">
        <f t="shared" si="104"/>
        <v>0</v>
      </c>
      <c r="IV26" s="16"/>
      <c r="IW26" s="16"/>
      <c r="IX26" s="16">
        <f t="shared" si="105"/>
        <v>0</v>
      </c>
      <c r="IY26" s="16"/>
      <c r="IZ26" s="16"/>
      <c r="JA26" s="16">
        <f t="shared" si="106"/>
        <v>0</v>
      </c>
      <c r="JB26" s="16"/>
      <c r="JC26" s="16"/>
      <c r="JD26" s="16">
        <f t="shared" si="107"/>
        <v>0</v>
      </c>
      <c r="JE26" s="16"/>
      <c r="JF26" s="16"/>
      <c r="JG26" s="16">
        <f t="shared" si="108"/>
        <v>0</v>
      </c>
      <c r="JH26" s="16"/>
      <c r="JI26" s="16"/>
      <c r="JJ26" s="16">
        <f t="shared" si="109"/>
        <v>0</v>
      </c>
      <c r="JK26" s="16"/>
      <c r="JL26" s="16"/>
      <c r="JM26" s="16">
        <f t="shared" si="110"/>
        <v>0</v>
      </c>
      <c r="JN26" s="16"/>
      <c r="JO26" s="16"/>
      <c r="JP26" s="16">
        <f t="shared" si="111"/>
        <v>0</v>
      </c>
      <c r="JQ26" s="16"/>
      <c r="JR26" s="16"/>
      <c r="JS26" s="16">
        <f t="shared" si="112"/>
        <v>0</v>
      </c>
      <c r="JT26" s="16"/>
      <c r="JU26" s="16"/>
      <c r="JV26" s="16">
        <f t="shared" si="113"/>
        <v>0</v>
      </c>
      <c r="JW26" s="16"/>
      <c r="JX26" s="16"/>
      <c r="JY26" s="16">
        <f t="shared" si="114"/>
        <v>0</v>
      </c>
      <c r="JZ26" s="16"/>
      <c r="KA26" s="16"/>
      <c r="KB26" s="16">
        <f t="shared" si="115"/>
        <v>0</v>
      </c>
      <c r="KC26" s="16"/>
      <c r="KD26" s="16"/>
      <c r="KE26" s="16">
        <f t="shared" si="116"/>
        <v>0</v>
      </c>
      <c r="KG26" s="151">
        <f t="shared" si="61"/>
        <v>34666.500000000771</v>
      </c>
    </row>
    <row r="27" spans="1:293" x14ac:dyDescent="0.25">
      <c r="A27" s="35">
        <f t="shared" si="2"/>
        <v>21</v>
      </c>
      <c r="B27" s="38">
        <v>4333.28</v>
      </c>
      <c r="C27" s="38">
        <f t="shared" si="3"/>
        <v>10.059999999999491</v>
      </c>
      <c r="D27" s="38">
        <f t="shared" si="4"/>
        <v>321919.9999999837</v>
      </c>
      <c r="E27" s="38">
        <v>871.39</v>
      </c>
      <c r="F27" s="38">
        <f t="shared" si="5"/>
        <v>63680.000000000291</v>
      </c>
      <c r="G27" s="38">
        <f t="shared" si="6"/>
        <v>385599.99999998399</v>
      </c>
      <c r="H27" s="37"/>
      <c r="I27" s="39"/>
      <c r="J27" s="42"/>
      <c r="K27" s="37">
        <f t="shared" si="81"/>
        <v>0</v>
      </c>
      <c r="L27" s="40">
        <v>13296500</v>
      </c>
      <c r="M27" s="40"/>
      <c r="N27" s="37">
        <f t="shared" si="82"/>
        <v>380000</v>
      </c>
      <c r="O27" s="37">
        <v>10968.3</v>
      </c>
      <c r="P27" s="37"/>
      <c r="Q27" s="37">
        <f t="shared" si="119"/>
        <v>18399.999999999636</v>
      </c>
      <c r="R27" s="37">
        <f t="shared" si="83"/>
        <v>1</v>
      </c>
      <c r="S27" s="37">
        <v>11234071.800000001</v>
      </c>
      <c r="T27" s="37">
        <f t="shared" si="8"/>
        <v>370.6900000013411</v>
      </c>
      <c r="U27" s="37">
        <v>1523790.61</v>
      </c>
      <c r="V27" s="37">
        <f t="shared" si="9"/>
        <v>0</v>
      </c>
      <c r="W27" s="37">
        <v>3922.6</v>
      </c>
      <c r="X27" s="37">
        <f t="shared" si="96"/>
        <v>17929.309999998295</v>
      </c>
      <c r="Y27" s="183"/>
      <c r="Z27" s="183"/>
      <c r="AA27" s="37">
        <v>787100</v>
      </c>
      <c r="AB27" s="37">
        <f t="shared" si="10"/>
        <v>100</v>
      </c>
      <c r="AC27" s="37">
        <v>4092.3</v>
      </c>
      <c r="AD27" s="37"/>
      <c r="AE27" s="37">
        <f t="shared" si="121"/>
        <v>6200.0000000002728</v>
      </c>
      <c r="AF27" s="37">
        <f t="shared" si="84"/>
        <v>1</v>
      </c>
      <c r="AG27" s="37">
        <v>8919.5</v>
      </c>
      <c r="AH27" s="37"/>
      <c r="AI27" s="37">
        <f t="shared" si="12"/>
        <v>14160.010000000728</v>
      </c>
      <c r="AJ27" s="37">
        <f t="shared" si="13"/>
        <v>1</v>
      </c>
      <c r="AK27" s="37">
        <f t="shared" si="14"/>
        <v>38660.010000000635</v>
      </c>
      <c r="AL27" s="42">
        <v>10818.6</v>
      </c>
      <c r="AM27" s="42"/>
      <c r="AN27" s="37">
        <f t="shared" si="62"/>
        <v>6780.0100000000411</v>
      </c>
      <c r="AO27" s="37">
        <f t="shared" si="85"/>
        <v>1</v>
      </c>
      <c r="AP27" s="37">
        <v>8362.7999999999993</v>
      </c>
      <c r="AQ27" s="37"/>
      <c r="AR27" s="37">
        <f t="shared" si="15"/>
        <v>14500</v>
      </c>
      <c r="AS27" s="37">
        <f t="shared" si="86"/>
        <v>1</v>
      </c>
      <c r="AT27" s="183"/>
      <c r="AU27" s="183"/>
      <c r="AV27" s="183"/>
      <c r="AW27" s="183"/>
      <c r="AX27" s="37">
        <v>482330</v>
      </c>
      <c r="AY27" s="37"/>
      <c r="AZ27" s="37">
        <f t="shared" si="16"/>
        <v>520</v>
      </c>
      <c r="BA27" s="37">
        <v>144670</v>
      </c>
      <c r="BB27" s="37"/>
      <c r="BC27" s="37">
        <f t="shared" si="17"/>
        <v>750</v>
      </c>
      <c r="BD27" s="37">
        <f t="shared" si="87"/>
        <v>22550.010000000042</v>
      </c>
      <c r="BE27" s="43">
        <v>1904.2</v>
      </c>
      <c r="BF27" s="43">
        <v>1048.2</v>
      </c>
      <c r="BG27" s="37">
        <f t="shared" si="18"/>
        <v>2000</v>
      </c>
      <c r="BH27" s="44">
        <v>8885.2000000000007</v>
      </c>
      <c r="BI27" s="44">
        <v>5714.1</v>
      </c>
      <c r="BJ27" s="37">
        <f t="shared" si="19"/>
        <v>9200.0000000007276</v>
      </c>
      <c r="BK27" s="40">
        <v>1549340</v>
      </c>
      <c r="BL27" s="40">
        <f t="shared" si="88"/>
        <v>4260</v>
      </c>
      <c r="BM27" s="40">
        <v>868.84</v>
      </c>
      <c r="BN27" s="37">
        <f t="shared" si="20"/>
        <v>620.00000000000455</v>
      </c>
      <c r="BO27" s="186"/>
      <c r="BP27" s="183">
        <f t="shared" si="21"/>
        <v>0</v>
      </c>
      <c r="BQ27" s="40">
        <v>821.8</v>
      </c>
      <c r="BR27" s="37">
        <f t="shared" si="63"/>
        <v>799.99999999995453</v>
      </c>
      <c r="BS27" s="37">
        <v>97621.24</v>
      </c>
      <c r="BT27" s="37">
        <f t="shared" si="22"/>
        <v>201.36000000000058</v>
      </c>
      <c r="BU27" s="42">
        <v>2697753</v>
      </c>
      <c r="BV27" s="42"/>
      <c r="BW27" s="37">
        <f t="shared" si="23"/>
        <v>4954</v>
      </c>
      <c r="BX27" s="37">
        <f t="shared" si="89"/>
        <v>1</v>
      </c>
      <c r="BY27" s="43">
        <v>342.40679999999998</v>
      </c>
      <c r="BZ27" s="37"/>
      <c r="CA27" s="37">
        <f t="shared" si="117"/>
        <v>604.49999999997317</v>
      </c>
      <c r="CB27" s="37">
        <f t="shared" si="64"/>
        <v>1</v>
      </c>
      <c r="CC27" s="37">
        <v>634877.6</v>
      </c>
      <c r="CD27" s="37">
        <f t="shared" si="25"/>
        <v>0</v>
      </c>
      <c r="CE27" s="41">
        <v>1164114</v>
      </c>
      <c r="CF27" s="37">
        <f t="shared" si="26"/>
        <v>4882</v>
      </c>
      <c r="CG27" s="37">
        <v>72810.600000000006</v>
      </c>
      <c r="CH27" s="37">
        <f t="shared" si="65"/>
        <v>0</v>
      </c>
      <c r="CI27" s="40">
        <v>12718.63</v>
      </c>
      <c r="CJ27" s="40"/>
      <c r="CK27" s="37">
        <f t="shared" si="66"/>
        <v>15145.509999999082</v>
      </c>
      <c r="CL27" s="37">
        <f t="shared" si="27"/>
        <v>1</v>
      </c>
      <c r="CM27" s="37">
        <v>3527.7930000000001</v>
      </c>
      <c r="CN27" s="37"/>
      <c r="CO27" s="37">
        <f t="shared" si="28"/>
        <v>6682.0100000002076</v>
      </c>
      <c r="CP27" s="37">
        <f t="shared" si="90"/>
        <v>1</v>
      </c>
      <c r="CQ27" s="39">
        <v>128900.3</v>
      </c>
      <c r="CR27" s="39"/>
      <c r="CS27" s="37">
        <f t="shared" si="67"/>
        <v>7869.9100000000089</v>
      </c>
      <c r="CT27" s="37">
        <f t="shared" si="68"/>
        <v>1</v>
      </c>
      <c r="CU27" s="37">
        <v>3337345</v>
      </c>
      <c r="CV27" s="37"/>
      <c r="CW27" s="38">
        <f t="shared" si="29"/>
        <v>660</v>
      </c>
      <c r="CX27" s="37">
        <f t="shared" si="91"/>
        <v>1</v>
      </c>
      <c r="CY27" s="37">
        <v>1751524</v>
      </c>
      <c r="CZ27" s="37"/>
      <c r="DA27" s="37">
        <f t="shared" ref="DA27:DA38" si="123">IF((CY27-CY26)&lt;=0,0,(CY27-CY26))/1</f>
        <v>585</v>
      </c>
      <c r="DB27" s="37">
        <f t="shared" si="92"/>
        <v>1</v>
      </c>
      <c r="DC27" s="37"/>
      <c r="DD27" s="40"/>
      <c r="DE27" s="37">
        <f t="shared" si="31"/>
        <v>0</v>
      </c>
      <c r="DF27" s="37">
        <f t="shared" si="97"/>
        <v>0</v>
      </c>
      <c r="DG27" s="37">
        <f t="shared" si="32"/>
        <v>-35896.429999999295</v>
      </c>
      <c r="DH27" s="37">
        <f t="shared" si="33"/>
        <v>420660.01000000065</v>
      </c>
      <c r="DI27" s="46"/>
      <c r="DJ27" s="46"/>
      <c r="DK27" s="47"/>
      <c r="DL27" s="47"/>
      <c r="DM27" s="37"/>
      <c r="DN27" s="37"/>
      <c r="DO27" s="37"/>
      <c r="DP27" s="37"/>
      <c r="DQ27" s="50">
        <v>3421700</v>
      </c>
      <c r="DR27" s="49">
        <f t="shared" si="69"/>
        <v>10300</v>
      </c>
      <c r="DS27" s="50">
        <v>3727300</v>
      </c>
      <c r="DT27" s="49">
        <f t="shared" si="70"/>
        <v>19800</v>
      </c>
      <c r="DU27" s="51">
        <v>7978.9</v>
      </c>
      <c r="DV27" s="51">
        <v>4472.1000000000004</v>
      </c>
      <c r="DW27" s="37">
        <f t="shared" si="93"/>
        <v>4699.9999999998181</v>
      </c>
      <c r="DX27" s="52">
        <v>13153</v>
      </c>
      <c r="DY27" s="52">
        <v>8414.1</v>
      </c>
      <c r="DZ27" s="37">
        <f t="shared" si="34"/>
        <v>7460.01</v>
      </c>
      <c r="EA27" s="49">
        <v>30082</v>
      </c>
      <c r="EB27" s="49">
        <v>20.934999999999999</v>
      </c>
      <c r="EC27" s="37">
        <f t="shared" si="35"/>
        <v>24620.01</v>
      </c>
      <c r="ED27" s="53">
        <f t="shared" si="36"/>
        <v>36780.019999999815</v>
      </c>
      <c r="EE27" s="49">
        <v>45433</v>
      </c>
      <c r="EF27" s="49">
        <v>29.443000000000001</v>
      </c>
      <c r="EG27" s="37">
        <f t="shared" si="37"/>
        <v>31620.01</v>
      </c>
      <c r="EH27" s="51">
        <v>13052</v>
      </c>
      <c r="EI27" s="51">
        <v>1.7777000000000001</v>
      </c>
      <c r="EJ27" s="37">
        <f t="shared" si="38"/>
        <v>11460.01</v>
      </c>
      <c r="EK27" s="37">
        <v>794.08</v>
      </c>
      <c r="EL27" s="40">
        <v>1137.8</v>
      </c>
      <c r="EM27" s="37">
        <f t="shared" si="71"/>
        <v>800.00000000006821</v>
      </c>
      <c r="EN27" s="54">
        <f t="shared" si="72"/>
        <v>43880.020000000062</v>
      </c>
      <c r="EO27" s="48">
        <v>12991</v>
      </c>
      <c r="EP27" s="48">
        <v>4540.3</v>
      </c>
      <c r="EQ27" s="37">
        <f t="shared" si="73"/>
        <v>8510.0100000000111</v>
      </c>
      <c r="ER27" s="48">
        <v>9385</v>
      </c>
      <c r="ES27" s="48">
        <v>3851.3</v>
      </c>
      <c r="ET27" s="49">
        <f t="shared" si="99"/>
        <v>18299.999999999272</v>
      </c>
      <c r="EU27" s="48">
        <v>3591.1</v>
      </c>
      <c r="EV27" s="48">
        <v>1276.9000000000001</v>
      </c>
      <c r="EW27" s="49">
        <f t="shared" si="40"/>
        <v>8960.01</v>
      </c>
      <c r="EX27" s="48">
        <v>13509</v>
      </c>
      <c r="EY27" s="48">
        <v>1.5650999999999999</v>
      </c>
      <c r="EZ27" s="37">
        <f t="shared" si="41"/>
        <v>12460.01</v>
      </c>
      <c r="FA27" s="48">
        <f t="shared" si="74"/>
        <v>-24445.029999999286</v>
      </c>
      <c r="FB27" s="48">
        <v>36514280</v>
      </c>
      <c r="FC27" s="49">
        <f t="shared" si="94"/>
        <v>23785</v>
      </c>
      <c r="FD27" s="48">
        <f t="shared" si="75"/>
        <v>50030.029999999242</v>
      </c>
      <c r="FE27" s="48">
        <v>17062</v>
      </c>
      <c r="FF27" s="48">
        <v>6084</v>
      </c>
      <c r="FG27" s="37">
        <f t="shared" si="76"/>
        <v>11593.339999999989</v>
      </c>
      <c r="FH27" s="48">
        <v>8747.6</v>
      </c>
      <c r="FI27" s="48">
        <v>3.3774999999999999</v>
      </c>
      <c r="FJ27" s="49">
        <f t="shared" si="42"/>
        <v>15143.34</v>
      </c>
      <c r="FK27" s="48"/>
      <c r="FL27" s="58">
        <v>183.33</v>
      </c>
      <c r="FM27" s="48">
        <f t="shared" si="95"/>
        <v>-460.00666666666319</v>
      </c>
      <c r="FN27" s="48">
        <v>16613</v>
      </c>
      <c r="FO27" s="48">
        <v>0.82840000000000003</v>
      </c>
      <c r="FP27" s="37">
        <f t="shared" si="77"/>
        <v>19643.34</v>
      </c>
      <c r="FQ27" s="48">
        <v>58813</v>
      </c>
      <c r="FR27" s="55">
        <v>14.214</v>
      </c>
      <c r="FS27" s="37">
        <f t="shared" si="43"/>
        <v>45000</v>
      </c>
      <c r="FT27" s="48">
        <f t="shared" si="78"/>
        <v>-1380.0199999999895</v>
      </c>
      <c r="FU27" s="48">
        <f t="shared" si="79"/>
        <v>48230.020000000011</v>
      </c>
      <c r="FV27" s="44">
        <v>4347300</v>
      </c>
      <c r="FW27" s="44">
        <v>1390000</v>
      </c>
      <c r="FX27" s="37">
        <f t="shared" si="44"/>
        <v>28800</v>
      </c>
      <c r="FY27" s="56">
        <v>3354.8</v>
      </c>
      <c r="FZ27" s="56">
        <v>2.0796999999999999</v>
      </c>
      <c r="GA27" s="37">
        <f t="shared" si="45"/>
        <v>9350</v>
      </c>
      <c r="GB27" s="56">
        <v>812.55</v>
      </c>
      <c r="GC27" s="56">
        <v>910.2</v>
      </c>
      <c r="GD27" s="37">
        <f t="shared" si="46"/>
        <v>849.99999999990905</v>
      </c>
      <c r="GE27" s="63">
        <v>10062</v>
      </c>
      <c r="GF27" s="56">
        <v>3.3858000000000001</v>
      </c>
      <c r="GG27" s="37">
        <f t="shared" si="47"/>
        <v>6350.0000000000227</v>
      </c>
      <c r="GH27" s="158">
        <v>1957.7</v>
      </c>
      <c r="GI27" s="159">
        <v>1671.9</v>
      </c>
      <c r="GJ27" s="38">
        <f t="shared" si="48"/>
        <v>1799.9999999999545</v>
      </c>
      <c r="GK27" s="159">
        <v>1485.9</v>
      </c>
      <c r="GL27" s="160">
        <v>1127</v>
      </c>
      <c r="GM27" s="38">
        <f>IF((GK27-GK26)&lt;=0,0,((((GH27-GH26))*1000)+((GK27-GK26))*1000))/2</f>
        <v>1850.0000000000227</v>
      </c>
      <c r="GN27" s="57">
        <v>208220</v>
      </c>
      <c r="GO27" s="57">
        <v>184410</v>
      </c>
      <c r="GP27" s="38">
        <f t="shared" si="98"/>
        <v>10</v>
      </c>
      <c r="GQ27" s="38">
        <v>268910</v>
      </c>
      <c r="GR27" s="38">
        <v>265560</v>
      </c>
      <c r="GS27" s="38">
        <f t="shared" si="80"/>
        <v>150</v>
      </c>
      <c r="GT27" s="24"/>
      <c r="GU27" s="144">
        <f>DailyMei!B26-DailyMei!N26-DailyMei!V26-DailyMei!Y26-DailyMei!Z26-DailyMei!AA26-DailyMei!AB26-DailyMei!AC26-DailyMei!AD26-DailyMei!AE26-DailyMei!AK26-DailyMei!AO26-DailyMei!AS26-DailyMei!AY26-DailyMei!BD26+DailyMei!BU26-DailyMei!BG26-DailyMei!BT26-DailyMei!AF26-DailyMei!AG26</f>
        <v>-4.0000014298129827E-2</v>
      </c>
      <c r="GV27" s="59">
        <v>6900.11</v>
      </c>
      <c r="GW27" s="60">
        <f t="shared" si="50"/>
        <v>460.00733333333329</v>
      </c>
      <c r="GX27" s="61">
        <v>460.01</v>
      </c>
      <c r="GY27" s="140"/>
      <c r="GZ27" s="62"/>
      <c r="HA27" s="62"/>
      <c r="HB27" s="74"/>
      <c r="HC27" s="62"/>
      <c r="HD27" s="62"/>
      <c r="HE27" s="24">
        <f t="shared" si="51"/>
        <v>0</v>
      </c>
      <c r="HF27" s="3"/>
      <c r="HG27" s="213">
        <v>21</v>
      </c>
      <c r="HH27" s="16">
        <v>9819.2999999999993</v>
      </c>
      <c r="HI27" s="16">
        <v>3792.6</v>
      </c>
      <c r="HJ27" s="16">
        <f t="shared" si="52"/>
        <v>125099.99999999854</v>
      </c>
      <c r="HK27" s="16">
        <v>1.9189000000000001</v>
      </c>
      <c r="HL27" s="16">
        <v>660.93</v>
      </c>
      <c r="HM27" s="16">
        <f t="shared" si="100"/>
        <v>0</v>
      </c>
      <c r="HN27" s="16">
        <v>2582</v>
      </c>
      <c r="HO27" s="16">
        <v>1131.9000000000001</v>
      </c>
      <c r="HP27" s="16">
        <f t="shared" si="54"/>
        <v>30079.999999999909</v>
      </c>
      <c r="HQ27" s="16">
        <v>2245.1</v>
      </c>
      <c r="HR27" s="16">
        <v>978.41</v>
      </c>
      <c r="HS27" s="16">
        <f t="shared" si="55"/>
        <v>25679.999999999818</v>
      </c>
      <c r="HT27" s="16">
        <v>1900.9</v>
      </c>
      <c r="HU27" s="16">
        <v>742.4</v>
      </c>
      <c r="HV27" s="16">
        <f t="shared" si="56"/>
        <v>20180.000000000044</v>
      </c>
      <c r="HW27" s="16">
        <v>935.49</v>
      </c>
      <c r="HX27" s="16">
        <v>417.88</v>
      </c>
      <c r="HY27" s="16">
        <f t="shared" si="57"/>
        <v>27420.000000000055</v>
      </c>
      <c r="HZ27" s="16">
        <v>12196</v>
      </c>
      <c r="IA27" s="16">
        <v>15766</v>
      </c>
      <c r="IB27" s="16">
        <f t="shared" si="58"/>
        <v>1940</v>
      </c>
      <c r="IC27" s="16"/>
      <c r="ID27" s="16"/>
      <c r="IE27" s="16">
        <f t="shared" si="59"/>
        <v>0</v>
      </c>
      <c r="IF27" s="16"/>
      <c r="IG27" s="16"/>
      <c r="IH27" s="128">
        <f t="shared" si="1"/>
        <v>19800</v>
      </c>
      <c r="II27" s="211">
        <f t="shared" si="60"/>
        <v>-1.2914824765175581E-9</v>
      </c>
      <c r="IJ27" s="16"/>
      <c r="IK27" s="16"/>
      <c r="IL27" s="16">
        <f t="shared" si="101"/>
        <v>0</v>
      </c>
      <c r="IM27" s="16"/>
      <c r="IN27" s="16"/>
      <c r="IO27" s="16">
        <f t="shared" si="102"/>
        <v>0</v>
      </c>
      <c r="IP27" s="16"/>
      <c r="IQ27" s="16"/>
      <c r="IR27" s="16">
        <f t="shared" si="103"/>
        <v>0</v>
      </c>
      <c r="IS27" s="16"/>
      <c r="IT27" s="16"/>
      <c r="IU27" s="16">
        <f t="shared" si="104"/>
        <v>0</v>
      </c>
      <c r="IV27" s="16"/>
      <c r="IW27" s="16"/>
      <c r="IX27" s="16">
        <f t="shared" si="105"/>
        <v>0</v>
      </c>
      <c r="IY27" s="16"/>
      <c r="IZ27" s="16"/>
      <c r="JA27" s="16">
        <f t="shared" si="106"/>
        <v>0</v>
      </c>
      <c r="JB27" s="16"/>
      <c r="JC27" s="16"/>
      <c r="JD27" s="16">
        <f t="shared" si="107"/>
        <v>0</v>
      </c>
      <c r="JE27" s="16"/>
      <c r="JF27" s="16"/>
      <c r="JG27" s="16">
        <f t="shared" si="108"/>
        <v>0</v>
      </c>
      <c r="JH27" s="16"/>
      <c r="JI27" s="16"/>
      <c r="JJ27" s="16">
        <f t="shared" si="109"/>
        <v>0</v>
      </c>
      <c r="JK27" s="16"/>
      <c r="JL27" s="16"/>
      <c r="JM27" s="16">
        <f t="shared" si="110"/>
        <v>0</v>
      </c>
      <c r="JN27" s="16"/>
      <c r="JO27" s="16"/>
      <c r="JP27" s="16">
        <f t="shared" si="111"/>
        <v>0</v>
      </c>
      <c r="JQ27" s="16"/>
      <c r="JR27" s="16"/>
      <c r="JS27" s="16">
        <f t="shared" si="112"/>
        <v>0</v>
      </c>
      <c r="JT27" s="16"/>
      <c r="JU27" s="16"/>
      <c r="JV27" s="16">
        <f t="shared" si="113"/>
        <v>0</v>
      </c>
      <c r="JW27" s="16"/>
      <c r="JX27" s="16"/>
      <c r="JY27" s="16">
        <f t="shared" si="114"/>
        <v>0</v>
      </c>
      <c r="JZ27" s="16"/>
      <c r="KA27" s="16"/>
      <c r="KB27" s="16">
        <f t="shared" si="115"/>
        <v>0</v>
      </c>
      <c r="KC27" s="16"/>
      <c r="KD27" s="16"/>
      <c r="KE27" s="16">
        <f t="shared" si="116"/>
        <v>0</v>
      </c>
      <c r="KG27" s="151">
        <f t="shared" si="61"/>
        <v>32019.999999998618</v>
      </c>
    </row>
    <row r="28" spans="1:293" x14ac:dyDescent="0.25">
      <c r="A28" s="35">
        <f t="shared" si="2"/>
        <v>22</v>
      </c>
      <c r="B28" s="38">
        <v>4343.42</v>
      </c>
      <c r="C28" s="38">
        <f t="shared" si="3"/>
        <v>10.140000000000327</v>
      </c>
      <c r="D28" s="38">
        <f t="shared" si="4"/>
        <v>324480.00000001048</v>
      </c>
      <c r="E28" s="38">
        <v>873.44</v>
      </c>
      <c r="F28" s="38">
        <f t="shared" si="5"/>
        <v>65600.000000002183</v>
      </c>
      <c r="G28" s="38">
        <f t="shared" si="6"/>
        <v>390080.00000001269</v>
      </c>
      <c r="H28" s="37"/>
      <c r="I28" s="39"/>
      <c r="J28" s="42"/>
      <c r="K28" s="37">
        <f t="shared" si="81"/>
        <v>0</v>
      </c>
      <c r="L28" s="40">
        <v>13335300</v>
      </c>
      <c r="M28" s="40"/>
      <c r="N28" s="37">
        <f t="shared" si="82"/>
        <v>388000</v>
      </c>
      <c r="O28" s="37">
        <v>10986.7</v>
      </c>
      <c r="P28" s="37"/>
      <c r="Q28" s="37">
        <f t="shared" si="119"/>
        <v>18400.000000001455</v>
      </c>
      <c r="R28" s="37">
        <f t="shared" si="83"/>
        <v>1</v>
      </c>
      <c r="S28" s="37">
        <v>11234466.810000001</v>
      </c>
      <c r="T28" s="37">
        <f t="shared" si="8"/>
        <v>395.00999999977648</v>
      </c>
      <c r="U28" s="37">
        <v>1523790.61</v>
      </c>
      <c r="V28" s="37">
        <f>IF((U28-U27)&lt;=0,0,(U28-U27))</f>
        <v>0</v>
      </c>
      <c r="W28" s="37">
        <v>3929.4</v>
      </c>
      <c r="X28" s="37">
        <f t="shared" si="96"/>
        <v>18004.990000001679</v>
      </c>
      <c r="Y28" s="183"/>
      <c r="Z28" s="183"/>
      <c r="AA28" s="37">
        <v>787100</v>
      </c>
      <c r="AB28" s="37">
        <f t="shared" si="10"/>
        <v>0</v>
      </c>
      <c r="AC28" s="37">
        <v>4098.6000000000004</v>
      </c>
      <c r="AD28" s="37"/>
      <c r="AE28" s="37">
        <f t="shared" si="121"/>
        <v>6300.0000000001819</v>
      </c>
      <c r="AF28" s="37">
        <f t="shared" si="84"/>
        <v>1</v>
      </c>
      <c r="AG28" s="37">
        <v>8933.5</v>
      </c>
      <c r="AH28" s="37"/>
      <c r="AI28" s="37">
        <f t="shared" si="12"/>
        <v>14340.65</v>
      </c>
      <c r="AJ28" s="37">
        <f t="shared" si="13"/>
        <v>1</v>
      </c>
      <c r="AK28" s="37">
        <f t="shared" si="14"/>
        <v>39040.650000001639</v>
      </c>
      <c r="AL28" s="42">
        <v>10831.4</v>
      </c>
      <c r="AM28" s="2"/>
      <c r="AN28" s="37">
        <f t="shared" si="62"/>
        <v>7380.649999999222</v>
      </c>
      <c r="AO28" s="37">
        <f t="shared" si="85"/>
        <v>1</v>
      </c>
      <c r="AP28" s="37">
        <v>8377.1</v>
      </c>
      <c r="AQ28" s="37"/>
      <c r="AR28" s="37">
        <f t="shared" si="15"/>
        <v>14300.000000001091</v>
      </c>
      <c r="AS28" s="37">
        <f t="shared" si="86"/>
        <v>1</v>
      </c>
      <c r="AT28" s="183"/>
      <c r="AU28" s="183"/>
      <c r="AV28" s="183"/>
      <c r="AW28" s="183"/>
      <c r="AX28" s="37">
        <v>482820</v>
      </c>
      <c r="AY28" s="37"/>
      <c r="AZ28" s="37">
        <f t="shared" si="16"/>
        <v>490</v>
      </c>
      <c r="BA28" s="37">
        <v>145420</v>
      </c>
      <c r="BB28" s="37"/>
      <c r="BC28" s="37">
        <f t="shared" si="17"/>
        <v>750</v>
      </c>
      <c r="BD28" s="37">
        <f t="shared" si="87"/>
        <v>22920.650000000314</v>
      </c>
      <c r="BE28" s="43">
        <v>1906</v>
      </c>
      <c r="BF28" s="43">
        <v>1049.4000000000001</v>
      </c>
      <c r="BG28" s="37">
        <f t="shared" si="18"/>
        <v>1799.9999999999545</v>
      </c>
      <c r="BH28" s="44">
        <v>8894.4</v>
      </c>
      <c r="BI28" s="44">
        <v>5720.2</v>
      </c>
      <c r="BJ28" s="37">
        <f t="shared" si="19"/>
        <v>9199.9999999989086</v>
      </c>
      <c r="BK28" s="40">
        <v>1553780</v>
      </c>
      <c r="BL28" s="40">
        <f t="shared" si="88"/>
        <v>4440</v>
      </c>
      <c r="BM28" s="40">
        <v>869.46</v>
      </c>
      <c r="BN28" s="37">
        <f t="shared" si="20"/>
        <v>620.00000000000455</v>
      </c>
      <c r="BO28" s="186"/>
      <c r="BP28" s="183">
        <f t="shared" si="21"/>
        <v>0</v>
      </c>
      <c r="BQ28" s="40">
        <v>822.5</v>
      </c>
      <c r="BR28" s="37">
        <f t="shared" si="63"/>
        <v>700.00000000004547</v>
      </c>
      <c r="BS28" s="37">
        <v>97843.25</v>
      </c>
      <c r="BT28" s="37">
        <f t="shared" si="22"/>
        <v>222.00999999999476</v>
      </c>
      <c r="BU28" s="42">
        <v>2703010</v>
      </c>
      <c r="BV28" s="42"/>
      <c r="BW28" s="37">
        <f t="shared" si="23"/>
        <v>5257</v>
      </c>
      <c r="BX28" s="37">
        <f t="shared" si="89"/>
        <v>1</v>
      </c>
      <c r="BY28" s="43">
        <v>343.2371</v>
      </c>
      <c r="BZ28" s="37"/>
      <c r="CA28" s="37">
        <f t="shared" si="117"/>
        <v>830.30000000002246</v>
      </c>
      <c r="CB28" s="37">
        <f t="shared" si="64"/>
        <v>1</v>
      </c>
      <c r="CC28" s="37">
        <v>634877.6</v>
      </c>
      <c r="CD28" s="37">
        <f t="shared" si="25"/>
        <v>0</v>
      </c>
      <c r="CE28" s="41">
        <v>1169430</v>
      </c>
      <c r="CF28" s="37">
        <f t="shared" si="26"/>
        <v>5316</v>
      </c>
      <c r="CG28" s="37">
        <v>72810.600000000006</v>
      </c>
      <c r="CH28" s="37">
        <f t="shared" si="65"/>
        <v>0</v>
      </c>
      <c r="CI28" s="40">
        <v>12735.53</v>
      </c>
      <c r="CJ28" s="40"/>
      <c r="CK28" s="37">
        <f t="shared" si="66"/>
        <v>16410.350000001436</v>
      </c>
      <c r="CL28" s="37">
        <f t="shared" si="27"/>
        <v>1</v>
      </c>
      <c r="CM28" s="37">
        <v>3534.7669999999998</v>
      </c>
      <c r="CN28" s="37"/>
      <c r="CO28" s="37">
        <f t="shared" si="28"/>
        <v>7314.649999999705</v>
      </c>
      <c r="CP28" s="37">
        <f t="shared" si="90"/>
        <v>1</v>
      </c>
      <c r="CQ28" s="39">
        <v>136806.6</v>
      </c>
      <c r="CR28" s="39"/>
      <c r="CS28" s="37">
        <f t="shared" si="67"/>
        <v>8246.9500000000025</v>
      </c>
      <c r="CT28" s="37">
        <f t="shared" si="68"/>
        <v>1</v>
      </c>
      <c r="CU28" s="37">
        <v>3338015</v>
      </c>
      <c r="CV28" s="37"/>
      <c r="CW28" s="38">
        <f t="shared" si="29"/>
        <v>670</v>
      </c>
      <c r="CX28" s="37">
        <f t="shared" si="91"/>
        <v>1</v>
      </c>
      <c r="CY28" s="37">
        <v>1752103</v>
      </c>
      <c r="CZ28" s="37"/>
      <c r="DA28" s="37">
        <f t="shared" si="123"/>
        <v>579</v>
      </c>
      <c r="DB28" s="37">
        <f>IF(DA28&lt;=0,0,(DA28/SQRT(DA28^2+(CZ28-CZ27)^2)))</f>
        <v>1</v>
      </c>
      <c r="DC28" s="37"/>
      <c r="DD28" s="40"/>
      <c r="DE28" s="37">
        <f t="shared" si="31"/>
        <v>0</v>
      </c>
      <c r="DF28" s="37">
        <f t="shared" si="97"/>
        <v>0</v>
      </c>
      <c r="DG28" s="37">
        <f t="shared" si="32"/>
        <v>-38477.950000001147</v>
      </c>
      <c r="DH28" s="37">
        <f t="shared" si="33"/>
        <v>428840.65000000159</v>
      </c>
      <c r="DI28" s="46"/>
      <c r="DJ28" s="46"/>
      <c r="DK28" s="47"/>
      <c r="DL28" s="47"/>
      <c r="DM28" s="37"/>
      <c r="DN28" s="37"/>
      <c r="DO28" s="37"/>
      <c r="DP28" s="37"/>
      <c r="DQ28" s="50">
        <v>3432500</v>
      </c>
      <c r="DR28" s="49">
        <f t="shared" si="69"/>
        <v>10800</v>
      </c>
      <c r="DS28" s="50">
        <v>3746800</v>
      </c>
      <c r="DT28" s="49">
        <f t="shared" si="70"/>
        <v>19500</v>
      </c>
      <c r="DU28" s="51">
        <v>7983.6</v>
      </c>
      <c r="DV28" s="51">
        <v>4475</v>
      </c>
      <c r="DW28" s="37">
        <f t="shared" si="93"/>
        <v>4700.0000000007276</v>
      </c>
      <c r="DX28" s="52">
        <v>13160</v>
      </c>
      <c r="DY28" s="52">
        <v>8414.5</v>
      </c>
      <c r="DZ28" s="37">
        <f t="shared" si="34"/>
        <v>7340.65</v>
      </c>
      <c r="EA28" s="49">
        <v>30105</v>
      </c>
      <c r="EB28" s="49">
        <v>20.949000000000002</v>
      </c>
      <c r="EC28" s="37">
        <f t="shared" si="35"/>
        <v>25500.65</v>
      </c>
      <c r="ED28" s="53">
        <f t="shared" si="36"/>
        <v>37541.300000000731</v>
      </c>
      <c r="EE28" s="49">
        <v>45461</v>
      </c>
      <c r="EF28" s="49">
        <v>29.466999999999999</v>
      </c>
      <c r="EG28" s="37">
        <f t="shared" si="37"/>
        <v>30500.65</v>
      </c>
      <c r="EH28" s="51">
        <v>13063</v>
      </c>
      <c r="EI28" s="51">
        <v>1.7803</v>
      </c>
      <c r="EJ28" s="37">
        <f t="shared" si="38"/>
        <v>11340.65</v>
      </c>
      <c r="EK28" s="37">
        <v>794.86</v>
      </c>
      <c r="EL28" s="40">
        <v>1139</v>
      </c>
      <c r="EM28" s="37">
        <f t="shared" si="71"/>
        <v>779.99999999997272</v>
      </c>
      <c r="EN28" s="54">
        <f t="shared" si="72"/>
        <v>42621.299999999974</v>
      </c>
      <c r="EO28" s="48">
        <v>12998</v>
      </c>
      <c r="EP28" s="48">
        <v>4543</v>
      </c>
      <c r="EQ28" s="37">
        <f t="shared" si="73"/>
        <v>6525.6500000000015</v>
      </c>
      <c r="ER28" s="48">
        <v>9402.7999999999993</v>
      </c>
      <c r="ES28" s="48">
        <v>3858.6</v>
      </c>
      <c r="ET28" s="49">
        <f t="shared" si="99"/>
        <v>17799.999999999272</v>
      </c>
      <c r="EU28" s="48">
        <v>3599.1</v>
      </c>
      <c r="EV28" s="48">
        <v>1279.8</v>
      </c>
      <c r="EW28" s="49">
        <f t="shared" si="40"/>
        <v>8340.65</v>
      </c>
      <c r="EX28" s="48">
        <v>13520</v>
      </c>
      <c r="EY28" s="48">
        <v>1.5667</v>
      </c>
      <c r="EZ28" s="37">
        <f t="shared" si="41"/>
        <v>11340.65</v>
      </c>
      <c r="FA28" s="48">
        <f t="shared" si="74"/>
        <v>-21326.949999999273</v>
      </c>
      <c r="FB28" s="48">
        <v>36536960</v>
      </c>
      <c r="FC28" s="49">
        <f t="shared" si="94"/>
        <v>22680</v>
      </c>
      <c r="FD28" s="48">
        <f t="shared" si="75"/>
        <v>45606.949999999182</v>
      </c>
      <c r="FE28" s="48">
        <v>17073</v>
      </c>
      <c r="FF28" s="48">
        <v>6086.1</v>
      </c>
      <c r="FG28" s="37">
        <f t="shared" si="76"/>
        <v>11783.979999999998</v>
      </c>
      <c r="FH28" s="48">
        <v>8763.9</v>
      </c>
      <c r="FI28" s="48">
        <v>3.3837000000000002</v>
      </c>
      <c r="FJ28" s="49">
        <f t="shared" si="42"/>
        <v>16268.979999999272</v>
      </c>
      <c r="FK28" s="48"/>
      <c r="FL28" s="58">
        <v>-371.67</v>
      </c>
      <c r="FM28" s="48">
        <f t="shared" si="95"/>
        <v>-340.6466666664237</v>
      </c>
      <c r="FN28" s="48">
        <v>16630</v>
      </c>
      <c r="FO28" s="48">
        <v>0.83030000000000004</v>
      </c>
      <c r="FP28" s="37">
        <f t="shared" si="77"/>
        <v>16968.980000000003</v>
      </c>
      <c r="FQ28" s="48">
        <v>58857</v>
      </c>
      <c r="FR28" s="48">
        <v>14.225</v>
      </c>
      <c r="FS28" s="37">
        <f t="shared" si="43"/>
        <v>44000</v>
      </c>
      <c r="FT28" s="48">
        <f t="shared" si="78"/>
        <v>-1021.9399999992711</v>
      </c>
      <c r="FU28" s="48">
        <f t="shared" si="79"/>
        <v>46621.939999999187</v>
      </c>
      <c r="FV28" s="44">
        <v>4379800</v>
      </c>
      <c r="FW28" s="44">
        <v>1400100</v>
      </c>
      <c r="FX28" s="37">
        <f t="shared" si="44"/>
        <v>32500</v>
      </c>
      <c r="FY28" s="56">
        <v>3365.2</v>
      </c>
      <c r="FZ28" s="56">
        <v>2.0872000000000002</v>
      </c>
      <c r="GA28" s="37">
        <f t="shared" si="45"/>
        <v>10259.999999999636</v>
      </c>
      <c r="GB28" s="56">
        <v>813.49</v>
      </c>
      <c r="GC28" s="56">
        <v>911.27</v>
      </c>
      <c r="GD28" s="37">
        <f t="shared" si="46"/>
        <v>940.00000000005457</v>
      </c>
      <c r="GE28" s="56">
        <v>10074</v>
      </c>
      <c r="GF28" s="56">
        <v>3.3935</v>
      </c>
      <c r="GG28" s="37">
        <f t="shared" si="47"/>
        <v>8800.0000000001819</v>
      </c>
      <c r="GH28" s="158">
        <v>1959.3</v>
      </c>
      <c r="GI28" s="159">
        <v>1673.4</v>
      </c>
      <c r="GJ28" s="38">
        <f t="shared" si="48"/>
        <v>1599.9999999999091</v>
      </c>
      <c r="GK28" s="159">
        <v>1487.5</v>
      </c>
      <c r="GL28" s="160">
        <v>1127.7</v>
      </c>
      <c r="GM28" s="38">
        <f>IF((GK28-GK27)&lt;=0,0,(GK28-GK27))*1000</f>
        <v>1599.9999999999091</v>
      </c>
      <c r="GN28" s="57">
        <v>208220</v>
      </c>
      <c r="GO28" s="57">
        <v>184410</v>
      </c>
      <c r="GP28" s="38">
        <f t="shared" si="98"/>
        <v>0</v>
      </c>
      <c r="GQ28" s="38">
        <v>269050</v>
      </c>
      <c r="GR28" s="38">
        <v>265560</v>
      </c>
      <c r="GS28" s="38">
        <f t="shared" si="80"/>
        <v>140</v>
      </c>
      <c r="GT28" s="178"/>
      <c r="GU28" s="144">
        <f>DailyMei!B27-DailyMei!N27-DailyMei!V27-DailyMei!Y27-DailyMei!Z27-DailyMei!AA27-DailyMei!AB27-DailyMei!AC27-DailyMei!AD27-DailyMei!AE27-DailyMei!AK27-DailyMei!AO27-DailyMei!AS27-DailyMei!AY27-DailyMei!BD27+DailyMei!BU27-DailyMei!BG27-DailyMei!BT27-DailyMei!AF27-DailyMei!AG27</f>
        <v>-3.9999988628551364E-2</v>
      </c>
      <c r="GV28" s="59">
        <v>5109.71</v>
      </c>
      <c r="GW28" s="60">
        <f t="shared" si="50"/>
        <v>340.64733333333334</v>
      </c>
      <c r="GX28" s="61">
        <v>340.65</v>
      </c>
      <c r="GY28" s="140"/>
      <c r="GZ28" s="62"/>
      <c r="HA28" s="62"/>
      <c r="HB28" s="74"/>
      <c r="HC28" s="62"/>
      <c r="HD28" s="74"/>
      <c r="HE28" s="24">
        <f t="shared" si="51"/>
        <v>0</v>
      </c>
      <c r="HF28" s="151"/>
      <c r="HG28" s="213">
        <v>22</v>
      </c>
      <c r="HH28" s="16">
        <v>9943.4</v>
      </c>
      <c r="HI28" s="16">
        <v>3839.9</v>
      </c>
      <c r="HJ28" s="16">
        <f t="shared" si="52"/>
        <v>124100.00000000036</v>
      </c>
      <c r="HK28" s="16">
        <v>1.9189000000000001</v>
      </c>
      <c r="HL28" s="16">
        <v>660.93</v>
      </c>
      <c r="HM28" s="16">
        <f t="shared" si="100"/>
        <v>0</v>
      </c>
      <c r="HN28" s="16">
        <v>2612.6999999999998</v>
      </c>
      <c r="HO28" s="16">
        <v>1144.5999999999999</v>
      </c>
      <c r="HP28" s="16">
        <f t="shared" si="54"/>
        <v>30709.249999999818</v>
      </c>
      <c r="HQ28" s="16">
        <v>2269.6999999999998</v>
      </c>
      <c r="HR28" s="16">
        <v>988.39</v>
      </c>
      <c r="HS28" s="16">
        <f t="shared" si="55"/>
        <v>24609.249999999909</v>
      </c>
      <c r="HT28" s="16">
        <v>1921.3</v>
      </c>
      <c r="HU28" s="16">
        <v>749.99</v>
      </c>
      <c r="HV28" s="16">
        <f t="shared" si="56"/>
        <v>20409.249999999862</v>
      </c>
      <c r="HW28" s="16">
        <v>962.46</v>
      </c>
      <c r="HX28" s="16">
        <v>428.81</v>
      </c>
      <c r="HY28" s="16">
        <f t="shared" si="57"/>
        <v>26979.250000000029</v>
      </c>
      <c r="HZ28" s="16">
        <v>14089</v>
      </c>
      <c r="IA28" s="16">
        <v>17840</v>
      </c>
      <c r="IB28" s="16">
        <f t="shared" si="58"/>
        <v>1893</v>
      </c>
      <c r="IC28" s="16"/>
      <c r="ID28" s="16"/>
      <c r="IE28" s="16">
        <f t="shared" si="59"/>
        <v>0</v>
      </c>
      <c r="IF28" s="16"/>
      <c r="IG28" s="16"/>
      <c r="IH28" s="128">
        <f t="shared" si="1"/>
        <v>19500</v>
      </c>
      <c r="II28" s="211">
        <f t="shared" si="60"/>
        <v>7.3487171903252602E-10</v>
      </c>
      <c r="IJ28" s="16"/>
      <c r="IK28" s="16"/>
      <c r="IL28" s="16">
        <f t="shared" si="101"/>
        <v>0</v>
      </c>
      <c r="IM28" s="16"/>
      <c r="IN28" s="16"/>
      <c r="IO28" s="16">
        <f t="shared" si="102"/>
        <v>0</v>
      </c>
      <c r="IP28" s="16"/>
      <c r="IQ28" s="16"/>
      <c r="IR28" s="16">
        <f t="shared" si="103"/>
        <v>0</v>
      </c>
      <c r="IS28" s="16"/>
      <c r="IT28" s="16"/>
      <c r="IU28" s="16">
        <f t="shared" si="104"/>
        <v>0</v>
      </c>
      <c r="IV28" s="16"/>
      <c r="IW28" s="16"/>
      <c r="IX28" s="16">
        <f t="shared" si="105"/>
        <v>0</v>
      </c>
      <c r="IY28" s="16"/>
      <c r="IZ28" s="16"/>
      <c r="JA28" s="16">
        <f t="shared" si="106"/>
        <v>0</v>
      </c>
      <c r="JB28" s="16"/>
      <c r="JC28" s="16"/>
      <c r="JD28" s="16">
        <f t="shared" si="107"/>
        <v>0</v>
      </c>
      <c r="JE28" s="16"/>
      <c r="JF28" s="16"/>
      <c r="JG28" s="16">
        <f t="shared" si="108"/>
        <v>0</v>
      </c>
      <c r="JH28" s="16"/>
      <c r="JI28" s="16"/>
      <c r="JJ28" s="16">
        <f t="shared" si="109"/>
        <v>0</v>
      </c>
      <c r="JK28" s="16"/>
      <c r="JL28" s="16"/>
      <c r="JM28" s="16">
        <f t="shared" si="110"/>
        <v>0</v>
      </c>
      <c r="JN28" s="16"/>
      <c r="JO28" s="16"/>
      <c r="JP28" s="16">
        <f t="shared" si="111"/>
        <v>0</v>
      </c>
      <c r="JQ28" s="16"/>
      <c r="JR28" s="16"/>
      <c r="JS28" s="16">
        <f t="shared" si="112"/>
        <v>0</v>
      </c>
      <c r="JT28" s="16"/>
      <c r="JU28" s="16"/>
      <c r="JV28" s="16">
        <f t="shared" si="113"/>
        <v>0</v>
      </c>
      <c r="JW28" s="16"/>
      <c r="JX28" s="16"/>
      <c r="JY28" s="16">
        <f t="shared" si="114"/>
        <v>0</v>
      </c>
      <c r="JZ28" s="16"/>
      <c r="KA28" s="16"/>
      <c r="KB28" s="16">
        <f t="shared" si="115"/>
        <v>0</v>
      </c>
      <c r="KC28" s="16"/>
      <c r="KD28" s="16"/>
      <c r="KE28" s="16">
        <f t="shared" si="116"/>
        <v>0</v>
      </c>
      <c r="KG28" s="151">
        <f t="shared" si="61"/>
        <v>32602.250000000553</v>
      </c>
    </row>
    <row r="29" spans="1:293" x14ac:dyDescent="0.25">
      <c r="A29" s="35">
        <f t="shared" si="2"/>
        <v>23</v>
      </c>
      <c r="B29" s="38">
        <v>4353.4799999999996</v>
      </c>
      <c r="C29" s="38">
        <f t="shared" si="3"/>
        <v>10.059999999999491</v>
      </c>
      <c r="D29" s="38">
        <f t="shared" si="4"/>
        <v>321919.9999999837</v>
      </c>
      <c r="E29" s="38">
        <v>875.55</v>
      </c>
      <c r="F29" s="38">
        <f t="shared" si="5"/>
        <v>67519.999999996799</v>
      </c>
      <c r="G29" s="38">
        <f t="shared" si="6"/>
        <v>389439.9999999805</v>
      </c>
      <c r="H29" s="37"/>
      <c r="I29" s="39"/>
      <c r="J29" s="42"/>
      <c r="K29" s="37">
        <f t="shared" si="81"/>
        <v>0</v>
      </c>
      <c r="L29" s="40">
        <v>13374000</v>
      </c>
      <c r="M29" s="40"/>
      <c r="N29" s="37">
        <f t="shared" si="82"/>
        <v>387000</v>
      </c>
      <c r="O29" s="37">
        <v>11004.9</v>
      </c>
      <c r="P29" s="37"/>
      <c r="Q29" s="37">
        <f t="shared" si="119"/>
        <v>18199.999999998909</v>
      </c>
      <c r="R29" s="37">
        <f t="shared" si="83"/>
        <v>1</v>
      </c>
      <c r="S29" s="37">
        <v>11234884.189999999</v>
      </c>
      <c r="T29" s="37">
        <f t="shared" si="8"/>
        <v>417.37999999895692</v>
      </c>
      <c r="U29" s="37">
        <v>1523790.61</v>
      </c>
      <c r="V29" s="37">
        <f t="shared" si="9"/>
        <v>0</v>
      </c>
      <c r="W29" s="37">
        <v>3936.1</v>
      </c>
      <c r="X29" s="37">
        <f t="shared" si="96"/>
        <v>17682.619999999952</v>
      </c>
      <c r="Y29" s="183"/>
      <c r="Z29" s="183"/>
      <c r="AA29" s="37">
        <v>787200</v>
      </c>
      <c r="AB29" s="37">
        <f t="shared" si="10"/>
        <v>100</v>
      </c>
      <c r="AC29" s="37">
        <v>4104.3</v>
      </c>
      <c r="AD29" s="37"/>
      <c r="AE29" s="37">
        <f t="shared" si="121"/>
        <v>5699.9999999998181</v>
      </c>
      <c r="AF29" s="37">
        <f t="shared" si="84"/>
        <v>1</v>
      </c>
      <c r="AG29" s="37">
        <v>8946.6</v>
      </c>
      <c r="AH29" s="37"/>
      <c r="AI29" s="37">
        <f t="shared" si="12"/>
        <v>13316.120000000365</v>
      </c>
      <c r="AJ29" s="37">
        <f t="shared" si="13"/>
        <v>1</v>
      </c>
      <c r="AK29" s="37">
        <f t="shared" si="14"/>
        <v>37116.119999999093</v>
      </c>
      <c r="AL29" s="42">
        <v>10843.5</v>
      </c>
      <c r="AM29" s="42"/>
      <c r="AN29" s="37">
        <f t="shared" si="62"/>
        <v>6516.1200000004146</v>
      </c>
      <c r="AO29" s="37">
        <f t="shared" si="85"/>
        <v>1</v>
      </c>
      <c r="AP29" s="67">
        <v>8390.4</v>
      </c>
      <c r="AQ29" s="37"/>
      <c r="AR29" s="37">
        <f t="shared" si="15"/>
        <v>13299.999999999272</v>
      </c>
      <c r="AS29" s="37">
        <f t="shared" si="86"/>
        <v>1</v>
      </c>
      <c r="AT29" s="183"/>
      <c r="AU29" s="183"/>
      <c r="AV29" s="183"/>
      <c r="AW29" s="183"/>
      <c r="AX29" s="37">
        <v>483280</v>
      </c>
      <c r="AY29" s="37"/>
      <c r="AZ29" s="37">
        <f t="shared" si="16"/>
        <v>460</v>
      </c>
      <c r="BA29" s="37">
        <v>146130</v>
      </c>
      <c r="BB29" s="37"/>
      <c r="BC29" s="37">
        <f t="shared" si="17"/>
        <v>710</v>
      </c>
      <c r="BD29" s="37">
        <f t="shared" si="87"/>
        <v>20986.119999999686</v>
      </c>
      <c r="BE29" s="43">
        <v>1907.7</v>
      </c>
      <c r="BF29" s="43">
        <v>1050.5</v>
      </c>
      <c r="BG29" s="37">
        <f t="shared" si="18"/>
        <v>1700.0000000000455</v>
      </c>
      <c r="BH29" s="44">
        <v>8903.7000000000007</v>
      </c>
      <c r="BI29" s="44">
        <v>5726.3</v>
      </c>
      <c r="BJ29" s="37">
        <f t="shared" si="19"/>
        <v>9300.0000000010914</v>
      </c>
      <c r="BK29" s="40">
        <v>1558150</v>
      </c>
      <c r="BL29" s="40">
        <f t="shared" si="88"/>
        <v>4370</v>
      </c>
      <c r="BM29" s="40">
        <v>870.09</v>
      </c>
      <c r="BN29" s="37">
        <f t="shared" si="20"/>
        <v>629.99999999999545</v>
      </c>
      <c r="BO29" s="186"/>
      <c r="BP29" s="183">
        <f t="shared" si="21"/>
        <v>0</v>
      </c>
      <c r="BQ29" s="40">
        <v>823.3</v>
      </c>
      <c r="BR29" s="37">
        <f t="shared" si="63"/>
        <v>799.99999999995453</v>
      </c>
      <c r="BS29" s="37">
        <v>98087.88</v>
      </c>
      <c r="BT29" s="37">
        <f t="shared" si="22"/>
        <v>244.63000000000466</v>
      </c>
      <c r="BU29" s="42">
        <v>2708400</v>
      </c>
      <c r="BV29" s="42"/>
      <c r="BW29" s="37">
        <f t="shared" si="23"/>
        <v>5390</v>
      </c>
      <c r="BX29" s="37">
        <f t="shared" si="89"/>
        <v>1</v>
      </c>
      <c r="BY29" s="43">
        <v>344.0908</v>
      </c>
      <c r="BZ29" s="43"/>
      <c r="CA29" s="37">
        <f t="shared" si="117"/>
        <v>853.70000000000346</v>
      </c>
      <c r="CB29" s="37">
        <f t="shared" si="64"/>
        <v>1</v>
      </c>
      <c r="CC29" s="37">
        <v>634893</v>
      </c>
      <c r="CD29" s="37">
        <f t="shared" si="25"/>
        <v>15.400000000023283</v>
      </c>
      <c r="CE29" s="41">
        <v>1174881</v>
      </c>
      <c r="CF29" s="37">
        <f t="shared" si="26"/>
        <v>5451</v>
      </c>
      <c r="CG29" s="37">
        <v>72810.600000000006</v>
      </c>
      <c r="CH29" s="37">
        <f t="shared" si="65"/>
        <v>0</v>
      </c>
      <c r="CI29" s="40">
        <v>12752.17</v>
      </c>
      <c r="CJ29" s="40"/>
      <c r="CK29" s="37">
        <f t="shared" si="66"/>
        <v>16002.419999999413</v>
      </c>
      <c r="CL29" s="37">
        <f t="shared" si="27"/>
        <v>1</v>
      </c>
      <c r="CM29" s="37">
        <v>3541.82</v>
      </c>
      <c r="CN29" s="37"/>
      <c r="CO29" s="37">
        <f t="shared" si="28"/>
        <v>7269.1200000003382</v>
      </c>
      <c r="CP29" s="37">
        <f t="shared" si="90"/>
        <v>1</v>
      </c>
      <c r="CQ29" s="39">
        <v>144536.4</v>
      </c>
      <c r="CR29" s="39"/>
      <c r="CS29" s="37">
        <f t="shared" si="67"/>
        <v>7945.9199999999882</v>
      </c>
      <c r="CT29" s="37">
        <f t="shared" si="68"/>
        <v>1</v>
      </c>
      <c r="CU29" s="37">
        <v>3342119</v>
      </c>
      <c r="CV29" s="37"/>
      <c r="CW29" s="38">
        <f t="shared" si="29"/>
        <v>4104</v>
      </c>
      <c r="CX29" s="37">
        <f t="shared" si="91"/>
        <v>1</v>
      </c>
      <c r="CY29" s="37">
        <v>1755218</v>
      </c>
      <c r="CZ29" s="37"/>
      <c r="DA29" s="37">
        <f t="shared" si="123"/>
        <v>3115</v>
      </c>
      <c r="DB29" s="37">
        <f t="shared" si="92"/>
        <v>1</v>
      </c>
      <c r="DC29" s="37"/>
      <c r="DD29" s="40"/>
      <c r="DE29" s="37">
        <f t="shared" si="31"/>
        <v>0</v>
      </c>
      <c r="DF29" s="37">
        <f t="shared" si="97"/>
        <v>0</v>
      </c>
      <c r="DG29" s="37">
        <f t="shared" si="32"/>
        <v>-43826.459999999737</v>
      </c>
      <c r="DH29" s="37">
        <f t="shared" si="33"/>
        <v>425816.11999999912</v>
      </c>
      <c r="DI29" s="46"/>
      <c r="DJ29" s="46"/>
      <c r="DK29" s="47"/>
      <c r="DL29" s="47"/>
      <c r="DM29" s="37"/>
      <c r="DN29" s="37"/>
      <c r="DO29" s="37"/>
      <c r="DP29" s="37"/>
      <c r="DQ29" s="50">
        <v>3443300</v>
      </c>
      <c r="DR29" s="49">
        <f t="shared" si="69"/>
        <v>10800</v>
      </c>
      <c r="DS29" s="50">
        <v>3764600</v>
      </c>
      <c r="DT29" s="49">
        <f t="shared" si="70"/>
        <v>17800</v>
      </c>
      <c r="DU29" s="72">
        <v>7988.3</v>
      </c>
      <c r="DV29" s="51">
        <v>4477.8</v>
      </c>
      <c r="DW29" s="37">
        <f t="shared" si="93"/>
        <v>4699.9999999998181</v>
      </c>
      <c r="DX29" s="52">
        <v>13167</v>
      </c>
      <c r="DY29" s="52">
        <v>8414.9</v>
      </c>
      <c r="DZ29" s="37">
        <f t="shared" si="34"/>
        <v>7216.12</v>
      </c>
      <c r="EA29" s="49">
        <v>30127</v>
      </c>
      <c r="EB29" s="49">
        <v>20.962</v>
      </c>
      <c r="EC29" s="37">
        <f t="shared" si="35"/>
        <v>24376.12</v>
      </c>
      <c r="ED29" s="53">
        <f t="shared" si="36"/>
        <v>36292.239999999816</v>
      </c>
      <c r="EE29" s="49">
        <v>45490</v>
      </c>
      <c r="EF29" s="49">
        <v>29.491</v>
      </c>
      <c r="EG29" s="37">
        <f t="shared" si="37"/>
        <v>31376.12</v>
      </c>
      <c r="EH29" s="72">
        <v>13075</v>
      </c>
      <c r="EI29" s="51">
        <v>1.7829999999999999</v>
      </c>
      <c r="EJ29" s="37">
        <f t="shared" si="38"/>
        <v>12216.12</v>
      </c>
      <c r="EK29" s="37">
        <v>795.62</v>
      </c>
      <c r="EL29" s="40">
        <v>1140.0999999999999</v>
      </c>
      <c r="EM29" s="37">
        <f t="shared" si="71"/>
        <v>759.99999999999091</v>
      </c>
      <c r="EN29" s="54">
        <f t="shared" si="72"/>
        <v>44352.239999999991</v>
      </c>
      <c r="EO29" s="48">
        <v>13006</v>
      </c>
      <c r="EP29" s="48">
        <v>4545.8999999999996</v>
      </c>
      <c r="EQ29" s="37">
        <f t="shared" si="73"/>
        <v>7356.1199999999872</v>
      </c>
      <c r="ER29" s="48">
        <v>9421.1</v>
      </c>
      <c r="ES29" s="48">
        <v>3866.2</v>
      </c>
      <c r="ET29" s="49">
        <f t="shared" si="99"/>
        <v>18300.000000001091</v>
      </c>
      <c r="EU29" s="48">
        <v>3607.2</v>
      </c>
      <c r="EV29" s="48">
        <v>1282.5999999999999</v>
      </c>
      <c r="EW29" s="49">
        <f t="shared" si="40"/>
        <v>8316.1199999999099</v>
      </c>
      <c r="EX29" s="48">
        <v>13531</v>
      </c>
      <c r="EY29" s="55">
        <v>1.5680000000000001</v>
      </c>
      <c r="EZ29" s="37">
        <f t="shared" si="41"/>
        <v>11216.12</v>
      </c>
      <c r="FA29" s="48">
        <f t="shared" si="74"/>
        <v>-22057.36000000099</v>
      </c>
      <c r="FB29" s="48">
        <v>36560091</v>
      </c>
      <c r="FC29" s="49">
        <f t="shared" si="94"/>
        <v>23131</v>
      </c>
      <c r="FD29" s="48">
        <f t="shared" si="75"/>
        <v>46988.360000000946</v>
      </c>
      <c r="FE29" s="48">
        <v>17083</v>
      </c>
      <c r="FF29" s="48">
        <v>6089</v>
      </c>
      <c r="FG29" s="37">
        <f t="shared" si="76"/>
        <v>10989.450000000015</v>
      </c>
      <c r="FH29" s="48">
        <v>8781.2999999999993</v>
      </c>
      <c r="FI29" s="48">
        <v>3.3904000000000001</v>
      </c>
      <c r="FJ29" s="49">
        <f t="shared" si="42"/>
        <v>17529.449999999637</v>
      </c>
      <c r="FK29" s="48"/>
      <c r="FL29" s="58">
        <v>-86.67</v>
      </c>
      <c r="FM29" s="48">
        <f t="shared" si="95"/>
        <v>-216.11666666655097</v>
      </c>
      <c r="FN29" s="48">
        <v>16643</v>
      </c>
      <c r="FO29" s="48">
        <v>0.83169999999999999</v>
      </c>
      <c r="FP29" s="37">
        <f t="shared" si="77"/>
        <v>13129.45</v>
      </c>
      <c r="FQ29" s="48">
        <v>58898</v>
      </c>
      <c r="FR29" s="48">
        <v>14.236000000000001</v>
      </c>
      <c r="FS29" s="37">
        <f t="shared" si="43"/>
        <v>41000</v>
      </c>
      <c r="FT29" s="48">
        <f t="shared" si="78"/>
        <v>-648.34999999965294</v>
      </c>
      <c r="FU29" s="48">
        <f t="shared" si="79"/>
        <v>43148.349999999657</v>
      </c>
      <c r="FV29" s="44">
        <v>4410900</v>
      </c>
      <c r="FW29" s="65">
        <v>1409700</v>
      </c>
      <c r="FX29" s="37">
        <f t="shared" si="44"/>
        <v>31100</v>
      </c>
      <c r="FY29" s="56">
        <v>3375.9</v>
      </c>
      <c r="FZ29" s="56">
        <v>2.0945999999999998</v>
      </c>
      <c r="GA29" s="37">
        <f t="shared" si="45"/>
        <v>10550.000000000273</v>
      </c>
      <c r="GB29" s="56">
        <v>814.47</v>
      </c>
      <c r="GC29" s="56">
        <v>912.37</v>
      </c>
      <c r="GD29" s="37">
        <f t="shared" si="46"/>
        <v>980.00000000001819</v>
      </c>
      <c r="GE29" s="56">
        <v>10085</v>
      </c>
      <c r="GF29" s="56">
        <v>3.4009</v>
      </c>
      <c r="GG29" s="37">
        <f t="shared" si="47"/>
        <v>7700.0000000000455</v>
      </c>
      <c r="GH29" s="158">
        <v>1961.1</v>
      </c>
      <c r="GI29" s="159">
        <v>1675.1</v>
      </c>
      <c r="GJ29" s="38">
        <f t="shared" si="48"/>
        <v>1799.9999999999545</v>
      </c>
      <c r="GK29" s="159">
        <v>1489</v>
      </c>
      <c r="GL29" s="160">
        <v>1128.3</v>
      </c>
      <c r="GM29" s="38">
        <f t="shared" si="49"/>
        <v>1500</v>
      </c>
      <c r="GN29" s="57">
        <v>208220</v>
      </c>
      <c r="GO29" s="57">
        <v>184420</v>
      </c>
      <c r="GP29" s="38">
        <f t="shared" si="98"/>
        <v>0</v>
      </c>
      <c r="GQ29" s="38">
        <v>269200</v>
      </c>
      <c r="GR29" s="38">
        <v>265750</v>
      </c>
      <c r="GS29" s="38">
        <f t="shared" si="80"/>
        <v>150</v>
      </c>
      <c r="GT29" s="178"/>
      <c r="GU29" s="144">
        <f>DailyMei!B28-DailyMei!N28-DailyMei!V28-DailyMei!Y28-DailyMei!Z28-DailyMei!AA28-DailyMei!AB28-DailyMei!AC28-DailyMei!AD28-DailyMei!AE28-DailyMei!AK28-DailyMei!AO28-DailyMei!AS28-DailyMei!AY28-DailyMei!BD28+DailyMei!BU28-DailyMei!BG28-DailyMei!BT28-DailyMei!AF28-DailyMei!AG28</f>
        <v>9.9999797675991431E-3</v>
      </c>
      <c r="GV29" s="59">
        <v>3241.81</v>
      </c>
      <c r="GW29" s="60">
        <f t="shared" si="50"/>
        <v>216.12066666666666</v>
      </c>
      <c r="GX29" s="61">
        <v>216.12</v>
      </c>
      <c r="GY29" s="140"/>
      <c r="GZ29" s="62"/>
      <c r="HA29" s="62"/>
      <c r="HB29" s="74"/>
      <c r="HC29" s="62"/>
      <c r="HD29" s="74"/>
      <c r="HE29" s="24">
        <f t="shared" si="51"/>
        <v>0</v>
      </c>
      <c r="HG29" s="213">
        <v>23</v>
      </c>
      <c r="HH29" s="16">
        <v>10071</v>
      </c>
      <c r="HI29" s="16">
        <v>3089.9</v>
      </c>
      <c r="HJ29" s="16">
        <f t="shared" si="52"/>
        <v>127600.00000000036</v>
      </c>
      <c r="HK29" s="16">
        <v>1.9189000000000001</v>
      </c>
      <c r="HL29" s="16">
        <v>660.93</v>
      </c>
      <c r="HM29" s="16">
        <f t="shared" si="100"/>
        <v>0</v>
      </c>
      <c r="HN29" s="16">
        <v>2645.2</v>
      </c>
      <c r="HO29" s="16">
        <v>1158.0999999999999</v>
      </c>
      <c r="HP29" s="16">
        <f t="shared" si="54"/>
        <v>32484.55</v>
      </c>
      <c r="HQ29" s="16">
        <v>2295.1</v>
      </c>
      <c r="HR29" s="16">
        <v>998.76</v>
      </c>
      <c r="HS29" s="16">
        <f t="shared" si="55"/>
        <v>25384.55000000009</v>
      </c>
      <c r="HT29" s="16">
        <v>1942.3</v>
      </c>
      <c r="HU29" s="16">
        <v>757.96</v>
      </c>
      <c r="HV29" s="16">
        <f t="shared" si="56"/>
        <v>20984.55</v>
      </c>
      <c r="HW29" s="16">
        <v>989.97</v>
      </c>
      <c r="HX29" s="16">
        <v>440.06</v>
      </c>
      <c r="HY29" s="16">
        <f t="shared" si="57"/>
        <v>27494.549999999992</v>
      </c>
      <c r="HZ29" s="16">
        <v>16821</v>
      </c>
      <c r="IA29" s="16">
        <v>20366</v>
      </c>
      <c r="IB29" s="16">
        <f t="shared" si="58"/>
        <v>2732</v>
      </c>
      <c r="IC29" s="16">
        <v>719.8</v>
      </c>
      <c r="ID29" s="16">
        <v>232.78</v>
      </c>
      <c r="IE29" s="16">
        <f t="shared" si="59"/>
        <v>719.8</v>
      </c>
      <c r="IF29" s="16"/>
      <c r="IG29" s="16"/>
      <c r="IH29" s="128">
        <f t="shared" si="1"/>
        <v>17800</v>
      </c>
      <c r="II29" s="211">
        <f>HJ29+HM29-HS29-HV29-HY29-IH29-HP29-IB29-IE29</f>
        <v>2.8308022592682391E-10</v>
      </c>
      <c r="IJ29" s="16"/>
      <c r="IK29" s="16"/>
      <c r="IL29" s="16">
        <f t="shared" si="101"/>
        <v>0</v>
      </c>
      <c r="IM29" s="16"/>
      <c r="IN29" s="16"/>
      <c r="IO29" s="16">
        <f t="shared" si="102"/>
        <v>0</v>
      </c>
      <c r="IP29" s="16"/>
      <c r="IQ29" s="16"/>
      <c r="IR29" s="16">
        <f t="shared" si="103"/>
        <v>0</v>
      </c>
      <c r="IS29" s="16"/>
      <c r="IT29" s="16"/>
      <c r="IU29" s="16">
        <f t="shared" si="104"/>
        <v>0</v>
      </c>
      <c r="IV29" s="16"/>
      <c r="IW29" s="16"/>
      <c r="IX29" s="16">
        <f t="shared" si="105"/>
        <v>0</v>
      </c>
      <c r="IY29" s="16"/>
      <c r="IZ29" s="16"/>
      <c r="JA29" s="16">
        <f t="shared" si="106"/>
        <v>0</v>
      </c>
      <c r="JB29" s="16"/>
      <c r="JC29" s="16"/>
      <c r="JD29" s="16">
        <f t="shared" si="107"/>
        <v>0</v>
      </c>
      <c r="JE29" s="16"/>
      <c r="JF29" s="16"/>
      <c r="JG29" s="16">
        <f t="shared" si="108"/>
        <v>0</v>
      </c>
      <c r="JH29" s="16"/>
      <c r="JI29" s="16"/>
      <c r="JJ29" s="16">
        <f t="shared" si="109"/>
        <v>0</v>
      </c>
      <c r="JK29" s="16"/>
      <c r="JL29" s="16"/>
      <c r="JM29" s="16">
        <f t="shared" si="110"/>
        <v>0</v>
      </c>
      <c r="JN29" s="16"/>
      <c r="JO29" s="16"/>
      <c r="JP29" s="16">
        <f t="shared" si="111"/>
        <v>0</v>
      </c>
      <c r="JQ29" s="16"/>
      <c r="JR29" s="16"/>
      <c r="JS29" s="16">
        <f t="shared" si="112"/>
        <v>0</v>
      </c>
      <c r="JT29" s="16"/>
      <c r="JU29" s="16"/>
      <c r="JV29" s="16">
        <f t="shared" si="113"/>
        <v>0</v>
      </c>
      <c r="JW29" s="16"/>
      <c r="JX29" s="16"/>
      <c r="JY29" s="16">
        <f t="shared" si="114"/>
        <v>0</v>
      </c>
      <c r="JZ29" s="16"/>
      <c r="KA29" s="16"/>
      <c r="KB29" s="16">
        <f t="shared" si="115"/>
        <v>0</v>
      </c>
      <c r="KC29" s="16"/>
      <c r="KD29" s="16"/>
      <c r="KE29" s="16">
        <f t="shared" si="116"/>
        <v>0</v>
      </c>
      <c r="KG29" s="151">
        <f t="shared" si="61"/>
        <v>35936.350000000282</v>
      </c>
    </row>
    <row r="30" spans="1:293" x14ac:dyDescent="0.25">
      <c r="A30" s="35">
        <f t="shared" si="2"/>
        <v>24</v>
      </c>
      <c r="B30" s="38">
        <v>4364.18</v>
      </c>
      <c r="C30" s="38">
        <f t="shared" si="3"/>
        <v>10.700000000000728</v>
      </c>
      <c r="D30" s="38">
        <f t="shared" si="4"/>
        <v>342400.00000002328</v>
      </c>
      <c r="E30" s="38">
        <v>877.81</v>
      </c>
      <c r="F30" s="38">
        <f t="shared" si="5"/>
        <v>72319.999999999709</v>
      </c>
      <c r="G30" s="38">
        <f t="shared" si="6"/>
        <v>414720.00000002299</v>
      </c>
      <c r="H30" s="37"/>
      <c r="I30" s="39"/>
      <c r="J30" s="42"/>
      <c r="K30" s="37">
        <f>IF(J30&lt;=0,0,(J30/SQRT(J30^2+(I30-I29)^2)))</f>
        <v>0</v>
      </c>
      <c r="L30" s="40">
        <v>13413600</v>
      </c>
      <c r="M30" s="40"/>
      <c r="N30" s="37">
        <f t="shared" si="82"/>
        <v>396000</v>
      </c>
      <c r="O30" s="37">
        <v>11022.5</v>
      </c>
      <c r="P30" s="37"/>
      <c r="Q30" s="37">
        <f t="shared" si="119"/>
        <v>17600.000000000364</v>
      </c>
      <c r="R30" s="37">
        <f>IF(Q30&lt;=0,0,(Q30/SQRT(Q30^2+(P30-P29)^2)))</f>
        <v>1</v>
      </c>
      <c r="S30" s="37">
        <v>11235200.01</v>
      </c>
      <c r="T30" s="37">
        <f t="shared" si="8"/>
        <v>315.82000000029802</v>
      </c>
      <c r="U30" s="37">
        <v>1523790.61</v>
      </c>
      <c r="V30" s="37">
        <f t="shared" si="9"/>
        <v>0</v>
      </c>
      <c r="W30" s="37">
        <v>3942.6</v>
      </c>
      <c r="X30" s="37">
        <f t="shared" si="96"/>
        <v>17184.180000000066</v>
      </c>
      <c r="Y30" s="183"/>
      <c r="Z30" s="183"/>
      <c r="AA30" s="37">
        <v>787300</v>
      </c>
      <c r="AB30" s="37">
        <f t="shared" si="10"/>
        <v>100</v>
      </c>
      <c r="AC30" s="37">
        <v>4109.1000000000004</v>
      </c>
      <c r="AD30" s="37"/>
      <c r="AE30" s="37">
        <f t="shared" si="121"/>
        <v>4800.0000000001819</v>
      </c>
      <c r="AF30" s="37">
        <f>IF(AE30&lt;=0,0,(AE30/SQRT(AE30^2+(AD30-AD29)^2)))</f>
        <v>1</v>
      </c>
      <c r="AG30" s="37">
        <v>8958.7000000000007</v>
      </c>
      <c r="AH30" s="37"/>
      <c r="AI30" s="37">
        <f t="shared" si="12"/>
        <v>12881.170000000364</v>
      </c>
      <c r="AJ30" s="37">
        <f t="shared" si="13"/>
        <v>1</v>
      </c>
      <c r="AK30" s="37">
        <f t="shared" si="14"/>
        <v>35181.170000000908</v>
      </c>
      <c r="AL30" s="42">
        <v>10855.6</v>
      </c>
      <c r="AM30" s="42"/>
      <c r="AN30" s="37">
        <f t="shared" si="62"/>
        <v>7291.1700000003457</v>
      </c>
      <c r="AO30" s="37">
        <f>IF(AN30&lt;=0,0,(AN30/SQRT(AN30^2+(AM30-AM29)^2)))</f>
        <v>1</v>
      </c>
      <c r="AP30" s="67">
        <v>8402.7000000000007</v>
      </c>
      <c r="AQ30" s="37"/>
      <c r="AR30" s="37">
        <f t="shared" si="15"/>
        <v>12300.000000001091</v>
      </c>
      <c r="AS30" s="37">
        <f>IF(AR30&lt;=0,0,(AR30/SQRT(AR30^2+(AQ30-AQ29)^2)))</f>
        <v>1</v>
      </c>
      <c r="AT30" s="183"/>
      <c r="AU30" s="183"/>
      <c r="AV30" s="183"/>
      <c r="AW30" s="183"/>
      <c r="AX30" s="37">
        <v>483730</v>
      </c>
      <c r="AY30" s="37"/>
      <c r="AZ30" s="37">
        <f t="shared" si="16"/>
        <v>450</v>
      </c>
      <c r="BA30" s="37">
        <v>146830</v>
      </c>
      <c r="BB30" s="37"/>
      <c r="BC30" s="37">
        <f t="shared" si="17"/>
        <v>700</v>
      </c>
      <c r="BD30" s="37">
        <f>AN30+AR30+AZ30+BC30</f>
        <v>20741.170000001439</v>
      </c>
      <c r="BE30" s="43">
        <v>1909.5</v>
      </c>
      <c r="BF30" s="43">
        <v>1051.7</v>
      </c>
      <c r="BG30" s="37">
        <f t="shared" si="18"/>
        <v>1799.9999999999545</v>
      </c>
      <c r="BH30" s="44">
        <v>8913.2000000000007</v>
      </c>
      <c r="BI30" s="44">
        <v>5732.5</v>
      </c>
      <c r="BJ30" s="37">
        <f t="shared" si="19"/>
        <v>9500</v>
      </c>
      <c r="BK30" s="40">
        <v>1562510</v>
      </c>
      <c r="BL30" s="40">
        <f t="shared" si="88"/>
        <v>4360</v>
      </c>
      <c r="BM30" s="40">
        <v>870.72</v>
      </c>
      <c r="BN30" s="37">
        <f t="shared" si="20"/>
        <v>629.99999999999545</v>
      </c>
      <c r="BO30" s="186"/>
      <c r="BP30" s="183">
        <f t="shared" si="21"/>
        <v>0</v>
      </c>
      <c r="BQ30" s="40">
        <v>823.9</v>
      </c>
      <c r="BR30" s="37">
        <f t="shared" si="63"/>
        <v>600.00000000002274</v>
      </c>
      <c r="BS30" s="37">
        <v>98274.99</v>
      </c>
      <c r="BT30" s="37">
        <f t="shared" si="22"/>
        <v>187.11000000000058</v>
      </c>
      <c r="BU30" s="42">
        <v>2716044</v>
      </c>
      <c r="BV30" s="42"/>
      <c r="BW30" s="37">
        <f t="shared" si="23"/>
        <v>7644</v>
      </c>
      <c r="BX30" s="37">
        <f>IF(BW30&lt;=0,0,(BW30/SQRT(BW30^2+(BV30-BV29)^2)))</f>
        <v>1</v>
      </c>
      <c r="BY30" s="43">
        <v>344.9135</v>
      </c>
      <c r="BZ30" s="37"/>
      <c r="CA30" s="37">
        <f t="shared" si="117"/>
        <v>822.69999999999754</v>
      </c>
      <c r="CB30" s="37">
        <f t="shared" si="64"/>
        <v>1</v>
      </c>
      <c r="CC30" s="37">
        <v>637051.6</v>
      </c>
      <c r="CD30" s="37">
        <f t="shared" si="25"/>
        <v>2158.5999999999767</v>
      </c>
      <c r="CE30" s="41">
        <v>1180305</v>
      </c>
      <c r="CF30" s="37">
        <f t="shared" si="26"/>
        <v>5424</v>
      </c>
      <c r="CG30" s="37">
        <v>72810.600000000006</v>
      </c>
      <c r="CH30" s="37">
        <f t="shared" si="65"/>
        <v>0</v>
      </c>
      <c r="CI30" s="40">
        <v>12769.14</v>
      </c>
      <c r="CJ30" s="40"/>
      <c r="CK30" s="37">
        <f t="shared" si="66"/>
        <v>16928.469999999346</v>
      </c>
      <c r="CL30" s="37">
        <f t="shared" si="27"/>
        <v>1</v>
      </c>
      <c r="CM30" s="37">
        <v>3549.0410000000002</v>
      </c>
      <c r="CN30" s="37"/>
      <c r="CO30" s="37">
        <f t="shared" si="28"/>
        <v>8002.1700000000037</v>
      </c>
      <c r="CP30" s="37">
        <f>IF(CO30&lt;=0,0,(CO30/SQRT(CO30^2+(CN30-CN29)^2)))</f>
        <v>1</v>
      </c>
      <c r="CQ30" s="39">
        <v>151689.29999999999</v>
      </c>
      <c r="CR30" s="39"/>
      <c r="CS30" s="37">
        <f t="shared" si="67"/>
        <v>7934.0699999999943</v>
      </c>
      <c r="CT30" s="37">
        <f t="shared" si="68"/>
        <v>1</v>
      </c>
      <c r="CU30" s="37">
        <v>3356905</v>
      </c>
      <c r="CV30" s="37"/>
      <c r="CW30" s="38">
        <f t="shared" si="29"/>
        <v>14786</v>
      </c>
      <c r="CX30" s="37">
        <f>IF(CW30&lt;=0,0,(CW30/SQRT(CW30^2+(CV30-CV29)^2)))</f>
        <v>1</v>
      </c>
      <c r="CY30" s="37">
        <v>1763168</v>
      </c>
      <c r="CZ30" s="37"/>
      <c r="DA30" s="37">
        <f t="shared" si="123"/>
        <v>7950</v>
      </c>
      <c r="DB30" s="37">
        <f t="shared" si="92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2"/>
        <v>-63244.709999999344</v>
      </c>
      <c r="DH30" s="37">
        <f t="shared" si="33"/>
        <v>432981.17000000086</v>
      </c>
      <c r="DI30" s="46"/>
      <c r="DJ30" s="46"/>
      <c r="DK30" s="47"/>
      <c r="DL30" s="47"/>
      <c r="DM30" s="37"/>
      <c r="DN30" s="37"/>
      <c r="DO30" s="37"/>
      <c r="DP30" s="37"/>
      <c r="DQ30" s="50">
        <v>3453600</v>
      </c>
      <c r="DR30" s="49">
        <f t="shared" si="69"/>
        <v>10300</v>
      </c>
      <c r="DS30" s="50">
        <v>3781400</v>
      </c>
      <c r="DT30" s="49">
        <f t="shared" si="70"/>
        <v>16800</v>
      </c>
      <c r="DU30" s="51">
        <v>7991.2</v>
      </c>
      <c r="DV30" s="51">
        <v>4479.5</v>
      </c>
      <c r="DW30" s="37">
        <f t="shared" si="93"/>
        <v>2899.9999999996362</v>
      </c>
      <c r="DX30" s="52">
        <v>13171</v>
      </c>
      <c r="DY30" s="52">
        <v>8416.5</v>
      </c>
      <c r="DZ30" s="37">
        <f t="shared" si="34"/>
        <v>4781.17</v>
      </c>
      <c r="EA30" s="49">
        <v>30141</v>
      </c>
      <c r="EB30" s="49">
        <v>20.969000000000001</v>
      </c>
      <c r="EC30" s="37">
        <f t="shared" si="35"/>
        <v>16941.169999999998</v>
      </c>
      <c r="ED30" s="53">
        <f t="shared" si="36"/>
        <v>24622.339999999633</v>
      </c>
      <c r="EE30" s="49">
        <v>45518</v>
      </c>
      <c r="EF30" s="49">
        <v>29.513999999999999</v>
      </c>
      <c r="EG30" s="37">
        <f t="shared" si="37"/>
        <v>30941.17</v>
      </c>
      <c r="EH30" s="51">
        <v>13086</v>
      </c>
      <c r="EI30" s="51">
        <v>1.7858000000000001</v>
      </c>
      <c r="EJ30" s="37">
        <f t="shared" si="38"/>
        <v>11781.17</v>
      </c>
      <c r="EK30" s="37">
        <v>796.45</v>
      </c>
      <c r="EL30" s="40">
        <v>1141.3</v>
      </c>
      <c r="EM30" s="37">
        <f t="shared" si="71"/>
        <v>830.00000000004093</v>
      </c>
      <c r="EN30" s="54">
        <f t="shared" si="72"/>
        <v>43552.34000000004</v>
      </c>
      <c r="EO30" s="48">
        <v>13014</v>
      </c>
      <c r="EP30" s="48">
        <v>4548.7</v>
      </c>
      <c r="EQ30" s="37">
        <f t="shared" si="73"/>
        <v>7921.1699999999864</v>
      </c>
      <c r="ER30" s="48">
        <v>9439.1</v>
      </c>
      <c r="ES30" s="48">
        <v>3873.7</v>
      </c>
      <c r="ET30" s="49">
        <f t="shared" si="99"/>
        <v>18000</v>
      </c>
      <c r="EU30" s="73">
        <v>3615.8</v>
      </c>
      <c r="EV30" s="48">
        <v>1285.5999999999999</v>
      </c>
      <c r="EW30" s="49">
        <f t="shared" si="40"/>
        <v>9381.1700000003639</v>
      </c>
      <c r="EX30" s="48">
        <v>13542</v>
      </c>
      <c r="EY30" s="55">
        <v>1.5692999999999999</v>
      </c>
      <c r="EZ30" s="37">
        <f t="shared" si="41"/>
        <v>11781.17</v>
      </c>
      <c r="FA30" s="48">
        <f t="shared" si="74"/>
        <v>-23956.510000000351</v>
      </c>
      <c r="FB30" s="48">
        <v>36583218</v>
      </c>
      <c r="FC30" s="49">
        <f t="shared" si="94"/>
        <v>23127</v>
      </c>
      <c r="FD30" s="48">
        <f t="shared" si="75"/>
        <v>48683.51000000049</v>
      </c>
      <c r="FE30" s="48">
        <v>17092</v>
      </c>
      <c r="FF30" s="55">
        <v>6091.8</v>
      </c>
      <c r="FG30" s="37">
        <f t="shared" si="76"/>
        <v>10754.500000000015</v>
      </c>
      <c r="FH30" s="48">
        <v>8799.1</v>
      </c>
      <c r="FI30" s="48">
        <v>3.3974000000000002</v>
      </c>
      <c r="FJ30" s="49">
        <f t="shared" si="42"/>
        <v>18694.500000001091</v>
      </c>
      <c r="FK30" s="48"/>
      <c r="FL30" s="58">
        <v>113.33</v>
      </c>
      <c r="FM30" s="48">
        <f t="shared" si="95"/>
        <v>-781.16666666703532</v>
      </c>
      <c r="FN30" s="48">
        <v>16655</v>
      </c>
      <c r="FO30" s="48">
        <v>0.83340000000000003</v>
      </c>
      <c r="FP30" s="37">
        <f t="shared" si="77"/>
        <v>12894.5</v>
      </c>
      <c r="FQ30" s="48">
        <v>58938</v>
      </c>
      <c r="FR30" s="48">
        <v>14.247</v>
      </c>
      <c r="FS30" s="37">
        <f t="shared" si="43"/>
        <v>40000</v>
      </c>
      <c r="FT30" s="48">
        <f t="shared" si="78"/>
        <v>-2343.5000000011059</v>
      </c>
      <c r="FU30" s="48">
        <f t="shared" si="79"/>
        <v>42443.500000001019</v>
      </c>
      <c r="FV30" s="44">
        <v>4442100</v>
      </c>
      <c r="FW30" s="44">
        <v>1419300</v>
      </c>
      <c r="FX30" s="37">
        <f t="shared" si="44"/>
        <v>31200</v>
      </c>
      <c r="FY30" s="56">
        <v>3387.6</v>
      </c>
      <c r="FZ30" s="56">
        <v>2.1023000000000001</v>
      </c>
      <c r="GA30" s="37">
        <f t="shared" si="45"/>
        <v>11359.999999999818</v>
      </c>
      <c r="GB30" s="56">
        <v>815.49</v>
      </c>
      <c r="GC30" s="56">
        <v>915.49</v>
      </c>
      <c r="GD30" s="37">
        <f t="shared" si="46"/>
        <v>1019.9999999999818</v>
      </c>
      <c r="GE30" s="56">
        <v>10095</v>
      </c>
      <c r="GF30" s="56">
        <v>3.4083000000000001</v>
      </c>
      <c r="GG30" s="37">
        <f t="shared" si="47"/>
        <v>8299.9999999999545</v>
      </c>
      <c r="GH30" s="158">
        <v>1962.7</v>
      </c>
      <c r="GI30" s="159">
        <v>1676.7</v>
      </c>
      <c r="GJ30" s="38">
        <f t="shared" si="48"/>
        <v>1600.0000000001364</v>
      </c>
      <c r="GK30" s="159">
        <v>1489.1</v>
      </c>
      <c r="GL30" s="160">
        <v>1128.4000000000001</v>
      </c>
      <c r="GM30" s="38">
        <f t="shared" si="49"/>
        <v>99.999999999909051</v>
      </c>
      <c r="GN30" s="57">
        <v>208220</v>
      </c>
      <c r="GO30" s="57">
        <v>184420</v>
      </c>
      <c r="GP30" s="38">
        <f t="shared" si="98"/>
        <v>0</v>
      </c>
      <c r="GQ30" s="38">
        <v>269540</v>
      </c>
      <c r="GR30" s="38">
        <v>265980</v>
      </c>
      <c r="GS30" s="38">
        <f t="shared" si="80"/>
        <v>340</v>
      </c>
      <c r="GT30" s="178"/>
      <c r="GU30" s="144">
        <f>DailyMei!B29-DailyMei!N29-DailyMei!V29-DailyMei!Y29-DailyMei!Z29-DailyMei!AA29-DailyMei!AB29-DailyMei!AC29-DailyMei!AD29-DailyMei!AE29-DailyMei!AK29-DailyMei!AO29-DailyMei!AS29-DailyMei!AY29-DailyMei!BD29+DailyMei!BU29-DailyMei!BG29-DailyMei!BT29-DailyMei!AF29-DailyMei!AG29</f>
        <v>-3.9999979519052431E-2</v>
      </c>
      <c r="GV30" s="59">
        <v>11717.51</v>
      </c>
      <c r="GW30" s="60">
        <f t="shared" si="50"/>
        <v>781.16733333333332</v>
      </c>
      <c r="GX30" s="61">
        <v>781.17</v>
      </c>
      <c r="GY30" s="140"/>
      <c r="GZ30" s="62"/>
      <c r="HA30" s="62"/>
      <c r="HB30" s="74"/>
      <c r="HC30" s="62"/>
      <c r="HD30" s="74"/>
      <c r="HE30" s="24">
        <f t="shared" si="51"/>
        <v>0</v>
      </c>
      <c r="HG30" s="213">
        <v>24</v>
      </c>
      <c r="HH30" s="16">
        <v>10202</v>
      </c>
      <c r="HI30" s="16">
        <v>3938.2</v>
      </c>
      <c r="HJ30" s="16">
        <f t="shared" si="52"/>
        <v>131000</v>
      </c>
      <c r="HK30" s="16">
        <v>1.9189000000000001</v>
      </c>
      <c r="HL30" s="16">
        <v>660.93</v>
      </c>
      <c r="HM30" s="16">
        <f t="shared" si="100"/>
        <v>0</v>
      </c>
      <c r="HN30" s="16">
        <v>2675.2</v>
      </c>
      <c r="HO30" s="16">
        <v>1170.9000000000001</v>
      </c>
      <c r="HP30" s="16">
        <f t="shared" si="54"/>
        <v>30527.75</v>
      </c>
      <c r="HQ30" s="16">
        <v>2320.6</v>
      </c>
      <c r="HR30" s="16">
        <v>1009.11</v>
      </c>
      <c r="HS30" s="16">
        <f t="shared" si="55"/>
        <v>26027.75</v>
      </c>
      <c r="HT30" s="16">
        <v>1968.5</v>
      </c>
      <c r="HU30" s="16">
        <v>766.94</v>
      </c>
      <c r="HV30" s="16">
        <f t="shared" si="56"/>
        <v>26727.750000000044</v>
      </c>
      <c r="HW30" s="16">
        <v>1017.1</v>
      </c>
      <c r="HX30" s="16">
        <v>451.15</v>
      </c>
      <c r="HY30" s="16">
        <f t="shared" si="57"/>
        <v>27657.749999999996</v>
      </c>
      <c r="HZ30" s="16">
        <v>20080</v>
      </c>
      <c r="IA30" s="16">
        <v>23132</v>
      </c>
      <c r="IB30" s="16">
        <f t="shared" si="58"/>
        <v>3259</v>
      </c>
      <c r="IC30" s="16"/>
      <c r="ID30" s="16"/>
      <c r="IE30" s="16">
        <f t="shared" si="59"/>
        <v>0</v>
      </c>
      <c r="IF30" s="16"/>
      <c r="IG30" s="16"/>
      <c r="IH30" s="128">
        <f t="shared" si="1"/>
        <v>16800</v>
      </c>
      <c r="II30" s="211">
        <f>HJ30+HM30-HS30-HV30-HY30-IH30-HP30-IB30-IE30</f>
        <v>-4.3655745685100555E-11</v>
      </c>
      <c r="IJ30" s="16"/>
      <c r="IK30" s="16"/>
      <c r="IL30" s="16">
        <f t="shared" si="101"/>
        <v>0</v>
      </c>
      <c r="IM30" s="16"/>
      <c r="IN30" s="16"/>
      <c r="IO30" s="16">
        <f t="shared" si="102"/>
        <v>0</v>
      </c>
      <c r="IP30" s="16"/>
      <c r="IQ30" s="16"/>
      <c r="IR30" s="16">
        <f t="shared" si="103"/>
        <v>0</v>
      </c>
      <c r="IS30" s="16"/>
      <c r="IT30" s="16"/>
      <c r="IU30" s="16">
        <f t="shared" si="104"/>
        <v>0</v>
      </c>
      <c r="IV30" s="16"/>
      <c r="IW30" s="16"/>
      <c r="IX30" s="16">
        <f t="shared" si="105"/>
        <v>0</v>
      </c>
      <c r="IY30" s="16"/>
      <c r="IZ30" s="16"/>
      <c r="JA30" s="16">
        <f t="shared" si="106"/>
        <v>0</v>
      </c>
      <c r="JB30" s="16"/>
      <c r="JC30" s="16"/>
      <c r="JD30" s="16">
        <f t="shared" si="107"/>
        <v>0</v>
      </c>
      <c r="JE30" s="16"/>
      <c r="JF30" s="16"/>
      <c r="JG30" s="16">
        <f t="shared" si="108"/>
        <v>0</v>
      </c>
      <c r="JH30" s="16"/>
      <c r="JI30" s="16"/>
      <c r="JJ30" s="16">
        <f t="shared" si="109"/>
        <v>0</v>
      </c>
      <c r="JK30" s="16"/>
      <c r="JL30" s="16"/>
      <c r="JM30" s="16">
        <f t="shared" si="110"/>
        <v>0</v>
      </c>
      <c r="JN30" s="16"/>
      <c r="JO30" s="16"/>
      <c r="JP30" s="16">
        <f t="shared" si="111"/>
        <v>0</v>
      </c>
      <c r="JQ30" s="16"/>
      <c r="JR30" s="16"/>
      <c r="JS30" s="16">
        <f t="shared" si="112"/>
        <v>0</v>
      </c>
      <c r="JT30" s="16"/>
      <c r="JU30" s="16"/>
      <c r="JV30" s="16">
        <f t="shared" si="113"/>
        <v>0</v>
      </c>
      <c r="JW30" s="16"/>
      <c r="JX30" s="16"/>
      <c r="JY30" s="16">
        <f t="shared" si="114"/>
        <v>0</v>
      </c>
      <c r="JZ30" s="16"/>
      <c r="KA30" s="16"/>
      <c r="KB30" s="16">
        <f t="shared" si="115"/>
        <v>0</v>
      </c>
      <c r="KC30" s="16"/>
      <c r="KD30" s="16"/>
      <c r="KE30" s="16">
        <f t="shared" si="116"/>
        <v>0</v>
      </c>
      <c r="KG30" s="151">
        <f t="shared" si="61"/>
        <v>33786.749999999956</v>
      </c>
    </row>
    <row r="31" spans="1:293" x14ac:dyDescent="0.25">
      <c r="A31" s="35">
        <f t="shared" si="2"/>
        <v>25</v>
      </c>
      <c r="B31" s="38">
        <v>4375.1099999999997</v>
      </c>
      <c r="C31" s="38">
        <f t="shared" si="3"/>
        <v>10.929999999999382</v>
      </c>
      <c r="D31" s="38">
        <f t="shared" si="4"/>
        <v>349759.99999998021</v>
      </c>
      <c r="E31" s="38">
        <v>880.11</v>
      </c>
      <c r="F31" s="38">
        <f t="shared" si="5"/>
        <v>73600.000000002183</v>
      </c>
      <c r="G31" s="38">
        <f t="shared" si="6"/>
        <v>423359.99999998242</v>
      </c>
      <c r="H31" s="37"/>
      <c r="I31" s="39"/>
      <c r="J31" s="42"/>
      <c r="K31" s="37">
        <f t="shared" si="81"/>
        <v>0</v>
      </c>
      <c r="L31" s="40">
        <v>13456500</v>
      </c>
      <c r="M31" s="40"/>
      <c r="N31" s="37">
        <f t="shared" si="82"/>
        <v>429000</v>
      </c>
      <c r="O31" s="37">
        <v>11041.4</v>
      </c>
      <c r="P31" s="37"/>
      <c r="Q31" s="37">
        <f t="shared" si="119"/>
        <v>18899.999999999636</v>
      </c>
      <c r="R31" s="37">
        <f t="shared" si="83"/>
        <v>1</v>
      </c>
      <c r="S31" s="37">
        <v>11235588.59</v>
      </c>
      <c r="T31" s="37">
        <f t="shared" si="8"/>
        <v>388.58000000007451</v>
      </c>
      <c r="U31" s="37">
        <v>1523790.61</v>
      </c>
      <c r="V31" s="37">
        <f t="shared" si="9"/>
        <v>0</v>
      </c>
      <c r="W31" s="37">
        <v>3949.6</v>
      </c>
      <c r="X31" s="37">
        <f t="shared" si="96"/>
        <v>18411.419999999562</v>
      </c>
      <c r="Y31" s="183"/>
      <c r="Z31" s="183"/>
      <c r="AA31" s="37">
        <v>787400</v>
      </c>
      <c r="AB31" s="37">
        <f t="shared" si="10"/>
        <v>100</v>
      </c>
      <c r="AC31" s="37">
        <v>4114.7</v>
      </c>
      <c r="AD31" s="37"/>
      <c r="AE31" s="37">
        <f t="shared" si="121"/>
        <v>5599.9999999994543</v>
      </c>
      <c r="AF31" s="37">
        <f t="shared" si="84"/>
        <v>1</v>
      </c>
      <c r="AG31" s="37">
        <v>8972.4</v>
      </c>
      <c r="AH31" s="37"/>
      <c r="AI31" s="37">
        <f t="shared" si="12"/>
        <v>13775.049999998908</v>
      </c>
      <c r="AJ31" s="37">
        <f t="shared" si="13"/>
        <v>1</v>
      </c>
      <c r="AK31" s="37">
        <f t="shared" si="14"/>
        <v>38175.049999997995</v>
      </c>
      <c r="AL31" s="42">
        <v>10868.3</v>
      </c>
      <c r="AM31" s="2"/>
      <c r="AN31" s="37">
        <f t="shared" si="62"/>
        <v>7025.0499999989397</v>
      </c>
      <c r="AO31" s="37">
        <f t="shared" si="85"/>
        <v>1</v>
      </c>
      <c r="AP31" s="37">
        <v>8416</v>
      </c>
      <c r="AQ31" s="37"/>
      <c r="AR31" s="37">
        <f t="shared" si="15"/>
        <v>13299.999999999272</v>
      </c>
      <c r="AS31" s="37">
        <f t="shared" si="86"/>
        <v>1</v>
      </c>
      <c r="AT31" s="183"/>
      <c r="AU31" s="183"/>
      <c r="AV31" s="183"/>
      <c r="AW31" s="183"/>
      <c r="AX31" s="37">
        <v>484200</v>
      </c>
      <c r="AY31" s="37"/>
      <c r="AZ31" s="37">
        <f t="shared" si="16"/>
        <v>470</v>
      </c>
      <c r="BA31" s="37">
        <v>147570</v>
      </c>
      <c r="BB31" s="37"/>
      <c r="BC31" s="37">
        <f t="shared" si="17"/>
        <v>740</v>
      </c>
      <c r="BD31" s="37">
        <f t="shared" si="87"/>
        <v>21535.049999998213</v>
      </c>
      <c r="BE31" s="43">
        <v>1911.2</v>
      </c>
      <c r="BF31" s="43">
        <v>1052.8</v>
      </c>
      <c r="BG31" s="37">
        <f t="shared" si="18"/>
        <v>1700.0000000000455</v>
      </c>
      <c r="BH31" s="44">
        <v>8922.6</v>
      </c>
      <c r="BI31" s="44">
        <v>5738.7</v>
      </c>
      <c r="BJ31" s="37">
        <f t="shared" si="19"/>
        <v>9399.9999999996362</v>
      </c>
      <c r="BK31" s="40">
        <v>1567100</v>
      </c>
      <c r="BL31" s="40">
        <f t="shared" si="88"/>
        <v>4590</v>
      </c>
      <c r="BM31" s="40">
        <v>871.38</v>
      </c>
      <c r="BN31" s="37">
        <f t="shared" si="20"/>
        <v>659.99999999996817</v>
      </c>
      <c r="BO31" s="186"/>
      <c r="BP31" s="183">
        <f t="shared" si="21"/>
        <v>0</v>
      </c>
      <c r="BQ31" s="40">
        <v>824.4</v>
      </c>
      <c r="BR31" s="37">
        <f t="shared" si="63"/>
        <v>500</v>
      </c>
      <c r="BS31" s="37">
        <v>98502.56</v>
      </c>
      <c r="BT31" s="37">
        <f t="shared" si="22"/>
        <v>227.56999999999243</v>
      </c>
      <c r="BU31" s="42">
        <v>2724135</v>
      </c>
      <c r="BV31" s="42"/>
      <c r="BW31" s="37">
        <f t="shared" si="23"/>
        <v>8091</v>
      </c>
      <c r="BX31" s="37">
        <f t="shared" si="89"/>
        <v>1</v>
      </c>
      <c r="BY31" s="43">
        <v>345.83519999999999</v>
      </c>
      <c r="BZ31" s="37"/>
      <c r="CA31" s="37">
        <f t="shared" si="117"/>
        <v>921.69999999998709</v>
      </c>
      <c r="CB31" s="37">
        <f t="shared" si="64"/>
        <v>1</v>
      </c>
      <c r="CC31" s="37">
        <v>639164.30000000005</v>
      </c>
      <c r="CD31" s="37">
        <f t="shared" si="25"/>
        <v>2112.7000000000698</v>
      </c>
      <c r="CE31" s="41">
        <v>1186013</v>
      </c>
      <c r="CF31" s="37">
        <f t="shared" si="26"/>
        <v>5708</v>
      </c>
      <c r="CG31" s="37">
        <v>72810.600000000006</v>
      </c>
      <c r="CH31" s="37">
        <f t="shared" si="65"/>
        <v>0</v>
      </c>
      <c r="CI31" s="40">
        <v>12787.42</v>
      </c>
      <c r="CJ31" s="40"/>
      <c r="CK31" s="37">
        <f t="shared" si="66"/>
        <v>17433.350000000668</v>
      </c>
      <c r="CL31" s="37">
        <f t="shared" si="27"/>
        <v>1</v>
      </c>
      <c r="CM31" s="37">
        <v>3557.4630000000002</v>
      </c>
      <c r="CN31" s="37"/>
      <c r="CO31" s="37">
        <f t="shared" si="28"/>
        <v>8497.0500000000247</v>
      </c>
      <c r="CP31" s="37">
        <f t="shared" si="90"/>
        <v>1</v>
      </c>
      <c r="CQ31" s="39">
        <v>159200.79999999999</v>
      </c>
      <c r="CR31" s="39"/>
      <c r="CS31" s="37">
        <f t="shared" si="67"/>
        <v>7586.55</v>
      </c>
      <c r="CT31" s="37">
        <f t="shared" si="68"/>
        <v>1</v>
      </c>
      <c r="CU31" s="37">
        <v>3371658</v>
      </c>
      <c r="CV31" s="37"/>
      <c r="CW31" s="38">
        <f t="shared" si="29"/>
        <v>14753</v>
      </c>
      <c r="CX31" s="37">
        <f t="shared" si="91"/>
        <v>1</v>
      </c>
      <c r="CY31" s="37">
        <v>1771665</v>
      </c>
      <c r="CZ31" s="37"/>
      <c r="DA31" s="37">
        <f t="shared" si="123"/>
        <v>8497</v>
      </c>
      <c r="DB31" s="37">
        <f t="shared" si="92"/>
        <v>1</v>
      </c>
      <c r="DC31" s="37"/>
      <c r="DD31" s="40"/>
      <c r="DE31" s="37">
        <f t="shared" si="31"/>
        <v>0</v>
      </c>
      <c r="DF31" s="37">
        <f t="shared" si="97"/>
        <v>0</v>
      </c>
      <c r="DG31" s="37">
        <f t="shared" si="32"/>
        <v>-64857.950000000688</v>
      </c>
      <c r="DH31" s="37">
        <f t="shared" si="33"/>
        <v>468875.04999999807</v>
      </c>
      <c r="DI31" s="46"/>
      <c r="DJ31" s="46"/>
      <c r="DK31" s="47"/>
      <c r="DL31" s="47"/>
      <c r="DM31" s="37"/>
      <c r="DN31" s="37"/>
      <c r="DO31" s="37"/>
      <c r="DP31" s="37"/>
      <c r="DQ31" s="50">
        <v>3462500</v>
      </c>
      <c r="DR31" s="49">
        <f t="shared" si="69"/>
        <v>8900</v>
      </c>
      <c r="DS31" s="50">
        <v>3800800</v>
      </c>
      <c r="DT31" s="49">
        <f t="shared" si="70"/>
        <v>19400</v>
      </c>
      <c r="DU31" s="51">
        <v>7992</v>
      </c>
      <c r="DV31" s="51">
        <v>4479.8</v>
      </c>
      <c r="DW31" s="37">
        <f t="shared" si="93"/>
        <v>800.0000000001819</v>
      </c>
      <c r="DX31" s="52">
        <v>13172</v>
      </c>
      <c r="DY31" s="52">
        <v>8416.9</v>
      </c>
      <c r="DZ31" s="37">
        <f t="shared" si="34"/>
        <v>1075.05</v>
      </c>
      <c r="EA31" s="49">
        <v>30144</v>
      </c>
      <c r="EB31" s="49">
        <v>20.972000000000001</v>
      </c>
      <c r="EC31" s="37">
        <f t="shared" si="35"/>
        <v>5235.05</v>
      </c>
      <c r="ED31" s="53">
        <f t="shared" si="36"/>
        <v>7110.1000000001823</v>
      </c>
      <c r="EE31" s="49">
        <v>45547</v>
      </c>
      <c r="EF31" s="49">
        <v>29.538</v>
      </c>
      <c r="EG31" s="37">
        <f t="shared" si="37"/>
        <v>31235.05</v>
      </c>
      <c r="EH31" s="51">
        <v>13098</v>
      </c>
      <c r="EI31" s="51">
        <v>1.7887999999999999</v>
      </c>
      <c r="EJ31" s="37">
        <f t="shared" si="38"/>
        <v>12075.05</v>
      </c>
      <c r="EK31" s="37">
        <v>797.15</v>
      </c>
      <c r="EL31" s="40">
        <v>1142.2</v>
      </c>
      <c r="EM31" s="37">
        <f t="shared" si="71"/>
        <v>699.99999999993179</v>
      </c>
      <c r="EN31" s="54">
        <f t="shared" si="72"/>
        <v>44010.099999999933</v>
      </c>
      <c r="EO31" s="48">
        <v>13022</v>
      </c>
      <c r="EP31" s="48">
        <v>4551.3</v>
      </c>
      <c r="EQ31" s="37">
        <f t="shared" si="73"/>
        <v>7285.0500000000366</v>
      </c>
      <c r="ER31" s="48">
        <v>9455.7999999999993</v>
      </c>
      <c r="ES31" s="48">
        <v>3880.8</v>
      </c>
      <c r="ET31" s="49">
        <f t="shared" si="99"/>
        <v>16699.999999998909</v>
      </c>
      <c r="EU31" s="48">
        <v>3624.1</v>
      </c>
      <c r="EV31" s="48">
        <v>1288.5</v>
      </c>
      <c r="EW31" s="49">
        <f t="shared" si="40"/>
        <v>8375.0499999997264</v>
      </c>
      <c r="EX31" s="48">
        <v>13553</v>
      </c>
      <c r="EY31" s="48">
        <v>1.5711999999999999</v>
      </c>
      <c r="EZ31" s="37">
        <f t="shared" si="41"/>
        <v>11075.05</v>
      </c>
      <c r="FA31" s="48">
        <f t="shared" si="74"/>
        <v>-21289.14999999867</v>
      </c>
      <c r="FB31" s="48">
        <v>36605364</v>
      </c>
      <c r="FC31" s="49">
        <f t="shared" si="94"/>
        <v>22146</v>
      </c>
      <c r="FD31" s="48">
        <f t="shared" si="75"/>
        <v>45135.149999998714</v>
      </c>
      <c r="FE31" s="48">
        <v>17101</v>
      </c>
      <c r="FF31" s="48">
        <v>6094.3</v>
      </c>
      <c r="FG31" s="37">
        <f t="shared" si="76"/>
        <v>9568.3799999999628</v>
      </c>
      <c r="FH31" s="48">
        <v>8815.2000000000007</v>
      </c>
      <c r="FI31" s="48">
        <v>3.4037999999999999</v>
      </c>
      <c r="FJ31" s="49">
        <f t="shared" si="42"/>
        <v>15878.380000000363</v>
      </c>
      <c r="FK31" s="48"/>
      <c r="FL31" s="58">
        <v>-296.67</v>
      </c>
      <c r="FM31" s="48">
        <f>FT31/3</f>
        <v>-75.046666666774399</v>
      </c>
      <c r="FN31" s="48">
        <v>16665</v>
      </c>
      <c r="FO31" s="48">
        <v>0.83499999999999996</v>
      </c>
      <c r="FP31" s="37">
        <f t="shared" si="77"/>
        <v>9778.3799999999992</v>
      </c>
      <c r="FQ31" s="48">
        <v>58973</v>
      </c>
      <c r="FR31" s="48">
        <v>14.257999999999999</v>
      </c>
      <c r="FS31" s="37">
        <f t="shared" si="43"/>
        <v>35000</v>
      </c>
      <c r="FT31" s="48">
        <f t="shared" si="78"/>
        <v>-225.1400000003232</v>
      </c>
      <c r="FU31" s="48">
        <f>FG31+FJ31+FP31+GM31</f>
        <v>35225.140000000327</v>
      </c>
      <c r="FV31" s="44">
        <v>4470600</v>
      </c>
      <c r="FW31" s="44">
        <v>1428100</v>
      </c>
      <c r="FX31" s="37">
        <f t="shared" si="44"/>
        <v>28500</v>
      </c>
      <c r="FY31" s="56">
        <v>3397.6</v>
      </c>
      <c r="FZ31" s="56">
        <v>2.1092</v>
      </c>
      <c r="GA31" s="37">
        <f t="shared" si="45"/>
        <v>9680</v>
      </c>
      <c r="GB31" s="56">
        <v>816.32</v>
      </c>
      <c r="GC31" s="56">
        <v>914.44</v>
      </c>
      <c r="GD31" s="37">
        <f t="shared" si="46"/>
        <v>830.00000000004093</v>
      </c>
      <c r="GE31" s="56">
        <v>10105</v>
      </c>
      <c r="GF31" s="56">
        <v>3.4148999999999998</v>
      </c>
      <c r="GG31" s="37">
        <f t="shared" si="47"/>
        <v>8299.9999999999545</v>
      </c>
      <c r="GH31" s="158">
        <v>1964.4</v>
      </c>
      <c r="GI31" s="159">
        <v>1678</v>
      </c>
      <c r="GJ31" s="38">
        <f t="shared" si="48"/>
        <v>1700.0000000000455</v>
      </c>
      <c r="GK31" s="159">
        <v>1489.1</v>
      </c>
      <c r="GL31" s="160">
        <v>1128.4000000000001</v>
      </c>
      <c r="GM31" s="38">
        <f t="shared" si="49"/>
        <v>0</v>
      </c>
      <c r="GN31" s="57">
        <v>208230</v>
      </c>
      <c r="GO31" s="57">
        <v>184430</v>
      </c>
      <c r="GP31" s="38">
        <f t="shared" si="98"/>
        <v>10</v>
      </c>
      <c r="GQ31" s="38">
        <v>269860</v>
      </c>
      <c r="GR31" s="38">
        <v>266200</v>
      </c>
      <c r="GS31" s="38">
        <f t="shared" si="80"/>
        <v>320</v>
      </c>
      <c r="GT31" s="178"/>
      <c r="GU31" s="144">
        <f>DailyMei!B30-DailyMei!N30-DailyMei!V30-DailyMei!Y30-DailyMei!Z30-DailyMei!AA30-DailyMei!AB30-DailyMei!AC30-DailyMei!AD30-DailyMei!AE30-DailyMei!AK30-DailyMei!AO30-DailyMei!AS30-DailyMei!AY30-DailyMei!BD30+DailyMei!BU30-DailyMei!BG30-DailyMei!BT30-DailyMei!AF30-DailyMei!AG30</f>
        <v>5.9999986726325005E-2</v>
      </c>
      <c r="GV31" s="59">
        <v>1125.81</v>
      </c>
      <c r="GW31" s="60">
        <f t="shared" si="50"/>
        <v>75.054000000000002</v>
      </c>
      <c r="GX31" s="61">
        <v>75.05</v>
      </c>
      <c r="GY31" s="140"/>
      <c r="GZ31" s="62"/>
      <c r="HA31" s="62"/>
      <c r="HB31" s="74"/>
      <c r="HC31" s="62"/>
      <c r="HD31" s="74"/>
      <c r="HE31" s="24">
        <f t="shared" si="51"/>
        <v>0</v>
      </c>
      <c r="HF31" s="3"/>
      <c r="HG31" s="213">
        <v>25</v>
      </c>
      <c r="HH31" s="16">
        <v>10353</v>
      </c>
      <c r="HI31" s="16">
        <v>3995.6</v>
      </c>
      <c r="HJ31" s="16">
        <f t="shared" si="52"/>
        <v>151000</v>
      </c>
      <c r="HK31" s="16">
        <v>1.9189000000000001</v>
      </c>
      <c r="HL31" s="16">
        <v>660.93</v>
      </c>
      <c r="HM31" s="16">
        <f t="shared" si="100"/>
        <v>0</v>
      </c>
      <c r="HN31" s="16">
        <v>2711.2</v>
      </c>
      <c r="HO31" s="16">
        <v>1186.4000000000001</v>
      </c>
      <c r="HP31" s="16">
        <f t="shared" si="54"/>
        <v>35832.75</v>
      </c>
      <c r="HQ31" s="16">
        <v>2346.5</v>
      </c>
      <c r="HR31" s="16">
        <v>1019.9</v>
      </c>
      <c r="HS31" s="16">
        <f t="shared" si="55"/>
        <v>25732.750000000091</v>
      </c>
      <c r="HT31" s="16">
        <v>1995.4</v>
      </c>
      <c r="HU31" s="16">
        <v>776.22</v>
      </c>
      <c r="HV31" s="16">
        <f t="shared" si="56"/>
        <v>26732.750000000091</v>
      </c>
      <c r="HW31" s="16">
        <v>1044.5999999999999</v>
      </c>
      <c r="HX31" s="16">
        <v>462.55</v>
      </c>
      <c r="HY31" s="16">
        <f t="shared" si="57"/>
        <v>27332.749999999887</v>
      </c>
      <c r="HZ31" s="16">
        <v>36049</v>
      </c>
      <c r="IA31" s="16">
        <v>30674</v>
      </c>
      <c r="IB31" s="16">
        <f t="shared" si="58"/>
        <v>15969</v>
      </c>
      <c r="IC31" s="16"/>
      <c r="ID31" s="16"/>
      <c r="IE31" s="16">
        <f t="shared" si="59"/>
        <v>0</v>
      </c>
      <c r="IF31" s="16"/>
      <c r="IG31" s="16"/>
      <c r="IH31" s="128">
        <f t="shared" si="1"/>
        <v>19400</v>
      </c>
      <c r="II31" s="211">
        <f t="shared" ref="II31:II38" si="124">HJ31+HM31-HS31-HV31-HY31-IH31-HP31-IB31</f>
        <v>-5.8207660913467407E-11</v>
      </c>
      <c r="IJ31" s="16"/>
      <c r="IK31" s="16"/>
      <c r="IL31" s="16">
        <f t="shared" si="101"/>
        <v>0</v>
      </c>
      <c r="IM31" s="16"/>
      <c r="IN31" s="16"/>
      <c r="IO31" s="16">
        <f t="shared" si="102"/>
        <v>0</v>
      </c>
      <c r="IP31" s="16"/>
      <c r="IQ31" s="16"/>
      <c r="IR31" s="16">
        <f t="shared" si="103"/>
        <v>0</v>
      </c>
      <c r="IS31" s="16"/>
      <c r="IT31" s="16"/>
      <c r="IU31" s="16">
        <f t="shared" si="104"/>
        <v>0</v>
      </c>
      <c r="IV31" s="16"/>
      <c r="IW31" s="16"/>
      <c r="IX31" s="16">
        <f t="shared" si="105"/>
        <v>0</v>
      </c>
      <c r="IY31" s="16"/>
      <c r="IZ31" s="16"/>
      <c r="JA31" s="16">
        <f t="shared" si="106"/>
        <v>0</v>
      </c>
      <c r="JB31" s="16"/>
      <c r="JC31" s="16"/>
      <c r="JD31" s="16">
        <f t="shared" si="107"/>
        <v>0</v>
      </c>
      <c r="JE31" s="16"/>
      <c r="JF31" s="16"/>
      <c r="JG31" s="16">
        <f t="shared" si="108"/>
        <v>0</v>
      </c>
      <c r="JH31" s="16"/>
      <c r="JI31" s="16"/>
      <c r="JJ31" s="16">
        <f t="shared" si="109"/>
        <v>0</v>
      </c>
      <c r="JK31" s="16"/>
      <c r="JL31" s="16"/>
      <c r="JM31" s="16">
        <f t="shared" si="110"/>
        <v>0</v>
      </c>
      <c r="JN31" s="16"/>
      <c r="JO31" s="16"/>
      <c r="JP31" s="16">
        <f t="shared" si="111"/>
        <v>0</v>
      </c>
      <c r="JQ31" s="16"/>
      <c r="JR31" s="16"/>
      <c r="JS31" s="16">
        <f t="shared" si="112"/>
        <v>0</v>
      </c>
      <c r="JT31" s="16"/>
      <c r="JU31" s="16"/>
      <c r="JV31" s="16">
        <f t="shared" si="113"/>
        <v>0</v>
      </c>
      <c r="JW31" s="16"/>
      <c r="JX31" s="16"/>
      <c r="JY31" s="16">
        <f t="shared" si="114"/>
        <v>0</v>
      </c>
      <c r="JZ31" s="16"/>
      <c r="KA31" s="16"/>
      <c r="KB31" s="16">
        <f t="shared" si="115"/>
        <v>0</v>
      </c>
      <c r="KC31" s="16"/>
      <c r="KD31" s="16"/>
      <c r="KE31" s="16">
        <f t="shared" si="116"/>
        <v>0</v>
      </c>
      <c r="KG31" s="151">
        <f t="shared" si="61"/>
        <v>51801.749999999942</v>
      </c>
    </row>
    <row r="32" spans="1:293" x14ac:dyDescent="0.25">
      <c r="A32" s="35">
        <f t="shared" si="2"/>
        <v>26</v>
      </c>
      <c r="B32" s="38">
        <v>4386.21</v>
      </c>
      <c r="C32" s="38">
        <f t="shared" si="3"/>
        <v>11.100000000000364</v>
      </c>
      <c r="D32" s="38">
        <f t="shared" si="4"/>
        <v>355200.00000001164</v>
      </c>
      <c r="E32" s="38">
        <v>882.41</v>
      </c>
      <c r="F32" s="38">
        <f t="shared" si="5"/>
        <v>73599.999999998545</v>
      </c>
      <c r="G32" s="38">
        <f t="shared" si="6"/>
        <v>428800.00000001019</v>
      </c>
      <c r="H32" s="37"/>
      <c r="I32" s="39"/>
      <c r="J32" s="42"/>
      <c r="K32" s="37">
        <f t="shared" si="81"/>
        <v>0</v>
      </c>
      <c r="L32" s="40">
        <v>13499900</v>
      </c>
      <c r="M32" s="40"/>
      <c r="N32" s="37">
        <f t="shared" si="82"/>
        <v>434000</v>
      </c>
      <c r="O32" s="37">
        <v>11060.5</v>
      </c>
      <c r="P32" s="37"/>
      <c r="Q32" s="37">
        <f t="shared" si="119"/>
        <v>19100.000000000364</v>
      </c>
      <c r="R32" s="37">
        <f t="shared" si="83"/>
        <v>1</v>
      </c>
      <c r="S32" s="37">
        <v>11235931.699999999</v>
      </c>
      <c r="T32" s="37">
        <f t="shared" si="8"/>
        <v>343.10999999940395</v>
      </c>
      <c r="U32" s="37">
        <v>1523790.61</v>
      </c>
      <c r="V32" s="37">
        <f>IF((U32-U31)&lt;=0,0,(U32-U31))</f>
        <v>0</v>
      </c>
      <c r="W32" s="37">
        <v>3956.8</v>
      </c>
      <c r="X32" s="37">
        <f t="shared" si="96"/>
        <v>18656.89000000096</v>
      </c>
      <c r="Y32" s="183"/>
      <c r="Z32" s="183"/>
      <c r="AA32" s="37">
        <v>787500</v>
      </c>
      <c r="AB32" s="37">
        <f t="shared" si="10"/>
        <v>100</v>
      </c>
      <c r="AC32" s="37">
        <v>4120.5</v>
      </c>
      <c r="AD32" s="37"/>
      <c r="AE32" s="37">
        <f t="shared" si="121"/>
        <v>5800.0000000001819</v>
      </c>
      <c r="AF32" s="37">
        <f t="shared" si="84"/>
        <v>1</v>
      </c>
      <c r="AG32" s="37">
        <v>8986.1</v>
      </c>
      <c r="AH32" s="37"/>
      <c r="AI32" s="37">
        <f t="shared" si="12"/>
        <v>14119.770000000728</v>
      </c>
      <c r="AJ32" s="37">
        <f t="shared" si="13"/>
        <v>1</v>
      </c>
      <c r="AK32" s="37">
        <f t="shared" si="14"/>
        <v>38919.77000000127</v>
      </c>
      <c r="AL32" s="42">
        <v>10880.8</v>
      </c>
      <c r="AM32" s="42"/>
      <c r="AN32" s="37">
        <f t="shared" si="62"/>
        <v>7329.769999999955</v>
      </c>
      <c r="AO32" s="37">
        <f t="shared" si="85"/>
        <v>1</v>
      </c>
      <c r="AP32" s="37">
        <v>8429.6</v>
      </c>
      <c r="AQ32" s="37"/>
      <c r="AR32" s="37">
        <f t="shared" si="15"/>
        <v>13600.000000000364</v>
      </c>
      <c r="AS32" s="37">
        <f t="shared" si="86"/>
        <v>1</v>
      </c>
      <c r="AT32" s="183"/>
      <c r="AU32" s="183"/>
      <c r="AV32" s="183"/>
      <c r="AW32" s="183"/>
      <c r="AX32" s="37">
        <v>484710</v>
      </c>
      <c r="AY32" s="37"/>
      <c r="AZ32" s="37">
        <f t="shared" si="16"/>
        <v>510</v>
      </c>
      <c r="BA32" s="37">
        <v>148310</v>
      </c>
      <c r="BB32" s="37"/>
      <c r="BC32" s="37">
        <f t="shared" si="17"/>
        <v>740</v>
      </c>
      <c r="BD32" s="37">
        <f t="shared" si="87"/>
        <v>22179.770000000317</v>
      </c>
      <c r="BE32" s="43">
        <v>1912.9</v>
      </c>
      <c r="BF32" s="43">
        <v>1054</v>
      </c>
      <c r="BG32" s="37">
        <f t="shared" si="18"/>
        <v>1700.0000000000455</v>
      </c>
      <c r="BH32" s="44">
        <v>8931.6</v>
      </c>
      <c r="BI32" s="44">
        <v>5744.7</v>
      </c>
      <c r="BJ32" s="37">
        <f t="shared" si="19"/>
        <v>9000</v>
      </c>
      <c r="BK32" s="40">
        <v>1571740</v>
      </c>
      <c r="BL32" s="40">
        <f t="shared" si="88"/>
        <v>4640</v>
      </c>
      <c r="BM32" s="40">
        <v>872.03</v>
      </c>
      <c r="BN32" s="37">
        <f t="shared" si="20"/>
        <v>649.99999999997726</v>
      </c>
      <c r="BO32" s="186"/>
      <c r="BP32" s="183">
        <f t="shared" si="21"/>
        <v>0</v>
      </c>
      <c r="BQ32" s="40">
        <v>824.7</v>
      </c>
      <c r="BR32" s="37">
        <f t="shared" si="63"/>
        <v>300.00000000006821</v>
      </c>
      <c r="BS32" s="37">
        <v>98754.31</v>
      </c>
      <c r="BT32" s="37">
        <f t="shared" si="22"/>
        <v>251.75</v>
      </c>
      <c r="BU32" s="42">
        <v>2733001</v>
      </c>
      <c r="BV32" s="42"/>
      <c r="BW32" s="37">
        <f t="shared" si="23"/>
        <v>8866</v>
      </c>
      <c r="BX32" s="37">
        <f t="shared" si="89"/>
        <v>1</v>
      </c>
      <c r="BY32" s="43">
        <v>346.72430000000003</v>
      </c>
      <c r="BZ32" s="43"/>
      <c r="CA32" s="37">
        <f t="shared" si="117"/>
        <v>889.10000000004175</v>
      </c>
      <c r="CB32" s="37">
        <f t="shared" si="64"/>
        <v>1</v>
      </c>
      <c r="CC32" s="37">
        <v>641463.80000000005</v>
      </c>
      <c r="CD32" s="37">
        <f t="shared" si="25"/>
        <v>2299.5</v>
      </c>
      <c r="CE32" s="41">
        <v>1192232</v>
      </c>
      <c r="CF32" s="37">
        <f t="shared" si="26"/>
        <v>6219</v>
      </c>
      <c r="CG32" s="37">
        <v>72810.600000000006</v>
      </c>
      <c r="CH32" s="37">
        <f t="shared" si="65"/>
        <v>0</v>
      </c>
      <c r="CI32" s="40">
        <v>12805.57</v>
      </c>
      <c r="CJ32" s="40"/>
      <c r="CK32" s="37">
        <f t="shared" si="66"/>
        <v>17680.669999999594</v>
      </c>
      <c r="CL32" s="37">
        <f t="shared" si="27"/>
        <v>1</v>
      </c>
      <c r="CM32" s="37">
        <v>3565.9580000000001</v>
      </c>
      <c r="CN32" s="37"/>
      <c r="CO32" s="37">
        <f t="shared" si="28"/>
        <v>8914.7699999998913</v>
      </c>
      <c r="CP32" s="37">
        <f t="shared" si="90"/>
        <v>1</v>
      </c>
      <c r="CQ32" s="39">
        <v>166701.79999999999</v>
      </c>
      <c r="CR32" s="39"/>
      <c r="CS32" s="37">
        <f t="shared" si="67"/>
        <v>7920.77</v>
      </c>
      <c r="CT32" s="37">
        <f t="shared" si="68"/>
        <v>1</v>
      </c>
      <c r="CU32" s="37">
        <v>3385716</v>
      </c>
      <c r="CV32" s="37"/>
      <c r="CW32" s="38">
        <f t="shared" si="29"/>
        <v>14058</v>
      </c>
      <c r="CX32" s="37">
        <f>IF(CW32&lt;=0,0,(CW32/SQRT(CW32^2+(CV32-CV31)^2)))</f>
        <v>1</v>
      </c>
      <c r="CY32" s="37">
        <v>1779396</v>
      </c>
      <c r="CZ32" s="37"/>
      <c r="DA32" s="37">
        <f t="shared" si="123"/>
        <v>7731</v>
      </c>
      <c r="DB32" s="37">
        <f t="shared" si="92"/>
        <v>1</v>
      </c>
      <c r="DC32" s="37"/>
      <c r="DD32" s="40"/>
      <c r="DE32" s="37">
        <f t="shared" si="31"/>
        <v>0</v>
      </c>
      <c r="DF32" s="37">
        <f t="shared" si="97"/>
        <v>0</v>
      </c>
      <c r="DG32" s="37">
        <f t="shared" si="32"/>
        <v>-65171.209999999483</v>
      </c>
      <c r="DH32" s="37">
        <f t="shared" si="33"/>
        <v>474619.7700000013</v>
      </c>
      <c r="DI32" s="46"/>
      <c r="DJ32" s="46"/>
      <c r="DK32" s="47"/>
      <c r="DL32" s="47"/>
      <c r="DM32" s="37"/>
      <c r="DN32" s="37"/>
      <c r="DO32" s="37"/>
      <c r="DP32" s="37"/>
      <c r="DQ32" s="50">
        <v>3470100</v>
      </c>
      <c r="DR32" s="49">
        <f t="shared" si="69"/>
        <v>7600</v>
      </c>
      <c r="DS32" s="50">
        <v>3818900</v>
      </c>
      <c r="DT32" s="49">
        <f t="shared" si="70"/>
        <v>18100</v>
      </c>
      <c r="DU32" s="51">
        <v>7994.4</v>
      </c>
      <c r="DV32" s="51">
        <v>4481.1000000000004</v>
      </c>
      <c r="DW32" s="37">
        <f t="shared" si="93"/>
        <v>2399.9999999996362</v>
      </c>
      <c r="DX32" s="52">
        <v>13175</v>
      </c>
      <c r="DY32" s="52">
        <v>8418.6</v>
      </c>
      <c r="DZ32" s="37">
        <f t="shared" si="34"/>
        <v>3419.77</v>
      </c>
      <c r="EA32" s="49">
        <v>30155</v>
      </c>
      <c r="EB32" s="49">
        <v>20.978000000000002</v>
      </c>
      <c r="EC32" s="37">
        <f t="shared" si="35"/>
        <v>13579.77</v>
      </c>
      <c r="ED32" s="53">
        <f t="shared" si="36"/>
        <v>19399.539999999637</v>
      </c>
      <c r="EE32" s="49">
        <v>45575</v>
      </c>
      <c r="EF32" s="49">
        <v>29.561</v>
      </c>
      <c r="EG32" s="37">
        <f t="shared" si="37"/>
        <v>30579.77</v>
      </c>
      <c r="EH32" s="51">
        <v>13109</v>
      </c>
      <c r="EI32" s="51">
        <v>1.7916000000000001</v>
      </c>
      <c r="EJ32" s="37">
        <f t="shared" si="38"/>
        <v>11419.77</v>
      </c>
      <c r="EK32" s="37">
        <v>797.82</v>
      </c>
      <c r="EL32" s="40">
        <v>1143.2</v>
      </c>
      <c r="EM32" s="37">
        <f t="shared" si="71"/>
        <v>670.00000000007276</v>
      </c>
      <c r="EN32" s="54">
        <f t="shared" si="72"/>
        <v>42669.540000000074</v>
      </c>
      <c r="EO32" s="48">
        <v>13030</v>
      </c>
      <c r="EP32" s="48">
        <v>4554.3999999999996</v>
      </c>
      <c r="EQ32" s="37">
        <f t="shared" si="73"/>
        <v>7529.7699999999568</v>
      </c>
      <c r="ER32" s="48">
        <v>9474.9</v>
      </c>
      <c r="ES32" s="48">
        <v>3888.8</v>
      </c>
      <c r="ET32" s="49">
        <f t="shared" si="99"/>
        <v>19100.000000000364</v>
      </c>
      <c r="EU32" s="48">
        <v>3633.1</v>
      </c>
      <c r="EV32" s="48">
        <v>1291.5999999999999</v>
      </c>
      <c r="EW32" s="49">
        <f t="shared" si="40"/>
        <v>9419.77</v>
      </c>
      <c r="EX32" s="48">
        <v>13565</v>
      </c>
      <c r="EY32" s="48">
        <v>1.5740000000000001</v>
      </c>
      <c r="EZ32" s="37">
        <f t="shared" si="41"/>
        <v>12419.77</v>
      </c>
      <c r="FA32" s="48">
        <f t="shared" si="74"/>
        <v>-23003.310000000321</v>
      </c>
      <c r="FB32" s="48">
        <v>36630830</v>
      </c>
      <c r="FC32" s="49">
        <f t="shared" si="94"/>
        <v>25466</v>
      </c>
      <c r="FD32" s="48">
        <f t="shared" si="75"/>
        <v>50369.31000000018</v>
      </c>
      <c r="FE32" s="48">
        <v>17110</v>
      </c>
      <c r="FF32" s="48">
        <v>6096.8</v>
      </c>
      <c r="FG32" s="37">
        <f t="shared" si="76"/>
        <v>10079.770000000044</v>
      </c>
      <c r="FH32" s="48">
        <v>8833</v>
      </c>
      <c r="FI32" s="48">
        <v>3.4108999999999998</v>
      </c>
      <c r="FJ32" s="49">
        <f t="shared" si="42"/>
        <v>17989.769999999273</v>
      </c>
      <c r="FK32" s="48"/>
      <c r="FL32" s="58">
        <v>-230</v>
      </c>
      <c r="FM32" s="48">
        <f>FT32/3</f>
        <v>-419.76999999977244</v>
      </c>
      <c r="FN32" s="48">
        <v>16676</v>
      </c>
      <c r="FO32" s="48">
        <v>0.83689999999999998</v>
      </c>
      <c r="FP32" s="37">
        <f t="shared" si="77"/>
        <v>11189.77</v>
      </c>
      <c r="FQ32" s="48">
        <v>59011</v>
      </c>
      <c r="FR32" s="48">
        <v>14.269</v>
      </c>
      <c r="FS32" s="37">
        <f t="shared" si="43"/>
        <v>38000</v>
      </c>
      <c r="FT32" s="48">
        <f t="shared" si="78"/>
        <v>-1259.3099999993174</v>
      </c>
      <c r="FU32" s="48">
        <f t="shared" si="79"/>
        <v>39259.309999999314</v>
      </c>
      <c r="FV32" s="44">
        <v>4503600</v>
      </c>
      <c r="FW32" s="44">
        <v>1438300</v>
      </c>
      <c r="FX32" s="37">
        <f t="shared" si="44"/>
        <v>33000</v>
      </c>
      <c r="FY32" s="56">
        <v>3409.8</v>
      </c>
      <c r="FZ32" s="56">
        <v>2.1173000000000002</v>
      </c>
      <c r="GA32" s="37">
        <f t="shared" si="45"/>
        <v>11850.000000000273</v>
      </c>
      <c r="GB32" s="56">
        <v>817.48</v>
      </c>
      <c r="GC32" s="56">
        <v>915.67</v>
      </c>
      <c r="GD32" s="37">
        <f t="shared" si="46"/>
        <v>1159.9999999999682</v>
      </c>
      <c r="GE32" s="56">
        <v>10115</v>
      </c>
      <c r="GF32" s="56">
        <v>3.4226999999999999</v>
      </c>
      <c r="GG32" s="37">
        <f>IF((GE32-GE31)*1000&lt;=0,0,(GE32-GE31)*1000)-GJ32-GM32</f>
        <v>8100.0000000001364</v>
      </c>
      <c r="GH32" s="158">
        <v>1966.3</v>
      </c>
      <c r="GI32" s="159">
        <v>1680.1</v>
      </c>
      <c r="GJ32" s="38">
        <f t="shared" si="48"/>
        <v>1899.9999999998636</v>
      </c>
      <c r="GK32" s="159">
        <v>1489.1</v>
      </c>
      <c r="GL32" s="160">
        <v>1128.4000000000001</v>
      </c>
      <c r="GM32" s="38">
        <f t="shared" si="49"/>
        <v>0</v>
      </c>
      <c r="GN32" s="57">
        <v>208230</v>
      </c>
      <c r="GO32" s="57">
        <v>184430</v>
      </c>
      <c r="GP32" s="38">
        <f t="shared" si="98"/>
        <v>0</v>
      </c>
      <c r="GQ32" s="38">
        <v>270210</v>
      </c>
      <c r="GR32" s="38">
        <v>266430</v>
      </c>
      <c r="GS32" s="38">
        <f t="shared" si="80"/>
        <v>350</v>
      </c>
      <c r="GT32" s="178"/>
      <c r="GU32" s="144">
        <f>DailyMei!B31-DailyMei!N31-DailyMei!V31-DailyMei!Y31-DailyMei!Z31-DailyMei!AA31-DailyMei!AB31-DailyMei!AC31-DailyMei!AD31-DailyMei!AE31-DailyMei!AK31-DailyMei!AO31-DailyMei!AS31-DailyMei!AY31-DailyMei!BD31+DailyMei!BU31-DailyMei!BG31-DailyMei!BT31-DailyMei!AF31-DailyMei!AG31</f>
        <v>-4.9999990675132722E-2</v>
      </c>
      <c r="GV32" s="59">
        <v>6296.5</v>
      </c>
      <c r="GW32" s="60">
        <f t="shared" si="50"/>
        <v>419.76666666666665</v>
      </c>
      <c r="GX32" s="61">
        <v>419.77</v>
      </c>
      <c r="GY32" s="140"/>
      <c r="GZ32" s="62"/>
      <c r="HA32" s="62"/>
      <c r="HB32" s="74"/>
      <c r="HC32" s="62"/>
      <c r="HD32" s="74"/>
      <c r="HE32" s="24">
        <f t="shared" si="51"/>
        <v>0</v>
      </c>
      <c r="HG32" s="213">
        <v>26</v>
      </c>
      <c r="HH32" s="16">
        <v>10495</v>
      </c>
      <c r="HI32" s="16">
        <v>4050.2</v>
      </c>
      <c r="HJ32" s="16">
        <f t="shared" si="52"/>
        <v>142000</v>
      </c>
      <c r="HK32" s="16">
        <v>1.9189000000000001</v>
      </c>
      <c r="HL32" s="16">
        <v>660.93</v>
      </c>
      <c r="HM32" s="16">
        <f t="shared" si="100"/>
        <v>0</v>
      </c>
      <c r="HN32" s="16">
        <v>2745.3</v>
      </c>
      <c r="HO32" s="16">
        <v>1201.5999999999999</v>
      </c>
      <c r="HP32" s="16">
        <f t="shared" si="54"/>
        <v>33955.000000000364</v>
      </c>
      <c r="HQ32" s="16">
        <v>2365.1999999999998</v>
      </c>
      <c r="HR32" s="16">
        <v>1028</v>
      </c>
      <c r="HS32" s="16">
        <f t="shared" si="55"/>
        <v>18554.999999999818</v>
      </c>
      <c r="HT32" s="16">
        <v>2021.9</v>
      </c>
      <c r="HU32" s="16">
        <v>785.3</v>
      </c>
      <c r="HV32" s="16">
        <f t="shared" si="56"/>
        <v>26355</v>
      </c>
      <c r="HW32" s="16">
        <v>1071.7</v>
      </c>
      <c r="HX32" s="16">
        <v>473.86</v>
      </c>
      <c r="HY32" s="16">
        <f t="shared" si="57"/>
        <v>26955.000000000138</v>
      </c>
      <c r="HZ32" s="16">
        <v>54129</v>
      </c>
      <c r="IA32" s="16">
        <v>38981</v>
      </c>
      <c r="IB32" s="16">
        <f t="shared" si="58"/>
        <v>18080</v>
      </c>
      <c r="IC32" s="16"/>
      <c r="ID32" s="16"/>
      <c r="IE32" s="16">
        <f t="shared" si="59"/>
        <v>0</v>
      </c>
      <c r="IF32" s="16"/>
      <c r="IG32" s="16"/>
      <c r="IH32" s="128">
        <f t="shared" si="1"/>
        <v>18100</v>
      </c>
      <c r="II32" s="211">
        <f t="shared" si="124"/>
        <v>-3.3469405025243759E-10</v>
      </c>
      <c r="IJ32" s="16"/>
      <c r="IK32" s="16"/>
      <c r="IL32" s="16">
        <f t="shared" si="101"/>
        <v>0</v>
      </c>
      <c r="IM32" s="16"/>
      <c r="IN32" s="16"/>
      <c r="IO32" s="16">
        <f t="shared" si="102"/>
        <v>0</v>
      </c>
      <c r="IP32" s="16"/>
      <c r="IQ32" s="16"/>
      <c r="IR32" s="16">
        <f t="shared" si="103"/>
        <v>0</v>
      </c>
      <c r="IS32" s="16"/>
      <c r="IT32" s="16"/>
      <c r="IU32" s="16">
        <f t="shared" si="104"/>
        <v>0</v>
      </c>
      <c r="IV32" s="16"/>
      <c r="IW32" s="16"/>
      <c r="IX32" s="16">
        <f t="shared" si="105"/>
        <v>0</v>
      </c>
      <c r="IY32" s="16"/>
      <c r="IZ32" s="16"/>
      <c r="JA32" s="16">
        <f t="shared" si="106"/>
        <v>0</v>
      </c>
      <c r="JB32" s="16"/>
      <c r="JC32" s="16"/>
      <c r="JD32" s="16">
        <f t="shared" si="107"/>
        <v>0</v>
      </c>
      <c r="JE32" s="16"/>
      <c r="JF32" s="16"/>
      <c r="JG32" s="16">
        <f t="shared" si="108"/>
        <v>0</v>
      </c>
      <c r="JH32" s="16"/>
      <c r="JI32" s="16"/>
      <c r="JJ32" s="16">
        <f t="shared" si="109"/>
        <v>0</v>
      </c>
      <c r="JK32" s="16"/>
      <c r="JL32" s="16"/>
      <c r="JM32" s="16">
        <f t="shared" si="110"/>
        <v>0</v>
      </c>
      <c r="JN32" s="16"/>
      <c r="JO32" s="16"/>
      <c r="JP32" s="16">
        <f t="shared" si="111"/>
        <v>0</v>
      </c>
      <c r="JQ32" s="16"/>
      <c r="JR32" s="16"/>
      <c r="JS32" s="16">
        <f t="shared" si="112"/>
        <v>0</v>
      </c>
      <c r="JT32" s="16"/>
      <c r="JU32" s="16"/>
      <c r="JV32" s="16">
        <f t="shared" si="113"/>
        <v>0</v>
      </c>
      <c r="JW32" s="16"/>
      <c r="JX32" s="16"/>
      <c r="JY32" s="16">
        <f t="shared" si="114"/>
        <v>0</v>
      </c>
      <c r="JZ32" s="16"/>
      <c r="KA32" s="16"/>
      <c r="KB32" s="16">
        <f t="shared" si="115"/>
        <v>0</v>
      </c>
      <c r="KC32" s="16"/>
      <c r="KD32" s="16"/>
      <c r="KE32" s="16">
        <f t="shared" si="116"/>
        <v>0</v>
      </c>
      <c r="KG32" s="151">
        <f t="shared" si="61"/>
        <v>52035.000000000029</v>
      </c>
    </row>
    <row r="33" spans="1:293" x14ac:dyDescent="0.25">
      <c r="A33" s="35">
        <f t="shared" si="2"/>
        <v>27</v>
      </c>
      <c r="B33" s="38">
        <v>4396.9799999999996</v>
      </c>
      <c r="C33" s="38">
        <f t="shared" si="3"/>
        <v>10.769999999999527</v>
      </c>
      <c r="D33" s="38">
        <f t="shared" si="4"/>
        <v>344639.99999998487</v>
      </c>
      <c r="E33" s="38">
        <v>884.56</v>
      </c>
      <c r="F33" s="38">
        <f t="shared" si="5"/>
        <v>68799.999999999272</v>
      </c>
      <c r="G33" s="38">
        <f t="shared" si="6"/>
        <v>413439.99999998417</v>
      </c>
      <c r="H33" s="37"/>
      <c r="I33" s="39"/>
      <c r="J33" s="42"/>
      <c r="K33" s="37">
        <f t="shared" si="81"/>
        <v>0</v>
      </c>
      <c r="L33" s="40">
        <v>13541100</v>
      </c>
      <c r="M33" s="40"/>
      <c r="N33" s="37">
        <f t="shared" si="82"/>
        <v>412000</v>
      </c>
      <c r="O33" s="37">
        <v>11078.9</v>
      </c>
      <c r="P33" s="37"/>
      <c r="Q33" s="37">
        <f t="shared" si="119"/>
        <v>18399.999999999636</v>
      </c>
      <c r="R33" s="37">
        <f t="shared" si="83"/>
        <v>1</v>
      </c>
      <c r="S33" s="37">
        <v>11236291.92</v>
      </c>
      <c r="T33" s="37">
        <f t="shared" si="8"/>
        <v>360.22000000067055</v>
      </c>
      <c r="U33" s="37">
        <v>1523790.61</v>
      </c>
      <c r="V33" s="37">
        <f t="shared" si="9"/>
        <v>0</v>
      </c>
      <c r="W33" s="37">
        <v>3963.7</v>
      </c>
      <c r="X33" s="37">
        <f t="shared" si="96"/>
        <v>18039.779999998966</v>
      </c>
      <c r="Y33" s="183"/>
      <c r="Z33" s="183"/>
      <c r="AA33" s="37">
        <v>787500</v>
      </c>
      <c r="AB33" s="37">
        <f t="shared" si="10"/>
        <v>0</v>
      </c>
      <c r="AC33" s="37">
        <v>4125.8</v>
      </c>
      <c r="AD33" s="37"/>
      <c r="AE33" s="37">
        <f t="shared" si="121"/>
        <v>5300.0000000001819</v>
      </c>
      <c r="AF33" s="37">
        <f t="shared" si="84"/>
        <v>1</v>
      </c>
      <c r="AG33" s="37">
        <v>8998.7999999999993</v>
      </c>
      <c r="AH33" s="37"/>
      <c r="AI33" s="37">
        <f t="shared" si="12"/>
        <v>12386.129999998908</v>
      </c>
      <c r="AJ33" s="37">
        <f t="shared" si="13"/>
        <v>1</v>
      </c>
      <c r="AK33" s="37">
        <f t="shared" si="14"/>
        <v>36086.129999998724</v>
      </c>
      <c r="AL33" s="42">
        <v>10893.3</v>
      </c>
      <c r="AM33" s="42"/>
      <c r="AN33" s="37">
        <f t="shared" si="62"/>
        <v>6436.1300000001038</v>
      </c>
      <c r="AO33" s="37">
        <f t="shared" si="85"/>
        <v>1</v>
      </c>
      <c r="AP33" s="37">
        <v>8442.6</v>
      </c>
      <c r="AQ33" s="37"/>
      <c r="AR33" s="37">
        <f t="shared" si="15"/>
        <v>13000</v>
      </c>
      <c r="AS33" s="37">
        <f t="shared" si="86"/>
        <v>1</v>
      </c>
      <c r="AT33" s="183"/>
      <c r="AU33" s="183"/>
      <c r="AV33" s="183"/>
      <c r="AW33" s="183"/>
      <c r="AX33" s="37">
        <v>485210</v>
      </c>
      <c r="AY33" s="37"/>
      <c r="AZ33" s="37">
        <f t="shared" si="16"/>
        <v>500</v>
      </c>
      <c r="BA33" s="37">
        <v>149010</v>
      </c>
      <c r="BB33" s="37"/>
      <c r="BC33" s="37">
        <f t="shared" si="17"/>
        <v>700</v>
      </c>
      <c r="BD33" s="37">
        <f t="shared" si="87"/>
        <v>20636.130000000103</v>
      </c>
      <c r="BE33" s="43">
        <v>1914.7</v>
      </c>
      <c r="BF33" s="43">
        <v>1055.2</v>
      </c>
      <c r="BG33" s="37">
        <f t="shared" si="18"/>
        <v>1799.9999999999545</v>
      </c>
      <c r="BH33" s="44">
        <v>8941.2000000000007</v>
      </c>
      <c r="BI33" s="44">
        <v>5751.1</v>
      </c>
      <c r="BJ33" s="37">
        <f t="shared" si="19"/>
        <v>9600.0000000003638</v>
      </c>
      <c r="BK33" s="40">
        <v>1576250</v>
      </c>
      <c r="BL33" s="40">
        <f t="shared" si="88"/>
        <v>4510</v>
      </c>
      <c r="BM33" s="40">
        <v>872.67</v>
      </c>
      <c r="BN33" s="37">
        <f t="shared" si="20"/>
        <v>639.99999999998636</v>
      </c>
      <c r="BO33" s="186"/>
      <c r="BP33" s="183">
        <f t="shared" si="21"/>
        <v>0</v>
      </c>
      <c r="BQ33" s="40">
        <v>825.3</v>
      </c>
      <c r="BR33" s="37">
        <f t="shared" si="63"/>
        <v>599.99999999990905</v>
      </c>
      <c r="BS33" s="37">
        <v>98918.93</v>
      </c>
      <c r="BT33" s="37">
        <f t="shared" si="22"/>
        <v>164.61999999999534</v>
      </c>
      <c r="BU33" s="42">
        <v>2742850</v>
      </c>
      <c r="BV33" s="42"/>
      <c r="BW33" s="37">
        <f t="shared" si="23"/>
        <v>9849</v>
      </c>
      <c r="BX33" s="37">
        <f t="shared" si="89"/>
        <v>1</v>
      </c>
      <c r="BY33" s="43">
        <v>347.59829999999999</v>
      </c>
      <c r="BZ33" s="43"/>
      <c r="CA33" s="37">
        <f t="shared" si="117"/>
        <v>873.9999999999668</v>
      </c>
      <c r="CB33" s="37">
        <f t="shared" si="64"/>
        <v>1</v>
      </c>
      <c r="CC33" s="37">
        <v>644027.1</v>
      </c>
      <c r="CD33" s="37">
        <f t="shared" si="25"/>
        <v>2563.2999999999302</v>
      </c>
      <c r="CE33" s="41">
        <v>1199471</v>
      </c>
      <c r="CF33" s="37">
        <f t="shared" si="26"/>
        <v>7239</v>
      </c>
      <c r="CG33" s="37">
        <v>72810.600000000006</v>
      </c>
      <c r="CH33" s="37">
        <f t="shared" si="65"/>
        <v>0</v>
      </c>
      <c r="CI33" s="40">
        <v>12823.54</v>
      </c>
      <c r="CJ33" s="40"/>
      <c r="CK33" s="37">
        <f t="shared" si="66"/>
        <v>16782.130000001198</v>
      </c>
      <c r="CL33" s="37">
        <f t="shared" si="27"/>
        <v>1</v>
      </c>
      <c r="CM33" s="37">
        <v>3574.3960000000002</v>
      </c>
      <c r="CN33" s="37"/>
      <c r="CO33" s="37">
        <f t="shared" si="28"/>
        <v>8124.130000000102</v>
      </c>
      <c r="CP33" s="37">
        <f t="shared" si="90"/>
        <v>1</v>
      </c>
      <c r="CQ33" s="39">
        <v>173991.6</v>
      </c>
      <c r="CR33" s="39"/>
      <c r="CS33" s="37">
        <f t="shared" si="67"/>
        <v>6975.9300000000176</v>
      </c>
      <c r="CT33" s="37">
        <f t="shared" si="68"/>
        <v>1</v>
      </c>
      <c r="CU33" s="37">
        <v>3398503</v>
      </c>
      <c r="CV33" s="37"/>
      <c r="CW33" s="38">
        <f t="shared" si="29"/>
        <v>12787</v>
      </c>
      <c r="CX33" s="37">
        <f t="shared" si="91"/>
        <v>1</v>
      </c>
      <c r="CY33" s="37">
        <v>1786232</v>
      </c>
      <c r="CZ33" s="37"/>
      <c r="DA33" s="37">
        <f t="shared" si="123"/>
        <v>6836</v>
      </c>
      <c r="DB33" s="37">
        <f t="shared" si="92"/>
        <v>1</v>
      </c>
      <c r="DC33" s="37"/>
      <c r="DD33" s="40"/>
      <c r="DE33" s="37">
        <f t="shared" si="31"/>
        <v>0</v>
      </c>
      <c r="DF33" s="37">
        <f t="shared" si="97"/>
        <v>0</v>
      </c>
      <c r="DG33" s="37">
        <f t="shared" si="32"/>
        <v>-61354.190000001319</v>
      </c>
      <c r="DH33" s="37">
        <f t="shared" si="33"/>
        <v>449886.12999999867</v>
      </c>
      <c r="DI33" s="46"/>
      <c r="DJ33" s="46"/>
      <c r="DK33" s="47"/>
      <c r="DL33" s="47"/>
      <c r="DM33" s="37"/>
      <c r="DN33" s="37"/>
      <c r="DO33" s="37"/>
      <c r="DP33" s="37"/>
      <c r="DQ33" s="50">
        <v>3481100</v>
      </c>
      <c r="DR33" s="49">
        <f t="shared" si="69"/>
        <v>11000</v>
      </c>
      <c r="DS33" s="50">
        <v>3835500</v>
      </c>
      <c r="DT33" s="49">
        <f t="shared" si="70"/>
        <v>16600</v>
      </c>
      <c r="DU33" s="51">
        <v>7999.1</v>
      </c>
      <c r="DV33" s="51">
        <v>4484</v>
      </c>
      <c r="DW33" s="37">
        <f t="shared" si="93"/>
        <v>4700.0000000007276</v>
      </c>
      <c r="DX33" s="52">
        <v>13182</v>
      </c>
      <c r="DY33" s="52">
        <v>8419.5</v>
      </c>
      <c r="DZ33" s="37">
        <f t="shared" si="34"/>
        <v>6686.13</v>
      </c>
      <c r="EA33" s="49">
        <v>30179</v>
      </c>
      <c r="EB33" s="49">
        <v>20.99</v>
      </c>
      <c r="EC33" s="37">
        <f t="shared" si="35"/>
        <v>25846.13</v>
      </c>
      <c r="ED33" s="53">
        <f t="shared" si="36"/>
        <v>37232.26000000073</v>
      </c>
      <c r="EE33" s="49">
        <v>45605</v>
      </c>
      <c r="EF33" s="49">
        <v>29.585999999999999</v>
      </c>
      <c r="EG33" s="37">
        <f t="shared" si="37"/>
        <v>31846.13</v>
      </c>
      <c r="EH33" s="51">
        <v>13121</v>
      </c>
      <c r="EI33" s="51">
        <v>1.7945</v>
      </c>
      <c r="EJ33" s="37">
        <f t="shared" si="38"/>
        <v>11686.13</v>
      </c>
      <c r="EK33" s="37">
        <v>798.54</v>
      </c>
      <c r="EL33" s="40">
        <v>1144.2</v>
      </c>
      <c r="EM33" s="37">
        <f t="shared" si="71"/>
        <v>719.9999999999136</v>
      </c>
      <c r="EN33" s="54">
        <f t="shared" si="72"/>
        <v>44252.259999999915</v>
      </c>
      <c r="EO33" s="48">
        <v>13038</v>
      </c>
      <c r="EP33" s="48">
        <v>4557.3999999999996</v>
      </c>
      <c r="EQ33" s="37">
        <f t="shared" si="73"/>
        <v>6771.1300000000365</v>
      </c>
      <c r="ER33" s="48">
        <v>9492.6</v>
      </c>
      <c r="ES33" s="48">
        <v>3896.3</v>
      </c>
      <c r="ET33" s="49">
        <f t="shared" si="99"/>
        <v>17700.000000000728</v>
      </c>
      <c r="EU33" s="48">
        <v>3642.1</v>
      </c>
      <c r="EV33" s="48">
        <v>1294.7</v>
      </c>
      <c r="EW33" s="49">
        <f t="shared" si="40"/>
        <v>8686.1299999999992</v>
      </c>
      <c r="EX33" s="48">
        <v>13577</v>
      </c>
      <c r="EY33" s="48">
        <v>1.5758000000000001</v>
      </c>
      <c r="EZ33" s="37">
        <f t="shared" si="41"/>
        <v>11686.13</v>
      </c>
      <c r="FA33" s="48">
        <f t="shared" si="74"/>
        <v>-21078.390000000763</v>
      </c>
      <c r="FB33" s="48">
        <v>36654595</v>
      </c>
      <c r="FC33" s="49">
        <f t="shared" si="94"/>
        <v>23765</v>
      </c>
      <c r="FD33" s="48">
        <f t="shared" si="75"/>
        <v>46543.390000000807</v>
      </c>
      <c r="FE33" s="48">
        <v>17118</v>
      </c>
      <c r="FF33" s="48">
        <v>6099.3</v>
      </c>
      <c r="FG33" s="37">
        <f t="shared" si="76"/>
        <v>8862.7999999999629</v>
      </c>
      <c r="FH33" s="48">
        <v>8849.2999999999993</v>
      </c>
      <c r="FI33" s="48">
        <v>3.4173</v>
      </c>
      <c r="FJ33" s="49">
        <f t="shared" si="42"/>
        <v>16247.79999999927</v>
      </c>
      <c r="FK33" s="48"/>
      <c r="FL33" s="58">
        <v>261.67</v>
      </c>
      <c r="FM33" s="48">
        <f t="shared" si="95"/>
        <v>313.86666666692264</v>
      </c>
      <c r="FN33" s="48">
        <v>16686</v>
      </c>
      <c r="FO33" s="48">
        <v>0.83879999999999999</v>
      </c>
      <c r="FP33" s="37">
        <f t="shared" si="77"/>
        <v>9947.7999999999993</v>
      </c>
      <c r="FQ33" s="48">
        <v>59047</v>
      </c>
      <c r="FR33" s="48">
        <v>14.279</v>
      </c>
      <c r="FS33" s="37">
        <f t="shared" si="43"/>
        <v>36000</v>
      </c>
      <c r="FT33" s="48">
        <f t="shared" si="78"/>
        <v>941.60000000076798</v>
      </c>
      <c r="FU33" s="48">
        <f t="shared" si="79"/>
        <v>35058.399999999237</v>
      </c>
      <c r="FV33" s="44">
        <v>4535100</v>
      </c>
      <c r="FW33" s="44">
        <v>1448400</v>
      </c>
      <c r="FX33" s="37">
        <f t="shared" si="44"/>
        <v>31500</v>
      </c>
      <c r="FY33" s="56">
        <v>3421.3</v>
      </c>
      <c r="FZ33" s="56">
        <v>2.1217000000000001</v>
      </c>
      <c r="GA33" s="37">
        <f t="shared" si="45"/>
        <v>11140</v>
      </c>
      <c r="GB33" s="56">
        <v>818.43</v>
      </c>
      <c r="GC33" s="56">
        <v>916.77</v>
      </c>
      <c r="GD33" s="37">
        <f t="shared" si="46"/>
        <v>949.99999999993179</v>
      </c>
      <c r="GE33" s="56">
        <v>10125</v>
      </c>
      <c r="GF33" s="56">
        <v>3.4298999999999999</v>
      </c>
      <c r="GG33" s="37">
        <f t="shared" si="47"/>
        <v>8299.9999999999545</v>
      </c>
      <c r="GH33" s="153">
        <v>1968</v>
      </c>
      <c r="GI33" s="162">
        <v>1681.7</v>
      </c>
      <c r="GJ33" s="38">
        <f t="shared" si="48"/>
        <v>1700.0000000000455</v>
      </c>
      <c r="GK33" s="162">
        <v>1489.1</v>
      </c>
      <c r="GL33" s="163">
        <v>1128.4000000000001</v>
      </c>
      <c r="GM33" s="38">
        <f t="shared" si="49"/>
        <v>0</v>
      </c>
      <c r="GN33" s="57">
        <v>208230</v>
      </c>
      <c r="GO33" s="57">
        <v>184440</v>
      </c>
      <c r="GP33" s="38">
        <f t="shared" si="98"/>
        <v>0</v>
      </c>
      <c r="GQ33" s="38">
        <v>270570</v>
      </c>
      <c r="GR33" s="38">
        <v>266680</v>
      </c>
      <c r="GS33" s="38">
        <f t="shared" si="80"/>
        <v>360</v>
      </c>
      <c r="GT33" s="178"/>
      <c r="GU33" s="144">
        <f>DailyMei!B32-DailyMei!N32-DailyMei!V32-DailyMei!Y32-DailyMei!Z32-DailyMei!AA32-DailyMei!AB32-DailyMei!AC32-DailyMei!AD32-DailyMei!AE32-DailyMei!AK32-DailyMei!AO32-DailyMei!AS32-DailyMei!AY32-DailyMei!BD32+DailyMei!BU32-DailyMei!BG32-DailyMei!BT32-DailyMei!AF32-DailyMei!AG32</f>
        <v>-6.0000016732374206E-2</v>
      </c>
      <c r="GV33" s="59">
        <v>-4708.1099999999997</v>
      </c>
      <c r="GW33" s="60">
        <f t="shared" si="50"/>
        <v>-313.87399999999997</v>
      </c>
      <c r="GX33" s="61">
        <v>-313.87</v>
      </c>
      <c r="GY33" s="140"/>
      <c r="GZ33" s="62"/>
      <c r="HA33" s="62"/>
      <c r="HB33" s="74"/>
      <c r="HC33" s="62"/>
      <c r="HD33" s="74"/>
      <c r="HE33" s="24">
        <f t="shared" si="51"/>
        <v>0</v>
      </c>
      <c r="HG33" s="213">
        <v>27</v>
      </c>
      <c r="HH33" s="16">
        <v>10639</v>
      </c>
      <c r="HI33" s="16">
        <v>4104.8</v>
      </c>
      <c r="HJ33" s="16">
        <f t="shared" si="52"/>
        <v>144000</v>
      </c>
      <c r="HK33" s="16">
        <v>1.9189000000000001</v>
      </c>
      <c r="HL33" s="16">
        <v>660.93</v>
      </c>
      <c r="HM33" s="16">
        <f t="shared" si="100"/>
        <v>0</v>
      </c>
      <c r="HN33" s="16">
        <v>2781.4</v>
      </c>
      <c r="HO33" s="16">
        <v>1217.3</v>
      </c>
      <c r="HP33" s="16">
        <f t="shared" si="54"/>
        <v>36412.499999999913</v>
      </c>
      <c r="HQ33" s="16">
        <v>2381.9</v>
      </c>
      <c r="HR33" s="16">
        <v>1035.3</v>
      </c>
      <c r="HS33" s="16">
        <f t="shared" si="55"/>
        <v>17012.500000000273</v>
      </c>
      <c r="HT33" s="16">
        <v>2047.8</v>
      </c>
      <c r="HU33" s="16">
        <v>794.43</v>
      </c>
      <c r="HV33" s="16">
        <f t="shared" si="56"/>
        <v>26212.499999999862</v>
      </c>
      <c r="HW33" s="16">
        <v>1098.8</v>
      </c>
      <c r="HX33" s="16">
        <v>484.98</v>
      </c>
      <c r="HY33" s="16">
        <f t="shared" si="57"/>
        <v>27412.499999999909</v>
      </c>
      <c r="HZ33" s="16">
        <v>74479</v>
      </c>
      <c r="IA33" s="16">
        <v>47992</v>
      </c>
      <c r="IB33" s="16">
        <f t="shared" si="58"/>
        <v>20350</v>
      </c>
      <c r="IC33" s="16"/>
      <c r="ID33" s="16"/>
      <c r="IE33" s="16">
        <f t="shared" si="59"/>
        <v>0</v>
      </c>
      <c r="IF33" s="16"/>
      <c r="IG33" s="16"/>
      <c r="IH33" s="128">
        <f t="shared" si="1"/>
        <v>16600</v>
      </c>
      <c r="II33" s="211">
        <f t="shared" si="124"/>
        <v>2.9103830456733704E-11</v>
      </c>
      <c r="IJ33" s="16"/>
      <c r="IK33" s="16"/>
      <c r="IL33" s="16">
        <f t="shared" si="101"/>
        <v>0</v>
      </c>
      <c r="IM33" s="16"/>
      <c r="IN33" s="16"/>
      <c r="IO33" s="16">
        <f t="shared" si="102"/>
        <v>0</v>
      </c>
      <c r="IP33" s="16"/>
      <c r="IQ33" s="16"/>
      <c r="IR33" s="16">
        <f t="shared" si="103"/>
        <v>0</v>
      </c>
      <c r="IS33" s="16"/>
      <c r="IT33" s="16"/>
      <c r="IU33" s="16">
        <f t="shared" si="104"/>
        <v>0</v>
      </c>
      <c r="IV33" s="16"/>
      <c r="IW33" s="16"/>
      <c r="IX33" s="16">
        <f t="shared" si="105"/>
        <v>0</v>
      </c>
      <c r="IY33" s="16"/>
      <c r="IZ33" s="16"/>
      <c r="JA33" s="16">
        <f t="shared" si="106"/>
        <v>0</v>
      </c>
      <c r="JB33" s="16"/>
      <c r="JC33" s="16"/>
      <c r="JD33" s="16">
        <f t="shared" si="107"/>
        <v>0</v>
      </c>
      <c r="JE33" s="16"/>
      <c r="JF33" s="16"/>
      <c r="JG33" s="16">
        <f t="shared" si="108"/>
        <v>0</v>
      </c>
      <c r="JH33" s="16"/>
      <c r="JI33" s="16"/>
      <c r="JJ33" s="16">
        <f t="shared" si="109"/>
        <v>0</v>
      </c>
      <c r="JK33" s="16"/>
      <c r="JL33" s="16"/>
      <c r="JM33" s="16">
        <f t="shared" si="110"/>
        <v>0</v>
      </c>
      <c r="JN33" s="16"/>
      <c r="JO33" s="16"/>
      <c r="JP33" s="16">
        <f t="shared" si="111"/>
        <v>0</v>
      </c>
      <c r="JQ33" s="16"/>
      <c r="JR33" s="16"/>
      <c r="JS33" s="16">
        <f t="shared" si="112"/>
        <v>0</v>
      </c>
      <c r="JT33" s="16"/>
      <c r="JU33" s="16"/>
      <c r="JV33" s="16">
        <f t="shared" si="113"/>
        <v>0</v>
      </c>
      <c r="JW33" s="16"/>
      <c r="JX33" s="16"/>
      <c r="JY33" s="16">
        <f t="shared" si="114"/>
        <v>0</v>
      </c>
      <c r="JZ33" s="16"/>
      <c r="KA33" s="16"/>
      <c r="KB33" s="16">
        <f t="shared" si="115"/>
        <v>0</v>
      </c>
      <c r="KC33" s="16"/>
      <c r="KD33" s="16"/>
      <c r="KE33" s="16">
        <f t="shared" si="116"/>
        <v>0</v>
      </c>
      <c r="KG33" s="151">
        <f t="shared" si="61"/>
        <v>56762.499999999942</v>
      </c>
    </row>
    <row r="34" spans="1:293" x14ac:dyDescent="0.25">
      <c r="A34" s="35">
        <f t="shared" si="2"/>
        <v>28</v>
      </c>
      <c r="B34" s="38">
        <v>4407.8100000000004</v>
      </c>
      <c r="C34" s="38">
        <f t="shared" si="3"/>
        <v>10.830000000000837</v>
      </c>
      <c r="D34" s="38">
        <f t="shared" si="4"/>
        <v>346560.00000002678</v>
      </c>
      <c r="E34" s="38">
        <v>886.93</v>
      </c>
      <c r="F34" s="38">
        <f t="shared" si="5"/>
        <v>75840.000000000146</v>
      </c>
      <c r="G34" s="38">
        <f t="shared" si="6"/>
        <v>422400.00000002689</v>
      </c>
      <c r="H34" s="37"/>
      <c r="I34" s="39"/>
      <c r="J34" s="42"/>
      <c r="K34" s="37">
        <f t="shared" si="81"/>
        <v>0</v>
      </c>
      <c r="L34" s="40">
        <v>13583000</v>
      </c>
      <c r="M34" s="40"/>
      <c r="N34" s="37">
        <f t="shared" si="82"/>
        <v>419000</v>
      </c>
      <c r="O34" s="37">
        <v>11097.3</v>
      </c>
      <c r="P34" s="37"/>
      <c r="Q34" s="37">
        <f t="shared" si="119"/>
        <v>18399.999999999636</v>
      </c>
      <c r="R34" s="37">
        <f t="shared" si="83"/>
        <v>1</v>
      </c>
      <c r="S34" s="37">
        <v>11236654.890000001</v>
      </c>
      <c r="T34" s="37">
        <f t="shared" si="8"/>
        <v>362.97000000067055</v>
      </c>
      <c r="U34" s="37">
        <v>1523790.61</v>
      </c>
      <c r="V34" s="37">
        <f t="shared" si="9"/>
        <v>0</v>
      </c>
      <c r="W34" s="37">
        <v>3970.5</v>
      </c>
      <c r="X34" s="37">
        <f t="shared" si="96"/>
        <v>17937.029999998966</v>
      </c>
      <c r="Y34" s="183"/>
      <c r="Z34" s="183"/>
      <c r="AA34" s="37">
        <v>787600</v>
      </c>
      <c r="AB34" s="37">
        <f t="shared" si="10"/>
        <v>100</v>
      </c>
      <c r="AC34" s="37">
        <v>4131.8999999999996</v>
      </c>
      <c r="AD34" s="37"/>
      <c r="AE34" s="37">
        <f t="shared" si="121"/>
        <v>6099.9999999994543</v>
      </c>
      <c r="AF34" s="37">
        <f t="shared" si="84"/>
        <v>1</v>
      </c>
      <c r="AG34" s="37">
        <v>9013</v>
      </c>
      <c r="AH34" s="37"/>
      <c r="AI34" s="37">
        <f t="shared" si="12"/>
        <v>15032.490000000727</v>
      </c>
      <c r="AJ34" s="37">
        <f t="shared" si="13"/>
        <v>1</v>
      </c>
      <c r="AK34" s="37">
        <f t="shared" si="14"/>
        <v>39432.489999999816</v>
      </c>
      <c r="AL34" s="42">
        <v>10905.5</v>
      </c>
      <c r="AM34" s="42"/>
      <c r="AN34" s="37">
        <f t="shared" si="62"/>
        <v>7382.4900000006955</v>
      </c>
      <c r="AO34" s="37">
        <f t="shared" si="85"/>
        <v>1</v>
      </c>
      <c r="AP34" s="37">
        <v>8455.7999999999993</v>
      </c>
      <c r="AQ34" s="37"/>
      <c r="AR34" s="37">
        <f t="shared" si="15"/>
        <v>13199.999999998909</v>
      </c>
      <c r="AS34" s="37">
        <f t="shared" si="86"/>
        <v>1</v>
      </c>
      <c r="AT34" s="183"/>
      <c r="AU34" s="183"/>
      <c r="AV34" s="183"/>
      <c r="AW34" s="183"/>
      <c r="AX34" s="37">
        <v>485720</v>
      </c>
      <c r="AY34" s="37"/>
      <c r="AZ34" s="37">
        <f t="shared" si="16"/>
        <v>510</v>
      </c>
      <c r="BA34" s="37">
        <v>149750</v>
      </c>
      <c r="BB34" s="37"/>
      <c r="BC34" s="37">
        <f t="shared" si="17"/>
        <v>740</v>
      </c>
      <c r="BD34" s="37">
        <f t="shared" si="87"/>
        <v>21832.489999999605</v>
      </c>
      <c r="BE34" s="43">
        <v>1916.5</v>
      </c>
      <c r="BF34" s="43">
        <v>1056.4000000000001</v>
      </c>
      <c r="BG34" s="37">
        <f t="shared" si="18"/>
        <v>1799.9999999999545</v>
      </c>
      <c r="BH34" s="44">
        <v>8950.1</v>
      </c>
      <c r="BI34" s="44">
        <v>5757</v>
      </c>
      <c r="BJ34" s="37">
        <f t="shared" si="19"/>
        <v>8899.9999999996362</v>
      </c>
      <c r="BK34" s="40">
        <v>1580560</v>
      </c>
      <c r="BL34" s="40">
        <f t="shared" si="88"/>
        <v>4310</v>
      </c>
      <c r="BM34" s="40">
        <v>873.31</v>
      </c>
      <c r="BN34" s="37">
        <f t="shared" si="20"/>
        <v>639.99999999998636</v>
      </c>
      <c r="BO34" s="186"/>
      <c r="BP34" s="183">
        <f t="shared" si="21"/>
        <v>0</v>
      </c>
      <c r="BQ34" s="40">
        <v>826</v>
      </c>
      <c r="BR34" s="37">
        <f t="shared" si="63"/>
        <v>700.00000000004547</v>
      </c>
      <c r="BS34" s="37">
        <v>99163.68</v>
      </c>
      <c r="BT34" s="37">
        <f t="shared" si="22"/>
        <v>244.75</v>
      </c>
      <c r="BU34" s="42">
        <v>2751625</v>
      </c>
      <c r="BV34" s="42"/>
      <c r="BW34" s="37">
        <f t="shared" si="23"/>
        <v>8775</v>
      </c>
      <c r="BX34" s="37">
        <f>IF(BW34&lt;=0,0,(BW34/SQRT(BW34^2+(BV34-BV33)^2)))</f>
        <v>1</v>
      </c>
      <c r="BY34" s="43">
        <v>348.44830000000002</v>
      </c>
      <c r="BZ34" s="37"/>
      <c r="CA34" s="37">
        <f t="shared" si="117"/>
        <v>850.00000000002274</v>
      </c>
      <c r="CB34" s="37">
        <f t="shared" si="64"/>
        <v>1</v>
      </c>
      <c r="CC34" s="37">
        <v>646391.69999999995</v>
      </c>
      <c r="CD34" s="37">
        <f t="shared" si="25"/>
        <v>2364.5999999999767</v>
      </c>
      <c r="CE34" s="41">
        <v>1205746</v>
      </c>
      <c r="CF34" s="37">
        <f t="shared" si="26"/>
        <v>6275</v>
      </c>
      <c r="CG34" s="37">
        <v>72810.600000000006</v>
      </c>
      <c r="CH34" s="37">
        <f t="shared" si="65"/>
        <v>0</v>
      </c>
      <c r="CI34" s="40">
        <v>12841.16</v>
      </c>
      <c r="CJ34" s="40"/>
      <c r="CK34" s="37">
        <f t="shared" si="66"/>
        <v>17602.489999998961</v>
      </c>
      <c r="CL34" s="37">
        <f t="shared" si="27"/>
        <v>1</v>
      </c>
      <c r="CM34" s="37">
        <v>3582.4050000000002</v>
      </c>
      <c r="CN34" s="37"/>
      <c r="CO34" s="37">
        <f t="shared" si="28"/>
        <v>8841.4900000000143</v>
      </c>
      <c r="CP34" s="37">
        <f t="shared" si="90"/>
        <v>1</v>
      </c>
      <c r="CQ34" s="39">
        <v>180892.6</v>
      </c>
      <c r="CR34" s="39"/>
      <c r="CS34" s="37">
        <f t="shared" si="67"/>
        <v>7733.49</v>
      </c>
      <c r="CT34" s="37">
        <f t="shared" si="68"/>
        <v>1</v>
      </c>
      <c r="CU34" s="37">
        <v>3412784</v>
      </c>
      <c r="CV34" s="37"/>
      <c r="CW34" s="38">
        <f t="shared" si="29"/>
        <v>14281</v>
      </c>
      <c r="CX34" s="37">
        <f t="shared" si="91"/>
        <v>1</v>
      </c>
      <c r="CY34" s="37">
        <v>1794249</v>
      </c>
      <c r="CZ34" s="37"/>
      <c r="DA34" s="37">
        <f t="shared" si="123"/>
        <v>8017</v>
      </c>
      <c r="DB34" s="37">
        <f t="shared" si="92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2"/>
        <v>-65250.469999998968</v>
      </c>
      <c r="DH34" s="37">
        <f t="shared" si="33"/>
        <v>460232.48999999976</v>
      </c>
      <c r="DI34" s="46"/>
      <c r="DJ34" s="46"/>
      <c r="DK34" s="47"/>
      <c r="DL34" s="47"/>
      <c r="DM34" s="37"/>
      <c r="DN34" s="37"/>
      <c r="DO34" s="37"/>
      <c r="DP34" s="37"/>
      <c r="DQ34" s="50">
        <v>3492300</v>
      </c>
      <c r="DR34" s="49">
        <f t="shared" si="69"/>
        <v>11200</v>
      </c>
      <c r="DS34" s="50">
        <v>3854700</v>
      </c>
      <c r="DT34" s="49">
        <f t="shared" si="70"/>
        <v>19200</v>
      </c>
      <c r="DU34" s="51">
        <v>8003.7</v>
      </c>
      <c r="DV34" s="51">
        <v>4486.8</v>
      </c>
      <c r="DW34" s="37">
        <f t="shared" si="93"/>
        <v>4599.9999999994543</v>
      </c>
      <c r="DX34" s="52">
        <v>13189</v>
      </c>
      <c r="DY34" s="52">
        <v>8420</v>
      </c>
      <c r="DZ34" s="37">
        <f t="shared" si="34"/>
        <v>7832.49</v>
      </c>
      <c r="EA34" s="49">
        <v>30202</v>
      </c>
      <c r="EB34" s="49">
        <v>21.001999999999999</v>
      </c>
      <c r="EC34" s="37">
        <f t="shared" si="35"/>
        <v>25992.49</v>
      </c>
      <c r="ED34" s="53">
        <f t="shared" si="36"/>
        <v>38424.979999999458</v>
      </c>
      <c r="EE34" s="49">
        <v>45633</v>
      </c>
      <c r="EF34" s="49">
        <v>29.61</v>
      </c>
      <c r="EG34" s="37">
        <f t="shared" si="37"/>
        <v>30992.49</v>
      </c>
      <c r="EH34" s="51">
        <v>13132</v>
      </c>
      <c r="EI34" s="51">
        <v>1.7972999999999999</v>
      </c>
      <c r="EJ34" s="37">
        <f t="shared" si="38"/>
        <v>11832.49</v>
      </c>
      <c r="EK34" s="37">
        <v>799.2</v>
      </c>
      <c r="EL34" s="40">
        <v>1145.0999999999999</v>
      </c>
      <c r="EM34" s="37">
        <f t="shared" si="71"/>
        <v>660.00000000008185</v>
      </c>
      <c r="EN34" s="54">
        <f t="shared" si="72"/>
        <v>43484.980000000083</v>
      </c>
      <c r="EO34" s="48">
        <v>13046</v>
      </c>
      <c r="EP34" s="48">
        <v>4560.1000000000004</v>
      </c>
      <c r="EQ34" s="37">
        <f t="shared" si="73"/>
        <v>7987.4899999999725</v>
      </c>
      <c r="ER34" s="48">
        <v>9510</v>
      </c>
      <c r="ES34" s="48">
        <v>3903.6</v>
      </c>
      <c r="ET34" s="49">
        <f t="shared" si="99"/>
        <v>17399.999999999636</v>
      </c>
      <c r="EU34" s="48">
        <v>3650.2</v>
      </c>
      <c r="EV34" s="48">
        <v>1297.5</v>
      </c>
      <c r="EW34" s="49">
        <f t="shared" si="40"/>
        <v>8932.4899999999088</v>
      </c>
      <c r="EX34" s="48">
        <v>13589</v>
      </c>
      <c r="EY34" s="48">
        <v>1.5781000000000001</v>
      </c>
      <c r="EZ34" s="37">
        <f t="shared" si="41"/>
        <v>12832.49</v>
      </c>
      <c r="FA34" s="48">
        <f t="shared" si="74"/>
        <v>-24168.469999999517</v>
      </c>
      <c r="FB34" s="48">
        <v>36677579</v>
      </c>
      <c r="FC34" s="49">
        <f t="shared" si="94"/>
        <v>22984</v>
      </c>
      <c r="FD34" s="48">
        <f t="shared" si="75"/>
        <v>48852.469999999557</v>
      </c>
      <c r="FE34" s="48">
        <v>17126</v>
      </c>
      <c r="FF34" s="48">
        <v>6101.4</v>
      </c>
      <c r="FG34" s="37">
        <f t="shared" si="76"/>
        <v>9495.820000000027</v>
      </c>
      <c r="FH34" s="48">
        <v>8865</v>
      </c>
      <c r="FI34" s="48">
        <v>3.4234</v>
      </c>
      <c r="FJ34" s="49">
        <f t="shared" si="42"/>
        <v>16350.820000000727</v>
      </c>
      <c r="FK34" s="48"/>
      <c r="FL34" s="58">
        <v>-181.67</v>
      </c>
      <c r="FM34" s="48">
        <f t="shared" si="95"/>
        <v>-832.48666666691861</v>
      </c>
      <c r="FN34" s="48">
        <v>16697</v>
      </c>
      <c r="FO34" s="48">
        <v>0.84040000000000004</v>
      </c>
      <c r="FP34" s="37">
        <f t="shared" si="77"/>
        <v>11650.82</v>
      </c>
      <c r="FQ34" s="48">
        <v>59082</v>
      </c>
      <c r="FR34" s="48">
        <v>14.289</v>
      </c>
      <c r="FS34" s="37">
        <f t="shared" si="43"/>
        <v>35000</v>
      </c>
      <c r="FT34" s="48">
        <f t="shared" si="78"/>
        <v>-2497.4600000007558</v>
      </c>
      <c r="FU34" s="48">
        <f t="shared" si="79"/>
        <v>37497.460000000756</v>
      </c>
      <c r="FV34" s="44">
        <v>4567400</v>
      </c>
      <c r="FW34" s="44">
        <v>1457200</v>
      </c>
      <c r="FX34" s="37">
        <f t="shared" si="44"/>
        <v>32300</v>
      </c>
      <c r="FY34" s="56">
        <v>3429.6</v>
      </c>
      <c r="FZ34" s="56">
        <v>2.1233</v>
      </c>
      <c r="GA34" s="37">
        <f t="shared" si="45"/>
        <v>7959.9999999997272</v>
      </c>
      <c r="GB34" s="56">
        <v>819.28</v>
      </c>
      <c r="GC34" s="56">
        <v>917.72</v>
      </c>
      <c r="GD34" s="37">
        <f t="shared" si="46"/>
        <v>850.00000000002274</v>
      </c>
      <c r="GE34" s="56">
        <v>10136</v>
      </c>
      <c r="GF34" s="56">
        <v>3.4375</v>
      </c>
      <c r="GG34" s="37">
        <f t="shared" si="47"/>
        <v>9299.9999999999545</v>
      </c>
      <c r="GH34" s="158">
        <v>1969.7</v>
      </c>
      <c r="GI34" s="159">
        <v>1683.3</v>
      </c>
      <c r="GJ34" s="38">
        <f t="shared" si="48"/>
        <v>1700.0000000000455</v>
      </c>
      <c r="GK34" s="56">
        <v>1489.1</v>
      </c>
      <c r="GL34" s="44">
        <v>1128.4000000000001</v>
      </c>
      <c r="GM34" s="38">
        <f t="shared" si="49"/>
        <v>0</v>
      </c>
      <c r="GN34" s="57">
        <v>208240</v>
      </c>
      <c r="GO34" s="57">
        <v>184440</v>
      </c>
      <c r="GP34" s="38">
        <f t="shared" si="98"/>
        <v>10</v>
      </c>
      <c r="GQ34" s="38">
        <v>270910</v>
      </c>
      <c r="GR34" s="38">
        <v>266910</v>
      </c>
      <c r="GS34" s="38">
        <f t="shared" si="80"/>
        <v>340</v>
      </c>
      <c r="GT34" s="178"/>
      <c r="GU34" s="144">
        <f>DailyMei!B33-DailyMei!N33-DailyMei!V33-DailyMei!Y33-DailyMei!Z33-DailyMei!AA33-DailyMei!AB33-DailyMei!AC33-DailyMei!AD33-DailyMei!AE33-DailyMei!AK33-DailyMei!AO33-DailyMei!AS33-DailyMei!AY33-DailyMei!BD33+DailyMei!BU33-DailyMei!BG33-DailyMei!BT33-DailyMei!AF33-DailyMei!AG33</f>
        <v>6.0000029334332794E-2</v>
      </c>
      <c r="GV34" s="59">
        <v>12487.41</v>
      </c>
      <c r="GW34" s="60">
        <f t="shared" si="50"/>
        <v>832.49400000000003</v>
      </c>
      <c r="GX34" s="61">
        <v>832.49</v>
      </c>
      <c r="GY34" s="140"/>
      <c r="GZ34" s="62"/>
      <c r="HA34" s="62"/>
      <c r="HB34" s="74"/>
      <c r="HC34" s="62"/>
      <c r="HD34" s="74"/>
      <c r="HE34" s="24">
        <f t="shared" si="51"/>
        <v>0</v>
      </c>
      <c r="HG34" s="213">
        <v>28</v>
      </c>
      <c r="HH34" s="16">
        <v>10774</v>
      </c>
      <c r="HI34" s="16">
        <v>4156.3999999999996</v>
      </c>
      <c r="HJ34" s="16">
        <f t="shared" si="52"/>
        <v>135000</v>
      </c>
      <c r="HK34" s="16">
        <v>1.9189000000000001</v>
      </c>
      <c r="HL34" s="16">
        <v>660.93</v>
      </c>
      <c r="HM34" s="16">
        <f t="shared" si="100"/>
        <v>0</v>
      </c>
      <c r="HN34" s="16">
        <v>2814.7</v>
      </c>
      <c r="HO34" s="16">
        <v>1232</v>
      </c>
      <c r="HP34" s="16">
        <f t="shared" si="54"/>
        <v>33073.749999999724</v>
      </c>
      <c r="HQ34" s="16">
        <v>2401.6</v>
      </c>
      <c r="HR34" s="16">
        <v>1043.7</v>
      </c>
      <c r="HS34" s="16">
        <f t="shared" si="55"/>
        <v>19473.749999999818</v>
      </c>
      <c r="HT34" s="16">
        <v>2073.1</v>
      </c>
      <c r="HU34" s="16">
        <v>803.37</v>
      </c>
      <c r="HV34" s="16">
        <f t="shared" si="56"/>
        <v>25073.749999999956</v>
      </c>
      <c r="HW34" s="16">
        <v>1118.5999999999999</v>
      </c>
      <c r="HX34" s="16">
        <v>493.29</v>
      </c>
      <c r="HY34" s="16">
        <f t="shared" si="57"/>
        <v>19573.749999999956</v>
      </c>
      <c r="HZ34" s="16">
        <v>93084</v>
      </c>
      <c r="IA34" s="16">
        <v>56383</v>
      </c>
      <c r="IB34" s="16">
        <f t="shared" si="58"/>
        <v>18605</v>
      </c>
      <c r="IC34" s="16"/>
      <c r="ID34" s="16"/>
      <c r="IE34" s="16">
        <f t="shared" si="59"/>
        <v>0</v>
      </c>
      <c r="IF34" s="16"/>
      <c r="IG34" s="16"/>
      <c r="IH34" s="128">
        <f t="shared" si="1"/>
        <v>19200</v>
      </c>
      <c r="II34" s="211">
        <f t="shared" si="124"/>
        <v>5.3842086344957352E-10</v>
      </c>
      <c r="IJ34" s="16"/>
      <c r="IK34" s="16"/>
      <c r="IL34" s="16">
        <f t="shared" si="101"/>
        <v>0</v>
      </c>
      <c r="IM34" s="16"/>
      <c r="IN34" s="16"/>
      <c r="IO34" s="16">
        <f t="shared" si="102"/>
        <v>0</v>
      </c>
      <c r="IP34" s="16"/>
      <c r="IQ34" s="16"/>
      <c r="IR34" s="16">
        <f t="shared" si="103"/>
        <v>0</v>
      </c>
      <c r="IS34" s="16"/>
      <c r="IT34" s="16"/>
      <c r="IU34" s="16">
        <f t="shared" si="104"/>
        <v>0</v>
      </c>
      <c r="IV34" s="16"/>
      <c r="IW34" s="16"/>
      <c r="IX34" s="16">
        <f t="shared" si="105"/>
        <v>0</v>
      </c>
      <c r="IY34" s="16"/>
      <c r="IZ34" s="16"/>
      <c r="JA34" s="16">
        <f t="shared" si="106"/>
        <v>0</v>
      </c>
      <c r="JB34" s="16"/>
      <c r="JC34" s="16"/>
      <c r="JD34" s="16">
        <f t="shared" si="107"/>
        <v>0</v>
      </c>
      <c r="JE34" s="16"/>
      <c r="JF34" s="16"/>
      <c r="JG34" s="16">
        <f t="shared" si="108"/>
        <v>0</v>
      </c>
      <c r="JH34" s="16"/>
      <c r="JI34" s="16"/>
      <c r="JJ34" s="16">
        <f t="shared" si="109"/>
        <v>0</v>
      </c>
      <c r="JK34" s="16"/>
      <c r="JL34" s="16"/>
      <c r="JM34" s="16">
        <f t="shared" si="110"/>
        <v>0</v>
      </c>
      <c r="JN34" s="16"/>
      <c r="JO34" s="16"/>
      <c r="JP34" s="16">
        <f t="shared" si="111"/>
        <v>0</v>
      </c>
      <c r="JQ34" s="16"/>
      <c r="JR34" s="16"/>
      <c r="JS34" s="16">
        <f t="shared" si="112"/>
        <v>0</v>
      </c>
      <c r="JT34" s="16"/>
      <c r="JU34" s="16"/>
      <c r="JV34" s="16">
        <f t="shared" si="113"/>
        <v>0</v>
      </c>
      <c r="JW34" s="16"/>
      <c r="JX34" s="16"/>
      <c r="JY34" s="16">
        <f t="shared" si="114"/>
        <v>0</v>
      </c>
      <c r="JZ34" s="16"/>
      <c r="KA34" s="16"/>
      <c r="KB34" s="16">
        <f t="shared" si="115"/>
        <v>0</v>
      </c>
      <c r="KC34" s="16"/>
      <c r="KD34" s="16"/>
      <c r="KE34" s="16">
        <f t="shared" si="116"/>
        <v>0</v>
      </c>
      <c r="KG34" s="151">
        <f t="shared" si="61"/>
        <v>51678.750000000262</v>
      </c>
    </row>
    <row r="35" spans="1:293" x14ac:dyDescent="0.25">
      <c r="A35" s="35">
        <v>29</v>
      </c>
      <c r="B35" s="38">
        <v>4419.25</v>
      </c>
      <c r="C35" s="38">
        <f t="shared" si="3"/>
        <v>11.4399999999996</v>
      </c>
      <c r="D35" s="38">
        <f t="shared" si="4"/>
        <v>366079.99999998719</v>
      </c>
      <c r="E35" s="38">
        <v>889.22</v>
      </c>
      <c r="F35" s="38">
        <f t="shared" si="5"/>
        <v>73280.000000002474</v>
      </c>
      <c r="G35" s="38">
        <f t="shared" si="6"/>
        <v>439359.99999998964</v>
      </c>
      <c r="H35" s="37"/>
      <c r="I35" s="39"/>
      <c r="J35" s="42"/>
      <c r="K35" s="37">
        <f>IF(J35&lt;=0,0,(J35/SQRT(J35^2+(I35-I34)^2)))</f>
        <v>0</v>
      </c>
      <c r="L35" s="40">
        <v>13627000</v>
      </c>
      <c r="M35" s="40"/>
      <c r="N35" s="37">
        <f t="shared" si="82"/>
        <v>440000</v>
      </c>
      <c r="O35" s="37">
        <v>11116</v>
      </c>
      <c r="P35" s="37"/>
      <c r="Q35" s="37">
        <f t="shared" si="119"/>
        <v>18700.000000000728</v>
      </c>
      <c r="R35" s="37">
        <f>IF(Q35&lt;=0,0,(Q35/SQRT(Q35^2+(P35-P34)^2)))</f>
        <v>1</v>
      </c>
      <c r="S35" s="37">
        <v>11236987.24</v>
      </c>
      <c r="T35" s="37">
        <f t="shared" si="8"/>
        <v>332.34999999962747</v>
      </c>
      <c r="U35" s="37">
        <v>1523790.61</v>
      </c>
      <c r="V35" s="37">
        <f t="shared" si="9"/>
        <v>0</v>
      </c>
      <c r="W35" s="37">
        <v>3977.4</v>
      </c>
      <c r="X35" s="37">
        <f t="shared" si="96"/>
        <v>18287.6500000011</v>
      </c>
      <c r="Y35" s="183"/>
      <c r="Z35" s="183"/>
      <c r="AA35" s="37">
        <v>787680</v>
      </c>
      <c r="AB35" s="37">
        <f t="shared" si="10"/>
        <v>80</v>
      </c>
      <c r="AC35" s="37">
        <v>4140.5</v>
      </c>
      <c r="AD35" s="37"/>
      <c r="AE35" s="37">
        <f t="shared" si="121"/>
        <v>8600.0000000003638</v>
      </c>
      <c r="AF35" s="37">
        <f>IF(AE35&lt;=0,0,(AE35/SQRT(AE35^2+(AD35-AD34)^2)))</f>
        <v>1</v>
      </c>
      <c r="AG35" s="37">
        <v>9029.9</v>
      </c>
      <c r="AH35" s="37"/>
      <c r="AI35" s="37">
        <f t="shared" si="12"/>
        <v>17504.499999999636</v>
      </c>
      <c r="AJ35" s="37">
        <f t="shared" si="13"/>
        <v>1</v>
      </c>
      <c r="AK35" s="37">
        <f t="shared" si="14"/>
        <v>44724.500000000728</v>
      </c>
      <c r="AL35" s="42">
        <v>10917</v>
      </c>
      <c r="AM35" s="42"/>
      <c r="AN35" s="37">
        <f t="shared" si="62"/>
        <v>6444.4999999999272</v>
      </c>
      <c r="AO35" s="37">
        <f>IF(AN35&lt;=0,0,(AN35/SQRT(AN35^2+(AM35-AM34)^2)))</f>
        <v>1</v>
      </c>
      <c r="AP35" s="37">
        <v>8465.2000000000007</v>
      </c>
      <c r="AQ35" s="37"/>
      <c r="AR35" s="37">
        <f t="shared" si="15"/>
        <v>9400.0000000014552</v>
      </c>
      <c r="AS35" s="37">
        <f>IF(AR35&lt;=0,0,(AR35/SQRT(AR35^2+(AQ35-AQ34)^2)))</f>
        <v>1</v>
      </c>
      <c r="AT35" s="183"/>
      <c r="AU35" s="183"/>
      <c r="AV35" s="183"/>
      <c r="AW35" s="183"/>
      <c r="AX35" s="37">
        <v>486127.42</v>
      </c>
      <c r="AY35" s="37"/>
      <c r="AZ35" s="37">
        <f t="shared" si="16"/>
        <v>407.4199999999837</v>
      </c>
      <c r="BA35" s="37">
        <v>150438.37</v>
      </c>
      <c r="BB35" s="37"/>
      <c r="BC35" s="37">
        <f t="shared" si="17"/>
        <v>688.36999999999534</v>
      </c>
      <c r="BD35" s="37">
        <f>AN35+AR35+AZ35+BC35</f>
        <v>16940.290000001361</v>
      </c>
      <c r="BE35" s="43">
        <v>1918.7</v>
      </c>
      <c r="BF35" s="43">
        <v>1057.8</v>
      </c>
      <c r="BG35" s="37">
        <f t="shared" si="18"/>
        <v>2200.0000000000455</v>
      </c>
      <c r="BH35" s="44">
        <v>8960</v>
      </c>
      <c r="BI35" s="44">
        <v>5763.5</v>
      </c>
      <c r="BJ35" s="37">
        <f t="shared" si="19"/>
        <v>9899.9999999996362</v>
      </c>
      <c r="BK35" s="40">
        <v>1584800</v>
      </c>
      <c r="BL35" s="40">
        <f t="shared" si="88"/>
        <v>4240</v>
      </c>
      <c r="BM35" s="40">
        <v>873.95</v>
      </c>
      <c r="BN35" s="37">
        <f t="shared" si="20"/>
        <v>640.00000000010004</v>
      </c>
      <c r="BO35" s="186"/>
      <c r="BP35" s="183">
        <f t="shared" si="21"/>
        <v>0</v>
      </c>
      <c r="BQ35" s="40">
        <v>826.78</v>
      </c>
      <c r="BR35" s="37">
        <f t="shared" si="63"/>
        <v>779.99999999997272</v>
      </c>
      <c r="BS35" s="37">
        <v>99396.91</v>
      </c>
      <c r="BT35" s="37">
        <f t="shared" si="22"/>
        <v>233.23000000001048</v>
      </c>
      <c r="BU35" s="42">
        <v>2760700</v>
      </c>
      <c r="BV35" s="42"/>
      <c r="BW35" s="37">
        <f t="shared" si="23"/>
        <v>9075</v>
      </c>
      <c r="BX35" s="37">
        <f>IF(BW35&lt;=0,0,(BW35/SQRT(BW35^2+(BV35-BV34)^2)))</f>
        <v>1</v>
      </c>
      <c r="BY35" s="37">
        <v>349.36</v>
      </c>
      <c r="BZ35" s="37"/>
      <c r="CA35" s="37">
        <f t="shared" si="117"/>
        <v>911.69999999999618</v>
      </c>
      <c r="CB35" s="37">
        <f t="shared" si="64"/>
        <v>1</v>
      </c>
      <c r="CC35" s="37">
        <v>649020</v>
      </c>
      <c r="CD35" s="37">
        <f t="shared" si="25"/>
        <v>2628.3000000000466</v>
      </c>
      <c r="CE35" s="41">
        <v>1212200</v>
      </c>
      <c r="CF35" s="37">
        <f t="shared" si="26"/>
        <v>6454</v>
      </c>
      <c r="CG35" s="37">
        <v>72810.600000000006</v>
      </c>
      <c r="CH35" s="37">
        <f t="shared" si="65"/>
        <v>0</v>
      </c>
      <c r="CI35" s="40">
        <v>12859</v>
      </c>
      <c r="CJ35" s="40"/>
      <c r="CK35" s="37">
        <f t="shared" si="66"/>
        <v>17532.800000000148</v>
      </c>
      <c r="CL35" s="37">
        <f t="shared" si="27"/>
        <v>1</v>
      </c>
      <c r="CM35" s="37">
        <v>3591</v>
      </c>
      <c r="CN35" s="37"/>
      <c r="CO35" s="37">
        <f t="shared" si="28"/>
        <v>9199.4999999997999</v>
      </c>
      <c r="CP35" s="37">
        <f>IF(CO35&lt;=0,0,(CO35/SQRT(CO35^2+(CN35-CN34)^2)))</f>
        <v>1</v>
      </c>
      <c r="CQ35" s="39">
        <v>188140</v>
      </c>
      <c r="CR35" s="39"/>
      <c r="CS35" s="37">
        <f t="shared" si="67"/>
        <v>7851.8999999999942</v>
      </c>
      <c r="CT35" s="37">
        <f t="shared" si="68"/>
        <v>1</v>
      </c>
      <c r="CU35" s="37">
        <v>3429100</v>
      </c>
      <c r="CV35" s="37"/>
      <c r="CW35" s="38">
        <f t="shared" si="29"/>
        <v>16316</v>
      </c>
      <c r="CX35" s="37">
        <f t="shared" si="91"/>
        <v>1</v>
      </c>
      <c r="CY35" s="37">
        <v>1802900</v>
      </c>
      <c r="CZ35" s="37"/>
      <c r="DA35" s="37">
        <f t="shared" si="123"/>
        <v>8651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2"/>
        <v>-68626.199999999939</v>
      </c>
      <c r="DH35" s="37">
        <f t="shared" si="33"/>
        <v>486924.50000000076</v>
      </c>
      <c r="DI35" s="46"/>
      <c r="DJ35" s="46"/>
      <c r="DK35" s="46"/>
      <c r="DL35" s="47"/>
      <c r="DM35" s="37"/>
      <c r="DN35" s="37"/>
      <c r="DO35" s="37"/>
      <c r="DP35" s="37"/>
      <c r="DQ35" s="50">
        <v>3503300</v>
      </c>
      <c r="DR35" s="49">
        <f t="shared" si="69"/>
        <v>11000</v>
      </c>
      <c r="DS35" s="50">
        <v>3874000</v>
      </c>
      <c r="DT35" s="49">
        <f t="shared" si="70"/>
        <v>19300</v>
      </c>
      <c r="DU35" s="51">
        <v>8008.3</v>
      </c>
      <c r="DV35" s="51">
        <v>4489.8</v>
      </c>
      <c r="DW35" s="37">
        <f t="shared" si="93"/>
        <v>4600.0000000003638</v>
      </c>
      <c r="DX35" s="52">
        <v>13195</v>
      </c>
      <c r="DY35" s="52">
        <v>8420.5</v>
      </c>
      <c r="DZ35" s="37">
        <f t="shared" si="34"/>
        <v>6604.5</v>
      </c>
      <c r="EA35" s="49">
        <v>30222</v>
      </c>
      <c r="EB35" s="49">
        <v>21.013000000000002</v>
      </c>
      <c r="EC35" s="37">
        <f t="shared" si="35"/>
        <v>22764.5</v>
      </c>
      <c r="ED35" s="53">
        <f t="shared" si="36"/>
        <v>33969.000000000364</v>
      </c>
      <c r="EE35" s="49">
        <v>45662</v>
      </c>
      <c r="EF35" s="49">
        <v>29.634</v>
      </c>
      <c r="EG35" s="37">
        <f t="shared" si="37"/>
        <v>31764.5</v>
      </c>
      <c r="EH35" s="51">
        <v>13144</v>
      </c>
      <c r="EI35" s="51">
        <v>1.8002</v>
      </c>
      <c r="EJ35" s="37">
        <f t="shared" si="38"/>
        <v>12604.5</v>
      </c>
      <c r="EK35" s="37">
        <v>799.89</v>
      </c>
      <c r="EL35" s="40">
        <v>1146.0999999999999</v>
      </c>
      <c r="EM35" s="37">
        <f t="shared" si="71"/>
        <v>689.99999999994088</v>
      </c>
      <c r="EN35" s="54">
        <f t="shared" si="72"/>
        <v>45058.999999999942</v>
      </c>
      <c r="EO35" s="55">
        <v>13053</v>
      </c>
      <c r="EP35" s="48">
        <v>4562.7</v>
      </c>
      <c r="EQ35" s="37">
        <f t="shared" si="73"/>
        <v>6739.4999999999909</v>
      </c>
      <c r="ER35" s="48">
        <v>9527.2999999999993</v>
      </c>
      <c r="ES35" s="48">
        <v>3910.7</v>
      </c>
      <c r="ET35" s="49">
        <f t="shared" si="99"/>
        <v>17299.999999999272</v>
      </c>
      <c r="EU35" s="48">
        <v>3658.3</v>
      </c>
      <c r="EV35" s="48">
        <v>1300.4000000000001</v>
      </c>
      <c r="EW35" s="49">
        <f t="shared" si="40"/>
        <v>8704.5000000003638</v>
      </c>
      <c r="EX35" s="48">
        <v>13600</v>
      </c>
      <c r="EY35" s="48">
        <v>1.5794999999999999</v>
      </c>
      <c r="EZ35" s="37">
        <f t="shared" si="41"/>
        <v>11604.5</v>
      </c>
      <c r="FA35" s="48">
        <f t="shared" si="74"/>
        <v>-21925.499999999629</v>
      </c>
      <c r="FB35" s="48">
        <v>36700002</v>
      </c>
      <c r="FC35" s="49">
        <f t="shared" si="94"/>
        <v>22423</v>
      </c>
      <c r="FD35" s="48">
        <f t="shared" si="75"/>
        <v>46148.499999999585</v>
      </c>
      <c r="FE35" s="48">
        <v>17134</v>
      </c>
      <c r="FF35" s="48">
        <v>6103.4</v>
      </c>
      <c r="FG35" s="37">
        <f t="shared" si="76"/>
        <v>9347.830000000009</v>
      </c>
      <c r="FH35" s="48">
        <v>8882.5</v>
      </c>
      <c r="FI35" s="48">
        <v>3.4220000000000002</v>
      </c>
      <c r="FJ35" s="49">
        <f t="shared" si="42"/>
        <v>17982.830000000002</v>
      </c>
      <c r="FK35" s="48"/>
      <c r="FL35" s="58">
        <v>-121.67</v>
      </c>
      <c r="FM35" s="48">
        <f t="shared" si="95"/>
        <v>-604.49666666667019</v>
      </c>
      <c r="FN35" s="48">
        <v>16708</v>
      </c>
      <c r="FO35" s="48">
        <v>0.84219999999999995</v>
      </c>
      <c r="FP35" s="37">
        <f t="shared" si="77"/>
        <v>11482.83</v>
      </c>
      <c r="FQ35" s="48">
        <v>59119</v>
      </c>
      <c r="FR35" s="48">
        <v>14.298999999999999</v>
      </c>
      <c r="FS35" s="37">
        <f>IF((FQ35-FQ34)*1000&lt;=0,0,(FQ35-FQ34)*1000)</f>
        <v>37000</v>
      </c>
      <c r="FT35" s="48">
        <f t="shared" si="78"/>
        <v>-1813.4900000000107</v>
      </c>
      <c r="FU35" s="48">
        <f t="shared" si="79"/>
        <v>38813.490000000013</v>
      </c>
      <c r="FV35" s="44">
        <v>4603500</v>
      </c>
      <c r="FW35" s="44">
        <v>1466100</v>
      </c>
      <c r="FX35" s="37">
        <f t="shared" si="44"/>
        <v>36100</v>
      </c>
      <c r="FY35" s="56">
        <v>3439.3</v>
      </c>
      <c r="FZ35" s="56">
        <v>2.1255000000000002</v>
      </c>
      <c r="GA35" s="37">
        <f t="shared" si="45"/>
        <v>9380.0000000002728</v>
      </c>
      <c r="GB35" s="56">
        <v>820.25</v>
      </c>
      <c r="GC35" s="56">
        <v>918.79</v>
      </c>
      <c r="GD35" s="37">
        <f t="shared" si="46"/>
        <v>970.00000000002728</v>
      </c>
      <c r="GE35" s="56">
        <v>10147</v>
      </c>
      <c r="GF35" s="56">
        <v>3.4455</v>
      </c>
      <c r="GG35" s="37">
        <f t="shared" si="47"/>
        <v>9200.0000000000455</v>
      </c>
      <c r="GH35" s="48">
        <v>1971.5</v>
      </c>
      <c r="GI35" s="56">
        <v>1685</v>
      </c>
      <c r="GJ35" s="38">
        <f t="shared" si="48"/>
        <v>1799.9999999999545</v>
      </c>
      <c r="GK35" s="56">
        <v>1489.1</v>
      </c>
      <c r="GL35" s="44">
        <v>1128.4000000000001</v>
      </c>
      <c r="GM35" s="38">
        <f t="shared" si="49"/>
        <v>0</v>
      </c>
      <c r="GN35" s="57">
        <v>208240</v>
      </c>
      <c r="GO35" s="57">
        <v>184440</v>
      </c>
      <c r="GP35" s="38">
        <f t="shared" si="98"/>
        <v>0</v>
      </c>
      <c r="GQ35" s="38">
        <v>271230</v>
      </c>
      <c r="GR35" s="38">
        <v>267120</v>
      </c>
      <c r="GS35" s="38">
        <f t="shared" si="80"/>
        <v>320</v>
      </c>
      <c r="GT35" s="178"/>
      <c r="GU35" s="144">
        <f>DailyMei!B34-DailyMei!N34-DailyMei!V34-DailyMei!Y34-DailyMei!Z34-DailyMei!AA34-DailyMei!AB34-DailyMei!AC34-DailyMei!AD34-DailyMei!AE34-DailyMei!AK34-DailyMei!AO34-DailyMei!AS34-DailyMei!AY34-DailyMei!BD34+DailyMei!BU34-DailyMei!BG34-DailyMei!BT34-DailyMei!AF34-DailyMei!AG34</f>
        <v>1.999998751853127E-2</v>
      </c>
      <c r="GV35" s="59">
        <v>9067.52</v>
      </c>
      <c r="GW35" s="60">
        <f t="shared" si="50"/>
        <v>604.50133333333338</v>
      </c>
      <c r="GX35" s="61">
        <v>604.5</v>
      </c>
      <c r="GY35" s="140"/>
      <c r="GZ35" s="62"/>
      <c r="HA35" s="62"/>
      <c r="HB35" s="74"/>
      <c r="HC35" s="62"/>
      <c r="HD35" s="74"/>
      <c r="HE35" s="24">
        <f t="shared" si="51"/>
        <v>0</v>
      </c>
      <c r="HG35" s="213">
        <v>29</v>
      </c>
      <c r="HH35" s="16">
        <v>10921</v>
      </c>
      <c r="HI35" s="16">
        <v>4212</v>
      </c>
      <c r="HJ35" s="16">
        <f t="shared" si="52"/>
        <v>147000</v>
      </c>
      <c r="HK35" s="16">
        <v>1.9189000000000001</v>
      </c>
      <c r="HL35" s="16">
        <v>660.93</v>
      </c>
      <c r="HM35" s="16">
        <f t="shared" si="100"/>
        <v>0</v>
      </c>
      <c r="HN35" s="16">
        <v>2851.7</v>
      </c>
      <c r="HO35" s="16">
        <v>1247.9000000000001</v>
      </c>
      <c r="HP35" s="16">
        <f t="shared" si="54"/>
        <v>37191</v>
      </c>
      <c r="HQ35" s="16">
        <v>2426</v>
      </c>
      <c r="HR35" s="16">
        <v>1053.5999999999999</v>
      </c>
      <c r="HS35" s="16">
        <f t="shared" si="55"/>
        <v>24591.000000000091</v>
      </c>
      <c r="HT35" s="16">
        <v>2098.9</v>
      </c>
      <c r="HU35" s="16">
        <v>812.39</v>
      </c>
      <c r="HV35" s="16">
        <f t="shared" si="56"/>
        <v>25991.000000000182</v>
      </c>
      <c r="HW35" s="16">
        <v>1145.5</v>
      </c>
      <c r="HX35" s="16">
        <v>504.23</v>
      </c>
      <c r="HY35" s="16">
        <f t="shared" si="57"/>
        <v>27091.000000000091</v>
      </c>
      <c r="HZ35" s="16">
        <v>105920</v>
      </c>
      <c r="IA35" s="16">
        <v>62684</v>
      </c>
      <c r="IB35" s="16">
        <f t="shared" si="58"/>
        <v>12836</v>
      </c>
      <c r="IC35" s="16"/>
      <c r="ID35" s="16"/>
      <c r="IE35" s="16">
        <f t="shared" si="59"/>
        <v>0</v>
      </c>
      <c r="IF35" s="16"/>
      <c r="IG35" s="16"/>
      <c r="IH35" s="128">
        <f t="shared" si="1"/>
        <v>19300</v>
      </c>
      <c r="II35" s="211">
        <f t="shared" si="124"/>
        <v>-3.4924596548080444E-10</v>
      </c>
      <c r="IJ35" s="16"/>
      <c r="IK35" s="16"/>
      <c r="IL35" s="16">
        <f t="shared" si="101"/>
        <v>0</v>
      </c>
      <c r="IM35" s="16"/>
      <c r="IN35" s="16"/>
      <c r="IO35" s="16">
        <f t="shared" si="102"/>
        <v>0</v>
      </c>
      <c r="IP35" s="16"/>
      <c r="IQ35" s="16"/>
      <c r="IR35" s="16">
        <f t="shared" si="103"/>
        <v>0</v>
      </c>
      <c r="IS35" s="16"/>
      <c r="IT35" s="16"/>
      <c r="IU35" s="16">
        <f t="shared" si="104"/>
        <v>0</v>
      </c>
      <c r="IV35" s="16"/>
      <c r="IW35" s="16"/>
      <c r="IX35" s="16">
        <f t="shared" si="105"/>
        <v>0</v>
      </c>
      <c r="IY35" s="16"/>
      <c r="IZ35" s="16"/>
      <c r="JA35" s="16">
        <f t="shared" si="106"/>
        <v>0</v>
      </c>
      <c r="JB35" s="16"/>
      <c r="JC35" s="16"/>
      <c r="JD35" s="16">
        <f t="shared" si="107"/>
        <v>0</v>
      </c>
      <c r="JE35" s="16"/>
      <c r="JF35" s="16"/>
      <c r="JG35" s="16">
        <f t="shared" si="108"/>
        <v>0</v>
      </c>
      <c r="JH35" s="16"/>
      <c r="JI35" s="16"/>
      <c r="JJ35" s="16">
        <f t="shared" si="109"/>
        <v>0</v>
      </c>
      <c r="JK35" s="16"/>
      <c r="JL35" s="16"/>
      <c r="JM35" s="16">
        <f t="shared" si="110"/>
        <v>0</v>
      </c>
      <c r="JN35" s="16"/>
      <c r="JO35" s="16"/>
      <c r="JP35" s="16">
        <f t="shared" si="111"/>
        <v>0</v>
      </c>
      <c r="JQ35" s="16"/>
      <c r="JR35" s="16"/>
      <c r="JS35" s="16">
        <f t="shared" si="112"/>
        <v>0</v>
      </c>
      <c r="JT35" s="16"/>
      <c r="JU35" s="16"/>
      <c r="JV35" s="16">
        <f t="shared" si="113"/>
        <v>0</v>
      </c>
      <c r="JW35" s="16"/>
      <c r="JX35" s="16"/>
      <c r="JY35" s="16">
        <f t="shared" si="114"/>
        <v>0</v>
      </c>
      <c r="JZ35" s="16"/>
      <c r="KA35" s="16"/>
      <c r="KB35" s="16">
        <f t="shared" si="115"/>
        <v>0</v>
      </c>
      <c r="KC35" s="16"/>
      <c r="KD35" s="16"/>
      <c r="KE35" s="16">
        <f t="shared" si="116"/>
        <v>0</v>
      </c>
      <c r="KG35" s="151">
        <f t="shared" si="61"/>
        <v>50026.999999999651</v>
      </c>
    </row>
    <row r="36" spans="1:293" x14ac:dyDescent="0.25">
      <c r="A36" s="35">
        <f t="shared" si="2"/>
        <v>30</v>
      </c>
      <c r="B36" s="38">
        <v>4429.9799999999996</v>
      </c>
      <c r="C36" s="38">
        <f t="shared" si="3"/>
        <v>10.729999999999563</v>
      </c>
      <c r="D36" s="38">
        <f t="shared" si="4"/>
        <v>343359.99999998603</v>
      </c>
      <c r="E36" s="38">
        <v>891.42</v>
      </c>
      <c r="F36" s="38">
        <f t="shared" si="5"/>
        <v>70399.999999997817</v>
      </c>
      <c r="G36" s="38">
        <f t="shared" si="6"/>
        <v>413759.99999998382</v>
      </c>
      <c r="H36" s="37"/>
      <c r="I36" s="39"/>
      <c r="J36" s="42"/>
      <c r="K36" s="37">
        <f>IF(J36&lt;=0,0,(J36/SQRT(J36^2+(I36-I35)^2)))</f>
        <v>0</v>
      </c>
      <c r="L36" s="40">
        <v>13668000</v>
      </c>
      <c r="M36" s="40"/>
      <c r="N36" s="37">
        <f t="shared" si="82"/>
        <v>410000</v>
      </c>
      <c r="O36" s="37">
        <v>11134</v>
      </c>
      <c r="P36" s="37"/>
      <c r="Q36" s="37">
        <f t="shared" si="119"/>
        <v>18000</v>
      </c>
      <c r="R36" s="37">
        <f>IF(Q36&lt;=0,0,(Q36/SQRT(Q36^2+(P36-P35)^2)))</f>
        <v>1</v>
      </c>
      <c r="S36" s="37">
        <v>11237318.619999999</v>
      </c>
      <c r="T36" s="37">
        <f t="shared" si="8"/>
        <v>331.37999999895692</v>
      </c>
      <c r="U36" s="37">
        <v>1523790.61</v>
      </c>
      <c r="V36" s="37">
        <f>IF((U36-U35)&lt;=0,0,(U36-U35))</f>
        <v>0</v>
      </c>
      <c r="W36" s="37">
        <v>3983.5</v>
      </c>
      <c r="X36" s="37">
        <f t="shared" si="96"/>
        <v>17598.620000001043</v>
      </c>
      <c r="Y36" s="183"/>
      <c r="Z36" s="183"/>
      <c r="AA36" s="37">
        <v>787750</v>
      </c>
      <c r="AB36" s="37">
        <f t="shared" si="10"/>
        <v>70</v>
      </c>
      <c r="AC36" s="37">
        <v>4149.2</v>
      </c>
      <c r="AD36" s="37"/>
      <c r="AE36" s="37">
        <f t="shared" si="121"/>
        <v>8699.9999999998181</v>
      </c>
      <c r="AF36" s="37">
        <f>IF(AE36&lt;=0,0,(AE36/SQRT(AE36^2+(AD36-AD35)^2)))</f>
        <v>1</v>
      </c>
      <c r="AG36" s="37">
        <v>9046.7000000000007</v>
      </c>
      <c r="AH36" s="37"/>
      <c r="AI36" s="37">
        <f t="shared" si="12"/>
        <v>16637.820000001091</v>
      </c>
      <c r="AJ36" s="37">
        <f t="shared" si="13"/>
        <v>1</v>
      </c>
      <c r="AK36" s="37">
        <f t="shared" si="14"/>
        <v>43267.820000000909</v>
      </c>
      <c r="AL36" s="42">
        <v>10928</v>
      </c>
      <c r="AM36" s="42"/>
      <c r="AN36" s="37">
        <f t="shared" si="62"/>
        <v>5427.8200000000315</v>
      </c>
      <c r="AO36" s="37">
        <f>IF(AN36&lt;=0,0,(AN36/SQRT(AN36^2+(AM36-AM35)^2)))</f>
        <v>1</v>
      </c>
      <c r="AP36" s="37">
        <v>8473.7999999999993</v>
      </c>
      <c r="AQ36" s="37"/>
      <c r="AR36" s="37">
        <f t="shared" si="15"/>
        <v>8599.9999999985448</v>
      </c>
      <c r="AS36" s="37">
        <f>IF(AR36&lt;=0,0,(AR36/SQRT(AR36^2+(AQ36-AQ35)^2)))</f>
        <v>1</v>
      </c>
      <c r="AT36" s="183"/>
      <c r="AU36" s="183"/>
      <c r="AV36" s="183"/>
      <c r="AW36" s="183"/>
      <c r="AX36" s="37">
        <v>486541.2</v>
      </c>
      <c r="AY36" s="37"/>
      <c r="AZ36" s="37">
        <f t="shared" si="16"/>
        <v>413.78000000002794</v>
      </c>
      <c r="BA36" s="37">
        <v>151077.23000000001</v>
      </c>
      <c r="BB36" s="37"/>
      <c r="BC36" s="37">
        <f t="shared" si="17"/>
        <v>638.86000000001513</v>
      </c>
      <c r="BD36" s="37">
        <f>AN36+AR36+AZ36+BC36</f>
        <v>15080.45999999862</v>
      </c>
      <c r="BE36" s="43">
        <v>1920.2</v>
      </c>
      <c r="BF36" s="43">
        <v>1058.9000000000001</v>
      </c>
      <c r="BG36" s="37">
        <f t="shared" si="18"/>
        <v>1500</v>
      </c>
      <c r="BH36" s="44">
        <v>8969.2999999999993</v>
      </c>
      <c r="BI36" s="44">
        <v>5769.9</v>
      </c>
      <c r="BJ36" s="37">
        <f t="shared" si="19"/>
        <v>9299.9999999992724</v>
      </c>
      <c r="BK36" s="40">
        <v>1589300</v>
      </c>
      <c r="BL36" s="40">
        <f t="shared" si="88"/>
        <v>4500</v>
      </c>
      <c r="BM36" s="40">
        <v>874.58</v>
      </c>
      <c r="BN36" s="37">
        <f t="shared" si="20"/>
        <v>629.99999999999545</v>
      </c>
      <c r="BO36" s="186"/>
      <c r="BP36" s="183">
        <f t="shared" si="21"/>
        <v>0</v>
      </c>
      <c r="BQ36" s="40">
        <v>827.06</v>
      </c>
      <c r="BR36" s="37">
        <f t="shared" si="63"/>
        <v>279.99999999997272</v>
      </c>
      <c r="BS36" s="37">
        <v>99645.32</v>
      </c>
      <c r="BT36" s="37">
        <f t="shared" si="22"/>
        <v>248.41000000000349</v>
      </c>
      <c r="BU36" s="42">
        <v>2769400</v>
      </c>
      <c r="BV36" s="42"/>
      <c r="BW36" s="37">
        <f t="shared" si="23"/>
        <v>8700</v>
      </c>
      <c r="BX36" s="37">
        <f>IF(BW36&lt;=0,0,(BW36/SQRT(BW36^2+(BV36-BV35)^2)))</f>
        <v>1</v>
      </c>
      <c r="BY36" s="43">
        <v>350.26</v>
      </c>
      <c r="BZ36" s="43"/>
      <c r="CA36" s="37">
        <f t="shared" si="117"/>
        <v>899.99999999997726</v>
      </c>
      <c r="CB36" s="37">
        <f t="shared" si="64"/>
        <v>1</v>
      </c>
      <c r="CC36" s="37">
        <v>651710</v>
      </c>
      <c r="CD36" s="37">
        <f t="shared" si="25"/>
        <v>2690</v>
      </c>
      <c r="CE36" s="41">
        <v>1218100</v>
      </c>
      <c r="CF36" s="37">
        <f t="shared" si="26"/>
        <v>5900</v>
      </c>
      <c r="CG36" s="37">
        <v>72810.600000000006</v>
      </c>
      <c r="CH36" s="37">
        <f t="shared" si="65"/>
        <v>0</v>
      </c>
      <c r="CI36" s="40">
        <v>12877</v>
      </c>
      <c r="CJ36" s="40"/>
      <c r="CK36" s="37">
        <f t="shared" si="66"/>
        <v>16937.820000000022</v>
      </c>
      <c r="CL36" s="37">
        <f t="shared" si="27"/>
        <v>1</v>
      </c>
      <c r="CM36" s="37">
        <v>3599.5</v>
      </c>
      <c r="CN36" s="37"/>
      <c r="CO36" s="37">
        <f t="shared" si="28"/>
        <v>8337.82</v>
      </c>
      <c r="CP36" s="37">
        <f>IF(CO36&lt;=0,0,(CO36/SQRT(CO36^2+(CN36-CN35)^2)))</f>
        <v>1</v>
      </c>
      <c r="CQ36" s="39">
        <v>195050</v>
      </c>
      <c r="CR36" s="39"/>
      <c r="CS36" s="37">
        <f t="shared" si="67"/>
        <v>6747.82</v>
      </c>
      <c r="CT36" s="37">
        <f t="shared" si="68"/>
        <v>1</v>
      </c>
      <c r="CU36" s="37">
        <v>3445200</v>
      </c>
      <c r="CV36" s="41"/>
      <c r="CW36" s="38">
        <f t="shared" si="29"/>
        <v>16100</v>
      </c>
      <c r="CX36" s="37">
        <f t="shared" si="91"/>
        <v>1</v>
      </c>
      <c r="CY36" s="37">
        <v>1811400</v>
      </c>
      <c r="CZ36" s="37"/>
      <c r="DA36" s="37">
        <f t="shared" si="123"/>
        <v>8500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2"/>
        <v>-65323.460000000021</v>
      </c>
      <c r="DH36" s="37">
        <f t="shared" si="33"/>
        <v>454767.82000000088</v>
      </c>
      <c r="DI36" s="46"/>
      <c r="DJ36" s="46"/>
      <c r="DK36" s="47"/>
      <c r="DL36" s="47"/>
      <c r="DM36" s="37"/>
      <c r="DN36" s="37"/>
      <c r="DO36" s="37"/>
      <c r="DP36" s="37"/>
      <c r="DQ36" s="50">
        <v>3513800</v>
      </c>
      <c r="DR36" s="49">
        <f t="shared" si="69"/>
        <v>10500</v>
      </c>
      <c r="DS36" s="50">
        <v>3890500</v>
      </c>
      <c r="DT36" s="49">
        <f t="shared" si="70"/>
        <v>16500</v>
      </c>
      <c r="DU36" s="51">
        <v>8012.8</v>
      </c>
      <c r="DV36" s="51">
        <v>4492.5</v>
      </c>
      <c r="DW36" s="37">
        <f t="shared" si="93"/>
        <v>4500</v>
      </c>
      <c r="DX36" s="52">
        <v>13202</v>
      </c>
      <c r="DY36" s="52">
        <v>8421.2999999999993</v>
      </c>
      <c r="DZ36" s="37">
        <f t="shared" si="34"/>
        <v>6837.82</v>
      </c>
      <c r="EA36" s="49">
        <v>30243</v>
      </c>
      <c r="EB36" s="49">
        <v>21.023</v>
      </c>
      <c r="EC36" s="37">
        <f t="shared" si="35"/>
        <v>22997.82</v>
      </c>
      <c r="ED36" s="53">
        <f t="shared" si="36"/>
        <v>34335.64</v>
      </c>
      <c r="EE36" s="49">
        <v>45689</v>
      </c>
      <c r="EF36" s="49">
        <v>29.657</v>
      </c>
      <c r="EG36" s="37">
        <f t="shared" si="37"/>
        <v>28997.82</v>
      </c>
      <c r="EH36" s="51">
        <v>13155</v>
      </c>
      <c r="EI36" s="51">
        <v>1.8029999999999999</v>
      </c>
      <c r="EJ36" s="37">
        <f t="shared" si="38"/>
        <v>10837.82</v>
      </c>
      <c r="EK36" s="37">
        <v>800.56</v>
      </c>
      <c r="EL36" s="40">
        <v>1147</v>
      </c>
      <c r="EM36" s="37">
        <f t="shared" si="71"/>
        <v>669.99999999995907</v>
      </c>
      <c r="EN36" s="54">
        <f t="shared" si="72"/>
        <v>40505.639999999956</v>
      </c>
      <c r="EO36" s="48">
        <v>13061</v>
      </c>
      <c r="EP36" s="48">
        <v>4565.5</v>
      </c>
      <c r="EQ36" s="37">
        <f t="shared" si="73"/>
        <v>6967.8199999999952</v>
      </c>
      <c r="ER36" s="48">
        <v>9544.2999999999993</v>
      </c>
      <c r="ES36" s="55">
        <v>3917.9</v>
      </c>
      <c r="ET36" s="49">
        <f t="shared" si="99"/>
        <v>17000</v>
      </c>
      <c r="EU36" s="48">
        <v>3666.7</v>
      </c>
      <c r="EV36" s="48">
        <v>1303.3</v>
      </c>
      <c r="EW36" s="49">
        <f t="shared" si="40"/>
        <v>8237.8199999996359</v>
      </c>
      <c r="EX36" s="48">
        <v>13611</v>
      </c>
      <c r="EY36" s="48">
        <v>1.5808</v>
      </c>
      <c r="EZ36" s="37">
        <f t="shared" si="41"/>
        <v>10837.82</v>
      </c>
      <c r="FA36" s="48">
        <f t="shared" si="74"/>
        <v>-20562.459999999632</v>
      </c>
      <c r="FB36" s="48">
        <v>36722483</v>
      </c>
      <c r="FC36" s="49">
        <f>IF((FB36-FB35)&lt;=0,0,(FB36-FB35))</f>
        <v>22481</v>
      </c>
      <c r="FD36" s="48">
        <f t="shared" si="75"/>
        <v>44543.459999999628</v>
      </c>
      <c r="FE36" s="153">
        <v>17142</v>
      </c>
      <c r="FF36" s="48">
        <v>6105.2</v>
      </c>
      <c r="FG36" s="37">
        <f t="shared" si="76"/>
        <v>8517.8200000000033</v>
      </c>
      <c r="FH36" s="48">
        <v>8900.2000000000007</v>
      </c>
      <c r="FI36" s="48">
        <v>3.4369000000000001</v>
      </c>
      <c r="FJ36" s="49">
        <f t="shared" si="42"/>
        <v>17347.820000000727</v>
      </c>
      <c r="FK36" s="48"/>
      <c r="FL36" s="58">
        <v>-190</v>
      </c>
      <c r="FM36" s="48">
        <f t="shared" si="95"/>
        <v>162.17999999975655</v>
      </c>
      <c r="FN36" s="48">
        <v>16720</v>
      </c>
      <c r="FO36" s="48">
        <v>0.84389999999999998</v>
      </c>
      <c r="FP36" s="37">
        <f t="shared" si="77"/>
        <v>11647.82</v>
      </c>
      <c r="FQ36" s="48">
        <v>59157</v>
      </c>
      <c r="FR36" s="48">
        <v>14.31</v>
      </c>
      <c r="FS36" s="37">
        <f>IF((FQ36-FQ35)*1000&lt;=0,0,(FQ36-FQ35)*1000)</f>
        <v>38000</v>
      </c>
      <c r="FT36" s="48">
        <f t="shared" si="78"/>
        <v>486.53999999926964</v>
      </c>
      <c r="FU36" s="48">
        <f t="shared" si="79"/>
        <v>37513.460000000734</v>
      </c>
      <c r="FV36" s="44">
        <v>4639400</v>
      </c>
      <c r="FW36" s="44">
        <v>1474600</v>
      </c>
      <c r="FX36" s="37">
        <f t="shared" si="44"/>
        <v>35900</v>
      </c>
      <c r="FY36" s="56">
        <v>3448.2</v>
      </c>
      <c r="FZ36" s="56">
        <v>2.1269999999999998</v>
      </c>
      <c r="GA36" s="37">
        <f t="shared" si="45"/>
        <v>8579.9999999996362</v>
      </c>
      <c r="GB36" s="56">
        <v>821.23</v>
      </c>
      <c r="GC36" s="56">
        <v>919.84</v>
      </c>
      <c r="GD36" s="37">
        <f t="shared" si="46"/>
        <v>980.00000000001819</v>
      </c>
      <c r="GE36" s="56">
        <v>10158</v>
      </c>
      <c r="GF36" s="63">
        <v>3.4531000000000001</v>
      </c>
      <c r="GG36" s="37">
        <f t="shared" si="47"/>
        <v>9500</v>
      </c>
      <c r="GH36" s="48">
        <v>1973</v>
      </c>
      <c r="GI36" s="56">
        <v>1686.5</v>
      </c>
      <c r="GJ36" s="38">
        <f t="shared" si="48"/>
        <v>1500</v>
      </c>
      <c r="GK36" s="56">
        <v>1489.1</v>
      </c>
      <c r="GL36" s="44">
        <v>1128.4000000000001</v>
      </c>
      <c r="GM36" s="38">
        <f t="shared" si="49"/>
        <v>0</v>
      </c>
      <c r="GN36" s="57">
        <v>208240</v>
      </c>
      <c r="GO36" s="57">
        <v>184450</v>
      </c>
      <c r="GP36" s="38">
        <f t="shared" si="98"/>
        <v>0</v>
      </c>
      <c r="GQ36" s="38">
        <v>271550</v>
      </c>
      <c r="GR36" s="38">
        <v>267340</v>
      </c>
      <c r="GS36" s="38">
        <f t="shared" si="80"/>
        <v>320</v>
      </c>
      <c r="GT36" s="178"/>
      <c r="GU36" s="144">
        <f>DailyMei!B35-DailyMei!N35-DailyMei!V35-DailyMei!Y35-DailyMei!Z35-DailyMei!AA35-DailyMei!AB35-DailyMei!AC35-DailyMei!AD35-DailyMei!AE35-DailyMei!AK35-DailyMei!AO35-DailyMei!AS35-DailyMei!AY35-DailyMei!BD35+DailyMei!BU35-DailyMei!BG35-DailyMei!BT35-DailyMei!AF35-DailyMei!AG35</f>
        <v>5.9999985009199008E-2</v>
      </c>
      <c r="GV36" s="59">
        <v>-2432.64</v>
      </c>
      <c r="GW36" s="60">
        <f t="shared" si="50"/>
        <v>-162.17599999999999</v>
      </c>
      <c r="GX36" s="61">
        <v>-162.18</v>
      </c>
      <c r="GY36" s="140"/>
      <c r="GZ36" s="62"/>
      <c r="HA36" s="62"/>
      <c r="HB36" s="62"/>
      <c r="HC36" s="62"/>
      <c r="HD36" s="74"/>
      <c r="HE36" s="24"/>
      <c r="HG36" s="213">
        <v>30</v>
      </c>
      <c r="HH36" s="16">
        <v>11056</v>
      </c>
      <c r="HI36" s="16">
        <v>4262.8999999999996</v>
      </c>
      <c r="HJ36" s="16">
        <f t="shared" si="52"/>
        <v>135000</v>
      </c>
      <c r="HK36" s="16">
        <v>1.9189000000000001</v>
      </c>
      <c r="HL36" s="16">
        <v>660.93</v>
      </c>
      <c r="HM36" s="16">
        <f t="shared" si="100"/>
        <v>0</v>
      </c>
      <c r="HN36" s="16">
        <v>2885.9</v>
      </c>
      <c r="HO36" s="16">
        <v>1262.0999999999999</v>
      </c>
      <c r="HP36" s="16">
        <f t="shared" si="54"/>
        <v>34465.000000000276</v>
      </c>
      <c r="HQ36" s="16">
        <v>2451.4</v>
      </c>
      <c r="HR36" s="16">
        <v>1064</v>
      </c>
      <c r="HS36" s="16">
        <f t="shared" si="55"/>
        <v>25665.000000000091</v>
      </c>
      <c r="HT36" s="16">
        <v>2123.5</v>
      </c>
      <c r="HU36" s="16">
        <v>821.28</v>
      </c>
      <c r="HV36" s="16">
        <f t="shared" si="56"/>
        <v>24864.999999999909</v>
      </c>
      <c r="HW36" s="16">
        <v>1172</v>
      </c>
      <c r="HX36" s="16">
        <v>515.15</v>
      </c>
      <c r="HY36" s="16">
        <f t="shared" si="57"/>
        <v>26765</v>
      </c>
      <c r="HZ36" s="16">
        <v>112660</v>
      </c>
      <c r="IA36" s="16">
        <v>66661</v>
      </c>
      <c r="IB36" s="16">
        <f t="shared" si="58"/>
        <v>6740</v>
      </c>
      <c r="IC36" s="16"/>
      <c r="ID36" s="16"/>
      <c r="IE36" s="16">
        <f t="shared" si="59"/>
        <v>0</v>
      </c>
      <c r="IF36" s="16"/>
      <c r="IG36" s="16"/>
      <c r="IH36" s="128">
        <f t="shared" si="1"/>
        <v>16500</v>
      </c>
      <c r="II36" s="211">
        <f t="shared" si="124"/>
        <v>-2.7648638933897018E-10</v>
      </c>
      <c r="IJ36" s="16"/>
      <c r="IK36" s="16"/>
      <c r="IL36" s="16">
        <f t="shared" si="101"/>
        <v>0</v>
      </c>
      <c r="IM36" s="16"/>
      <c r="IN36" s="16"/>
      <c r="IO36" s="16">
        <f t="shared" si="102"/>
        <v>0</v>
      </c>
      <c r="IP36" s="16"/>
      <c r="IQ36" s="16"/>
      <c r="IR36" s="16">
        <f t="shared" si="103"/>
        <v>0</v>
      </c>
      <c r="IS36" s="16"/>
      <c r="IT36" s="16"/>
      <c r="IU36" s="16">
        <f t="shared" si="104"/>
        <v>0</v>
      </c>
      <c r="IV36" s="16"/>
      <c r="IW36" s="16"/>
      <c r="IX36" s="16">
        <f t="shared" si="105"/>
        <v>0</v>
      </c>
      <c r="IY36" s="16"/>
      <c r="IZ36" s="16"/>
      <c r="JA36" s="16">
        <f t="shared" si="106"/>
        <v>0</v>
      </c>
      <c r="JB36" s="16"/>
      <c r="JC36" s="16"/>
      <c r="JD36" s="16">
        <f t="shared" si="107"/>
        <v>0</v>
      </c>
      <c r="JE36" s="16"/>
      <c r="JF36" s="16"/>
      <c r="JG36" s="16">
        <f t="shared" si="108"/>
        <v>0</v>
      </c>
      <c r="JH36" s="16"/>
      <c r="JI36" s="16"/>
      <c r="JJ36" s="16">
        <f t="shared" si="109"/>
        <v>0</v>
      </c>
      <c r="JK36" s="16"/>
      <c r="JL36" s="16"/>
      <c r="JM36" s="16">
        <f t="shared" si="110"/>
        <v>0</v>
      </c>
      <c r="JN36" s="16"/>
      <c r="JO36" s="16"/>
      <c r="JP36" s="16">
        <f t="shared" si="111"/>
        <v>0</v>
      </c>
      <c r="JQ36" s="16"/>
      <c r="JR36" s="16"/>
      <c r="JS36" s="16">
        <f t="shared" si="112"/>
        <v>0</v>
      </c>
      <c r="JT36" s="16"/>
      <c r="JU36" s="16"/>
      <c r="JV36" s="16">
        <f t="shared" si="113"/>
        <v>0</v>
      </c>
      <c r="JW36" s="16"/>
      <c r="JX36" s="16"/>
      <c r="JY36" s="16">
        <f t="shared" si="114"/>
        <v>0</v>
      </c>
      <c r="JZ36" s="16"/>
      <c r="KA36" s="16"/>
      <c r="KB36" s="16">
        <f t="shared" si="115"/>
        <v>0</v>
      </c>
      <c r="KC36" s="16"/>
      <c r="KD36" s="16"/>
      <c r="KE36" s="16">
        <f t="shared" si="116"/>
        <v>0</v>
      </c>
      <c r="KG36" s="151">
        <f t="shared" si="61"/>
        <v>41205</v>
      </c>
    </row>
    <row r="37" spans="1:293" x14ac:dyDescent="0.25">
      <c r="A37" s="35">
        <v>31</v>
      </c>
      <c r="B37" s="38">
        <v>4440.4399999999996</v>
      </c>
      <c r="C37" s="38">
        <f t="shared" si="3"/>
        <v>10.460000000000036</v>
      </c>
      <c r="D37" s="38">
        <f t="shared" si="4"/>
        <v>334720.00000000116</v>
      </c>
      <c r="E37" s="38">
        <v>893.61</v>
      </c>
      <c r="F37" s="38">
        <f t="shared" si="5"/>
        <v>70080.000000001746</v>
      </c>
      <c r="G37" s="38">
        <f t="shared" si="6"/>
        <v>404800.00000000291</v>
      </c>
      <c r="H37" s="37"/>
      <c r="I37" s="39"/>
      <c r="J37" s="42"/>
      <c r="K37" s="37">
        <f>IF(J37&lt;=0,0,(J37/SQRT(J37^2+(I37-I36)^2)))</f>
        <v>0</v>
      </c>
      <c r="L37" s="40">
        <v>13708000</v>
      </c>
      <c r="M37" s="40"/>
      <c r="N37" s="37">
        <f t="shared" si="82"/>
        <v>400000</v>
      </c>
      <c r="O37" s="37">
        <v>11151</v>
      </c>
      <c r="P37" s="37"/>
      <c r="Q37" s="37">
        <f t="shared" si="119"/>
        <v>17000</v>
      </c>
      <c r="R37" s="37">
        <f>IF(Q37&lt;=0,0,(Q37/SQRT(Q37^2+(P37-P36)^2)))</f>
        <v>1</v>
      </c>
      <c r="S37" s="37">
        <v>11237650.720000001</v>
      </c>
      <c r="T37" s="37">
        <f t="shared" si="8"/>
        <v>332.10000000149012</v>
      </c>
      <c r="U37" s="37">
        <v>1523790.61</v>
      </c>
      <c r="V37" s="37">
        <f>IF((U37-U36)&lt;=0,0,(U37-U36))</f>
        <v>0</v>
      </c>
      <c r="W37" s="37">
        <v>3989.7</v>
      </c>
      <c r="X37" s="37">
        <f t="shared" si="96"/>
        <v>16597.89999999851</v>
      </c>
      <c r="Y37" s="183"/>
      <c r="Z37" s="183"/>
      <c r="AA37" s="37">
        <v>787820</v>
      </c>
      <c r="AB37" s="37">
        <f t="shared" si="10"/>
        <v>70</v>
      </c>
      <c r="AC37" s="37">
        <v>4158.1000000000004</v>
      </c>
      <c r="AD37" s="37"/>
      <c r="AE37" s="37">
        <f t="shared" si="121"/>
        <v>8900.0000000005457</v>
      </c>
      <c r="AF37" s="37">
        <f>IF(AE37&lt;=0,0,(AE37/SQRT(AE37^2+(AD37-AD36)^2)))</f>
        <v>1</v>
      </c>
      <c r="AG37" s="37">
        <v>9064.2999999999993</v>
      </c>
      <c r="AH37" s="37"/>
      <c r="AI37" s="37">
        <f t="shared" si="12"/>
        <v>17683.119999998544</v>
      </c>
      <c r="AJ37" s="37">
        <f t="shared" si="13"/>
        <v>1</v>
      </c>
      <c r="AK37" s="37">
        <f t="shared" si="14"/>
        <v>43513.119999999093</v>
      </c>
      <c r="AL37" s="42">
        <v>10939</v>
      </c>
      <c r="AM37" s="42"/>
      <c r="AN37" s="37">
        <f t="shared" si="62"/>
        <v>5133.1199999999553</v>
      </c>
      <c r="AO37" s="37">
        <f>IF(AN37&lt;=0,0,(AN37/SQRT(AN37^2+(AM37-AM36)^2)))</f>
        <v>1</v>
      </c>
      <c r="AP37" s="37">
        <v>8482.7000000000007</v>
      </c>
      <c r="AQ37" s="37"/>
      <c r="AR37" s="37">
        <f t="shared" si="15"/>
        <v>8900.0000000014552</v>
      </c>
      <c r="AS37" s="37">
        <f>IF(AR37&lt;=0,0,(AR37/SQRT(AR37^2+(AQ37-AQ36)^2)))</f>
        <v>1</v>
      </c>
      <c r="AT37" s="183"/>
      <c r="AU37" s="183"/>
      <c r="AV37" s="183"/>
      <c r="AW37" s="183"/>
      <c r="AX37" s="37">
        <v>486908.4</v>
      </c>
      <c r="AY37" s="37"/>
      <c r="AZ37" s="37">
        <f t="shared" si="16"/>
        <v>367.20000000001164</v>
      </c>
      <c r="BA37" s="37">
        <v>151692.79999999999</v>
      </c>
      <c r="BB37" s="37"/>
      <c r="BC37" s="37">
        <f t="shared" si="17"/>
        <v>615.56999999997788</v>
      </c>
      <c r="BD37" s="37">
        <f>AN37+AR37+AZ37+BC37</f>
        <v>15015.8900000014</v>
      </c>
      <c r="BE37" s="43">
        <v>1922</v>
      </c>
      <c r="BF37" s="43">
        <v>1060.0999999999999</v>
      </c>
      <c r="BG37" s="37">
        <f t="shared" si="18"/>
        <v>1799.9999999999545</v>
      </c>
      <c r="BH37" s="44">
        <v>8979</v>
      </c>
      <c r="BI37" s="44">
        <v>5776.5</v>
      </c>
      <c r="BJ37" s="37">
        <f t="shared" si="19"/>
        <v>9700.0000000007276</v>
      </c>
      <c r="BK37" s="40">
        <v>1593800</v>
      </c>
      <c r="BL37" s="40">
        <f t="shared" si="88"/>
        <v>4500</v>
      </c>
      <c r="BM37" s="40">
        <v>875.24</v>
      </c>
      <c r="BN37" s="37">
        <f t="shared" si="20"/>
        <v>659.99999999996817</v>
      </c>
      <c r="BO37" s="186"/>
      <c r="BP37" s="183">
        <f t="shared" si="21"/>
        <v>0</v>
      </c>
      <c r="BQ37" s="40">
        <v>827.85</v>
      </c>
      <c r="BR37" s="37">
        <f t="shared" si="63"/>
        <v>790.00000000007731</v>
      </c>
      <c r="BS37" s="37">
        <v>99871.74</v>
      </c>
      <c r="BT37" s="37">
        <f t="shared" si="22"/>
        <v>226.41999999999825</v>
      </c>
      <c r="BU37" s="42">
        <v>2777900</v>
      </c>
      <c r="BV37" s="42"/>
      <c r="BW37" s="37">
        <f t="shared" si="23"/>
        <v>8500</v>
      </c>
      <c r="BX37" s="37">
        <f>IF(BW37&lt;=0,0,(BW37/SQRT(BW37^2+(BV37-BV36)^2)))</f>
        <v>1</v>
      </c>
      <c r="BY37" s="43">
        <v>351.16</v>
      </c>
      <c r="BZ37" s="43"/>
      <c r="CA37" s="37">
        <f t="shared" si="117"/>
        <v>900.00000000003411</v>
      </c>
      <c r="CB37" s="37">
        <f t="shared" si="64"/>
        <v>1</v>
      </c>
      <c r="CC37" s="37">
        <v>654260</v>
      </c>
      <c r="CD37" s="37">
        <f t="shared" si="25"/>
        <v>2550</v>
      </c>
      <c r="CE37" s="41">
        <v>1223500</v>
      </c>
      <c r="CF37" s="37">
        <f t="shared" si="26"/>
        <v>5400</v>
      </c>
      <c r="CG37" s="37">
        <v>72811</v>
      </c>
      <c r="CH37" s="37">
        <f t="shared" si="65"/>
        <v>0.39999999999417923</v>
      </c>
      <c r="CI37" s="40">
        <v>12895</v>
      </c>
      <c r="CJ37" s="40"/>
      <c r="CK37" s="37">
        <f t="shared" si="66"/>
        <v>17183.119999999966</v>
      </c>
      <c r="CL37" s="37">
        <f t="shared" si="27"/>
        <v>1</v>
      </c>
      <c r="CM37" s="37">
        <v>3608.1</v>
      </c>
      <c r="CN37" s="37"/>
      <c r="CO37" s="37">
        <f t="shared" si="28"/>
        <v>8683.1199999999099</v>
      </c>
      <c r="CP37" s="37">
        <f>IF(CO37&lt;=0,0,(CO37/SQRT(CO37^2+(CN37-CN36)^2)))</f>
        <v>1</v>
      </c>
      <c r="CQ37" s="39">
        <v>202050</v>
      </c>
      <c r="CR37" s="39"/>
      <c r="CS37" s="37">
        <f t="shared" si="67"/>
        <v>7083.12</v>
      </c>
      <c r="CT37" s="37">
        <f t="shared" si="68"/>
        <v>1</v>
      </c>
      <c r="CU37" s="37">
        <v>3461800</v>
      </c>
      <c r="CV37" s="41"/>
      <c r="CW37" s="38">
        <f t="shared" si="29"/>
        <v>16600</v>
      </c>
      <c r="CX37" s="37">
        <f t="shared" si="91"/>
        <v>1</v>
      </c>
      <c r="CY37" s="37">
        <v>1820100</v>
      </c>
      <c r="CZ37" s="37"/>
      <c r="DA37" s="37">
        <f t="shared" si="123"/>
        <v>8700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2"/>
        <v>-66749.35999999987</v>
      </c>
      <c r="DH37" s="37">
        <f t="shared" si="33"/>
        <v>445313.11999999906</v>
      </c>
      <c r="DI37" s="46"/>
      <c r="DJ37" s="46"/>
      <c r="DK37" s="47"/>
      <c r="DL37" s="47"/>
      <c r="DM37" s="37"/>
      <c r="DN37" s="37"/>
      <c r="DO37" s="37"/>
      <c r="DP37" s="37"/>
      <c r="DQ37" s="50">
        <v>3525400</v>
      </c>
      <c r="DR37" s="49">
        <f t="shared" si="69"/>
        <v>11600</v>
      </c>
      <c r="DS37" s="50">
        <v>3907100</v>
      </c>
      <c r="DT37" s="49">
        <f t="shared" si="70"/>
        <v>16600</v>
      </c>
      <c r="DU37" s="51">
        <v>8017.4</v>
      </c>
      <c r="DV37" s="51">
        <v>4495.3999999999996</v>
      </c>
      <c r="DW37" s="37">
        <f t="shared" si="93"/>
        <v>4599.9999999994543</v>
      </c>
      <c r="DX37" s="52">
        <v>13209</v>
      </c>
      <c r="DY37" s="52">
        <v>8423.2999999999993</v>
      </c>
      <c r="DZ37" s="37">
        <f t="shared" si="34"/>
        <v>7083.12</v>
      </c>
      <c r="EA37" s="49">
        <v>30265</v>
      </c>
      <c r="EB37" s="49">
        <v>21.033999999999999</v>
      </c>
      <c r="EC37" s="37">
        <f t="shared" si="35"/>
        <v>24243.119999999999</v>
      </c>
      <c r="ED37" s="53">
        <f t="shared" si="36"/>
        <v>35926.239999999452</v>
      </c>
      <c r="EE37" s="49">
        <v>45715</v>
      </c>
      <c r="EF37" s="49">
        <v>29.678999999999998</v>
      </c>
      <c r="EG37" s="37">
        <f t="shared" si="37"/>
        <v>28243.119999999999</v>
      </c>
      <c r="EH37" s="51">
        <v>13167</v>
      </c>
      <c r="EI37" s="51">
        <v>1.8058000000000001</v>
      </c>
      <c r="EJ37" s="37">
        <f t="shared" si="38"/>
        <v>12083.12</v>
      </c>
      <c r="EK37" s="37">
        <v>801.42</v>
      </c>
      <c r="EL37" s="40">
        <v>1148.3</v>
      </c>
      <c r="EM37" s="37">
        <f t="shared" si="71"/>
        <v>860.00000000001364</v>
      </c>
      <c r="EN37" s="54">
        <f t="shared" si="72"/>
        <v>41186.240000000013</v>
      </c>
      <c r="EO37" s="48">
        <v>13069</v>
      </c>
      <c r="EP37" s="48">
        <v>4568.3999999999996</v>
      </c>
      <c r="EQ37" s="37">
        <f t="shared" si="73"/>
        <v>7203.1200000000044</v>
      </c>
      <c r="ER37" s="48">
        <v>9561.7999999999993</v>
      </c>
      <c r="ES37" s="55">
        <v>3925.4</v>
      </c>
      <c r="ET37" s="49">
        <f t="shared" si="99"/>
        <v>17500</v>
      </c>
      <c r="EU37" s="48">
        <v>3675.3</v>
      </c>
      <c r="EV37" s="48">
        <v>1306.3</v>
      </c>
      <c r="EW37" s="49">
        <f t="shared" si="40"/>
        <v>8683.1200000003646</v>
      </c>
      <c r="EX37" s="48">
        <v>13622</v>
      </c>
      <c r="EY37" s="48">
        <v>1.5822000000000001</v>
      </c>
      <c r="EZ37" s="37">
        <f t="shared" si="41"/>
        <v>11083.12</v>
      </c>
      <c r="FA37" s="48">
        <f t="shared" si="74"/>
        <v>-21750.360000000372</v>
      </c>
      <c r="FB37" s="48">
        <v>36745202</v>
      </c>
      <c r="FC37" s="49">
        <f>IF((FB37-FB36)&lt;=0,0,(FB37-FB36))</f>
        <v>22719</v>
      </c>
      <c r="FD37" s="48">
        <f t="shared" si="75"/>
        <v>46169.360000000415</v>
      </c>
      <c r="FE37" s="153">
        <v>17150</v>
      </c>
      <c r="FF37" s="154">
        <v>6107</v>
      </c>
      <c r="FG37" s="37">
        <f t="shared" si="76"/>
        <v>9169.7899999999972</v>
      </c>
      <c r="FH37" s="48">
        <v>8917.7000000000007</v>
      </c>
      <c r="FI37" s="48">
        <v>3.4436</v>
      </c>
      <c r="FJ37" s="49">
        <f t="shared" si="42"/>
        <v>17789.789999999997</v>
      </c>
      <c r="FK37" s="48"/>
      <c r="FL37" s="58">
        <v>206.67</v>
      </c>
      <c r="FM37" s="48">
        <f t="shared" si="95"/>
        <v>-83.123333333331786</v>
      </c>
      <c r="FN37" s="48">
        <v>16731</v>
      </c>
      <c r="FO37" s="48">
        <v>0.84540000000000004</v>
      </c>
      <c r="FP37" s="37">
        <f t="shared" si="77"/>
        <v>11289.79</v>
      </c>
      <c r="FQ37" s="48">
        <v>59195</v>
      </c>
      <c r="FR37" s="48">
        <v>14.32</v>
      </c>
      <c r="FS37" s="37">
        <f>IF((FQ37-FQ36)*1000&lt;=0,0,(FQ37-FQ36)*1000)</f>
        <v>38000</v>
      </c>
      <c r="FT37" s="48">
        <f t="shared" si="78"/>
        <v>-249.36999999999534</v>
      </c>
      <c r="FU37" s="48">
        <f t="shared" si="79"/>
        <v>38249.369999999995</v>
      </c>
      <c r="FV37" s="44">
        <v>4675400</v>
      </c>
      <c r="FW37" s="44">
        <v>1483200</v>
      </c>
      <c r="FX37" s="37">
        <f t="shared" si="44"/>
        <v>36000</v>
      </c>
      <c r="FY37" s="56">
        <v>3458.1</v>
      </c>
      <c r="FZ37" s="56">
        <v>2.1286</v>
      </c>
      <c r="GA37" s="37">
        <f t="shared" si="45"/>
        <v>9580.0000000000909</v>
      </c>
      <c r="GB37" s="56">
        <v>822.27</v>
      </c>
      <c r="GC37" s="56">
        <v>920.97</v>
      </c>
      <c r="GD37" s="37">
        <f t="shared" si="46"/>
        <v>1039.9999999999636</v>
      </c>
      <c r="GE37" s="56">
        <v>10169</v>
      </c>
      <c r="GF37" s="63">
        <v>3.4609999999999999</v>
      </c>
      <c r="GG37" s="37">
        <f t="shared" si="47"/>
        <v>9299.9999999999545</v>
      </c>
      <c r="GH37" s="48">
        <v>1974.7</v>
      </c>
      <c r="GI37" s="56">
        <v>1688.2</v>
      </c>
      <c r="GJ37" s="38">
        <f t="shared" si="48"/>
        <v>1700.0000000000455</v>
      </c>
      <c r="GK37" s="56">
        <v>1489.1</v>
      </c>
      <c r="GL37" s="44">
        <v>1128.4000000000001</v>
      </c>
      <c r="GM37" s="38">
        <f t="shared" si="49"/>
        <v>0</v>
      </c>
      <c r="GN37" s="57">
        <v>208240</v>
      </c>
      <c r="GO37" s="57">
        <v>184450</v>
      </c>
      <c r="GP37" s="38">
        <f t="shared" si="98"/>
        <v>0</v>
      </c>
      <c r="GQ37" s="38">
        <v>271870</v>
      </c>
      <c r="GR37" s="38">
        <v>267560</v>
      </c>
      <c r="GS37" s="38">
        <f t="shared" si="80"/>
        <v>320</v>
      </c>
      <c r="GT37" s="178"/>
      <c r="GU37" s="144">
        <f>DailyMei!B36-DailyMei!N36-DailyMei!V36-DailyMei!Y36-DailyMei!Z36-DailyMei!AA36-DailyMei!AB36-DailyMei!AC36-DailyMei!AD36-DailyMei!AE36-DailyMei!AK36-DailyMei!AO36-DailyMei!AS36-DailyMei!AY36-DailyMei!BD36+DailyMei!BU36-DailyMei!BG36-DailyMei!BT36-DailyMei!AF36-DailyMei!AG36</f>
        <v>2.0000001968583092E-2</v>
      </c>
      <c r="GV37" s="59">
        <v>1246.82</v>
      </c>
      <c r="GW37" s="60">
        <f t="shared" si="50"/>
        <v>83.121333333333325</v>
      </c>
      <c r="GX37" s="61">
        <v>83.12</v>
      </c>
      <c r="GY37" s="140"/>
      <c r="GZ37" s="62"/>
      <c r="HA37" s="62"/>
      <c r="HB37" s="62"/>
      <c r="HC37" s="62"/>
      <c r="HD37" s="74"/>
      <c r="HE37" s="24"/>
      <c r="HG37" s="213">
        <v>31</v>
      </c>
      <c r="HH37" s="16">
        <v>11174</v>
      </c>
      <c r="HI37" s="16">
        <v>4309.2</v>
      </c>
      <c r="HJ37" s="16">
        <f t="shared" si="52"/>
        <v>118000</v>
      </c>
      <c r="HK37" s="16">
        <v>1.9189000000000001</v>
      </c>
      <c r="HL37" s="16">
        <v>660.93</v>
      </c>
      <c r="HM37" s="16">
        <f t="shared" si="100"/>
        <v>0</v>
      </c>
      <c r="HN37" s="16">
        <v>2916.9</v>
      </c>
      <c r="HO37" s="16">
        <v>1275.3</v>
      </c>
      <c r="HP37" s="16">
        <f t="shared" si="54"/>
        <v>31352.5</v>
      </c>
      <c r="HQ37" s="16">
        <v>2479.1</v>
      </c>
      <c r="HR37" s="16">
        <v>1075.2</v>
      </c>
      <c r="HS37" s="16">
        <f t="shared" si="55"/>
        <v>28052.499999999818</v>
      </c>
      <c r="HT37" s="16">
        <v>2131.9</v>
      </c>
      <c r="HU37" s="16">
        <v>824.85</v>
      </c>
      <c r="HV37" s="16">
        <f t="shared" si="56"/>
        <v>8752.5000000000909</v>
      </c>
      <c r="HW37" s="16">
        <v>1198.5999999999999</v>
      </c>
      <c r="HX37" s="16">
        <v>526.12</v>
      </c>
      <c r="HY37" s="16">
        <f t="shared" si="57"/>
        <v>26952.499999999909</v>
      </c>
      <c r="HZ37" s="16">
        <v>118950</v>
      </c>
      <c r="IA37" s="16">
        <v>70316</v>
      </c>
      <c r="IB37" s="16">
        <f t="shared" si="58"/>
        <v>6290</v>
      </c>
      <c r="IC37" s="16"/>
      <c r="ID37" s="16"/>
      <c r="IE37" s="16">
        <f t="shared" si="59"/>
        <v>0</v>
      </c>
      <c r="IF37" s="16"/>
      <c r="IG37" s="16"/>
      <c r="IH37" s="128">
        <f t="shared" si="1"/>
        <v>16600</v>
      </c>
      <c r="II37" s="211">
        <f t="shared" si="124"/>
        <v>1.7462298274040222E-10</v>
      </c>
      <c r="IJ37" s="16"/>
      <c r="IK37" s="16"/>
      <c r="IL37" s="16">
        <f t="shared" si="101"/>
        <v>0</v>
      </c>
      <c r="IM37" s="16"/>
      <c r="IN37" s="16"/>
      <c r="IO37" s="16">
        <f t="shared" si="102"/>
        <v>0</v>
      </c>
      <c r="IP37" s="16"/>
      <c r="IQ37" s="16"/>
      <c r="IR37" s="16">
        <f t="shared" si="103"/>
        <v>0</v>
      </c>
      <c r="IS37" s="16"/>
      <c r="IT37" s="16"/>
      <c r="IU37" s="16">
        <f t="shared" si="104"/>
        <v>0</v>
      </c>
      <c r="IV37" s="16"/>
      <c r="IW37" s="16"/>
      <c r="IX37" s="16">
        <f t="shared" si="105"/>
        <v>0</v>
      </c>
      <c r="IY37" s="16"/>
      <c r="IZ37" s="16"/>
      <c r="JA37" s="16">
        <f t="shared" si="106"/>
        <v>0</v>
      </c>
      <c r="JB37" s="16"/>
      <c r="JC37" s="16"/>
      <c r="JD37" s="16">
        <f t="shared" si="107"/>
        <v>0</v>
      </c>
      <c r="JE37" s="16"/>
      <c r="JF37" s="16"/>
      <c r="JG37" s="16">
        <f t="shared" si="108"/>
        <v>0</v>
      </c>
      <c r="JH37" s="16"/>
      <c r="JI37" s="16"/>
      <c r="JJ37" s="16">
        <f t="shared" si="109"/>
        <v>0</v>
      </c>
      <c r="JK37" s="16"/>
      <c r="JL37" s="16"/>
      <c r="JM37" s="16">
        <f t="shared" si="110"/>
        <v>0</v>
      </c>
      <c r="JN37" s="16"/>
      <c r="JO37" s="16"/>
      <c r="JP37" s="16">
        <f t="shared" si="111"/>
        <v>0</v>
      </c>
      <c r="JQ37" s="16"/>
      <c r="JR37" s="16"/>
      <c r="JS37" s="16">
        <f t="shared" si="112"/>
        <v>0</v>
      </c>
      <c r="JT37" s="16"/>
      <c r="JU37" s="16"/>
      <c r="JV37" s="16">
        <f t="shared" si="113"/>
        <v>0</v>
      </c>
      <c r="JW37" s="16"/>
      <c r="JX37" s="16"/>
      <c r="JY37" s="16">
        <f t="shared" si="114"/>
        <v>0</v>
      </c>
      <c r="JZ37" s="16"/>
      <c r="KA37" s="16"/>
      <c r="KB37" s="16">
        <f t="shared" si="115"/>
        <v>0</v>
      </c>
      <c r="KC37" s="16"/>
      <c r="KD37" s="16"/>
      <c r="KE37" s="16">
        <f t="shared" si="116"/>
        <v>0</v>
      </c>
      <c r="KG37" s="151">
        <f t="shared" si="61"/>
        <v>37642.500000000175</v>
      </c>
    </row>
    <row r="38" spans="1:293" ht="15.75" thickBot="1" x14ac:dyDescent="0.3">
      <c r="A38" s="35">
        <v>1</v>
      </c>
      <c r="B38" s="38">
        <v>4451.2700000000004</v>
      </c>
      <c r="C38" s="38">
        <f t="shared" si="3"/>
        <v>10.830000000000837</v>
      </c>
      <c r="D38" s="38">
        <f t="shared" si="4"/>
        <v>346560.00000002678</v>
      </c>
      <c r="E38" s="38">
        <v>895.84</v>
      </c>
      <c r="F38" s="38">
        <f t="shared" si="5"/>
        <v>71360.000000000582</v>
      </c>
      <c r="G38" s="38">
        <f t="shared" si="6"/>
        <v>417920.00000002736</v>
      </c>
      <c r="H38" s="37"/>
      <c r="I38" s="39"/>
      <c r="J38" s="42"/>
      <c r="K38" s="37">
        <f>IF(J38&lt;=0,0,(J38/SQRT(J38^2+(I38-I37)^2)))</f>
        <v>0</v>
      </c>
      <c r="L38" s="40">
        <v>13750000</v>
      </c>
      <c r="M38" s="40"/>
      <c r="N38" s="37">
        <f t="shared" si="82"/>
        <v>420000</v>
      </c>
      <c r="O38" s="37">
        <v>11169.9</v>
      </c>
      <c r="P38" s="37"/>
      <c r="Q38" s="37">
        <f t="shared" si="119"/>
        <v>18899.999999999636</v>
      </c>
      <c r="R38" s="37">
        <f>IF(Q38&lt;=0,0,(Q38/SQRT(Q38^2+(P38-P37)^2)))</f>
        <v>1</v>
      </c>
      <c r="S38" s="37">
        <v>11237979.85</v>
      </c>
      <c r="T38" s="37">
        <f t="shared" si="8"/>
        <v>329.12999999895692</v>
      </c>
      <c r="U38" s="37">
        <v>1523790.61</v>
      </c>
      <c r="V38" s="37">
        <f>IF((U38-U37)&lt;=0,0,(U38-U37))</f>
        <v>0</v>
      </c>
      <c r="W38" s="37">
        <v>3995.7</v>
      </c>
      <c r="X38" s="37">
        <f t="shared" si="96"/>
        <v>18490.870000000679</v>
      </c>
      <c r="Y38" s="183"/>
      <c r="Z38" s="183"/>
      <c r="AA38" s="37">
        <v>787900</v>
      </c>
      <c r="AB38" s="37">
        <f t="shared" si="10"/>
        <v>80</v>
      </c>
      <c r="AC38" s="37">
        <v>4166.6000000000004</v>
      </c>
      <c r="AD38" s="37"/>
      <c r="AE38" s="37">
        <f t="shared" si="121"/>
        <v>8500</v>
      </c>
      <c r="AF38" s="37">
        <f>IF(AE38&lt;=0,0,(AE38/SQRT(AE38^2+(AD38-AD37)^2)))</f>
        <v>1</v>
      </c>
      <c r="AG38" s="37">
        <v>9080.9</v>
      </c>
      <c r="AH38" s="37"/>
      <c r="AI38" s="37">
        <f t="shared" si="12"/>
        <v>16481.790000000365</v>
      </c>
      <c r="AJ38" s="37">
        <f t="shared" si="13"/>
        <v>1</v>
      </c>
      <c r="AK38" s="37">
        <f t="shared" si="14"/>
        <v>43801.79</v>
      </c>
      <c r="AL38" s="42">
        <v>10950</v>
      </c>
      <c r="AM38" s="42"/>
      <c r="AN38" s="37">
        <f t="shared" si="62"/>
        <v>5331.7900000000236</v>
      </c>
      <c r="AO38" s="37">
        <f>IF(AN38&lt;=0,0,(AN38/SQRT(AN38^2+(AM38-AM37)^2)))</f>
        <v>1</v>
      </c>
      <c r="AP38" s="37">
        <v>8490.9</v>
      </c>
      <c r="AQ38" s="37"/>
      <c r="AR38" s="37">
        <f t="shared" si="15"/>
        <v>8199.9999999989086</v>
      </c>
      <c r="AS38" s="37">
        <f>IF(AR38&lt;=0,0,(AR38/SQRT(AR38^2+(AQ38-AQ37)^2)))</f>
        <v>1</v>
      </c>
      <c r="AT38" s="183"/>
      <c r="AU38" s="183"/>
      <c r="AV38" s="183"/>
      <c r="AW38" s="183"/>
      <c r="AX38" s="37">
        <v>487314.68</v>
      </c>
      <c r="AY38" s="37"/>
      <c r="AZ38" s="37">
        <f t="shared" si="16"/>
        <v>406.27999999996973</v>
      </c>
      <c r="BA38" s="37">
        <v>152299.71</v>
      </c>
      <c r="BB38" s="37"/>
      <c r="BC38" s="37">
        <f t="shared" si="17"/>
        <v>606.91000000000349</v>
      </c>
      <c r="BD38" s="37">
        <f>AN38+AR38+AZ38+BC38</f>
        <v>14544.979999998905</v>
      </c>
      <c r="BE38" s="43">
        <v>1923.9</v>
      </c>
      <c r="BF38" s="43">
        <v>1061.4000000000001</v>
      </c>
      <c r="BG38" s="37">
        <f t="shared" si="18"/>
        <v>1900.0000000000909</v>
      </c>
      <c r="BH38" s="44">
        <v>8988.7999999999993</v>
      </c>
      <c r="BI38" s="44">
        <v>5783.1</v>
      </c>
      <c r="BJ38" s="37">
        <f t="shared" si="19"/>
        <v>9799.9999999992724</v>
      </c>
      <c r="BK38" s="40">
        <v>1598200</v>
      </c>
      <c r="BL38" s="40">
        <f t="shared" si="88"/>
        <v>4400</v>
      </c>
      <c r="BM38" s="40">
        <v>875.91</v>
      </c>
      <c r="BN38" s="37">
        <f t="shared" si="20"/>
        <v>669.99999999995907</v>
      </c>
      <c r="BO38" s="186"/>
      <c r="BP38" s="183">
        <f t="shared" si="21"/>
        <v>0</v>
      </c>
      <c r="BQ38" s="40">
        <v>828.33</v>
      </c>
      <c r="BR38" s="37">
        <f t="shared" si="63"/>
        <v>480.00000000001819</v>
      </c>
      <c r="BS38" s="37">
        <v>100099.68</v>
      </c>
      <c r="BT38" s="37">
        <f t="shared" si="22"/>
        <v>227.93999999998778</v>
      </c>
      <c r="BU38" s="42">
        <v>2786800</v>
      </c>
      <c r="BV38" s="42"/>
      <c r="BW38" s="37">
        <f t="shared" si="23"/>
        <v>8900</v>
      </c>
      <c r="BX38" s="37">
        <f>IF(BW38&lt;=0,0,(BW38/SQRT(BW38^2+(BV38-BV37)^2)))</f>
        <v>1</v>
      </c>
      <c r="BY38" s="43">
        <v>352.04</v>
      </c>
      <c r="BZ38" s="43"/>
      <c r="CA38" s="37">
        <f t="shared" si="117"/>
        <v>879.99999999999545</v>
      </c>
      <c r="CB38" s="37">
        <f t="shared" si="64"/>
        <v>1</v>
      </c>
      <c r="CC38" s="37">
        <v>656920</v>
      </c>
      <c r="CD38" s="37">
        <f t="shared" si="25"/>
        <v>2660</v>
      </c>
      <c r="CE38" s="41">
        <v>1228900</v>
      </c>
      <c r="CF38" s="37">
        <f t="shared" si="26"/>
        <v>5400</v>
      </c>
      <c r="CG38" s="37">
        <v>72811</v>
      </c>
      <c r="CH38" s="37">
        <f t="shared" si="65"/>
        <v>0</v>
      </c>
      <c r="CI38" s="40">
        <v>12912</v>
      </c>
      <c r="CJ38" s="40"/>
      <c r="CK38" s="37">
        <f t="shared" si="66"/>
        <v>16001.790000000005</v>
      </c>
      <c r="CL38" s="37">
        <f t="shared" si="27"/>
        <v>1</v>
      </c>
      <c r="CM38" s="37">
        <v>3616.7</v>
      </c>
      <c r="CN38" s="37"/>
      <c r="CO38" s="37">
        <f t="shared" si="28"/>
        <v>8481.7899999999099</v>
      </c>
      <c r="CP38" s="37">
        <f>IF(CO38&lt;=0,0,(CO38/SQRT(CO38^2+(CN38-CN37)^2)))</f>
        <v>1</v>
      </c>
      <c r="CQ38" s="39">
        <v>208990</v>
      </c>
      <c r="CR38" s="39"/>
      <c r="CS38" s="37">
        <f t="shared" si="67"/>
        <v>6821.79</v>
      </c>
      <c r="CT38" s="37">
        <f t="shared" si="68"/>
        <v>1</v>
      </c>
      <c r="CU38" s="37">
        <f>CU37+16300</f>
        <v>3478100</v>
      </c>
      <c r="CV38" s="41"/>
      <c r="CW38" s="38">
        <f t="shared" si="29"/>
        <v>16300</v>
      </c>
      <c r="CX38" s="37">
        <f t="shared" si="91"/>
        <v>1</v>
      </c>
      <c r="CY38" s="37">
        <v>1829800</v>
      </c>
      <c r="CZ38" s="37"/>
      <c r="DA38" s="37">
        <f t="shared" si="123"/>
        <v>9700</v>
      </c>
      <c r="DB38" s="37">
        <f>IF(DA38&lt;=0,0,(DA38/SQRT(DA38^2+(CZ38-CZ37)^2)))</f>
        <v>1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2"/>
        <v>-66205.369999999923</v>
      </c>
      <c r="DH38" s="37">
        <f t="shared" si="33"/>
        <v>465701.7900000001</v>
      </c>
      <c r="DI38" s="46"/>
      <c r="DJ38" s="46"/>
      <c r="DK38" s="47"/>
      <c r="DL38" s="47"/>
      <c r="DM38" s="37"/>
      <c r="DN38" s="37"/>
      <c r="DO38" s="37"/>
      <c r="DP38" s="37"/>
      <c r="DQ38" s="50">
        <v>3534600</v>
      </c>
      <c r="DR38" s="49">
        <f t="shared" si="69"/>
        <v>9200</v>
      </c>
      <c r="DS38" s="50">
        <v>3925000</v>
      </c>
      <c r="DT38" s="49">
        <f t="shared" si="70"/>
        <v>17900</v>
      </c>
      <c r="DU38" s="51">
        <v>8021.9</v>
      </c>
      <c r="DV38" s="51">
        <v>4498.3</v>
      </c>
      <c r="DW38" s="37">
        <f t="shared" si="93"/>
        <v>4500</v>
      </c>
      <c r="DX38" s="52">
        <v>13216</v>
      </c>
      <c r="DY38" s="52">
        <v>8425.5</v>
      </c>
      <c r="DZ38" s="37">
        <f t="shared" si="34"/>
        <v>6881.79</v>
      </c>
      <c r="EA38" s="49">
        <v>30286</v>
      </c>
      <c r="EB38" s="49">
        <v>21.045000000000002</v>
      </c>
      <c r="EC38" s="37">
        <f t="shared" si="35"/>
        <v>23041.79</v>
      </c>
      <c r="ED38" s="53">
        <f t="shared" si="36"/>
        <v>34423.58</v>
      </c>
      <c r="EE38" s="49">
        <v>45743</v>
      </c>
      <c r="EF38" s="49">
        <v>29.706</v>
      </c>
      <c r="EG38" s="37">
        <f t="shared" si="37"/>
        <v>30041.79</v>
      </c>
      <c r="EH38" s="51">
        <v>13179</v>
      </c>
      <c r="EI38" s="51">
        <v>1.8085</v>
      </c>
      <c r="EJ38" s="37">
        <f t="shared" si="38"/>
        <v>11881.79</v>
      </c>
      <c r="EK38" s="37">
        <v>802.13</v>
      </c>
      <c r="EL38" s="40">
        <v>1149.2</v>
      </c>
      <c r="EM38" s="37">
        <f t="shared" si="71"/>
        <v>710.00000000003638</v>
      </c>
      <c r="EN38" s="54">
        <f t="shared" si="72"/>
        <v>42633.580000000038</v>
      </c>
      <c r="EO38" s="48">
        <v>13077</v>
      </c>
      <c r="EP38" s="48">
        <v>4574.5</v>
      </c>
      <c r="EQ38" s="37">
        <f t="shared" si="73"/>
        <v>7881.79</v>
      </c>
      <c r="ER38" s="48">
        <v>9580.9</v>
      </c>
      <c r="ES38" s="55">
        <v>3933.5</v>
      </c>
      <c r="ET38" s="49">
        <f t="shared" si="99"/>
        <v>19100.000000000364</v>
      </c>
      <c r="EU38" s="48">
        <v>3684</v>
      </c>
      <c r="EV38" s="48">
        <v>1309.3</v>
      </c>
      <c r="EW38" s="49">
        <f t="shared" si="40"/>
        <v>8581.789999999819</v>
      </c>
      <c r="EX38" s="48">
        <v>13633</v>
      </c>
      <c r="EY38" s="48">
        <v>1.5842000000000001</v>
      </c>
      <c r="EZ38" s="37">
        <f t="shared" si="41"/>
        <v>10881.79</v>
      </c>
      <c r="FA38" s="48">
        <f t="shared" si="74"/>
        <v>-22479.370000000185</v>
      </c>
      <c r="FB38" s="48">
        <v>36769168</v>
      </c>
      <c r="FC38" s="49">
        <f>IF((FB38-FB37)&lt;=0,0,(FB38-FB37))</f>
        <v>23966</v>
      </c>
      <c r="FD38" s="48">
        <f t="shared" si="75"/>
        <v>48245.370000000141</v>
      </c>
      <c r="FE38" s="153">
        <v>17158</v>
      </c>
      <c r="FF38" s="154">
        <v>6108.7</v>
      </c>
      <c r="FG38" s="37">
        <f t="shared" si="76"/>
        <v>7948.46</v>
      </c>
      <c r="FH38" s="48">
        <v>8935.5</v>
      </c>
      <c r="FI38" s="48">
        <v>3.4504000000000001</v>
      </c>
      <c r="FJ38" s="49">
        <f t="shared" si="42"/>
        <v>17748.459999999272</v>
      </c>
      <c r="FK38" s="48"/>
      <c r="FL38" s="58">
        <v>66.67</v>
      </c>
      <c r="FM38" s="48">
        <f t="shared" si="95"/>
        <v>118.20666666690947</v>
      </c>
      <c r="FN38" s="48">
        <v>16743</v>
      </c>
      <c r="FO38" s="48">
        <v>0.84699999999999998</v>
      </c>
      <c r="FP38" s="37">
        <f t="shared" si="77"/>
        <v>11948.460000000001</v>
      </c>
      <c r="FQ38" s="48">
        <v>59233</v>
      </c>
      <c r="FR38" s="48">
        <v>14.331</v>
      </c>
      <c r="FS38" s="37">
        <f>IF((FQ38-FQ37)*1000&lt;=0,0,(FQ38-FQ37)*1000)</f>
        <v>38000</v>
      </c>
      <c r="FT38" s="48">
        <f t="shared" si="78"/>
        <v>354.6200000007284</v>
      </c>
      <c r="FU38" s="48">
        <f t="shared" si="79"/>
        <v>37645.37999999927</v>
      </c>
      <c r="FV38" s="44">
        <v>4712700</v>
      </c>
      <c r="FW38" s="44">
        <v>1452100</v>
      </c>
      <c r="FX38" s="37">
        <f t="shared" si="44"/>
        <v>37300</v>
      </c>
      <c r="FY38" s="56">
        <v>3468.1</v>
      </c>
      <c r="FZ38" s="56">
        <v>2.1301999999999999</v>
      </c>
      <c r="GA38" s="37">
        <f t="shared" si="45"/>
        <v>9670</v>
      </c>
      <c r="GB38" s="56">
        <v>823.2</v>
      </c>
      <c r="GC38" s="56">
        <v>921.99</v>
      </c>
      <c r="GD38" s="37">
        <f t="shared" si="46"/>
        <v>930.00000000006366</v>
      </c>
      <c r="GE38" s="56">
        <v>10180</v>
      </c>
      <c r="GF38" s="63">
        <v>3.4691000000000001</v>
      </c>
      <c r="GG38" s="37">
        <f t="shared" si="47"/>
        <v>9200.0000000000455</v>
      </c>
      <c r="GH38" s="48">
        <v>1976.5</v>
      </c>
      <c r="GI38" s="56">
        <v>1689.9</v>
      </c>
      <c r="GJ38" s="38">
        <f t="shared" si="48"/>
        <v>1799.9999999999545</v>
      </c>
      <c r="GK38" s="56">
        <v>1489.1</v>
      </c>
      <c r="GL38" s="44">
        <v>1128.4000000000001</v>
      </c>
      <c r="GM38" s="38">
        <f t="shared" si="49"/>
        <v>0</v>
      </c>
      <c r="GN38" s="57">
        <v>208250</v>
      </c>
      <c r="GO38" s="57">
        <v>184460</v>
      </c>
      <c r="GP38" s="38">
        <f t="shared" si="98"/>
        <v>10</v>
      </c>
      <c r="GQ38" s="38">
        <v>272200</v>
      </c>
      <c r="GR38" s="38">
        <v>267790</v>
      </c>
      <c r="GS38" s="38">
        <f t="shared" si="80"/>
        <v>330</v>
      </c>
      <c r="GT38" s="178"/>
      <c r="GU38" s="144">
        <f>DailyMei!B37-DailyMei!N37-DailyMei!V37-DailyMei!Y37-DailyMei!Z37-DailyMei!AA37-DailyMei!AB37-DailyMei!AC37-DailyMei!AD37-DailyMei!AE37-DailyMei!AK37-DailyMei!AO37-DailyMei!AS37-DailyMei!AY37-DailyMei!BD37+DailyMei!BU37-DailyMei!BG37-DailyMei!BT37-DailyMei!AF37-DailyMei!AG37</f>
        <v>-4.9999970360659063E-2</v>
      </c>
      <c r="GV38" s="59">
        <v>-1773.2</v>
      </c>
      <c r="GW38" s="60">
        <f t="shared" si="50"/>
        <v>-118.21333333333334</v>
      </c>
      <c r="GX38" s="61">
        <v>-118.21</v>
      </c>
      <c r="GY38" s="140"/>
      <c r="GZ38" s="74"/>
      <c r="HA38" s="62"/>
      <c r="HB38" s="62"/>
      <c r="HC38" s="74"/>
      <c r="HD38" s="74"/>
      <c r="HE38" s="24"/>
      <c r="HG38" s="213">
        <v>1</v>
      </c>
      <c r="HH38" s="16">
        <v>11308</v>
      </c>
      <c r="HI38" s="16">
        <v>4362.5</v>
      </c>
      <c r="HJ38" s="16">
        <f t="shared" ref="HJ38" si="125">IF((HH38-HH37)&lt;=0,0,(HH38-HH37)*1000)</f>
        <v>134000</v>
      </c>
      <c r="HK38" s="16">
        <v>1.9189000000000001</v>
      </c>
      <c r="HL38" s="16">
        <v>660.93</v>
      </c>
      <c r="HM38" s="16">
        <f t="shared" si="100"/>
        <v>0</v>
      </c>
      <c r="HN38" s="16">
        <v>2950.4</v>
      </c>
      <c r="HO38" s="16">
        <v>1289.9000000000001</v>
      </c>
      <c r="HP38" s="16">
        <f t="shared" si="54"/>
        <v>33645</v>
      </c>
      <c r="HQ38" s="16">
        <v>2506.1999999999998</v>
      </c>
      <c r="HR38" s="16">
        <v>1086.4000000000001</v>
      </c>
      <c r="HS38" s="16">
        <f t="shared" si="55"/>
        <v>27244.999999999909</v>
      </c>
      <c r="HT38" s="16">
        <v>2146</v>
      </c>
      <c r="HU38" s="16">
        <v>830.84</v>
      </c>
      <c r="HV38" s="16">
        <f t="shared" si="56"/>
        <v>14244.999999999909</v>
      </c>
      <c r="HW38" s="16">
        <v>1223.9000000000001</v>
      </c>
      <c r="HX38" s="16">
        <v>536.78</v>
      </c>
      <c r="HY38" s="16">
        <f t="shared" si="57"/>
        <v>25445.000000000182</v>
      </c>
      <c r="HZ38" s="16">
        <v>134470</v>
      </c>
      <c r="IA38" s="16">
        <v>77723</v>
      </c>
      <c r="IB38" s="16">
        <f t="shared" si="58"/>
        <v>15520</v>
      </c>
      <c r="IC38" s="16"/>
      <c r="ID38" s="16"/>
      <c r="IE38" s="16">
        <f t="shared" si="59"/>
        <v>0</v>
      </c>
      <c r="IF38" s="16"/>
      <c r="IG38" s="16"/>
      <c r="IH38" s="128">
        <f t="shared" si="1"/>
        <v>17900</v>
      </c>
      <c r="II38" s="211">
        <f t="shared" si="124"/>
        <v>0</v>
      </c>
      <c r="IJ38" s="16"/>
      <c r="IK38" s="16"/>
      <c r="IL38" s="16">
        <f t="shared" si="101"/>
        <v>0</v>
      </c>
      <c r="IM38" s="16"/>
      <c r="IN38" s="16"/>
      <c r="IO38" s="16">
        <f t="shared" si="102"/>
        <v>0</v>
      </c>
      <c r="IP38" s="16"/>
      <c r="IQ38" s="16"/>
      <c r="IR38" s="16">
        <f t="shared" si="103"/>
        <v>0</v>
      </c>
      <c r="IS38" s="16"/>
      <c r="IT38" s="16"/>
      <c r="IU38" s="16">
        <f t="shared" si="104"/>
        <v>0</v>
      </c>
      <c r="IV38" s="16"/>
      <c r="IW38" s="16"/>
      <c r="IX38" s="16">
        <f t="shared" si="105"/>
        <v>0</v>
      </c>
      <c r="IY38" s="16"/>
      <c r="IZ38" s="16"/>
      <c r="JA38" s="16">
        <f t="shared" si="106"/>
        <v>0</v>
      </c>
      <c r="JB38" s="16"/>
      <c r="JC38" s="16"/>
      <c r="JD38" s="16">
        <f t="shared" si="107"/>
        <v>0</v>
      </c>
      <c r="JE38" s="16"/>
      <c r="JF38" s="16"/>
      <c r="JG38" s="16">
        <f t="shared" si="108"/>
        <v>0</v>
      </c>
      <c r="JH38" s="16"/>
      <c r="JI38" s="16"/>
      <c r="JJ38" s="16">
        <f t="shared" si="109"/>
        <v>0</v>
      </c>
      <c r="JK38" s="16"/>
      <c r="JL38" s="16"/>
      <c r="JM38" s="16">
        <f t="shared" si="110"/>
        <v>0</v>
      </c>
      <c r="JN38" s="16"/>
      <c r="JO38" s="16"/>
      <c r="JP38" s="16">
        <f t="shared" si="111"/>
        <v>0</v>
      </c>
      <c r="JQ38" s="16"/>
      <c r="JR38" s="16"/>
      <c r="JS38" s="16">
        <f t="shared" si="112"/>
        <v>0</v>
      </c>
      <c r="JT38" s="16"/>
      <c r="JU38" s="16"/>
      <c r="JV38" s="16">
        <f t="shared" si="113"/>
        <v>0</v>
      </c>
      <c r="JW38" s="16"/>
      <c r="JX38" s="16"/>
      <c r="JY38" s="16">
        <f t="shared" si="114"/>
        <v>0</v>
      </c>
      <c r="JZ38" s="16"/>
      <c r="KA38" s="16"/>
      <c r="KB38" s="16">
        <f t="shared" si="115"/>
        <v>0</v>
      </c>
      <c r="KC38" s="16"/>
      <c r="KD38" s="16"/>
      <c r="KE38" s="16">
        <f t="shared" si="116"/>
        <v>0</v>
      </c>
      <c r="KG38" s="151">
        <f t="shared" si="61"/>
        <v>49165</v>
      </c>
    </row>
    <row r="39" spans="1:293" ht="15.75" thickBot="1" x14ac:dyDescent="0.3">
      <c r="A39" s="77" t="s">
        <v>37</v>
      </c>
      <c r="B39" s="78"/>
      <c r="C39" s="78">
        <f>SUM(C8:C38)</f>
        <v>345.42000000000007</v>
      </c>
      <c r="D39" s="78">
        <f>SUM(D8:D38)</f>
        <v>11053440.000000002</v>
      </c>
      <c r="E39" s="78"/>
      <c r="F39" s="78">
        <f>SUM(F8:F38)</f>
        <v>2261120.0000000028</v>
      </c>
      <c r="G39" s="78">
        <f>SUM(G8:G38)</f>
        <v>13314560.000000004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13230000</v>
      </c>
      <c r="O39" s="79"/>
      <c r="P39" s="79"/>
      <c r="Q39" s="78">
        <f>SUM(Q8:Q38)</f>
        <v>474899.99999999965</v>
      </c>
      <c r="R39" s="79">
        <f>AVERAGE(R8:R38)</f>
        <v>1</v>
      </c>
      <c r="S39" s="79"/>
      <c r="T39" s="78">
        <f>SUM(T8:T38)</f>
        <v>6118.3600000012666</v>
      </c>
      <c r="U39" s="79"/>
      <c r="V39" s="79">
        <f>SUM(V8:V38)</f>
        <v>5621.7600000000093</v>
      </c>
      <c r="W39" s="79"/>
      <c r="X39" s="78">
        <f>SUM(X8:X38)</f>
        <v>408909.87999999837</v>
      </c>
      <c r="Y39" s="184"/>
      <c r="Z39" s="184"/>
      <c r="AA39" s="78"/>
      <c r="AB39" s="78"/>
      <c r="AC39" s="79"/>
      <c r="AD39" s="79"/>
      <c r="AE39" s="78">
        <f>SUM(AE8:AE38)</f>
        <v>191000.00000000049</v>
      </c>
      <c r="AF39" s="79">
        <f>AVERAGE(AF8:AF38)</f>
        <v>1</v>
      </c>
      <c r="AG39" s="79"/>
      <c r="AH39" s="79"/>
      <c r="AI39" s="78">
        <f>SUM(AI8:AI38)</f>
        <v>410178.49999999971</v>
      </c>
      <c r="AJ39" s="79">
        <f>AVERAGE(AJ8:AJ38)</f>
        <v>1</v>
      </c>
      <c r="AK39" s="78">
        <f>SUM(AK8:AK38)</f>
        <v>1021828.4999999995</v>
      </c>
      <c r="AL39" s="79"/>
      <c r="AM39" s="79"/>
      <c r="AN39" s="78">
        <f>SUM(AN8:AN38)</f>
        <v>177918.50000000012</v>
      </c>
      <c r="AO39" s="79">
        <f>AVERAGE(AO8:AO38)</f>
        <v>1</v>
      </c>
      <c r="AP39" s="79"/>
      <c r="AQ39" s="79"/>
      <c r="AR39" s="78">
        <f>SUM(AR8:AR38)</f>
        <v>326500</v>
      </c>
      <c r="AS39" s="79">
        <f>AVERAGE(AS8:AS38)</f>
        <v>1</v>
      </c>
      <c r="AT39" s="184"/>
      <c r="AU39" s="184"/>
      <c r="AV39" s="184"/>
      <c r="AW39" s="184"/>
      <c r="AX39" s="79"/>
      <c r="AY39" s="79"/>
      <c r="AZ39" s="78">
        <f>SUM(AZ8:AZ38)</f>
        <v>12506.559999999998</v>
      </c>
      <c r="BA39" s="79"/>
      <c r="BB39" s="79"/>
      <c r="BC39" s="78">
        <f>SUM(BC8:BC38)</f>
        <v>18949.25</v>
      </c>
      <c r="BD39" s="78">
        <f>SUM(BD8:BD38)</f>
        <v>535874.31000000017</v>
      </c>
      <c r="BE39" s="80"/>
      <c r="BF39" s="81"/>
      <c r="BG39" s="78">
        <f>SUM(BG8:BG38)</f>
        <v>63100.000000000131</v>
      </c>
      <c r="BH39" s="78"/>
      <c r="BI39" s="78"/>
      <c r="BJ39" s="78"/>
      <c r="BK39" s="80"/>
      <c r="BL39" s="78">
        <f>SUM(BL8:BL38)</f>
        <v>124900</v>
      </c>
      <c r="BM39" s="80"/>
      <c r="BN39" s="78">
        <f>SUM(BN8:BN38)</f>
        <v>20069.999999999938</v>
      </c>
      <c r="BO39" s="187"/>
      <c r="BP39" s="188">
        <f>SUM(BP8:BP38)</f>
        <v>0</v>
      </c>
      <c r="BQ39" s="79"/>
      <c r="BR39" s="78">
        <f>SUM(BR8:BR38)</f>
        <v>18389.999999999985</v>
      </c>
      <c r="BS39" s="78"/>
      <c r="BT39" s="78"/>
      <c r="BU39" s="79"/>
      <c r="BV39" s="79"/>
      <c r="BW39" s="78">
        <f>SUM(BW8:BW38)</f>
        <v>254000</v>
      </c>
      <c r="BX39" s="79">
        <f>AVERAGE(BX8:BX38)</f>
        <v>1</v>
      </c>
      <c r="BY39" s="79"/>
      <c r="BZ39" s="79"/>
      <c r="CA39" s="78">
        <f>SUM(CA8:CA38)</f>
        <v>20750</v>
      </c>
      <c r="CB39" s="78"/>
      <c r="CC39" s="79"/>
      <c r="CD39" s="79"/>
      <c r="CE39" s="79"/>
      <c r="CF39" s="78">
        <f>SUM(CF8:CF38)</f>
        <v>187200</v>
      </c>
      <c r="CG39" s="79"/>
      <c r="CH39" s="78">
        <f>SUM(CH8:CH38)</f>
        <v>1355.8999999999942</v>
      </c>
      <c r="CI39" s="79"/>
      <c r="CJ39" s="79"/>
      <c r="CK39" s="78">
        <f>SUM(CK8:CK38)</f>
        <v>512528.49999999994</v>
      </c>
      <c r="CL39" s="79">
        <f>AVERAGE(CL8:CL38)</f>
        <v>1</v>
      </c>
      <c r="CM39" s="79"/>
      <c r="CN39" s="79"/>
      <c r="CO39" s="78">
        <f>SUM(CO8:CO38)</f>
        <v>209899.46999999977</v>
      </c>
      <c r="CP39" s="79">
        <f>AVERAGE(CP8:CP38)</f>
        <v>1</v>
      </c>
      <c r="CQ39" s="82"/>
      <c r="CR39" s="83"/>
      <c r="CS39" s="78">
        <f>SUM(CS8:CS38)</f>
        <v>190308.47</v>
      </c>
      <c r="CT39" s="79">
        <f>AVERAGE(CT8:CT38)</f>
        <v>1</v>
      </c>
      <c r="CU39" s="79"/>
      <c r="CV39" s="79"/>
      <c r="CW39" s="78">
        <f>SUM(CW8:CW38)</f>
        <v>466900</v>
      </c>
      <c r="CX39" s="79">
        <f>AVERAGE(CX8:CX38)</f>
        <v>1</v>
      </c>
      <c r="CY39" s="79"/>
      <c r="CZ39" s="79"/>
      <c r="DA39" s="78">
        <f>SUM(DA8:DA38)</f>
        <v>261500</v>
      </c>
      <c r="DB39" s="79">
        <f>AVERAGE(DB8:DB38)</f>
        <v>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-1895136.4399999997</v>
      </c>
      <c r="DH39" s="78">
        <f>SUM(DH8:DH38)</f>
        <v>14314928.500000002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287400</v>
      </c>
      <c r="DS39" s="84"/>
      <c r="DT39" s="85">
        <f>SUMIF(DT7:DT38,"&gt;0")</f>
        <v>576800</v>
      </c>
      <c r="DU39" s="86"/>
      <c r="DV39" s="86"/>
      <c r="DW39" s="87">
        <f>SUMIF(DW8:DW38,"&gt;0")</f>
        <v>128500.00000000003</v>
      </c>
      <c r="DX39" s="86"/>
      <c r="DY39" s="86"/>
      <c r="DZ39" s="87">
        <f>SUMIF(DZ8:DZ38,"&gt;0")</f>
        <v>200278.5</v>
      </c>
      <c r="EA39" s="86"/>
      <c r="EB39" s="86"/>
      <c r="EC39" s="87">
        <f>SUMIF(EC8:EC38,"&gt;0")</f>
        <v>705238.50000000012</v>
      </c>
      <c r="ED39" s="88">
        <f>SUMIF(ED8:ED38,"&gt;0")</f>
        <v>1034017</v>
      </c>
      <c r="EE39" s="86"/>
      <c r="EF39" s="86"/>
      <c r="EG39" s="87">
        <f>SUMIF(EG8:EG38,"&gt;0")</f>
        <v>841238.50000000012</v>
      </c>
      <c r="EH39" s="86"/>
      <c r="EI39" s="86"/>
      <c r="EJ39" s="87">
        <f>SUMIF(EJ8:EJ38,"&gt;0")</f>
        <v>344278.49999999994</v>
      </c>
      <c r="EK39" s="87"/>
      <c r="EL39" s="87"/>
      <c r="EM39" s="87">
        <f>SUMIF(EM8:EM38,"&gt;0")</f>
        <v>22679.999999999945</v>
      </c>
      <c r="EN39" s="89">
        <f>SUMIF(EN8:EN38,"&gt;0")</f>
        <v>1208196.9999999998</v>
      </c>
      <c r="EO39" s="48"/>
      <c r="EP39" s="48"/>
      <c r="EQ39" s="90">
        <f>SUMIF(EQ8:EQ38,"&gt;0")</f>
        <v>212283.50000000003</v>
      </c>
      <c r="ER39" s="90"/>
      <c r="ES39" s="90"/>
      <c r="ET39" s="90">
        <f>SUMIF(ET8:ET38,"&gt;0")</f>
        <v>509100.00000000035</v>
      </c>
      <c r="EU39" s="90"/>
      <c r="EV39" s="90"/>
      <c r="EW39" s="90">
        <f>SUMIF(EW8:EW38,"&gt;0")</f>
        <v>238978.49999999977</v>
      </c>
      <c r="EX39" s="48"/>
      <c r="EY39" s="48"/>
      <c r="EZ39" s="90">
        <f>SUMIF(EZ8:EZ38,"&gt;0")</f>
        <v>360278.49999999994</v>
      </c>
      <c r="FA39" s="90"/>
      <c r="FB39" s="90"/>
      <c r="FC39" s="90"/>
      <c r="FD39" s="90">
        <f>SUMIF(FD8:FD38,"&gt;0")</f>
        <v>1371240.5</v>
      </c>
      <c r="FE39" s="48"/>
      <c r="FF39" s="48"/>
      <c r="FG39" s="90">
        <f>SUMIF(FG8:FG38,"&gt;0")</f>
        <v>314943.4800000001</v>
      </c>
      <c r="FH39" s="90"/>
      <c r="FI39" s="90"/>
      <c r="FJ39" s="90">
        <f>SUMIF(FJ8:FJ38,"&gt;0")</f>
        <v>503948.48</v>
      </c>
      <c r="FK39" s="90"/>
      <c r="FL39" s="90">
        <f>SUMIF(FL8:FL38,"&gt;0")</f>
        <v>1961.67</v>
      </c>
      <c r="FM39" s="90">
        <f>SUMIF(FM8:FM38,"&gt;0")</f>
        <v>9442.5499999988187</v>
      </c>
      <c r="FN39" s="48"/>
      <c r="FO39" s="48"/>
      <c r="FP39" s="90">
        <f>SUMIF(FP8:FP38,"&gt;0")</f>
        <v>407948.4800000001</v>
      </c>
      <c r="FQ39" s="90"/>
      <c r="FR39" s="90"/>
      <c r="FS39" s="90">
        <f>SUMIF(FS8:FS38,"&gt;0")</f>
        <v>1225000</v>
      </c>
      <c r="FT39" s="90"/>
      <c r="FU39" s="90">
        <f>SUMIF(FU8:FU38,"&gt;0")</f>
        <v>1248690.4399999997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39810</v>
      </c>
      <c r="GQ39" s="90"/>
      <c r="GR39" s="90"/>
      <c r="GS39" s="90">
        <f>SUM(GS8:GS38)</f>
        <v>15490</v>
      </c>
      <c r="GT39" s="178"/>
      <c r="GU39" s="90">
        <f>SUM(GU8:GU38)</f>
        <v>-8.9999993811943568E-2</v>
      </c>
      <c r="GV39" s="90">
        <f>SUM(GV8:GV38)</f>
        <v>4819.3500000000067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H39" s="16"/>
      <c r="HI39" s="16"/>
      <c r="HJ39" s="16">
        <f>SUM(HJ7:HJ38)</f>
        <v>3859100.0000000005</v>
      </c>
      <c r="HK39" s="16"/>
      <c r="HL39" s="16"/>
      <c r="HM39" s="16">
        <f>SUM(HM7:HM38)</f>
        <v>0</v>
      </c>
      <c r="HN39" s="16"/>
      <c r="HO39" s="16"/>
      <c r="HP39" s="16">
        <f>SUM(HP7:HP38)</f>
        <v>950125.05</v>
      </c>
      <c r="HQ39" s="16"/>
      <c r="HR39" s="16"/>
      <c r="HS39" s="16">
        <f>SUM(HS7:HS38)</f>
        <v>758525.04999999946</v>
      </c>
      <c r="HT39" s="16"/>
      <c r="HU39" s="16"/>
      <c r="HV39" s="16">
        <f>SUM(HV7:HV38)</f>
        <v>694925.05000000016</v>
      </c>
      <c r="HW39" s="16"/>
      <c r="HX39" s="16"/>
      <c r="HY39" s="16">
        <f>SUM(HY7:HY38)</f>
        <v>743535.05000000016</v>
      </c>
      <c r="HZ39" s="16"/>
      <c r="IA39" s="16"/>
      <c r="IB39" s="16">
        <f>SUM(IB7:IB38)</f>
        <v>134470</v>
      </c>
      <c r="IC39" s="16"/>
      <c r="ID39" s="16"/>
      <c r="IE39" s="16">
        <f>SUM(IE7:IE38)</f>
        <v>719.8</v>
      </c>
      <c r="IF39" s="16"/>
      <c r="IG39" s="16"/>
      <c r="IH39" s="16">
        <f>SUM(IH7:IH38)</f>
        <v>576800</v>
      </c>
      <c r="II39" s="211">
        <f>SUM(II8:II38)</f>
        <v>3.631015488281264E-10</v>
      </c>
      <c r="IJ39" s="16"/>
      <c r="IK39" s="16"/>
      <c r="IL39" s="16">
        <f>SUM(IL7:IL38)</f>
        <v>0</v>
      </c>
      <c r="IM39" s="16"/>
      <c r="IN39" s="16"/>
      <c r="IO39" s="16">
        <f>SUM(IO7:IO38)</f>
        <v>0</v>
      </c>
      <c r="IP39" s="16"/>
      <c r="IQ39" s="16"/>
      <c r="IR39" s="16">
        <f>SUM(IR7:IR38)</f>
        <v>0</v>
      </c>
      <c r="IS39" s="16"/>
      <c r="IT39" s="16"/>
      <c r="IU39" s="16">
        <f>SUM(IU7:IU38)</f>
        <v>0</v>
      </c>
      <c r="IV39" s="16"/>
      <c r="IW39" s="16"/>
      <c r="IX39" s="16">
        <f>SUM(IX7:IX38)</f>
        <v>0</v>
      </c>
      <c r="IY39" s="16"/>
      <c r="IZ39" s="16"/>
      <c r="JA39" s="16">
        <f>SUM(JA7:JA38)</f>
        <v>0</v>
      </c>
      <c r="JB39" s="16"/>
      <c r="JC39" s="16"/>
      <c r="JD39" s="16">
        <f>SUM(JD7:JD38)</f>
        <v>0</v>
      </c>
      <c r="JE39" s="16"/>
      <c r="JF39" s="16"/>
      <c r="JG39" s="16">
        <f>SUM(JG7:JG38)</f>
        <v>0</v>
      </c>
      <c r="JH39" s="16"/>
      <c r="JI39" s="16"/>
      <c r="JJ39" s="16">
        <f>SUM(JJ7:JJ38)</f>
        <v>0</v>
      </c>
      <c r="JK39" s="16"/>
      <c r="JL39" s="16"/>
      <c r="JM39" s="16">
        <f>SUM(JM7:JM38)</f>
        <v>0</v>
      </c>
      <c r="JN39" s="16"/>
      <c r="JO39" s="16"/>
      <c r="JP39" s="16">
        <f>SUM(JP7:JP38)</f>
        <v>0</v>
      </c>
      <c r="JQ39" s="16"/>
      <c r="JR39" s="16"/>
      <c r="JS39" s="16">
        <f>SUM(JS7:JS38)</f>
        <v>0</v>
      </c>
      <c r="JT39" s="16"/>
      <c r="JU39" s="16"/>
      <c r="JV39" s="16">
        <f>SUM(JV7:JV38)</f>
        <v>0</v>
      </c>
      <c r="JW39" s="16"/>
      <c r="JX39" s="16"/>
      <c r="JY39" s="16">
        <f>SUM(JY7:JY38)</f>
        <v>0</v>
      </c>
      <c r="JZ39" s="16"/>
      <c r="KA39" s="16"/>
      <c r="KB39" s="16">
        <f>SUM(KB7:KB38)</f>
        <v>0</v>
      </c>
      <c r="KC39" s="16"/>
      <c r="KD39" s="16"/>
      <c r="KE39" s="16">
        <f>SUM(KE7:KE38)</f>
        <v>0</v>
      </c>
      <c r="KG39">
        <f>SUM(KG7:KG38)</f>
        <v>1085314.8500000006</v>
      </c>
    </row>
    <row r="40" spans="1:293" x14ac:dyDescent="0.25">
      <c r="B40" s="91"/>
      <c r="C40" s="91"/>
      <c r="D40" s="94"/>
      <c r="E40" s="91"/>
      <c r="F40" s="91"/>
      <c r="U40" s="91">
        <f>U25-U23</f>
        <v>3205.2800000000279</v>
      </c>
      <c r="V40" s="172">
        <f>U40/2</f>
        <v>1602.640000000014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74"/>
    </row>
    <row r="41" spans="1:293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419" t="s">
        <v>208</v>
      </c>
      <c r="BV41" s="419"/>
      <c r="BW41" s="419"/>
      <c r="BY41" s="406" t="s">
        <v>205</v>
      </c>
      <c r="BZ41" s="406"/>
      <c r="CA41" s="406"/>
      <c r="CC41" s="91"/>
      <c r="CE41" s="95"/>
      <c r="CF41" s="95"/>
      <c r="CG41" s="95"/>
      <c r="CH41" s="96"/>
      <c r="CI41" s="92"/>
      <c r="CJ41" s="92"/>
      <c r="CK41" s="92"/>
      <c r="CL41" s="92"/>
      <c r="CZ41" s="91"/>
      <c r="DB41" s="91"/>
      <c r="DS41" s="24"/>
      <c r="DT41" s="151"/>
      <c r="DU41" s="406" t="s">
        <v>205</v>
      </c>
      <c r="DV41" s="406"/>
      <c r="DW41" s="406"/>
      <c r="DX41" s="406" t="s">
        <v>203</v>
      </c>
      <c r="DY41" s="406"/>
      <c r="DZ41" s="406"/>
      <c r="EA41" s="406" t="s">
        <v>204</v>
      </c>
      <c r="EB41" s="406"/>
      <c r="EC41" s="406"/>
      <c r="EE41" t="s">
        <v>108</v>
      </c>
      <c r="EF41" s="3"/>
      <c r="EJ41" s="2"/>
      <c r="EK41" s="174"/>
      <c r="EL41" s="174"/>
      <c r="EN41" s="2"/>
      <c r="EO41" s="406" t="s">
        <v>155</v>
      </c>
      <c r="EP41" s="406"/>
      <c r="EQ41" s="406"/>
      <c r="ER41" s="406" t="s">
        <v>135</v>
      </c>
      <c r="ES41" s="406"/>
      <c r="ET41" s="406"/>
      <c r="EU41" s="406" t="s">
        <v>155</v>
      </c>
      <c r="EV41" s="406"/>
      <c r="EW41" s="406"/>
      <c r="EX41" s="406"/>
      <c r="EY41" s="406"/>
      <c r="EZ41" s="406"/>
      <c r="FE41" s="407" t="s">
        <v>155</v>
      </c>
      <c r="FF41" s="407"/>
      <c r="FG41" s="407"/>
      <c r="FH41" s="406" t="s">
        <v>135</v>
      </c>
      <c r="FI41" s="406"/>
      <c r="FJ41" s="406"/>
      <c r="FO41" s="407" t="s">
        <v>155</v>
      </c>
      <c r="FP41" s="407"/>
      <c r="FQ41" s="407"/>
      <c r="FX41" s="91">
        <f>SUM(FX8:FX38)</f>
        <v>740900</v>
      </c>
      <c r="GA41" s="91">
        <f>SUM(GA8:GA38)</f>
        <v>217910.00000000009</v>
      </c>
      <c r="GG41" s="91">
        <f>SUM(GG8:GG38)</f>
        <v>229150.00000000052</v>
      </c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X41" s="151"/>
    </row>
    <row r="42" spans="1:293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26">BW8</f>
        <v>8600</v>
      </c>
      <c r="CE42" s="96">
        <f t="shared" ref="CE42:CE45" si="127">CD42-CF43</f>
        <v>8505.1999999999971</v>
      </c>
      <c r="CF42" s="98">
        <f t="shared" ref="CF42:CF46" si="128">CD42-CE42</f>
        <v>94.80000000000291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414" t="s">
        <v>224</v>
      </c>
      <c r="DR42" s="414"/>
      <c r="DS42" s="414"/>
      <c r="DT42" s="414"/>
      <c r="EE42" t="s">
        <v>109</v>
      </c>
      <c r="EJ42" s="3"/>
      <c r="EK42" s="174"/>
      <c r="EL42" s="174"/>
      <c r="EN42" s="2"/>
      <c r="EO42" s="151"/>
      <c r="FF42" s="416" t="s">
        <v>243</v>
      </c>
      <c r="FG42" s="416"/>
      <c r="FH42" s="416" t="s">
        <v>246</v>
      </c>
      <c r="FI42" s="416"/>
      <c r="FJ42" s="415" t="s">
        <v>247</v>
      </c>
      <c r="FK42" s="415"/>
      <c r="FL42" s="415" t="s">
        <v>245</v>
      </c>
      <c r="FM42" s="415"/>
      <c r="FN42" s="416" t="s">
        <v>37</v>
      </c>
      <c r="FO42" s="418" t="s">
        <v>310</v>
      </c>
      <c r="FP42" s="406"/>
      <c r="FQ42" s="500"/>
      <c r="FR42" s="402" t="s">
        <v>1</v>
      </c>
      <c r="FS42" s="402" t="s">
        <v>306</v>
      </c>
      <c r="FT42" s="402"/>
      <c r="FU42" s="402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3859100.0000000005</v>
      </c>
      <c r="HJ42" s="16"/>
      <c r="HT42" s="151"/>
      <c r="HX42" s="151"/>
      <c r="IH42" s="16"/>
      <c r="II42" s="16" t="s">
        <v>290</v>
      </c>
      <c r="IJ42" s="16"/>
      <c r="IK42" s="16"/>
      <c r="IL42" s="16"/>
      <c r="JN42" t="s">
        <v>296</v>
      </c>
    </row>
    <row r="43" spans="1:293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26"/>
        <v>7228</v>
      </c>
      <c r="CE43" s="96">
        <f t="shared" si="127"/>
        <v>7133.1999999999971</v>
      </c>
      <c r="CF43" s="98">
        <f t="shared" si="128"/>
        <v>94.80000000000291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408" t="s">
        <v>225</v>
      </c>
      <c r="DR43" s="409"/>
      <c r="DS43" s="408" t="s">
        <v>226</v>
      </c>
      <c r="DT43" s="409"/>
      <c r="EE43" t="s">
        <v>110</v>
      </c>
      <c r="EJ43" s="2"/>
      <c r="EK43" s="174"/>
      <c r="EL43" s="174"/>
      <c r="EN43" s="3"/>
      <c r="EO43" s="151"/>
      <c r="EZ43" s="416" t="s">
        <v>241</v>
      </c>
      <c r="FA43" s="416" t="s">
        <v>242</v>
      </c>
      <c r="FB43" s="416" t="s">
        <v>37</v>
      </c>
      <c r="FD43" s="3"/>
      <c r="FF43" s="416"/>
      <c r="FG43" s="416"/>
      <c r="FH43" s="416"/>
      <c r="FI43" s="416"/>
      <c r="FJ43" s="415"/>
      <c r="FK43" s="415"/>
      <c r="FL43" s="415"/>
      <c r="FM43" s="415"/>
      <c r="FN43" s="416"/>
      <c r="FO43" s="418"/>
      <c r="FP43" s="406"/>
      <c r="FQ43" s="500"/>
      <c r="FR43" s="402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</v>
      </c>
      <c r="HJ43" s="16"/>
      <c r="HT43" s="151"/>
      <c r="HV43" s="151"/>
      <c r="HW43" s="151"/>
      <c r="HX43" s="151"/>
      <c r="IH43" s="16"/>
      <c r="II43" s="16" t="s">
        <v>291</v>
      </c>
      <c r="IJ43" s="16"/>
      <c r="IK43" s="16"/>
      <c r="IL43" s="16"/>
      <c r="JN43">
        <f t="shared" ref="JN43:JN63" si="129">HY15-JP15</f>
        <v>22064.724999999984</v>
      </c>
    </row>
    <row r="44" spans="1:293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126"/>
        <v>8090</v>
      </c>
      <c r="CE44" s="96">
        <f t="shared" si="127"/>
        <v>7995.1999999999971</v>
      </c>
      <c r="CF44" s="98">
        <f t="shared" si="128"/>
        <v>94.80000000000291</v>
      </c>
      <c r="CG44" s="96">
        <v>4450.1999999999753</v>
      </c>
      <c r="CH44" s="96">
        <f t="shared" ref="CH44:CH46" si="130">CG44-CD10-CH10</f>
        <v>3312.1999999999753</v>
      </c>
      <c r="CI44" s="92"/>
      <c r="CJ44" s="92"/>
      <c r="CK44" s="92"/>
      <c r="CL44" s="92"/>
      <c r="CQ44" s="161"/>
      <c r="CR44" s="161"/>
      <c r="CV44" s="91"/>
      <c r="DQ44" s="410"/>
      <c r="DR44" s="411"/>
      <c r="DS44" s="410"/>
      <c r="DT44" s="411"/>
      <c r="EE44" t="s">
        <v>111</v>
      </c>
      <c r="EJ44" s="2"/>
      <c r="EV44" t="s">
        <v>235</v>
      </c>
      <c r="EZ44" s="416"/>
      <c r="FA44" s="416"/>
      <c r="FB44" s="416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416"/>
      <c r="FO44" s="418"/>
      <c r="FP44" s="406"/>
      <c r="FQ44" s="500"/>
      <c r="FR44" s="16">
        <v>1</v>
      </c>
      <c r="FS44" s="16">
        <v>594.85</v>
      </c>
      <c r="FT44" s="16">
        <v>296.70999999999998</v>
      </c>
      <c r="FU44" s="16"/>
      <c r="FV44" s="16"/>
      <c r="FW44" s="16"/>
      <c r="HD44" s="74"/>
      <c r="HH44" s="16" t="s">
        <v>272</v>
      </c>
      <c r="HI44" s="16">
        <f>HS39</f>
        <v>758525.04999999946</v>
      </c>
      <c r="HJ44" s="16"/>
      <c r="HT44" s="151"/>
      <c r="HV44" s="151"/>
      <c r="HW44" s="151"/>
      <c r="HX44" s="151"/>
      <c r="IH44" s="16"/>
      <c r="II44" s="16"/>
      <c r="IJ44" s="16" t="s">
        <v>292</v>
      </c>
      <c r="IK44" s="16"/>
      <c r="IL44" s="16" t="s">
        <v>292</v>
      </c>
      <c r="JN44">
        <f t="shared" si="129"/>
        <v>23492.275000000016</v>
      </c>
    </row>
    <row r="45" spans="1:293" x14ac:dyDescent="0.25">
      <c r="A45" s="35">
        <v>30</v>
      </c>
      <c r="B45" s="138">
        <v>0</v>
      </c>
      <c r="C45" s="65"/>
      <c r="D45" s="55"/>
      <c r="E45" s="16">
        <v>24467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26"/>
        <v>10564</v>
      </c>
      <c r="CE45" s="96">
        <f t="shared" si="127"/>
        <v>10469.199999999997</v>
      </c>
      <c r="CF45" s="98">
        <f t="shared" si="128"/>
        <v>94.80000000000291</v>
      </c>
      <c r="CG45" s="96">
        <v>4316.1999999999753</v>
      </c>
      <c r="CH45" s="96">
        <f t="shared" si="130"/>
        <v>1481.700000000048</v>
      </c>
      <c r="CI45" s="92"/>
      <c r="CJ45" s="92"/>
      <c r="CK45" s="92"/>
      <c r="CL45" s="92"/>
      <c r="DQ45" s="412"/>
      <c r="DR45" s="413"/>
      <c r="DS45" s="412"/>
      <c r="DT45" s="413"/>
      <c r="EE45" t="s">
        <v>114</v>
      </c>
      <c r="EV45" t="s">
        <v>236</v>
      </c>
      <c r="EW45" s="406" t="s">
        <v>238</v>
      </c>
      <c r="EX45" s="406"/>
      <c r="EZ45" s="203">
        <f>EZ8</f>
        <v>10807.36</v>
      </c>
      <c r="FA45" s="205">
        <f>FP8</f>
        <v>11207.36</v>
      </c>
      <c r="FB45" s="201">
        <f>EZ45+FA45</f>
        <v>22014.720000000001</v>
      </c>
      <c r="FC45" s="16">
        <f>85*0.6355*24</f>
        <v>1296.42</v>
      </c>
      <c r="FD45" s="167">
        <f>FB45-$FC$45</f>
        <v>20718.300000000003</v>
      </c>
      <c r="FE45" s="16"/>
      <c r="FF45" s="199">
        <f t="shared" ref="FF45:FF75" si="131">FQ45</f>
        <v>0.47873224136829323</v>
      </c>
      <c r="FG45" s="200">
        <f t="shared" ref="FG45:FG75" si="132">1-FF45</f>
        <v>0.52126775863170671</v>
      </c>
      <c r="FH45" s="16">
        <f>FF45*$FC$45</f>
        <v>620.63805235468271</v>
      </c>
      <c r="FI45" s="179">
        <f>FG45*$FC$45</f>
        <v>675.78194764531725</v>
      </c>
      <c r="FJ45" s="179">
        <f>FF45*FD45</f>
        <v>9918.5181963407103</v>
      </c>
      <c r="FK45" s="179">
        <f>FG45*FD45</f>
        <v>10799.781803659291</v>
      </c>
      <c r="FL45" s="204">
        <f>FH45+FJ45</f>
        <v>10539.156248695394</v>
      </c>
      <c r="FM45" s="206">
        <f>FI45+FK45</f>
        <v>11475.563751304608</v>
      </c>
      <c r="FN45" s="202">
        <f>FL45+FM45</f>
        <v>22014.720000000001</v>
      </c>
      <c r="FO45">
        <v>44.951999999999998</v>
      </c>
      <c r="FP45">
        <v>48.945999999999998</v>
      </c>
      <c r="FQ45" s="217">
        <f>FO45/(FO45+FP45)</f>
        <v>0.47873224136829323</v>
      </c>
      <c r="FR45" s="16">
        <v>2</v>
      </c>
      <c r="FS45" s="16">
        <v>596.86</v>
      </c>
      <c r="FT45" s="16">
        <v>298.01</v>
      </c>
      <c r="FU45" s="16">
        <f t="shared" ref="FU45:FU74" si="133">(FS45-FS44)*1000</f>
        <v>2009.9999999999909</v>
      </c>
      <c r="FV45" s="16">
        <f t="shared" ref="FV45:FV75" si="134">FU45/2</f>
        <v>1004.9999999999955</v>
      </c>
      <c r="FW45" s="16">
        <f t="shared" ref="FW45:FW75" si="135">FU45/2</f>
        <v>1004.9999999999955</v>
      </c>
      <c r="HD45" s="74"/>
      <c r="HH45" s="16" t="s">
        <v>273</v>
      </c>
      <c r="HI45" s="16">
        <f>HV39</f>
        <v>694925.05000000016</v>
      </c>
      <c r="HJ45" s="179"/>
      <c r="HR45" s="151"/>
      <c r="HS45" s="151"/>
      <c r="HT45" s="151"/>
      <c r="HV45" s="151"/>
      <c r="HW45" s="151"/>
      <c r="IG45" s="151"/>
      <c r="IH45" s="16">
        <v>1</v>
      </c>
      <c r="II45" s="144">
        <f>DailyMei!BX7+DailyMei!BY7-DailyMei!BZ7-DailyMei!CA7-DailyMei!CB7-DailyMei!CC7-DailyMei!CD7-DailyMei!CF7-DailyMei!CE7</f>
        <v>3.3469405025243759E-10</v>
      </c>
      <c r="IJ45" s="16">
        <v>-320</v>
      </c>
      <c r="IK45" s="16">
        <f>IJ45/4</f>
        <v>-80</v>
      </c>
      <c r="IL45" s="16">
        <v>-80</v>
      </c>
      <c r="JN45">
        <f t="shared" si="129"/>
        <v>32433.379999999899</v>
      </c>
    </row>
    <row r="46" spans="1:293" x14ac:dyDescent="0.25">
      <c r="A46" s="35">
        <v>1</v>
      </c>
      <c r="B46" s="138">
        <v>0</v>
      </c>
      <c r="C46" s="65"/>
      <c r="D46" s="37">
        <f>IF((B46-B45)&lt;=0,0,(B46-B45))*1000000</f>
        <v>0</v>
      </c>
      <c r="E46" s="16">
        <v>24467</v>
      </c>
      <c r="F46" s="16"/>
      <c r="G46" s="37">
        <f t="shared" ref="G46:G77" si="136">IF((E46-E45)&lt;=0,0,(E46-E45))*1000</f>
        <v>0</v>
      </c>
      <c r="H46" s="138"/>
      <c r="I46" s="65"/>
      <c r="J46" s="37">
        <f t="shared" ref="J46:J75" si="137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>
        <f t="shared" si="126"/>
        <v>9733</v>
      </c>
      <c r="CE46" s="96">
        <f>CD46-CF47</f>
        <v>9638.1999999999971</v>
      </c>
      <c r="CF46" s="98">
        <f t="shared" si="128"/>
        <v>94.80000000000291</v>
      </c>
      <c r="CG46" s="96">
        <v>3692.1999999999753</v>
      </c>
      <c r="CH46" s="96">
        <f t="shared" si="130"/>
        <v>1430.799999999952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38">EZ9</f>
        <v>3740.64</v>
      </c>
      <c r="FA46" s="205">
        <f t="shared" ref="FA46:FA75" si="139">FP9</f>
        <v>10673.97</v>
      </c>
      <c r="FB46" s="201">
        <f t="shared" ref="FB46:FB75" si="140">EZ46+FA46</f>
        <v>14414.609999999999</v>
      </c>
      <c r="FC46" s="16"/>
      <c r="FD46" s="167">
        <f t="shared" ref="FD46:FD75" si="141">FB46-$FC$45</f>
        <v>13118.189999999999</v>
      </c>
      <c r="FE46" s="16"/>
      <c r="FF46" s="199">
        <f t="shared" si="131"/>
        <v>8.3851468048359232E-2</v>
      </c>
      <c r="FG46" s="200">
        <f t="shared" si="132"/>
        <v>0.91614853195164081</v>
      </c>
      <c r="FH46" s="16">
        <f t="shared" ref="FH46:FI75" si="142">FF46*$FC$45</f>
        <v>108.70672020725388</v>
      </c>
      <c r="FI46" s="179">
        <f t="shared" si="142"/>
        <v>1187.7132797927463</v>
      </c>
      <c r="FJ46" s="179">
        <f t="shared" ref="FJ46:FJ75" si="143">FF46*FD46</f>
        <v>1099.9794896373055</v>
      </c>
      <c r="FK46" s="179">
        <f t="shared" ref="FK46:FK75" si="144">FG46*FD46</f>
        <v>12018.210510362695</v>
      </c>
      <c r="FL46" s="204">
        <f t="shared" ref="FL46:FM75" si="145">FH46+FJ46</f>
        <v>1208.6862098445595</v>
      </c>
      <c r="FM46" s="206">
        <f t="shared" si="145"/>
        <v>13205.923790155441</v>
      </c>
      <c r="FN46" s="202">
        <f t="shared" ref="FN46:FN75" si="146">FL46+FM46</f>
        <v>14414.61</v>
      </c>
      <c r="FO46">
        <v>3.8839999999999999</v>
      </c>
      <c r="FP46">
        <v>42.436</v>
      </c>
      <c r="FQ46" s="217">
        <f t="shared" ref="FQ46:FQ75" si="147">FO46/(FO46+FP46)</f>
        <v>8.3851468048359232E-2</v>
      </c>
      <c r="FR46" s="16">
        <v>3</v>
      </c>
      <c r="FS46" s="16">
        <v>598.86</v>
      </c>
      <c r="FT46" s="16">
        <v>299.3</v>
      </c>
      <c r="FU46" s="16">
        <f t="shared" si="133"/>
        <v>2000</v>
      </c>
      <c r="FV46" s="16">
        <f t="shared" si="134"/>
        <v>1000</v>
      </c>
      <c r="FW46" s="16">
        <f t="shared" si="135"/>
        <v>1000</v>
      </c>
      <c r="HH46" s="16" t="s">
        <v>274</v>
      </c>
      <c r="HI46" s="16">
        <f>HY39</f>
        <v>743535.05000000016</v>
      </c>
      <c r="HJ46" s="16"/>
      <c r="HV46" s="151"/>
      <c r="IH46" s="16">
        <v>2</v>
      </c>
      <c r="II46" s="144">
        <f>DailyMei!BX8+DailyMei!BY8-DailyMei!BZ8-DailyMei!CA8-DailyMei!CB8-DailyMei!CC8-DailyMei!CD8-DailyMei!CF8-DailyMei!CE8</f>
        <v>5.2023096941411495E-10</v>
      </c>
      <c r="IJ46" s="16">
        <v>262.3</v>
      </c>
      <c r="IK46" s="16">
        <f t="shared" ref="IK46:IK75" si="148">IJ46/4</f>
        <v>65.575000000000003</v>
      </c>
      <c r="IL46" s="16">
        <v>65.575000000000003</v>
      </c>
      <c r="JN46">
        <f t="shared" si="129"/>
        <v>18700.870000000094</v>
      </c>
    </row>
    <row r="47" spans="1:293" x14ac:dyDescent="0.25">
      <c r="A47" s="35">
        <v>2</v>
      </c>
      <c r="B47" s="138">
        <v>0</v>
      </c>
      <c r="C47" s="65"/>
      <c r="D47" s="37">
        <f t="shared" ref="D47:D77" si="149">IF((B47-B46)&lt;=0,0,(B47-B46))*1000000</f>
        <v>0</v>
      </c>
      <c r="E47" s="16">
        <v>24467</v>
      </c>
      <c r="F47" s="16"/>
      <c r="G47" s="37">
        <f t="shared" si="136"/>
        <v>0</v>
      </c>
      <c r="H47" s="138"/>
      <c r="I47" s="65"/>
      <c r="J47" s="37">
        <f t="shared" si="137"/>
        <v>0</v>
      </c>
      <c r="BH47" s="96"/>
      <c r="BI47" s="96"/>
      <c r="BJ47" s="96"/>
      <c r="CC47" s="91"/>
      <c r="CD47" s="91">
        <f>BW13</f>
        <v>7275</v>
      </c>
      <c r="CE47" s="96">
        <f>CD13+CF13+CH13</f>
        <v>7180.1999999999971</v>
      </c>
      <c r="CF47" s="98">
        <f>CD47-CE47</f>
        <v>94.80000000000291</v>
      </c>
      <c r="CG47" s="96">
        <v>5653.1999999999753</v>
      </c>
      <c r="CH47" s="96">
        <f>CG47-CD13-CH13</f>
        <v>5065.9999999999782</v>
      </c>
      <c r="CI47" s="92"/>
      <c r="CJ47" s="92"/>
      <c r="CK47" s="92"/>
      <c r="CL47" s="92"/>
      <c r="CN47" s="91"/>
      <c r="DP47">
        <v>1</v>
      </c>
      <c r="DQ47" s="50">
        <v>8.2004000000000001</v>
      </c>
      <c r="DR47" s="49"/>
      <c r="DS47" s="50">
        <v>51.348999999999997</v>
      </c>
      <c r="DT47" s="49"/>
      <c r="EV47" t="s">
        <v>239</v>
      </c>
      <c r="EZ47" s="203">
        <f t="shared" si="138"/>
        <v>8930.15</v>
      </c>
      <c r="FA47" s="205">
        <f t="shared" si="139"/>
        <v>11885.15</v>
      </c>
      <c r="FB47" s="201">
        <f t="shared" si="140"/>
        <v>20815.3</v>
      </c>
      <c r="FC47" s="16"/>
      <c r="FD47" s="167">
        <f t="shared" si="141"/>
        <v>19518.879999999997</v>
      </c>
      <c r="FE47" s="16"/>
      <c r="FF47" s="199">
        <f t="shared" si="131"/>
        <v>0.4680114423229732</v>
      </c>
      <c r="FG47" s="200">
        <f t="shared" si="132"/>
        <v>0.5319885576770268</v>
      </c>
      <c r="FH47" s="16">
        <f t="shared" si="142"/>
        <v>606.73939405634894</v>
      </c>
      <c r="FI47" s="179">
        <f t="shared" si="142"/>
        <v>689.68060594365113</v>
      </c>
      <c r="FJ47" s="179">
        <f t="shared" si="143"/>
        <v>9135.0591813290339</v>
      </c>
      <c r="FK47" s="179">
        <f t="shared" si="144"/>
        <v>10383.820818670963</v>
      </c>
      <c r="FL47" s="204">
        <f t="shared" si="145"/>
        <v>9741.7985753853827</v>
      </c>
      <c r="FM47" s="206">
        <f t="shared" si="145"/>
        <v>11073.501424614615</v>
      </c>
      <c r="FN47" s="202">
        <f t="shared" si="146"/>
        <v>20815.299999999996</v>
      </c>
      <c r="FO47">
        <v>41.228999999999999</v>
      </c>
      <c r="FP47">
        <v>46.864999999999995</v>
      </c>
      <c r="FQ47" s="217">
        <f t="shared" si="147"/>
        <v>0.4680114423229732</v>
      </c>
      <c r="FR47" s="16">
        <v>4</v>
      </c>
      <c r="FS47" s="16">
        <v>600.92999999999995</v>
      </c>
      <c r="FT47" s="16">
        <v>300.64</v>
      </c>
      <c r="FU47" s="16">
        <f t="shared" si="133"/>
        <v>2069.9999999999363</v>
      </c>
      <c r="FV47" s="16">
        <f t="shared" si="134"/>
        <v>1034.9999999999682</v>
      </c>
      <c r="FW47" s="16">
        <f t="shared" si="135"/>
        <v>1034.9999999999682</v>
      </c>
      <c r="HH47" s="16" t="s">
        <v>319</v>
      </c>
      <c r="HI47" s="16">
        <f>HP39</f>
        <v>950125.05</v>
      </c>
      <c r="HJ47" s="16"/>
      <c r="HT47" s="151"/>
      <c r="HV47" s="151"/>
      <c r="HW47" s="151"/>
      <c r="IH47" s="16">
        <v>3</v>
      </c>
      <c r="II47" s="144">
        <f>DailyMei!BX9+DailyMei!BY9-DailyMei!BZ9-DailyMei!CA9-DailyMei!CB9-DailyMei!CC9-DailyMei!CD9-DailyMei!CF9-DailyMei!CE9</f>
        <v>-8.2218321040272713E-10</v>
      </c>
      <c r="IJ47" s="16">
        <v>655.8</v>
      </c>
      <c r="IK47" s="16">
        <f t="shared" si="148"/>
        <v>163.95</v>
      </c>
      <c r="IL47" s="16">
        <v>163.95</v>
      </c>
      <c r="JN47">
        <f t="shared" si="129"/>
        <v>24884.924999999999</v>
      </c>
    </row>
    <row r="48" spans="1:293" x14ac:dyDescent="0.25">
      <c r="A48" s="35">
        <v>3</v>
      </c>
      <c r="B48" s="138"/>
      <c r="C48" s="65"/>
      <c r="D48" s="37">
        <f t="shared" si="149"/>
        <v>0</v>
      </c>
      <c r="E48" s="16">
        <v>24467</v>
      </c>
      <c r="F48" s="16"/>
      <c r="G48" s="37">
        <f t="shared" si="136"/>
        <v>0</v>
      </c>
      <c r="H48" s="138"/>
      <c r="I48" s="65"/>
      <c r="J48" s="37">
        <f t="shared" si="137"/>
        <v>0</v>
      </c>
      <c r="AL48" s="101"/>
      <c r="AM48" s="101"/>
      <c r="AN48" s="101"/>
      <c r="AP48" s="405"/>
      <c r="AQ48" s="405"/>
      <c r="AR48" s="405"/>
      <c r="AS48" s="405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f>DP47+1</f>
        <v>2</v>
      </c>
      <c r="DQ48" s="50">
        <v>8.2010000000000005</v>
      </c>
      <c r="DR48" s="49">
        <f t="shared" ref="DR48:DR78" si="150">IF((DQ48-DQ47)&lt;=0,0,(DQ48-DQ47))*10000</f>
        <v>6.0000000000037801</v>
      </c>
      <c r="DS48" s="50">
        <v>51.348999999999997</v>
      </c>
      <c r="DT48" s="49">
        <f t="shared" ref="DT48:DT56" si="151">IF((DS48-DS47)&lt;=0,0,(DS48-DS47))*1000</f>
        <v>0</v>
      </c>
      <c r="EE48" s="406" t="s">
        <v>206</v>
      </c>
      <c r="EF48" s="406"/>
      <c r="EG48" s="406"/>
      <c r="EH48" s="406" t="s">
        <v>155</v>
      </c>
      <c r="EI48" s="406"/>
      <c r="EJ48" s="406"/>
      <c r="EK48" s="406" t="s">
        <v>207</v>
      </c>
      <c r="EL48" s="406"/>
      <c r="EM48" s="406"/>
      <c r="EV48" s="406" t="s">
        <v>240</v>
      </c>
      <c r="EW48" s="406"/>
      <c r="EX48">
        <f>85*0.6355*24</f>
        <v>1296.42</v>
      </c>
      <c r="EZ48" s="203">
        <f t="shared" si="138"/>
        <v>10327.73</v>
      </c>
      <c r="FA48" s="205">
        <f t="shared" si="139"/>
        <v>12307.73</v>
      </c>
      <c r="FB48" s="201">
        <f t="shared" si="140"/>
        <v>22635.46</v>
      </c>
      <c r="FC48" s="16"/>
      <c r="FD48" s="167">
        <f t="shared" si="141"/>
        <v>21339.040000000001</v>
      </c>
      <c r="FE48" s="16"/>
      <c r="FF48" s="199">
        <f t="shared" si="131"/>
        <v>0.5187607820586545</v>
      </c>
      <c r="FG48" s="200">
        <f t="shared" si="132"/>
        <v>0.4812392179413455</v>
      </c>
      <c r="FH48" s="16">
        <f t="shared" si="142"/>
        <v>672.53185307648096</v>
      </c>
      <c r="FI48" s="179">
        <f t="shared" si="142"/>
        <v>623.88814692351912</v>
      </c>
      <c r="FJ48" s="179">
        <f t="shared" si="143"/>
        <v>11069.857078780911</v>
      </c>
      <c r="FK48" s="179">
        <f t="shared" si="144"/>
        <v>10269.18292121909</v>
      </c>
      <c r="FL48" s="204">
        <f t="shared" si="145"/>
        <v>11742.388931857393</v>
      </c>
      <c r="FM48" s="206">
        <f t="shared" si="145"/>
        <v>10893.071068142608</v>
      </c>
      <c r="FN48" s="202">
        <f t="shared" si="146"/>
        <v>22635.46</v>
      </c>
      <c r="FO48">
        <v>50.519000000000005</v>
      </c>
      <c r="FP48">
        <v>46.864999999999995</v>
      </c>
      <c r="FQ48" s="217">
        <f t="shared" si="147"/>
        <v>0.5187607820586545</v>
      </c>
      <c r="FR48" s="16">
        <v>5</v>
      </c>
      <c r="FS48" s="16">
        <v>602.65</v>
      </c>
      <c r="FT48" s="16">
        <v>301.77</v>
      </c>
      <c r="FU48" s="16">
        <f t="shared" si="133"/>
        <v>1720.0000000000273</v>
      </c>
      <c r="FV48" s="16">
        <f t="shared" si="134"/>
        <v>860.00000000001364</v>
      </c>
      <c r="FW48" s="16">
        <f t="shared" si="135"/>
        <v>860.00000000001364</v>
      </c>
      <c r="HH48" s="16" t="s">
        <v>347</v>
      </c>
      <c r="HI48" s="16">
        <f>IB39</f>
        <v>134470</v>
      </c>
      <c r="HJ48" s="16"/>
      <c r="HT48" s="151"/>
      <c r="IH48" s="16">
        <v>4</v>
      </c>
      <c r="II48" s="144">
        <f>DailyMei!BX10+DailyMei!BY10-DailyMei!BZ10-DailyMei!CA10-DailyMei!CB10-DailyMei!CC10-DailyMei!CD10-DailyMei!CF10-DailyMei!CE10</f>
        <v>-2.6921043172478676E-10</v>
      </c>
      <c r="IJ48" s="16">
        <v>393.23</v>
      </c>
      <c r="IK48" s="16">
        <f t="shared" si="148"/>
        <v>98.307500000000005</v>
      </c>
      <c r="IL48" s="16">
        <v>98.307500000000005</v>
      </c>
      <c r="JN48">
        <f t="shared" si="129"/>
        <v>19576.249999999927</v>
      </c>
    </row>
    <row r="49" spans="1:274" x14ac:dyDescent="0.25">
      <c r="A49" s="35">
        <v>4</v>
      </c>
      <c r="B49" s="138"/>
      <c r="C49" s="65"/>
      <c r="D49" s="37">
        <f t="shared" si="149"/>
        <v>0</v>
      </c>
      <c r="E49" s="16">
        <v>24467</v>
      </c>
      <c r="F49" s="16"/>
      <c r="G49" s="37">
        <f t="shared" si="136"/>
        <v>0</v>
      </c>
      <c r="H49" s="138"/>
      <c r="I49" s="65"/>
      <c r="J49" s="37">
        <f t="shared" si="137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f t="shared" ref="DP49:DP74" si="152">DP48+1</f>
        <v>3</v>
      </c>
      <c r="DQ49" s="50">
        <v>8.2050000000000001</v>
      </c>
      <c r="DR49" s="49">
        <f t="shared" si="150"/>
        <v>39.999999999995595</v>
      </c>
      <c r="DS49" s="50">
        <v>51.348999999999997</v>
      </c>
      <c r="DT49" s="49">
        <f t="shared" si="151"/>
        <v>0</v>
      </c>
      <c r="EZ49" s="203">
        <f t="shared" si="138"/>
        <v>10059.33</v>
      </c>
      <c r="FA49" s="205">
        <f t="shared" si="139"/>
        <v>8634.33</v>
      </c>
      <c r="FB49" s="201">
        <f t="shared" si="140"/>
        <v>18693.66</v>
      </c>
      <c r="FC49" s="16"/>
      <c r="FD49" s="167">
        <f t="shared" si="141"/>
        <v>17397.239999999998</v>
      </c>
      <c r="FE49" s="16"/>
      <c r="FF49" s="199">
        <f t="shared" si="131"/>
        <v>0.51568414504275573</v>
      </c>
      <c r="FG49" s="200">
        <f t="shared" si="132"/>
        <v>0.48431585495724427</v>
      </c>
      <c r="FH49" s="16">
        <f t="shared" si="142"/>
        <v>668.54323931632939</v>
      </c>
      <c r="FI49" s="179">
        <f t="shared" si="142"/>
        <v>627.87676068367068</v>
      </c>
      <c r="FJ49" s="179">
        <f t="shared" si="143"/>
        <v>8971.4808355036312</v>
      </c>
      <c r="FK49" s="179">
        <f t="shared" si="144"/>
        <v>8425.7591644963668</v>
      </c>
      <c r="FL49" s="204">
        <f t="shared" si="145"/>
        <v>9640.0240748199612</v>
      </c>
      <c r="FM49" s="206">
        <f t="shared" si="145"/>
        <v>9053.6359251800368</v>
      </c>
      <c r="FN49" s="202">
        <f t="shared" si="146"/>
        <v>18693.659999999996</v>
      </c>
      <c r="FO49">
        <v>48.908000000000001</v>
      </c>
      <c r="FP49">
        <v>45.933</v>
      </c>
      <c r="FQ49" s="217">
        <f t="shared" si="147"/>
        <v>0.51568414504275573</v>
      </c>
      <c r="FR49" s="16">
        <v>6</v>
      </c>
      <c r="FS49" s="16">
        <v>604.6</v>
      </c>
      <c r="FT49" s="16">
        <v>303.02</v>
      </c>
      <c r="FU49" s="16">
        <f t="shared" si="133"/>
        <v>1950.0000000000455</v>
      </c>
      <c r="FV49" s="16">
        <f t="shared" si="134"/>
        <v>975.00000000002274</v>
      </c>
      <c r="FW49" s="16">
        <f t="shared" si="135"/>
        <v>975.00000000002274</v>
      </c>
      <c r="HH49" s="16" t="s">
        <v>347</v>
      </c>
      <c r="HI49" s="16">
        <f>IE39</f>
        <v>719.8</v>
      </c>
      <c r="HJ49" s="16"/>
      <c r="HT49" s="151"/>
      <c r="IH49" s="16">
        <v>5</v>
      </c>
      <c r="II49" s="144">
        <f>DailyMei!BX11+DailyMei!BY11-DailyMei!BZ11-DailyMei!CA11-DailyMei!CB11-DailyMei!CC11-DailyMei!CD11-DailyMei!CF11-DailyMei!CE11</f>
        <v>6.9121597334742546E-11</v>
      </c>
      <c r="IJ49" s="16">
        <v>150.61000000000001</v>
      </c>
      <c r="IK49" s="16">
        <f t="shared" si="148"/>
        <v>37.652500000000003</v>
      </c>
      <c r="IL49" s="16">
        <v>37.652500000000003</v>
      </c>
      <c r="JN49">
        <f t="shared" si="129"/>
        <v>30104.100000000031</v>
      </c>
    </row>
    <row r="50" spans="1:274" x14ac:dyDescent="0.25">
      <c r="A50" s="35">
        <v>5</v>
      </c>
      <c r="B50" s="138">
        <f>B51-0.039633</f>
        <v>3.9634000000000003E-2</v>
      </c>
      <c r="C50" s="65"/>
      <c r="D50" s="37">
        <f t="shared" si="149"/>
        <v>39634</v>
      </c>
      <c r="E50" s="16">
        <v>24467</v>
      </c>
      <c r="F50" s="16"/>
      <c r="G50" s="37">
        <f t="shared" si="136"/>
        <v>0</v>
      </c>
      <c r="H50" s="138"/>
      <c r="I50" s="65"/>
      <c r="J50" s="37">
        <f t="shared" si="137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f t="shared" si="152"/>
        <v>4</v>
      </c>
      <c r="DQ50" s="50">
        <v>8.2077000000000009</v>
      </c>
      <c r="DR50" s="49">
        <f t="shared" si="150"/>
        <v>27.000000000008129</v>
      </c>
      <c r="DS50" s="50">
        <v>51.348999999999997</v>
      </c>
      <c r="DT50" s="49">
        <f t="shared" si="151"/>
        <v>0</v>
      </c>
      <c r="EZ50" s="203">
        <f t="shared" si="138"/>
        <v>11598.369999999999</v>
      </c>
      <c r="FA50" s="205">
        <f t="shared" si="139"/>
        <v>4360.04</v>
      </c>
      <c r="FB50" s="201">
        <f t="shared" si="140"/>
        <v>15958.41</v>
      </c>
      <c r="FC50" s="16"/>
      <c r="FD50" s="167">
        <f t="shared" si="141"/>
        <v>14661.99</v>
      </c>
      <c r="FE50" s="16"/>
      <c r="FF50" s="199">
        <f t="shared" si="131"/>
        <v>0.80149544747151313</v>
      </c>
      <c r="FG50" s="200">
        <f t="shared" si="132"/>
        <v>0.19850455252848687</v>
      </c>
      <c r="FH50" s="16">
        <f t="shared" si="142"/>
        <v>1039.074728011019</v>
      </c>
      <c r="FI50" s="179">
        <f t="shared" si="142"/>
        <v>257.34527198898098</v>
      </c>
      <c r="FJ50" s="179">
        <f t="shared" si="143"/>
        <v>11751.518235872851</v>
      </c>
      <c r="FK50" s="179">
        <f t="shared" si="144"/>
        <v>2910.4717641271491</v>
      </c>
      <c r="FL50" s="204">
        <f t="shared" si="145"/>
        <v>12790.59296388387</v>
      </c>
      <c r="FM50" s="206">
        <f t="shared" si="145"/>
        <v>3167.8170361161301</v>
      </c>
      <c r="FN50" s="202">
        <f t="shared" si="146"/>
        <v>15958.41</v>
      </c>
      <c r="FO50">
        <v>44.805999999999997</v>
      </c>
      <c r="FP50">
        <v>11.097000000000001</v>
      </c>
      <c r="FQ50" s="217">
        <f t="shared" si="147"/>
        <v>0.80149544747151313</v>
      </c>
      <c r="FR50" s="16">
        <v>7</v>
      </c>
      <c r="FS50" s="16">
        <v>606.42999999999995</v>
      </c>
      <c r="FT50" s="16">
        <v>304.27</v>
      </c>
      <c r="FU50" s="16">
        <f t="shared" si="133"/>
        <v>1829.9999999999272</v>
      </c>
      <c r="FV50" s="16">
        <f t="shared" si="134"/>
        <v>914.99999999996362</v>
      </c>
      <c r="FW50" s="16">
        <f t="shared" si="135"/>
        <v>914.99999999996362</v>
      </c>
      <c r="FX50" s="151"/>
      <c r="FY50" s="150"/>
      <c r="FZ50" s="151"/>
      <c r="GV50" s="166"/>
      <c r="HH50" s="16" t="s">
        <v>275</v>
      </c>
      <c r="HI50" s="16">
        <f>$IH$39</f>
        <v>576800</v>
      </c>
      <c r="HJ50" s="16"/>
      <c r="IH50" s="16">
        <v>6</v>
      </c>
      <c r="II50" s="144">
        <f>DailyMei!BX12+DailyMei!BY12-DailyMei!BZ12-DailyMei!CA12-DailyMei!CB12-DailyMei!CC12-DailyMei!CD12-DailyMei!CF12-DailyMei!CE12</f>
        <v>4.8385118134319782E-10</v>
      </c>
      <c r="IJ50" s="16">
        <v>940</v>
      </c>
      <c r="IK50" s="16">
        <f t="shared" si="148"/>
        <v>235</v>
      </c>
      <c r="IL50" s="16">
        <v>235</v>
      </c>
      <c r="JN50">
        <f t="shared" si="129"/>
        <v>30470.425000000054</v>
      </c>
    </row>
    <row r="51" spans="1:274" x14ac:dyDescent="0.25">
      <c r="A51" s="35">
        <v>6</v>
      </c>
      <c r="B51" s="138">
        <f>B52-0.039633</f>
        <v>7.9267000000000004E-2</v>
      </c>
      <c r="C51" s="65"/>
      <c r="D51" s="37">
        <f t="shared" si="149"/>
        <v>39633</v>
      </c>
      <c r="E51" s="16">
        <v>24467</v>
      </c>
      <c r="F51" s="16"/>
      <c r="G51" s="37">
        <f t="shared" si="136"/>
        <v>0</v>
      </c>
      <c r="H51" s="138"/>
      <c r="I51" s="65"/>
      <c r="J51" s="37">
        <f t="shared" si="137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f t="shared" si="152"/>
        <v>5</v>
      </c>
      <c r="DQ51" s="50">
        <f>DQ50+((DQ52-DQ50)/2)</f>
        <v>8.2119</v>
      </c>
      <c r="DR51" s="49">
        <f t="shared" si="150"/>
        <v>41.999999999990933</v>
      </c>
      <c r="DS51" s="50">
        <v>51.348999999999997</v>
      </c>
      <c r="DT51" s="49">
        <f t="shared" si="151"/>
        <v>0</v>
      </c>
      <c r="EZ51" s="203">
        <f t="shared" si="138"/>
        <v>12937.78</v>
      </c>
      <c r="FA51" s="205">
        <f t="shared" si="139"/>
        <v>14032.78</v>
      </c>
      <c r="FB51" s="201">
        <f t="shared" si="140"/>
        <v>26970.560000000001</v>
      </c>
      <c r="FC51" s="16"/>
      <c r="FD51" s="167">
        <f t="shared" si="141"/>
        <v>25674.14</v>
      </c>
      <c r="FE51" s="16"/>
      <c r="FF51" s="199">
        <f t="shared" si="131"/>
        <v>0.58027157471768709</v>
      </c>
      <c r="FG51" s="200">
        <f t="shared" si="132"/>
        <v>0.41972842528231291</v>
      </c>
      <c r="FH51" s="16">
        <f t="shared" si="142"/>
        <v>752.27567489550393</v>
      </c>
      <c r="FI51" s="179">
        <f t="shared" si="142"/>
        <v>544.14432510449615</v>
      </c>
      <c r="FJ51" s="179">
        <f t="shared" si="143"/>
        <v>14897.973647322358</v>
      </c>
      <c r="FK51" s="179">
        <f t="shared" si="144"/>
        <v>10776.166352677641</v>
      </c>
      <c r="FL51" s="204">
        <f t="shared" si="145"/>
        <v>15650.249322217862</v>
      </c>
      <c r="FM51" s="206">
        <f t="shared" si="145"/>
        <v>11320.310677782138</v>
      </c>
      <c r="FN51" s="202">
        <f t="shared" si="146"/>
        <v>26970.559999999998</v>
      </c>
      <c r="FO51">
        <v>50.255000000000003</v>
      </c>
      <c r="FP51">
        <v>36.350999999999999</v>
      </c>
      <c r="FQ51" s="217">
        <f t="shared" si="147"/>
        <v>0.58027157471768709</v>
      </c>
      <c r="FR51" s="16">
        <v>8</v>
      </c>
      <c r="FS51" s="16">
        <v>608.46</v>
      </c>
      <c r="FT51" s="16">
        <v>305.58</v>
      </c>
      <c r="FU51" s="16">
        <f t="shared" si="133"/>
        <v>2030.0000000000864</v>
      </c>
      <c r="FV51" s="16">
        <f t="shared" si="134"/>
        <v>1015.0000000000432</v>
      </c>
      <c r="FW51" s="16">
        <f t="shared" si="135"/>
        <v>1015.0000000000432</v>
      </c>
      <c r="GV51" s="166"/>
      <c r="IH51" s="16">
        <v>7</v>
      </c>
      <c r="II51" s="144">
        <f>DailyMei!BX13+DailyMei!BY13-DailyMei!BZ13-DailyMei!CA13-DailyMei!CB13-DailyMei!CC13-DailyMei!CD13-DailyMei!CF13-DailyMei!CE13</f>
        <v>-3.2014213502407074E-10</v>
      </c>
      <c r="IJ51" s="16">
        <v>191.66</v>
      </c>
      <c r="IK51" s="16">
        <f t="shared" si="148"/>
        <v>47.914999999999999</v>
      </c>
      <c r="IL51" s="16">
        <v>47.914999999999999</v>
      </c>
      <c r="JN51">
        <f t="shared" si="129"/>
        <v>27383.949999999983</v>
      </c>
    </row>
    <row r="52" spans="1:274" x14ac:dyDescent="0.25">
      <c r="A52" s="35">
        <v>7</v>
      </c>
      <c r="B52" s="138">
        <v>0.11890000000000001</v>
      </c>
      <c r="C52" s="65"/>
      <c r="D52" s="37">
        <f t="shared" si="149"/>
        <v>39633</v>
      </c>
      <c r="E52" s="16">
        <v>24467</v>
      </c>
      <c r="F52" s="16"/>
      <c r="G52" s="37">
        <f t="shared" si="136"/>
        <v>0</v>
      </c>
      <c r="H52" s="138"/>
      <c r="I52" s="65"/>
      <c r="J52" s="37">
        <f t="shared" si="137"/>
        <v>0</v>
      </c>
      <c r="L52">
        <f>D52/3</f>
        <v>13211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f t="shared" si="152"/>
        <v>6</v>
      </c>
      <c r="DQ52" s="50">
        <v>8.2161000000000008</v>
      </c>
      <c r="DR52" s="49">
        <f t="shared" si="150"/>
        <v>42.000000000008697</v>
      </c>
      <c r="DS52" s="50">
        <v>51.348999999999997</v>
      </c>
      <c r="DT52" s="49">
        <f t="shared" si="151"/>
        <v>0</v>
      </c>
      <c r="EZ52" s="203">
        <f t="shared" si="138"/>
        <v>13313.86</v>
      </c>
      <c r="FA52" s="205">
        <f t="shared" si="139"/>
        <v>14273.86</v>
      </c>
      <c r="FB52" s="201">
        <f t="shared" si="140"/>
        <v>27587.72</v>
      </c>
      <c r="FC52" s="16"/>
      <c r="FD52" s="167">
        <f t="shared" si="141"/>
        <v>26291.300000000003</v>
      </c>
      <c r="FE52" s="16"/>
      <c r="FF52" s="199">
        <f t="shared" si="131"/>
        <v>0.49797462902382239</v>
      </c>
      <c r="FG52" s="200">
        <f t="shared" si="132"/>
        <v>0.50202537097617761</v>
      </c>
      <c r="FH52" s="16">
        <f t="shared" si="142"/>
        <v>645.58426855906384</v>
      </c>
      <c r="FI52" s="179">
        <f t="shared" si="142"/>
        <v>650.83573144093623</v>
      </c>
      <c r="FJ52" s="179">
        <f t="shared" si="143"/>
        <v>13092.400364054023</v>
      </c>
      <c r="FK52" s="179">
        <f t="shared" si="144"/>
        <v>13198.89963594598</v>
      </c>
      <c r="FL52" s="204">
        <f t="shared" si="145"/>
        <v>13737.984632613086</v>
      </c>
      <c r="FM52" s="206">
        <f t="shared" si="145"/>
        <v>13849.735367386917</v>
      </c>
      <c r="FN52" s="202">
        <f t="shared" si="146"/>
        <v>27587.72</v>
      </c>
      <c r="FO52">
        <v>48.558999999999997</v>
      </c>
      <c r="FP52">
        <v>48.954000000000001</v>
      </c>
      <c r="FQ52" s="217">
        <f t="shared" si="147"/>
        <v>0.49797462902382239</v>
      </c>
      <c r="FR52" s="16">
        <v>9</v>
      </c>
      <c r="FS52" s="16">
        <v>610.29999999999995</v>
      </c>
      <c r="FT52" s="16">
        <v>306.76</v>
      </c>
      <c r="FU52" s="16">
        <f t="shared" si="133"/>
        <v>1839.9999999999181</v>
      </c>
      <c r="FV52" s="16">
        <f t="shared" si="134"/>
        <v>919.99999999995907</v>
      </c>
      <c r="FW52" s="16">
        <f t="shared" si="135"/>
        <v>919.99999999995907</v>
      </c>
      <c r="HH52" s="16" t="s">
        <v>276</v>
      </c>
      <c r="HI52" s="222">
        <f>$HI$42+$HI$43-$HI$44-$HI$45-$HI$46-$HI$47-$HI$48-$HI$50-$HI$49</f>
        <v>5.1227289077360183E-10</v>
      </c>
      <c r="HJ52" s="179"/>
      <c r="HK52" s="16" t="s">
        <v>115</v>
      </c>
      <c r="IH52" s="16">
        <v>8</v>
      </c>
      <c r="II52" s="144">
        <f>DailyMei!BX14+DailyMei!BY14-DailyMei!BZ14-DailyMei!CA14-DailyMei!CB14-DailyMei!CC14-DailyMei!CD14-DailyMei!CF14-DailyMei!CE14</f>
        <v>1.6007106751203537E-10</v>
      </c>
      <c r="IJ52" s="16">
        <v>698.9</v>
      </c>
      <c r="IK52" s="16">
        <f t="shared" si="148"/>
        <v>174.72499999999999</v>
      </c>
      <c r="IL52" s="16">
        <v>174.72499999999999</v>
      </c>
      <c r="JN52">
        <f t="shared" si="129"/>
        <v>27717.399999999998</v>
      </c>
    </row>
    <row r="53" spans="1:274" x14ac:dyDescent="0.25">
      <c r="A53" s="35">
        <v>8</v>
      </c>
      <c r="B53" s="138">
        <v>0.14879999999999999</v>
      </c>
      <c r="C53" s="65"/>
      <c r="D53" s="37">
        <f t="shared" si="149"/>
        <v>29899.999999999982</v>
      </c>
      <c r="E53" s="16">
        <v>24467</v>
      </c>
      <c r="F53" s="16"/>
      <c r="G53" s="37">
        <f t="shared" si="136"/>
        <v>0</v>
      </c>
      <c r="H53" s="138"/>
      <c r="I53" s="65"/>
      <c r="J53" s="37">
        <f t="shared" si="137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49"/>
      <c r="DP53">
        <f t="shared" si="152"/>
        <v>7</v>
      </c>
      <c r="DQ53" s="50">
        <f>DQ52+((DQ54-DQ52)/2)</f>
        <v>8.2208500000000004</v>
      </c>
      <c r="DR53" s="49">
        <f t="shared" si="150"/>
        <v>47.499999999995879</v>
      </c>
      <c r="DS53" s="50">
        <v>51.348999999999997</v>
      </c>
      <c r="DT53" s="49">
        <f t="shared" si="151"/>
        <v>0</v>
      </c>
      <c r="EZ53" s="203">
        <f t="shared" si="138"/>
        <v>12202.24</v>
      </c>
      <c r="FA53" s="205">
        <f t="shared" si="139"/>
        <v>13840.57</v>
      </c>
      <c r="FB53" s="201">
        <f t="shared" si="140"/>
        <v>26042.809999999998</v>
      </c>
      <c r="FC53" s="16"/>
      <c r="FD53" s="167">
        <f t="shared" si="141"/>
        <v>24746.39</v>
      </c>
      <c r="FE53" s="16"/>
      <c r="FF53" s="199">
        <f t="shared" si="131"/>
        <v>0.48138945335291633</v>
      </c>
      <c r="FG53" s="200">
        <f t="shared" si="132"/>
        <v>0.51861054664708361</v>
      </c>
      <c r="FH53" s="16">
        <f t="shared" si="142"/>
        <v>624.08291511578784</v>
      </c>
      <c r="FI53" s="179">
        <f t="shared" si="142"/>
        <v>672.33708488421223</v>
      </c>
      <c r="FJ53" s="179">
        <f t="shared" si="143"/>
        <v>11912.651154558074</v>
      </c>
      <c r="FK53" s="179">
        <f t="shared" si="144"/>
        <v>12833.738845441923</v>
      </c>
      <c r="FL53" s="204">
        <f t="shared" si="145"/>
        <v>12536.734069673863</v>
      </c>
      <c r="FM53" s="206">
        <f t="shared" si="145"/>
        <v>13506.075930326135</v>
      </c>
      <c r="FN53" s="202">
        <f t="shared" si="146"/>
        <v>26042.809999999998</v>
      </c>
      <c r="FO53">
        <v>47.852999999999994</v>
      </c>
      <c r="FP53">
        <v>51.552999999999997</v>
      </c>
      <c r="FQ53" s="217">
        <f t="shared" si="147"/>
        <v>0.48138945335291633</v>
      </c>
      <c r="FR53" s="16">
        <v>10</v>
      </c>
      <c r="FS53" s="16">
        <v>612.27</v>
      </c>
      <c r="FT53" s="16">
        <v>308.01</v>
      </c>
      <c r="FU53" s="16">
        <f t="shared" si="133"/>
        <v>1970.0000000000273</v>
      </c>
      <c r="FV53" s="16">
        <f t="shared" si="134"/>
        <v>985.00000000001364</v>
      </c>
      <c r="FW53" s="16">
        <f t="shared" si="135"/>
        <v>985.00000000001364</v>
      </c>
      <c r="IH53" s="16">
        <v>9</v>
      </c>
      <c r="II53" s="144">
        <f>DailyMei!BX15+DailyMei!BY15-DailyMei!BZ15-DailyMei!CA15-DailyMei!CB15-DailyMei!CC15-DailyMei!CD15-DailyMei!CF15-DailyMei!CE15</f>
        <v>3.8562575355172157E-10</v>
      </c>
      <c r="IJ53" s="16">
        <v>529.1</v>
      </c>
      <c r="IK53" s="16">
        <f t="shared" si="148"/>
        <v>132.27500000000001</v>
      </c>
      <c r="IL53" s="16">
        <v>132.27500000000001</v>
      </c>
      <c r="JN53">
        <f t="shared" si="129"/>
        <v>27574.799999999919</v>
      </c>
    </row>
    <row r="54" spans="1:274" x14ac:dyDescent="0.25">
      <c r="A54" s="35">
        <v>9</v>
      </c>
      <c r="B54" s="138">
        <v>0.18260000000000001</v>
      </c>
      <c r="C54" s="65"/>
      <c r="D54" s="37">
        <f t="shared" si="149"/>
        <v>33800.000000000022</v>
      </c>
      <c r="E54" s="16">
        <v>24467</v>
      </c>
      <c r="F54" s="16"/>
      <c r="G54" s="37">
        <f t="shared" si="136"/>
        <v>0</v>
      </c>
      <c r="H54" s="138"/>
      <c r="I54" s="65"/>
      <c r="J54" s="37">
        <f t="shared" si="137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f t="shared" si="152"/>
        <v>8</v>
      </c>
      <c r="DQ54" s="50">
        <v>8.2256</v>
      </c>
      <c r="DR54" s="49">
        <f t="shared" si="150"/>
        <v>47.499999999995879</v>
      </c>
      <c r="DS54" s="50">
        <v>51.348999999999997</v>
      </c>
      <c r="DT54" s="49">
        <f t="shared" si="151"/>
        <v>0</v>
      </c>
      <c r="EZ54" s="203">
        <f t="shared" si="138"/>
        <v>9649.869999999999</v>
      </c>
      <c r="FA54" s="205">
        <f t="shared" si="139"/>
        <v>11881.54</v>
      </c>
      <c r="FB54" s="201">
        <f t="shared" si="140"/>
        <v>21531.41</v>
      </c>
      <c r="FC54" s="16"/>
      <c r="FD54" s="167">
        <f t="shared" si="141"/>
        <v>20234.989999999998</v>
      </c>
      <c r="FE54" s="16"/>
      <c r="FF54" s="199">
        <f t="shared" si="131"/>
        <v>0.49324921135646688</v>
      </c>
      <c r="FG54" s="200">
        <f t="shared" si="132"/>
        <v>0.50675078864353318</v>
      </c>
      <c r="FH54" s="16">
        <f t="shared" si="142"/>
        <v>639.4581425867508</v>
      </c>
      <c r="FI54" s="179">
        <f t="shared" si="142"/>
        <v>656.96185741324928</v>
      </c>
      <c r="FJ54" s="179">
        <f t="shared" si="143"/>
        <v>9980.8928593059918</v>
      </c>
      <c r="FK54" s="179">
        <f t="shared" si="144"/>
        <v>10254.097140694006</v>
      </c>
      <c r="FL54" s="204">
        <f t="shared" si="145"/>
        <v>10620.351001892743</v>
      </c>
      <c r="FM54" s="206">
        <f t="shared" si="145"/>
        <v>10911.058998107255</v>
      </c>
      <c r="FN54" s="202">
        <f t="shared" si="146"/>
        <v>21531.409999999996</v>
      </c>
      <c r="FO54">
        <v>50.816999999999993</v>
      </c>
      <c r="FP54">
        <v>52.207999999999998</v>
      </c>
      <c r="FQ54" s="217">
        <f t="shared" si="147"/>
        <v>0.49324921135646688</v>
      </c>
      <c r="FR54" s="16">
        <v>11</v>
      </c>
      <c r="FS54" s="16">
        <v>614.28</v>
      </c>
      <c r="FT54" s="16">
        <v>309.3</v>
      </c>
      <c r="FU54" s="16">
        <f t="shared" si="133"/>
        <v>2009.9999999999909</v>
      </c>
      <c r="FV54" s="16">
        <f t="shared" si="134"/>
        <v>1004.9999999999955</v>
      </c>
      <c r="FW54" s="16">
        <f t="shared" si="135"/>
        <v>1004.9999999999955</v>
      </c>
      <c r="FX54" s="151"/>
      <c r="IH54" s="16">
        <v>10</v>
      </c>
      <c r="II54" s="144">
        <f>DailyMei!BX16+DailyMei!BY16-DailyMei!BZ16-DailyMei!CA16-DailyMei!CB16-DailyMei!CC16-DailyMei!CD16-DailyMei!CF16-DailyMei!CE16</f>
        <v>-2.0000000902655302E-2</v>
      </c>
      <c r="IJ54" s="16">
        <v>4293.5</v>
      </c>
      <c r="IK54" s="16">
        <f t="shared" si="148"/>
        <v>1073.375</v>
      </c>
      <c r="IL54" s="16">
        <v>1073.3800000000001</v>
      </c>
      <c r="JN54">
        <f t="shared" si="129"/>
        <v>27624.500000000004</v>
      </c>
    </row>
    <row r="55" spans="1:274" x14ac:dyDescent="0.25">
      <c r="A55" s="35">
        <v>10</v>
      </c>
      <c r="B55" s="138">
        <v>0.21959999999999999</v>
      </c>
      <c r="C55" s="65"/>
      <c r="D55" s="37">
        <f t="shared" si="149"/>
        <v>36999.999999999978</v>
      </c>
      <c r="E55" s="16">
        <v>24467</v>
      </c>
      <c r="F55" s="16"/>
      <c r="G55" s="37">
        <f t="shared" si="136"/>
        <v>0</v>
      </c>
      <c r="H55" s="138"/>
      <c r="I55" s="65"/>
      <c r="J55" s="37">
        <f t="shared" si="137"/>
        <v>0</v>
      </c>
      <c r="L55">
        <v>3.9633333333333333E-2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f t="shared" si="152"/>
        <v>9</v>
      </c>
      <c r="DQ55" s="50">
        <v>8.23</v>
      </c>
      <c r="DR55" s="49">
        <f t="shared" si="150"/>
        <v>44.000000000004036</v>
      </c>
      <c r="DS55" s="50">
        <v>51.348999999999997</v>
      </c>
      <c r="DT55" s="49">
        <f t="shared" si="151"/>
        <v>0</v>
      </c>
      <c r="EZ55" s="203">
        <f t="shared" si="138"/>
        <v>15523.619999999999</v>
      </c>
      <c r="FA55" s="205">
        <f t="shared" si="139"/>
        <v>14236.95</v>
      </c>
      <c r="FB55" s="201">
        <f t="shared" si="140"/>
        <v>29760.57</v>
      </c>
      <c r="FC55" s="16"/>
      <c r="FD55" s="167">
        <f t="shared" si="141"/>
        <v>28464.15</v>
      </c>
      <c r="FE55" s="16"/>
      <c r="FF55" s="199">
        <f t="shared" si="131"/>
        <v>0.49386479093395858</v>
      </c>
      <c r="FG55" s="200">
        <f t="shared" si="132"/>
        <v>0.50613520906604137</v>
      </c>
      <c r="FH55" s="16">
        <f t="shared" si="142"/>
        <v>640.25619226260267</v>
      </c>
      <c r="FI55" s="179">
        <f t="shared" si="142"/>
        <v>656.16380773739741</v>
      </c>
      <c r="FJ55" s="179">
        <f t="shared" si="143"/>
        <v>14057.441488862838</v>
      </c>
      <c r="FK55" s="179">
        <f t="shared" si="144"/>
        <v>14406.708511137162</v>
      </c>
      <c r="FL55" s="204">
        <f t="shared" si="145"/>
        <v>14697.697681125441</v>
      </c>
      <c r="FM55" s="206">
        <f t="shared" si="145"/>
        <v>15062.872318874559</v>
      </c>
      <c r="FN55" s="202">
        <f t="shared" si="146"/>
        <v>29760.57</v>
      </c>
      <c r="FO55">
        <v>50.552000000000007</v>
      </c>
      <c r="FP55">
        <v>51.808000000000007</v>
      </c>
      <c r="FQ55" s="217">
        <f t="shared" si="147"/>
        <v>0.49386479093395858</v>
      </c>
      <c r="FR55" s="16">
        <v>12</v>
      </c>
      <c r="FS55" s="16">
        <v>616.20000000000005</v>
      </c>
      <c r="FT55" s="16">
        <v>310.55</v>
      </c>
      <c r="FU55" s="16">
        <f t="shared" si="133"/>
        <v>1920.0000000000728</v>
      </c>
      <c r="FV55" s="16">
        <f t="shared" si="134"/>
        <v>960.00000000003638</v>
      </c>
      <c r="FW55" s="16">
        <f t="shared" si="135"/>
        <v>960.00000000003638</v>
      </c>
      <c r="FX55" s="151"/>
      <c r="IH55" s="16">
        <v>11</v>
      </c>
      <c r="II55" s="144">
        <f>DailyMei!BX17+DailyMei!BY17-DailyMei!BZ17-DailyMei!CA17-DailyMei!CB17-DailyMei!CC17-DailyMei!CD17-DailyMei!CF17-DailyMei!CE17</f>
        <v>1.9999999818537617E-2</v>
      </c>
      <c r="IJ55" s="16">
        <v>-5276.5</v>
      </c>
      <c r="IK55" s="16">
        <f t="shared" si="148"/>
        <v>-1319.125</v>
      </c>
      <c r="IL55" s="16">
        <v>-1319.13</v>
      </c>
      <c r="JN55">
        <f t="shared" si="129"/>
        <v>27420.000000000055</v>
      </c>
    </row>
    <row r="56" spans="1:274" x14ac:dyDescent="0.25">
      <c r="A56" s="35">
        <v>11</v>
      </c>
      <c r="B56" s="138">
        <v>0.25600000000000001</v>
      </c>
      <c r="C56" s="65"/>
      <c r="D56" s="37">
        <f t="shared" si="149"/>
        <v>36400.000000000015</v>
      </c>
      <c r="E56" s="16">
        <v>24467</v>
      </c>
      <c r="F56" s="16"/>
      <c r="G56" s="37">
        <f t="shared" si="136"/>
        <v>0</v>
      </c>
      <c r="H56" s="138"/>
      <c r="I56" s="65"/>
      <c r="J56" s="37">
        <f t="shared" si="137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f t="shared" si="152"/>
        <v>10</v>
      </c>
      <c r="DQ56" s="50">
        <v>8.2347999999999999</v>
      </c>
      <c r="DR56" s="49">
        <f t="shared" si="150"/>
        <v>47.999999999994714</v>
      </c>
      <c r="DS56" s="50">
        <v>51.348999999999997</v>
      </c>
      <c r="DT56" s="49">
        <f t="shared" si="151"/>
        <v>0</v>
      </c>
      <c r="EZ56" s="203">
        <f t="shared" si="138"/>
        <v>12982.26</v>
      </c>
      <c r="FA56" s="205">
        <f t="shared" si="139"/>
        <v>12990.59</v>
      </c>
      <c r="FB56" s="201">
        <f t="shared" si="140"/>
        <v>25972.85</v>
      </c>
      <c r="FC56" s="16"/>
      <c r="FD56" s="167">
        <f t="shared" si="141"/>
        <v>24676.43</v>
      </c>
      <c r="FE56" s="16"/>
      <c r="FF56" s="199">
        <f t="shared" si="131"/>
        <v>0.46306553954901508</v>
      </c>
      <c r="FG56" s="200">
        <f t="shared" si="132"/>
        <v>0.53693446045098492</v>
      </c>
      <c r="FH56" s="16">
        <f t="shared" si="142"/>
        <v>600.32742678213413</v>
      </c>
      <c r="FI56" s="179">
        <f t="shared" si="142"/>
        <v>696.09257321786595</v>
      </c>
      <c r="FJ56" s="179">
        <f t="shared" si="143"/>
        <v>11426.804372093502</v>
      </c>
      <c r="FK56" s="179">
        <f t="shared" si="144"/>
        <v>13249.625627906498</v>
      </c>
      <c r="FL56" s="204">
        <f t="shared" si="145"/>
        <v>12027.131798875636</v>
      </c>
      <c r="FM56" s="206">
        <f t="shared" si="145"/>
        <v>13945.718201124364</v>
      </c>
      <c r="FN56" s="202">
        <f t="shared" si="146"/>
        <v>25972.85</v>
      </c>
      <c r="FO56">
        <v>44.808999999999997</v>
      </c>
      <c r="FP56">
        <v>51.957000000000008</v>
      </c>
      <c r="FQ56" s="217">
        <f t="shared" si="147"/>
        <v>0.46306553954901508</v>
      </c>
      <c r="FR56" s="16">
        <v>13</v>
      </c>
      <c r="FS56" s="16">
        <v>618.15</v>
      </c>
      <c r="FT56" s="16">
        <v>311.8</v>
      </c>
      <c r="FU56" s="16">
        <f t="shared" si="133"/>
        <v>1949.9999999999318</v>
      </c>
      <c r="FV56" s="16">
        <f t="shared" si="134"/>
        <v>974.99999999996589</v>
      </c>
      <c r="FW56" s="16">
        <f t="shared" si="135"/>
        <v>974.99999999996589</v>
      </c>
      <c r="IH56" s="16">
        <v>12</v>
      </c>
      <c r="II56" s="144">
        <f>DailyMei!BX18+DailyMei!BY18-DailyMei!BZ18-DailyMei!CA18-DailyMei!CB18-DailyMei!CC18-DailyMei!CD18-DailyMei!CF18-DailyMei!CE18</f>
        <v>1.6079866327345371E-9</v>
      </c>
      <c r="IJ56" s="16">
        <v>1539.7</v>
      </c>
      <c r="IK56" s="16">
        <f t="shared" si="148"/>
        <v>384.92500000000001</v>
      </c>
      <c r="IL56" s="16">
        <v>384.92500000000001</v>
      </c>
      <c r="JN56">
        <f t="shared" si="129"/>
        <v>26979.250000000029</v>
      </c>
    </row>
    <row r="57" spans="1:274" x14ac:dyDescent="0.25">
      <c r="A57" s="35">
        <v>12</v>
      </c>
      <c r="B57" s="138">
        <v>0.29270000000000002</v>
      </c>
      <c r="C57" s="65"/>
      <c r="D57" s="37">
        <f t="shared" si="149"/>
        <v>36700.000000000007</v>
      </c>
      <c r="E57" s="16">
        <v>24467</v>
      </c>
      <c r="F57" s="16"/>
      <c r="G57" s="37">
        <f t="shared" si="136"/>
        <v>0</v>
      </c>
      <c r="H57" s="138"/>
      <c r="I57" s="65"/>
      <c r="J57" s="37">
        <f t="shared" si="137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f t="shared" si="152"/>
        <v>11</v>
      </c>
      <c r="DQ57" s="50">
        <v>8.2370000000000001</v>
      </c>
      <c r="DR57" s="49">
        <f t="shared" si="150"/>
        <v>22.000000000002018</v>
      </c>
      <c r="DS57" s="50">
        <v>51.348999999999997</v>
      </c>
      <c r="DT57" s="49">
        <f>IF((DS57-DS56)&lt;=0,0,(DS57-DS56))*1000</f>
        <v>0</v>
      </c>
      <c r="EZ57" s="203">
        <f t="shared" si="138"/>
        <v>14016.96</v>
      </c>
      <c r="FA57" s="205">
        <f t="shared" si="139"/>
        <v>12786.96</v>
      </c>
      <c r="FB57" s="201">
        <f t="shared" si="140"/>
        <v>26803.919999999998</v>
      </c>
      <c r="FC57" s="16"/>
      <c r="FD57" s="167">
        <f t="shared" si="141"/>
        <v>25507.5</v>
      </c>
      <c r="FE57" s="16"/>
      <c r="FF57" s="199">
        <f t="shared" si="131"/>
        <v>0.49533813406336163</v>
      </c>
      <c r="FG57" s="200">
        <f t="shared" si="132"/>
        <v>0.50466186593663842</v>
      </c>
      <c r="FH57" s="16">
        <f t="shared" si="142"/>
        <v>642.16626376242334</v>
      </c>
      <c r="FI57" s="179">
        <f t="shared" si="142"/>
        <v>654.25373623757685</v>
      </c>
      <c r="FJ57" s="179">
        <f t="shared" si="143"/>
        <v>12634.837454621196</v>
      </c>
      <c r="FK57" s="179">
        <f t="shared" si="144"/>
        <v>12872.662545378804</v>
      </c>
      <c r="FL57" s="204">
        <f t="shared" si="145"/>
        <v>13277.003718383619</v>
      </c>
      <c r="FM57" s="206">
        <f t="shared" si="145"/>
        <v>13526.916281616381</v>
      </c>
      <c r="FN57" s="202">
        <f t="shared" si="146"/>
        <v>26803.919999999998</v>
      </c>
      <c r="FO57">
        <v>49.939</v>
      </c>
      <c r="FP57">
        <v>50.879000000000005</v>
      </c>
      <c r="FQ57" s="217">
        <f t="shared" si="147"/>
        <v>0.49533813406336163</v>
      </c>
      <c r="FR57" s="16">
        <v>14</v>
      </c>
      <c r="FS57" s="16">
        <v>620.13</v>
      </c>
      <c r="FT57" s="16">
        <v>313.06</v>
      </c>
      <c r="FU57" s="16">
        <f t="shared" si="133"/>
        <v>1980.0000000000182</v>
      </c>
      <c r="FV57" s="16">
        <f t="shared" si="134"/>
        <v>990.00000000000909</v>
      </c>
      <c r="FW57" s="16">
        <f t="shared" si="135"/>
        <v>990.00000000000909</v>
      </c>
      <c r="IH57" s="16">
        <v>13</v>
      </c>
      <c r="II57" s="144">
        <f>DailyMei!BX19+DailyMei!BY19-DailyMei!BZ19-DailyMei!CA19-DailyMei!CB19-DailyMei!CC19-DailyMei!CD19-DailyMei!CF19-DailyMei!CE19</f>
        <v>-7.2759576141834259E-12</v>
      </c>
      <c r="IJ57" s="16">
        <v>-1015</v>
      </c>
      <c r="IK57" s="16">
        <f t="shared" si="148"/>
        <v>-253.75</v>
      </c>
      <c r="IL57" s="16">
        <v>-253.75</v>
      </c>
      <c r="JN57">
        <f t="shared" si="129"/>
        <v>27494.549999999992</v>
      </c>
    </row>
    <row r="58" spans="1:274" x14ac:dyDescent="0.25">
      <c r="A58" s="35">
        <v>13</v>
      </c>
      <c r="B58" s="138">
        <v>0.32929999999999998</v>
      </c>
      <c r="C58" s="65"/>
      <c r="D58" s="37">
        <f t="shared" si="149"/>
        <v>36599.999999999964</v>
      </c>
      <c r="E58" s="16">
        <v>24467</v>
      </c>
      <c r="F58" s="16"/>
      <c r="G58" s="37">
        <f t="shared" si="136"/>
        <v>0</v>
      </c>
      <c r="H58" s="138"/>
      <c r="I58" s="65"/>
      <c r="J58" s="37">
        <f t="shared" si="137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f t="shared" si="152"/>
        <v>12</v>
      </c>
      <c r="DQ58" s="50">
        <v>8.2413000000000007</v>
      </c>
      <c r="DR58" s="49">
        <f t="shared" si="150"/>
        <v>43.000000000006366</v>
      </c>
      <c r="DS58" s="50">
        <v>51.348999999999997</v>
      </c>
      <c r="DT58" s="49">
        <f t="shared" ref="DT58:DT78" si="153">IF((DS58-DS57)&lt;=0,0,(DS58-DS57))*1000</f>
        <v>0</v>
      </c>
      <c r="EJ58" s="2"/>
      <c r="EZ58" s="203">
        <f t="shared" si="138"/>
        <v>10867.06</v>
      </c>
      <c r="FA58" s="205">
        <f t="shared" si="139"/>
        <v>12623.73</v>
      </c>
      <c r="FB58" s="201">
        <f t="shared" si="140"/>
        <v>23490.79</v>
      </c>
      <c r="FC58" s="16"/>
      <c r="FD58" s="167">
        <f t="shared" si="141"/>
        <v>22194.370000000003</v>
      </c>
      <c r="FE58" s="16"/>
      <c r="FF58" s="199">
        <f t="shared" si="131"/>
        <v>0.5168779376157242</v>
      </c>
      <c r="FG58" s="200">
        <f t="shared" si="132"/>
        <v>0.4831220623842758</v>
      </c>
      <c r="FH58" s="16">
        <f t="shared" si="142"/>
        <v>670.09089588377719</v>
      </c>
      <c r="FI58" s="179">
        <f t="shared" si="142"/>
        <v>626.32910411622288</v>
      </c>
      <c r="FJ58" s="179">
        <f t="shared" si="143"/>
        <v>11471.780192280303</v>
      </c>
      <c r="FK58" s="179">
        <f t="shared" si="144"/>
        <v>10722.5898077197</v>
      </c>
      <c r="FL58" s="204">
        <f t="shared" si="145"/>
        <v>12141.87108816408</v>
      </c>
      <c r="FM58" s="206">
        <f t="shared" si="145"/>
        <v>11348.918911835923</v>
      </c>
      <c r="FN58" s="202">
        <f t="shared" si="146"/>
        <v>23490.79</v>
      </c>
      <c r="FO58">
        <v>50.805999999999997</v>
      </c>
      <c r="FP58">
        <v>47.488</v>
      </c>
      <c r="FQ58" s="217">
        <f t="shared" si="147"/>
        <v>0.5168779376157242</v>
      </c>
      <c r="FR58" s="16">
        <v>15</v>
      </c>
      <c r="FS58" s="16">
        <v>622.39</v>
      </c>
      <c r="FT58" s="16">
        <v>314.47000000000003</v>
      </c>
      <c r="FU58" s="16">
        <f t="shared" si="133"/>
        <v>2259.9999999999909</v>
      </c>
      <c r="FV58" s="16">
        <f t="shared" si="134"/>
        <v>1129.9999999999955</v>
      </c>
      <c r="FW58" s="16">
        <f t="shared" si="135"/>
        <v>1129.9999999999955</v>
      </c>
      <c r="IH58" s="16">
        <v>14</v>
      </c>
      <c r="II58" s="144">
        <f>DailyMei!BX20+DailyMei!BY20-DailyMei!BZ20-DailyMei!CA20-DailyMei!CB20-DailyMei!CC20-DailyMei!CD20-DailyMei!CF20-DailyMei!CE20</f>
        <v>-1.1350493878126144E-9</v>
      </c>
      <c r="IJ58" s="16">
        <v>1056.4000000000001</v>
      </c>
      <c r="IK58" s="16">
        <f t="shared" si="148"/>
        <v>264.10000000000002</v>
      </c>
      <c r="IL58" s="16">
        <v>264.10000000000002</v>
      </c>
      <c r="JN58">
        <f t="shared" si="129"/>
        <v>27657.749999999996</v>
      </c>
    </row>
    <row r="59" spans="1:274" x14ac:dyDescent="0.25">
      <c r="A59" s="35">
        <v>14</v>
      </c>
      <c r="B59" s="138">
        <v>0.36659999999999998</v>
      </c>
      <c r="C59" s="65"/>
      <c r="D59" s="37">
        <f t="shared" si="149"/>
        <v>37300</v>
      </c>
      <c r="E59" s="16">
        <v>24467</v>
      </c>
      <c r="F59" s="16"/>
      <c r="G59" s="37">
        <f t="shared" si="136"/>
        <v>0</v>
      </c>
      <c r="H59" s="138"/>
      <c r="I59" s="65"/>
      <c r="J59" s="37">
        <f t="shared" si="137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f t="shared" si="152"/>
        <v>13</v>
      </c>
      <c r="DQ59" s="50">
        <f>DQ58+0.002</f>
        <v>8.2433000000000014</v>
      </c>
      <c r="DR59" s="49">
        <f t="shared" si="150"/>
        <v>20.000000000006679</v>
      </c>
      <c r="DS59" s="50">
        <v>51.348999999999997</v>
      </c>
      <c r="DT59" s="49">
        <f t="shared" si="153"/>
        <v>0</v>
      </c>
      <c r="EJ59" s="2"/>
      <c r="EZ59" s="203">
        <f t="shared" si="138"/>
        <v>12702.89</v>
      </c>
      <c r="FA59" s="205">
        <f t="shared" si="139"/>
        <v>12796.22</v>
      </c>
      <c r="FB59" s="201">
        <f t="shared" si="140"/>
        <v>25499.11</v>
      </c>
      <c r="FC59" s="16"/>
      <c r="FD59" s="167">
        <f t="shared" si="141"/>
        <v>24202.690000000002</v>
      </c>
      <c r="FE59" s="16"/>
      <c r="FF59" s="199">
        <f t="shared" si="131"/>
        <v>0.48667258996001772</v>
      </c>
      <c r="FG59" s="200">
        <f t="shared" si="132"/>
        <v>0.51332741003998228</v>
      </c>
      <c r="FH59" s="16">
        <f t="shared" si="142"/>
        <v>630.93207907596616</v>
      </c>
      <c r="FI59" s="179">
        <f t="shared" si="142"/>
        <v>665.48792092403392</v>
      </c>
      <c r="FJ59" s="179">
        <f t="shared" si="143"/>
        <v>11778.785826299423</v>
      </c>
      <c r="FK59" s="179">
        <f t="shared" si="144"/>
        <v>12423.904173700579</v>
      </c>
      <c r="FL59" s="204">
        <f t="shared" si="145"/>
        <v>12409.71790537539</v>
      </c>
      <c r="FM59" s="206">
        <f t="shared" si="145"/>
        <v>13089.392094624613</v>
      </c>
      <c r="FN59" s="202">
        <f t="shared" si="146"/>
        <v>25499.11</v>
      </c>
      <c r="FO59">
        <v>50.393000000000001</v>
      </c>
      <c r="FP59">
        <v>53.153000000000006</v>
      </c>
      <c r="FQ59" s="217">
        <f t="shared" si="147"/>
        <v>0.48667258996001772</v>
      </c>
      <c r="FR59" s="16">
        <v>16</v>
      </c>
      <c r="FS59" s="16">
        <v>624.23</v>
      </c>
      <c r="FT59" s="16">
        <v>315.66000000000003</v>
      </c>
      <c r="FU59" s="16">
        <f t="shared" si="133"/>
        <v>1840.0000000000318</v>
      </c>
      <c r="FV59" s="16">
        <f t="shared" si="134"/>
        <v>920.00000000001592</v>
      </c>
      <c r="FW59" s="16">
        <f t="shared" si="135"/>
        <v>920.00000000001592</v>
      </c>
      <c r="IH59" s="16">
        <v>15</v>
      </c>
      <c r="II59" s="144">
        <f>DailyMei!BX21+DailyMei!BY21-DailyMei!BZ21-DailyMei!CA21-DailyMei!CB21-DailyMei!CC21-DailyMei!CD21-DailyMei!CF21-DailyMei!CE21</f>
        <v>8.694769348949194E-10</v>
      </c>
      <c r="IJ59" s="16">
        <v>121.7</v>
      </c>
      <c r="IK59" s="16">
        <f t="shared" si="148"/>
        <v>30.425000000000001</v>
      </c>
      <c r="IL59" s="16">
        <v>30.425000000000001</v>
      </c>
      <c r="JN59">
        <f t="shared" si="129"/>
        <v>27332.749999999887</v>
      </c>
    </row>
    <row r="60" spans="1:274" x14ac:dyDescent="0.25">
      <c r="A60" s="35">
        <v>15</v>
      </c>
      <c r="B60" s="138">
        <v>0.37280000000000002</v>
      </c>
      <c r="C60" s="65"/>
      <c r="D60" s="37">
        <f t="shared" si="149"/>
        <v>6200.0000000000391</v>
      </c>
      <c r="E60" s="16">
        <v>24520</v>
      </c>
      <c r="F60" s="16"/>
      <c r="G60" s="37">
        <f t="shared" si="136"/>
        <v>53000</v>
      </c>
      <c r="H60" s="138"/>
      <c r="I60" s="65"/>
      <c r="J60" s="37">
        <f t="shared" si="137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f t="shared" si="152"/>
        <v>14</v>
      </c>
      <c r="DQ60" s="50">
        <v>8.2453000000000003</v>
      </c>
      <c r="DR60" s="49">
        <f t="shared" si="150"/>
        <v>19.999999999988916</v>
      </c>
      <c r="DS60" s="50">
        <v>51.348999999999997</v>
      </c>
      <c r="DT60" s="49">
        <f t="shared" si="153"/>
        <v>0</v>
      </c>
      <c r="EJ60" s="2"/>
      <c r="EZ60" s="203">
        <f t="shared" si="138"/>
        <v>12707.21</v>
      </c>
      <c r="FA60" s="205">
        <f t="shared" si="139"/>
        <v>18540.54</v>
      </c>
      <c r="FB60" s="201">
        <f t="shared" si="140"/>
        <v>31247.75</v>
      </c>
      <c r="FC60" s="16"/>
      <c r="FD60" s="167">
        <f t="shared" si="141"/>
        <v>29951.33</v>
      </c>
      <c r="FE60" s="16"/>
      <c r="FF60" s="199">
        <f t="shared" si="131"/>
        <v>0.47858720924623499</v>
      </c>
      <c r="FG60" s="200">
        <f t="shared" si="132"/>
        <v>0.52141279075376501</v>
      </c>
      <c r="FH60" s="16">
        <f t="shared" si="142"/>
        <v>620.45002981100401</v>
      </c>
      <c r="FI60" s="179">
        <f t="shared" si="142"/>
        <v>675.96997018899606</v>
      </c>
      <c r="FJ60" s="179">
        <f t="shared" si="143"/>
        <v>14334.323437913037</v>
      </c>
      <c r="FK60" s="179">
        <f t="shared" si="144"/>
        <v>15617.006562086965</v>
      </c>
      <c r="FL60" s="204">
        <f t="shared" si="145"/>
        <v>14954.773467724041</v>
      </c>
      <c r="FM60" s="206">
        <f t="shared" si="145"/>
        <v>16292.976532275961</v>
      </c>
      <c r="FN60" s="202">
        <f t="shared" si="146"/>
        <v>31247.75</v>
      </c>
      <c r="FO60">
        <v>49.606999999999992</v>
      </c>
      <c r="FP60">
        <v>54.045999999999999</v>
      </c>
      <c r="FQ60" s="217">
        <f t="shared" si="147"/>
        <v>0.47858720924623499</v>
      </c>
      <c r="FR60" s="16">
        <v>17</v>
      </c>
      <c r="FS60" s="16">
        <v>626.23</v>
      </c>
      <c r="FT60" s="16">
        <v>316.97000000000003</v>
      </c>
      <c r="FU60" s="16">
        <f t="shared" si="133"/>
        <v>2000</v>
      </c>
      <c r="FV60" s="16">
        <f t="shared" si="134"/>
        <v>1000</v>
      </c>
      <c r="FW60" s="16">
        <f t="shared" si="135"/>
        <v>1000</v>
      </c>
      <c r="IH60" s="16">
        <v>16</v>
      </c>
      <c r="II60" s="144">
        <f>DailyMei!BX22+DailyMei!BY22-DailyMei!BZ22-DailyMei!CA22-DailyMei!CB22-DailyMei!CC22-DailyMei!CD22-DailyMei!CF22-DailyMei!CE22</f>
        <v>3.8926373235881329E-10</v>
      </c>
      <c r="IJ60" s="16">
        <v>455.8</v>
      </c>
      <c r="IK60" s="16">
        <f t="shared" si="148"/>
        <v>113.95</v>
      </c>
      <c r="IL60" s="16">
        <v>113.95</v>
      </c>
      <c r="JN60">
        <f t="shared" si="129"/>
        <v>26955.000000000138</v>
      </c>
    </row>
    <row r="61" spans="1:274" x14ac:dyDescent="0.25">
      <c r="A61" s="35">
        <v>16</v>
      </c>
      <c r="B61" s="138">
        <v>0.37280000000000002</v>
      </c>
      <c r="C61" s="65"/>
      <c r="D61" s="37">
        <f t="shared" si="149"/>
        <v>0</v>
      </c>
      <c r="E61" s="16">
        <v>24606</v>
      </c>
      <c r="F61" s="16"/>
      <c r="G61" s="37">
        <f t="shared" si="136"/>
        <v>86000</v>
      </c>
      <c r="H61" s="138"/>
      <c r="I61" s="65"/>
      <c r="J61" s="37">
        <f t="shared" si="137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f t="shared" si="152"/>
        <v>15</v>
      </c>
      <c r="DQ61" s="50">
        <v>8.25</v>
      </c>
      <c r="DR61" s="49">
        <f t="shared" si="150"/>
        <v>46.999999999997044</v>
      </c>
      <c r="DS61" s="50">
        <v>51.348999999999997</v>
      </c>
      <c r="DT61" s="49">
        <f t="shared" si="153"/>
        <v>0</v>
      </c>
      <c r="EJ61" s="2"/>
      <c r="EZ61" s="203">
        <f t="shared" si="138"/>
        <v>14267.43</v>
      </c>
      <c r="FA61" s="205">
        <f t="shared" si="139"/>
        <v>21065.760000000002</v>
      </c>
      <c r="FB61" s="201">
        <f t="shared" si="140"/>
        <v>35333.19</v>
      </c>
      <c r="FC61" s="16"/>
      <c r="FD61" s="167">
        <f t="shared" si="141"/>
        <v>34036.770000000004</v>
      </c>
      <c r="FE61" s="16"/>
      <c r="FF61" s="199">
        <f t="shared" si="131"/>
        <v>0.49293374262478068</v>
      </c>
      <c r="FG61" s="200">
        <f t="shared" si="132"/>
        <v>0.50706625737521938</v>
      </c>
      <c r="FH61" s="16">
        <f t="shared" si="142"/>
        <v>639.04916261361825</v>
      </c>
      <c r="FI61" s="179">
        <f t="shared" si="142"/>
        <v>657.37083738638194</v>
      </c>
      <c r="FJ61" s="179">
        <f t="shared" si="143"/>
        <v>16777.872422958859</v>
      </c>
      <c r="FK61" s="179">
        <f t="shared" si="144"/>
        <v>17258.897577041149</v>
      </c>
      <c r="FL61" s="204">
        <f t="shared" si="145"/>
        <v>17416.921585572476</v>
      </c>
      <c r="FM61" s="206">
        <f t="shared" si="145"/>
        <v>17916.26841442753</v>
      </c>
      <c r="FN61" s="202">
        <f t="shared" si="146"/>
        <v>35333.19</v>
      </c>
      <c r="FO61">
        <v>49.458999999999996</v>
      </c>
      <c r="FP61">
        <v>50.877000000000002</v>
      </c>
      <c r="FQ61" s="217">
        <f t="shared" si="147"/>
        <v>0.49293374262478068</v>
      </c>
      <c r="FR61" s="16">
        <v>18</v>
      </c>
      <c r="FS61" s="16">
        <v>628.24</v>
      </c>
      <c r="FT61" s="16">
        <v>318.31</v>
      </c>
      <c r="FU61" s="16">
        <f t="shared" si="133"/>
        <v>2009.9999999999909</v>
      </c>
      <c r="FV61" s="16">
        <f t="shared" si="134"/>
        <v>1004.9999999999955</v>
      </c>
      <c r="FW61" s="16">
        <f t="shared" si="135"/>
        <v>1004.9999999999955</v>
      </c>
      <c r="IH61" s="16">
        <v>17</v>
      </c>
      <c r="II61" s="144">
        <f>DailyMei!BX23+DailyMei!BY23-DailyMei!BZ23-DailyMei!CA23-DailyMei!CB23-DailyMei!CC23-DailyMei!CD23-DailyMei!CF23-DailyMei!CE23</f>
        <v>-7.6397554948925972E-10</v>
      </c>
      <c r="IJ61" s="16">
        <v>349.6</v>
      </c>
      <c r="IK61" s="16">
        <f t="shared" si="148"/>
        <v>87.4</v>
      </c>
      <c r="IL61" s="16">
        <v>87.4</v>
      </c>
      <c r="JN61">
        <f t="shared" si="129"/>
        <v>27412.499999999909</v>
      </c>
    </row>
    <row r="62" spans="1:274" x14ac:dyDescent="0.25">
      <c r="A62" s="35">
        <v>17</v>
      </c>
      <c r="B62" s="138">
        <v>0.37280000000000002</v>
      </c>
      <c r="C62" s="65"/>
      <c r="D62" s="37">
        <f t="shared" si="149"/>
        <v>0</v>
      </c>
      <c r="E62" s="16">
        <v>24691</v>
      </c>
      <c r="F62" s="16"/>
      <c r="G62" s="37">
        <f t="shared" si="136"/>
        <v>85000</v>
      </c>
      <c r="H62" s="138"/>
      <c r="I62" s="65"/>
      <c r="J62" s="37">
        <f t="shared" si="137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f t="shared" si="152"/>
        <v>16</v>
      </c>
      <c r="DQ62" s="50">
        <v>8.2525999999999993</v>
      </c>
      <c r="DR62" s="49">
        <f t="shared" si="150"/>
        <v>25.999999999992696</v>
      </c>
      <c r="DS62" s="50">
        <v>51.348999999999997</v>
      </c>
      <c r="DT62" s="49">
        <f t="shared" si="153"/>
        <v>0</v>
      </c>
      <c r="EJ62" s="2"/>
      <c r="EZ62" s="203">
        <f t="shared" si="138"/>
        <v>12746.09</v>
      </c>
      <c r="FA62" s="205">
        <f t="shared" si="139"/>
        <v>19257.759999999998</v>
      </c>
      <c r="FB62" s="201">
        <f t="shared" si="140"/>
        <v>32003.85</v>
      </c>
      <c r="FC62" s="16"/>
      <c r="FD62" s="167">
        <f t="shared" si="141"/>
        <v>30707.43</v>
      </c>
      <c r="FE62" s="16"/>
      <c r="FF62" s="199">
        <f t="shared" si="131"/>
        <v>0.48655403477353909</v>
      </c>
      <c r="FG62" s="200">
        <f t="shared" si="132"/>
        <v>0.51344596522646091</v>
      </c>
      <c r="FH62" s="16">
        <f t="shared" si="142"/>
        <v>630.77838176111163</v>
      </c>
      <c r="FI62" s="179">
        <f t="shared" si="142"/>
        <v>665.64161823888844</v>
      </c>
      <c r="FJ62" s="179">
        <f t="shared" si="143"/>
        <v>14940.823964026018</v>
      </c>
      <c r="FK62" s="179">
        <f t="shared" si="144"/>
        <v>15766.606035973982</v>
      </c>
      <c r="FL62" s="204">
        <f t="shared" si="145"/>
        <v>15571.602345787131</v>
      </c>
      <c r="FM62" s="206">
        <f t="shared" si="145"/>
        <v>16432.247654212872</v>
      </c>
      <c r="FN62" s="202">
        <f t="shared" si="146"/>
        <v>32003.850000000002</v>
      </c>
      <c r="FO62">
        <v>49.448</v>
      </c>
      <c r="FP62">
        <v>52.180999999999997</v>
      </c>
      <c r="FQ62" s="217">
        <f t="shared" si="147"/>
        <v>0.48655403477353909</v>
      </c>
      <c r="FR62" s="16">
        <v>19</v>
      </c>
      <c r="FS62" s="16">
        <v>629.97</v>
      </c>
      <c r="FT62" s="16">
        <v>319.48</v>
      </c>
      <c r="FU62" s="16">
        <f t="shared" si="133"/>
        <v>1730.0000000000182</v>
      </c>
      <c r="FV62" s="16">
        <f t="shared" si="134"/>
        <v>865.00000000000909</v>
      </c>
      <c r="FW62" s="16">
        <f t="shared" si="135"/>
        <v>865.00000000000909</v>
      </c>
      <c r="IH62" s="16">
        <v>18</v>
      </c>
      <c r="II62" s="144">
        <f>DailyMei!BX24+DailyMei!BY24-DailyMei!BZ24-DailyMei!CA24-DailyMei!CB24-DailyMei!CC24-DailyMei!CD24-DailyMei!CF24-DailyMei!CE24</f>
        <v>-8.7311491370201111E-11</v>
      </c>
      <c r="IJ62" s="16">
        <v>-60.8</v>
      </c>
      <c r="IK62" s="16">
        <f t="shared" si="148"/>
        <v>-15.2</v>
      </c>
      <c r="IL62" s="16">
        <v>-15.2</v>
      </c>
      <c r="JN62">
        <f t="shared" si="129"/>
        <v>19573.749999999956</v>
      </c>
    </row>
    <row r="63" spans="1:274" x14ac:dyDescent="0.25">
      <c r="A63" s="35">
        <v>18</v>
      </c>
      <c r="B63" s="138">
        <v>0.37280000000000002</v>
      </c>
      <c r="C63" s="65"/>
      <c r="D63" s="37">
        <f t="shared" si="149"/>
        <v>0</v>
      </c>
      <c r="E63" s="16">
        <v>24750</v>
      </c>
      <c r="F63" s="16"/>
      <c r="G63" s="37">
        <f t="shared" si="136"/>
        <v>59000</v>
      </c>
      <c r="H63" s="138"/>
      <c r="I63" s="65"/>
      <c r="J63" s="37">
        <f t="shared" si="137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f t="shared" si="152"/>
        <v>17</v>
      </c>
      <c r="DQ63" s="50">
        <v>8.2552000000000003</v>
      </c>
      <c r="DR63" s="49">
        <f t="shared" si="150"/>
        <v>26.000000000010459</v>
      </c>
      <c r="DS63" s="50">
        <v>51.348999999999997</v>
      </c>
      <c r="DT63" s="49">
        <f t="shared" si="153"/>
        <v>0</v>
      </c>
      <c r="EJ63" s="2"/>
      <c r="EZ63" s="203">
        <f t="shared" si="138"/>
        <v>11679.03</v>
      </c>
      <c r="FA63" s="205">
        <f t="shared" si="139"/>
        <v>18980.699999999997</v>
      </c>
      <c r="FB63" s="201">
        <f t="shared" si="140"/>
        <v>30659.729999999996</v>
      </c>
      <c r="FC63" s="16"/>
      <c r="FD63" s="167">
        <f t="shared" si="141"/>
        <v>29363.309999999998</v>
      </c>
      <c r="FE63" s="16"/>
      <c r="FF63" s="199">
        <f t="shared" si="131"/>
        <v>0.48198274912092642</v>
      </c>
      <c r="FG63" s="200">
        <f t="shared" si="132"/>
        <v>0.51801725087907358</v>
      </c>
      <c r="FH63" s="16">
        <f t="shared" si="142"/>
        <v>624.85207561535151</v>
      </c>
      <c r="FI63" s="179">
        <f t="shared" si="142"/>
        <v>671.56792438464856</v>
      </c>
      <c r="FJ63" s="179">
        <f t="shared" si="143"/>
        <v>14152.60887708999</v>
      </c>
      <c r="FK63" s="179">
        <f t="shared" si="144"/>
        <v>15210.701122910008</v>
      </c>
      <c r="FL63" s="204">
        <f t="shared" si="145"/>
        <v>14777.460952705342</v>
      </c>
      <c r="FM63" s="206">
        <f t="shared" si="145"/>
        <v>15882.269047294656</v>
      </c>
      <c r="FN63" s="202">
        <f t="shared" si="146"/>
        <v>30659.729999999996</v>
      </c>
      <c r="FO63">
        <v>48.111999999999995</v>
      </c>
      <c r="FP63">
        <v>51.709000000000003</v>
      </c>
      <c r="FQ63" s="217">
        <f t="shared" si="147"/>
        <v>0.48198274912092642</v>
      </c>
      <c r="FR63" s="16">
        <v>20</v>
      </c>
      <c r="FS63" s="16">
        <v>631.76</v>
      </c>
      <c r="FT63" s="16">
        <v>320.64</v>
      </c>
      <c r="FU63" s="16">
        <f t="shared" si="133"/>
        <v>1789.9999999999636</v>
      </c>
      <c r="FV63" s="16">
        <f t="shared" si="134"/>
        <v>894.99999999998181</v>
      </c>
      <c r="FW63" s="16">
        <f t="shared" si="135"/>
        <v>894.99999999998181</v>
      </c>
      <c r="IH63" s="16">
        <v>19</v>
      </c>
      <c r="II63" s="144">
        <f>DailyMei!BX25+DailyMei!BY25-DailyMei!BZ25-DailyMei!CA25-DailyMei!CB25-DailyMei!CC25-DailyMei!CD25-DailyMei!CF25-DailyMei!CE25</f>
        <v>6.8030203692615032E-10</v>
      </c>
      <c r="IJ63" s="16">
        <v>1018</v>
      </c>
      <c r="IK63" s="16">
        <f t="shared" si="148"/>
        <v>254.5</v>
      </c>
      <c r="IL63" s="16">
        <v>254.5</v>
      </c>
      <c r="JN63">
        <f t="shared" si="129"/>
        <v>27091.000000000091</v>
      </c>
    </row>
    <row r="64" spans="1:274" x14ac:dyDescent="0.25">
      <c r="A64" s="35">
        <v>19</v>
      </c>
      <c r="B64" s="138">
        <v>0.37280000000000002</v>
      </c>
      <c r="C64" s="65"/>
      <c r="D64" s="37">
        <f t="shared" si="149"/>
        <v>0</v>
      </c>
      <c r="E64" s="16">
        <v>24834</v>
      </c>
      <c r="F64" s="16"/>
      <c r="G64" s="37">
        <f t="shared" si="136"/>
        <v>84000</v>
      </c>
      <c r="H64" s="138"/>
      <c r="I64" s="65"/>
      <c r="J64" s="37">
        <f t="shared" si="137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f t="shared" si="152"/>
        <v>18</v>
      </c>
      <c r="DQ64" s="50">
        <v>8.2563999999999993</v>
      </c>
      <c r="DR64" s="49">
        <f t="shared" si="150"/>
        <v>11.999999999989797</v>
      </c>
      <c r="DS64" s="50">
        <v>51.348999999999997</v>
      </c>
      <c r="DT64" s="49">
        <f t="shared" si="153"/>
        <v>0</v>
      </c>
      <c r="EZ64" s="203">
        <f t="shared" si="138"/>
        <v>12460.01</v>
      </c>
      <c r="FA64" s="205">
        <f t="shared" si="139"/>
        <v>19643.34</v>
      </c>
      <c r="FB64" s="201">
        <f t="shared" si="140"/>
        <v>32103.35</v>
      </c>
      <c r="FC64" s="16"/>
      <c r="FD64" s="167">
        <f t="shared" si="141"/>
        <v>30806.93</v>
      </c>
      <c r="FE64" s="16"/>
      <c r="FF64" s="199">
        <f t="shared" si="131"/>
        <v>0.48898262157107231</v>
      </c>
      <c r="FG64" s="200">
        <f t="shared" si="132"/>
        <v>0.51101737842892769</v>
      </c>
      <c r="FH64" s="16">
        <f t="shared" si="142"/>
        <v>633.92685025716958</v>
      </c>
      <c r="FI64" s="179">
        <f t="shared" si="142"/>
        <v>662.4931497428305</v>
      </c>
      <c r="FJ64" s="179">
        <f t="shared" si="143"/>
        <v>15064.053393956514</v>
      </c>
      <c r="FK64" s="179">
        <f t="shared" si="144"/>
        <v>15742.876606043486</v>
      </c>
      <c r="FL64" s="204">
        <f t="shared" si="145"/>
        <v>15697.980244213684</v>
      </c>
      <c r="FM64" s="206">
        <f t="shared" si="145"/>
        <v>16405.369755786316</v>
      </c>
      <c r="FN64" s="202">
        <f t="shared" si="146"/>
        <v>32103.35</v>
      </c>
      <c r="FO64">
        <v>50.197000000000003</v>
      </c>
      <c r="FP64">
        <v>52.459000000000003</v>
      </c>
      <c r="FQ64" s="217">
        <f t="shared" si="147"/>
        <v>0.48898262157107231</v>
      </c>
      <c r="FR64" s="16">
        <v>21</v>
      </c>
      <c r="FS64" s="16">
        <v>633.66</v>
      </c>
      <c r="FT64" s="16">
        <v>321.86</v>
      </c>
      <c r="FU64" s="16">
        <f t="shared" si="133"/>
        <v>1899.9999999999773</v>
      </c>
      <c r="FV64" s="16">
        <f t="shared" si="134"/>
        <v>949.99999999998863</v>
      </c>
      <c r="FW64" s="16">
        <f t="shared" si="135"/>
        <v>949.99999999998863</v>
      </c>
      <c r="IH64" s="16">
        <v>20</v>
      </c>
      <c r="II64" s="144">
        <f>DailyMei!BX26+DailyMei!BY26-DailyMei!BZ26-DailyMei!CA26-DailyMei!CB26-DailyMei!CC26-DailyMei!CD26-DailyMei!CF26-DailyMei!CE26</f>
        <v>-1.2914824765175581E-9</v>
      </c>
      <c r="IJ64" s="16">
        <v>-80</v>
      </c>
      <c r="IK64" s="16">
        <f t="shared" si="148"/>
        <v>-20</v>
      </c>
      <c r="IL64" s="16">
        <v>-20</v>
      </c>
    </row>
    <row r="65" spans="1:246" x14ac:dyDescent="0.25">
      <c r="A65" s="35">
        <v>20</v>
      </c>
      <c r="B65" s="138">
        <v>0.37280000000000002</v>
      </c>
      <c r="C65" s="65"/>
      <c r="D65" s="37">
        <f t="shared" si="149"/>
        <v>0</v>
      </c>
      <c r="E65" s="16">
        <v>24922</v>
      </c>
      <c r="F65" s="16"/>
      <c r="G65" s="37">
        <f t="shared" si="136"/>
        <v>88000</v>
      </c>
      <c r="H65" s="138"/>
      <c r="I65" s="65"/>
      <c r="J65" s="37">
        <f t="shared" si="137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f t="shared" si="152"/>
        <v>19</v>
      </c>
      <c r="DQ65" s="50">
        <v>8.2578999999999994</v>
      </c>
      <c r="DR65" s="49">
        <f t="shared" si="150"/>
        <v>15.000000000000568</v>
      </c>
      <c r="DS65" s="50">
        <v>51.348999999999997</v>
      </c>
      <c r="DT65" s="49">
        <f t="shared" si="153"/>
        <v>0</v>
      </c>
      <c r="EZ65" s="203">
        <f t="shared" si="138"/>
        <v>11340.65</v>
      </c>
      <c r="FA65" s="205">
        <f t="shared" si="139"/>
        <v>16968.980000000003</v>
      </c>
      <c r="FB65" s="201">
        <f t="shared" si="140"/>
        <v>28309.630000000005</v>
      </c>
      <c r="FC65" s="16"/>
      <c r="FD65" s="167">
        <f t="shared" si="141"/>
        <v>27013.210000000006</v>
      </c>
      <c r="FE65" s="16"/>
      <c r="FF65" s="199">
        <f t="shared" si="131"/>
        <v>0.50759143530375983</v>
      </c>
      <c r="FG65" s="200">
        <f t="shared" si="132"/>
        <v>0.49240856469624017</v>
      </c>
      <c r="FH65" s="16">
        <f t="shared" si="142"/>
        <v>658.05168855650038</v>
      </c>
      <c r="FI65" s="179">
        <f t="shared" si="142"/>
        <v>638.36831144349969</v>
      </c>
      <c r="FJ65" s="179">
        <f t="shared" si="143"/>
        <v>13711.674036061881</v>
      </c>
      <c r="FK65" s="179">
        <f t="shared" si="144"/>
        <v>13301.535963938126</v>
      </c>
      <c r="FL65" s="204">
        <f t="shared" si="145"/>
        <v>14369.725724618382</v>
      </c>
      <c r="FM65" s="206">
        <f t="shared" si="145"/>
        <v>13939.904275381625</v>
      </c>
      <c r="FN65" s="202">
        <f t="shared" si="146"/>
        <v>28309.630000000005</v>
      </c>
      <c r="FO65">
        <v>49.545999999999999</v>
      </c>
      <c r="FP65">
        <v>48.064</v>
      </c>
      <c r="FQ65" s="217">
        <f t="shared" si="147"/>
        <v>0.50759143530375983</v>
      </c>
      <c r="FR65" s="16">
        <v>22</v>
      </c>
      <c r="FS65" s="16">
        <v>635.29</v>
      </c>
      <c r="FT65" s="16">
        <v>322.89999999999998</v>
      </c>
      <c r="FU65" s="16">
        <f t="shared" si="133"/>
        <v>1629.9999999999955</v>
      </c>
      <c r="FV65" s="16">
        <f t="shared" si="134"/>
        <v>814.99999999999773</v>
      </c>
      <c r="FW65" s="16">
        <f t="shared" si="135"/>
        <v>814.99999999999773</v>
      </c>
      <c r="IH65" s="16">
        <v>21</v>
      </c>
      <c r="II65" s="144">
        <f>DailyMei!BX27+DailyMei!BY27-DailyMei!BZ27-DailyMei!CA27-DailyMei!CB27-DailyMei!CC27-DailyMei!CD27-DailyMei!CF27-DailyMei!CE27</f>
        <v>7.4942363426089287E-10</v>
      </c>
      <c r="IJ65" s="16">
        <v>37</v>
      </c>
      <c r="IK65" s="16">
        <f t="shared" si="148"/>
        <v>9.25</v>
      </c>
      <c r="IL65" s="16">
        <v>9.25</v>
      </c>
    </row>
    <row r="66" spans="1:246" x14ac:dyDescent="0.25">
      <c r="A66" s="35">
        <v>21</v>
      </c>
      <c r="B66" s="138">
        <v>0.37280000000000002</v>
      </c>
      <c r="C66" s="65"/>
      <c r="D66" s="37">
        <f t="shared" si="149"/>
        <v>0</v>
      </c>
      <c r="E66" s="16">
        <v>25009</v>
      </c>
      <c r="F66" s="16"/>
      <c r="G66" s="37">
        <f t="shared" si="136"/>
        <v>87000</v>
      </c>
      <c r="H66" s="138"/>
      <c r="I66" s="65"/>
      <c r="J66" s="37">
        <f t="shared" si="137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f t="shared" si="152"/>
        <v>20</v>
      </c>
      <c r="DQ66" s="50">
        <v>8.2583000000000002</v>
      </c>
      <c r="DR66" s="49">
        <f t="shared" si="150"/>
        <v>4.0000000000084412</v>
      </c>
      <c r="DS66" s="50">
        <v>51.348999999999997</v>
      </c>
      <c r="DT66" s="49">
        <f t="shared" si="153"/>
        <v>0</v>
      </c>
      <c r="EZ66" s="203">
        <f t="shared" si="138"/>
        <v>11216.12</v>
      </c>
      <c r="FA66" s="205">
        <f t="shared" si="139"/>
        <v>13129.45</v>
      </c>
      <c r="FB66" s="201">
        <f t="shared" si="140"/>
        <v>24345.57</v>
      </c>
      <c r="FC66" s="16"/>
      <c r="FD66" s="167">
        <f t="shared" si="141"/>
        <v>23049.15</v>
      </c>
      <c r="FE66" s="16"/>
      <c r="FF66" s="199">
        <f t="shared" si="131"/>
        <v>0.50216698410230498</v>
      </c>
      <c r="FG66" s="200">
        <f t="shared" si="132"/>
        <v>0.49783301589769502</v>
      </c>
      <c r="FH66" s="16">
        <f t="shared" si="142"/>
        <v>651.01932152991026</v>
      </c>
      <c r="FI66" s="179">
        <f t="shared" si="142"/>
        <v>645.40067847008982</v>
      </c>
      <c r="FJ66" s="179">
        <f t="shared" si="143"/>
        <v>11574.522141621643</v>
      </c>
      <c r="FK66" s="179">
        <f t="shared" si="144"/>
        <v>11474.627858378359</v>
      </c>
      <c r="FL66" s="204">
        <f t="shared" si="145"/>
        <v>12225.541463151552</v>
      </c>
      <c r="FM66" s="206">
        <f t="shared" si="145"/>
        <v>12120.028536848449</v>
      </c>
      <c r="FN66" s="202">
        <f t="shared" si="146"/>
        <v>24345.57</v>
      </c>
      <c r="FO66">
        <v>51.677</v>
      </c>
      <c r="FP66">
        <v>51.231000000000002</v>
      </c>
      <c r="FQ66" s="217">
        <f t="shared" si="147"/>
        <v>0.50216698410230498</v>
      </c>
      <c r="FR66" s="16">
        <v>23</v>
      </c>
      <c r="FS66" s="16">
        <v>637.01</v>
      </c>
      <c r="FT66" s="16">
        <v>324.02</v>
      </c>
      <c r="FU66" s="16">
        <f t="shared" si="133"/>
        <v>1720.0000000000273</v>
      </c>
      <c r="FV66" s="16">
        <f t="shared" si="134"/>
        <v>860.00000000001364</v>
      </c>
      <c r="FW66" s="16">
        <f t="shared" si="135"/>
        <v>860.00000000001364</v>
      </c>
      <c r="IH66" s="16">
        <v>22</v>
      </c>
      <c r="II66" s="144">
        <f>DailyMei!BX28+DailyMei!BY28-DailyMei!BZ28-DailyMei!CA28-DailyMei!CB28-DailyMei!CC28-DailyMei!CD28-DailyMei!CF28-DailyMei!CE28</f>
        <v>2.7580426831264049E-10</v>
      </c>
      <c r="IJ66" s="16">
        <v>-61.8</v>
      </c>
      <c r="IK66" s="16">
        <f t="shared" si="148"/>
        <v>-15.45</v>
      </c>
      <c r="IL66" s="16">
        <v>-15.45</v>
      </c>
    </row>
    <row r="67" spans="1:246" x14ac:dyDescent="0.25">
      <c r="A67" s="35">
        <v>22</v>
      </c>
      <c r="B67" s="138">
        <v>0.37280000000000002</v>
      </c>
      <c r="C67" s="65"/>
      <c r="D67" s="37">
        <f t="shared" si="149"/>
        <v>0</v>
      </c>
      <c r="E67" s="16">
        <v>25098</v>
      </c>
      <c r="F67" s="16"/>
      <c r="G67" s="37">
        <f t="shared" si="136"/>
        <v>89000</v>
      </c>
      <c r="H67" s="138"/>
      <c r="I67" s="65"/>
      <c r="J67" s="37">
        <f t="shared" si="137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f t="shared" si="152"/>
        <v>21</v>
      </c>
      <c r="DQ67" s="50">
        <v>8.2584</v>
      </c>
      <c r="DR67" s="49">
        <f t="shared" si="150"/>
        <v>0.99999999999766942</v>
      </c>
      <c r="DS67" s="50">
        <v>51.348999999999997</v>
      </c>
      <c r="DT67" s="49">
        <f t="shared" si="153"/>
        <v>0</v>
      </c>
      <c r="EZ67" s="203">
        <f t="shared" si="138"/>
        <v>11781.17</v>
      </c>
      <c r="FA67" s="205">
        <f t="shared" si="139"/>
        <v>12894.5</v>
      </c>
      <c r="FB67" s="201">
        <f t="shared" si="140"/>
        <v>24675.67</v>
      </c>
      <c r="FC67" s="16"/>
      <c r="FD67" s="167">
        <f t="shared" si="141"/>
        <v>23379.25</v>
      </c>
      <c r="FE67" s="16"/>
      <c r="FF67" s="199">
        <f t="shared" si="131"/>
        <v>0.49749128067062354</v>
      </c>
      <c r="FG67" s="200">
        <f t="shared" si="132"/>
        <v>0.50250871932937646</v>
      </c>
      <c r="FH67" s="16">
        <f t="shared" si="142"/>
        <v>644.95764608700983</v>
      </c>
      <c r="FI67" s="179">
        <f t="shared" si="142"/>
        <v>651.46235391299024</v>
      </c>
      <c r="FJ67" s="179">
        <f t="shared" si="143"/>
        <v>11630.973023618675</v>
      </c>
      <c r="FK67" s="179">
        <f t="shared" si="144"/>
        <v>11748.276976381325</v>
      </c>
      <c r="FL67" s="204">
        <f t="shared" si="145"/>
        <v>12275.930669705685</v>
      </c>
      <c r="FM67" s="206">
        <f t="shared" si="145"/>
        <v>12399.739330294315</v>
      </c>
      <c r="FN67" s="202">
        <f t="shared" si="146"/>
        <v>24675.67</v>
      </c>
      <c r="FO67">
        <v>48.783000000000001</v>
      </c>
      <c r="FP67">
        <v>49.274999999999999</v>
      </c>
      <c r="FQ67" s="217">
        <f t="shared" si="147"/>
        <v>0.49749128067062354</v>
      </c>
      <c r="FR67" s="16">
        <v>24</v>
      </c>
      <c r="FS67" s="16">
        <v>638.73</v>
      </c>
      <c r="FT67" s="16">
        <v>325.16000000000003</v>
      </c>
      <c r="FU67" s="16">
        <f t="shared" si="133"/>
        <v>1720.0000000000273</v>
      </c>
      <c r="FV67" s="16">
        <f t="shared" si="134"/>
        <v>860.00000000001364</v>
      </c>
      <c r="FW67" s="16">
        <f t="shared" si="135"/>
        <v>860.00000000001364</v>
      </c>
      <c r="IH67" s="16">
        <v>23</v>
      </c>
      <c r="II67" s="144">
        <f>DailyMei!BX29+DailyMei!BY29-DailyMei!BZ29-DailyMei!CA29-DailyMei!CB29-DailyMei!CC29-DailyMei!CD29-DailyMei!CF29-DailyMei!CE29</f>
        <v>-4.0017766878008842E-11</v>
      </c>
      <c r="IJ67" s="16">
        <v>2111</v>
      </c>
      <c r="IK67" s="16">
        <f t="shared" si="148"/>
        <v>527.75</v>
      </c>
      <c r="IL67" s="16">
        <v>527.75</v>
      </c>
    </row>
    <row r="68" spans="1:246" x14ac:dyDescent="0.25">
      <c r="A68" s="35">
        <v>23</v>
      </c>
      <c r="B68" s="138">
        <v>0.37280000000000002</v>
      </c>
      <c r="C68" s="65"/>
      <c r="D68" s="37">
        <f t="shared" si="149"/>
        <v>0</v>
      </c>
      <c r="E68" s="16">
        <v>25172</v>
      </c>
      <c r="F68" s="16"/>
      <c r="G68" s="37">
        <f t="shared" si="136"/>
        <v>74000</v>
      </c>
      <c r="H68" s="138"/>
      <c r="I68" s="65"/>
      <c r="J68" s="37">
        <f t="shared" si="137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f t="shared" si="152"/>
        <v>22</v>
      </c>
      <c r="DQ68" s="50">
        <v>8.2584</v>
      </c>
      <c r="DR68" s="49">
        <f t="shared" si="150"/>
        <v>0</v>
      </c>
      <c r="DS68" s="50">
        <v>51.348999999999997</v>
      </c>
      <c r="DT68" s="49">
        <f t="shared" si="153"/>
        <v>0</v>
      </c>
      <c r="EZ68" s="203">
        <f t="shared" si="138"/>
        <v>11075.05</v>
      </c>
      <c r="FA68" s="205">
        <f t="shared" si="139"/>
        <v>9778.3799999999992</v>
      </c>
      <c r="FB68" s="201">
        <f t="shared" si="140"/>
        <v>20853.43</v>
      </c>
      <c r="FC68" s="16"/>
      <c r="FD68" s="167">
        <f t="shared" si="141"/>
        <v>19557.010000000002</v>
      </c>
      <c r="FE68" s="16"/>
      <c r="FF68" s="199">
        <f t="shared" si="131"/>
        <v>0.54308657732397358</v>
      </c>
      <c r="FG68" s="200">
        <f t="shared" si="132"/>
        <v>0.45691342267602642</v>
      </c>
      <c r="FH68" s="16">
        <f t="shared" si="142"/>
        <v>704.06830057434593</v>
      </c>
      <c r="FI68" s="179">
        <f t="shared" si="142"/>
        <v>592.35169942565415</v>
      </c>
      <c r="FJ68" s="179">
        <f t="shared" si="143"/>
        <v>10621.149623590725</v>
      </c>
      <c r="FK68" s="179">
        <f t="shared" si="144"/>
        <v>8935.8603764092768</v>
      </c>
      <c r="FL68" s="204">
        <f t="shared" si="145"/>
        <v>11325.217924165072</v>
      </c>
      <c r="FM68" s="206">
        <f t="shared" si="145"/>
        <v>9528.2120758349301</v>
      </c>
      <c r="FN68" s="202">
        <f t="shared" si="146"/>
        <v>20853.43</v>
      </c>
      <c r="FO68">
        <v>51.061</v>
      </c>
      <c r="FP68">
        <v>42.959000000000003</v>
      </c>
      <c r="FQ68" s="217">
        <f t="shared" si="147"/>
        <v>0.54308657732397358</v>
      </c>
      <c r="FR68" s="16">
        <v>25</v>
      </c>
      <c r="FS68" s="16">
        <v>640.30999999999995</v>
      </c>
      <c r="FT68" s="16">
        <v>326.23</v>
      </c>
      <c r="FU68" s="16">
        <f t="shared" si="133"/>
        <v>1579.9999999999272</v>
      </c>
      <c r="FV68" s="16">
        <f t="shared" si="134"/>
        <v>789.99999999996362</v>
      </c>
      <c r="FW68" s="16">
        <f t="shared" si="135"/>
        <v>789.99999999996362</v>
      </c>
      <c r="IH68" s="16">
        <v>24</v>
      </c>
      <c r="II68" s="144">
        <f>DailyMei!BX30+DailyMei!BY30-DailyMei!BZ30-DailyMei!CA30-DailyMei!CB30-DailyMei!CC30-DailyMei!CD30-DailyMei!CF30-DailyMei!CE30</f>
        <v>-5.8207660913467407E-11</v>
      </c>
      <c r="IJ68" s="16">
        <v>-669</v>
      </c>
      <c r="IK68" s="16">
        <f t="shared" si="148"/>
        <v>-167.25</v>
      </c>
      <c r="IL68" s="16">
        <v>-167.25</v>
      </c>
    </row>
    <row r="69" spans="1:246" x14ac:dyDescent="0.25">
      <c r="A69" s="35">
        <v>24</v>
      </c>
      <c r="B69" s="138">
        <v>0.37280000000000002</v>
      </c>
      <c r="C69" s="65"/>
      <c r="D69" s="37">
        <f t="shared" si="149"/>
        <v>0</v>
      </c>
      <c r="E69" s="16">
        <v>25229</v>
      </c>
      <c r="F69" s="16"/>
      <c r="G69" s="37">
        <f t="shared" si="136"/>
        <v>57000</v>
      </c>
      <c r="H69" s="138"/>
      <c r="I69" s="65"/>
      <c r="J69" s="37">
        <f t="shared" si="137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f t="shared" si="152"/>
        <v>23</v>
      </c>
      <c r="DQ69" s="50">
        <v>8.2584</v>
      </c>
      <c r="DR69" s="49">
        <f t="shared" si="150"/>
        <v>0</v>
      </c>
      <c r="DS69" s="50">
        <v>51.348999999999997</v>
      </c>
      <c r="DT69" s="49">
        <f t="shared" si="153"/>
        <v>0</v>
      </c>
      <c r="EZ69" s="203">
        <f t="shared" si="138"/>
        <v>12419.77</v>
      </c>
      <c r="FA69" s="205">
        <f t="shared" si="139"/>
        <v>11189.77</v>
      </c>
      <c r="FB69" s="201">
        <f t="shared" si="140"/>
        <v>23609.54</v>
      </c>
      <c r="FC69" s="16"/>
      <c r="FD69" s="167">
        <f t="shared" si="141"/>
        <v>22313.120000000003</v>
      </c>
      <c r="FE69" s="16"/>
      <c r="FF69" s="199">
        <f t="shared" si="131"/>
        <v>0.50241424403983503</v>
      </c>
      <c r="FG69" s="200">
        <f t="shared" si="132"/>
        <v>0.49758575596016497</v>
      </c>
      <c r="FH69" s="16">
        <f t="shared" si="142"/>
        <v>651.33987425812302</v>
      </c>
      <c r="FI69" s="179">
        <f t="shared" si="142"/>
        <v>645.08012574187705</v>
      </c>
      <c r="FJ69" s="179">
        <f t="shared" si="143"/>
        <v>11210.429316970125</v>
      </c>
      <c r="FK69" s="179">
        <f t="shared" si="144"/>
        <v>11102.690683029878</v>
      </c>
      <c r="FL69" s="204">
        <f t="shared" si="145"/>
        <v>11861.769191228248</v>
      </c>
      <c r="FM69" s="206">
        <f t="shared" si="145"/>
        <v>11747.770808771755</v>
      </c>
      <c r="FN69" s="202">
        <f t="shared" si="146"/>
        <v>23609.54</v>
      </c>
      <c r="FO69">
        <v>49.945</v>
      </c>
      <c r="FP69">
        <v>49.465000000000003</v>
      </c>
      <c r="FQ69" s="217">
        <f t="shared" si="147"/>
        <v>0.50241424403983503</v>
      </c>
      <c r="FR69" s="16">
        <v>26</v>
      </c>
      <c r="FS69" s="16">
        <v>642.09</v>
      </c>
      <c r="FT69" s="16">
        <v>327.39</v>
      </c>
      <c r="FU69" s="16">
        <f t="shared" si="133"/>
        <v>1780.0000000000864</v>
      </c>
      <c r="FV69" s="16">
        <f t="shared" si="134"/>
        <v>890.0000000000432</v>
      </c>
      <c r="FW69" s="16">
        <f t="shared" si="135"/>
        <v>890.0000000000432</v>
      </c>
      <c r="IH69" s="16">
        <v>25</v>
      </c>
      <c r="II69" s="144">
        <f>DailyMei!BX31+DailyMei!BY31-DailyMei!BZ31-DailyMei!CA31-DailyMei!CB31-DailyMei!CC31-DailyMei!CD31-DailyMei!CF31-DailyMei!CE31</f>
        <v>-3.1286617740988731E-10</v>
      </c>
      <c r="IJ69" s="16">
        <v>-580</v>
      </c>
      <c r="IK69" s="16">
        <f t="shared" si="148"/>
        <v>-145</v>
      </c>
      <c r="IL69" s="16">
        <v>-145</v>
      </c>
    </row>
    <row r="70" spans="1:246" x14ac:dyDescent="0.25">
      <c r="A70" s="35">
        <v>25</v>
      </c>
      <c r="B70" s="138">
        <v>0.37280000000000002</v>
      </c>
      <c r="C70" s="65"/>
      <c r="D70" s="37">
        <f t="shared" si="149"/>
        <v>0</v>
      </c>
      <c r="E70" s="16">
        <v>25298</v>
      </c>
      <c r="F70" s="16"/>
      <c r="G70" s="37">
        <f t="shared" si="136"/>
        <v>69000</v>
      </c>
      <c r="H70" s="138"/>
      <c r="I70" s="65"/>
      <c r="J70" s="37">
        <f t="shared" si="137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f t="shared" si="152"/>
        <v>24</v>
      </c>
      <c r="DQ70" s="50">
        <v>8.2584</v>
      </c>
      <c r="DR70" s="49">
        <f t="shared" si="150"/>
        <v>0</v>
      </c>
      <c r="DS70" s="50">
        <v>51.348999999999997</v>
      </c>
      <c r="DT70" s="49">
        <f t="shared" si="153"/>
        <v>0</v>
      </c>
      <c r="EZ70" s="203">
        <f t="shared" si="138"/>
        <v>11686.13</v>
      </c>
      <c r="FA70" s="205">
        <f t="shared" si="139"/>
        <v>9947.7999999999993</v>
      </c>
      <c r="FB70" s="201">
        <f t="shared" si="140"/>
        <v>21633.93</v>
      </c>
      <c r="FC70" s="16"/>
      <c r="FD70" s="167">
        <f t="shared" si="141"/>
        <v>20337.510000000002</v>
      </c>
      <c r="FE70" s="16"/>
      <c r="FF70" s="199">
        <f t="shared" si="131"/>
        <v>0.51646938222892735</v>
      </c>
      <c r="FG70" s="200">
        <f t="shared" si="132"/>
        <v>0.48353061777107265</v>
      </c>
      <c r="FH70" s="16">
        <f t="shared" si="142"/>
        <v>669.56123650922609</v>
      </c>
      <c r="FI70" s="179">
        <f t="shared" si="142"/>
        <v>626.85876349077398</v>
      </c>
      <c r="FJ70" s="179">
        <f t="shared" si="143"/>
        <v>10503.701225774634</v>
      </c>
      <c r="FK70" s="179">
        <f t="shared" si="144"/>
        <v>9833.8087742253683</v>
      </c>
      <c r="FL70" s="204">
        <f t="shared" si="145"/>
        <v>11173.262462283859</v>
      </c>
      <c r="FM70" s="206">
        <f t="shared" si="145"/>
        <v>10460.667537716143</v>
      </c>
      <c r="FN70" s="202">
        <f t="shared" si="146"/>
        <v>21633.93</v>
      </c>
      <c r="FO70">
        <v>53.405000000000001</v>
      </c>
      <c r="FP70">
        <v>49.998999999999995</v>
      </c>
      <c r="FQ70" s="217">
        <f t="shared" si="147"/>
        <v>0.51646938222892735</v>
      </c>
      <c r="FR70" s="16">
        <v>27</v>
      </c>
      <c r="FS70" s="16">
        <v>643.91999999999996</v>
      </c>
      <c r="FT70" s="16">
        <v>328.56</v>
      </c>
      <c r="FU70" s="16">
        <f t="shared" si="133"/>
        <v>1829.9999999999272</v>
      </c>
      <c r="FV70" s="16">
        <f t="shared" si="134"/>
        <v>914.99999999996362</v>
      </c>
      <c r="FW70" s="16">
        <f t="shared" si="135"/>
        <v>914.99999999996362</v>
      </c>
      <c r="IH70" s="16">
        <v>26</v>
      </c>
      <c r="II70" s="144">
        <f>DailyMei!BX32+DailyMei!BY32-DailyMei!BZ32-DailyMei!CA32-DailyMei!CB32-DailyMei!CC32-DailyMei!CD32-DailyMei!CF32-DailyMei!CE32</f>
        <v>4.3655745685100555E-11</v>
      </c>
      <c r="IJ70" s="16">
        <v>1250</v>
      </c>
      <c r="IK70" s="16">
        <f t="shared" si="148"/>
        <v>312.5</v>
      </c>
      <c r="IL70" s="16">
        <v>312.5</v>
      </c>
    </row>
    <row r="71" spans="1:246" x14ac:dyDescent="0.25">
      <c r="A71" s="35">
        <v>26</v>
      </c>
      <c r="B71" s="138">
        <v>0.37280000000000002</v>
      </c>
      <c r="C71" s="65"/>
      <c r="D71" s="37">
        <f t="shared" si="149"/>
        <v>0</v>
      </c>
      <c r="E71" s="16">
        <v>25390</v>
      </c>
      <c r="F71" s="16"/>
      <c r="G71" s="37">
        <f t="shared" si="136"/>
        <v>92000</v>
      </c>
      <c r="H71" s="138"/>
      <c r="I71" s="65"/>
      <c r="J71" s="37">
        <f t="shared" si="137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f t="shared" si="152"/>
        <v>25</v>
      </c>
      <c r="DQ71" s="50">
        <v>8.2584</v>
      </c>
      <c r="DR71" s="49">
        <f t="shared" si="150"/>
        <v>0</v>
      </c>
      <c r="DS71" s="50">
        <v>51.348999999999997</v>
      </c>
      <c r="DT71" s="49">
        <f t="shared" si="153"/>
        <v>0</v>
      </c>
      <c r="EZ71" s="203">
        <f t="shared" si="138"/>
        <v>12832.49</v>
      </c>
      <c r="FA71" s="205">
        <f t="shared" si="139"/>
        <v>11650.82</v>
      </c>
      <c r="FB71" s="201">
        <f t="shared" si="140"/>
        <v>24483.309999999998</v>
      </c>
      <c r="FC71" s="16"/>
      <c r="FD71" s="167">
        <f t="shared" si="141"/>
        <v>23186.89</v>
      </c>
      <c r="FE71" s="16"/>
      <c r="FF71" s="199">
        <f t="shared" si="131"/>
        <v>0.48998153726557181</v>
      </c>
      <c r="FG71" s="200">
        <f t="shared" si="132"/>
        <v>0.51001846273442819</v>
      </c>
      <c r="FH71" s="16">
        <f t="shared" si="142"/>
        <v>635.22186454183259</v>
      </c>
      <c r="FI71" s="179">
        <f t="shared" si="142"/>
        <v>661.19813545816749</v>
      </c>
      <c r="FJ71" s="179">
        <f t="shared" si="143"/>
        <v>11361.148006607715</v>
      </c>
      <c r="FK71" s="179">
        <f t="shared" si="144"/>
        <v>11825.741993392285</v>
      </c>
      <c r="FL71" s="204">
        <f t="shared" si="145"/>
        <v>11996.369871149547</v>
      </c>
      <c r="FM71" s="206">
        <f t="shared" si="145"/>
        <v>12486.940128850452</v>
      </c>
      <c r="FN71" s="202">
        <f t="shared" si="146"/>
        <v>24483.309999999998</v>
      </c>
      <c r="FO71">
        <v>50.423999999999992</v>
      </c>
      <c r="FP71">
        <v>52.486000000000004</v>
      </c>
      <c r="FQ71" s="217">
        <f t="shared" si="147"/>
        <v>0.48998153726557181</v>
      </c>
      <c r="FR71" s="16">
        <v>28</v>
      </c>
      <c r="FS71" s="16">
        <v>645.61</v>
      </c>
      <c r="FT71" s="16">
        <v>329.64</v>
      </c>
      <c r="FU71" s="16">
        <f t="shared" si="133"/>
        <v>1690.0000000000546</v>
      </c>
      <c r="FV71" s="16">
        <f t="shared" si="134"/>
        <v>845.00000000002728</v>
      </c>
      <c r="FW71" s="16">
        <f t="shared" si="135"/>
        <v>845.00000000002728</v>
      </c>
      <c r="IH71" s="16">
        <v>27</v>
      </c>
      <c r="II71" s="144">
        <f>DailyMei!BX33+DailyMei!BY33-DailyMei!BZ33-DailyMei!CA33-DailyMei!CB33-DailyMei!CC33-DailyMei!CD33-DailyMei!CF33-DailyMei!CE33</f>
        <v>5.5297277867794037E-10</v>
      </c>
      <c r="IJ71" s="16">
        <v>-905</v>
      </c>
      <c r="IK71" s="16">
        <f t="shared" si="148"/>
        <v>-226.25</v>
      </c>
      <c r="IL71" s="16">
        <v>-226.25</v>
      </c>
    </row>
    <row r="72" spans="1:246" x14ac:dyDescent="0.25">
      <c r="A72" s="35">
        <v>27</v>
      </c>
      <c r="B72" s="138">
        <v>0.37280000000000002</v>
      </c>
      <c r="C72" s="65"/>
      <c r="D72" s="37">
        <f t="shared" si="149"/>
        <v>0</v>
      </c>
      <c r="E72" s="16">
        <v>25476</v>
      </c>
      <c r="F72" s="16"/>
      <c r="G72" s="37">
        <f t="shared" si="136"/>
        <v>86000</v>
      </c>
      <c r="H72" s="138"/>
      <c r="I72" s="65"/>
      <c r="J72" s="37">
        <f t="shared" si="137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f t="shared" si="152"/>
        <v>26</v>
      </c>
      <c r="DQ72" s="50">
        <v>8.2584</v>
      </c>
      <c r="DR72" s="49">
        <f t="shared" si="150"/>
        <v>0</v>
      </c>
      <c r="DS72" s="50">
        <v>51.348999999999997</v>
      </c>
      <c r="DT72" s="49">
        <f t="shared" si="153"/>
        <v>0</v>
      </c>
      <c r="EZ72" s="203">
        <f t="shared" si="138"/>
        <v>11604.5</v>
      </c>
      <c r="FA72" s="205">
        <f t="shared" si="139"/>
        <v>11482.83</v>
      </c>
      <c r="FB72" s="201">
        <f t="shared" si="140"/>
        <v>23087.33</v>
      </c>
      <c r="FC72" s="16"/>
      <c r="FD72" s="167">
        <f t="shared" si="141"/>
        <v>21790.910000000003</v>
      </c>
      <c r="FE72" s="16"/>
      <c r="FF72" s="199">
        <f t="shared" si="131"/>
        <v>0.51810183898002138</v>
      </c>
      <c r="FG72" s="200">
        <f t="shared" si="132"/>
        <v>0.48189816101997862</v>
      </c>
      <c r="FH72" s="16">
        <f t="shared" si="142"/>
        <v>671.67758609047939</v>
      </c>
      <c r="FI72" s="179">
        <f t="shared" si="142"/>
        <v>624.74241390952068</v>
      </c>
      <c r="FJ72" s="179">
        <f t="shared" si="143"/>
        <v>11289.91054404814</v>
      </c>
      <c r="FK72" s="179">
        <f t="shared" si="144"/>
        <v>10500.999455951864</v>
      </c>
      <c r="FL72" s="204">
        <f t="shared" si="145"/>
        <v>11961.58813013862</v>
      </c>
      <c r="FM72" s="206">
        <f t="shared" si="145"/>
        <v>11125.741869861384</v>
      </c>
      <c r="FN72" s="202">
        <f t="shared" si="146"/>
        <v>23087.33</v>
      </c>
      <c r="FO72">
        <v>52.176999999999992</v>
      </c>
      <c r="FP72">
        <v>48.530999999999999</v>
      </c>
      <c r="FQ72" s="217">
        <f t="shared" si="147"/>
        <v>0.51810183898002138</v>
      </c>
      <c r="FR72" s="16">
        <v>29</v>
      </c>
      <c r="FS72" s="16">
        <v>647.34</v>
      </c>
      <c r="FT72" s="16">
        <v>330.76</v>
      </c>
      <c r="FU72" s="16">
        <f t="shared" si="133"/>
        <v>1730.0000000000182</v>
      </c>
      <c r="FV72" s="16">
        <f t="shared" si="134"/>
        <v>865.00000000000909</v>
      </c>
      <c r="FW72" s="16">
        <f t="shared" si="135"/>
        <v>865.00000000000909</v>
      </c>
      <c r="IH72" s="16">
        <v>28</v>
      </c>
      <c r="II72" s="144">
        <f>DailyMei!BX34+DailyMei!BY34-DailyMei!BZ34-DailyMei!CA34-DailyMei!CB34-DailyMei!CC34-DailyMei!CD34-DailyMei!CF34-DailyMei!CE34</f>
        <v>-3.6015990190207958E-10</v>
      </c>
      <c r="IJ72" s="16">
        <v>764</v>
      </c>
      <c r="IK72" s="16">
        <f t="shared" si="148"/>
        <v>191</v>
      </c>
      <c r="IL72" s="16">
        <v>191</v>
      </c>
    </row>
    <row r="73" spans="1:246" x14ac:dyDescent="0.25">
      <c r="A73" s="35">
        <v>28</v>
      </c>
      <c r="B73" s="138">
        <v>0.37280000000000002</v>
      </c>
      <c r="C73" s="65"/>
      <c r="D73" s="37">
        <f t="shared" si="149"/>
        <v>0</v>
      </c>
      <c r="E73" s="16">
        <v>25563</v>
      </c>
      <c r="F73" s="16"/>
      <c r="G73" s="37">
        <f t="shared" si="136"/>
        <v>87000</v>
      </c>
      <c r="H73" s="138"/>
      <c r="I73" s="65"/>
      <c r="J73" s="37">
        <f t="shared" si="137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f t="shared" si="152"/>
        <v>27</v>
      </c>
      <c r="DQ73" s="50">
        <v>8.2584</v>
      </c>
      <c r="DR73" s="49">
        <f t="shared" si="150"/>
        <v>0</v>
      </c>
      <c r="DS73" s="50">
        <v>51.348999999999997</v>
      </c>
      <c r="DT73" s="49">
        <f t="shared" si="153"/>
        <v>0</v>
      </c>
      <c r="EZ73" s="203">
        <f t="shared" si="138"/>
        <v>10837.82</v>
      </c>
      <c r="FA73" s="205">
        <f t="shared" si="139"/>
        <v>11647.82</v>
      </c>
      <c r="FB73" s="201">
        <f t="shared" si="140"/>
        <v>22485.64</v>
      </c>
      <c r="FC73" s="16"/>
      <c r="FD73" s="167">
        <f t="shared" si="141"/>
        <v>21189.22</v>
      </c>
      <c r="FE73" s="16"/>
      <c r="FF73" s="199">
        <f t="shared" si="131"/>
        <v>0.51157764742204381</v>
      </c>
      <c r="FG73" s="200">
        <f t="shared" si="132"/>
        <v>0.48842235257795619</v>
      </c>
      <c r="FH73" s="16">
        <f t="shared" si="142"/>
        <v>663.2194936708861</v>
      </c>
      <c r="FI73" s="179">
        <f t="shared" si="142"/>
        <v>633.20050632911398</v>
      </c>
      <c r="FJ73" s="179">
        <f t="shared" si="143"/>
        <v>10839.931318308119</v>
      </c>
      <c r="FK73" s="179">
        <f t="shared" si="144"/>
        <v>10349.288681691882</v>
      </c>
      <c r="FL73" s="204">
        <f t="shared" si="145"/>
        <v>11503.150811979005</v>
      </c>
      <c r="FM73" s="206">
        <f t="shared" si="145"/>
        <v>10982.489188020996</v>
      </c>
      <c r="FN73" s="202">
        <f t="shared" si="146"/>
        <v>22485.64</v>
      </c>
      <c r="FO73">
        <v>51.367000000000004</v>
      </c>
      <c r="FP73">
        <v>49.042000000000002</v>
      </c>
      <c r="FQ73" s="217">
        <f t="shared" si="147"/>
        <v>0.51157764742204381</v>
      </c>
      <c r="FR73" s="16">
        <v>30</v>
      </c>
      <c r="FS73" s="16">
        <v>649.08000000000004</v>
      </c>
      <c r="FT73" s="16">
        <v>331.88</v>
      </c>
      <c r="FU73" s="16">
        <f t="shared" si="133"/>
        <v>1740.0000000000091</v>
      </c>
      <c r="FV73" s="16">
        <f t="shared" si="134"/>
        <v>870.00000000000455</v>
      </c>
      <c r="FW73" s="16">
        <f t="shared" si="135"/>
        <v>870.00000000000455</v>
      </c>
      <c r="IH73" s="16">
        <v>29</v>
      </c>
      <c r="II73" s="144">
        <f>DailyMei!BX35+DailyMei!BY35-DailyMei!BZ35-DailyMei!CA35-DailyMei!CB35-DailyMei!CC35-DailyMei!CD35-DailyMei!CF35-DailyMei!CE35</f>
        <v>-2.7648638933897018E-10</v>
      </c>
      <c r="IJ73" s="16">
        <v>1060</v>
      </c>
      <c r="IK73" s="16">
        <f t="shared" si="148"/>
        <v>265</v>
      </c>
      <c r="IL73" s="16">
        <v>265</v>
      </c>
    </row>
    <row r="74" spans="1:246" x14ac:dyDescent="0.25">
      <c r="A74" s="35">
        <v>29</v>
      </c>
      <c r="B74" s="138">
        <v>0.37280000000000002</v>
      </c>
      <c r="C74" s="65"/>
      <c r="D74" s="37">
        <f t="shared" si="149"/>
        <v>0</v>
      </c>
      <c r="E74" s="16">
        <v>25647</v>
      </c>
      <c r="F74" s="16"/>
      <c r="G74" s="37">
        <f t="shared" si="136"/>
        <v>84000</v>
      </c>
      <c r="H74" s="138"/>
      <c r="I74" s="65"/>
      <c r="J74" s="37">
        <f t="shared" si="137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f t="shared" si="152"/>
        <v>28</v>
      </c>
      <c r="DQ74" s="50">
        <v>8.2584</v>
      </c>
      <c r="DR74" s="49">
        <f t="shared" si="150"/>
        <v>0</v>
      </c>
      <c r="DS74" s="50">
        <v>51.348999999999997</v>
      </c>
      <c r="DT74" s="49">
        <f t="shared" si="153"/>
        <v>0</v>
      </c>
      <c r="EZ74" s="203">
        <f t="shared" si="138"/>
        <v>11083.12</v>
      </c>
      <c r="FA74" s="205">
        <f t="shared" si="139"/>
        <v>11289.79</v>
      </c>
      <c r="FB74" s="201">
        <f t="shared" si="140"/>
        <v>22372.910000000003</v>
      </c>
      <c r="FC74" s="16"/>
      <c r="FD74" s="167">
        <f t="shared" si="141"/>
        <v>21076.490000000005</v>
      </c>
      <c r="FE74" s="16"/>
      <c r="FF74" s="199">
        <f t="shared" si="131"/>
        <v>0.50963380829645488</v>
      </c>
      <c r="FG74" s="200">
        <f t="shared" si="132"/>
        <v>0.49036619170354512</v>
      </c>
      <c r="FH74" s="16">
        <f t="shared" si="142"/>
        <v>660.69946175169002</v>
      </c>
      <c r="FI74" s="179">
        <f t="shared" si="142"/>
        <v>635.72053824831005</v>
      </c>
      <c r="FJ74" s="179">
        <f t="shared" si="143"/>
        <v>10741.29186422215</v>
      </c>
      <c r="FK74" s="179">
        <f t="shared" si="144"/>
        <v>10335.198135777855</v>
      </c>
      <c r="FL74" s="204">
        <f t="shared" si="145"/>
        <v>11401.991325973841</v>
      </c>
      <c r="FM74" s="206">
        <f t="shared" si="145"/>
        <v>10970.918674026165</v>
      </c>
      <c r="FN74" s="202">
        <f t="shared" si="146"/>
        <v>22372.910000000003</v>
      </c>
      <c r="FO74">
        <v>52.39800000000001</v>
      </c>
      <c r="FP74">
        <v>50.417000000000002</v>
      </c>
      <c r="FQ74" s="217">
        <f t="shared" si="147"/>
        <v>0.50963380829645488</v>
      </c>
      <c r="FR74" s="16">
        <v>31</v>
      </c>
      <c r="FS74" s="16">
        <v>650.84</v>
      </c>
      <c r="FT74" s="16">
        <v>333.01</v>
      </c>
      <c r="FU74" s="16">
        <f t="shared" si="133"/>
        <v>1759.9999999999909</v>
      </c>
      <c r="FV74" s="16">
        <f t="shared" si="134"/>
        <v>879.99999999999545</v>
      </c>
      <c r="FW74" s="16">
        <f t="shared" si="135"/>
        <v>879.99999999999545</v>
      </c>
      <c r="IH74" s="34">
        <v>30</v>
      </c>
      <c r="II74" s="144">
        <f>DailyMei!BX36+DailyMei!BY36-DailyMei!BZ36-DailyMei!CA36-DailyMei!CB36-DailyMei!CC36-DailyMei!CD36-DailyMei!CF36-DailyMei!CE36</f>
        <v>1.7826096154749393E-10</v>
      </c>
      <c r="IJ74" s="16">
        <v>1410</v>
      </c>
      <c r="IK74" s="16">
        <f t="shared" si="148"/>
        <v>352.5</v>
      </c>
      <c r="IL74" s="16">
        <v>352.5</v>
      </c>
    </row>
    <row r="75" spans="1:246" x14ac:dyDescent="0.25">
      <c r="A75" s="35">
        <v>30</v>
      </c>
      <c r="B75" s="138">
        <v>0.37280000000000002</v>
      </c>
      <c r="C75" s="65"/>
      <c r="D75" s="37">
        <f t="shared" si="149"/>
        <v>0</v>
      </c>
      <c r="E75" s="16">
        <v>25732</v>
      </c>
      <c r="F75" s="16"/>
      <c r="G75" s="37">
        <f t="shared" si="136"/>
        <v>85000</v>
      </c>
      <c r="H75" s="138"/>
      <c r="I75" s="65"/>
      <c r="J75" s="37">
        <f t="shared" si="137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29</v>
      </c>
      <c r="DQ75" s="50">
        <v>8.2584</v>
      </c>
      <c r="DR75" s="49">
        <f t="shared" si="150"/>
        <v>0</v>
      </c>
      <c r="DS75" s="50">
        <v>51.348999999999997</v>
      </c>
      <c r="DT75" s="49">
        <f t="shared" si="153"/>
        <v>0</v>
      </c>
      <c r="EZ75" s="167">
        <f t="shared" si="138"/>
        <v>10881.79</v>
      </c>
      <c r="FA75" s="167">
        <f t="shared" si="139"/>
        <v>11948.460000000001</v>
      </c>
      <c r="FB75" s="167">
        <f t="shared" si="140"/>
        <v>22830.25</v>
      </c>
      <c r="FC75" s="16"/>
      <c r="FD75" s="167">
        <f t="shared" si="141"/>
        <v>21533.83</v>
      </c>
      <c r="FE75" s="16"/>
      <c r="FF75" s="199">
        <f t="shared" si="131"/>
        <v>0.4779885104302477</v>
      </c>
      <c r="FG75" s="200">
        <f t="shared" si="132"/>
        <v>0.5220114895697523</v>
      </c>
      <c r="FH75" s="16">
        <f t="shared" si="142"/>
        <v>619.67386469198175</v>
      </c>
      <c r="FI75" s="179">
        <f t="shared" si="142"/>
        <v>676.74613530801832</v>
      </c>
      <c r="FJ75" s="179">
        <f t="shared" si="143"/>
        <v>10292.923325558182</v>
      </c>
      <c r="FK75" s="179">
        <f t="shared" si="144"/>
        <v>11240.90667444182</v>
      </c>
      <c r="FL75" s="204">
        <f t="shared" si="145"/>
        <v>10912.597190250164</v>
      </c>
      <c r="FM75" s="206">
        <f t="shared" si="145"/>
        <v>11917.652809749838</v>
      </c>
      <c r="FN75" s="202">
        <f t="shared" si="146"/>
        <v>22830.25</v>
      </c>
      <c r="FO75">
        <v>46.927</v>
      </c>
      <c r="FP75">
        <v>51.249000000000002</v>
      </c>
      <c r="FQ75" s="217">
        <f t="shared" si="147"/>
        <v>0.4779885104302477</v>
      </c>
      <c r="FR75" s="16">
        <v>1</v>
      </c>
      <c r="FS75" s="16"/>
      <c r="FT75" s="16"/>
      <c r="FU75" s="16"/>
      <c r="FV75" s="16">
        <f t="shared" si="134"/>
        <v>0</v>
      </c>
      <c r="FW75" s="16">
        <f t="shared" si="135"/>
        <v>0</v>
      </c>
      <c r="IH75" s="34">
        <v>1</v>
      </c>
      <c r="II75" s="144">
        <f>DailyMei!BX37+DailyMei!BY37-DailyMei!BZ37-DailyMei!CA37-DailyMei!CB37-DailyMei!CC37-DailyMei!CD37-DailyMei!CF37-DailyMei!CE37</f>
        <v>0</v>
      </c>
      <c r="IJ75" s="16">
        <v>580</v>
      </c>
      <c r="IK75" s="16">
        <f t="shared" si="148"/>
        <v>145</v>
      </c>
      <c r="IL75" s="16">
        <v>145</v>
      </c>
    </row>
    <row r="76" spans="1:246" x14ac:dyDescent="0.25">
      <c r="A76" s="35">
        <v>31</v>
      </c>
      <c r="B76" s="138">
        <v>0.37280000000000002</v>
      </c>
      <c r="C76" s="65"/>
      <c r="D76" s="37">
        <f t="shared" si="149"/>
        <v>0</v>
      </c>
      <c r="E76" s="16">
        <v>25819</v>
      </c>
      <c r="F76" s="16"/>
      <c r="G76" s="37">
        <f t="shared" si="136"/>
        <v>87000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30</v>
      </c>
      <c r="DQ76" s="50">
        <v>8.2584</v>
      </c>
      <c r="DR76" s="49">
        <f t="shared" si="150"/>
        <v>0</v>
      </c>
      <c r="DS76" s="50">
        <v>51.348999999999997</v>
      </c>
      <c r="DT76" s="49">
        <f t="shared" si="153"/>
        <v>0</v>
      </c>
      <c r="EZ76" s="91"/>
      <c r="IH76" s="16" t="s">
        <v>37</v>
      </c>
      <c r="II76" s="128">
        <f>SUM(II45:II75)</f>
        <v>4.7225512389559299E-10</v>
      </c>
      <c r="IJ76" s="16"/>
      <c r="IK76" s="16"/>
      <c r="IL76" s="16"/>
    </row>
    <row r="77" spans="1:246" ht="15.75" thickBot="1" x14ac:dyDescent="0.3">
      <c r="A77" s="157"/>
      <c r="B77" s="138"/>
      <c r="C77" s="65"/>
      <c r="D77" s="37">
        <f t="shared" si="149"/>
        <v>0</v>
      </c>
      <c r="E77" s="16"/>
      <c r="F77" s="16"/>
      <c r="G77" s="37">
        <f t="shared" si="136"/>
        <v>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31</v>
      </c>
      <c r="DQ77" s="50">
        <v>8.2584</v>
      </c>
      <c r="DR77" s="49">
        <f t="shared" si="150"/>
        <v>0</v>
      </c>
      <c r="DS77" s="50">
        <v>51.348999999999997</v>
      </c>
      <c r="DT77" s="49">
        <f t="shared" si="153"/>
        <v>0</v>
      </c>
      <c r="EZ77" s="91"/>
    </row>
    <row r="78" spans="1:246" ht="15.75" thickBot="1" x14ac:dyDescent="0.3">
      <c r="B78" s="137"/>
      <c r="C78" s="55"/>
      <c r="D78" s="78">
        <f>SUM(D46:D75)</f>
        <v>372800</v>
      </c>
      <c r="E78" s="16"/>
      <c r="F78" s="16"/>
      <c r="G78" s="167">
        <f>SUM(G46:G77)</f>
        <v>1352000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v>8.2584</v>
      </c>
      <c r="DR78" s="49">
        <f t="shared" si="150"/>
        <v>0</v>
      </c>
      <c r="DS78" s="50">
        <v>51.348999999999997</v>
      </c>
      <c r="DT78" s="49">
        <f t="shared" si="153"/>
        <v>0</v>
      </c>
      <c r="EZ78" s="91"/>
    </row>
    <row r="79" spans="1:246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579.99999999999818</v>
      </c>
      <c r="DS79" s="84"/>
      <c r="DT79" s="85">
        <f>SUMIF(DT47:DT78,"&gt;0")</f>
        <v>0</v>
      </c>
      <c r="EZ79" s="91"/>
    </row>
    <row r="80" spans="1:246" x14ac:dyDescent="0.25">
      <c r="B80" t="s">
        <v>197</v>
      </c>
      <c r="F80" s="1" t="s">
        <v>198</v>
      </c>
      <c r="J80" s="189" t="s">
        <v>343</v>
      </c>
      <c r="K80" s="190"/>
      <c r="L80" s="191"/>
      <c r="M80" s="75"/>
      <c r="N80" s="189" t="s">
        <v>342</v>
      </c>
      <c r="O80" s="190"/>
      <c r="P80" s="191"/>
      <c r="Q80" s="75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B60</f>
        <v>0.37280000000000002</v>
      </c>
      <c r="F81" t="s">
        <v>173</v>
      </c>
      <c r="H81" s="146">
        <f>E75</f>
        <v>25732</v>
      </c>
      <c r="J81" s="192" t="s">
        <v>213</v>
      </c>
      <c r="K81" s="193"/>
      <c r="L81" s="194">
        <f>[6]Master!$AU$37</f>
        <v>0</v>
      </c>
      <c r="M81" s="24"/>
      <c r="N81" s="192" t="s">
        <v>213</v>
      </c>
      <c r="O81" s="193"/>
      <c r="P81" s="194">
        <f>[6]Master!$BN$37</f>
        <v>0</v>
      </c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f>0</f>
        <v>0</v>
      </c>
      <c r="F82" t="s">
        <v>174</v>
      </c>
      <c r="H82" s="148">
        <f>Apr!E74</f>
        <v>24467</v>
      </c>
      <c r="J82" s="192" t="s">
        <v>214</v>
      </c>
      <c r="K82" s="195"/>
      <c r="L82" s="196">
        <f>[5]Master!$AU$36</f>
        <v>0</v>
      </c>
      <c r="M82" s="24"/>
      <c r="N82" s="192" t="s">
        <v>214</v>
      </c>
      <c r="O82" s="195"/>
      <c r="P82" s="196">
        <f>[5]Master!$BN$36</f>
        <v>12602</v>
      </c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(D81-D82)*1000000</f>
        <v>372800</v>
      </c>
      <c r="E83" t="s">
        <v>176</v>
      </c>
      <c r="F83" t="s">
        <v>175</v>
      </c>
      <c r="H83" s="104">
        <f>(H81-H82)*1000</f>
        <v>1265000</v>
      </c>
      <c r="I83" t="s">
        <v>176</v>
      </c>
      <c r="J83" s="192" t="s">
        <v>175</v>
      </c>
      <c r="K83" s="192"/>
      <c r="L83" s="197">
        <f>L81-L82</f>
        <v>0</v>
      </c>
      <c r="M83" s="24" t="s">
        <v>215</v>
      </c>
      <c r="N83" s="192" t="s">
        <v>175</v>
      </c>
      <c r="O83" s="192"/>
      <c r="P83" s="197">
        <f>P81-P82</f>
        <v>-12602</v>
      </c>
      <c r="Q83" s="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customSheetViews>
    <customSheetView guid="{48545DB9-4D9D-4699-ACEC-DA6E2D3586A8}" scale="85" fitToPage="1" hiddenColumns="1">
      <pane xSplit="1" ySplit="6" topLeftCell="GN7" activePane="bottomRight" state="frozen"/>
      <selection pane="bottomRight" activeCell="FH18" sqref="FH13:GZ18"/>
      <pageMargins left="0.70866141732283472" right="0.70866141732283472" top="0.74803149606299213" bottom="0.74803149606299213" header="0.31496062992125984" footer="0.31496062992125984"/>
      <pageSetup scale="10" orientation="landscape" r:id="rId1"/>
    </customSheetView>
    <customSheetView guid="{32ABFE17-599B-4D0B-A1DB-D95B181877FC}" scale="85" fitToPage="1" hiddenColumns="1">
      <pane xSplit="1" ySplit="6" topLeftCell="EU61" activePane="bottomRight" state="frozen"/>
      <selection pane="bottomRight" activeCell="FG75" sqref="FG75"/>
      <pageMargins left="0.70866141732283472" right="0.70866141732283472" top="0.74803149606299213" bottom="0.74803149606299213" header="0.31496062992125984" footer="0.31496062992125984"/>
      <pageSetup scale="10" orientation="landscape" r:id="rId2"/>
    </customSheetView>
  </customSheetViews>
  <mergeCells count="156">
    <mergeCell ref="AP48:AS48"/>
    <mergeCell ref="EE48:EG48"/>
    <mergeCell ref="EH48:EJ48"/>
    <mergeCell ref="EK48:EM48"/>
    <mergeCell ref="EV48:EW48"/>
    <mergeCell ref="DS43:DT45"/>
    <mergeCell ref="EZ43:EZ44"/>
    <mergeCell ref="FA43:FA44"/>
    <mergeCell ref="BU41:BW41"/>
    <mergeCell ref="BY41:CA41"/>
    <mergeCell ref="DU41:DW41"/>
    <mergeCell ref="DX41:DZ41"/>
    <mergeCell ref="EA41:EC41"/>
    <mergeCell ref="EO41:EQ41"/>
    <mergeCell ref="ER41:ET41"/>
    <mergeCell ref="EU41:EZ41"/>
    <mergeCell ref="JQ5:JS5"/>
    <mergeCell ref="JT5:JV5"/>
    <mergeCell ref="FN5:FP5"/>
    <mergeCell ref="FQ5:FS5"/>
    <mergeCell ref="HW5:HY5"/>
    <mergeCell ref="EE5:EG5"/>
    <mergeCell ref="EH5:EJ5"/>
    <mergeCell ref="EK5:EM5"/>
    <mergeCell ref="EO5:EQ5"/>
    <mergeCell ref="ER5:ET5"/>
    <mergeCell ref="EU5:EW5"/>
    <mergeCell ref="IC5:IE5"/>
    <mergeCell ref="FB43:FB44"/>
    <mergeCell ref="EW45:EX45"/>
    <mergeCell ref="DQ42:DT42"/>
    <mergeCell ref="HT5:HV5"/>
    <mergeCell ref="FF42:FG43"/>
    <mergeCell ref="FH42:FI43"/>
    <mergeCell ref="FJ42:FK43"/>
    <mergeCell ref="FO42:FQ44"/>
    <mergeCell ref="FR42:FR43"/>
    <mergeCell ref="FS42:FU42"/>
    <mergeCell ref="DQ43:DR45"/>
    <mergeCell ref="FL42:FM43"/>
    <mergeCell ref="FN42:FN44"/>
    <mergeCell ref="FE41:FG41"/>
    <mergeCell ref="GY6:HB6"/>
    <mergeCell ref="FH41:FJ41"/>
    <mergeCell ref="FO41:FQ41"/>
    <mergeCell ref="JW5:JY5"/>
    <mergeCell ref="JZ5:KB5"/>
    <mergeCell ref="KC5:KE5"/>
    <mergeCell ref="FV6:FX6"/>
    <mergeCell ref="FY6:GA6"/>
    <mergeCell ref="GB6:GD6"/>
    <mergeCell ref="GE6:GG6"/>
    <mergeCell ref="GH6:GJ6"/>
    <mergeCell ref="IY5:JA5"/>
    <mergeCell ref="JB5:JD5"/>
    <mergeCell ref="JE5:JG5"/>
    <mergeCell ref="JH5:JJ5"/>
    <mergeCell ref="JK5:JM5"/>
    <mergeCell ref="JN5:JP5"/>
    <mergeCell ref="IF5:IH5"/>
    <mergeCell ref="IJ5:IL5"/>
    <mergeCell ref="IM5:IO5"/>
    <mergeCell ref="IP5:IR5"/>
    <mergeCell ref="IS5:IU5"/>
    <mergeCell ref="IV5:IX5"/>
    <mergeCell ref="GK6:GM6"/>
    <mergeCell ref="GU6:GX6"/>
    <mergeCell ref="HN5:HP5"/>
    <mergeCell ref="HQ5:HS5"/>
    <mergeCell ref="DC5:DF5"/>
    <mergeCell ref="DU5:DW5"/>
    <mergeCell ref="DX5:DZ5"/>
    <mergeCell ref="EA5:EC5"/>
    <mergeCell ref="BA5:BC5"/>
    <mergeCell ref="BS5:BT5"/>
    <mergeCell ref="BU5:BX5"/>
    <mergeCell ref="BY5:CB5"/>
    <mergeCell ref="CC5:CD5"/>
    <mergeCell ref="CE5:CF5"/>
    <mergeCell ref="CG5:CH5"/>
    <mergeCell ref="CI5:CL5"/>
    <mergeCell ref="CM5:CP5"/>
    <mergeCell ref="CQ5:CT5"/>
    <mergeCell ref="CY5:DB5"/>
    <mergeCell ref="IJ4:IU4"/>
    <mergeCell ref="IV4:JM4"/>
    <mergeCell ref="JN4:KE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AG5:AJ5"/>
    <mergeCell ref="AL5:AO5"/>
    <mergeCell ref="HH3:KE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HN4:IH4"/>
    <mergeCell ref="II4:II5"/>
    <mergeCell ref="HZ5:IB5"/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EE4:EG4"/>
    <mergeCell ref="EH4:EJ4"/>
    <mergeCell ref="GQ3:GS3"/>
    <mergeCell ref="AT5:AU5"/>
    <mergeCell ref="AV5:AW5"/>
    <mergeCell ref="AX5:AZ5"/>
    <mergeCell ref="S5:T5"/>
    <mergeCell ref="U5:V5"/>
    <mergeCell ref="W5:X5"/>
    <mergeCell ref="Y5:Z5"/>
    <mergeCell ref="AA5:AB5"/>
    <mergeCell ref="AC5:AF5"/>
    <mergeCell ref="CU5:CX5"/>
    <mergeCell ref="AP5:AS5"/>
  </mergeCells>
  <pageMargins left="0.70866141732283472" right="0.70866141732283472" top="0.74803149606299213" bottom="0.74803149606299213" header="0.31496062992125984" footer="0.31496062992125984"/>
  <pageSetup scale="10" orientation="landscape" r:id="rId3"/>
  <legacy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2:CK72"/>
  <sheetViews>
    <sheetView zoomScale="85" zoomScaleNormal="85" workbookViewId="0">
      <pane xSplit="1" ySplit="6" topLeftCell="B13" activePane="bottomRight" state="frozen"/>
      <selection pane="topRight" activeCell="B1" sqref="B1"/>
      <selection pane="bottomLeft" activeCell="A7" sqref="A7"/>
      <selection pane="bottomRight" activeCell="Z21" sqref="Z21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hidden="1" customWidth="1"/>
    <col min="16" max="16" width="10.7109375" hidden="1" customWidth="1"/>
    <col min="17" max="17" width="10.85546875" hidden="1" customWidth="1"/>
    <col min="18" max="18" width="10.5703125" hidden="1" customWidth="1"/>
    <col min="19" max="19" width="11.28515625" hidden="1" customWidth="1"/>
    <col min="20" max="20" width="10.85546875" hidden="1" customWidth="1"/>
    <col min="21" max="21" width="11.28515625" hidden="1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2" width="10.42578125" customWidth="1"/>
    <col min="33" max="33" width="12.7109375" customWidth="1"/>
    <col min="34" max="34" width="10.85546875" hidden="1" customWidth="1"/>
    <col min="35" max="36" width="11.285156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2.42578125" bestFit="1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2.42578125" bestFit="1" customWidth="1"/>
    <col min="46" max="46" width="11.28515625" hidden="1" customWidth="1"/>
    <col min="47" max="47" width="11.42578125" hidden="1" customWidth="1"/>
    <col min="48" max="48" width="12" hidden="1" customWidth="1"/>
    <col min="49" max="50" width="11.28515625" hidden="1" customWidth="1"/>
    <col min="51" max="51" width="12.42578125" bestFit="1" customWidth="1"/>
    <col min="52" max="52" width="11.28515625" hidden="1" customWidth="1"/>
    <col min="53" max="53" width="11.42578125" hidden="1" customWidth="1"/>
    <col min="54" max="55" width="11.28515625" hidden="1" customWidth="1"/>
    <col min="56" max="56" width="12.42578125" bestFit="1" customWidth="1"/>
    <col min="57" max="58" width="12.42578125" hidden="1" customWidth="1"/>
    <col min="59" max="59" width="12.42578125" customWidth="1"/>
    <col min="60" max="60" width="10.7109375" customWidth="1"/>
    <col min="61" max="63" width="3.7109375" customWidth="1"/>
    <col min="64" max="65" width="10.7109375" customWidth="1"/>
    <col min="66" max="66" width="3.7109375" customWidth="1"/>
    <col min="67" max="68" width="10.7109375" customWidth="1"/>
    <col min="69" max="70" width="3.7109375" customWidth="1"/>
    <col min="71" max="71" width="9.5703125" bestFit="1" customWidth="1"/>
    <col min="72" max="72" width="11.5703125" bestFit="1" customWidth="1"/>
    <col min="73" max="73" width="11.42578125" customWidth="1"/>
    <col min="74" max="74" width="58.42578125" hidden="1" customWidth="1"/>
    <col min="75" max="75" width="16.140625" hidden="1" customWidth="1"/>
    <col min="76" max="76" width="11.7109375" hidden="1" customWidth="1"/>
    <col min="77" max="77" width="9.140625" hidden="1" customWidth="1"/>
    <col min="78" max="83" width="10.5703125" hidden="1" customWidth="1"/>
    <col min="84" max="84" width="12.5703125" hidden="1" customWidth="1"/>
    <col min="85" max="89" width="9.140625" hidden="1" customWidth="1"/>
  </cols>
  <sheetData>
    <row r="2" spans="1:84" ht="26.25" x14ac:dyDescent="0.4">
      <c r="A2" s="499" t="s">
        <v>365</v>
      </c>
      <c r="B2" s="499"/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499"/>
      <c r="O2" s="499"/>
      <c r="P2" s="499"/>
      <c r="Q2" s="499"/>
      <c r="R2" s="499"/>
      <c r="S2" s="499"/>
      <c r="T2" s="499"/>
      <c r="U2" s="499"/>
      <c r="V2" s="499"/>
      <c r="W2" s="499"/>
      <c r="X2" s="499"/>
      <c r="Y2" s="499"/>
      <c r="Z2" s="499"/>
      <c r="AA2" s="499"/>
      <c r="AB2" s="499"/>
      <c r="AC2" s="499"/>
      <c r="AD2" s="499"/>
      <c r="AE2" s="499"/>
      <c r="AF2" s="499"/>
      <c r="AG2" s="499"/>
      <c r="AH2" s="499"/>
      <c r="AI2" s="499"/>
      <c r="AJ2" s="499"/>
      <c r="AK2" s="499"/>
      <c r="AL2" s="499"/>
      <c r="AM2" s="499"/>
      <c r="AN2" s="499"/>
      <c r="AO2" s="499"/>
      <c r="AP2" s="499"/>
      <c r="AQ2" s="499"/>
      <c r="AR2" s="499"/>
      <c r="AS2" s="499"/>
      <c r="AT2" s="499"/>
      <c r="AU2" s="499"/>
      <c r="AV2" s="499"/>
      <c r="AW2" s="499"/>
      <c r="AX2" s="499"/>
      <c r="AY2" s="499"/>
      <c r="AZ2" s="499"/>
      <c r="BA2" s="499"/>
      <c r="BB2" s="499"/>
      <c r="BC2" s="499"/>
      <c r="BD2" s="499"/>
      <c r="BE2" s="499"/>
      <c r="BF2" s="499"/>
      <c r="BG2" s="499"/>
      <c r="BH2" s="499"/>
      <c r="BI2" s="499"/>
      <c r="BJ2" s="499"/>
      <c r="BK2" s="499"/>
      <c r="BL2" s="499"/>
      <c r="BM2" s="499"/>
      <c r="BN2" s="499"/>
      <c r="BO2" s="499"/>
      <c r="BP2" s="499"/>
      <c r="BQ2" s="499"/>
      <c r="BR2" s="499"/>
      <c r="BS2" s="499"/>
      <c r="BT2" s="499"/>
      <c r="BU2" s="499"/>
    </row>
    <row r="4" spans="1:84" ht="15" customHeight="1" x14ac:dyDescent="0.25">
      <c r="A4" s="448" t="s">
        <v>1</v>
      </c>
      <c r="B4" s="455" t="s">
        <v>118</v>
      </c>
      <c r="C4" s="455" t="s">
        <v>119</v>
      </c>
      <c r="D4" s="465" t="s">
        <v>4</v>
      </c>
      <c r="E4" s="466"/>
      <c r="F4" s="466"/>
      <c r="G4" s="466"/>
      <c r="H4" s="466"/>
      <c r="I4" s="466"/>
      <c r="J4" s="466"/>
      <c r="K4" s="466"/>
      <c r="L4" s="466"/>
      <c r="M4" s="467"/>
      <c r="N4" s="468" t="s">
        <v>120</v>
      </c>
      <c r="O4" s="110"/>
      <c r="P4" s="110"/>
      <c r="Q4" s="110"/>
      <c r="R4" s="110"/>
      <c r="S4" s="110" t="s">
        <v>121</v>
      </c>
      <c r="T4" s="110"/>
      <c r="U4" s="110"/>
      <c r="V4" s="476" t="s">
        <v>121</v>
      </c>
      <c r="W4" s="460" t="s">
        <v>122</v>
      </c>
      <c r="X4" s="460"/>
      <c r="Y4" s="459" t="s">
        <v>123</v>
      </c>
      <c r="Z4" s="461" t="s">
        <v>124</v>
      </c>
      <c r="AA4" s="462" t="s">
        <v>125</v>
      </c>
      <c r="AB4" s="463" t="s">
        <v>126</v>
      </c>
      <c r="AC4" s="456" t="s">
        <v>127</v>
      </c>
      <c r="AD4" s="457" t="s">
        <v>200</v>
      </c>
      <c r="AE4" s="457" t="s">
        <v>223</v>
      </c>
      <c r="AF4" s="457" t="s">
        <v>248</v>
      </c>
      <c r="AG4" s="457" t="s">
        <v>249</v>
      </c>
      <c r="AH4" s="458" t="s">
        <v>128</v>
      </c>
      <c r="AI4" s="458"/>
      <c r="AJ4" s="458"/>
      <c r="AK4" s="454" t="s">
        <v>129</v>
      </c>
      <c r="AL4" s="454" t="s">
        <v>130</v>
      </c>
      <c r="AM4" s="454"/>
      <c r="AN4" s="454"/>
      <c r="AO4" s="454" t="s">
        <v>14</v>
      </c>
      <c r="AP4" s="459" t="s">
        <v>131</v>
      </c>
      <c r="AQ4" s="459"/>
      <c r="AR4" s="459"/>
      <c r="AS4" s="459" t="s">
        <v>17</v>
      </c>
      <c r="AT4" s="453" t="s">
        <v>132</v>
      </c>
      <c r="AU4" s="453"/>
      <c r="AV4" s="453"/>
      <c r="AW4" s="453"/>
      <c r="AX4" s="111"/>
      <c r="AY4" s="453" t="s">
        <v>15</v>
      </c>
      <c r="AZ4" s="453" t="s">
        <v>133</v>
      </c>
      <c r="BA4" s="453"/>
      <c r="BB4" s="453"/>
      <c r="BC4" s="111"/>
      <c r="BD4" s="453" t="s">
        <v>16</v>
      </c>
      <c r="BE4" s="505" t="s">
        <v>19</v>
      </c>
      <c r="BF4" s="506"/>
      <c r="BG4" s="459" t="s">
        <v>19</v>
      </c>
      <c r="BH4" s="477" t="s">
        <v>201</v>
      </c>
      <c r="BI4" s="478"/>
      <c r="BJ4" s="478"/>
      <c r="BK4" s="479"/>
      <c r="BL4" s="483" t="s">
        <v>134</v>
      </c>
      <c r="BM4" s="483"/>
      <c r="BN4" s="483"/>
      <c r="BO4" s="483"/>
      <c r="BP4" s="501" t="s">
        <v>335</v>
      </c>
      <c r="BQ4" s="501"/>
      <c r="BR4" s="501"/>
      <c r="BS4" s="502"/>
      <c r="BT4" s="455" t="s">
        <v>293</v>
      </c>
      <c r="BU4" s="455" t="s">
        <v>190</v>
      </c>
      <c r="BX4" s="455" t="s">
        <v>278</v>
      </c>
      <c r="BY4" s="455" t="s">
        <v>279</v>
      </c>
      <c r="BZ4" s="455" t="s">
        <v>204</v>
      </c>
      <c r="CA4" s="455" t="s">
        <v>260</v>
      </c>
      <c r="CB4" s="455" t="s">
        <v>261</v>
      </c>
      <c r="CC4" s="455" t="s">
        <v>318</v>
      </c>
      <c r="CD4" s="511" t="s">
        <v>346</v>
      </c>
      <c r="CE4" s="511" t="s">
        <v>357</v>
      </c>
      <c r="CF4" s="455" t="s">
        <v>280</v>
      </c>
    </row>
    <row r="5" spans="1:84" x14ac:dyDescent="0.25">
      <c r="A5" s="448"/>
      <c r="B5" s="455"/>
      <c r="C5" s="455"/>
      <c r="D5" s="471" t="s">
        <v>135</v>
      </c>
      <c r="E5" s="472"/>
      <c r="F5" s="472"/>
      <c r="G5" s="472"/>
      <c r="H5" s="472"/>
      <c r="I5" s="473"/>
      <c r="J5" s="474" t="s">
        <v>136</v>
      </c>
      <c r="K5" s="475"/>
      <c r="L5" s="474" t="s">
        <v>55</v>
      </c>
      <c r="M5" s="475"/>
      <c r="N5" s="469"/>
      <c r="O5" s="110"/>
      <c r="P5" s="110"/>
      <c r="Q5" s="110"/>
      <c r="R5" s="110"/>
      <c r="S5" s="110"/>
      <c r="T5" s="110"/>
      <c r="U5" s="110"/>
      <c r="V5" s="476"/>
      <c r="W5" s="460"/>
      <c r="X5" s="460"/>
      <c r="Y5" s="459"/>
      <c r="Z5" s="461"/>
      <c r="AA5" s="462"/>
      <c r="AB5" s="463"/>
      <c r="AC5" s="456"/>
      <c r="AD5" s="457"/>
      <c r="AE5" s="457"/>
      <c r="AF5" s="457"/>
      <c r="AG5" s="457"/>
      <c r="AH5" s="112"/>
      <c r="AI5" s="112"/>
      <c r="AJ5" s="112"/>
      <c r="AK5" s="454"/>
      <c r="AL5" s="113"/>
      <c r="AM5" s="113"/>
      <c r="AN5" s="113"/>
      <c r="AO5" s="454"/>
      <c r="AP5" s="114"/>
      <c r="AQ5" s="114"/>
      <c r="AR5" s="114"/>
      <c r="AS5" s="459"/>
      <c r="AT5" s="111"/>
      <c r="AU5" s="111"/>
      <c r="AV5" s="111"/>
      <c r="AW5" s="111"/>
      <c r="AX5" s="111"/>
      <c r="AY5" s="453"/>
      <c r="AZ5" s="111"/>
      <c r="BA5" s="111"/>
      <c r="BB5" s="111"/>
      <c r="BC5" s="111"/>
      <c r="BD5" s="453"/>
      <c r="BE5" s="218"/>
      <c r="BF5" s="218"/>
      <c r="BG5" s="459"/>
      <c r="BH5" s="480"/>
      <c r="BI5" s="481"/>
      <c r="BJ5" s="481"/>
      <c r="BK5" s="482"/>
      <c r="BL5" s="483"/>
      <c r="BM5" s="483"/>
      <c r="BN5" s="483"/>
      <c r="BO5" s="483"/>
      <c r="BP5" s="503"/>
      <c r="BQ5" s="503"/>
      <c r="BR5" s="503"/>
      <c r="BS5" s="504"/>
      <c r="BT5" s="455"/>
      <c r="BU5" s="455"/>
      <c r="BX5" s="455"/>
      <c r="BY5" s="455"/>
      <c r="BZ5" s="455"/>
      <c r="CA5" s="455"/>
      <c r="CB5" s="455"/>
      <c r="CC5" s="455"/>
      <c r="CD5" s="512"/>
      <c r="CE5" s="512"/>
      <c r="CF5" s="455"/>
    </row>
    <row r="6" spans="1:84" ht="60" x14ac:dyDescent="0.25">
      <c r="A6" s="448"/>
      <c r="B6" s="455"/>
      <c r="C6" s="455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70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76"/>
      <c r="W6" s="120" t="s">
        <v>62</v>
      </c>
      <c r="X6" s="121" t="s">
        <v>63</v>
      </c>
      <c r="Y6" s="459"/>
      <c r="Z6" s="461"/>
      <c r="AA6" s="462"/>
      <c r="AB6" s="463"/>
      <c r="AC6" s="456"/>
      <c r="AD6" s="457"/>
      <c r="AE6" s="457"/>
      <c r="AF6" s="457"/>
      <c r="AG6" s="457"/>
      <c r="AH6" s="112" t="s">
        <v>66</v>
      </c>
      <c r="AI6" s="112" t="s">
        <v>67</v>
      </c>
      <c r="AJ6" s="112" t="s">
        <v>147</v>
      </c>
      <c r="AK6" s="454"/>
      <c r="AL6" s="122" t="s">
        <v>148</v>
      </c>
      <c r="AM6" s="122" t="s">
        <v>149</v>
      </c>
      <c r="AN6" s="122" t="s">
        <v>150</v>
      </c>
      <c r="AO6" s="454"/>
      <c r="AP6" s="114" t="s">
        <v>99</v>
      </c>
      <c r="AQ6" s="114" t="s">
        <v>100</v>
      </c>
      <c r="AR6" s="114" t="s">
        <v>151</v>
      </c>
      <c r="AS6" s="459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453"/>
      <c r="AZ6" s="111" t="s">
        <v>152</v>
      </c>
      <c r="BA6" s="111" t="s">
        <v>153</v>
      </c>
      <c r="BB6" s="111" t="s">
        <v>155</v>
      </c>
      <c r="BC6" s="111" t="s">
        <v>151</v>
      </c>
      <c r="BD6" s="453"/>
      <c r="BE6" s="114" t="s">
        <v>202</v>
      </c>
      <c r="BF6" s="114" t="s">
        <v>330</v>
      </c>
      <c r="BG6" s="459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455"/>
      <c r="BU6" s="455"/>
      <c r="BX6" s="455"/>
      <c r="BY6" s="455"/>
      <c r="BZ6" s="455"/>
      <c r="CA6" s="455"/>
      <c r="CB6" s="455"/>
      <c r="CC6" s="455"/>
      <c r="CD6" s="513"/>
      <c r="CE6" s="513"/>
      <c r="CF6" s="455"/>
    </row>
    <row r="7" spans="1:84" x14ac:dyDescent="0.25">
      <c r="A7" s="124">
        <v>1</v>
      </c>
      <c r="B7" s="42">
        <f>Mei!G8</f>
        <v>439680.00000000396</v>
      </c>
      <c r="C7" s="42">
        <f>Mei!N8</f>
        <v>440000</v>
      </c>
      <c r="D7" s="42">
        <f>Mei!T8</f>
        <v>3.0000001192092896E-2</v>
      </c>
      <c r="E7" s="42">
        <f>Mei!V8</f>
        <v>0</v>
      </c>
      <c r="F7" s="42">
        <f>Mei!AB8</f>
        <v>4580</v>
      </c>
      <c r="G7" s="42">
        <f>Mei!X8</f>
        <v>8419.9699999988079</v>
      </c>
      <c r="H7" s="42">
        <f>Mei!AE8</f>
        <v>3900.0000000000909</v>
      </c>
      <c r="I7" s="42">
        <f>Mei!AI8</f>
        <v>8307.36</v>
      </c>
      <c r="J7" s="42">
        <f>Mei!AN8</f>
        <v>6957.3600000001597</v>
      </c>
      <c r="K7" s="42">
        <f>Mei!AR8</f>
        <v>11700.000000000728</v>
      </c>
      <c r="L7" s="42">
        <f>Mei!AZ8</f>
        <v>412.1600000000326</v>
      </c>
      <c r="M7" s="42">
        <f>Mei!BC8</f>
        <v>549.38000000000466</v>
      </c>
      <c r="N7" s="125">
        <f t="shared" ref="N7" si="0">SUM(D7:M7)</f>
        <v>44826.260000001013</v>
      </c>
      <c r="O7" s="125">
        <f>Mei!CA8</f>
        <v>539.99999999996362</v>
      </c>
      <c r="P7" s="125">
        <f>Mei!CD8</f>
        <v>1500</v>
      </c>
      <c r="Q7" s="125">
        <f>Mei!CF8</f>
        <v>7000</v>
      </c>
      <c r="R7" s="125">
        <f>Mei!CH8</f>
        <v>0</v>
      </c>
      <c r="S7" s="125">
        <f>Mei!CK8</f>
        <v>22267.360000000037</v>
      </c>
      <c r="T7" s="125">
        <f>Mei!CO8</f>
        <v>9307.36</v>
      </c>
      <c r="U7" s="125">
        <f>Mei!CS8</f>
        <v>6209.36</v>
      </c>
      <c r="V7" s="126">
        <f>SUM(O7:U7)</f>
        <v>46824.08</v>
      </c>
      <c r="W7" s="126">
        <f>Mei!CW8</f>
        <v>16300</v>
      </c>
      <c r="X7" s="126">
        <f>Mei!DA8</f>
        <v>9300</v>
      </c>
      <c r="Y7" s="126">
        <f t="shared" ref="Y7:Y37" si="1">W7+X7</f>
        <v>25600</v>
      </c>
      <c r="Z7" s="42">
        <f>Mei!BR8</f>
        <v>369.99999999989086</v>
      </c>
      <c r="AA7" s="126">
        <f>Mei!BG8</f>
        <v>2200.0000000000455</v>
      </c>
      <c r="AB7" s="126">
        <f>Mei!BJ8</f>
        <v>9199.9999999989086</v>
      </c>
      <c r="AC7" s="126">
        <f>Mei!BL8+Mei!BN8</f>
        <v>4479.99999999995</v>
      </c>
      <c r="AD7" s="126">
        <f>Mei!DR8</f>
        <v>6100</v>
      </c>
      <c r="AE7" s="127">
        <f>Mei!DT8-Mei!DR48-Mei!DT48</f>
        <v>20193.999999999996</v>
      </c>
      <c r="AF7" s="127">
        <f>Mei!DR48+Mei!DT48</f>
        <v>6.0000000000037801</v>
      </c>
      <c r="AG7" s="127">
        <f>Mei!HJ8-AE7</f>
        <v>71906.000000000364</v>
      </c>
      <c r="AH7" s="127">
        <f>Mei!DW8</f>
        <v>4300.0000000001819</v>
      </c>
      <c r="AI7" s="127">
        <f>Mei!DZ8</f>
        <v>6807.36</v>
      </c>
      <c r="AJ7" s="127">
        <f>Mei!EC8</f>
        <v>23967.360000000001</v>
      </c>
      <c r="AK7" s="127">
        <f>SUM(AH7:AJ7)</f>
        <v>35074.720000000183</v>
      </c>
      <c r="AL7" s="127">
        <f>Mei!EG8</f>
        <v>27967.360000000001</v>
      </c>
      <c r="AM7" s="127">
        <f>Mei!EJ8</f>
        <v>10807.36</v>
      </c>
      <c r="AN7" s="127">
        <f>Mei!EM8</f>
        <v>879.99999999999545</v>
      </c>
      <c r="AO7" s="127">
        <f>SUM(AL7:AN7)</f>
        <v>39654.719999999994</v>
      </c>
      <c r="AP7" s="127">
        <f>Mei!FX8</f>
        <v>32800</v>
      </c>
      <c r="AQ7" s="127">
        <f>Mei!GA8</f>
        <v>7980.0000000002728</v>
      </c>
      <c r="AR7" s="127">
        <f>Mei!GG8</f>
        <v>8100.0000000008185</v>
      </c>
      <c r="AS7" s="127">
        <f>SUM(AP7:AR7)</f>
        <v>48880.000000001091</v>
      </c>
      <c r="AT7" s="127">
        <f>Mei!EQ8</f>
        <v>7802.3600000000051</v>
      </c>
      <c r="AU7" s="127">
        <f>Mei!ET8</f>
        <v>11100.000000000364</v>
      </c>
      <c r="AV7" s="127">
        <f>Mei!EW8</f>
        <v>9007.3599999998187</v>
      </c>
      <c r="AW7" s="127">
        <f>Mei!FL45</f>
        <v>10539.156248695394</v>
      </c>
      <c r="AX7" s="127">
        <f>Mei!GJ8</f>
        <v>1599.9999999999091</v>
      </c>
      <c r="AY7" s="127">
        <f>SUM(AT7:AX7)</f>
        <v>40048.876248695495</v>
      </c>
      <c r="AZ7" s="127">
        <f>Mei!FG8</f>
        <v>11212.359999999997</v>
      </c>
      <c r="BA7" s="127">
        <f>Mei!FJ8</f>
        <v>19007.359999999273</v>
      </c>
      <c r="BB7" s="127">
        <f>Mei!FM45</f>
        <v>11475.563751304608</v>
      </c>
      <c r="BC7" s="127">
        <f>Mei!GM8</f>
        <v>0</v>
      </c>
      <c r="BD7" s="127">
        <f>SUM(AZ7:BC7)</f>
        <v>41695.283751303876</v>
      </c>
      <c r="BE7" s="127">
        <f>Mei!GP8</f>
        <v>1900</v>
      </c>
      <c r="BF7" s="127">
        <f>Mei!GS8</f>
        <v>720</v>
      </c>
      <c r="BG7" s="127">
        <f>BE7+BF7</f>
        <v>2620</v>
      </c>
      <c r="BH7" s="127">
        <f>Y7</f>
        <v>25600</v>
      </c>
      <c r="BI7" s="127"/>
      <c r="BJ7" s="127"/>
      <c r="BK7" s="127"/>
      <c r="BL7" s="128"/>
      <c r="BM7" s="128">
        <f>(AS7)*52/100</f>
        <v>25417.60000000057</v>
      </c>
      <c r="BN7" s="128"/>
      <c r="BO7" s="128">
        <f>AS7-BM7</f>
        <v>23462.400000000522</v>
      </c>
      <c r="BP7" s="128">
        <f>BG7</f>
        <v>2620</v>
      </c>
      <c r="BQ7" s="128"/>
      <c r="BR7" s="128"/>
      <c r="BS7" s="128"/>
      <c r="BT7" s="42">
        <f>Mei!D46</f>
        <v>0</v>
      </c>
      <c r="BU7" s="42">
        <f>Mei!G46</f>
        <v>0</v>
      </c>
      <c r="BV7" t="s">
        <v>349</v>
      </c>
      <c r="BX7" s="42">
        <f>Mei!HJ8</f>
        <v>92100.000000000364</v>
      </c>
      <c r="BY7" s="42">
        <f>Mei!HM8</f>
        <v>0</v>
      </c>
      <c r="BZ7" s="42">
        <f>Mei!HP8</f>
        <v>28219.999999999956</v>
      </c>
      <c r="CA7" s="42">
        <f>Mei!HS8</f>
        <v>23719.999999999956</v>
      </c>
      <c r="CB7" s="42">
        <f>Mei!HV8</f>
        <v>18820.000000000091</v>
      </c>
      <c r="CC7" s="42">
        <f>Mei!HY8</f>
        <v>1140.0000000000273</v>
      </c>
      <c r="CD7" s="42">
        <f>Mei!IB8</f>
        <v>0</v>
      </c>
      <c r="CE7" s="42">
        <f>Mei!IE8</f>
        <v>0</v>
      </c>
      <c r="CF7" s="42">
        <f>Mei!IH8</f>
        <v>20200</v>
      </c>
    </row>
    <row r="8" spans="1:84" x14ac:dyDescent="0.25">
      <c r="A8" s="26">
        <f>A7+1</f>
        <v>2</v>
      </c>
      <c r="B8" s="42">
        <f>Mei!G9</f>
        <v>419519.99999998952</v>
      </c>
      <c r="C8" s="42">
        <f>Mei!N9</f>
        <v>413000</v>
      </c>
      <c r="D8" s="42">
        <f>Mei!T9</f>
        <v>5.0899999998509884</v>
      </c>
      <c r="E8" s="42">
        <f>Mei!V9</f>
        <v>0</v>
      </c>
      <c r="F8" s="42">
        <f>Mei!AB9</f>
        <v>3970</v>
      </c>
      <c r="G8" s="42">
        <f>Mei!X9</f>
        <v>7024.910000000149</v>
      </c>
      <c r="H8" s="42">
        <f>Mei!AE9</f>
        <v>4000</v>
      </c>
      <c r="I8" s="42">
        <f>Mei!AI9</f>
        <v>8240.64</v>
      </c>
      <c r="J8" s="42">
        <f>Mei!AN9</f>
        <v>5480.6399999998584</v>
      </c>
      <c r="K8" s="42">
        <f>Mei!AR9</f>
        <v>11199.999999999818</v>
      </c>
      <c r="L8" s="42">
        <f>Mei!AZ9</f>
        <v>409.71999999997206</v>
      </c>
      <c r="M8" s="42">
        <f>Mei!BC9</f>
        <v>590.16000000000349</v>
      </c>
      <c r="N8" s="125">
        <f t="shared" ref="N8:N15" si="2">SUM(D8:M8)</f>
        <v>40921.159999999654</v>
      </c>
      <c r="O8" s="125">
        <f>Mei!CA9</f>
        <v>750.60000000001992</v>
      </c>
      <c r="P8" s="125">
        <f>Mei!CD9</f>
        <v>213.30000000004657</v>
      </c>
      <c r="Q8" s="125">
        <f>Mei!CF9</f>
        <v>6942</v>
      </c>
      <c r="R8" s="125">
        <f>Mei!CH9</f>
        <v>0</v>
      </c>
      <c r="S8" s="125">
        <f>Mei!CK9</f>
        <v>19750.040000000197</v>
      </c>
      <c r="T8" s="125">
        <f>Mei!CO9</f>
        <v>8736.640000000094</v>
      </c>
      <c r="U8" s="125">
        <f>Mei!CS9</f>
        <v>5531.94</v>
      </c>
      <c r="V8" s="126">
        <f t="shared" ref="V8:V37" si="3">SUM(O8:U8)</f>
        <v>41924.520000000361</v>
      </c>
      <c r="W8" s="126">
        <f>Mei!CW9</f>
        <v>15605</v>
      </c>
      <c r="X8" s="126">
        <f>Mei!DA9</f>
        <v>8553</v>
      </c>
      <c r="Y8" s="126">
        <f t="shared" si="1"/>
        <v>24158</v>
      </c>
      <c r="Z8" s="42">
        <f>Mei!BR9</f>
        <v>790.00000000007731</v>
      </c>
      <c r="AA8" s="126">
        <f>Mei!BG9</f>
        <v>2299.9999999999545</v>
      </c>
      <c r="AB8" s="126">
        <f>Mei!BJ9</f>
        <v>9200.0000000007276</v>
      </c>
      <c r="AC8" s="126">
        <f>Mei!BL9+Mei!BN9</f>
        <v>4470.0000000000637</v>
      </c>
      <c r="AD8" s="126">
        <f>Mei!DR9</f>
        <v>8800</v>
      </c>
      <c r="AE8" s="127">
        <f>Mei!DT9-Mei!DR49-Mei!DT49</f>
        <v>18060.000000000004</v>
      </c>
      <c r="AF8" s="127">
        <f>Mei!DR49+Mei!DT49</f>
        <v>39.999999999995595</v>
      </c>
      <c r="AG8" s="127">
        <f>Mei!HJ9-AE8</f>
        <v>93540.000000000364</v>
      </c>
      <c r="AH8" s="127">
        <f>Mei!DW9</f>
        <v>4900.0000000005457</v>
      </c>
      <c r="AI8" s="127">
        <f>Mei!DZ9</f>
        <v>7740.64</v>
      </c>
      <c r="AJ8" s="127">
        <f>Mei!EC9</f>
        <v>23900.639999999999</v>
      </c>
      <c r="AK8" s="127">
        <f t="shared" ref="AK8:AK37" si="4">SUM(AH8:AJ8)</f>
        <v>36541.280000000545</v>
      </c>
      <c r="AL8" s="127">
        <f>Mei!EG9</f>
        <v>28900.639999999999</v>
      </c>
      <c r="AM8" s="127">
        <f>Mei!EJ9</f>
        <v>11740.64</v>
      </c>
      <c r="AN8" s="127">
        <f>Mei!EM9</f>
        <v>939.99999999994088</v>
      </c>
      <c r="AO8" s="127">
        <f t="shared" ref="AO8:AO28" si="5">SUM(AL8:AN8)</f>
        <v>41581.279999999941</v>
      </c>
      <c r="AP8" s="127">
        <f>Mei!FX9</f>
        <v>30200</v>
      </c>
      <c r="AQ8" s="127">
        <f>Mei!GA9</f>
        <v>7610.0000000000909</v>
      </c>
      <c r="AR8" s="127">
        <f>Mei!GG9</f>
        <v>9799.9999999999545</v>
      </c>
      <c r="AS8" s="127">
        <f t="shared" ref="AS8:AS37" si="6">SUM(AP8:AR8)</f>
        <v>47610.000000000044</v>
      </c>
      <c r="AT8" s="127">
        <f>Mei!EQ9</f>
        <v>2740.64</v>
      </c>
      <c r="AU8" s="127">
        <f>Mei!ET9</f>
        <v>1100.0000000003638</v>
      </c>
      <c r="AV8" s="127">
        <f>Mei!EW9</f>
        <v>1040.6400000001818</v>
      </c>
      <c r="AW8" s="127">
        <f>Mei!FL46</f>
        <v>1208.6862098445595</v>
      </c>
      <c r="AX8" s="127">
        <f>Mei!GJ9</f>
        <v>200.00000000004547</v>
      </c>
      <c r="AY8" s="127">
        <f t="shared" ref="AY8:AY34" si="7">SUM(AT8:AX8)</f>
        <v>6289.9662098451499</v>
      </c>
      <c r="AZ8" s="127">
        <f>Mei!FG9</f>
        <v>9673.9699999999993</v>
      </c>
      <c r="BA8" s="127">
        <f>Mei!FJ9</f>
        <v>15873.970000000727</v>
      </c>
      <c r="BB8" s="127">
        <f>Mei!FM46</f>
        <v>13205.923790155441</v>
      </c>
      <c r="BC8" s="127">
        <f>Mei!GM9</f>
        <v>0</v>
      </c>
      <c r="BD8" s="127">
        <f t="shared" ref="BD8:BD34" si="8">SUM(AZ8:BC8)</f>
        <v>38753.863790156167</v>
      </c>
      <c r="BE8" s="127">
        <f>Mei!GP9</f>
        <v>3750</v>
      </c>
      <c r="BF8" s="127">
        <f>Mei!GS9</f>
        <v>790</v>
      </c>
      <c r="BG8" s="127">
        <f t="shared" ref="BG8:BG37" si="9">BE8+BF8</f>
        <v>4540</v>
      </c>
      <c r="BH8" s="127">
        <f t="shared" ref="BH8:BH37" si="10">Y8</f>
        <v>24158</v>
      </c>
      <c r="BI8" s="127"/>
      <c r="BJ8" s="127"/>
      <c r="BK8" s="127"/>
      <c r="BL8" s="128"/>
      <c r="BM8" s="128">
        <f t="shared" ref="BM8" si="11">(AS8)*54/100</f>
        <v>25709.400000000023</v>
      </c>
      <c r="BN8" s="128"/>
      <c r="BO8" s="128">
        <f t="shared" ref="BO8:BO12" si="12">AS8-BM8</f>
        <v>21900.60000000002</v>
      </c>
      <c r="BP8" s="128">
        <f t="shared" ref="BP8:BP12" si="13">BG8</f>
        <v>4540</v>
      </c>
      <c r="BQ8" s="128"/>
      <c r="BR8" s="128"/>
      <c r="BS8" s="128"/>
      <c r="BT8" s="42">
        <f>Mei!D47</f>
        <v>0</v>
      </c>
      <c r="BU8" s="42">
        <f>Mei!G47</f>
        <v>0</v>
      </c>
      <c r="BV8" t="s">
        <v>350</v>
      </c>
      <c r="BX8" s="42">
        <f>Mei!HJ9</f>
        <v>111600.00000000036</v>
      </c>
      <c r="BY8" s="42">
        <f>Mei!HM9</f>
        <v>0</v>
      </c>
      <c r="BZ8" s="42">
        <f>Mei!HP9</f>
        <v>33365.574999999953</v>
      </c>
      <c r="CA8" s="42">
        <f>Mei!HS9</f>
        <v>25065.575000000001</v>
      </c>
      <c r="CB8" s="42">
        <f>Mei!HV9</f>
        <v>21165.57499999991</v>
      </c>
      <c r="CC8" s="42">
        <f>Mei!HY9</f>
        <v>13775.574999999981</v>
      </c>
      <c r="CD8" s="42">
        <f>Mei!IB9</f>
        <v>127.7</v>
      </c>
      <c r="CE8" s="42">
        <f>Mei!IE9</f>
        <v>0</v>
      </c>
      <c r="CF8" s="42">
        <f>Mei!IH9</f>
        <v>18100</v>
      </c>
    </row>
    <row r="9" spans="1:84" x14ac:dyDescent="0.25">
      <c r="A9" s="26">
        <f t="shared" ref="A9:A37" si="14">A8+1</f>
        <v>3</v>
      </c>
      <c r="B9" s="42">
        <f>Mei!G10</f>
        <v>450239.99999999796</v>
      </c>
      <c r="C9" s="42">
        <f>Mei!N10</f>
        <v>449000</v>
      </c>
      <c r="D9" s="42">
        <f>Mei!T10</f>
        <v>3.8699999991804361</v>
      </c>
      <c r="E9" s="42">
        <f>Mei!V10</f>
        <v>0</v>
      </c>
      <c r="F9" s="42">
        <f>Mei!AB10</f>
        <v>4400</v>
      </c>
      <c r="G9" s="42">
        <f>Mei!X10</f>
        <v>8096.1300000008196</v>
      </c>
      <c r="H9" s="42">
        <f>Mei!AE10</f>
        <v>4699.9999999998181</v>
      </c>
      <c r="I9" s="42">
        <f>Mei!AI10</f>
        <v>9030.1500000003634</v>
      </c>
      <c r="J9" s="42">
        <f>Mei!AN10</f>
        <v>5810.1500000007682</v>
      </c>
      <c r="K9" s="42">
        <f>Mei!AR10</f>
        <v>13099.999999999454</v>
      </c>
      <c r="L9" s="42">
        <f>Mei!AZ10</f>
        <v>420</v>
      </c>
      <c r="M9" s="42">
        <f>Mei!BC10</f>
        <v>670</v>
      </c>
      <c r="N9" s="125">
        <f t="shared" si="2"/>
        <v>46230.30000000041</v>
      </c>
      <c r="O9" s="125">
        <f>Mei!CA10</f>
        <v>669.3000000000211</v>
      </c>
      <c r="P9" s="125">
        <f>Mei!CD10</f>
        <v>1138</v>
      </c>
      <c r="Q9" s="125">
        <f>Mei!CF10</f>
        <v>6864</v>
      </c>
      <c r="R9" s="125">
        <f>Mei!CH10</f>
        <v>0</v>
      </c>
      <c r="S9" s="125">
        <f>Mei!CK10</f>
        <v>19800.849999999034</v>
      </c>
      <c r="T9" s="125">
        <f>Mei!CO10</f>
        <v>6722.149999999916</v>
      </c>
      <c r="U9" s="125">
        <f>Mei!CS10</f>
        <v>4690.9499999999989</v>
      </c>
      <c r="V9" s="126">
        <f t="shared" si="3"/>
        <v>39885.249999998967</v>
      </c>
      <c r="W9" s="126">
        <f>Mei!CW10</f>
        <v>16296</v>
      </c>
      <c r="X9" s="126">
        <f>Mei!DA10</f>
        <v>8705</v>
      </c>
      <c r="Y9" s="126">
        <f t="shared" si="1"/>
        <v>25001</v>
      </c>
      <c r="Z9" s="42">
        <f>Mei!BR10</f>
        <v>500</v>
      </c>
      <c r="AA9" s="126">
        <f>Mei!BG10</f>
        <v>2600.0000000001364</v>
      </c>
      <c r="AB9" s="126">
        <f>Mei!BJ10</f>
        <v>10100.000000000364</v>
      </c>
      <c r="AC9" s="126">
        <f>Mei!BL10+Mei!BN10</f>
        <v>4319.9999999999591</v>
      </c>
      <c r="AD9" s="126">
        <f>Mei!DR10</f>
        <v>7500</v>
      </c>
      <c r="AE9" s="127">
        <f>Mei!DT10-Mei!DR50-Mei!DT50</f>
        <v>19472.999999999993</v>
      </c>
      <c r="AF9" s="127">
        <f>Mei!DR50+Mei!DT50</f>
        <v>27.000000000008129</v>
      </c>
      <c r="AG9" s="127">
        <f>Mei!HJ10-AE9</f>
        <v>102626.99999999945</v>
      </c>
      <c r="AH9" s="127">
        <f>Mei!DW10</f>
        <v>4799.9999999992724</v>
      </c>
      <c r="AI9" s="127">
        <f>Mei!DZ10</f>
        <v>6930.15</v>
      </c>
      <c r="AJ9" s="127">
        <f>Mei!EC10</f>
        <v>25090.15</v>
      </c>
      <c r="AK9" s="127">
        <f t="shared" si="4"/>
        <v>36820.299999999275</v>
      </c>
      <c r="AL9" s="127">
        <f>Mei!EG10</f>
        <v>20090.150000000001</v>
      </c>
      <c r="AM9" s="127">
        <f>Mei!EJ10</f>
        <v>9930.15</v>
      </c>
      <c r="AN9" s="127">
        <f>Mei!EM10</f>
        <v>740.00000000000909</v>
      </c>
      <c r="AO9" s="127">
        <f t="shared" si="5"/>
        <v>30760.30000000001</v>
      </c>
      <c r="AP9" s="127">
        <f>Mei!FX10</f>
        <v>29700</v>
      </c>
      <c r="AQ9" s="127">
        <f>Mei!GA10</f>
        <v>7559.9999999996362</v>
      </c>
      <c r="AR9" s="127">
        <f>Mei!GG10</f>
        <v>10500.000000000455</v>
      </c>
      <c r="AS9" s="127">
        <f t="shared" si="6"/>
        <v>47760.000000000087</v>
      </c>
      <c r="AT9" s="127">
        <f>Mei!EQ10</f>
        <v>5895.1500000000315</v>
      </c>
      <c r="AU9" s="127">
        <f>Mei!ET10</f>
        <v>9100.0000000003638</v>
      </c>
      <c r="AV9" s="127">
        <f>Mei!EW10</f>
        <v>5730.1499999997268</v>
      </c>
      <c r="AW9" s="127">
        <f>Mei!FL47</f>
        <v>9741.7985753853827</v>
      </c>
      <c r="AX9" s="127">
        <f>Mei!GJ10</f>
        <v>1599.9999999999091</v>
      </c>
      <c r="AY9" s="127">
        <f t="shared" si="7"/>
        <v>32067.098575385411</v>
      </c>
      <c r="AZ9" s="127">
        <f>Mei!FG10</f>
        <v>9920.1499999999687</v>
      </c>
      <c r="BA9" s="127">
        <f>Mei!FJ10</f>
        <v>17985.150000000365</v>
      </c>
      <c r="BB9" s="127">
        <f>Mei!FM47</f>
        <v>11073.501424614615</v>
      </c>
      <c r="BC9" s="127">
        <f>Mei!GM10</f>
        <v>0</v>
      </c>
      <c r="BD9" s="127">
        <f t="shared" si="8"/>
        <v>38978.801424614947</v>
      </c>
      <c r="BE9" s="127">
        <f>Mei!GP10</f>
        <v>4750</v>
      </c>
      <c r="BF9" s="127">
        <f>Mei!GS10</f>
        <v>840</v>
      </c>
      <c r="BG9" s="127">
        <f t="shared" si="9"/>
        <v>5590</v>
      </c>
      <c r="BH9" s="127">
        <f t="shared" si="10"/>
        <v>25001</v>
      </c>
      <c r="BI9" s="127"/>
      <c r="BJ9" s="127"/>
      <c r="BK9" s="127"/>
      <c r="BL9" s="128"/>
      <c r="BM9" s="128">
        <f>(AS9)*42/100</f>
        <v>20059.200000000037</v>
      </c>
      <c r="BN9" s="128"/>
      <c r="BO9" s="128">
        <f t="shared" si="12"/>
        <v>27700.80000000005</v>
      </c>
      <c r="BP9" s="128">
        <f t="shared" si="13"/>
        <v>5590</v>
      </c>
      <c r="BQ9" s="128"/>
      <c r="BR9" s="128"/>
      <c r="BS9" s="128"/>
      <c r="BT9" s="42">
        <f>Mei!D48</f>
        <v>0</v>
      </c>
      <c r="BU9" s="42">
        <f>Mei!G48</f>
        <v>0</v>
      </c>
      <c r="BV9" t="s">
        <v>351</v>
      </c>
      <c r="BX9" s="42">
        <f>Mei!HJ10</f>
        <v>122099.99999999945</v>
      </c>
      <c r="BY9" s="42">
        <f>Mei!HM10</f>
        <v>0</v>
      </c>
      <c r="BZ9" s="42">
        <f>Mei!HP10</f>
        <v>34963.950000000179</v>
      </c>
      <c r="CA9" s="42">
        <f>Mei!HS10</f>
        <v>25663.95</v>
      </c>
      <c r="CB9" s="42">
        <f>Mei!HV10</f>
        <v>22063.950000000092</v>
      </c>
      <c r="CC9" s="42">
        <f>Mei!HY10</f>
        <v>19673.949999999993</v>
      </c>
      <c r="CD9" s="42">
        <f>Mei!IB10</f>
        <v>234.2</v>
      </c>
      <c r="CE9" s="42">
        <f>Mei!IE10</f>
        <v>0</v>
      </c>
      <c r="CF9" s="42">
        <f>Mei!IH10</f>
        <v>19500</v>
      </c>
    </row>
    <row r="10" spans="1:84" x14ac:dyDescent="0.25">
      <c r="A10" s="26">
        <f t="shared" si="14"/>
        <v>4</v>
      </c>
      <c r="B10" s="42">
        <f>Mei!G11</f>
        <v>470400.00000000146</v>
      </c>
      <c r="C10" s="42">
        <f>Mei!N11</f>
        <v>464000</v>
      </c>
      <c r="D10" s="42">
        <f>Mei!T11</f>
        <v>0</v>
      </c>
      <c r="E10" s="42">
        <f>Mei!V11</f>
        <v>5</v>
      </c>
      <c r="F10" s="42">
        <f>Mei!AB11</f>
        <v>4400</v>
      </c>
      <c r="G10" s="42">
        <f>Mei!X11</f>
        <v>8195.0000000003638</v>
      </c>
      <c r="H10" s="42">
        <f>Mei!AE11</f>
        <v>4700.0000000002728</v>
      </c>
      <c r="I10" s="42">
        <f>Mei!AI11</f>
        <v>11227.729999999636</v>
      </c>
      <c r="J10" s="42">
        <f>Mei!AN11</f>
        <v>8317.7300000001196</v>
      </c>
      <c r="K10" s="42">
        <f>Mei!AR11</f>
        <v>12899.999999999636</v>
      </c>
      <c r="L10" s="42">
        <f>Mei!AZ11</f>
        <v>390</v>
      </c>
      <c r="M10" s="42">
        <f>Mei!BC11</f>
        <v>690</v>
      </c>
      <c r="N10" s="125">
        <f t="shared" si="2"/>
        <v>50825.460000000028</v>
      </c>
      <c r="O10" s="125">
        <f>Mei!CA11</f>
        <v>544.4999999999709</v>
      </c>
      <c r="P10" s="125">
        <f>Mei!CD11</f>
        <v>2311.2999999999302</v>
      </c>
      <c r="Q10" s="125">
        <f>Mei!CF11</f>
        <v>7585</v>
      </c>
      <c r="R10" s="125">
        <f>Mei!CH11</f>
        <v>523.19999999999709</v>
      </c>
      <c r="S10" s="125">
        <f>Mei!CK11</f>
        <v>23003.230000001193</v>
      </c>
      <c r="T10" s="125">
        <f>Mei!CO11</f>
        <v>7401.7300000000687</v>
      </c>
      <c r="U10" s="125">
        <f>Mei!CS11</f>
        <v>7323.3299999999981</v>
      </c>
      <c r="V10" s="126">
        <f t="shared" si="3"/>
        <v>48692.290000001158</v>
      </c>
      <c r="W10" s="126">
        <f>Mei!CW11</f>
        <v>17028</v>
      </c>
      <c r="X10" s="126">
        <f>Mei!DA11</f>
        <v>9485</v>
      </c>
      <c r="Y10" s="126">
        <f t="shared" si="1"/>
        <v>26513</v>
      </c>
      <c r="Z10" s="42">
        <f>Mei!BR11</f>
        <v>199.99999999993179</v>
      </c>
      <c r="AA10" s="126">
        <f>Mei!BG11</f>
        <v>2099.9999999999091</v>
      </c>
      <c r="AB10" s="126">
        <f>Mei!BJ11</f>
        <v>8699.9999999989086</v>
      </c>
      <c r="AC10" s="126">
        <f>Mei!BL11+Mei!BN11</f>
        <v>4309.99999999995</v>
      </c>
      <c r="AD10" s="126">
        <f>Mei!DR11</f>
        <v>6600</v>
      </c>
      <c r="AE10" s="127">
        <f>Mei!DT11-Mei!DR51-Mei!DT51</f>
        <v>19458.000000000007</v>
      </c>
      <c r="AF10" s="127">
        <f>Mei!DR51+Mei!DT51</f>
        <v>41.999999999990933</v>
      </c>
      <c r="AG10" s="127">
        <f>Mei!HJ11-AE10</f>
        <v>107741.99999999983</v>
      </c>
      <c r="AH10" s="127">
        <f>Mei!DW11</f>
        <v>4200.0000000007276</v>
      </c>
      <c r="AI10" s="127">
        <f>Mei!DZ11</f>
        <v>7327.73</v>
      </c>
      <c r="AJ10" s="127">
        <f>Mei!EC11</f>
        <v>24487.73</v>
      </c>
      <c r="AK10" s="127">
        <f t="shared" si="4"/>
        <v>36015.460000000727</v>
      </c>
      <c r="AL10" s="127">
        <f>Mei!EG11</f>
        <v>23487.73</v>
      </c>
      <c r="AM10" s="127">
        <f>Mei!EJ11</f>
        <v>12327.73</v>
      </c>
      <c r="AN10" s="127">
        <f>Mei!EM11</f>
        <v>460.00000000003638</v>
      </c>
      <c r="AO10" s="127">
        <f t="shared" si="5"/>
        <v>36275.460000000036</v>
      </c>
      <c r="AP10" s="127">
        <f>Mei!FX11</f>
        <v>25800</v>
      </c>
      <c r="AQ10" s="127">
        <f>Mei!GA11</f>
        <v>7240.0000000000909</v>
      </c>
      <c r="AR10" s="127">
        <f>Mei!GG11</f>
        <v>7899.9999999996362</v>
      </c>
      <c r="AS10" s="127">
        <f t="shared" si="6"/>
        <v>40939.999999999724</v>
      </c>
      <c r="AT10" s="127">
        <f>Mei!EQ11</f>
        <v>8467.729999999985</v>
      </c>
      <c r="AU10" s="127">
        <f>Mei!ET11</f>
        <v>10899.999999999636</v>
      </c>
      <c r="AV10" s="127">
        <f>Mei!EW11</f>
        <v>7527.7300000002724</v>
      </c>
      <c r="AW10" s="127">
        <f>Mei!FL48</f>
        <v>11742.388931857393</v>
      </c>
      <c r="AX10" s="127">
        <f>Mei!GJ11</f>
        <v>1500</v>
      </c>
      <c r="AY10" s="127">
        <f t="shared" si="7"/>
        <v>40137.848931857283</v>
      </c>
      <c r="AZ10" s="127">
        <f>Mei!FG11</f>
        <v>10167.730000000014</v>
      </c>
      <c r="BA10" s="127">
        <f>Mei!FJ11</f>
        <v>17507.729999998908</v>
      </c>
      <c r="BB10" s="127">
        <f>Mei!FM48</f>
        <v>10893.071068142608</v>
      </c>
      <c r="BC10" s="127">
        <f>Mei!GM11</f>
        <v>0</v>
      </c>
      <c r="BD10" s="127">
        <f t="shared" si="8"/>
        <v>38568.531068141529</v>
      </c>
      <c r="BE10" s="127">
        <f>Mei!GP11</f>
        <v>2620</v>
      </c>
      <c r="BF10" s="127">
        <f>Mei!GS11</f>
        <v>660</v>
      </c>
      <c r="BG10" s="127">
        <f t="shared" si="9"/>
        <v>3280</v>
      </c>
      <c r="BH10" s="127">
        <f t="shared" si="10"/>
        <v>26513</v>
      </c>
      <c r="BI10" s="127"/>
      <c r="BJ10" s="127"/>
      <c r="BK10" s="127"/>
      <c r="BL10" s="128"/>
      <c r="BM10" s="128">
        <f>(AS10)*42/100</f>
        <v>17194.799999999883</v>
      </c>
      <c r="BN10" s="128"/>
      <c r="BO10" s="128">
        <f t="shared" si="12"/>
        <v>23745.199999999841</v>
      </c>
      <c r="BP10" s="128">
        <f t="shared" si="13"/>
        <v>3280</v>
      </c>
      <c r="BQ10" s="128"/>
      <c r="BR10" s="128"/>
      <c r="BS10" s="128"/>
      <c r="BT10" s="42">
        <f>Mei!D49</f>
        <v>0</v>
      </c>
      <c r="BU10" s="42">
        <f>Mei!G49</f>
        <v>0</v>
      </c>
      <c r="BV10" t="s">
        <v>351</v>
      </c>
      <c r="BX10" s="42">
        <f>Mei!HJ11</f>
        <v>127199.99999999983</v>
      </c>
      <c r="BY10" s="42">
        <f>Mei!HM11</f>
        <v>0</v>
      </c>
      <c r="BZ10" s="42">
        <f>Mei!HP11</f>
        <v>34598.307500000003</v>
      </c>
      <c r="CA10" s="42">
        <f>Mei!HS11</f>
        <v>25598.307499999999</v>
      </c>
      <c r="CB10" s="42">
        <f>Mei!HV11</f>
        <v>23798.307500000043</v>
      </c>
      <c r="CC10" s="42">
        <f>Mei!HY11</f>
        <v>23528.307500000064</v>
      </c>
      <c r="CD10" s="42">
        <f>Mei!IB11</f>
        <v>176.76999999999998</v>
      </c>
      <c r="CE10" s="42">
        <f>Mei!IE11</f>
        <v>0</v>
      </c>
      <c r="CF10" s="42">
        <f>Mei!IH11</f>
        <v>19500</v>
      </c>
    </row>
    <row r="11" spans="1:84" x14ac:dyDescent="0.25">
      <c r="A11" s="26">
        <f t="shared" si="14"/>
        <v>5</v>
      </c>
      <c r="B11" s="42">
        <f>Mei!G12</f>
        <v>495360.00000001153</v>
      </c>
      <c r="C11" s="42">
        <f>Mei!N12</f>
        <v>495000</v>
      </c>
      <c r="D11" s="42">
        <f>Mei!T12</f>
        <v>0.13000000081956387</v>
      </c>
      <c r="E11" s="42">
        <f>Mei!V12</f>
        <v>0</v>
      </c>
      <c r="F11" s="42">
        <f>Mei!AB12</f>
        <v>4500</v>
      </c>
      <c r="G11" s="42">
        <f>Mei!X12</f>
        <v>8399.8699999988166</v>
      </c>
      <c r="H11" s="42">
        <f>Mei!AE12</f>
        <v>8299.9999999997272</v>
      </c>
      <c r="I11" s="42">
        <f>Mei!AI12</f>
        <v>13059.33</v>
      </c>
      <c r="J11" s="42">
        <f>Mei!AN12</f>
        <v>3649.3299999987676</v>
      </c>
      <c r="K11" s="42">
        <f>Mei!AR12</f>
        <v>8800.0000000010914</v>
      </c>
      <c r="L11" s="42">
        <f>Mei!AZ12</f>
        <v>390</v>
      </c>
      <c r="M11" s="42">
        <f>Mei!BC12</f>
        <v>600</v>
      </c>
      <c r="N11" s="125">
        <f t="shared" si="2"/>
        <v>47698.659999999218</v>
      </c>
      <c r="O11" s="125">
        <f>Mei!CA12</f>
        <v>529.1000000000281</v>
      </c>
      <c r="P11" s="125">
        <f>Mei!CD12</f>
        <v>2261.4000000000233</v>
      </c>
      <c r="Q11" s="125">
        <f>Mei!CF12</f>
        <v>7440</v>
      </c>
      <c r="R11" s="125">
        <f>Mei!CH12</f>
        <v>0</v>
      </c>
      <c r="S11" s="125">
        <f>Mei!CK12</f>
        <v>18340.229999999465</v>
      </c>
      <c r="T11" s="125">
        <f>Mei!CO12</f>
        <v>2751.3300000000072</v>
      </c>
      <c r="U11" s="125">
        <f>Mei!CS12</f>
        <v>2823.0300000000043</v>
      </c>
      <c r="V11" s="126">
        <f t="shared" si="3"/>
        <v>34145.089999999531</v>
      </c>
      <c r="W11" s="126">
        <f>Mei!CW12</f>
        <v>19767</v>
      </c>
      <c r="X11" s="126">
        <f>Mei!DA12</f>
        <v>10595</v>
      </c>
      <c r="Y11" s="126">
        <f t="shared" si="1"/>
        <v>30362</v>
      </c>
      <c r="Z11" s="42">
        <f>Mei!BR12</f>
        <v>800.00000000006821</v>
      </c>
      <c r="AA11" s="126">
        <f>Mei!BG12</f>
        <v>2299.9999999999545</v>
      </c>
      <c r="AB11" s="126">
        <f>Mei!BJ12</f>
        <v>9600.0000000003638</v>
      </c>
      <c r="AC11" s="126">
        <f>Mei!BL12+Mei!BN12</f>
        <v>4310.0000000000728</v>
      </c>
      <c r="AD11" s="126">
        <f>Mei!DR12</f>
        <v>9100</v>
      </c>
      <c r="AE11" s="127">
        <f>Mei!DT12-Mei!DR52-Mei!DT52</f>
        <v>20657.999999999993</v>
      </c>
      <c r="AF11" s="127">
        <f>Mei!DR52+Mei!DT52</f>
        <v>42.000000000008697</v>
      </c>
      <c r="AG11" s="127">
        <f>Mei!HJ12-AE11</f>
        <v>107842</v>
      </c>
      <c r="AH11" s="127">
        <f>Mei!DW12</f>
        <v>4799.9999999992724</v>
      </c>
      <c r="AI11" s="127">
        <f>Mei!DZ12</f>
        <v>5059.33</v>
      </c>
      <c r="AJ11" s="127">
        <f>Mei!EC12</f>
        <v>21219.33</v>
      </c>
      <c r="AK11" s="127">
        <f t="shared" si="4"/>
        <v>31078.659999999276</v>
      </c>
      <c r="AL11" s="127">
        <f>Mei!EG12</f>
        <v>27219.33</v>
      </c>
      <c r="AM11" s="127">
        <f>Mei!EJ12</f>
        <v>8059.33</v>
      </c>
      <c r="AN11" s="127">
        <f>Mei!EM12</f>
        <v>809.99999999994543</v>
      </c>
      <c r="AO11" s="127">
        <f t="shared" si="5"/>
        <v>36088.659999999945</v>
      </c>
      <c r="AP11" s="127">
        <f>Mei!FX12</f>
        <v>33600</v>
      </c>
      <c r="AQ11" s="127">
        <f>Mei!GA12</f>
        <v>8970.0000000001819</v>
      </c>
      <c r="AR11" s="127">
        <f>Mei!GG12</f>
        <v>9799.9999999988177</v>
      </c>
      <c r="AS11" s="127">
        <f t="shared" si="6"/>
        <v>52369.999999998996</v>
      </c>
      <c r="AT11" s="127">
        <f>Mei!EQ12</f>
        <v>4084.3299999999772</v>
      </c>
      <c r="AU11" s="127">
        <f>Mei!ET12</f>
        <v>16500</v>
      </c>
      <c r="AV11" s="127">
        <f>Mei!EW12</f>
        <v>4059.33</v>
      </c>
      <c r="AW11" s="127">
        <f>Mei!FL49</f>
        <v>9640.0240748199612</v>
      </c>
      <c r="AX11" s="127">
        <f>Mei!GJ12</f>
        <v>1400.0000000000909</v>
      </c>
      <c r="AY11" s="127">
        <f t="shared" si="7"/>
        <v>35683.684074820019</v>
      </c>
      <c r="AZ11" s="127">
        <f>Mei!FG12</f>
        <v>7609.3300000000227</v>
      </c>
      <c r="BA11" s="127">
        <f>Mei!FJ12</f>
        <v>13934.330000001091</v>
      </c>
      <c r="BB11" s="127">
        <f>Mei!FM49</f>
        <v>9053.6359251800368</v>
      </c>
      <c r="BC11" s="127">
        <f>Mei!GM12</f>
        <v>0</v>
      </c>
      <c r="BD11" s="127">
        <f t="shared" si="8"/>
        <v>30597.295925181148</v>
      </c>
      <c r="BE11" s="127">
        <f>Mei!GP12</f>
        <v>2220</v>
      </c>
      <c r="BF11" s="127">
        <f>Mei!GS12</f>
        <v>830</v>
      </c>
      <c r="BG11" s="127">
        <f t="shared" si="9"/>
        <v>3050</v>
      </c>
      <c r="BH11" s="127">
        <f t="shared" si="10"/>
        <v>30362</v>
      </c>
      <c r="BI11" s="127"/>
      <c r="BJ11" s="127"/>
      <c r="BK11" s="127"/>
      <c r="BL11" s="128"/>
      <c r="BM11" s="128">
        <f>(AS11)*53/100</f>
        <v>27756.099999999467</v>
      </c>
      <c r="BN11" s="128"/>
      <c r="BO11" s="128">
        <f t="shared" si="12"/>
        <v>24613.899999999529</v>
      </c>
      <c r="BP11" s="128">
        <f t="shared" si="13"/>
        <v>3050</v>
      </c>
      <c r="BQ11" s="128"/>
      <c r="BR11" s="128"/>
      <c r="BS11" s="128"/>
      <c r="BT11" s="42">
        <f>Mei!D50</f>
        <v>39634</v>
      </c>
      <c r="BU11" s="42">
        <f>Mei!G50</f>
        <v>0</v>
      </c>
      <c r="BV11" t="s">
        <v>352</v>
      </c>
      <c r="BX11" s="42">
        <f>Mei!HJ12</f>
        <v>128500</v>
      </c>
      <c r="BY11" s="42">
        <f>Mei!HM12</f>
        <v>0</v>
      </c>
      <c r="BZ11" s="42">
        <f>Mei!HP12</f>
        <v>33437.652500000084</v>
      </c>
      <c r="CA11" s="42">
        <f>Mei!HS12</f>
        <v>26937.652499999862</v>
      </c>
      <c r="CB11" s="42">
        <f>Mei!HV12</f>
        <v>26037.6525</v>
      </c>
      <c r="CC11" s="42">
        <f>Mei!HY12</f>
        <v>21177.652499999986</v>
      </c>
      <c r="CD11" s="42">
        <f>Mei!IB12</f>
        <v>209.39</v>
      </c>
      <c r="CE11" s="42">
        <f>Mei!IE12</f>
        <v>0</v>
      </c>
      <c r="CF11" s="42">
        <f>Mei!IH12</f>
        <v>20700</v>
      </c>
    </row>
    <row r="12" spans="1:84" x14ac:dyDescent="0.25">
      <c r="A12" s="26">
        <f t="shared" si="14"/>
        <v>6</v>
      </c>
      <c r="B12" s="42">
        <f>Mei!G13</f>
        <v>377279.99999998428</v>
      </c>
      <c r="C12" s="42">
        <f>Mei!N13</f>
        <v>375000</v>
      </c>
      <c r="D12" s="42">
        <f>Mei!T13</f>
        <v>5.849999999627471</v>
      </c>
      <c r="E12" s="42">
        <f>Mei!V13</f>
        <v>0</v>
      </c>
      <c r="F12" s="42">
        <f>Mei!AB13</f>
        <v>4100</v>
      </c>
      <c r="G12" s="42">
        <f>Mei!X13</f>
        <v>7894.1500000003725</v>
      </c>
      <c r="H12" s="42">
        <f>Mei!AE13</f>
        <v>7400.0000000000909</v>
      </c>
      <c r="I12" s="42">
        <f>Mei!AI13</f>
        <v>13098.369999999999</v>
      </c>
      <c r="J12" s="42">
        <f>Mei!AN13</f>
        <v>3748.3700000008039</v>
      </c>
      <c r="K12" s="42">
        <f>Mei!AR13</f>
        <v>8299.9999999992724</v>
      </c>
      <c r="L12" s="42">
        <f>Mei!AZ13</f>
        <v>400</v>
      </c>
      <c r="M12" s="42">
        <f>Mei!BC13</f>
        <v>540</v>
      </c>
      <c r="N12" s="125">
        <f t="shared" si="2"/>
        <v>45486.740000000165</v>
      </c>
      <c r="O12" s="125">
        <f>Mei!CA13</f>
        <v>454.99999999998408</v>
      </c>
      <c r="P12" s="125">
        <f>Mei!CD13</f>
        <v>0</v>
      </c>
      <c r="Q12" s="125">
        <f>Mei!CF13</f>
        <v>6593</v>
      </c>
      <c r="R12" s="125">
        <f>Mei!CH13</f>
        <v>587.19999999999709</v>
      </c>
      <c r="S12" s="125">
        <f>Mei!CK13</f>
        <v>15053.36999999987</v>
      </c>
      <c r="T12" s="125">
        <f>Mei!CO13</f>
        <v>3151.3699999998835</v>
      </c>
      <c r="U12" s="125">
        <f>Mei!CS13</f>
        <v>3597.1699999999955</v>
      </c>
      <c r="V12" s="126">
        <f t="shared" si="3"/>
        <v>29437.109999999728</v>
      </c>
      <c r="W12" s="126">
        <f>Mei!CW13</f>
        <v>17022</v>
      </c>
      <c r="X12" s="126">
        <f>Mei!DA13</f>
        <v>9655</v>
      </c>
      <c r="Y12" s="126">
        <f t="shared" si="1"/>
        <v>26677</v>
      </c>
      <c r="Z12" s="42">
        <f>Mei!BR13</f>
        <v>799.99999999995453</v>
      </c>
      <c r="AA12" s="126">
        <f>Mei!BG13</f>
        <v>2100.0000000001364</v>
      </c>
      <c r="AB12" s="126">
        <f>Mei!BJ13</f>
        <v>9299.9999999992724</v>
      </c>
      <c r="AC12" s="126">
        <f>Mei!BL13+Mei!BN13</f>
        <v>4249.9999999999682</v>
      </c>
      <c r="AD12" s="126">
        <f>Mei!DR13</f>
        <v>8300</v>
      </c>
      <c r="AE12" s="127">
        <f>Mei!DT13-Mei!DR53-Mei!DT53</f>
        <v>18352.500000000004</v>
      </c>
      <c r="AF12" s="127">
        <f>Mei!DR53+Mei!DT53</f>
        <v>47.499999999995879</v>
      </c>
      <c r="AG12" s="127">
        <f>Mei!HJ13-AE12</f>
        <v>80947.500000000175</v>
      </c>
      <c r="AH12" s="127">
        <f>Mei!DW13</f>
        <v>4500</v>
      </c>
      <c r="AI12" s="127">
        <f>Mei!DZ13</f>
        <v>5598.37</v>
      </c>
      <c r="AJ12" s="127">
        <f>Mei!EC13</f>
        <v>21758.37</v>
      </c>
      <c r="AK12" s="127">
        <f t="shared" si="4"/>
        <v>31856.739999999998</v>
      </c>
      <c r="AL12" s="127">
        <f>Mei!EG13</f>
        <v>8758.369999999999</v>
      </c>
      <c r="AM12" s="127">
        <f>Mei!EJ13</f>
        <v>6598.37</v>
      </c>
      <c r="AN12" s="127">
        <f>Mei!EM13</f>
        <v>450.00000000004547</v>
      </c>
      <c r="AO12" s="127">
        <f t="shared" si="5"/>
        <v>15806.740000000043</v>
      </c>
      <c r="AP12" s="127">
        <f>Mei!FX13</f>
        <v>5700</v>
      </c>
      <c r="AQ12" s="127">
        <f>Mei!GA13</f>
        <v>2059.9999999999091</v>
      </c>
      <c r="AR12" s="127">
        <f>Mei!GG13</f>
        <v>3400.0000000003183</v>
      </c>
      <c r="AS12" s="127">
        <f t="shared" si="6"/>
        <v>11160.000000000227</v>
      </c>
      <c r="AT12" s="127">
        <f>Mei!EQ13</f>
        <v>4683.3700000000363</v>
      </c>
      <c r="AU12" s="127">
        <f>Mei!ET13</f>
        <v>16200.000000000728</v>
      </c>
      <c r="AV12" s="127">
        <f>Mei!EW13</f>
        <v>5598.37</v>
      </c>
      <c r="AW12" s="127">
        <f>Mei!FL50</f>
        <v>12790.59296388387</v>
      </c>
      <c r="AX12" s="127">
        <f>Mei!GJ13</f>
        <v>1700.0000000000455</v>
      </c>
      <c r="AY12" s="127">
        <f t="shared" si="7"/>
        <v>40972.332963884677</v>
      </c>
      <c r="AZ12" s="127">
        <f>Mei!FG13</f>
        <v>3275.0399999999636</v>
      </c>
      <c r="BA12" s="127">
        <f>Mei!FJ13</f>
        <v>3160.0399999992724</v>
      </c>
      <c r="BB12" s="127">
        <f>Mei!FM50</f>
        <v>3167.8170361161301</v>
      </c>
      <c r="BC12" s="127">
        <f>Mei!GM13</f>
        <v>500</v>
      </c>
      <c r="BD12" s="127">
        <f t="shared" si="8"/>
        <v>10102.897036115366</v>
      </c>
      <c r="BE12" s="127">
        <f>Mei!GP13</f>
        <v>1510</v>
      </c>
      <c r="BF12" s="127">
        <f>Mei!GS13</f>
        <v>540</v>
      </c>
      <c r="BG12" s="127">
        <f t="shared" si="9"/>
        <v>2050</v>
      </c>
      <c r="BH12" s="127">
        <f t="shared" si="10"/>
        <v>26677</v>
      </c>
      <c r="BI12" s="127"/>
      <c r="BJ12" s="127"/>
      <c r="BK12" s="127"/>
      <c r="BL12" s="128"/>
      <c r="BM12" s="128">
        <f>(AS12)*52/100</f>
        <v>5803.200000000119</v>
      </c>
      <c r="BN12" s="128"/>
      <c r="BO12" s="128">
        <f t="shared" si="12"/>
        <v>5356.8000000001084</v>
      </c>
      <c r="BP12" s="128">
        <f t="shared" si="13"/>
        <v>2050</v>
      </c>
      <c r="BQ12" s="128"/>
      <c r="BR12" s="128"/>
      <c r="BS12" s="128"/>
      <c r="BT12" s="42">
        <f>Mei!D51</f>
        <v>39633</v>
      </c>
      <c r="BU12" s="42">
        <f>Mei!G51</f>
        <v>0</v>
      </c>
      <c r="BV12" t="s">
        <v>349</v>
      </c>
      <c r="BX12" s="42">
        <f>Mei!HJ13</f>
        <v>99300.000000000175</v>
      </c>
      <c r="BY12" s="42">
        <f>Mei!HM13</f>
        <v>0</v>
      </c>
      <c r="BZ12" s="42">
        <f>Mei!HP13</f>
        <v>27034.999999999727</v>
      </c>
      <c r="CA12" s="42">
        <f>Mei!HS13</f>
        <v>15435.000000000045</v>
      </c>
      <c r="CB12" s="42">
        <f>Mei!HV13</f>
        <v>21534.999999999956</v>
      </c>
      <c r="CC12" s="42">
        <f>Mei!HY13</f>
        <v>16894.999999999967</v>
      </c>
      <c r="CD12" s="42">
        <f>Mei!IB13</f>
        <v>0</v>
      </c>
      <c r="CE12" s="42">
        <f>Mei!IE13</f>
        <v>0</v>
      </c>
      <c r="CF12" s="42">
        <f>Mei!IH13</f>
        <v>18400</v>
      </c>
    </row>
    <row r="13" spans="1:84" x14ac:dyDescent="0.25">
      <c r="A13" s="26">
        <f t="shared" si="14"/>
        <v>7</v>
      </c>
      <c r="B13" s="42">
        <f>Mei!G14</f>
        <v>471999.99999999272</v>
      </c>
      <c r="C13" s="42">
        <f>Mei!N14</f>
        <v>465000</v>
      </c>
      <c r="D13" s="42">
        <f>Mei!T14</f>
        <v>0</v>
      </c>
      <c r="E13" s="42">
        <f>Mei!V14</f>
        <v>0</v>
      </c>
      <c r="F13" s="42">
        <f>Mei!AB14</f>
        <v>4500</v>
      </c>
      <c r="G13" s="42">
        <f>Mei!X14</f>
        <v>7500</v>
      </c>
      <c r="H13" s="42">
        <f>Mei!AE14</f>
        <v>8099.9999999999091</v>
      </c>
      <c r="I13" s="42">
        <f>Mei!AI14</f>
        <v>16637.780000000726</v>
      </c>
      <c r="J13" s="42">
        <f>Mei!AN14</f>
        <v>5007.7800000003099</v>
      </c>
      <c r="K13" s="42">
        <f>Mei!AR14</f>
        <v>8500</v>
      </c>
      <c r="L13" s="42">
        <f>Mei!AZ14</f>
        <v>390</v>
      </c>
      <c r="M13" s="42">
        <f>Mei!BC14</f>
        <v>570</v>
      </c>
      <c r="N13" s="125">
        <f t="shared" si="2"/>
        <v>51205.560000000951</v>
      </c>
      <c r="O13" s="125">
        <f>Mei!CA14</f>
        <v>499.30000000000518</v>
      </c>
      <c r="P13" s="125">
        <f>Mei!CD14</f>
        <v>0</v>
      </c>
      <c r="Q13" s="125">
        <f>Mei!CF14</f>
        <v>7185</v>
      </c>
      <c r="R13" s="125">
        <f>Mei!CH14</f>
        <v>244.70000000001164</v>
      </c>
      <c r="S13" s="125">
        <f>Mei!CK14</f>
        <v>15668.479999999559</v>
      </c>
      <c r="T13" s="125">
        <f>Mei!CO14</f>
        <v>4968.7799999999488</v>
      </c>
      <c r="U13" s="125">
        <f>Mei!CS14</f>
        <v>5117.8800000000056</v>
      </c>
      <c r="V13" s="126">
        <f t="shared" si="3"/>
        <v>33684.139999999526</v>
      </c>
      <c r="W13" s="126">
        <f>Mei!CW14</f>
        <v>19619</v>
      </c>
      <c r="X13" s="126">
        <f>Mei!DA14</f>
        <v>10728</v>
      </c>
      <c r="Y13" s="126">
        <f t="shared" si="1"/>
        <v>30347</v>
      </c>
      <c r="Z13" s="42">
        <f>Mei!BR14</f>
        <v>800.00000000006821</v>
      </c>
      <c r="AA13" s="126">
        <f>Mei!BG14</f>
        <v>1899.9999999998636</v>
      </c>
      <c r="AB13" s="126">
        <f>Mei!BJ14</f>
        <v>9500</v>
      </c>
      <c r="AC13" s="126">
        <f>Mei!BL14+Mei!BN14</f>
        <v>4229.9999999999864</v>
      </c>
      <c r="AD13" s="126">
        <f>Mei!DR14</f>
        <v>10200</v>
      </c>
      <c r="AE13" s="127">
        <f>Mei!DT14-Mei!DR54-Mei!DT54</f>
        <v>18452.500000000004</v>
      </c>
      <c r="AF13" s="127">
        <f>Mei!DR54+Mei!DT54</f>
        <v>47.499999999995879</v>
      </c>
      <c r="AG13" s="127">
        <f>Mei!HJ14-AE13</f>
        <v>89747.499999999825</v>
      </c>
      <c r="AH13" s="127">
        <f>Mei!DW14</f>
        <v>4700.0000000007276</v>
      </c>
      <c r="AI13" s="127">
        <f>Mei!DZ14</f>
        <v>6937.78</v>
      </c>
      <c r="AJ13" s="127">
        <f>Mei!EC14</f>
        <v>24097.78</v>
      </c>
      <c r="AK13" s="127">
        <f t="shared" si="4"/>
        <v>35735.560000000725</v>
      </c>
      <c r="AL13" s="127">
        <f>Mei!EG14</f>
        <v>22097.78</v>
      </c>
      <c r="AM13" s="127">
        <f>Mei!EJ14</f>
        <v>10937.78</v>
      </c>
      <c r="AN13" s="127">
        <f>Mei!EM14</f>
        <v>679.99999999994998</v>
      </c>
      <c r="AO13" s="127">
        <f t="shared" si="5"/>
        <v>33715.559999999947</v>
      </c>
      <c r="AP13" s="127">
        <f>Mei!FX14</f>
        <v>13700</v>
      </c>
      <c r="AQ13" s="127">
        <f>Mei!GA14</f>
        <v>4290</v>
      </c>
      <c r="AR13" s="127">
        <f>Mei!GG14</f>
        <v>5900.0000000012278</v>
      </c>
      <c r="AS13" s="127">
        <f t="shared" si="6"/>
        <v>23890.00000000123</v>
      </c>
      <c r="AT13" s="127">
        <f>Mei!EQ14</f>
        <v>6922.779999999957</v>
      </c>
      <c r="AU13" s="127">
        <f>Mei!ET14</f>
        <v>17799.999999999272</v>
      </c>
      <c r="AV13" s="127">
        <f>Mei!EW14</f>
        <v>7437.78</v>
      </c>
      <c r="AW13" s="127">
        <f>Mei!FL51</f>
        <v>15650.249322217862</v>
      </c>
      <c r="AX13" s="127">
        <f>Mei!GJ14</f>
        <v>1899.9999999998636</v>
      </c>
      <c r="AY13" s="127">
        <f t="shared" si="7"/>
        <v>49710.809322216948</v>
      </c>
      <c r="AZ13" s="127">
        <f>Mei!FG14</f>
        <v>10047.780000000044</v>
      </c>
      <c r="BA13" s="127">
        <f>Mei!FJ14</f>
        <v>13732.780000000728</v>
      </c>
      <c r="BB13" s="127">
        <f>Mei!FM51</f>
        <v>11320.310677782138</v>
      </c>
      <c r="BC13" s="127">
        <f>Mei!GM14</f>
        <v>1000</v>
      </c>
      <c r="BD13" s="127">
        <f t="shared" si="8"/>
        <v>36100.870677782907</v>
      </c>
      <c r="BE13" s="127">
        <f>Mei!GP14</f>
        <v>2390</v>
      </c>
      <c r="BF13" s="127">
        <f>Mei!GS14</f>
        <v>710</v>
      </c>
      <c r="BG13" s="127">
        <f t="shared" si="9"/>
        <v>3100</v>
      </c>
      <c r="BH13" s="127">
        <f t="shared" si="10"/>
        <v>30347</v>
      </c>
      <c r="BI13" s="127"/>
      <c r="BJ13" s="127"/>
      <c r="BK13" s="127"/>
      <c r="BL13" s="128"/>
      <c r="BM13" s="128">
        <f t="shared" ref="BM13:BM21" si="15">(AS13)</f>
        <v>23890.00000000123</v>
      </c>
      <c r="BN13" s="128"/>
      <c r="BO13" s="128"/>
      <c r="BP13" s="128">
        <f>BG13*54/100</f>
        <v>1674</v>
      </c>
      <c r="BQ13" s="128"/>
      <c r="BR13" s="128"/>
      <c r="BS13" s="128">
        <f>BG13-BP13</f>
        <v>1426</v>
      </c>
      <c r="BT13" s="42">
        <f>Mei!D52</f>
        <v>39633</v>
      </c>
      <c r="BU13" s="42">
        <f>Mei!G52</f>
        <v>0</v>
      </c>
      <c r="BV13" t="s">
        <v>348</v>
      </c>
      <c r="BX13" s="42">
        <f>Mei!HJ14</f>
        <v>108199.99999999983</v>
      </c>
      <c r="BY13" s="42">
        <f>Mei!HM14</f>
        <v>0</v>
      </c>
      <c r="BZ13" s="42">
        <f>Mei!HP14</f>
        <v>26647.91499999991</v>
      </c>
      <c r="CA13" s="42">
        <f>Mei!HS14</f>
        <v>19647.915000000139</v>
      </c>
      <c r="CB13" s="42">
        <f>Mei!HV14</f>
        <v>24747.915000000045</v>
      </c>
      <c r="CC13" s="42">
        <f>Mei!HY14</f>
        <v>18237.915000000055</v>
      </c>
      <c r="CD13" s="42">
        <f>Mei!IB14</f>
        <v>418.34000000000015</v>
      </c>
      <c r="CE13" s="42">
        <f>Mei!IE14</f>
        <v>0</v>
      </c>
      <c r="CF13" s="42">
        <f>Mei!IH14</f>
        <v>18500</v>
      </c>
    </row>
    <row r="14" spans="1:84" x14ac:dyDescent="0.25">
      <c r="A14" s="26">
        <f t="shared" si="14"/>
        <v>8</v>
      </c>
      <c r="B14" s="42">
        <f>Mei!G15</f>
        <v>487360.00000000419</v>
      </c>
      <c r="C14" s="42">
        <f>Mei!N15</f>
        <v>486000</v>
      </c>
      <c r="D14" s="42">
        <f>Mei!T15</f>
        <v>0.23000000044703484</v>
      </c>
      <c r="E14" s="42">
        <f>Mei!V15</f>
        <v>0</v>
      </c>
      <c r="F14" s="42">
        <f>Mei!AB15</f>
        <v>4400</v>
      </c>
      <c r="G14" s="42">
        <f>Mei!X15</f>
        <v>7599.769999999553</v>
      </c>
      <c r="H14" s="42">
        <f>Mei!AE15</f>
        <v>7700.0000000002728</v>
      </c>
      <c r="I14" s="42">
        <f>Mei!AI15</f>
        <v>15413.859999998545</v>
      </c>
      <c r="J14" s="42">
        <f>Mei!AN15</f>
        <v>5243.8599999997368</v>
      </c>
      <c r="K14" s="42">
        <f>Mei!AR15</f>
        <v>8800.0000000010914</v>
      </c>
      <c r="L14" s="42">
        <f>Mei!AZ15</f>
        <v>390</v>
      </c>
      <c r="M14" s="42">
        <f>Mei!BC15</f>
        <v>550</v>
      </c>
      <c r="N14" s="125">
        <f t="shared" si="2"/>
        <v>50097.719999999652</v>
      </c>
      <c r="O14" s="125">
        <f>Mei!CA15</f>
        <v>535.50000000001319</v>
      </c>
      <c r="P14" s="125">
        <f>Mei!CD15</f>
        <v>4307.3000000000466</v>
      </c>
      <c r="Q14" s="125">
        <f>Mei!CF15</f>
        <v>7518</v>
      </c>
      <c r="R14" s="125">
        <f>Mei!CH15</f>
        <v>0</v>
      </c>
      <c r="S14" s="125">
        <f>Mei!CK15</f>
        <v>16758.360000001368</v>
      </c>
      <c r="T14" s="125">
        <f>Mei!CO15</f>
        <v>6543.8600000000179</v>
      </c>
      <c r="U14" s="125">
        <f>Mei!CS15</f>
        <v>5823.6599999999953</v>
      </c>
      <c r="V14" s="126">
        <f t="shared" si="3"/>
        <v>41486.680000001441</v>
      </c>
      <c r="W14" s="126">
        <f>Mei!CW15</f>
        <v>19257</v>
      </c>
      <c r="X14" s="126">
        <f>Mei!DA15</f>
        <v>10706</v>
      </c>
      <c r="Y14" s="126">
        <f t="shared" si="1"/>
        <v>29963</v>
      </c>
      <c r="Z14" s="42">
        <f>Mei!BR15</f>
        <v>699.99999999993179</v>
      </c>
      <c r="AA14" s="126">
        <f>Mei!BG15</f>
        <v>2200.0000000000455</v>
      </c>
      <c r="AB14" s="126">
        <f>Mei!BJ15</f>
        <v>9400.0000000014552</v>
      </c>
      <c r="AC14" s="126">
        <f>Mei!BL15+Mei!BN15</f>
        <v>4269.9999999999682</v>
      </c>
      <c r="AD14" s="126">
        <f>Mei!DR15</f>
        <v>9500</v>
      </c>
      <c r="AE14" s="127">
        <f>Mei!DT15-Mei!DR55-Mei!DT55</f>
        <v>18155.999999999996</v>
      </c>
      <c r="AF14" s="127">
        <f>Mei!DR55+Mei!DT55</f>
        <v>44.000000000004036</v>
      </c>
      <c r="AG14" s="127">
        <f>Mei!HJ15-AE14</f>
        <v>98844</v>
      </c>
      <c r="AH14" s="127">
        <f>Mei!DW15</f>
        <v>4199.9999999998181</v>
      </c>
      <c r="AI14" s="127">
        <f>Mei!DZ15</f>
        <v>8313.86</v>
      </c>
      <c r="AJ14" s="127">
        <f>Mei!EC15</f>
        <v>26473.86</v>
      </c>
      <c r="AK14" s="127">
        <f t="shared" si="4"/>
        <v>38987.719999999819</v>
      </c>
      <c r="AL14" s="127">
        <f>Mei!EG15</f>
        <v>25473.86</v>
      </c>
      <c r="AM14" s="127">
        <f>Mei!EJ15</f>
        <v>12313.86</v>
      </c>
      <c r="AN14" s="127">
        <f>Mei!EM15</f>
        <v>810.00000000005912</v>
      </c>
      <c r="AO14" s="127">
        <f t="shared" si="5"/>
        <v>38597.720000000059</v>
      </c>
      <c r="AP14" s="127">
        <f>Mei!FX15</f>
        <v>13800</v>
      </c>
      <c r="AQ14" s="127">
        <f>Mei!GA15</f>
        <v>3700.0000000000909</v>
      </c>
      <c r="AR14" s="127">
        <f>Mei!GG15</f>
        <v>4999.9999999988631</v>
      </c>
      <c r="AS14" s="127">
        <f t="shared" si="6"/>
        <v>22499.999999998952</v>
      </c>
      <c r="AT14" s="127">
        <f>Mei!EQ15</f>
        <v>7393.8600000000415</v>
      </c>
      <c r="AU14" s="127">
        <f>Mei!ET15</f>
        <v>16799.999999999272</v>
      </c>
      <c r="AV14" s="127">
        <f>Mei!EW15</f>
        <v>7313.86</v>
      </c>
      <c r="AW14" s="127">
        <f>Mei!FL52</f>
        <v>13737.984632613086</v>
      </c>
      <c r="AX14" s="127">
        <f>Mei!GJ15</f>
        <v>1500</v>
      </c>
      <c r="AY14" s="127">
        <f t="shared" si="7"/>
        <v>46745.704632612396</v>
      </c>
      <c r="AZ14" s="127">
        <f>Mei!FG15</f>
        <v>11193.859999999961</v>
      </c>
      <c r="BA14" s="127">
        <f>Mei!FJ15</f>
        <v>17473.859999998909</v>
      </c>
      <c r="BB14" s="127">
        <f>Mei!FM52</f>
        <v>13849.735367386917</v>
      </c>
      <c r="BC14" s="127">
        <f>Mei!GM15</f>
        <v>1200.0000000000455</v>
      </c>
      <c r="BD14" s="127">
        <f t="shared" si="8"/>
        <v>43717.455367385832</v>
      </c>
      <c r="BE14" s="127">
        <f>Mei!GP15</f>
        <v>1550</v>
      </c>
      <c r="BF14" s="127">
        <f>Mei!GS15</f>
        <v>700</v>
      </c>
      <c r="BG14" s="127">
        <f t="shared" si="9"/>
        <v>2250</v>
      </c>
      <c r="BH14" s="127">
        <f t="shared" si="10"/>
        <v>29963</v>
      </c>
      <c r="BI14" s="127"/>
      <c r="BJ14" s="127"/>
      <c r="BK14" s="127"/>
      <c r="BL14" s="128"/>
      <c r="BM14" s="128">
        <f t="shared" si="15"/>
        <v>22499.999999998952</v>
      </c>
      <c r="BN14" s="128"/>
      <c r="BO14" s="128"/>
      <c r="BP14" s="128"/>
      <c r="BQ14" s="128"/>
      <c r="BR14" s="128"/>
      <c r="BS14" s="128">
        <f t="shared" ref="BS14:BS21" si="16">BG14</f>
        <v>2250</v>
      </c>
      <c r="BT14" s="42">
        <f>Mei!D53</f>
        <v>29899.999999999982</v>
      </c>
      <c r="BU14" s="42">
        <f>Mei!G53</f>
        <v>0</v>
      </c>
      <c r="BV14" t="s">
        <v>353</v>
      </c>
      <c r="BX14" s="42">
        <f>Mei!HJ15</f>
        <v>117000</v>
      </c>
      <c r="BY14" s="42">
        <f>Mei!HM15</f>
        <v>0</v>
      </c>
      <c r="BZ14" s="42">
        <f>Mei!HP15</f>
        <v>26674.724999999999</v>
      </c>
      <c r="CA14" s="42">
        <f>Mei!HS15</f>
        <v>23474.724999999955</v>
      </c>
      <c r="CB14" s="42">
        <f>Mei!HV15</f>
        <v>26274.724999999908</v>
      </c>
      <c r="CC14" s="42">
        <f>Mei!HY15</f>
        <v>22064.724999999984</v>
      </c>
      <c r="CD14" s="42">
        <f>Mei!IB15</f>
        <v>311.09999999999991</v>
      </c>
      <c r="CE14" s="42">
        <f>Mei!IE15</f>
        <v>0</v>
      </c>
      <c r="CF14" s="42">
        <f>Mei!IH15</f>
        <v>18200</v>
      </c>
    </row>
    <row r="15" spans="1:84" x14ac:dyDescent="0.25">
      <c r="A15" s="26">
        <f t="shared" si="14"/>
        <v>9</v>
      </c>
      <c r="B15" s="42">
        <f>Mei!G16</f>
        <v>513599.99999999488</v>
      </c>
      <c r="C15" s="42">
        <f>Mei!N16</f>
        <v>512000</v>
      </c>
      <c r="D15" s="42">
        <f>Mei!T16</f>
        <v>0.70999999903142452</v>
      </c>
      <c r="E15" s="42">
        <f>Mei!V16</f>
        <v>0</v>
      </c>
      <c r="F15" s="42">
        <f>Mei!AB16</f>
        <v>4500</v>
      </c>
      <c r="G15" s="42">
        <f>Mei!X16</f>
        <v>9499.2900000009686</v>
      </c>
      <c r="H15" s="42">
        <f>Mei!AE16</f>
        <v>8099.9999999999091</v>
      </c>
      <c r="I15" s="42">
        <f>Mei!AI16</f>
        <v>17502.240000001093</v>
      </c>
      <c r="J15" s="42">
        <f>Mei!AN16</f>
        <v>5052.2399999995268</v>
      </c>
      <c r="K15" s="42">
        <f>Mei!AR16</f>
        <v>8599.9999999985448</v>
      </c>
      <c r="L15" s="42">
        <f>Mei!AZ16</f>
        <v>400</v>
      </c>
      <c r="M15" s="42">
        <f>Mei!BC16</f>
        <v>650</v>
      </c>
      <c r="N15" s="125">
        <f t="shared" si="2"/>
        <v>54304.479999999072</v>
      </c>
      <c r="O15" s="125">
        <f>Mei!CA16</f>
        <v>566.29999999995562</v>
      </c>
      <c r="P15" s="125">
        <f>Mei!CD16</f>
        <v>5151.8999999999069</v>
      </c>
      <c r="Q15" s="125">
        <f>Mei!CF16</f>
        <v>7253</v>
      </c>
      <c r="R15" s="125">
        <f>Mei!CH16</f>
        <v>0</v>
      </c>
      <c r="S15" s="125">
        <f>Mei!CK16</f>
        <v>16765.939999999246</v>
      </c>
      <c r="T15" s="125">
        <f>Mei!CO16</f>
        <v>6787.2400000000362</v>
      </c>
      <c r="U15" s="125">
        <f>Mei!CS16</f>
        <v>6176.7400000000071</v>
      </c>
      <c r="V15" s="126">
        <f t="shared" si="3"/>
        <v>42701.119999999151</v>
      </c>
      <c r="W15" s="126">
        <f>Mei!CW16</f>
        <v>19779</v>
      </c>
      <c r="X15" s="126">
        <f>Mei!DA16</f>
        <v>11750</v>
      </c>
      <c r="Y15" s="126">
        <f t="shared" si="1"/>
        <v>31529</v>
      </c>
      <c r="Z15" s="42">
        <f>Mei!BR16</f>
        <v>700.00000000004547</v>
      </c>
      <c r="AA15" s="126">
        <f>Mei!BG16</f>
        <v>2299.9999999999545</v>
      </c>
      <c r="AB15" s="126">
        <f>Mei!BJ16</f>
        <v>9699.9999999989086</v>
      </c>
      <c r="AC15" s="126">
        <f>Mei!BL16+Mei!BN16</f>
        <v>4350.0000000000637</v>
      </c>
      <c r="AD15" s="126">
        <f>Mei!DR16</f>
        <v>9200</v>
      </c>
      <c r="AE15" s="127">
        <f>Mei!DT16-Mei!DR56-Mei!DT56</f>
        <v>19152.000000000004</v>
      </c>
      <c r="AF15" s="127">
        <f>Mei!DR56+Mei!DT56</f>
        <v>47.999999999994714</v>
      </c>
      <c r="AG15" s="127">
        <f>Mei!HJ16-AE15</f>
        <v>101948.00000000036</v>
      </c>
      <c r="AH15" s="127">
        <f>Mei!DW16</f>
        <v>4000</v>
      </c>
      <c r="AI15" s="127">
        <f>Mei!DZ16</f>
        <v>7202.24</v>
      </c>
      <c r="AJ15" s="127">
        <f>Mei!EC16</f>
        <v>25362.240000000002</v>
      </c>
      <c r="AK15" s="127">
        <f t="shared" si="4"/>
        <v>36564.480000000003</v>
      </c>
      <c r="AL15" s="127">
        <f>Mei!EG16</f>
        <v>29362.240000000002</v>
      </c>
      <c r="AM15" s="127">
        <f>Mei!EJ16</f>
        <v>12202.24</v>
      </c>
      <c r="AN15" s="127">
        <f>Mei!EM16</f>
        <v>769.99999999998181</v>
      </c>
      <c r="AO15" s="127">
        <f t="shared" si="5"/>
        <v>42334.479999999981</v>
      </c>
      <c r="AP15" s="127">
        <f>Mei!FX16</f>
        <v>18300</v>
      </c>
      <c r="AQ15" s="127">
        <f>Mei!GA16</f>
        <v>5269.9999999998181</v>
      </c>
      <c r="AR15" s="127">
        <f>Mei!GG16</f>
        <v>7699.9999999998181</v>
      </c>
      <c r="AS15" s="127">
        <f t="shared" si="6"/>
        <v>31269.999999999636</v>
      </c>
      <c r="AT15" s="127">
        <f>Mei!EQ16</f>
        <v>7217.2399999999861</v>
      </c>
      <c r="AU15" s="127">
        <f>Mei!ET16</f>
        <v>17600.000000000364</v>
      </c>
      <c r="AV15" s="127">
        <f>Mei!EW16</f>
        <v>7502.2399999997269</v>
      </c>
      <c r="AW15" s="127">
        <f>Mei!FL53</f>
        <v>12536.734069673863</v>
      </c>
      <c r="AX15" s="127">
        <f>Mei!GJ16</f>
        <v>1600.0000000001364</v>
      </c>
      <c r="AY15" s="127">
        <f t="shared" si="7"/>
        <v>46456.214069674075</v>
      </c>
      <c r="AZ15" s="127">
        <f>Mei!FG16</f>
        <v>11825.570000000014</v>
      </c>
      <c r="BA15" s="127">
        <f>Mei!FJ16</f>
        <v>16940.570000000367</v>
      </c>
      <c r="BB15" s="127">
        <f>Mei!FM53</f>
        <v>13506.075930326135</v>
      </c>
      <c r="BC15" s="127">
        <f>Mei!GM16</f>
        <v>1200.0000000000455</v>
      </c>
      <c r="BD15" s="127">
        <f t="shared" si="8"/>
        <v>43472.215930326558</v>
      </c>
      <c r="BE15" s="127">
        <f>Mei!GP16</f>
        <v>2840</v>
      </c>
      <c r="BF15" s="127">
        <f>Mei!GS16</f>
        <v>930</v>
      </c>
      <c r="BG15" s="127">
        <f t="shared" si="9"/>
        <v>3770</v>
      </c>
      <c r="BH15" s="127">
        <f t="shared" si="10"/>
        <v>31529</v>
      </c>
      <c r="BI15" s="127"/>
      <c r="BJ15" s="127"/>
      <c r="BK15" s="127"/>
      <c r="BL15" s="128"/>
      <c r="BM15" s="128">
        <f t="shared" si="15"/>
        <v>31269.999999999636</v>
      </c>
      <c r="BN15" s="128"/>
      <c r="BO15" s="128"/>
      <c r="BP15" s="128"/>
      <c r="BQ15" s="128"/>
      <c r="BR15" s="128"/>
      <c r="BS15" s="128">
        <f t="shared" si="16"/>
        <v>3770</v>
      </c>
      <c r="BT15" s="42">
        <f>Mei!D54</f>
        <v>33800.000000000022</v>
      </c>
      <c r="BU15" s="42">
        <f>Mei!G54</f>
        <v>0</v>
      </c>
      <c r="BV15" t="s">
        <v>353</v>
      </c>
      <c r="BW15" s="151"/>
      <c r="BX15" s="42">
        <f>Mei!HJ16</f>
        <v>121100.00000000036</v>
      </c>
      <c r="BY15" s="42">
        <f>Mei!HM16</f>
        <v>0</v>
      </c>
      <c r="BZ15" s="42">
        <f>Mei!HP16</f>
        <v>29132.275000000001</v>
      </c>
      <c r="CA15" s="42">
        <f>Mei!HS16</f>
        <v>23632.275000000001</v>
      </c>
      <c r="CB15" s="42">
        <f>Mei!HV16</f>
        <v>25432.274999999958</v>
      </c>
      <c r="CC15" s="42">
        <f>Mei!HY16</f>
        <v>23492.275000000016</v>
      </c>
      <c r="CD15" s="42">
        <f>Mei!IB16</f>
        <v>210.90000000000009</v>
      </c>
      <c r="CE15" s="42">
        <f>Mei!IE16</f>
        <v>0</v>
      </c>
      <c r="CF15" s="42">
        <f>Mei!IH16</f>
        <v>19200</v>
      </c>
    </row>
    <row r="16" spans="1:84" x14ac:dyDescent="0.25">
      <c r="A16" s="26">
        <f t="shared" si="14"/>
        <v>10</v>
      </c>
      <c r="B16" s="42">
        <f>Mei!G17</f>
        <v>495360.00000000058</v>
      </c>
      <c r="C16" s="42">
        <f>Mei!N17</f>
        <v>491000</v>
      </c>
      <c r="D16" s="42">
        <f>Mei!T17</f>
        <v>0.20000000111758709</v>
      </c>
      <c r="E16" s="42">
        <f>Mei!V17</f>
        <v>0</v>
      </c>
      <c r="F16" s="42">
        <f>Mei!AB17</f>
        <v>4500</v>
      </c>
      <c r="G16" s="42">
        <f>Mei!X17</f>
        <v>8499.7999999988824</v>
      </c>
      <c r="H16" s="42">
        <f>Mei!AE17</f>
        <v>8000</v>
      </c>
      <c r="I16" s="42">
        <f>Mei!AI17</f>
        <v>15749.870000000363</v>
      </c>
      <c r="J16" s="42">
        <f>Mei!AN17</f>
        <v>3509.8699999993305</v>
      </c>
      <c r="K16" s="42">
        <f>Mei!AR17</f>
        <v>8600.0000000003638</v>
      </c>
      <c r="L16" s="42">
        <f>Mei!AZ17</f>
        <v>390</v>
      </c>
      <c r="M16" s="42">
        <f>Mei!BC17</f>
        <v>600</v>
      </c>
      <c r="N16" s="125">
        <f t="shared" ref="N16:N34" si="17">SUM(D16:M16)</f>
        <v>49849.740000000056</v>
      </c>
      <c r="O16" s="125">
        <f>Mei!CA17</f>
        <v>523.60000000004447</v>
      </c>
      <c r="P16" s="125">
        <f>Mei!CD17</f>
        <v>4243.6000000000931</v>
      </c>
      <c r="Q16" s="125">
        <f>Mei!CF17</f>
        <v>6873</v>
      </c>
      <c r="R16" s="125">
        <f>Mei!CH17</f>
        <v>0</v>
      </c>
      <c r="S16" s="125">
        <f>Mei!CK17</f>
        <v>14576.270000000683</v>
      </c>
      <c r="T16" s="125">
        <f>Mei!CO17</f>
        <v>4831.8699999997889</v>
      </c>
      <c r="U16" s="125">
        <f>Mei!CS17</f>
        <v>4280.2699999999941</v>
      </c>
      <c r="V16" s="126">
        <f t="shared" si="3"/>
        <v>35328.610000000604</v>
      </c>
      <c r="W16" s="126">
        <f>Mei!CW17</f>
        <v>14728</v>
      </c>
      <c r="X16" s="126">
        <f>Mei!DA17</f>
        <v>8368</v>
      </c>
      <c r="Y16" s="126">
        <f t="shared" si="1"/>
        <v>23096</v>
      </c>
      <c r="Z16" s="42">
        <f>Mei!BR17</f>
        <v>500</v>
      </c>
      <c r="AA16" s="126">
        <f>Mei!BG17</f>
        <v>2000</v>
      </c>
      <c r="AB16" s="126">
        <f>Mei!BJ17</f>
        <v>8700.0000000007276</v>
      </c>
      <c r="AC16" s="126">
        <f>Mei!BL17+Mei!BN17+Mei!BP17</f>
        <v>4439.9999999999409</v>
      </c>
      <c r="AD16" s="126">
        <f>Mei!DR17</f>
        <v>8500</v>
      </c>
      <c r="AE16" s="127">
        <f>Mei!DT17-Mei!DR57-Mei!DT57</f>
        <v>20077.999999999996</v>
      </c>
      <c r="AF16" s="127">
        <f>Mei!DR57+Mei!DT57</f>
        <v>22.000000000002018</v>
      </c>
      <c r="AG16" s="127">
        <f>Mei!HJ17-AE16</f>
        <v>117221.99999999927</v>
      </c>
      <c r="AH16" s="127">
        <f>Mei!DW17</f>
        <v>3899.9999999996362</v>
      </c>
      <c r="AI16" s="127">
        <f>Mei!DZ17</f>
        <v>6649.87</v>
      </c>
      <c r="AJ16" s="127">
        <f>Mei!EC17</f>
        <v>24809.87</v>
      </c>
      <c r="AK16" s="127">
        <f t="shared" si="4"/>
        <v>35359.739999999634</v>
      </c>
      <c r="AL16" s="127">
        <f>Mei!EG17</f>
        <v>28809.87</v>
      </c>
      <c r="AM16" s="127">
        <f>Mei!EJ17</f>
        <v>9649.869999999999</v>
      </c>
      <c r="AN16" s="127">
        <f>Mei!EM17</f>
        <v>720.00000000002728</v>
      </c>
      <c r="AO16" s="127">
        <f t="shared" si="5"/>
        <v>39179.740000000027</v>
      </c>
      <c r="AP16" s="127">
        <f>Mei!FX17</f>
        <v>16400</v>
      </c>
      <c r="AQ16" s="127">
        <f>Mei!GA17</f>
        <v>5020</v>
      </c>
      <c r="AR16" s="127">
        <f>Mei!GG17</f>
        <v>7499.9999999997726</v>
      </c>
      <c r="AS16" s="127">
        <f t="shared" si="6"/>
        <v>28919.999999999774</v>
      </c>
      <c r="AT16" s="127">
        <f>Mei!EQ17</f>
        <v>6644.8700000000044</v>
      </c>
      <c r="AU16" s="127">
        <f>Mei!ET17</f>
        <v>17800.000000001091</v>
      </c>
      <c r="AV16" s="127">
        <f>Mei!EW17</f>
        <v>6049.8700000000908</v>
      </c>
      <c r="AW16" s="127">
        <f>Mei!FL54</f>
        <v>10620.351001892743</v>
      </c>
      <c r="AX16" s="127">
        <f>Mei!GJ17</f>
        <v>1799.9999999999545</v>
      </c>
      <c r="AY16" s="127">
        <f t="shared" si="7"/>
        <v>42915.091001893881</v>
      </c>
      <c r="AZ16" s="127">
        <f>Mei!FG17</f>
        <v>9886.5399999999972</v>
      </c>
      <c r="BA16" s="127">
        <f>Mei!FJ17</f>
        <v>16181.540000001089</v>
      </c>
      <c r="BB16" s="127">
        <f>Mei!FM54</f>
        <v>10911.058998107255</v>
      </c>
      <c r="BC16" s="127">
        <f>Mei!GM17</f>
        <v>1099.9999999999091</v>
      </c>
      <c r="BD16" s="127">
        <f t="shared" si="8"/>
        <v>38079.138998108247</v>
      </c>
      <c r="BE16" s="127">
        <f>Mei!GP17</f>
        <v>3190</v>
      </c>
      <c r="BF16" s="127">
        <f>Mei!GS17</f>
        <v>980</v>
      </c>
      <c r="BG16" s="127">
        <f t="shared" si="9"/>
        <v>4170</v>
      </c>
      <c r="BH16" s="127">
        <f t="shared" si="10"/>
        <v>23096</v>
      </c>
      <c r="BI16" s="127"/>
      <c r="BJ16" s="127"/>
      <c r="BK16" s="127"/>
      <c r="BL16" s="128"/>
      <c r="BM16" s="128">
        <f t="shared" si="15"/>
        <v>28919.999999999774</v>
      </c>
      <c r="BN16" s="128"/>
      <c r="BO16" s="128"/>
      <c r="BP16" s="128"/>
      <c r="BQ16" s="128"/>
      <c r="BR16" s="128"/>
      <c r="BS16" s="128">
        <f t="shared" si="16"/>
        <v>4170</v>
      </c>
      <c r="BT16" s="42">
        <f>Mei!D55</f>
        <v>36999.999999999978</v>
      </c>
      <c r="BU16" s="42">
        <f>Mei!G55</f>
        <v>0</v>
      </c>
      <c r="BV16" t="s">
        <v>353</v>
      </c>
      <c r="BX16" s="42">
        <f>Mei!HJ17</f>
        <v>137299.99999999927</v>
      </c>
      <c r="BY16" s="42">
        <f>Mei!HM17</f>
        <v>0</v>
      </c>
      <c r="BZ16" s="42">
        <f>Mei!HP17</f>
        <v>32673.380000000365</v>
      </c>
      <c r="CA16" s="42">
        <f>Mei!HS17</f>
        <v>31473.379999999863</v>
      </c>
      <c r="CB16" s="42">
        <f>Mei!HV17</f>
        <v>20273.380000000045</v>
      </c>
      <c r="CC16" s="42">
        <f>Mei!HY17</f>
        <v>32433.379999999899</v>
      </c>
      <c r="CD16" s="42">
        <f>Mei!IB17</f>
        <v>346.5</v>
      </c>
      <c r="CE16" s="42">
        <f>Mei!IE17</f>
        <v>0</v>
      </c>
      <c r="CF16" s="42">
        <f>Mei!IH17</f>
        <v>20100</v>
      </c>
    </row>
    <row r="17" spans="1:84" x14ac:dyDescent="0.25">
      <c r="A17" s="26">
        <f t="shared" si="14"/>
        <v>11</v>
      </c>
      <c r="B17" s="42">
        <f>Mei!G18</f>
        <v>481280.00000002066</v>
      </c>
      <c r="C17" s="42">
        <f>Mei!N18</f>
        <v>479000</v>
      </c>
      <c r="D17" s="42">
        <f>Mei!T18</f>
        <v>0</v>
      </c>
      <c r="E17" s="42">
        <f>Mei!V18</f>
        <v>0</v>
      </c>
      <c r="F17" s="42">
        <f>Mei!AB18</f>
        <v>4400</v>
      </c>
      <c r="G17" s="42">
        <f>Mei!X18</f>
        <v>8600</v>
      </c>
      <c r="H17" s="42">
        <f>Mei!AE18</f>
        <v>7800.0000000001819</v>
      </c>
      <c r="I17" s="42">
        <f>Mei!AI18</f>
        <v>18223.619999998908</v>
      </c>
      <c r="J17" s="42">
        <f>Mei!AN18</f>
        <v>6583.6200000003491</v>
      </c>
      <c r="K17" s="42">
        <f>Mei!AR18</f>
        <v>8800.0000000010914</v>
      </c>
      <c r="L17" s="42">
        <f>Mei!AZ18</f>
        <v>400</v>
      </c>
      <c r="M17" s="42">
        <f>Mei!BC18</f>
        <v>550</v>
      </c>
      <c r="N17" s="125">
        <f t="shared" si="17"/>
        <v>55357.240000000536</v>
      </c>
      <c r="O17" s="125">
        <f>Mei!CA18</f>
        <v>597.29999999996153</v>
      </c>
      <c r="P17" s="125">
        <f>Mei!CD18</f>
        <v>4759.7999999999302</v>
      </c>
      <c r="Q17" s="125">
        <f>Mei!CF18</f>
        <v>6651</v>
      </c>
      <c r="R17" s="125">
        <f>Mei!CH18</f>
        <v>0</v>
      </c>
      <c r="S17" s="125">
        <f>Mei!CK18</f>
        <v>17506.319999999963</v>
      </c>
      <c r="T17" s="125">
        <f>Mei!CO18</f>
        <v>8034.6199999999671</v>
      </c>
      <c r="U17" s="125">
        <f>Mei!CS18</f>
        <v>7522.5199999999941</v>
      </c>
      <c r="V17" s="126">
        <f t="shared" si="3"/>
        <v>45071.559999999816</v>
      </c>
      <c r="W17" s="126">
        <f>Mei!CW18</f>
        <v>19412</v>
      </c>
      <c r="X17" s="126">
        <f>Mei!DA18</f>
        <v>11420</v>
      </c>
      <c r="Y17" s="126">
        <f t="shared" si="1"/>
        <v>30832</v>
      </c>
      <c r="Z17" s="42">
        <f>Mei!BR18</f>
        <v>199.99999999993179</v>
      </c>
      <c r="AA17" s="126">
        <f>Mei!BG18</f>
        <v>2700.0000000000455</v>
      </c>
      <c r="AB17" s="126">
        <f>Mei!BJ18</f>
        <v>9600.0000000003638</v>
      </c>
      <c r="AC17" s="126">
        <f>Mei!BL18+Mei!BN18+Mei!BP18</f>
        <v>4340.0000000000819</v>
      </c>
      <c r="AD17" s="126">
        <f>Mei!DR18</f>
        <v>7900</v>
      </c>
      <c r="AE17" s="127">
        <f>Mei!DT18-Mei!DR58-Mei!DT58</f>
        <v>19156.999999999993</v>
      </c>
      <c r="AF17" s="127">
        <f>Mei!DR58+Mei!DT58</f>
        <v>43.000000000006366</v>
      </c>
      <c r="AG17" s="127">
        <f>Mei!HJ18-AE17</f>
        <v>68343</v>
      </c>
      <c r="AH17" s="127">
        <f>Mei!DW18</f>
        <v>4000</v>
      </c>
      <c r="AI17" s="127">
        <f>Mei!DZ18</f>
        <v>8523.619999999999</v>
      </c>
      <c r="AJ17" s="127">
        <f>Mei!EC18</f>
        <v>27683.62</v>
      </c>
      <c r="AK17" s="127">
        <f t="shared" si="4"/>
        <v>40207.24</v>
      </c>
      <c r="AL17" s="127">
        <f>Mei!EG18</f>
        <v>24683.62</v>
      </c>
      <c r="AM17" s="127">
        <f>Mei!EJ18</f>
        <v>11523.619999999999</v>
      </c>
      <c r="AN17" s="127">
        <f>Mei!EM18</f>
        <v>620.00000000000455</v>
      </c>
      <c r="AO17" s="127">
        <f t="shared" si="5"/>
        <v>36827.240000000005</v>
      </c>
      <c r="AP17" s="127">
        <f>Mei!FX18</f>
        <v>11200</v>
      </c>
      <c r="AQ17" s="127">
        <f>Mei!GA18</f>
        <v>3910.0000000000909</v>
      </c>
      <c r="AR17" s="127">
        <f>Mei!GG18</f>
        <v>6800.0000000001819</v>
      </c>
      <c r="AS17" s="127">
        <f t="shared" si="6"/>
        <v>21910.000000000273</v>
      </c>
      <c r="AT17" s="127">
        <f>Mei!EQ18</f>
        <v>8563.6199999999626</v>
      </c>
      <c r="AU17" s="127">
        <f>Mei!ET18</f>
        <v>18099.999999998545</v>
      </c>
      <c r="AV17" s="127">
        <f>Mei!EW18</f>
        <v>8623.619999999908</v>
      </c>
      <c r="AW17" s="127">
        <f>Mei!FL55</f>
        <v>14697.697681125441</v>
      </c>
      <c r="AX17" s="127">
        <f>Mei!GJ18</f>
        <v>1700.0000000000455</v>
      </c>
      <c r="AY17" s="127">
        <f t="shared" si="7"/>
        <v>51684.937681123905</v>
      </c>
      <c r="AZ17" s="127">
        <f>Mei!FG18</f>
        <v>12196.950000000037</v>
      </c>
      <c r="BA17" s="127">
        <f>Mei!FJ18</f>
        <v>18136.949999999637</v>
      </c>
      <c r="BB17" s="127">
        <f>Mei!FM55</f>
        <v>15062.872318874559</v>
      </c>
      <c r="BC17" s="127">
        <f>Mei!GM18</f>
        <v>1100.0000000001364</v>
      </c>
      <c r="BD17" s="127">
        <f t="shared" si="8"/>
        <v>46496.772318874369</v>
      </c>
      <c r="BE17" s="127">
        <f>Mei!GP18</f>
        <v>3220</v>
      </c>
      <c r="BF17" s="127">
        <f>Mei!GS18</f>
        <v>990</v>
      </c>
      <c r="BG17" s="127">
        <f t="shared" si="9"/>
        <v>4210</v>
      </c>
      <c r="BH17" s="127">
        <f t="shared" si="10"/>
        <v>30832</v>
      </c>
      <c r="BI17" s="127"/>
      <c r="BJ17" s="127"/>
      <c r="BK17" s="127"/>
      <c r="BL17" s="128"/>
      <c r="BM17" s="128">
        <f t="shared" si="15"/>
        <v>21910.000000000273</v>
      </c>
      <c r="BN17" s="128"/>
      <c r="BO17" s="128"/>
      <c r="BP17" s="128"/>
      <c r="BQ17" s="128"/>
      <c r="BR17" s="128"/>
      <c r="BS17" s="128">
        <f t="shared" si="16"/>
        <v>4210</v>
      </c>
      <c r="BT17" s="42">
        <f>Mei!D56</f>
        <v>36400.000000000015</v>
      </c>
      <c r="BU17" s="42">
        <f>Mei!G56</f>
        <v>0</v>
      </c>
      <c r="BV17" t="s">
        <v>353</v>
      </c>
      <c r="BX17" s="42">
        <f>Mei!HJ18</f>
        <v>87500</v>
      </c>
      <c r="BY17" s="42">
        <f>Mei!HM18</f>
        <v>0</v>
      </c>
      <c r="BZ17" s="42">
        <f>Mei!HP18</f>
        <v>19280.869999999908</v>
      </c>
      <c r="CA17" s="42">
        <f>Mei!HS18</f>
        <v>16980.870000000181</v>
      </c>
      <c r="CB17" s="42">
        <f>Mei!HV18</f>
        <v>13180.869999999999</v>
      </c>
      <c r="CC17" s="42">
        <f>Mei!HY18</f>
        <v>18700.870000000094</v>
      </c>
      <c r="CD17" s="42">
        <f>Mei!IB18</f>
        <v>156.5</v>
      </c>
      <c r="CE17" s="42">
        <f>Mei!IE18</f>
        <v>0</v>
      </c>
      <c r="CF17" s="42">
        <f>Mei!IH18</f>
        <v>19200</v>
      </c>
    </row>
    <row r="18" spans="1:84" x14ac:dyDescent="0.25">
      <c r="A18" s="26">
        <f t="shared" si="14"/>
        <v>12</v>
      </c>
      <c r="B18" s="42">
        <f>Mei!G19</f>
        <v>475519.99999998591</v>
      </c>
      <c r="C18" s="42">
        <f>Mei!N19</f>
        <v>469000</v>
      </c>
      <c r="D18" s="42">
        <f>Mei!T19</f>
        <v>0</v>
      </c>
      <c r="E18" s="42">
        <f>Mei!V19</f>
        <v>0</v>
      </c>
      <c r="F18" s="42">
        <f>Mei!AB19</f>
        <v>4300</v>
      </c>
      <c r="G18" s="42">
        <f>Mei!X19</f>
        <v>7700</v>
      </c>
      <c r="H18" s="42">
        <f>Mei!AE19</f>
        <v>7299.9999999997272</v>
      </c>
      <c r="I18" s="42">
        <f>Mei!AI19</f>
        <v>15782.260000001092</v>
      </c>
      <c r="J18" s="42">
        <f>Mei!AN19</f>
        <v>4782.2599999995909</v>
      </c>
      <c r="K18" s="42">
        <f>Mei!AR19</f>
        <v>9000</v>
      </c>
      <c r="L18" s="42">
        <f>Mei!AZ19</f>
        <v>350</v>
      </c>
      <c r="M18" s="42">
        <f>Mei!BC19</f>
        <v>560</v>
      </c>
      <c r="N18" s="125">
        <f t="shared" si="17"/>
        <v>49774.520000000412</v>
      </c>
      <c r="O18" s="125">
        <f>Mei!CA19</f>
        <v>556.50000000002819</v>
      </c>
      <c r="P18" s="125">
        <f>Mei!CD19</f>
        <v>129.80000000004657</v>
      </c>
      <c r="Q18" s="125">
        <f>Mei!CF19</f>
        <v>4761</v>
      </c>
      <c r="R18" s="125">
        <f>Mei!CH19</f>
        <v>0</v>
      </c>
      <c r="S18" s="125">
        <f>Mei!CK19</f>
        <v>14775.759999998518</v>
      </c>
      <c r="T18" s="125">
        <f>Mei!CO19</f>
        <v>4738.2600000003131</v>
      </c>
      <c r="U18" s="125">
        <f>Mei!CS19</f>
        <v>5345.5600000000031</v>
      </c>
      <c r="V18" s="126">
        <f t="shared" si="3"/>
        <v>30306.879999998913</v>
      </c>
      <c r="W18" s="126">
        <f>Mei!CW19</f>
        <v>19239</v>
      </c>
      <c r="X18" s="126">
        <f>Mei!DA19</f>
        <v>10892</v>
      </c>
      <c r="Y18" s="126">
        <f t="shared" si="1"/>
        <v>30131</v>
      </c>
      <c r="Z18" s="42">
        <f>Mei!BR19</f>
        <v>300.00000000006821</v>
      </c>
      <c r="AA18" s="126">
        <f>Mei!BG19</f>
        <v>2200.0000000000455</v>
      </c>
      <c r="AB18" s="126">
        <f>Mei!BJ19</f>
        <v>9000</v>
      </c>
      <c r="AC18" s="126">
        <f>Mei!BL19+Mei!BN19+Mei!BP19</f>
        <v>4299.9999999999773</v>
      </c>
      <c r="AD18" s="126">
        <f>Mei!DR19</f>
        <v>7300</v>
      </c>
      <c r="AE18" s="127">
        <f>Mei!DT19-Mei!DR59-Mei!DT59</f>
        <v>19679.999999999993</v>
      </c>
      <c r="AF18" s="127">
        <f>Mei!DR59+Mei!DT59</f>
        <v>20.000000000006679</v>
      </c>
      <c r="AG18" s="127">
        <f>Mei!HJ19-AE18</f>
        <v>96720.000000001455</v>
      </c>
      <c r="AH18" s="127">
        <f>Mei!DW19</f>
        <v>4000</v>
      </c>
      <c r="AI18" s="127">
        <f>Mei!DZ19</f>
        <v>6982.26</v>
      </c>
      <c r="AJ18" s="127">
        <f>Mei!EC19</f>
        <v>25142.26</v>
      </c>
      <c r="AK18" s="127">
        <f t="shared" si="4"/>
        <v>36124.519999999997</v>
      </c>
      <c r="AL18" s="127">
        <f>Mei!EG19</f>
        <v>26142.26</v>
      </c>
      <c r="AM18" s="127">
        <f>Mei!EJ19</f>
        <v>11982.26</v>
      </c>
      <c r="AN18" s="127">
        <f>Mei!EM19</f>
        <v>589.99999999991815</v>
      </c>
      <c r="AO18" s="127">
        <f t="shared" si="5"/>
        <v>38714.519999999917</v>
      </c>
      <c r="AP18" s="127">
        <f>Mei!FX19</f>
        <v>11700</v>
      </c>
      <c r="AQ18" s="127">
        <f>Mei!GA19</f>
        <v>4109.9999999999091</v>
      </c>
      <c r="AR18" s="127">
        <f>Mei!GG19</f>
        <v>6800.0000000006366</v>
      </c>
      <c r="AS18" s="127">
        <f t="shared" si="6"/>
        <v>22610.000000000546</v>
      </c>
      <c r="AT18" s="127">
        <f>Mei!EQ19</f>
        <v>7007.2600000000348</v>
      </c>
      <c r="AU18" s="127">
        <f>Mei!ET19</f>
        <v>16500</v>
      </c>
      <c r="AV18" s="127">
        <f>Mei!EW19</f>
        <v>6982.26</v>
      </c>
      <c r="AW18" s="127">
        <f>Mei!FL56</f>
        <v>12027.131798875636</v>
      </c>
      <c r="AX18" s="127">
        <f>Mei!GJ19</f>
        <v>1699.9999999998181</v>
      </c>
      <c r="AY18" s="127">
        <f t="shared" si="7"/>
        <v>44216.651798875486</v>
      </c>
      <c r="AZ18" s="127">
        <f>Mei!FG19</f>
        <v>10965.589999999966</v>
      </c>
      <c r="BA18" s="127">
        <f>Mei!FJ19</f>
        <v>16990.59</v>
      </c>
      <c r="BB18" s="127">
        <f>Mei!FM56</f>
        <v>13945.718201124364</v>
      </c>
      <c r="BC18" s="127">
        <f>Mei!GM19</f>
        <v>1099.9999999999091</v>
      </c>
      <c r="BD18" s="127">
        <f t="shared" si="8"/>
        <v>43001.898201124233</v>
      </c>
      <c r="BE18" s="127">
        <f>Mei!GP19</f>
        <v>3430</v>
      </c>
      <c r="BF18" s="127">
        <f>Mei!GS19</f>
        <v>990</v>
      </c>
      <c r="BG18" s="127">
        <f t="shared" si="9"/>
        <v>4420</v>
      </c>
      <c r="BH18" s="127">
        <f t="shared" si="10"/>
        <v>30131</v>
      </c>
      <c r="BI18" s="127"/>
      <c r="BJ18" s="127"/>
      <c r="BK18" s="127"/>
      <c r="BL18" s="128"/>
      <c r="BM18" s="128">
        <f t="shared" si="15"/>
        <v>22610.000000000546</v>
      </c>
      <c r="BN18" s="128"/>
      <c r="BO18" s="128"/>
      <c r="BP18" s="128"/>
      <c r="BQ18" s="128"/>
      <c r="BR18" s="128"/>
      <c r="BS18" s="128">
        <f t="shared" si="16"/>
        <v>4420</v>
      </c>
      <c r="BT18" s="42">
        <f>Mei!D57</f>
        <v>36700.000000000007</v>
      </c>
      <c r="BU18" s="42">
        <f>Mei!G57</f>
        <v>0</v>
      </c>
      <c r="BV18" t="s">
        <v>353</v>
      </c>
      <c r="BX18" s="42">
        <f>Mei!HJ19</f>
        <v>116400.00000000146</v>
      </c>
      <c r="BY18" s="42">
        <f>Mei!HM19</f>
        <v>0</v>
      </c>
      <c r="BZ18" s="42">
        <f>Mei!HP19</f>
        <v>27484.924999999908</v>
      </c>
      <c r="CA18" s="42">
        <f>Mei!HS19</f>
        <v>23784.924999999861</v>
      </c>
      <c r="CB18" s="42">
        <f>Mei!HV19</f>
        <v>20284.92500000009</v>
      </c>
      <c r="CC18" s="42">
        <f>Mei!HY19</f>
        <v>24884.924999999999</v>
      </c>
      <c r="CD18" s="42">
        <f>Mei!IB19</f>
        <v>260.29999999999973</v>
      </c>
      <c r="CE18" s="42">
        <f>Mei!IE19</f>
        <v>0</v>
      </c>
      <c r="CF18" s="42">
        <f>Mei!IH19</f>
        <v>19700</v>
      </c>
    </row>
    <row r="19" spans="1:84" x14ac:dyDescent="0.25">
      <c r="A19" s="26">
        <f t="shared" si="14"/>
        <v>13</v>
      </c>
      <c r="B19" s="42">
        <f>Mei!G20</f>
        <v>442240.00000000163</v>
      </c>
      <c r="C19" s="42">
        <f>Mei!N20</f>
        <v>446000</v>
      </c>
      <c r="D19" s="42">
        <f>Mei!T20</f>
        <v>0</v>
      </c>
      <c r="E19" s="42">
        <f>Mei!V20</f>
        <v>0</v>
      </c>
      <c r="F19" s="42">
        <f>Mei!AB20</f>
        <v>400</v>
      </c>
      <c r="G19" s="42">
        <f>Mei!X20</f>
        <v>1600</v>
      </c>
      <c r="H19" s="42">
        <f>Mei!AE20</f>
        <v>599.99999999990905</v>
      </c>
      <c r="I19" s="42">
        <f>Mei!AI20</f>
        <v>1216.9599999989086</v>
      </c>
      <c r="J19" s="42">
        <f>Mei!AN20</f>
        <v>1316.9600000004457</v>
      </c>
      <c r="K19" s="42">
        <f>Mei!AR20</f>
        <v>1000</v>
      </c>
      <c r="L19" s="42">
        <f>Mei!AZ20</f>
        <v>140</v>
      </c>
      <c r="M19" s="42">
        <f>Mei!BC20</f>
        <v>180</v>
      </c>
      <c r="N19" s="125">
        <f t="shared" si="17"/>
        <v>6453.9199999992634</v>
      </c>
      <c r="O19" s="125">
        <f>Mei!CA20</f>
        <v>588.99999999999864</v>
      </c>
      <c r="P19" s="125">
        <f>Mei!CD20</f>
        <v>0</v>
      </c>
      <c r="Q19" s="125">
        <f>Mei!CF20</f>
        <v>4536</v>
      </c>
      <c r="R19" s="125">
        <f>Mei!CH20</f>
        <v>0</v>
      </c>
      <c r="S19" s="125">
        <f>Mei!CK20</f>
        <v>15077.960000001456</v>
      </c>
      <c r="T19" s="125">
        <f>Mei!CO20</f>
        <v>5444.9599999998836</v>
      </c>
      <c r="U19" s="125">
        <f>Mei!CS20</f>
        <v>5779.5600000000059</v>
      </c>
      <c r="V19" s="126">
        <f t="shared" si="3"/>
        <v>31427.480000001342</v>
      </c>
      <c r="W19" s="126">
        <f>Mei!CW20</f>
        <v>19855</v>
      </c>
      <c r="X19" s="126">
        <f>Mei!DA20</f>
        <v>11214</v>
      </c>
      <c r="Y19" s="126">
        <f t="shared" si="1"/>
        <v>31069</v>
      </c>
      <c r="Z19" s="42">
        <f>Mei!BR20</f>
        <v>699.99999999993179</v>
      </c>
      <c r="AA19" s="126">
        <f>Mei!BG20</f>
        <v>2299.9999999999545</v>
      </c>
      <c r="AB19" s="126">
        <f>Mei!BJ20</f>
        <v>9599.9999999985448</v>
      </c>
      <c r="AC19" s="126">
        <f>Mei!BL20+Mei!BN20+Mei!BP20</f>
        <v>4099.9999999999864</v>
      </c>
      <c r="AD19" s="126">
        <f>Mei!DR20</f>
        <v>9200</v>
      </c>
      <c r="AE19" s="127">
        <f>Mei!DT20-Mei!DR60-Mei!DT60</f>
        <v>20480.000000000011</v>
      </c>
      <c r="AF19" s="127">
        <f>Mei!DR60+Mei!DT60</f>
        <v>19.999999999988916</v>
      </c>
      <c r="AG19" s="127">
        <f>Mei!HJ20-AE19</f>
        <v>91519.999999999985</v>
      </c>
      <c r="AH19" s="127">
        <f>Mei!DW20</f>
        <v>4199.9999999998181</v>
      </c>
      <c r="AI19" s="127">
        <f>Mei!DZ20</f>
        <v>8016.96</v>
      </c>
      <c r="AJ19" s="127">
        <f>Mei!EC20</f>
        <v>26176.959999999999</v>
      </c>
      <c r="AK19" s="127">
        <f t="shared" si="4"/>
        <v>38393.919999999816</v>
      </c>
      <c r="AL19" s="127">
        <f>Mei!EG20</f>
        <v>29176.959999999999</v>
      </c>
      <c r="AM19" s="127">
        <f>Mei!EJ20</f>
        <v>11016.96</v>
      </c>
      <c r="AN19" s="127">
        <f>Mei!EM20</f>
        <v>820.00000000005002</v>
      </c>
      <c r="AO19" s="127">
        <f t="shared" si="5"/>
        <v>41013.920000000049</v>
      </c>
      <c r="AP19" s="127">
        <f>Mei!FX20</f>
        <v>15400</v>
      </c>
      <c r="AQ19" s="127">
        <f>Mei!GA20</f>
        <v>4670</v>
      </c>
      <c r="AR19" s="127">
        <f>Mei!GG20</f>
        <v>7599.9999999999091</v>
      </c>
      <c r="AS19" s="127">
        <f t="shared" si="6"/>
        <v>27669.999999999909</v>
      </c>
      <c r="AT19" s="127">
        <f>Mei!EQ20</f>
        <v>6026.9599999999909</v>
      </c>
      <c r="AU19" s="127">
        <f>Mei!ET20</f>
        <v>17900.000000001455</v>
      </c>
      <c r="AV19" s="127">
        <f>Mei!EW20</f>
        <v>7616.9599999999091</v>
      </c>
      <c r="AW19" s="127">
        <f>Mei!FL57</f>
        <v>13277.003718383619</v>
      </c>
      <c r="AX19" s="127">
        <f>Mei!GJ20</f>
        <v>1700.0000000000455</v>
      </c>
      <c r="AY19" s="127">
        <f t="shared" si="7"/>
        <v>46520.92371838502</v>
      </c>
      <c r="AZ19" s="127">
        <f>Mei!FG20</f>
        <v>10776.960000000008</v>
      </c>
      <c r="BA19" s="127">
        <f>Mei!FJ20</f>
        <v>16486.959999998908</v>
      </c>
      <c r="BB19" s="127">
        <f>Mei!FM57</f>
        <v>13526.916281616381</v>
      </c>
      <c r="BC19" s="127">
        <f>Mei!GM20</f>
        <v>700.00000000004547</v>
      </c>
      <c r="BD19" s="127">
        <f t="shared" si="8"/>
        <v>41490.836281615339</v>
      </c>
      <c r="BE19" s="127">
        <f>Mei!GP20</f>
        <v>2850</v>
      </c>
      <c r="BF19" s="127">
        <f>Mei!GS20</f>
        <v>830</v>
      </c>
      <c r="BG19" s="127">
        <f t="shared" si="9"/>
        <v>3680</v>
      </c>
      <c r="BH19" s="127">
        <f t="shared" si="10"/>
        <v>31069</v>
      </c>
      <c r="BI19" s="127"/>
      <c r="BJ19" s="127"/>
      <c r="BK19" s="127"/>
      <c r="BL19" s="128"/>
      <c r="BM19" s="128">
        <f t="shared" si="15"/>
        <v>27669.999999999909</v>
      </c>
      <c r="BN19" s="128"/>
      <c r="BO19" s="128"/>
      <c r="BP19" s="128"/>
      <c r="BQ19" s="128"/>
      <c r="BR19" s="128"/>
      <c r="BS19" s="128">
        <f t="shared" si="16"/>
        <v>3680</v>
      </c>
      <c r="BT19" s="42">
        <f>Mei!D58</f>
        <v>36599.999999999964</v>
      </c>
      <c r="BU19" s="42">
        <f>Mei!G58</f>
        <v>0</v>
      </c>
      <c r="BV19" t="s">
        <v>353</v>
      </c>
      <c r="BW19" s="151"/>
      <c r="BX19" s="42">
        <f>Mei!HJ20</f>
        <v>112000</v>
      </c>
      <c r="BY19" s="42">
        <f>Mei!HM20</f>
        <v>0</v>
      </c>
      <c r="BZ19" s="42">
        <f>Mei!HP20</f>
        <v>25546.250000000182</v>
      </c>
      <c r="CA19" s="42">
        <f>Mei!HS20</f>
        <v>24446.250000000044</v>
      </c>
      <c r="CB19" s="42">
        <f>Mei!HV20</f>
        <v>21646.249999999862</v>
      </c>
      <c r="CC19" s="42">
        <f>Mei!HY20</f>
        <v>19576.249999999927</v>
      </c>
      <c r="CD19" s="42">
        <f>Mei!IB20</f>
        <v>285</v>
      </c>
      <c r="CE19" s="42">
        <f>Mei!IE20</f>
        <v>0</v>
      </c>
      <c r="CF19" s="42">
        <f>Mei!IH20</f>
        <v>20500</v>
      </c>
    </row>
    <row r="20" spans="1:84" x14ac:dyDescent="0.25">
      <c r="A20" s="26">
        <f t="shared" si="14"/>
        <v>14</v>
      </c>
      <c r="B20" s="42">
        <f>Mei!G21</f>
        <v>446720.00000000477</v>
      </c>
      <c r="C20" s="42">
        <f>Mei!N21</f>
        <v>446000</v>
      </c>
      <c r="D20" s="42">
        <f>Mei!T21</f>
        <v>63.200000001117587</v>
      </c>
      <c r="E20" s="42">
        <f>Mei!V21</f>
        <v>0</v>
      </c>
      <c r="F20" s="42">
        <f>Mei!AB21</f>
        <v>0</v>
      </c>
      <c r="G20" s="42">
        <f>Mei!X21</f>
        <v>4936.7999999988824</v>
      </c>
      <c r="H20" s="42">
        <f>Mei!AE21</f>
        <v>1100.0000000003638</v>
      </c>
      <c r="I20" s="42">
        <f>Mei!AI21</f>
        <v>1367.06</v>
      </c>
      <c r="J20" s="42">
        <f>Mei!AN21</f>
        <v>467.06000000030417</v>
      </c>
      <c r="K20" s="42">
        <f>Mei!AR21</f>
        <v>1299.9999999992724</v>
      </c>
      <c r="L20" s="42">
        <f>Mei!AZ21</f>
        <v>41.440000000002328</v>
      </c>
      <c r="M20" s="42">
        <f>Mei!BC21</f>
        <v>21.459999999991851</v>
      </c>
      <c r="N20" s="125">
        <f t="shared" si="17"/>
        <v>9297.019999999935</v>
      </c>
      <c r="O20" s="125">
        <f>Mei!CA21</f>
        <v>603.99999999998499</v>
      </c>
      <c r="P20" s="125">
        <f>Mei!CD21</f>
        <v>3.5999999999767169</v>
      </c>
      <c r="Q20" s="125">
        <f>Mei!CF21</f>
        <v>5599</v>
      </c>
      <c r="R20" s="125">
        <f>Mei!CH21</f>
        <v>0.39999999999417923</v>
      </c>
      <c r="S20" s="125">
        <f>Mei!CK21</f>
        <v>13653.059999999432</v>
      </c>
      <c r="T20" s="125">
        <f>Mei!CO21</f>
        <v>4037.0600000000727</v>
      </c>
      <c r="U20" s="125">
        <f>Mei!CS21</f>
        <v>4306.2599999999966</v>
      </c>
      <c r="V20" s="126">
        <f t="shared" si="3"/>
        <v>28203.379999999459</v>
      </c>
      <c r="W20" s="126">
        <f>Mei!CW21</f>
        <v>19293</v>
      </c>
      <c r="X20" s="126">
        <f>Mei!DA21</f>
        <v>10829</v>
      </c>
      <c r="Y20" s="126">
        <f t="shared" si="1"/>
        <v>30122</v>
      </c>
      <c r="Z20" s="42">
        <f>Mei!BR21</f>
        <v>700.00000000004547</v>
      </c>
      <c r="AA20" s="126">
        <f>Mei!BG21</f>
        <v>2700.0000000000455</v>
      </c>
      <c r="AB20" s="126">
        <f>Mei!BJ21</f>
        <v>9100.0000000003638</v>
      </c>
      <c r="AC20" s="126">
        <f>Mei!BL21+Mei!BN21+Mei!BP21</f>
        <v>3800.0000000000136</v>
      </c>
      <c r="AD20" s="126">
        <f>Mei!DR21</f>
        <v>9300</v>
      </c>
      <c r="AE20" s="127">
        <f>Mei!DT21-Mei!DR61-Mei!DT61</f>
        <v>19353.000000000004</v>
      </c>
      <c r="AF20" s="127">
        <f>Mei!DR61+Mei!DT61</f>
        <v>46.999999999997044</v>
      </c>
      <c r="AG20" s="127">
        <f>Mei!HJ21-AE20</f>
        <v>113846.99999999889</v>
      </c>
      <c r="AH20" s="127">
        <f>Mei!DW21</f>
        <v>2100.0000000003638</v>
      </c>
      <c r="AI20" s="127">
        <f>Mei!DZ21</f>
        <v>1867.06</v>
      </c>
      <c r="AJ20" s="127">
        <f>Mei!EC21</f>
        <v>12027.06</v>
      </c>
      <c r="AK20" s="127">
        <f t="shared" si="4"/>
        <v>15994.120000000363</v>
      </c>
      <c r="AL20" s="127">
        <f>Mei!EG21</f>
        <v>30027.06</v>
      </c>
      <c r="AM20" s="127">
        <f>Mei!EJ21</f>
        <v>9867.06</v>
      </c>
      <c r="AN20" s="127">
        <f>Mei!EM21</f>
        <v>929.99999999994998</v>
      </c>
      <c r="AO20" s="127">
        <f t="shared" si="5"/>
        <v>40824.119999999952</v>
      </c>
      <c r="AP20" s="127">
        <f>Mei!FX21</f>
        <v>18400</v>
      </c>
      <c r="AQ20" s="127">
        <f>Mei!GA21</f>
        <v>5480.0000000001819</v>
      </c>
      <c r="AR20" s="127">
        <f>Mei!GG21</f>
        <v>9299.9999999999545</v>
      </c>
      <c r="AS20" s="127">
        <f t="shared" si="6"/>
        <v>33180.000000000138</v>
      </c>
      <c r="AT20" s="127">
        <f>Mei!EQ21</f>
        <v>6737.060000000004</v>
      </c>
      <c r="AU20" s="127">
        <f>Mei!ET21</f>
        <v>18500</v>
      </c>
      <c r="AV20" s="127">
        <f>Mei!EW21</f>
        <v>7567.0600000002723</v>
      </c>
      <c r="AW20" s="127">
        <f>Mei!FL58</f>
        <v>12141.87108816408</v>
      </c>
      <c r="AX20" s="127">
        <f>Mei!GJ21</f>
        <v>2000</v>
      </c>
      <c r="AY20" s="127">
        <f t="shared" si="7"/>
        <v>46945.991088164359</v>
      </c>
      <c r="AZ20" s="127">
        <f>Mei!FG21</f>
        <v>10753.729999999996</v>
      </c>
      <c r="BA20" s="127">
        <f>Mei!FJ21</f>
        <v>19223.730000000363</v>
      </c>
      <c r="BB20" s="127">
        <f>Mei!FM58</f>
        <v>11348.918911835923</v>
      </c>
      <c r="BC20" s="127">
        <f>Mei!GM21</f>
        <v>700.00000000004547</v>
      </c>
      <c r="BD20" s="127">
        <f t="shared" si="8"/>
        <v>42026.378911836327</v>
      </c>
      <c r="BE20" s="127">
        <f>Mei!GP21</f>
        <v>3160</v>
      </c>
      <c r="BF20" s="127">
        <f>Mei!GS21</f>
        <v>820</v>
      </c>
      <c r="BG20" s="127">
        <f t="shared" si="9"/>
        <v>3980</v>
      </c>
      <c r="BH20" s="127">
        <f t="shared" si="10"/>
        <v>30122</v>
      </c>
      <c r="BI20" s="127"/>
      <c r="BJ20" s="127"/>
      <c r="BK20" s="127"/>
      <c r="BL20" s="128"/>
      <c r="BM20" s="128">
        <f t="shared" si="15"/>
        <v>33180.000000000138</v>
      </c>
      <c r="BN20" s="128"/>
      <c r="BO20" s="128"/>
      <c r="BP20" s="128"/>
      <c r="BQ20" s="128"/>
      <c r="BR20" s="128"/>
      <c r="BS20" s="128">
        <f t="shared" si="16"/>
        <v>3980</v>
      </c>
      <c r="BT20" s="42">
        <f>Mei!D59</f>
        <v>37300</v>
      </c>
      <c r="BU20" s="42">
        <f>Mei!G59</f>
        <v>0</v>
      </c>
      <c r="BV20" t="s">
        <v>353</v>
      </c>
      <c r="BX20" s="42">
        <f>Mei!HJ21</f>
        <v>133199.99999999889</v>
      </c>
      <c r="BY20" s="42">
        <f>Mei!HM21</f>
        <v>0</v>
      </c>
      <c r="BZ20" s="42">
        <f>Mei!HP21</f>
        <v>26464.099999999817</v>
      </c>
      <c r="CA20" s="42">
        <f>Mei!HS21</f>
        <v>29064.10000000018</v>
      </c>
      <c r="CB20" s="42">
        <f>Mei!HV21</f>
        <v>27764.1</v>
      </c>
      <c r="CC20" s="42">
        <f>Mei!HY21</f>
        <v>30104.100000000031</v>
      </c>
      <c r="CD20" s="42">
        <f>Mei!IB21</f>
        <v>403.60000000000036</v>
      </c>
      <c r="CE20" s="42">
        <f>Mei!IE21</f>
        <v>0</v>
      </c>
      <c r="CF20" s="42">
        <f>Mei!IH21</f>
        <v>19400</v>
      </c>
    </row>
    <row r="21" spans="1:84" x14ac:dyDescent="0.25">
      <c r="A21" s="26">
        <f t="shared" si="14"/>
        <v>15</v>
      </c>
      <c r="B21" s="42">
        <f>Mei!G22</f>
        <v>420159.99999999622</v>
      </c>
      <c r="C21" s="42">
        <f>Mei!N22</f>
        <v>401000</v>
      </c>
      <c r="D21" s="42">
        <f>Mei!T22</f>
        <v>0</v>
      </c>
      <c r="E21" s="42">
        <f>Mei!V22</f>
        <v>0</v>
      </c>
      <c r="F21" s="42">
        <f>Mei!AB22</f>
        <v>100</v>
      </c>
      <c r="G21" s="42">
        <f>Mei!X22</f>
        <v>17500.000000000364</v>
      </c>
      <c r="H21" s="42">
        <f>Mei!AE22</f>
        <v>8199.9999999998181</v>
      </c>
      <c r="I21" s="42">
        <f>Mei!AI22</f>
        <v>17302.890000000363</v>
      </c>
      <c r="J21" s="42">
        <f>Mei!AN22</f>
        <v>7082.8899999995947</v>
      </c>
      <c r="K21" s="42">
        <f>Mei!AR22</f>
        <v>8899.9999999996362</v>
      </c>
      <c r="L21" s="42">
        <f>Mei!AZ22</f>
        <v>348.55999999999767</v>
      </c>
      <c r="M21" s="42">
        <f>Mei!BC22</f>
        <v>588.54000000000815</v>
      </c>
      <c r="N21" s="125">
        <f t="shared" si="17"/>
        <v>60022.879999999779</v>
      </c>
      <c r="O21" s="125">
        <f>Mei!CA22</f>
        <v>610.50000000000182</v>
      </c>
      <c r="P21" s="125">
        <f>Mei!CD22</f>
        <v>1669.1999999999534</v>
      </c>
      <c r="Q21" s="125">
        <f>Mei!CF22</f>
        <v>5985</v>
      </c>
      <c r="R21" s="125">
        <f>Mei!CH22</f>
        <v>0</v>
      </c>
      <c r="S21" s="125">
        <f>Mei!CK22</f>
        <v>17062.389999999345</v>
      </c>
      <c r="T21" s="125">
        <f>Mei!CO22</f>
        <v>7480.889999999793</v>
      </c>
      <c r="U21" s="125">
        <f>Mei!CS22</f>
        <v>7287.1900000000032</v>
      </c>
      <c r="V21" s="126">
        <f t="shared" si="3"/>
        <v>40095.169999999096</v>
      </c>
      <c r="W21" s="126">
        <f>Mei!CW22</f>
        <v>19414</v>
      </c>
      <c r="X21" s="126">
        <f>Mei!DA22</f>
        <v>10983</v>
      </c>
      <c r="Y21" s="126">
        <f t="shared" si="1"/>
        <v>30397</v>
      </c>
      <c r="Z21" s="42">
        <f>Mei!BR22</f>
        <v>700.00000000004547</v>
      </c>
      <c r="AA21" s="126">
        <f>Mei!BG22</f>
        <v>2500</v>
      </c>
      <c r="AB21" s="126">
        <f>Mei!BJ22</f>
        <v>9100.0000000003638</v>
      </c>
      <c r="AC21" s="126">
        <f>Mei!BL22+Mei!BN22+Mei!BP22</f>
        <v>4819.9999999999955</v>
      </c>
      <c r="AD21" s="126">
        <f>Mei!DR22</f>
        <v>9900</v>
      </c>
      <c r="AE21" s="127">
        <f>Mei!DT22-Mei!DR62-Mei!DT62</f>
        <v>15574.000000000007</v>
      </c>
      <c r="AF21" s="127">
        <f>Mei!DR62+Mei!DT62</f>
        <v>25.999999999992696</v>
      </c>
      <c r="AG21" s="127">
        <f>Mei!HJ22-AE21</f>
        <v>115726.00000000111</v>
      </c>
      <c r="AH21" s="127">
        <f>Mei!DW22</f>
        <v>3399.9999999996362</v>
      </c>
      <c r="AI21" s="127">
        <f>Mei!DZ22</f>
        <v>5702.89</v>
      </c>
      <c r="AJ21" s="127">
        <f>Mei!EC22</f>
        <v>18862.89</v>
      </c>
      <c r="AK21" s="127">
        <f t="shared" si="4"/>
        <v>27965.779999999635</v>
      </c>
      <c r="AL21" s="127">
        <f>Mei!EG22</f>
        <v>25862.89</v>
      </c>
      <c r="AM21" s="127">
        <f>Mei!EJ22</f>
        <v>11702.89</v>
      </c>
      <c r="AN21" s="127">
        <f>Mei!EM22</f>
        <v>790.00000000007731</v>
      </c>
      <c r="AO21" s="127">
        <f t="shared" si="5"/>
        <v>38355.780000000079</v>
      </c>
      <c r="AP21" s="127">
        <f>Mei!FX22</f>
        <v>12400</v>
      </c>
      <c r="AQ21" s="127">
        <f>Mei!GA22</f>
        <v>3740</v>
      </c>
      <c r="AR21" s="127">
        <f>Mei!GG22</f>
        <v>3500</v>
      </c>
      <c r="AS21" s="127">
        <f t="shared" si="6"/>
        <v>19640</v>
      </c>
      <c r="AT21" s="127">
        <f>Mei!EQ22</f>
        <v>8782.889999999983</v>
      </c>
      <c r="AU21" s="127">
        <f>Mei!ET22</f>
        <v>16099.999999998545</v>
      </c>
      <c r="AV21" s="127">
        <f>Mei!EW22</f>
        <v>9302.8899999999085</v>
      </c>
      <c r="AW21" s="127">
        <f>Mei!FL59</f>
        <v>12409.71790537539</v>
      </c>
      <c r="AX21" s="127">
        <f>Mei!GJ22</f>
        <v>1500</v>
      </c>
      <c r="AY21" s="127">
        <f t="shared" si="7"/>
        <v>48095.497905373835</v>
      </c>
      <c r="AZ21" s="127">
        <f>Mei!FG22</f>
        <v>11716.220000000016</v>
      </c>
      <c r="BA21" s="127">
        <f>Mei!FJ22</f>
        <v>17596.220000001093</v>
      </c>
      <c r="BB21" s="127">
        <f>Mei!FM59</f>
        <v>13089.392094624613</v>
      </c>
      <c r="BC21" s="127">
        <f>Mei!GM22</f>
        <v>1000</v>
      </c>
      <c r="BD21" s="127">
        <f t="shared" si="8"/>
        <v>43401.832094625723</v>
      </c>
      <c r="BE21" s="127">
        <f>Mei!GP22</f>
        <v>380</v>
      </c>
      <c r="BF21" s="127">
        <f>Mei!GS22</f>
        <v>260</v>
      </c>
      <c r="BG21" s="127">
        <f t="shared" si="9"/>
        <v>640</v>
      </c>
      <c r="BH21" s="127">
        <f t="shared" si="10"/>
        <v>30397</v>
      </c>
      <c r="BI21" s="127"/>
      <c r="BJ21" s="127"/>
      <c r="BK21" s="127"/>
      <c r="BL21" s="128"/>
      <c r="BM21" s="128">
        <f t="shared" si="15"/>
        <v>19640</v>
      </c>
      <c r="BN21" s="128"/>
      <c r="BO21" s="128"/>
      <c r="BP21" s="128"/>
      <c r="BQ21" s="128"/>
      <c r="BR21" s="128"/>
      <c r="BS21" s="128">
        <f t="shared" si="16"/>
        <v>640</v>
      </c>
      <c r="BT21" s="42">
        <f>Mei!D60</f>
        <v>6200.0000000000391</v>
      </c>
      <c r="BU21" s="42">
        <f>Mei!G60</f>
        <v>53000</v>
      </c>
      <c r="BV21" t="s">
        <v>353</v>
      </c>
      <c r="BX21" s="42">
        <f>Mei!HJ22</f>
        <v>131300.00000000111</v>
      </c>
      <c r="BY21" s="42">
        <f>Mei!HM22</f>
        <v>0</v>
      </c>
      <c r="BZ21" s="42">
        <f>Mei!HP22</f>
        <v>28330.425000000181</v>
      </c>
      <c r="CA21" s="42">
        <f>Mei!HS22</f>
        <v>28630.424999999908</v>
      </c>
      <c r="CB21" s="42">
        <f>Mei!HV22</f>
        <v>27930.42500000009</v>
      </c>
      <c r="CC21" s="42">
        <f>Mei!HY22</f>
        <v>30470.425000000054</v>
      </c>
      <c r="CD21" s="42">
        <f>Mei!IB22</f>
        <v>338.29999999999973</v>
      </c>
      <c r="CE21" s="42">
        <f>Mei!IE22</f>
        <v>0</v>
      </c>
      <c r="CF21" s="42">
        <f>Mei!IH22</f>
        <v>15600</v>
      </c>
    </row>
    <row r="22" spans="1:84" x14ac:dyDescent="0.25">
      <c r="A22" s="26">
        <f t="shared" si="14"/>
        <v>16</v>
      </c>
      <c r="B22" s="42">
        <f>Mei!G23</f>
        <v>391039.99999998999</v>
      </c>
      <c r="C22" s="42">
        <f>Mei!N23</f>
        <v>400000</v>
      </c>
      <c r="D22" s="42">
        <f>Mei!T23</f>
        <v>697.43999999947846</v>
      </c>
      <c r="E22" s="42">
        <f>Mei!V23</f>
        <v>2411.4799999999814</v>
      </c>
      <c r="F22" s="42">
        <f>Mei!AB23</f>
        <v>0</v>
      </c>
      <c r="G22" s="42">
        <f>Mei!X23</f>
        <v>17391.08000000054</v>
      </c>
      <c r="H22" s="42">
        <f>Mei!AE23</f>
        <v>4400.0000000000909</v>
      </c>
      <c r="I22" s="42">
        <f>Mei!AI23</f>
        <v>10607.209999999635</v>
      </c>
      <c r="J22" s="42">
        <f>Mei!AN23</f>
        <v>5877.2099999996854</v>
      </c>
      <c r="K22" s="42">
        <f>Mei!AR23</f>
        <v>12399.999999999636</v>
      </c>
      <c r="L22" s="42">
        <f>Mei!AZ23</f>
        <v>380</v>
      </c>
      <c r="M22" s="42">
        <f>Mei!BC23</f>
        <v>550</v>
      </c>
      <c r="N22" s="125">
        <f t="shared" si="17"/>
        <v>54714.419999999052</v>
      </c>
      <c r="O22" s="125">
        <f>Mei!CA23</f>
        <v>640.30000000002474</v>
      </c>
      <c r="P22" s="125">
        <f>Mei!CD23</f>
        <v>4065.2000000000698</v>
      </c>
      <c r="Q22" s="125">
        <f>Mei!CF23</f>
        <v>6694</v>
      </c>
      <c r="R22" s="125">
        <f>Mei!CH23</f>
        <v>0</v>
      </c>
      <c r="S22" s="125">
        <f>Mei!CK23</f>
        <v>16326.910000000193</v>
      </c>
      <c r="T22" s="125">
        <f>Mei!CO23</f>
        <v>6447.2100000002365</v>
      </c>
      <c r="U22" s="125">
        <f>Mei!CS23</f>
        <v>5611.8099999999913</v>
      </c>
      <c r="V22" s="126">
        <f t="shared" si="3"/>
        <v>39785.430000000517</v>
      </c>
      <c r="W22" s="126">
        <f>Mei!CW23</f>
        <v>17097</v>
      </c>
      <c r="X22" s="126">
        <f>Mei!DA23</f>
        <v>10075</v>
      </c>
      <c r="Y22" s="126">
        <f t="shared" si="1"/>
        <v>27172</v>
      </c>
      <c r="Z22" s="42">
        <f>Mei!BR23</f>
        <v>799.99999999995453</v>
      </c>
      <c r="AA22" s="126">
        <f>Mei!BG23</f>
        <v>2000</v>
      </c>
      <c r="AB22" s="126">
        <f>Mei!BJ23</f>
        <v>9299.9999999992724</v>
      </c>
      <c r="AC22" s="126">
        <f>Mei!BL23+Mei!BN23+Mei!BP23</f>
        <v>4929.9999999999955</v>
      </c>
      <c r="AD22" s="126">
        <f>Mei!DR23</f>
        <v>9600</v>
      </c>
      <c r="AE22" s="127">
        <f>Mei!DT23-Mei!DR63-Mei!DT63</f>
        <v>16273.999999999989</v>
      </c>
      <c r="AF22" s="127">
        <f>Mei!DR63+Mei!DT63</f>
        <v>26.000000000010459</v>
      </c>
      <c r="AG22" s="127">
        <f>Mei!HJ23-AE22</f>
        <v>111635.99999999987</v>
      </c>
      <c r="AH22" s="127">
        <f>Mei!DW23</f>
        <v>4800.0000000001819</v>
      </c>
      <c r="AI22" s="127">
        <f>Mei!DZ23</f>
        <v>5707.21</v>
      </c>
      <c r="AJ22" s="127">
        <f>Mei!EC23</f>
        <v>23867.21</v>
      </c>
      <c r="AK22" s="127">
        <f t="shared" si="4"/>
        <v>34374.42000000018</v>
      </c>
      <c r="AL22" s="127">
        <f>Mei!EG23</f>
        <v>29867.21</v>
      </c>
      <c r="AM22" s="127">
        <f>Mei!EJ23</f>
        <v>11707.21</v>
      </c>
      <c r="AN22" s="127">
        <f>Mei!EM23</f>
        <v>909.99999999996817</v>
      </c>
      <c r="AO22" s="127">
        <f t="shared" si="5"/>
        <v>42484.419999999969</v>
      </c>
      <c r="AP22" s="127">
        <f>Mei!FX23</f>
        <v>18800</v>
      </c>
      <c r="AQ22" s="127">
        <f>Mei!GA23</f>
        <v>5549.9999999998181</v>
      </c>
      <c r="AR22" s="127">
        <f>Mei!GG23</f>
        <v>5599.9999999999091</v>
      </c>
      <c r="AS22" s="127">
        <f t="shared" si="6"/>
        <v>29949.999999999727</v>
      </c>
      <c r="AT22" s="127">
        <f>Mei!EQ23</f>
        <v>5707.21</v>
      </c>
      <c r="AU22" s="127">
        <f>Mei!ET23</f>
        <v>18700.000000000728</v>
      </c>
      <c r="AV22" s="127">
        <f>Mei!EW23</f>
        <v>8207.2099999999991</v>
      </c>
      <c r="AW22" s="127">
        <f>Mei!FL60</f>
        <v>14954.773467724041</v>
      </c>
      <c r="AX22" s="127">
        <f>Mei!GJ23</f>
        <v>1700.0000000000455</v>
      </c>
      <c r="AY22" s="127">
        <f t="shared" si="7"/>
        <v>49269.193467724806</v>
      </c>
      <c r="AZ22" s="127">
        <f>Mei!FG23</f>
        <v>11540.539999999999</v>
      </c>
      <c r="BA22" s="127">
        <f>Mei!FJ23</f>
        <v>15040.539999999999</v>
      </c>
      <c r="BB22" s="127">
        <f>Mei!FM60</f>
        <v>16292.976532275961</v>
      </c>
      <c r="BC22" s="127">
        <f>Mei!GM23</f>
        <v>1700.0000000000455</v>
      </c>
      <c r="BD22" s="127">
        <f t="shared" si="8"/>
        <v>44574.056532276001</v>
      </c>
      <c r="BE22" s="127">
        <f>Mei!GP23</f>
        <v>0</v>
      </c>
      <c r="BF22" s="127">
        <f>Mei!GS23</f>
        <v>150</v>
      </c>
      <c r="BG22" s="127">
        <f t="shared" si="9"/>
        <v>150</v>
      </c>
      <c r="BH22" s="127">
        <f t="shared" si="10"/>
        <v>27172</v>
      </c>
      <c r="BI22" s="127"/>
      <c r="BJ22" s="127"/>
      <c r="BK22" s="127"/>
      <c r="BL22" s="128"/>
      <c r="BM22" s="128">
        <f>(AS22)+BG22</f>
        <v>30099.999999999727</v>
      </c>
      <c r="BN22" s="128"/>
      <c r="BO22" s="128"/>
      <c r="BP22" s="128"/>
      <c r="BQ22" s="128"/>
      <c r="BR22" s="128"/>
      <c r="BS22" s="128"/>
      <c r="BT22" s="42">
        <f>Mei!D61</f>
        <v>0</v>
      </c>
      <c r="BU22" s="42">
        <f>Mei!G61</f>
        <v>86000</v>
      </c>
      <c r="BV22" t="s">
        <v>354</v>
      </c>
      <c r="BW22" s="151"/>
      <c r="BX22" s="42">
        <f>Mei!HJ23</f>
        <v>127909.99999999985</v>
      </c>
      <c r="BY22" s="42">
        <f>Mei!HM23</f>
        <v>0</v>
      </c>
      <c r="BZ22" s="42">
        <f>Mei!HP23</f>
        <v>29413.949999999728</v>
      </c>
      <c r="CA22" s="42">
        <f>Mei!HS23</f>
        <v>27413.949999999728</v>
      </c>
      <c r="CB22" s="42">
        <f>Mei!HV23</f>
        <v>26813.950000000044</v>
      </c>
      <c r="CC22" s="42">
        <f>Mei!HY23</f>
        <v>27383.949999999983</v>
      </c>
      <c r="CD22" s="42">
        <f>Mei!IB23</f>
        <v>584.20000000000027</v>
      </c>
      <c r="CE22" s="42">
        <f>Mei!IE23</f>
        <v>0</v>
      </c>
      <c r="CF22" s="42">
        <f>Mei!IH23</f>
        <v>16300</v>
      </c>
    </row>
    <row r="23" spans="1:84" x14ac:dyDescent="0.25">
      <c r="A23" s="26">
        <f t="shared" si="14"/>
        <v>17</v>
      </c>
      <c r="B23" s="42">
        <f>Mei!G24</f>
        <v>392000</v>
      </c>
      <c r="C23" s="42">
        <f>Mei!N24</f>
        <v>391000</v>
      </c>
      <c r="D23" s="42">
        <f>Mei!T24</f>
        <v>342.26999999955297</v>
      </c>
      <c r="E23" s="42">
        <f>Mei!V24</f>
        <v>1945.4599999999627</v>
      </c>
      <c r="F23" s="42">
        <f>Mei!AB24</f>
        <v>100</v>
      </c>
      <c r="G23" s="42">
        <f>Mei!X24</f>
        <v>19112.270000000484</v>
      </c>
      <c r="H23" s="42">
        <f>Mei!AE24</f>
        <v>4599.9999999999091</v>
      </c>
      <c r="I23" s="42">
        <f>Mei!AI24</f>
        <v>11867.430000000364</v>
      </c>
      <c r="J23" s="42">
        <f>Mei!AN24</f>
        <v>6807.4300000000048</v>
      </c>
      <c r="K23" s="42">
        <f>Mei!AR24</f>
        <v>13500</v>
      </c>
      <c r="L23" s="42">
        <f>Mei!AZ24</f>
        <v>430</v>
      </c>
      <c r="M23" s="42">
        <f>Mei!BC24</f>
        <v>680</v>
      </c>
      <c r="N23" s="125">
        <f t="shared" si="17"/>
        <v>59384.860000000277</v>
      </c>
      <c r="O23" s="125">
        <f>Mei!CA24</f>
        <v>629.59999999998217</v>
      </c>
      <c r="P23" s="125">
        <f>Mei!CD24</f>
        <v>4678.5999999999767</v>
      </c>
      <c r="Q23" s="125">
        <f>Mei!CF24</f>
        <v>6346</v>
      </c>
      <c r="R23" s="125">
        <f>Mei!CH24</f>
        <v>0</v>
      </c>
      <c r="S23" s="125">
        <f>Mei!CK24</f>
        <v>16707.829999999725</v>
      </c>
      <c r="T23" s="125">
        <f>Mei!CO24</f>
        <v>7145.429999999702</v>
      </c>
      <c r="U23" s="125">
        <f>Mei!CS24</f>
        <v>6155.330000000009</v>
      </c>
      <c r="V23" s="126">
        <f t="shared" si="3"/>
        <v>41662.789999999397</v>
      </c>
      <c r="W23" s="126">
        <f>Mei!CW24</f>
        <v>19939</v>
      </c>
      <c r="X23" s="126">
        <f>Mei!DA24</f>
        <v>11082</v>
      </c>
      <c r="Y23" s="126">
        <f t="shared" si="1"/>
        <v>31021</v>
      </c>
      <c r="Z23" s="42">
        <f>Mei!BR24</f>
        <v>500</v>
      </c>
      <c r="AA23" s="126">
        <f>Mei!BG24</f>
        <v>1700.0000000000455</v>
      </c>
      <c r="AB23" s="126">
        <f>Mei!BJ24</f>
        <v>8900.0000000014552</v>
      </c>
      <c r="AC23" s="126">
        <f>Mei!BL24+Mei!BN24+Mei!BP24</f>
        <v>4959.9999999999955</v>
      </c>
      <c r="AD23" s="126">
        <f>Mei!DR24</f>
        <v>8400</v>
      </c>
      <c r="AE23" s="127">
        <f>Mei!DT24-Mei!DR64-Mei!DT64</f>
        <v>17288.000000000011</v>
      </c>
      <c r="AF23" s="127">
        <f>Mei!DR64+Mei!DT64</f>
        <v>11.999999999989797</v>
      </c>
      <c r="AG23" s="127">
        <f>Mei!HJ24-AE23</f>
        <v>104101.9999999994</v>
      </c>
      <c r="AH23" s="127">
        <f>Mei!DW24</f>
        <v>4699.9999999998181</v>
      </c>
      <c r="AI23" s="127">
        <f>Mei!DZ24</f>
        <v>7267.43</v>
      </c>
      <c r="AJ23" s="127">
        <f>Mei!EC24</f>
        <v>24427.43</v>
      </c>
      <c r="AK23" s="127">
        <f t="shared" si="4"/>
        <v>36394.859999999819</v>
      </c>
      <c r="AL23" s="127">
        <f>Mei!EG24</f>
        <v>26427.43</v>
      </c>
      <c r="AM23" s="127">
        <f>Mei!EJ24</f>
        <v>11267.43</v>
      </c>
      <c r="AN23" s="127">
        <f>Mei!EM24</f>
        <v>870.00000000000455</v>
      </c>
      <c r="AO23" s="127">
        <f t="shared" si="5"/>
        <v>38564.860000000008</v>
      </c>
      <c r="AP23" s="127">
        <f>Mei!FX24</f>
        <v>14700</v>
      </c>
      <c r="AQ23" s="127">
        <f>Mei!GA24</f>
        <v>4370</v>
      </c>
      <c r="AR23" s="127">
        <f>Mei!GG24</f>
        <v>4299.9999999999545</v>
      </c>
      <c r="AS23" s="127">
        <f t="shared" si="6"/>
        <v>23369.999999999956</v>
      </c>
      <c r="AT23" s="127">
        <f>Mei!EQ24</f>
        <v>6262.4300000000048</v>
      </c>
      <c r="AU23" s="127">
        <f>Mei!ET24</f>
        <v>18899.999999999636</v>
      </c>
      <c r="AV23" s="127">
        <f>Mei!EW24</f>
        <v>8667.4300000000912</v>
      </c>
      <c r="AW23" s="127">
        <f>Mei!FL61</f>
        <v>17416.921585572476</v>
      </c>
      <c r="AX23" s="127">
        <f>Mei!GJ24</f>
        <v>1700.0000000000455</v>
      </c>
      <c r="AY23" s="127">
        <f t="shared" si="7"/>
        <v>52946.781585572251</v>
      </c>
      <c r="AZ23" s="127">
        <f>Mei!FG24</f>
        <v>12070.759999999995</v>
      </c>
      <c r="BA23" s="127">
        <f>Mei!FJ24</f>
        <v>15665.759999998545</v>
      </c>
      <c r="BB23" s="127">
        <f>Mei!FM61</f>
        <v>17916.26841442753</v>
      </c>
      <c r="BC23" s="127">
        <f>Mei!GM24</f>
        <v>2000</v>
      </c>
      <c r="BD23" s="127">
        <f t="shared" si="8"/>
        <v>47652.788414426075</v>
      </c>
      <c r="BE23" s="127">
        <f>Mei!GP24</f>
        <v>10</v>
      </c>
      <c r="BF23" s="127">
        <f>Mei!GS24</f>
        <v>130</v>
      </c>
      <c r="BG23" s="127">
        <f t="shared" si="9"/>
        <v>140</v>
      </c>
      <c r="BH23" s="127">
        <f t="shared" si="10"/>
        <v>31021</v>
      </c>
      <c r="BI23" s="127"/>
      <c r="BJ23" s="127"/>
      <c r="BK23" s="127"/>
      <c r="BL23" s="128"/>
      <c r="BM23" s="128">
        <f>(AS23)+BG23</f>
        <v>23509.999999999956</v>
      </c>
      <c r="BN23" s="128"/>
      <c r="BO23" s="128"/>
      <c r="BP23" s="128"/>
      <c r="BQ23" s="128"/>
      <c r="BR23" s="128"/>
      <c r="BS23" s="128"/>
      <c r="BT23" s="42">
        <f>Mei!D62</f>
        <v>0</v>
      </c>
      <c r="BU23" s="42">
        <f>Mei!G62</f>
        <v>85000</v>
      </c>
      <c r="BV23" t="s">
        <v>354</v>
      </c>
      <c r="BX23" s="42">
        <f>Mei!HJ24</f>
        <v>121389.99999999942</v>
      </c>
      <c r="BY23" s="42">
        <f>Mei!HM24</f>
        <v>0</v>
      </c>
      <c r="BZ23" s="42">
        <f>Mei!HP24</f>
        <v>27287.400000000274</v>
      </c>
      <c r="CA23" s="42">
        <f>Mei!HS24</f>
        <v>27487.400000000092</v>
      </c>
      <c r="CB23" s="42">
        <f>Mei!HV24</f>
        <v>20287.39999999982</v>
      </c>
      <c r="CC23" s="42">
        <f>Mei!HY24</f>
        <v>27717.399999999998</v>
      </c>
      <c r="CD23" s="42">
        <f>Mei!IB24</f>
        <v>1310.3999999999996</v>
      </c>
      <c r="CE23" s="42">
        <f>Mei!IE24</f>
        <v>0</v>
      </c>
      <c r="CF23" s="42">
        <f>Mei!IH24</f>
        <v>17300</v>
      </c>
    </row>
    <row r="24" spans="1:84" x14ac:dyDescent="0.25">
      <c r="A24" s="26">
        <f t="shared" si="14"/>
        <v>18</v>
      </c>
      <c r="B24" s="42">
        <f>Mei!G25</f>
        <v>362880.00000001193</v>
      </c>
      <c r="C24" s="42">
        <f>Mei!N25</f>
        <v>348000</v>
      </c>
      <c r="D24" s="42">
        <f>Mei!T25</f>
        <v>339.68999999947846</v>
      </c>
      <c r="E24" s="42">
        <f>Mei!V25</f>
        <v>1259.8200000000652</v>
      </c>
      <c r="F24" s="42">
        <f>Mei!AB25</f>
        <v>100</v>
      </c>
      <c r="G24" s="42">
        <f>Mei!X25</f>
        <v>18000.489999999365</v>
      </c>
      <c r="H24" s="42">
        <f>Mei!AE25</f>
        <v>5500</v>
      </c>
      <c r="I24" s="42">
        <f>Mei!AI25</f>
        <v>14246.09</v>
      </c>
      <c r="J24" s="42">
        <f>Mei!AN25</f>
        <v>7186.0900000000138</v>
      </c>
      <c r="K24" s="42">
        <f>Mei!AR25</f>
        <v>13700.000000000728</v>
      </c>
      <c r="L24" s="42">
        <f>Mei!AZ25</f>
        <v>440</v>
      </c>
      <c r="M24" s="42">
        <f>Mei!BC25</f>
        <v>690</v>
      </c>
      <c r="N24" s="125">
        <f t="shared" si="17"/>
        <v>61462.179999999644</v>
      </c>
      <c r="O24" s="125">
        <f>Mei!CA25</f>
        <v>579.29999999998927</v>
      </c>
      <c r="P24" s="125">
        <f>Mei!CD25</f>
        <v>3194.5999999999767</v>
      </c>
      <c r="Q24" s="125">
        <f>Mei!CF25</f>
        <v>5585</v>
      </c>
      <c r="R24" s="125">
        <f>Mei!CH25</f>
        <v>0</v>
      </c>
      <c r="S24" s="125">
        <f>Mei!CK25</f>
        <v>14806.790000001249</v>
      </c>
      <c r="T24" s="125">
        <f>Mei!CO25</f>
        <v>6764.0900000000292</v>
      </c>
      <c r="U24" s="125">
        <f>Mei!CS25</f>
        <v>5796.09</v>
      </c>
      <c r="V24" s="126">
        <f t="shared" si="3"/>
        <v>36725.870000001247</v>
      </c>
      <c r="W24" s="126">
        <f>Mei!CW25</f>
        <v>15242</v>
      </c>
      <c r="X24" s="126">
        <f>Mei!DA25</f>
        <v>8049</v>
      </c>
      <c r="Y24" s="126">
        <f t="shared" si="1"/>
        <v>23291</v>
      </c>
      <c r="Z24" s="42">
        <f>Mei!BR25</f>
        <v>299.99999999995453</v>
      </c>
      <c r="AA24" s="126">
        <f>Mei!BG25</f>
        <v>1399.9999999998636</v>
      </c>
      <c r="AB24" s="126">
        <f>Mei!BJ25</f>
        <v>9099.9999999985448</v>
      </c>
      <c r="AC24" s="126">
        <f>Mei!BL25+Mei!BN25+Mei!BP25</f>
        <v>4760.0000000000318</v>
      </c>
      <c r="AD24" s="126">
        <f>Mei!DR25</f>
        <v>8900</v>
      </c>
      <c r="AE24" s="127">
        <f>Mei!DT25-Mei!DR65-Mei!DT65</f>
        <v>19785</v>
      </c>
      <c r="AF24" s="127">
        <f>Mei!DR65+Mei!DT65</f>
        <v>15.000000000000568</v>
      </c>
      <c r="AG24" s="127">
        <f>Mei!HJ25-AE24</f>
        <v>103215</v>
      </c>
      <c r="AH24" s="127">
        <f>Mei!DW25</f>
        <v>4600.0000000003638</v>
      </c>
      <c r="AI24" s="127">
        <f>Mei!DZ25</f>
        <v>7746.09</v>
      </c>
      <c r="AJ24" s="127">
        <f>Mei!EC25</f>
        <v>25906.09</v>
      </c>
      <c r="AK24" s="127">
        <f t="shared" si="4"/>
        <v>38252.180000000364</v>
      </c>
      <c r="AL24" s="127">
        <f>Mei!EG25</f>
        <v>10906.09</v>
      </c>
      <c r="AM24" s="127">
        <f>Mei!EJ25</f>
        <v>7746.09</v>
      </c>
      <c r="AN24" s="127">
        <f>Mei!EM25</f>
        <v>210.00000000003638</v>
      </c>
      <c r="AO24" s="127">
        <f t="shared" si="5"/>
        <v>18862.180000000037</v>
      </c>
      <c r="AP24" s="127">
        <f>Mei!FX25</f>
        <v>1700</v>
      </c>
      <c r="AQ24" s="127">
        <f>Mei!GA25</f>
        <v>970</v>
      </c>
      <c r="AR24" s="127">
        <f>Mei!GG25</f>
        <v>800.0000000001819</v>
      </c>
      <c r="AS24" s="127">
        <f t="shared" si="6"/>
        <v>3470.0000000001819</v>
      </c>
      <c r="AT24" s="127">
        <f>Mei!EQ25</f>
        <v>6881.0899999999911</v>
      </c>
      <c r="AU24" s="127">
        <f>Mei!ET25</f>
        <v>17000</v>
      </c>
      <c r="AV24" s="127">
        <f>Mei!EW25</f>
        <v>8246.09</v>
      </c>
      <c r="AW24" s="127">
        <f>Mei!FL62</f>
        <v>15571.602345787131</v>
      </c>
      <c r="AX24" s="127">
        <f>Mei!GJ25</f>
        <v>1500</v>
      </c>
      <c r="AY24" s="127">
        <f t="shared" si="7"/>
        <v>49198.78234578712</v>
      </c>
      <c r="AZ24" s="127">
        <f>Mei!FG25</f>
        <v>11122.760000000009</v>
      </c>
      <c r="BA24" s="127">
        <f>Mei!FJ25</f>
        <v>13857.760000000364</v>
      </c>
      <c r="BB24" s="127">
        <f>Mei!FM62</f>
        <v>16432.247654212872</v>
      </c>
      <c r="BC24" s="127">
        <f>Mei!GM25</f>
        <v>1699.9999999998181</v>
      </c>
      <c r="BD24" s="127">
        <f t="shared" si="8"/>
        <v>43112.767654213065</v>
      </c>
      <c r="BE24" s="127">
        <f>Mei!GP25</f>
        <v>0</v>
      </c>
      <c r="BF24" s="127">
        <f>Mei!GS25</f>
        <v>30</v>
      </c>
      <c r="BG24" s="127">
        <f t="shared" si="9"/>
        <v>30</v>
      </c>
      <c r="BH24" s="127">
        <f t="shared" si="10"/>
        <v>23291</v>
      </c>
      <c r="BI24" s="127"/>
      <c r="BJ24" s="127"/>
      <c r="BK24" s="127"/>
      <c r="BL24" s="128"/>
      <c r="BM24" s="128">
        <f>(AS24)+BG24</f>
        <v>3500.0000000001819</v>
      </c>
      <c r="BN24" s="128"/>
      <c r="BO24" s="128"/>
      <c r="BP24" s="128"/>
      <c r="BQ24" s="128"/>
      <c r="BR24" s="128"/>
      <c r="BS24" s="128"/>
      <c r="BT24" s="42">
        <f>Mei!D63</f>
        <v>0</v>
      </c>
      <c r="BU24" s="42">
        <f>Mei!G63</f>
        <v>59000</v>
      </c>
      <c r="BV24" t="s">
        <v>354</v>
      </c>
      <c r="BX24" s="42">
        <f>Mei!HJ25</f>
        <v>123000</v>
      </c>
      <c r="BY24" s="42">
        <f>Mei!HM25</f>
        <v>0</v>
      </c>
      <c r="BZ24" s="42">
        <f>Mei!HP25</f>
        <v>28684.799999999817</v>
      </c>
      <c r="CA24" s="42">
        <f>Mei!HS25</f>
        <v>25784.800000000181</v>
      </c>
      <c r="CB24" s="42">
        <f>Mei!HV25</f>
        <v>19784.800000000181</v>
      </c>
      <c r="CC24" s="42">
        <f>Mei!HY25</f>
        <v>27574.799999999919</v>
      </c>
      <c r="CD24" s="42">
        <f>Mei!IB25</f>
        <v>1370.8000000000002</v>
      </c>
      <c r="CE24" s="42">
        <f>Mei!IE25</f>
        <v>0</v>
      </c>
      <c r="CF24" s="42">
        <f>Mei!IH25</f>
        <v>19800</v>
      </c>
    </row>
    <row r="25" spans="1:84" x14ac:dyDescent="0.25">
      <c r="A25" s="26">
        <f t="shared" si="14"/>
        <v>19</v>
      </c>
      <c r="B25" s="42">
        <f>Mei!G26</f>
        <v>338240.00000000524</v>
      </c>
      <c r="C25" s="42">
        <f>Mei!N26</f>
        <v>345000</v>
      </c>
      <c r="D25" s="42">
        <f>Mei!T26</f>
        <v>380.91000000014901</v>
      </c>
      <c r="E25" s="42">
        <f>Mei!V26</f>
        <v>0</v>
      </c>
      <c r="F25" s="42">
        <f>Mei!AB26</f>
        <v>100</v>
      </c>
      <c r="G25" s="42">
        <f>Mei!X26</f>
        <v>18119.090000000215</v>
      </c>
      <c r="H25" s="42">
        <f>Mei!AE26</f>
        <v>6099.9999999999091</v>
      </c>
      <c r="I25" s="42">
        <f>Mei!AI26</f>
        <v>12979.029999999273</v>
      </c>
      <c r="J25" s="42">
        <f>Mei!AN26</f>
        <v>6559.0300000010511</v>
      </c>
      <c r="K25" s="42">
        <f>Mei!AR26</f>
        <v>14799.999999999272</v>
      </c>
      <c r="L25" s="42">
        <f>Mei!AZ26</f>
        <v>480</v>
      </c>
      <c r="M25" s="42">
        <f>Mei!BC26</f>
        <v>740</v>
      </c>
      <c r="N25" s="125">
        <f t="shared" si="17"/>
        <v>60258.059999999874</v>
      </c>
      <c r="O25" s="125">
        <f>Mei!CA26</f>
        <v>92.600000000004457</v>
      </c>
      <c r="P25" s="125">
        <f>Mei!CD26</f>
        <v>0</v>
      </c>
      <c r="Q25" s="125">
        <f>Mei!CF26</f>
        <v>122</v>
      </c>
      <c r="R25" s="125">
        <f>Mei!CH26</f>
        <v>0</v>
      </c>
      <c r="S25" s="125">
        <f>Mei!CK26</f>
        <v>2986.4299999996315</v>
      </c>
      <c r="T25" s="125">
        <f>Mei!CO26</f>
        <v>257.00000000006185</v>
      </c>
      <c r="U25" s="125">
        <f>Mei!CS26</f>
        <v>211.59999999999127</v>
      </c>
      <c r="V25" s="126">
        <f t="shared" si="3"/>
        <v>3669.6299999996891</v>
      </c>
      <c r="W25" s="126">
        <f>Mei!CW26</f>
        <v>593</v>
      </c>
      <c r="X25" s="126">
        <f>Mei!DA26</f>
        <v>250</v>
      </c>
      <c r="Y25" s="126">
        <f t="shared" si="1"/>
        <v>843</v>
      </c>
      <c r="Z25" s="42">
        <f>Mei!BR26</f>
        <v>700.00000000004547</v>
      </c>
      <c r="AA25" s="126">
        <f>Mei!BG26</f>
        <v>1900.0000000000909</v>
      </c>
      <c r="AB25" s="126">
        <f>Mei!BJ26</f>
        <v>9200.0000000007276</v>
      </c>
      <c r="AC25" s="126">
        <f>Mei!BL26+Mei!BN26+Mei!BP26</f>
        <v>4719.9999999999955</v>
      </c>
      <c r="AD25" s="126">
        <f>Mei!DR26</f>
        <v>9900</v>
      </c>
      <c r="AE25" s="127">
        <f>Mei!DT26-Mei!DR66-Mei!DT66</f>
        <v>19095.999999999993</v>
      </c>
      <c r="AF25" s="127">
        <f>Mei!DR66+Mei!DT66</f>
        <v>4.0000000000084412</v>
      </c>
      <c r="AG25" s="127">
        <f>Mei!HJ26-AE25</f>
        <v>109104.00000000073</v>
      </c>
      <c r="AH25" s="127">
        <f>Mei!DW26</f>
        <v>4699.9999999998181</v>
      </c>
      <c r="AI25" s="127">
        <f>Mei!DZ26</f>
        <v>6679.03</v>
      </c>
      <c r="AJ25" s="127">
        <f>Mei!EC26</f>
        <v>24839.03</v>
      </c>
      <c r="AK25" s="127">
        <f t="shared" si="4"/>
        <v>36218.059999999816</v>
      </c>
      <c r="AL25" s="127">
        <f>Mei!EG26</f>
        <v>27839.03</v>
      </c>
      <c r="AM25" s="127">
        <f>Mei!EJ26</f>
        <v>11679.03</v>
      </c>
      <c r="AN25" s="127">
        <f>Mei!EM26</f>
        <v>829.99999999992724</v>
      </c>
      <c r="AO25" s="127">
        <f t="shared" si="5"/>
        <v>40348.059999999925</v>
      </c>
      <c r="AP25" s="127">
        <f>Mei!FX26</f>
        <v>22400</v>
      </c>
      <c r="AQ25" s="127">
        <f>Mei!GA26</f>
        <v>6050.0000000002728</v>
      </c>
      <c r="AR25" s="127">
        <f>Mei!GG26</f>
        <v>6499.9999999998863</v>
      </c>
      <c r="AS25" s="127">
        <f t="shared" si="6"/>
        <v>34950.00000000016</v>
      </c>
      <c r="AT25" s="127">
        <f>Mei!EQ26</f>
        <v>5784.0300000000179</v>
      </c>
      <c r="AU25" s="127">
        <f>Mei!ET26</f>
        <v>18300.000000001091</v>
      </c>
      <c r="AV25" s="127">
        <f>Mei!EW26</f>
        <v>7879.0299999998178</v>
      </c>
      <c r="AW25" s="127">
        <f>Mei!FL63</f>
        <v>14777.460952705342</v>
      </c>
      <c r="AX25" s="127">
        <f>Mei!GJ26</f>
        <v>1700.0000000000455</v>
      </c>
      <c r="AY25" s="127">
        <f t="shared" si="7"/>
        <v>48440.520952706313</v>
      </c>
      <c r="AZ25" s="127">
        <f>Mei!FG26</f>
        <v>10875.699999999983</v>
      </c>
      <c r="BA25" s="127">
        <f>Mei!FJ26</f>
        <v>14180.700000000728</v>
      </c>
      <c r="BB25" s="127">
        <f>Mei!FM63</f>
        <v>15882.269047294656</v>
      </c>
      <c r="BC25" s="127">
        <f>Mei!GM26</f>
        <v>1800.0000000000682</v>
      </c>
      <c r="BD25" s="127">
        <f t="shared" si="8"/>
        <v>42738.669047295429</v>
      </c>
      <c r="BE25" s="127">
        <f>Mei!GP26</f>
        <v>0</v>
      </c>
      <c r="BF25" s="127">
        <f>Mei!GS26</f>
        <v>150</v>
      </c>
      <c r="BG25" s="127">
        <f t="shared" si="9"/>
        <v>150</v>
      </c>
      <c r="BH25" s="127">
        <f t="shared" si="10"/>
        <v>843</v>
      </c>
      <c r="BI25" s="127"/>
      <c r="BJ25" s="127"/>
      <c r="BK25" s="127"/>
      <c r="BL25" s="128"/>
      <c r="BM25" s="128">
        <f>(AS25)+BG25</f>
        <v>35100.00000000016</v>
      </c>
      <c r="BN25" s="128"/>
      <c r="BO25" s="128"/>
      <c r="BP25" s="128"/>
      <c r="BQ25" s="128"/>
      <c r="BR25" s="128"/>
      <c r="BS25" s="128"/>
      <c r="BT25" s="42">
        <f>Mei!D64</f>
        <v>0</v>
      </c>
      <c r="BU25" s="42">
        <f>Mei!G64</f>
        <v>84000</v>
      </c>
      <c r="BV25" t="s">
        <v>355</v>
      </c>
      <c r="BX25" s="42">
        <f>Mei!HJ26</f>
        <v>128200.00000000073</v>
      </c>
      <c r="BY25" s="42">
        <f>Mei!HM26</f>
        <v>0</v>
      </c>
      <c r="BZ25" s="42">
        <f>Mei!HP26</f>
        <v>31154.500000000091</v>
      </c>
      <c r="CA25" s="42">
        <f>Mei!HS26</f>
        <v>26254.5</v>
      </c>
      <c r="CB25" s="42">
        <f>Mei!HV26</f>
        <v>20554.499999999956</v>
      </c>
      <c r="CC25" s="42">
        <f>Mei!HY26</f>
        <v>27624.500000000004</v>
      </c>
      <c r="CD25" s="42">
        <f>Mei!IB26</f>
        <v>3512</v>
      </c>
      <c r="CE25" s="42">
        <f>Mei!IE26</f>
        <v>0</v>
      </c>
      <c r="CF25" s="42">
        <f>Mei!IH26</f>
        <v>19100</v>
      </c>
    </row>
    <row r="26" spans="1:84" x14ac:dyDescent="0.25">
      <c r="A26" s="26">
        <f t="shared" si="14"/>
        <v>20</v>
      </c>
      <c r="B26" s="42">
        <f>Mei!G27</f>
        <v>385599.99999998399</v>
      </c>
      <c r="C26" s="42">
        <f>Mei!N27</f>
        <v>380000</v>
      </c>
      <c r="D26" s="42">
        <f>Mei!T27</f>
        <v>370.6900000013411</v>
      </c>
      <c r="E26" s="42">
        <f>Mei!V27</f>
        <v>0</v>
      </c>
      <c r="F26" s="42">
        <f>Mei!AB27</f>
        <v>100</v>
      </c>
      <c r="G26" s="42">
        <f>Mei!X27</f>
        <v>17929.309999998295</v>
      </c>
      <c r="H26" s="42">
        <f>Mei!AE27</f>
        <v>6200.0000000002728</v>
      </c>
      <c r="I26" s="42">
        <f>Mei!AI27</f>
        <v>14160.010000000728</v>
      </c>
      <c r="J26" s="42">
        <f>Mei!AN27</f>
        <v>6780.0100000000411</v>
      </c>
      <c r="K26" s="42">
        <f>Mei!AR27</f>
        <v>14500</v>
      </c>
      <c r="L26" s="42">
        <f>Mei!AZ27</f>
        <v>520</v>
      </c>
      <c r="M26" s="42">
        <f>Mei!BC27</f>
        <v>750</v>
      </c>
      <c r="N26" s="125">
        <f t="shared" si="17"/>
        <v>61310.020000000673</v>
      </c>
      <c r="O26" s="125">
        <f>Mei!CA27</f>
        <v>604.49999999997317</v>
      </c>
      <c r="P26" s="125">
        <f>Mei!CD27</f>
        <v>0</v>
      </c>
      <c r="Q26" s="125">
        <f>Mei!CF27</f>
        <v>4882</v>
      </c>
      <c r="R26" s="125">
        <f>Mei!CH27</f>
        <v>0</v>
      </c>
      <c r="S26" s="125">
        <f>Mei!CK27</f>
        <v>15145.509999999082</v>
      </c>
      <c r="T26" s="125">
        <f>Mei!CO27</f>
        <v>6682.0100000002076</v>
      </c>
      <c r="U26" s="125">
        <f>Mei!CS27</f>
        <v>7869.9100000000089</v>
      </c>
      <c r="V26" s="126">
        <f t="shared" si="3"/>
        <v>35183.929999999273</v>
      </c>
      <c r="W26" s="126">
        <f>Mei!CW27</f>
        <v>660</v>
      </c>
      <c r="X26" s="126">
        <f>Mei!DA27</f>
        <v>585</v>
      </c>
      <c r="Y26" s="126">
        <f t="shared" si="1"/>
        <v>1245</v>
      </c>
      <c r="Z26" s="42">
        <f>Mei!BR27</f>
        <v>799.99999999995453</v>
      </c>
      <c r="AA26" s="126">
        <f>Mei!BG27</f>
        <v>2000</v>
      </c>
      <c r="AB26" s="126">
        <f>Mei!BJ27</f>
        <v>9200.0000000007276</v>
      </c>
      <c r="AC26" s="126">
        <f>Mei!BL27+Mei!BN27+Mei!BP27</f>
        <v>4880.0000000000045</v>
      </c>
      <c r="AD26" s="126">
        <f>Mei!DR27</f>
        <v>10300</v>
      </c>
      <c r="AE26" s="127">
        <f>Mei!DT27-Mei!DR67-Mei!DT67</f>
        <v>19799.000000000004</v>
      </c>
      <c r="AF26" s="127">
        <f>Mei!DR67+Mei!DT67</f>
        <v>0.99999999999766942</v>
      </c>
      <c r="AG26" s="127">
        <f>Mei!HJ27-AE26</f>
        <v>105300.99999999854</v>
      </c>
      <c r="AH26" s="127">
        <f>Mei!DW27</f>
        <v>4699.9999999998181</v>
      </c>
      <c r="AI26" s="127">
        <f>Mei!DZ27</f>
        <v>7460.01</v>
      </c>
      <c r="AJ26" s="127">
        <f>Mei!EC27</f>
        <v>24620.01</v>
      </c>
      <c r="AK26" s="127">
        <f t="shared" si="4"/>
        <v>36780.019999999815</v>
      </c>
      <c r="AL26" s="127">
        <f>Mei!EG27</f>
        <v>31620.01</v>
      </c>
      <c r="AM26" s="127">
        <f>Mei!EJ27</f>
        <v>11460.01</v>
      </c>
      <c r="AN26" s="127">
        <f>Mei!EM27</f>
        <v>800.00000000006821</v>
      </c>
      <c r="AO26" s="127">
        <f t="shared" si="5"/>
        <v>43880.020000000062</v>
      </c>
      <c r="AP26" s="127">
        <f>Mei!FX27</f>
        <v>28800</v>
      </c>
      <c r="AQ26" s="127">
        <f>Mei!GA27</f>
        <v>9350</v>
      </c>
      <c r="AR26" s="127">
        <f>Mei!GG27</f>
        <v>6350.0000000000227</v>
      </c>
      <c r="AS26" s="127">
        <f t="shared" si="6"/>
        <v>44500.000000000022</v>
      </c>
      <c r="AT26" s="127">
        <f>Mei!EQ27</f>
        <v>8510.0100000000111</v>
      </c>
      <c r="AU26" s="127">
        <f>Mei!ET27</f>
        <v>18299.999999999272</v>
      </c>
      <c r="AV26" s="127">
        <f>Mei!EW27</f>
        <v>8960.01</v>
      </c>
      <c r="AW26" s="127">
        <f>Mei!FL64</f>
        <v>15697.980244213684</v>
      </c>
      <c r="AX26" s="127">
        <f>Mei!GJ27</f>
        <v>1799.9999999999545</v>
      </c>
      <c r="AY26" s="127">
        <f t="shared" si="7"/>
        <v>53268.000244212926</v>
      </c>
      <c r="AZ26" s="127">
        <f>Mei!FG27</f>
        <v>11593.339999999989</v>
      </c>
      <c r="BA26" s="127">
        <f>Mei!FJ27</f>
        <v>15143.34</v>
      </c>
      <c r="BB26" s="127">
        <f>Mei!FM64</f>
        <v>16405.369755786316</v>
      </c>
      <c r="BC26" s="127">
        <f>Mei!GM27</f>
        <v>1850.0000000000227</v>
      </c>
      <c r="BD26" s="127">
        <f t="shared" si="8"/>
        <v>44992.049755786327</v>
      </c>
      <c r="BE26" s="127">
        <f>Mei!GP27</f>
        <v>10</v>
      </c>
      <c r="BF26" s="127">
        <f>Mei!GS27</f>
        <v>150</v>
      </c>
      <c r="BG26" s="127">
        <f t="shared" si="9"/>
        <v>160</v>
      </c>
      <c r="BH26" s="127">
        <f t="shared" si="10"/>
        <v>1245</v>
      </c>
      <c r="BI26" s="127"/>
      <c r="BJ26" s="127"/>
      <c r="BK26" s="127"/>
      <c r="BL26" s="128">
        <f>((AS26)+BG26)*49%</f>
        <v>21883.400000000009</v>
      </c>
      <c r="BM26" s="128">
        <f>((AS26)+BG26)*51%</f>
        <v>22776.600000000013</v>
      </c>
      <c r="BN26" s="128"/>
      <c r="BO26" s="128"/>
      <c r="BP26" s="128"/>
      <c r="BQ26" s="128"/>
      <c r="BR26" s="128"/>
      <c r="BS26" s="128"/>
      <c r="BT26" s="42">
        <f>Mei!D65</f>
        <v>0</v>
      </c>
      <c r="BU26" s="42">
        <f>Mei!G65</f>
        <v>88000</v>
      </c>
      <c r="BV26" t="s">
        <v>356</v>
      </c>
      <c r="BX26" s="42">
        <f>Mei!HJ27</f>
        <v>125099.99999999854</v>
      </c>
      <c r="BY26" s="42">
        <f>Mei!HM27</f>
        <v>0</v>
      </c>
      <c r="BZ26" s="42">
        <f>Mei!HP27</f>
        <v>30079.999999999909</v>
      </c>
      <c r="CA26" s="42">
        <f>Mei!HS27</f>
        <v>25679.999999999818</v>
      </c>
      <c r="CB26" s="42">
        <f>Mei!HV27</f>
        <v>20180.000000000044</v>
      </c>
      <c r="CC26" s="42">
        <f>Mei!HY27</f>
        <v>27420.000000000055</v>
      </c>
      <c r="CD26" s="42">
        <f>Mei!IB27</f>
        <v>1940</v>
      </c>
      <c r="CE26" s="42">
        <f>Mei!IE27</f>
        <v>0</v>
      </c>
      <c r="CF26" s="42">
        <f>Mei!IH27</f>
        <v>19800</v>
      </c>
    </row>
    <row r="27" spans="1:84" x14ac:dyDescent="0.25">
      <c r="A27" s="26">
        <f t="shared" si="14"/>
        <v>21</v>
      </c>
      <c r="B27" s="42">
        <f>Mei!G28</f>
        <v>390080.00000001269</v>
      </c>
      <c r="C27" s="42">
        <f>Mei!N28</f>
        <v>388000</v>
      </c>
      <c r="D27" s="42">
        <f>Mei!T28</f>
        <v>395.00999999977648</v>
      </c>
      <c r="E27" s="42">
        <f>Mei!V28</f>
        <v>0</v>
      </c>
      <c r="F27" s="42">
        <f>Mei!AB28</f>
        <v>0</v>
      </c>
      <c r="G27" s="42">
        <f>Mei!X28</f>
        <v>18004.990000001679</v>
      </c>
      <c r="H27" s="42">
        <f>Mei!AE28</f>
        <v>6300.0000000001819</v>
      </c>
      <c r="I27" s="42">
        <f>Mei!AI28</f>
        <v>14340.65</v>
      </c>
      <c r="J27" s="42">
        <f>Mei!AN28</f>
        <v>7380.649999999222</v>
      </c>
      <c r="K27" s="42">
        <f>Mei!AR28</f>
        <v>14300.000000001091</v>
      </c>
      <c r="L27" s="42">
        <f>Mei!AZ28</f>
        <v>490</v>
      </c>
      <c r="M27" s="42">
        <f>Mei!BC28</f>
        <v>750</v>
      </c>
      <c r="N27" s="125">
        <f t="shared" si="17"/>
        <v>61961.300000001953</v>
      </c>
      <c r="O27" s="125">
        <f>Mei!CA28</f>
        <v>830.30000000002246</v>
      </c>
      <c r="P27" s="125">
        <f>Mei!CD28</f>
        <v>0</v>
      </c>
      <c r="Q27" s="125">
        <f>Mei!CF28</f>
        <v>5316</v>
      </c>
      <c r="R27" s="125">
        <f>Mei!CH28</f>
        <v>0</v>
      </c>
      <c r="S27" s="125">
        <f>Mei!CK28</f>
        <v>16410.350000001436</v>
      </c>
      <c r="T27" s="125">
        <f>Mei!CO28</f>
        <v>7314.649999999705</v>
      </c>
      <c r="U27" s="125">
        <f>Mei!CS28</f>
        <v>8246.9500000000025</v>
      </c>
      <c r="V27" s="126">
        <f t="shared" si="3"/>
        <v>38118.250000001164</v>
      </c>
      <c r="W27" s="126">
        <f>Mei!CW28</f>
        <v>670</v>
      </c>
      <c r="X27" s="126">
        <f>Mei!DA28</f>
        <v>579</v>
      </c>
      <c r="Y27" s="126">
        <f t="shared" si="1"/>
        <v>1249</v>
      </c>
      <c r="Z27" s="42">
        <f>Mei!BR28</f>
        <v>700.00000000004547</v>
      </c>
      <c r="AA27" s="126">
        <f>Mei!BG28</f>
        <v>1799.9999999999545</v>
      </c>
      <c r="AB27" s="126">
        <f>Mei!BJ28</f>
        <v>9199.9999999989086</v>
      </c>
      <c r="AC27" s="126">
        <f>Mei!BL28+Mei!BN28+Mei!BP28</f>
        <v>5060.0000000000045</v>
      </c>
      <c r="AD27" s="126">
        <f>Mei!DR28</f>
        <v>10800</v>
      </c>
      <c r="AE27" s="127">
        <f>Mei!DT28-Mei!DR68-Mei!DT68</f>
        <v>19500</v>
      </c>
      <c r="AF27" s="127">
        <f>Mei!DR68+Mei!DT68</f>
        <v>0</v>
      </c>
      <c r="AG27" s="127">
        <f>Mei!HJ28-AE27</f>
        <v>104600.00000000036</v>
      </c>
      <c r="AH27" s="127">
        <f>Mei!DW28</f>
        <v>4700.0000000007276</v>
      </c>
      <c r="AI27" s="127">
        <f>Mei!DZ28</f>
        <v>7340.65</v>
      </c>
      <c r="AJ27" s="127">
        <f>Mei!EC28</f>
        <v>25500.65</v>
      </c>
      <c r="AK27" s="127">
        <f t="shared" si="4"/>
        <v>37541.300000000731</v>
      </c>
      <c r="AL27" s="127">
        <f>Mei!EG28</f>
        <v>30500.65</v>
      </c>
      <c r="AM27" s="127">
        <f>Mei!EJ28</f>
        <v>11340.65</v>
      </c>
      <c r="AN27" s="127">
        <f>Mei!EM28</f>
        <v>779.99999999997272</v>
      </c>
      <c r="AO27" s="127">
        <f t="shared" si="5"/>
        <v>42621.299999999974</v>
      </c>
      <c r="AP27" s="127">
        <f>Mei!FX28</f>
        <v>32500</v>
      </c>
      <c r="AQ27" s="127">
        <f>Mei!GA28</f>
        <v>10259.999999999636</v>
      </c>
      <c r="AR27" s="127">
        <f>Mei!GG28</f>
        <v>8800.0000000001819</v>
      </c>
      <c r="AS27" s="127">
        <f t="shared" si="6"/>
        <v>51559.999999999818</v>
      </c>
      <c r="AT27" s="127">
        <f>Mei!EQ28</f>
        <v>6525.6500000000015</v>
      </c>
      <c r="AU27" s="127">
        <f>Mei!ET28</f>
        <v>17799.999999999272</v>
      </c>
      <c r="AV27" s="127">
        <f>Mei!EW28</f>
        <v>8340.65</v>
      </c>
      <c r="AW27" s="127">
        <f>Mei!FL65</f>
        <v>14369.725724618382</v>
      </c>
      <c r="AX27" s="127">
        <f>Mei!GJ28</f>
        <v>1599.9999999999091</v>
      </c>
      <c r="AY27" s="127">
        <f t="shared" si="7"/>
        <v>48636.025724617561</v>
      </c>
      <c r="AZ27" s="127">
        <f>Mei!FG28</f>
        <v>11783.979999999998</v>
      </c>
      <c r="BA27" s="127">
        <f>Mei!FJ28</f>
        <v>16268.979999999272</v>
      </c>
      <c r="BB27" s="127">
        <f>Mei!FM65</f>
        <v>13939.904275381625</v>
      </c>
      <c r="BC27" s="127">
        <f>Mei!GM28</f>
        <v>1599.9999999999091</v>
      </c>
      <c r="BD27" s="127">
        <f t="shared" si="8"/>
        <v>43592.864275380809</v>
      </c>
      <c r="BE27" s="127">
        <f>Mei!GP28</f>
        <v>0</v>
      </c>
      <c r="BF27" s="127">
        <f>Mei!GS28</f>
        <v>140</v>
      </c>
      <c r="BG27" s="127">
        <f t="shared" si="9"/>
        <v>140</v>
      </c>
      <c r="BH27" s="127">
        <f t="shared" si="10"/>
        <v>1249</v>
      </c>
      <c r="BI27" s="127"/>
      <c r="BJ27" s="127"/>
      <c r="BK27" s="127"/>
      <c r="BL27" s="128">
        <f>((AS27)+BG27)*53%</f>
        <v>27400.999999999905</v>
      </c>
      <c r="BM27" s="128">
        <f>((AS27)+BG27)*47%</f>
        <v>24298.999999999913</v>
      </c>
      <c r="BN27" s="128"/>
      <c r="BO27" s="128"/>
      <c r="BP27" s="128"/>
      <c r="BQ27" s="128"/>
      <c r="BR27" s="128"/>
      <c r="BS27" s="128"/>
      <c r="BT27" s="42">
        <f>Mei!D66</f>
        <v>0</v>
      </c>
      <c r="BU27" s="42">
        <f>Mei!G66</f>
        <v>87000</v>
      </c>
      <c r="BV27" t="s">
        <v>359</v>
      </c>
      <c r="BX27" s="42">
        <f>Mei!HJ28</f>
        <v>124100.00000000036</v>
      </c>
      <c r="BY27" s="42">
        <f>Mei!HM28</f>
        <v>0</v>
      </c>
      <c r="BZ27" s="42">
        <f>Mei!HP28</f>
        <v>30709.249999999818</v>
      </c>
      <c r="CA27" s="42">
        <f>Mei!HS28</f>
        <v>24609.249999999909</v>
      </c>
      <c r="CB27" s="42">
        <f>Mei!HV28</f>
        <v>20409.249999999862</v>
      </c>
      <c r="CC27" s="42">
        <f>Mei!HY28</f>
        <v>26979.250000000029</v>
      </c>
      <c r="CD27" s="42">
        <f>Mei!IB28</f>
        <v>1893</v>
      </c>
      <c r="CE27" s="42">
        <f>Mei!IE28</f>
        <v>0</v>
      </c>
      <c r="CF27" s="42">
        <f>Mei!IH28</f>
        <v>19500</v>
      </c>
    </row>
    <row r="28" spans="1:84" x14ac:dyDescent="0.25">
      <c r="A28" s="26">
        <f t="shared" si="14"/>
        <v>22</v>
      </c>
      <c r="B28" s="42">
        <f>Mei!G29</f>
        <v>389439.9999999805</v>
      </c>
      <c r="C28" s="42">
        <f>Mei!N29</f>
        <v>387000</v>
      </c>
      <c r="D28" s="42">
        <f>Mei!T29</f>
        <v>417.37999999895692</v>
      </c>
      <c r="E28" s="42">
        <f>Mei!V29</f>
        <v>0</v>
      </c>
      <c r="F28" s="42">
        <f>Mei!AB29</f>
        <v>100</v>
      </c>
      <c r="G28" s="42">
        <f>Mei!X29</f>
        <v>17682.619999999952</v>
      </c>
      <c r="H28" s="42">
        <f>Mei!AE29</f>
        <v>5699.9999999998181</v>
      </c>
      <c r="I28" s="42">
        <f>Mei!AI29</f>
        <v>13316.120000000365</v>
      </c>
      <c r="J28" s="42">
        <f>Mei!AN29</f>
        <v>6516.1200000004146</v>
      </c>
      <c r="K28" s="42">
        <f>Mei!AR29</f>
        <v>13299.999999999272</v>
      </c>
      <c r="L28" s="42">
        <f>Mei!AZ29</f>
        <v>460</v>
      </c>
      <c r="M28" s="42">
        <f>Mei!BC29</f>
        <v>710</v>
      </c>
      <c r="N28" s="125">
        <f t="shared" si="17"/>
        <v>58202.239999998783</v>
      </c>
      <c r="O28" s="125">
        <f>Mei!CA29</f>
        <v>853.70000000000346</v>
      </c>
      <c r="P28" s="125">
        <f>Mei!CD29</f>
        <v>15.400000000023283</v>
      </c>
      <c r="Q28" s="125">
        <f>Mei!CF29</f>
        <v>5451</v>
      </c>
      <c r="R28" s="125">
        <f>Mei!CH29</f>
        <v>0</v>
      </c>
      <c r="S28" s="125">
        <f>Mei!CK29</f>
        <v>16002.419999999413</v>
      </c>
      <c r="T28" s="125">
        <f>Mei!CO29</f>
        <v>7269.1200000003382</v>
      </c>
      <c r="U28" s="125">
        <f>Mei!CS29</f>
        <v>7945.9199999999882</v>
      </c>
      <c r="V28" s="126">
        <f t="shared" si="3"/>
        <v>37537.559999999765</v>
      </c>
      <c r="W28" s="126">
        <f>Mei!CW29</f>
        <v>4104</v>
      </c>
      <c r="X28" s="126">
        <f>Mei!DA29</f>
        <v>3115</v>
      </c>
      <c r="Y28" s="126">
        <f t="shared" si="1"/>
        <v>7219</v>
      </c>
      <c r="Z28" s="42">
        <f>Mei!BR29</f>
        <v>799.99999999995453</v>
      </c>
      <c r="AA28" s="126">
        <f>Mei!BG29</f>
        <v>1700.0000000000455</v>
      </c>
      <c r="AB28" s="126">
        <f>Mei!BJ29</f>
        <v>9300.0000000010914</v>
      </c>
      <c r="AC28" s="126">
        <f>Mei!BL29+Mei!BN29+Mei!BP29</f>
        <v>4999.9999999999955</v>
      </c>
      <c r="AD28" s="126">
        <f>Mei!DR29</f>
        <v>10800</v>
      </c>
      <c r="AE28" s="127">
        <f>Mei!DT29-Mei!DR69-Mei!DT69</f>
        <v>17800</v>
      </c>
      <c r="AF28" s="127">
        <f>Mei!DR69+Mei!DT69</f>
        <v>0</v>
      </c>
      <c r="AG28" s="127">
        <f>Mei!HJ29-AE28</f>
        <v>109800.00000000036</v>
      </c>
      <c r="AH28" s="127">
        <f>Mei!DW29</f>
        <v>4699.9999999998181</v>
      </c>
      <c r="AI28" s="127">
        <f>Mei!DZ29</f>
        <v>7216.12</v>
      </c>
      <c r="AJ28" s="127">
        <f>Mei!EC29</f>
        <v>24376.12</v>
      </c>
      <c r="AK28" s="127">
        <f t="shared" si="4"/>
        <v>36292.239999999816</v>
      </c>
      <c r="AL28" s="127">
        <f>Mei!EG29</f>
        <v>31376.12</v>
      </c>
      <c r="AM28" s="127">
        <f>Mei!EJ29</f>
        <v>12216.12</v>
      </c>
      <c r="AN28" s="127">
        <f>Mei!EM29</f>
        <v>759.99999999999091</v>
      </c>
      <c r="AO28" s="127">
        <f t="shared" si="5"/>
        <v>44352.239999999991</v>
      </c>
      <c r="AP28" s="127">
        <f>Mei!FX29</f>
        <v>31100</v>
      </c>
      <c r="AQ28" s="127">
        <f>Mei!GA29</f>
        <v>10550.000000000273</v>
      </c>
      <c r="AR28" s="127">
        <f>Mei!GG29</f>
        <v>7700.0000000000455</v>
      </c>
      <c r="AS28" s="127">
        <f t="shared" si="6"/>
        <v>49350.00000000032</v>
      </c>
      <c r="AT28" s="127">
        <f>Mei!EQ29</f>
        <v>7356.1199999999872</v>
      </c>
      <c r="AU28" s="127">
        <f>Mei!ET29</f>
        <v>18300.000000001091</v>
      </c>
      <c r="AV28" s="127">
        <f>Mei!EW29</f>
        <v>8316.1199999999099</v>
      </c>
      <c r="AW28" s="127">
        <f>Mei!FL66</f>
        <v>12225.541463151552</v>
      </c>
      <c r="AX28" s="127">
        <f>Mei!GJ29</f>
        <v>1799.9999999999545</v>
      </c>
      <c r="AY28" s="127">
        <f t="shared" si="7"/>
        <v>47997.781463152496</v>
      </c>
      <c r="AZ28" s="127">
        <f>Mei!FG29</f>
        <v>10989.450000000015</v>
      </c>
      <c r="BA28" s="127">
        <f>Mei!FJ29</f>
        <v>17529.449999999637</v>
      </c>
      <c r="BB28" s="127">
        <f>Mei!FM66</f>
        <v>12120.028536848449</v>
      </c>
      <c r="BC28" s="127">
        <f>Mei!GM29</f>
        <v>1500</v>
      </c>
      <c r="BD28" s="127">
        <f t="shared" si="8"/>
        <v>42138.9285368481</v>
      </c>
      <c r="BE28" s="127">
        <f>Mei!GP29</f>
        <v>0</v>
      </c>
      <c r="BF28" s="127">
        <f>Mei!GS29</f>
        <v>150</v>
      </c>
      <c r="BG28" s="127">
        <f t="shared" si="9"/>
        <v>150</v>
      </c>
      <c r="BH28" s="127">
        <f t="shared" si="10"/>
        <v>7219</v>
      </c>
      <c r="BI28" s="127"/>
      <c r="BJ28" s="127"/>
      <c r="BK28" s="127"/>
      <c r="BL28" s="128">
        <f>((AS28)+BG28)*53%</f>
        <v>26235.000000000171</v>
      </c>
      <c r="BM28" s="128">
        <f>((AS28)+BG28)*47%</f>
        <v>23265.000000000149</v>
      </c>
      <c r="BN28" s="128"/>
      <c r="BO28" s="128"/>
      <c r="BP28" s="128"/>
      <c r="BQ28" s="128"/>
      <c r="BR28" s="128"/>
      <c r="BS28" s="128"/>
      <c r="BT28" s="42">
        <f>Mei!D67</f>
        <v>0</v>
      </c>
      <c r="BU28" s="42">
        <f>Mei!G67</f>
        <v>89000</v>
      </c>
      <c r="BV28" t="s">
        <v>359</v>
      </c>
      <c r="BX28" s="42">
        <f>Mei!HJ29</f>
        <v>127600.00000000036</v>
      </c>
      <c r="BY28" s="42">
        <f>Mei!HM29</f>
        <v>0</v>
      </c>
      <c r="BZ28" s="42">
        <f>Mei!HP29</f>
        <v>32484.55</v>
      </c>
      <c r="CA28" s="42">
        <f>Mei!HS29</f>
        <v>25384.55000000009</v>
      </c>
      <c r="CB28" s="42">
        <f>Mei!HV29</f>
        <v>20984.55</v>
      </c>
      <c r="CC28" s="42">
        <f>Mei!HY29</f>
        <v>27494.549999999992</v>
      </c>
      <c r="CD28" s="42">
        <f>Mei!IB29</f>
        <v>2732</v>
      </c>
      <c r="CE28" s="42">
        <f>Mei!IE29</f>
        <v>719.8</v>
      </c>
      <c r="CF28" s="42">
        <f>Mei!IH29</f>
        <v>17800</v>
      </c>
    </row>
    <row r="29" spans="1:84" x14ac:dyDescent="0.25">
      <c r="A29" s="26">
        <f t="shared" si="14"/>
        <v>23</v>
      </c>
      <c r="B29" s="42">
        <f>Mei!G30</f>
        <v>414720.00000002299</v>
      </c>
      <c r="C29" s="42">
        <f>Mei!N30</f>
        <v>396000</v>
      </c>
      <c r="D29" s="42">
        <f>Mei!T30</f>
        <v>315.82000000029802</v>
      </c>
      <c r="E29" s="42">
        <f>Mei!V30</f>
        <v>0</v>
      </c>
      <c r="F29" s="42">
        <f>Mei!AB30</f>
        <v>100</v>
      </c>
      <c r="G29" s="42">
        <f>Mei!X30</f>
        <v>17184.180000000066</v>
      </c>
      <c r="H29" s="42">
        <f>Mei!AE30</f>
        <v>4800.0000000001819</v>
      </c>
      <c r="I29" s="42">
        <f>Mei!AI30</f>
        <v>12881.170000000364</v>
      </c>
      <c r="J29" s="42">
        <f>Mei!AN30</f>
        <v>7291.1700000003457</v>
      </c>
      <c r="K29" s="42">
        <f>Mei!AR30</f>
        <v>12300.000000001091</v>
      </c>
      <c r="L29" s="42">
        <f>Mei!AZ30</f>
        <v>450</v>
      </c>
      <c r="M29" s="42">
        <f>Mei!BC30</f>
        <v>700</v>
      </c>
      <c r="N29" s="125">
        <f t="shared" si="17"/>
        <v>56022.340000002347</v>
      </c>
      <c r="O29" s="125">
        <f>Mei!CA30</f>
        <v>822.69999999999754</v>
      </c>
      <c r="P29" s="125">
        <f>Mei!CD30</f>
        <v>2158.5999999999767</v>
      </c>
      <c r="Q29" s="125">
        <f>Mei!CF30</f>
        <v>5424</v>
      </c>
      <c r="R29" s="125">
        <f>Mei!CH30</f>
        <v>0</v>
      </c>
      <c r="S29" s="125">
        <f>Mei!CK30</f>
        <v>16928.469999999346</v>
      </c>
      <c r="T29" s="125">
        <f>Mei!CO30</f>
        <v>8002.1700000000037</v>
      </c>
      <c r="U29" s="125">
        <f>Mei!CS30</f>
        <v>7934.0699999999943</v>
      </c>
      <c r="V29" s="126">
        <f t="shared" si="3"/>
        <v>41270.009999999318</v>
      </c>
      <c r="W29" s="126">
        <f>Mei!CW30</f>
        <v>14786</v>
      </c>
      <c r="X29" s="126">
        <f>Mei!DA30</f>
        <v>7950</v>
      </c>
      <c r="Y29" s="126">
        <f t="shared" si="1"/>
        <v>22736</v>
      </c>
      <c r="Z29" s="42">
        <f>Mei!BR30</f>
        <v>600.00000000002274</v>
      </c>
      <c r="AA29" s="126">
        <f>Mei!BG30</f>
        <v>1799.9999999999545</v>
      </c>
      <c r="AB29" s="126">
        <f>Mei!BJ30</f>
        <v>9500</v>
      </c>
      <c r="AC29" s="126">
        <f>Mei!BL30+Mei!BN30+Mei!BP30</f>
        <v>4989.9999999999955</v>
      </c>
      <c r="AD29" s="126">
        <f>Mei!DR30</f>
        <v>10300</v>
      </c>
      <c r="AE29" s="127">
        <f>Mei!DT30-Mei!DR70-Mei!DT70</f>
        <v>16800</v>
      </c>
      <c r="AF29" s="127">
        <f>Mei!DR70+Mei!DT70</f>
        <v>0</v>
      </c>
      <c r="AG29" s="127">
        <f>Mei!HJ30-AE29</f>
        <v>114200</v>
      </c>
      <c r="AH29" s="127">
        <f>Mei!DW30</f>
        <v>2899.9999999996362</v>
      </c>
      <c r="AI29" s="127">
        <f>Mei!DZ30</f>
        <v>4781.17</v>
      </c>
      <c r="AJ29" s="127">
        <f>Mei!EC30</f>
        <v>16941.169999999998</v>
      </c>
      <c r="AK29" s="127">
        <f t="shared" si="4"/>
        <v>24622.339999999633</v>
      </c>
      <c r="AL29" s="127">
        <f>Mei!EG30</f>
        <v>30941.17</v>
      </c>
      <c r="AM29" s="127">
        <f>Mei!EJ30</f>
        <v>11781.17</v>
      </c>
      <c r="AN29" s="127">
        <f>Mei!EM30</f>
        <v>830.00000000004093</v>
      </c>
      <c r="AO29" s="127">
        <f t="shared" ref="AO29:AO34" si="18">SUM(AL29:AN29)</f>
        <v>43552.34000000004</v>
      </c>
      <c r="AP29" s="127">
        <f>Mei!FX30</f>
        <v>31200</v>
      </c>
      <c r="AQ29" s="127">
        <f>Mei!GA30</f>
        <v>11359.999999999818</v>
      </c>
      <c r="AR29" s="127">
        <f>Mei!GG30</f>
        <v>8299.9999999999545</v>
      </c>
      <c r="AS29" s="127">
        <f t="shared" si="6"/>
        <v>50859.999999999774</v>
      </c>
      <c r="AT29" s="127">
        <f>Mei!EQ30</f>
        <v>7921.1699999999864</v>
      </c>
      <c r="AU29" s="127">
        <f>Mei!ET30</f>
        <v>18000</v>
      </c>
      <c r="AV29" s="127">
        <f>Mei!EW30</f>
        <v>9381.1700000003639</v>
      </c>
      <c r="AW29" s="127">
        <f>Mei!FL67</f>
        <v>12275.930669705685</v>
      </c>
      <c r="AX29" s="127">
        <f>Mei!GJ30</f>
        <v>1600.0000000001364</v>
      </c>
      <c r="AY29" s="127">
        <f t="shared" si="7"/>
        <v>49178.270669706173</v>
      </c>
      <c r="AZ29" s="127">
        <f>Mei!FG30</f>
        <v>10754.500000000015</v>
      </c>
      <c r="BA29" s="127">
        <f>Mei!FJ30</f>
        <v>18694.500000001091</v>
      </c>
      <c r="BB29" s="127">
        <f>Mei!FM67</f>
        <v>12399.739330294315</v>
      </c>
      <c r="BC29" s="127">
        <f>Mei!GM30</f>
        <v>99.999999999909051</v>
      </c>
      <c r="BD29" s="127">
        <f t="shared" si="8"/>
        <v>41948.739330295328</v>
      </c>
      <c r="BE29" s="127">
        <f>Mei!GP30</f>
        <v>0</v>
      </c>
      <c r="BF29" s="127">
        <f>Mei!GS30</f>
        <v>340</v>
      </c>
      <c r="BG29" s="127">
        <f t="shared" si="9"/>
        <v>340</v>
      </c>
      <c r="BH29" s="127">
        <f t="shared" si="10"/>
        <v>22736</v>
      </c>
      <c r="BI29" s="127"/>
      <c r="BJ29" s="127"/>
      <c r="BK29" s="127"/>
      <c r="BL29" s="128"/>
      <c r="BM29" s="128">
        <f>((AS29)+BG29)*50%</f>
        <v>25599.999999999887</v>
      </c>
      <c r="BN29" s="128"/>
      <c r="BO29" s="128">
        <f>((AS29)+BG29)*50%</f>
        <v>25599.999999999887</v>
      </c>
      <c r="BP29" s="128"/>
      <c r="BQ29" s="128"/>
      <c r="BR29" s="128"/>
      <c r="BS29" s="128"/>
      <c r="BT29" s="42">
        <f>Mei!D68</f>
        <v>0</v>
      </c>
      <c r="BU29" s="42">
        <f>Mei!G68</f>
        <v>74000</v>
      </c>
      <c r="BV29" t="s">
        <v>360</v>
      </c>
      <c r="BX29" s="42">
        <f>Mei!HJ30</f>
        <v>131000</v>
      </c>
      <c r="BY29" s="42">
        <f>Mei!HM30</f>
        <v>0</v>
      </c>
      <c r="BZ29" s="42">
        <f>Mei!HP30</f>
        <v>30527.75</v>
      </c>
      <c r="CA29" s="42">
        <f>Mei!HS30</f>
        <v>26027.75</v>
      </c>
      <c r="CB29" s="42">
        <f>Mei!HV30</f>
        <v>26727.750000000044</v>
      </c>
      <c r="CC29" s="42">
        <f>Mei!HY30</f>
        <v>27657.749999999996</v>
      </c>
      <c r="CD29" s="42">
        <f>Mei!IB30</f>
        <v>3259</v>
      </c>
      <c r="CE29" s="42">
        <f>Mei!IE30</f>
        <v>0</v>
      </c>
      <c r="CF29" s="42">
        <f>Mei!IH30</f>
        <v>16800</v>
      </c>
    </row>
    <row r="30" spans="1:84" x14ac:dyDescent="0.25">
      <c r="A30" s="26">
        <f t="shared" si="14"/>
        <v>24</v>
      </c>
      <c r="B30" s="42">
        <f>Mei!G31</f>
        <v>423359.99999998242</v>
      </c>
      <c r="C30" s="42">
        <f>Mei!N31</f>
        <v>429000</v>
      </c>
      <c r="D30" s="42">
        <f>Mei!T31</f>
        <v>388.58000000007451</v>
      </c>
      <c r="E30" s="42">
        <f>Mei!V31</f>
        <v>0</v>
      </c>
      <c r="F30" s="42">
        <f>Mei!AB31</f>
        <v>100</v>
      </c>
      <c r="G30" s="42">
        <f>Mei!X31</f>
        <v>18411.419999999562</v>
      </c>
      <c r="H30" s="42">
        <f>Mei!AE31</f>
        <v>5599.9999999994543</v>
      </c>
      <c r="I30" s="42">
        <f>Mei!AI31</f>
        <v>13775.049999998908</v>
      </c>
      <c r="J30" s="42">
        <f>Mei!AN31</f>
        <v>7025.0499999989397</v>
      </c>
      <c r="K30" s="42">
        <f>Mei!AR31</f>
        <v>13299.999999999272</v>
      </c>
      <c r="L30" s="42">
        <f>Mei!AZ31</f>
        <v>470</v>
      </c>
      <c r="M30" s="42">
        <f>Mei!BC31</f>
        <v>740</v>
      </c>
      <c r="N30" s="125">
        <f t="shared" si="17"/>
        <v>59810.099999996208</v>
      </c>
      <c r="O30" s="125">
        <f>Mei!CA31</f>
        <v>921.69999999998709</v>
      </c>
      <c r="P30" s="125">
        <f>Mei!CD31</f>
        <v>2112.7000000000698</v>
      </c>
      <c r="Q30" s="125">
        <f>Mei!CF31</f>
        <v>5708</v>
      </c>
      <c r="R30" s="125">
        <f>Mei!CH31</f>
        <v>0</v>
      </c>
      <c r="S30" s="125">
        <f>Mei!CK31</f>
        <v>17433.350000000668</v>
      </c>
      <c r="T30" s="125">
        <f>Mei!CO31</f>
        <v>8497.0500000000247</v>
      </c>
      <c r="U30" s="125">
        <f>Mei!CS31</f>
        <v>7586.55</v>
      </c>
      <c r="V30" s="126">
        <f t="shared" si="3"/>
        <v>42259.350000000748</v>
      </c>
      <c r="W30" s="126">
        <f>Mei!CW31</f>
        <v>14753</v>
      </c>
      <c r="X30" s="126">
        <f>Mei!DA31</f>
        <v>8497</v>
      </c>
      <c r="Y30" s="126">
        <f t="shared" si="1"/>
        <v>23250</v>
      </c>
      <c r="Z30" s="42">
        <f>Mei!BR31</f>
        <v>500</v>
      </c>
      <c r="AA30" s="126">
        <f>Mei!BG31</f>
        <v>1700.0000000000455</v>
      </c>
      <c r="AB30" s="126">
        <f>Mei!BJ31</f>
        <v>9399.9999999996362</v>
      </c>
      <c r="AC30" s="126">
        <f>Mei!BL31+Mei!BN31+Mei!BP31</f>
        <v>5249.9999999999682</v>
      </c>
      <c r="AD30" s="126">
        <f>Mei!DR31</f>
        <v>8900</v>
      </c>
      <c r="AE30" s="127">
        <f>Mei!DT31-Mei!DR71-Mei!DT71</f>
        <v>19400</v>
      </c>
      <c r="AF30" s="127">
        <f>Mei!DR71+Mei!DT71</f>
        <v>0</v>
      </c>
      <c r="AG30" s="127">
        <f>Mei!HJ31-AE30</f>
        <v>131600</v>
      </c>
      <c r="AH30" s="127">
        <f>Mei!DW31</f>
        <v>800.0000000001819</v>
      </c>
      <c r="AI30" s="127">
        <f>Mei!DZ31</f>
        <v>1075.05</v>
      </c>
      <c r="AJ30" s="127">
        <f>Mei!EC31</f>
        <v>5235.05</v>
      </c>
      <c r="AK30" s="127">
        <f t="shared" si="4"/>
        <v>7110.1000000001823</v>
      </c>
      <c r="AL30" s="127">
        <f>Mei!EG31</f>
        <v>31235.05</v>
      </c>
      <c r="AM30" s="127">
        <f>Mei!EJ31</f>
        <v>12075.05</v>
      </c>
      <c r="AN30" s="127">
        <f>Mei!EM31</f>
        <v>699.99999999993179</v>
      </c>
      <c r="AO30" s="127">
        <f t="shared" si="18"/>
        <v>44010.099999999933</v>
      </c>
      <c r="AP30" s="127">
        <f>Mei!FX31</f>
        <v>28500</v>
      </c>
      <c r="AQ30" s="127">
        <f>Mei!GA31</f>
        <v>9680</v>
      </c>
      <c r="AR30" s="127">
        <f>Mei!GG31</f>
        <v>8299.9999999999545</v>
      </c>
      <c r="AS30" s="127">
        <f t="shared" si="6"/>
        <v>46479.999999999956</v>
      </c>
      <c r="AT30" s="127">
        <f>Mei!EQ31</f>
        <v>7285.0500000000366</v>
      </c>
      <c r="AU30" s="127">
        <f>Mei!ET31</f>
        <v>16699.999999998909</v>
      </c>
      <c r="AV30" s="127">
        <f>Mei!EW31</f>
        <v>8375.0499999997264</v>
      </c>
      <c r="AW30" s="127">
        <f>Mei!FL68</f>
        <v>11325.217924165072</v>
      </c>
      <c r="AX30" s="127">
        <f>Mei!GJ31</f>
        <v>1700.0000000000455</v>
      </c>
      <c r="AY30" s="127">
        <f t="shared" si="7"/>
        <v>45385.317924163784</v>
      </c>
      <c r="AZ30" s="127">
        <f>Mei!FG31</f>
        <v>9568.3799999999628</v>
      </c>
      <c r="BA30" s="127">
        <f>Mei!FJ31</f>
        <v>15878.380000000363</v>
      </c>
      <c r="BB30" s="127">
        <f>Mei!FM68</f>
        <v>9528.2120758349301</v>
      </c>
      <c r="BC30" s="127">
        <f>Mei!GM31</f>
        <v>0</v>
      </c>
      <c r="BD30" s="127">
        <f t="shared" si="8"/>
        <v>34974.972075835256</v>
      </c>
      <c r="BE30" s="127">
        <f>Mei!GP31</f>
        <v>10</v>
      </c>
      <c r="BF30" s="127">
        <f>Mei!GS31</f>
        <v>320</v>
      </c>
      <c r="BG30" s="127">
        <f t="shared" si="9"/>
        <v>330</v>
      </c>
      <c r="BH30" s="127">
        <f t="shared" si="10"/>
        <v>23250</v>
      </c>
      <c r="BI30" s="127"/>
      <c r="BJ30" s="127"/>
      <c r="BK30" s="127"/>
      <c r="BL30" s="128"/>
      <c r="BM30" s="128">
        <f>((AS30)+BG30)*55%</f>
        <v>25745.499999999978</v>
      </c>
      <c r="BN30" s="128"/>
      <c r="BO30" s="128">
        <f>((AS30)+BG30)*45%</f>
        <v>21064.499999999982</v>
      </c>
      <c r="BP30" s="128"/>
      <c r="BQ30" s="128"/>
      <c r="BR30" s="128"/>
      <c r="BS30" s="128"/>
      <c r="BT30" s="42">
        <f>Mei!D69</f>
        <v>0</v>
      </c>
      <c r="BU30" s="42">
        <f>Mei!G69</f>
        <v>57000</v>
      </c>
      <c r="BV30" t="s">
        <v>361</v>
      </c>
      <c r="BX30" s="42">
        <f>Mei!HJ31</f>
        <v>151000</v>
      </c>
      <c r="BY30" s="42">
        <f>Mei!HM31</f>
        <v>0</v>
      </c>
      <c r="BZ30" s="42">
        <f>Mei!HP31</f>
        <v>35832.75</v>
      </c>
      <c r="CA30" s="42">
        <f>Mei!HS31</f>
        <v>25732.750000000091</v>
      </c>
      <c r="CB30" s="42">
        <f>Mei!HV31</f>
        <v>26732.750000000091</v>
      </c>
      <c r="CC30" s="42">
        <f>Mei!HY31</f>
        <v>27332.749999999887</v>
      </c>
      <c r="CD30" s="42">
        <f>Mei!IB31</f>
        <v>15969</v>
      </c>
      <c r="CE30" s="42">
        <f>Mei!IE31</f>
        <v>0</v>
      </c>
      <c r="CF30" s="42">
        <f>Mei!IH31</f>
        <v>19400</v>
      </c>
    </row>
    <row r="31" spans="1:84" x14ac:dyDescent="0.25">
      <c r="A31" s="26">
        <f t="shared" si="14"/>
        <v>25</v>
      </c>
      <c r="B31" s="42">
        <f>Mei!G32</f>
        <v>428800.00000001019</v>
      </c>
      <c r="C31" s="42">
        <f>Mei!N32</f>
        <v>434000</v>
      </c>
      <c r="D31" s="42">
        <f>Mei!T32</f>
        <v>343.10999999940395</v>
      </c>
      <c r="E31" s="42">
        <f>Mei!V32</f>
        <v>0</v>
      </c>
      <c r="F31" s="42">
        <f>Mei!AB32</f>
        <v>100</v>
      </c>
      <c r="G31" s="42">
        <f>Mei!X32</f>
        <v>18656.89000000096</v>
      </c>
      <c r="H31" s="42">
        <f>Mei!AE32</f>
        <v>5800.0000000001819</v>
      </c>
      <c r="I31" s="42">
        <f>Mei!AI32</f>
        <v>14119.770000000728</v>
      </c>
      <c r="J31" s="42">
        <f>Mei!AN32</f>
        <v>7329.769999999955</v>
      </c>
      <c r="K31" s="42">
        <f>Mei!AR32</f>
        <v>13600.000000000364</v>
      </c>
      <c r="L31" s="42">
        <f>Mei!AZ32</f>
        <v>510</v>
      </c>
      <c r="M31" s="42">
        <f>Mei!BC32</f>
        <v>740</v>
      </c>
      <c r="N31" s="125">
        <f t="shared" si="17"/>
        <v>61199.540000001587</v>
      </c>
      <c r="O31" s="125">
        <f>Mei!CA32</f>
        <v>889.10000000004175</v>
      </c>
      <c r="P31" s="125">
        <f>Mei!CD32</f>
        <v>2299.5</v>
      </c>
      <c r="Q31" s="125">
        <f>Mei!CF32</f>
        <v>6219</v>
      </c>
      <c r="R31" s="125">
        <f>Mei!CH32</f>
        <v>0</v>
      </c>
      <c r="S31" s="125">
        <f>Mei!CK32</f>
        <v>17680.669999999594</v>
      </c>
      <c r="T31" s="125">
        <f>Mei!CO32</f>
        <v>8914.7699999998913</v>
      </c>
      <c r="U31" s="125">
        <f>Mei!CS32</f>
        <v>7920.77</v>
      </c>
      <c r="V31" s="126">
        <f t="shared" si="3"/>
        <v>43923.809999999532</v>
      </c>
      <c r="W31" s="126">
        <f>Mei!CW32</f>
        <v>14058</v>
      </c>
      <c r="X31" s="126">
        <f>Mei!DA32</f>
        <v>7731</v>
      </c>
      <c r="Y31" s="126">
        <f t="shared" si="1"/>
        <v>21789</v>
      </c>
      <c r="Z31" s="42">
        <f>Mei!BR32</f>
        <v>300.00000000006821</v>
      </c>
      <c r="AA31" s="126">
        <f>Mei!BG32</f>
        <v>1700.0000000000455</v>
      </c>
      <c r="AB31" s="126">
        <f>Mei!BJ32</f>
        <v>9000</v>
      </c>
      <c r="AC31" s="126">
        <f>Mei!BL32+Mei!BN32+Mei!BP32</f>
        <v>5289.9999999999773</v>
      </c>
      <c r="AD31" s="126">
        <f>Mei!DR32</f>
        <v>7600</v>
      </c>
      <c r="AE31" s="127">
        <f>Mei!DT32-Mei!DR72-Mei!DT72</f>
        <v>18100</v>
      </c>
      <c r="AF31" s="127">
        <f>Mei!DR72+Mei!DT72</f>
        <v>0</v>
      </c>
      <c r="AG31" s="127">
        <f>Mei!HJ32-AE31</f>
        <v>123900</v>
      </c>
      <c r="AH31" s="127">
        <f>Mei!DW32</f>
        <v>2399.9999999996362</v>
      </c>
      <c r="AI31" s="127">
        <f>Mei!DZ32</f>
        <v>3419.77</v>
      </c>
      <c r="AJ31" s="127">
        <f>Mei!EC32</f>
        <v>13579.77</v>
      </c>
      <c r="AK31" s="127">
        <f t="shared" si="4"/>
        <v>19399.539999999637</v>
      </c>
      <c r="AL31" s="127">
        <f>Mei!EG32</f>
        <v>30579.77</v>
      </c>
      <c r="AM31" s="127">
        <f>Mei!EJ32</f>
        <v>11419.77</v>
      </c>
      <c r="AN31" s="127">
        <f>Mei!EM32</f>
        <v>670.00000000007276</v>
      </c>
      <c r="AO31" s="127">
        <f t="shared" si="18"/>
        <v>42669.540000000074</v>
      </c>
      <c r="AP31" s="127">
        <f>Mei!FX32</f>
        <v>33000</v>
      </c>
      <c r="AQ31" s="127">
        <f>Mei!GA32</f>
        <v>11850.000000000273</v>
      </c>
      <c r="AR31" s="127">
        <f>Mei!GG32</f>
        <v>8100.0000000001364</v>
      </c>
      <c r="AS31" s="127">
        <f t="shared" si="6"/>
        <v>52950.000000000415</v>
      </c>
      <c r="AT31" s="127">
        <f>Mei!EQ32</f>
        <v>7529.7699999999568</v>
      </c>
      <c r="AU31" s="127">
        <f>Mei!ET32</f>
        <v>19100.000000000364</v>
      </c>
      <c r="AV31" s="127">
        <f>Mei!EW32</f>
        <v>9419.77</v>
      </c>
      <c r="AW31" s="127">
        <f>Mei!FL69</f>
        <v>11861.769191228248</v>
      </c>
      <c r="AX31" s="127">
        <f>Mei!GJ32</f>
        <v>1899.9999999998636</v>
      </c>
      <c r="AY31" s="127">
        <f t="shared" si="7"/>
        <v>49811.309191228429</v>
      </c>
      <c r="AZ31" s="127">
        <f>Mei!FG32</f>
        <v>10079.770000000044</v>
      </c>
      <c r="BA31" s="127">
        <f>Mei!FJ32</f>
        <v>17989.769999999273</v>
      </c>
      <c r="BB31" s="127">
        <f>Mei!FM69</f>
        <v>11747.770808771755</v>
      </c>
      <c r="BC31" s="127">
        <f>Mei!GM32</f>
        <v>0</v>
      </c>
      <c r="BD31" s="127">
        <f t="shared" si="8"/>
        <v>39817.310808771072</v>
      </c>
      <c r="BE31" s="127">
        <f>Mei!GP32</f>
        <v>0</v>
      </c>
      <c r="BF31" s="127">
        <f>Mei!GS32</f>
        <v>350</v>
      </c>
      <c r="BG31" s="127">
        <f t="shared" si="9"/>
        <v>350</v>
      </c>
      <c r="BH31" s="127">
        <f t="shared" si="10"/>
        <v>21789</v>
      </c>
      <c r="BI31" s="127"/>
      <c r="BJ31" s="127"/>
      <c r="BK31" s="127"/>
      <c r="BL31" s="128"/>
      <c r="BM31" s="128">
        <f>((AS31)+BG31)*52%</f>
        <v>27716.000000000218</v>
      </c>
      <c r="BN31" s="128"/>
      <c r="BO31" s="128">
        <f>((AS31)+BG31)*48%</f>
        <v>25584.000000000196</v>
      </c>
      <c r="BP31" s="128"/>
      <c r="BQ31" s="128"/>
      <c r="BR31" s="128"/>
      <c r="BS31" s="128"/>
      <c r="BT31" s="42">
        <f>Mei!D70</f>
        <v>0</v>
      </c>
      <c r="BU31" s="42">
        <f>Mei!G70</f>
        <v>69000</v>
      </c>
      <c r="BV31" t="s">
        <v>362</v>
      </c>
      <c r="BX31" s="42">
        <f>Mei!HJ32</f>
        <v>142000</v>
      </c>
      <c r="BY31" s="42">
        <f>Mei!HM32</f>
        <v>0</v>
      </c>
      <c r="BZ31" s="42">
        <f>Mei!HP32</f>
        <v>33955.000000000364</v>
      </c>
      <c r="CA31" s="42">
        <f>Mei!HS32</f>
        <v>18554.999999999818</v>
      </c>
      <c r="CB31" s="42">
        <f>Mei!HV32</f>
        <v>26355</v>
      </c>
      <c r="CC31" s="42">
        <f>Mei!HY32</f>
        <v>26955.000000000138</v>
      </c>
      <c r="CD31" s="42">
        <f>Mei!IB32</f>
        <v>18080</v>
      </c>
      <c r="CE31" s="42">
        <f>Mei!IE32</f>
        <v>0</v>
      </c>
      <c r="CF31" s="42">
        <f>Mei!IH32</f>
        <v>18100</v>
      </c>
    </row>
    <row r="32" spans="1:84" x14ac:dyDescent="0.25">
      <c r="A32" s="26">
        <f t="shared" si="14"/>
        <v>26</v>
      </c>
      <c r="B32" s="42">
        <f>Mei!G33</f>
        <v>413439.99999998417</v>
      </c>
      <c r="C32" s="42">
        <f>Mei!N33</f>
        <v>412000</v>
      </c>
      <c r="D32" s="42">
        <f>Mei!T33</f>
        <v>360.22000000067055</v>
      </c>
      <c r="E32" s="42">
        <f>Mei!V33</f>
        <v>0</v>
      </c>
      <c r="F32" s="42">
        <f>Mei!AB33</f>
        <v>0</v>
      </c>
      <c r="G32" s="42">
        <f>Mei!X33</f>
        <v>18039.779999998966</v>
      </c>
      <c r="H32" s="42">
        <f>Mei!AE33</f>
        <v>5300.0000000001819</v>
      </c>
      <c r="I32" s="42">
        <f>Mei!AI33</f>
        <v>12386.129999998908</v>
      </c>
      <c r="J32" s="42">
        <f>Mei!AN33</f>
        <v>6436.1300000001038</v>
      </c>
      <c r="K32" s="42">
        <f>Mei!AR33</f>
        <v>13000</v>
      </c>
      <c r="L32" s="42">
        <f>Mei!AZ33</f>
        <v>500</v>
      </c>
      <c r="M32" s="42">
        <f>Mei!BC33</f>
        <v>700</v>
      </c>
      <c r="N32" s="125">
        <f t="shared" si="17"/>
        <v>56722.259999998831</v>
      </c>
      <c r="O32" s="125">
        <f>Mei!CA33</f>
        <v>873.9999999999668</v>
      </c>
      <c r="P32" s="125">
        <f>Mei!CD33</f>
        <v>2563.2999999999302</v>
      </c>
      <c r="Q32" s="125">
        <f>Mei!CF33</f>
        <v>7239</v>
      </c>
      <c r="R32" s="125">
        <f>Mei!CH33</f>
        <v>0</v>
      </c>
      <c r="S32" s="125">
        <f>Mei!CK33</f>
        <v>16782.130000001198</v>
      </c>
      <c r="T32" s="125">
        <f>Mei!CO33</f>
        <v>8124.130000000102</v>
      </c>
      <c r="U32" s="125">
        <f>Mei!CS33</f>
        <v>6975.9300000000176</v>
      </c>
      <c r="V32" s="126">
        <f t="shared" si="3"/>
        <v>42558.490000001213</v>
      </c>
      <c r="W32" s="126">
        <f>Mei!CW33</f>
        <v>12787</v>
      </c>
      <c r="X32" s="126">
        <f>Mei!DA33</f>
        <v>6836</v>
      </c>
      <c r="Y32" s="126">
        <f t="shared" si="1"/>
        <v>19623</v>
      </c>
      <c r="Z32" s="42">
        <f>Mei!BR33</f>
        <v>599.99999999990905</v>
      </c>
      <c r="AA32" s="126">
        <f>Mei!BG33</f>
        <v>1799.9999999999545</v>
      </c>
      <c r="AB32" s="126">
        <f>Mei!BJ33</f>
        <v>9600.0000000003638</v>
      </c>
      <c r="AC32" s="126">
        <f>Mei!BL33+Mei!BN33+Mei!BP33</f>
        <v>5149.9999999999864</v>
      </c>
      <c r="AD32" s="126">
        <f>Mei!DR33</f>
        <v>11000</v>
      </c>
      <c r="AE32" s="127">
        <f>Mei!DT33-Mei!DR73-Mei!DT73</f>
        <v>16600</v>
      </c>
      <c r="AF32" s="127">
        <f>Mei!DR73+Mei!DT73</f>
        <v>0</v>
      </c>
      <c r="AG32" s="127">
        <f>Mei!HJ33-AE32</f>
        <v>127400</v>
      </c>
      <c r="AH32" s="127">
        <f>Mei!DW33</f>
        <v>4700.0000000007276</v>
      </c>
      <c r="AI32" s="127">
        <f>Mei!DZ33</f>
        <v>6686.13</v>
      </c>
      <c r="AJ32" s="127">
        <f>Mei!EC33</f>
        <v>25846.13</v>
      </c>
      <c r="AK32" s="127">
        <f t="shared" si="4"/>
        <v>37232.26000000073</v>
      </c>
      <c r="AL32" s="127">
        <f>Mei!EG33</f>
        <v>31846.13</v>
      </c>
      <c r="AM32" s="127">
        <f>Mei!EJ33</f>
        <v>11686.13</v>
      </c>
      <c r="AN32" s="127">
        <f>Mei!EM33</f>
        <v>719.9999999999136</v>
      </c>
      <c r="AO32" s="127">
        <f t="shared" si="18"/>
        <v>44252.259999999915</v>
      </c>
      <c r="AP32" s="127">
        <f>Mei!FX33</f>
        <v>31500</v>
      </c>
      <c r="AQ32" s="127">
        <f>Mei!GA33</f>
        <v>11140</v>
      </c>
      <c r="AR32" s="127">
        <f>Mei!GG33</f>
        <v>8299.9999999999545</v>
      </c>
      <c r="AS32" s="127">
        <f t="shared" si="6"/>
        <v>50939.999999999956</v>
      </c>
      <c r="AT32" s="127">
        <f>Mei!EQ33</f>
        <v>6771.1300000000365</v>
      </c>
      <c r="AU32" s="127">
        <f>Mei!ET33</f>
        <v>17700.000000000728</v>
      </c>
      <c r="AV32" s="127">
        <f>Mei!EW33</f>
        <v>8686.1299999999992</v>
      </c>
      <c r="AW32" s="127">
        <f>Mei!FL70</f>
        <v>11173.262462283859</v>
      </c>
      <c r="AX32" s="127">
        <f>Mei!GJ33</f>
        <v>1700.0000000000455</v>
      </c>
      <c r="AY32" s="127">
        <f t="shared" si="7"/>
        <v>46030.522462284673</v>
      </c>
      <c r="AZ32" s="127">
        <f>Mei!FG33</f>
        <v>8862.7999999999629</v>
      </c>
      <c r="BA32" s="127">
        <f>Mei!FJ33</f>
        <v>16247.79999999927</v>
      </c>
      <c r="BB32" s="127">
        <f>Mei!FM70</f>
        <v>10460.667537716143</v>
      </c>
      <c r="BC32" s="127">
        <f>Mei!GM33</f>
        <v>0</v>
      </c>
      <c r="BD32" s="127">
        <f t="shared" si="8"/>
        <v>35571.267537715379</v>
      </c>
      <c r="BE32" s="127">
        <f>Mei!GP33</f>
        <v>0</v>
      </c>
      <c r="BF32" s="127">
        <f>Mei!GS33</f>
        <v>360</v>
      </c>
      <c r="BG32" s="127">
        <f t="shared" si="9"/>
        <v>360</v>
      </c>
      <c r="BH32" s="127">
        <f t="shared" si="10"/>
        <v>19623</v>
      </c>
      <c r="BI32" s="127"/>
      <c r="BJ32" s="127"/>
      <c r="BK32" s="127"/>
      <c r="BL32" s="128"/>
      <c r="BM32" s="128">
        <f>((AS32)+BG32)*51%</f>
        <v>26162.999999999978</v>
      </c>
      <c r="BN32" s="128"/>
      <c r="BO32" s="128">
        <f>((AS32)+BG32)*49%</f>
        <v>25136.999999999978</v>
      </c>
      <c r="BP32" s="128"/>
      <c r="BQ32" s="128"/>
      <c r="BR32" s="128"/>
      <c r="BS32" s="128"/>
      <c r="BT32" s="42">
        <f>Mei!D71</f>
        <v>0</v>
      </c>
      <c r="BU32" s="42">
        <f>Mei!G71</f>
        <v>92000</v>
      </c>
      <c r="BV32" t="s">
        <v>363</v>
      </c>
      <c r="BX32" s="42">
        <f>Mei!HJ33</f>
        <v>144000</v>
      </c>
      <c r="BY32" s="42">
        <f>Mei!HM33</f>
        <v>0</v>
      </c>
      <c r="BZ32" s="42">
        <f>Mei!HP33</f>
        <v>36412.499999999913</v>
      </c>
      <c r="CA32" s="42">
        <f>Mei!HS33</f>
        <v>17012.500000000273</v>
      </c>
      <c r="CB32" s="42">
        <f>Mei!HV33</f>
        <v>26212.499999999862</v>
      </c>
      <c r="CC32" s="42">
        <f>Mei!HY33</f>
        <v>27412.499999999909</v>
      </c>
      <c r="CD32" s="42">
        <f>Mei!IB33</f>
        <v>20350</v>
      </c>
      <c r="CE32" s="42">
        <f>Mei!IE33</f>
        <v>0</v>
      </c>
      <c r="CF32" s="42">
        <f>Mei!IH33</f>
        <v>16600</v>
      </c>
    </row>
    <row r="33" spans="1:87" x14ac:dyDescent="0.25">
      <c r="A33" s="26">
        <f t="shared" si="14"/>
        <v>27</v>
      </c>
      <c r="B33" s="42">
        <f>Mei!G34</f>
        <v>422400.00000002689</v>
      </c>
      <c r="C33" s="42">
        <f>Mei!N34</f>
        <v>419000</v>
      </c>
      <c r="D33" s="42">
        <f>Mei!T34</f>
        <v>362.97000000067055</v>
      </c>
      <c r="E33" s="42">
        <f>Mei!V34</f>
        <v>0</v>
      </c>
      <c r="F33" s="42">
        <f>Mei!AB34</f>
        <v>100</v>
      </c>
      <c r="G33" s="42">
        <f>Mei!X34</f>
        <v>17937.029999998966</v>
      </c>
      <c r="H33" s="42">
        <f>Mei!AE34</f>
        <v>6099.9999999994543</v>
      </c>
      <c r="I33" s="42">
        <f>Mei!AI34</f>
        <v>15032.490000000727</v>
      </c>
      <c r="J33" s="42">
        <f>Mei!AN34</f>
        <v>7382.4900000006955</v>
      </c>
      <c r="K33" s="42">
        <f>Mei!AR34</f>
        <v>13199.999999998909</v>
      </c>
      <c r="L33" s="42">
        <f>Mei!AZ34</f>
        <v>510</v>
      </c>
      <c r="M33" s="42">
        <f>Mei!BC34</f>
        <v>740</v>
      </c>
      <c r="N33" s="125">
        <f t="shared" si="17"/>
        <v>61364.979999999421</v>
      </c>
      <c r="O33" s="125">
        <f>Mei!CA34</f>
        <v>850.00000000002274</v>
      </c>
      <c r="P33" s="125">
        <f>Mei!CD34</f>
        <v>2364.5999999999767</v>
      </c>
      <c r="Q33" s="125">
        <f>Mei!CF34</f>
        <v>6275</v>
      </c>
      <c r="R33" s="125">
        <f>Mei!CH34</f>
        <v>0</v>
      </c>
      <c r="S33" s="125">
        <f>Mei!CK34</f>
        <v>17602.489999998961</v>
      </c>
      <c r="T33" s="125">
        <f>Mei!CO34</f>
        <v>8841.4900000000143</v>
      </c>
      <c r="U33" s="125">
        <f>Mei!CS34</f>
        <v>7733.49</v>
      </c>
      <c r="V33" s="126">
        <f t="shared" si="3"/>
        <v>43667.069999998974</v>
      </c>
      <c r="W33" s="126">
        <f>Mei!CW34</f>
        <v>14281</v>
      </c>
      <c r="X33" s="126">
        <f>Mei!DA34</f>
        <v>8017</v>
      </c>
      <c r="Y33" s="126">
        <f t="shared" si="1"/>
        <v>22298</v>
      </c>
      <c r="Z33" s="42">
        <f>Mei!BR34</f>
        <v>700.00000000004547</v>
      </c>
      <c r="AA33" s="126">
        <f>Mei!BG34</f>
        <v>1799.9999999999545</v>
      </c>
      <c r="AB33" s="126">
        <f>Mei!BJ34</f>
        <v>8899.9999999996362</v>
      </c>
      <c r="AC33" s="126">
        <f>Mei!BL34+Mei!BN34+Mei!BP34</f>
        <v>4949.9999999999864</v>
      </c>
      <c r="AD33" s="126">
        <f>Mei!DR34</f>
        <v>11200</v>
      </c>
      <c r="AE33" s="127">
        <f>Mei!DT34-Mei!DR74-Mei!DT74</f>
        <v>19200</v>
      </c>
      <c r="AF33" s="127">
        <f>Mei!DR74+Mei!DT74</f>
        <v>0</v>
      </c>
      <c r="AG33" s="127">
        <f>Mei!HJ34-AE33</f>
        <v>115800</v>
      </c>
      <c r="AH33" s="127">
        <f>Mei!DW34</f>
        <v>4599.9999999994543</v>
      </c>
      <c r="AI33" s="127">
        <f>Mei!DZ34</f>
        <v>7832.49</v>
      </c>
      <c r="AJ33" s="127">
        <f>Mei!EC34</f>
        <v>25992.49</v>
      </c>
      <c r="AK33" s="127">
        <f t="shared" si="4"/>
        <v>38424.979999999458</v>
      </c>
      <c r="AL33" s="127">
        <f>Mei!EG34</f>
        <v>30992.49</v>
      </c>
      <c r="AM33" s="127">
        <f>Mei!EJ34</f>
        <v>11832.49</v>
      </c>
      <c r="AN33" s="127">
        <f>Mei!EM34</f>
        <v>660.00000000008185</v>
      </c>
      <c r="AO33" s="127">
        <f t="shared" si="18"/>
        <v>43484.980000000083</v>
      </c>
      <c r="AP33" s="127">
        <f>Mei!FX34</f>
        <v>32300</v>
      </c>
      <c r="AQ33" s="127">
        <f>Mei!GA34</f>
        <v>7959.9999999997272</v>
      </c>
      <c r="AR33" s="127">
        <f>Mei!GG34</f>
        <v>9299.9999999999545</v>
      </c>
      <c r="AS33" s="127">
        <f t="shared" si="6"/>
        <v>49559.99999999968</v>
      </c>
      <c r="AT33" s="127">
        <f>Mei!EQ34</f>
        <v>7987.4899999999725</v>
      </c>
      <c r="AU33" s="127">
        <f>Mei!ET34</f>
        <v>17399.999999999636</v>
      </c>
      <c r="AV33" s="127">
        <f>Mei!EW34</f>
        <v>8932.4899999999088</v>
      </c>
      <c r="AW33" s="127">
        <f>Mei!FL71</f>
        <v>11996.369871149547</v>
      </c>
      <c r="AX33" s="127">
        <f>Mei!GJ34+((Mei!GP34+Mei!GS34)*50/100)</f>
        <v>1875.0000000000455</v>
      </c>
      <c r="AY33" s="127">
        <f t="shared" si="7"/>
        <v>48191.349871149105</v>
      </c>
      <c r="AZ33" s="127">
        <f>Mei!FG34</f>
        <v>9495.820000000027</v>
      </c>
      <c r="BA33" s="127">
        <f>Mei!FJ34</f>
        <v>16350.820000000727</v>
      </c>
      <c r="BB33" s="127">
        <f>Mei!FM71</f>
        <v>12486.940128850452</v>
      </c>
      <c r="BC33" s="127">
        <f>Mei!GM34+((Mei!GP34+Mei!GS34)*50/100)</f>
        <v>175</v>
      </c>
      <c r="BD33" s="127">
        <f t="shared" si="8"/>
        <v>38508.580128851208</v>
      </c>
      <c r="BE33" s="127">
        <f>Mei!GP34</f>
        <v>10</v>
      </c>
      <c r="BF33" s="127">
        <f>Mei!GS34</f>
        <v>340</v>
      </c>
      <c r="BG33" s="127">
        <f t="shared" si="9"/>
        <v>350</v>
      </c>
      <c r="BH33" s="127">
        <f t="shared" si="10"/>
        <v>22298</v>
      </c>
      <c r="BI33" s="127"/>
      <c r="BJ33" s="127"/>
      <c r="BK33" s="127"/>
      <c r="BL33" s="128"/>
      <c r="BM33" s="128">
        <f>((AS33)+BG33)*49%</f>
        <v>24455.899999999841</v>
      </c>
      <c r="BN33" s="128"/>
      <c r="BO33" s="128">
        <f>((AS33)+BG33)*51%</f>
        <v>25454.099999999838</v>
      </c>
      <c r="BP33" s="128"/>
      <c r="BQ33" s="128"/>
      <c r="BR33" s="128"/>
      <c r="BS33" s="128"/>
      <c r="BT33" s="42">
        <f>Mei!D72</f>
        <v>0</v>
      </c>
      <c r="BU33" s="42">
        <f>Mei!G72</f>
        <v>86000</v>
      </c>
      <c r="BV33" t="s">
        <v>364</v>
      </c>
      <c r="BX33" s="42">
        <f>Mei!HJ34</f>
        <v>135000</v>
      </c>
      <c r="BY33" s="42">
        <f>Mei!HM34</f>
        <v>0</v>
      </c>
      <c r="BZ33" s="42">
        <f>Mei!HP34</f>
        <v>33073.749999999724</v>
      </c>
      <c r="CA33" s="42">
        <f>Mei!HS34</f>
        <v>19473.749999999818</v>
      </c>
      <c r="CB33" s="42">
        <f>Mei!HV34</f>
        <v>25073.749999999956</v>
      </c>
      <c r="CC33" s="42">
        <f>Mei!HY34</f>
        <v>19573.749999999956</v>
      </c>
      <c r="CD33" s="42">
        <f>Mei!IB34</f>
        <v>18605</v>
      </c>
      <c r="CE33" s="42">
        <f>Mei!IE34</f>
        <v>0</v>
      </c>
      <c r="CF33" s="42">
        <f>Mei!IH34</f>
        <v>19200</v>
      </c>
    </row>
    <row r="34" spans="1:87" x14ac:dyDescent="0.25">
      <c r="A34" s="26">
        <f t="shared" si="14"/>
        <v>28</v>
      </c>
      <c r="B34" s="42">
        <f>Mei!G35</f>
        <v>439359.99999998964</v>
      </c>
      <c r="C34" s="42">
        <f>Mei!N35</f>
        <v>440000</v>
      </c>
      <c r="D34" s="42">
        <f>Mei!T35</f>
        <v>332.34999999962747</v>
      </c>
      <c r="E34" s="42">
        <f>Mei!V35</f>
        <v>0</v>
      </c>
      <c r="F34" s="42">
        <f>Mei!AB35</f>
        <v>80</v>
      </c>
      <c r="G34" s="42">
        <f>Mei!X35</f>
        <v>18287.6500000011</v>
      </c>
      <c r="H34" s="42">
        <f>Mei!AE35</f>
        <v>8600.0000000003638</v>
      </c>
      <c r="I34" s="42">
        <f>Mei!AI35</f>
        <v>17504.499999999636</v>
      </c>
      <c r="J34" s="42">
        <f>Mei!AN35</f>
        <v>6444.4999999999272</v>
      </c>
      <c r="K34" s="42">
        <f>Mei!AR35</f>
        <v>9400.0000000014552</v>
      </c>
      <c r="L34" s="42">
        <f>Mei!AZ35</f>
        <v>407.4199999999837</v>
      </c>
      <c r="M34" s="42">
        <f>Mei!BC35</f>
        <v>688.36999999999534</v>
      </c>
      <c r="N34" s="125">
        <f t="shared" si="17"/>
        <v>61744.790000002089</v>
      </c>
      <c r="O34" s="125">
        <f>Mei!CA35</f>
        <v>911.69999999999618</v>
      </c>
      <c r="P34" s="125">
        <f>Mei!CD35</f>
        <v>2628.3000000000466</v>
      </c>
      <c r="Q34" s="125">
        <f>Mei!CF35</f>
        <v>6454</v>
      </c>
      <c r="R34" s="125">
        <f>Mei!CH35</f>
        <v>0</v>
      </c>
      <c r="S34" s="125">
        <f>Mei!CK35</f>
        <v>17532.800000000148</v>
      </c>
      <c r="T34" s="125">
        <f>Mei!CO35</f>
        <v>9199.4999999997999</v>
      </c>
      <c r="U34" s="125">
        <f>Mei!CS35</f>
        <v>7851.8999999999942</v>
      </c>
      <c r="V34" s="126">
        <f t="shared" si="3"/>
        <v>44578.199999999983</v>
      </c>
      <c r="W34" s="126">
        <f>Mei!CW35</f>
        <v>16316</v>
      </c>
      <c r="X34" s="126">
        <f>Mei!DA35</f>
        <v>8651</v>
      </c>
      <c r="Y34" s="126">
        <f t="shared" si="1"/>
        <v>24967</v>
      </c>
      <c r="Z34" s="42">
        <f>Mei!BR35</f>
        <v>779.99999999997272</v>
      </c>
      <c r="AA34" s="126">
        <f>Mei!BG35</f>
        <v>2200.0000000000455</v>
      </c>
      <c r="AB34" s="126">
        <f>Mei!BJ35</f>
        <v>9899.9999999996362</v>
      </c>
      <c r="AC34" s="126">
        <f>Mei!BL35+Mei!BN35+Mei!BP35</f>
        <v>4880.0000000001</v>
      </c>
      <c r="AD34" s="126">
        <f>Mei!DR35</f>
        <v>11000</v>
      </c>
      <c r="AE34" s="127">
        <f>Mei!DT35-Mei!DR75-Mei!DT75</f>
        <v>19300</v>
      </c>
      <c r="AF34" s="127">
        <f>Mei!DR75+Mei!DT75</f>
        <v>0</v>
      </c>
      <c r="AG34" s="127">
        <f>Mei!HJ35-AE34</f>
        <v>127700</v>
      </c>
      <c r="AH34" s="127">
        <f>Mei!DW35</f>
        <v>4600.0000000003638</v>
      </c>
      <c r="AI34" s="127">
        <f>Mei!DZ35</f>
        <v>6604.5</v>
      </c>
      <c r="AJ34" s="127">
        <f>Mei!EC35</f>
        <v>22764.5</v>
      </c>
      <c r="AK34" s="127">
        <f t="shared" si="4"/>
        <v>33969.000000000364</v>
      </c>
      <c r="AL34" s="127">
        <f>Mei!EG35</f>
        <v>31764.5</v>
      </c>
      <c r="AM34" s="127">
        <f>Mei!EJ35</f>
        <v>12604.5</v>
      </c>
      <c r="AN34" s="127">
        <f>Mei!EM35</f>
        <v>689.99999999994088</v>
      </c>
      <c r="AO34" s="127">
        <f t="shared" si="18"/>
        <v>45058.999999999942</v>
      </c>
      <c r="AP34" s="127">
        <f>Mei!FX35</f>
        <v>36100</v>
      </c>
      <c r="AQ34" s="127">
        <f>Mei!GA35</f>
        <v>9380.0000000002728</v>
      </c>
      <c r="AR34" s="127">
        <f>Mei!GG35</f>
        <v>9200.0000000000455</v>
      </c>
      <c r="AS34" s="127">
        <f t="shared" si="6"/>
        <v>54680.00000000032</v>
      </c>
      <c r="AT34" s="127">
        <f>Mei!EQ35</f>
        <v>6739.4999999999909</v>
      </c>
      <c r="AU34" s="127">
        <f>Mei!ET35</f>
        <v>17299.999999999272</v>
      </c>
      <c r="AV34" s="127">
        <f>Mei!EW35</f>
        <v>8704.5000000003638</v>
      </c>
      <c r="AW34" s="127">
        <f>Mei!FL72</f>
        <v>11961.58813013862</v>
      </c>
      <c r="AX34" s="127">
        <f>Mei!GJ35+((Mei!GP35+Mei!GS35)*50/100)</f>
        <v>1959.9999999999545</v>
      </c>
      <c r="AY34" s="127">
        <f t="shared" si="7"/>
        <v>46665.588130138203</v>
      </c>
      <c r="AZ34" s="127">
        <f>Mei!FG35</f>
        <v>9347.830000000009</v>
      </c>
      <c r="BA34" s="127">
        <f>Mei!FJ35</f>
        <v>17982.830000000002</v>
      </c>
      <c r="BB34" s="127">
        <f>Mei!FM72</f>
        <v>11125.741869861384</v>
      </c>
      <c r="BC34" s="127">
        <f>Mei!GM35+((Mei!GP35+Mei!GS35)*50/100)</f>
        <v>160</v>
      </c>
      <c r="BD34" s="127">
        <f t="shared" si="8"/>
        <v>38616.401869861395</v>
      </c>
      <c r="BE34" s="127">
        <f>Mei!GP35</f>
        <v>0</v>
      </c>
      <c r="BF34" s="127">
        <f>Mei!GS35</f>
        <v>320</v>
      </c>
      <c r="BG34" s="127">
        <f t="shared" si="9"/>
        <v>320</v>
      </c>
      <c r="BH34" s="127">
        <f t="shared" si="10"/>
        <v>24967</v>
      </c>
      <c r="BI34" s="127"/>
      <c r="BJ34" s="127"/>
      <c r="BK34" s="127"/>
      <c r="BL34" s="128"/>
      <c r="BM34" s="128">
        <f>((AS34)+BG34)*51%</f>
        <v>28050.000000000164</v>
      </c>
      <c r="BN34" s="128"/>
      <c r="BO34" s="128">
        <f>((AS34)+BG34)*49%</f>
        <v>26950.000000000156</v>
      </c>
      <c r="BP34" s="128"/>
      <c r="BQ34" s="128"/>
      <c r="BR34" s="128"/>
      <c r="BS34" s="128"/>
      <c r="BT34" s="42">
        <f>Mei!D73</f>
        <v>0</v>
      </c>
      <c r="BU34" s="42">
        <f>Mei!G73</f>
        <v>87000</v>
      </c>
      <c r="BV34" t="s">
        <v>363</v>
      </c>
      <c r="BX34" s="42">
        <f>Mei!HJ35</f>
        <v>147000</v>
      </c>
      <c r="BY34" s="42">
        <f>Mei!HM35</f>
        <v>0</v>
      </c>
      <c r="BZ34" s="42">
        <f>Mei!HP35</f>
        <v>37191</v>
      </c>
      <c r="CA34" s="42">
        <f>Mei!HS35</f>
        <v>24591.000000000091</v>
      </c>
      <c r="CB34" s="42">
        <f>Mei!HV35</f>
        <v>25991.000000000182</v>
      </c>
      <c r="CC34" s="42">
        <f>Mei!HY35</f>
        <v>27091.000000000091</v>
      </c>
      <c r="CD34" s="42">
        <f>Mei!IB35</f>
        <v>12836</v>
      </c>
      <c r="CE34" s="42">
        <f>Mei!IE35</f>
        <v>0</v>
      </c>
      <c r="CF34" s="42">
        <f>Mei!IH35</f>
        <v>19300</v>
      </c>
    </row>
    <row r="35" spans="1:87" ht="15" customHeight="1" x14ac:dyDescent="0.25">
      <c r="A35" s="26">
        <f t="shared" si="14"/>
        <v>29</v>
      </c>
      <c r="B35" s="42">
        <f>Mei!G36</f>
        <v>413759.99999998382</v>
      </c>
      <c r="C35" s="42">
        <f>Mei!N36</f>
        <v>410000</v>
      </c>
      <c r="D35" s="42">
        <f>Mei!T36</f>
        <v>331.37999999895692</v>
      </c>
      <c r="E35" s="42">
        <f>Mei!V36</f>
        <v>0</v>
      </c>
      <c r="F35" s="42">
        <f>Mei!AB36</f>
        <v>70</v>
      </c>
      <c r="G35" s="42">
        <f>Mei!X36</f>
        <v>17598.620000001043</v>
      </c>
      <c r="H35" s="42">
        <f>Mei!AE36</f>
        <v>8699.9999999998181</v>
      </c>
      <c r="I35" s="42">
        <f>Mei!AI36</f>
        <v>16637.820000001091</v>
      </c>
      <c r="J35" s="42">
        <f>Mei!AN36</f>
        <v>5427.8200000000315</v>
      </c>
      <c r="K35" s="42">
        <f>Mei!AR36</f>
        <v>8599.9999999985448</v>
      </c>
      <c r="L35" s="42">
        <f>Mei!AZ36</f>
        <v>413.78000000002794</v>
      </c>
      <c r="M35" s="42">
        <f>Mei!BC36</f>
        <v>638.86000000001513</v>
      </c>
      <c r="N35" s="125">
        <f t="shared" ref="N35:N37" si="19">SUM(D35:M35)</f>
        <v>58418.279999999526</v>
      </c>
      <c r="O35" s="125">
        <f>Mei!CA36</f>
        <v>899.99999999997726</v>
      </c>
      <c r="P35" s="125">
        <f>Mei!CD36</f>
        <v>2690</v>
      </c>
      <c r="Q35" s="125">
        <f>Mei!CF36</f>
        <v>5900</v>
      </c>
      <c r="R35" s="125">
        <f>Mei!CH36</f>
        <v>0</v>
      </c>
      <c r="S35" s="125">
        <f>Mei!CK36</f>
        <v>16937.820000000022</v>
      </c>
      <c r="T35" s="125">
        <f>Mei!CO36</f>
        <v>8337.82</v>
      </c>
      <c r="U35" s="125">
        <f>Mei!CS36</f>
        <v>6747.82</v>
      </c>
      <c r="V35" s="126">
        <f t="shared" si="3"/>
        <v>41513.46</v>
      </c>
      <c r="W35" s="126">
        <f>Mei!CW36</f>
        <v>16100</v>
      </c>
      <c r="X35" s="126">
        <f>Mei!DA36</f>
        <v>8500</v>
      </c>
      <c r="Y35" s="126">
        <f t="shared" si="1"/>
        <v>24600</v>
      </c>
      <c r="Z35" s="42">
        <f>Mei!BR36</f>
        <v>279.99999999997272</v>
      </c>
      <c r="AA35" s="126">
        <f>Mei!BG36</f>
        <v>1500</v>
      </c>
      <c r="AB35" s="126">
        <f>Mei!BJ36</f>
        <v>9299.9999999992724</v>
      </c>
      <c r="AC35" s="126">
        <f>Mei!BL36+Mei!BN36+Mei!BP36</f>
        <v>5129.9999999999955</v>
      </c>
      <c r="AD35" s="126">
        <f>Mei!DR36</f>
        <v>10500</v>
      </c>
      <c r="AE35" s="127">
        <f>Mei!DT36-Mei!DR76-Mei!DT76</f>
        <v>16500</v>
      </c>
      <c r="AF35" s="127">
        <f>Mei!DR76+Mei!DT76</f>
        <v>0</v>
      </c>
      <c r="AG35" s="127">
        <f>Mei!HJ36-AE35</f>
        <v>118500</v>
      </c>
      <c r="AH35" s="127">
        <f>Mei!DW36</f>
        <v>4500</v>
      </c>
      <c r="AI35" s="127">
        <f>Mei!DZ36</f>
        <v>6837.82</v>
      </c>
      <c r="AJ35" s="127">
        <f>Mei!EC36</f>
        <v>22997.82</v>
      </c>
      <c r="AK35" s="127">
        <f t="shared" si="4"/>
        <v>34335.64</v>
      </c>
      <c r="AL35" s="127">
        <f>Mei!EG36</f>
        <v>28997.82</v>
      </c>
      <c r="AM35" s="127">
        <f>Mei!EJ36</f>
        <v>10837.82</v>
      </c>
      <c r="AN35" s="127">
        <f>Mei!EM36</f>
        <v>669.99999999995907</v>
      </c>
      <c r="AO35" s="127">
        <f t="shared" ref="AO35:AO37" si="20">SUM(AL35:AN35)</f>
        <v>40505.639999999956</v>
      </c>
      <c r="AP35" s="127">
        <f>Mei!FX36</f>
        <v>35900</v>
      </c>
      <c r="AQ35" s="127">
        <f>Mei!GA36</f>
        <v>8579.9999999996362</v>
      </c>
      <c r="AR35" s="127">
        <f>Mei!GG36</f>
        <v>9500</v>
      </c>
      <c r="AS35" s="127">
        <f t="shared" si="6"/>
        <v>53979.999999999636</v>
      </c>
      <c r="AT35" s="127">
        <f>Mei!EQ36</f>
        <v>6967.8199999999952</v>
      </c>
      <c r="AU35" s="127">
        <f>Mei!ET36</f>
        <v>17000</v>
      </c>
      <c r="AV35" s="127">
        <f>Mei!EW36</f>
        <v>8237.8199999996359</v>
      </c>
      <c r="AW35" s="127">
        <f>Mei!FL73</f>
        <v>11503.150811979005</v>
      </c>
      <c r="AX35" s="127">
        <f>Mei!GJ36+((Mei!GP36+Mei!GS36)*50/100)</f>
        <v>1660</v>
      </c>
      <c r="AY35" s="127">
        <f t="shared" ref="AY35:AY37" si="21">SUM(AT35:AX35)</f>
        <v>45368.790811978637</v>
      </c>
      <c r="AZ35" s="127">
        <f>Mei!FG36</f>
        <v>8517.8200000000033</v>
      </c>
      <c r="BA35" s="127">
        <f>Mei!FJ36</f>
        <v>17347.820000000727</v>
      </c>
      <c r="BB35" s="127">
        <f>Mei!FM73</f>
        <v>10982.489188020996</v>
      </c>
      <c r="BC35" s="127">
        <f>Mei!GM36+((Mei!GP36+Mei!GS36)*50/100)</f>
        <v>160</v>
      </c>
      <c r="BD35" s="127">
        <f t="shared" ref="BD35:BD37" si="22">SUM(AZ35:BC35)</f>
        <v>37008.129188021725</v>
      </c>
      <c r="BE35" s="127">
        <f>Mei!GP36</f>
        <v>0</v>
      </c>
      <c r="BF35" s="127">
        <f>Mei!GS36</f>
        <v>320</v>
      </c>
      <c r="BG35" s="127">
        <f t="shared" si="9"/>
        <v>320</v>
      </c>
      <c r="BH35" s="127">
        <f t="shared" si="10"/>
        <v>24600</v>
      </c>
      <c r="BI35" s="127"/>
      <c r="BJ35" s="127"/>
      <c r="BK35" s="127"/>
      <c r="BL35" s="128"/>
      <c r="BM35" s="128">
        <f>((AS35)+BG35)*50%</f>
        <v>27149.999999999818</v>
      </c>
      <c r="BN35" s="128"/>
      <c r="BO35" s="128">
        <f>((AS35)+BG35)*50%</f>
        <v>27149.999999999818</v>
      </c>
      <c r="BP35" s="128"/>
      <c r="BQ35" s="128"/>
      <c r="BR35" s="128"/>
      <c r="BS35" s="128"/>
      <c r="BT35" s="42">
        <f>Mei!D74</f>
        <v>0</v>
      </c>
      <c r="BU35" s="42">
        <f>Mei!G74</f>
        <v>84000</v>
      </c>
      <c r="BV35" t="s">
        <v>360</v>
      </c>
      <c r="BX35" s="42">
        <f>Mei!HJ36</f>
        <v>135000</v>
      </c>
      <c r="BY35" s="42">
        <f>Mei!HM36</f>
        <v>0</v>
      </c>
      <c r="BZ35" s="42">
        <f>Mei!HP36</f>
        <v>34465.000000000276</v>
      </c>
      <c r="CA35" s="42">
        <f>Mei!HS36</f>
        <v>25665.000000000091</v>
      </c>
      <c r="CB35" s="42">
        <f>Mei!HV36</f>
        <v>24864.999999999909</v>
      </c>
      <c r="CC35" s="42">
        <f>Mei!HY36</f>
        <v>26765</v>
      </c>
      <c r="CD35" s="42">
        <f>Mei!IB36</f>
        <v>6740</v>
      </c>
      <c r="CE35" s="42">
        <f>Mei!IE36</f>
        <v>0</v>
      </c>
      <c r="CF35" s="42">
        <f>Mei!IH36</f>
        <v>16500</v>
      </c>
    </row>
    <row r="36" spans="1:87" x14ac:dyDescent="0.25">
      <c r="A36" s="26">
        <f t="shared" si="14"/>
        <v>30</v>
      </c>
      <c r="B36" s="42">
        <f>Mei!G37</f>
        <v>404800.00000000291</v>
      </c>
      <c r="C36" s="42">
        <f>Mei!N37</f>
        <v>400000</v>
      </c>
      <c r="D36" s="42">
        <f>Mei!T37</f>
        <v>332.10000000149012</v>
      </c>
      <c r="E36" s="42">
        <f>Mei!V37</f>
        <v>0</v>
      </c>
      <c r="F36" s="42">
        <f>Mei!AB37</f>
        <v>70</v>
      </c>
      <c r="G36" s="42">
        <f>Mei!X37</f>
        <v>16597.89999999851</v>
      </c>
      <c r="H36" s="42">
        <f>Mei!AE37</f>
        <v>8900.0000000005457</v>
      </c>
      <c r="I36" s="42">
        <f>Mei!AI37</f>
        <v>17683.119999998544</v>
      </c>
      <c r="J36" s="42">
        <f>Mei!AN37</f>
        <v>5133.1199999999553</v>
      </c>
      <c r="K36" s="42">
        <f>Mei!AR37</f>
        <v>8900.0000000014552</v>
      </c>
      <c r="L36" s="42">
        <f>Mei!AZ37</f>
        <v>367.20000000001164</v>
      </c>
      <c r="M36" s="42">
        <f>Mei!BC37</f>
        <v>615.56999999997788</v>
      </c>
      <c r="N36" s="125">
        <f t="shared" si="19"/>
        <v>58599.01000000049</v>
      </c>
      <c r="O36" s="125">
        <f>Mei!CA37</f>
        <v>900.00000000003411</v>
      </c>
      <c r="P36" s="125">
        <f>Mei!CD37</f>
        <v>2550</v>
      </c>
      <c r="Q36" s="125">
        <f>Mei!CF37</f>
        <v>5400</v>
      </c>
      <c r="R36" s="125">
        <f>Mei!CH37</f>
        <v>0.39999999999417923</v>
      </c>
      <c r="S36" s="125">
        <f>Mei!CK37</f>
        <v>17183.119999999966</v>
      </c>
      <c r="T36" s="125">
        <f>Mei!CO37</f>
        <v>8683.1199999999099</v>
      </c>
      <c r="U36" s="125">
        <f>Mei!CS37</f>
        <v>7083.12</v>
      </c>
      <c r="V36" s="126">
        <f t="shared" si="3"/>
        <v>41799.759999999907</v>
      </c>
      <c r="W36" s="126">
        <f>Mei!CW37</f>
        <v>16600</v>
      </c>
      <c r="X36" s="126">
        <f>Mei!DA37</f>
        <v>8700</v>
      </c>
      <c r="Y36" s="126">
        <f t="shared" si="1"/>
        <v>25300</v>
      </c>
      <c r="Z36" s="42">
        <f>Mei!BR37</f>
        <v>790.00000000007731</v>
      </c>
      <c r="AA36" s="126">
        <f>Mei!BG37</f>
        <v>1799.9999999999545</v>
      </c>
      <c r="AB36" s="126">
        <f>Mei!BJ37</f>
        <v>9700.0000000007276</v>
      </c>
      <c r="AC36" s="126">
        <f>Mei!BL37+Mei!BN37+Mei!BP37</f>
        <v>5159.9999999999682</v>
      </c>
      <c r="AD36" s="126">
        <f>Mei!DR37</f>
        <v>11600</v>
      </c>
      <c r="AE36" s="127">
        <f>Mei!DT37-Mei!DR77-Mei!DT77</f>
        <v>16600</v>
      </c>
      <c r="AF36" s="127">
        <f>Mei!DR77+Mei!DT77</f>
        <v>0</v>
      </c>
      <c r="AG36" s="127">
        <f>Mei!HJ37-AE36</f>
        <v>101400</v>
      </c>
      <c r="AH36" s="127">
        <f>Mei!DW37</f>
        <v>4599.9999999994543</v>
      </c>
      <c r="AI36" s="127">
        <f>Mei!DZ37</f>
        <v>7083.12</v>
      </c>
      <c r="AJ36" s="127">
        <f>Mei!EC37</f>
        <v>24243.119999999999</v>
      </c>
      <c r="AK36" s="127">
        <f t="shared" si="4"/>
        <v>35926.239999999452</v>
      </c>
      <c r="AL36" s="127">
        <f>Mei!EG37</f>
        <v>28243.119999999999</v>
      </c>
      <c r="AM36" s="127">
        <f>Mei!EJ37</f>
        <v>12083.12</v>
      </c>
      <c r="AN36" s="127">
        <f>Mei!EM37</f>
        <v>860.00000000001364</v>
      </c>
      <c r="AO36" s="127">
        <f t="shared" si="20"/>
        <v>41186.240000000013</v>
      </c>
      <c r="AP36" s="127">
        <f>Mei!FX37</f>
        <v>36000</v>
      </c>
      <c r="AQ36" s="127">
        <f>Mei!GA37</f>
        <v>9580.0000000000909</v>
      </c>
      <c r="AR36" s="127">
        <f>Mei!GG37</f>
        <v>9299.9999999999545</v>
      </c>
      <c r="AS36" s="127">
        <f t="shared" si="6"/>
        <v>54880.000000000044</v>
      </c>
      <c r="AT36" s="127">
        <f>Mei!EQ37</f>
        <v>7203.1200000000044</v>
      </c>
      <c r="AU36" s="127">
        <f>Mei!ET37</f>
        <v>17500</v>
      </c>
      <c r="AV36" s="127">
        <f>Mei!EW37</f>
        <v>8683.1200000003646</v>
      </c>
      <c r="AW36" s="127">
        <f>Mei!FL74</f>
        <v>11401.991325973841</v>
      </c>
      <c r="AX36" s="127">
        <f>Mei!GJ37+((Mei!GP37+Mei!GS37)*50/100)</f>
        <v>1860.0000000000455</v>
      </c>
      <c r="AY36" s="127">
        <f t="shared" si="21"/>
        <v>46648.231325974251</v>
      </c>
      <c r="AZ36" s="127">
        <f>Mei!FG37</f>
        <v>9169.7899999999972</v>
      </c>
      <c r="BA36" s="127">
        <f>Mei!FJ37</f>
        <v>17789.789999999997</v>
      </c>
      <c r="BB36" s="127">
        <f>Mei!FM74</f>
        <v>10970.918674026165</v>
      </c>
      <c r="BC36" s="127">
        <f>Mei!GM37+((Mei!GP37+Mei!GS37)*50/100)</f>
        <v>160</v>
      </c>
      <c r="BD36" s="127">
        <f t="shared" si="22"/>
        <v>38090.498674026159</v>
      </c>
      <c r="BE36" s="127">
        <f>Mei!GP37</f>
        <v>0</v>
      </c>
      <c r="BF36" s="127">
        <f>Mei!GS37</f>
        <v>320</v>
      </c>
      <c r="BG36" s="127">
        <f t="shared" si="9"/>
        <v>320</v>
      </c>
      <c r="BH36" s="127">
        <f t="shared" si="10"/>
        <v>25300</v>
      </c>
      <c r="BI36" s="127"/>
      <c r="BJ36" s="127"/>
      <c r="BK36" s="127"/>
      <c r="BL36" s="128"/>
      <c r="BM36" s="128">
        <f>((AS36)+BG36)*51%</f>
        <v>28152.000000000022</v>
      </c>
      <c r="BN36" s="128"/>
      <c r="BO36" s="128">
        <f>((AS36)+BG36)*49%</f>
        <v>27048.000000000022</v>
      </c>
      <c r="BP36" s="128"/>
      <c r="BQ36" s="128"/>
      <c r="BR36" s="128"/>
      <c r="BS36" s="128"/>
      <c r="BT36" s="42">
        <f>Mei!D75</f>
        <v>0</v>
      </c>
      <c r="BU36" s="42">
        <f>Mei!G75</f>
        <v>85000</v>
      </c>
      <c r="BV36" t="s">
        <v>363</v>
      </c>
      <c r="BX36" s="42">
        <f>Mei!HJ37</f>
        <v>118000</v>
      </c>
      <c r="BY36" s="42">
        <f>Mei!HM37</f>
        <v>0</v>
      </c>
      <c r="BZ36" s="42">
        <f>Mei!HP37</f>
        <v>31352.5</v>
      </c>
      <c r="CA36" s="42">
        <f>Mei!HS37</f>
        <v>28052.499999999818</v>
      </c>
      <c r="CB36" s="42">
        <f>Mei!HV37</f>
        <v>8752.5000000000909</v>
      </c>
      <c r="CC36" s="42">
        <f>Mei!HY37</f>
        <v>26952.499999999909</v>
      </c>
      <c r="CD36" s="42">
        <f>Mei!IB37</f>
        <v>6290</v>
      </c>
      <c r="CE36" s="42">
        <f>Mei!IE37</f>
        <v>0</v>
      </c>
      <c r="CF36" s="42">
        <f>Mei!IH37</f>
        <v>16600</v>
      </c>
    </row>
    <row r="37" spans="1:87" x14ac:dyDescent="0.25">
      <c r="A37" s="26">
        <f t="shared" si="14"/>
        <v>31</v>
      </c>
      <c r="B37" s="42">
        <f>Mei!G38</f>
        <v>417920.00000002736</v>
      </c>
      <c r="C37" s="42">
        <f>Mei!N38</f>
        <v>420000</v>
      </c>
      <c r="D37" s="42">
        <f>Mei!T38</f>
        <v>329.12999999895692</v>
      </c>
      <c r="E37" s="42">
        <f>Mei!V38</f>
        <v>0</v>
      </c>
      <c r="F37" s="42">
        <f>Mei!AB38</f>
        <v>80</v>
      </c>
      <c r="G37" s="42">
        <f>Mei!X38</f>
        <v>18490.870000000679</v>
      </c>
      <c r="H37" s="42">
        <f>Mei!AE38</f>
        <v>8500</v>
      </c>
      <c r="I37" s="42">
        <f>Mei!AI38</f>
        <v>16481.790000000365</v>
      </c>
      <c r="J37" s="42">
        <f>Mei!AN38</f>
        <v>5331.7900000000236</v>
      </c>
      <c r="K37" s="42">
        <f>Mei!AR38</f>
        <v>8199.9999999989086</v>
      </c>
      <c r="L37" s="42">
        <f>Mei!AZ38</f>
        <v>406.27999999996973</v>
      </c>
      <c r="M37" s="42">
        <f>Mei!BC38</f>
        <v>606.91000000000349</v>
      </c>
      <c r="N37" s="125">
        <f t="shared" si="19"/>
        <v>58426.769999998905</v>
      </c>
      <c r="O37" s="125">
        <f>Mei!CA38</f>
        <v>879.99999999999545</v>
      </c>
      <c r="P37" s="125">
        <f>Mei!CD38</f>
        <v>2660</v>
      </c>
      <c r="Q37" s="125">
        <f>Mei!CF38</f>
        <v>5400</v>
      </c>
      <c r="R37" s="125">
        <f>Mei!CH38</f>
        <v>0</v>
      </c>
      <c r="S37" s="125">
        <f>Mei!CK38</f>
        <v>16001.790000000005</v>
      </c>
      <c r="T37" s="125">
        <f>Mei!CO38</f>
        <v>8481.7899999999099</v>
      </c>
      <c r="U37" s="125">
        <f>Mei!CS38</f>
        <v>6821.79</v>
      </c>
      <c r="V37" s="126">
        <f t="shared" si="3"/>
        <v>40245.369999999915</v>
      </c>
      <c r="W37" s="126">
        <f>Mei!CW38</f>
        <v>16300</v>
      </c>
      <c r="X37" s="126">
        <f>Mei!DA38</f>
        <v>9700</v>
      </c>
      <c r="Y37" s="126">
        <f t="shared" si="1"/>
        <v>26000</v>
      </c>
      <c r="Z37" s="42">
        <f>Mei!BR38</f>
        <v>480.00000000001819</v>
      </c>
      <c r="AA37" s="126">
        <f>Mei!BG38</f>
        <v>1900.0000000000909</v>
      </c>
      <c r="AB37" s="126">
        <f>Mei!BJ38</f>
        <v>9799.9999999992724</v>
      </c>
      <c r="AC37" s="126">
        <f>Mei!BL38+Mei!BN38+Mei!BP38</f>
        <v>5069.9999999999591</v>
      </c>
      <c r="AD37" s="126">
        <f>Mei!DR38</f>
        <v>9200</v>
      </c>
      <c r="AE37" s="127">
        <f>Mei!DT38-Mei!DR78-Mei!DT78</f>
        <v>17900</v>
      </c>
      <c r="AF37" s="127">
        <f>Mei!DR78+Mei!DT78</f>
        <v>0</v>
      </c>
      <c r="AG37" s="127">
        <f>Mei!HJ38-AE37</f>
        <v>116100</v>
      </c>
      <c r="AH37" s="127">
        <f>Mei!DW38</f>
        <v>4500</v>
      </c>
      <c r="AI37" s="127">
        <f>Mei!DZ38</f>
        <v>6881.79</v>
      </c>
      <c r="AJ37" s="127">
        <f>Mei!EC38</f>
        <v>23041.79</v>
      </c>
      <c r="AK37" s="127">
        <f t="shared" si="4"/>
        <v>34423.58</v>
      </c>
      <c r="AL37" s="127">
        <f>Mei!EG38</f>
        <v>30041.79</v>
      </c>
      <c r="AM37" s="127">
        <f>Mei!EJ38</f>
        <v>11881.79</v>
      </c>
      <c r="AN37" s="127">
        <f>Mei!EM38</f>
        <v>710.00000000003638</v>
      </c>
      <c r="AO37" s="127">
        <f t="shared" si="20"/>
        <v>42633.580000000038</v>
      </c>
      <c r="AP37" s="127">
        <f>Mei!FX38</f>
        <v>37300</v>
      </c>
      <c r="AQ37" s="127">
        <f>Mei!GA38</f>
        <v>9670</v>
      </c>
      <c r="AR37" s="127">
        <f>Mei!GG38</f>
        <v>9200.0000000000455</v>
      </c>
      <c r="AS37" s="127">
        <f t="shared" si="6"/>
        <v>56170.000000000044</v>
      </c>
      <c r="AT37" s="127">
        <f>Mei!EQ38</f>
        <v>7881.79</v>
      </c>
      <c r="AU37" s="127">
        <f>Mei!ET38</f>
        <v>19100.000000000364</v>
      </c>
      <c r="AV37" s="127">
        <f>Mei!EW38</f>
        <v>8581.789999999819</v>
      </c>
      <c r="AW37" s="127">
        <f>Mei!FL75</f>
        <v>10912.597190250164</v>
      </c>
      <c r="AX37" s="127">
        <f>Mei!GJ38+((Mei!GP38+Mei!GS38)*50/100)</f>
        <v>1969.9999999999545</v>
      </c>
      <c r="AY37" s="127">
        <f t="shared" si="21"/>
        <v>48446.177190250302</v>
      </c>
      <c r="AZ37" s="127">
        <f>Mei!FG38</f>
        <v>7948.46</v>
      </c>
      <c r="BA37" s="127">
        <f>Mei!FJ38</f>
        <v>17748.459999999272</v>
      </c>
      <c r="BB37" s="127">
        <f>Mei!FM75</f>
        <v>11917.652809749838</v>
      </c>
      <c r="BC37" s="127">
        <f>Mei!GM38+((Mei!GP38+Mei!GS38)*50/100)</f>
        <v>170</v>
      </c>
      <c r="BD37" s="127">
        <f t="shared" si="22"/>
        <v>37784.572809749108</v>
      </c>
      <c r="BE37" s="127">
        <f>Mei!GP38</f>
        <v>10</v>
      </c>
      <c r="BF37" s="127">
        <f>Mei!GS38</f>
        <v>330</v>
      </c>
      <c r="BG37" s="127">
        <f t="shared" si="9"/>
        <v>340</v>
      </c>
      <c r="BH37" s="127">
        <f t="shared" si="10"/>
        <v>26000</v>
      </c>
      <c r="BI37" s="127"/>
      <c r="BJ37" s="127"/>
      <c r="BK37" s="127"/>
      <c r="BL37" s="128"/>
      <c r="BM37" s="128">
        <f>((AS37)+BG37)*49%</f>
        <v>27689.90000000002</v>
      </c>
      <c r="BN37" s="128"/>
      <c r="BO37" s="128">
        <f>((AS37)+BG37)*51%</f>
        <v>28820.100000000024</v>
      </c>
      <c r="BP37" s="128"/>
      <c r="BQ37" s="128"/>
      <c r="BR37" s="128"/>
      <c r="BS37" s="128"/>
      <c r="BT37" s="42">
        <f>Mei!D76</f>
        <v>0</v>
      </c>
      <c r="BU37" s="42">
        <f>Mei!G76</f>
        <v>87000</v>
      </c>
      <c r="BV37" t="s">
        <v>364</v>
      </c>
      <c r="BX37" s="42">
        <f>Mei!HJ38</f>
        <v>134000</v>
      </c>
      <c r="BY37" s="42">
        <f>Mei!HM38</f>
        <v>0</v>
      </c>
      <c r="BZ37" s="42">
        <f>Mei!HS38</f>
        <v>27244.999999999909</v>
      </c>
      <c r="CA37" s="42">
        <f>Mei!HV38</f>
        <v>14244.999999999909</v>
      </c>
      <c r="CB37" s="42">
        <f>Mei!HY38</f>
        <v>25445.000000000182</v>
      </c>
      <c r="CC37" s="42">
        <f>Mei!HP38</f>
        <v>33645</v>
      </c>
      <c r="CD37" s="42">
        <f>Mei!IB38</f>
        <v>15520</v>
      </c>
      <c r="CE37" s="42"/>
      <c r="CF37" s="42">
        <f>Mei!IH38</f>
        <v>17900</v>
      </c>
    </row>
    <row r="38" spans="1:87" x14ac:dyDescent="0.25">
      <c r="A38" s="129" t="s">
        <v>37</v>
      </c>
      <c r="B38" s="130">
        <f t="shared" ref="B38:AJ38" si="23">SUM(B7:B37)</f>
        <v>13314560.000000004</v>
      </c>
      <c r="C38" s="130">
        <f t="shared" si="23"/>
        <v>13230000</v>
      </c>
      <c r="D38" s="130">
        <f t="shared" si="23"/>
        <v>6118.3600000012666</v>
      </c>
      <c r="E38" s="130">
        <f t="shared" si="23"/>
        <v>5621.7600000000093</v>
      </c>
      <c r="F38" s="130">
        <f t="shared" si="23"/>
        <v>54250</v>
      </c>
      <c r="G38" s="130">
        <f t="shared" si="23"/>
        <v>408909.87999999837</v>
      </c>
      <c r="H38" s="130">
        <f t="shared" si="23"/>
        <v>191000.00000000049</v>
      </c>
      <c r="I38" s="130">
        <f t="shared" si="23"/>
        <v>410178.49999999971</v>
      </c>
      <c r="J38" s="130">
        <f t="shared" si="23"/>
        <v>177918.50000000012</v>
      </c>
      <c r="K38" s="130">
        <f t="shared" si="23"/>
        <v>326500</v>
      </c>
      <c r="L38" s="130">
        <f t="shared" si="23"/>
        <v>12506.559999999998</v>
      </c>
      <c r="M38" s="130">
        <f t="shared" si="23"/>
        <v>18949.25</v>
      </c>
      <c r="N38" s="130">
        <f t="shared" si="23"/>
        <v>1611952.8099999998</v>
      </c>
      <c r="O38" s="130">
        <f t="shared" si="23"/>
        <v>20750</v>
      </c>
      <c r="P38" s="130">
        <f t="shared" si="23"/>
        <v>61670</v>
      </c>
      <c r="Q38" s="130">
        <f t="shared" si="23"/>
        <v>187200</v>
      </c>
      <c r="R38" s="130">
        <f t="shared" si="23"/>
        <v>1355.8999999999942</v>
      </c>
      <c r="S38" s="130">
        <f t="shared" si="23"/>
        <v>512528.49999999994</v>
      </c>
      <c r="T38" s="130">
        <f t="shared" si="23"/>
        <v>209899.46999999977</v>
      </c>
      <c r="U38" s="130">
        <f t="shared" si="23"/>
        <v>190308.47</v>
      </c>
      <c r="V38" s="130">
        <f t="shared" si="23"/>
        <v>1183712.3400000001</v>
      </c>
      <c r="W38" s="130">
        <f t="shared" si="23"/>
        <v>466900</v>
      </c>
      <c r="X38" s="130">
        <f t="shared" si="23"/>
        <v>261500</v>
      </c>
      <c r="Y38" s="130">
        <f t="shared" si="23"/>
        <v>728400</v>
      </c>
      <c r="Z38" s="130">
        <f t="shared" si="23"/>
        <v>18389.999999999985</v>
      </c>
      <c r="AA38" s="130">
        <f t="shared" si="23"/>
        <v>63100.000000000131</v>
      </c>
      <c r="AB38" s="130">
        <f t="shared" si="23"/>
        <v>289099.9999999986</v>
      </c>
      <c r="AC38" s="130">
        <f t="shared" si="23"/>
        <v>144969.99999999994</v>
      </c>
      <c r="AD38" s="130">
        <f t="shared" si="23"/>
        <v>287400</v>
      </c>
      <c r="AE38" s="130">
        <f t="shared" si="23"/>
        <v>576220</v>
      </c>
      <c r="AF38" s="130">
        <f t="shared" si="23"/>
        <v>579.99999999999818</v>
      </c>
      <c r="AG38" s="130">
        <f t="shared" si="23"/>
        <v>3282880.0000000005</v>
      </c>
      <c r="AH38" s="130">
        <f t="shared" si="23"/>
        <v>128500.00000000003</v>
      </c>
      <c r="AI38" s="130">
        <f t="shared" si="23"/>
        <v>200278.5</v>
      </c>
      <c r="AJ38" s="130">
        <f t="shared" si="23"/>
        <v>705238.50000000012</v>
      </c>
      <c r="AK38" s="130">
        <f t="shared" ref="AK38:BU38" si="24">SUM(AK7:AK37)</f>
        <v>1034017</v>
      </c>
      <c r="AL38" s="130">
        <f t="shared" si="24"/>
        <v>841238.50000000012</v>
      </c>
      <c r="AM38" s="130">
        <f t="shared" si="24"/>
        <v>344278.49999999994</v>
      </c>
      <c r="AN38" s="130">
        <f t="shared" si="24"/>
        <v>22679.999999999945</v>
      </c>
      <c r="AO38" s="130">
        <f t="shared" si="24"/>
        <v>1208196.9999999998</v>
      </c>
      <c r="AP38" s="130">
        <f t="shared" si="24"/>
        <v>740900</v>
      </c>
      <c r="AQ38" s="130">
        <f t="shared" si="24"/>
        <v>217910.00000000009</v>
      </c>
      <c r="AR38" s="130">
        <f t="shared" si="24"/>
        <v>229150.00000000052</v>
      </c>
      <c r="AS38" s="130">
        <f t="shared" si="24"/>
        <v>1187960.0000000005</v>
      </c>
      <c r="AT38" s="130">
        <f t="shared" si="24"/>
        <v>212283.50000000003</v>
      </c>
      <c r="AU38" s="130">
        <f t="shared" si="24"/>
        <v>509100.00000000035</v>
      </c>
      <c r="AV38" s="130">
        <f t="shared" si="24"/>
        <v>238978.49999999977</v>
      </c>
      <c r="AW38" s="130">
        <f t="shared" si="24"/>
        <v>382187.27158345492</v>
      </c>
      <c r="AX38" s="130">
        <f t="shared" si="24"/>
        <v>51424.999999999898</v>
      </c>
      <c r="AY38" s="130">
        <f t="shared" si="24"/>
        <v>1393974.2715834549</v>
      </c>
      <c r="AZ38" s="130">
        <f t="shared" si="24"/>
        <v>314943.4800000001</v>
      </c>
      <c r="BA38" s="130">
        <f t="shared" si="24"/>
        <v>503948.48</v>
      </c>
      <c r="BB38" s="130">
        <f t="shared" si="24"/>
        <v>386039.70841654512</v>
      </c>
      <c r="BC38" s="130">
        <f t="shared" si="24"/>
        <v>22674.999999999909</v>
      </c>
      <c r="BD38" s="130">
        <f t="shared" si="24"/>
        <v>1227606.6684165448</v>
      </c>
      <c r="BE38" s="130">
        <f t="shared" si="24"/>
        <v>39810</v>
      </c>
      <c r="BF38" s="130">
        <f t="shared" si="24"/>
        <v>15490</v>
      </c>
      <c r="BG38" s="130">
        <f t="shared" si="24"/>
        <v>55300</v>
      </c>
      <c r="BH38" s="130">
        <f t="shared" si="24"/>
        <v>728400</v>
      </c>
      <c r="BI38" s="130">
        <f t="shared" si="24"/>
        <v>0</v>
      </c>
      <c r="BJ38" s="130">
        <f t="shared" si="24"/>
        <v>0</v>
      </c>
      <c r="BK38" s="130">
        <f t="shared" si="24"/>
        <v>0</v>
      </c>
      <c r="BL38" s="130">
        <f t="shared" si="24"/>
        <v>75519.400000000081</v>
      </c>
      <c r="BM38" s="130">
        <f t="shared" si="24"/>
        <v>756803.20000000054</v>
      </c>
      <c r="BN38" s="130">
        <f t="shared" si="24"/>
        <v>0</v>
      </c>
      <c r="BO38" s="130">
        <f t="shared" si="24"/>
        <v>359587.39999999997</v>
      </c>
      <c r="BP38" s="130">
        <f t="shared" si="24"/>
        <v>22804</v>
      </c>
      <c r="BQ38" s="130">
        <f t="shared" si="24"/>
        <v>0</v>
      </c>
      <c r="BR38" s="130">
        <f t="shared" si="24"/>
        <v>0</v>
      </c>
      <c r="BS38" s="130">
        <f t="shared" si="24"/>
        <v>28546</v>
      </c>
      <c r="BT38" s="130">
        <f t="shared" si="24"/>
        <v>372800</v>
      </c>
      <c r="BU38" s="130">
        <f t="shared" si="24"/>
        <v>1352000</v>
      </c>
      <c r="BV38" s="164"/>
      <c r="BX38" s="130">
        <f t="shared" ref="BX38:CF38" si="25">SUM(BX7:BX37)</f>
        <v>3859100.0000000005</v>
      </c>
      <c r="BY38" s="130">
        <f t="shared" si="25"/>
        <v>0</v>
      </c>
      <c r="BZ38" s="130">
        <f t="shared" si="25"/>
        <v>943725.04999999993</v>
      </c>
      <c r="CA38" s="130">
        <f t="shared" si="25"/>
        <v>745525.04999999946</v>
      </c>
      <c r="CB38" s="130">
        <f t="shared" si="25"/>
        <v>706125.05000000051</v>
      </c>
      <c r="CC38" s="130">
        <f t="shared" si="25"/>
        <v>751735.04999999993</v>
      </c>
      <c r="CD38" s="130">
        <f t="shared" si="25"/>
        <v>134470</v>
      </c>
      <c r="CE38" s="130">
        <f t="shared" ref="CE38" si="26">SUM(CE7:CE37)</f>
        <v>719.8</v>
      </c>
      <c r="CF38" s="130">
        <f t="shared" si="25"/>
        <v>576800</v>
      </c>
    </row>
    <row r="39" spans="1:87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H40" s="224" t="s">
        <v>252</v>
      </c>
      <c r="BI40" s="514" t="s">
        <v>366</v>
      </c>
      <c r="BJ40" s="514"/>
      <c r="BK40" s="514"/>
      <c r="BL40" s="514"/>
      <c r="BM40" s="514"/>
      <c r="BN40" s="514"/>
      <c r="BO40" s="514"/>
      <c r="BP40" s="514"/>
      <c r="BQ40" s="221"/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BH41" s="225">
        <v>45778</v>
      </c>
      <c r="BI41" s="498" t="s">
        <v>349</v>
      </c>
      <c r="BJ41" s="498"/>
      <c r="BK41" s="498"/>
      <c r="BL41" s="498"/>
      <c r="BM41" s="498"/>
      <c r="BN41" s="498"/>
      <c r="BO41" s="498"/>
      <c r="BP41" s="498"/>
      <c r="BQ41" s="221"/>
      <c r="BR41" s="91"/>
      <c r="BV41" s="91"/>
      <c r="BW41" t="s">
        <v>281</v>
      </c>
      <c r="BX41" s="91">
        <f>BX38</f>
        <v>3859100.0000000005</v>
      </c>
      <c r="CH41" t="s">
        <v>336</v>
      </c>
      <c r="CI41">
        <f>$Y$38</f>
        <v>728400</v>
      </c>
    </row>
    <row r="42" spans="1:87" x14ac:dyDescent="0.25">
      <c r="B42" t="s">
        <v>106</v>
      </c>
      <c r="C42" s="24">
        <f>B38</f>
        <v>13314560.000000004</v>
      </c>
      <c r="D42" s="91"/>
      <c r="N42" s="132"/>
      <c r="O42" s="132"/>
      <c r="P42" s="132"/>
      <c r="Q42" s="132"/>
      <c r="R42" s="132"/>
      <c r="S42" s="132"/>
      <c r="T42" s="132"/>
      <c r="U42" s="132"/>
      <c r="V42" s="497">
        <v>45809</v>
      </c>
      <c r="W42" s="497"/>
      <c r="X42" s="497"/>
      <c r="Y42" s="497"/>
      <c r="Z42" s="497"/>
      <c r="AA42" s="497"/>
      <c r="AB42" s="497"/>
      <c r="AC42" s="497"/>
      <c r="AD42" s="497"/>
      <c r="AK42" s="3"/>
      <c r="AL42" s="3"/>
      <c r="AM42" s="3"/>
      <c r="AN42" s="3"/>
      <c r="AO42" s="3"/>
      <c r="AP42" s="3"/>
      <c r="AQ42" s="3"/>
      <c r="AR42" s="3"/>
      <c r="BH42" s="225">
        <v>45779</v>
      </c>
      <c r="BI42" s="498" t="s">
        <v>350</v>
      </c>
      <c r="BJ42" s="498"/>
      <c r="BK42" s="498"/>
      <c r="BL42" s="498"/>
      <c r="BM42" s="498"/>
      <c r="BN42" s="498"/>
      <c r="BO42" s="498"/>
      <c r="BP42" s="498"/>
      <c r="BQ42" s="221"/>
      <c r="BW42" t="s">
        <v>258</v>
      </c>
      <c r="BX42" s="91">
        <f>BY38</f>
        <v>0</v>
      </c>
      <c r="CH42" t="s">
        <v>17</v>
      </c>
      <c r="CI42">
        <f>$AS$38</f>
        <v>1187960.0000000005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406" t="s">
        <v>158</v>
      </c>
      <c r="W43" s="406"/>
      <c r="X43" s="406"/>
      <c r="Y43" s="406"/>
      <c r="Z43" s="406"/>
      <c r="AA43" s="406" t="s">
        <v>159</v>
      </c>
      <c r="AB43" s="406"/>
      <c r="AC43" s="406"/>
      <c r="AD43" s="406"/>
      <c r="AK43" s="169"/>
      <c r="AL43" s="134"/>
      <c r="AM43" s="134"/>
      <c r="AN43" s="170"/>
      <c r="AO43" s="169"/>
      <c r="AP43" s="134"/>
      <c r="AQ43" s="134"/>
      <c r="AR43" s="134"/>
      <c r="BH43" s="225">
        <v>45780</v>
      </c>
      <c r="BI43" s="498" t="s">
        <v>351</v>
      </c>
      <c r="BJ43" s="498"/>
      <c r="BK43" s="498"/>
      <c r="BL43" s="498"/>
      <c r="BM43" s="498"/>
      <c r="BN43" s="498"/>
      <c r="BO43" s="498"/>
      <c r="BP43" s="498"/>
      <c r="BQ43" s="221"/>
      <c r="BW43" t="s">
        <v>204</v>
      </c>
      <c r="BX43" s="91">
        <f>BZ38</f>
        <v>943725.04999999993</v>
      </c>
      <c r="CH43" t="s">
        <v>19</v>
      </c>
      <c r="CI43">
        <f>$BG$38</f>
        <v>55300</v>
      </c>
    </row>
    <row r="44" spans="1:87" x14ac:dyDescent="0.25">
      <c r="B44" t="s">
        <v>120</v>
      </c>
      <c r="C44" s="24">
        <f>N38</f>
        <v>1611952.8099999998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H44" s="225">
        <v>45781</v>
      </c>
      <c r="BI44" s="498" t="s">
        <v>351</v>
      </c>
      <c r="BJ44" s="498"/>
      <c r="BK44" s="498"/>
      <c r="BL44" s="498"/>
      <c r="BM44" s="498"/>
      <c r="BN44" s="498"/>
      <c r="BO44" s="498"/>
      <c r="BP44" s="498"/>
      <c r="BQ44" s="221"/>
      <c r="BW44" t="s">
        <v>260</v>
      </c>
      <c r="BX44" s="91">
        <f>CA38</f>
        <v>745525.04999999946</v>
      </c>
      <c r="CI44">
        <f>SUM(CI41:CI43)</f>
        <v>1971660.0000000005</v>
      </c>
    </row>
    <row r="45" spans="1:87" x14ac:dyDescent="0.25">
      <c r="B45" t="s">
        <v>157</v>
      </c>
      <c r="C45" s="24">
        <f>V38</f>
        <v>1183712.3400000001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H45" s="225">
        <v>45782</v>
      </c>
      <c r="BI45" s="498" t="s">
        <v>352</v>
      </c>
      <c r="BJ45" s="498"/>
      <c r="BK45" s="498"/>
      <c r="BL45" s="498"/>
      <c r="BM45" s="498"/>
      <c r="BN45" s="498"/>
      <c r="BO45" s="498"/>
      <c r="BP45" s="498"/>
      <c r="BQ45" s="221"/>
      <c r="BW45" t="s">
        <v>261</v>
      </c>
      <c r="BX45" s="91">
        <f>CB38</f>
        <v>706125.05000000051</v>
      </c>
      <c r="CH45" t="s">
        <v>337</v>
      </c>
      <c r="CI45">
        <f>SUM($BH$38:$BK$38)</f>
        <v>728400</v>
      </c>
    </row>
    <row r="46" spans="1:87" x14ac:dyDescent="0.25">
      <c r="B46" t="s">
        <v>160</v>
      </c>
      <c r="C46" s="24">
        <f>Y38</f>
        <v>728400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H46" s="225">
        <v>45783</v>
      </c>
      <c r="BI46" s="498" t="s">
        <v>349</v>
      </c>
      <c r="BJ46" s="498"/>
      <c r="BK46" s="498"/>
      <c r="BL46" s="498"/>
      <c r="BM46" s="498"/>
      <c r="BN46" s="498"/>
      <c r="BO46" s="498"/>
      <c r="BP46" s="498"/>
      <c r="BQ46" s="221"/>
      <c r="BW46" t="s">
        <v>318</v>
      </c>
      <c r="BX46" s="91">
        <f>$CC$38</f>
        <v>751735.04999999993</v>
      </c>
      <c r="CH46" t="s">
        <v>333</v>
      </c>
      <c r="CI46">
        <f>SUM($BL$38:$BO$38)</f>
        <v>1191910.0000000005</v>
      </c>
    </row>
    <row r="47" spans="1:87" x14ac:dyDescent="0.25">
      <c r="B47" t="s">
        <v>128</v>
      </c>
      <c r="C47" s="24">
        <f>AK38</f>
        <v>1034017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H47" s="225">
        <v>45784</v>
      </c>
      <c r="BI47" s="498" t="s">
        <v>348</v>
      </c>
      <c r="BJ47" s="498"/>
      <c r="BK47" s="498"/>
      <c r="BL47" s="498"/>
      <c r="BM47" s="498"/>
      <c r="BN47" s="498"/>
      <c r="BO47" s="498"/>
      <c r="BP47" s="498"/>
      <c r="BQ47" s="221"/>
      <c r="BW47" t="s">
        <v>346</v>
      </c>
      <c r="BX47" s="91">
        <f>$CD$38</f>
        <v>134470</v>
      </c>
      <c r="CH47" t="s">
        <v>331</v>
      </c>
      <c r="CI47">
        <f>SUM($BP$38:$BS$38)</f>
        <v>51350</v>
      </c>
    </row>
    <row r="48" spans="1:87" x14ac:dyDescent="0.25">
      <c r="B48" t="s">
        <v>130</v>
      </c>
      <c r="C48" s="24">
        <f>AO38</f>
        <v>1208196.9999999998</v>
      </c>
      <c r="D48" s="91"/>
      <c r="N48" s="132"/>
      <c r="O48" s="132"/>
      <c r="P48" s="132"/>
      <c r="Q48" s="132"/>
      <c r="R48" s="132"/>
      <c r="S48" s="132"/>
      <c r="T48" s="132"/>
      <c r="U48" s="132"/>
      <c r="V48" s="406" t="s">
        <v>178</v>
      </c>
      <c r="W48" s="406"/>
      <c r="X48" s="406"/>
      <c r="Y48" s="406"/>
      <c r="Z48" s="406"/>
      <c r="AA48" s="406" t="s">
        <v>161</v>
      </c>
      <c r="AB48" s="406"/>
      <c r="AC48" s="406" t="s">
        <v>162</v>
      </c>
      <c r="AD48" s="406"/>
      <c r="BH48" s="225">
        <v>45785</v>
      </c>
      <c r="BI48" s="498" t="s">
        <v>353</v>
      </c>
      <c r="BJ48" s="498"/>
      <c r="BK48" s="498"/>
      <c r="BL48" s="498"/>
      <c r="BM48" s="498"/>
      <c r="BN48" s="498"/>
      <c r="BO48" s="498"/>
      <c r="BP48" s="498"/>
      <c r="BQ48" s="221"/>
      <c r="BW48" t="s">
        <v>358</v>
      </c>
      <c r="BX48" s="91">
        <f>CE38</f>
        <v>719.8</v>
      </c>
      <c r="CI48">
        <f>SUM(CI45:CI47)</f>
        <v>1971660.0000000005</v>
      </c>
    </row>
    <row r="49" spans="2:76" x14ac:dyDescent="0.25">
      <c r="B49" t="s">
        <v>132</v>
      </c>
      <c r="C49" s="24">
        <f>AY38</f>
        <v>1393974.2715834549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H49" s="225">
        <v>45786</v>
      </c>
      <c r="BI49" s="498" t="s">
        <v>353</v>
      </c>
      <c r="BJ49" s="498"/>
      <c r="BK49" s="498"/>
      <c r="BL49" s="498"/>
      <c r="BM49" s="498"/>
      <c r="BN49" s="498"/>
      <c r="BO49" s="498"/>
      <c r="BP49" s="498"/>
      <c r="BQ49" s="221"/>
      <c r="BW49" t="s">
        <v>282</v>
      </c>
      <c r="BX49" s="91">
        <f>$CF$38</f>
        <v>576800</v>
      </c>
    </row>
    <row r="50" spans="2:76" x14ac:dyDescent="0.25">
      <c r="B50" t="s">
        <v>133</v>
      </c>
      <c r="C50" s="69">
        <f>BD38</f>
        <v>1227606.6684165448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H50" s="225">
        <v>45787</v>
      </c>
      <c r="BI50" s="498" t="s">
        <v>353</v>
      </c>
      <c r="BJ50" s="498"/>
      <c r="BK50" s="498"/>
      <c r="BL50" s="498"/>
      <c r="BM50" s="498"/>
      <c r="BN50" s="498"/>
      <c r="BO50" s="498"/>
      <c r="BP50" s="498"/>
      <c r="BQ50" s="221"/>
      <c r="BX50" s="91"/>
    </row>
    <row r="51" spans="2:76" x14ac:dyDescent="0.25">
      <c r="B51" t="s">
        <v>131</v>
      </c>
      <c r="C51" s="24">
        <f>AS38</f>
        <v>1187960.0000000005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H51" s="225">
        <v>45788</v>
      </c>
      <c r="BI51" s="498" t="s">
        <v>353</v>
      </c>
      <c r="BJ51" s="498"/>
      <c r="BK51" s="498"/>
      <c r="BL51" s="498"/>
      <c r="BM51" s="498"/>
      <c r="BN51" s="498"/>
      <c r="BO51" s="498"/>
      <c r="BP51" s="498"/>
      <c r="BQ51" s="221"/>
      <c r="BW51" t="s">
        <v>98</v>
      </c>
      <c r="BX51" s="91">
        <f>BX41+BX42-BX43-BX44-BX45-BX46-BX47-BX48-BX49</f>
        <v>0</v>
      </c>
    </row>
    <row r="52" spans="2:76" x14ac:dyDescent="0.25">
      <c r="B52" t="s">
        <v>19</v>
      </c>
      <c r="C52" s="24">
        <f>BG38</f>
        <v>55300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H52" s="225">
        <v>45789</v>
      </c>
      <c r="BI52" s="498" t="s">
        <v>353</v>
      </c>
      <c r="BJ52" s="498"/>
      <c r="BK52" s="498"/>
      <c r="BL52" s="498"/>
      <c r="BM52" s="498"/>
      <c r="BN52" s="498"/>
      <c r="BO52" s="498"/>
      <c r="BP52" s="498"/>
      <c r="BQ52" s="221"/>
    </row>
    <row r="53" spans="2:76" x14ac:dyDescent="0.25">
      <c r="B53" t="s">
        <v>163</v>
      </c>
      <c r="C53" s="24">
        <f>AA38</f>
        <v>63100.000000000131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H53" s="225">
        <v>45790</v>
      </c>
      <c r="BI53" s="498" t="s">
        <v>353</v>
      </c>
      <c r="BJ53" s="498"/>
      <c r="BK53" s="498"/>
      <c r="BL53" s="498"/>
      <c r="BM53" s="498"/>
      <c r="BN53" s="498"/>
      <c r="BO53" s="498"/>
      <c r="BP53" s="498"/>
      <c r="BQ53" s="221"/>
    </row>
    <row r="54" spans="2:76" x14ac:dyDescent="0.25">
      <c r="B54" t="s">
        <v>6</v>
      </c>
      <c r="C54" s="24">
        <f>AB38</f>
        <v>289099.9999999986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H54" s="225">
        <v>45791</v>
      </c>
      <c r="BI54" s="498" t="s">
        <v>353</v>
      </c>
      <c r="BJ54" s="498"/>
      <c r="BK54" s="498"/>
      <c r="BL54" s="498"/>
      <c r="BM54" s="498"/>
      <c r="BN54" s="498"/>
      <c r="BO54" s="498"/>
      <c r="BP54" s="498"/>
      <c r="BQ54" s="221"/>
    </row>
    <row r="55" spans="2:76" x14ac:dyDescent="0.25">
      <c r="B55" t="s">
        <v>164</v>
      </c>
      <c r="C55" s="24">
        <f>Z38</f>
        <v>18389.999999999985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H55" s="225">
        <v>45792</v>
      </c>
      <c r="BI55" s="498" t="s">
        <v>353</v>
      </c>
      <c r="BJ55" s="498"/>
      <c r="BK55" s="498"/>
      <c r="BL55" s="498"/>
      <c r="BM55" s="498"/>
      <c r="BN55" s="498"/>
      <c r="BO55" s="498"/>
      <c r="BP55" s="498"/>
      <c r="BQ55" s="221"/>
    </row>
    <row r="56" spans="2:76" x14ac:dyDescent="0.25">
      <c r="B56" t="s">
        <v>165</v>
      </c>
      <c r="C56" s="24">
        <f>AC38</f>
        <v>144969.99999999994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H56" s="225">
        <v>45793</v>
      </c>
      <c r="BI56" s="498" t="s">
        <v>354</v>
      </c>
      <c r="BJ56" s="498"/>
      <c r="BK56" s="498"/>
      <c r="BL56" s="498"/>
      <c r="BM56" s="498"/>
      <c r="BN56" s="498"/>
      <c r="BO56" s="498"/>
      <c r="BP56" s="498"/>
      <c r="BQ56" s="221"/>
    </row>
    <row r="57" spans="2:76" x14ac:dyDescent="0.25">
      <c r="B57" t="s">
        <v>181</v>
      </c>
      <c r="C57" s="24">
        <f>AD38</f>
        <v>287400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H57" s="225">
        <v>45794</v>
      </c>
      <c r="BI57" s="498" t="s">
        <v>354</v>
      </c>
      <c r="BJ57" s="498"/>
      <c r="BK57" s="498"/>
      <c r="BL57" s="498"/>
      <c r="BM57" s="498"/>
      <c r="BN57" s="498"/>
      <c r="BO57" s="498"/>
      <c r="BP57" s="498"/>
      <c r="BQ57" s="221"/>
    </row>
    <row r="58" spans="2:76" x14ac:dyDescent="0.25">
      <c r="B58" t="s">
        <v>166</v>
      </c>
      <c r="C58" s="24">
        <f>AE38</f>
        <v>576220</v>
      </c>
      <c r="D58" s="91"/>
      <c r="N58" s="91"/>
      <c r="O58" s="91"/>
      <c r="P58" s="91"/>
      <c r="Q58" s="91"/>
      <c r="R58" s="91"/>
      <c r="S58" s="91"/>
      <c r="T58" s="91"/>
      <c r="U58" s="91"/>
      <c r="BH58" s="225">
        <v>45795</v>
      </c>
      <c r="BI58" s="498" t="s">
        <v>354</v>
      </c>
      <c r="BJ58" s="498"/>
      <c r="BK58" s="498"/>
      <c r="BL58" s="498"/>
      <c r="BM58" s="498"/>
      <c r="BN58" s="498"/>
      <c r="BO58" s="498"/>
      <c r="BP58" s="498"/>
      <c r="BQ58" s="221"/>
    </row>
    <row r="59" spans="2:76" x14ac:dyDescent="0.25">
      <c r="B59" t="s">
        <v>250</v>
      </c>
      <c r="C59" s="24">
        <f>AF38</f>
        <v>579.99999999999818</v>
      </c>
      <c r="D59" s="91"/>
      <c r="N59" s="91"/>
      <c r="O59" s="91"/>
      <c r="P59" s="91"/>
      <c r="Q59" s="91"/>
      <c r="R59" s="91"/>
      <c r="S59" s="91"/>
      <c r="T59" s="91"/>
      <c r="U59" s="91"/>
      <c r="BH59" s="225">
        <v>45796</v>
      </c>
      <c r="BI59" s="498" t="s">
        <v>355</v>
      </c>
      <c r="BJ59" s="498"/>
      <c r="BK59" s="498"/>
      <c r="BL59" s="498"/>
      <c r="BM59" s="498"/>
      <c r="BN59" s="498"/>
      <c r="BO59" s="498"/>
      <c r="BP59" s="498"/>
      <c r="BQ59" s="221"/>
    </row>
    <row r="60" spans="2:76" x14ac:dyDescent="0.25">
      <c r="B60" t="s">
        <v>251</v>
      </c>
      <c r="C60" s="24">
        <f>AG38</f>
        <v>3282880.0000000005</v>
      </c>
      <c r="D60" s="91"/>
      <c r="N60" s="91"/>
      <c r="O60" s="91"/>
      <c r="P60" s="91"/>
      <c r="Q60" s="91"/>
      <c r="R60" s="91"/>
      <c r="S60" s="91"/>
      <c r="T60" s="91"/>
      <c r="U60" s="91"/>
      <c r="BH60" s="225">
        <v>45797</v>
      </c>
      <c r="BI60" s="498" t="s">
        <v>356</v>
      </c>
      <c r="BJ60" s="498"/>
      <c r="BK60" s="498"/>
      <c r="BL60" s="498"/>
      <c r="BM60" s="498"/>
      <c r="BN60" s="498"/>
      <c r="BO60" s="498"/>
      <c r="BP60" s="498"/>
      <c r="BQ60" s="221"/>
    </row>
    <row r="61" spans="2:76" x14ac:dyDescent="0.25">
      <c r="B61" t="s">
        <v>191</v>
      </c>
      <c r="C61" s="24">
        <f>BT38</f>
        <v>372800</v>
      </c>
      <c r="D61" s="91"/>
      <c r="N61" s="3"/>
      <c r="O61" s="3"/>
      <c r="P61" s="3"/>
      <c r="Q61" s="3"/>
      <c r="R61" s="3"/>
      <c r="S61" s="3"/>
      <c r="T61" s="3"/>
      <c r="U61" s="3"/>
      <c r="BH61" s="225">
        <v>45798</v>
      </c>
      <c r="BI61" s="498" t="s">
        <v>359</v>
      </c>
      <c r="BJ61" s="498"/>
      <c r="BK61" s="498"/>
      <c r="BL61" s="498"/>
      <c r="BM61" s="498"/>
      <c r="BN61" s="498"/>
      <c r="BO61" s="498"/>
      <c r="BP61" s="498"/>
      <c r="BQ61" s="221"/>
    </row>
    <row r="62" spans="2:76" x14ac:dyDescent="0.25">
      <c r="B62" t="s">
        <v>192</v>
      </c>
      <c r="C62" s="24">
        <f>BU38</f>
        <v>1352000</v>
      </c>
      <c r="D62" s="91"/>
      <c r="N62" s="3"/>
      <c r="O62" s="3"/>
      <c r="P62" s="3"/>
      <c r="Q62" s="3"/>
      <c r="R62" s="3"/>
      <c r="S62" s="3"/>
      <c r="T62" s="3"/>
      <c r="U62" s="3"/>
      <c r="BH62" s="225">
        <v>45799</v>
      </c>
      <c r="BI62" s="498" t="s">
        <v>359</v>
      </c>
      <c r="BJ62" s="498"/>
      <c r="BK62" s="498"/>
      <c r="BL62" s="498"/>
      <c r="BM62" s="498"/>
      <c r="BN62" s="498"/>
      <c r="BO62" s="498"/>
      <c r="BP62" s="498"/>
      <c r="BQ62" s="221"/>
    </row>
    <row r="63" spans="2:76" x14ac:dyDescent="0.25">
      <c r="B63" t="s">
        <v>167</v>
      </c>
      <c r="C63" s="24">
        <f>C42-C44-C45-C46-C47-C48-C49-C50-C51-C52-C53-C54-C55-C56-C57-C58-C61+C62-C59-C60</f>
        <v>-8.9999995660036802E-2</v>
      </c>
      <c r="D63" s="3"/>
      <c r="N63" s="3"/>
      <c r="O63" s="3"/>
      <c r="P63" s="3"/>
      <c r="Q63" s="3"/>
      <c r="R63" s="3"/>
      <c r="S63" s="3"/>
      <c r="T63" s="3"/>
      <c r="U63" s="3"/>
      <c r="BH63" s="225">
        <v>45800</v>
      </c>
      <c r="BI63" s="498" t="s">
        <v>360</v>
      </c>
      <c r="BJ63" s="498"/>
      <c r="BK63" s="498"/>
      <c r="BL63" s="498"/>
      <c r="BM63" s="498"/>
      <c r="BN63" s="498"/>
      <c r="BO63" s="498"/>
      <c r="BP63" s="498"/>
      <c r="BQ63" s="221"/>
    </row>
    <row r="64" spans="2:76" x14ac:dyDescent="0.25">
      <c r="BH64" s="225">
        <v>45801</v>
      </c>
      <c r="BI64" s="498" t="s">
        <v>361</v>
      </c>
      <c r="BJ64" s="498"/>
      <c r="BK64" s="498"/>
      <c r="BL64" s="498"/>
      <c r="BM64" s="498"/>
      <c r="BN64" s="498"/>
      <c r="BO64" s="498"/>
      <c r="BP64" s="498"/>
      <c r="BQ64" s="221"/>
    </row>
    <row r="65" spans="2:69" x14ac:dyDescent="0.25">
      <c r="BH65" s="225">
        <v>45802</v>
      </c>
      <c r="BI65" s="498" t="s">
        <v>362</v>
      </c>
      <c r="BJ65" s="498"/>
      <c r="BK65" s="498"/>
      <c r="BL65" s="498"/>
      <c r="BM65" s="498"/>
      <c r="BN65" s="498"/>
      <c r="BO65" s="498"/>
      <c r="BP65" s="498"/>
      <c r="BQ65" s="221"/>
    </row>
    <row r="66" spans="2:69" x14ac:dyDescent="0.25">
      <c r="B66" s="3"/>
      <c r="C66" s="3"/>
      <c r="D66" s="151"/>
      <c r="BH66" s="225">
        <v>45803</v>
      </c>
      <c r="BI66" s="498" t="s">
        <v>363</v>
      </c>
      <c r="BJ66" s="498"/>
      <c r="BK66" s="498"/>
      <c r="BL66" s="498"/>
      <c r="BM66" s="498"/>
      <c r="BN66" s="498"/>
      <c r="BO66" s="498"/>
      <c r="BP66" s="498"/>
      <c r="BQ66" s="221"/>
    </row>
    <row r="67" spans="2:69" x14ac:dyDescent="0.25">
      <c r="BH67" s="225">
        <v>45804</v>
      </c>
      <c r="BI67" s="498" t="s">
        <v>364</v>
      </c>
      <c r="BJ67" s="498"/>
      <c r="BK67" s="498"/>
      <c r="BL67" s="498"/>
      <c r="BM67" s="498"/>
      <c r="BN67" s="498"/>
      <c r="BO67" s="498"/>
      <c r="BP67" s="498"/>
      <c r="BQ67" s="221"/>
    </row>
    <row r="68" spans="2:69" x14ac:dyDescent="0.25">
      <c r="BH68" s="225">
        <v>45805</v>
      </c>
      <c r="BI68" s="498" t="s">
        <v>363</v>
      </c>
      <c r="BJ68" s="498"/>
      <c r="BK68" s="498"/>
      <c r="BL68" s="498"/>
      <c r="BM68" s="498"/>
      <c r="BN68" s="498"/>
      <c r="BO68" s="498"/>
      <c r="BP68" s="498"/>
      <c r="BQ68" s="221"/>
    </row>
    <row r="69" spans="2:69" x14ac:dyDescent="0.25">
      <c r="BH69" s="225">
        <v>45806</v>
      </c>
      <c r="BI69" s="498" t="s">
        <v>360</v>
      </c>
      <c r="BJ69" s="498"/>
      <c r="BK69" s="498"/>
      <c r="BL69" s="498"/>
      <c r="BM69" s="498"/>
      <c r="BN69" s="498"/>
      <c r="BO69" s="498"/>
      <c r="BP69" s="498"/>
      <c r="BQ69" s="221"/>
    </row>
    <row r="70" spans="2:69" x14ac:dyDescent="0.25">
      <c r="BH70" s="225">
        <v>45807</v>
      </c>
      <c r="BI70" s="498" t="s">
        <v>363</v>
      </c>
      <c r="BJ70" s="498"/>
      <c r="BK70" s="498"/>
      <c r="BL70" s="498"/>
      <c r="BM70" s="498"/>
      <c r="BN70" s="498"/>
      <c r="BO70" s="498"/>
      <c r="BP70" s="498"/>
      <c r="BQ70" s="221"/>
    </row>
    <row r="71" spans="2:69" x14ac:dyDescent="0.25">
      <c r="BH71" s="225">
        <v>45808</v>
      </c>
      <c r="BI71" s="498" t="s">
        <v>364</v>
      </c>
      <c r="BJ71" s="498"/>
      <c r="BK71" s="498"/>
      <c r="BL71" s="498"/>
      <c r="BM71" s="498"/>
      <c r="BN71" s="498"/>
      <c r="BO71" s="498"/>
      <c r="BP71" s="498"/>
      <c r="BQ71" s="221"/>
    </row>
    <row r="72" spans="2:69" x14ac:dyDescent="0.25">
      <c r="BH72" s="221"/>
      <c r="BI72" s="221"/>
      <c r="BJ72" s="221"/>
      <c r="BK72" s="221"/>
      <c r="BL72" s="221"/>
      <c r="BM72" s="221"/>
      <c r="BN72" s="221"/>
      <c r="BO72" s="221"/>
      <c r="BP72" s="221"/>
      <c r="BQ72" s="221"/>
    </row>
  </sheetData>
  <customSheetViews>
    <customSheetView guid="{48545DB9-4D9D-4699-ACEC-DA6E2D3586A8}" scale="85" fitToPage="1" hiddenColumns="1">
      <pane xSplit="1" ySplit="6" topLeftCell="B13" activePane="bottomRight" state="frozen"/>
      <selection pane="bottomRight" activeCell="Z21" sqref="Z21"/>
      <pageMargins left="0.11811023622047245" right="0" top="0.74803149606299213" bottom="0.35433070866141736" header="0.31496062992125984" footer="0.31496062992125984"/>
      <pageSetup paperSize="9" scale="42" orientation="landscape" r:id="rId1"/>
    </customSheetView>
    <customSheetView guid="{32ABFE17-599B-4D0B-A1DB-D95B181877FC}" scale="85" fitToPage="1" hiddenColumns="1">
      <pane xSplit="1" ySplit="6" topLeftCell="B13" activePane="bottomRight" state="frozen"/>
      <selection pane="bottomRight" activeCell="Z21" sqref="Z21"/>
      <pageMargins left="0.11811023622047245" right="0" top="0.74803149606299213" bottom="0.35433070866141736" header="0.31496062992125984" footer="0.31496062992125984"/>
      <pageSetup paperSize="9" scale="42" orientation="landscape" r:id="rId2"/>
    </customSheetView>
  </customSheetViews>
  <mergeCells count="84">
    <mergeCell ref="BI70:BP70"/>
    <mergeCell ref="BI71:BP71"/>
    <mergeCell ref="BI65:BP65"/>
    <mergeCell ref="BI66:BP66"/>
    <mergeCell ref="BI67:BP67"/>
    <mergeCell ref="BI68:BP68"/>
    <mergeCell ref="BI69:BP69"/>
    <mergeCell ref="BI60:BP60"/>
    <mergeCell ref="BI61:BP61"/>
    <mergeCell ref="BI62:BP62"/>
    <mergeCell ref="BI63:BP63"/>
    <mergeCell ref="BI64:BP64"/>
    <mergeCell ref="BI55:BP55"/>
    <mergeCell ref="BI56:BP56"/>
    <mergeCell ref="BI57:BP57"/>
    <mergeCell ref="BI58:BP58"/>
    <mergeCell ref="BI59:BP59"/>
    <mergeCell ref="BI50:BP50"/>
    <mergeCell ref="BI51:BP51"/>
    <mergeCell ref="BI52:BP52"/>
    <mergeCell ref="BI53:BP53"/>
    <mergeCell ref="BI54:BP54"/>
    <mergeCell ref="BI45:BP45"/>
    <mergeCell ref="BI46:BP46"/>
    <mergeCell ref="BI47:BP47"/>
    <mergeCell ref="BI48:BP48"/>
    <mergeCell ref="BI49:BP49"/>
    <mergeCell ref="BI40:BP40"/>
    <mergeCell ref="BI41:BP41"/>
    <mergeCell ref="BI42:BP42"/>
    <mergeCell ref="BI43:BP43"/>
    <mergeCell ref="BI44:BP44"/>
    <mergeCell ref="AE4:AE6"/>
    <mergeCell ref="V48:Z48"/>
    <mergeCell ref="AA48:AB48"/>
    <mergeCell ref="AC48:AD48"/>
    <mergeCell ref="V43:Z43"/>
    <mergeCell ref="AA43:AD43"/>
    <mergeCell ref="D5:I5"/>
    <mergeCell ref="J5:K5"/>
    <mergeCell ref="L5:M5"/>
    <mergeCell ref="V42:AD42"/>
    <mergeCell ref="BX4:BX6"/>
    <mergeCell ref="BG4:BG6"/>
    <mergeCell ref="BH4:BK5"/>
    <mergeCell ref="BL4:BO5"/>
    <mergeCell ref="BP4:BS5"/>
    <mergeCell ref="BT4:BT6"/>
    <mergeCell ref="AL4:AN4"/>
    <mergeCell ref="AO4:AO6"/>
    <mergeCell ref="BU4:BU6"/>
    <mergeCell ref="AS4:AS6"/>
    <mergeCell ref="AT4:AW4"/>
    <mergeCell ref="AY4:AY6"/>
    <mergeCell ref="AG4:AG6"/>
    <mergeCell ref="AH4:AJ4"/>
    <mergeCell ref="AK4:AK6"/>
    <mergeCell ref="CD4:CD6"/>
    <mergeCell ref="CF4:CF6"/>
    <mergeCell ref="BY4:BY6"/>
    <mergeCell ref="BZ4:BZ6"/>
    <mergeCell ref="CA4:CA6"/>
    <mergeCell ref="CB4:CB6"/>
    <mergeCell ref="CC4:CC6"/>
    <mergeCell ref="CE4:CE6"/>
    <mergeCell ref="AZ4:BB4"/>
    <mergeCell ref="BD4:BD6"/>
    <mergeCell ref="BE4:BF4"/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P4:AR4"/>
    <mergeCell ref="AA4:AA6"/>
    <mergeCell ref="AB4:AB6"/>
    <mergeCell ref="AC4:AC6"/>
    <mergeCell ref="AD4:AD6"/>
    <mergeCell ref="AF4:AF6"/>
  </mergeCells>
  <pageMargins left="0.11811023622047245" right="0" top="0.74803149606299213" bottom="0.35433070866141736" header="0.31496062992125984" footer="0.31496062992125984"/>
  <pageSetup paperSize="9" scale="42" orientation="landscape" r:id="rId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XAU88"/>
  <sheetViews>
    <sheetView zoomScale="85" zoomScaleNormal="85" workbookViewId="0">
      <pane xSplit="1" ySplit="6" topLeftCell="GR22" activePane="bottomRight" state="frozen"/>
      <selection pane="topRight" activeCell="B1" sqref="B1"/>
      <selection pane="bottomLeft" activeCell="A7" sqref="A7"/>
      <selection pane="bottomRight" activeCell="GV7" sqref="GV7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5" bestFit="1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5" width="12.28515625" bestFit="1" customWidth="1"/>
    <col min="96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1406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11.5703125" bestFit="1" customWidth="1"/>
    <col min="183" max="183" width="10.42578125" customWidth="1"/>
    <col min="184" max="185" width="10.7109375" bestFit="1" customWidth="1"/>
    <col min="186" max="186" width="8.42578125" customWidth="1"/>
    <col min="187" max="187" width="13.85546875" customWidth="1"/>
    <col min="188" max="188" width="12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4" width="1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2" width="7.42578125" bestFit="1" customWidth="1"/>
    <col min="233" max="233" width="11" bestFit="1" customWidth="1"/>
    <col min="234" max="239" width="11" customWidth="1"/>
    <col min="240" max="240" width="5.5703125" bestFit="1" customWidth="1"/>
    <col min="241" max="241" width="7.28515625" bestFit="1" customWidth="1"/>
    <col min="242" max="242" width="11" bestFit="1" customWidth="1"/>
    <col min="243" max="243" width="24.140625" bestFit="1" customWidth="1"/>
    <col min="244" max="244" width="9.5703125" bestFit="1" customWidth="1"/>
    <col min="245" max="245" width="8.5703125" bestFit="1" customWidth="1"/>
    <col min="246" max="246" width="11" bestFit="1" customWidth="1"/>
    <col min="247" max="248" width="7.42578125" bestFit="1" customWidth="1"/>
    <col min="249" max="249" width="11" bestFit="1" customWidth="1"/>
    <col min="250" max="251" width="8.5703125" bestFit="1" customWidth="1"/>
    <col min="252" max="252" width="11" bestFit="1" customWidth="1"/>
    <col min="253" max="254" width="8.5703125" bestFit="1" customWidth="1"/>
    <col min="255" max="255" width="11" bestFit="1" customWidth="1"/>
    <col min="256" max="257" width="9.5703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8.5703125" bestFit="1" customWidth="1"/>
    <col min="263" max="263" width="7.42578125" bestFit="1" customWidth="1"/>
    <col min="264" max="264" width="11" bestFit="1" customWidth="1"/>
    <col min="265" max="265" width="9.5703125" bestFit="1" customWidth="1"/>
    <col min="266" max="266" width="8.5703125" bestFit="1" customWidth="1"/>
    <col min="267" max="267" width="11" bestFit="1" customWidth="1"/>
    <col min="268" max="268" width="9.5703125" bestFit="1" customWidth="1"/>
    <col min="269" max="269" width="7.42578125" bestFit="1" customWidth="1"/>
    <col min="270" max="270" width="11" bestFit="1" customWidth="1"/>
    <col min="271" max="272" width="8.5703125" bestFit="1" customWidth="1"/>
    <col min="273" max="273" width="11" bestFit="1" customWidth="1"/>
    <col min="274" max="275" width="9.5703125" bestFit="1" customWidth="1"/>
    <col min="276" max="276" width="11" bestFit="1" customWidth="1"/>
    <col min="277" max="277" width="9.5703125" bestFit="1" customWidth="1"/>
    <col min="278" max="278" width="8.5703125" bestFit="1" customWidth="1"/>
    <col min="279" max="279" width="11" bestFit="1" customWidth="1"/>
    <col min="280" max="281" width="8.5703125" bestFit="1" customWidth="1"/>
    <col min="282" max="282" width="11" bestFit="1" customWidth="1"/>
    <col min="283" max="283" width="9.5703125" bestFit="1" customWidth="1"/>
    <col min="284" max="284" width="10.5703125" bestFit="1" customWidth="1"/>
    <col min="285" max="285" width="11" bestFit="1" customWidth="1"/>
    <col min="286" max="286" width="7.42578125" bestFit="1" customWidth="1"/>
    <col min="287" max="287" width="7.28515625" bestFit="1" customWidth="1"/>
    <col min="288" max="288" width="11" bestFit="1" customWidth="1"/>
    <col min="289" max="289" width="8.5703125" bestFit="1" customWidth="1"/>
    <col min="290" max="290" width="7.42578125" bestFit="1" customWidth="1"/>
    <col min="291" max="291" width="11" bestFit="1" customWidth="1"/>
    <col min="292" max="292" width="12.140625" bestFit="1" customWidth="1"/>
    <col min="293" max="293" width="14.42578125" bestFit="1" customWidth="1"/>
    <col min="294" max="294" width="13.28515625" bestFit="1" customWidth="1"/>
    <col min="295" max="295" width="11.5703125" bestFit="1" customWidth="1"/>
    <col min="296" max="296" width="7.7109375" bestFit="1" customWidth="1"/>
    <col min="297" max="298" width="14.42578125" bestFit="1" customWidth="1"/>
    <col min="299" max="299" width="11.5703125" bestFit="1" customWidth="1"/>
    <col min="300" max="300" width="7.7109375" bestFit="1" customWidth="1"/>
    <col min="301" max="301" width="13.5703125" customWidth="1"/>
    <col min="302" max="302" width="15.28515625" customWidth="1"/>
    <col min="303" max="303" width="14.5703125" customWidth="1"/>
    <col min="304" max="304" width="13.28515625" bestFit="1" customWidth="1"/>
    <col min="305" max="305" width="7.7109375" bestFit="1" customWidth="1"/>
    <col min="306" max="306" width="12.7109375" bestFit="1" customWidth="1"/>
    <col min="307" max="307" width="11.7109375" bestFit="1" customWidth="1"/>
    <col min="308" max="308" width="11.5703125" bestFit="1" customWidth="1"/>
    <col min="309" max="309" width="5.28515625" bestFit="1" customWidth="1"/>
    <col min="310" max="310" width="13.28515625" bestFit="1" customWidth="1"/>
    <col min="311" max="311" width="13.5703125" bestFit="1" customWidth="1"/>
    <col min="312" max="312" width="10.5703125" bestFit="1" customWidth="1"/>
    <col min="313" max="313" width="13.28515625" bestFit="1" customWidth="1"/>
    <col min="314" max="314" width="11.5703125" bestFit="1" customWidth="1"/>
    <col min="315" max="315" width="10.5703125" bestFit="1" customWidth="1"/>
    <col min="316" max="316" width="16.140625" bestFit="1" customWidth="1"/>
    <col min="317" max="318" width="11.28515625" bestFit="1" customWidth="1"/>
    <col min="319" max="319" width="13.28515625" bestFit="1" customWidth="1"/>
    <col min="320" max="320" width="7.7109375" bestFit="1" customWidth="1"/>
    <col min="321" max="324" width="9.140625" hidden="1" customWidth="1"/>
    <col min="325" max="325" width="10.42578125" bestFit="1" customWidth="1"/>
    <col min="326" max="326" width="10.5703125" bestFit="1" customWidth="1"/>
    <col min="327" max="327" width="10.42578125" bestFit="1" customWidth="1"/>
    <col min="328" max="328" width="10.5703125" bestFit="1" customWidth="1"/>
    <col min="329" max="329" width="9.5703125" bestFit="1" customWidth="1"/>
    <col min="330" max="330" width="11.5703125" bestFit="1" customWidth="1"/>
    <col min="331" max="331" width="10.42578125" bestFit="1" customWidth="1"/>
    <col min="332" max="332" width="10.85546875" customWidth="1"/>
    <col min="333" max="334" width="9.85546875" bestFit="1" customWidth="1"/>
    <col min="335" max="335" width="13.5703125" bestFit="1" customWidth="1"/>
    <col min="336" max="336" width="7.7109375" bestFit="1" customWidth="1"/>
    <col min="337" max="337" width="13.28515625" bestFit="1" customWidth="1"/>
    <col min="338" max="338" width="11.5703125" bestFit="1" customWidth="1"/>
    <col min="339" max="339" width="10.42578125" bestFit="1" customWidth="1"/>
    <col min="340" max="340" width="7.7109375" bestFit="1" customWidth="1"/>
    <col min="341" max="341" width="11.5703125" bestFit="1" customWidth="1"/>
    <col min="342" max="342" width="10.85546875" bestFit="1" customWidth="1"/>
    <col min="343" max="343" width="13.28515625" bestFit="1" customWidth="1"/>
    <col min="344" max="344" width="10.85546875" bestFit="1" customWidth="1"/>
    <col min="345" max="346" width="7.5703125" bestFit="1" customWidth="1"/>
    <col min="347" max="348" width="10.42578125" bestFit="1" customWidth="1"/>
    <col min="349" max="349" width="11.5703125" bestFit="1" customWidth="1"/>
    <col min="350" max="350" width="5.28515625" bestFit="1" customWidth="1"/>
    <col min="351" max="351" width="10.28515625" bestFit="1" customWidth="1"/>
    <col min="352" max="352" width="10.42578125" bestFit="1" customWidth="1"/>
    <col min="353" max="353" width="11.5703125" bestFit="1" customWidth="1"/>
    <col min="354" max="354" width="5.28515625" bestFit="1" customWidth="1"/>
    <col min="355" max="357" width="11.5703125" bestFit="1" customWidth="1"/>
    <col min="358" max="358" width="5.28515625" bestFit="1" customWidth="1"/>
    <col min="359" max="360" width="10.42578125" bestFit="1" customWidth="1"/>
    <col min="361" max="361" width="11.5703125" bestFit="1" customWidth="1"/>
    <col min="362" max="362" width="5.28515625" bestFit="1" customWidth="1"/>
    <col min="363" max="363" width="14.28515625" bestFit="1" customWidth="1"/>
    <col min="364" max="364" width="13" bestFit="1" customWidth="1"/>
    <col min="365" max="365" width="11.5703125" bestFit="1" customWidth="1"/>
    <col min="366" max="366" width="8.85546875" bestFit="1" customWidth="1"/>
    <col min="367" max="367" width="14.42578125" bestFit="1" customWidth="1"/>
    <col min="368" max="368" width="10.42578125" bestFit="1" customWidth="1"/>
    <col min="369" max="369" width="12.28515625" bestFit="1" customWidth="1"/>
    <col min="370" max="370" width="13.85546875" bestFit="1" customWidth="1"/>
    <col min="371" max="371" width="11.28515625" customWidth="1"/>
    <col min="372" max="372" width="11.5703125" customWidth="1"/>
    <col min="373" max="373" width="13.42578125" bestFit="1" customWidth="1"/>
    <col min="374" max="374" width="10.42578125" customWidth="1"/>
    <col min="375" max="375" width="13.85546875" bestFit="1" customWidth="1"/>
    <col min="376" max="376" width="15.42578125" bestFit="1" customWidth="1"/>
    <col min="377" max="377" width="12.28515625" bestFit="1" customWidth="1"/>
    <col min="378" max="378" width="12.7109375" customWidth="1"/>
    <col min="379" max="379" width="10.7109375" bestFit="1" customWidth="1"/>
    <col min="380" max="380" width="9.85546875" customWidth="1"/>
    <col min="381" max="382" width="10.140625" bestFit="1" customWidth="1"/>
    <col min="383" max="383" width="7.5703125" bestFit="1" customWidth="1"/>
    <col min="384" max="384" width="9.42578125" bestFit="1" customWidth="1"/>
    <col min="385" max="385" width="14.5703125" bestFit="1" customWidth="1"/>
    <col min="386" max="386" width="14.85546875" customWidth="1"/>
    <col min="387" max="387" width="15.140625" bestFit="1" customWidth="1"/>
    <col min="388" max="388" width="12.140625" bestFit="1" customWidth="1"/>
    <col min="389" max="389" width="14.85546875" bestFit="1" customWidth="1"/>
    <col min="390" max="390" width="12.28515625" bestFit="1" customWidth="1"/>
    <col min="391" max="399" width="9.140625" hidden="1" customWidth="1"/>
    <col min="400" max="400" width="5.28515625" bestFit="1" customWidth="1"/>
    <col min="401" max="406" width="11.5703125" bestFit="1" customWidth="1"/>
    <col min="407" max="407" width="11.28515625" bestFit="1" customWidth="1"/>
    <col min="408" max="408" width="10.140625" bestFit="1" customWidth="1"/>
    <col min="409" max="409" width="11.5703125" bestFit="1" customWidth="1"/>
    <col min="410" max="410" width="16.140625" customWidth="1"/>
    <col min="411" max="411" width="13.42578125" customWidth="1"/>
    <col min="412" max="412" width="10.140625" bestFit="1" customWidth="1"/>
    <col min="413" max="413" width="12.85546875" bestFit="1" customWidth="1"/>
    <col min="414" max="414" width="12.28515625" bestFit="1" customWidth="1"/>
    <col min="415" max="415" width="11.28515625" bestFit="1" customWidth="1"/>
    <col min="416" max="416" width="11.5703125" bestFit="1" customWidth="1"/>
    <col min="417" max="417" width="10.85546875" bestFit="1" customWidth="1"/>
    <col min="418" max="418" width="11.28515625" bestFit="1" customWidth="1"/>
    <col min="419" max="419" width="10.140625" bestFit="1" customWidth="1"/>
    <col min="420" max="420" width="13.28515625" bestFit="1" customWidth="1"/>
    <col min="421" max="422" width="12.7109375" bestFit="1" customWidth="1"/>
    <col min="423" max="423" width="11" bestFit="1" customWidth="1"/>
    <col min="424" max="424" width="11.28515625" bestFit="1" customWidth="1"/>
    <col min="425" max="425" width="11.5703125" bestFit="1" customWidth="1"/>
    <col min="426" max="426" width="12.28515625" bestFit="1" customWidth="1"/>
    <col min="427" max="427" width="15.140625" bestFit="1" customWidth="1"/>
    <col min="428" max="428" width="14.42578125" bestFit="1" customWidth="1"/>
    <col min="429" max="429" width="12.28515625" bestFit="1" customWidth="1"/>
    <col min="430" max="430" width="15.140625" bestFit="1" customWidth="1"/>
    <col min="431" max="431" width="14.42578125" bestFit="1" customWidth="1"/>
    <col min="432" max="432" width="12.28515625" bestFit="1" customWidth="1"/>
    <col min="433" max="433" width="14.42578125" bestFit="1" customWidth="1"/>
    <col min="434" max="434" width="11.28515625" bestFit="1" customWidth="1"/>
    <col min="435" max="435" width="12.28515625" bestFit="1" customWidth="1"/>
    <col min="436" max="436" width="13" bestFit="1" customWidth="1"/>
    <col min="437" max="437" width="15.140625" bestFit="1" customWidth="1"/>
    <col min="438" max="438" width="12.28515625" bestFit="1" customWidth="1"/>
    <col min="439" max="439" width="13.85546875" bestFit="1" customWidth="1"/>
    <col min="440" max="440" width="11.28515625" bestFit="1" customWidth="1"/>
    <col min="441" max="441" width="12.28515625" bestFit="1" customWidth="1"/>
    <col min="442" max="442" width="13.85546875" bestFit="1" customWidth="1"/>
    <col min="443" max="444" width="15.140625" bestFit="1" customWidth="1"/>
    <col min="445" max="445" width="12.28515625" bestFit="1" customWidth="1"/>
    <col min="446" max="446" width="5.7109375" bestFit="1" customWidth="1"/>
    <col min="447" max="447" width="8.5703125" bestFit="1" customWidth="1"/>
    <col min="448" max="448" width="5.5703125" bestFit="1" customWidth="1"/>
    <col min="449" max="449" width="14.42578125" bestFit="1" customWidth="1"/>
    <col min="450" max="450" width="11.28515625" bestFit="1" customWidth="1"/>
    <col min="451" max="452" width="12.28515625" bestFit="1" customWidth="1"/>
    <col min="453" max="453" width="11.28515625" bestFit="1" customWidth="1"/>
    <col min="454" max="454" width="13.85546875" bestFit="1" customWidth="1"/>
    <col min="455" max="455" width="12" bestFit="1" customWidth="1"/>
    <col min="456" max="456" width="13.85546875" bestFit="1" customWidth="1"/>
    <col min="457" max="458" width="14.42578125" customWidth="1"/>
    <col min="459" max="459" width="10.140625" bestFit="1" customWidth="1"/>
    <col min="460" max="460" width="12.28515625" bestFit="1" customWidth="1"/>
    <col min="461" max="461" width="7.42578125" bestFit="1" customWidth="1"/>
    <col min="462" max="462" width="8.5703125" bestFit="1" customWidth="1"/>
    <col min="463" max="463" width="11.5703125" bestFit="1" customWidth="1"/>
    <col min="464" max="464" width="13.28515625" bestFit="1" customWidth="1"/>
    <col min="465" max="465" width="13.28515625" customWidth="1"/>
    <col min="466" max="466" width="13.140625" customWidth="1"/>
    <col min="467" max="467" width="12.7109375" bestFit="1" customWidth="1"/>
    <col min="468" max="468" width="13.28515625" bestFit="1" customWidth="1"/>
    <col min="469" max="471" width="13.28515625" customWidth="1"/>
    <col min="472" max="472" width="12.140625" bestFit="1" customWidth="1"/>
    <col min="473" max="473" width="12.7109375" bestFit="1" customWidth="1"/>
    <col min="474" max="474" width="11" customWidth="1"/>
    <col min="475" max="475" width="16.7109375" customWidth="1"/>
    <col min="476" max="476" width="17" customWidth="1"/>
    <col min="477" max="477" width="10.42578125" bestFit="1" customWidth="1"/>
    <col min="521" max="521" width="3.85546875" customWidth="1"/>
    <col min="522" max="522" width="15.28515625" bestFit="1" customWidth="1"/>
    <col min="523" max="523" width="12.28515625" customWidth="1"/>
    <col min="524" max="524" width="16.28515625" bestFit="1" customWidth="1"/>
    <col min="525" max="525" width="6.42578125" bestFit="1" customWidth="1"/>
    <col min="526" max="526" width="9.28515625" bestFit="1" customWidth="1"/>
    <col min="527" max="527" width="7.5703125" bestFit="1" customWidth="1"/>
    <col min="528" max="528" width="13.28515625" bestFit="1" customWidth="1"/>
    <col min="529" max="529" width="9.28515625" bestFit="1" customWidth="1"/>
    <col min="530" max="530" width="11.5703125" bestFit="1" customWidth="1"/>
    <col min="531" max="531" width="13.28515625" bestFit="1" customWidth="1"/>
    <col min="532" max="532" width="7.140625" bestFit="1" customWidth="1"/>
    <col min="533" max="533" width="12" bestFit="1" customWidth="1"/>
    <col min="534" max="534" width="13.28515625" bestFit="1" customWidth="1"/>
    <col min="535" max="535" width="7" bestFit="1" customWidth="1"/>
    <col min="536" max="536" width="12.7109375" bestFit="1" customWidth="1"/>
    <col min="537" max="537" width="11.5703125" bestFit="1" customWidth="1"/>
    <col min="538" max="538" width="10.5703125" bestFit="1" customWidth="1"/>
    <col min="539" max="540" width="15.7109375" bestFit="1" customWidth="1"/>
    <col min="541" max="541" width="11.5703125" bestFit="1" customWidth="1"/>
    <col min="542" max="542" width="7.7109375" bestFit="1" customWidth="1"/>
    <col min="543" max="543" width="15.140625" bestFit="1" customWidth="1"/>
    <col min="544" max="544" width="11.5703125" bestFit="1" customWidth="1"/>
    <col min="545" max="545" width="13.28515625" bestFit="1" customWidth="1"/>
    <col min="546" max="546" width="10.42578125" bestFit="1" customWidth="1"/>
    <col min="547" max="547" width="13.28515625" bestFit="1" customWidth="1"/>
    <col min="548" max="548" width="12.140625" bestFit="1" customWidth="1"/>
    <col min="549" max="549" width="14.42578125" bestFit="1" customWidth="1"/>
    <col min="550" max="550" width="13.28515625" bestFit="1" customWidth="1"/>
    <col min="551" max="551" width="11.5703125" bestFit="1" customWidth="1"/>
    <col min="552" max="552" width="7.7109375" bestFit="1" customWidth="1"/>
    <col min="553" max="554" width="14.42578125" bestFit="1" customWidth="1"/>
    <col min="555" max="555" width="11.5703125" bestFit="1" customWidth="1"/>
    <col min="556" max="556" width="7.7109375" bestFit="1" customWidth="1"/>
    <col min="557" max="557" width="13.5703125" customWidth="1"/>
    <col min="558" max="558" width="15.28515625" customWidth="1"/>
    <col min="559" max="559" width="14.5703125" customWidth="1"/>
    <col min="560" max="560" width="13.28515625" bestFit="1" customWidth="1"/>
    <col min="561" max="561" width="7.7109375" bestFit="1" customWidth="1"/>
    <col min="562" max="562" width="12.7109375" bestFit="1" customWidth="1"/>
    <col min="563" max="563" width="11.7109375" bestFit="1" customWidth="1"/>
    <col min="564" max="564" width="11.5703125" bestFit="1" customWidth="1"/>
    <col min="565" max="565" width="5.28515625" bestFit="1" customWidth="1"/>
    <col min="566" max="566" width="13.28515625" bestFit="1" customWidth="1"/>
    <col min="567" max="567" width="13.5703125" bestFit="1" customWidth="1"/>
    <col min="568" max="568" width="10.5703125" bestFit="1" customWidth="1"/>
    <col min="569" max="569" width="13.28515625" bestFit="1" customWidth="1"/>
    <col min="570" max="570" width="11.5703125" bestFit="1" customWidth="1"/>
    <col min="571" max="571" width="10.5703125" bestFit="1" customWidth="1"/>
    <col min="572" max="572" width="16.140625" bestFit="1" customWidth="1"/>
    <col min="573" max="574" width="11.28515625" bestFit="1" customWidth="1"/>
    <col min="575" max="575" width="13.28515625" bestFit="1" customWidth="1"/>
    <col min="576" max="576" width="7.7109375" bestFit="1" customWidth="1"/>
    <col min="577" max="580" width="9.140625" hidden="1" customWidth="1"/>
    <col min="581" max="581" width="10.42578125" bestFit="1" customWidth="1"/>
    <col min="582" max="582" width="10.5703125" bestFit="1" customWidth="1"/>
    <col min="583" max="583" width="10.42578125" bestFit="1" customWidth="1"/>
    <col min="584" max="584" width="10.5703125" bestFit="1" customWidth="1"/>
    <col min="585" max="585" width="9.5703125" bestFit="1" customWidth="1"/>
    <col min="586" max="586" width="11.5703125" bestFit="1" customWidth="1"/>
    <col min="587" max="587" width="10.42578125" bestFit="1" customWidth="1"/>
    <col min="588" max="588" width="10.85546875" customWidth="1"/>
    <col min="589" max="590" width="9.85546875" bestFit="1" customWidth="1"/>
    <col min="591" max="591" width="13.5703125" bestFit="1" customWidth="1"/>
    <col min="592" max="592" width="7.7109375" bestFit="1" customWidth="1"/>
    <col min="593" max="593" width="13.28515625" bestFit="1" customWidth="1"/>
    <col min="594" max="594" width="11.5703125" bestFit="1" customWidth="1"/>
    <col min="595" max="595" width="10.42578125" bestFit="1" customWidth="1"/>
    <col min="596" max="596" width="7.7109375" bestFit="1" customWidth="1"/>
    <col min="597" max="597" width="11.5703125" bestFit="1" customWidth="1"/>
    <col min="598" max="598" width="10.85546875" bestFit="1" customWidth="1"/>
    <col min="599" max="599" width="13.28515625" bestFit="1" customWidth="1"/>
    <col min="600" max="600" width="10.85546875" bestFit="1" customWidth="1"/>
    <col min="601" max="602" width="7.5703125" bestFit="1" customWidth="1"/>
    <col min="603" max="604" width="10.42578125" bestFit="1" customWidth="1"/>
    <col min="605" max="605" width="11.5703125" bestFit="1" customWidth="1"/>
    <col min="606" max="606" width="5.28515625" bestFit="1" customWidth="1"/>
    <col min="607" max="607" width="10.28515625" bestFit="1" customWidth="1"/>
    <col min="608" max="608" width="10.42578125" bestFit="1" customWidth="1"/>
    <col min="609" max="609" width="11.5703125" bestFit="1" customWidth="1"/>
    <col min="610" max="610" width="5.28515625" bestFit="1" customWidth="1"/>
    <col min="611" max="613" width="11.5703125" bestFit="1" customWidth="1"/>
    <col min="614" max="614" width="5.28515625" bestFit="1" customWidth="1"/>
    <col min="615" max="616" width="10.42578125" bestFit="1" customWidth="1"/>
    <col min="617" max="617" width="11.5703125" bestFit="1" customWidth="1"/>
    <col min="618" max="618" width="5.28515625" bestFit="1" customWidth="1"/>
    <col min="619" max="619" width="14.28515625" bestFit="1" customWidth="1"/>
    <col min="620" max="620" width="13" bestFit="1" customWidth="1"/>
    <col min="621" max="621" width="11.5703125" bestFit="1" customWidth="1"/>
    <col min="622" max="622" width="8.85546875" bestFit="1" customWidth="1"/>
    <col min="623" max="623" width="14.42578125" bestFit="1" customWidth="1"/>
    <col min="624" max="624" width="10.42578125" bestFit="1" customWidth="1"/>
    <col min="625" max="625" width="12.28515625" bestFit="1" customWidth="1"/>
    <col min="626" max="626" width="13.85546875" bestFit="1" customWidth="1"/>
    <col min="627" max="627" width="11.28515625" customWidth="1"/>
    <col min="628" max="628" width="11.5703125" customWidth="1"/>
    <col min="629" max="629" width="13.42578125" bestFit="1" customWidth="1"/>
    <col min="630" max="630" width="10.42578125" customWidth="1"/>
    <col min="631" max="631" width="13.85546875" bestFit="1" customWidth="1"/>
    <col min="632" max="632" width="15.42578125" bestFit="1" customWidth="1"/>
    <col min="633" max="633" width="12.28515625" bestFit="1" customWidth="1"/>
    <col min="634" max="634" width="12.7109375" customWidth="1"/>
    <col min="635" max="635" width="10.7109375" bestFit="1" customWidth="1"/>
    <col min="636" max="636" width="9.85546875" customWidth="1"/>
    <col min="637" max="638" width="10.140625" bestFit="1" customWidth="1"/>
    <col min="639" max="639" width="7.5703125" bestFit="1" customWidth="1"/>
    <col min="640" max="640" width="9.42578125" bestFit="1" customWidth="1"/>
    <col min="641" max="641" width="14.5703125" bestFit="1" customWidth="1"/>
    <col min="642" max="642" width="14.85546875" customWidth="1"/>
    <col min="643" max="643" width="15.140625" bestFit="1" customWidth="1"/>
    <col min="644" max="644" width="12.140625" bestFit="1" customWidth="1"/>
    <col min="645" max="645" width="14.85546875" bestFit="1" customWidth="1"/>
    <col min="646" max="646" width="12.28515625" bestFit="1" customWidth="1"/>
    <col min="647" max="655" width="9.140625" hidden="1" customWidth="1"/>
    <col min="656" max="656" width="5.28515625" bestFit="1" customWidth="1"/>
    <col min="657" max="662" width="11.5703125" bestFit="1" customWidth="1"/>
    <col min="663" max="663" width="11.28515625" bestFit="1" customWidth="1"/>
    <col min="664" max="664" width="10.140625" bestFit="1" customWidth="1"/>
    <col min="665" max="665" width="11.5703125" bestFit="1" customWidth="1"/>
    <col min="666" max="666" width="16.140625" customWidth="1"/>
    <col min="667" max="667" width="13.42578125" customWidth="1"/>
    <col min="668" max="668" width="10.140625" bestFit="1" customWidth="1"/>
    <col min="669" max="669" width="12.85546875" bestFit="1" customWidth="1"/>
    <col min="670" max="670" width="12.28515625" bestFit="1" customWidth="1"/>
    <col min="671" max="671" width="11.28515625" bestFit="1" customWidth="1"/>
    <col min="672" max="672" width="11.5703125" bestFit="1" customWidth="1"/>
    <col min="673" max="673" width="10.85546875" bestFit="1" customWidth="1"/>
    <col min="674" max="674" width="11.28515625" bestFit="1" customWidth="1"/>
    <col min="675" max="675" width="10.140625" bestFit="1" customWidth="1"/>
    <col min="676" max="676" width="13.28515625" bestFit="1" customWidth="1"/>
    <col min="677" max="678" width="12.7109375" bestFit="1" customWidth="1"/>
    <col min="679" max="679" width="11" bestFit="1" customWidth="1"/>
    <col min="680" max="680" width="11.28515625" bestFit="1" customWidth="1"/>
    <col min="681" max="681" width="11.5703125" bestFit="1" customWidth="1"/>
    <col min="682" max="682" width="12.28515625" bestFit="1" customWidth="1"/>
    <col min="683" max="683" width="15.140625" bestFit="1" customWidth="1"/>
    <col min="684" max="684" width="14.42578125" bestFit="1" customWidth="1"/>
    <col min="685" max="685" width="12.28515625" bestFit="1" customWidth="1"/>
    <col min="686" max="686" width="15.140625" bestFit="1" customWidth="1"/>
    <col min="687" max="687" width="14.42578125" bestFit="1" customWidth="1"/>
    <col min="688" max="688" width="12.28515625" bestFit="1" customWidth="1"/>
    <col min="689" max="689" width="14.42578125" bestFit="1" customWidth="1"/>
    <col min="690" max="690" width="11.28515625" bestFit="1" customWidth="1"/>
    <col min="691" max="691" width="12.28515625" bestFit="1" customWidth="1"/>
    <col min="692" max="692" width="13" bestFit="1" customWidth="1"/>
    <col min="693" max="693" width="15.140625" bestFit="1" customWidth="1"/>
    <col min="694" max="694" width="12.28515625" bestFit="1" customWidth="1"/>
    <col min="695" max="695" width="13.85546875" bestFit="1" customWidth="1"/>
    <col min="696" max="696" width="11.28515625" bestFit="1" customWidth="1"/>
    <col min="697" max="697" width="12.28515625" bestFit="1" customWidth="1"/>
    <col min="698" max="698" width="13.85546875" bestFit="1" customWidth="1"/>
    <col min="699" max="700" width="15.140625" bestFit="1" customWidth="1"/>
    <col min="701" max="701" width="12.28515625" bestFit="1" customWidth="1"/>
    <col min="702" max="702" width="5.7109375" bestFit="1" customWidth="1"/>
    <col min="703" max="703" width="8.5703125" bestFit="1" customWidth="1"/>
    <col min="704" max="704" width="5.5703125" bestFit="1" customWidth="1"/>
    <col min="705" max="705" width="14.42578125" bestFit="1" customWidth="1"/>
    <col min="706" max="706" width="11.28515625" bestFit="1" customWidth="1"/>
    <col min="707" max="708" width="12.28515625" bestFit="1" customWidth="1"/>
    <col min="709" max="709" width="11.28515625" bestFit="1" customWidth="1"/>
    <col min="710" max="710" width="13.85546875" bestFit="1" customWidth="1"/>
    <col min="711" max="711" width="12" bestFit="1" customWidth="1"/>
    <col min="712" max="712" width="13.85546875" bestFit="1" customWidth="1"/>
    <col min="713" max="714" width="14.42578125" customWidth="1"/>
    <col min="715" max="715" width="10.140625" bestFit="1" customWidth="1"/>
    <col min="716" max="716" width="12.28515625" bestFit="1" customWidth="1"/>
    <col min="717" max="717" width="7.42578125" bestFit="1" customWidth="1"/>
    <col min="718" max="718" width="8.5703125" bestFit="1" customWidth="1"/>
    <col min="719" max="719" width="11.5703125" bestFit="1" customWidth="1"/>
    <col min="720" max="720" width="13.28515625" bestFit="1" customWidth="1"/>
    <col min="721" max="721" width="13.28515625" customWidth="1"/>
    <col min="722" max="722" width="13.140625" customWidth="1"/>
    <col min="723" max="723" width="12.7109375" bestFit="1" customWidth="1"/>
    <col min="724" max="724" width="13.28515625" bestFit="1" customWidth="1"/>
    <col min="725" max="727" width="13.28515625" customWidth="1"/>
    <col min="728" max="728" width="12.140625" bestFit="1" customWidth="1"/>
    <col min="729" max="729" width="12.7109375" bestFit="1" customWidth="1"/>
    <col min="730" max="730" width="11" customWidth="1"/>
    <col min="731" max="731" width="16.7109375" customWidth="1"/>
    <col min="732" max="732" width="17" customWidth="1"/>
    <col min="733" max="733" width="10.42578125" bestFit="1" customWidth="1"/>
    <col min="777" max="777" width="3.85546875" customWidth="1"/>
    <col min="778" max="778" width="15.28515625" bestFit="1" customWidth="1"/>
    <col min="779" max="779" width="12.28515625" customWidth="1"/>
    <col min="780" max="780" width="16.28515625" bestFit="1" customWidth="1"/>
    <col min="781" max="781" width="6.42578125" bestFit="1" customWidth="1"/>
    <col min="782" max="782" width="9.28515625" bestFit="1" customWidth="1"/>
    <col min="783" max="783" width="7.5703125" bestFit="1" customWidth="1"/>
    <col min="784" max="784" width="13.28515625" bestFit="1" customWidth="1"/>
    <col min="785" max="785" width="9.28515625" bestFit="1" customWidth="1"/>
    <col min="786" max="786" width="11.5703125" bestFit="1" customWidth="1"/>
    <col min="787" max="787" width="13.28515625" bestFit="1" customWidth="1"/>
    <col min="788" max="788" width="7.140625" bestFit="1" customWidth="1"/>
    <col min="789" max="789" width="12" bestFit="1" customWidth="1"/>
    <col min="790" max="790" width="13.28515625" bestFit="1" customWidth="1"/>
    <col min="791" max="791" width="7" bestFit="1" customWidth="1"/>
    <col min="792" max="792" width="12.7109375" bestFit="1" customWidth="1"/>
    <col min="793" max="793" width="11.5703125" bestFit="1" customWidth="1"/>
    <col min="794" max="794" width="10.5703125" bestFit="1" customWidth="1"/>
    <col min="795" max="796" width="15.7109375" bestFit="1" customWidth="1"/>
    <col min="797" max="797" width="11.5703125" bestFit="1" customWidth="1"/>
    <col min="798" max="798" width="7.7109375" bestFit="1" customWidth="1"/>
    <col min="799" max="799" width="15.140625" bestFit="1" customWidth="1"/>
    <col min="800" max="800" width="11.5703125" bestFit="1" customWidth="1"/>
    <col min="801" max="801" width="13.28515625" bestFit="1" customWidth="1"/>
    <col min="802" max="802" width="10.42578125" bestFit="1" customWidth="1"/>
    <col min="803" max="803" width="13.28515625" bestFit="1" customWidth="1"/>
    <col min="804" max="804" width="12.140625" bestFit="1" customWidth="1"/>
    <col min="805" max="805" width="14.42578125" bestFit="1" customWidth="1"/>
    <col min="806" max="806" width="13.28515625" bestFit="1" customWidth="1"/>
    <col min="807" max="807" width="11.5703125" bestFit="1" customWidth="1"/>
    <col min="808" max="808" width="7.7109375" bestFit="1" customWidth="1"/>
    <col min="809" max="810" width="14.42578125" bestFit="1" customWidth="1"/>
    <col min="811" max="811" width="11.5703125" bestFit="1" customWidth="1"/>
    <col min="812" max="812" width="7.7109375" bestFit="1" customWidth="1"/>
    <col min="813" max="813" width="13.5703125" customWidth="1"/>
    <col min="814" max="814" width="15.28515625" customWidth="1"/>
    <col min="815" max="815" width="14.5703125" customWidth="1"/>
    <col min="816" max="816" width="13.28515625" bestFit="1" customWidth="1"/>
    <col min="817" max="817" width="7.7109375" bestFit="1" customWidth="1"/>
    <col min="818" max="818" width="12.7109375" bestFit="1" customWidth="1"/>
    <col min="819" max="819" width="11.7109375" bestFit="1" customWidth="1"/>
    <col min="820" max="820" width="11.5703125" bestFit="1" customWidth="1"/>
    <col min="821" max="821" width="5.28515625" bestFit="1" customWidth="1"/>
    <col min="822" max="822" width="13.28515625" bestFit="1" customWidth="1"/>
    <col min="823" max="823" width="13.5703125" bestFit="1" customWidth="1"/>
    <col min="824" max="824" width="10.5703125" bestFit="1" customWidth="1"/>
    <col min="825" max="825" width="13.28515625" bestFit="1" customWidth="1"/>
    <col min="826" max="826" width="11.5703125" bestFit="1" customWidth="1"/>
    <col min="827" max="827" width="10.5703125" bestFit="1" customWidth="1"/>
    <col min="828" max="828" width="16.140625" bestFit="1" customWidth="1"/>
    <col min="829" max="830" width="11.28515625" bestFit="1" customWidth="1"/>
    <col min="831" max="831" width="13.28515625" bestFit="1" customWidth="1"/>
    <col min="832" max="832" width="7.7109375" bestFit="1" customWidth="1"/>
    <col min="833" max="836" width="9.140625" hidden="1" customWidth="1"/>
    <col min="837" max="837" width="10.42578125" bestFit="1" customWidth="1"/>
    <col min="838" max="838" width="10.5703125" bestFit="1" customWidth="1"/>
    <col min="839" max="839" width="10.42578125" bestFit="1" customWidth="1"/>
    <col min="840" max="840" width="10.5703125" bestFit="1" customWidth="1"/>
    <col min="841" max="841" width="9.5703125" bestFit="1" customWidth="1"/>
    <col min="842" max="842" width="11.5703125" bestFit="1" customWidth="1"/>
    <col min="843" max="843" width="10.42578125" bestFit="1" customWidth="1"/>
    <col min="844" max="844" width="10.85546875" customWidth="1"/>
    <col min="845" max="846" width="9.85546875" bestFit="1" customWidth="1"/>
    <col min="847" max="847" width="13.5703125" bestFit="1" customWidth="1"/>
    <col min="848" max="848" width="7.7109375" bestFit="1" customWidth="1"/>
    <col min="849" max="849" width="13.28515625" bestFit="1" customWidth="1"/>
    <col min="850" max="850" width="11.5703125" bestFit="1" customWidth="1"/>
    <col min="851" max="851" width="10.42578125" bestFit="1" customWidth="1"/>
    <col min="852" max="852" width="7.7109375" bestFit="1" customWidth="1"/>
    <col min="853" max="853" width="11.5703125" bestFit="1" customWidth="1"/>
    <col min="854" max="854" width="10.85546875" bestFit="1" customWidth="1"/>
    <col min="855" max="855" width="13.28515625" bestFit="1" customWidth="1"/>
    <col min="856" max="856" width="10.85546875" bestFit="1" customWidth="1"/>
    <col min="857" max="858" width="7.5703125" bestFit="1" customWidth="1"/>
    <col min="859" max="860" width="10.42578125" bestFit="1" customWidth="1"/>
    <col min="861" max="861" width="11.5703125" bestFit="1" customWidth="1"/>
    <col min="862" max="862" width="5.28515625" bestFit="1" customWidth="1"/>
    <col min="863" max="863" width="10.28515625" bestFit="1" customWidth="1"/>
    <col min="864" max="864" width="10.42578125" bestFit="1" customWidth="1"/>
    <col min="865" max="865" width="11.5703125" bestFit="1" customWidth="1"/>
    <col min="866" max="866" width="5.28515625" bestFit="1" customWidth="1"/>
    <col min="867" max="869" width="11.5703125" bestFit="1" customWidth="1"/>
    <col min="870" max="870" width="5.28515625" bestFit="1" customWidth="1"/>
    <col min="871" max="872" width="10.42578125" bestFit="1" customWidth="1"/>
    <col min="873" max="873" width="11.5703125" bestFit="1" customWidth="1"/>
    <col min="874" max="874" width="5.28515625" bestFit="1" customWidth="1"/>
    <col min="875" max="875" width="14.28515625" bestFit="1" customWidth="1"/>
    <col min="876" max="876" width="13" bestFit="1" customWidth="1"/>
    <col min="877" max="877" width="11.5703125" bestFit="1" customWidth="1"/>
    <col min="878" max="878" width="8.85546875" bestFit="1" customWidth="1"/>
    <col min="879" max="879" width="14.42578125" bestFit="1" customWidth="1"/>
    <col min="880" max="880" width="10.42578125" bestFit="1" customWidth="1"/>
    <col min="881" max="881" width="12.28515625" bestFit="1" customWidth="1"/>
    <col min="882" max="882" width="13.85546875" bestFit="1" customWidth="1"/>
    <col min="883" max="883" width="11.28515625" customWidth="1"/>
    <col min="884" max="884" width="11.5703125" customWidth="1"/>
    <col min="885" max="885" width="13.42578125" bestFit="1" customWidth="1"/>
    <col min="886" max="886" width="10.42578125" customWidth="1"/>
    <col min="887" max="887" width="13.85546875" bestFit="1" customWidth="1"/>
    <col min="888" max="888" width="15.42578125" bestFit="1" customWidth="1"/>
    <col min="889" max="889" width="12.28515625" bestFit="1" customWidth="1"/>
    <col min="890" max="890" width="12.7109375" customWidth="1"/>
    <col min="891" max="891" width="10.7109375" bestFit="1" customWidth="1"/>
    <col min="892" max="892" width="9.85546875" customWidth="1"/>
    <col min="893" max="894" width="10.140625" bestFit="1" customWidth="1"/>
    <col min="895" max="895" width="7.5703125" bestFit="1" customWidth="1"/>
    <col min="896" max="896" width="9.42578125" bestFit="1" customWidth="1"/>
    <col min="897" max="897" width="14.5703125" bestFit="1" customWidth="1"/>
    <col min="898" max="898" width="14.85546875" customWidth="1"/>
    <col min="899" max="899" width="15.140625" bestFit="1" customWidth="1"/>
    <col min="900" max="900" width="12.140625" bestFit="1" customWidth="1"/>
    <col min="901" max="901" width="14.85546875" bestFit="1" customWidth="1"/>
    <col min="902" max="902" width="12.28515625" bestFit="1" customWidth="1"/>
    <col min="903" max="911" width="9.140625" hidden="1" customWidth="1"/>
    <col min="912" max="912" width="5.28515625" bestFit="1" customWidth="1"/>
    <col min="913" max="918" width="11.5703125" bestFit="1" customWidth="1"/>
    <col min="919" max="919" width="11.28515625" bestFit="1" customWidth="1"/>
    <col min="920" max="920" width="10.140625" bestFit="1" customWidth="1"/>
    <col min="921" max="921" width="11.5703125" bestFit="1" customWidth="1"/>
    <col min="922" max="922" width="16.140625" customWidth="1"/>
    <col min="923" max="923" width="13.42578125" customWidth="1"/>
    <col min="924" max="924" width="10.140625" bestFit="1" customWidth="1"/>
    <col min="925" max="925" width="12.85546875" bestFit="1" customWidth="1"/>
    <col min="926" max="926" width="12.28515625" bestFit="1" customWidth="1"/>
    <col min="927" max="927" width="11.28515625" bestFit="1" customWidth="1"/>
    <col min="928" max="928" width="11.5703125" bestFit="1" customWidth="1"/>
    <col min="929" max="929" width="10.85546875" bestFit="1" customWidth="1"/>
    <col min="930" max="930" width="11.28515625" bestFit="1" customWidth="1"/>
    <col min="931" max="931" width="10.140625" bestFit="1" customWidth="1"/>
    <col min="932" max="932" width="13.28515625" bestFit="1" customWidth="1"/>
    <col min="933" max="934" width="12.7109375" bestFit="1" customWidth="1"/>
    <col min="935" max="935" width="11" bestFit="1" customWidth="1"/>
    <col min="936" max="936" width="11.28515625" bestFit="1" customWidth="1"/>
    <col min="937" max="937" width="11.5703125" bestFit="1" customWidth="1"/>
    <col min="938" max="938" width="12.28515625" bestFit="1" customWidth="1"/>
    <col min="939" max="939" width="15.140625" bestFit="1" customWidth="1"/>
    <col min="940" max="940" width="14.42578125" bestFit="1" customWidth="1"/>
    <col min="941" max="941" width="12.28515625" bestFit="1" customWidth="1"/>
    <col min="942" max="942" width="15.140625" bestFit="1" customWidth="1"/>
    <col min="943" max="943" width="14.42578125" bestFit="1" customWidth="1"/>
    <col min="944" max="944" width="12.28515625" bestFit="1" customWidth="1"/>
    <col min="945" max="945" width="14.42578125" bestFit="1" customWidth="1"/>
    <col min="946" max="946" width="11.28515625" bestFit="1" customWidth="1"/>
    <col min="947" max="947" width="12.28515625" bestFit="1" customWidth="1"/>
    <col min="948" max="948" width="13" bestFit="1" customWidth="1"/>
    <col min="949" max="949" width="15.140625" bestFit="1" customWidth="1"/>
    <col min="950" max="950" width="12.28515625" bestFit="1" customWidth="1"/>
    <col min="951" max="951" width="13.85546875" bestFit="1" customWidth="1"/>
    <col min="952" max="952" width="11.28515625" bestFit="1" customWidth="1"/>
    <col min="953" max="953" width="12.28515625" bestFit="1" customWidth="1"/>
    <col min="954" max="954" width="13.85546875" bestFit="1" customWidth="1"/>
    <col min="955" max="956" width="15.140625" bestFit="1" customWidth="1"/>
    <col min="957" max="957" width="12.28515625" bestFit="1" customWidth="1"/>
    <col min="958" max="958" width="5.7109375" bestFit="1" customWidth="1"/>
    <col min="959" max="959" width="8.5703125" bestFit="1" customWidth="1"/>
    <col min="960" max="960" width="5.5703125" bestFit="1" customWidth="1"/>
    <col min="961" max="961" width="14.42578125" bestFit="1" customWidth="1"/>
    <col min="962" max="962" width="11.28515625" bestFit="1" customWidth="1"/>
    <col min="963" max="964" width="12.28515625" bestFit="1" customWidth="1"/>
    <col min="965" max="965" width="11.28515625" bestFit="1" customWidth="1"/>
    <col min="966" max="966" width="13.85546875" bestFit="1" customWidth="1"/>
    <col min="967" max="967" width="12" bestFit="1" customWidth="1"/>
    <col min="968" max="968" width="13.85546875" bestFit="1" customWidth="1"/>
    <col min="969" max="970" width="14.42578125" customWidth="1"/>
    <col min="971" max="971" width="10.140625" bestFit="1" customWidth="1"/>
    <col min="972" max="972" width="12.28515625" bestFit="1" customWidth="1"/>
    <col min="973" max="973" width="7.42578125" bestFit="1" customWidth="1"/>
    <col min="974" max="974" width="8.5703125" bestFit="1" customWidth="1"/>
    <col min="975" max="975" width="11.5703125" bestFit="1" customWidth="1"/>
    <col min="976" max="976" width="13.28515625" bestFit="1" customWidth="1"/>
    <col min="977" max="977" width="13.28515625" customWidth="1"/>
    <col min="978" max="978" width="13.140625" customWidth="1"/>
    <col min="979" max="979" width="12.7109375" bestFit="1" customWidth="1"/>
    <col min="980" max="980" width="13.28515625" bestFit="1" customWidth="1"/>
    <col min="981" max="983" width="13.28515625" customWidth="1"/>
    <col min="984" max="984" width="12.140625" bestFit="1" customWidth="1"/>
    <col min="985" max="985" width="12.7109375" bestFit="1" customWidth="1"/>
    <col min="986" max="986" width="11" customWidth="1"/>
    <col min="987" max="987" width="16.7109375" customWidth="1"/>
    <col min="988" max="988" width="17" customWidth="1"/>
    <col min="989" max="989" width="10.42578125" bestFit="1" customWidth="1"/>
    <col min="1033" max="1033" width="3.85546875" customWidth="1"/>
    <col min="1034" max="1034" width="15.28515625" bestFit="1" customWidth="1"/>
    <col min="1035" max="1035" width="12.28515625" customWidth="1"/>
    <col min="1036" max="1036" width="16.28515625" bestFit="1" customWidth="1"/>
    <col min="1037" max="1037" width="6.42578125" bestFit="1" customWidth="1"/>
    <col min="1038" max="1038" width="9.28515625" bestFit="1" customWidth="1"/>
    <col min="1039" max="1039" width="7.5703125" bestFit="1" customWidth="1"/>
    <col min="1040" max="1040" width="13.28515625" bestFit="1" customWidth="1"/>
    <col min="1041" max="1041" width="9.28515625" bestFit="1" customWidth="1"/>
    <col min="1042" max="1042" width="11.5703125" bestFit="1" customWidth="1"/>
    <col min="1043" max="1043" width="13.28515625" bestFit="1" customWidth="1"/>
    <col min="1044" max="1044" width="7.140625" bestFit="1" customWidth="1"/>
    <col min="1045" max="1045" width="12" bestFit="1" customWidth="1"/>
    <col min="1046" max="1046" width="13.28515625" bestFit="1" customWidth="1"/>
    <col min="1047" max="1047" width="7" bestFit="1" customWidth="1"/>
    <col min="1048" max="1048" width="12.7109375" bestFit="1" customWidth="1"/>
    <col min="1049" max="1049" width="11.5703125" bestFit="1" customWidth="1"/>
    <col min="1050" max="1050" width="10.5703125" bestFit="1" customWidth="1"/>
    <col min="1051" max="1052" width="15.7109375" bestFit="1" customWidth="1"/>
    <col min="1053" max="1053" width="11.5703125" bestFit="1" customWidth="1"/>
    <col min="1054" max="1054" width="7.7109375" bestFit="1" customWidth="1"/>
    <col min="1055" max="1055" width="15.140625" bestFit="1" customWidth="1"/>
    <col min="1056" max="1056" width="11.5703125" bestFit="1" customWidth="1"/>
    <col min="1057" max="1057" width="13.28515625" bestFit="1" customWidth="1"/>
    <col min="1058" max="1058" width="10.42578125" bestFit="1" customWidth="1"/>
    <col min="1059" max="1059" width="13.28515625" bestFit="1" customWidth="1"/>
    <col min="1060" max="1060" width="12.140625" bestFit="1" customWidth="1"/>
    <col min="1061" max="1061" width="14.42578125" bestFit="1" customWidth="1"/>
    <col min="1062" max="1062" width="13.28515625" bestFit="1" customWidth="1"/>
    <col min="1063" max="1063" width="11.5703125" bestFit="1" customWidth="1"/>
    <col min="1064" max="1064" width="7.7109375" bestFit="1" customWidth="1"/>
    <col min="1065" max="1066" width="14.42578125" bestFit="1" customWidth="1"/>
    <col min="1067" max="1067" width="11.5703125" bestFit="1" customWidth="1"/>
    <col min="1068" max="1068" width="7.7109375" bestFit="1" customWidth="1"/>
    <col min="1069" max="1069" width="13.5703125" customWidth="1"/>
    <col min="1070" max="1070" width="15.28515625" customWidth="1"/>
    <col min="1071" max="1071" width="14.5703125" customWidth="1"/>
    <col min="1072" max="1072" width="13.28515625" bestFit="1" customWidth="1"/>
    <col min="1073" max="1073" width="7.7109375" bestFit="1" customWidth="1"/>
    <col min="1074" max="1074" width="12.7109375" bestFit="1" customWidth="1"/>
    <col min="1075" max="1075" width="11.7109375" bestFit="1" customWidth="1"/>
    <col min="1076" max="1076" width="11.5703125" bestFit="1" customWidth="1"/>
    <col min="1077" max="1077" width="5.28515625" bestFit="1" customWidth="1"/>
    <col min="1078" max="1078" width="13.28515625" bestFit="1" customWidth="1"/>
    <col min="1079" max="1079" width="13.5703125" bestFit="1" customWidth="1"/>
    <col min="1080" max="1080" width="10.5703125" bestFit="1" customWidth="1"/>
    <col min="1081" max="1081" width="13.28515625" bestFit="1" customWidth="1"/>
    <col min="1082" max="1082" width="11.5703125" bestFit="1" customWidth="1"/>
    <col min="1083" max="1083" width="10.5703125" bestFit="1" customWidth="1"/>
    <col min="1084" max="1084" width="16.140625" bestFit="1" customWidth="1"/>
    <col min="1085" max="1086" width="11.28515625" bestFit="1" customWidth="1"/>
    <col min="1087" max="1087" width="13.28515625" bestFit="1" customWidth="1"/>
    <col min="1088" max="1088" width="7.7109375" bestFit="1" customWidth="1"/>
    <col min="1089" max="1092" width="9.140625" hidden="1" customWidth="1"/>
    <col min="1093" max="1093" width="10.42578125" bestFit="1" customWidth="1"/>
    <col min="1094" max="1094" width="10.5703125" bestFit="1" customWidth="1"/>
    <col min="1095" max="1095" width="10.42578125" bestFit="1" customWidth="1"/>
    <col min="1096" max="1096" width="10.5703125" bestFit="1" customWidth="1"/>
    <col min="1097" max="1097" width="9.5703125" bestFit="1" customWidth="1"/>
    <col min="1098" max="1098" width="11.5703125" bestFit="1" customWidth="1"/>
    <col min="1099" max="1099" width="10.42578125" bestFit="1" customWidth="1"/>
    <col min="1100" max="1100" width="10.85546875" customWidth="1"/>
    <col min="1101" max="1102" width="9.85546875" bestFit="1" customWidth="1"/>
    <col min="1103" max="1103" width="13.5703125" bestFit="1" customWidth="1"/>
    <col min="1104" max="1104" width="7.7109375" bestFit="1" customWidth="1"/>
    <col min="1105" max="1105" width="13.28515625" bestFit="1" customWidth="1"/>
    <col min="1106" max="1106" width="11.5703125" bestFit="1" customWidth="1"/>
    <col min="1107" max="1107" width="10.42578125" bestFit="1" customWidth="1"/>
    <col min="1108" max="1108" width="7.7109375" bestFit="1" customWidth="1"/>
    <col min="1109" max="1109" width="11.5703125" bestFit="1" customWidth="1"/>
    <col min="1110" max="1110" width="10.85546875" bestFit="1" customWidth="1"/>
    <col min="1111" max="1111" width="13.28515625" bestFit="1" customWidth="1"/>
    <col min="1112" max="1112" width="10.85546875" bestFit="1" customWidth="1"/>
    <col min="1113" max="1114" width="7.5703125" bestFit="1" customWidth="1"/>
    <col min="1115" max="1116" width="10.42578125" bestFit="1" customWidth="1"/>
    <col min="1117" max="1117" width="11.5703125" bestFit="1" customWidth="1"/>
    <col min="1118" max="1118" width="5.28515625" bestFit="1" customWidth="1"/>
    <col min="1119" max="1119" width="10.28515625" bestFit="1" customWidth="1"/>
    <col min="1120" max="1120" width="10.42578125" bestFit="1" customWidth="1"/>
    <col min="1121" max="1121" width="11.5703125" bestFit="1" customWidth="1"/>
    <col min="1122" max="1122" width="5.28515625" bestFit="1" customWidth="1"/>
    <col min="1123" max="1125" width="11.5703125" bestFit="1" customWidth="1"/>
    <col min="1126" max="1126" width="5.28515625" bestFit="1" customWidth="1"/>
    <col min="1127" max="1128" width="10.42578125" bestFit="1" customWidth="1"/>
    <col min="1129" max="1129" width="11.5703125" bestFit="1" customWidth="1"/>
    <col min="1130" max="1130" width="5.28515625" bestFit="1" customWidth="1"/>
    <col min="1131" max="1131" width="14.28515625" bestFit="1" customWidth="1"/>
    <col min="1132" max="1132" width="13" bestFit="1" customWidth="1"/>
    <col min="1133" max="1133" width="11.5703125" bestFit="1" customWidth="1"/>
    <col min="1134" max="1134" width="8.85546875" bestFit="1" customWidth="1"/>
    <col min="1135" max="1135" width="14.42578125" bestFit="1" customWidth="1"/>
    <col min="1136" max="1136" width="10.42578125" bestFit="1" customWidth="1"/>
    <col min="1137" max="1137" width="12.28515625" bestFit="1" customWidth="1"/>
    <col min="1138" max="1138" width="13.85546875" bestFit="1" customWidth="1"/>
    <col min="1139" max="1139" width="11.28515625" customWidth="1"/>
    <col min="1140" max="1140" width="11.5703125" customWidth="1"/>
    <col min="1141" max="1141" width="13.42578125" bestFit="1" customWidth="1"/>
    <col min="1142" max="1142" width="10.42578125" customWidth="1"/>
    <col min="1143" max="1143" width="13.85546875" bestFit="1" customWidth="1"/>
    <col min="1144" max="1144" width="15.42578125" bestFit="1" customWidth="1"/>
    <col min="1145" max="1145" width="12.28515625" bestFit="1" customWidth="1"/>
    <col min="1146" max="1146" width="12.7109375" customWidth="1"/>
    <col min="1147" max="1147" width="10.7109375" bestFit="1" customWidth="1"/>
    <col min="1148" max="1148" width="9.85546875" customWidth="1"/>
    <col min="1149" max="1150" width="10.140625" bestFit="1" customWidth="1"/>
    <col min="1151" max="1151" width="7.5703125" bestFit="1" customWidth="1"/>
    <col min="1152" max="1152" width="9.42578125" bestFit="1" customWidth="1"/>
    <col min="1153" max="1153" width="14.5703125" bestFit="1" customWidth="1"/>
    <col min="1154" max="1154" width="14.85546875" customWidth="1"/>
    <col min="1155" max="1155" width="15.140625" bestFit="1" customWidth="1"/>
    <col min="1156" max="1156" width="12.140625" bestFit="1" customWidth="1"/>
    <col min="1157" max="1157" width="14.85546875" bestFit="1" customWidth="1"/>
    <col min="1158" max="1158" width="12.28515625" bestFit="1" customWidth="1"/>
    <col min="1159" max="1167" width="9.140625" hidden="1" customWidth="1"/>
    <col min="1168" max="1168" width="5.28515625" bestFit="1" customWidth="1"/>
    <col min="1169" max="1174" width="11.5703125" bestFit="1" customWidth="1"/>
    <col min="1175" max="1175" width="11.28515625" bestFit="1" customWidth="1"/>
    <col min="1176" max="1176" width="10.140625" bestFit="1" customWidth="1"/>
    <col min="1177" max="1177" width="11.5703125" bestFit="1" customWidth="1"/>
    <col min="1178" max="1178" width="16.140625" customWidth="1"/>
    <col min="1179" max="1179" width="13.42578125" customWidth="1"/>
    <col min="1180" max="1180" width="10.140625" bestFit="1" customWidth="1"/>
    <col min="1181" max="1181" width="12.85546875" bestFit="1" customWidth="1"/>
    <col min="1182" max="1182" width="12.28515625" bestFit="1" customWidth="1"/>
    <col min="1183" max="1183" width="11.28515625" bestFit="1" customWidth="1"/>
    <col min="1184" max="1184" width="11.5703125" bestFit="1" customWidth="1"/>
    <col min="1185" max="1185" width="10.85546875" bestFit="1" customWidth="1"/>
    <col min="1186" max="1186" width="11.28515625" bestFit="1" customWidth="1"/>
    <col min="1187" max="1187" width="10.140625" bestFit="1" customWidth="1"/>
    <col min="1188" max="1188" width="13.28515625" bestFit="1" customWidth="1"/>
    <col min="1189" max="1190" width="12.7109375" bestFit="1" customWidth="1"/>
    <col min="1191" max="1191" width="11" bestFit="1" customWidth="1"/>
    <col min="1192" max="1192" width="11.28515625" bestFit="1" customWidth="1"/>
    <col min="1193" max="1193" width="11.5703125" bestFit="1" customWidth="1"/>
    <col min="1194" max="1194" width="12.28515625" bestFit="1" customWidth="1"/>
    <col min="1195" max="1195" width="15.140625" bestFit="1" customWidth="1"/>
    <col min="1196" max="1196" width="14.42578125" bestFit="1" customWidth="1"/>
    <col min="1197" max="1197" width="12.28515625" bestFit="1" customWidth="1"/>
    <col min="1198" max="1198" width="15.140625" bestFit="1" customWidth="1"/>
    <col min="1199" max="1199" width="14.42578125" bestFit="1" customWidth="1"/>
    <col min="1200" max="1200" width="12.28515625" bestFit="1" customWidth="1"/>
    <col min="1201" max="1201" width="14.42578125" bestFit="1" customWidth="1"/>
    <col min="1202" max="1202" width="11.28515625" bestFit="1" customWidth="1"/>
    <col min="1203" max="1203" width="12.28515625" bestFit="1" customWidth="1"/>
    <col min="1204" max="1204" width="13" bestFit="1" customWidth="1"/>
    <col min="1205" max="1205" width="15.140625" bestFit="1" customWidth="1"/>
    <col min="1206" max="1206" width="12.28515625" bestFit="1" customWidth="1"/>
    <col min="1207" max="1207" width="13.85546875" bestFit="1" customWidth="1"/>
    <col min="1208" max="1208" width="11.28515625" bestFit="1" customWidth="1"/>
    <col min="1209" max="1209" width="12.28515625" bestFit="1" customWidth="1"/>
    <col min="1210" max="1210" width="13.85546875" bestFit="1" customWidth="1"/>
    <col min="1211" max="1212" width="15.140625" bestFit="1" customWidth="1"/>
    <col min="1213" max="1213" width="12.28515625" bestFit="1" customWidth="1"/>
    <col min="1214" max="1214" width="5.7109375" bestFit="1" customWidth="1"/>
    <col min="1215" max="1215" width="8.5703125" bestFit="1" customWidth="1"/>
    <col min="1216" max="1216" width="5.5703125" bestFit="1" customWidth="1"/>
    <col min="1217" max="1217" width="14.42578125" bestFit="1" customWidth="1"/>
    <col min="1218" max="1218" width="11.28515625" bestFit="1" customWidth="1"/>
    <col min="1219" max="1220" width="12.28515625" bestFit="1" customWidth="1"/>
    <col min="1221" max="1221" width="11.28515625" bestFit="1" customWidth="1"/>
    <col min="1222" max="1222" width="13.85546875" bestFit="1" customWidth="1"/>
    <col min="1223" max="1223" width="12" bestFit="1" customWidth="1"/>
    <col min="1224" max="1224" width="13.85546875" bestFit="1" customWidth="1"/>
    <col min="1225" max="1226" width="14.42578125" customWidth="1"/>
    <col min="1227" max="1227" width="10.140625" bestFit="1" customWidth="1"/>
    <col min="1228" max="1228" width="12.28515625" bestFit="1" customWidth="1"/>
    <col min="1229" max="1229" width="7.42578125" bestFit="1" customWidth="1"/>
    <col min="1230" max="1230" width="8.5703125" bestFit="1" customWidth="1"/>
    <col min="1231" max="1231" width="11.5703125" bestFit="1" customWidth="1"/>
    <col min="1232" max="1232" width="13.28515625" bestFit="1" customWidth="1"/>
    <col min="1233" max="1233" width="13.28515625" customWidth="1"/>
    <col min="1234" max="1234" width="13.140625" customWidth="1"/>
    <col min="1235" max="1235" width="12.7109375" bestFit="1" customWidth="1"/>
    <col min="1236" max="1236" width="13.28515625" bestFit="1" customWidth="1"/>
    <col min="1237" max="1239" width="13.28515625" customWidth="1"/>
    <col min="1240" max="1240" width="12.140625" bestFit="1" customWidth="1"/>
    <col min="1241" max="1241" width="12.7109375" bestFit="1" customWidth="1"/>
    <col min="1242" max="1242" width="11" customWidth="1"/>
    <col min="1243" max="1243" width="16.7109375" customWidth="1"/>
    <col min="1244" max="1244" width="17" customWidth="1"/>
    <col min="1245" max="1245" width="10.42578125" bestFit="1" customWidth="1"/>
    <col min="1289" max="1289" width="3.85546875" customWidth="1"/>
    <col min="1290" max="1290" width="15.28515625" bestFit="1" customWidth="1"/>
    <col min="1291" max="1291" width="12.28515625" customWidth="1"/>
    <col min="1292" max="1292" width="16.28515625" bestFit="1" customWidth="1"/>
    <col min="1293" max="1293" width="6.42578125" bestFit="1" customWidth="1"/>
    <col min="1294" max="1294" width="9.28515625" bestFit="1" customWidth="1"/>
    <col min="1295" max="1295" width="7.5703125" bestFit="1" customWidth="1"/>
    <col min="1296" max="1296" width="13.28515625" bestFit="1" customWidth="1"/>
    <col min="1297" max="1297" width="9.28515625" bestFit="1" customWidth="1"/>
    <col min="1298" max="1298" width="11.5703125" bestFit="1" customWidth="1"/>
    <col min="1299" max="1299" width="13.28515625" bestFit="1" customWidth="1"/>
    <col min="1300" max="1300" width="7.140625" bestFit="1" customWidth="1"/>
    <col min="1301" max="1301" width="12" bestFit="1" customWidth="1"/>
    <col min="1302" max="1302" width="13.28515625" bestFit="1" customWidth="1"/>
    <col min="1303" max="1303" width="7" bestFit="1" customWidth="1"/>
    <col min="1304" max="1304" width="12.7109375" bestFit="1" customWidth="1"/>
    <col min="1305" max="1305" width="11.5703125" bestFit="1" customWidth="1"/>
    <col min="1306" max="1306" width="10.5703125" bestFit="1" customWidth="1"/>
    <col min="1307" max="1308" width="15.7109375" bestFit="1" customWidth="1"/>
    <col min="1309" max="1309" width="11.5703125" bestFit="1" customWidth="1"/>
    <col min="1310" max="1310" width="7.7109375" bestFit="1" customWidth="1"/>
    <col min="1311" max="1311" width="15.140625" bestFit="1" customWidth="1"/>
    <col min="1312" max="1312" width="11.5703125" bestFit="1" customWidth="1"/>
    <col min="1313" max="1313" width="13.28515625" bestFit="1" customWidth="1"/>
    <col min="1314" max="1314" width="10.42578125" bestFit="1" customWidth="1"/>
    <col min="1315" max="1315" width="13.28515625" bestFit="1" customWidth="1"/>
    <col min="1316" max="1316" width="12.140625" bestFit="1" customWidth="1"/>
    <col min="1317" max="1317" width="14.42578125" bestFit="1" customWidth="1"/>
    <col min="1318" max="1318" width="13.28515625" bestFit="1" customWidth="1"/>
    <col min="1319" max="1319" width="11.5703125" bestFit="1" customWidth="1"/>
    <col min="1320" max="1320" width="7.7109375" bestFit="1" customWidth="1"/>
    <col min="1321" max="1322" width="14.42578125" bestFit="1" customWidth="1"/>
    <col min="1323" max="1323" width="11.5703125" bestFit="1" customWidth="1"/>
    <col min="1324" max="1324" width="7.7109375" bestFit="1" customWidth="1"/>
    <col min="1325" max="1325" width="13.5703125" customWidth="1"/>
    <col min="1326" max="1326" width="15.28515625" customWidth="1"/>
    <col min="1327" max="1327" width="14.5703125" customWidth="1"/>
    <col min="1328" max="1328" width="13.28515625" bestFit="1" customWidth="1"/>
    <col min="1329" max="1329" width="7.7109375" bestFit="1" customWidth="1"/>
    <col min="1330" max="1330" width="12.7109375" bestFit="1" customWidth="1"/>
    <col min="1331" max="1331" width="11.7109375" bestFit="1" customWidth="1"/>
    <col min="1332" max="1332" width="11.5703125" bestFit="1" customWidth="1"/>
    <col min="1333" max="1333" width="5.28515625" bestFit="1" customWidth="1"/>
    <col min="1334" max="1334" width="13.28515625" bestFit="1" customWidth="1"/>
    <col min="1335" max="1335" width="13.5703125" bestFit="1" customWidth="1"/>
    <col min="1336" max="1336" width="10.5703125" bestFit="1" customWidth="1"/>
    <col min="1337" max="1337" width="13.28515625" bestFit="1" customWidth="1"/>
    <col min="1338" max="1338" width="11.5703125" bestFit="1" customWidth="1"/>
    <col min="1339" max="1339" width="10.5703125" bestFit="1" customWidth="1"/>
    <col min="1340" max="1340" width="16.140625" bestFit="1" customWidth="1"/>
    <col min="1341" max="1342" width="11.28515625" bestFit="1" customWidth="1"/>
    <col min="1343" max="1343" width="13.28515625" bestFit="1" customWidth="1"/>
    <col min="1344" max="1344" width="7.7109375" bestFit="1" customWidth="1"/>
    <col min="1345" max="1348" width="9.140625" hidden="1" customWidth="1"/>
    <col min="1349" max="1349" width="10.42578125" bestFit="1" customWidth="1"/>
    <col min="1350" max="1350" width="10.5703125" bestFit="1" customWidth="1"/>
    <col min="1351" max="1351" width="10.42578125" bestFit="1" customWidth="1"/>
    <col min="1352" max="1352" width="10.5703125" bestFit="1" customWidth="1"/>
    <col min="1353" max="1353" width="9.5703125" bestFit="1" customWidth="1"/>
    <col min="1354" max="1354" width="11.5703125" bestFit="1" customWidth="1"/>
    <col min="1355" max="1355" width="10.42578125" bestFit="1" customWidth="1"/>
    <col min="1356" max="1356" width="10.85546875" customWidth="1"/>
    <col min="1357" max="1358" width="9.85546875" bestFit="1" customWidth="1"/>
    <col min="1359" max="1359" width="13.5703125" bestFit="1" customWidth="1"/>
    <col min="1360" max="1360" width="7.7109375" bestFit="1" customWidth="1"/>
    <col min="1361" max="1361" width="13.28515625" bestFit="1" customWidth="1"/>
    <col min="1362" max="1362" width="11.5703125" bestFit="1" customWidth="1"/>
    <col min="1363" max="1363" width="10.42578125" bestFit="1" customWidth="1"/>
    <col min="1364" max="1364" width="7.7109375" bestFit="1" customWidth="1"/>
    <col min="1365" max="1365" width="11.5703125" bestFit="1" customWidth="1"/>
    <col min="1366" max="1366" width="10.85546875" bestFit="1" customWidth="1"/>
    <col min="1367" max="1367" width="13.28515625" bestFit="1" customWidth="1"/>
    <col min="1368" max="1368" width="10.85546875" bestFit="1" customWidth="1"/>
    <col min="1369" max="1370" width="7.5703125" bestFit="1" customWidth="1"/>
    <col min="1371" max="1372" width="10.42578125" bestFit="1" customWidth="1"/>
    <col min="1373" max="1373" width="11.5703125" bestFit="1" customWidth="1"/>
    <col min="1374" max="1374" width="5.28515625" bestFit="1" customWidth="1"/>
    <col min="1375" max="1375" width="10.28515625" bestFit="1" customWidth="1"/>
    <col min="1376" max="1376" width="10.42578125" bestFit="1" customWidth="1"/>
    <col min="1377" max="1377" width="11.5703125" bestFit="1" customWidth="1"/>
    <col min="1378" max="1378" width="5.28515625" bestFit="1" customWidth="1"/>
    <col min="1379" max="1381" width="11.5703125" bestFit="1" customWidth="1"/>
    <col min="1382" max="1382" width="5.28515625" bestFit="1" customWidth="1"/>
    <col min="1383" max="1384" width="10.42578125" bestFit="1" customWidth="1"/>
    <col min="1385" max="1385" width="11.5703125" bestFit="1" customWidth="1"/>
    <col min="1386" max="1386" width="5.28515625" bestFit="1" customWidth="1"/>
    <col min="1387" max="1387" width="14.28515625" bestFit="1" customWidth="1"/>
    <col min="1388" max="1388" width="13" bestFit="1" customWidth="1"/>
    <col min="1389" max="1389" width="11.5703125" bestFit="1" customWidth="1"/>
    <col min="1390" max="1390" width="8.85546875" bestFit="1" customWidth="1"/>
    <col min="1391" max="1391" width="14.42578125" bestFit="1" customWidth="1"/>
    <col min="1392" max="1392" width="10.42578125" bestFit="1" customWidth="1"/>
    <col min="1393" max="1393" width="12.28515625" bestFit="1" customWidth="1"/>
    <col min="1394" max="1394" width="13.85546875" bestFit="1" customWidth="1"/>
    <col min="1395" max="1395" width="11.28515625" customWidth="1"/>
    <col min="1396" max="1396" width="11.5703125" customWidth="1"/>
    <col min="1397" max="1397" width="13.42578125" bestFit="1" customWidth="1"/>
    <col min="1398" max="1398" width="10.42578125" customWidth="1"/>
    <col min="1399" max="1399" width="13.85546875" bestFit="1" customWidth="1"/>
    <col min="1400" max="1400" width="15.42578125" bestFit="1" customWidth="1"/>
    <col min="1401" max="1401" width="12.28515625" bestFit="1" customWidth="1"/>
    <col min="1402" max="1402" width="12.7109375" customWidth="1"/>
    <col min="1403" max="1403" width="10.7109375" bestFit="1" customWidth="1"/>
    <col min="1404" max="1404" width="9.85546875" customWidth="1"/>
    <col min="1405" max="1406" width="10.140625" bestFit="1" customWidth="1"/>
    <col min="1407" max="1407" width="7.5703125" bestFit="1" customWidth="1"/>
    <col min="1408" max="1408" width="9.42578125" bestFit="1" customWidth="1"/>
    <col min="1409" max="1409" width="14.5703125" bestFit="1" customWidth="1"/>
    <col min="1410" max="1410" width="14.85546875" customWidth="1"/>
    <col min="1411" max="1411" width="15.140625" bestFit="1" customWidth="1"/>
    <col min="1412" max="1412" width="12.140625" bestFit="1" customWidth="1"/>
    <col min="1413" max="1413" width="14.85546875" bestFit="1" customWidth="1"/>
    <col min="1414" max="1414" width="12.28515625" bestFit="1" customWidth="1"/>
    <col min="1415" max="1423" width="9.140625" hidden="1" customWidth="1"/>
    <col min="1424" max="1424" width="5.28515625" bestFit="1" customWidth="1"/>
    <col min="1425" max="1430" width="11.5703125" bestFit="1" customWidth="1"/>
    <col min="1431" max="1431" width="11.28515625" bestFit="1" customWidth="1"/>
    <col min="1432" max="1432" width="10.140625" bestFit="1" customWidth="1"/>
    <col min="1433" max="1433" width="11.5703125" bestFit="1" customWidth="1"/>
    <col min="1434" max="1434" width="16.140625" customWidth="1"/>
    <col min="1435" max="1435" width="13.42578125" customWidth="1"/>
    <col min="1436" max="1436" width="10.140625" bestFit="1" customWidth="1"/>
    <col min="1437" max="1437" width="12.85546875" bestFit="1" customWidth="1"/>
    <col min="1438" max="1438" width="12.28515625" bestFit="1" customWidth="1"/>
    <col min="1439" max="1439" width="11.28515625" bestFit="1" customWidth="1"/>
    <col min="1440" max="1440" width="11.5703125" bestFit="1" customWidth="1"/>
    <col min="1441" max="1441" width="10.85546875" bestFit="1" customWidth="1"/>
    <col min="1442" max="1442" width="11.28515625" bestFit="1" customWidth="1"/>
    <col min="1443" max="1443" width="10.140625" bestFit="1" customWidth="1"/>
    <col min="1444" max="1444" width="13.28515625" bestFit="1" customWidth="1"/>
    <col min="1445" max="1446" width="12.7109375" bestFit="1" customWidth="1"/>
    <col min="1447" max="1447" width="11" bestFit="1" customWidth="1"/>
    <col min="1448" max="1448" width="11.28515625" bestFit="1" customWidth="1"/>
    <col min="1449" max="1449" width="11.5703125" bestFit="1" customWidth="1"/>
    <col min="1450" max="1450" width="12.28515625" bestFit="1" customWidth="1"/>
    <col min="1451" max="1451" width="15.140625" bestFit="1" customWidth="1"/>
    <col min="1452" max="1452" width="14.42578125" bestFit="1" customWidth="1"/>
    <col min="1453" max="1453" width="12.28515625" bestFit="1" customWidth="1"/>
    <col min="1454" max="1454" width="15.140625" bestFit="1" customWidth="1"/>
    <col min="1455" max="1455" width="14.42578125" bestFit="1" customWidth="1"/>
    <col min="1456" max="1456" width="12.28515625" bestFit="1" customWidth="1"/>
    <col min="1457" max="1457" width="14.42578125" bestFit="1" customWidth="1"/>
    <col min="1458" max="1458" width="11.28515625" bestFit="1" customWidth="1"/>
    <col min="1459" max="1459" width="12.28515625" bestFit="1" customWidth="1"/>
    <col min="1460" max="1460" width="13" bestFit="1" customWidth="1"/>
    <col min="1461" max="1461" width="15.140625" bestFit="1" customWidth="1"/>
    <col min="1462" max="1462" width="12.28515625" bestFit="1" customWidth="1"/>
    <col min="1463" max="1463" width="13.85546875" bestFit="1" customWidth="1"/>
    <col min="1464" max="1464" width="11.28515625" bestFit="1" customWidth="1"/>
    <col min="1465" max="1465" width="12.28515625" bestFit="1" customWidth="1"/>
    <col min="1466" max="1466" width="13.85546875" bestFit="1" customWidth="1"/>
    <col min="1467" max="1468" width="15.140625" bestFit="1" customWidth="1"/>
    <col min="1469" max="1469" width="12.28515625" bestFit="1" customWidth="1"/>
    <col min="1470" max="1470" width="5.7109375" bestFit="1" customWidth="1"/>
    <col min="1471" max="1471" width="8.5703125" bestFit="1" customWidth="1"/>
    <col min="1472" max="1472" width="5.5703125" bestFit="1" customWidth="1"/>
    <col min="1473" max="1473" width="14.42578125" bestFit="1" customWidth="1"/>
    <col min="1474" max="1474" width="11.28515625" bestFit="1" customWidth="1"/>
    <col min="1475" max="1476" width="12.28515625" bestFit="1" customWidth="1"/>
    <col min="1477" max="1477" width="11.28515625" bestFit="1" customWidth="1"/>
    <col min="1478" max="1478" width="13.85546875" bestFit="1" customWidth="1"/>
    <col min="1479" max="1479" width="12" bestFit="1" customWidth="1"/>
    <col min="1480" max="1480" width="13.85546875" bestFit="1" customWidth="1"/>
    <col min="1481" max="1482" width="14.42578125" customWidth="1"/>
    <col min="1483" max="1483" width="10.140625" bestFit="1" customWidth="1"/>
    <col min="1484" max="1484" width="12.28515625" bestFit="1" customWidth="1"/>
    <col min="1485" max="1485" width="7.42578125" bestFit="1" customWidth="1"/>
    <col min="1486" max="1486" width="8.5703125" bestFit="1" customWidth="1"/>
    <col min="1487" max="1487" width="11.5703125" bestFit="1" customWidth="1"/>
    <col min="1488" max="1488" width="13.28515625" bestFit="1" customWidth="1"/>
    <col min="1489" max="1489" width="13.28515625" customWidth="1"/>
    <col min="1490" max="1490" width="13.140625" customWidth="1"/>
    <col min="1491" max="1491" width="12.7109375" bestFit="1" customWidth="1"/>
    <col min="1492" max="1492" width="13.28515625" bestFit="1" customWidth="1"/>
    <col min="1493" max="1495" width="13.28515625" customWidth="1"/>
    <col min="1496" max="1496" width="12.140625" bestFit="1" customWidth="1"/>
    <col min="1497" max="1497" width="12.7109375" bestFit="1" customWidth="1"/>
    <col min="1498" max="1498" width="11" customWidth="1"/>
    <col min="1499" max="1499" width="16.7109375" customWidth="1"/>
    <col min="1500" max="1500" width="17" customWidth="1"/>
    <col min="1501" max="1501" width="10.42578125" bestFit="1" customWidth="1"/>
    <col min="1545" max="1545" width="3.85546875" customWidth="1"/>
    <col min="1546" max="1546" width="15.28515625" bestFit="1" customWidth="1"/>
    <col min="1547" max="1547" width="12.28515625" customWidth="1"/>
    <col min="1548" max="1548" width="16.28515625" bestFit="1" customWidth="1"/>
    <col min="1549" max="1549" width="6.42578125" bestFit="1" customWidth="1"/>
    <col min="1550" max="1550" width="9.28515625" bestFit="1" customWidth="1"/>
    <col min="1551" max="1551" width="7.5703125" bestFit="1" customWidth="1"/>
    <col min="1552" max="1552" width="13.28515625" bestFit="1" customWidth="1"/>
    <col min="1553" max="1553" width="9.28515625" bestFit="1" customWidth="1"/>
    <col min="1554" max="1554" width="11.5703125" bestFit="1" customWidth="1"/>
    <col min="1555" max="1555" width="13.28515625" bestFit="1" customWidth="1"/>
    <col min="1556" max="1556" width="7.140625" bestFit="1" customWidth="1"/>
    <col min="1557" max="1557" width="12" bestFit="1" customWidth="1"/>
    <col min="1558" max="1558" width="13.28515625" bestFit="1" customWidth="1"/>
    <col min="1559" max="1559" width="7" bestFit="1" customWidth="1"/>
    <col min="1560" max="1560" width="12.7109375" bestFit="1" customWidth="1"/>
    <col min="1561" max="1561" width="11.5703125" bestFit="1" customWidth="1"/>
    <col min="1562" max="1562" width="10.5703125" bestFit="1" customWidth="1"/>
    <col min="1563" max="1564" width="15.7109375" bestFit="1" customWidth="1"/>
    <col min="1565" max="1565" width="11.5703125" bestFit="1" customWidth="1"/>
    <col min="1566" max="1566" width="7.7109375" bestFit="1" customWidth="1"/>
    <col min="1567" max="1567" width="15.140625" bestFit="1" customWidth="1"/>
    <col min="1568" max="1568" width="11.5703125" bestFit="1" customWidth="1"/>
    <col min="1569" max="1569" width="13.28515625" bestFit="1" customWidth="1"/>
    <col min="1570" max="1570" width="10.42578125" bestFit="1" customWidth="1"/>
    <col min="1571" max="1571" width="13.28515625" bestFit="1" customWidth="1"/>
    <col min="1572" max="1572" width="12.140625" bestFit="1" customWidth="1"/>
    <col min="1573" max="1573" width="14.42578125" bestFit="1" customWidth="1"/>
    <col min="1574" max="1574" width="13.28515625" bestFit="1" customWidth="1"/>
    <col min="1575" max="1575" width="11.5703125" bestFit="1" customWidth="1"/>
    <col min="1576" max="1576" width="7.7109375" bestFit="1" customWidth="1"/>
    <col min="1577" max="1578" width="14.42578125" bestFit="1" customWidth="1"/>
    <col min="1579" max="1579" width="11.5703125" bestFit="1" customWidth="1"/>
    <col min="1580" max="1580" width="7.7109375" bestFit="1" customWidth="1"/>
    <col min="1581" max="1581" width="13.5703125" customWidth="1"/>
    <col min="1582" max="1582" width="15.28515625" customWidth="1"/>
    <col min="1583" max="1583" width="14.5703125" customWidth="1"/>
    <col min="1584" max="1584" width="13.28515625" bestFit="1" customWidth="1"/>
    <col min="1585" max="1585" width="7.7109375" bestFit="1" customWidth="1"/>
    <col min="1586" max="1586" width="12.7109375" bestFit="1" customWidth="1"/>
    <col min="1587" max="1587" width="11.7109375" bestFit="1" customWidth="1"/>
    <col min="1588" max="1588" width="11.5703125" bestFit="1" customWidth="1"/>
    <col min="1589" max="1589" width="5.28515625" bestFit="1" customWidth="1"/>
    <col min="1590" max="1590" width="13.28515625" bestFit="1" customWidth="1"/>
    <col min="1591" max="1591" width="13.5703125" bestFit="1" customWidth="1"/>
    <col min="1592" max="1592" width="10.5703125" bestFit="1" customWidth="1"/>
    <col min="1593" max="1593" width="13.28515625" bestFit="1" customWidth="1"/>
    <col min="1594" max="1594" width="11.5703125" bestFit="1" customWidth="1"/>
    <col min="1595" max="1595" width="10.5703125" bestFit="1" customWidth="1"/>
    <col min="1596" max="1596" width="16.140625" bestFit="1" customWidth="1"/>
    <col min="1597" max="1598" width="11.28515625" bestFit="1" customWidth="1"/>
    <col min="1599" max="1599" width="13.28515625" bestFit="1" customWidth="1"/>
    <col min="1600" max="1600" width="7.7109375" bestFit="1" customWidth="1"/>
    <col min="1601" max="1604" width="9.140625" hidden="1" customWidth="1"/>
    <col min="1605" max="1605" width="10.42578125" bestFit="1" customWidth="1"/>
    <col min="1606" max="1606" width="10.5703125" bestFit="1" customWidth="1"/>
    <col min="1607" max="1607" width="10.42578125" bestFit="1" customWidth="1"/>
    <col min="1608" max="1608" width="10.5703125" bestFit="1" customWidth="1"/>
    <col min="1609" max="1609" width="9.5703125" bestFit="1" customWidth="1"/>
    <col min="1610" max="1610" width="11.5703125" bestFit="1" customWidth="1"/>
    <col min="1611" max="1611" width="10.42578125" bestFit="1" customWidth="1"/>
    <col min="1612" max="1612" width="10.85546875" customWidth="1"/>
    <col min="1613" max="1614" width="9.85546875" bestFit="1" customWidth="1"/>
    <col min="1615" max="1615" width="13.5703125" bestFit="1" customWidth="1"/>
    <col min="1616" max="1616" width="7.7109375" bestFit="1" customWidth="1"/>
    <col min="1617" max="1617" width="13.28515625" bestFit="1" customWidth="1"/>
    <col min="1618" max="1618" width="11.5703125" bestFit="1" customWidth="1"/>
    <col min="1619" max="1619" width="10.42578125" bestFit="1" customWidth="1"/>
    <col min="1620" max="1620" width="7.7109375" bestFit="1" customWidth="1"/>
    <col min="1621" max="1621" width="11.5703125" bestFit="1" customWidth="1"/>
    <col min="1622" max="1622" width="10.85546875" bestFit="1" customWidth="1"/>
    <col min="1623" max="1623" width="13.28515625" bestFit="1" customWidth="1"/>
    <col min="1624" max="1624" width="10.85546875" bestFit="1" customWidth="1"/>
    <col min="1625" max="1626" width="7.5703125" bestFit="1" customWidth="1"/>
    <col min="1627" max="1628" width="10.42578125" bestFit="1" customWidth="1"/>
    <col min="1629" max="1629" width="11.5703125" bestFit="1" customWidth="1"/>
    <col min="1630" max="1630" width="5.28515625" bestFit="1" customWidth="1"/>
    <col min="1631" max="1631" width="10.28515625" bestFit="1" customWidth="1"/>
    <col min="1632" max="1632" width="10.42578125" bestFit="1" customWidth="1"/>
    <col min="1633" max="1633" width="11.5703125" bestFit="1" customWidth="1"/>
    <col min="1634" max="1634" width="5.28515625" bestFit="1" customWidth="1"/>
    <col min="1635" max="1637" width="11.5703125" bestFit="1" customWidth="1"/>
    <col min="1638" max="1638" width="5.28515625" bestFit="1" customWidth="1"/>
    <col min="1639" max="1640" width="10.42578125" bestFit="1" customWidth="1"/>
    <col min="1641" max="1641" width="11.5703125" bestFit="1" customWidth="1"/>
    <col min="1642" max="1642" width="5.28515625" bestFit="1" customWidth="1"/>
    <col min="1643" max="1643" width="14.28515625" bestFit="1" customWidth="1"/>
    <col min="1644" max="1644" width="13" bestFit="1" customWidth="1"/>
    <col min="1645" max="1645" width="11.5703125" bestFit="1" customWidth="1"/>
    <col min="1646" max="1646" width="8.85546875" bestFit="1" customWidth="1"/>
    <col min="1647" max="1647" width="14.42578125" bestFit="1" customWidth="1"/>
    <col min="1648" max="1648" width="10.42578125" bestFit="1" customWidth="1"/>
    <col min="1649" max="1649" width="12.28515625" bestFit="1" customWidth="1"/>
    <col min="1650" max="1650" width="13.85546875" bestFit="1" customWidth="1"/>
    <col min="1651" max="1651" width="11.28515625" customWidth="1"/>
    <col min="1652" max="1652" width="11.5703125" customWidth="1"/>
    <col min="1653" max="1653" width="13.42578125" bestFit="1" customWidth="1"/>
    <col min="1654" max="1654" width="10.42578125" customWidth="1"/>
    <col min="1655" max="1655" width="13.85546875" bestFit="1" customWidth="1"/>
    <col min="1656" max="1656" width="15.42578125" bestFit="1" customWidth="1"/>
    <col min="1657" max="1657" width="12.28515625" bestFit="1" customWidth="1"/>
    <col min="1658" max="1658" width="12.7109375" customWidth="1"/>
    <col min="1659" max="1659" width="10.7109375" bestFit="1" customWidth="1"/>
    <col min="1660" max="1660" width="9.85546875" customWidth="1"/>
    <col min="1661" max="1662" width="10.140625" bestFit="1" customWidth="1"/>
    <col min="1663" max="1663" width="7.5703125" bestFit="1" customWidth="1"/>
    <col min="1664" max="1664" width="9.42578125" bestFit="1" customWidth="1"/>
    <col min="1665" max="1665" width="14.5703125" bestFit="1" customWidth="1"/>
    <col min="1666" max="1666" width="14.85546875" customWidth="1"/>
    <col min="1667" max="1667" width="15.140625" bestFit="1" customWidth="1"/>
    <col min="1668" max="1668" width="12.140625" bestFit="1" customWidth="1"/>
    <col min="1669" max="1669" width="14.85546875" bestFit="1" customWidth="1"/>
    <col min="1670" max="1670" width="12.28515625" bestFit="1" customWidth="1"/>
    <col min="1671" max="1679" width="9.140625" hidden="1" customWidth="1"/>
    <col min="1680" max="1680" width="5.28515625" bestFit="1" customWidth="1"/>
    <col min="1681" max="1686" width="11.5703125" bestFit="1" customWidth="1"/>
    <col min="1687" max="1687" width="11.28515625" bestFit="1" customWidth="1"/>
    <col min="1688" max="1688" width="10.140625" bestFit="1" customWidth="1"/>
    <col min="1689" max="1689" width="11.5703125" bestFit="1" customWidth="1"/>
    <col min="1690" max="1690" width="16.140625" customWidth="1"/>
    <col min="1691" max="1691" width="13.42578125" customWidth="1"/>
    <col min="1692" max="1692" width="10.140625" bestFit="1" customWidth="1"/>
    <col min="1693" max="1693" width="12.85546875" bestFit="1" customWidth="1"/>
    <col min="1694" max="1694" width="12.28515625" bestFit="1" customWidth="1"/>
    <col min="1695" max="1695" width="11.28515625" bestFit="1" customWidth="1"/>
    <col min="1696" max="1696" width="11.5703125" bestFit="1" customWidth="1"/>
    <col min="1697" max="1697" width="10.85546875" bestFit="1" customWidth="1"/>
    <col min="1698" max="1698" width="11.28515625" bestFit="1" customWidth="1"/>
    <col min="1699" max="1699" width="10.140625" bestFit="1" customWidth="1"/>
    <col min="1700" max="1700" width="13.28515625" bestFit="1" customWidth="1"/>
    <col min="1701" max="1702" width="12.7109375" bestFit="1" customWidth="1"/>
    <col min="1703" max="1703" width="11" bestFit="1" customWidth="1"/>
    <col min="1704" max="1704" width="11.28515625" bestFit="1" customWidth="1"/>
    <col min="1705" max="1705" width="11.5703125" bestFit="1" customWidth="1"/>
    <col min="1706" max="1706" width="12.28515625" bestFit="1" customWidth="1"/>
    <col min="1707" max="1707" width="15.140625" bestFit="1" customWidth="1"/>
    <col min="1708" max="1708" width="14.42578125" bestFit="1" customWidth="1"/>
    <col min="1709" max="1709" width="12.28515625" bestFit="1" customWidth="1"/>
    <col min="1710" max="1710" width="15.140625" bestFit="1" customWidth="1"/>
    <col min="1711" max="1711" width="14.42578125" bestFit="1" customWidth="1"/>
    <col min="1712" max="1712" width="12.28515625" bestFit="1" customWidth="1"/>
    <col min="1713" max="1713" width="14.42578125" bestFit="1" customWidth="1"/>
    <col min="1714" max="1714" width="11.28515625" bestFit="1" customWidth="1"/>
    <col min="1715" max="1715" width="12.28515625" bestFit="1" customWidth="1"/>
    <col min="1716" max="1716" width="13" bestFit="1" customWidth="1"/>
    <col min="1717" max="1717" width="15.140625" bestFit="1" customWidth="1"/>
    <col min="1718" max="1718" width="12.28515625" bestFit="1" customWidth="1"/>
    <col min="1719" max="1719" width="13.85546875" bestFit="1" customWidth="1"/>
    <col min="1720" max="1720" width="11.28515625" bestFit="1" customWidth="1"/>
    <col min="1721" max="1721" width="12.28515625" bestFit="1" customWidth="1"/>
    <col min="1722" max="1722" width="13.85546875" bestFit="1" customWidth="1"/>
    <col min="1723" max="1724" width="15.140625" bestFit="1" customWidth="1"/>
    <col min="1725" max="1725" width="12.28515625" bestFit="1" customWidth="1"/>
    <col min="1726" max="1726" width="5.7109375" bestFit="1" customWidth="1"/>
    <col min="1727" max="1727" width="8.5703125" bestFit="1" customWidth="1"/>
    <col min="1728" max="1728" width="5.5703125" bestFit="1" customWidth="1"/>
    <col min="1729" max="1729" width="14.42578125" bestFit="1" customWidth="1"/>
    <col min="1730" max="1730" width="11.28515625" bestFit="1" customWidth="1"/>
    <col min="1731" max="1732" width="12.28515625" bestFit="1" customWidth="1"/>
    <col min="1733" max="1733" width="11.28515625" bestFit="1" customWidth="1"/>
    <col min="1734" max="1734" width="13.85546875" bestFit="1" customWidth="1"/>
    <col min="1735" max="1735" width="12" bestFit="1" customWidth="1"/>
    <col min="1736" max="1736" width="13.85546875" bestFit="1" customWidth="1"/>
    <col min="1737" max="1738" width="14.42578125" customWidth="1"/>
    <col min="1739" max="1739" width="10.140625" bestFit="1" customWidth="1"/>
    <col min="1740" max="1740" width="12.28515625" bestFit="1" customWidth="1"/>
    <col min="1741" max="1741" width="7.42578125" bestFit="1" customWidth="1"/>
    <col min="1742" max="1742" width="8.5703125" bestFit="1" customWidth="1"/>
    <col min="1743" max="1743" width="11.5703125" bestFit="1" customWidth="1"/>
    <col min="1744" max="1744" width="13.28515625" bestFit="1" customWidth="1"/>
    <col min="1745" max="1745" width="13.28515625" customWidth="1"/>
    <col min="1746" max="1746" width="13.140625" customWidth="1"/>
    <col min="1747" max="1747" width="12.7109375" bestFit="1" customWidth="1"/>
    <col min="1748" max="1748" width="13.28515625" bestFit="1" customWidth="1"/>
    <col min="1749" max="1751" width="13.28515625" customWidth="1"/>
    <col min="1752" max="1752" width="12.140625" bestFit="1" customWidth="1"/>
    <col min="1753" max="1753" width="12.7109375" bestFit="1" customWidth="1"/>
    <col min="1754" max="1754" width="11" customWidth="1"/>
    <col min="1755" max="1755" width="16.7109375" customWidth="1"/>
    <col min="1756" max="1756" width="17" customWidth="1"/>
    <col min="1757" max="1757" width="10.42578125" bestFit="1" customWidth="1"/>
    <col min="1801" max="1801" width="3.85546875" customWidth="1"/>
    <col min="1802" max="1802" width="15.28515625" bestFit="1" customWidth="1"/>
    <col min="1803" max="1803" width="12.28515625" customWidth="1"/>
    <col min="1804" max="1804" width="16.28515625" bestFit="1" customWidth="1"/>
    <col min="1805" max="1805" width="6.42578125" bestFit="1" customWidth="1"/>
    <col min="1806" max="1806" width="9.28515625" bestFit="1" customWidth="1"/>
    <col min="1807" max="1807" width="7.5703125" bestFit="1" customWidth="1"/>
    <col min="1808" max="1808" width="13.28515625" bestFit="1" customWidth="1"/>
    <col min="1809" max="1809" width="9.28515625" bestFit="1" customWidth="1"/>
    <col min="1810" max="1810" width="11.5703125" bestFit="1" customWidth="1"/>
    <col min="1811" max="1811" width="13.28515625" bestFit="1" customWidth="1"/>
    <col min="1812" max="1812" width="7.140625" bestFit="1" customWidth="1"/>
    <col min="1813" max="1813" width="12" bestFit="1" customWidth="1"/>
    <col min="1814" max="1814" width="13.28515625" bestFit="1" customWidth="1"/>
    <col min="1815" max="1815" width="7" bestFit="1" customWidth="1"/>
    <col min="1816" max="1816" width="12.7109375" bestFit="1" customWidth="1"/>
    <col min="1817" max="1817" width="11.5703125" bestFit="1" customWidth="1"/>
    <col min="1818" max="1818" width="10.5703125" bestFit="1" customWidth="1"/>
    <col min="1819" max="1820" width="15.7109375" bestFit="1" customWidth="1"/>
    <col min="1821" max="1821" width="11.5703125" bestFit="1" customWidth="1"/>
    <col min="1822" max="1822" width="7.7109375" bestFit="1" customWidth="1"/>
    <col min="1823" max="1823" width="15.140625" bestFit="1" customWidth="1"/>
    <col min="1824" max="1824" width="11.5703125" bestFit="1" customWidth="1"/>
    <col min="1825" max="1825" width="13.28515625" bestFit="1" customWidth="1"/>
    <col min="1826" max="1826" width="10.42578125" bestFit="1" customWidth="1"/>
    <col min="1827" max="1827" width="13.28515625" bestFit="1" customWidth="1"/>
    <col min="1828" max="1828" width="12.140625" bestFit="1" customWidth="1"/>
    <col min="1829" max="1829" width="14.42578125" bestFit="1" customWidth="1"/>
    <col min="1830" max="1830" width="13.28515625" bestFit="1" customWidth="1"/>
    <col min="1831" max="1831" width="11.5703125" bestFit="1" customWidth="1"/>
    <col min="1832" max="1832" width="7.7109375" bestFit="1" customWidth="1"/>
    <col min="1833" max="1834" width="14.42578125" bestFit="1" customWidth="1"/>
    <col min="1835" max="1835" width="11.5703125" bestFit="1" customWidth="1"/>
    <col min="1836" max="1836" width="7.7109375" bestFit="1" customWidth="1"/>
    <col min="1837" max="1837" width="13.5703125" customWidth="1"/>
    <col min="1838" max="1838" width="15.28515625" customWidth="1"/>
    <col min="1839" max="1839" width="14.5703125" customWidth="1"/>
    <col min="1840" max="1840" width="13.28515625" bestFit="1" customWidth="1"/>
    <col min="1841" max="1841" width="7.7109375" bestFit="1" customWidth="1"/>
    <col min="1842" max="1842" width="12.7109375" bestFit="1" customWidth="1"/>
    <col min="1843" max="1843" width="11.7109375" bestFit="1" customWidth="1"/>
    <col min="1844" max="1844" width="11.5703125" bestFit="1" customWidth="1"/>
    <col min="1845" max="1845" width="5.28515625" bestFit="1" customWidth="1"/>
    <col min="1846" max="1846" width="13.28515625" bestFit="1" customWidth="1"/>
    <col min="1847" max="1847" width="13.5703125" bestFit="1" customWidth="1"/>
    <col min="1848" max="1848" width="10.5703125" bestFit="1" customWidth="1"/>
    <col min="1849" max="1849" width="13.28515625" bestFit="1" customWidth="1"/>
    <col min="1850" max="1850" width="11.5703125" bestFit="1" customWidth="1"/>
    <col min="1851" max="1851" width="10.5703125" bestFit="1" customWidth="1"/>
    <col min="1852" max="1852" width="16.140625" bestFit="1" customWidth="1"/>
    <col min="1853" max="1854" width="11.28515625" bestFit="1" customWidth="1"/>
    <col min="1855" max="1855" width="13.28515625" bestFit="1" customWidth="1"/>
    <col min="1856" max="1856" width="7.7109375" bestFit="1" customWidth="1"/>
    <col min="1857" max="1860" width="9.140625" hidden="1" customWidth="1"/>
    <col min="1861" max="1861" width="10.42578125" bestFit="1" customWidth="1"/>
    <col min="1862" max="1862" width="10.5703125" bestFit="1" customWidth="1"/>
    <col min="1863" max="1863" width="10.42578125" bestFit="1" customWidth="1"/>
    <col min="1864" max="1864" width="10.5703125" bestFit="1" customWidth="1"/>
    <col min="1865" max="1865" width="9.5703125" bestFit="1" customWidth="1"/>
    <col min="1866" max="1866" width="11.5703125" bestFit="1" customWidth="1"/>
    <col min="1867" max="1867" width="10.42578125" bestFit="1" customWidth="1"/>
    <col min="1868" max="1868" width="10.85546875" customWidth="1"/>
    <col min="1869" max="1870" width="9.85546875" bestFit="1" customWidth="1"/>
    <col min="1871" max="1871" width="13.5703125" bestFit="1" customWidth="1"/>
    <col min="1872" max="1872" width="7.7109375" bestFit="1" customWidth="1"/>
    <col min="1873" max="1873" width="13.28515625" bestFit="1" customWidth="1"/>
    <col min="1874" max="1874" width="11.5703125" bestFit="1" customWidth="1"/>
    <col min="1875" max="1875" width="10.42578125" bestFit="1" customWidth="1"/>
    <col min="1876" max="1876" width="7.7109375" bestFit="1" customWidth="1"/>
    <col min="1877" max="1877" width="11.5703125" bestFit="1" customWidth="1"/>
    <col min="1878" max="1878" width="10.85546875" bestFit="1" customWidth="1"/>
    <col min="1879" max="1879" width="13.28515625" bestFit="1" customWidth="1"/>
    <col min="1880" max="1880" width="10.85546875" bestFit="1" customWidth="1"/>
    <col min="1881" max="1882" width="7.5703125" bestFit="1" customWidth="1"/>
    <col min="1883" max="1884" width="10.42578125" bestFit="1" customWidth="1"/>
    <col min="1885" max="1885" width="11.5703125" bestFit="1" customWidth="1"/>
    <col min="1886" max="1886" width="5.28515625" bestFit="1" customWidth="1"/>
    <col min="1887" max="1887" width="10.28515625" bestFit="1" customWidth="1"/>
    <col min="1888" max="1888" width="10.42578125" bestFit="1" customWidth="1"/>
    <col min="1889" max="1889" width="11.5703125" bestFit="1" customWidth="1"/>
    <col min="1890" max="1890" width="5.28515625" bestFit="1" customWidth="1"/>
    <col min="1891" max="1893" width="11.5703125" bestFit="1" customWidth="1"/>
    <col min="1894" max="1894" width="5.28515625" bestFit="1" customWidth="1"/>
    <col min="1895" max="1896" width="10.42578125" bestFit="1" customWidth="1"/>
    <col min="1897" max="1897" width="11.5703125" bestFit="1" customWidth="1"/>
    <col min="1898" max="1898" width="5.28515625" bestFit="1" customWidth="1"/>
    <col min="1899" max="1899" width="14.28515625" bestFit="1" customWidth="1"/>
    <col min="1900" max="1900" width="13" bestFit="1" customWidth="1"/>
    <col min="1901" max="1901" width="11.5703125" bestFit="1" customWidth="1"/>
    <col min="1902" max="1902" width="8.85546875" bestFit="1" customWidth="1"/>
    <col min="1903" max="1903" width="14.42578125" bestFit="1" customWidth="1"/>
    <col min="1904" max="1904" width="10.42578125" bestFit="1" customWidth="1"/>
    <col min="1905" max="1905" width="12.28515625" bestFit="1" customWidth="1"/>
    <col min="1906" max="1906" width="13.85546875" bestFit="1" customWidth="1"/>
    <col min="1907" max="1907" width="11.28515625" customWidth="1"/>
    <col min="1908" max="1908" width="11.5703125" customWidth="1"/>
    <col min="1909" max="1909" width="13.42578125" bestFit="1" customWidth="1"/>
    <col min="1910" max="1910" width="10.42578125" customWidth="1"/>
    <col min="1911" max="1911" width="13.85546875" bestFit="1" customWidth="1"/>
    <col min="1912" max="1912" width="15.42578125" bestFit="1" customWidth="1"/>
    <col min="1913" max="1913" width="12.28515625" bestFit="1" customWidth="1"/>
    <col min="1914" max="1914" width="12.7109375" customWidth="1"/>
    <col min="1915" max="1915" width="10.7109375" bestFit="1" customWidth="1"/>
    <col min="1916" max="1916" width="9.85546875" customWidth="1"/>
    <col min="1917" max="1918" width="10.140625" bestFit="1" customWidth="1"/>
    <col min="1919" max="1919" width="7.5703125" bestFit="1" customWidth="1"/>
    <col min="1920" max="1920" width="9.42578125" bestFit="1" customWidth="1"/>
    <col min="1921" max="1921" width="14.5703125" bestFit="1" customWidth="1"/>
    <col min="1922" max="1922" width="14.85546875" customWidth="1"/>
    <col min="1923" max="1923" width="15.140625" bestFit="1" customWidth="1"/>
    <col min="1924" max="1924" width="12.140625" bestFit="1" customWidth="1"/>
    <col min="1925" max="1925" width="14.85546875" bestFit="1" customWidth="1"/>
    <col min="1926" max="1926" width="12.28515625" bestFit="1" customWidth="1"/>
    <col min="1927" max="1935" width="9.140625" hidden="1" customWidth="1"/>
    <col min="1936" max="1936" width="5.28515625" bestFit="1" customWidth="1"/>
    <col min="1937" max="1942" width="11.5703125" bestFit="1" customWidth="1"/>
    <col min="1943" max="1943" width="11.28515625" bestFit="1" customWidth="1"/>
    <col min="1944" max="1944" width="10.140625" bestFit="1" customWidth="1"/>
    <col min="1945" max="1945" width="11.5703125" bestFit="1" customWidth="1"/>
    <col min="1946" max="1946" width="16.140625" customWidth="1"/>
    <col min="1947" max="1947" width="13.42578125" customWidth="1"/>
    <col min="1948" max="1948" width="10.140625" bestFit="1" customWidth="1"/>
    <col min="1949" max="1949" width="12.85546875" bestFit="1" customWidth="1"/>
    <col min="1950" max="1950" width="12.28515625" bestFit="1" customWidth="1"/>
    <col min="1951" max="1951" width="11.28515625" bestFit="1" customWidth="1"/>
    <col min="1952" max="1952" width="11.5703125" bestFit="1" customWidth="1"/>
    <col min="1953" max="1953" width="10.85546875" bestFit="1" customWidth="1"/>
    <col min="1954" max="1954" width="11.28515625" bestFit="1" customWidth="1"/>
    <col min="1955" max="1955" width="10.140625" bestFit="1" customWidth="1"/>
    <col min="1956" max="1956" width="13.28515625" bestFit="1" customWidth="1"/>
    <col min="1957" max="1958" width="12.7109375" bestFit="1" customWidth="1"/>
    <col min="1959" max="1959" width="11" bestFit="1" customWidth="1"/>
    <col min="1960" max="1960" width="11.28515625" bestFit="1" customWidth="1"/>
    <col min="1961" max="1961" width="11.5703125" bestFit="1" customWidth="1"/>
    <col min="1962" max="1962" width="12.28515625" bestFit="1" customWidth="1"/>
    <col min="1963" max="1963" width="15.140625" bestFit="1" customWidth="1"/>
    <col min="1964" max="1964" width="14.42578125" bestFit="1" customWidth="1"/>
    <col min="1965" max="1965" width="12.28515625" bestFit="1" customWidth="1"/>
    <col min="1966" max="1966" width="15.140625" bestFit="1" customWidth="1"/>
    <col min="1967" max="1967" width="14.42578125" bestFit="1" customWidth="1"/>
    <col min="1968" max="1968" width="12.28515625" bestFit="1" customWidth="1"/>
    <col min="1969" max="1969" width="14.42578125" bestFit="1" customWidth="1"/>
    <col min="1970" max="1970" width="11.28515625" bestFit="1" customWidth="1"/>
    <col min="1971" max="1971" width="12.28515625" bestFit="1" customWidth="1"/>
    <col min="1972" max="1972" width="13" bestFit="1" customWidth="1"/>
    <col min="1973" max="1973" width="15.140625" bestFit="1" customWidth="1"/>
    <col min="1974" max="1974" width="12.28515625" bestFit="1" customWidth="1"/>
    <col min="1975" max="1975" width="13.85546875" bestFit="1" customWidth="1"/>
    <col min="1976" max="1976" width="11.28515625" bestFit="1" customWidth="1"/>
    <col min="1977" max="1977" width="12.28515625" bestFit="1" customWidth="1"/>
    <col min="1978" max="1978" width="13.85546875" bestFit="1" customWidth="1"/>
    <col min="1979" max="1980" width="15.140625" bestFit="1" customWidth="1"/>
    <col min="1981" max="1981" width="12.28515625" bestFit="1" customWidth="1"/>
    <col min="1982" max="1982" width="5.7109375" bestFit="1" customWidth="1"/>
    <col min="1983" max="1983" width="8.5703125" bestFit="1" customWidth="1"/>
    <col min="1984" max="1984" width="5.5703125" bestFit="1" customWidth="1"/>
    <col min="1985" max="1985" width="14.42578125" bestFit="1" customWidth="1"/>
    <col min="1986" max="1986" width="11.28515625" bestFit="1" customWidth="1"/>
    <col min="1987" max="1988" width="12.28515625" bestFit="1" customWidth="1"/>
    <col min="1989" max="1989" width="11.28515625" bestFit="1" customWidth="1"/>
    <col min="1990" max="1990" width="13.85546875" bestFit="1" customWidth="1"/>
    <col min="1991" max="1991" width="12" bestFit="1" customWidth="1"/>
    <col min="1992" max="1992" width="13.85546875" bestFit="1" customWidth="1"/>
    <col min="1993" max="1994" width="14.42578125" customWidth="1"/>
    <col min="1995" max="1995" width="10.140625" bestFit="1" customWidth="1"/>
    <col min="1996" max="1996" width="12.28515625" bestFit="1" customWidth="1"/>
    <col min="1997" max="1997" width="7.42578125" bestFit="1" customWidth="1"/>
    <col min="1998" max="1998" width="8.5703125" bestFit="1" customWidth="1"/>
    <col min="1999" max="1999" width="11.5703125" bestFit="1" customWidth="1"/>
    <col min="2000" max="2000" width="13.28515625" bestFit="1" customWidth="1"/>
    <col min="2001" max="2001" width="13.28515625" customWidth="1"/>
    <col min="2002" max="2002" width="13.140625" customWidth="1"/>
    <col min="2003" max="2003" width="12.7109375" bestFit="1" customWidth="1"/>
    <col min="2004" max="2004" width="13.28515625" bestFit="1" customWidth="1"/>
    <col min="2005" max="2007" width="13.28515625" customWidth="1"/>
    <col min="2008" max="2008" width="12.140625" bestFit="1" customWidth="1"/>
    <col min="2009" max="2009" width="12.7109375" bestFit="1" customWidth="1"/>
    <col min="2010" max="2010" width="11" customWidth="1"/>
    <col min="2011" max="2011" width="16.7109375" customWidth="1"/>
    <col min="2012" max="2012" width="17" customWidth="1"/>
    <col min="2013" max="2013" width="10.42578125" bestFit="1" customWidth="1"/>
    <col min="2057" max="2057" width="3.85546875" customWidth="1"/>
    <col min="2058" max="2058" width="15.28515625" bestFit="1" customWidth="1"/>
    <col min="2059" max="2059" width="12.28515625" customWidth="1"/>
    <col min="2060" max="2060" width="16.28515625" bestFit="1" customWidth="1"/>
    <col min="2061" max="2061" width="6.42578125" bestFit="1" customWidth="1"/>
    <col min="2062" max="2062" width="9.28515625" bestFit="1" customWidth="1"/>
    <col min="2063" max="2063" width="7.5703125" bestFit="1" customWidth="1"/>
    <col min="2064" max="2064" width="13.28515625" bestFit="1" customWidth="1"/>
    <col min="2065" max="2065" width="9.28515625" bestFit="1" customWidth="1"/>
    <col min="2066" max="2066" width="11.5703125" bestFit="1" customWidth="1"/>
    <col min="2067" max="2067" width="13.28515625" bestFit="1" customWidth="1"/>
    <col min="2068" max="2068" width="7.140625" bestFit="1" customWidth="1"/>
    <col min="2069" max="2069" width="12" bestFit="1" customWidth="1"/>
    <col min="2070" max="2070" width="13.28515625" bestFit="1" customWidth="1"/>
    <col min="2071" max="2071" width="7" bestFit="1" customWidth="1"/>
    <col min="2072" max="2072" width="12.7109375" bestFit="1" customWidth="1"/>
    <col min="2073" max="2073" width="11.5703125" bestFit="1" customWidth="1"/>
    <col min="2074" max="2074" width="10.5703125" bestFit="1" customWidth="1"/>
    <col min="2075" max="2076" width="15.7109375" bestFit="1" customWidth="1"/>
    <col min="2077" max="2077" width="11.5703125" bestFit="1" customWidth="1"/>
    <col min="2078" max="2078" width="7.7109375" bestFit="1" customWidth="1"/>
    <col min="2079" max="2079" width="15.140625" bestFit="1" customWidth="1"/>
    <col min="2080" max="2080" width="11.5703125" bestFit="1" customWidth="1"/>
    <col min="2081" max="2081" width="13.28515625" bestFit="1" customWidth="1"/>
    <col min="2082" max="2082" width="10.42578125" bestFit="1" customWidth="1"/>
    <col min="2083" max="2083" width="13.28515625" bestFit="1" customWidth="1"/>
    <col min="2084" max="2084" width="12.140625" bestFit="1" customWidth="1"/>
    <col min="2085" max="2085" width="14.42578125" bestFit="1" customWidth="1"/>
    <col min="2086" max="2086" width="13.28515625" bestFit="1" customWidth="1"/>
    <col min="2087" max="2087" width="11.5703125" bestFit="1" customWidth="1"/>
    <col min="2088" max="2088" width="7.7109375" bestFit="1" customWidth="1"/>
    <col min="2089" max="2090" width="14.42578125" bestFit="1" customWidth="1"/>
    <col min="2091" max="2091" width="11.5703125" bestFit="1" customWidth="1"/>
    <col min="2092" max="2092" width="7.7109375" bestFit="1" customWidth="1"/>
    <col min="2093" max="2093" width="13.5703125" customWidth="1"/>
    <col min="2094" max="2094" width="15.28515625" customWidth="1"/>
    <col min="2095" max="2095" width="14.5703125" customWidth="1"/>
    <col min="2096" max="2096" width="13.28515625" bestFit="1" customWidth="1"/>
    <col min="2097" max="2097" width="7.7109375" bestFit="1" customWidth="1"/>
    <col min="2098" max="2098" width="12.7109375" bestFit="1" customWidth="1"/>
    <col min="2099" max="2099" width="11.7109375" bestFit="1" customWidth="1"/>
    <col min="2100" max="2100" width="11.5703125" bestFit="1" customWidth="1"/>
    <col min="2101" max="2101" width="5.28515625" bestFit="1" customWidth="1"/>
    <col min="2102" max="2102" width="13.28515625" bestFit="1" customWidth="1"/>
    <col min="2103" max="2103" width="13.5703125" bestFit="1" customWidth="1"/>
    <col min="2104" max="2104" width="10.5703125" bestFit="1" customWidth="1"/>
    <col min="2105" max="2105" width="13.28515625" bestFit="1" customWidth="1"/>
    <col min="2106" max="2106" width="11.5703125" bestFit="1" customWidth="1"/>
    <col min="2107" max="2107" width="10.5703125" bestFit="1" customWidth="1"/>
    <col min="2108" max="2108" width="16.140625" bestFit="1" customWidth="1"/>
    <col min="2109" max="2110" width="11.28515625" bestFit="1" customWidth="1"/>
    <col min="2111" max="2111" width="13.28515625" bestFit="1" customWidth="1"/>
    <col min="2112" max="2112" width="7.7109375" bestFit="1" customWidth="1"/>
    <col min="2113" max="2116" width="9.140625" hidden="1" customWidth="1"/>
    <col min="2117" max="2117" width="10.42578125" bestFit="1" customWidth="1"/>
    <col min="2118" max="2118" width="10.5703125" bestFit="1" customWidth="1"/>
    <col min="2119" max="2119" width="10.42578125" bestFit="1" customWidth="1"/>
    <col min="2120" max="2120" width="10.5703125" bestFit="1" customWidth="1"/>
    <col min="2121" max="2121" width="9.5703125" bestFit="1" customWidth="1"/>
    <col min="2122" max="2122" width="11.5703125" bestFit="1" customWidth="1"/>
    <col min="2123" max="2123" width="10.42578125" bestFit="1" customWidth="1"/>
    <col min="2124" max="2124" width="10.85546875" customWidth="1"/>
    <col min="2125" max="2126" width="9.85546875" bestFit="1" customWidth="1"/>
    <col min="2127" max="2127" width="13.5703125" bestFit="1" customWidth="1"/>
    <col min="2128" max="2128" width="7.7109375" bestFit="1" customWidth="1"/>
    <col min="2129" max="2129" width="13.28515625" bestFit="1" customWidth="1"/>
    <col min="2130" max="2130" width="11.5703125" bestFit="1" customWidth="1"/>
    <col min="2131" max="2131" width="10.42578125" bestFit="1" customWidth="1"/>
    <col min="2132" max="2132" width="7.7109375" bestFit="1" customWidth="1"/>
    <col min="2133" max="2133" width="11.5703125" bestFit="1" customWidth="1"/>
    <col min="2134" max="2134" width="10.85546875" bestFit="1" customWidth="1"/>
    <col min="2135" max="2135" width="13.28515625" bestFit="1" customWidth="1"/>
    <col min="2136" max="2136" width="10.85546875" bestFit="1" customWidth="1"/>
    <col min="2137" max="2138" width="7.5703125" bestFit="1" customWidth="1"/>
    <col min="2139" max="2140" width="10.42578125" bestFit="1" customWidth="1"/>
    <col min="2141" max="2141" width="11.5703125" bestFit="1" customWidth="1"/>
    <col min="2142" max="2142" width="5.28515625" bestFit="1" customWidth="1"/>
    <col min="2143" max="2143" width="10.28515625" bestFit="1" customWidth="1"/>
    <col min="2144" max="2144" width="10.42578125" bestFit="1" customWidth="1"/>
    <col min="2145" max="2145" width="11.5703125" bestFit="1" customWidth="1"/>
    <col min="2146" max="2146" width="5.28515625" bestFit="1" customWidth="1"/>
    <col min="2147" max="2149" width="11.5703125" bestFit="1" customWidth="1"/>
    <col min="2150" max="2150" width="5.28515625" bestFit="1" customWidth="1"/>
    <col min="2151" max="2152" width="10.42578125" bestFit="1" customWidth="1"/>
    <col min="2153" max="2153" width="11.5703125" bestFit="1" customWidth="1"/>
    <col min="2154" max="2154" width="5.28515625" bestFit="1" customWidth="1"/>
    <col min="2155" max="2155" width="14.28515625" bestFit="1" customWidth="1"/>
    <col min="2156" max="2156" width="13" bestFit="1" customWidth="1"/>
    <col min="2157" max="2157" width="11.5703125" bestFit="1" customWidth="1"/>
    <col min="2158" max="2158" width="8.85546875" bestFit="1" customWidth="1"/>
    <col min="2159" max="2159" width="14.42578125" bestFit="1" customWidth="1"/>
    <col min="2160" max="2160" width="10.42578125" bestFit="1" customWidth="1"/>
    <col min="2161" max="2161" width="12.28515625" bestFit="1" customWidth="1"/>
    <col min="2162" max="2162" width="13.85546875" bestFit="1" customWidth="1"/>
    <col min="2163" max="2163" width="11.28515625" customWidth="1"/>
    <col min="2164" max="2164" width="11.5703125" customWidth="1"/>
    <col min="2165" max="2165" width="13.42578125" bestFit="1" customWidth="1"/>
    <col min="2166" max="2166" width="10.42578125" customWidth="1"/>
    <col min="2167" max="2167" width="13.85546875" bestFit="1" customWidth="1"/>
    <col min="2168" max="2168" width="15.42578125" bestFit="1" customWidth="1"/>
    <col min="2169" max="2169" width="12.28515625" bestFit="1" customWidth="1"/>
    <col min="2170" max="2170" width="12.7109375" customWidth="1"/>
    <col min="2171" max="2171" width="10.7109375" bestFit="1" customWidth="1"/>
    <col min="2172" max="2172" width="9.85546875" customWidth="1"/>
    <col min="2173" max="2174" width="10.140625" bestFit="1" customWidth="1"/>
    <col min="2175" max="2175" width="7.5703125" bestFit="1" customWidth="1"/>
    <col min="2176" max="2176" width="9.42578125" bestFit="1" customWidth="1"/>
    <col min="2177" max="2177" width="14.5703125" bestFit="1" customWidth="1"/>
    <col min="2178" max="2178" width="14.85546875" customWidth="1"/>
    <col min="2179" max="2179" width="15.140625" bestFit="1" customWidth="1"/>
    <col min="2180" max="2180" width="12.140625" bestFit="1" customWidth="1"/>
    <col min="2181" max="2181" width="14.85546875" bestFit="1" customWidth="1"/>
    <col min="2182" max="2182" width="12.28515625" bestFit="1" customWidth="1"/>
    <col min="2183" max="2191" width="9.140625" hidden="1" customWidth="1"/>
    <col min="2192" max="2192" width="5.28515625" bestFit="1" customWidth="1"/>
    <col min="2193" max="2198" width="11.5703125" bestFit="1" customWidth="1"/>
    <col min="2199" max="2199" width="11.28515625" bestFit="1" customWidth="1"/>
    <col min="2200" max="2200" width="10.140625" bestFit="1" customWidth="1"/>
    <col min="2201" max="2201" width="11.5703125" bestFit="1" customWidth="1"/>
    <col min="2202" max="2202" width="16.140625" customWidth="1"/>
    <col min="2203" max="2203" width="13.42578125" customWidth="1"/>
    <col min="2204" max="2204" width="10.140625" bestFit="1" customWidth="1"/>
    <col min="2205" max="2205" width="12.85546875" bestFit="1" customWidth="1"/>
    <col min="2206" max="2206" width="12.28515625" bestFit="1" customWidth="1"/>
    <col min="2207" max="2207" width="11.28515625" bestFit="1" customWidth="1"/>
    <col min="2208" max="2208" width="11.5703125" bestFit="1" customWidth="1"/>
    <col min="2209" max="2209" width="10.85546875" bestFit="1" customWidth="1"/>
    <col min="2210" max="2210" width="11.28515625" bestFit="1" customWidth="1"/>
    <col min="2211" max="2211" width="10.140625" bestFit="1" customWidth="1"/>
    <col min="2212" max="2212" width="13.28515625" bestFit="1" customWidth="1"/>
    <col min="2213" max="2214" width="12.7109375" bestFit="1" customWidth="1"/>
    <col min="2215" max="2215" width="11" bestFit="1" customWidth="1"/>
    <col min="2216" max="2216" width="11.28515625" bestFit="1" customWidth="1"/>
    <col min="2217" max="2217" width="11.5703125" bestFit="1" customWidth="1"/>
    <col min="2218" max="2218" width="12.28515625" bestFit="1" customWidth="1"/>
    <col min="2219" max="2219" width="15.140625" bestFit="1" customWidth="1"/>
    <col min="2220" max="2220" width="14.42578125" bestFit="1" customWidth="1"/>
    <col min="2221" max="2221" width="12.28515625" bestFit="1" customWidth="1"/>
    <col min="2222" max="2222" width="15.140625" bestFit="1" customWidth="1"/>
    <col min="2223" max="2223" width="14.42578125" bestFit="1" customWidth="1"/>
    <col min="2224" max="2224" width="12.28515625" bestFit="1" customWidth="1"/>
    <col min="2225" max="2225" width="14.42578125" bestFit="1" customWidth="1"/>
    <col min="2226" max="2226" width="11.28515625" bestFit="1" customWidth="1"/>
    <col min="2227" max="2227" width="12.28515625" bestFit="1" customWidth="1"/>
    <col min="2228" max="2228" width="13" bestFit="1" customWidth="1"/>
    <col min="2229" max="2229" width="15.140625" bestFit="1" customWidth="1"/>
    <col min="2230" max="2230" width="12.28515625" bestFit="1" customWidth="1"/>
    <col min="2231" max="2231" width="13.85546875" bestFit="1" customWidth="1"/>
    <col min="2232" max="2232" width="11.28515625" bestFit="1" customWidth="1"/>
    <col min="2233" max="2233" width="12.28515625" bestFit="1" customWidth="1"/>
    <col min="2234" max="2234" width="13.85546875" bestFit="1" customWidth="1"/>
    <col min="2235" max="2236" width="15.140625" bestFit="1" customWidth="1"/>
    <col min="2237" max="2237" width="12.28515625" bestFit="1" customWidth="1"/>
    <col min="2238" max="2238" width="5.7109375" bestFit="1" customWidth="1"/>
    <col min="2239" max="2239" width="8.5703125" bestFit="1" customWidth="1"/>
    <col min="2240" max="2240" width="5.5703125" bestFit="1" customWidth="1"/>
    <col min="2241" max="2241" width="14.42578125" bestFit="1" customWidth="1"/>
    <col min="2242" max="2242" width="11.28515625" bestFit="1" customWidth="1"/>
    <col min="2243" max="2244" width="12.28515625" bestFit="1" customWidth="1"/>
    <col min="2245" max="2245" width="11.28515625" bestFit="1" customWidth="1"/>
    <col min="2246" max="2246" width="13.85546875" bestFit="1" customWidth="1"/>
    <col min="2247" max="2247" width="12" bestFit="1" customWidth="1"/>
    <col min="2248" max="2248" width="13.85546875" bestFit="1" customWidth="1"/>
    <col min="2249" max="2250" width="14.42578125" customWidth="1"/>
    <col min="2251" max="2251" width="10.140625" bestFit="1" customWidth="1"/>
    <col min="2252" max="2252" width="12.28515625" bestFit="1" customWidth="1"/>
    <col min="2253" max="2253" width="7.42578125" bestFit="1" customWidth="1"/>
    <col min="2254" max="2254" width="8.5703125" bestFit="1" customWidth="1"/>
    <col min="2255" max="2255" width="11.5703125" bestFit="1" customWidth="1"/>
    <col min="2256" max="2256" width="13.28515625" bestFit="1" customWidth="1"/>
    <col min="2257" max="2257" width="13.28515625" customWidth="1"/>
    <col min="2258" max="2258" width="13.140625" customWidth="1"/>
    <col min="2259" max="2259" width="12.7109375" bestFit="1" customWidth="1"/>
    <col min="2260" max="2260" width="13.28515625" bestFit="1" customWidth="1"/>
    <col min="2261" max="2263" width="13.28515625" customWidth="1"/>
    <col min="2264" max="2264" width="12.140625" bestFit="1" customWidth="1"/>
    <col min="2265" max="2265" width="12.7109375" bestFit="1" customWidth="1"/>
    <col min="2266" max="2266" width="11" customWidth="1"/>
    <col min="2267" max="2267" width="16.7109375" customWidth="1"/>
    <col min="2268" max="2268" width="17" customWidth="1"/>
    <col min="2269" max="2269" width="10.42578125" bestFit="1" customWidth="1"/>
    <col min="2313" max="2313" width="3.85546875" customWidth="1"/>
    <col min="2314" max="2314" width="15.28515625" bestFit="1" customWidth="1"/>
    <col min="2315" max="2315" width="12.28515625" customWidth="1"/>
    <col min="2316" max="2316" width="16.28515625" bestFit="1" customWidth="1"/>
    <col min="2317" max="2317" width="6.42578125" bestFit="1" customWidth="1"/>
    <col min="2318" max="2318" width="9.28515625" bestFit="1" customWidth="1"/>
    <col min="2319" max="2319" width="7.5703125" bestFit="1" customWidth="1"/>
    <col min="2320" max="2320" width="13.28515625" bestFit="1" customWidth="1"/>
    <col min="2321" max="2321" width="9.28515625" bestFit="1" customWidth="1"/>
    <col min="2322" max="2322" width="11.5703125" bestFit="1" customWidth="1"/>
    <col min="2323" max="2323" width="13.28515625" bestFit="1" customWidth="1"/>
    <col min="2324" max="2324" width="7.140625" bestFit="1" customWidth="1"/>
    <col min="2325" max="2325" width="12" bestFit="1" customWidth="1"/>
    <col min="2326" max="2326" width="13.28515625" bestFit="1" customWidth="1"/>
    <col min="2327" max="2327" width="7" bestFit="1" customWidth="1"/>
    <col min="2328" max="2328" width="12.7109375" bestFit="1" customWidth="1"/>
    <col min="2329" max="2329" width="11.5703125" bestFit="1" customWidth="1"/>
    <col min="2330" max="2330" width="10.5703125" bestFit="1" customWidth="1"/>
    <col min="2331" max="2332" width="15.7109375" bestFit="1" customWidth="1"/>
    <col min="2333" max="2333" width="11.5703125" bestFit="1" customWidth="1"/>
    <col min="2334" max="2334" width="7.7109375" bestFit="1" customWidth="1"/>
    <col min="2335" max="2335" width="15.140625" bestFit="1" customWidth="1"/>
    <col min="2336" max="2336" width="11.5703125" bestFit="1" customWidth="1"/>
    <col min="2337" max="2337" width="13.28515625" bestFit="1" customWidth="1"/>
    <col min="2338" max="2338" width="10.42578125" bestFit="1" customWidth="1"/>
    <col min="2339" max="2339" width="13.28515625" bestFit="1" customWidth="1"/>
    <col min="2340" max="2340" width="12.140625" bestFit="1" customWidth="1"/>
    <col min="2341" max="2341" width="14.42578125" bestFit="1" customWidth="1"/>
    <col min="2342" max="2342" width="13.28515625" bestFit="1" customWidth="1"/>
    <col min="2343" max="2343" width="11.5703125" bestFit="1" customWidth="1"/>
    <col min="2344" max="2344" width="7.7109375" bestFit="1" customWidth="1"/>
    <col min="2345" max="2346" width="14.42578125" bestFit="1" customWidth="1"/>
    <col min="2347" max="2347" width="11.5703125" bestFit="1" customWidth="1"/>
    <col min="2348" max="2348" width="7.7109375" bestFit="1" customWidth="1"/>
    <col min="2349" max="2349" width="13.5703125" customWidth="1"/>
    <col min="2350" max="2350" width="15.28515625" customWidth="1"/>
    <col min="2351" max="2351" width="14.5703125" customWidth="1"/>
    <col min="2352" max="2352" width="13.28515625" bestFit="1" customWidth="1"/>
    <col min="2353" max="2353" width="7.7109375" bestFit="1" customWidth="1"/>
    <col min="2354" max="2354" width="12.7109375" bestFit="1" customWidth="1"/>
    <col min="2355" max="2355" width="11.7109375" bestFit="1" customWidth="1"/>
    <col min="2356" max="2356" width="11.5703125" bestFit="1" customWidth="1"/>
    <col min="2357" max="2357" width="5.28515625" bestFit="1" customWidth="1"/>
    <col min="2358" max="2358" width="13.28515625" bestFit="1" customWidth="1"/>
    <col min="2359" max="2359" width="13.5703125" bestFit="1" customWidth="1"/>
    <col min="2360" max="2360" width="10.5703125" bestFit="1" customWidth="1"/>
    <col min="2361" max="2361" width="13.28515625" bestFit="1" customWidth="1"/>
    <col min="2362" max="2362" width="11.5703125" bestFit="1" customWidth="1"/>
    <col min="2363" max="2363" width="10.5703125" bestFit="1" customWidth="1"/>
    <col min="2364" max="2364" width="16.140625" bestFit="1" customWidth="1"/>
    <col min="2365" max="2366" width="11.28515625" bestFit="1" customWidth="1"/>
    <col min="2367" max="2367" width="13.28515625" bestFit="1" customWidth="1"/>
    <col min="2368" max="2368" width="7.7109375" bestFit="1" customWidth="1"/>
    <col min="2369" max="2372" width="9.140625" hidden="1" customWidth="1"/>
    <col min="2373" max="2373" width="10.42578125" bestFit="1" customWidth="1"/>
    <col min="2374" max="2374" width="10.5703125" bestFit="1" customWidth="1"/>
    <col min="2375" max="2375" width="10.42578125" bestFit="1" customWidth="1"/>
    <col min="2376" max="2376" width="10.5703125" bestFit="1" customWidth="1"/>
    <col min="2377" max="2377" width="9.5703125" bestFit="1" customWidth="1"/>
    <col min="2378" max="2378" width="11.5703125" bestFit="1" customWidth="1"/>
    <col min="2379" max="2379" width="10.42578125" bestFit="1" customWidth="1"/>
    <col min="2380" max="2380" width="10.85546875" customWidth="1"/>
    <col min="2381" max="2382" width="9.85546875" bestFit="1" customWidth="1"/>
    <col min="2383" max="2383" width="13.5703125" bestFit="1" customWidth="1"/>
    <col min="2384" max="2384" width="7.7109375" bestFit="1" customWidth="1"/>
    <col min="2385" max="2385" width="13.28515625" bestFit="1" customWidth="1"/>
    <col min="2386" max="2386" width="11.5703125" bestFit="1" customWidth="1"/>
    <col min="2387" max="2387" width="10.42578125" bestFit="1" customWidth="1"/>
    <col min="2388" max="2388" width="7.7109375" bestFit="1" customWidth="1"/>
    <col min="2389" max="2389" width="11.5703125" bestFit="1" customWidth="1"/>
    <col min="2390" max="2390" width="10.85546875" bestFit="1" customWidth="1"/>
    <col min="2391" max="2391" width="13.28515625" bestFit="1" customWidth="1"/>
    <col min="2392" max="2392" width="10.85546875" bestFit="1" customWidth="1"/>
    <col min="2393" max="2394" width="7.5703125" bestFit="1" customWidth="1"/>
    <col min="2395" max="2396" width="10.42578125" bestFit="1" customWidth="1"/>
    <col min="2397" max="2397" width="11.5703125" bestFit="1" customWidth="1"/>
    <col min="2398" max="2398" width="5.28515625" bestFit="1" customWidth="1"/>
    <col min="2399" max="2399" width="10.28515625" bestFit="1" customWidth="1"/>
    <col min="2400" max="2400" width="10.42578125" bestFit="1" customWidth="1"/>
    <col min="2401" max="2401" width="11.5703125" bestFit="1" customWidth="1"/>
    <col min="2402" max="2402" width="5.28515625" bestFit="1" customWidth="1"/>
    <col min="2403" max="2405" width="11.5703125" bestFit="1" customWidth="1"/>
    <col min="2406" max="2406" width="5.28515625" bestFit="1" customWidth="1"/>
    <col min="2407" max="2408" width="10.42578125" bestFit="1" customWidth="1"/>
    <col min="2409" max="2409" width="11.5703125" bestFit="1" customWidth="1"/>
    <col min="2410" max="2410" width="5.28515625" bestFit="1" customWidth="1"/>
    <col min="2411" max="2411" width="14.28515625" bestFit="1" customWidth="1"/>
    <col min="2412" max="2412" width="13" bestFit="1" customWidth="1"/>
    <col min="2413" max="2413" width="11.5703125" bestFit="1" customWidth="1"/>
    <col min="2414" max="2414" width="8.85546875" bestFit="1" customWidth="1"/>
    <col min="2415" max="2415" width="14.42578125" bestFit="1" customWidth="1"/>
    <col min="2416" max="2416" width="10.42578125" bestFit="1" customWidth="1"/>
    <col min="2417" max="2417" width="12.28515625" bestFit="1" customWidth="1"/>
    <col min="2418" max="2418" width="13.85546875" bestFit="1" customWidth="1"/>
    <col min="2419" max="2419" width="11.28515625" customWidth="1"/>
    <col min="2420" max="2420" width="11.5703125" customWidth="1"/>
    <col min="2421" max="2421" width="13.42578125" bestFit="1" customWidth="1"/>
    <col min="2422" max="2422" width="10.42578125" customWidth="1"/>
    <col min="2423" max="2423" width="13.85546875" bestFit="1" customWidth="1"/>
    <col min="2424" max="2424" width="15.42578125" bestFit="1" customWidth="1"/>
    <col min="2425" max="2425" width="12.28515625" bestFit="1" customWidth="1"/>
    <col min="2426" max="2426" width="12.7109375" customWidth="1"/>
    <col min="2427" max="2427" width="10.7109375" bestFit="1" customWidth="1"/>
    <col min="2428" max="2428" width="9.85546875" customWidth="1"/>
    <col min="2429" max="2430" width="10.140625" bestFit="1" customWidth="1"/>
    <col min="2431" max="2431" width="7.5703125" bestFit="1" customWidth="1"/>
    <col min="2432" max="2432" width="9.42578125" bestFit="1" customWidth="1"/>
    <col min="2433" max="2433" width="14.5703125" bestFit="1" customWidth="1"/>
    <col min="2434" max="2434" width="14.85546875" customWidth="1"/>
    <col min="2435" max="2435" width="15.140625" bestFit="1" customWidth="1"/>
    <col min="2436" max="2436" width="12.140625" bestFit="1" customWidth="1"/>
    <col min="2437" max="2437" width="14.85546875" bestFit="1" customWidth="1"/>
    <col min="2438" max="2438" width="12.28515625" bestFit="1" customWidth="1"/>
    <col min="2439" max="2447" width="9.140625" hidden="1" customWidth="1"/>
    <col min="2448" max="2448" width="5.28515625" bestFit="1" customWidth="1"/>
    <col min="2449" max="2454" width="11.5703125" bestFit="1" customWidth="1"/>
    <col min="2455" max="2455" width="11.28515625" bestFit="1" customWidth="1"/>
    <col min="2456" max="2456" width="10.140625" bestFit="1" customWidth="1"/>
    <col min="2457" max="2457" width="11.5703125" bestFit="1" customWidth="1"/>
    <col min="2458" max="2458" width="16.140625" customWidth="1"/>
    <col min="2459" max="2459" width="13.42578125" customWidth="1"/>
    <col min="2460" max="2460" width="10.140625" bestFit="1" customWidth="1"/>
    <col min="2461" max="2461" width="12.85546875" bestFit="1" customWidth="1"/>
    <col min="2462" max="2462" width="12.28515625" bestFit="1" customWidth="1"/>
    <col min="2463" max="2463" width="11.28515625" bestFit="1" customWidth="1"/>
    <col min="2464" max="2464" width="11.5703125" bestFit="1" customWidth="1"/>
    <col min="2465" max="2465" width="10.85546875" bestFit="1" customWidth="1"/>
    <col min="2466" max="2466" width="11.28515625" bestFit="1" customWidth="1"/>
    <col min="2467" max="2467" width="10.140625" bestFit="1" customWidth="1"/>
    <col min="2468" max="2468" width="13.28515625" bestFit="1" customWidth="1"/>
    <col min="2469" max="2470" width="12.7109375" bestFit="1" customWidth="1"/>
    <col min="2471" max="2471" width="11" bestFit="1" customWidth="1"/>
    <col min="2472" max="2472" width="11.28515625" bestFit="1" customWidth="1"/>
    <col min="2473" max="2473" width="11.5703125" bestFit="1" customWidth="1"/>
    <col min="2474" max="2474" width="12.28515625" bestFit="1" customWidth="1"/>
    <col min="2475" max="2475" width="15.140625" bestFit="1" customWidth="1"/>
    <col min="2476" max="2476" width="14.42578125" bestFit="1" customWidth="1"/>
    <col min="2477" max="2477" width="12.28515625" bestFit="1" customWidth="1"/>
    <col min="2478" max="2478" width="15.140625" bestFit="1" customWidth="1"/>
    <col min="2479" max="2479" width="14.42578125" bestFit="1" customWidth="1"/>
    <col min="2480" max="2480" width="12.28515625" bestFit="1" customWidth="1"/>
    <col min="2481" max="2481" width="14.42578125" bestFit="1" customWidth="1"/>
    <col min="2482" max="2482" width="11.28515625" bestFit="1" customWidth="1"/>
    <col min="2483" max="2483" width="12.28515625" bestFit="1" customWidth="1"/>
    <col min="2484" max="2484" width="13" bestFit="1" customWidth="1"/>
    <col min="2485" max="2485" width="15.140625" bestFit="1" customWidth="1"/>
    <col min="2486" max="2486" width="12.28515625" bestFit="1" customWidth="1"/>
    <col min="2487" max="2487" width="13.85546875" bestFit="1" customWidth="1"/>
    <col min="2488" max="2488" width="11.28515625" bestFit="1" customWidth="1"/>
    <col min="2489" max="2489" width="12.28515625" bestFit="1" customWidth="1"/>
    <col min="2490" max="2490" width="13.85546875" bestFit="1" customWidth="1"/>
    <col min="2491" max="2492" width="15.140625" bestFit="1" customWidth="1"/>
    <col min="2493" max="2493" width="12.28515625" bestFit="1" customWidth="1"/>
    <col min="2494" max="2494" width="5.7109375" bestFit="1" customWidth="1"/>
    <col min="2495" max="2495" width="8.5703125" bestFit="1" customWidth="1"/>
    <col min="2496" max="2496" width="5.5703125" bestFit="1" customWidth="1"/>
    <col min="2497" max="2497" width="14.42578125" bestFit="1" customWidth="1"/>
    <col min="2498" max="2498" width="11.28515625" bestFit="1" customWidth="1"/>
    <col min="2499" max="2500" width="12.28515625" bestFit="1" customWidth="1"/>
    <col min="2501" max="2501" width="11.28515625" bestFit="1" customWidth="1"/>
    <col min="2502" max="2502" width="13.85546875" bestFit="1" customWidth="1"/>
    <col min="2503" max="2503" width="12" bestFit="1" customWidth="1"/>
    <col min="2504" max="2504" width="13.85546875" bestFit="1" customWidth="1"/>
    <col min="2505" max="2506" width="14.42578125" customWidth="1"/>
    <col min="2507" max="2507" width="10.140625" bestFit="1" customWidth="1"/>
    <col min="2508" max="2508" width="12.28515625" bestFit="1" customWidth="1"/>
    <col min="2509" max="2509" width="7.42578125" bestFit="1" customWidth="1"/>
    <col min="2510" max="2510" width="8.5703125" bestFit="1" customWidth="1"/>
    <col min="2511" max="2511" width="11.5703125" bestFit="1" customWidth="1"/>
    <col min="2512" max="2512" width="13.28515625" bestFit="1" customWidth="1"/>
    <col min="2513" max="2513" width="13.28515625" customWidth="1"/>
    <col min="2514" max="2514" width="13.140625" customWidth="1"/>
    <col min="2515" max="2515" width="12.7109375" bestFit="1" customWidth="1"/>
    <col min="2516" max="2516" width="13.28515625" bestFit="1" customWidth="1"/>
    <col min="2517" max="2519" width="13.28515625" customWidth="1"/>
    <col min="2520" max="2520" width="12.140625" bestFit="1" customWidth="1"/>
    <col min="2521" max="2521" width="12.7109375" bestFit="1" customWidth="1"/>
    <col min="2522" max="2522" width="11" customWidth="1"/>
    <col min="2523" max="2523" width="16.7109375" customWidth="1"/>
    <col min="2524" max="2524" width="17" customWidth="1"/>
    <col min="2525" max="2525" width="10.42578125" bestFit="1" customWidth="1"/>
    <col min="2569" max="2569" width="3.85546875" customWidth="1"/>
    <col min="2570" max="2570" width="15.28515625" bestFit="1" customWidth="1"/>
    <col min="2571" max="2571" width="12.28515625" customWidth="1"/>
    <col min="2572" max="2572" width="16.28515625" bestFit="1" customWidth="1"/>
    <col min="2573" max="2573" width="6.42578125" bestFit="1" customWidth="1"/>
    <col min="2574" max="2574" width="9.28515625" bestFit="1" customWidth="1"/>
    <col min="2575" max="2575" width="7.5703125" bestFit="1" customWidth="1"/>
    <col min="2576" max="2576" width="13.28515625" bestFit="1" customWidth="1"/>
    <col min="2577" max="2577" width="9.28515625" bestFit="1" customWidth="1"/>
    <col min="2578" max="2578" width="11.5703125" bestFit="1" customWidth="1"/>
    <col min="2579" max="2579" width="13.28515625" bestFit="1" customWidth="1"/>
    <col min="2580" max="2580" width="7.140625" bestFit="1" customWidth="1"/>
    <col min="2581" max="2581" width="12" bestFit="1" customWidth="1"/>
    <col min="2582" max="2582" width="13.28515625" bestFit="1" customWidth="1"/>
    <col min="2583" max="2583" width="7" bestFit="1" customWidth="1"/>
    <col min="2584" max="2584" width="12.7109375" bestFit="1" customWidth="1"/>
    <col min="2585" max="2585" width="11.5703125" bestFit="1" customWidth="1"/>
    <col min="2586" max="2586" width="10.5703125" bestFit="1" customWidth="1"/>
    <col min="2587" max="2588" width="15.7109375" bestFit="1" customWidth="1"/>
    <col min="2589" max="2589" width="11.5703125" bestFit="1" customWidth="1"/>
    <col min="2590" max="2590" width="7.7109375" bestFit="1" customWidth="1"/>
    <col min="2591" max="2591" width="15.140625" bestFit="1" customWidth="1"/>
    <col min="2592" max="2592" width="11.5703125" bestFit="1" customWidth="1"/>
    <col min="2593" max="2593" width="13.28515625" bestFit="1" customWidth="1"/>
    <col min="2594" max="2594" width="10.42578125" bestFit="1" customWidth="1"/>
    <col min="2595" max="2595" width="13.28515625" bestFit="1" customWidth="1"/>
    <col min="2596" max="2596" width="12.140625" bestFit="1" customWidth="1"/>
    <col min="2597" max="2597" width="14.42578125" bestFit="1" customWidth="1"/>
    <col min="2598" max="2598" width="13.28515625" bestFit="1" customWidth="1"/>
    <col min="2599" max="2599" width="11.5703125" bestFit="1" customWidth="1"/>
    <col min="2600" max="2600" width="7.7109375" bestFit="1" customWidth="1"/>
    <col min="2601" max="2602" width="14.42578125" bestFit="1" customWidth="1"/>
    <col min="2603" max="2603" width="11.5703125" bestFit="1" customWidth="1"/>
    <col min="2604" max="2604" width="7.7109375" bestFit="1" customWidth="1"/>
    <col min="2605" max="2605" width="13.5703125" customWidth="1"/>
    <col min="2606" max="2606" width="15.28515625" customWidth="1"/>
    <col min="2607" max="2607" width="14.5703125" customWidth="1"/>
    <col min="2608" max="2608" width="13.28515625" bestFit="1" customWidth="1"/>
    <col min="2609" max="2609" width="7.7109375" bestFit="1" customWidth="1"/>
    <col min="2610" max="2610" width="12.7109375" bestFit="1" customWidth="1"/>
    <col min="2611" max="2611" width="11.7109375" bestFit="1" customWidth="1"/>
    <col min="2612" max="2612" width="11.5703125" bestFit="1" customWidth="1"/>
    <col min="2613" max="2613" width="5.28515625" bestFit="1" customWidth="1"/>
    <col min="2614" max="2614" width="13.28515625" bestFit="1" customWidth="1"/>
    <col min="2615" max="2615" width="13.5703125" bestFit="1" customWidth="1"/>
    <col min="2616" max="2616" width="10.5703125" bestFit="1" customWidth="1"/>
    <col min="2617" max="2617" width="13.28515625" bestFit="1" customWidth="1"/>
    <col min="2618" max="2618" width="11.5703125" bestFit="1" customWidth="1"/>
    <col min="2619" max="2619" width="10.5703125" bestFit="1" customWidth="1"/>
    <col min="2620" max="2620" width="16.140625" bestFit="1" customWidth="1"/>
    <col min="2621" max="2622" width="11.28515625" bestFit="1" customWidth="1"/>
    <col min="2623" max="2623" width="13.28515625" bestFit="1" customWidth="1"/>
    <col min="2624" max="2624" width="7.7109375" bestFit="1" customWidth="1"/>
    <col min="2625" max="2628" width="9.140625" hidden="1" customWidth="1"/>
    <col min="2629" max="2629" width="10.42578125" bestFit="1" customWidth="1"/>
    <col min="2630" max="2630" width="10.5703125" bestFit="1" customWidth="1"/>
    <col min="2631" max="2631" width="10.42578125" bestFit="1" customWidth="1"/>
    <col min="2632" max="2632" width="10.5703125" bestFit="1" customWidth="1"/>
    <col min="2633" max="2633" width="9.5703125" bestFit="1" customWidth="1"/>
    <col min="2634" max="2634" width="11.5703125" bestFit="1" customWidth="1"/>
    <col min="2635" max="2635" width="10.42578125" bestFit="1" customWidth="1"/>
    <col min="2636" max="2636" width="10.85546875" customWidth="1"/>
    <col min="2637" max="2638" width="9.85546875" bestFit="1" customWidth="1"/>
    <col min="2639" max="2639" width="13.5703125" bestFit="1" customWidth="1"/>
    <col min="2640" max="2640" width="7.7109375" bestFit="1" customWidth="1"/>
    <col min="2641" max="2641" width="13.28515625" bestFit="1" customWidth="1"/>
    <col min="2642" max="2642" width="11.5703125" bestFit="1" customWidth="1"/>
    <col min="2643" max="2643" width="10.42578125" bestFit="1" customWidth="1"/>
    <col min="2644" max="2644" width="7.7109375" bestFit="1" customWidth="1"/>
    <col min="2645" max="2645" width="11.5703125" bestFit="1" customWidth="1"/>
    <col min="2646" max="2646" width="10.85546875" bestFit="1" customWidth="1"/>
    <col min="2647" max="2647" width="13.28515625" bestFit="1" customWidth="1"/>
    <col min="2648" max="2648" width="10.85546875" bestFit="1" customWidth="1"/>
    <col min="2649" max="2650" width="7.5703125" bestFit="1" customWidth="1"/>
    <col min="2651" max="2652" width="10.42578125" bestFit="1" customWidth="1"/>
    <col min="2653" max="2653" width="11.5703125" bestFit="1" customWidth="1"/>
    <col min="2654" max="2654" width="5.28515625" bestFit="1" customWidth="1"/>
    <col min="2655" max="2655" width="10.28515625" bestFit="1" customWidth="1"/>
    <col min="2656" max="2656" width="10.42578125" bestFit="1" customWidth="1"/>
    <col min="2657" max="2657" width="11.5703125" bestFit="1" customWidth="1"/>
    <col min="2658" max="2658" width="5.28515625" bestFit="1" customWidth="1"/>
    <col min="2659" max="2661" width="11.5703125" bestFit="1" customWidth="1"/>
    <col min="2662" max="2662" width="5.28515625" bestFit="1" customWidth="1"/>
    <col min="2663" max="2664" width="10.42578125" bestFit="1" customWidth="1"/>
    <col min="2665" max="2665" width="11.5703125" bestFit="1" customWidth="1"/>
    <col min="2666" max="2666" width="5.28515625" bestFit="1" customWidth="1"/>
    <col min="2667" max="2667" width="14.28515625" bestFit="1" customWidth="1"/>
    <col min="2668" max="2668" width="13" bestFit="1" customWidth="1"/>
    <col min="2669" max="2669" width="11.5703125" bestFit="1" customWidth="1"/>
    <col min="2670" max="2670" width="8.85546875" bestFit="1" customWidth="1"/>
    <col min="2671" max="2671" width="14.42578125" bestFit="1" customWidth="1"/>
    <col min="2672" max="2672" width="10.42578125" bestFit="1" customWidth="1"/>
    <col min="2673" max="2673" width="12.28515625" bestFit="1" customWidth="1"/>
    <col min="2674" max="2674" width="13.85546875" bestFit="1" customWidth="1"/>
    <col min="2675" max="2675" width="11.28515625" customWidth="1"/>
    <col min="2676" max="2676" width="11.5703125" customWidth="1"/>
    <col min="2677" max="2677" width="13.42578125" bestFit="1" customWidth="1"/>
    <col min="2678" max="2678" width="10.42578125" customWidth="1"/>
    <col min="2679" max="2679" width="13.85546875" bestFit="1" customWidth="1"/>
    <col min="2680" max="2680" width="15.42578125" bestFit="1" customWidth="1"/>
    <col min="2681" max="2681" width="12.28515625" bestFit="1" customWidth="1"/>
    <col min="2682" max="2682" width="12.7109375" customWidth="1"/>
    <col min="2683" max="2683" width="10.7109375" bestFit="1" customWidth="1"/>
    <col min="2684" max="2684" width="9.85546875" customWidth="1"/>
    <col min="2685" max="2686" width="10.140625" bestFit="1" customWidth="1"/>
    <col min="2687" max="2687" width="7.5703125" bestFit="1" customWidth="1"/>
    <col min="2688" max="2688" width="9.42578125" bestFit="1" customWidth="1"/>
    <col min="2689" max="2689" width="14.5703125" bestFit="1" customWidth="1"/>
    <col min="2690" max="2690" width="14.85546875" customWidth="1"/>
    <col min="2691" max="2691" width="15.140625" bestFit="1" customWidth="1"/>
    <col min="2692" max="2692" width="12.140625" bestFit="1" customWidth="1"/>
    <col min="2693" max="2693" width="14.85546875" bestFit="1" customWidth="1"/>
    <col min="2694" max="2694" width="12.28515625" bestFit="1" customWidth="1"/>
    <col min="2695" max="2703" width="9.140625" hidden="1" customWidth="1"/>
    <col min="2704" max="2704" width="5.28515625" bestFit="1" customWidth="1"/>
    <col min="2705" max="2710" width="11.5703125" bestFit="1" customWidth="1"/>
    <col min="2711" max="2711" width="11.28515625" bestFit="1" customWidth="1"/>
    <col min="2712" max="2712" width="10.140625" bestFit="1" customWidth="1"/>
    <col min="2713" max="2713" width="11.5703125" bestFit="1" customWidth="1"/>
    <col min="2714" max="2714" width="16.140625" customWidth="1"/>
    <col min="2715" max="2715" width="13.42578125" customWidth="1"/>
    <col min="2716" max="2716" width="10.140625" bestFit="1" customWidth="1"/>
    <col min="2717" max="2717" width="12.85546875" bestFit="1" customWidth="1"/>
    <col min="2718" max="2718" width="12.28515625" bestFit="1" customWidth="1"/>
    <col min="2719" max="2719" width="11.28515625" bestFit="1" customWidth="1"/>
    <col min="2720" max="2720" width="11.5703125" bestFit="1" customWidth="1"/>
    <col min="2721" max="2721" width="10.85546875" bestFit="1" customWidth="1"/>
    <col min="2722" max="2722" width="11.28515625" bestFit="1" customWidth="1"/>
    <col min="2723" max="2723" width="10.140625" bestFit="1" customWidth="1"/>
    <col min="2724" max="2724" width="13.28515625" bestFit="1" customWidth="1"/>
    <col min="2725" max="2726" width="12.7109375" bestFit="1" customWidth="1"/>
    <col min="2727" max="2727" width="11" bestFit="1" customWidth="1"/>
    <col min="2728" max="2728" width="11.28515625" bestFit="1" customWidth="1"/>
    <col min="2729" max="2729" width="11.5703125" bestFit="1" customWidth="1"/>
    <col min="2730" max="2730" width="12.28515625" bestFit="1" customWidth="1"/>
    <col min="2731" max="2731" width="15.140625" bestFit="1" customWidth="1"/>
    <col min="2732" max="2732" width="14.42578125" bestFit="1" customWidth="1"/>
    <col min="2733" max="2733" width="12.28515625" bestFit="1" customWidth="1"/>
    <col min="2734" max="2734" width="15.140625" bestFit="1" customWidth="1"/>
    <col min="2735" max="2735" width="14.42578125" bestFit="1" customWidth="1"/>
    <col min="2736" max="2736" width="12.28515625" bestFit="1" customWidth="1"/>
    <col min="2737" max="2737" width="14.42578125" bestFit="1" customWidth="1"/>
    <col min="2738" max="2738" width="11.28515625" bestFit="1" customWidth="1"/>
    <col min="2739" max="2739" width="12.28515625" bestFit="1" customWidth="1"/>
    <col min="2740" max="2740" width="13" bestFit="1" customWidth="1"/>
    <col min="2741" max="2741" width="15.140625" bestFit="1" customWidth="1"/>
    <col min="2742" max="2742" width="12.28515625" bestFit="1" customWidth="1"/>
    <col min="2743" max="2743" width="13.85546875" bestFit="1" customWidth="1"/>
    <col min="2744" max="2744" width="11.28515625" bestFit="1" customWidth="1"/>
    <col min="2745" max="2745" width="12.28515625" bestFit="1" customWidth="1"/>
    <col min="2746" max="2746" width="13.85546875" bestFit="1" customWidth="1"/>
    <col min="2747" max="2748" width="15.140625" bestFit="1" customWidth="1"/>
    <col min="2749" max="2749" width="12.28515625" bestFit="1" customWidth="1"/>
    <col min="2750" max="2750" width="5.7109375" bestFit="1" customWidth="1"/>
    <col min="2751" max="2751" width="8.5703125" bestFit="1" customWidth="1"/>
    <col min="2752" max="2752" width="5.5703125" bestFit="1" customWidth="1"/>
    <col min="2753" max="2753" width="14.42578125" bestFit="1" customWidth="1"/>
    <col min="2754" max="2754" width="11.28515625" bestFit="1" customWidth="1"/>
    <col min="2755" max="2756" width="12.28515625" bestFit="1" customWidth="1"/>
    <col min="2757" max="2757" width="11.28515625" bestFit="1" customWidth="1"/>
    <col min="2758" max="2758" width="13.85546875" bestFit="1" customWidth="1"/>
    <col min="2759" max="2759" width="12" bestFit="1" customWidth="1"/>
    <col min="2760" max="2760" width="13.85546875" bestFit="1" customWidth="1"/>
    <col min="2761" max="2762" width="14.42578125" customWidth="1"/>
    <col min="2763" max="2763" width="10.140625" bestFit="1" customWidth="1"/>
    <col min="2764" max="2764" width="12.28515625" bestFit="1" customWidth="1"/>
    <col min="2765" max="2765" width="7.42578125" bestFit="1" customWidth="1"/>
    <col min="2766" max="2766" width="8.5703125" bestFit="1" customWidth="1"/>
    <col min="2767" max="2767" width="11.5703125" bestFit="1" customWidth="1"/>
    <col min="2768" max="2768" width="13.28515625" bestFit="1" customWidth="1"/>
    <col min="2769" max="2769" width="13.28515625" customWidth="1"/>
    <col min="2770" max="2770" width="13.140625" customWidth="1"/>
    <col min="2771" max="2771" width="12.7109375" bestFit="1" customWidth="1"/>
    <col min="2772" max="2772" width="13.28515625" bestFit="1" customWidth="1"/>
    <col min="2773" max="2775" width="13.28515625" customWidth="1"/>
    <col min="2776" max="2776" width="12.140625" bestFit="1" customWidth="1"/>
    <col min="2777" max="2777" width="12.7109375" bestFit="1" customWidth="1"/>
    <col min="2778" max="2778" width="11" customWidth="1"/>
    <col min="2779" max="2779" width="16.7109375" customWidth="1"/>
    <col min="2780" max="2780" width="17" customWidth="1"/>
    <col min="2781" max="2781" width="10.42578125" bestFit="1" customWidth="1"/>
    <col min="2825" max="2825" width="3.85546875" customWidth="1"/>
    <col min="2826" max="2826" width="15.28515625" bestFit="1" customWidth="1"/>
    <col min="2827" max="2827" width="12.28515625" customWidth="1"/>
    <col min="2828" max="2828" width="16.28515625" bestFit="1" customWidth="1"/>
    <col min="2829" max="2829" width="6.42578125" bestFit="1" customWidth="1"/>
    <col min="2830" max="2830" width="9.28515625" bestFit="1" customWidth="1"/>
    <col min="2831" max="2831" width="7.5703125" bestFit="1" customWidth="1"/>
    <col min="2832" max="2832" width="13.28515625" bestFit="1" customWidth="1"/>
    <col min="2833" max="2833" width="9.28515625" bestFit="1" customWidth="1"/>
    <col min="2834" max="2834" width="11.5703125" bestFit="1" customWidth="1"/>
    <col min="2835" max="2835" width="13.28515625" bestFit="1" customWidth="1"/>
    <col min="2836" max="2836" width="7.140625" bestFit="1" customWidth="1"/>
    <col min="2837" max="2837" width="12" bestFit="1" customWidth="1"/>
    <col min="2838" max="2838" width="13.28515625" bestFit="1" customWidth="1"/>
    <col min="2839" max="2839" width="7" bestFit="1" customWidth="1"/>
    <col min="2840" max="2840" width="12.7109375" bestFit="1" customWidth="1"/>
    <col min="2841" max="2841" width="11.5703125" bestFit="1" customWidth="1"/>
    <col min="2842" max="2842" width="10.5703125" bestFit="1" customWidth="1"/>
    <col min="2843" max="2844" width="15.7109375" bestFit="1" customWidth="1"/>
    <col min="2845" max="2845" width="11.5703125" bestFit="1" customWidth="1"/>
    <col min="2846" max="2846" width="7.7109375" bestFit="1" customWidth="1"/>
    <col min="2847" max="2847" width="15.140625" bestFit="1" customWidth="1"/>
    <col min="2848" max="2848" width="11.5703125" bestFit="1" customWidth="1"/>
    <col min="2849" max="2849" width="13.28515625" bestFit="1" customWidth="1"/>
    <col min="2850" max="2850" width="10.42578125" bestFit="1" customWidth="1"/>
    <col min="2851" max="2851" width="13.28515625" bestFit="1" customWidth="1"/>
    <col min="2852" max="2852" width="12.140625" bestFit="1" customWidth="1"/>
    <col min="2853" max="2853" width="14.42578125" bestFit="1" customWidth="1"/>
    <col min="2854" max="2854" width="13.28515625" bestFit="1" customWidth="1"/>
    <col min="2855" max="2855" width="11.5703125" bestFit="1" customWidth="1"/>
    <col min="2856" max="2856" width="7.7109375" bestFit="1" customWidth="1"/>
    <col min="2857" max="2858" width="14.42578125" bestFit="1" customWidth="1"/>
    <col min="2859" max="2859" width="11.5703125" bestFit="1" customWidth="1"/>
    <col min="2860" max="2860" width="7.7109375" bestFit="1" customWidth="1"/>
    <col min="2861" max="2861" width="13.5703125" customWidth="1"/>
    <col min="2862" max="2862" width="15.28515625" customWidth="1"/>
    <col min="2863" max="2863" width="14.5703125" customWidth="1"/>
    <col min="2864" max="2864" width="13.28515625" bestFit="1" customWidth="1"/>
    <col min="2865" max="2865" width="7.7109375" bestFit="1" customWidth="1"/>
    <col min="2866" max="2866" width="12.7109375" bestFit="1" customWidth="1"/>
    <col min="2867" max="2867" width="11.7109375" bestFit="1" customWidth="1"/>
    <col min="2868" max="2868" width="11.5703125" bestFit="1" customWidth="1"/>
    <col min="2869" max="2869" width="5.28515625" bestFit="1" customWidth="1"/>
    <col min="2870" max="2870" width="13.28515625" bestFit="1" customWidth="1"/>
    <col min="2871" max="2871" width="13.5703125" bestFit="1" customWidth="1"/>
    <col min="2872" max="2872" width="10.5703125" bestFit="1" customWidth="1"/>
    <col min="2873" max="2873" width="13.28515625" bestFit="1" customWidth="1"/>
    <col min="2874" max="2874" width="11.5703125" bestFit="1" customWidth="1"/>
    <col min="2875" max="2875" width="10.5703125" bestFit="1" customWidth="1"/>
    <col min="2876" max="2876" width="16.140625" bestFit="1" customWidth="1"/>
    <col min="2877" max="2878" width="11.28515625" bestFit="1" customWidth="1"/>
    <col min="2879" max="2879" width="13.28515625" bestFit="1" customWidth="1"/>
    <col min="2880" max="2880" width="7.7109375" bestFit="1" customWidth="1"/>
    <col min="2881" max="2884" width="9.140625" hidden="1" customWidth="1"/>
    <col min="2885" max="2885" width="10.42578125" bestFit="1" customWidth="1"/>
    <col min="2886" max="2886" width="10.5703125" bestFit="1" customWidth="1"/>
    <col min="2887" max="2887" width="10.42578125" bestFit="1" customWidth="1"/>
    <col min="2888" max="2888" width="10.5703125" bestFit="1" customWidth="1"/>
    <col min="2889" max="2889" width="9.5703125" bestFit="1" customWidth="1"/>
    <col min="2890" max="2890" width="11.5703125" bestFit="1" customWidth="1"/>
    <col min="2891" max="2891" width="10.42578125" bestFit="1" customWidth="1"/>
    <col min="2892" max="2892" width="10.85546875" customWidth="1"/>
    <col min="2893" max="2894" width="9.85546875" bestFit="1" customWidth="1"/>
    <col min="2895" max="2895" width="13.5703125" bestFit="1" customWidth="1"/>
    <col min="2896" max="2896" width="7.7109375" bestFit="1" customWidth="1"/>
    <col min="2897" max="2897" width="13.28515625" bestFit="1" customWidth="1"/>
    <col min="2898" max="2898" width="11.5703125" bestFit="1" customWidth="1"/>
    <col min="2899" max="2899" width="10.42578125" bestFit="1" customWidth="1"/>
    <col min="2900" max="2900" width="7.7109375" bestFit="1" customWidth="1"/>
    <col min="2901" max="2901" width="11.5703125" bestFit="1" customWidth="1"/>
    <col min="2902" max="2902" width="10.85546875" bestFit="1" customWidth="1"/>
    <col min="2903" max="2903" width="13.28515625" bestFit="1" customWidth="1"/>
    <col min="2904" max="2904" width="10.85546875" bestFit="1" customWidth="1"/>
    <col min="2905" max="2906" width="7.5703125" bestFit="1" customWidth="1"/>
    <col min="2907" max="2908" width="10.42578125" bestFit="1" customWidth="1"/>
    <col min="2909" max="2909" width="11.5703125" bestFit="1" customWidth="1"/>
    <col min="2910" max="2910" width="5.28515625" bestFit="1" customWidth="1"/>
    <col min="2911" max="2911" width="10.28515625" bestFit="1" customWidth="1"/>
    <col min="2912" max="2912" width="10.42578125" bestFit="1" customWidth="1"/>
    <col min="2913" max="2913" width="11.5703125" bestFit="1" customWidth="1"/>
    <col min="2914" max="2914" width="5.28515625" bestFit="1" customWidth="1"/>
    <col min="2915" max="2917" width="11.5703125" bestFit="1" customWidth="1"/>
    <col min="2918" max="2918" width="5.28515625" bestFit="1" customWidth="1"/>
    <col min="2919" max="2920" width="10.42578125" bestFit="1" customWidth="1"/>
    <col min="2921" max="2921" width="11.5703125" bestFit="1" customWidth="1"/>
    <col min="2922" max="2922" width="5.28515625" bestFit="1" customWidth="1"/>
    <col min="2923" max="2923" width="14.28515625" bestFit="1" customWidth="1"/>
    <col min="2924" max="2924" width="13" bestFit="1" customWidth="1"/>
    <col min="2925" max="2925" width="11.5703125" bestFit="1" customWidth="1"/>
    <col min="2926" max="2926" width="8.85546875" bestFit="1" customWidth="1"/>
    <col min="2927" max="2927" width="14.42578125" bestFit="1" customWidth="1"/>
    <col min="2928" max="2928" width="10.42578125" bestFit="1" customWidth="1"/>
    <col min="2929" max="2929" width="12.28515625" bestFit="1" customWidth="1"/>
    <col min="2930" max="2930" width="13.85546875" bestFit="1" customWidth="1"/>
    <col min="2931" max="2931" width="11.28515625" customWidth="1"/>
    <col min="2932" max="2932" width="11.5703125" customWidth="1"/>
    <col min="2933" max="2933" width="13.42578125" bestFit="1" customWidth="1"/>
    <col min="2934" max="2934" width="10.42578125" customWidth="1"/>
    <col min="2935" max="2935" width="13.85546875" bestFit="1" customWidth="1"/>
    <col min="2936" max="2936" width="15.42578125" bestFit="1" customWidth="1"/>
    <col min="2937" max="2937" width="12.28515625" bestFit="1" customWidth="1"/>
    <col min="2938" max="2938" width="12.7109375" customWidth="1"/>
    <col min="2939" max="2939" width="10.7109375" bestFit="1" customWidth="1"/>
    <col min="2940" max="2940" width="9.85546875" customWidth="1"/>
    <col min="2941" max="2942" width="10.140625" bestFit="1" customWidth="1"/>
    <col min="2943" max="2943" width="7.5703125" bestFit="1" customWidth="1"/>
    <col min="2944" max="2944" width="9.42578125" bestFit="1" customWidth="1"/>
    <col min="2945" max="2945" width="14.5703125" bestFit="1" customWidth="1"/>
    <col min="2946" max="2946" width="14.85546875" customWidth="1"/>
    <col min="2947" max="2947" width="15.140625" bestFit="1" customWidth="1"/>
    <col min="2948" max="2948" width="12.140625" bestFit="1" customWidth="1"/>
    <col min="2949" max="2949" width="14.85546875" bestFit="1" customWidth="1"/>
    <col min="2950" max="2950" width="12.28515625" bestFit="1" customWidth="1"/>
    <col min="2951" max="2959" width="9.140625" hidden="1" customWidth="1"/>
    <col min="2960" max="2960" width="5.28515625" bestFit="1" customWidth="1"/>
    <col min="2961" max="2966" width="11.5703125" bestFit="1" customWidth="1"/>
    <col min="2967" max="2967" width="11.28515625" bestFit="1" customWidth="1"/>
    <col min="2968" max="2968" width="10.140625" bestFit="1" customWidth="1"/>
    <col min="2969" max="2969" width="11.5703125" bestFit="1" customWidth="1"/>
    <col min="2970" max="2970" width="16.140625" customWidth="1"/>
    <col min="2971" max="2971" width="13.42578125" customWidth="1"/>
    <col min="2972" max="2972" width="10.140625" bestFit="1" customWidth="1"/>
    <col min="2973" max="2973" width="12.85546875" bestFit="1" customWidth="1"/>
    <col min="2974" max="2974" width="12.28515625" bestFit="1" customWidth="1"/>
    <col min="2975" max="2975" width="11.28515625" bestFit="1" customWidth="1"/>
    <col min="2976" max="2976" width="11.5703125" bestFit="1" customWidth="1"/>
    <col min="2977" max="2977" width="10.85546875" bestFit="1" customWidth="1"/>
    <col min="2978" max="2978" width="11.28515625" bestFit="1" customWidth="1"/>
    <col min="2979" max="2979" width="10.140625" bestFit="1" customWidth="1"/>
    <col min="2980" max="2980" width="13.28515625" bestFit="1" customWidth="1"/>
    <col min="2981" max="2982" width="12.7109375" bestFit="1" customWidth="1"/>
    <col min="2983" max="2983" width="11" bestFit="1" customWidth="1"/>
    <col min="2984" max="2984" width="11.28515625" bestFit="1" customWidth="1"/>
    <col min="2985" max="2985" width="11.5703125" bestFit="1" customWidth="1"/>
    <col min="2986" max="2986" width="12.28515625" bestFit="1" customWidth="1"/>
    <col min="2987" max="2987" width="15.140625" bestFit="1" customWidth="1"/>
    <col min="2988" max="2988" width="14.42578125" bestFit="1" customWidth="1"/>
    <col min="2989" max="2989" width="12.28515625" bestFit="1" customWidth="1"/>
    <col min="2990" max="2990" width="15.140625" bestFit="1" customWidth="1"/>
    <col min="2991" max="2991" width="14.42578125" bestFit="1" customWidth="1"/>
    <col min="2992" max="2992" width="12.28515625" bestFit="1" customWidth="1"/>
    <col min="2993" max="2993" width="14.42578125" bestFit="1" customWidth="1"/>
    <col min="2994" max="2994" width="11.28515625" bestFit="1" customWidth="1"/>
    <col min="2995" max="2995" width="12.28515625" bestFit="1" customWidth="1"/>
    <col min="2996" max="2996" width="13" bestFit="1" customWidth="1"/>
    <col min="2997" max="2997" width="15.140625" bestFit="1" customWidth="1"/>
    <col min="2998" max="2998" width="12.28515625" bestFit="1" customWidth="1"/>
    <col min="2999" max="2999" width="13.85546875" bestFit="1" customWidth="1"/>
    <col min="3000" max="3000" width="11.28515625" bestFit="1" customWidth="1"/>
    <col min="3001" max="3001" width="12.28515625" bestFit="1" customWidth="1"/>
    <col min="3002" max="3002" width="13.85546875" bestFit="1" customWidth="1"/>
    <col min="3003" max="3004" width="15.140625" bestFit="1" customWidth="1"/>
    <col min="3005" max="3005" width="12.28515625" bestFit="1" customWidth="1"/>
    <col min="3006" max="3006" width="5.7109375" bestFit="1" customWidth="1"/>
    <col min="3007" max="3007" width="8.5703125" bestFit="1" customWidth="1"/>
    <col min="3008" max="3008" width="5.5703125" bestFit="1" customWidth="1"/>
    <col min="3009" max="3009" width="14.42578125" bestFit="1" customWidth="1"/>
    <col min="3010" max="3010" width="11.28515625" bestFit="1" customWidth="1"/>
    <col min="3011" max="3012" width="12.28515625" bestFit="1" customWidth="1"/>
    <col min="3013" max="3013" width="11.28515625" bestFit="1" customWidth="1"/>
    <col min="3014" max="3014" width="13.85546875" bestFit="1" customWidth="1"/>
    <col min="3015" max="3015" width="12" bestFit="1" customWidth="1"/>
    <col min="3016" max="3016" width="13.85546875" bestFit="1" customWidth="1"/>
    <col min="3017" max="3018" width="14.42578125" customWidth="1"/>
    <col min="3019" max="3019" width="10.140625" bestFit="1" customWidth="1"/>
    <col min="3020" max="3020" width="12.28515625" bestFit="1" customWidth="1"/>
    <col min="3021" max="3021" width="7.42578125" bestFit="1" customWidth="1"/>
    <col min="3022" max="3022" width="8.5703125" bestFit="1" customWidth="1"/>
    <col min="3023" max="3023" width="11.5703125" bestFit="1" customWidth="1"/>
    <col min="3024" max="3024" width="13.28515625" bestFit="1" customWidth="1"/>
    <col min="3025" max="3025" width="13.28515625" customWidth="1"/>
    <col min="3026" max="3026" width="13.140625" customWidth="1"/>
    <col min="3027" max="3027" width="12.7109375" bestFit="1" customWidth="1"/>
    <col min="3028" max="3028" width="13.28515625" bestFit="1" customWidth="1"/>
    <col min="3029" max="3031" width="13.28515625" customWidth="1"/>
    <col min="3032" max="3032" width="12.140625" bestFit="1" customWidth="1"/>
    <col min="3033" max="3033" width="12.7109375" bestFit="1" customWidth="1"/>
    <col min="3034" max="3034" width="11" customWidth="1"/>
    <col min="3035" max="3035" width="16.7109375" customWidth="1"/>
    <col min="3036" max="3036" width="17" customWidth="1"/>
    <col min="3037" max="3037" width="10.42578125" bestFit="1" customWidth="1"/>
    <col min="3081" max="3081" width="3.85546875" customWidth="1"/>
    <col min="3082" max="3082" width="15.28515625" bestFit="1" customWidth="1"/>
    <col min="3083" max="3083" width="12.28515625" customWidth="1"/>
    <col min="3084" max="3084" width="16.28515625" bestFit="1" customWidth="1"/>
    <col min="3085" max="3085" width="6.42578125" bestFit="1" customWidth="1"/>
    <col min="3086" max="3086" width="9.28515625" bestFit="1" customWidth="1"/>
    <col min="3087" max="3087" width="7.5703125" bestFit="1" customWidth="1"/>
    <col min="3088" max="3088" width="13.28515625" bestFit="1" customWidth="1"/>
    <col min="3089" max="3089" width="9.28515625" bestFit="1" customWidth="1"/>
    <col min="3090" max="3090" width="11.5703125" bestFit="1" customWidth="1"/>
    <col min="3091" max="3091" width="13.28515625" bestFit="1" customWidth="1"/>
    <col min="3092" max="3092" width="7.140625" bestFit="1" customWidth="1"/>
    <col min="3093" max="3093" width="12" bestFit="1" customWidth="1"/>
    <col min="3094" max="3094" width="13.28515625" bestFit="1" customWidth="1"/>
    <col min="3095" max="3095" width="7" bestFit="1" customWidth="1"/>
    <col min="3096" max="3096" width="12.7109375" bestFit="1" customWidth="1"/>
    <col min="3097" max="3097" width="11.5703125" bestFit="1" customWidth="1"/>
    <col min="3098" max="3098" width="10.5703125" bestFit="1" customWidth="1"/>
    <col min="3099" max="3100" width="15.7109375" bestFit="1" customWidth="1"/>
    <col min="3101" max="3101" width="11.5703125" bestFit="1" customWidth="1"/>
    <col min="3102" max="3102" width="7.7109375" bestFit="1" customWidth="1"/>
    <col min="3103" max="3103" width="15.140625" bestFit="1" customWidth="1"/>
    <col min="3104" max="3104" width="11.5703125" bestFit="1" customWidth="1"/>
    <col min="3105" max="3105" width="13.28515625" bestFit="1" customWidth="1"/>
    <col min="3106" max="3106" width="10.42578125" bestFit="1" customWidth="1"/>
    <col min="3107" max="3107" width="13.28515625" bestFit="1" customWidth="1"/>
    <col min="3108" max="3108" width="12.140625" bestFit="1" customWidth="1"/>
    <col min="3109" max="3109" width="14.42578125" bestFit="1" customWidth="1"/>
    <col min="3110" max="3110" width="13.28515625" bestFit="1" customWidth="1"/>
    <col min="3111" max="3111" width="11.5703125" bestFit="1" customWidth="1"/>
    <col min="3112" max="3112" width="7.7109375" bestFit="1" customWidth="1"/>
    <col min="3113" max="3114" width="14.42578125" bestFit="1" customWidth="1"/>
    <col min="3115" max="3115" width="11.5703125" bestFit="1" customWidth="1"/>
    <col min="3116" max="3116" width="7.7109375" bestFit="1" customWidth="1"/>
    <col min="3117" max="3117" width="13.5703125" customWidth="1"/>
    <col min="3118" max="3118" width="15.28515625" customWidth="1"/>
    <col min="3119" max="3119" width="14.5703125" customWidth="1"/>
    <col min="3120" max="3120" width="13.28515625" bestFit="1" customWidth="1"/>
    <col min="3121" max="3121" width="7.7109375" bestFit="1" customWidth="1"/>
    <col min="3122" max="3122" width="12.7109375" bestFit="1" customWidth="1"/>
    <col min="3123" max="3123" width="11.7109375" bestFit="1" customWidth="1"/>
    <col min="3124" max="3124" width="11.5703125" bestFit="1" customWidth="1"/>
    <col min="3125" max="3125" width="5.28515625" bestFit="1" customWidth="1"/>
    <col min="3126" max="3126" width="13.28515625" bestFit="1" customWidth="1"/>
    <col min="3127" max="3127" width="13.5703125" bestFit="1" customWidth="1"/>
    <col min="3128" max="3128" width="10.5703125" bestFit="1" customWidth="1"/>
    <col min="3129" max="3129" width="13.28515625" bestFit="1" customWidth="1"/>
    <col min="3130" max="3130" width="11.5703125" bestFit="1" customWidth="1"/>
    <col min="3131" max="3131" width="10.5703125" bestFit="1" customWidth="1"/>
    <col min="3132" max="3132" width="16.140625" bestFit="1" customWidth="1"/>
    <col min="3133" max="3134" width="11.28515625" bestFit="1" customWidth="1"/>
    <col min="3135" max="3135" width="13.28515625" bestFit="1" customWidth="1"/>
    <col min="3136" max="3136" width="7.7109375" bestFit="1" customWidth="1"/>
    <col min="3137" max="3140" width="9.140625" hidden="1" customWidth="1"/>
    <col min="3141" max="3141" width="10.42578125" bestFit="1" customWidth="1"/>
    <col min="3142" max="3142" width="10.5703125" bestFit="1" customWidth="1"/>
    <col min="3143" max="3143" width="10.42578125" bestFit="1" customWidth="1"/>
    <col min="3144" max="3144" width="10.5703125" bestFit="1" customWidth="1"/>
    <col min="3145" max="3145" width="9.5703125" bestFit="1" customWidth="1"/>
    <col min="3146" max="3146" width="11.5703125" bestFit="1" customWidth="1"/>
    <col min="3147" max="3147" width="10.42578125" bestFit="1" customWidth="1"/>
    <col min="3148" max="3148" width="10.85546875" customWidth="1"/>
    <col min="3149" max="3150" width="9.85546875" bestFit="1" customWidth="1"/>
    <col min="3151" max="3151" width="13.5703125" bestFit="1" customWidth="1"/>
    <col min="3152" max="3152" width="7.7109375" bestFit="1" customWidth="1"/>
    <col min="3153" max="3153" width="13.28515625" bestFit="1" customWidth="1"/>
    <col min="3154" max="3154" width="11.5703125" bestFit="1" customWidth="1"/>
    <col min="3155" max="3155" width="10.42578125" bestFit="1" customWidth="1"/>
    <col min="3156" max="3156" width="7.7109375" bestFit="1" customWidth="1"/>
    <col min="3157" max="3157" width="11.5703125" bestFit="1" customWidth="1"/>
    <col min="3158" max="3158" width="10.85546875" bestFit="1" customWidth="1"/>
    <col min="3159" max="3159" width="13.28515625" bestFit="1" customWidth="1"/>
    <col min="3160" max="3160" width="10.85546875" bestFit="1" customWidth="1"/>
    <col min="3161" max="3162" width="7.5703125" bestFit="1" customWidth="1"/>
    <col min="3163" max="3164" width="10.42578125" bestFit="1" customWidth="1"/>
    <col min="3165" max="3165" width="11.5703125" bestFit="1" customWidth="1"/>
    <col min="3166" max="3166" width="5.28515625" bestFit="1" customWidth="1"/>
    <col min="3167" max="3167" width="10.28515625" bestFit="1" customWidth="1"/>
    <col min="3168" max="3168" width="10.42578125" bestFit="1" customWidth="1"/>
    <col min="3169" max="3169" width="11.5703125" bestFit="1" customWidth="1"/>
    <col min="3170" max="3170" width="5.28515625" bestFit="1" customWidth="1"/>
    <col min="3171" max="3173" width="11.5703125" bestFit="1" customWidth="1"/>
    <col min="3174" max="3174" width="5.28515625" bestFit="1" customWidth="1"/>
    <col min="3175" max="3176" width="10.42578125" bestFit="1" customWidth="1"/>
    <col min="3177" max="3177" width="11.5703125" bestFit="1" customWidth="1"/>
    <col min="3178" max="3178" width="5.28515625" bestFit="1" customWidth="1"/>
    <col min="3179" max="3179" width="14.28515625" bestFit="1" customWidth="1"/>
    <col min="3180" max="3180" width="13" bestFit="1" customWidth="1"/>
    <col min="3181" max="3181" width="11.5703125" bestFit="1" customWidth="1"/>
    <col min="3182" max="3182" width="8.85546875" bestFit="1" customWidth="1"/>
    <col min="3183" max="3183" width="14.42578125" bestFit="1" customWidth="1"/>
    <col min="3184" max="3184" width="10.42578125" bestFit="1" customWidth="1"/>
    <col min="3185" max="3185" width="12.28515625" bestFit="1" customWidth="1"/>
    <col min="3186" max="3186" width="13.85546875" bestFit="1" customWidth="1"/>
    <col min="3187" max="3187" width="11.28515625" customWidth="1"/>
    <col min="3188" max="3188" width="11.5703125" customWidth="1"/>
    <col min="3189" max="3189" width="13.42578125" bestFit="1" customWidth="1"/>
    <col min="3190" max="3190" width="10.42578125" customWidth="1"/>
    <col min="3191" max="3191" width="13.85546875" bestFit="1" customWidth="1"/>
    <col min="3192" max="3192" width="15.42578125" bestFit="1" customWidth="1"/>
    <col min="3193" max="3193" width="12.28515625" bestFit="1" customWidth="1"/>
    <col min="3194" max="3194" width="12.7109375" customWidth="1"/>
    <col min="3195" max="3195" width="10.7109375" bestFit="1" customWidth="1"/>
    <col min="3196" max="3196" width="9.85546875" customWidth="1"/>
    <col min="3197" max="3198" width="10.140625" bestFit="1" customWidth="1"/>
    <col min="3199" max="3199" width="7.5703125" bestFit="1" customWidth="1"/>
    <col min="3200" max="3200" width="9.42578125" bestFit="1" customWidth="1"/>
    <col min="3201" max="3201" width="14.5703125" bestFit="1" customWidth="1"/>
    <col min="3202" max="3202" width="14.85546875" customWidth="1"/>
    <col min="3203" max="3203" width="15.140625" bestFit="1" customWidth="1"/>
    <col min="3204" max="3204" width="12.140625" bestFit="1" customWidth="1"/>
    <col min="3205" max="3205" width="14.85546875" bestFit="1" customWidth="1"/>
    <col min="3206" max="3206" width="12.28515625" bestFit="1" customWidth="1"/>
    <col min="3207" max="3215" width="9.140625" hidden="1" customWidth="1"/>
    <col min="3216" max="3216" width="5.28515625" bestFit="1" customWidth="1"/>
    <col min="3217" max="3222" width="11.5703125" bestFit="1" customWidth="1"/>
    <col min="3223" max="3223" width="11.28515625" bestFit="1" customWidth="1"/>
    <col min="3224" max="3224" width="10.140625" bestFit="1" customWidth="1"/>
    <col min="3225" max="3225" width="11.5703125" bestFit="1" customWidth="1"/>
    <col min="3226" max="3226" width="16.140625" customWidth="1"/>
    <col min="3227" max="3227" width="13.42578125" customWidth="1"/>
    <col min="3228" max="3228" width="10.140625" bestFit="1" customWidth="1"/>
    <col min="3229" max="3229" width="12.85546875" bestFit="1" customWidth="1"/>
    <col min="3230" max="3230" width="12.28515625" bestFit="1" customWidth="1"/>
    <col min="3231" max="3231" width="11.28515625" bestFit="1" customWidth="1"/>
    <col min="3232" max="3232" width="11.5703125" bestFit="1" customWidth="1"/>
    <col min="3233" max="3233" width="10.85546875" bestFit="1" customWidth="1"/>
    <col min="3234" max="3234" width="11.28515625" bestFit="1" customWidth="1"/>
    <col min="3235" max="3235" width="10.140625" bestFit="1" customWidth="1"/>
    <col min="3236" max="3236" width="13.28515625" bestFit="1" customWidth="1"/>
    <col min="3237" max="3238" width="12.7109375" bestFit="1" customWidth="1"/>
    <col min="3239" max="3239" width="11" bestFit="1" customWidth="1"/>
    <col min="3240" max="3240" width="11.28515625" bestFit="1" customWidth="1"/>
    <col min="3241" max="3241" width="11.5703125" bestFit="1" customWidth="1"/>
    <col min="3242" max="3242" width="12.28515625" bestFit="1" customWidth="1"/>
    <col min="3243" max="3243" width="15.140625" bestFit="1" customWidth="1"/>
    <col min="3244" max="3244" width="14.42578125" bestFit="1" customWidth="1"/>
    <col min="3245" max="3245" width="12.28515625" bestFit="1" customWidth="1"/>
    <col min="3246" max="3246" width="15.140625" bestFit="1" customWidth="1"/>
    <col min="3247" max="3247" width="14.42578125" bestFit="1" customWidth="1"/>
    <col min="3248" max="3248" width="12.28515625" bestFit="1" customWidth="1"/>
    <col min="3249" max="3249" width="14.42578125" bestFit="1" customWidth="1"/>
    <col min="3250" max="3250" width="11.28515625" bestFit="1" customWidth="1"/>
    <col min="3251" max="3251" width="12.28515625" bestFit="1" customWidth="1"/>
    <col min="3252" max="3252" width="13" bestFit="1" customWidth="1"/>
    <col min="3253" max="3253" width="15.140625" bestFit="1" customWidth="1"/>
    <col min="3254" max="3254" width="12.28515625" bestFit="1" customWidth="1"/>
    <col min="3255" max="3255" width="13.85546875" bestFit="1" customWidth="1"/>
    <col min="3256" max="3256" width="11.28515625" bestFit="1" customWidth="1"/>
    <col min="3257" max="3257" width="12.28515625" bestFit="1" customWidth="1"/>
    <col min="3258" max="3258" width="13.85546875" bestFit="1" customWidth="1"/>
    <col min="3259" max="3260" width="15.140625" bestFit="1" customWidth="1"/>
    <col min="3261" max="3261" width="12.28515625" bestFit="1" customWidth="1"/>
    <col min="3262" max="3262" width="5.7109375" bestFit="1" customWidth="1"/>
    <col min="3263" max="3263" width="8.5703125" bestFit="1" customWidth="1"/>
    <col min="3264" max="3264" width="5.5703125" bestFit="1" customWidth="1"/>
    <col min="3265" max="3265" width="14.42578125" bestFit="1" customWidth="1"/>
    <col min="3266" max="3266" width="11.28515625" bestFit="1" customWidth="1"/>
    <col min="3267" max="3268" width="12.28515625" bestFit="1" customWidth="1"/>
    <col min="3269" max="3269" width="11.28515625" bestFit="1" customWidth="1"/>
    <col min="3270" max="3270" width="13.85546875" bestFit="1" customWidth="1"/>
    <col min="3271" max="3271" width="12" bestFit="1" customWidth="1"/>
    <col min="3272" max="3272" width="13.85546875" bestFit="1" customWidth="1"/>
    <col min="3273" max="3274" width="14.42578125" customWidth="1"/>
    <col min="3275" max="3275" width="10.140625" bestFit="1" customWidth="1"/>
    <col min="3276" max="3276" width="12.28515625" bestFit="1" customWidth="1"/>
    <col min="3277" max="3277" width="7.42578125" bestFit="1" customWidth="1"/>
    <col min="3278" max="3278" width="8.5703125" bestFit="1" customWidth="1"/>
    <col min="3279" max="3279" width="11.5703125" bestFit="1" customWidth="1"/>
    <col min="3280" max="3280" width="13.28515625" bestFit="1" customWidth="1"/>
    <col min="3281" max="3281" width="13.28515625" customWidth="1"/>
    <col min="3282" max="3282" width="13.140625" customWidth="1"/>
    <col min="3283" max="3283" width="12.7109375" bestFit="1" customWidth="1"/>
    <col min="3284" max="3284" width="13.28515625" bestFit="1" customWidth="1"/>
    <col min="3285" max="3287" width="13.28515625" customWidth="1"/>
    <col min="3288" max="3288" width="12.140625" bestFit="1" customWidth="1"/>
    <col min="3289" max="3289" width="12.7109375" bestFit="1" customWidth="1"/>
    <col min="3290" max="3290" width="11" customWidth="1"/>
    <col min="3291" max="3291" width="16.7109375" customWidth="1"/>
    <col min="3292" max="3292" width="17" customWidth="1"/>
    <col min="3293" max="3293" width="10.42578125" bestFit="1" customWidth="1"/>
    <col min="3337" max="3337" width="3.85546875" customWidth="1"/>
    <col min="3338" max="3338" width="15.28515625" bestFit="1" customWidth="1"/>
    <col min="3339" max="3339" width="12.28515625" customWidth="1"/>
    <col min="3340" max="3340" width="16.28515625" bestFit="1" customWidth="1"/>
    <col min="3341" max="3341" width="6.42578125" bestFit="1" customWidth="1"/>
    <col min="3342" max="3342" width="9.28515625" bestFit="1" customWidth="1"/>
    <col min="3343" max="3343" width="7.5703125" bestFit="1" customWidth="1"/>
    <col min="3344" max="3344" width="13.28515625" bestFit="1" customWidth="1"/>
    <col min="3345" max="3345" width="9.28515625" bestFit="1" customWidth="1"/>
    <col min="3346" max="3346" width="11.5703125" bestFit="1" customWidth="1"/>
    <col min="3347" max="3347" width="13.28515625" bestFit="1" customWidth="1"/>
    <col min="3348" max="3348" width="7.140625" bestFit="1" customWidth="1"/>
    <col min="3349" max="3349" width="12" bestFit="1" customWidth="1"/>
    <col min="3350" max="3350" width="13.28515625" bestFit="1" customWidth="1"/>
    <col min="3351" max="3351" width="7" bestFit="1" customWidth="1"/>
    <col min="3352" max="3352" width="12.7109375" bestFit="1" customWidth="1"/>
    <col min="3353" max="3353" width="11.5703125" bestFit="1" customWidth="1"/>
    <col min="3354" max="3354" width="10.5703125" bestFit="1" customWidth="1"/>
    <col min="3355" max="3356" width="15.7109375" bestFit="1" customWidth="1"/>
    <col min="3357" max="3357" width="11.5703125" bestFit="1" customWidth="1"/>
    <col min="3358" max="3358" width="7.7109375" bestFit="1" customWidth="1"/>
    <col min="3359" max="3359" width="15.140625" bestFit="1" customWidth="1"/>
    <col min="3360" max="3360" width="11.5703125" bestFit="1" customWidth="1"/>
    <col min="3361" max="3361" width="13.28515625" bestFit="1" customWidth="1"/>
    <col min="3362" max="3362" width="10.42578125" bestFit="1" customWidth="1"/>
    <col min="3363" max="3363" width="13.28515625" bestFit="1" customWidth="1"/>
    <col min="3364" max="3364" width="12.140625" bestFit="1" customWidth="1"/>
    <col min="3365" max="3365" width="14.42578125" bestFit="1" customWidth="1"/>
    <col min="3366" max="3366" width="13.28515625" bestFit="1" customWidth="1"/>
    <col min="3367" max="3367" width="11.5703125" bestFit="1" customWidth="1"/>
    <col min="3368" max="3368" width="7.7109375" bestFit="1" customWidth="1"/>
    <col min="3369" max="3370" width="14.42578125" bestFit="1" customWidth="1"/>
    <col min="3371" max="3371" width="11.5703125" bestFit="1" customWidth="1"/>
    <col min="3372" max="3372" width="7.7109375" bestFit="1" customWidth="1"/>
    <col min="3373" max="3373" width="13.5703125" customWidth="1"/>
    <col min="3374" max="3374" width="15.28515625" customWidth="1"/>
    <col min="3375" max="3375" width="14.5703125" customWidth="1"/>
    <col min="3376" max="3376" width="13.28515625" bestFit="1" customWidth="1"/>
    <col min="3377" max="3377" width="7.7109375" bestFit="1" customWidth="1"/>
    <col min="3378" max="3378" width="12.7109375" bestFit="1" customWidth="1"/>
    <col min="3379" max="3379" width="11.7109375" bestFit="1" customWidth="1"/>
    <col min="3380" max="3380" width="11.5703125" bestFit="1" customWidth="1"/>
    <col min="3381" max="3381" width="5.28515625" bestFit="1" customWidth="1"/>
    <col min="3382" max="3382" width="13.28515625" bestFit="1" customWidth="1"/>
    <col min="3383" max="3383" width="13.5703125" bestFit="1" customWidth="1"/>
    <col min="3384" max="3384" width="10.5703125" bestFit="1" customWidth="1"/>
    <col min="3385" max="3385" width="13.28515625" bestFit="1" customWidth="1"/>
    <col min="3386" max="3386" width="11.5703125" bestFit="1" customWidth="1"/>
    <col min="3387" max="3387" width="10.5703125" bestFit="1" customWidth="1"/>
    <col min="3388" max="3388" width="16.140625" bestFit="1" customWidth="1"/>
    <col min="3389" max="3390" width="11.28515625" bestFit="1" customWidth="1"/>
    <col min="3391" max="3391" width="13.28515625" bestFit="1" customWidth="1"/>
    <col min="3392" max="3392" width="7.7109375" bestFit="1" customWidth="1"/>
    <col min="3393" max="3396" width="9.140625" hidden="1" customWidth="1"/>
    <col min="3397" max="3397" width="10.42578125" bestFit="1" customWidth="1"/>
    <col min="3398" max="3398" width="10.5703125" bestFit="1" customWidth="1"/>
    <col min="3399" max="3399" width="10.42578125" bestFit="1" customWidth="1"/>
    <col min="3400" max="3400" width="10.5703125" bestFit="1" customWidth="1"/>
    <col min="3401" max="3401" width="9.5703125" bestFit="1" customWidth="1"/>
    <col min="3402" max="3402" width="11.5703125" bestFit="1" customWidth="1"/>
    <col min="3403" max="3403" width="10.42578125" bestFit="1" customWidth="1"/>
    <col min="3404" max="3404" width="10.85546875" customWidth="1"/>
    <col min="3405" max="3406" width="9.85546875" bestFit="1" customWidth="1"/>
    <col min="3407" max="3407" width="13.5703125" bestFit="1" customWidth="1"/>
    <col min="3408" max="3408" width="7.7109375" bestFit="1" customWidth="1"/>
    <col min="3409" max="3409" width="13.28515625" bestFit="1" customWidth="1"/>
    <col min="3410" max="3410" width="11.5703125" bestFit="1" customWidth="1"/>
    <col min="3411" max="3411" width="10.42578125" bestFit="1" customWidth="1"/>
    <col min="3412" max="3412" width="7.7109375" bestFit="1" customWidth="1"/>
    <col min="3413" max="3413" width="11.5703125" bestFit="1" customWidth="1"/>
    <col min="3414" max="3414" width="10.85546875" bestFit="1" customWidth="1"/>
    <col min="3415" max="3415" width="13.28515625" bestFit="1" customWidth="1"/>
    <col min="3416" max="3416" width="10.85546875" bestFit="1" customWidth="1"/>
    <col min="3417" max="3418" width="7.5703125" bestFit="1" customWidth="1"/>
    <col min="3419" max="3420" width="10.42578125" bestFit="1" customWidth="1"/>
    <col min="3421" max="3421" width="11.5703125" bestFit="1" customWidth="1"/>
    <col min="3422" max="3422" width="5.28515625" bestFit="1" customWidth="1"/>
    <col min="3423" max="3423" width="10.28515625" bestFit="1" customWidth="1"/>
    <col min="3424" max="3424" width="10.42578125" bestFit="1" customWidth="1"/>
    <col min="3425" max="3425" width="11.5703125" bestFit="1" customWidth="1"/>
    <col min="3426" max="3426" width="5.28515625" bestFit="1" customWidth="1"/>
    <col min="3427" max="3429" width="11.5703125" bestFit="1" customWidth="1"/>
    <col min="3430" max="3430" width="5.28515625" bestFit="1" customWidth="1"/>
    <col min="3431" max="3432" width="10.42578125" bestFit="1" customWidth="1"/>
    <col min="3433" max="3433" width="11.5703125" bestFit="1" customWidth="1"/>
    <col min="3434" max="3434" width="5.28515625" bestFit="1" customWidth="1"/>
    <col min="3435" max="3435" width="14.28515625" bestFit="1" customWidth="1"/>
    <col min="3436" max="3436" width="13" bestFit="1" customWidth="1"/>
    <col min="3437" max="3437" width="11.5703125" bestFit="1" customWidth="1"/>
    <col min="3438" max="3438" width="8.85546875" bestFit="1" customWidth="1"/>
    <col min="3439" max="3439" width="14.42578125" bestFit="1" customWidth="1"/>
    <col min="3440" max="3440" width="10.42578125" bestFit="1" customWidth="1"/>
    <col min="3441" max="3441" width="12.28515625" bestFit="1" customWidth="1"/>
    <col min="3442" max="3442" width="13.85546875" bestFit="1" customWidth="1"/>
    <col min="3443" max="3443" width="11.28515625" customWidth="1"/>
    <col min="3444" max="3444" width="11.5703125" customWidth="1"/>
    <col min="3445" max="3445" width="13.42578125" bestFit="1" customWidth="1"/>
    <col min="3446" max="3446" width="10.42578125" customWidth="1"/>
    <col min="3447" max="3447" width="13.85546875" bestFit="1" customWidth="1"/>
    <col min="3448" max="3448" width="15.42578125" bestFit="1" customWidth="1"/>
    <col min="3449" max="3449" width="12.28515625" bestFit="1" customWidth="1"/>
    <col min="3450" max="3450" width="12.7109375" customWidth="1"/>
    <col min="3451" max="3451" width="10.7109375" bestFit="1" customWidth="1"/>
    <col min="3452" max="3452" width="9.85546875" customWidth="1"/>
    <col min="3453" max="3454" width="10.140625" bestFit="1" customWidth="1"/>
    <col min="3455" max="3455" width="7.5703125" bestFit="1" customWidth="1"/>
    <col min="3456" max="3456" width="9.42578125" bestFit="1" customWidth="1"/>
    <col min="3457" max="3457" width="14.5703125" bestFit="1" customWidth="1"/>
    <col min="3458" max="3458" width="14.85546875" customWidth="1"/>
    <col min="3459" max="3459" width="15.140625" bestFit="1" customWidth="1"/>
    <col min="3460" max="3460" width="12.140625" bestFit="1" customWidth="1"/>
    <col min="3461" max="3461" width="14.85546875" bestFit="1" customWidth="1"/>
    <col min="3462" max="3462" width="12.28515625" bestFit="1" customWidth="1"/>
    <col min="3463" max="3471" width="9.140625" hidden="1" customWidth="1"/>
    <col min="3472" max="3472" width="5.28515625" bestFit="1" customWidth="1"/>
    <col min="3473" max="3478" width="11.5703125" bestFit="1" customWidth="1"/>
    <col min="3479" max="3479" width="11.28515625" bestFit="1" customWidth="1"/>
    <col min="3480" max="3480" width="10.140625" bestFit="1" customWidth="1"/>
    <col min="3481" max="3481" width="11.5703125" bestFit="1" customWidth="1"/>
    <col min="3482" max="3482" width="16.140625" customWidth="1"/>
    <col min="3483" max="3483" width="13.42578125" customWidth="1"/>
    <col min="3484" max="3484" width="10.140625" bestFit="1" customWidth="1"/>
    <col min="3485" max="3485" width="12.85546875" bestFit="1" customWidth="1"/>
    <col min="3486" max="3486" width="12.28515625" bestFit="1" customWidth="1"/>
    <col min="3487" max="3487" width="11.28515625" bestFit="1" customWidth="1"/>
    <col min="3488" max="3488" width="11.5703125" bestFit="1" customWidth="1"/>
    <col min="3489" max="3489" width="10.85546875" bestFit="1" customWidth="1"/>
    <col min="3490" max="3490" width="11.28515625" bestFit="1" customWidth="1"/>
    <col min="3491" max="3491" width="10.140625" bestFit="1" customWidth="1"/>
    <col min="3492" max="3492" width="13.28515625" bestFit="1" customWidth="1"/>
    <col min="3493" max="3494" width="12.7109375" bestFit="1" customWidth="1"/>
    <col min="3495" max="3495" width="11" bestFit="1" customWidth="1"/>
    <col min="3496" max="3496" width="11.28515625" bestFit="1" customWidth="1"/>
    <col min="3497" max="3497" width="11.5703125" bestFit="1" customWidth="1"/>
    <col min="3498" max="3498" width="12.28515625" bestFit="1" customWidth="1"/>
    <col min="3499" max="3499" width="15.140625" bestFit="1" customWidth="1"/>
    <col min="3500" max="3500" width="14.42578125" bestFit="1" customWidth="1"/>
    <col min="3501" max="3501" width="12.28515625" bestFit="1" customWidth="1"/>
    <col min="3502" max="3502" width="15.140625" bestFit="1" customWidth="1"/>
    <col min="3503" max="3503" width="14.42578125" bestFit="1" customWidth="1"/>
    <col min="3504" max="3504" width="12.28515625" bestFit="1" customWidth="1"/>
    <col min="3505" max="3505" width="14.42578125" bestFit="1" customWidth="1"/>
    <col min="3506" max="3506" width="11.28515625" bestFit="1" customWidth="1"/>
    <col min="3507" max="3507" width="12.28515625" bestFit="1" customWidth="1"/>
    <col min="3508" max="3508" width="13" bestFit="1" customWidth="1"/>
    <col min="3509" max="3509" width="15.140625" bestFit="1" customWidth="1"/>
    <col min="3510" max="3510" width="12.28515625" bestFit="1" customWidth="1"/>
    <col min="3511" max="3511" width="13.85546875" bestFit="1" customWidth="1"/>
    <col min="3512" max="3512" width="11.28515625" bestFit="1" customWidth="1"/>
    <col min="3513" max="3513" width="12.28515625" bestFit="1" customWidth="1"/>
    <col min="3514" max="3514" width="13.85546875" bestFit="1" customWidth="1"/>
    <col min="3515" max="3516" width="15.140625" bestFit="1" customWidth="1"/>
    <col min="3517" max="3517" width="12.28515625" bestFit="1" customWidth="1"/>
    <col min="3518" max="3518" width="5.7109375" bestFit="1" customWidth="1"/>
    <col min="3519" max="3519" width="8.5703125" bestFit="1" customWidth="1"/>
    <col min="3520" max="3520" width="5.5703125" bestFit="1" customWidth="1"/>
    <col min="3521" max="3521" width="14.42578125" bestFit="1" customWidth="1"/>
    <col min="3522" max="3522" width="11.28515625" bestFit="1" customWidth="1"/>
    <col min="3523" max="3524" width="12.28515625" bestFit="1" customWidth="1"/>
    <col min="3525" max="3525" width="11.28515625" bestFit="1" customWidth="1"/>
    <col min="3526" max="3526" width="13.85546875" bestFit="1" customWidth="1"/>
    <col min="3527" max="3527" width="12" bestFit="1" customWidth="1"/>
    <col min="3528" max="3528" width="13.85546875" bestFit="1" customWidth="1"/>
    <col min="3529" max="3530" width="14.42578125" customWidth="1"/>
    <col min="3531" max="3531" width="10.140625" bestFit="1" customWidth="1"/>
    <col min="3532" max="3532" width="12.28515625" bestFit="1" customWidth="1"/>
    <col min="3533" max="3533" width="7.42578125" bestFit="1" customWidth="1"/>
    <col min="3534" max="3534" width="8.5703125" bestFit="1" customWidth="1"/>
    <col min="3535" max="3535" width="11.5703125" bestFit="1" customWidth="1"/>
    <col min="3536" max="3536" width="13.28515625" bestFit="1" customWidth="1"/>
    <col min="3537" max="3537" width="13.28515625" customWidth="1"/>
    <col min="3538" max="3538" width="13.140625" customWidth="1"/>
    <col min="3539" max="3539" width="12.7109375" bestFit="1" customWidth="1"/>
    <col min="3540" max="3540" width="13.28515625" bestFit="1" customWidth="1"/>
    <col min="3541" max="3543" width="13.28515625" customWidth="1"/>
    <col min="3544" max="3544" width="12.140625" bestFit="1" customWidth="1"/>
    <col min="3545" max="3545" width="12.7109375" bestFit="1" customWidth="1"/>
    <col min="3546" max="3546" width="11" customWidth="1"/>
    <col min="3547" max="3547" width="16.7109375" customWidth="1"/>
    <col min="3548" max="3548" width="17" customWidth="1"/>
    <col min="3549" max="3549" width="10.42578125" bestFit="1" customWidth="1"/>
    <col min="3593" max="3593" width="3.85546875" customWidth="1"/>
    <col min="3594" max="3594" width="15.28515625" bestFit="1" customWidth="1"/>
    <col min="3595" max="3595" width="12.28515625" customWidth="1"/>
    <col min="3596" max="3596" width="16.28515625" bestFit="1" customWidth="1"/>
    <col min="3597" max="3597" width="6.42578125" bestFit="1" customWidth="1"/>
    <col min="3598" max="3598" width="9.28515625" bestFit="1" customWidth="1"/>
    <col min="3599" max="3599" width="7.5703125" bestFit="1" customWidth="1"/>
    <col min="3600" max="3600" width="13.28515625" bestFit="1" customWidth="1"/>
    <col min="3601" max="3601" width="9.28515625" bestFit="1" customWidth="1"/>
    <col min="3602" max="3602" width="11.5703125" bestFit="1" customWidth="1"/>
    <col min="3603" max="3603" width="13.28515625" bestFit="1" customWidth="1"/>
    <col min="3604" max="3604" width="7.140625" bestFit="1" customWidth="1"/>
    <col min="3605" max="3605" width="12" bestFit="1" customWidth="1"/>
    <col min="3606" max="3606" width="13.28515625" bestFit="1" customWidth="1"/>
    <col min="3607" max="3607" width="7" bestFit="1" customWidth="1"/>
    <col min="3608" max="3608" width="12.7109375" bestFit="1" customWidth="1"/>
    <col min="3609" max="3609" width="11.5703125" bestFit="1" customWidth="1"/>
    <col min="3610" max="3610" width="10.5703125" bestFit="1" customWidth="1"/>
    <col min="3611" max="3612" width="15.7109375" bestFit="1" customWidth="1"/>
    <col min="3613" max="3613" width="11.5703125" bestFit="1" customWidth="1"/>
    <col min="3614" max="3614" width="7.7109375" bestFit="1" customWidth="1"/>
    <col min="3615" max="3615" width="15.140625" bestFit="1" customWidth="1"/>
    <col min="3616" max="3616" width="11.5703125" bestFit="1" customWidth="1"/>
    <col min="3617" max="3617" width="13.28515625" bestFit="1" customWidth="1"/>
    <col min="3618" max="3618" width="10.42578125" bestFit="1" customWidth="1"/>
    <col min="3619" max="3619" width="13.28515625" bestFit="1" customWidth="1"/>
    <col min="3620" max="3620" width="12.140625" bestFit="1" customWidth="1"/>
    <col min="3621" max="3621" width="14.42578125" bestFit="1" customWidth="1"/>
    <col min="3622" max="3622" width="13.28515625" bestFit="1" customWidth="1"/>
    <col min="3623" max="3623" width="11.5703125" bestFit="1" customWidth="1"/>
    <col min="3624" max="3624" width="7.7109375" bestFit="1" customWidth="1"/>
    <col min="3625" max="3626" width="14.42578125" bestFit="1" customWidth="1"/>
    <col min="3627" max="3627" width="11.5703125" bestFit="1" customWidth="1"/>
    <col min="3628" max="3628" width="7.7109375" bestFit="1" customWidth="1"/>
    <col min="3629" max="3629" width="13.5703125" customWidth="1"/>
    <col min="3630" max="3630" width="15.28515625" customWidth="1"/>
    <col min="3631" max="3631" width="14.5703125" customWidth="1"/>
    <col min="3632" max="3632" width="13.28515625" bestFit="1" customWidth="1"/>
    <col min="3633" max="3633" width="7.7109375" bestFit="1" customWidth="1"/>
    <col min="3634" max="3634" width="12.7109375" bestFit="1" customWidth="1"/>
    <col min="3635" max="3635" width="11.7109375" bestFit="1" customWidth="1"/>
    <col min="3636" max="3636" width="11.5703125" bestFit="1" customWidth="1"/>
    <col min="3637" max="3637" width="5.28515625" bestFit="1" customWidth="1"/>
    <col min="3638" max="3638" width="13.28515625" bestFit="1" customWidth="1"/>
    <col min="3639" max="3639" width="13.5703125" bestFit="1" customWidth="1"/>
    <col min="3640" max="3640" width="10.5703125" bestFit="1" customWidth="1"/>
    <col min="3641" max="3641" width="13.28515625" bestFit="1" customWidth="1"/>
    <col min="3642" max="3642" width="11.5703125" bestFit="1" customWidth="1"/>
    <col min="3643" max="3643" width="10.5703125" bestFit="1" customWidth="1"/>
    <col min="3644" max="3644" width="16.140625" bestFit="1" customWidth="1"/>
    <col min="3645" max="3646" width="11.28515625" bestFit="1" customWidth="1"/>
    <col min="3647" max="3647" width="13.28515625" bestFit="1" customWidth="1"/>
    <col min="3648" max="3648" width="7.7109375" bestFit="1" customWidth="1"/>
    <col min="3649" max="3652" width="9.140625" hidden="1" customWidth="1"/>
    <col min="3653" max="3653" width="10.42578125" bestFit="1" customWidth="1"/>
    <col min="3654" max="3654" width="10.5703125" bestFit="1" customWidth="1"/>
    <col min="3655" max="3655" width="10.42578125" bestFit="1" customWidth="1"/>
    <col min="3656" max="3656" width="10.5703125" bestFit="1" customWidth="1"/>
    <col min="3657" max="3657" width="9.5703125" bestFit="1" customWidth="1"/>
    <col min="3658" max="3658" width="11.5703125" bestFit="1" customWidth="1"/>
    <col min="3659" max="3659" width="10.42578125" bestFit="1" customWidth="1"/>
    <col min="3660" max="3660" width="10.85546875" customWidth="1"/>
    <col min="3661" max="3662" width="9.85546875" bestFit="1" customWidth="1"/>
    <col min="3663" max="3663" width="13.5703125" bestFit="1" customWidth="1"/>
    <col min="3664" max="3664" width="7.7109375" bestFit="1" customWidth="1"/>
    <col min="3665" max="3665" width="13.28515625" bestFit="1" customWidth="1"/>
    <col min="3666" max="3666" width="11.5703125" bestFit="1" customWidth="1"/>
    <col min="3667" max="3667" width="10.42578125" bestFit="1" customWidth="1"/>
    <col min="3668" max="3668" width="7.7109375" bestFit="1" customWidth="1"/>
    <col min="3669" max="3669" width="11.5703125" bestFit="1" customWidth="1"/>
    <col min="3670" max="3670" width="10.85546875" bestFit="1" customWidth="1"/>
    <col min="3671" max="3671" width="13.28515625" bestFit="1" customWidth="1"/>
    <col min="3672" max="3672" width="10.85546875" bestFit="1" customWidth="1"/>
    <col min="3673" max="3674" width="7.5703125" bestFit="1" customWidth="1"/>
    <col min="3675" max="3676" width="10.42578125" bestFit="1" customWidth="1"/>
    <col min="3677" max="3677" width="11.5703125" bestFit="1" customWidth="1"/>
    <col min="3678" max="3678" width="5.28515625" bestFit="1" customWidth="1"/>
    <col min="3679" max="3679" width="10.28515625" bestFit="1" customWidth="1"/>
    <col min="3680" max="3680" width="10.42578125" bestFit="1" customWidth="1"/>
    <col min="3681" max="3681" width="11.5703125" bestFit="1" customWidth="1"/>
    <col min="3682" max="3682" width="5.28515625" bestFit="1" customWidth="1"/>
    <col min="3683" max="3685" width="11.5703125" bestFit="1" customWidth="1"/>
    <col min="3686" max="3686" width="5.28515625" bestFit="1" customWidth="1"/>
    <col min="3687" max="3688" width="10.42578125" bestFit="1" customWidth="1"/>
    <col min="3689" max="3689" width="11.5703125" bestFit="1" customWidth="1"/>
    <col min="3690" max="3690" width="5.28515625" bestFit="1" customWidth="1"/>
    <col min="3691" max="3691" width="14.28515625" bestFit="1" customWidth="1"/>
    <col min="3692" max="3692" width="13" bestFit="1" customWidth="1"/>
    <col min="3693" max="3693" width="11.5703125" bestFit="1" customWidth="1"/>
    <col min="3694" max="3694" width="8.85546875" bestFit="1" customWidth="1"/>
    <col min="3695" max="3695" width="14.42578125" bestFit="1" customWidth="1"/>
    <col min="3696" max="3696" width="10.42578125" bestFit="1" customWidth="1"/>
    <col min="3697" max="3697" width="12.28515625" bestFit="1" customWidth="1"/>
    <col min="3698" max="3698" width="13.85546875" bestFit="1" customWidth="1"/>
    <col min="3699" max="3699" width="11.28515625" customWidth="1"/>
    <col min="3700" max="3700" width="11.5703125" customWidth="1"/>
    <col min="3701" max="3701" width="13.42578125" bestFit="1" customWidth="1"/>
    <col min="3702" max="3702" width="10.42578125" customWidth="1"/>
    <col min="3703" max="3703" width="13.85546875" bestFit="1" customWidth="1"/>
    <col min="3704" max="3704" width="15.42578125" bestFit="1" customWidth="1"/>
    <col min="3705" max="3705" width="12.28515625" bestFit="1" customWidth="1"/>
    <col min="3706" max="3706" width="12.7109375" customWidth="1"/>
    <col min="3707" max="3707" width="10.7109375" bestFit="1" customWidth="1"/>
    <col min="3708" max="3708" width="9.85546875" customWidth="1"/>
    <col min="3709" max="3710" width="10.140625" bestFit="1" customWidth="1"/>
    <col min="3711" max="3711" width="7.5703125" bestFit="1" customWidth="1"/>
    <col min="3712" max="3712" width="9.42578125" bestFit="1" customWidth="1"/>
    <col min="3713" max="3713" width="14.5703125" bestFit="1" customWidth="1"/>
    <col min="3714" max="3714" width="14.85546875" customWidth="1"/>
    <col min="3715" max="3715" width="15.140625" bestFit="1" customWidth="1"/>
    <col min="3716" max="3716" width="12.140625" bestFit="1" customWidth="1"/>
    <col min="3717" max="3717" width="14.85546875" bestFit="1" customWidth="1"/>
    <col min="3718" max="3718" width="12.28515625" bestFit="1" customWidth="1"/>
    <col min="3719" max="3727" width="9.140625" hidden="1" customWidth="1"/>
    <col min="3728" max="3728" width="5.28515625" bestFit="1" customWidth="1"/>
    <col min="3729" max="3734" width="11.5703125" bestFit="1" customWidth="1"/>
    <col min="3735" max="3735" width="11.28515625" bestFit="1" customWidth="1"/>
    <col min="3736" max="3736" width="10.140625" bestFit="1" customWidth="1"/>
    <col min="3737" max="3737" width="11.5703125" bestFit="1" customWidth="1"/>
    <col min="3738" max="3738" width="16.140625" customWidth="1"/>
    <col min="3739" max="3739" width="13.42578125" customWidth="1"/>
    <col min="3740" max="3740" width="10.140625" bestFit="1" customWidth="1"/>
    <col min="3741" max="3741" width="12.85546875" bestFit="1" customWidth="1"/>
    <col min="3742" max="3742" width="12.28515625" bestFit="1" customWidth="1"/>
    <col min="3743" max="3743" width="11.28515625" bestFit="1" customWidth="1"/>
    <col min="3744" max="3744" width="11.5703125" bestFit="1" customWidth="1"/>
    <col min="3745" max="3745" width="10.85546875" bestFit="1" customWidth="1"/>
    <col min="3746" max="3746" width="11.28515625" bestFit="1" customWidth="1"/>
    <col min="3747" max="3747" width="10.140625" bestFit="1" customWidth="1"/>
    <col min="3748" max="3748" width="13.28515625" bestFit="1" customWidth="1"/>
    <col min="3749" max="3750" width="12.7109375" bestFit="1" customWidth="1"/>
    <col min="3751" max="3751" width="11" bestFit="1" customWidth="1"/>
    <col min="3752" max="3752" width="11.28515625" bestFit="1" customWidth="1"/>
    <col min="3753" max="3753" width="11.5703125" bestFit="1" customWidth="1"/>
    <col min="3754" max="3754" width="12.28515625" bestFit="1" customWidth="1"/>
    <col min="3755" max="3755" width="15.140625" bestFit="1" customWidth="1"/>
    <col min="3756" max="3756" width="14.42578125" bestFit="1" customWidth="1"/>
    <col min="3757" max="3757" width="12.28515625" bestFit="1" customWidth="1"/>
    <col min="3758" max="3758" width="15.140625" bestFit="1" customWidth="1"/>
    <col min="3759" max="3759" width="14.42578125" bestFit="1" customWidth="1"/>
    <col min="3760" max="3760" width="12.28515625" bestFit="1" customWidth="1"/>
    <col min="3761" max="3761" width="14.42578125" bestFit="1" customWidth="1"/>
    <col min="3762" max="3762" width="11.28515625" bestFit="1" customWidth="1"/>
    <col min="3763" max="3763" width="12.28515625" bestFit="1" customWidth="1"/>
    <col min="3764" max="3764" width="13" bestFit="1" customWidth="1"/>
    <col min="3765" max="3765" width="15.140625" bestFit="1" customWidth="1"/>
    <col min="3766" max="3766" width="12.28515625" bestFit="1" customWidth="1"/>
    <col min="3767" max="3767" width="13.85546875" bestFit="1" customWidth="1"/>
    <col min="3768" max="3768" width="11.28515625" bestFit="1" customWidth="1"/>
    <col min="3769" max="3769" width="12.28515625" bestFit="1" customWidth="1"/>
    <col min="3770" max="3770" width="13.85546875" bestFit="1" customWidth="1"/>
    <col min="3771" max="3772" width="15.140625" bestFit="1" customWidth="1"/>
    <col min="3773" max="3773" width="12.28515625" bestFit="1" customWidth="1"/>
    <col min="3774" max="3774" width="5.7109375" bestFit="1" customWidth="1"/>
    <col min="3775" max="3775" width="8.5703125" bestFit="1" customWidth="1"/>
    <col min="3776" max="3776" width="5.5703125" bestFit="1" customWidth="1"/>
    <col min="3777" max="3777" width="14.42578125" bestFit="1" customWidth="1"/>
    <col min="3778" max="3778" width="11.28515625" bestFit="1" customWidth="1"/>
    <col min="3779" max="3780" width="12.28515625" bestFit="1" customWidth="1"/>
    <col min="3781" max="3781" width="11.28515625" bestFit="1" customWidth="1"/>
    <col min="3782" max="3782" width="13.85546875" bestFit="1" customWidth="1"/>
    <col min="3783" max="3783" width="12" bestFit="1" customWidth="1"/>
    <col min="3784" max="3784" width="13.85546875" bestFit="1" customWidth="1"/>
    <col min="3785" max="3786" width="14.42578125" customWidth="1"/>
    <col min="3787" max="3787" width="10.140625" bestFit="1" customWidth="1"/>
    <col min="3788" max="3788" width="12.28515625" bestFit="1" customWidth="1"/>
    <col min="3789" max="3789" width="7.42578125" bestFit="1" customWidth="1"/>
    <col min="3790" max="3790" width="8.5703125" bestFit="1" customWidth="1"/>
    <col min="3791" max="3791" width="11.5703125" bestFit="1" customWidth="1"/>
    <col min="3792" max="3792" width="13.28515625" bestFit="1" customWidth="1"/>
    <col min="3793" max="3793" width="13.28515625" customWidth="1"/>
    <col min="3794" max="3794" width="13.140625" customWidth="1"/>
    <col min="3795" max="3795" width="12.7109375" bestFit="1" customWidth="1"/>
    <col min="3796" max="3796" width="13.28515625" bestFit="1" customWidth="1"/>
    <col min="3797" max="3799" width="13.28515625" customWidth="1"/>
    <col min="3800" max="3800" width="12.140625" bestFit="1" customWidth="1"/>
    <col min="3801" max="3801" width="12.7109375" bestFit="1" customWidth="1"/>
    <col min="3802" max="3802" width="11" customWidth="1"/>
    <col min="3803" max="3803" width="16.7109375" customWidth="1"/>
    <col min="3804" max="3804" width="17" customWidth="1"/>
    <col min="3805" max="3805" width="10.42578125" bestFit="1" customWidth="1"/>
    <col min="3849" max="3849" width="3.85546875" customWidth="1"/>
    <col min="3850" max="3850" width="15.28515625" bestFit="1" customWidth="1"/>
    <col min="3851" max="3851" width="12.28515625" customWidth="1"/>
    <col min="3852" max="3852" width="16.28515625" bestFit="1" customWidth="1"/>
    <col min="3853" max="3853" width="6.42578125" bestFit="1" customWidth="1"/>
    <col min="3854" max="3854" width="9.28515625" bestFit="1" customWidth="1"/>
    <col min="3855" max="3855" width="7.5703125" bestFit="1" customWidth="1"/>
    <col min="3856" max="3856" width="13.28515625" bestFit="1" customWidth="1"/>
    <col min="3857" max="3857" width="9.28515625" bestFit="1" customWidth="1"/>
    <col min="3858" max="3858" width="11.5703125" bestFit="1" customWidth="1"/>
    <col min="3859" max="3859" width="13.28515625" bestFit="1" customWidth="1"/>
    <col min="3860" max="3860" width="7.140625" bestFit="1" customWidth="1"/>
    <col min="3861" max="3861" width="12" bestFit="1" customWidth="1"/>
    <col min="3862" max="3862" width="13.28515625" bestFit="1" customWidth="1"/>
    <col min="3863" max="3863" width="7" bestFit="1" customWidth="1"/>
    <col min="3864" max="3864" width="12.7109375" bestFit="1" customWidth="1"/>
    <col min="3865" max="3865" width="11.5703125" bestFit="1" customWidth="1"/>
    <col min="3866" max="3866" width="10.5703125" bestFit="1" customWidth="1"/>
    <col min="3867" max="3868" width="15.7109375" bestFit="1" customWidth="1"/>
    <col min="3869" max="3869" width="11.5703125" bestFit="1" customWidth="1"/>
    <col min="3870" max="3870" width="7.7109375" bestFit="1" customWidth="1"/>
    <col min="3871" max="3871" width="15.140625" bestFit="1" customWidth="1"/>
    <col min="3872" max="3872" width="11.5703125" bestFit="1" customWidth="1"/>
    <col min="3873" max="3873" width="13.28515625" bestFit="1" customWidth="1"/>
    <col min="3874" max="3874" width="10.42578125" bestFit="1" customWidth="1"/>
    <col min="3875" max="3875" width="13.28515625" bestFit="1" customWidth="1"/>
    <col min="3876" max="3876" width="12.140625" bestFit="1" customWidth="1"/>
    <col min="3877" max="3877" width="14.42578125" bestFit="1" customWidth="1"/>
    <col min="3878" max="3878" width="13.28515625" bestFit="1" customWidth="1"/>
    <col min="3879" max="3879" width="11.5703125" bestFit="1" customWidth="1"/>
    <col min="3880" max="3880" width="7.7109375" bestFit="1" customWidth="1"/>
    <col min="3881" max="3882" width="14.42578125" bestFit="1" customWidth="1"/>
    <col min="3883" max="3883" width="11.5703125" bestFit="1" customWidth="1"/>
    <col min="3884" max="3884" width="7.7109375" bestFit="1" customWidth="1"/>
    <col min="3885" max="3885" width="13.5703125" customWidth="1"/>
    <col min="3886" max="3886" width="15.28515625" customWidth="1"/>
    <col min="3887" max="3887" width="14.5703125" customWidth="1"/>
    <col min="3888" max="3888" width="13.28515625" bestFit="1" customWidth="1"/>
    <col min="3889" max="3889" width="7.7109375" bestFit="1" customWidth="1"/>
    <col min="3890" max="3890" width="12.7109375" bestFit="1" customWidth="1"/>
    <col min="3891" max="3891" width="11.7109375" bestFit="1" customWidth="1"/>
    <col min="3892" max="3892" width="11.5703125" bestFit="1" customWidth="1"/>
    <col min="3893" max="3893" width="5.28515625" bestFit="1" customWidth="1"/>
    <col min="3894" max="3894" width="13.28515625" bestFit="1" customWidth="1"/>
    <col min="3895" max="3895" width="13.5703125" bestFit="1" customWidth="1"/>
    <col min="3896" max="3896" width="10.5703125" bestFit="1" customWidth="1"/>
    <col min="3897" max="3897" width="13.28515625" bestFit="1" customWidth="1"/>
    <col min="3898" max="3898" width="11.5703125" bestFit="1" customWidth="1"/>
    <col min="3899" max="3899" width="10.5703125" bestFit="1" customWidth="1"/>
    <col min="3900" max="3900" width="16.140625" bestFit="1" customWidth="1"/>
    <col min="3901" max="3902" width="11.28515625" bestFit="1" customWidth="1"/>
    <col min="3903" max="3903" width="13.28515625" bestFit="1" customWidth="1"/>
    <col min="3904" max="3904" width="7.7109375" bestFit="1" customWidth="1"/>
    <col min="3905" max="3908" width="9.140625" hidden="1" customWidth="1"/>
    <col min="3909" max="3909" width="10.42578125" bestFit="1" customWidth="1"/>
    <col min="3910" max="3910" width="10.5703125" bestFit="1" customWidth="1"/>
    <col min="3911" max="3911" width="10.42578125" bestFit="1" customWidth="1"/>
    <col min="3912" max="3912" width="10.5703125" bestFit="1" customWidth="1"/>
    <col min="3913" max="3913" width="9.5703125" bestFit="1" customWidth="1"/>
    <col min="3914" max="3914" width="11.5703125" bestFit="1" customWidth="1"/>
    <col min="3915" max="3915" width="10.42578125" bestFit="1" customWidth="1"/>
    <col min="3916" max="3916" width="10.85546875" customWidth="1"/>
    <col min="3917" max="3918" width="9.85546875" bestFit="1" customWidth="1"/>
    <col min="3919" max="3919" width="13.5703125" bestFit="1" customWidth="1"/>
    <col min="3920" max="3920" width="7.7109375" bestFit="1" customWidth="1"/>
    <col min="3921" max="3921" width="13.28515625" bestFit="1" customWidth="1"/>
    <col min="3922" max="3922" width="11.5703125" bestFit="1" customWidth="1"/>
    <col min="3923" max="3923" width="10.42578125" bestFit="1" customWidth="1"/>
    <col min="3924" max="3924" width="7.7109375" bestFit="1" customWidth="1"/>
    <col min="3925" max="3925" width="11.5703125" bestFit="1" customWidth="1"/>
    <col min="3926" max="3926" width="10.85546875" bestFit="1" customWidth="1"/>
    <col min="3927" max="3927" width="13.28515625" bestFit="1" customWidth="1"/>
    <col min="3928" max="3928" width="10.85546875" bestFit="1" customWidth="1"/>
    <col min="3929" max="3930" width="7.5703125" bestFit="1" customWidth="1"/>
    <col min="3931" max="3932" width="10.42578125" bestFit="1" customWidth="1"/>
    <col min="3933" max="3933" width="11.5703125" bestFit="1" customWidth="1"/>
    <col min="3934" max="3934" width="5.28515625" bestFit="1" customWidth="1"/>
    <col min="3935" max="3935" width="10.28515625" bestFit="1" customWidth="1"/>
    <col min="3936" max="3936" width="10.42578125" bestFit="1" customWidth="1"/>
    <col min="3937" max="3937" width="11.5703125" bestFit="1" customWidth="1"/>
    <col min="3938" max="3938" width="5.28515625" bestFit="1" customWidth="1"/>
    <col min="3939" max="3941" width="11.5703125" bestFit="1" customWidth="1"/>
    <col min="3942" max="3942" width="5.28515625" bestFit="1" customWidth="1"/>
    <col min="3943" max="3944" width="10.42578125" bestFit="1" customWidth="1"/>
    <col min="3945" max="3945" width="11.5703125" bestFit="1" customWidth="1"/>
    <col min="3946" max="3946" width="5.28515625" bestFit="1" customWidth="1"/>
    <col min="3947" max="3947" width="14.28515625" bestFit="1" customWidth="1"/>
    <col min="3948" max="3948" width="13" bestFit="1" customWidth="1"/>
    <col min="3949" max="3949" width="11.5703125" bestFit="1" customWidth="1"/>
    <col min="3950" max="3950" width="8.85546875" bestFit="1" customWidth="1"/>
    <col min="3951" max="3951" width="14.42578125" bestFit="1" customWidth="1"/>
    <col min="3952" max="3952" width="10.42578125" bestFit="1" customWidth="1"/>
    <col min="3953" max="3953" width="12.28515625" bestFit="1" customWidth="1"/>
    <col min="3954" max="3954" width="13.85546875" bestFit="1" customWidth="1"/>
    <col min="3955" max="3955" width="11.28515625" customWidth="1"/>
    <col min="3956" max="3956" width="11.5703125" customWidth="1"/>
    <col min="3957" max="3957" width="13.42578125" bestFit="1" customWidth="1"/>
    <col min="3958" max="3958" width="10.42578125" customWidth="1"/>
    <col min="3959" max="3959" width="13.85546875" bestFit="1" customWidth="1"/>
    <col min="3960" max="3960" width="15.42578125" bestFit="1" customWidth="1"/>
    <col min="3961" max="3961" width="12.28515625" bestFit="1" customWidth="1"/>
    <col min="3962" max="3962" width="12.7109375" customWidth="1"/>
    <col min="3963" max="3963" width="10.7109375" bestFit="1" customWidth="1"/>
    <col min="3964" max="3964" width="9.85546875" customWidth="1"/>
    <col min="3965" max="3966" width="10.140625" bestFit="1" customWidth="1"/>
    <col min="3967" max="3967" width="7.5703125" bestFit="1" customWidth="1"/>
    <col min="3968" max="3968" width="9.42578125" bestFit="1" customWidth="1"/>
    <col min="3969" max="3969" width="14.5703125" bestFit="1" customWidth="1"/>
    <col min="3970" max="3970" width="14.85546875" customWidth="1"/>
    <col min="3971" max="3971" width="15.140625" bestFit="1" customWidth="1"/>
    <col min="3972" max="3972" width="12.140625" bestFit="1" customWidth="1"/>
    <col min="3973" max="3973" width="14.85546875" bestFit="1" customWidth="1"/>
    <col min="3974" max="3974" width="12.28515625" bestFit="1" customWidth="1"/>
    <col min="3975" max="3983" width="9.140625" hidden="1" customWidth="1"/>
    <col min="3984" max="3984" width="5.28515625" bestFit="1" customWidth="1"/>
    <col min="3985" max="3990" width="11.5703125" bestFit="1" customWidth="1"/>
    <col min="3991" max="3991" width="11.28515625" bestFit="1" customWidth="1"/>
    <col min="3992" max="3992" width="10.140625" bestFit="1" customWidth="1"/>
    <col min="3993" max="3993" width="11.5703125" bestFit="1" customWidth="1"/>
    <col min="3994" max="3994" width="16.140625" customWidth="1"/>
    <col min="3995" max="3995" width="13.42578125" customWidth="1"/>
    <col min="3996" max="3996" width="10.140625" bestFit="1" customWidth="1"/>
    <col min="3997" max="3997" width="12.85546875" bestFit="1" customWidth="1"/>
    <col min="3998" max="3998" width="12.28515625" bestFit="1" customWidth="1"/>
    <col min="3999" max="3999" width="11.28515625" bestFit="1" customWidth="1"/>
    <col min="4000" max="4000" width="11.5703125" bestFit="1" customWidth="1"/>
    <col min="4001" max="4001" width="10.85546875" bestFit="1" customWidth="1"/>
    <col min="4002" max="4002" width="11.28515625" bestFit="1" customWidth="1"/>
    <col min="4003" max="4003" width="10.140625" bestFit="1" customWidth="1"/>
    <col min="4004" max="4004" width="13.28515625" bestFit="1" customWidth="1"/>
    <col min="4005" max="4006" width="12.7109375" bestFit="1" customWidth="1"/>
    <col min="4007" max="4007" width="11" bestFit="1" customWidth="1"/>
    <col min="4008" max="4008" width="11.28515625" bestFit="1" customWidth="1"/>
    <col min="4009" max="4009" width="11.5703125" bestFit="1" customWidth="1"/>
    <col min="4010" max="4010" width="12.28515625" bestFit="1" customWidth="1"/>
    <col min="4011" max="4011" width="15.140625" bestFit="1" customWidth="1"/>
    <col min="4012" max="4012" width="14.42578125" bestFit="1" customWidth="1"/>
    <col min="4013" max="4013" width="12.28515625" bestFit="1" customWidth="1"/>
    <col min="4014" max="4014" width="15.140625" bestFit="1" customWidth="1"/>
    <col min="4015" max="4015" width="14.42578125" bestFit="1" customWidth="1"/>
    <col min="4016" max="4016" width="12.28515625" bestFit="1" customWidth="1"/>
    <col min="4017" max="4017" width="14.42578125" bestFit="1" customWidth="1"/>
    <col min="4018" max="4018" width="11.28515625" bestFit="1" customWidth="1"/>
    <col min="4019" max="4019" width="12.28515625" bestFit="1" customWidth="1"/>
    <col min="4020" max="4020" width="13" bestFit="1" customWidth="1"/>
    <col min="4021" max="4021" width="15.140625" bestFit="1" customWidth="1"/>
    <col min="4022" max="4022" width="12.28515625" bestFit="1" customWidth="1"/>
    <col min="4023" max="4023" width="13.85546875" bestFit="1" customWidth="1"/>
    <col min="4024" max="4024" width="11.28515625" bestFit="1" customWidth="1"/>
    <col min="4025" max="4025" width="12.28515625" bestFit="1" customWidth="1"/>
    <col min="4026" max="4026" width="13.85546875" bestFit="1" customWidth="1"/>
    <col min="4027" max="4028" width="15.140625" bestFit="1" customWidth="1"/>
    <col min="4029" max="4029" width="12.28515625" bestFit="1" customWidth="1"/>
    <col min="4030" max="4030" width="5.7109375" bestFit="1" customWidth="1"/>
    <col min="4031" max="4031" width="8.5703125" bestFit="1" customWidth="1"/>
    <col min="4032" max="4032" width="5.5703125" bestFit="1" customWidth="1"/>
    <col min="4033" max="4033" width="14.42578125" bestFit="1" customWidth="1"/>
    <col min="4034" max="4034" width="11.28515625" bestFit="1" customWidth="1"/>
    <col min="4035" max="4036" width="12.28515625" bestFit="1" customWidth="1"/>
    <col min="4037" max="4037" width="11.28515625" bestFit="1" customWidth="1"/>
    <col min="4038" max="4038" width="13.85546875" bestFit="1" customWidth="1"/>
    <col min="4039" max="4039" width="12" bestFit="1" customWidth="1"/>
    <col min="4040" max="4040" width="13.85546875" bestFit="1" customWidth="1"/>
    <col min="4041" max="4042" width="14.42578125" customWidth="1"/>
    <col min="4043" max="4043" width="10.140625" bestFit="1" customWidth="1"/>
    <col min="4044" max="4044" width="12.28515625" bestFit="1" customWidth="1"/>
    <col min="4045" max="4045" width="7.42578125" bestFit="1" customWidth="1"/>
    <col min="4046" max="4046" width="8.5703125" bestFit="1" customWidth="1"/>
    <col min="4047" max="4047" width="11.5703125" bestFit="1" customWidth="1"/>
    <col min="4048" max="4048" width="13.28515625" bestFit="1" customWidth="1"/>
    <col min="4049" max="4049" width="13.28515625" customWidth="1"/>
    <col min="4050" max="4050" width="13.140625" customWidth="1"/>
    <col min="4051" max="4051" width="12.7109375" bestFit="1" customWidth="1"/>
    <col min="4052" max="4052" width="13.28515625" bestFit="1" customWidth="1"/>
    <col min="4053" max="4055" width="13.28515625" customWidth="1"/>
    <col min="4056" max="4056" width="12.140625" bestFit="1" customWidth="1"/>
    <col min="4057" max="4057" width="12.7109375" bestFit="1" customWidth="1"/>
    <col min="4058" max="4058" width="11" customWidth="1"/>
    <col min="4059" max="4059" width="16.7109375" customWidth="1"/>
    <col min="4060" max="4060" width="17" customWidth="1"/>
    <col min="4061" max="4061" width="10.42578125" bestFit="1" customWidth="1"/>
    <col min="4105" max="4105" width="3.85546875" customWidth="1"/>
    <col min="4106" max="4106" width="15.28515625" bestFit="1" customWidth="1"/>
    <col min="4107" max="4107" width="12.28515625" customWidth="1"/>
    <col min="4108" max="4108" width="16.28515625" bestFit="1" customWidth="1"/>
    <col min="4109" max="4109" width="6.42578125" bestFit="1" customWidth="1"/>
    <col min="4110" max="4110" width="9.28515625" bestFit="1" customWidth="1"/>
    <col min="4111" max="4111" width="7.5703125" bestFit="1" customWidth="1"/>
    <col min="4112" max="4112" width="13.28515625" bestFit="1" customWidth="1"/>
    <col min="4113" max="4113" width="9.28515625" bestFit="1" customWidth="1"/>
    <col min="4114" max="4114" width="11.5703125" bestFit="1" customWidth="1"/>
    <col min="4115" max="4115" width="13.28515625" bestFit="1" customWidth="1"/>
    <col min="4116" max="4116" width="7.140625" bestFit="1" customWidth="1"/>
    <col min="4117" max="4117" width="12" bestFit="1" customWidth="1"/>
    <col min="4118" max="4118" width="13.28515625" bestFit="1" customWidth="1"/>
    <col min="4119" max="4119" width="7" bestFit="1" customWidth="1"/>
    <col min="4120" max="4120" width="12.7109375" bestFit="1" customWidth="1"/>
    <col min="4121" max="4121" width="11.5703125" bestFit="1" customWidth="1"/>
    <col min="4122" max="4122" width="10.5703125" bestFit="1" customWidth="1"/>
    <col min="4123" max="4124" width="15.7109375" bestFit="1" customWidth="1"/>
    <col min="4125" max="4125" width="11.5703125" bestFit="1" customWidth="1"/>
    <col min="4126" max="4126" width="7.7109375" bestFit="1" customWidth="1"/>
    <col min="4127" max="4127" width="15.140625" bestFit="1" customWidth="1"/>
    <col min="4128" max="4128" width="11.5703125" bestFit="1" customWidth="1"/>
    <col min="4129" max="4129" width="13.28515625" bestFit="1" customWidth="1"/>
    <col min="4130" max="4130" width="10.42578125" bestFit="1" customWidth="1"/>
    <col min="4131" max="4131" width="13.28515625" bestFit="1" customWidth="1"/>
    <col min="4132" max="4132" width="12.140625" bestFit="1" customWidth="1"/>
    <col min="4133" max="4133" width="14.42578125" bestFit="1" customWidth="1"/>
    <col min="4134" max="4134" width="13.28515625" bestFit="1" customWidth="1"/>
    <col min="4135" max="4135" width="11.5703125" bestFit="1" customWidth="1"/>
    <col min="4136" max="4136" width="7.7109375" bestFit="1" customWidth="1"/>
    <col min="4137" max="4138" width="14.42578125" bestFit="1" customWidth="1"/>
    <col min="4139" max="4139" width="11.5703125" bestFit="1" customWidth="1"/>
    <col min="4140" max="4140" width="7.7109375" bestFit="1" customWidth="1"/>
    <col min="4141" max="4141" width="13.5703125" customWidth="1"/>
    <col min="4142" max="4142" width="15.28515625" customWidth="1"/>
    <col min="4143" max="4143" width="14.5703125" customWidth="1"/>
    <col min="4144" max="4144" width="13.28515625" bestFit="1" customWidth="1"/>
    <col min="4145" max="4145" width="7.7109375" bestFit="1" customWidth="1"/>
    <col min="4146" max="4146" width="12.7109375" bestFit="1" customWidth="1"/>
    <col min="4147" max="4147" width="11.7109375" bestFit="1" customWidth="1"/>
    <col min="4148" max="4148" width="11.5703125" bestFit="1" customWidth="1"/>
    <col min="4149" max="4149" width="5.28515625" bestFit="1" customWidth="1"/>
    <col min="4150" max="4150" width="13.28515625" bestFit="1" customWidth="1"/>
    <col min="4151" max="4151" width="13.5703125" bestFit="1" customWidth="1"/>
    <col min="4152" max="4152" width="10.5703125" bestFit="1" customWidth="1"/>
    <col min="4153" max="4153" width="13.28515625" bestFit="1" customWidth="1"/>
    <col min="4154" max="4154" width="11.5703125" bestFit="1" customWidth="1"/>
    <col min="4155" max="4155" width="10.5703125" bestFit="1" customWidth="1"/>
    <col min="4156" max="4156" width="16.140625" bestFit="1" customWidth="1"/>
    <col min="4157" max="4158" width="11.28515625" bestFit="1" customWidth="1"/>
    <col min="4159" max="4159" width="13.28515625" bestFit="1" customWidth="1"/>
    <col min="4160" max="4160" width="7.7109375" bestFit="1" customWidth="1"/>
    <col min="4161" max="4164" width="9.140625" hidden="1" customWidth="1"/>
    <col min="4165" max="4165" width="10.42578125" bestFit="1" customWidth="1"/>
    <col min="4166" max="4166" width="10.5703125" bestFit="1" customWidth="1"/>
    <col min="4167" max="4167" width="10.42578125" bestFit="1" customWidth="1"/>
    <col min="4168" max="4168" width="10.5703125" bestFit="1" customWidth="1"/>
    <col min="4169" max="4169" width="9.5703125" bestFit="1" customWidth="1"/>
    <col min="4170" max="4170" width="11.5703125" bestFit="1" customWidth="1"/>
    <col min="4171" max="4171" width="10.42578125" bestFit="1" customWidth="1"/>
    <col min="4172" max="4172" width="10.85546875" customWidth="1"/>
    <col min="4173" max="4174" width="9.85546875" bestFit="1" customWidth="1"/>
    <col min="4175" max="4175" width="13.5703125" bestFit="1" customWidth="1"/>
    <col min="4176" max="4176" width="7.7109375" bestFit="1" customWidth="1"/>
    <col min="4177" max="4177" width="13.28515625" bestFit="1" customWidth="1"/>
    <col min="4178" max="4178" width="11.5703125" bestFit="1" customWidth="1"/>
    <col min="4179" max="4179" width="10.42578125" bestFit="1" customWidth="1"/>
    <col min="4180" max="4180" width="7.7109375" bestFit="1" customWidth="1"/>
    <col min="4181" max="4181" width="11.5703125" bestFit="1" customWidth="1"/>
    <col min="4182" max="4182" width="10.85546875" bestFit="1" customWidth="1"/>
    <col min="4183" max="4183" width="13.28515625" bestFit="1" customWidth="1"/>
    <col min="4184" max="4184" width="10.85546875" bestFit="1" customWidth="1"/>
    <col min="4185" max="4186" width="7.5703125" bestFit="1" customWidth="1"/>
    <col min="4187" max="4188" width="10.42578125" bestFit="1" customWidth="1"/>
    <col min="4189" max="4189" width="11.5703125" bestFit="1" customWidth="1"/>
    <col min="4190" max="4190" width="5.28515625" bestFit="1" customWidth="1"/>
    <col min="4191" max="4191" width="10.28515625" bestFit="1" customWidth="1"/>
    <col min="4192" max="4192" width="10.42578125" bestFit="1" customWidth="1"/>
    <col min="4193" max="4193" width="11.5703125" bestFit="1" customWidth="1"/>
    <col min="4194" max="4194" width="5.28515625" bestFit="1" customWidth="1"/>
    <col min="4195" max="4197" width="11.5703125" bestFit="1" customWidth="1"/>
    <col min="4198" max="4198" width="5.28515625" bestFit="1" customWidth="1"/>
    <col min="4199" max="4200" width="10.42578125" bestFit="1" customWidth="1"/>
    <col min="4201" max="4201" width="11.5703125" bestFit="1" customWidth="1"/>
    <col min="4202" max="4202" width="5.28515625" bestFit="1" customWidth="1"/>
    <col min="4203" max="4203" width="14.28515625" bestFit="1" customWidth="1"/>
    <col min="4204" max="4204" width="13" bestFit="1" customWidth="1"/>
    <col min="4205" max="4205" width="11.5703125" bestFit="1" customWidth="1"/>
    <col min="4206" max="4206" width="8.85546875" bestFit="1" customWidth="1"/>
    <col min="4207" max="4207" width="14.42578125" bestFit="1" customWidth="1"/>
    <col min="4208" max="4208" width="10.42578125" bestFit="1" customWidth="1"/>
    <col min="4209" max="4209" width="12.28515625" bestFit="1" customWidth="1"/>
    <col min="4210" max="4210" width="13.85546875" bestFit="1" customWidth="1"/>
    <col min="4211" max="4211" width="11.28515625" customWidth="1"/>
    <col min="4212" max="4212" width="11.5703125" customWidth="1"/>
    <col min="4213" max="4213" width="13.42578125" bestFit="1" customWidth="1"/>
    <col min="4214" max="4214" width="10.42578125" customWidth="1"/>
    <col min="4215" max="4215" width="13.85546875" bestFit="1" customWidth="1"/>
    <col min="4216" max="4216" width="15.42578125" bestFit="1" customWidth="1"/>
    <col min="4217" max="4217" width="12.28515625" bestFit="1" customWidth="1"/>
    <col min="4218" max="4218" width="12.7109375" customWidth="1"/>
    <col min="4219" max="4219" width="10.7109375" bestFit="1" customWidth="1"/>
    <col min="4220" max="4220" width="9.85546875" customWidth="1"/>
    <col min="4221" max="4222" width="10.140625" bestFit="1" customWidth="1"/>
    <col min="4223" max="4223" width="7.5703125" bestFit="1" customWidth="1"/>
    <col min="4224" max="4224" width="9.42578125" bestFit="1" customWidth="1"/>
    <col min="4225" max="4225" width="14.5703125" bestFit="1" customWidth="1"/>
    <col min="4226" max="4226" width="14.85546875" customWidth="1"/>
    <col min="4227" max="4227" width="15.140625" bestFit="1" customWidth="1"/>
    <col min="4228" max="4228" width="12.140625" bestFit="1" customWidth="1"/>
    <col min="4229" max="4229" width="14.85546875" bestFit="1" customWidth="1"/>
    <col min="4230" max="4230" width="12.28515625" bestFit="1" customWidth="1"/>
    <col min="4231" max="4239" width="9.140625" hidden="1" customWidth="1"/>
    <col min="4240" max="4240" width="5.28515625" bestFit="1" customWidth="1"/>
    <col min="4241" max="4246" width="11.5703125" bestFit="1" customWidth="1"/>
    <col min="4247" max="4247" width="11.28515625" bestFit="1" customWidth="1"/>
    <col min="4248" max="4248" width="10.140625" bestFit="1" customWidth="1"/>
    <col min="4249" max="4249" width="11.5703125" bestFit="1" customWidth="1"/>
    <col min="4250" max="4250" width="16.140625" customWidth="1"/>
    <col min="4251" max="4251" width="13.42578125" customWidth="1"/>
    <col min="4252" max="4252" width="10.140625" bestFit="1" customWidth="1"/>
    <col min="4253" max="4253" width="12.85546875" bestFit="1" customWidth="1"/>
    <col min="4254" max="4254" width="12.28515625" bestFit="1" customWidth="1"/>
    <col min="4255" max="4255" width="11.28515625" bestFit="1" customWidth="1"/>
    <col min="4256" max="4256" width="11.5703125" bestFit="1" customWidth="1"/>
    <col min="4257" max="4257" width="10.85546875" bestFit="1" customWidth="1"/>
    <col min="4258" max="4258" width="11.28515625" bestFit="1" customWidth="1"/>
    <col min="4259" max="4259" width="10.140625" bestFit="1" customWidth="1"/>
    <col min="4260" max="4260" width="13.28515625" bestFit="1" customWidth="1"/>
    <col min="4261" max="4262" width="12.7109375" bestFit="1" customWidth="1"/>
    <col min="4263" max="4263" width="11" bestFit="1" customWidth="1"/>
    <col min="4264" max="4264" width="11.28515625" bestFit="1" customWidth="1"/>
    <col min="4265" max="4265" width="11.5703125" bestFit="1" customWidth="1"/>
    <col min="4266" max="4266" width="12.28515625" bestFit="1" customWidth="1"/>
    <col min="4267" max="4267" width="15.140625" bestFit="1" customWidth="1"/>
    <col min="4268" max="4268" width="14.42578125" bestFit="1" customWidth="1"/>
    <col min="4269" max="4269" width="12.28515625" bestFit="1" customWidth="1"/>
    <col min="4270" max="4270" width="15.140625" bestFit="1" customWidth="1"/>
    <col min="4271" max="4271" width="14.42578125" bestFit="1" customWidth="1"/>
    <col min="4272" max="4272" width="12.28515625" bestFit="1" customWidth="1"/>
    <col min="4273" max="4273" width="14.42578125" bestFit="1" customWidth="1"/>
    <col min="4274" max="4274" width="11.28515625" bestFit="1" customWidth="1"/>
    <col min="4275" max="4275" width="12.28515625" bestFit="1" customWidth="1"/>
    <col min="4276" max="4276" width="13" bestFit="1" customWidth="1"/>
    <col min="4277" max="4277" width="15.140625" bestFit="1" customWidth="1"/>
    <col min="4278" max="4278" width="12.28515625" bestFit="1" customWidth="1"/>
    <col min="4279" max="4279" width="13.85546875" bestFit="1" customWidth="1"/>
    <col min="4280" max="4280" width="11.28515625" bestFit="1" customWidth="1"/>
    <col min="4281" max="4281" width="12.28515625" bestFit="1" customWidth="1"/>
    <col min="4282" max="4282" width="13.85546875" bestFit="1" customWidth="1"/>
    <col min="4283" max="4284" width="15.140625" bestFit="1" customWidth="1"/>
    <col min="4285" max="4285" width="12.28515625" bestFit="1" customWidth="1"/>
    <col min="4286" max="4286" width="5.7109375" bestFit="1" customWidth="1"/>
    <col min="4287" max="4287" width="8.5703125" bestFit="1" customWidth="1"/>
    <col min="4288" max="4288" width="5.5703125" bestFit="1" customWidth="1"/>
    <col min="4289" max="4289" width="14.42578125" bestFit="1" customWidth="1"/>
    <col min="4290" max="4290" width="11.28515625" bestFit="1" customWidth="1"/>
    <col min="4291" max="4292" width="12.28515625" bestFit="1" customWidth="1"/>
    <col min="4293" max="4293" width="11.28515625" bestFit="1" customWidth="1"/>
    <col min="4294" max="4294" width="13.85546875" bestFit="1" customWidth="1"/>
    <col min="4295" max="4295" width="12" bestFit="1" customWidth="1"/>
    <col min="4296" max="4296" width="13.85546875" bestFit="1" customWidth="1"/>
    <col min="4297" max="4298" width="14.42578125" customWidth="1"/>
    <col min="4299" max="4299" width="10.140625" bestFit="1" customWidth="1"/>
    <col min="4300" max="4300" width="12.28515625" bestFit="1" customWidth="1"/>
    <col min="4301" max="4301" width="7.42578125" bestFit="1" customWidth="1"/>
    <col min="4302" max="4302" width="8.5703125" bestFit="1" customWidth="1"/>
    <col min="4303" max="4303" width="11.5703125" bestFit="1" customWidth="1"/>
    <col min="4304" max="4304" width="13.28515625" bestFit="1" customWidth="1"/>
    <col min="4305" max="4305" width="13.28515625" customWidth="1"/>
    <col min="4306" max="4306" width="13.140625" customWidth="1"/>
    <col min="4307" max="4307" width="12.7109375" bestFit="1" customWidth="1"/>
    <col min="4308" max="4308" width="13.28515625" bestFit="1" customWidth="1"/>
    <col min="4309" max="4311" width="13.28515625" customWidth="1"/>
    <col min="4312" max="4312" width="12.140625" bestFit="1" customWidth="1"/>
    <col min="4313" max="4313" width="12.7109375" bestFit="1" customWidth="1"/>
    <col min="4314" max="4314" width="11" customWidth="1"/>
    <col min="4315" max="4315" width="16.7109375" customWidth="1"/>
    <col min="4316" max="4316" width="17" customWidth="1"/>
    <col min="4317" max="4317" width="10.42578125" bestFit="1" customWidth="1"/>
    <col min="4361" max="4361" width="3.85546875" customWidth="1"/>
    <col min="4362" max="4362" width="15.28515625" bestFit="1" customWidth="1"/>
    <col min="4363" max="4363" width="12.28515625" customWidth="1"/>
    <col min="4364" max="4364" width="16.28515625" bestFit="1" customWidth="1"/>
    <col min="4365" max="4365" width="6.42578125" bestFit="1" customWidth="1"/>
    <col min="4366" max="4366" width="9.28515625" bestFit="1" customWidth="1"/>
    <col min="4367" max="4367" width="7.5703125" bestFit="1" customWidth="1"/>
    <col min="4368" max="4368" width="13.28515625" bestFit="1" customWidth="1"/>
    <col min="4369" max="4369" width="9.28515625" bestFit="1" customWidth="1"/>
    <col min="4370" max="4370" width="11.5703125" bestFit="1" customWidth="1"/>
    <col min="4371" max="4371" width="13.28515625" bestFit="1" customWidth="1"/>
    <col min="4372" max="4372" width="7.140625" bestFit="1" customWidth="1"/>
    <col min="4373" max="4373" width="12" bestFit="1" customWidth="1"/>
    <col min="4374" max="4374" width="13.28515625" bestFit="1" customWidth="1"/>
    <col min="4375" max="4375" width="7" bestFit="1" customWidth="1"/>
    <col min="4376" max="4376" width="12.7109375" bestFit="1" customWidth="1"/>
    <col min="4377" max="4377" width="11.5703125" bestFit="1" customWidth="1"/>
    <col min="4378" max="4378" width="10.5703125" bestFit="1" customWidth="1"/>
    <col min="4379" max="4380" width="15.7109375" bestFit="1" customWidth="1"/>
    <col min="4381" max="4381" width="11.5703125" bestFit="1" customWidth="1"/>
    <col min="4382" max="4382" width="7.7109375" bestFit="1" customWidth="1"/>
    <col min="4383" max="4383" width="15.140625" bestFit="1" customWidth="1"/>
    <col min="4384" max="4384" width="11.5703125" bestFit="1" customWidth="1"/>
    <col min="4385" max="4385" width="13.28515625" bestFit="1" customWidth="1"/>
    <col min="4386" max="4386" width="10.42578125" bestFit="1" customWidth="1"/>
    <col min="4387" max="4387" width="13.28515625" bestFit="1" customWidth="1"/>
    <col min="4388" max="4388" width="12.140625" bestFit="1" customWidth="1"/>
    <col min="4389" max="4389" width="14.42578125" bestFit="1" customWidth="1"/>
    <col min="4390" max="4390" width="13.28515625" bestFit="1" customWidth="1"/>
    <col min="4391" max="4391" width="11.5703125" bestFit="1" customWidth="1"/>
    <col min="4392" max="4392" width="7.7109375" bestFit="1" customWidth="1"/>
    <col min="4393" max="4394" width="14.42578125" bestFit="1" customWidth="1"/>
    <col min="4395" max="4395" width="11.5703125" bestFit="1" customWidth="1"/>
    <col min="4396" max="4396" width="7.7109375" bestFit="1" customWidth="1"/>
    <col min="4397" max="4397" width="13.5703125" customWidth="1"/>
    <col min="4398" max="4398" width="15.28515625" customWidth="1"/>
    <col min="4399" max="4399" width="14.5703125" customWidth="1"/>
    <col min="4400" max="4400" width="13.28515625" bestFit="1" customWidth="1"/>
    <col min="4401" max="4401" width="7.7109375" bestFit="1" customWidth="1"/>
    <col min="4402" max="4402" width="12.7109375" bestFit="1" customWidth="1"/>
    <col min="4403" max="4403" width="11.7109375" bestFit="1" customWidth="1"/>
    <col min="4404" max="4404" width="11.5703125" bestFit="1" customWidth="1"/>
    <col min="4405" max="4405" width="5.28515625" bestFit="1" customWidth="1"/>
    <col min="4406" max="4406" width="13.28515625" bestFit="1" customWidth="1"/>
    <col min="4407" max="4407" width="13.5703125" bestFit="1" customWidth="1"/>
    <col min="4408" max="4408" width="10.5703125" bestFit="1" customWidth="1"/>
    <col min="4409" max="4409" width="13.28515625" bestFit="1" customWidth="1"/>
    <col min="4410" max="4410" width="11.5703125" bestFit="1" customWidth="1"/>
    <col min="4411" max="4411" width="10.5703125" bestFit="1" customWidth="1"/>
    <col min="4412" max="4412" width="16.140625" bestFit="1" customWidth="1"/>
    <col min="4413" max="4414" width="11.28515625" bestFit="1" customWidth="1"/>
    <col min="4415" max="4415" width="13.28515625" bestFit="1" customWidth="1"/>
    <col min="4416" max="4416" width="7.7109375" bestFit="1" customWidth="1"/>
    <col min="4417" max="4420" width="9.140625" hidden="1" customWidth="1"/>
    <col min="4421" max="4421" width="10.42578125" bestFit="1" customWidth="1"/>
    <col min="4422" max="4422" width="10.5703125" bestFit="1" customWidth="1"/>
    <col min="4423" max="4423" width="10.42578125" bestFit="1" customWidth="1"/>
    <col min="4424" max="4424" width="10.5703125" bestFit="1" customWidth="1"/>
    <col min="4425" max="4425" width="9.5703125" bestFit="1" customWidth="1"/>
    <col min="4426" max="4426" width="11.5703125" bestFit="1" customWidth="1"/>
    <col min="4427" max="4427" width="10.42578125" bestFit="1" customWidth="1"/>
    <col min="4428" max="4428" width="10.85546875" customWidth="1"/>
    <col min="4429" max="4430" width="9.85546875" bestFit="1" customWidth="1"/>
    <col min="4431" max="4431" width="13.5703125" bestFit="1" customWidth="1"/>
    <col min="4432" max="4432" width="7.7109375" bestFit="1" customWidth="1"/>
    <col min="4433" max="4433" width="13.28515625" bestFit="1" customWidth="1"/>
    <col min="4434" max="4434" width="11.5703125" bestFit="1" customWidth="1"/>
    <col min="4435" max="4435" width="10.42578125" bestFit="1" customWidth="1"/>
    <col min="4436" max="4436" width="7.7109375" bestFit="1" customWidth="1"/>
    <col min="4437" max="4437" width="11.5703125" bestFit="1" customWidth="1"/>
    <col min="4438" max="4438" width="10.85546875" bestFit="1" customWidth="1"/>
    <col min="4439" max="4439" width="13.28515625" bestFit="1" customWidth="1"/>
    <col min="4440" max="4440" width="10.85546875" bestFit="1" customWidth="1"/>
    <col min="4441" max="4442" width="7.5703125" bestFit="1" customWidth="1"/>
    <col min="4443" max="4444" width="10.42578125" bestFit="1" customWidth="1"/>
    <col min="4445" max="4445" width="11.5703125" bestFit="1" customWidth="1"/>
    <col min="4446" max="4446" width="5.28515625" bestFit="1" customWidth="1"/>
    <col min="4447" max="4447" width="10.28515625" bestFit="1" customWidth="1"/>
    <col min="4448" max="4448" width="10.42578125" bestFit="1" customWidth="1"/>
    <col min="4449" max="4449" width="11.5703125" bestFit="1" customWidth="1"/>
    <col min="4450" max="4450" width="5.28515625" bestFit="1" customWidth="1"/>
    <col min="4451" max="4453" width="11.5703125" bestFit="1" customWidth="1"/>
    <col min="4454" max="4454" width="5.28515625" bestFit="1" customWidth="1"/>
    <col min="4455" max="4456" width="10.42578125" bestFit="1" customWidth="1"/>
    <col min="4457" max="4457" width="11.5703125" bestFit="1" customWidth="1"/>
    <col min="4458" max="4458" width="5.28515625" bestFit="1" customWidth="1"/>
    <col min="4459" max="4459" width="14.28515625" bestFit="1" customWidth="1"/>
    <col min="4460" max="4460" width="13" bestFit="1" customWidth="1"/>
    <col min="4461" max="4461" width="11.5703125" bestFit="1" customWidth="1"/>
    <col min="4462" max="4462" width="8.85546875" bestFit="1" customWidth="1"/>
    <col min="4463" max="4463" width="14.42578125" bestFit="1" customWidth="1"/>
    <col min="4464" max="4464" width="10.42578125" bestFit="1" customWidth="1"/>
    <col min="4465" max="4465" width="12.28515625" bestFit="1" customWidth="1"/>
    <col min="4466" max="4466" width="13.85546875" bestFit="1" customWidth="1"/>
    <col min="4467" max="4467" width="11.28515625" customWidth="1"/>
    <col min="4468" max="4468" width="11.5703125" customWidth="1"/>
    <col min="4469" max="4469" width="13.42578125" bestFit="1" customWidth="1"/>
    <col min="4470" max="4470" width="10.42578125" customWidth="1"/>
    <col min="4471" max="4471" width="13.85546875" bestFit="1" customWidth="1"/>
    <col min="4472" max="4472" width="15.42578125" bestFit="1" customWidth="1"/>
    <col min="4473" max="4473" width="12.28515625" bestFit="1" customWidth="1"/>
    <col min="4474" max="4474" width="12.7109375" customWidth="1"/>
    <col min="4475" max="4475" width="10.7109375" bestFit="1" customWidth="1"/>
    <col min="4476" max="4476" width="9.85546875" customWidth="1"/>
    <col min="4477" max="4478" width="10.140625" bestFit="1" customWidth="1"/>
    <col min="4479" max="4479" width="7.5703125" bestFit="1" customWidth="1"/>
    <col min="4480" max="4480" width="9.42578125" bestFit="1" customWidth="1"/>
    <col min="4481" max="4481" width="14.5703125" bestFit="1" customWidth="1"/>
    <col min="4482" max="4482" width="14.85546875" customWidth="1"/>
    <col min="4483" max="4483" width="15.140625" bestFit="1" customWidth="1"/>
    <col min="4484" max="4484" width="12.140625" bestFit="1" customWidth="1"/>
    <col min="4485" max="4485" width="14.85546875" bestFit="1" customWidth="1"/>
    <col min="4486" max="4486" width="12.28515625" bestFit="1" customWidth="1"/>
    <col min="4487" max="4495" width="9.140625" hidden="1" customWidth="1"/>
    <col min="4496" max="4496" width="5.28515625" bestFit="1" customWidth="1"/>
    <col min="4497" max="4502" width="11.5703125" bestFit="1" customWidth="1"/>
    <col min="4503" max="4503" width="11.28515625" bestFit="1" customWidth="1"/>
    <col min="4504" max="4504" width="10.140625" bestFit="1" customWidth="1"/>
    <col min="4505" max="4505" width="11.5703125" bestFit="1" customWidth="1"/>
    <col min="4506" max="4506" width="16.140625" customWidth="1"/>
    <col min="4507" max="4507" width="13.42578125" customWidth="1"/>
    <col min="4508" max="4508" width="10.140625" bestFit="1" customWidth="1"/>
    <col min="4509" max="4509" width="12.85546875" bestFit="1" customWidth="1"/>
    <col min="4510" max="4510" width="12.28515625" bestFit="1" customWidth="1"/>
    <col min="4511" max="4511" width="11.28515625" bestFit="1" customWidth="1"/>
    <col min="4512" max="4512" width="11.5703125" bestFit="1" customWidth="1"/>
    <col min="4513" max="4513" width="10.85546875" bestFit="1" customWidth="1"/>
    <col min="4514" max="4514" width="11.28515625" bestFit="1" customWidth="1"/>
    <col min="4515" max="4515" width="10.140625" bestFit="1" customWidth="1"/>
    <col min="4516" max="4516" width="13.28515625" bestFit="1" customWidth="1"/>
    <col min="4517" max="4518" width="12.7109375" bestFit="1" customWidth="1"/>
    <col min="4519" max="4519" width="11" bestFit="1" customWidth="1"/>
    <col min="4520" max="4520" width="11.28515625" bestFit="1" customWidth="1"/>
    <col min="4521" max="4521" width="11.5703125" bestFit="1" customWidth="1"/>
    <col min="4522" max="4522" width="12.28515625" bestFit="1" customWidth="1"/>
    <col min="4523" max="4523" width="15.140625" bestFit="1" customWidth="1"/>
    <col min="4524" max="4524" width="14.42578125" bestFit="1" customWidth="1"/>
    <col min="4525" max="4525" width="12.28515625" bestFit="1" customWidth="1"/>
    <col min="4526" max="4526" width="15.140625" bestFit="1" customWidth="1"/>
    <col min="4527" max="4527" width="14.42578125" bestFit="1" customWidth="1"/>
    <col min="4528" max="4528" width="12.28515625" bestFit="1" customWidth="1"/>
    <col min="4529" max="4529" width="14.42578125" bestFit="1" customWidth="1"/>
    <col min="4530" max="4530" width="11.28515625" bestFit="1" customWidth="1"/>
    <col min="4531" max="4531" width="12.28515625" bestFit="1" customWidth="1"/>
    <col min="4532" max="4532" width="13" bestFit="1" customWidth="1"/>
    <col min="4533" max="4533" width="15.140625" bestFit="1" customWidth="1"/>
    <col min="4534" max="4534" width="12.28515625" bestFit="1" customWidth="1"/>
    <col min="4535" max="4535" width="13.85546875" bestFit="1" customWidth="1"/>
    <col min="4536" max="4536" width="11.28515625" bestFit="1" customWidth="1"/>
    <col min="4537" max="4537" width="12.28515625" bestFit="1" customWidth="1"/>
    <col min="4538" max="4538" width="13.85546875" bestFit="1" customWidth="1"/>
    <col min="4539" max="4540" width="15.140625" bestFit="1" customWidth="1"/>
    <col min="4541" max="4541" width="12.28515625" bestFit="1" customWidth="1"/>
    <col min="4542" max="4542" width="5.7109375" bestFit="1" customWidth="1"/>
    <col min="4543" max="4543" width="8.5703125" bestFit="1" customWidth="1"/>
    <col min="4544" max="4544" width="5.5703125" bestFit="1" customWidth="1"/>
    <col min="4545" max="4545" width="14.42578125" bestFit="1" customWidth="1"/>
    <col min="4546" max="4546" width="11.28515625" bestFit="1" customWidth="1"/>
    <col min="4547" max="4548" width="12.28515625" bestFit="1" customWidth="1"/>
    <col min="4549" max="4549" width="11.28515625" bestFit="1" customWidth="1"/>
    <col min="4550" max="4550" width="13.85546875" bestFit="1" customWidth="1"/>
    <col min="4551" max="4551" width="12" bestFit="1" customWidth="1"/>
    <col min="4552" max="4552" width="13.85546875" bestFit="1" customWidth="1"/>
    <col min="4553" max="4554" width="14.42578125" customWidth="1"/>
    <col min="4555" max="4555" width="10.140625" bestFit="1" customWidth="1"/>
    <col min="4556" max="4556" width="12.28515625" bestFit="1" customWidth="1"/>
    <col min="4557" max="4557" width="7.42578125" bestFit="1" customWidth="1"/>
    <col min="4558" max="4558" width="8.5703125" bestFit="1" customWidth="1"/>
    <col min="4559" max="4559" width="11.5703125" bestFit="1" customWidth="1"/>
    <col min="4560" max="4560" width="13.28515625" bestFit="1" customWidth="1"/>
    <col min="4561" max="4561" width="13.28515625" customWidth="1"/>
    <col min="4562" max="4562" width="13.140625" customWidth="1"/>
    <col min="4563" max="4563" width="12.7109375" bestFit="1" customWidth="1"/>
    <col min="4564" max="4564" width="13.28515625" bestFit="1" customWidth="1"/>
    <col min="4565" max="4567" width="13.28515625" customWidth="1"/>
    <col min="4568" max="4568" width="12.140625" bestFit="1" customWidth="1"/>
    <col min="4569" max="4569" width="12.7109375" bestFit="1" customWidth="1"/>
    <col min="4570" max="4570" width="11" customWidth="1"/>
    <col min="4571" max="4571" width="16.7109375" customWidth="1"/>
    <col min="4572" max="4572" width="17" customWidth="1"/>
    <col min="4573" max="4573" width="10.42578125" bestFit="1" customWidth="1"/>
    <col min="4617" max="4617" width="3.85546875" customWidth="1"/>
    <col min="4618" max="4618" width="15.28515625" bestFit="1" customWidth="1"/>
    <col min="4619" max="4619" width="12.28515625" customWidth="1"/>
    <col min="4620" max="4620" width="16.28515625" bestFit="1" customWidth="1"/>
    <col min="4621" max="4621" width="6.42578125" bestFit="1" customWidth="1"/>
    <col min="4622" max="4622" width="9.28515625" bestFit="1" customWidth="1"/>
    <col min="4623" max="4623" width="7.5703125" bestFit="1" customWidth="1"/>
    <col min="4624" max="4624" width="13.28515625" bestFit="1" customWidth="1"/>
    <col min="4625" max="4625" width="9.28515625" bestFit="1" customWidth="1"/>
    <col min="4626" max="4626" width="11.5703125" bestFit="1" customWidth="1"/>
    <col min="4627" max="4627" width="13.28515625" bestFit="1" customWidth="1"/>
    <col min="4628" max="4628" width="7.140625" bestFit="1" customWidth="1"/>
    <col min="4629" max="4629" width="12" bestFit="1" customWidth="1"/>
    <col min="4630" max="4630" width="13.28515625" bestFit="1" customWidth="1"/>
    <col min="4631" max="4631" width="7" bestFit="1" customWidth="1"/>
    <col min="4632" max="4632" width="12.7109375" bestFit="1" customWidth="1"/>
    <col min="4633" max="4633" width="11.5703125" bestFit="1" customWidth="1"/>
    <col min="4634" max="4634" width="10.5703125" bestFit="1" customWidth="1"/>
    <col min="4635" max="4636" width="15.7109375" bestFit="1" customWidth="1"/>
    <col min="4637" max="4637" width="11.5703125" bestFit="1" customWidth="1"/>
    <col min="4638" max="4638" width="7.7109375" bestFit="1" customWidth="1"/>
    <col min="4639" max="4639" width="15.140625" bestFit="1" customWidth="1"/>
    <col min="4640" max="4640" width="11.5703125" bestFit="1" customWidth="1"/>
    <col min="4641" max="4641" width="13.28515625" bestFit="1" customWidth="1"/>
    <col min="4642" max="4642" width="10.42578125" bestFit="1" customWidth="1"/>
    <col min="4643" max="4643" width="13.28515625" bestFit="1" customWidth="1"/>
    <col min="4644" max="4644" width="12.140625" bestFit="1" customWidth="1"/>
    <col min="4645" max="4645" width="14.42578125" bestFit="1" customWidth="1"/>
    <col min="4646" max="4646" width="13.28515625" bestFit="1" customWidth="1"/>
    <col min="4647" max="4647" width="11.5703125" bestFit="1" customWidth="1"/>
    <col min="4648" max="4648" width="7.7109375" bestFit="1" customWidth="1"/>
    <col min="4649" max="4650" width="14.42578125" bestFit="1" customWidth="1"/>
    <col min="4651" max="4651" width="11.5703125" bestFit="1" customWidth="1"/>
    <col min="4652" max="4652" width="7.7109375" bestFit="1" customWidth="1"/>
    <col min="4653" max="4653" width="13.5703125" customWidth="1"/>
    <col min="4654" max="4654" width="15.28515625" customWidth="1"/>
    <col min="4655" max="4655" width="14.5703125" customWidth="1"/>
    <col min="4656" max="4656" width="13.28515625" bestFit="1" customWidth="1"/>
    <col min="4657" max="4657" width="7.7109375" bestFit="1" customWidth="1"/>
    <col min="4658" max="4658" width="12.7109375" bestFit="1" customWidth="1"/>
    <col min="4659" max="4659" width="11.7109375" bestFit="1" customWidth="1"/>
    <col min="4660" max="4660" width="11.5703125" bestFit="1" customWidth="1"/>
    <col min="4661" max="4661" width="5.28515625" bestFit="1" customWidth="1"/>
    <col min="4662" max="4662" width="13.28515625" bestFit="1" customWidth="1"/>
    <col min="4663" max="4663" width="13.5703125" bestFit="1" customWidth="1"/>
    <col min="4664" max="4664" width="10.5703125" bestFit="1" customWidth="1"/>
    <col min="4665" max="4665" width="13.28515625" bestFit="1" customWidth="1"/>
    <col min="4666" max="4666" width="11.5703125" bestFit="1" customWidth="1"/>
    <col min="4667" max="4667" width="10.5703125" bestFit="1" customWidth="1"/>
    <col min="4668" max="4668" width="16.140625" bestFit="1" customWidth="1"/>
    <col min="4669" max="4670" width="11.28515625" bestFit="1" customWidth="1"/>
    <col min="4671" max="4671" width="13.28515625" bestFit="1" customWidth="1"/>
    <col min="4672" max="4672" width="7.7109375" bestFit="1" customWidth="1"/>
    <col min="4673" max="4676" width="9.140625" hidden="1" customWidth="1"/>
    <col min="4677" max="4677" width="10.42578125" bestFit="1" customWidth="1"/>
    <col min="4678" max="4678" width="10.5703125" bestFit="1" customWidth="1"/>
    <col min="4679" max="4679" width="10.42578125" bestFit="1" customWidth="1"/>
    <col min="4680" max="4680" width="10.5703125" bestFit="1" customWidth="1"/>
    <col min="4681" max="4681" width="9.5703125" bestFit="1" customWidth="1"/>
    <col min="4682" max="4682" width="11.5703125" bestFit="1" customWidth="1"/>
    <col min="4683" max="4683" width="10.42578125" bestFit="1" customWidth="1"/>
    <col min="4684" max="4684" width="10.85546875" customWidth="1"/>
    <col min="4685" max="4686" width="9.85546875" bestFit="1" customWidth="1"/>
    <col min="4687" max="4687" width="13.5703125" bestFit="1" customWidth="1"/>
    <col min="4688" max="4688" width="7.7109375" bestFit="1" customWidth="1"/>
    <col min="4689" max="4689" width="13.28515625" bestFit="1" customWidth="1"/>
    <col min="4690" max="4690" width="11.5703125" bestFit="1" customWidth="1"/>
    <col min="4691" max="4691" width="10.42578125" bestFit="1" customWidth="1"/>
    <col min="4692" max="4692" width="7.7109375" bestFit="1" customWidth="1"/>
    <col min="4693" max="4693" width="11.5703125" bestFit="1" customWidth="1"/>
    <col min="4694" max="4694" width="10.85546875" bestFit="1" customWidth="1"/>
    <col min="4695" max="4695" width="13.28515625" bestFit="1" customWidth="1"/>
    <col min="4696" max="4696" width="10.85546875" bestFit="1" customWidth="1"/>
    <col min="4697" max="4698" width="7.5703125" bestFit="1" customWidth="1"/>
    <col min="4699" max="4700" width="10.42578125" bestFit="1" customWidth="1"/>
    <col min="4701" max="4701" width="11.5703125" bestFit="1" customWidth="1"/>
    <col min="4702" max="4702" width="5.28515625" bestFit="1" customWidth="1"/>
    <col min="4703" max="4703" width="10.28515625" bestFit="1" customWidth="1"/>
    <col min="4704" max="4704" width="10.42578125" bestFit="1" customWidth="1"/>
    <col min="4705" max="4705" width="11.5703125" bestFit="1" customWidth="1"/>
    <col min="4706" max="4706" width="5.28515625" bestFit="1" customWidth="1"/>
    <col min="4707" max="4709" width="11.5703125" bestFit="1" customWidth="1"/>
    <col min="4710" max="4710" width="5.28515625" bestFit="1" customWidth="1"/>
    <col min="4711" max="4712" width="10.42578125" bestFit="1" customWidth="1"/>
    <col min="4713" max="4713" width="11.5703125" bestFit="1" customWidth="1"/>
    <col min="4714" max="4714" width="5.28515625" bestFit="1" customWidth="1"/>
    <col min="4715" max="4715" width="14.28515625" bestFit="1" customWidth="1"/>
    <col min="4716" max="4716" width="13" bestFit="1" customWidth="1"/>
    <col min="4717" max="4717" width="11.5703125" bestFit="1" customWidth="1"/>
    <col min="4718" max="4718" width="8.85546875" bestFit="1" customWidth="1"/>
    <col min="4719" max="4719" width="14.42578125" bestFit="1" customWidth="1"/>
    <col min="4720" max="4720" width="10.42578125" bestFit="1" customWidth="1"/>
    <col min="4721" max="4721" width="12.28515625" bestFit="1" customWidth="1"/>
    <col min="4722" max="4722" width="13.85546875" bestFit="1" customWidth="1"/>
    <col min="4723" max="4723" width="11.28515625" customWidth="1"/>
    <col min="4724" max="4724" width="11.5703125" customWidth="1"/>
    <col min="4725" max="4725" width="13.42578125" bestFit="1" customWidth="1"/>
    <col min="4726" max="4726" width="10.42578125" customWidth="1"/>
    <col min="4727" max="4727" width="13.85546875" bestFit="1" customWidth="1"/>
    <col min="4728" max="4728" width="15.42578125" bestFit="1" customWidth="1"/>
    <col min="4729" max="4729" width="12.28515625" bestFit="1" customWidth="1"/>
    <col min="4730" max="4730" width="12.7109375" customWidth="1"/>
    <col min="4731" max="4731" width="10.7109375" bestFit="1" customWidth="1"/>
    <col min="4732" max="4732" width="9.85546875" customWidth="1"/>
    <col min="4733" max="4734" width="10.140625" bestFit="1" customWidth="1"/>
    <col min="4735" max="4735" width="7.5703125" bestFit="1" customWidth="1"/>
    <col min="4736" max="4736" width="9.42578125" bestFit="1" customWidth="1"/>
    <col min="4737" max="4737" width="14.5703125" bestFit="1" customWidth="1"/>
    <col min="4738" max="4738" width="14.85546875" customWidth="1"/>
    <col min="4739" max="4739" width="15.140625" bestFit="1" customWidth="1"/>
    <col min="4740" max="4740" width="12.140625" bestFit="1" customWidth="1"/>
    <col min="4741" max="4741" width="14.85546875" bestFit="1" customWidth="1"/>
    <col min="4742" max="4742" width="12.28515625" bestFit="1" customWidth="1"/>
    <col min="4743" max="4751" width="9.140625" hidden="1" customWidth="1"/>
    <col min="4752" max="4752" width="5.28515625" bestFit="1" customWidth="1"/>
    <col min="4753" max="4758" width="11.5703125" bestFit="1" customWidth="1"/>
    <col min="4759" max="4759" width="11.28515625" bestFit="1" customWidth="1"/>
    <col min="4760" max="4760" width="10.140625" bestFit="1" customWidth="1"/>
    <col min="4761" max="4761" width="11.5703125" bestFit="1" customWidth="1"/>
    <col min="4762" max="4762" width="16.140625" customWidth="1"/>
    <col min="4763" max="4763" width="13.42578125" customWidth="1"/>
    <col min="4764" max="4764" width="10.140625" bestFit="1" customWidth="1"/>
    <col min="4765" max="4765" width="12.85546875" bestFit="1" customWidth="1"/>
    <col min="4766" max="4766" width="12.28515625" bestFit="1" customWidth="1"/>
    <col min="4767" max="4767" width="11.28515625" bestFit="1" customWidth="1"/>
    <col min="4768" max="4768" width="11.5703125" bestFit="1" customWidth="1"/>
    <col min="4769" max="4769" width="10.85546875" bestFit="1" customWidth="1"/>
    <col min="4770" max="4770" width="11.28515625" bestFit="1" customWidth="1"/>
    <col min="4771" max="4771" width="10.140625" bestFit="1" customWidth="1"/>
    <col min="4772" max="4772" width="13.28515625" bestFit="1" customWidth="1"/>
    <col min="4773" max="4774" width="12.7109375" bestFit="1" customWidth="1"/>
    <col min="4775" max="4775" width="11" bestFit="1" customWidth="1"/>
    <col min="4776" max="4776" width="11.28515625" bestFit="1" customWidth="1"/>
    <col min="4777" max="4777" width="11.5703125" bestFit="1" customWidth="1"/>
    <col min="4778" max="4778" width="12.28515625" bestFit="1" customWidth="1"/>
    <col min="4779" max="4779" width="15.140625" bestFit="1" customWidth="1"/>
    <col min="4780" max="4780" width="14.42578125" bestFit="1" customWidth="1"/>
    <col min="4781" max="4781" width="12.28515625" bestFit="1" customWidth="1"/>
    <col min="4782" max="4782" width="15.140625" bestFit="1" customWidth="1"/>
    <col min="4783" max="4783" width="14.42578125" bestFit="1" customWidth="1"/>
    <col min="4784" max="4784" width="12.28515625" bestFit="1" customWidth="1"/>
    <col min="4785" max="4785" width="14.42578125" bestFit="1" customWidth="1"/>
    <col min="4786" max="4786" width="11.28515625" bestFit="1" customWidth="1"/>
    <col min="4787" max="4787" width="12.28515625" bestFit="1" customWidth="1"/>
    <col min="4788" max="4788" width="13" bestFit="1" customWidth="1"/>
    <col min="4789" max="4789" width="15.140625" bestFit="1" customWidth="1"/>
    <col min="4790" max="4790" width="12.28515625" bestFit="1" customWidth="1"/>
    <col min="4791" max="4791" width="13.85546875" bestFit="1" customWidth="1"/>
    <col min="4792" max="4792" width="11.28515625" bestFit="1" customWidth="1"/>
    <col min="4793" max="4793" width="12.28515625" bestFit="1" customWidth="1"/>
    <col min="4794" max="4794" width="13.85546875" bestFit="1" customWidth="1"/>
    <col min="4795" max="4796" width="15.140625" bestFit="1" customWidth="1"/>
    <col min="4797" max="4797" width="12.28515625" bestFit="1" customWidth="1"/>
    <col min="4798" max="4798" width="5.7109375" bestFit="1" customWidth="1"/>
    <col min="4799" max="4799" width="8.5703125" bestFit="1" customWidth="1"/>
    <col min="4800" max="4800" width="5.5703125" bestFit="1" customWidth="1"/>
    <col min="4801" max="4801" width="14.42578125" bestFit="1" customWidth="1"/>
    <col min="4802" max="4802" width="11.28515625" bestFit="1" customWidth="1"/>
    <col min="4803" max="4804" width="12.28515625" bestFit="1" customWidth="1"/>
    <col min="4805" max="4805" width="11.28515625" bestFit="1" customWidth="1"/>
    <col min="4806" max="4806" width="13.85546875" bestFit="1" customWidth="1"/>
    <col min="4807" max="4807" width="12" bestFit="1" customWidth="1"/>
    <col min="4808" max="4808" width="13.85546875" bestFit="1" customWidth="1"/>
    <col min="4809" max="4810" width="14.42578125" customWidth="1"/>
    <col min="4811" max="4811" width="10.140625" bestFit="1" customWidth="1"/>
    <col min="4812" max="4812" width="12.28515625" bestFit="1" customWidth="1"/>
    <col min="4813" max="4813" width="7.42578125" bestFit="1" customWidth="1"/>
    <col min="4814" max="4814" width="8.5703125" bestFit="1" customWidth="1"/>
    <col min="4815" max="4815" width="11.5703125" bestFit="1" customWidth="1"/>
    <col min="4816" max="4816" width="13.28515625" bestFit="1" customWidth="1"/>
    <col min="4817" max="4817" width="13.28515625" customWidth="1"/>
    <col min="4818" max="4818" width="13.140625" customWidth="1"/>
    <col min="4819" max="4819" width="12.7109375" bestFit="1" customWidth="1"/>
    <col min="4820" max="4820" width="13.28515625" bestFit="1" customWidth="1"/>
    <col min="4821" max="4823" width="13.28515625" customWidth="1"/>
    <col min="4824" max="4824" width="12.140625" bestFit="1" customWidth="1"/>
    <col min="4825" max="4825" width="12.7109375" bestFit="1" customWidth="1"/>
    <col min="4826" max="4826" width="11" customWidth="1"/>
    <col min="4827" max="4827" width="16.7109375" customWidth="1"/>
    <col min="4828" max="4828" width="17" customWidth="1"/>
    <col min="4829" max="4829" width="10.42578125" bestFit="1" customWidth="1"/>
    <col min="4873" max="4873" width="3.85546875" customWidth="1"/>
    <col min="4874" max="4874" width="15.28515625" bestFit="1" customWidth="1"/>
    <col min="4875" max="4875" width="12.28515625" customWidth="1"/>
    <col min="4876" max="4876" width="16.28515625" bestFit="1" customWidth="1"/>
    <col min="4877" max="4877" width="6.42578125" bestFit="1" customWidth="1"/>
    <col min="4878" max="4878" width="9.28515625" bestFit="1" customWidth="1"/>
    <col min="4879" max="4879" width="7.5703125" bestFit="1" customWidth="1"/>
    <col min="4880" max="4880" width="13.28515625" bestFit="1" customWidth="1"/>
    <col min="4881" max="4881" width="9.28515625" bestFit="1" customWidth="1"/>
    <col min="4882" max="4882" width="11.5703125" bestFit="1" customWidth="1"/>
    <col min="4883" max="4883" width="13.28515625" bestFit="1" customWidth="1"/>
    <col min="4884" max="4884" width="7.140625" bestFit="1" customWidth="1"/>
    <col min="4885" max="4885" width="12" bestFit="1" customWidth="1"/>
    <col min="4886" max="4886" width="13.28515625" bestFit="1" customWidth="1"/>
    <col min="4887" max="4887" width="7" bestFit="1" customWidth="1"/>
    <col min="4888" max="4888" width="12.7109375" bestFit="1" customWidth="1"/>
    <col min="4889" max="4889" width="11.5703125" bestFit="1" customWidth="1"/>
    <col min="4890" max="4890" width="10.5703125" bestFit="1" customWidth="1"/>
    <col min="4891" max="4892" width="15.7109375" bestFit="1" customWidth="1"/>
    <col min="4893" max="4893" width="11.5703125" bestFit="1" customWidth="1"/>
    <col min="4894" max="4894" width="7.7109375" bestFit="1" customWidth="1"/>
    <col min="4895" max="4895" width="15.140625" bestFit="1" customWidth="1"/>
    <col min="4896" max="4896" width="11.5703125" bestFit="1" customWidth="1"/>
    <col min="4897" max="4897" width="13.28515625" bestFit="1" customWidth="1"/>
    <col min="4898" max="4898" width="10.42578125" bestFit="1" customWidth="1"/>
    <col min="4899" max="4899" width="13.28515625" bestFit="1" customWidth="1"/>
    <col min="4900" max="4900" width="12.140625" bestFit="1" customWidth="1"/>
    <col min="4901" max="4901" width="14.42578125" bestFit="1" customWidth="1"/>
    <col min="4902" max="4902" width="13.28515625" bestFit="1" customWidth="1"/>
    <col min="4903" max="4903" width="11.5703125" bestFit="1" customWidth="1"/>
    <col min="4904" max="4904" width="7.7109375" bestFit="1" customWidth="1"/>
    <col min="4905" max="4906" width="14.42578125" bestFit="1" customWidth="1"/>
    <col min="4907" max="4907" width="11.5703125" bestFit="1" customWidth="1"/>
    <col min="4908" max="4908" width="7.7109375" bestFit="1" customWidth="1"/>
    <col min="4909" max="4909" width="13.5703125" customWidth="1"/>
    <col min="4910" max="4910" width="15.28515625" customWidth="1"/>
    <col min="4911" max="4911" width="14.5703125" customWidth="1"/>
    <col min="4912" max="4912" width="13.28515625" bestFit="1" customWidth="1"/>
    <col min="4913" max="4913" width="7.7109375" bestFit="1" customWidth="1"/>
    <col min="4914" max="4914" width="12.7109375" bestFit="1" customWidth="1"/>
    <col min="4915" max="4915" width="11.7109375" bestFit="1" customWidth="1"/>
    <col min="4916" max="4916" width="11.5703125" bestFit="1" customWidth="1"/>
    <col min="4917" max="4917" width="5.28515625" bestFit="1" customWidth="1"/>
    <col min="4918" max="4918" width="13.28515625" bestFit="1" customWidth="1"/>
    <col min="4919" max="4919" width="13.5703125" bestFit="1" customWidth="1"/>
    <col min="4920" max="4920" width="10.5703125" bestFit="1" customWidth="1"/>
    <col min="4921" max="4921" width="13.28515625" bestFit="1" customWidth="1"/>
    <col min="4922" max="4922" width="11.5703125" bestFit="1" customWidth="1"/>
    <col min="4923" max="4923" width="10.5703125" bestFit="1" customWidth="1"/>
    <col min="4924" max="4924" width="16.140625" bestFit="1" customWidth="1"/>
    <col min="4925" max="4926" width="11.28515625" bestFit="1" customWidth="1"/>
    <col min="4927" max="4927" width="13.28515625" bestFit="1" customWidth="1"/>
    <col min="4928" max="4928" width="7.7109375" bestFit="1" customWidth="1"/>
    <col min="4929" max="4932" width="9.140625" hidden="1" customWidth="1"/>
    <col min="4933" max="4933" width="10.42578125" bestFit="1" customWidth="1"/>
    <col min="4934" max="4934" width="10.5703125" bestFit="1" customWidth="1"/>
    <col min="4935" max="4935" width="10.42578125" bestFit="1" customWidth="1"/>
    <col min="4936" max="4936" width="10.5703125" bestFit="1" customWidth="1"/>
    <col min="4937" max="4937" width="9.5703125" bestFit="1" customWidth="1"/>
    <col min="4938" max="4938" width="11.5703125" bestFit="1" customWidth="1"/>
    <col min="4939" max="4939" width="10.42578125" bestFit="1" customWidth="1"/>
    <col min="4940" max="4940" width="10.85546875" customWidth="1"/>
    <col min="4941" max="4942" width="9.85546875" bestFit="1" customWidth="1"/>
    <col min="4943" max="4943" width="13.5703125" bestFit="1" customWidth="1"/>
    <col min="4944" max="4944" width="7.7109375" bestFit="1" customWidth="1"/>
    <col min="4945" max="4945" width="13.28515625" bestFit="1" customWidth="1"/>
    <col min="4946" max="4946" width="11.5703125" bestFit="1" customWidth="1"/>
    <col min="4947" max="4947" width="10.42578125" bestFit="1" customWidth="1"/>
    <col min="4948" max="4948" width="7.7109375" bestFit="1" customWidth="1"/>
    <col min="4949" max="4949" width="11.5703125" bestFit="1" customWidth="1"/>
    <col min="4950" max="4950" width="10.85546875" bestFit="1" customWidth="1"/>
    <col min="4951" max="4951" width="13.28515625" bestFit="1" customWidth="1"/>
    <col min="4952" max="4952" width="10.85546875" bestFit="1" customWidth="1"/>
    <col min="4953" max="4954" width="7.5703125" bestFit="1" customWidth="1"/>
    <col min="4955" max="4956" width="10.42578125" bestFit="1" customWidth="1"/>
    <col min="4957" max="4957" width="11.5703125" bestFit="1" customWidth="1"/>
    <col min="4958" max="4958" width="5.28515625" bestFit="1" customWidth="1"/>
    <col min="4959" max="4959" width="10.28515625" bestFit="1" customWidth="1"/>
    <col min="4960" max="4960" width="10.42578125" bestFit="1" customWidth="1"/>
    <col min="4961" max="4961" width="11.5703125" bestFit="1" customWidth="1"/>
    <col min="4962" max="4962" width="5.28515625" bestFit="1" customWidth="1"/>
    <col min="4963" max="4965" width="11.5703125" bestFit="1" customWidth="1"/>
    <col min="4966" max="4966" width="5.28515625" bestFit="1" customWidth="1"/>
    <col min="4967" max="4968" width="10.42578125" bestFit="1" customWidth="1"/>
    <col min="4969" max="4969" width="11.5703125" bestFit="1" customWidth="1"/>
    <col min="4970" max="4970" width="5.28515625" bestFit="1" customWidth="1"/>
    <col min="4971" max="4971" width="14.28515625" bestFit="1" customWidth="1"/>
    <col min="4972" max="4972" width="13" bestFit="1" customWidth="1"/>
    <col min="4973" max="4973" width="11.5703125" bestFit="1" customWidth="1"/>
    <col min="4974" max="4974" width="8.85546875" bestFit="1" customWidth="1"/>
    <col min="4975" max="4975" width="14.42578125" bestFit="1" customWidth="1"/>
    <col min="4976" max="4976" width="10.42578125" bestFit="1" customWidth="1"/>
    <col min="4977" max="4977" width="12.28515625" bestFit="1" customWidth="1"/>
    <col min="4978" max="4978" width="13.85546875" bestFit="1" customWidth="1"/>
    <col min="4979" max="4979" width="11.28515625" customWidth="1"/>
    <col min="4980" max="4980" width="11.5703125" customWidth="1"/>
    <col min="4981" max="4981" width="13.42578125" bestFit="1" customWidth="1"/>
    <col min="4982" max="4982" width="10.42578125" customWidth="1"/>
    <col min="4983" max="4983" width="13.85546875" bestFit="1" customWidth="1"/>
    <col min="4984" max="4984" width="15.42578125" bestFit="1" customWidth="1"/>
    <col min="4985" max="4985" width="12.28515625" bestFit="1" customWidth="1"/>
    <col min="4986" max="4986" width="12.7109375" customWidth="1"/>
    <col min="4987" max="4987" width="10.7109375" bestFit="1" customWidth="1"/>
    <col min="4988" max="4988" width="9.85546875" customWidth="1"/>
    <col min="4989" max="4990" width="10.140625" bestFit="1" customWidth="1"/>
    <col min="4991" max="4991" width="7.5703125" bestFit="1" customWidth="1"/>
    <col min="4992" max="4992" width="9.42578125" bestFit="1" customWidth="1"/>
    <col min="4993" max="4993" width="14.5703125" bestFit="1" customWidth="1"/>
    <col min="4994" max="4994" width="14.85546875" customWidth="1"/>
    <col min="4995" max="4995" width="15.140625" bestFit="1" customWidth="1"/>
    <col min="4996" max="4996" width="12.140625" bestFit="1" customWidth="1"/>
    <col min="4997" max="4997" width="14.85546875" bestFit="1" customWidth="1"/>
    <col min="4998" max="4998" width="12.28515625" bestFit="1" customWidth="1"/>
    <col min="4999" max="5007" width="9.140625" hidden="1" customWidth="1"/>
    <col min="5008" max="5008" width="5.28515625" bestFit="1" customWidth="1"/>
    <col min="5009" max="5014" width="11.5703125" bestFit="1" customWidth="1"/>
    <col min="5015" max="5015" width="11.28515625" bestFit="1" customWidth="1"/>
    <col min="5016" max="5016" width="10.140625" bestFit="1" customWidth="1"/>
    <col min="5017" max="5017" width="11.5703125" bestFit="1" customWidth="1"/>
    <col min="5018" max="5018" width="16.140625" customWidth="1"/>
    <col min="5019" max="5019" width="13.42578125" customWidth="1"/>
    <col min="5020" max="5020" width="10.140625" bestFit="1" customWidth="1"/>
    <col min="5021" max="5021" width="12.85546875" bestFit="1" customWidth="1"/>
    <col min="5022" max="5022" width="12.28515625" bestFit="1" customWidth="1"/>
    <col min="5023" max="5023" width="11.28515625" bestFit="1" customWidth="1"/>
    <col min="5024" max="5024" width="11.5703125" bestFit="1" customWidth="1"/>
    <col min="5025" max="5025" width="10.85546875" bestFit="1" customWidth="1"/>
    <col min="5026" max="5026" width="11.28515625" bestFit="1" customWidth="1"/>
    <col min="5027" max="5027" width="10.140625" bestFit="1" customWidth="1"/>
    <col min="5028" max="5028" width="13.28515625" bestFit="1" customWidth="1"/>
    <col min="5029" max="5030" width="12.7109375" bestFit="1" customWidth="1"/>
    <col min="5031" max="5031" width="11" bestFit="1" customWidth="1"/>
    <col min="5032" max="5032" width="11.28515625" bestFit="1" customWidth="1"/>
    <col min="5033" max="5033" width="11.5703125" bestFit="1" customWidth="1"/>
    <col min="5034" max="5034" width="12.28515625" bestFit="1" customWidth="1"/>
    <col min="5035" max="5035" width="15.140625" bestFit="1" customWidth="1"/>
    <col min="5036" max="5036" width="14.42578125" bestFit="1" customWidth="1"/>
    <col min="5037" max="5037" width="12.28515625" bestFit="1" customWidth="1"/>
    <col min="5038" max="5038" width="15.140625" bestFit="1" customWidth="1"/>
    <col min="5039" max="5039" width="14.42578125" bestFit="1" customWidth="1"/>
    <col min="5040" max="5040" width="12.28515625" bestFit="1" customWidth="1"/>
    <col min="5041" max="5041" width="14.42578125" bestFit="1" customWidth="1"/>
    <col min="5042" max="5042" width="11.28515625" bestFit="1" customWidth="1"/>
    <col min="5043" max="5043" width="12.28515625" bestFit="1" customWidth="1"/>
    <col min="5044" max="5044" width="13" bestFit="1" customWidth="1"/>
    <col min="5045" max="5045" width="15.140625" bestFit="1" customWidth="1"/>
    <col min="5046" max="5046" width="12.28515625" bestFit="1" customWidth="1"/>
    <col min="5047" max="5047" width="13.85546875" bestFit="1" customWidth="1"/>
    <col min="5048" max="5048" width="11.28515625" bestFit="1" customWidth="1"/>
    <col min="5049" max="5049" width="12.28515625" bestFit="1" customWidth="1"/>
    <col min="5050" max="5050" width="13.85546875" bestFit="1" customWidth="1"/>
    <col min="5051" max="5052" width="15.140625" bestFit="1" customWidth="1"/>
    <col min="5053" max="5053" width="12.28515625" bestFit="1" customWidth="1"/>
    <col min="5054" max="5054" width="5.7109375" bestFit="1" customWidth="1"/>
    <col min="5055" max="5055" width="8.5703125" bestFit="1" customWidth="1"/>
    <col min="5056" max="5056" width="5.5703125" bestFit="1" customWidth="1"/>
    <col min="5057" max="5057" width="14.42578125" bestFit="1" customWidth="1"/>
    <col min="5058" max="5058" width="11.28515625" bestFit="1" customWidth="1"/>
    <col min="5059" max="5060" width="12.28515625" bestFit="1" customWidth="1"/>
    <col min="5061" max="5061" width="11.28515625" bestFit="1" customWidth="1"/>
    <col min="5062" max="5062" width="13.85546875" bestFit="1" customWidth="1"/>
    <col min="5063" max="5063" width="12" bestFit="1" customWidth="1"/>
    <col min="5064" max="5064" width="13.85546875" bestFit="1" customWidth="1"/>
    <col min="5065" max="5066" width="14.42578125" customWidth="1"/>
    <col min="5067" max="5067" width="10.140625" bestFit="1" customWidth="1"/>
    <col min="5068" max="5068" width="12.28515625" bestFit="1" customWidth="1"/>
    <col min="5069" max="5069" width="7.42578125" bestFit="1" customWidth="1"/>
    <col min="5070" max="5070" width="8.5703125" bestFit="1" customWidth="1"/>
    <col min="5071" max="5071" width="11.5703125" bestFit="1" customWidth="1"/>
    <col min="5072" max="5072" width="13.28515625" bestFit="1" customWidth="1"/>
    <col min="5073" max="5073" width="13.28515625" customWidth="1"/>
    <col min="5074" max="5074" width="13.140625" customWidth="1"/>
    <col min="5075" max="5075" width="12.7109375" bestFit="1" customWidth="1"/>
    <col min="5076" max="5076" width="13.28515625" bestFit="1" customWidth="1"/>
    <col min="5077" max="5079" width="13.28515625" customWidth="1"/>
    <col min="5080" max="5080" width="12.140625" bestFit="1" customWidth="1"/>
    <col min="5081" max="5081" width="12.7109375" bestFit="1" customWidth="1"/>
    <col min="5082" max="5082" width="11" customWidth="1"/>
    <col min="5083" max="5083" width="16.7109375" customWidth="1"/>
    <col min="5084" max="5084" width="17" customWidth="1"/>
    <col min="5085" max="5085" width="10.42578125" bestFit="1" customWidth="1"/>
    <col min="5129" max="5129" width="3.85546875" customWidth="1"/>
    <col min="5130" max="5130" width="15.28515625" bestFit="1" customWidth="1"/>
    <col min="5131" max="5131" width="12.28515625" customWidth="1"/>
    <col min="5132" max="5132" width="16.28515625" bestFit="1" customWidth="1"/>
    <col min="5133" max="5133" width="6.42578125" bestFit="1" customWidth="1"/>
    <col min="5134" max="5134" width="9.28515625" bestFit="1" customWidth="1"/>
    <col min="5135" max="5135" width="7.5703125" bestFit="1" customWidth="1"/>
    <col min="5136" max="5136" width="13.28515625" bestFit="1" customWidth="1"/>
    <col min="5137" max="5137" width="9.28515625" bestFit="1" customWidth="1"/>
    <col min="5138" max="5138" width="11.5703125" bestFit="1" customWidth="1"/>
    <col min="5139" max="5139" width="13.28515625" bestFit="1" customWidth="1"/>
    <col min="5140" max="5140" width="7.140625" bestFit="1" customWidth="1"/>
    <col min="5141" max="5141" width="12" bestFit="1" customWidth="1"/>
    <col min="5142" max="5142" width="13.28515625" bestFit="1" customWidth="1"/>
    <col min="5143" max="5143" width="7" bestFit="1" customWidth="1"/>
    <col min="5144" max="5144" width="12.7109375" bestFit="1" customWidth="1"/>
    <col min="5145" max="5145" width="11.5703125" bestFit="1" customWidth="1"/>
    <col min="5146" max="5146" width="10.5703125" bestFit="1" customWidth="1"/>
    <col min="5147" max="5148" width="15.7109375" bestFit="1" customWidth="1"/>
    <col min="5149" max="5149" width="11.5703125" bestFit="1" customWidth="1"/>
    <col min="5150" max="5150" width="7.7109375" bestFit="1" customWidth="1"/>
    <col min="5151" max="5151" width="15.140625" bestFit="1" customWidth="1"/>
    <col min="5152" max="5152" width="11.5703125" bestFit="1" customWidth="1"/>
    <col min="5153" max="5153" width="13.28515625" bestFit="1" customWidth="1"/>
    <col min="5154" max="5154" width="10.42578125" bestFit="1" customWidth="1"/>
    <col min="5155" max="5155" width="13.28515625" bestFit="1" customWidth="1"/>
    <col min="5156" max="5156" width="12.140625" bestFit="1" customWidth="1"/>
    <col min="5157" max="5157" width="14.42578125" bestFit="1" customWidth="1"/>
    <col min="5158" max="5158" width="13.28515625" bestFit="1" customWidth="1"/>
    <col min="5159" max="5159" width="11.5703125" bestFit="1" customWidth="1"/>
    <col min="5160" max="5160" width="7.7109375" bestFit="1" customWidth="1"/>
    <col min="5161" max="5162" width="14.42578125" bestFit="1" customWidth="1"/>
    <col min="5163" max="5163" width="11.5703125" bestFit="1" customWidth="1"/>
    <col min="5164" max="5164" width="7.7109375" bestFit="1" customWidth="1"/>
    <col min="5165" max="5165" width="13.5703125" customWidth="1"/>
    <col min="5166" max="5166" width="15.28515625" customWidth="1"/>
    <col min="5167" max="5167" width="14.5703125" customWidth="1"/>
    <col min="5168" max="5168" width="13.28515625" bestFit="1" customWidth="1"/>
    <col min="5169" max="5169" width="7.7109375" bestFit="1" customWidth="1"/>
    <col min="5170" max="5170" width="12.7109375" bestFit="1" customWidth="1"/>
    <col min="5171" max="5171" width="11.7109375" bestFit="1" customWidth="1"/>
    <col min="5172" max="5172" width="11.5703125" bestFit="1" customWidth="1"/>
    <col min="5173" max="5173" width="5.28515625" bestFit="1" customWidth="1"/>
    <col min="5174" max="5174" width="13.28515625" bestFit="1" customWidth="1"/>
    <col min="5175" max="5175" width="13.5703125" bestFit="1" customWidth="1"/>
    <col min="5176" max="5176" width="10.5703125" bestFit="1" customWidth="1"/>
    <col min="5177" max="5177" width="13.28515625" bestFit="1" customWidth="1"/>
    <col min="5178" max="5178" width="11.5703125" bestFit="1" customWidth="1"/>
    <col min="5179" max="5179" width="10.5703125" bestFit="1" customWidth="1"/>
    <col min="5180" max="5180" width="16.140625" bestFit="1" customWidth="1"/>
    <col min="5181" max="5182" width="11.28515625" bestFit="1" customWidth="1"/>
    <col min="5183" max="5183" width="13.28515625" bestFit="1" customWidth="1"/>
    <col min="5184" max="5184" width="7.7109375" bestFit="1" customWidth="1"/>
    <col min="5185" max="5188" width="9.140625" hidden="1" customWidth="1"/>
    <col min="5189" max="5189" width="10.42578125" bestFit="1" customWidth="1"/>
    <col min="5190" max="5190" width="10.5703125" bestFit="1" customWidth="1"/>
    <col min="5191" max="5191" width="10.42578125" bestFit="1" customWidth="1"/>
    <col min="5192" max="5192" width="10.5703125" bestFit="1" customWidth="1"/>
    <col min="5193" max="5193" width="9.5703125" bestFit="1" customWidth="1"/>
    <col min="5194" max="5194" width="11.5703125" bestFit="1" customWidth="1"/>
    <col min="5195" max="5195" width="10.42578125" bestFit="1" customWidth="1"/>
    <col min="5196" max="5196" width="10.85546875" customWidth="1"/>
    <col min="5197" max="5198" width="9.85546875" bestFit="1" customWidth="1"/>
    <col min="5199" max="5199" width="13.5703125" bestFit="1" customWidth="1"/>
    <col min="5200" max="5200" width="7.7109375" bestFit="1" customWidth="1"/>
    <col min="5201" max="5201" width="13.28515625" bestFit="1" customWidth="1"/>
    <col min="5202" max="5202" width="11.5703125" bestFit="1" customWidth="1"/>
    <col min="5203" max="5203" width="10.42578125" bestFit="1" customWidth="1"/>
    <col min="5204" max="5204" width="7.7109375" bestFit="1" customWidth="1"/>
    <col min="5205" max="5205" width="11.5703125" bestFit="1" customWidth="1"/>
    <col min="5206" max="5206" width="10.85546875" bestFit="1" customWidth="1"/>
    <col min="5207" max="5207" width="13.28515625" bestFit="1" customWidth="1"/>
    <col min="5208" max="5208" width="10.85546875" bestFit="1" customWidth="1"/>
    <col min="5209" max="5210" width="7.5703125" bestFit="1" customWidth="1"/>
    <col min="5211" max="5212" width="10.42578125" bestFit="1" customWidth="1"/>
    <col min="5213" max="5213" width="11.5703125" bestFit="1" customWidth="1"/>
    <col min="5214" max="5214" width="5.28515625" bestFit="1" customWidth="1"/>
    <col min="5215" max="5215" width="10.28515625" bestFit="1" customWidth="1"/>
    <col min="5216" max="5216" width="10.42578125" bestFit="1" customWidth="1"/>
    <col min="5217" max="5217" width="11.5703125" bestFit="1" customWidth="1"/>
    <col min="5218" max="5218" width="5.28515625" bestFit="1" customWidth="1"/>
    <col min="5219" max="5221" width="11.5703125" bestFit="1" customWidth="1"/>
    <col min="5222" max="5222" width="5.28515625" bestFit="1" customWidth="1"/>
    <col min="5223" max="5224" width="10.42578125" bestFit="1" customWidth="1"/>
    <col min="5225" max="5225" width="11.5703125" bestFit="1" customWidth="1"/>
    <col min="5226" max="5226" width="5.28515625" bestFit="1" customWidth="1"/>
    <col min="5227" max="5227" width="14.28515625" bestFit="1" customWidth="1"/>
    <col min="5228" max="5228" width="13" bestFit="1" customWidth="1"/>
    <col min="5229" max="5229" width="11.5703125" bestFit="1" customWidth="1"/>
    <col min="5230" max="5230" width="8.85546875" bestFit="1" customWidth="1"/>
    <col min="5231" max="5231" width="14.42578125" bestFit="1" customWidth="1"/>
    <col min="5232" max="5232" width="10.42578125" bestFit="1" customWidth="1"/>
    <col min="5233" max="5233" width="12.28515625" bestFit="1" customWidth="1"/>
    <col min="5234" max="5234" width="13.85546875" bestFit="1" customWidth="1"/>
    <col min="5235" max="5235" width="11.28515625" customWidth="1"/>
    <col min="5236" max="5236" width="11.5703125" customWidth="1"/>
    <col min="5237" max="5237" width="13.42578125" bestFit="1" customWidth="1"/>
    <col min="5238" max="5238" width="10.42578125" customWidth="1"/>
    <col min="5239" max="5239" width="13.85546875" bestFit="1" customWidth="1"/>
    <col min="5240" max="5240" width="15.42578125" bestFit="1" customWidth="1"/>
    <col min="5241" max="5241" width="12.28515625" bestFit="1" customWidth="1"/>
    <col min="5242" max="5242" width="12.7109375" customWidth="1"/>
    <col min="5243" max="5243" width="10.7109375" bestFit="1" customWidth="1"/>
    <col min="5244" max="5244" width="9.85546875" customWidth="1"/>
    <col min="5245" max="5246" width="10.140625" bestFit="1" customWidth="1"/>
    <col min="5247" max="5247" width="7.5703125" bestFit="1" customWidth="1"/>
    <col min="5248" max="5248" width="9.42578125" bestFit="1" customWidth="1"/>
    <col min="5249" max="5249" width="14.5703125" bestFit="1" customWidth="1"/>
    <col min="5250" max="5250" width="14.85546875" customWidth="1"/>
    <col min="5251" max="5251" width="15.140625" bestFit="1" customWidth="1"/>
    <col min="5252" max="5252" width="12.140625" bestFit="1" customWidth="1"/>
    <col min="5253" max="5253" width="14.85546875" bestFit="1" customWidth="1"/>
    <col min="5254" max="5254" width="12.28515625" bestFit="1" customWidth="1"/>
    <col min="5255" max="5263" width="9.140625" hidden="1" customWidth="1"/>
    <col min="5264" max="5264" width="5.28515625" bestFit="1" customWidth="1"/>
    <col min="5265" max="5270" width="11.5703125" bestFit="1" customWidth="1"/>
    <col min="5271" max="5271" width="11.28515625" bestFit="1" customWidth="1"/>
    <col min="5272" max="5272" width="10.140625" bestFit="1" customWidth="1"/>
    <col min="5273" max="5273" width="11.5703125" bestFit="1" customWidth="1"/>
    <col min="5274" max="5274" width="16.140625" customWidth="1"/>
    <col min="5275" max="5275" width="13.42578125" customWidth="1"/>
    <col min="5276" max="5276" width="10.140625" bestFit="1" customWidth="1"/>
    <col min="5277" max="5277" width="12.85546875" bestFit="1" customWidth="1"/>
    <col min="5278" max="5278" width="12.28515625" bestFit="1" customWidth="1"/>
    <col min="5279" max="5279" width="11.28515625" bestFit="1" customWidth="1"/>
    <col min="5280" max="5280" width="11.5703125" bestFit="1" customWidth="1"/>
    <col min="5281" max="5281" width="10.85546875" bestFit="1" customWidth="1"/>
    <col min="5282" max="5282" width="11.28515625" bestFit="1" customWidth="1"/>
    <col min="5283" max="5283" width="10.140625" bestFit="1" customWidth="1"/>
    <col min="5284" max="5284" width="13.28515625" bestFit="1" customWidth="1"/>
    <col min="5285" max="5286" width="12.7109375" bestFit="1" customWidth="1"/>
    <col min="5287" max="5287" width="11" bestFit="1" customWidth="1"/>
    <col min="5288" max="5288" width="11.28515625" bestFit="1" customWidth="1"/>
    <col min="5289" max="5289" width="11.5703125" bestFit="1" customWidth="1"/>
    <col min="5290" max="5290" width="12.28515625" bestFit="1" customWidth="1"/>
    <col min="5291" max="5291" width="15.140625" bestFit="1" customWidth="1"/>
    <col min="5292" max="5292" width="14.42578125" bestFit="1" customWidth="1"/>
    <col min="5293" max="5293" width="12.28515625" bestFit="1" customWidth="1"/>
    <col min="5294" max="5294" width="15.140625" bestFit="1" customWidth="1"/>
    <col min="5295" max="5295" width="14.42578125" bestFit="1" customWidth="1"/>
    <col min="5296" max="5296" width="12.28515625" bestFit="1" customWidth="1"/>
    <col min="5297" max="5297" width="14.42578125" bestFit="1" customWidth="1"/>
    <col min="5298" max="5298" width="11.28515625" bestFit="1" customWidth="1"/>
    <col min="5299" max="5299" width="12.28515625" bestFit="1" customWidth="1"/>
    <col min="5300" max="5300" width="13" bestFit="1" customWidth="1"/>
    <col min="5301" max="5301" width="15.140625" bestFit="1" customWidth="1"/>
    <col min="5302" max="5302" width="12.28515625" bestFit="1" customWidth="1"/>
    <col min="5303" max="5303" width="13.85546875" bestFit="1" customWidth="1"/>
    <col min="5304" max="5304" width="11.28515625" bestFit="1" customWidth="1"/>
    <col min="5305" max="5305" width="12.28515625" bestFit="1" customWidth="1"/>
    <col min="5306" max="5306" width="13.85546875" bestFit="1" customWidth="1"/>
    <col min="5307" max="5308" width="15.140625" bestFit="1" customWidth="1"/>
    <col min="5309" max="5309" width="12.28515625" bestFit="1" customWidth="1"/>
    <col min="5310" max="5310" width="5.7109375" bestFit="1" customWidth="1"/>
    <col min="5311" max="5311" width="8.5703125" bestFit="1" customWidth="1"/>
    <col min="5312" max="5312" width="5.5703125" bestFit="1" customWidth="1"/>
    <col min="5313" max="5313" width="14.42578125" bestFit="1" customWidth="1"/>
    <col min="5314" max="5314" width="11.28515625" bestFit="1" customWidth="1"/>
    <col min="5315" max="5316" width="12.28515625" bestFit="1" customWidth="1"/>
    <col min="5317" max="5317" width="11.28515625" bestFit="1" customWidth="1"/>
    <col min="5318" max="5318" width="13.85546875" bestFit="1" customWidth="1"/>
    <col min="5319" max="5319" width="12" bestFit="1" customWidth="1"/>
    <col min="5320" max="5320" width="13.85546875" bestFit="1" customWidth="1"/>
    <col min="5321" max="5322" width="14.42578125" customWidth="1"/>
    <col min="5323" max="5323" width="10.140625" bestFit="1" customWidth="1"/>
    <col min="5324" max="5324" width="12.28515625" bestFit="1" customWidth="1"/>
    <col min="5325" max="5325" width="7.42578125" bestFit="1" customWidth="1"/>
    <col min="5326" max="5326" width="8.5703125" bestFit="1" customWidth="1"/>
    <col min="5327" max="5327" width="11.5703125" bestFit="1" customWidth="1"/>
    <col min="5328" max="5328" width="13.28515625" bestFit="1" customWidth="1"/>
    <col min="5329" max="5329" width="13.28515625" customWidth="1"/>
    <col min="5330" max="5330" width="13.140625" customWidth="1"/>
    <col min="5331" max="5331" width="12.7109375" bestFit="1" customWidth="1"/>
    <col min="5332" max="5332" width="13.28515625" bestFit="1" customWidth="1"/>
    <col min="5333" max="5335" width="13.28515625" customWidth="1"/>
    <col min="5336" max="5336" width="12.140625" bestFit="1" customWidth="1"/>
    <col min="5337" max="5337" width="12.7109375" bestFit="1" customWidth="1"/>
    <col min="5338" max="5338" width="11" customWidth="1"/>
    <col min="5339" max="5339" width="16.7109375" customWidth="1"/>
    <col min="5340" max="5340" width="17" customWidth="1"/>
    <col min="5341" max="5341" width="10.42578125" bestFit="1" customWidth="1"/>
    <col min="5385" max="5385" width="3.85546875" customWidth="1"/>
    <col min="5386" max="5386" width="15.28515625" bestFit="1" customWidth="1"/>
    <col min="5387" max="5387" width="12.28515625" customWidth="1"/>
    <col min="5388" max="5388" width="16.28515625" bestFit="1" customWidth="1"/>
    <col min="5389" max="5389" width="6.42578125" bestFit="1" customWidth="1"/>
    <col min="5390" max="5390" width="9.28515625" bestFit="1" customWidth="1"/>
    <col min="5391" max="5391" width="7.5703125" bestFit="1" customWidth="1"/>
    <col min="5392" max="5392" width="13.28515625" bestFit="1" customWidth="1"/>
    <col min="5393" max="5393" width="9.28515625" bestFit="1" customWidth="1"/>
    <col min="5394" max="5394" width="11.5703125" bestFit="1" customWidth="1"/>
    <col min="5395" max="5395" width="13.28515625" bestFit="1" customWidth="1"/>
    <col min="5396" max="5396" width="7.140625" bestFit="1" customWidth="1"/>
    <col min="5397" max="5397" width="12" bestFit="1" customWidth="1"/>
    <col min="5398" max="5398" width="13.28515625" bestFit="1" customWidth="1"/>
    <col min="5399" max="5399" width="7" bestFit="1" customWidth="1"/>
    <col min="5400" max="5400" width="12.7109375" bestFit="1" customWidth="1"/>
    <col min="5401" max="5401" width="11.5703125" bestFit="1" customWidth="1"/>
    <col min="5402" max="5402" width="10.5703125" bestFit="1" customWidth="1"/>
    <col min="5403" max="5404" width="15.7109375" bestFit="1" customWidth="1"/>
    <col min="5405" max="5405" width="11.5703125" bestFit="1" customWidth="1"/>
    <col min="5406" max="5406" width="7.7109375" bestFit="1" customWidth="1"/>
    <col min="5407" max="5407" width="15.140625" bestFit="1" customWidth="1"/>
    <col min="5408" max="5408" width="11.5703125" bestFit="1" customWidth="1"/>
    <col min="5409" max="5409" width="13.28515625" bestFit="1" customWidth="1"/>
    <col min="5410" max="5410" width="10.42578125" bestFit="1" customWidth="1"/>
    <col min="5411" max="5411" width="13.28515625" bestFit="1" customWidth="1"/>
    <col min="5412" max="5412" width="12.140625" bestFit="1" customWidth="1"/>
    <col min="5413" max="5413" width="14.42578125" bestFit="1" customWidth="1"/>
    <col min="5414" max="5414" width="13.28515625" bestFit="1" customWidth="1"/>
    <col min="5415" max="5415" width="11.5703125" bestFit="1" customWidth="1"/>
    <col min="5416" max="5416" width="7.7109375" bestFit="1" customWidth="1"/>
    <col min="5417" max="5418" width="14.42578125" bestFit="1" customWidth="1"/>
    <col min="5419" max="5419" width="11.5703125" bestFit="1" customWidth="1"/>
    <col min="5420" max="5420" width="7.7109375" bestFit="1" customWidth="1"/>
    <col min="5421" max="5421" width="13.5703125" customWidth="1"/>
    <col min="5422" max="5422" width="15.28515625" customWidth="1"/>
    <col min="5423" max="5423" width="14.5703125" customWidth="1"/>
    <col min="5424" max="5424" width="13.28515625" bestFit="1" customWidth="1"/>
    <col min="5425" max="5425" width="7.7109375" bestFit="1" customWidth="1"/>
    <col min="5426" max="5426" width="12.7109375" bestFit="1" customWidth="1"/>
    <col min="5427" max="5427" width="11.7109375" bestFit="1" customWidth="1"/>
    <col min="5428" max="5428" width="11.5703125" bestFit="1" customWidth="1"/>
    <col min="5429" max="5429" width="5.28515625" bestFit="1" customWidth="1"/>
    <col min="5430" max="5430" width="13.28515625" bestFit="1" customWidth="1"/>
    <col min="5431" max="5431" width="13.5703125" bestFit="1" customWidth="1"/>
    <col min="5432" max="5432" width="10.5703125" bestFit="1" customWidth="1"/>
    <col min="5433" max="5433" width="13.28515625" bestFit="1" customWidth="1"/>
    <col min="5434" max="5434" width="11.5703125" bestFit="1" customWidth="1"/>
    <col min="5435" max="5435" width="10.5703125" bestFit="1" customWidth="1"/>
    <col min="5436" max="5436" width="16.140625" bestFit="1" customWidth="1"/>
    <col min="5437" max="5438" width="11.28515625" bestFit="1" customWidth="1"/>
    <col min="5439" max="5439" width="13.28515625" bestFit="1" customWidth="1"/>
    <col min="5440" max="5440" width="7.7109375" bestFit="1" customWidth="1"/>
    <col min="5441" max="5444" width="9.140625" hidden="1" customWidth="1"/>
    <col min="5445" max="5445" width="10.42578125" bestFit="1" customWidth="1"/>
    <col min="5446" max="5446" width="10.5703125" bestFit="1" customWidth="1"/>
    <col min="5447" max="5447" width="10.42578125" bestFit="1" customWidth="1"/>
    <col min="5448" max="5448" width="10.5703125" bestFit="1" customWidth="1"/>
    <col min="5449" max="5449" width="9.5703125" bestFit="1" customWidth="1"/>
    <col min="5450" max="5450" width="11.5703125" bestFit="1" customWidth="1"/>
    <col min="5451" max="5451" width="10.42578125" bestFit="1" customWidth="1"/>
    <col min="5452" max="5452" width="10.85546875" customWidth="1"/>
    <col min="5453" max="5454" width="9.85546875" bestFit="1" customWidth="1"/>
    <col min="5455" max="5455" width="13.5703125" bestFit="1" customWidth="1"/>
    <col min="5456" max="5456" width="7.7109375" bestFit="1" customWidth="1"/>
    <col min="5457" max="5457" width="13.28515625" bestFit="1" customWidth="1"/>
    <col min="5458" max="5458" width="11.5703125" bestFit="1" customWidth="1"/>
    <col min="5459" max="5459" width="10.42578125" bestFit="1" customWidth="1"/>
    <col min="5460" max="5460" width="7.7109375" bestFit="1" customWidth="1"/>
    <col min="5461" max="5461" width="11.5703125" bestFit="1" customWidth="1"/>
    <col min="5462" max="5462" width="10.85546875" bestFit="1" customWidth="1"/>
    <col min="5463" max="5463" width="13.28515625" bestFit="1" customWidth="1"/>
    <col min="5464" max="5464" width="10.85546875" bestFit="1" customWidth="1"/>
    <col min="5465" max="5466" width="7.5703125" bestFit="1" customWidth="1"/>
    <col min="5467" max="5468" width="10.42578125" bestFit="1" customWidth="1"/>
    <col min="5469" max="5469" width="11.5703125" bestFit="1" customWidth="1"/>
    <col min="5470" max="5470" width="5.28515625" bestFit="1" customWidth="1"/>
    <col min="5471" max="5471" width="10.28515625" bestFit="1" customWidth="1"/>
    <col min="5472" max="5472" width="10.42578125" bestFit="1" customWidth="1"/>
    <col min="5473" max="5473" width="11.5703125" bestFit="1" customWidth="1"/>
    <col min="5474" max="5474" width="5.28515625" bestFit="1" customWidth="1"/>
    <col min="5475" max="5477" width="11.5703125" bestFit="1" customWidth="1"/>
    <col min="5478" max="5478" width="5.28515625" bestFit="1" customWidth="1"/>
    <col min="5479" max="5480" width="10.42578125" bestFit="1" customWidth="1"/>
    <col min="5481" max="5481" width="11.5703125" bestFit="1" customWidth="1"/>
    <col min="5482" max="5482" width="5.28515625" bestFit="1" customWidth="1"/>
    <col min="5483" max="5483" width="14.28515625" bestFit="1" customWidth="1"/>
    <col min="5484" max="5484" width="13" bestFit="1" customWidth="1"/>
    <col min="5485" max="5485" width="11.5703125" bestFit="1" customWidth="1"/>
    <col min="5486" max="5486" width="8.85546875" bestFit="1" customWidth="1"/>
    <col min="5487" max="5487" width="14.42578125" bestFit="1" customWidth="1"/>
    <col min="5488" max="5488" width="10.42578125" bestFit="1" customWidth="1"/>
    <col min="5489" max="5489" width="12.28515625" bestFit="1" customWidth="1"/>
    <col min="5490" max="5490" width="13.85546875" bestFit="1" customWidth="1"/>
    <col min="5491" max="5491" width="11.28515625" customWidth="1"/>
    <col min="5492" max="5492" width="11.5703125" customWidth="1"/>
    <col min="5493" max="5493" width="13.42578125" bestFit="1" customWidth="1"/>
    <col min="5494" max="5494" width="10.42578125" customWidth="1"/>
    <col min="5495" max="5495" width="13.85546875" bestFit="1" customWidth="1"/>
    <col min="5496" max="5496" width="15.42578125" bestFit="1" customWidth="1"/>
    <col min="5497" max="5497" width="12.28515625" bestFit="1" customWidth="1"/>
    <col min="5498" max="5498" width="12.7109375" customWidth="1"/>
    <col min="5499" max="5499" width="10.7109375" bestFit="1" customWidth="1"/>
    <col min="5500" max="5500" width="9.85546875" customWidth="1"/>
    <col min="5501" max="5502" width="10.140625" bestFit="1" customWidth="1"/>
    <col min="5503" max="5503" width="7.5703125" bestFit="1" customWidth="1"/>
    <col min="5504" max="5504" width="9.42578125" bestFit="1" customWidth="1"/>
    <col min="5505" max="5505" width="14.5703125" bestFit="1" customWidth="1"/>
    <col min="5506" max="5506" width="14.85546875" customWidth="1"/>
    <col min="5507" max="5507" width="15.140625" bestFit="1" customWidth="1"/>
    <col min="5508" max="5508" width="12.140625" bestFit="1" customWidth="1"/>
    <col min="5509" max="5509" width="14.85546875" bestFit="1" customWidth="1"/>
    <col min="5510" max="5510" width="12.28515625" bestFit="1" customWidth="1"/>
    <col min="5511" max="5519" width="9.140625" hidden="1" customWidth="1"/>
    <col min="5520" max="5520" width="5.28515625" bestFit="1" customWidth="1"/>
    <col min="5521" max="5526" width="11.5703125" bestFit="1" customWidth="1"/>
    <col min="5527" max="5527" width="11.28515625" bestFit="1" customWidth="1"/>
    <col min="5528" max="5528" width="10.140625" bestFit="1" customWidth="1"/>
    <col min="5529" max="5529" width="11.5703125" bestFit="1" customWidth="1"/>
    <col min="5530" max="5530" width="16.140625" customWidth="1"/>
    <col min="5531" max="5531" width="13.42578125" customWidth="1"/>
    <col min="5532" max="5532" width="10.140625" bestFit="1" customWidth="1"/>
    <col min="5533" max="5533" width="12.85546875" bestFit="1" customWidth="1"/>
    <col min="5534" max="5534" width="12.28515625" bestFit="1" customWidth="1"/>
    <col min="5535" max="5535" width="11.28515625" bestFit="1" customWidth="1"/>
    <col min="5536" max="5536" width="11.5703125" bestFit="1" customWidth="1"/>
    <col min="5537" max="5537" width="10.85546875" bestFit="1" customWidth="1"/>
    <col min="5538" max="5538" width="11.28515625" bestFit="1" customWidth="1"/>
    <col min="5539" max="5539" width="10.140625" bestFit="1" customWidth="1"/>
    <col min="5540" max="5540" width="13.28515625" bestFit="1" customWidth="1"/>
    <col min="5541" max="5542" width="12.7109375" bestFit="1" customWidth="1"/>
    <col min="5543" max="5543" width="11" bestFit="1" customWidth="1"/>
    <col min="5544" max="5544" width="11.28515625" bestFit="1" customWidth="1"/>
    <col min="5545" max="5545" width="11.5703125" bestFit="1" customWidth="1"/>
    <col min="5546" max="5546" width="12.28515625" bestFit="1" customWidth="1"/>
    <col min="5547" max="5547" width="15.140625" bestFit="1" customWidth="1"/>
    <col min="5548" max="5548" width="14.42578125" bestFit="1" customWidth="1"/>
    <col min="5549" max="5549" width="12.28515625" bestFit="1" customWidth="1"/>
    <col min="5550" max="5550" width="15.140625" bestFit="1" customWidth="1"/>
    <col min="5551" max="5551" width="14.42578125" bestFit="1" customWidth="1"/>
    <col min="5552" max="5552" width="12.28515625" bestFit="1" customWidth="1"/>
    <col min="5553" max="5553" width="14.42578125" bestFit="1" customWidth="1"/>
    <col min="5554" max="5554" width="11.28515625" bestFit="1" customWidth="1"/>
    <col min="5555" max="5555" width="12.28515625" bestFit="1" customWidth="1"/>
    <col min="5556" max="5556" width="13" bestFit="1" customWidth="1"/>
    <col min="5557" max="5557" width="15.140625" bestFit="1" customWidth="1"/>
    <col min="5558" max="5558" width="12.28515625" bestFit="1" customWidth="1"/>
    <col min="5559" max="5559" width="13.85546875" bestFit="1" customWidth="1"/>
    <col min="5560" max="5560" width="11.28515625" bestFit="1" customWidth="1"/>
    <col min="5561" max="5561" width="12.28515625" bestFit="1" customWidth="1"/>
    <col min="5562" max="5562" width="13.85546875" bestFit="1" customWidth="1"/>
    <col min="5563" max="5564" width="15.140625" bestFit="1" customWidth="1"/>
    <col min="5565" max="5565" width="12.28515625" bestFit="1" customWidth="1"/>
    <col min="5566" max="5566" width="5.7109375" bestFit="1" customWidth="1"/>
    <col min="5567" max="5567" width="8.5703125" bestFit="1" customWidth="1"/>
    <col min="5568" max="5568" width="5.5703125" bestFit="1" customWidth="1"/>
    <col min="5569" max="5569" width="14.42578125" bestFit="1" customWidth="1"/>
    <col min="5570" max="5570" width="11.28515625" bestFit="1" customWidth="1"/>
    <col min="5571" max="5572" width="12.28515625" bestFit="1" customWidth="1"/>
    <col min="5573" max="5573" width="11.28515625" bestFit="1" customWidth="1"/>
    <col min="5574" max="5574" width="13.85546875" bestFit="1" customWidth="1"/>
    <col min="5575" max="5575" width="12" bestFit="1" customWidth="1"/>
    <col min="5576" max="5576" width="13.85546875" bestFit="1" customWidth="1"/>
    <col min="5577" max="5578" width="14.42578125" customWidth="1"/>
    <col min="5579" max="5579" width="10.140625" bestFit="1" customWidth="1"/>
    <col min="5580" max="5580" width="12.28515625" bestFit="1" customWidth="1"/>
    <col min="5581" max="5581" width="7.42578125" bestFit="1" customWidth="1"/>
    <col min="5582" max="5582" width="8.5703125" bestFit="1" customWidth="1"/>
    <col min="5583" max="5583" width="11.5703125" bestFit="1" customWidth="1"/>
    <col min="5584" max="5584" width="13.28515625" bestFit="1" customWidth="1"/>
    <col min="5585" max="5585" width="13.28515625" customWidth="1"/>
    <col min="5586" max="5586" width="13.140625" customWidth="1"/>
    <col min="5587" max="5587" width="12.7109375" bestFit="1" customWidth="1"/>
    <col min="5588" max="5588" width="13.28515625" bestFit="1" customWidth="1"/>
    <col min="5589" max="5591" width="13.28515625" customWidth="1"/>
    <col min="5592" max="5592" width="12.140625" bestFit="1" customWidth="1"/>
    <col min="5593" max="5593" width="12.7109375" bestFit="1" customWidth="1"/>
    <col min="5594" max="5594" width="11" customWidth="1"/>
    <col min="5595" max="5595" width="16.7109375" customWidth="1"/>
    <col min="5596" max="5596" width="17" customWidth="1"/>
    <col min="5597" max="5597" width="10.42578125" bestFit="1" customWidth="1"/>
    <col min="5641" max="5641" width="3.85546875" customWidth="1"/>
    <col min="5642" max="5642" width="15.28515625" bestFit="1" customWidth="1"/>
    <col min="5643" max="5643" width="12.28515625" customWidth="1"/>
    <col min="5644" max="5644" width="16.28515625" bestFit="1" customWidth="1"/>
    <col min="5645" max="5645" width="6.42578125" bestFit="1" customWidth="1"/>
    <col min="5646" max="5646" width="9.28515625" bestFit="1" customWidth="1"/>
    <col min="5647" max="5647" width="7.5703125" bestFit="1" customWidth="1"/>
    <col min="5648" max="5648" width="13.28515625" bestFit="1" customWidth="1"/>
    <col min="5649" max="5649" width="9.28515625" bestFit="1" customWidth="1"/>
    <col min="5650" max="5650" width="11.5703125" bestFit="1" customWidth="1"/>
    <col min="5651" max="5651" width="13.28515625" bestFit="1" customWidth="1"/>
    <col min="5652" max="5652" width="7.140625" bestFit="1" customWidth="1"/>
    <col min="5653" max="5653" width="12" bestFit="1" customWidth="1"/>
    <col min="5654" max="5654" width="13.28515625" bestFit="1" customWidth="1"/>
    <col min="5655" max="5655" width="7" bestFit="1" customWidth="1"/>
    <col min="5656" max="5656" width="12.7109375" bestFit="1" customWidth="1"/>
    <col min="5657" max="5657" width="11.5703125" bestFit="1" customWidth="1"/>
    <col min="5658" max="5658" width="10.5703125" bestFit="1" customWidth="1"/>
    <col min="5659" max="5660" width="15.7109375" bestFit="1" customWidth="1"/>
    <col min="5661" max="5661" width="11.5703125" bestFit="1" customWidth="1"/>
    <col min="5662" max="5662" width="7.7109375" bestFit="1" customWidth="1"/>
    <col min="5663" max="5663" width="15.140625" bestFit="1" customWidth="1"/>
    <col min="5664" max="5664" width="11.5703125" bestFit="1" customWidth="1"/>
    <col min="5665" max="5665" width="13.28515625" bestFit="1" customWidth="1"/>
    <col min="5666" max="5666" width="10.42578125" bestFit="1" customWidth="1"/>
    <col min="5667" max="5667" width="13.28515625" bestFit="1" customWidth="1"/>
    <col min="5668" max="5668" width="12.140625" bestFit="1" customWidth="1"/>
    <col min="5669" max="5669" width="14.42578125" bestFit="1" customWidth="1"/>
    <col min="5670" max="5670" width="13.28515625" bestFit="1" customWidth="1"/>
    <col min="5671" max="5671" width="11.5703125" bestFit="1" customWidth="1"/>
    <col min="5672" max="5672" width="7.7109375" bestFit="1" customWidth="1"/>
    <col min="5673" max="5674" width="14.42578125" bestFit="1" customWidth="1"/>
    <col min="5675" max="5675" width="11.5703125" bestFit="1" customWidth="1"/>
    <col min="5676" max="5676" width="7.7109375" bestFit="1" customWidth="1"/>
    <col min="5677" max="5677" width="13.5703125" customWidth="1"/>
    <col min="5678" max="5678" width="15.28515625" customWidth="1"/>
    <col min="5679" max="5679" width="14.5703125" customWidth="1"/>
    <col min="5680" max="5680" width="13.28515625" bestFit="1" customWidth="1"/>
    <col min="5681" max="5681" width="7.7109375" bestFit="1" customWidth="1"/>
    <col min="5682" max="5682" width="12.7109375" bestFit="1" customWidth="1"/>
    <col min="5683" max="5683" width="11.7109375" bestFit="1" customWidth="1"/>
    <col min="5684" max="5684" width="11.5703125" bestFit="1" customWidth="1"/>
    <col min="5685" max="5685" width="5.28515625" bestFit="1" customWidth="1"/>
    <col min="5686" max="5686" width="13.28515625" bestFit="1" customWidth="1"/>
    <col min="5687" max="5687" width="13.5703125" bestFit="1" customWidth="1"/>
    <col min="5688" max="5688" width="10.5703125" bestFit="1" customWidth="1"/>
    <col min="5689" max="5689" width="13.28515625" bestFit="1" customWidth="1"/>
    <col min="5690" max="5690" width="11.5703125" bestFit="1" customWidth="1"/>
    <col min="5691" max="5691" width="10.5703125" bestFit="1" customWidth="1"/>
    <col min="5692" max="5692" width="16.140625" bestFit="1" customWidth="1"/>
    <col min="5693" max="5694" width="11.28515625" bestFit="1" customWidth="1"/>
    <col min="5695" max="5695" width="13.28515625" bestFit="1" customWidth="1"/>
    <col min="5696" max="5696" width="7.7109375" bestFit="1" customWidth="1"/>
    <col min="5697" max="5700" width="9.140625" hidden="1" customWidth="1"/>
    <col min="5701" max="5701" width="10.42578125" bestFit="1" customWidth="1"/>
    <col min="5702" max="5702" width="10.5703125" bestFit="1" customWidth="1"/>
    <col min="5703" max="5703" width="10.42578125" bestFit="1" customWidth="1"/>
    <col min="5704" max="5704" width="10.5703125" bestFit="1" customWidth="1"/>
    <col min="5705" max="5705" width="9.5703125" bestFit="1" customWidth="1"/>
    <col min="5706" max="5706" width="11.5703125" bestFit="1" customWidth="1"/>
    <col min="5707" max="5707" width="10.42578125" bestFit="1" customWidth="1"/>
    <col min="5708" max="5708" width="10.85546875" customWidth="1"/>
    <col min="5709" max="5710" width="9.85546875" bestFit="1" customWidth="1"/>
    <col min="5711" max="5711" width="13.5703125" bestFit="1" customWidth="1"/>
    <col min="5712" max="5712" width="7.7109375" bestFit="1" customWidth="1"/>
    <col min="5713" max="5713" width="13.28515625" bestFit="1" customWidth="1"/>
    <col min="5714" max="5714" width="11.5703125" bestFit="1" customWidth="1"/>
    <col min="5715" max="5715" width="10.42578125" bestFit="1" customWidth="1"/>
    <col min="5716" max="5716" width="7.7109375" bestFit="1" customWidth="1"/>
    <col min="5717" max="5717" width="11.5703125" bestFit="1" customWidth="1"/>
    <col min="5718" max="5718" width="10.85546875" bestFit="1" customWidth="1"/>
    <col min="5719" max="5719" width="13.28515625" bestFit="1" customWidth="1"/>
    <col min="5720" max="5720" width="10.85546875" bestFit="1" customWidth="1"/>
    <col min="5721" max="5722" width="7.5703125" bestFit="1" customWidth="1"/>
    <col min="5723" max="5724" width="10.42578125" bestFit="1" customWidth="1"/>
    <col min="5725" max="5725" width="11.5703125" bestFit="1" customWidth="1"/>
    <col min="5726" max="5726" width="5.28515625" bestFit="1" customWidth="1"/>
    <col min="5727" max="5727" width="10.28515625" bestFit="1" customWidth="1"/>
    <col min="5728" max="5728" width="10.42578125" bestFit="1" customWidth="1"/>
    <col min="5729" max="5729" width="11.5703125" bestFit="1" customWidth="1"/>
    <col min="5730" max="5730" width="5.28515625" bestFit="1" customWidth="1"/>
    <col min="5731" max="5733" width="11.5703125" bestFit="1" customWidth="1"/>
    <col min="5734" max="5734" width="5.28515625" bestFit="1" customWidth="1"/>
    <col min="5735" max="5736" width="10.42578125" bestFit="1" customWidth="1"/>
    <col min="5737" max="5737" width="11.5703125" bestFit="1" customWidth="1"/>
    <col min="5738" max="5738" width="5.28515625" bestFit="1" customWidth="1"/>
    <col min="5739" max="5739" width="14.28515625" bestFit="1" customWidth="1"/>
    <col min="5740" max="5740" width="13" bestFit="1" customWidth="1"/>
    <col min="5741" max="5741" width="11.5703125" bestFit="1" customWidth="1"/>
    <col min="5742" max="5742" width="8.85546875" bestFit="1" customWidth="1"/>
    <col min="5743" max="5743" width="14.42578125" bestFit="1" customWidth="1"/>
    <col min="5744" max="5744" width="10.42578125" bestFit="1" customWidth="1"/>
    <col min="5745" max="5745" width="12.28515625" bestFit="1" customWidth="1"/>
    <col min="5746" max="5746" width="13.85546875" bestFit="1" customWidth="1"/>
    <col min="5747" max="5747" width="11.28515625" customWidth="1"/>
    <col min="5748" max="5748" width="11.5703125" customWidth="1"/>
    <col min="5749" max="5749" width="13.42578125" bestFit="1" customWidth="1"/>
    <col min="5750" max="5750" width="10.42578125" customWidth="1"/>
    <col min="5751" max="5751" width="13.85546875" bestFit="1" customWidth="1"/>
    <col min="5752" max="5752" width="15.42578125" bestFit="1" customWidth="1"/>
    <col min="5753" max="5753" width="12.28515625" bestFit="1" customWidth="1"/>
    <col min="5754" max="5754" width="12.7109375" customWidth="1"/>
    <col min="5755" max="5755" width="10.7109375" bestFit="1" customWidth="1"/>
    <col min="5756" max="5756" width="9.85546875" customWidth="1"/>
    <col min="5757" max="5758" width="10.140625" bestFit="1" customWidth="1"/>
    <col min="5759" max="5759" width="7.5703125" bestFit="1" customWidth="1"/>
    <col min="5760" max="5760" width="9.42578125" bestFit="1" customWidth="1"/>
    <col min="5761" max="5761" width="14.5703125" bestFit="1" customWidth="1"/>
    <col min="5762" max="5762" width="14.85546875" customWidth="1"/>
    <col min="5763" max="5763" width="15.140625" bestFit="1" customWidth="1"/>
    <col min="5764" max="5764" width="12.140625" bestFit="1" customWidth="1"/>
    <col min="5765" max="5765" width="14.85546875" bestFit="1" customWidth="1"/>
    <col min="5766" max="5766" width="12.28515625" bestFit="1" customWidth="1"/>
    <col min="5767" max="5775" width="9.140625" hidden="1" customWidth="1"/>
    <col min="5776" max="5776" width="5.28515625" bestFit="1" customWidth="1"/>
    <col min="5777" max="5782" width="11.5703125" bestFit="1" customWidth="1"/>
    <col min="5783" max="5783" width="11.28515625" bestFit="1" customWidth="1"/>
    <col min="5784" max="5784" width="10.140625" bestFit="1" customWidth="1"/>
    <col min="5785" max="5785" width="11.5703125" bestFit="1" customWidth="1"/>
    <col min="5786" max="5786" width="16.140625" customWidth="1"/>
    <col min="5787" max="5787" width="13.42578125" customWidth="1"/>
    <col min="5788" max="5788" width="10.140625" bestFit="1" customWidth="1"/>
    <col min="5789" max="5789" width="12.85546875" bestFit="1" customWidth="1"/>
    <col min="5790" max="5790" width="12.28515625" bestFit="1" customWidth="1"/>
    <col min="5791" max="5791" width="11.28515625" bestFit="1" customWidth="1"/>
    <col min="5792" max="5792" width="11.5703125" bestFit="1" customWidth="1"/>
    <col min="5793" max="5793" width="10.85546875" bestFit="1" customWidth="1"/>
    <col min="5794" max="5794" width="11.28515625" bestFit="1" customWidth="1"/>
    <col min="5795" max="5795" width="10.140625" bestFit="1" customWidth="1"/>
    <col min="5796" max="5796" width="13.28515625" bestFit="1" customWidth="1"/>
    <col min="5797" max="5798" width="12.7109375" bestFit="1" customWidth="1"/>
    <col min="5799" max="5799" width="11" bestFit="1" customWidth="1"/>
    <col min="5800" max="5800" width="11.28515625" bestFit="1" customWidth="1"/>
    <col min="5801" max="5801" width="11.5703125" bestFit="1" customWidth="1"/>
    <col min="5802" max="5802" width="12.28515625" bestFit="1" customWidth="1"/>
    <col min="5803" max="5803" width="15.140625" bestFit="1" customWidth="1"/>
    <col min="5804" max="5804" width="14.42578125" bestFit="1" customWidth="1"/>
    <col min="5805" max="5805" width="12.28515625" bestFit="1" customWidth="1"/>
    <col min="5806" max="5806" width="15.140625" bestFit="1" customWidth="1"/>
    <col min="5807" max="5807" width="14.42578125" bestFit="1" customWidth="1"/>
    <col min="5808" max="5808" width="12.28515625" bestFit="1" customWidth="1"/>
    <col min="5809" max="5809" width="14.42578125" bestFit="1" customWidth="1"/>
    <col min="5810" max="5810" width="11.28515625" bestFit="1" customWidth="1"/>
    <col min="5811" max="5811" width="12.28515625" bestFit="1" customWidth="1"/>
    <col min="5812" max="5812" width="13" bestFit="1" customWidth="1"/>
    <col min="5813" max="5813" width="15.140625" bestFit="1" customWidth="1"/>
    <col min="5814" max="5814" width="12.28515625" bestFit="1" customWidth="1"/>
    <col min="5815" max="5815" width="13.85546875" bestFit="1" customWidth="1"/>
    <col min="5816" max="5816" width="11.28515625" bestFit="1" customWidth="1"/>
    <col min="5817" max="5817" width="12.28515625" bestFit="1" customWidth="1"/>
    <col min="5818" max="5818" width="13.85546875" bestFit="1" customWidth="1"/>
    <col min="5819" max="5820" width="15.140625" bestFit="1" customWidth="1"/>
    <col min="5821" max="5821" width="12.28515625" bestFit="1" customWidth="1"/>
    <col min="5822" max="5822" width="5.7109375" bestFit="1" customWidth="1"/>
    <col min="5823" max="5823" width="8.5703125" bestFit="1" customWidth="1"/>
    <col min="5824" max="5824" width="5.5703125" bestFit="1" customWidth="1"/>
    <col min="5825" max="5825" width="14.42578125" bestFit="1" customWidth="1"/>
    <col min="5826" max="5826" width="11.28515625" bestFit="1" customWidth="1"/>
    <col min="5827" max="5828" width="12.28515625" bestFit="1" customWidth="1"/>
    <col min="5829" max="5829" width="11.28515625" bestFit="1" customWidth="1"/>
    <col min="5830" max="5830" width="13.85546875" bestFit="1" customWidth="1"/>
    <col min="5831" max="5831" width="12" bestFit="1" customWidth="1"/>
    <col min="5832" max="5832" width="13.85546875" bestFit="1" customWidth="1"/>
    <col min="5833" max="5834" width="14.42578125" customWidth="1"/>
    <col min="5835" max="5835" width="10.140625" bestFit="1" customWidth="1"/>
    <col min="5836" max="5836" width="12.28515625" bestFit="1" customWidth="1"/>
    <col min="5837" max="5837" width="7.42578125" bestFit="1" customWidth="1"/>
    <col min="5838" max="5838" width="8.5703125" bestFit="1" customWidth="1"/>
    <col min="5839" max="5839" width="11.5703125" bestFit="1" customWidth="1"/>
    <col min="5840" max="5840" width="13.28515625" bestFit="1" customWidth="1"/>
    <col min="5841" max="5841" width="13.28515625" customWidth="1"/>
    <col min="5842" max="5842" width="13.140625" customWidth="1"/>
    <col min="5843" max="5843" width="12.7109375" bestFit="1" customWidth="1"/>
    <col min="5844" max="5844" width="13.28515625" bestFit="1" customWidth="1"/>
    <col min="5845" max="5847" width="13.28515625" customWidth="1"/>
    <col min="5848" max="5848" width="12.140625" bestFit="1" customWidth="1"/>
    <col min="5849" max="5849" width="12.7109375" bestFit="1" customWidth="1"/>
    <col min="5850" max="5850" width="11" customWidth="1"/>
    <col min="5851" max="5851" width="16.7109375" customWidth="1"/>
    <col min="5852" max="5852" width="17" customWidth="1"/>
    <col min="5853" max="5853" width="10.42578125" bestFit="1" customWidth="1"/>
    <col min="5897" max="5897" width="3.85546875" customWidth="1"/>
    <col min="5898" max="5898" width="15.28515625" bestFit="1" customWidth="1"/>
    <col min="5899" max="5899" width="12.28515625" customWidth="1"/>
    <col min="5900" max="5900" width="16.28515625" bestFit="1" customWidth="1"/>
    <col min="5901" max="5901" width="6.42578125" bestFit="1" customWidth="1"/>
    <col min="5902" max="5902" width="9.28515625" bestFit="1" customWidth="1"/>
    <col min="5903" max="5903" width="7.5703125" bestFit="1" customWidth="1"/>
    <col min="5904" max="5904" width="13.28515625" bestFit="1" customWidth="1"/>
    <col min="5905" max="5905" width="9.28515625" bestFit="1" customWidth="1"/>
    <col min="5906" max="5906" width="11.5703125" bestFit="1" customWidth="1"/>
    <col min="5907" max="5907" width="13.28515625" bestFit="1" customWidth="1"/>
    <col min="5908" max="5908" width="7.140625" bestFit="1" customWidth="1"/>
    <col min="5909" max="5909" width="12" bestFit="1" customWidth="1"/>
    <col min="5910" max="5910" width="13.28515625" bestFit="1" customWidth="1"/>
    <col min="5911" max="5911" width="7" bestFit="1" customWidth="1"/>
    <col min="5912" max="5912" width="12.7109375" bestFit="1" customWidth="1"/>
    <col min="5913" max="5913" width="11.5703125" bestFit="1" customWidth="1"/>
    <col min="5914" max="5914" width="10.5703125" bestFit="1" customWidth="1"/>
    <col min="5915" max="5916" width="15.7109375" bestFit="1" customWidth="1"/>
    <col min="5917" max="5917" width="11.5703125" bestFit="1" customWidth="1"/>
    <col min="5918" max="5918" width="7.7109375" bestFit="1" customWidth="1"/>
    <col min="5919" max="5919" width="15.140625" bestFit="1" customWidth="1"/>
    <col min="5920" max="5920" width="11.5703125" bestFit="1" customWidth="1"/>
    <col min="5921" max="5921" width="13.28515625" bestFit="1" customWidth="1"/>
    <col min="5922" max="5922" width="10.42578125" bestFit="1" customWidth="1"/>
    <col min="5923" max="5923" width="13.28515625" bestFit="1" customWidth="1"/>
    <col min="5924" max="5924" width="12.140625" bestFit="1" customWidth="1"/>
    <col min="5925" max="5925" width="14.42578125" bestFit="1" customWidth="1"/>
    <col min="5926" max="5926" width="13.28515625" bestFit="1" customWidth="1"/>
    <col min="5927" max="5927" width="11.5703125" bestFit="1" customWidth="1"/>
    <col min="5928" max="5928" width="7.7109375" bestFit="1" customWidth="1"/>
    <col min="5929" max="5930" width="14.42578125" bestFit="1" customWidth="1"/>
    <col min="5931" max="5931" width="11.5703125" bestFit="1" customWidth="1"/>
    <col min="5932" max="5932" width="7.7109375" bestFit="1" customWidth="1"/>
    <col min="5933" max="5933" width="13.5703125" customWidth="1"/>
    <col min="5934" max="5934" width="15.28515625" customWidth="1"/>
    <col min="5935" max="5935" width="14.5703125" customWidth="1"/>
    <col min="5936" max="5936" width="13.28515625" bestFit="1" customWidth="1"/>
    <col min="5937" max="5937" width="7.7109375" bestFit="1" customWidth="1"/>
    <col min="5938" max="5938" width="12.7109375" bestFit="1" customWidth="1"/>
    <col min="5939" max="5939" width="11.7109375" bestFit="1" customWidth="1"/>
    <col min="5940" max="5940" width="11.5703125" bestFit="1" customWidth="1"/>
    <col min="5941" max="5941" width="5.28515625" bestFit="1" customWidth="1"/>
    <col min="5942" max="5942" width="13.28515625" bestFit="1" customWidth="1"/>
    <col min="5943" max="5943" width="13.5703125" bestFit="1" customWidth="1"/>
    <col min="5944" max="5944" width="10.5703125" bestFit="1" customWidth="1"/>
    <col min="5945" max="5945" width="13.28515625" bestFit="1" customWidth="1"/>
    <col min="5946" max="5946" width="11.5703125" bestFit="1" customWidth="1"/>
    <col min="5947" max="5947" width="10.5703125" bestFit="1" customWidth="1"/>
    <col min="5948" max="5948" width="16.140625" bestFit="1" customWidth="1"/>
    <col min="5949" max="5950" width="11.28515625" bestFit="1" customWidth="1"/>
    <col min="5951" max="5951" width="13.28515625" bestFit="1" customWidth="1"/>
    <col min="5952" max="5952" width="7.7109375" bestFit="1" customWidth="1"/>
    <col min="5953" max="5956" width="9.140625" hidden="1" customWidth="1"/>
    <col min="5957" max="5957" width="10.42578125" bestFit="1" customWidth="1"/>
    <col min="5958" max="5958" width="10.5703125" bestFit="1" customWidth="1"/>
    <col min="5959" max="5959" width="10.42578125" bestFit="1" customWidth="1"/>
    <col min="5960" max="5960" width="10.5703125" bestFit="1" customWidth="1"/>
    <col min="5961" max="5961" width="9.5703125" bestFit="1" customWidth="1"/>
    <col min="5962" max="5962" width="11.5703125" bestFit="1" customWidth="1"/>
    <col min="5963" max="5963" width="10.42578125" bestFit="1" customWidth="1"/>
    <col min="5964" max="5964" width="10.85546875" customWidth="1"/>
    <col min="5965" max="5966" width="9.85546875" bestFit="1" customWidth="1"/>
    <col min="5967" max="5967" width="13.5703125" bestFit="1" customWidth="1"/>
    <col min="5968" max="5968" width="7.7109375" bestFit="1" customWidth="1"/>
    <col min="5969" max="5969" width="13.28515625" bestFit="1" customWidth="1"/>
    <col min="5970" max="5970" width="11.5703125" bestFit="1" customWidth="1"/>
    <col min="5971" max="5971" width="10.42578125" bestFit="1" customWidth="1"/>
    <col min="5972" max="5972" width="7.7109375" bestFit="1" customWidth="1"/>
    <col min="5973" max="5973" width="11.5703125" bestFit="1" customWidth="1"/>
    <col min="5974" max="5974" width="10.85546875" bestFit="1" customWidth="1"/>
    <col min="5975" max="5975" width="13.28515625" bestFit="1" customWidth="1"/>
    <col min="5976" max="5976" width="10.85546875" bestFit="1" customWidth="1"/>
    <col min="5977" max="5978" width="7.5703125" bestFit="1" customWidth="1"/>
    <col min="5979" max="5980" width="10.42578125" bestFit="1" customWidth="1"/>
    <col min="5981" max="5981" width="11.5703125" bestFit="1" customWidth="1"/>
    <col min="5982" max="5982" width="5.28515625" bestFit="1" customWidth="1"/>
    <col min="5983" max="5983" width="10.28515625" bestFit="1" customWidth="1"/>
    <col min="5984" max="5984" width="10.42578125" bestFit="1" customWidth="1"/>
    <col min="5985" max="5985" width="11.5703125" bestFit="1" customWidth="1"/>
    <col min="5986" max="5986" width="5.28515625" bestFit="1" customWidth="1"/>
    <col min="5987" max="5989" width="11.5703125" bestFit="1" customWidth="1"/>
    <col min="5990" max="5990" width="5.28515625" bestFit="1" customWidth="1"/>
    <col min="5991" max="5992" width="10.42578125" bestFit="1" customWidth="1"/>
    <col min="5993" max="5993" width="11.5703125" bestFit="1" customWidth="1"/>
    <col min="5994" max="5994" width="5.28515625" bestFit="1" customWidth="1"/>
    <col min="5995" max="5995" width="14.28515625" bestFit="1" customWidth="1"/>
    <col min="5996" max="5996" width="13" bestFit="1" customWidth="1"/>
    <col min="5997" max="5997" width="11.5703125" bestFit="1" customWidth="1"/>
    <col min="5998" max="5998" width="8.85546875" bestFit="1" customWidth="1"/>
    <col min="5999" max="5999" width="14.42578125" bestFit="1" customWidth="1"/>
    <col min="6000" max="6000" width="10.42578125" bestFit="1" customWidth="1"/>
    <col min="6001" max="6001" width="12.28515625" bestFit="1" customWidth="1"/>
    <col min="6002" max="6002" width="13.85546875" bestFit="1" customWidth="1"/>
    <col min="6003" max="6003" width="11.28515625" customWidth="1"/>
    <col min="6004" max="6004" width="11.5703125" customWidth="1"/>
    <col min="6005" max="6005" width="13.42578125" bestFit="1" customWidth="1"/>
    <col min="6006" max="6006" width="10.42578125" customWidth="1"/>
    <col min="6007" max="6007" width="13.85546875" bestFit="1" customWidth="1"/>
    <col min="6008" max="6008" width="15.42578125" bestFit="1" customWidth="1"/>
    <col min="6009" max="6009" width="12.28515625" bestFit="1" customWidth="1"/>
    <col min="6010" max="6010" width="12.7109375" customWidth="1"/>
    <col min="6011" max="6011" width="10.7109375" bestFit="1" customWidth="1"/>
    <col min="6012" max="6012" width="9.85546875" customWidth="1"/>
    <col min="6013" max="6014" width="10.140625" bestFit="1" customWidth="1"/>
    <col min="6015" max="6015" width="7.5703125" bestFit="1" customWidth="1"/>
    <col min="6016" max="6016" width="9.42578125" bestFit="1" customWidth="1"/>
    <col min="6017" max="6017" width="14.5703125" bestFit="1" customWidth="1"/>
    <col min="6018" max="6018" width="14.85546875" customWidth="1"/>
    <col min="6019" max="6019" width="15.140625" bestFit="1" customWidth="1"/>
    <col min="6020" max="6020" width="12.140625" bestFit="1" customWidth="1"/>
    <col min="6021" max="6021" width="14.85546875" bestFit="1" customWidth="1"/>
    <col min="6022" max="6022" width="12.28515625" bestFit="1" customWidth="1"/>
    <col min="6023" max="6031" width="9.140625" hidden="1" customWidth="1"/>
    <col min="6032" max="6032" width="5.28515625" bestFit="1" customWidth="1"/>
    <col min="6033" max="6038" width="11.5703125" bestFit="1" customWidth="1"/>
    <col min="6039" max="6039" width="11.28515625" bestFit="1" customWidth="1"/>
    <col min="6040" max="6040" width="10.140625" bestFit="1" customWidth="1"/>
    <col min="6041" max="6041" width="11.5703125" bestFit="1" customWidth="1"/>
    <col min="6042" max="6042" width="16.140625" customWidth="1"/>
    <col min="6043" max="6043" width="13.42578125" customWidth="1"/>
    <col min="6044" max="6044" width="10.140625" bestFit="1" customWidth="1"/>
    <col min="6045" max="6045" width="12.85546875" bestFit="1" customWidth="1"/>
    <col min="6046" max="6046" width="12.28515625" bestFit="1" customWidth="1"/>
    <col min="6047" max="6047" width="11.28515625" bestFit="1" customWidth="1"/>
    <col min="6048" max="6048" width="11.5703125" bestFit="1" customWidth="1"/>
    <col min="6049" max="6049" width="10.85546875" bestFit="1" customWidth="1"/>
    <col min="6050" max="6050" width="11.28515625" bestFit="1" customWidth="1"/>
    <col min="6051" max="6051" width="10.140625" bestFit="1" customWidth="1"/>
    <col min="6052" max="6052" width="13.28515625" bestFit="1" customWidth="1"/>
    <col min="6053" max="6054" width="12.7109375" bestFit="1" customWidth="1"/>
    <col min="6055" max="6055" width="11" bestFit="1" customWidth="1"/>
    <col min="6056" max="6056" width="11.28515625" bestFit="1" customWidth="1"/>
    <col min="6057" max="6057" width="11.5703125" bestFit="1" customWidth="1"/>
    <col min="6058" max="6058" width="12.28515625" bestFit="1" customWidth="1"/>
    <col min="6059" max="6059" width="15.140625" bestFit="1" customWidth="1"/>
    <col min="6060" max="6060" width="14.42578125" bestFit="1" customWidth="1"/>
    <col min="6061" max="6061" width="12.28515625" bestFit="1" customWidth="1"/>
    <col min="6062" max="6062" width="15.140625" bestFit="1" customWidth="1"/>
    <col min="6063" max="6063" width="14.42578125" bestFit="1" customWidth="1"/>
    <col min="6064" max="6064" width="12.28515625" bestFit="1" customWidth="1"/>
    <col min="6065" max="6065" width="14.42578125" bestFit="1" customWidth="1"/>
    <col min="6066" max="6066" width="11.28515625" bestFit="1" customWidth="1"/>
    <col min="6067" max="6067" width="12.28515625" bestFit="1" customWidth="1"/>
    <col min="6068" max="6068" width="13" bestFit="1" customWidth="1"/>
    <col min="6069" max="6069" width="15.140625" bestFit="1" customWidth="1"/>
    <col min="6070" max="6070" width="12.28515625" bestFit="1" customWidth="1"/>
    <col min="6071" max="6071" width="13.85546875" bestFit="1" customWidth="1"/>
    <col min="6072" max="6072" width="11.28515625" bestFit="1" customWidth="1"/>
    <col min="6073" max="6073" width="12.28515625" bestFit="1" customWidth="1"/>
    <col min="6074" max="6074" width="13.85546875" bestFit="1" customWidth="1"/>
    <col min="6075" max="6076" width="15.140625" bestFit="1" customWidth="1"/>
    <col min="6077" max="6077" width="12.28515625" bestFit="1" customWidth="1"/>
    <col min="6078" max="6078" width="5.7109375" bestFit="1" customWidth="1"/>
    <col min="6079" max="6079" width="8.5703125" bestFit="1" customWidth="1"/>
    <col min="6080" max="6080" width="5.5703125" bestFit="1" customWidth="1"/>
    <col min="6081" max="6081" width="14.42578125" bestFit="1" customWidth="1"/>
    <col min="6082" max="6082" width="11.28515625" bestFit="1" customWidth="1"/>
    <col min="6083" max="6084" width="12.28515625" bestFit="1" customWidth="1"/>
    <col min="6085" max="6085" width="11.28515625" bestFit="1" customWidth="1"/>
    <col min="6086" max="6086" width="13.85546875" bestFit="1" customWidth="1"/>
    <col min="6087" max="6087" width="12" bestFit="1" customWidth="1"/>
    <col min="6088" max="6088" width="13.85546875" bestFit="1" customWidth="1"/>
    <col min="6089" max="6090" width="14.42578125" customWidth="1"/>
    <col min="6091" max="6091" width="10.140625" bestFit="1" customWidth="1"/>
    <col min="6092" max="6092" width="12.28515625" bestFit="1" customWidth="1"/>
    <col min="6093" max="6093" width="7.42578125" bestFit="1" customWidth="1"/>
    <col min="6094" max="6094" width="8.5703125" bestFit="1" customWidth="1"/>
    <col min="6095" max="6095" width="11.5703125" bestFit="1" customWidth="1"/>
    <col min="6096" max="6096" width="13.28515625" bestFit="1" customWidth="1"/>
    <col min="6097" max="6097" width="13.28515625" customWidth="1"/>
    <col min="6098" max="6098" width="13.140625" customWidth="1"/>
    <col min="6099" max="6099" width="12.7109375" bestFit="1" customWidth="1"/>
    <col min="6100" max="6100" width="13.28515625" bestFit="1" customWidth="1"/>
    <col min="6101" max="6103" width="13.28515625" customWidth="1"/>
    <col min="6104" max="6104" width="12.140625" bestFit="1" customWidth="1"/>
    <col min="6105" max="6105" width="12.7109375" bestFit="1" customWidth="1"/>
    <col min="6106" max="6106" width="11" customWidth="1"/>
    <col min="6107" max="6107" width="16.7109375" customWidth="1"/>
    <col min="6108" max="6108" width="17" customWidth="1"/>
    <col min="6109" max="6109" width="10.42578125" bestFit="1" customWidth="1"/>
    <col min="6153" max="6153" width="3.85546875" customWidth="1"/>
    <col min="6154" max="6154" width="15.28515625" bestFit="1" customWidth="1"/>
    <col min="6155" max="6155" width="12.28515625" customWidth="1"/>
    <col min="6156" max="6156" width="16.28515625" bestFit="1" customWidth="1"/>
    <col min="6157" max="6157" width="6.42578125" bestFit="1" customWidth="1"/>
    <col min="6158" max="6158" width="9.28515625" bestFit="1" customWidth="1"/>
    <col min="6159" max="6159" width="7.5703125" bestFit="1" customWidth="1"/>
    <col min="6160" max="6160" width="13.28515625" bestFit="1" customWidth="1"/>
    <col min="6161" max="6161" width="9.28515625" bestFit="1" customWidth="1"/>
    <col min="6162" max="6162" width="11.5703125" bestFit="1" customWidth="1"/>
    <col min="6163" max="6163" width="13.28515625" bestFit="1" customWidth="1"/>
    <col min="6164" max="6164" width="7.140625" bestFit="1" customWidth="1"/>
    <col min="6165" max="6165" width="12" bestFit="1" customWidth="1"/>
    <col min="6166" max="6166" width="13.28515625" bestFit="1" customWidth="1"/>
    <col min="6167" max="6167" width="7" bestFit="1" customWidth="1"/>
    <col min="6168" max="6168" width="12.7109375" bestFit="1" customWidth="1"/>
    <col min="6169" max="6169" width="11.5703125" bestFit="1" customWidth="1"/>
    <col min="6170" max="6170" width="10.5703125" bestFit="1" customWidth="1"/>
    <col min="6171" max="6172" width="15.7109375" bestFit="1" customWidth="1"/>
    <col min="6173" max="6173" width="11.5703125" bestFit="1" customWidth="1"/>
    <col min="6174" max="6174" width="7.7109375" bestFit="1" customWidth="1"/>
    <col min="6175" max="6175" width="15.140625" bestFit="1" customWidth="1"/>
    <col min="6176" max="6176" width="11.5703125" bestFit="1" customWidth="1"/>
    <col min="6177" max="6177" width="13.28515625" bestFit="1" customWidth="1"/>
    <col min="6178" max="6178" width="10.42578125" bestFit="1" customWidth="1"/>
    <col min="6179" max="6179" width="13.28515625" bestFit="1" customWidth="1"/>
    <col min="6180" max="6180" width="12.140625" bestFit="1" customWidth="1"/>
    <col min="6181" max="6181" width="14.42578125" bestFit="1" customWidth="1"/>
    <col min="6182" max="6182" width="13.28515625" bestFit="1" customWidth="1"/>
    <col min="6183" max="6183" width="11.5703125" bestFit="1" customWidth="1"/>
    <col min="6184" max="6184" width="7.7109375" bestFit="1" customWidth="1"/>
    <col min="6185" max="6186" width="14.42578125" bestFit="1" customWidth="1"/>
    <col min="6187" max="6187" width="11.5703125" bestFit="1" customWidth="1"/>
    <col min="6188" max="6188" width="7.7109375" bestFit="1" customWidth="1"/>
    <col min="6189" max="6189" width="13.5703125" customWidth="1"/>
    <col min="6190" max="6190" width="15.28515625" customWidth="1"/>
    <col min="6191" max="6191" width="14.5703125" customWidth="1"/>
    <col min="6192" max="6192" width="13.28515625" bestFit="1" customWidth="1"/>
    <col min="6193" max="6193" width="7.7109375" bestFit="1" customWidth="1"/>
    <col min="6194" max="6194" width="12.7109375" bestFit="1" customWidth="1"/>
    <col min="6195" max="6195" width="11.7109375" bestFit="1" customWidth="1"/>
    <col min="6196" max="6196" width="11.5703125" bestFit="1" customWidth="1"/>
    <col min="6197" max="6197" width="5.28515625" bestFit="1" customWidth="1"/>
    <col min="6198" max="6198" width="13.28515625" bestFit="1" customWidth="1"/>
    <col min="6199" max="6199" width="13.5703125" bestFit="1" customWidth="1"/>
    <col min="6200" max="6200" width="10.5703125" bestFit="1" customWidth="1"/>
    <col min="6201" max="6201" width="13.28515625" bestFit="1" customWidth="1"/>
    <col min="6202" max="6202" width="11.5703125" bestFit="1" customWidth="1"/>
    <col min="6203" max="6203" width="10.5703125" bestFit="1" customWidth="1"/>
    <col min="6204" max="6204" width="16.140625" bestFit="1" customWidth="1"/>
    <col min="6205" max="6206" width="11.28515625" bestFit="1" customWidth="1"/>
    <col min="6207" max="6207" width="13.28515625" bestFit="1" customWidth="1"/>
    <col min="6208" max="6208" width="7.7109375" bestFit="1" customWidth="1"/>
    <col min="6209" max="6212" width="9.140625" hidden="1" customWidth="1"/>
    <col min="6213" max="6213" width="10.42578125" bestFit="1" customWidth="1"/>
    <col min="6214" max="6214" width="10.5703125" bestFit="1" customWidth="1"/>
    <col min="6215" max="6215" width="10.42578125" bestFit="1" customWidth="1"/>
    <col min="6216" max="6216" width="10.5703125" bestFit="1" customWidth="1"/>
    <col min="6217" max="6217" width="9.5703125" bestFit="1" customWidth="1"/>
    <col min="6218" max="6218" width="11.5703125" bestFit="1" customWidth="1"/>
    <col min="6219" max="6219" width="10.42578125" bestFit="1" customWidth="1"/>
    <col min="6220" max="6220" width="10.85546875" customWidth="1"/>
    <col min="6221" max="6222" width="9.85546875" bestFit="1" customWidth="1"/>
    <col min="6223" max="6223" width="13.5703125" bestFit="1" customWidth="1"/>
    <col min="6224" max="6224" width="7.7109375" bestFit="1" customWidth="1"/>
    <col min="6225" max="6225" width="13.28515625" bestFit="1" customWidth="1"/>
    <col min="6226" max="6226" width="11.5703125" bestFit="1" customWidth="1"/>
    <col min="6227" max="6227" width="10.42578125" bestFit="1" customWidth="1"/>
    <col min="6228" max="6228" width="7.7109375" bestFit="1" customWidth="1"/>
    <col min="6229" max="6229" width="11.5703125" bestFit="1" customWidth="1"/>
    <col min="6230" max="6230" width="10.85546875" bestFit="1" customWidth="1"/>
    <col min="6231" max="6231" width="13.28515625" bestFit="1" customWidth="1"/>
    <col min="6232" max="6232" width="10.85546875" bestFit="1" customWidth="1"/>
    <col min="6233" max="6234" width="7.5703125" bestFit="1" customWidth="1"/>
    <col min="6235" max="6236" width="10.42578125" bestFit="1" customWidth="1"/>
    <col min="6237" max="6237" width="11.5703125" bestFit="1" customWidth="1"/>
    <col min="6238" max="6238" width="5.28515625" bestFit="1" customWidth="1"/>
    <col min="6239" max="6239" width="10.28515625" bestFit="1" customWidth="1"/>
    <col min="6240" max="6240" width="10.42578125" bestFit="1" customWidth="1"/>
    <col min="6241" max="6241" width="11.5703125" bestFit="1" customWidth="1"/>
    <col min="6242" max="6242" width="5.28515625" bestFit="1" customWidth="1"/>
    <col min="6243" max="6245" width="11.5703125" bestFit="1" customWidth="1"/>
    <col min="6246" max="6246" width="5.28515625" bestFit="1" customWidth="1"/>
    <col min="6247" max="6248" width="10.42578125" bestFit="1" customWidth="1"/>
    <col min="6249" max="6249" width="11.5703125" bestFit="1" customWidth="1"/>
    <col min="6250" max="6250" width="5.28515625" bestFit="1" customWidth="1"/>
    <col min="6251" max="6251" width="14.28515625" bestFit="1" customWidth="1"/>
    <col min="6252" max="6252" width="13" bestFit="1" customWidth="1"/>
    <col min="6253" max="6253" width="11.5703125" bestFit="1" customWidth="1"/>
    <col min="6254" max="6254" width="8.85546875" bestFit="1" customWidth="1"/>
    <col min="6255" max="6255" width="14.42578125" bestFit="1" customWidth="1"/>
    <col min="6256" max="6256" width="10.42578125" bestFit="1" customWidth="1"/>
    <col min="6257" max="6257" width="12.28515625" bestFit="1" customWidth="1"/>
    <col min="6258" max="6258" width="13.85546875" bestFit="1" customWidth="1"/>
    <col min="6259" max="6259" width="11.28515625" customWidth="1"/>
    <col min="6260" max="6260" width="11.5703125" customWidth="1"/>
    <col min="6261" max="6261" width="13.42578125" bestFit="1" customWidth="1"/>
    <col min="6262" max="6262" width="10.42578125" customWidth="1"/>
    <col min="6263" max="6263" width="13.85546875" bestFit="1" customWidth="1"/>
    <col min="6264" max="6264" width="15.42578125" bestFit="1" customWidth="1"/>
    <col min="6265" max="6265" width="12.28515625" bestFit="1" customWidth="1"/>
    <col min="6266" max="6266" width="12.7109375" customWidth="1"/>
    <col min="6267" max="6267" width="10.7109375" bestFit="1" customWidth="1"/>
    <col min="6268" max="6268" width="9.85546875" customWidth="1"/>
    <col min="6269" max="6270" width="10.140625" bestFit="1" customWidth="1"/>
    <col min="6271" max="6271" width="7.5703125" bestFit="1" customWidth="1"/>
    <col min="6272" max="6272" width="9.42578125" bestFit="1" customWidth="1"/>
    <col min="6273" max="6273" width="14.5703125" bestFit="1" customWidth="1"/>
    <col min="6274" max="6274" width="14.85546875" customWidth="1"/>
    <col min="6275" max="6275" width="15.140625" bestFit="1" customWidth="1"/>
    <col min="6276" max="6276" width="12.140625" bestFit="1" customWidth="1"/>
    <col min="6277" max="6277" width="14.85546875" bestFit="1" customWidth="1"/>
    <col min="6278" max="6278" width="12.28515625" bestFit="1" customWidth="1"/>
    <col min="6279" max="6287" width="9.140625" hidden="1" customWidth="1"/>
    <col min="6288" max="6288" width="5.28515625" bestFit="1" customWidth="1"/>
    <col min="6289" max="6294" width="11.5703125" bestFit="1" customWidth="1"/>
    <col min="6295" max="6295" width="11.28515625" bestFit="1" customWidth="1"/>
    <col min="6296" max="6296" width="10.140625" bestFit="1" customWidth="1"/>
    <col min="6297" max="6297" width="11.5703125" bestFit="1" customWidth="1"/>
    <col min="6298" max="6298" width="16.140625" customWidth="1"/>
    <col min="6299" max="6299" width="13.42578125" customWidth="1"/>
    <col min="6300" max="6300" width="10.140625" bestFit="1" customWidth="1"/>
    <col min="6301" max="6301" width="12.85546875" bestFit="1" customWidth="1"/>
    <col min="6302" max="6302" width="12.28515625" bestFit="1" customWidth="1"/>
    <col min="6303" max="6303" width="11.28515625" bestFit="1" customWidth="1"/>
    <col min="6304" max="6304" width="11.5703125" bestFit="1" customWidth="1"/>
    <col min="6305" max="6305" width="10.85546875" bestFit="1" customWidth="1"/>
    <col min="6306" max="6306" width="11.28515625" bestFit="1" customWidth="1"/>
    <col min="6307" max="6307" width="10.140625" bestFit="1" customWidth="1"/>
    <col min="6308" max="6308" width="13.28515625" bestFit="1" customWidth="1"/>
    <col min="6309" max="6310" width="12.7109375" bestFit="1" customWidth="1"/>
    <col min="6311" max="6311" width="11" bestFit="1" customWidth="1"/>
    <col min="6312" max="6312" width="11.28515625" bestFit="1" customWidth="1"/>
    <col min="6313" max="6313" width="11.5703125" bestFit="1" customWidth="1"/>
    <col min="6314" max="6314" width="12.28515625" bestFit="1" customWidth="1"/>
    <col min="6315" max="6315" width="15.140625" bestFit="1" customWidth="1"/>
    <col min="6316" max="6316" width="14.42578125" bestFit="1" customWidth="1"/>
    <col min="6317" max="6317" width="12.28515625" bestFit="1" customWidth="1"/>
    <col min="6318" max="6318" width="15.140625" bestFit="1" customWidth="1"/>
    <col min="6319" max="6319" width="14.42578125" bestFit="1" customWidth="1"/>
    <col min="6320" max="6320" width="12.28515625" bestFit="1" customWidth="1"/>
    <col min="6321" max="6321" width="14.42578125" bestFit="1" customWidth="1"/>
    <col min="6322" max="6322" width="11.28515625" bestFit="1" customWidth="1"/>
    <col min="6323" max="6323" width="12.28515625" bestFit="1" customWidth="1"/>
    <col min="6324" max="6324" width="13" bestFit="1" customWidth="1"/>
    <col min="6325" max="6325" width="15.140625" bestFit="1" customWidth="1"/>
    <col min="6326" max="6326" width="12.28515625" bestFit="1" customWidth="1"/>
    <col min="6327" max="6327" width="13.85546875" bestFit="1" customWidth="1"/>
    <col min="6328" max="6328" width="11.28515625" bestFit="1" customWidth="1"/>
    <col min="6329" max="6329" width="12.28515625" bestFit="1" customWidth="1"/>
    <col min="6330" max="6330" width="13.85546875" bestFit="1" customWidth="1"/>
    <col min="6331" max="6332" width="15.140625" bestFit="1" customWidth="1"/>
    <col min="6333" max="6333" width="12.28515625" bestFit="1" customWidth="1"/>
    <col min="6334" max="6334" width="5.7109375" bestFit="1" customWidth="1"/>
    <col min="6335" max="6335" width="8.5703125" bestFit="1" customWidth="1"/>
    <col min="6336" max="6336" width="5.5703125" bestFit="1" customWidth="1"/>
    <col min="6337" max="6337" width="14.42578125" bestFit="1" customWidth="1"/>
    <col min="6338" max="6338" width="11.28515625" bestFit="1" customWidth="1"/>
    <col min="6339" max="6340" width="12.28515625" bestFit="1" customWidth="1"/>
    <col min="6341" max="6341" width="11.28515625" bestFit="1" customWidth="1"/>
    <col min="6342" max="6342" width="13.85546875" bestFit="1" customWidth="1"/>
    <col min="6343" max="6343" width="12" bestFit="1" customWidth="1"/>
    <col min="6344" max="6344" width="13.85546875" bestFit="1" customWidth="1"/>
    <col min="6345" max="6346" width="14.42578125" customWidth="1"/>
    <col min="6347" max="6347" width="10.140625" bestFit="1" customWidth="1"/>
    <col min="6348" max="6348" width="12.28515625" bestFit="1" customWidth="1"/>
    <col min="6349" max="6349" width="7.42578125" bestFit="1" customWidth="1"/>
    <col min="6350" max="6350" width="8.5703125" bestFit="1" customWidth="1"/>
    <col min="6351" max="6351" width="11.5703125" bestFit="1" customWidth="1"/>
    <col min="6352" max="6352" width="13.28515625" bestFit="1" customWidth="1"/>
    <col min="6353" max="6353" width="13.28515625" customWidth="1"/>
    <col min="6354" max="6354" width="13.140625" customWidth="1"/>
    <col min="6355" max="6355" width="12.7109375" bestFit="1" customWidth="1"/>
    <col min="6356" max="6356" width="13.28515625" bestFit="1" customWidth="1"/>
    <col min="6357" max="6359" width="13.28515625" customWidth="1"/>
    <col min="6360" max="6360" width="12.140625" bestFit="1" customWidth="1"/>
    <col min="6361" max="6361" width="12.7109375" bestFit="1" customWidth="1"/>
    <col min="6362" max="6362" width="11" customWidth="1"/>
    <col min="6363" max="6363" width="16.7109375" customWidth="1"/>
    <col min="6364" max="6364" width="17" customWidth="1"/>
    <col min="6365" max="6365" width="10.42578125" bestFit="1" customWidth="1"/>
    <col min="6409" max="6409" width="3.85546875" customWidth="1"/>
    <col min="6410" max="6410" width="15.28515625" bestFit="1" customWidth="1"/>
    <col min="6411" max="6411" width="12.28515625" customWidth="1"/>
    <col min="6412" max="6412" width="16.28515625" bestFit="1" customWidth="1"/>
    <col min="6413" max="6413" width="6.42578125" bestFit="1" customWidth="1"/>
    <col min="6414" max="6414" width="9.28515625" bestFit="1" customWidth="1"/>
    <col min="6415" max="6415" width="7.5703125" bestFit="1" customWidth="1"/>
    <col min="6416" max="6416" width="13.28515625" bestFit="1" customWidth="1"/>
    <col min="6417" max="6417" width="9.28515625" bestFit="1" customWidth="1"/>
    <col min="6418" max="6418" width="11.5703125" bestFit="1" customWidth="1"/>
    <col min="6419" max="6419" width="13.28515625" bestFit="1" customWidth="1"/>
    <col min="6420" max="6420" width="7.140625" bestFit="1" customWidth="1"/>
    <col min="6421" max="6421" width="12" bestFit="1" customWidth="1"/>
    <col min="6422" max="6422" width="13.28515625" bestFit="1" customWidth="1"/>
    <col min="6423" max="6423" width="7" bestFit="1" customWidth="1"/>
    <col min="6424" max="6424" width="12.7109375" bestFit="1" customWidth="1"/>
    <col min="6425" max="6425" width="11.5703125" bestFit="1" customWidth="1"/>
    <col min="6426" max="6426" width="10.5703125" bestFit="1" customWidth="1"/>
    <col min="6427" max="6428" width="15.7109375" bestFit="1" customWidth="1"/>
    <col min="6429" max="6429" width="11.5703125" bestFit="1" customWidth="1"/>
    <col min="6430" max="6430" width="7.7109375" bestFit="1" customWidth="1"/>
    <col min="6431" max="6431" width="15.140625" bestFit="1" customWidth="1"/>
    <col min="6432" max="6432" width="11.5703125" bestFit="1" customWidth="1"/>
    <col min="6433" max="6433" width="13.28515625" bestFit="1" customWidth="1"/>
    <col min="6434" max="6434" width="10.42578125" bestFit="1" customWidth="1"/>
    <col min="6435" max="6435" width="13.28515625" bestFit="1" customWidth="1"/>
    <col min="6436" max="6436" width="12.140625" bestFit="1" customWidth="1"/>
    <col min="6437" max="6437" width="14.42578125" bestFit="1" customWidth="1"/>
    <col min="6438" max="6438" width="13.28515625" bestFit="1" customWidth="1"/>
    <col min="6439" max="6439" width="11.5703125" bestFit="1" customWidth="1"/>
    <col min="6440" max="6440" width="7.7109375" bestFit="1" customWidth="1"/>
    <col min="6441" max="6442" width="14.42578125" bestFit="1" customWidth="1"/>
    <col min="6443" max="6443" width="11.5703125" bestFit="1" customWidth="1"/>
    <col min="6444" max="6444" width="7.7109375" bestFit="1" customWidth="1"/>
    <col min="6445" max="6445" width="13.5703125" customWidth="1"/>
    <col min="6446" max="6446" width="15.28515625" customWidth="1"/>
    <col min="6447" max="6447" width="14.5703125" customWidth="1"/>
    <col min="6448" max="6448" width="13.28515625" bestFit="1" customWidth="1"/>
    <col min="6449" max="6449" width="7.7109375" bestFit="1" customWidth="1"/>
    <col min="6450" max="6450" width="12.7109375" bestFit="1" customWidth="1"/>
    <col min="6451" max="6451" width="11.7109375" bestFit="1" customWidth="1"/>
    <col min="6452" max="6452" width="11.5703125" bestFit="1" customWidth="1"/>
    <col min="6453" max="6453" width="5.28515625" bestFit="1" customWidth="1"/>
    <col min="6454" max="6454" width="13.28515625" bestFit="1" customWidth="1"/>
    <col min="6455" max="6455" width="13.5703125" bestFit="1" customWidth="1"/>
    <col min="6456" max="6456" width="10.5703125" bestFit="1" customWidth="1"/>
    <col min="6457" max="6457" width="13.28515625" bestFit="1" customWidth="1"/>
    <col min="6458" max="6458" width="11.5703125" bestFit="1" customWidth="1"/>
    <col min="6459" max="6459" width="10.5703125" bestFit="1" customWidth="1"/>
    <col min="6460" max="6460" width="16.140625" bestFit="1" customWidth="1"/>
    <col min="6461" max="6462" width="11.28515625" bestFit="1" customWidth="1"/>
    <col min="6463" max="6463" width="13.28515625" bestFit="1" customWidth="1"/>
    <col min="6464" max="6464" width="7.7109375" bestFit="1" customWidth="1"/>
    <col min="6465" max="6468" width="9.140625" hidden="1" customWidth="1"/>
    <col min="6469" max="6469" width="10.42578125" bestFit="1" customWidth="1"/>
    <col min="6470" max="6470" width="10.5703125" bestFit="1" customWidth="1"/>
    <col min="6471" max="6471" width="10.42578125" bestFit="1" customWidth="1"/>
    <col min="6472" max="6472" width="10.5703125" bestFit="1" customWidth="1"/>
    <col min="6473" max="6473" width="9.5703125" bestFit="1" customWidth="1"/>
    <col min="6474" max="6474" width="11.5703125" bestFit="1" customWidth="1"/>
    <col min="6475" max="6475" width="10.42578125" bestFit="1" customWidth="1"/>
    <col min="6476" max="6476" width="10.85546875" customWidth="1"/>
    <col min="6477" max="6478" width="9.85546875" bestFit="1" customWidth="1"/>
    <col min="6479" max="6479" width="13.5703125" bestFit="1" customWidth="1"/>
    <col min="6480" max="6480" width="7.7109375" bestFit="1" customWidth="1"/>
    <col min="6481" max="6481" width="13.28515625" bestFit="1" customWidth="1"/>
    <col min="6482" max="6482" width="11.5703125" bestFit="1" customWidth="1"/>
    <col min="6483" max="6483" width="10.42578125" bestFit="1" customWidth="1"/>
    <col min="6484" max="6484" width="7.7109375" bestFit="1" customWidth="1"/>
    <col min="6485" max="6485" width="11.5703125" bestFit="1" customWidth="1"/>
    <col min="6486" max="6486" width="10.85546875" bestFit="1" customWidth="1"/>
    <col min="6487" max="6487" width="13.28515625" bestFit="1" customWidth="1"/>
    <col min="6488" max="6488" width="10.85546875" bestFit="1" customWidth="1"/>
    <col min="6489" max="6490" width="7.5703125" bestFit="1" customWidth="1"/>
    <col min="6491" max="6492" width="10.42578125" bestFit="1" customWidth="1"/>
    <col min="6493" max="6493" width="11.5703125" bestFit="1" customWidth="1"/>
    <col min="6494" max="6494" width="5.28515625" bestFit="1" customWidth="1"/>
    <col min="6495" max="6495" width="10.28515625" bestFit="1" customWidth="1"/>
    <col min="6496" max="6496" width="10.42578125" bestFit="1" customWidth="1"/>
    <col min="6497" max="6497" width="11.5703125" bestFit="1" customWidth="1"/>
    <col min="6498" max="6498" width="5.28515625" bestFit="1" customWidth="1"/>
    <col min="6499" max="6501" width="11.5703125" bestFit="1" customWidth="1"/>
    <col min="6502" max="6502" width="5.28515625" bestFit="1" customWidth="1"/>
    <col min="6503" max="6504" width="10.42578125" bestFit="1" customWidth="1"/>
    <col min="6505" max="6505" width="11.5703125" bestFit="1" customWidth="1"/>
    <col min="6506" max="6506" width="5.28515625" bestFit="1" customWidth="1"/>
    <col min="6507" max="6507" width="14.28515625" bestFit="1" customWidth="1"/>
    <col min="6508" max="6508" width="13" bestFit="1" customWidth="1"/>
    <col min="6509" max="6509" width="11.5703125" bestFit="1" customWidth="1"/>
    <col min="6510" max="6510" width="8.85546875" bestFit="1" customWidth="1"/>
    <col min="6511" max="6511" width="14.42578125" bestFit="1" customWidth="1"/>
    <col min="6512" max="6512" width="10.42578125" bestFit="1" customWidth="1"/>
    <col min="6513" max="6513" width="12.28515625" bestFit="1" customWidth="1"/>
    <col min="6514" max="6514" width="13.85546875" bestFit="1" customWidth="1"/>
    <col min="6515" max="6515" width="11.28515625" customWidth="1"/>
    <col min="6516" max="6516" width="11.5703125" customWidth="1"/>
    <col min="6517" max="6517" width="13.42578125" bestFit="1" customWidth="1"/>
    <col min="6518" max="6518" width="10.42578125" customWidth="1"/>
    <col min="6519" max="6519" width="13.85546875" bestFit="1" customWidth="1"/>
    <col min="6520" max="6520" width="15.42578125" bestFit="1" customWidth="1"/>
    <col min="6521" max="6521" width="12.28515625" bestFit="1" customWidth="1"/>
    <col min="6522" max="6522" width="12.7109375" customWidth="1"/>
    <col min="6523" max="6523" width="10.7109375" bestFit="1" customWidth="1"/>
    <col min="6524" max="6524" width="9.85546875" customWidth="1"/>
    <col min="6525" max="6526" width="10.140625" bestFit="1" customWidth="1"/>
    <col min="6527" max="6527" width="7.5703125" bestFit="1" customWidth="1"/>
    <col min="6528" max="6528" width="9.42578125" bestFit="1" customWidth="1"/>
    <col min="6529" max="6529" width="14.5703125" bestFit="1" customWidth="1"/>
    <col min="6530" max="6530" width="14.85546875" customWidth="1"/>
    <col min="6531" max="6531" width="15.140625" bestFit="1" customWidth="1"/>
    <col min="6532" max="6532" width="12.140625" bestFit="1" customWidth="1"/>
    <col min="6533" max="6533" width="14.85546875" bestFit="1" customWidth="1"/>
    <col min="6534" max="6534" width="12.28515625" bestFit="1" customWidth="1"/>
    <col min="6535" max="6543" width="9.140625" hidden="1" customWidth="1"/>
    <col min="6544" max="6544" width="5.28515625" bestFit="1" customWidth="1"/>
    <col min="6545" max="6550" width="11.5703125" bestFit="1" customWidth="1"/>
    <col min="6551" max="6551" width="11.28515625" bestFit="1" customWidth="1"/>
    <col min="6552" max="6552" width="10.140625" bestFit="1" customWidth="1"/>
    <col min="6553" max="6553" width="11.5703125" bestFit="1" customWidth="1"/>
    <col min="6554" max="6554" width="16.140625" customWidth="1"/>
    <col min="6555" max="6555" width="13.42578125" customWidth="1"/>
    <col min="6556" max="6556" width="10.140625" bestFit="1" customWidth="1"/>
    <col min="6557" max="6557" width="12.85546875" bestFit="1" customWidth="1"/>
    <col min="6558" max="6558" width="12.28515625" bestFit="1" customWidth="1"/>
    <col min="6559" max="6559" width="11.28515625" bestFit="1" customWidth="1"/>
    <col min="6560" max="6560" width="11.5703125" bestFit="1" customWidth="1"/>
    <col min="6561" max="6561" width="10.85546875" bestFit="1" customWidth="1"/>
    <col min="6562" max="6562" width="11.28515625" bestFit="1" customWidth="1"/>
    <col min="6563" max="6563" width="10.140625" bestFit="1" customWidth="1"/>
    <col min="6564" max="6564" width="13.28515625" bestFit="1" customWidth="1"/>
    <col min="6565" max="6566" width="12.7109375" bestFit="1" customWidth="1"/>
    <col min="6567" max="6567" width="11" bestFit="1" customWidth="1"/>
    <col min="6568" max="6568" width="11.28515625" bestFit="1" customWidth="1"/>
    <col min="6569" max="6569" width="11.5703125" bestFit="1" customWidth="1"/>
    <col min="6570" max="6570" width="12.28515625" bestFit="1" customWidth="1"/>
    <col min="6571" max="6571" width="15.140625" bestFit="1" customWidth="1"/>
    <col min="6572" max="6572" width="14.42578125" bestFit="1" customWidth="1"/>
    <col min="6573" max="6573" width="12.28515625" bestFit="1" customWidth="1"/>
    <col min="6574" max="6574" width="15.140625" bestFit="1" customWidth="1"/>
    <col min="6575" max="6575" width="14.42578125" bestFit="1" customWidth="1"/>
    <col min="6576" max="6576" width="12.28515625" bestFit="1" customWidth="1"/>
    <col min="6577" max="6577" width="14.42578125" bestFit="1" customWidth="1"/>
    <col min="6578" max="6578" width="11.28515625" bestFit="1" customWidth="1"/>
    <col min="6579" max="6579" width="12.28515625" bestFit="1" customWidth="1"/>
    <col min="6580" max="6580" width="13" bestFit="1" customWidth="1"/>
    <col min="6581" max="6581" width="15.140625" bestFit="1" customWidth="1"/>
    <col min="6582" max="6582" width="12.28515625" bestFit="1" customWidth="1"/>
    <col min="6583" max="6583" width="13.85546875" bestFit="1" customWidth="1"/>
    <col min="6584" max="6584" width="11.28515625" bestFit="1" customWidth="1"/>
    <col min="6585" max="6585" width="12.28515625" bestFit="1" customWidth="1"/>
    <col min="6586" max="6586" width="13.85546875" bestFit="1" customWidth="1"/>
    <col min="6587" max="6588" width="15.140625" bestFit="1" customWidth="1"/>
    <col min="6589" max="6589" width="12.28515625" bestFit="1" customWidth="1"/>
    <col min="6590" max="6590" width="5.7109375" bestFit="1" customWidth="1"/>
    <col min="6591" max="6591" width="8.5703125" bestFit="1" customWidth="1"/>
    <col min="6592" max="6592" width="5.5703125" bestFit="1" customWidth="1"/>
    <col min="6593" max="6593" width="14.42578125" bestFit="1" customWidth="1"/>
    <col min="6594" max="6594" width="11.28515625" bestFit="1" customWidth="1"/>
    <col min="6595" max="6596" width="12.28515625" bestFit="1" customWidth="1"/>
    <col min="6597" max="6597" width="11.28515625" bestFit="1" customWidth="1"/>
    <col min="6598" max="6598" width="13.85546875" bestFit="1" customWidth="1"/>
    <col min="6599" max="6599" width="12" bestFit="1" customWidth="1"/>
    <col min="6600" max="6600" width="13.85546875" bestFit="1" customWidth="1"/>
    <col min="6601" max="6602" width="14.42578125" customWidth="1"/>
    <col min="6603" max="6603" width="10.140625" bestFit="1" customWidth="1"/>
    <col min="6604" max="6604" width="12.28515625" bestFit="1" customWidth="1"/>
    <col min="6605" max="6605" width="7.42578125" bestFit="1" customWidth="1"/>
    <col min="6606" max="6606" width="8.5703125" bestFit="1" customWidth="1"/>
    <col min="6607" max="6607" width="11.5703125" bestFit="1" customWidth="1"/>
    <col min="6608" max="6608" width="13.28515625" bestFit="1" customWidth="1"/>
    <col min="6609" max="6609" width="13.28515625" customWidth="1"/>
    <col min="6610" max="6610" width="13.140625" customWidth="1"/>
    <col min="6611" max="6611" width="12.7109375" bestFit="1" customWidth="1"/>
    <col min="6612" max="6612" width="13.28515625" bestFit="1" customWidth="1"/>
    <col min="6613" max="6615" width="13.28515625" customWidth="1"/>
    <col min="6616" max="6616" width="12.140625" bestFit="1" customWidth="1"/>
    <col min="6617" max="6617" width="12.7109375" bestFit="1" customWidth="1"/>
    <col min="6618" max="6618" width="11" customWidth="1"/>
    <col min="6619" max="6619" width="16.7109375" customWidth="1"/>
    <col min="6620" max="6620" width="17" customWidth="1"/>
    <col min="6621" max="6621" width="10.42578125" bestFit="1" customWidth="1"/>
    <col min="6665" max="6665" width="3.85546875" customWidth="1"/>
    <col min="6666" max="6666" width="15.28515625" bestFit="1" customWidth="1"/>
    <col min="6667" max="6667" width="12.28515625" customWidth="1"/>
    <col min="6668" max="6668" width="16.28515625" bestFit="1" customWidth="1"/>
    <col min="6669" max="6669" width="6.42578125" bestFit="1" customWidth="1"/>
    <col min="6670" max="6670" width="9.28515625" bestFit="1" customWidth="1"/>
    <col min="6671" max="6671" width="7.5703125" bestFit="1" customWidth="1"/>
    <col min="6672" max="6672" width="13.28515625" bestFit="1" customWidth="1"/>
    <col min="6673" max="6673" width="9.28515625" bestFit="1" customWidth="1"/>
    <col min="6674" max="6674" width="11.5703125" bestFit="1" customWidth="1"/>
    <col min="6675" max="6675" width="13.28515625" bestFit="1" customWidth="1"/>
    <col min="6676" max="6676" width="7.140625" bestFit="1" customWidth="1"/>
    <col min="6677" max="6677" width="12" bestFit="1" customWidth="1"/>
    <col min="6678" max="6678" width="13.28515625" bestFit="1" customWidth="1"/>
    <col min="6679" max="6679" width="7" bestFit="1" customWidth="1"/>
    <col min="6680" max="6680" width="12.7109375" bestFit="1" customWidth="1"/>
    <col min="6681" max="6681" width="11.5703125" bestFit="1" customWidth="1"/>
    <col min="6682" max="6682" width="10.5703125" bestFit="1" customWidth="1"/>
    <col min="6683" max="6684" width="15.7109375" bestFit="1" customWidth="1"/>
    <col min="6685" max="6685" width="11.5703125" bestFit="1" customWidth="1"/>
    <col min="6686" max="6686" width="7.7109375" bestFit="1" customWidth="1"/>
    <col min="6687" max="6687" width="15.140625" bestFit="1" customWidth="1"/>
    <col min="6688" max="6688" width="11.5703125" bestFit="1" customWidth="1"/>
    <col min="6689" max="6689" width="13.28515625" bestFit="1" customWidth="1"/>
    <col min="6690" max="6690" width="10.42578125" bestFit="1" customWidth="1"/>
    <col min="6691" max="6691" width="13.28515625" bestFit="1" customWidth="1"/>
    <col min="6692" max="6692" width="12.140625" bestFit="1" customWidth="1"/>
    <col min="6693" max="6693" width="14.42578125" bestFit="1" customWidth="1"/>
    <col min="6694" max="6694" width="13.28515625" bestFit="1" customWidth="1"/>
    <col min="6695" max="6695" width="11.5703125" bestFit="1" customWidth="1"/>
    <col min="6696" max="6696" width="7.7109375" bestFit="1" customWidth="1"/>
    <col min="6697" max="6698" width="14.42578125" bestFit="1" customWidth="1"/>
    <col min="6699" max="6699" width="11.5703125" bestFit="1" customWidth="1"/>
    <col min="6700" max="6700" width="7.7109375" bestFit="1" customWidth="1"/>
    <col min="6701" max="6701" width="13.5703125" customWidth="1"/>
    <col min="6702" max="6702" width="15.28515625" customWidth="1"/>
    <col min="6703" max="6703" width="14.5703125" customWidth="1"/>
    <col min="6704" max="6704" width="13.28515625" bestFit="1" customWidth="1"/>
    <col min="6705" max="6705" width="7.7109375" bestFit="1" customWidth="1"/>
    <col min="6706" max="6706" width="12.7109375" bestFit="1" customWidth="1"/>
    <col min="6707" max="6707" width="11.7109375" bestFit="1" customWidth="1"/>
    <col min="6708" max="6708" width="11.5703125" bestFit="1" customWidth="1"/>
    <col min="6709" max="6709" width="5.28515625" bestFit="1" customWidth="1"/>
    <col min="6710" max="6710" width="13.28515625" bestFit="1" customWidth="1"/>
    <col min="6711" max="6711" width="13.5703125" bestFit="1" customWidth="1"/>
    <col min="6712" max="6712" width="10.5703125" bestFit="1" customWidth="1"/>
    <col min="6713" max="6713" width="13.28515625" bestFit="1" customWidth="1"/>
    <col min="6714" max="6714" width="11.5703125" bestFit="1" customWidth="1"/>
    <col min="6715" max="6715" width="10.5703125" bestFit="1" customWidth="1"/>
    <col min="6716" max="6716" width="16.140625" bestFit="1" customWidth="1"/>
    <col min="6717" max="6718" width="11.28515625" bestFit="1" customWidth="1"/>
    <col min="6719" max="6719" width="13.28515625" bestFit="1" customWidth="1"/>
    <col min="6720" max="6720" width="7.7109375" bestFit="1" customWidth="1"/>
    <col min="6721" max="6724" width="9.140625" hidden="1" customWidth="1"/>
    <col min="6725" max="6725" width="10.42578125" bestFit="1" customWidth="1"/>
    <col min="6726" max="6726" width="10.5703125" bestFit="1" customWidth="1"/>
    <col min="6727" max="6727" width="10.42578125" bestFit="1" customWidth="1"/>
    <col min="6728" max="6728" width="10.5703125" bestFit="1" customWidth="1"/>
    <col min="6729" max="6729" width="9.5703125" bestFit="1" customWidth="1"/>
    <col min="6730" max="6730" width="11.5703125" bestFit="1" customWidth="1"/>
    <col min="6731" max="6731" width="10.42578125" bestFit="1" customWidth="1"/>
    <col min="6732" max="6732" width="10.85546875" customWidth="1"/>
    <col min="6733" max="6734" width="9.85546875" bestFit="1" customWidth="1"/>
    <col min="6735" max="6735" width="13.5703125" bestFit="1" customWidth="1"/>
    <col min="6736" max="6736" width="7.7109375" bestFit="1" customWidth="1"/>
    <col min="6737" max="6737" width="13.28515625" bestFit="1" customWidth="1"/>
    <col min="6738" max="6738" width="11.5703125" bestFit="1" customWidth="1"/>
    <col min="6739" max="6739" width="10.42578125" bestFit="1" customWidth="1"/>
    <col min="6740" max="6740" width="7.7109375" bestFit="1" customWidth="1"/>
    <col min="6741" max="6741" width="11.5703125" bestFit="1" customWidth="1"/>
    <col min="6742" max="6742" width="10.85546875" bestFit="1" customWidth="1"/>
    <col min="6743" max="6743" width="13.28515625" bestFit="1" customWidth="1"/>
    <col min="6744" max="6744" width="10.85546875" bestFit="1" customWidth="1"/>
    <col min="6745" max="6746" width="7.5703125" bestFit="1" customWidth="1"/>
    <col min="6747" max="6748" width="10.42578125" bestFit="1" customWidth="1"/>
    <col min="6749" max="6749" width="11.5703125" bestFit="1" customWidth="1"/>
    <col min="6750" max="6750" width="5.28515625" bestFit="1" customWidth="1"/>
    <col min="6751" max="6751" width="10.28515625" bestFit="1" customWidth="1"/>
    <col min="6752" max="6752" width="10.42578125" bestFit="1" customWidth="1"/>
    <col min="6753" max="6753" width="11.5703125" bestFit="1" customWidth="1"/>
    <col min="6754" max="6754" width="5.28515625" bestFit="1" customWidth="1"/>
    <col min="6755" max="6757" width="11.5703125" bestFit="1" customWidth="1"/>
    <col min="6758" max="6758" width="5.28515625" bestFit="1" customWidth="1"/>
    <col min="6759" max="6760" width="10.42578125" bestFit="1" customWidth="1"/>
    <col min="6761" max="6761" width="11.5703125" bestFit="1" customWidth="1"/>
    <col min="6762" max="6762" width="5.28515625" bestFit="1" customWidth="1"/>
    <col min="6763" max="6763" width="14.28515625" bestFit="1" customWidth="1"/>
    <col min="6764" max="6764" width="13" bestFit="1" customWidth="1"/>
    <col min="6765" max="6765" width="11.5703125" bestFit="1" customWidth="1"/>
    <col min="6766" max="6766" width="8.85546875" bestFit="1" customWidth="1"/>
    <col min="6767" max="6767" width="14.42578125" bestFit="1" customWidth="1"/>
    <col min="6768" max="6768" width="10.42578125" bestFit="1" customWidth="1"/>
    <col min="6769" max="6769" width="12.28515625" bestFit="1" customWidth="1"/>
    <col min="6770" max="6770" width="13.85546875" bestFit="1" customWidth="1"/>
    <col min="6771" max="6771" width="11.28515625" customWidth="1"/>
    <col min="6772" max="6772" width="11.5703125" customWidth="1"/>
    <col min="6773" max="6773" width="13.42578125" bestFit="1" customWidth="1"/>
    <col min="6774" max="6774" width="10.42578125" customWidth="1"/>
    <col min="6775" max="6775" width="13.85546875" bestFit="1" customWidth="1"/>
    <col min="6776" max="6776" width="15.42578125" bestFit="1" customWidth="1"/>
    <col min="6777" max="6777" width="12.28515625" bestFit="1" customWidth="1"/>
    <col min="6778" max="6778" width="12.7109375" customWidth="1"/>
    <col min="6779" max="6779" width="10.7109375" bestFit="1" customWidth="1"/>
    <col min="6780" max="6780" width="9.85546875" customWidth="1"/>
    <col min="6781" max="6782" width="10.140625" bestFit="1" customWidth="1"/>
    <col min="6783" max="6783" width="7.5703125" bestFit="1" customWidth="1"/>
    <col min="6784" max="6784" width="9.42578125" bestFit="1" customWidth="1"/>
    <col min="6785" max="6785" width="14.5703125" bestFit="1" customWidth="1"/>
    <col min="6786" max="6786" width="14.85546875" customWidth="1"/>
    <col min="6787" max="6787" width="15.140625" bestFit="1" customWidth="1"/>
    <col min="6788" max="6788" width="12.140625" bestFit="1" customWidth="1"/>
    <col min="6789" max="6789" width="14.85546875" bestFit="1" customWidth="1"/>
    <col min="6790" max="6790" width="12.28515625" bestFit="1" customWidth="1"/>
    <col min="6791" max="6799" width="9.140625" hidden="1" customWidth="1"/>
    <col min="6800" max="6800" width="5.28515625" bestFit="1" customWidth="1"/>
    <col min="6801" max="6806" width="11.5703125" bestFit="1" customWidth="1"/>
    <col min="6807" max="6807" width="11.28515625" bestFit="1" customWidth="1"/>
    <col min="6808" max="6808" width="10.140625" bestFit="1" customWidth="1"/>
    <col min="6809" max="6809" width="11.5703125" bestFit="1" customWidth="1"/>
    <col min="6810" max="6810" width="16.140625" customWidth="1"/>
    <col min="6811" max="6811" width="13.42578125" customWidth="1"/>
    <col min="6812" max="6812" width="10.140625" bestFit="1" customWidth="1"/>
    <col min="6813" max="6813" width="12.85546875" bestFit="1" customWidth="1"/>
    <col min="6814" max="6814" width="12.28515625" bestFit="1" customWidth="1"/>
    <col min="6815" max="6815" width="11.28515625" bestFit="1" customWidth="1"/>
    <col min="6816" max="6816" width="11.5703125" bestFit="1" customWidth="1"/>
    <col min="6817" max="6817" width="10.85546875" bestFit="1" customWidth="1"/>
    <col min="6818" max="6818" width="11.28515625" bestFit="1" customWidth="1"/>
    <col min="6819" max="6819" width="10.140625" bestFit="1" customWidth="1"/>
    <col min="6820" max="6820" width="13.28515625" bestFit="1" customWidth="1"/>
    <col min="6821" max="6822" width="12.7109375" bestFit="1" customWidth="1"/>
    <col min="6823" max="6823" width="11" bestFit="1" customWidth="1"/>
    <col min="6824" max="6824" width="11.28515625" bestFit="1" customWidth="1"/>
    <col min="6825" max="6825" width="11.5703125" bestFit="1" customWidth="1"/>
    <col min="6826" max="6826" width="12.28515625" bestFit="1" customWidth="1"/>
    <col min="6827" max="6827" width="15.140625" bestFit="1" customWidth="1"/>
    <col min="6828" max="6828" width="14.42578125" bestFit="1" customWidth="1"/>
    <col min="6829" max="6829" width="12.28515625" bestFit="1" customWidth="1"/>
    <col min="6830" max="6830" width="15.140625" bestFit="1" customWidth="1"/>
    <col min="6831" max="6831" width="14.42578125" bestFit="1" customWidth="1"/>
    <col min="6832" max="6832" width="12.28515625" bestFit="1" customWidth="1"/>
    <col min="6833" max="6833" width="14.42578125" bestFit="1" customWidth="1"/>
    <col min="6834" max="6834" width="11.28515625" bestFit="1" customWidth="1"/>
    <col min="6835" max="6835" width="12.28515625" bestFit="1" customWidth="1"/>
    <col min="6836" max="6836" width="13" bestFit="1" customWidth="1"/>
    <col min="6837" max="6837" width="15.140625" bestFit="1" customWidth="1"/>
    <col min="6838" max="6838" width="12.28515625" bestFit="1" customWidth="1"/>
    <col min="6839" max="6839" width="13.85546875" bestFit="1" customWidth="1"/>
    <col min="6840" max="6840" width="11.28515625" bestFit="1" customWidth="1"/>
    <col min="6841" max="6841" width="12.28515625" bestFit="1" customWidth="1"/>
    <col min="6842" max="6842" width="13.85546875" bestFit="1" customWidth="1"/>
    <col min="6843" max="6844" width="15.140625" bestFit="1" customWidth="1"/>
    <col min="6845" max="6845" width="12.28515625" bestFit="1" customWidth="1"/>
    <col min="6846" max="6846" width="5.7109375" bestFit="1" customWidth="1"/>
    <col min="6847" max="6847" width="8.5703125" bestFit="1" customWidth="1"/>
    <col min="6848" max="6848" width="5.5703125" bestFit="1" customWidth="1"/>
    <col min="6849" max="6849" width="14.42578125" bestFit="1" customWidth="1"/>
    <col min="6850" max="6850" width="11.28515625" bestFit="1" customWidth="1"/>
    <col min="6851" max="6852" width="12.28515625" bestFit="1" customWidth="1"/>
    <col min="6853" max="6853" width="11.28515625" bestFit="1" customWidth="1"/>
    <col min="6854" max="6854" width="13.85546875" bestFit="1" customWidth="1"/>
    <col min="6855" max="6855" width="12" bestFit="1" customWidth="1"/>
    <col min="6856" max="6856" width="13.85546875" bestFit="1" customWidth="1"/>
    <col min="6857" max="6858" width="14.42578125" customWidth="1"/>
    <col min="6859" max="6859" width="10.140625" bestFit="1" customWidth="1"/>
    <col min="6860" max="6860" width="12.28515625" bestFit="1" customWidth="1"/>
    <col min="6861" max="6861" width="7.42578125" bestFit="1" customWidth="1"/>
    <col min="6862" max="6862" width="8.5703125" bestFit="1" customWidth="1"/>
    <col min="6863" max="6863" width="11.5703125" bestFit="1" customWidth="1"/>
    <col min="6864" max="6864" width="13.28515625" bestFit="1" customWidth="1"/>
    <col min="6865" max="6865" width="13.28515625" customWidth="1"/>
    <col min="6866" max="6866" width="13.140625" customWidth="1"/>
    <col min="6867" max="6867" width="12.7109375" bestFit="1" customWidth="1"/>
    <col min="6868" max="6868" width="13.28515625" bestFit="1" customWidth="1"/>
    <col min="6869" max="6871" width="13.28515625" customWidth="1"/>
    <col min="6872" max="6872" width="12.140625" bestFit="1" customWidth="1"/>
    <col min="6873" max="6873" width="12.7109375" bestFit="1" customWidth="1"/>
    <col min="6874" max="6874" width="11" customWidth="1"/>
    <col min="6875" max="6875" width="16.7109375" customWidth="1"/>
    <col min="6876" max="6876" width="17" customWidth="1"/>
    <col min="6877" max="6877" width="10.42578125" bestFit="1" customWidth="1"/>
    <col min="6921" max="6921" width="3.85546875" customWidth="1"/>
    <col min="6922" max="6922" width="15.28515625" bestFit="1" customWidth="1"/>
    <col min="6923" max="6923" width="12.28515625" customWidth="1"/>
    <col min="6924" max="6924" width="16.28515625" bestFit="1" customWidth="1"/>
    <col min="6925" max="6925" width="6.42578125" bestFit="1" customWidth="1"/>
    <col min="6926" max="6926" width="9.28515625" bestFit="1" customWidth="1"/>
    <col min="6927" max="6927" width="7.5703125" bestFit="1" customWidth="1"/>
    <col min="6928" max="6928" width="13.28515625" bestFit="1" customWidth="1"/>
    <col min="6929" max="6929" width="9.28515625" bestFit="1" customWidth="1"/>
    <col min="6930" max="6930" width="11.5703125" bestFit="1" customWidth="1"/>
    <col min="6931" max="6931" width="13.28515625" bestFit="1" customWidth="1"/>
    <col min="6932" max="6932" width="7.140625" bestFit="1" customWidth="1"/>
    <col min="6933" max="6933" width="12" bestFit="1" customWidth="1"/>
    <col min="6934" max="6934" width="13.28515625" bestFit="1" customWidth="1"/>
    <col min="6935" max="6935" width="7" bestFit="1" customWidth="1"/>
    <col min="6936" max="6936" width="12.7109375" bestFit="1" customWidth="1"/>
    <col min="6937" max="6937" width="11.5703125" bestFit="1" customWidth="1"/>
    <col min="6938" max="6938" width="10.5703125" bestFit="1" customWidth="1"/>
    <col min="6939" max="6940" width="15.7109375" bestFit="1" customWidth="1"/>
    <col min="6941" max="6941" width="11.5703125" bestFit="1" customWidth="1"/>
    <col min="6942" max="6942" width="7.7109375" bestFit="1" customWidth="1"/>
    <col min="6943" max="6943" width="15.140625" bestFit="1" customWidth="1"/>
    <col min="6944" max="6944" width="11.5703125" bestFit="1" customWidth="1"/>
    <col min="6945" max="6945" width="13.28515625" bestFit="1" customWidth="1"/>
    <col min="6946" max="6946" width="10.42578125" bestFit="1" customWidth="1"/>
    <col min="6947" max="6947" width="13.28515625" bestFit="1" customWidth="1"/>
    <col min="6948" max="6948" width="12.140625" bestFit="1" customWidth="1"/>
    <col min="6949" max="6949" width="14.42578125" bestFit="1" customWidth="1"/>
    <col min="6950" max="6950" width="13.28515625" bestFit="1" customWidth="1"/>
    <col min="6951" max="6951" width="11.5703125" bestFit="1" customWidth="1"/>
    <col min="6952" max="6952" width="7.7109375" bestFit="1" customWidth="1"/>
    <col min="6953" max="6954" width="14.42578125" bestFit="1" customWidth="1"/>
    <col min="6955" max="6955" width="11.5703125" bestFit="1" customWidth="1"/>
    <col min="6956" max="6956" width="7.7109375" bestFit="1" customWidth="1"/>
    <col min="6957" max="6957" width="13.5703125" customWidth="1"/>
    <col min="6958" max="6958" width="15.28515625" customWidth="1"/>
    <col min="6959" max="6959" width="14.5703125" customWidth="1"/>
    <col min="6960" max="6960" width="13.28515625" bestFit="1" customWidth="1"/>
    <col min="6961" max="6961" width="7.7109375" bestFit="1" customWidth="1"/>
    <col min="6962" max="6962" width="12.7109375" bestFit="1" customWidth="1"/>
    <col min="6963" max="6963" width="11.7109375" bestFit="1" customWidth="1"/>
    <col min="6964" max="6964" width="11.5703125" bestFit="1" customWidth="1"/>
    <col min="6965" max="6965" width="5.28515625" bestFit="1" customWidth="1"/>
    <col min="6966" max="6966" width="13.28515625" bestFit="1" customWidth="1"/>
    <col min="6967" max="6967" width="13.5703125" bestFit="1" customWidth="1"/>
    <col min="6968" max="6968" width="10.5703125" bestFit="1" customWidth="1"/>
    <col min="6969" max="6969" width="13.28515625" bestFit="1" customWidth="1"/>
    <col min="6970" max="6970" width="11.5703125" bestFit="1" customWidth="1"/>
    <col min="6971" max="6971" width="10.5703125" bestFit="1" customWidth="1"/>
    <col min="6972" max="6972" width="16.140625" bestFit="1" customWidth="1"/>
    <col min="6973" max="6974" width="11.28515625" bestFit="1" customWidth="1"/>
    <col min="6975" max="6975" width="13.28515625" bestFit="1" customWidth="1"/>
    <col min="6976" max="6976" width="7.7109375" bestFit="1" customWidth="1"/>
    <col min="6977" max="6980" width="9.140625" hidden="1" customWidth="1"/>
    <col min="6981" max="6981" width="10.42578125" bestFit="1" customWidth="1"/>
    <col min="6982" max="6982" width="10.5703125" bestFit="1" customWidth="1"/>
    <col min="6983" max="6983" width="10.42578125" bestFit="1" customWidth="1"/>
    <col min="6984" max="6984" width="10.5703125" bestFit="1" customWidth="1"/>
    <col min="6985" max="6985" width="9.5703125" bestFit="1" customWidth="1"/>
    <col min="6986" max="6986" width="11.5703125" bestFit="1" customWidth="1"/>
    <col min="6987" max="6987" width="10.42578125" bestFit="1" customWidth="1"/>
    <col min="6988" max="6988" width="10.85546875" customWidth="1"/>
    <col min="6989" max="6990" width="9.85546875" bestFit="1" customWidth="1"/>
    <col min="6991" max="6991" width="13.5703125" bestFit="1" customWidth="1"/>
    <col min="6992" max="6992" width="7.7109375" bestFit="1" customWidth="1"/>
    <col min="6993" max="6993" width="13.28515625" bestFit="1" customWidth="1"/>
    <col min="6994" max="6994" width="11.5703125" bestFit="1" customWidth="1"/>
    <col min="6995" max="6995" width="10.42578125" bestFit="1" customWidth="1"/>
    <col min="6996" max="6996" width="7.7109375" bestFit="1" customWidth="1"/>
    <col min="6997" max="6997" width="11.5703125" bestFit="1" customWidth="1"/>
    <col min="6998" max="6998" width="10.85546875" bestFit="1" customWidth="1"/>
    <col min="6999" max="6999" width="13.28515625" bestFit="1" customWidth="1"/>
    <col min="7000" max="7000" width="10.85546875" bestFit="1" customWidth="1"/>
    <col min="7001" max="7002" width="7.5703125" bestFit="1" customWidth="1"/>
    <col min="7003" max="7004" width="10.42578125" bestFit="1" customWidth="1"/>
    <col min="7005" max="7005" width="11.5703125" bestFit="1" customWidth="1"/>
    <col min="7006" max="7006" width="5.28515625" bestFit="1" customWidth="1"/>
    <col min="7007" max="7007" width="10.28515625" bestFit="1" customWidth="1"/>
    <col min="7008" max="7008" width="10.42578125" bestFit="1" customWidth="1"/>
    <col min="7009" max="7009" width="11.5703125" bestFit="1" customWidth="1"/>
    <col min="7010" max="7010" width="5.28515625" bestFit="1" customWidth="1"/>
    <col min="7011" max="7013" width="11.5703125" bestFit="1" customWidth="1"/>
    <col min="7014" max="7014" width="5.28515625" bestFit="1" customWidth="1"/>
    <col min="7015" max="7016" width="10.42578125" bestFit="1" customWidth="1"/>
    <col min="7017" max="7017" width="11.5703125" bestFit="1" customWidth="1"/>
    <col min="7018" max="7018" width="5.28515625" bestFit="1" customWidth="1"/>
    <col min="7019" max="7019" width="14.28515625" bestFit="1" customWidth="1"/>
    <col min="7020" max="7020" width="13" bestFit="1" customWidth="1"/>
    <col min="7021" max="7021" width="11.5703125" bestFit="1" customWidth="1"/>
    <col min="7022" max="7022" width="8.85546875" bestFit="1" customWidth="1"/>
    <col min="7023" max="7023" width="14.42578125" bestFit="1" customWidth="1"/>
    <col min="7024" max="7024" width="10.42578125" bestFit="1" customWidth="1"/>
    <col min="7025" max="7025" width="12.28515625" bestFit="1" customWidth="1"/>
    <col min="7026" max="7026" width="13.85546875" bestFit="1" customWidth="1"/>
    <col min="7027" max="7027" width="11.28515625" customWidth="1"/>
    <col min="7028" max="7028" width="11.5703125" customWidth="1"/>
    <col min="7029" max="7029" width="13.42578125" bestFit="1" customWidth="1"/>
    <col min="7030" max="7030" width="10.42578125" customWidth="1"/>
    <col min="7031" max="7031" width="13.85546875" bestFit="1" customWidth="1"/>
    <col min="7032" max="7032" width="15.42578125" bestFit="1" customWidth="1"/>
    <col min="7033" max="7033" width="12.28515625" bestFit="1" customWidth="1"/>
    <col min="7034" max="7034" width="12.7109375" customWidth="1"/>
    <col min="7035" max="7035" width="10.7109375" bestFit="1" customWidth="1"/>
    <col min="7036" max="7036" width="9.85546875" customWidth="1"/>
    <col min="7037" max="7038" width="10.140625" bestFit="1" customWidth="1"/>
    <col min="7039" max="7039" width="7.5703125" bestFit="1" customWidth="1"/>
    <col min="7040" max="7040" width="9.42578125" bestFit="1" customWidth="1"/>
    <col min="7041" max="7041" width="14.5703125" bestFit="1" customWidth="1"/>
    <col min="7042" max="7042" width="14.85546875" customWidth="1"/>
    <col min="7043" max="7043" width="15.140625" bestFit="1" customWidth="1"/>
    <col min="7044" max="7044" width="12.140625" bestFit="1" customWidth="1"/>
    <col min="7045" max="7045" width="14.85546875" bestFit="1" customWidth="1"/>
    <col min="7046" max="7046" width="12.28515625" bestFit="1" customWidth="1"/>
    <col min="7047" max="7055" width="9.140625" hidden="1" customWidth="1"/>
    <col min="7056" max="7056" width="5.28515625" bestFit="1" customWidth="1"/>
    <col min="7057" max="7062" width="11.5703125" bestFit="1" customWidth="1"/>
    <col min="7063" max="7063" width="11.28515625" bestFit="1" customWidth="1"/>
    <col min="7064" max="7064" width="10.140625" bestFit="1" customWidth="1"/>
    <col min="7065" max="7065" width="11.5703125" bestFit="1" customWidth="1"/>
    <col min="7066" max="7066" width="16.140625" customWidth="1"/>
    <col min="7067" max="7067" width="13.42578125" customWidth="1"/>
    <col min="7068" max="7068" width="10.140625" bestFit="1" customWidth="1"/>
    <col min="7069" max="7069" width="12.85546875" bestFit="1" customWidth="1"/>
    <col min="7070" max="7070" width="12.28515625" bestFit="1" customWidth="1"/>
    <col min="7071" max="7071" width="11.28515625" bestFit="1" customWidth="1"/>
    <col min="7072" max="7072" width="11.5703125" bestFit="1" customWidth="1"/>
    <col min="7073" max="7073" width="10.85546875" bestFit="1" customWidth="1"/>
    <col min="7074" max="7074" width="11.28515625" bestFit="1" customWidth="1"/>
    <col min="7075" max="7075" width="10.140625" bestFit="1" customWidth="1"/>
    <col min="7076" max="7076" width="13.28515625" bestFit="1" customWidth="1"/>
    <col min="7077" max="7078" width="12.7109375" bestFit="1" customWidth="1"/>
    <col min="7079" max="7079" width="11" bestFit="1" customWidth="1"/>
    <col min="7080" max="7080" width="11.28515625" bestFit="1" customWidth="1"/>
    <col min="7081" max="7081" width="11.5703125" bestFit="1" customWidth="1"/>
    <col min="7082" max="7082" width="12.28515625" bestFit="1" customWidth="1"/>
    <col min="7083" max="7083" width="15.140625" bestFit="1" customWidth="1"/>
    <col min="7084" max="7084" width="14.42578125" bestFit="1" customWidth="1"/>
    <col min="7085" max="7085" width="12.28515625" bestFit="1" customWidth="1"/>
    <col min="7086" max="7086" width="15.140625" bestFit="1" customWidth="1"/>
    <col min="7087" max="7087" width="14.42578125" bestFit="1" customWidth="1"/>
    <col min="7088" max="7088" width="12.28515625" bestFit="1" customWidth="1"/>
    <col min="7089" max="7089" width="14.42578125" bestFit="1" customWidth="1"/>
    <col min="7090" max="7090" width="11.28515625" bestFit="1" customWidth="1"/>
    <col min="7091" max="7091" width="12.28515625" bestFit="1" customWidth="1"/>
    <col min="7092" max="7092" width="13" bestFit="1" customWidth="1"/>
    <col min="7093" max="7093" width="15.140625" bestFit="1" customWidth="1"/>
    <col min="7094" max="7094" width="12.28515625" bestFit="1" customWidth="1"/>
    <col min="7095" max="7095" width="13.85546875" bestFit="1" customWidth="1"/>
    <col min="7096" max="7096" width="11.28515625" bestFit="1" customWidth="1"/>
    <col min="7097" max="7097" width="12.28515625" bestFit="1" customWidth="1"/>
    <col min="7098" max="7098" width="13.85546875" bestFit="1" customWidth="1"/>
    <col min="7099" max="7100" width="15.140625" bestFit="1" customWidth="1"/>
    <col min="7101" max="7101" width="12.28515625" bestFit="1" customWidth="1"/>
    <col min="7102" max="7102" width="5.7109375" bestFit="1" customWidth="1"/>
    <col min="7103" max="7103" width="8.5703125" bestFit="1" customWidth="1"/>
    <col min="7104" max="7104" width="5.5703125" bestFit="1" customWidth="1"/>
    <col min="7105" max="7105" width="14.42578125" bestFit="1" customWidth="1"/>
    <col min="7106" max="7106" width="11.28515625" bestFit="1" customWidth="1"/>
    <col min="7107" max="7108" width="12.28515625" bestFit="1" customWidth="1"/>
    <col min="7109" max="7109" width="11.28515625" bestFit="1" customWidth="1"/>
    <col min="7110" max="7110" width="13.85546875" bestFit="1" customWidth="1"/>
    <col min="7111" max="7111" width="12" bestFit="1" customWidth="1"/>
    <col min="7112" max="7112" width="13.85546875" bestFit="1" customWidth="1"/>
    <col min="7113" max="7114" width="14.42578125" customWidth="1"/>
    <col min="7115" max="7115" width="10.140625" bestFit="1" customWidth="1"/>
    <col min="7116" max="7116" width="12.28515625" bestFit="1" customWidth="1"/>
    <col min="7117" max="7117" width="7.42578125" bestFit="1" customWidth="1"/>
    <col min="7118" max="7118" width="8.5703125" bestFit="1" customWidth="1"/>
    <col min="7119" max="7119" width="11.5703125" bestFit="1" customWidth="1"/>
    <col min="7120" max="7120" width="13.28515625" bestFit="1" customWidth="1"/>
    <col min="7121" max="7121" width="13.28515625" customWidth="1"/>
    <col min="7122" max="7122" width="13.140625" customWidth="1"/>
    <col min="7123" max="7123" width="12.7109375" bestFit="1" customWidth="1"/>
    <col min="7124" max="7124" width="13.28515625" bestFit="1" customWidth="1"/>
    <col min="7125" max="7127" width="13.28515625" customWidth="1"/>
    <col min="7128" max="7128" width="12.140625" bestFit="1" customWidth="1"/>
    <col min="7129" max="7129" width="12.7109375" bestFit="1" customWidth="1"/>
    <col min="7130" max="7130" width="11" customWidth="1"/>
    <col min="7131" max="7131" width="16.7109375" customWidth="1"/>
    <col min="7132" max="7132" width="17" customWidth="1"/>
    <col min="7133" max="7133" width="10.42578125" bestFit="1" customWidth="1"/>
    <col min="7177" max="7177" width="3.85546875" customWidth="1"/>
    <col min="7178" max="7178" width="15.28515625" bestFit="1" customWidth="1"/>
    <col min="7179" max="7179" width="12.28515625" customWidth="1"/>
    <col min="7180" max="7180" width="16.28515625" bestFit="1" customWidth="1"/>
    <col min="7181" max="7181" width="6.42578125" bestFit="1" customWidth="1"/>
    <col min="7182" max="7182" width="9.28515625" bestFit="1" customWidth="1"/>
    <col min="7183" max="7183" width="7.5703125" bestFit="1" customWidth="1"/>
    <col min="7184" max="7184" width="13.28515625" bestFit="1" customWidth="1"/>
    <col min="7185" max="7185" width="9.28515625" bestFit="1" customWidth="1"/>
    <col min="7186" max="7186" width="11.5703125" bestFit="1" customWidth="1"/>
    <col min="7187" max="7187" width="13.28515625" bestFit="1" customWidth="1"/>
    <col min="7188" max="7188" width="7.140625" bestFit="1" customWidth="1"/>
    <col min="7189" max="7189" width="12" bestFit="1" customWidth="1"/>
    <col min="7190" max="7190" width="13.28515625" bestFit="1" customWidth="1"/>
    <col min="7191" max="7191" width="7" bestFit="1" customWidth="1"/>
    <col min="7192" max="7192" width="12.7109375" bestFit="1" customWidth="1"/>
    <col min="7193" max="7193" width="11.5703125" bestFit="1" customWidth="1"/>
    <col min="7194" max="7194" width="10.5703125" bestFit="1" customWidth="1"/>
    <col min="7195" max="7196" width="15.7109375" bestFit="1" customWidth="1"/>
    <col min="7197" max="7197" width="11.5703125" bestFit="1" customWidth="1"/>
    <col min="7198" max="7198" width="7.7109375" bestFit="1" customWidth="1"/>
    <col min="7199" max="7199" width="15.140625" bestFit="1" customWidth="1"/>
    <col min="7200" max="7200" width="11.5703125" bestFit="1" customWidth="1"/>
    <col min="7201" max="7201" width="13.28515625" bestFit="1" customWidth="1"/>
    <col min="7202" max="7202" width="10.42578125" bestFit="1" customWidth="1"/>
    <col min="7203" max="7203" width="13.28515625" bestFit="1" customWidth="1"/>
    <col min="7204" max="7204" width="12.140625" bestFit="1" customWidth="1"/>
    <col min="7205" max="7205" width="14.42578125" bestFit="1" customWidth="1"/>
    <col min="7206" max="7206" width="13.28515625" bestFit="1" customWidth="1"/>
    <col min="7207" max="7207" width="11.5703125" bestFit="1" customWidth="1"/>
    <col min="7208" max="7208" width="7.7109375" bestFit="1" customWidth="1"/>
    <col min="7209" max="7210" width="14.42578125" bestFit="1" customWidth="1"/>
    <col min="7211" max="7211" width="11.5703125" bestFit="1" customWidth="1"/>
    <col min="7212" max="7212" width="7.7109375" bestFit="1" customWidth="1"/>
    <col min="7213" max="7213" width="13.5703125" customWidth="1"/>
    <col min="7214" max="7214" width="15.28515625" customWidth="1"/>
    <col min="7215" max="7215" width="14.5703125" customWidth="1"/>
    <col min="7216" max="7216" width="13.28515625" bestFit="1" customWidth="1"/>
    <col min="7217" max="7217" width="7.7109375" bestFit="1" customWidth="1"/>
    <col min="7218" max="7218" width="12.7109375" bestFit="1" customWidth="1"/>
    <col min="7219" max="7219" width="11.7109375" bestFit="1" customWidth="1"/>
    <col min="7220" max="7220" width="11.5703125" bestFit="1" customWidth="1"/>
    <col min="7221" max="7221" width="5.28515625" bestFit="1" customWidth="1"/>
    <col min="7222" max="7222" width="13.28515625" bestFit="1" customWidth="1"/>
    <col min="7223" max="7223" width="13.5703125" bestFit="1" customWidth="1"/>
    <col min="7224" max="7224" width="10.5703125" bestFit="1" customWidth="1"/>
    <col min="7225" max="7225" width="13.28515625" bestFit="1" customWidth="1"/>
    <col min="7226" max="7226" width="11.5703125" bestFit="1" customWidth="1"/>
    <col min="7227" max="7227" width="10.5703125" bestFit="1" customWidth="1"/>
    <col min="7228" max="7228" width="16.140625" bestFit="1" customWidth="1"/>
    <col min="7229" max="7230" width="11.28515625" bestFit="1" customWidth="1"/>
    <col min="7231" max="7231" width="13.28515625" bestFit="1" customWidth="1"/>
    <col min="7232" max="7232" width="7.7109375" bestFit="1" customWidth="1"/>
    <col min="7233" max="7236" width="9.140625" hidden="1" customWidth="1"/>
    <col min="7237" max="7237" width="10.42578125" bestFit="1" customWidth="1"/>
    <col min="7238" max="7238" width="10.5703125" bestFit="1" customWidth="1"/>
    <col min="7239" max="7239" width="10.42578125" bestFit="1" customWidth="1"/>
    <col min="7240" max="7240" width="10.5703125" bestFit="1" customWidth="1"/>
    <col min="7241" max="7241" width="9.5703125" bestFit="1" customWidth="1"/>
    <col min="7242" max="7242" width="11.5703125" bestFit="1" customWidth="1"/>
    <col min="7243" max="7243" width="10.42578125" bestFit="1" customWidth="1"/>
    <col min="7244" max="7244" width="10.85546875" customWidth="1"/>
    <col min="7245" max="7246" width="9.85546875" bestFit="1" customWidth="1"/>
    <col min="7247" max="7247" width="13.5703125" bestFit="1" customWidth="1"/>
    <col min="7248" max="7248" width="7.7109375" bestFit="1" customWidth="1"/>
    <col min="7249" max="7249" width="13.28515625" bestFit="1" customWidth="1"/>
    <col min="7250" max="7250" width="11.5703125" bestFit="1" customWidth="1"/>
    <col min="7251" max="7251" width="10.42578125" bestFit="1" customWidth="1"/>
    <col min="7252" max="7252" width="7.7109375" bestFit="1" customWidth="1"/>
    <col min="7253" max="7253" width="11.5703125" bestFit="1" customWidth="1"/>
    <col min="7254" max="7254" width="10.85546875" bestFit="1" customWidth="1"/>
    <col min="7255" max="7255" width="13.28515625" bestFit="1" customWidth="1"/>
    <col min="7256" max="7256" width="10.85546875" bestFit="1" customWidth="1"/>
    <col min="7257" max="7258" width="7.5703125" bestFit="1" customWidth="1"/>
    <col min="7259" max="7260" width="10.42578125" bestFit="1" customWidth="1"/>
    <col min="7261" max="7261" width="11.5703125" bestFit="1" customWidth="1"/>
    <col min="7262" max="7262" width="5.28515625" bestFit="1" customWidth="1"/>
    <col min="7263" max="7263" width="10.28515625" bestFit="1" customWidth="1"/>
    <col min="7264" max="7264" width="10.42578125" bestFit="1" customWidth="1"/>
    <col min="7265" max="7265" width="11.5703125" bestFit="1" customWidth="1"/>
    <col min="7266" max="7266" width="5.28515625" bestFit="1" customWidth="1"/>
    <col min="7267" max="7269" width="11.5703125" bestFit="1" customWidth="1"/>
    <col min="7270" max="7270" width="5.28515625" bestFit="1" customWidth="1"/>
    <col min="7271" max="7272" width="10.42578125" bestFit="1" customWidth="1"/>
    <col min="7273" max="7273" width="11.5703125" bestFit="1" customWidth="1"/>
    <col min="7274" max="7274" width="5.28515625" bestFit="1" customWidth="1"/>
    <col min="7275" max="7275" width="14.28515625" bestFit="1" customWidth="1"/>
    <col min="7276" max="7276" width="13" bestFit="1" customWidth="1"/>
    <col min="7277" max="7277" width="11.5703125" bestFit="1" customWidth="1"/>
    <col min="7278" max="7278" width="8.85546875" bestFit="1" customWidth="1"/>
    <col min="7279" max="7279" width="14.42578125" bestFit="1" customWidth="1"/>
    <col min="7280" max="7280" width="10.42578125" bestFit="1" customWidth="1"/>
    <col min="7281" max="7281" width="12.28515625" bestFit="1" customWidth="1"/>
    <col min="7282" max="7282" width="13.85546875" bestFit="1" customWidth="1"/>
    <col min="7283" max="7283" width="11.28515625" customWidth="1"/>
    <col min="7284" max="7284" width="11.5703125" customWidth="1"/>
    <col min="7285" max="7285" width="13.42578125" bestFit="1" customWidth="1"/>
    <col min="7286" max="7286" width="10.42578125" customWidth="1"/>
    <col min="7287" max="7287" width="13.85546875" bestFit="1" customWidth="1"/>
    <col min="7288" max="7288" width="15.42578125" bestFit="1" customWidth="1"/>
    <col min="7289" max="7289" width="12.28515625" bestFit="1" customWidth="1"/>
    <col min="7290" max="7290" width="12.7109375" customWidth="1"/>
    <col min="7291" max="7291" width="10.7109375" bestFit="1" customWidth="1"/>
    <col min="7292" max="7292" width="9.85546875" customWidth="1"/>
    <col min="7293" max="7294" width="10.140625" bestFit="1" customWidth="1"/>
    <col min="7295" max="7295" width="7.5703125" bestFit="1" customWidth="1"/>
    <col min="7296" max="7296" width="9.42578125" bestFit="1" customWidth="1"/>
    <col min="7297" max="7297" width="14.5703125" bestFit="1" customWidth="1"/>
    <col min="7298" max="7298" width="14.85546875" customWidth="1"/>
    <col min="7299" max="7299" width="15.140625" bestFit="1" customWidth="1"/>
    <col min="7300" max="7300" width="12.140625" bestFit="1" customWidth="1"/>
    <col min="7301" max="7301" width="14.85546875" bestFit="1" customWidth="1"/>
    <col min="7302" max="7302" width="12.28515625" bestFit="1" customWidth="1"/>
    <col min="7303" max="7311" width="9.140625" hidden="1" customWidth="1"/>
    <col min="7312" max="7312" width="5.28515625" bestFit="1" customWidth="1"/>
    <col min="7313" max="7318" width="11.5703125" bestFit="1" customWidth="1"/>
    <col min="7319" max="7319" width="11.28515625" bestFit="1" customWidth="1"/>
    <col min="7320" max="7320" width="10.140625" bestFit="1" customWidth="1"/>
    <col min="7321" max="7321" width="11.5703125" bestFit="1" customWidth="1"/>
    <col min="7322" max="7322" width="16.140625" customWidth="1"/>
    <col min="7323" max="7323" width="13.42578125" customWidth="1"/>
    <col min="7324" max="7324" width="10.140625" bestFit="1" customWidth="1"/>
    <col min="7325" max="7325" width="12.85546875" bestFit="1" customWidth="1"/>
    <col min="7326" max="7326" width="12.28515625" bestFit="1" customWidth="1"/>
    <col min="7327" max="7327" width="11.28515625" bestFit="1" customWidth="1"/>
    <col min="7328" max="7328" width="11.5703125" bestFit="1" customWidth="1"/>
    <col min="7329" max="7329" width="10.85546875" bestFit="1" customWidth="1"/>
    <col min="7330" max="7330" width="11.28515625" bestFit="1" customWidth="1"/>
    <col min="7331" max="7331" width="10.140625" bestFit="1" customWidth="1"/>
    <col min="7332" max="7332" width="13.28515625" bestFit="1" customWidth="1"/>
    <col min="7333" max="7334" width="12.7109375" bestFit="1" customWidth="1"/>
    <col min="7335" max="7335" width="11" bestFit="1" customWidth="1"/>
    <col min="7336" max="7336" width="11.28515625" bestFit="1" customWidth="1"/>
    <col min="7337" max="7337" width="11.5703125" bestFit="1" customWidth="1"/>
    <col min="7338" max="7338" width="12.28515625" bestFit="1" customWidth="1"/>
    <col min="7339" max="7339" width="15.140625" bestFit="1" customWidth="1"/>
    <col min="7340" max="7340" width="14.42578125" bestFit="1" customWidth="1"/>
    <col min="7341" max="7341" width="12.28515625" bestFit="1" customWidth="1"/>
    <col min="7342" max="7342" width="15.140625" bestFit="1" customWidth="1"/>
    <col min="7343" max="7343" width="14.42578125" bestFit="1" customWidth="1"/>
    <col min="7344" max="7344" width="12.28515625" bestFit="1" customWidth="1"/>
    <col min="7345" max="7345" width="14.42578125" bestFit="1" customWidth="1"/>
    <col min="7346" max="7346" width="11.28515625" bestFit="1" customWidth="1"/>
    <col min="7347" max="7347" width="12.28515625" bestFit="1" customWidth="1"/>
    <col min="7348" max="7348" width="13" bestFit="1" customWidth="1"/>
    <col min="7349" max="7349" width="15.140625" bestFit="1" customWidth="1"/>
    <col min="7350" max="7350" width="12.28515625" bestFit="1" customWidth="1"/>
    <col min="7351" max="7351" width="13.85546875" bestFit="1" customWidth="1"/>
    <col min="7352" max="7352" width="11.28515625" bestFit="1" customWidth="1"/>
    <col min="7353" max="7353" width="12.28515625" bestFit="1" customWidth="1"/>
    <col min="7354" max="7354" width="13.85546875" bestFit="1" customWidth="1"/>
    <col min="7355" max="7356" width="15.140625" bestFit="1" customWidth="1"/>
    <col min="7357" max="7357" width="12.28515625" bestFit="1" customWidth="1"/>
    <col min="7358" max="7358" width="5.7109375" bestFit="1" customWidth="1"/>
    <col min="7359" max="7359" width="8.5703125" bestFit="1" customWidth="1"/>
    <col min="7360" max="7360" width="5.5703125" bestFit="1" customWidth="1"/>
    <col min="7361" max="7361" width="14.42578125" bestFit="1" customWidth="1"/>
    <col min="7362" max="7362" width="11.28515625" bestFit="1" customWidth="1"/>
    <col min="7363" max="7364" width="12.28515625" bestFit="1" customWidth="1"/>
    <col min="7365" max="7365" width="11.28515625" bestFit="1" customWidth="1"/>
    <col min="7366" max="7366" width="13.85546875" bestFit="1" customWidth="1"/>
    <col min="7367" max="7367" width="12" bestFit="1" customWidth="1"/>
    <col min="7368" max="7368" width="13.85546875" bestFit="1" customWidth="1"/>
    <col min="7369" max="7370" width="14.42578125" customWidth="1"/>
    <col min="7371" max="7371" width="10.140625" bestFit="1" customWidth="1"/>
    <col min="7372" max="7372" width="12.28515625" bestFit="1" customWidth="1"/>
    <col min="7373" max="7373" width="7.42578125" bestFit="1" customWidth="1"/>
    <col min="7374" max="7374" width="8.5703125" bestFit="1" customWidth="1"/>
    <col min="7375" max="7375" width="11.5703125" bestFit="1" customWidth="1"/>
    <col min="7376" max="7376" width="13.28515625" bestFit="1" customWidth="1"/>
    <col min="7377" max="7377" width="13.28515625" customWidth="1"/>
    <col min="7378" max="7378" width="13.140625" customWidth="1"/>
    <col min="7379" max="7379" width="12.7109375" bestFit="1" customWidth="1"/>
    <col min="7380" max="7380" width="13.28515625" bestFit="1" customWidth="1"/>
    <col min="7381" max="7383" width="13.28515625" customWidth="1"/>
    <col min="7384" max="7384" width="12.140625" bestFit="1" customWidth="1"/>
    <col min="7385" max="7385" width="12.7109375" bestFit="1" customWidth="1"/>
    <col min="7386" max="7386" width="11" customWidth="1"/>
    <col min="7387" max="7387" width="16.7109375" customWidth="1"/>
    <col min="7388" max="7388" width="17" customWidth="1"/>
    <col min="7389" max="7389" width="10.42578125" bestFit="1" customWidth="1"/>
    <col min="7433" max="7433" width="3.85546875" customWidth="1"/>
    <col min="7434" max="7434" width="15.28515625" bestFit="1" customWidth="1"/>
    <col min="7435" max="7435" width="12.28515625" customWidth="1"/>
    <col min="7436" max="7436" width="16.28515625" bestFit="1" customWidth="1"/>
    <col min="7437" max="7437" width="6.42578125" bestFit="1" customWidth="1"/>
    <col min="7438" max="7438" width="9.28515625" bestFit="1" customWidth="1"/>
    <col min="7439" max="7439" width="7.5703125" bestFit="1" customWidth="1"/>
    <col min="7440" max="7440" width="13.28515625" bestFit="1" customWidth="1"/>
    <col min="7441" max="7441" width="9.28515625" bestFit="1" customWidth="1"/>
    <col min="7442" max="7442" width="11.5703125" bestFit="1" customWidth="1"/>
    <col min="7443" max="7443" width="13.28515625" bestFit="1" customWidth="1"/>
    <col min="7444" max="7444" width="7.140625" bestFit="1" customWidth="1"/>
    <col min="7445" max="7445" width="12" bestFit="1" customWidth="1"/>
    <col min="7446" max="7446" width="13.28515625" bestFit="1" customWidth="1"/>
    <col min="7447" max="7447" width="7" bestFit="1" customWidth="1"/>
    <col min="7448" max="7448" width="12.7109375" bestFit="1" customWidth="1"/>
    <col min="7449" max="7449" width="11.5703125" bestFit="1" customWidth="1"/>
    <col min="7450" max="7450" width="10.5703125" bestFit="1" customWidth="1"/>
    <col min="7451" max="7452" width="15.7109375" bestFit="1" customWidth="1"/>
    <col min="7453" max="7453" width="11.5703125" bestFit="1" customWidth="1"/>
    <col min="7454" max="7454" width="7.7109375" bestFit="1" customWidth="1"/>
    <col min="7455" max="7455" width="15.140625" bestFit="1" customWidth="1"/>
    <col min="7456" max="7456" width="11.5703125" bestFit="1" customWidth="1"/>
    <col min="7457" max="7457" width="13.28515625" bestFit="1" customWidth="1"/>
    <col min="7458" max="7458" width="10.42578125" bestFit="1" customWidth="1"/>
    <col min="7459" max="7459" width="13.28515625" bestFit="1" customWidth="1"/>
    <col min="7460" max="7460" width="12.140625" bestFit="1" customWidth="1"/>
    <col min="7461" max="7461" width="14.42578125" bestFit="1" customWidth="1"/>
    <col min="7462" max="7462" width="13.28515625" bestFit="1" customWidth="1"/>
    <col min="7463" max="7463" width="11.5703125" bestFit="1" customWidth="1"/>
    <col min="7464" max="7464" width="7.7109375" bestFit="1" customWidth="1"/>
    <col min="7465" max="7466" width="14.42578125" bestFit="1" customWidth="1"/>
    <col min="7467" max="7467" width="11.5703125" bestFit="1" customWidth="1"/>
    <col min="7468" max="7468" width="7.7109375" bestFit="1" customWidth="1"/>
    <col min="7469" max="7469" width="13.5703125" customWidth="1"/>
    <col min="7470" max="7470" width="15.28515625" customWidth="1"/>
    <col min="7471" max="7471" width="14.5703125" customWidth="1"/>
    <col min="7472" max="7472" width="13.28515625" bestFit="1" customWidth="1"/>
    <col min="7473" max="7473" width="7.7109375" bestFit="1" customWidth="1"/>
    <col min="7474" max="7474" width="12.7109375" bestFit="1" customWidth="1"/>
    <col min="7475" max="7475" width="11.7109375" bestFit="1" customWidth="1"/>
    <col min="7476" max="7476" width="11.5703125" bestFit="1" customWidth="1"/>
    <col min="7477" max="7477" width="5.28515625" bestFit="1" customWidth="1"/>
    <col min="7478" max="7478" width="13.28515625" bestFit="1" customWidth="1"/>
    <col min="7479" max="7479" width="13.5703125" bestFit="1" customWidth="1"/>
    <col min="7480" max="7480" width="10.5703125" bestFit="1" customWidth="1"/>
    <col min="7481" max="7481" width="13.28515625" bestFit="1" customWidth="1"/>
    <col min="7482" max="7482" width="11.5703125" bestFit="1" customWidth="1"/>
    <col min="7483" max="7483" width="10.5703125" bestFit="1" customWidth="1"/>
    <col min="7484" max="7484" width="16.140625" bestFit="1" customWidth="1"/>
    <col min="7485" max="7486" width="11.28515625" bestFit="1" customWidth="1"/>
    <col min="7487" max="7487" width="13.28515625" bestFit="1" customWidth="1"/>
    <col min="7488" max="7488" width="7.7109375" bestFit="1" customWidth="1"/>
    <col min="7489" max="7492" width="9.140625" hidden="1" customWidth="1"/>
    <col min="7493" max="7493" width="10.42578125" bestFit="1" customWidth="1"/>
    <col min="7494" max="7494" width="10.5703125" bestFit="1" customWidth="1"/>
    <col min="7495" max="7495" width="10.42578125" bestFit="1" customWidth="1"/>
    <col min="7496" max="7496" width="10.5703125" bestFit="1" customWidth="1"/>
    <col min="7497" max="7497" width="9.5703125" bestFit="1" customWidth="1"/>
    <col min="7498" max="7498" width="11.5703125" bestFit="1" customWidth="1"/>
    <col min="7499" max="7499" width="10.42578125" bestFit="1" customWidth="1"/>
    <col min="7500" max="7500" width="10.85546875" customWidth="1"/>
    <col min="7501" max="7502" width="9.85546875" bestFit="1" customWidth="1"/>
    <col min="7503" max="7503" width="13.5703125" bestFit="1" customWidth="1"/>
    <col min="7504" max="7504" width="7.7109375" bestFit="1" customWidth="1"/>
    <col min="7505" max="7505" width="13.28515625" bestFit="1" customWidth="1"/>
    <col min="7506" max="7506" width="11.5703125" bestFit="1" customWidth="1"/>
    <col min="7507" max="7507" width="10.42578125" bestFit="1" customWidth="1"/>
    <col min="7508" max="7508" width="7.7109375" bestFit="1" customWidth="1"/>
    <col min="7509" max="7509" width="11.5703125" bestFit="1" customWidth="1"/>
    <col min="7510" max="7510" width="10.85546875" bestFit="1" customWidth="1"/>
    <col min="7511" max="7511" width="13.28515625" bestFit="1" customWidth="1"/>
    <col min="7512" max="7512" width="10.85546875" bestFit="1" customWidth="1"/>
    <col min="7513" max="7514" width="7.5703125" bestFit="1" customWidth="1"/>
    <col min="7515" max="7516" width="10.42578125" bestFit="1" customWidth="1"/>
    <col min="7517" max="7517" width="11.5703125" bestFit="1" customWidth="1"/>
    <col min="7518" max="7518" width="5.28515625" bestFit="1" customWidth="1"/>
    <col min="7519" max="7519" width="10.28515625" bestFit="1" customWidth="1"/>
    <col min="7520" max="7520" width="10.42578125" bestFit="1" customWidth="1"/>
    <col min="7521" max="7521" width="11.5703125" bestFit="1" customWidth="1"/>
    <col min="7522" max="7522" width="5.28515625" bestFit="1" customWidth="1"/>
    <col min="7523" max="7525" width="11.5703125" bestFit="1" customWidth="1"/>
    <col min="7526" max="7526" width="5.28515625" bestFit="1" customWidth="1"/>
    <col min="7527" max="7528" width="10.42578125" bestFit="1" customWidth="1"/>
    <col min="7529" max="7529" width="11.5703125" bestFit="1" customWidth="1"/>
    <col min="7530" max="7530" width="5.28515625" bestFit="1" customWidth="1"/>
    <col min="7531" max="7531" width="14.28515625" bestFit="1" customWidth="1"/>
    <col min="7532" max="7532" width="13" bestFit="1" customWidth="1"/>
    <col min="7533" max="7533" width="11.5703125" bestFit="1" customWidth="1"/>
    <col min="7534" max="7534" width="8.85546875" bestFit="1" customWidth="1"/>
    <col min="7535" max="7535" width="14.42578125" bestFit="1" customWidth="1"/>
    <col min="7536" max="7536" width="10.42578125" bestFit="1" customWidth="1"/>
    <col min="7537" max="7537" width="12.28515625" bestFit="1" customWidth="1"/>
    <col min="7538" max="7538" width="13.85546875" bestFit="1" customWidth="1"/>
    <col min="7539" max="7539" width="11.28515625" customWidth="1"/>
    <col min="7540" max="7540" width="11.5703125" customWidth="1"/>
    <col min="7541" max="7541" width="13.42578125" bestFit="1" customWidth="1"/>
    <col min="7542" max="7542" width="10.42578125" customWidth="1"/>
    <col min="7543" max="7543" width="13.85546875" bestFit="1" customWidth="1"/>
    <col min="7544" max="7544" width="15.42578125" bestFit="1" customWidth="1"/>
    <col min="7545" max="7545" width="12.28515625" bestFit="1" customWidth="1"/>
    <col min="7546" max="7546" width="12.7109375" customWidth="1"/>
    <col min="7547" max="7547" width="10.7109375" bestFit="1" customWidth="1"/>
    <col min="7548" max="7548" width="9.85546875" customWidth="1"/>
    <col min="7549" max="7550" width="10.140625" bestFit="1" customWidth="1"/>
    <col min="7551" max="7551" width="7.5703125" bestFit="1" customWidth="1"/>
    <col min="7552" max="7552" width="9.42578125" bestFit="1" customWidth="1"/>
    <col min="7553" max="7553" width="14.5703125" bestFit="1" customWidth="1"/>
    <col min="7554" max="7554" width="14.85546875" customWidth="1"/>
    <col min="7555" max="7555" width="15.140625" bestFit="1" customWidth="1"/>
    <col min="7556" max="7556" width="12.140625" bestFit="1" customWidth="1"/>
    <col min="7557" max="7557" width="14.85546875" bestFit="1" customWidth="1"/>
    <col min="7558" max="7558" width="12.28515625" bestFit="1" customWidth="1"/>
    <col min="7559" max="7567" width="9.140625" hidden="1" customWidth="1"/>
    <col min="7568" max="7568" width="5.28515625" bestFit="1" customWidth="1"/>
    <col min="7569" max="7574" width="11.5703125" bestFit="1" customWidth="1"/>
    <col min="7575" max="7575" width="11.28515625" bestFit="1" customWidth="1"/>
    <col min="7576" max="7576" width="10.140625" bestFit="1" customWidth="1"/>
    <col min="7577" max="7577" width="11.5703125" bestFit="1" customWidth="1"/>
    <col min="7578" max="7578" width="16.140625" customWidth="1"/>
    <col min="7579" max="7579" width="13.42578125" customWidth="1"/>
    <col min="7580" max="7580" width="10.140625" bestFit="1" customWidth="1"/>
    <col min="7581" max="7581" width="12.85546875" bestFit="1" customWidth="1"/>
    <col min="7582" max="7582" width="12.28515625" bestFit="1" customWidth="1"/>
    <col min="7583" max="7583" width="11.28515625" bestFit="1" customWidth="1"/>
    <col min="7584" max="7584" width="11.5703125" bestFit="1" customWidth="1"/>
    <col min="7585" max="7585" width="10.85546875" bestFit="1" customWidth="1"/>
    <col min="7586" max="7586" width="11.28515625" bestFit="1" customWidth="1"/>
    <col min="7587" max="7587" width="10.140625" bestFit="1" customWidth="1"/>
    <col min="7588" max="7588" width="13.28515625" bestFit="1" customWidth="1"/>
    <col min="7589" max="7590" width="12.7109375" bestFit="1" customWidth="1"/>
    <col min="7591" max="7591" width="11" bestFit="1" customWidth="1"/>
    <col min="7592" max="7592" width="11.28515625" bestFit="1" customWidth="1"/>
    <col min="7593" max="7593" width="11.5703125" bestFit="1" customWidth="1"/>
    <col min="7594" max="7594" width="12.28515625" bestFit="1" customWidth="1"/>
    <col min="7595" max="7595" width="15.140625" bestFit="1" customWidth="1"/>
    <col min="7596" max="7596" width="14.42578125" bestFit="1" customWidth="1"/>
    <col min="7597" max="7597" width="12.28515625" bestFit="1" customWidth="1"/>
    <col min="7598" max="7598" width="15.140625" bestFit="1" customWidth="1"/>
    <col min="7599" max="7599" width="14.42578125" bestFit="1" customWidth="1"/>
    <col min="7600" max="7600" width="12.28515625" bestFit="1" customWidth="1"/>
    <col min="7601" max="7601" width="14.42578125" bestFit="1" customWidth="1"/>
    <col min="7602" max="7602" width="11.28515625" bestFit="1" customWidth="1"/>
    <col min="7603" max="7603" width="12.28515625" bestFit="1" customWidth="1"/>
    <col min="7604" max="7604" width="13" bestFit="1" customWidth="1"/>
    <col min="7605" max="7605" width="15.140625" bestFit="1" customWidth="1"/>
    <col min="7606" max="7606" width="12.28515625" bestFit="1" customWidth="1"/>
    <col min="7607" max="7607" width="13.85546875" bestFit="1" customWidth="1"/>
    <col min="7608" max="7608" width="11.28515625" bestFit="1" customWidth="1"/>
    <col min="7609" max="7609" width="12.28515625" bestFit="1" customWidth="1"/>
    <col min="7610" max="7610" width="13.85546875" bestFit="1" customWidth="1"/>
    <col min="7611" max="7612" width="15.140625" bestFit="1" customWidth="1"/>
    <col min="7613" max="7613" width="12.28515625" bestFit="1" customWidth="1"/>
    <col min="7614" max="7614" width="5.7109375" bestFit="1" customWidth="1"/>
    <col min="7615" max="7615" width="8.5703125" bestFit="1" customWidth="1"/>
    <col min="7616" max="7616" width="5.5703125" bestFit="1" customWidth="1"/>
    <col min="7617" max="7617" width="14.42578125" bestFit="1" customWidth="1"/>
    <col min="7618" max="7618" width="11.28515625" bestFit="1" customWidth="1"/>
    <col min="7619" max="7620" width="12.28515625" bestFit="1" customWidth="1"/>
    <col min="7621" max="7621" width="11.28515625" bestFit="1" customWidth="1"/>
    <col min="7622" max="7622" width="13.85546875" bestFit="1" customWidth="1"/>
    <col min="7623" max="7623" width="12" bestFit="1" customWidth="1"/>
    <col min="7624" max="7624" width="13.85546875" bestFit="1" customWidth="1"/>
    <col min="7625" max="7626" width="14.42578125" customWidth="1"/>
    <col min="7627" max="7627" width="10.140625" bestFit="1" customWidth="1"/>
    <col min="7628" max="7628" width="12.28515625" bestFit="1" customWidth="1"/>
    <col min="7629" max="7629" width="7.42578125" bestFit="1" customWidth="1"/>
    <col min="7630" max="7630" width="8.5703125" bestFit="1" customWidth="1"/>
    <col min="7631" max="7631" width="11.5703125" bestFit="1" customWidth="1"/>
    <col min="7632" max="7632" width="13.28515625" bestFit="1" customWidth="1"/>
    <col min="7633" max="7633" width="13.28515625" customWidth="1"/>
    <col min="7634" max="7634" width="13.140625" customWidth="1"/>
    <col min="7635" max="7635" width="12.7109375" bestFit="1" customWidth="1"/>
    <col min="7636" max="7636" width="13.28515625" bestFit="1" customWidth="1"/>
    <col min="7637" max="7639" width="13.28515625" customWidth="1"/>
    <col min="7640" max="7640" width="12.140625" bestFit="1" customWidth="1"/>
    <col min="7641" max="7641" width="12.7109375" bestFit="1" customWidth="1"/>
    <col min="7642" max="7642" width="11" customWidth="1"/>
    <col min="7643" max="7643" width="16.7109375" customWidth="1"/>
    <col min="7644" max="7644" width="17" customWidth="1"/>
    <col min="7645" max="7645" width="10.42578125" bestFit="1" customWidth="1"/>
    <col min="7689" max="7689" width="3.85546875" customWidth="1"/>
    <col min="7690" max="7690" width="15.28515625" bestFit="1" customWidth="1"/>
    <col min="7691" max="7691" width="12.28515625" customWidth="1"/>
    <col min="7692" max="7692" width="16.28515625" bestFit="1" customWidth="1"/>
    <col min="7693" max="7693" width="6.42578125" bestFit="1" customWidth="1"/>
    <col min="7694" max="7694" width="9.28515625" bestFit="1" customWidth="1"/>
    <col min="7695" max="7695" width="7.5703125" bestFit="1" customWidth="1"/>
    <col min="7696" max="7696" width="13.28515625" bestFit="1" customWidth="1"/>
    <col min="7697" max="7697" width="9.28515625" bestFit="1" customWidth="1"/>
    <col min="7698" max="7698" width="11.5703125" bestFit="1" customWidth="1"/>
    <col min="7699" max="7699" width="13.28515625" bestFit="1" customWidth="1"/>
    <col min="7700" max="7700" width="7.140625" bestFit="1" customWidth="1"/>
    <col min="7701" max="7701" width="12" bestFit="1" customWidth="1"/>
    <col min="7702" max="7702" width="13.28515625" bestFit="1" customWidth="1"/>
    <col min="7703" max="7703" width="7" bestFit="1" customWidth="1"/>
    <col min="7704" max="7704" width="12.7109375" bestFit="1" customWidth="1"/>
    <col min="7705" max="7705" width="11.5703125" bestFit="1" customWidth="1"/>
    <col min="7706" max="7706" width="10.5703125" bestFit="1" customWidth="1"/>
    <col min="7707" max="7708" width="15.7109375" bestFit="1" customWidth="1"/>
    <col min="7709" max="7709" width="11.5703125" bestFit="1" customWidth="1"/>
    <col min="7710" max="7710" width="7.7109375" bestFit="1" customWidth="1"/>
    <col min="7711" max="7711" width="15.140625" bestFit="1" customWidth="1"/>
    <col min="7712" max="7712" width="11.5703125" bestFit="1" customWidth="1"/>
    <col min="7713" max="7713" width="13.28515625" bestFit="1" customWidth="1"/>
    <col min="7714" max="7714" width="10.42578125" bestFit="1" customWidth="1"/>
    <col min="7715" max="7715" width="13.28515625" bestFit="1" customWidth="1"/>
    <col min="7716" max="7716" width="12.140625" bestFit="1" customWidth="1"/>
    <col min="7717" max="7717" width="14.42578125" bestFit="1" customWidth="1"/>
    <col min="7718" max="7718" width="13.28515625" bestFit="1" customWidth="1"/>
    <col min="7719" max="7719" width="11.5703125" bestFit="1" customWidth="1"/>
    <col min="7720" max="7720" width="7.7109375" bestFit="1" customWidth="1"/>
    <col min="7721" max="7722" width="14.42578125" bestFit="1" customWidth="1"/>
    <col min="7723" max="7723" width="11.5703125" bestFit="1" customWidth="1"/>
    <col min="7724" max="7724" width="7.7109375" bestFit="1" customWidth="1"/>
    <col min="7725" max="7725" width="13.5703125" customWidth="1"/>
    <col min="7726" max="7726" width="15.28515625" customWidth="1"/>
    <col min="7727" max="7727" width="14.5703125" customWidth="1"/>
    <col min="7728" max="7728" width="13.28515625" bestFit="1" customWidth="1"/>
    <col min="7729" max="7729" width="7.7109375" bestFit="1" customWidth="1"/>
    <col min="7730" max="7730" width="12.7109375" bestFit="1" customWidth="1"/>
    <col min="7731" max="7731" width="11.7109375" bestFit="1" customWidth="1"/>
    <col min="7732" max="7732" width="11.5703125" bestFit="1" customWidth="1"/>
    <col min="7733" max="7733" width="5.28515625" bestFit="1" customWidth="1"/>
    <col min="7734" max="7734" width="13.28515625" bestFit="1" customWidth="1"/>
    <col min="7735" max="7735" width="13.5703125" bestFit="1" customWidth="1"/>
    <col min="7736" max="7736" width="10.5703125" bestFit="1" customWidth="1"/>
    <col min="7737" max="7737" width="13.28515625" bestFit="1" customWidth="1"/>
    <col min="7738" max="7738" width="11.5703125" bestFit="1" customWidth="1"/>
    <col min="7739" max="7739" width="10.5703125" bestFit="1" customWidth="1"/>
    <col min="7740" max="7740" width="16.140625" bestFit="1" customWidth="1"/>
    <col min="7741" max="7742" width="11.28515625" bestFit="1" customWidth="1"/>
    <col min="7743" max="7743" width="13.28515625" bestFit="1" customWidth="1"/>
    <col min="7744" max="7744" width="7.7109375" bestFit="1" customWidth="1"/>
    <col min="7745" max="7748" width="9.140625" hidden="1" customWidth="1"/>
    <col min="7749" max="7749" width="10.42578125" bestFit="1" customWidth="1"/>
    <col min="7750" max="7750" width="10.5703125" bestFit="1" customWidth="1"/>
    <col min="7751" max="7751" width="10.42578125" bestFit="1" customWidth="1"/>
    <col min="7752" max="7752" width="10.5703125" bestFit="1" customWidth="1"/>
    <col min="7753" max="7753" width="9.5703125" bestFit="1" customWidth="1"/>
    <col min="7754" max="7754" width="11.5703125" bestFit="1" customWidth="1"/>
    <col min="7755" max="7755" width="10.42578125" bestFit="1" customWidth="1"/>
    <col min="7756" max="7756" width="10.85546875" customWidth="1"/>
    <col min="7757" max="7758" width="9.85546875" bestFit="1" customWidth="1"/>
    <col min="7759" max="7759" width="13.5703125" bestFit="1" customWidth="1"/>
    <col min="7760" max="7760" width="7.7109375" bestFit="1" customWidth="1"/>
    <col min="7761" max="7761" width="13.28515625" bestFit="1" customWidth="1"/>
    <col min="7762" max="7762" width="11.5703125" bestFit="1" customWidth="1"/>
    <col min="7763" max="7763" width="10.42578125" bestFit="1" customWidth="1"/>
    <col min="7764" max="7764" width="7.7109375" bestFit="1" customWidth="1"/>
    <col min="7765" max="7765" width="11.5703125" bestFit="1" customWidth="1"/>
    <col min="7766" max="7766" width="10.85546875" bestFit="1" customWidth="1"/>
    <col min="7767" max="7767" width="13.28515625" bestFit="1" customWidth="1"/>
    <col min="7768" max="7768" width="10.85546875" bestFit="1" customWidth="1"/>
    <col min="7769" max="7770" width="7.5703125" bestFit="1" customWidth="1"/>
    <col min="7771" max="7772" width="10.42578125" bestFit="1" customWidth="1"/>
    <col min="7773" max="7773" width="11.5703125" bestFit="1" customWidth="1"/>
    <col min="7774" max="7774" width="5.28515625" bestFit="1" customWidth="1"/>
    <col min="7775" max="7775" width="10.28515625" bestFit="1" customWidth="1"/>
    <col min="7776" max="7776" width="10.42578125" bestFit="1" customWidth="1"/>
    <col min="7777" max="7777" width="11.5703125" bestFit="1" customWidth="1"/>
    <col min="7778" max="7778" width="5.28515625" bestFit="1" customWidth="1"/>
    <col min="7779" max="7781" width="11.5703125" bestFit="1" customWidth="1"/>
    <col min="7782" max="7782" width="5.28515625" bestFit="1" customWidth="1"/>
    <col min="7783" max="7784" width="10.42578125" bestFit="1" customWidth="1"/>
    <col min="7785" max="7785" width="11.5703125" bestFit="1" customWidth="1"/>
    <col min="7786" max="7786" width="5.28515625" bestFit="1" customWidth="1"/>
    <col min="7787" max="7787" width="14.28515625" bestFit="1" customWidth="1"/>
    <col min="7788" max="7788" width="13" bestFit="1" customWidth="1"/>
    <col min="7789" max="7789" width="11.5703125" bestFit="1" customWidth="1"/>
    <col min="7790" max="7790" width="8.85546875" bestFit="1" customWidth="1"/>
    <col min="7791" max="7791" width="14.42578125" bestFit="1" customWidth="1"/>
    <col min="7792" max="7792" width="10.42578125" bestFit="1" customWidth="1"/>
    <col min="7793" max="7793" width="12.28515625" bestFit="1" customWidth="1"/>
    <col min="7794" max="7794" width="13.85546875" bestFit="1" customWidth="1"/>
    <col min="7795" max="7795" width="11.28515625" customWidth="1"/>
    <col min="7796" max="7796" width="11.5703125" customWidth="1"/>
    <col min="7797" max="7797" width="13.42578125" bestFit="1" customWidth="1"/>
    <col min="7798" max="7798" width="10.42578125" customWidth="1"/>
    <col min="7799" max="7799" width="13.85546875" bestFit="1" customWidth="1"/>
    <col min="7800" max="7800" width="15.42578125" bestFit="1" customWidth="1"/>
    <col min="7801" max="7801" width="12.28515625" bestFit="1" customWidth="1"/>
    <col min="7802" max="7802" width="12.7109375" customWidth="1"/>
    <col min="7803" max="7803" width="10.7109375" bestFit="1" customWidth="1"/>
    <col min="7804" max="7804" width="9.85546875" customWidth="1"/>
    <col min="7805" max="7806" width="10.140625" bestFit="1" customWidth="1"/>
    <col min="7807" max="7807" width="7.5703125" bestFit="1" customWidth="1"/>
    <col min="7808" max="7808" width="9.42578125" bestFit="1" customWidth="1"/>
    <col min="7809" max="7809" width="14.5703125" bestFit="1" customWidth="1"/>
    <col min="7810" max="7810" width="14.85546875" customWidth="1"/>
    <col min="7811" max="7811" width="15.140625" bestFit="1" customWidth="1"/>
    <col min="7812" max="7812" width="12.140625" bestFit="1" customWidth="1"/>
    <col min="7813" max="7813" width="14.85546875" bestFit="1" customWidth="1"/>
    <col min="7814" max="7814" width="12.28515625" bestFit="1" customWidth="1"/>
    <col min="7815" max="7823" width="9.140625" hidden="1" customWidth="1"/>
    <col min="7824" max="7824" width="5.28515625" bestFit="1" customWidth="1"/>
    <col min="7825" max="7830" width="11.5703125" bestFit="1" customWidth="1"/>
    <col min="7831" max="7831" width="11.28515625" bestFit="1" customWidth="1"/>
    <col min="7832" max="7832" width="10.140625" bestFit="1" customWidth="1"/>
    <col min="7833" max="7833" width="11.5703125" bestFit="1" customWidth="1"/>
    <col min="7834" max="7834" width="16.140625" customWidth="1"/>
    <col min="7835" max="7835" width="13.42578125" customWidth="1"/>
    <col min="7836" max="7836" width="10.140625" bestFit="1" customWidth="1"/>
    <col min="7837" max="7837" width="12.85546875" bestFit="1" customWidth="1"/>
    <col min="7838" max="7838" width="12.28515625" bestFit="1" customWidth="1"/>
    <col min="7839" max="7839" width="11.28515625" bestFit="1" customWidth="1"/>
    <col min="7840" max="7840" width="11.5703125" bestFit="1" customWidth="1"/>
    <col min="7841" max="7841" width="10.85546875" bestFit="1" customWidth="1"/>
    <col min="7842" max="7842" width="11.28515625" bestFit="1" customWidth="1"/>
    <col min="7843" max="7843" width="10.140625" bestFit="1" customWidth="1"/>
    <col min="7844" max="7844" width="13.28515625" bestFit="1" customWidth="1"/>
    <col min="7845" max="7846" width="12.7109375" bestFit="1" customWidth="1"/>
    <col min="7847" max="7847" width="11" bestFit="1" customWidth="1"/>
    <col min="7848" max="7848" width="11.28515625" bestFit="1" customWidth="1"/>
    <col min="7849" max="7849" width="11.5703125" bestFit="1" customWidth="1"/>
    <col min="7850" max="7850" width="12.28515625" bestFit="1" customWidth="1"/>
    <col min="7851" max="7851" width="15.140625" bestFit="1" customWidth="1"/>
    <col min="7852" max="7852" width="14.42578125" bestFit="1" customWidth="1"/>
    <col min="7853" max="7853" width="12.28515625" bestFit="1" customWidth="1"/>
    <col min="7854" max="7854" width="15.140625" bestFit="1" customWidth="1"/>
    <col min="7855" max="7855" width="14.42578125" bestFit="1" customWidth="1"/>
    <col min="7856" max="7856" width="12.28515625" bestFit="1" customWidth="1"/>
    <col min="7857" max="7857" width="14.42578125" bestFit="1" customWidth="1"/>
    <col min="7858" max="7858" width="11.28515625" bestFit="1" customWidth="1"/>
    <col min="7859" max="7859" width="12.28515625" bestFit="1" customWidth="1"/>
    <col min="7860" max="7860" width="13" bestFit="1" customWidth="1"/>
    <col min="7861" max="7861" width="15.140625" bestFit="1" customWidth="1"/>
    <col min="7862" max="7862" width="12.28515625" bestFit="1" customWidth="1"/>
    <col min="7863" max="7863" width="13.85546875" bestFit="1" customWidth="1"/>
    <col min="7864" max="7864" width="11.28515625" bestFit="1" customWidth="1"/>
    <col min="7865" max="7865" width="12.28515625" bestFit="1" customWidth="1"/>
    <col min="7866" max="7866" width="13.85546875" bestFit="1" customWidth="1"/>
    <col min="7867" max="7868" width="15.140625" bestFit="1" customWidth="1"/>
    <col min="7869" max="7869" width="12.28515625" bestFit="1" customWidth="1"/>
    <col min="7870" max="7870" width="5.7109375" bestFit="1" customWidth="1"/>
    <col min="7871" max="7871" width="8.5703125" bestFit="1" customWidth="1"/>
    <col min="7872" max="7872" width="5.5703125" bestFit="1" customWidth="1"/>
    <col min="7873" max="7873" width="14.42578125" bestFit="1" customWidth="1"/>
    <col min="7874" max="7874" width="11.28515625" bestFit="1" customWidth="1"/>
    <col min="7875" max="7876" width="12.28515625" bestFit="1" customWidth="1"/>
    <col min="7877" max="7877" width="11.28515625" bestFit="1" customWidth="1"/>
    <col min="7878" max="7878" width="13.85546875" bestFit="1" customWidth="1"/>
    <col min="7879" max="7879" width="12" bestFit="1" customWidth="1"/>
    <col min="7880" max="7880" width="13.85546875" bestFit="1" customWidth="1"/>
    <col min="7881" max="7882" width="14.42578125" customWidth="1"/>
    <col min="7883" max="7883" width="10.140625" bestFit="1" customWidth="1"/>
    <col min="7884" max="7884" width="12.28515625" bestFit="1" customWidth="1"/>
    <col min="7885" max="7885" width="7.42578125" bestFit="1" customWidth="1"/>
    <col min="7886" max="7886" width="8.5703125" bestFit="1" customWidth="1"/>
    <col min="7887" max="7887" width="11.5703125" bestFit="1" customWidth="1"/>
    <col min="7888" max="7888" width="13.28515625" bestFit="1" customWidth="1"/>
    <col min="7889" max="7889" width="13.28515625" customWidth="1"/>
    <col min="7890" max="7890" width="13.140625" customWidth="1"/>
    <col min="7891" max="7891" width="12.7109375" bestFit="1" customWidth="1"/>
    <col min="7892" max="7892" width="13.28515625" bestFit="1" customWidth="1"/>
    <col min="7893" max="7895" width="13.28515625" customWidth="1"/>
    <col min="7896" max="7896" width="12.140625" bestFit="1" customWidth="1"/>
    <col min="7897" max="7897" width="12.7109375" bestFit="1" customWidth="1"/>
    <col min="7898" max="7898" width="11" customWidth="1"/>
    <col min="7899" max="7899" width="16.7109375" customWidth="1"/>
    <col min="7900" max="7900" width="17" customWidth="1"/>
    <col min="7901" max="7901" width="10.42578125" bestFit="1" customWidth="1"/>
    <col min="7945" max="7945" width="3.85546875" customWidth="1"/>
    <col min="7946" max="7946" width="15.28515625" bestFit="1" customWidth="1"/>
    <col min="7947" max="7947" width="12.28515625" customWidth="1"/>
    <col min="7948" max="7948" width="16.28515625" bestFit="1" customWidth="1"/>
    <col min="7949" max="7949" width="6.42578125" bestFit="1" customWidth="1"/>
    <col min="7950" max="7950" width="9.28515625" bestFit="1" customWidth="1"/>
    <col min="7951" max="7951" width="7.5703125" bestFit="1" customWidth="1"/>
    <col min="7952" max="7952" width="13.28515625" bestFit="1" customWidth="1"/>
    <col min="7953" max="7953" width="9.28515625" bestFit="1" customWidth="1"/>
    <col min="7954" max="7954" width="11.5703125" bestFit="1" customWidth="1"/>
    <col min="7955" max="7955" width="13.28515625" bestFit="1" customWidth="1"/>
    <col min="7956" max="7956" width="7.140625" bestFit="1" customWidth="1"/>
    <col min="7957" max="7957" width="12" bestFit="1" customWidth="1"/>
    <col min="7958" max="7958" width="13.28515625" bestFit="1" customWidth="1"/>
    <col min="7959" max="7959" width="7" bestFit="1" customWidth="1"/>
    <col min="7960" max="7960" width="12.7109375" bestFit="1" customWidth="1"/>
    <col min="7961" max="7961" width="11.5703125" bestFit="1" customWidth="1"/>
    <col min="7962" max="7962" width="10.5703125" bestFit="1" customWidth="1"/>
    <col min="7963" max="7964" width="15.7109375" bestFit="1" customWidth="1"/>
    <col min="7965" max="7965" width="11.5703125" bestFit="1" customWidth="1"/>
    <col min="7966" max="7966" width="7.7109375" bestFit="1" customWidth="1"/>
    <col min="7967" max="7967" width="15.140625" bestFit="1" customWidth="1"/>
    <col min="7968" max="7968" width="11.5703125" bestFit="1" customWidth="1"/>
    <col min="7969" max="7969" width="13.28515625" bestFit="1" customWidth="1"/>
    <col min="7970" max="7970" width="10.42578125" bestFit="1" customWidth="1"/>
    <col min="7971" max="7971" width="13.28515625" bestFit="1" customWidth="1"/>
    <col min="7972" max="7972" width="12.140625" bestFit="1" customWidth="1"/>
    <col min="7973" max="7973" width="14.42578125" bestFit="1" customWidth="1"/>
    <col min="7974" max="7974" width="13.28515625" bestFit="1" customWidth="1"/>
    <col min="7975" max="7975" width="11.5703125" bestFit="1" customWidth="1"/>
    <col min="7976" max="7976" width="7.7109375" bestFit="1" customWidth="1"/>
    <col min="7977" max="7978" width="14.42578125" bestFit="1" customWidth="1"/>
    <col min="7979" max="7979" width="11.5703125" bestFit="1" customWidth="1"/>
    <col min="7980" max="7980" width="7.7109375" bestFit="1" customWidth="1"/>
    <col min="7981" max="7981" width="13.5703125" customWidth="1"/>
    <col min="7982" max="7982" width="15.28515625" customWidth="1"/>
    <col min="7983" max="7983" width="14.5703125" customWidth="1"/>
    <col min="7984" max="7984" width="13.28515625" bestFit="1" customWidth="1"/>
    <col min="7985" max="7985" width="7.7109375" bestFit="1" customWidth="1"/>
    <col min="7986" max="7986" width="12.7109375" bestFit="1" customWidth="1"/>
    <col min="7987" max="7987" width="11.7109375" bestFit="1" customWidth="1"/>
    <col min="7988" max="7988" width="11.5703125" bestFit="1" customWidth="1"/>
    <col min="7989" max="7989" width="5.28515625" bestFit="1" customWidth="1"/>
    <col min="7990" max="7990" width="13.28515625" bestFit="1" customWidth="1"/>
    <col min="7991" max="7991" width="13.5703125" bestFit="1" customWidth="1"/>
    <col min="7992" max="7992" width="10.5703125" bestFit="1" customWidth="1"/>
    <col min="7993" max="7993" width="13.28515625" bestFit="1" customWidth="1"/>
    <col min="7994" max="7994" width="11.5703125" bestFit="1" customWidth="1"/>
    <col min="7995" max="7995" width="10.5703125" bestFit="1" customWidth="1"/>
    <col min="7996" max="7996" width="16.140625" bestFit="1" customWidth="1"/>
    <col min="7997" max="7998" width="11.28515625" bestFit="1" customWidth="1"/>
    <col min="7999" max="7999" width="13.28515625" bestFit="1" customWidth="1"/>
    <col min="8000" max="8000" width="7.7109375" bestFit="1" customWidth="1"/>
    <col min="8001" max="8004" width="9.140625" hidden="1" customWidth="1"/>
    <col min="8005" max="8005" width="10.42578125" bestFit="1" customWidth="1"/>
    <col min="8006" max="8006" width="10.5703125" bestFit="1" customWidth="1"/>
    <col min="8007" max="8007" width="10.42578125" bestFit="1" customWidth="1"/>
    <col min="8008" max="8008" width="10.5703125" bestFit="1" customWidth="1"/>
    <col min="8009" max="8009" width="9.5703125" bestFit="1" customWidth="1"/>
    <col min="8010" max="8010" width="11.5703125" bestFit="1" customWidth="1"/>
    <col min="8011" max="8011" width="10.42578125" bestFit="1" customWidth="1"/>
    <col min="8012" max="8012" width="10.85546875" customWidth="1"/>
    <col min="8013" max="8014" width="9.85546875" bestFit="1" customWidth="1"/>
    <col min="8015" max="8015" width="13.5703125" bestFit="1" customWidth="1"/>
    <col min="8016" max="8016" width="7.7109375" bestFit="1" customWidth="1"/>
    <col min="8017" max="8017" width="13.28515625" bestFit="1" customWidth="1"/>
    <col min="8018" max="8018" width="11.5703125" bestFit="1" customWidth="1"/>
    <col min="8019" max="8019" width="10.42578125" bestFit="1" customWidth="1"/>
    <col min="8020" max="8020" width="7.7109375" bestFit="1" customWidth="1"/>
    <col min="8021" max="8021" width="11.5703125" bestFit="1" customWidth="1"/>
    <col min="8022" max="8022" width="10.85546875" bestFit="1" customWidth="1"/>
    <col min="8023" max="8023" width="13.28515625" bestFit="1" customWidth="1"/>
    <col min="8024" max="8024" width="10.85546875" bestFit="1" customWidth="1"/>
    <col min="8025" max="8026" width="7.5703125" bestFit="1" customWidth="1"/>
    <col min="8027" max="8028" width="10.42578125" bestFit="1" customWidth="1"/>
    <col min="8029" max="8029" width="11.5703125" bestFit="1" customWidth="1"/>
    <col min="8030" max="8030" width="5.28515625" bestFit="1" customWidth="1"/>
    <col min="8031" max="8031" width="10.28515625" bestFit="1" customWidth="1"/>
    <col min="8032" max="8032" width="10.42578125" bestFit="1" customWidth="1"/>
    <col min="8033" max="8033" width="11.5703125" bestFit="1" customWidth="1"/>
    <col min="8034" max="8034" width="5.28515625" bestFit="1" customWidth="1"/>
    <col min="8035" max="8037" width="11.5703125" bestFit="1" customWidth="1"/>
    <col min="8038" max="8038" width="5.28515625" bestFit="1" customWidth="1"/>
    <col min="8039" max="8040" width="10.42578125" bestFit="1" customWidth="1"/>
    <col min="8041" max="8041" width="11.5703125" bestFit="1" customWidth="1"/>
    <col min="8042" max="8042" width="5.28515625" bestFit="1" customWidth="1"/>
    <col min="8043" max="8043" width="14.28515625" bestFit="1" customWidth="1"/>
    <col min="8044" max="8044" width="13" bestFit="1" customWidth="1"/>
    <col min="8045" max="8045" width="11.5703125" bestFit="1" customWidth="1"/>
    <col min="8046" max="8046" width="8.85546875" bestFit="1" customWidth="1"/>
    <col min="8047" max="8047" width="14.42578125" bestFit="1" customWidth="1"/>
    <col min="8048" max="8048" width="10.42578125" bestFit="1" customWidth="1"/>
    <col min="8049" max="8049" width="12.28515625" bestFit="1" customWidth="1"/>
    <col min="8050" max="8050" width="13.85546875" bestFit="1" customWidth="1"/>
    <col min="8051" max="8051" width="11.28515625" customWidth="1"/>
    <col min="8052" max="8052" width="11.5703125" customWidth="1"/>
    <col min="8053" max="8053" width="13.42578125" bestFit="1" customWidth="1"/>
    <col min="8054" max="8054" width="10.42578125" customWidth="1"/>
    <col min="8055" max="8055" width="13.85546875" bestFit="1" customWidth="1"/>
    <col min="8056" max="8056" width="15.42578125" bestFit="1" customWidth="1"/>
    <col min="8057" max="8057" width="12.28515625" bestFit="1" customWidth="1"/>
    <col min="8058" max="8058" width="12.7109375" customWidth="1"/>
    <col min="8059" max="8059" width="10.7109375" bestFit="1" customWidth="1"/>
    <col min="8060" max="8060" width="9.85546875" customWidth="1"/>
    <col min="8061" max="8062" width="10.140625" bestFit="1" customWidth="1"/>
    <col min="8063" max="8063" width="7.5703125" bestFit="1" customWidth="1"/>
    <col min="8064" max="8064" width="9.42578125" bestFit="1" customWidth="1"/>
    <col min="8065" max="8065" width="14.5703125" bestFit="1" customWidth="1"/>
    <col min="8066" max="8066" width="14.85546875" customWidth="1"/>
    <col min="8067" max="8067" width="15.140625" bestFit="1" customWidth="1"/>
    <col min="8068" max="8068" width="12.140625" bestFit="1" customWidth="1"/>
    <col min="8069" max="8069" width="14.85546875" bestFit="1" customWidth="1"/>
    <col min="8070" max="8070" width="12.28515625" bestFit="1" customWidth="1"/>
    <col min="8071" max="8079" width="9.140625" hidden="1" customWidth="1"/>
    <col min="8080" max="8080" width="5.28515625" bestFit="1" customWidth="1"/>
    <col min="8081" max="8086" width="11.5703125" bestFit="1" customWidth="1"/>
    <col min="8087" max="8087" width="11.28515625" bestFit="1" customWidth="1"/>
    <col min="8088" max="8088" width="10.140625" bestFit="1" customWidth="1"/>
    <col min="8089" max="8089" width="11.5703125" bestFit="1" customWidth="1"/>
    <col min="8090" max="8090" width="16.140625" customWidth="1"/>
    <col min="8091" max="8091" width="13.42578125" customWidth="1"/>
    <col min="8092" max="8092" width="10.140625" bestFit="1" customWidth="1"/>
    <col min="8093" max="8093" width="12.85546875" bestFit="1" customWidth="1"/>
    <col min="8094" max="8094" width="12.28515625" bestFit="1" customWidth="1"/>
    <col min="8095" max="8095" width="11.28515625" bestFit="1" customWidth="1"/>
    <col min="8096" max="8096" width="11.5703125" bestFit="1" customWidth="1"/>
    <col min="8097" max="8097" width="10.85546875" bestFit="1" customWidth="1"/>
    <col min="8098" max="8098" width="11.28515625" bestFit="1" customWidth="1"/>
    <col min="8099" max="8099" width="10.140625" bestFit="1" customWidth="1"/>
    <col min="8100" max="8100" width="13.28515625" bestFit="1" customWidth="1"/>
    <col min="8101" max="8102" width="12.7109375" bestFit="1" customWidth="1"/>
    <col min="8103" max="8103" width="11" bestFit="1" customWidth="1"/>
    <col min="8104" max="8104" width="11.28515625" bestFit="1" customWidth="1"/>
    <col min="8105" max="8105" width="11.5703125" bestFit="1" customWidth="1"/>
    <col min="8106" max="8106" width="12.28515625" bestFit="1" customWidth="1"/>
    <col min="8107" max="8107" width="15.140625" bestFit="1" customWidth="1"/>
    <col min="8108" max="8108" width="14.42578125" bestFit="1" customWidth="1"/>
    <col min="8109" max="8109" width="12.28515625" bestFit="1" customWidth="1"/>
    <col min="8110" max="8110" width="15.140625" bestFit="1" customWidth="1"/>
    <col min="8111" max="8111" width="14.42578125" bestFit="1" customWidth="1"/>
    <col min="8112" max="8112" width="12.28515625" bestFit="1" customWidth="1"/>
    <col min="8113" max="8113" width="14.42578125" bestFit="1" customWidth="1"/>
    <col min="8114" max="8114" width="11.28515625" bestFit="1" customWidth="1"/>
    <col min="8115" max="8115" width="12.28515625" bestFit="1" customWidth="1"/>
    <col min="8116" max="8116" width="13" bestFit="1" customWidth="1"/>
    <col min="8117" max="8117" width="15.140625" bestFit="1" customWidth="1"/>
    <col min="8118" max="8118" width="12.28515625" bestFit="1" customWidth="1"/>
    <col min="8119" max="8119" width="13.85546875" bestFit="1" customWidth="1"/>
    <col min="8120" max="8120" width="11.28515625" bestFit="1" customWidth="1"/>
    <col min="8121" max="8121" width="12.28515625" bestFit="1" customWidth="1"/>
    <col min="8122" max="8122" width="13.85546875" bestFit="1" customWidth="1"/>
    <col min="8123" max="8124" width="15.140625" bestFit="1" customWidth="1"/>
    <col min="8125" max="8125" width="12.28515625" bestFit="1" customWidth="1"/>
    <col min="8126" max="8126" width="5.7109375" bestFit="1" customWidth="1"/>
    <col min="8127" max="8127" width="8.5703125" bestFit="1" customWidth="1"/>
    <col min="8128" max="8128" width="5.5703125" bestFit="1" customWidth="1"/>
    <col min="8129" max="8129" width="14.42578125" bestFit="1" customWidth="1"/>
    <col min="8130" max="8130" width="11.28515625" bestFit="1" customWidth="1"/>
    <col min="8131" max="8132" width="12.28515625" bestFit="1" customWidth="1"/>
    <col min="8133" max="8133" width="11.28515625" bestFit="1" customWidth="1"/>
    <col min="8134" max="8134" width="13.85546875" bestFit="1" customWidth="1"/>
    <col min="8135" max="8135" width="12" bestFit="1" customWidth="1"/>
    <col min="8136" max="8136" width="13.85546875" bestFit="1" customWidth="1"/>
    <col min="8137" max="8138" width="14.42578125" customWidth="1"/>
    <col min="8139" max="8139" width="10.140625" bestFit="1" customWidth="1"/>
    <col min="8140" max="8140" width="12.28515625" bestFit="1" customWidth="1"/>
    <col min="8141" max="8141" width="7.42578125" bestFit="1" customWidth="1"/>
    <col min="8142" max="8142" width="8.5703125" bestFit="1" customWidth="1"/>
    <col min="8143" max="8143" width="11.5703125" bestFit="1" customWidth="1"/>
    <col min="8144" max="8144" width="13.28515625" bestFit="1" customWidth="1"/>
    <col min="8145" max="8145" width="13.28515625" customWidth="1"/>
    <col min="8146" max="8146" width="13.140625" customWidth="1"/>
    <col min="8147" max="8147" width="12.7109375" bestFit="1" customWidth="1"/>
    <col min="8148" max="8148" width="13.28515625" bestFit="1" customWidth="1"/>
    <col min="8149" max="8151" width="13.28515625" customWidth="1"/>
    <col min="8152" max="8152" width="12.140625" bestFit="1" customWidth="1"/>
    <col min="8153" max="8153" width="12.7109375" bestFit="1" customWidth="1"/>
    <col min="8154" max="8154" width="11" customWidth="1"/>
    <col min="8155" max="8155" width="16.7109375" customWidth="1"/>
    <col min="8156" max="8156" width="17" customWidth="1"/>
    <col min="8157" max="8157" width="10.42578125" bestFit="1" customWidth="1"/>
    <col min="8201" max="8201" width="3.85546875" customWidth="1"/>
    <col min="8202" max="8202" width="15.28515625" bestFit="1" customWidth="1"/>
    <col min="8203" max="8203" width="12.28515625" customWidth="1"/>
    <col min="8204" max="8204" width="16.28515625" bestFit="1" customWidth="1"/>
    <col min="8205" max="8205" width="6.42578125" bestFit="1" customWidth="1"/>
    <col min="8206" max="8206" width="9.28515625" bestFit="1" customWidth="1"/>
    <col min="8207" max="8207" width="7.5703125" bestFit="1" customWidth="1"/>
    <col min="8208" max="8208" width="13.28515625" bestFit="1" customWidth="1"/>
    <col min="8209" max="8209" width="9.28515625" bestFit="1" customWidth="1"/>
    <col min="8210" max="8210" width="11.5703125" bestFit="1" customWidth="1"/>
    <col min="8211" max="8211" width="13.28515625" bestFit="1" customWidth="1"/>
    <col min="8212" max="8212" width="7.140625" bestFit="1" customWidth="1"/>
    <col min="8213" max="8213" width="12" bestFit="1" customWidth="1"/>
    <col min="8214" max="8214" width="13.28515625" bestFit="1" customWidth="1"/>
    <col min="8215" max="8215" width="7" bestFit="1" customWidth="1"/>
    <col min="8216" max="8216" width="12.7109375" bestFit="1" customWidth="1"/>
    <col min="8217" max="8217" width="11.5703125" bestFit="1" customWidth="1"/>
    <col min="8218" max="8218" width="10.5703125" bestFit="1" customWidth="1"/>
    <col min="8219" max="8220" width="15.7109375" bestFit="1" customWidth="1"/>
    <col min="8221" max="8221" width="11.5703125" bestFit="1" customWidth="1"/>
    <col min="8222" max="8222" width="7.7109375" bestFit="1" customWidth="1"/>
    <col min="8223" max="8223" width="15.140625" bestFit="1" customWidth="1"/>
    <col min="8224" max="8224" width="11.5703125" bestFit="1" customWidth="1"/>
    <col min="8225" max="8225" width="13.28515625" bestFit="1" customWidth="1"/>
    <col min="8226" max="8226" width="10.42578125" bestFit="1" customWidth="1"/>
    <col min="8227" max="8227" width="13.28515625" bestFit="1" customWidth="1"/>
    <col min="8228" max="8228" width="12.140625" bestFit="1" customWidth="1"/>
    <col min="8229" max="8229" width="14.42578125" bestFit="1" customWidth="1"/>
    <col min="8230" max="8230" width="13.28515625" bestFit="1" customWidth="1"/>
    <col min="8231" max="8231" width="11.5703125" bestFit="1" customWidth="1"/>
    <col min="8232" max="8232" width="7.7109375" bestFit="1" customWidth="1"/>
    <col min="8233" max="8234" width="14.42578125" bestFit="1" customWidth="1"/>
    <col min="8235" max="8235" width="11.5703125" bestFit="1" customWidth="1"/>
    <col min="8236" max="8236" width="7.7109375" bestFit="1" customWidth="1"/>
    <col min="8237" max="8237" width="13.5703125" customWidth="1"/>
    <col min="8238" max="8238" width="15.28515625" customWidth="1"/>
    <col min="8239" max="8239" width="14.5703125" customWidth="1"/>
    <col min="8240" max="8240" width="13.28515625" bestFit="1" customWidth="1"/>
    <col min="8241" max="8241" width="7.7109375" bestFit="1" customWidth="1"/>
    <col min="8242" max="8242" width="12.7109375" bestFit="1" customWidth="1"/>
    <col min="8243" max="8243" width="11.7109375" bestFit="1" customWidth="1"/>
    <col min="8244" max="8244" width="11.5703125" bestFit="1" customWidth="1"/>
    <col min="8245" max="8245" width="5.28515625" bestFit="1" customWidth="1"/>
    <col min="8246" max="8246" width="13.28515625" bestFit="1" customWidth="1"/>
    <col min="8247" max="8247" width="13.5703125" bestFit="1" customWidth="1"/>
    <col min="8248" max="8248" width="10.5703125" bestFit="1" customWidth="1"/>
    <col min="8249" max="8249" width="13.28515625" bestFit="1" customWidth="1"/>
    <col min="8250" max="8250" width="11.5703125" bestFit="1" customWidth="1"/>
    <col min="8251" max="8251" width="10.5703125" bestFit="1" customWidth="1"/>
    <col min="8252" max="8252" width="16.140625" bestFit="1" customWidth="1"/>
    <col min="8253" max="8254" width="11.28515625" bestFit="1" customWidth="1"/>
    <col min="8255" max="8255" width="13.28515625" bestFit="1" customWidth="1"/>
    <col min="8256" max="8256" width="7.7109375" bestFit="1" customWidth="1"/>
    <col min="8257" max="8260" width="9.140625" hidden="1" customWidth="1"/>
    <col min="8261" max="8261" width="10.42578125" bestFit="1" customWidth="1"/>
    <col min="8262" max="8262" width="10.5703125" bestFit="1" customWidth="1"/>
    <col min="8263" max="8263" width="10.42578125" bestFit="1" customWidth="1"/>
    <col min="8264" max="8264" width="10.5703125" bestFit="1" customWidth="1"/>
    <col min="8265" max="8265" width="9.5703125" bestFit="1" customWidth="1"/>
    <col min="8266" max="8266" width="11.5703125" bestFit="1" customWidth="1"/>
    <col min="8267" max="8267" width="10.42578125" bestFit="1" customWidth="1"/>
    <col min="8268" max="8268" width="10.85546875" customWidth="1"/>
    <col min="8269" max="8270" width="9.85546875" bestFit="1" customWidth="1"/>
    <col min="8271" max="8271" width="13.5703125" bestFit="1" customWidth="1"/>
    <col min="8272" max="8272" width="7.7109375" bestFit="1" customWidth="1"/>
    <col min="8273" max="8273" width="13.28515625" bestFit="1" customWidth="1"/>
    <col min="8274" max="8274" width="11.5703125" bestFit="1" customWidth="1"/>
    <col min="8275" max="8275" width="10.42578125" bestFit="1" customWidth="1"/>
    <col min="8276" max="8276" width="7.7109375" bestFit="1" customWidth="1"/>
    <col min="8277" max="8277" width="11.5703125" bestFit="1" customWidth="1"/>
    <col min="8278" max="8278" width="10.85546875" bestFit="1" customWidth="1"/>
    <col min="8279" max="8279" width="13.28515625" bestFit="1" customWidth="1"/>
    <col min="8280" max="8280" width="10.85546875" bestFit="1" customWidth="1"/>
    <col min="8281" max="8282" width="7.5703125" bestFit="1" customWidth="1"/>
    <col min="8283" max="8284" width="10.42578125" bestFit="1" customWidth="1"/>
    <col min="8285" max="8285" width="11.5703125" bestFit="1" customWidth="1"/>
    <col min="8286" max="8286" width="5.28515625" bestFit="1" customWidth="1"/>
    <col min="8287" max="8287" width="10.28515625" bestFit="1" customWidth="1"/>
    <col min="8288" max="8288" width="10.42578125" bestFit="1" customWidth="1"/>
    <col min="8289" max="8289" width="11.5703125" bestFit="1" customWidth="1"/>
    <col min="8290" max="8290" width="5.28515625" bestFit="1" customWidth="1"/>
    <col min="8291" max="8293" width="11.5703125" bestFit="1" customWidth="1"/>
    <col min="8294" max="8294" width="5.28515625" bestFit="1" customWidth="1"/>
    <col min="8295" max="8296" width="10.42578125" bestFit="1" customWidth="1"/>
    <col min="8297" max="8297" width="11.5703125" bestFit="1" customWidth="1"/>
    <col min="8298" max="8298" width="5.28515625" bestFit="1" customWidth="1"/>
    <col min="8299" max="8299" width="14.28515625" bestFit="1" customWidth="1"/>
    <col min="8300" max="8300" width="13" bestFit="1" customWidth="1"/>
    <col min="8301" max="8301" width="11.5703125" bestFit="1" customWidth="1"/>
    <col min="8302" max="8302" width="8.85546875" bestFit="1" customWidth="1"/>
    <col min="8303" max="8303" width="14.42578125" bestFit="1" customWidth="1"/>
    <col min="8304" max="8304" width="10.42578125" bestFit="1" customWidth="1"/>
    <col min="8305" max="8305" width="12.28515625" bestFit="1" customWidth="1"/>
    <col min="8306" max="8306" width="13.85546875" bestFit="1" customWidth="1"/>
    <col min="8307" max="8307" width="11.28515625" customWidth="1"/>
    <col min="8308" max="8308" width="11.5703125" customWidth="1"/>
    <col min="8309" max="8309" width="13.42578125" bestFit="1" customWidth="1"/>
    <col min="8310" max="8310" width="10.42578125" customWidth="1"/>
    <col min="8311" max="8311" width="13.85546875" bestFit="1" customWidth="1"/>
    <col min="8312" max="8312" width="15.42578125" bestFit="1" customWidth="1"/>
    <col min="8313" max="8313" width="12.28515625" bestFit="1" customWidth="1"/>
    <col min="8314" max="8314" width="12.7109375" customWidth="1"/>
    <col min="8315" max="8315" width="10.7109375" bestFit="1" customWidth="1"/>
    <col min="8316" max="8316" width="9.85546875" customWidth="1"/>
    <col min="8317" max="8318" width="10.140625" bestFit="1" customWidth="1"/>
    <col min="8319" max="8319" width="7.5703125" bestFit="1" customWidth="1"/>
    <col min="8320" max="8320" width="9.42578125" bestFit="1" customWidth="1"/>
    <col min="8321" max="8321" width="14.5703125" bestFit="1" customWidth="1"/>
    <col min="8322" max="8322" width="14.85546875" customWidth="1"/>
    <col min="8323" max="8323" width="15.140625" bestFit="1" customWidth="1"/>
    <col min="8324" max="8324" width="12.140625" bestFit="1" customWidth="1"/>
    <col min="8325" max="8325" width="14.85546875" bestFit="1" customWidth="1"/>
    <col min="8326" max="8326" width="12.28515625" bestFit="1" customWidth="1"/>
    <col min="8327" max="8335" width="9.140625" hidden="1" customWidth="1"/>
    <col min="8336" max="8336" width="5.28515625" bestFit="1" customWidth="1"/>
    <col min="8337" max="8342" width="11.5703125" bestFit="1" customWidth="1"/>
    <col min="8343" max="8343" width="11.28515625" bestFit="1" customWidth="1"/>
    <col min="8344" max="8344" width="10.140625" bestFit="1" customWidth="1"/>
    <col min="8345" max="8345" width="11.5703125" bestFit="1" customWidth="1"/>
    <col min="8346" max="8346" width="16.140625" customWidth="1"/>
    <col min="8347" max="8347" width="13.42578125" customWidth="1"/>
    <col min="8348" max="8348" width="10.140625" bestFit="1" customWidth="1"/>
    <col min="8349" max="8349" width="12.85546875" bestFit="1" customWidth="1"/>
    <col min="8350" max="8350" width="12.28515625" bestFit="1" customWidth="1"/>
    <col min="8351" max="8351" width="11.28515625" bestFit="1" customWidth="1"/>
    <col min="8352" max="8352" width="11.5703125" bestFit="1" customWidth="1"/>
    <col min="8353" max="8353" width="10.85546875" bestFit="1" customWidth="1"/>
    <col min="8354" max="8354" width="11.28515625" bestFit="1" customWidth="1"/>
    <col min="8355" max="8355" width="10.140625" bestFit="1" customWidth="1"/>
    <col min="8356" max="8356" width="13.28515625" bestFit="1" customWidth="1"/>
    <col min="8357" max="8358" width="12.7109375" bestFit="1" customWidth="1"/>
    <col min="8359" max="8359" width="11" bestFit="1" customWidth="1"/>
    <col min="8360" max="8360" width="11.28515625" bestFit="1" customWidth="1"/>
    <col min="8361" max="8361" width="11.5703125" bestFit="1" customWidth="1"/>
    <col min="8362" max="8362" width="12.28515625" bestFit="1" customWidth="1"/>
    <col min="8363" max="8363" width="15.140625" bestFit="1" customWidth="1"/>
    <col min="8364" max="8364" width="14.42578125" bestFit="1" customWidth="1"/>
    <col min="8365" max="8365" width="12.28515625" bestFit="1" customWidth="1"/>
    <col min="8366" max="8366" width="15.140625" bestFit="1" customWidth="1"/>
    <col min="8367" max="8367" width="14.42578125" bestFit="1" customWidth="1"/>
    <col min="8368" max="8368" width="12.28515625" bestFit="1" customWidth="1"/>
    <col min="8369" max="8369" width="14.42578125" bestFit="1" customWidth="1"/>
    <col min="8370" max="8370" width="11.28515625" bestFit="1" customWidth="1"/>
    <col min="8371" max="8371" width="12.28515625" bestFit="1" customWidth="1"/>
    <col min="8372" max="8372" width="13" bestFit="1" customWidth="1"/>
    <col min="8373" max="8373" width="15.140625" bestFit="1" customWidth="1"/>
    <col min="8374" max="8374" width="12.28515625" bestFit="1" customWidth="1"/>
    <col min="8375" max="8375" width="13.85546875" bestFit="1" customWidth="1"/>
    <col min="8376" max="8376" width="11.28515625" bestFit="1" customWidth="1"/>
    <col min="8377" max="8377" width="12.28515625" bestFit="1" customWidth="1"/>
    <col min="8378" max="8378" width="13.85546875" bestFit="1" customWidth="1"/>
    <col min="8379" max="8380" width="15.140625" bestFit="1" customWidth="1"/>
    <col min="8381" max="8381" width="12.28515625" bestFit="1" customWidth="1"/>
    <col min="8382" max="8382" width="5.7109375" bestFit="1" customWidth="1"/>
    <col min="8383" max="8383" width="8.5703125" bestFit="1" customWidth="1"/>
    <col min="8384" max="8384" width="5.5703125" bestFit="1" customWidth="1"/>
    <col min="8385" max="8385" width="14.42578125" bestFit="1" customWidth="1"/>
    <col min="8386" max="8386" width="11.28515625" bestFit="1" customWidth="1"/>
    <col min="8387" max="8388" width="12.28515625" bestFit="1" customWidth="1"/>
    <col min="8389" max="8389" width="11.28515625" bestFit="1" customWidth="1"/>
    <col min="8390" max="8390" width="13.85546875" bestFit="1" customWidth="1"/>
    <col min="8391" max="8391" width="12" bestFit="1" customWidth="1"/>
    <col min="8392" max="8392" width="13.85546875" bestFit="1" customWidth="1"/>
    <col min="8393" max="8394" width="14.42578125" customWidth="1"/>
    <col min="8395" max="8395" width="10.140625" bestFit="1" customWidth="1"/>
    <col min="8396" max="8396" width="12.28515625" bestFit="1" customWidth="1"/>
    <col min="8397" max="8397" width="7.42578125" bestFit="1" customWidth="1"/>
    <col min="8398" max="8398" width="8.5703125" bestFit="1" customWidth="1"/>
    <col min="8399" max="8399" width="11.5703125" bestFit="1" customWidth="1"/>
    <col min="8400" max="8400" width="13.28515625" bestFit="1" customWidth="1"/>
    <col min="8401" max="8401" width="13.28515625" customWidth="1"/>
    <col min="8402" max="8402" width="13.140625" customWidth="1"/>
    <col min="8403" max="8403" width="12.7109375" bestFit="1" customWidth="1"/>
    <col min="8404" max="8404" width="13.28515625" bestFit="1" customWidth="1"/>
    <col min="8405" max="8407" width="13.28515625" customWidth="1"/>
    <col min="8408" max="8408" width="12.140625" bestFit="1" customWidth="1"/>
    <col min="8409" max="8409" width="12.7109375" bestFit="1" customWidth="1"/>
    <col min="8410" max="8410" width="11" customWidth="1"/>
    <col min="8411" max="8411" width="16.7109375" customWidth="1"/>
    <col min="8412" max="8412" width="17" customWidth="1"/>
    <col min="8413" max="8413" width="10.42578125" bestFit="1" customWidth="1"/>
    <col min="8457" max="8457" width="3.85546875" customWidth="1"/>
    <col min="8458" max="8458" width="15.28515625" bestFit="1" customWidth="1"/>
    <col min="8459" max="8459" width="12.28515625" customWidth="1"/>
    <col min="8460" max="8460" width="16.28515625" bestFit="1" customWidth="1"/>
    <col min="8461" max="8461" width="6.42578125" bestFit="1" customWidth="1"/>
    <col min="8462" max="8462" width="9.28515625" bestFit="1" customWidth="1"/>
    <col min="8463" max="8463" width="7.5703125" bestFit="1" customWidth="1"/>
    <col min="8464" max="8464" width="13.28515625" bestFit="1" customWidth="1"/>
    <col min="8465" max="8465" width="9.28515625" bestFit="1" customWidth="1"/>
    <col min="8466" max="8466" width="11.5703125" bestFit="1" customWidth="1"/>
    <col min="8467" max="8467" width="13.28515625" bestFit="1" customWidth="1"/>
    <col min="8468" max="8468" width="7.140625" bestFit="1" customWidth="1"/>
    <col min="8469" max="8469" width="12" bestFit="1" customWidth="1"/>
    <col min="8470" max="8470" width="13.28515625" bestFit="1" customWidth="1"/>
    <col min="8471" max="8471" width="7" bestFit="1" customWidth="1"/>
    <col min="8472" max="8472" width="12.7109375" bestFit="1" customWidth="1"/>
    <col min="8473" max="8473" width="11.5703125" bestFit="1" customWidth="1"/>
    <col min="8474" max="8474" width="10.5703125" bestFit="1" customWidth="1"/>
    <col min="8475" max="8476" width="15.7109375" bestFit="1" customWidth="1"/>
    <col min="8477" max="8477" width="11.5703125" bestFit="1" customWidth="1"/>
    <col min="8478" max="8478" width="7.7109375" bestFit="1" customWidth="1"/>
    <col min="8479" max="8479" width="15.140625" bestFit="1" customWidth="1"/>
    <col min="8480" max="8480" width="11.5703125" bestFit="1" customWidth="1"/>
    <col min="8481" max="8481" width="13.28515625" bestFit="1" customWidth="1"/>
    <col min="8482" max="8482" width="10.42578125" bestFit="1" customWidth="1"/>
    <col min="8483" max="8483" width="13.28515625" bestFit="1" customWidth="1"/>
    <col min="8484" max="8484" width="12.140625" bestFit="1" customWidth="1"/>
    <col min="8485" max="8485" width="14.42578125" bestFit="1" customWidth="1"/>
    <col min="8486" max="8486" width="13.28515625" bestFit="1" customWidth="1"/>
    <col min="8487" max="8487" width="11.5703125" bestFit="1" customWidth="1"/>
    <col min="8488" max="8488" width="7.7109375" bestFit="1" customWidth="1"/>
    <col min="8489" max="8490" width="14.42578125" bestFit="1" customWidth="1"/>
    <col min="8491" max="8491" width="11.5703125" bestFit="1" customWidth="1"/>
    <col min="8492" max="8492" width="7.7109375" bestFit="1" customWidth="1"/>
    <col min="8493" max="8493" width="13.5703125" customWidth="1"/>
    <col min="8494" max="8494" width="15.28515625" customWidth="1"/>
    <col min="8495" max="8495" width="14.5703125" customWidth="1"/>
    <col min="8496" max="8496" width="13.28515625" bestFit="1" customWidth="1"/>
    <col min="8497" max="8497" width="7.7109375" bestFit="1" customWidth="1"/>
    <col min="8498" max="8498" width="12.7109375" bestFit="1" customWidth="1"/>
    <col min="8499" max="8499" width="11.7109375" bestFit="1" customWidth="1"/>
    <col min="8500" max="8500" width="11.5703125" bestFit="1" customWidth="1"/>
    <col min="8501" max="8501" width="5.28515625" bestFit="1" customWidth="1"/>
    <col min="8502" max="8502" width="13.28515625" bestFit="1" customWidth="1"/>
    <col min="8503" max="8503" width="13.5703125" bestFit="1" customWidth="1"/>
    <col min="8504" max="8504" width="10.5703125" bestFit="1" customWidth="1"/>
    <col min="8505" max="8505" width="13.28515625" bestFit="1" customWidth="1"/>
    <col min="8506" max="8506" width="11.5703125" bestFit="1" customWidth="1"/>
    <col min="8507" max="8507" width="10.5703125" bestFit="1" customWidth="1"/>
    <col min="8508" max="8508" width="16.140625" bestFit="1" customWidth="1"/>
    <col min="8509" max="8510" width="11.28515625" bestFit="1" customWidth="1"/>
    <col min="8511" max="8511" width="13.28515625" bestFit="1" customWidth="1"/>
    <col min="8512" max="8512" width="7.7109375" bestFit="1" customWidth="1"/>
    <col min="8513" max="8516" width="9.140625" hidden="1" customWidth="1"/>
    <col min="8517" max="8517" width="10.42578125" bestFit="1" customWidth="1"/>
    <col min="8518" max="8518" width="10.5703125" bestFit="1" customWidth="1"/>
    <col min="8519" max="8519" width="10.42578125" bestFit="1" customWidth="1"/>
    <col min="8520" max="8520" width="10.5703125" bestFit="1" customWidth="1"/>
    <col min="8521" max="8521" width="9.5703125" bestFit="1" customWidth="1"/>
    <col min="8522" max="8522" width="11.5703125" bestFit="1" customWidth="1"/>
    <col min="8523" max="8523" width="10.42578125" bestFit="1" customWidth="1"/>
    <col min="8524" max="8524" width="10.85546875" customWidth="1"/>
    <col min="8525" max="8526" width="9.85546875" bestFit="1" customWidth="1"/>
    <col min="8527" max="8527" width="13.5703125" bestFit="1" customWidth="1"/>
    <col min="8528" max="8528" width="7.7109375" bestFit="1" customWidth="1"/>
    <col min="8529" max="8529" width="13.28515625" bestFit="1" customWidth="1"/>
    <col min="8530" max="8530" width="11.5703125" bestFit="1" customWidth="1"/>
    <col min="8531" max="8531" width="10.42578125" bestFit="1" customWidth="1"/>
    <col min="8532" max="8532" width="7.7109375" bestFit="1" customWidth="1"/>
    <col min="8533" max="8533" width="11.5703125" bestFit="1" customWidth="1"/>
    <col min="8534" max="8534" width="10.85546875" bestFit="1" customWidth="1"/>
    <col min="8535" max="8535" width="13.28515625" bestFit="1" customWidth="1"/>
    <col min="8536" max="8536" width="10.85546875" bestFit="1" customWidth="1"/>
    <col min="8537" max="8538" width="7.5703125" bestFit="1" customWidth="1"/>
    <col min="8539" max="8540" width="10.42578125" bestFit="1" customWidth="1"/>
    <col min="8541" max="8541" width="11.5703125" bestFit="1" customWidth="1"/>
    <col min="8542" max="8542" width="5.28515625" bestFit="1" customWidth="1"/>
    <col min="8543" max="8543" width="10.28515625" bestFit="1" customWidth="1"/>
    <col min="8544" max="8544" width="10.42578125" bestFit="1" customWidth="1"/>
    <col min="8545" max="8545" width="11.5703125" bestFit="1" customWidth="1"/>
    <col min="8546" max="8546" width="5.28515625" bestFit="1" customWidth="1"/>
    <col min="8547" max="8549" width="11.5703125" bestFit="1" customWidth="1"/>
    <col min="8550" max="8550" width="5.28515625" bestFit="1" customWidth="1"/>
    <col min="8551" max="8552" width="10.42578125" bestFit="1" customWidth="1"/>
    <col min="8553" max="8553" width="11.5703125" bestFit="1" customWidth="1"/>
    <col min="8554" max="8554" width="5.28515625" bestFit="1" customWidth="1"/>
    <col min="8555" max="8555" width="14.28515625" bestFit="1" customWidth="1"/>
    <col min="8556" max="8556" width="13" bestFit="1" customWidth="1"/>
    <col min="8557" max="8557" width="11.5703125" bestFit="1" customWidth="1"/>
    <col min="8558" max="8558" width="8.85546875" bestFit="1" customWidth="1"/>
    <col min="8559" max="8559" width="14.42578125" bestFit="1" customWidth="1"/>
    <col min="8560" max="8560" width="10.42578125" bestFit="1" customWidth="1"/>
    <col min="8561" max="8561" width="12.28515625" bestFit="1" customWidth="1"/>
    <col min="8562" max="8562" width="13.85546875" bestFit="1" customWidth="1"/>
    <col min="8563" max="8563" width="11.28515625" customWidth="1"/>
    <col min="8564" max="8564" width="11.5703125" customWidth="1"/>
    <col min="8565" max="8565" width="13.42578125" bestFit="1" customWidth="1"/>
    <col min="8566" max="8566" width="10.42578125" customWidth="1"/>
    <col min="8567" max="8567" width="13.85546875" bestFit="1" customWidth="1"/>
    <col min="8568" max="8568" width="15.42578125" bestFit="1" customWidth="1"/>
    <col min="8569" max="8569" width="12.28515625" bestFit="1" customWidth="1"/>
    <col min="8570" max="8570" width="12.7109375" customWidth="1"/>
    <col min="8571" max="8571" width="10.7109375" bestFit="1" customWidth="1"/>
    <col min="8572" max="8572" width="9.85546875" customWidth="1"/>
    <col min="8573" max="8574" width="10.140625" bestFit="1" customWidth="1"/>
    <col min="8575" max="8575" width="7.5703125" bestFit="1" customWidth="1"/>
    <col min="8576" max="8576" width="9.42578125" bestFit="1" customWidth="1"/>
    <col min="8577" max="8577" width="14.5703125" bestFit="1" customWidth="1"/>
    <col min="8578" max="8578" width="14.85546875" customWidth="1"/>
    <col min="8579" max="8579" width="15.140625" bestFit="1" customWidth="1"/>
    <col min="8580" max="8580" width="12.140625" bestFit="1" customWidth="1"/>
    <col min="8581" max="8581" width="14.85546875" bestFit="1" customWidth="1"/>
    <col min="8582" max="8582" width="12.28515625" bestFit="1" customWidth="1"/>
    <col min="8583" max="8591" width="9.140625" hidden="1" customWidth="1"/>
    <col min="8592" max="8592" width="5.28515625" bestFit="1" customWidth="1"/>
    <col min="8593" max="8598" width="11.5703125" bestFit="1" customWidth="1"/>
    <col min="8599" max="8599" width="11.28515625" bestFit="1" customWidth="1"/>
    <col min="8600" max="8600" width="10.140625" bestFit="1" customWidth="1"/>
    <col min="8601" max="8601" width="11.5703125" bestFit="1" customWidth="1"/>
    <col min="8602" max="8602" width="16.140625" customWidth="1"/>
    <col min="8603" max="8603" width="13.42578125" customWidth="1"/>
    <col min="8604" max="8604" width="10.140625" bestFit="1" customWidth="1"/>
    <col min="8605" max="8605" width="12.85546875" bestFit="1" customWidth="1"/>
    <col min="8606" max="8606" width="12.28515625" bestFit="1" customWidth="1"/>
    <col min="8607" max="8607" width="11.28515625" bestFit="1" customWidth="1"/>
    <col min="8608" max="8608" width="11.5703125" bestFit="1" customWidth="1"/>
    <col min="8609" max="8609" width="10.85546875" bestFit="1" customWidth="1"/>
    <col min="8610" max="8610" width="11.28515625" bestFit="1" customWidth="1"/>
    <col min="8611" max="8611" width="10.140625" bestFit="1" customWidth="1"/>
    <col min="8612" max="8612" width="13.28515625" bestFit="1" customWidth="1"/>
    <col min="8613" max="8614" width="12.7109375" bestFit="1" customWidth="1"/>
    <col min="8615" max="8615" width="11" bestFit="1" customWidth="1"/>
    <col min="8616" max="8616" width="11.28515625" bestFit="1" customWidth="1"/>
    <col min="8617" max="8617" width="11.5703125" bestFit="1" customWidth="1"/>
    <col min="8618" max="8618" width="12.28515625" bestFit="1" customWidth="1"/>
    <col min="8619" max="8619" width="15.140625" bestFit="1" customWidth="1"/>
    <col min="8620" max="8620" width="14.42578125" bestFit="1" customWidth="1"/>
    <col min="8621" max="8621" width="12.28515625" bestFit="1" customWidth="1"/>
    <col min="8622" max="8622" width="15.140625" bestFit="1" customWidth="1"/>
    <col min="8623" max="8623" width="14.42578125" bestFit="1" customWidth="1"/>
    <col min="8624" max="8624" width="12.28515625" bestFit="1" customWidth="1"/>
    <col min="8625" max="8625" width="14.42578125" bestFit="1" customWidth="1"/>
    <col min="8626" max="8626" width="11.28515625" bestFit="1" customWidth="1"/>
    <col min="8627" max="8627" width="12.28515625" bestFit="1" customWidth="1"/>
    <col min="8628" max="8628" width="13" bestFit="1" customWidth="1"/>
    <col min="8629" max="8629" width="15.140625" bestFit="1" customWidth="1"/>
    <col min="8630" max="8630" width="12.28515625" bestFit="1" customWidth="1"/>
    <col min="8631" max="8631" width="13.85546875" bestFit="1" customWidth="1"/>
    <col min="8632" max="8632" width="11.28515625" bestFit="1" customWidth="1"/>
    <col min="8633" max="8633" width="12.28515625" bestFit="1" customWidth="1"/>
    <col min="8634" max="8634" width="13.85546875" bestFit="1" customWidth="1"/>
    <col min="8635" max="8636" width="15.140625" bestFit="1" customWidth="1"/>
    <col min="8637" max="8637" width="12.28515625" bestFit="1" customWidth="1"/>
    <col min="8638" max="8638" width="5.7109375" bestFit="1" customWidth="1"/>
    <col min="8639" max="8639" width="8.5703125" bestFit="1" customWidth="1"/>
    <col min="8640" max="8640" width="5.5703125" bestFit="1" customWidth="1"/>
    <col min="8641" max="8641" width="14.42578125" bestFit="1" customWidth="1"/>
    <col min="8642" max="8642" width="11.28515625" bestFit="1" customWidth="1"/>
    <col min="8643" max="8644" width="12.28515625" bestFit="1" customWidth="1"/>
    <col min="8645" max="8645" width="11.28515625" bestFit="1" customWidth="1"/>
    <col min="8646" max="8646" width="13.85546875" bestFit="1" customWidth="1"/>
    <col min="8647" max="8647" width="12" bestFit="1" customWidth="1"/>
    <col min="8648" max="8648" width="13.85546875" bestFit="1" customWidth="1"/>
    <col min="8649" max="8650" width="14.42578125" customWidth="1"/>
    <col min="8651" max="8651" width="10.140625" bestFit="1" customWidth="1"/>
    <col min="8652" max="8652" width="12.28515625" bestFit="1" customWidth="1"/>
    <col min="8653" max="8653" width="7.42578125" bestFit="1" customWidth="1"/>
    <col min="8654" max="8654" width="8.5703125" bestFit="1" customWidth="1"/>
    <col min="8655" max="8655" width="11.5703125" bestFit="1" customWidth="1"/>
    <col min="8656" max="8656" width="13.28515625" bestFit="1" customWidth="1"/>
    <col min="8657" max="8657" width="13.28515625" customWidth="1"/>
    <col min="8658" max="8658" width="13.140625" customWidth="1"/>
    <col min="8659" max="8659" width="12.7109375" bestFit="1" customWidth="1"/>
    <col min="8660" max="8660" width="13.28515625" bestFit="1" customWidth="1"/>
    <col min="8661" max="8663" width="13.28515625" customWidth="1"/>
    <col min="8664" max="8664" width="12.140625" bestFit="1" customWidth="1"/>
    <col min="8665" max="8665" width="12.7109375" bestFit="1" customWidth="1"/>
    <col min="8666" max="8666" width="11" customWidth="1"/>
    <col min="8667" max="8667" width="16.7109375" customWidth="1"/>
    <col min="8668" max="8668" width="17" customWidth="1"/>
    <col min="8669" max="8669" width="10.42578125" bestFit="1" customWidth="1"/>
    <col min="8713" max="8713" width="3.85546875" customWidth="1"/>
    <col min="8714" max="8714" width="15.28515625" bestFit="1" customWidth="1"/>
    <col min="8715" max="8715" width="12.28515625" customWidth="1"/>
    <col min="8716" max="8716" width="16.28515625" bestFit="1" customWidth="1"/>
    <col min="8717" max="8717" width="6.42578125" bestFit="1" customWidth="1"/>
    <col min="8718" max="8718" width="9.28515625" bestFit="1" customWidth="1"/>
    <col min="8719" max="8719" width="7.5703125" bestFit="1" customWidth="1"/>
    <col min="8720" max="8720" width="13.28515625" bestFit="1" customWidth="1"/>
    <col min="8721" max="8721" width="9.28515625" bestFit="1" customWidth="1"/>
    <col min="8722" max="8722" width="11.5703125" bestFit="1" customWidth="1"/>
    <col min="8723" max="8723" width="13.28515625" bestFit="1" customWidth="1"/>
    <col min="8724" max="8724" width="7.140625" bestFit="1" customWidth="1"/>
    <col min="8725" max="8725" width="12" bestFit="1" customWidth="1"/>
    <col min="8726" max="8726" width="13.28515625" bestFit="1" customWidth="1"/>
    <col min="8727" max="8727" width="7" bestFit="1" customWidth="1"/>
    <col min="8728" max="8728" width="12.7109375" bestFit="1" customWidth="1"/>
    <col min="8729" max="8729" width="11.5703125" bestFit="1" customWidth="1"/>
    <col min="8730" max="8730" width="10.5703125" bestFit="1" customWidth="1"/>
    <col min="8731" max="8732" width="15.7109375" bestFit="1" customWidth="1"/>
    <col min="8733" max="8733" width="11.5703125" bestFit="1" customWidth="1"/>
    <col min="8734" max="8734" width="7.7109375" bestFit="1" customWidth="1"/>
    <col min="8735" max="8735" width="15.140625" bestFit="1" customWidth="1"/>
    <col min="8736" max="8736" width="11.5703125" bestFit="1" customWidth="1"/>
    <col min="8737" max="8737" width="13.28515625" bestFit="1" customWidth="1"/>
    <col min="8738" max="8738" width="10.42578125" bestFit="1" customWidth="1"/>
    <col min="8739" max="8739" width="13.28515625" bestFit="1" customWidth="1"/>
    <col min="8740" max="8740" width="12.140625" bestFit="1" customWidth="1"/>
    <col min="8741" max="8741" width="14.42578125" bestFit="1" customWidth="1"/>
    <col min="8742" max="8742" width="13.28515625" bestFit="1" customWidth="1"/>
    <col min="8743" max="8743" width="11.5703125" bestFit="1" customWidth="1"/>
    <col min="8744" max="8744" width="7.7109375" bestFit="1" customWidth="1"/>
    <col min="8745" max="8746" width="14.42578125" bestFit="1" customWidth="1"/>
    <col min="8747" max="8747" width="11.5703125" bestFit="1" customWidth="1"/>
    <col min="8748" max="8748" width="7.7109375" bestFit="1" customWidth="1"/>
    <col min="8749" max="8749" width="13.5703125" customWidth="1"/>
    <col min="8750" max="8750" width="15.28515625" customWidth="1"/>
    <col min="8751" max="8751" width="14.5703125" customWidth="1"/>
    <col min="8752" max="8752" width="13.28515625" bestFit="1" customWidth="1"/>
    <col min="8753" max="8753" width="7.7109375" bestFit="1" customWidth="1"/>
    <col min="8754" max="8754" width="12.7109375" bestFit="1" customWidth="1"/>
    <col min="8755" max="8755" width="11.7109375" bestFit="1" customWidth="1"/>
    <col min="8756" max="8756" width="11.5703125" bestFit="1" customWidth="1"/>
    <col min="8757" max="8757" width="5.28515625" bestFit="1" customWidth="1"/>
    <col min="8758" max="8758" width="13.28515625" bestFit="1" customWidth="1"/>
    <col min="8759" max="8759" width="13.5703125" bestFit="1" customWidth="1"/>
    <col min="8760" max="8760" width="10.5703125" bestFit="1" customWidth="1"/>
    <col min="8761" max="8761" width="13.28515625" bestFit="1" customWidth="1"/>
    <col min="8762" max="8762" width="11.5703125" bestFit="1" customWidth="1"/>
    <col min="8763" max="8763" width="10.5703125" bestFit="1" customWidth="1"/>
    <col min="8764" max="8764" width="16.140625" bestFit="1" customWidth="1"/>
    <col min="8765" max="8766" width="11.28515625" bestFit="1" customWidth="1"/>
    <col min="8767" max="8767" width="13.28515625" bestFit="1" customWidth="1"/>
    <col min="8768" max="8768" width="7.7109375" bestFit="1" customWidth="1"/>
    <col min="8769" max="8772" width="9.140625" hidden="1" customWidth="1"/>
    <col min="8773" max="8773" width="10.42578125" bestFit="1" customWidth="1"/>
    <col min="8774" max="8774" width="10.5703125" bestFit="1" customWidth="1"/>
    <col min="8775" max="8775" width="10.42578125" bestFit="1" customWidth="1"/>
    <col min="8776" max="8776" width="10.5703125" bestFit="1" customWidth="1"/>
    <col min="8777" max="8777" width="9.5703125" bestFit="1" customWidth="1"/>
    <col min="8778" max="8778" width="11.5703125" bestFit="1" customWidth="1"/>
    <col min="8779" max="8779" width="10.42578125" bestFit="1" customWidth="1"/>
    <col min="8780" max="8780" width="10.85546875" customWidth="1"/>
    <col min="8781" max="8782" width="9.85546875" bestFit="1" customWidth="1"/>
    <col min="8783" max="8783" width="13.5703125" bestFit="1" customWidth="1"/>
    <col min="8784" max="8784" width="7.7109375" bestFit="1" customWidth="1"/>
    <col min="8785" max="8785" width="13.28515625" bestFit="1" customWidth="1"/>
    <col min="8786" max="8786" width="11.5703125" bestFit="1" customWidth="1"/>
    <col min="8787" max="8787" width="10.42578125" bestFit="1" customWidth="1"/>
    <col min="8788" max="8788" width="7.7109375" bestFit="1" customWidth="1"/>
    <col min="8789" max="8789" width="11.5703125" bestFit="1" customWidth="1"/>
    <col min="8790" max="8790" width="10.85546875" bestFit="1" customWidth="1"/>
    <col min="8791" max="8791" width="13.28515625" bestFit="1" customWidth="1"/>
    <col min="8792" max="8792" width="10.85546875" bestFit="1" customWidth="1"/>
    <col min="8793" max="8794" width="7.5703125" bestFit="1" customWidth="1"/>
    <col min="8795" max="8796" width="10.42578125" bestFit="1" customWidth="1"/>
    <col min="8797" max="8797" width="11.5703125" bestFit="1" customWidth="1"/>
    <col min="8798" max="8798" width="5.28515625" bestFit="1" customWidth="1"/>
    <col min="8799" max="8799" width="10.28515625" bestFit="1" customWidth="1"/>
    <col min="8800" max="8800" width="10.42578125" bestFit="1" customWidth="1"/>
    <col min="8801" max="8801" width="11.5703125" bestFit="1" customWidth="1"/>
    <col min="8802" max="8802" width="5.28515625" bestFit="1" customWidth="1"/>
    <col min="8803" max="8805" width="11.5703125" bestFit="1" customWidth="1"/>
    <col min="8806" max="8806" width="5.28515625" bestFit="1" customWidth="1"/>
    <col min="8807" max="8808" width="10.42578125" bestFit="1" customWidth="1"/>
    <col min="8809" max="8809" width="11.5703125" bestFit="1" customWidth="1"/>
    <col min="8810" max="8810" width="5.28515625" bestFit="1" customWidth="1"/>
    <col min="8811" max="8811" width="14.28515625" bestFit="1" customWidth="1"/>
    <col min="8812" max="8812" width="13" bestFit="1" customWidth="1"/>
    <col min="8813" max="8813" width="11.5703125" bestFit="1" customWidth="1"/>
    <col min="8814" max="8814" width="8.85546875" bestFit="1" customWidth="1"/>
    <col min="8815" max="8815" width="14.42578125" bestFit="1" customWidth="1"/>
    <col min="8816" max="8816" width="10.42578125" bestFit="1" customWidth="1"/>
    <col min="8817" max="8817" width="12.28515625" bestFit="1" customWidth="1"/>
    <col min="8818" max="8818" width="13.85546875" bestFit="1" customWidth="1"/>
    <col min="8819" max="8819" width="11.28515625" customWidth="1"/>
    <col min="8820" max="8820" width="11.5703125" customWidth="1"/>
    <col min="8821" max="8821" width="13.42578125" bestFit="1" customWidth="1"/>
    <col min="8822" max="8822" width="10.42578125" customWidth="1"/>
    <col min="8823" max="8823" width="13.85546875" bestFit="1" customWidth="1"/>
    <col min="8824" max="8824" width="15.42578125" bestFit="1" customWidth="1"/>
    <col min="8825" max="8825" width="12.28515625" bestFit="1" customWidth="1"/>
    <col min="8826" max="8826" width="12.7109375" customWidth="1"/>
    <col min="8827" max="8827" width="10.7109375" bestFit="1" customWidth="1"/>
    <col min="8828" max="8828" width="9.85546875" customWidth="1"/>
    <col min="8829" max="8830" width="10.140625" bestFit="1" customWidth="1"/>
    <col min="8831" max="8831" width="7.5703125" bestFit="1" customWidth="1"/>
    <col min="8832" max="8832" width="9.42578125" bestFit="1" customWidth="1"/>
    <col min="8833" max="8833" width="14.5703125" bestFit="1" customWidth="1"/>
    <col min="8834" max="8834" width="14.85546875" customWidth="1"/>
    <col min="8835" max="8835" width="15.140625" bestFit="1" customWidth="1"/>
    <col min="8836" max="8836" width="12.140625" bestFit="1" customWidth="1"/>
    <col min="8837" max="8837" width="14.85546875" bestFit="1" customWidth="1"/>
    <col min="8838" max="8838" width="12.28515625" bestFit="1" customWidth="1"/>
    <col min="8839" max="8847" width="9.140625" hidden="1" customWidth="1"/>
    <col min="8848" max="8848" width="5.28515625" bestFit="1" customWidth="1"/>
    <col min="8849" max="8854" width="11.5703125" bestFit="1" customWidth="1"/>
    <col min="8855" max="8855" width="11.28515625" bestFit="1" customWidth="1"/>
    <col min="8856" max="8856" width="10.140625" bestFit="1" customWidth="1"/>
    <col min="8857" max="8857" width="11.5703125" bestFit="1" customWidth="1"/>
    <col min="8858" max="8858" width="16.140625" customWidth="1"/>
    <col min="8859" max="8859" width="13.42578125" customWidth="1"/>
    <col min="8860" max="8860" width="10.140625" bestFit="1" customWidth="1"/>
    <col min="8861" max="8861" width="12.85546875" bestFit="1" customWidth="1"/>
    <col min="8862" max="8862" width="12.28515625" bestFit="1" customWidth="1"/>
    <col min="8863" max="8863" width="11.28515625" bestFit="1" customWidth="1"/>
    <col min="8864" max="8864" width="11.5703125" bestFit="1" customWidth="1"/>
    <col min="8865" max="8865" width="10.85546875" bestFit="1" customWidth="1"/>
    <col min="8866" max="8866" width="11.28515625" bestFit="1" customWidth="1"/>
    <col min="8867" max="8867" width="10.140625" bestFit="1" customWidth="1"/>
    <col min="8868" max="8868" width="13.28515625" bestFit="1" customWidth="1"/>
    <col min="8869" max="8870" width="12.7109375" bestFit="1" customWidth="1"/>
    <col min="8871" max="8871" width="11" bestFit="1" customWidth="1"/>
    <col min="8872" max="8872" width="11.28515625" bestFit="1" customWidth="1"/>
    <col min="8873" max="8873" width="11.5703125" bestFit="1" customWidth="1"/>
    <col min="8874" max="8874" width="12.28515625" bestFit="1" customWidth="1"/>
    <col min="8875" max="8875" width="15.140625" bestFit="1" customWidth="1"/>
    <col min="8876" max="8876" width="14.42578125" bestFit="1" customWidth="1"/>
    <col min="8877" max="8877" width="12.28515625" bestFit="1" customWidth="1"/>
    <col min="8878" max="8878" width="15.140625" bestFit="1" customWidth="1"/>
    <col min="8879" max="8879" width="14.42578125" bestFit="1" customWidth="1"/>
    <col min="8880" max="8880" width="12.28515625" bestFit="1" customWidth="1"/>
    <col min="8881" max="8881" width="14.42578125" bestFit="1" customWidth="1"/>
    <col min="8882" max="8882" width="11.28515625" bestFit="1" customWidth="1"/>
    <col min="8883" max="8883" width="12.28515625" bestFit="1" customWidth="1"/>
    <col min="8884" max="8884" width="13" bestFit="1" customWidth="1"/>
    <col min="8885" max="8885" width="15.140625" bestFit="1" customWidth="1"/>
    <col min="8886" max="8886" width="12.28515625" bestFit="1" customWidth="1"/>
    <col min="8887" max="8887" width="13.85546875" bestFit="1" customWidth="1"/>
    <col min="8888" max="8888" width="11.28515625" bestFit="1" customWidth="1"/>
    <col min="8889" max="8889" width="12.28515625" bestFit="1" customWidth="1"/>
    <col min="8890" max="8890" width="13.85546875" bestFit="1" customWidth="1"/>
    <col min="8891" max="8892" width="15.140625" bestFit="1" customWidth="1"/>
    <col min="8893" max="8893" width="12.28515625" bestFit="1" customWidth="1"/>
    <col min="8894" max="8894" width="5.7109375" bestFit="1" customWidth="1"/>
    <col min="8895" max="8895" width="8.5703125" bestFit="1" customWidth="1"/>
    <col min="8896" max="8896" width="5.5703125" bestFit="1" customWidth="1"/>
    <col min="8897" max="8897" width="14.42578125" bestFit="1" customWidth="1"/>
    <col min="8898" max="8898" width="11.28515625" bestFit="1" customWidth="1"/>
    <col min="8899" max="8900" width="12.28515625" bestFit="1" customWidth="1"/>
    <col min="8901" max="8901" width="11.28515625" bestFit="1" customWidth="1"/>
    <col min="8902" max="8902" width="13.85546875" bestFit="1" customWidth="1"/>
    <col min="8903" max="8903" width="12" bestFit="1" customWidth="1"/>
    <col min="8904" max="8904" width="13.85546875" bestFit="1" customWidth="1"/>
    <col min="8905" max="8906" width="14.42578125" customWidth="1"/>
    <col min="8907" max="8907" width="10.140625" bestFit="1" customWidth="1"/>
    <col min="8908" max="8908" width="12.28515625" bestFit="1" customWidth="1"/>
    <col min="8909" max="8909" width="7.42578125" bestFit="1" customWidth="1"/>
    <col min="8910" max="8910" width="8.5703125" bestFit="1" customWidth="1"/>
    <col min="8911" max="8911" width="11.5703125" bestFit="1" customWidth="1"/>
    <col min="8912" max="8912" width="13.28515625" bestFit="1" customWidth="1"/>
    <col min="8913" max="8913" width="13.28515625" customWidth="1"/>
    <col min="8914" max="8914" width="13.140625" customWidth="1"/>
    <col min="8915" max="8915" width="12.7109375" bestFit="1" customWidth="1"/>
    <col min="8916" max="8916" width="13.28515625" bestFit="1" customWidth="1"/>
    <col min="8917" max="8919" width="13.28515625" customWidth="1"/>
    <col min="8920" max="8920" width="12.140625" bestFit="1" customWidth="1"/>
    <col min="8921" max="8921" width="12.7109375" bestFit="1" customWidth="1"/>
    <col min="8922" max="8922" width="11" customWidth="1"/>
    <col min="8923" max="8923" width="16.7109375" customWidth="1"/>
    <col min="8924" max="8924" width="17" customWidth="1"/>
    <col min="8925" max="8925" width="10.42578125" bestFit="1" customWidth="1"/>
    <col min="8969" max="8969" width="3.85546875" customWidth="1"/>
    <col min="8970" max="8970" width="15.28515625" bestFit="1" customWidth="1"/>
    <col min="8971" max="8971" width="12.28515625" customWidth="1"/>
    <col min="8972" max="8972" width="16.28515625" bestFit="1" customWidth="1"/>
    <col min="8973" max="8973" width="6.42578125" bestFit="1" customWidth="1"/>
    <col min="8974" max="8974" width="9.28515625" bestFit="1" customWidth="1"/>
    <col min="8975" max="8975" width="7.5703125" bestFit="1" customWidth="1"/>
    <col min="8976" max="8976" width="13.28515625" bestFit="1" customWidth="1"/>
    <col min="8977" max="8977" width="9.28515625" bestFit="1" customWidth="1"/>
    <col min="8978" max="8978" width="11.5703125" bestFit="1" customWidth="1"/>
    <col min="8979" max="8979" width="13.28515625" bestFit="1" customWidth="1"/>
    <col min="8980" max="8980" width="7.140625" bestFit="1" customWidth="1"/>
    <col min="8981" max="8981" width="12" bestFit="1" customWidth="1"/>
    <col min="8982" max="8982" width="13.28515625" bestFit="1" customWidth="1"/>
    <col min="8983" max="8983" width="7" bestFit="1" customWidth="1"/>
    <col min="8984" max="8984" width="12.7109375" bestFit="1" customWidth="1"/>
    <col min="8985" max="8985" width="11.5703125" bestFit="1" customWidth="1"/>
    <col min="8986" max="8986" width="10.5703125" bestFit="1" customWidth="1"/>
    <col min="8987" max="8988" width="15.7109375" bestFit="1" customWidth="1"/>
    <col min="8989" max="8989" width="11.5703125" bestFit="1" customWidth="1"/>
    <col min="8990" max="8990" width="7.7109375" bestFit="1" customWidth="1"/>
    <col min="8991" max="8991" width="15.140625" bestFit="1" customWidth="1"/>
    <col min="8992" max="8992" width="11.5703125" bestFit="1" customWidth="1"/>
    <col min="8993" max="8993" width="13.28515625" bestFit="1" customWidth="1"/>
    <col min="8994" max="8994" width="10.42578125" bestFit="1" customWidth="1"/>
    <col min="8995" max="8995" width="13.28515625" bestFit="1" customWidth="1"/>
    <col min="8996" max="8996" width="12.140625" bestFit="1" customWidth="1"/>
    <col min="8997" max="8997" width="14.42578125" bestFit="1" customWidth="1"/>
    <col min="8998" max="8998" width="13.28515625" bestFit="1" customWidth="1"/>
    <col min="8999" max="8999" width="11.5703125" bestFit="1" customWidth="1"/>
    <col min="9000" max="9000" width="7.7109375" bestFit="1" customWidth="1"/>
    <col min="9001" max="9002" width="14.42578125" bestFit="1" customWidth="1"/>
    <col min="9003" max="9003" width="11.5703125" bestFit="1" customWidth="1"/>
    <col min="9004" max="9004" width="7.7109375" bestFit="1" customWidth="1"/>
    <col min="9005" max="9005" width="13.5703125" customWidth="1"/>
    <col min="9006" max="9006" width="15.28515625" customWidth="1"/>
    <col min="9007" max="9007" width="14.5703125" customWidth="1"/>
    <col min="9008" max="9008" width="13.28515625" bestFit="1" customWidth="1"/>
    <col min="9009" max="9009" width="7.7109375" bestFit="1" customWidth="1"/>
    <col min="9010" max="9010" width="12.7109375" bestFit="1" customWidth="1"/>
    <col min="9011" max="9011" width="11.7109375" bestFit="1" customWidth="1"/>
    <col min="9012" max="9012" width="11.5703125" bestFit="1" customWidth="1"/>
    <col min="9013" max="9013" width="5.28515625" bestFit="1" customWidth="1"/>
    <col min="9014" max="9014" width="13.28515625" bestFit="1" customWidth="1"/>
    <col min="9015" max="9015" width="13.5703125" bestFit="1" customWidth="1"/>
    <col min="9016" max="9016" width="10.5703125" bestFit="1" customWidth="1"/>
    <col min="9017" max="9017" width="13.28515625" bestFit="1" customWidth="1"/>
    <col min="9018" max="9018" width="11.5703125" bestFit="1" customWidth="1"/>
    <col min="9019" max="9019" width="10.5703125" bestFit="1" customWidth="1"/>
    <col min="9020" max="9020" width="16.140625" bestFit="1" customWidth="1"/>
    <col min="9021" max="9022" width="11.28515625" bestFit="1" customWidth="1"/>
    <col min="9023" max="9023" width="13.28515625" bestFit="1" customWidth="1"/>
    <col min="9024" max="9024" width="7.7109375" bestFit="1" customWidth="1"/>
    <col min="9025" max="9028" width="9.140625" hidden="1" customWidth="1"/>
    <col min="9029" max="9029" width="10.42578125" bestFit="1" customWidth="1"/>
    <col min="9030" max="9030" width="10.5703125" bestFit="1" customWidth="1"/>
    <col min="9031" max="9031" width="10.42578125" bestFit="1" customWidth="1"/>
    <col min="9032" max="9032" width="10.5703125" bestFit="1" customWidth="1"/>
    <col min="9033" max="9033" width="9.5703125" bestFit="1" customWidth="1"/>
    <col min="9034" max="9034" width="11.5703125" bestFit="1" customWidth="1"/>
    <col min="9035" max="9035" width="10.42578125" bestFit="1" customWidth="1"/>
    <col min="9036" max="9036" width="10.85546875" customWidth="1"/>
    <col min="9037" max="9038" width="9.85546875" bestFit="1" customWidth="1"/>
    <col min="9039" max="9039" width="13.5703125" bestFit="1" customWidth="1"/>
    <col min="9040" max="9040" width="7.7109375" bestFit="1" customWidth="1"/>
    <col min="9041" max="9041" width="13.28515625" bestFit="1" customWidth="1"/>
    <col min="9042" max="9042" width="11.5703125" bestFit="1" customWidth="1"/>
    <col min="9043" max="9043" width="10.42578125" bestFit="1" customWidth="1"/>
    <col min="9044" max="9044" width="7.7109375" bestFit="1" customWidth="1"/>
    <col min="9045" max="9045" width="11.5703125" bestFit="1" customWidth="1"/>
    <col min="9046" max="9046" width="10.85546875" bestFit="1" customWidth="1"/>
    <col min="9047" max="9047" width="13.28515625" bestFit="1" customWidth="1"/>
    <col min="9048" max="9048" width="10.85546875" bestFit="1" customWidth="1"/>
    <col min="9049" max="9050" width="7.5703125" bestFit="1" customWidth="1"/>
    <col min="9051" max="9052" width="10.42578125" bestFit="1" customWidth="1"/>
    <col min="9053" max="9053" width="11.5703125" bestFit="1" customWidth="1"/>
    <col min="9054" max="9054" width="5.28515625" bestFit="1" customWidth="1"/>
    <col min="9055" max="9055" width="10.28515625" bestFit="1" customWidth="1"/>
    <col min="9056" max="9056" width="10.42578125" bestFit="1" customWidth="1"/>
    <col min="9057" max="9057" width="11.5703125" bestFit="1" customWidth="1"/>
    <col min="9058" max="9058" width="5.28515625" bestFit="1" customWidth="1"/>
    <col min="9059" max="9061" width="11.5703125" bestFit="1" customWidth="1"/>
    <col min="9062" max="9062" width="5.28515625" bestFit="1" customWidth="1"/>
    <col min="9063" max="9064" width="10.42578125" bestFit="1" customWidth="1"/>
    <col min="9065" max="9065" width="11.5703125" bestFit="1" customWidth="1"/>
    <col min="9066" max="9066" width="5.28515625" bestFit="1" customWidth="1"/>
    <col min="9067" max="9067" width="14.28515625" bestFit="1" customWidth="1"/>
    <col min="9068" max="9068" width="13" bestFit="1" customWidth="1"/>
    <col min="9069" max="9069" width="11.5703125" bestFit="1" customWidth="1"/>
    <col min="9070" max="9070" width="8.85546875" bestFit="1" customWidth="1"/>
    <col min="9071" max="9071" width="14.42578125" bestFit="1" customWidth="1"/>
    <col min="9072" max="9072" width="10.42578125" bestFit="1" customWidth="1"/>
    <col min="9073" max="9073" width="12.28515625" bestFit="1" customWidth="1"/>
    <col min="9074" max="9074" width="13.85546875" bestFit="1" customWidth="1"/>
    <col min="9075" max="9075" width="11.28515625" customWidth="1"/>
    <col min="9076" max="9076" width="11.5703125" customWidth="1"/>
    <col min="9077" max="9077" width="13.42578125" bestFit="1" customWidth="1"/>
    <col min="9078" max="9078" width="10.42578125" customWidth="1"/>
    <col min="9079" max="9079" width="13.85546875" bestFit="1" customWidth="1"/>
    <col min="9080" max="9080" width="15.42578125" bestFit="1" customWidth="1"/>
    <col min="9081" max="9081" width="12.28515625" bestFit="1" customWidth="1"/>
    <col min="9082" max="9082" width="12.7109375" customWidth="1"/>
    <col min="9083" max="9083" width="10.7109375" bestFit="1" customWidth="1"/>
    <col min="9084" max="9084" width="9.85546875" customWidth="1"/>
    <col min="9085" max="9086" width="10.140625" bestFit="1" customWidth="1"/>
    <col min="9087" max="9087" width="7.5703125" bestFit="1" customWidth="1"/>
    <col min="9088" max="9088" width="9.42578125" bestFit="1" customWidth="1"/>
    <col min="9089" max="9089" width="14.5703125" bestFit="1" customWidth="1"/>
    <col min="9090" max="9090" width="14.85546875" customWidth="1"/>
    <col min="9091" max="9091" width="15.140625" bestFit="1" customWidth="1"/>
    <col min="9092" max="9092" width="12.140625" bestFit="1" customWidth="1"/>
    <col min="9093" max="9093" width="14.85546875" bestFit="1" customWidth="1"/>
    <col min="9094" max="9094" width="12.28515625" bestFit="1" customWidth="1"/>
    <col min="9095" max="9103" width="9.140625" hidden="1" customWidth="1"/>
    <col min="9104" max="9104" width="5.28515625" bestFit="1" customWidth="1"/>
    <col min="9105" max="9110" width="11.5703125" bestFit="1" customWidth="1"/>
    <col min="9111" max="9111" width="11.28515625" bestFit="1" customWidth="1"/>
    <col min="9112" max="9112" width="10.140625" bestFit="1" customWidth="1"/>
    <col min="9113" max="9113" width="11.5703125" bestFit="1" customWidth="1"/>
    <col min="9114" max="9114" width="16.140625" customWidth="1"/>
    <col min="9115" max="9115" width="13.42578125" customWidth="1"/>
    <col min="9116" max="9116" width="10.140625" bestFit="1" customWidth="1"/>
    <col min="9117" max="9117" width="12.85546875" bestFit="1" customWidth="1"/>
    <col min="9118" max="9118" width="12.28515625" bestFit="1" customWidth="1"/>
    <col min="9119" max="9119" width="11.28515625" bestFit="1" customWidth="1"/>
    <col min="9120" max="9120" width="11.5703125" bestFit="1" customWidth="1"/>
    <col min="9121" max="9121" width="10.85546875" bestFit="1" customWidth="1"/>
    <col min="9122" max="9122" width="11.28515625" bestFit="1" customWidth="1"/>
    <col min="9123" max="9123" width="10.140625" bestFit="1" customWidth="1"/>
    <col min="9124" max="9124" width="13.28515625" bestFit="1" customWidth="1"/>
    <col min="9125" max="9126" width="12.7109375" bestFit="1" customWidth="1"/>
    <col min="9127" max="9127" width="11" bestFit="1" customWidth="1"/>
    <col min="9128" max="9128" width="11.28515625" bestFit="1" customWidth="1"/>
    <col min="9129" max="9129" width="11.5703125" bestFit="1" customWidth="1"/>
    <col min="9130" max="9130" width="12.28515625" bestFit="1" customWidth="1"/>
    <col min="9131" max="9131" width="15.140625" bestFit="1" customWidth="1"/>
    <col min="9132" max="9132" width="14.42578125" bestFit="1" customWidth="1"/>
    <col min="9133" max="9133" width="12.28515625" bestFit="1" customWidth="1"/>
    <col min="9134" max="9134" width="15.140625" bestFit="1" customWidth="1"/>
    <col min="9135" max="9135" width="14.42578125" bestFit="1" customWidth="1"/>
    <col min="9136" max="9136" width="12.28515625" bestFit="1" customWidth="1"/>
    <col min="9137" max="9137" width="14.42578125" bestFit="1" customWidth="1"/>
    <col min="9138" max="9138" width="11.28515625" bestFit="1" customWidth="1"/>
    <col min="9139" max="9139" width="12.28515625" bestFit="1" customWidth="1"/>
    <col min="9140" max="9140" width="13" bestFit="1" customWidth="1"/>
    <col min="9141" max="9141" width="15.140625" bestFit="1" customWidth="1"/>
    <col min="9142" max="9142" width="12.28515625" bestFit="1" customWidth="1"/>
    <col min="9143" max="9143" width="13.85546875" bestFit="1" customWidth="1"/>
    <col min="9144" max="9144" width="11.28515625" bestFit="1" customWidth="1"/>
    <col min="9145" max="9145" width="12.28515625" bestFit="1" customWidth="1"/>
    <col min="9146" max="9146" width="13.85546875" bestFit="1" customWidth="1"/>
    <col min="9147" max="9148" width="15.140625" bestFit="1" customWidth="1"/>
    <col min="9149" max="9149" width="12.28515625" bestFit="1" customWidth="1"/>
    <col min="9150" max="9150" width="5.7109375" bestFit="1" customWidth="1"/>
    <col min="9151" max="9151" width="8.5703125" bestFit="1" customWidth="1"/>
    <col min="9152" max="9152" width="5.5703125" bestFit="1" customWidth="1"/>
    <col min="9153" max="9153" width="14.42578125" bestFit="1" customWidth="1"/>
    <col min="9154" max="9154" width="11.28515625" bestFit="1" customWidth="1"/>
    <col min="9155" max="9156" width="12.28515625" bestFit="1" customWidth="1"/>
    <col min="9157" max="9157" width="11.28515625" bestFit="1" customWidth="1"/>
    <col min="9158" max="9158" width="13.85546875" bestFit="1" customWidth="1"/>
    <col min="9159" max="9159" width="12" bestFit="1" customWidth="1"/>
    <col min="9160" max="9160" width="13.85546875" bestFit="1" customWidth="1"/>
    <col min="9161" max="9162" width="14.42578125" customWidth="1"/>
    <col min="9163" max="9163" width="10.140625" bestFit="1" customWidth="1"/>
    <col min="9164" max="9164" width="12.28515625" bestFit="1" customWidth="1"/>
    <col min="9165" max="9165" width="7.42578125" bestFit="1" customWidth="1"/>
    <col min="9166" max="9166" width="8.5703125" bestFit="1" customWidth="1"/>
    <col min="9167" max="9167" width="11.5703125" bestFit="1" customWidth="1"/>
    <col min="9168" max="9168" width="13.28515625" bestFit="1" customWidth="1"/>
    <col min="9169" max="9169" width="13.28515625" customWidth="1"/>
    <col min="9170" max="9170" width="13.140625" customWidth="1"/>
    <col min="9171" max="9171" width="12.7109375" bestFit="1" customWidth="1"/>
    <col min="9172" max="9172" width="13.28515625" bestFit="1" customWidth="1"/>
    <col min="9173" max="9175" width="13.28515625" customWidth="1"/>
    <col min="9176" max="9176" width="12.140625" bestFit="1" customWidth="1"/>
    <col min="9177" max="9177" width="12.7109375" bestFit="1" customWidth="1"/>
    <col min="9178" max="9178" width="11" customWidth="1"/>
    <col min="9179" max="9179" width="16.7109375" customWidth="1"/>
    <col min="9180" max="9180" width="17" customWidth="1"/>
    <col min="9181" max="9181" width="10.42578125" bestFit="1" customWidth="1"/>
    <col min="9225" max="9225" width="3.85546875" customWidth="1"/>
    <col min="9226" max="9226" width="15.28515625" bestFit="1" customWidth="1"/>
    <col min="9227" max="9227" width="12.28515625" customWidth="1"/>
    <col min="9228" max="9228" width="16.28515625" bestFit="1" customWidth="1"/>
    <col min="9229" max="9229" width="6.42578125" bestFit="1" customWidth="1"/>
    <col min="9230" max="9230" width="9.28515625" bestFit="1" customWidth="1"/>
    <col min="9231" max="9231" width="7.5703125" bestFit="1" customWidth="1"/>
    <col min="9232" max="9232" width="13.28515625" bestFit="1" customWidth="1"/>
    <col min="9233" max="9233" width="9.28515625" bestFit="1" customWidth="1"/>
    <col min="9234" max="9234" width="11.5703125" bestFit="1" customWidth="1"/>
    <col min="9235" max="9235" width="13.28515625" bestFit="1" customWidth="1"/>
    <col min="9236" max="9236" width="7.140625" bestFit="1" customWidth="1"/>
    <col min="9237" max="9237" width="12" bestFit="1" customWidth="1"/>
    <col min="9238" max="9238" width="13.28515625" bestFit="1" customWidth="1"/>
    <col min="9239" max="9239" width="7" bestFit="1" customWidth="1"/>
    <col min="9240" max="9240" width="12.7109375" bestFit="1" customWidth="1"/>
    <col min="9241" max="9241" width="11.5703125" bestFit="1" customWidth="1"/>
    <col min="9242" max="9242" width="10.5703125" bestFit="1" customWidth="1"/>
    <col min="9243" max="9244" width="15.7109375" bestFit="1" customWidth="1"/>
    <col min="9245" max="9245" width="11.5703125" bestFit="1" customWidth="1"/>
    <col min="9246" max="9246" width="7.7109375" bestFit="1" customWidth="1"/>
    <col min="9247" max="9247" width="15.140625" bestFit="1" customWidth="1"/>
    <col min="9248" max="9248" width="11.5703125" bestFit="1" customWidth="1"/>
    <col min="9249" max="9249" width="13.28515625" bestFit="1" customWidth="1"/>
    <col min="9250" max="9250" width="10.42578125" bestFit="1" customWidth="1"/>
    <col min="9251" max="9251" width="13.28515625" bestFit="1" customWidth="1"/>
    <col min="9252" max="9252" width="12.140625" bestFit="1" customWidth="1"/>
    <col min="9253" max="9253" width="14.42578125" bestFit="1" customWidth="1"/>
    <col min="9254" max="9254" width="13.28515625" bestFit="1" customWidth="1"/>
    <col min="9255" max="9255" width="11.5703125" bestFit="1" customWidth="1"/>
    <col min="9256" max="9256" width="7.7109375" bestFit="1" customWidth="1"/>
    <col min="9257" max="9258" width="14.42578125" bestFit="1" customWidth="1"/>
    <col min="9259" max="9259" width="11.5703125" bestFit="1" customWidth="1"/>
    <col min="9260" max="9260" width="7.7109375" bestFit="1" customWidth="1"/>
    <col min="9261" max="9261" width="13.5703125" customWidth="1"/>
    <col min="9262" max="9262" width="15.28515625" customWidth="1"/>
    <col min="9263" max="9263" width="14.5703125" customWidth="1"/>
    <col min="9264" max="9264" width="13.28515625" bestFit="1" customWidth="1"/>
    <col min="9265" max="9265" width="7.7109375" bestFit="1" customWidth="1"/>
    <col min="9266" max="9266" width="12.7109375" bestFit="1" customWidth="1"/>
    <col min="9267" max="9267" width="11.7109375" bestFit="1" customWidth="1"/>
    <col min="9268" max="9268" width="11.5703125" bestFit="1" customWidth="1"/>
    <col min="9269" max="9269" width="5.28515625" bestFit="1" customWidth="1"/>
    <col min="9270" max="9270" width="13.28515625" bestFit="1" customWidth="1"/>
    <col min="9271" max="9271" width="13.5703125" bestFit="1" customWidth="1"/>
    <col min="9272" max="9272" width="10.5703125" bestFit="1" customWidth="1"/>
    <col min="9273" max="9273" width="13.28515625" bestFit="1" customWidth="1"/>
    <col min="9274" max="9274" width="11.5703125" bestFit="1" customWidth="1"/>
    <col min="9275" max="9275" width="10.5703125" bestFit="1" customWidth="1"/>
    <col min="9276" max="9276" width="16.140625" bestFit="1" customWidth="1"/>
    <col min="9277" max="9278" width="11.28515625" bestFit="1" customWidth="1"/>
    <col min="9279" max="9279" width="13.28515625" bestFit="1" customWidth="1"/>
    <col min="9280" max="9280" width="7.7109375" bestFit="1" customWidth="1"/>
    <col min="9281" max="9284" width="9.140625" hidden="1" customWidth="1"/>
    <col min="9285" max="9285" width="10.42578125" bestFit="1" customWidth="1"/>
    <col min="9286" max="9286" width="10.5703125" bestFit="1" customWidth="1"/>
    <col min="9287" max="9287" width="10.42578125" bestFit="1" customWidth="1"/>
    <col min="9288" max="9288" width="10.5703125" bestFit="1" customWidth="1"/>
    <col min="9289" max="9289" width="9.5703125" bestFit="1" customWidth="1"/>
    <col min="9290" max="9290" width="11.5703125" bestFit="1" customWidth="1"/>
    <col min="9291" max="9291" width="10.42578125" bestFit="1" customWidth="1"/>
    <col min="9292" max="9292" width="10.85546875" customWidth="1"/>
    <col min="9293" max="9294" width="9.85546875" bestFit="1" customWidth="1"/>
    <col min="9295" max="9295" width="13.5703125" bestFit="1" customWidth="1"/>
    <col min="9296" max="9296" width="7.7109375" bestFit="1" customWidth="1"/>
    <col min="9297" max="9297" width="13.28515625" bestFit="1" customWidth="1"/>
    <col min="9298" max="9298" width="11.5703125" bestFit="1" customWidth="1"/>
    <col min="9299" max="9299" width="10.42578125" bestFit="1" customWidth="1"/>
    <col min="9300" max="9300" width="7.7109375" bestFit="1" customWidth="1"/>
    <col min="9301" max="9301" width="11.5703125" bestFit="1" customWidth="1"/>
    <col min="9302" max="9302" width="10.85546875" bestFit="1" customWidth="1"/>
    <col min="9303" max="9303" width="13.28515625" bestFit="1" customWidth="1"/>
    <col min="9304" max="9304" width="10.85546875" bestFit="1" customWidth="1"/>
    <col min="9305" max="9306" width="7.5703125" bestFit="1" customWidth="1"/>
    <col min="9307" max="9308" width="10.42578125" bestFit="1" customWidth="1"/>
    <col min="9309" max="9309" width="11.5703125" bestFit="1" customWidth="1"/>
    <col min="9310" max="9310" width="5.28515625" bestFit="1" customWidth="1"/>
    <col min="9311" max="9311" width="10.28515625" bestFit="1" customWidth="1"/>
    <col min="9312" max="9312" width="10.42578125" bestFit="1" customWidth="1"/>
    <col min="9313" max="9313" width="11.5703125" bestFit="1" customWidth="1"/>
    <col min="9314" max="9314" width="5.28515625" bestFit="1" customWidth="1"/>
    <col min="9315" max="9317" width="11.5703125" bestFit="1" customWidth="1"/>
    <col min="9318" max="9318" width="5.28515625" bestFit="1" customWidth="1"/>
    <col min="9319" max="9320" width="10.42578125" bestFit="1" customWidth="1"/>
    <col min="9321" max="9321" width="11.5703125" bestFit="1" customWidth="1"/>
    <col min="9322" max="9322" width="5.28515625" bestFit="1" customWidth="1"/>
    <col min="9323" max="9323" width="14.28515625" bestFit="1" customWidth="1"/>
    <col min="9324" max="9324" width="13" bestFit="1" customWidth="1"/>
    <col min="9325" max="9325" width="11.5703125" bestFit="1" customWidth="1"/>
    <col min="9326" max="9326" width="8.85546875" bestFit="1" customWidth="1"/>
    <col min="9327" max="9327" width="14.42578125" bestFit="1" customWidth="1"/>
    <col min="9328" max="9328" width="10.42578125" bestFit="1" customWidth="1"/>
    <col min="9329" max="9329" width="12.28515625" bestFit="1" customWidth="1"/>
    <col min="9330" max="9330" width="13.85546875" bestFit="1" customWidth="1"/>
    <col min="9331" max="9331" width="11.28515625" customWidth="1"/>
    <col min="9332" max="9332" width="11.5703125" customWidth="1"/>
    <col min="9333" max="9333" width="13.42578125" bestFit="1" customWidth="1"/>
    <col min="9334" max="9334" width="10.42578125" customWidth="1"/>
    <col min="9335" max="9335" width="13.85546875" bestFit="1" customWidth="1"/>
    <col min="9336" max="9336" width="15.42578125" bestFit="1" customWidth="1"/>
    <col min="9337" max="9337" width="12.28515625" bestFit="1" customWidth="1"/>
    <col min="9338" max="9338" width="12.7109375" customWidth="1"/>
    <col min="9339" max="9339" width="10.7109375" bestFit="1" customWidth="1"/>
    <col min="9340" max="9340" width="9.85546875" customWidth="1"/>
    <col min="9341" max="9342" width="10.140625" bestFit="1" customWidth="1"/>
    <col min="9343" max="9343" width="7.5703125" bestFit="1" customWidth="1"/>
    <col min="9344" max="9344" width="9.42578125" bestFit="1" customWidth="1"/>
    <col min="9345" max="9345" width="14.5703125" bestFit="1" customWidth="1"/>
    <col min="9346" max="9346" width="14.85546875" customWidth="1"/>
    <col min="9347" max="9347" width="15.140625" bestFit="1" customWidth="1"/>
    <col min="9348" max="9348" width="12.140625" bestFit="1" customWidth="1"/>
    <col min="9349" max="9349" width="14.85546875" bestFit="1" customWidth="1"/>
    <col min="9350" max="9350" width="12.28515625" bestFit="1" customWidth="1"/>
    <col min="9351" max="9359" width="9.140625" hidden="1" customWidth="1"/>
    <col min="9360" max="9360" width="5.28515625" bestFit="1" customWidth="1"/>
    <col min="9361" max="9366" width="11.5703125" bestFit="1" customWidth="1"/>
    <col min="9367" max="9367" width="11.28515625" bestFit="1" customWidth="1"/>
    <col min="9368" max="9368" width="10.140625" bestFit="1" customWidth="1"/>
    <col min="9369" max="9369" width="11.5703125" bestFit="1" customWidth="1"/>
    <col min="9370" max="9370" width="16.140625" customWidth="1"/>
    <col min="9371" max="9371" width="13.42578125" customWidth="1"/>
    <col min="9372" max="9372" width="10.140625" bestFit="1" customWidth="1"/>
    <col min="9373" max="9373" width="12.85546875" bestFit="1" customWidth="1"/>
    <col min="9374" max="9374" width="12.28515625" bestFit="1" customWidth="1"/>
    <col min="9375" max="9375" width="11.28515625" bestFit="1" customWidth="1"/>
    <col min="9376" max="9376" width="11.5703125" bestFit="1" customWidth="1"/>
    <col min="9377" max="9377" width="10.85546875" bestFit="1" customWidth="1"/>
    <col min="9378" max="9378" width="11.28515625" bestFit="1" customWidth="1"/>
    <col min="9379" max="9379" width="10.140625" bestFit="1" customWidth="1"/>
    <col min="9380" max="9380" width="13.28515625" bestFit="1" customWidth="1"/>
    <col min="9381" max="9382" width="12.7109375" bestFit="1" customWidth="1"/>
    <col min="9383" max="9383" width="11" bestFit="1" customWidth="1"/>
    <col min="9384" max="9384" width="11.28515625" bestFit="1" customWidth="1"/>
    <col min="9385" max="9385" width="11.5703125" bestFit="1" customWidth="1"/>
    <col min="9386" max="9386" width="12.28515625" bestFit="1" customWidth="1"/>
    <col min="9387" max="9387" width="15.140625" bestFit="1" customWidth="1"/>
    <col min="9388" max="9388" width="14.42578125" bestFit="1" customWidth="1"/>
    <col min="9389" max="9389" width="12.28515625" bestFit="1" customWidth="1"/>
    <col min="9390" max="9390" width="15.140625" bestFit="1" customWidth="1"/>
    <col min="9391" max="9391" width="14.42578125" bestFit="1" customWidth="1"/>
    <col min="9392" max="9392" width="12.28515625" bestFit="1" customWidth="1"/>
    <col min="9393" max="9393" width="14.42578125" bestFit="1" customWidth="1"/>
    <col min="9394" max="9394" width="11.28515625" bestFit="1" customWidth="1"/>
    <col min="9395" max="9395" width="12.28515625" bestFit="1" customWidth="1"/>
    <col min="9396" max="9396" width="13" bestFit="1" customWidth="1"/>
    <col min="9397" max="9397" width="15.140625" bestFit="1" customWidth="1"/>
    <col min="9398" max="9398" width="12.28515625" bestFit="1" customWidth="1"/>
    <col min="9399" max="9399" width="13.85546875" bestFit="1" customWidth="1"/>
    <col min="9400" max="9400" width="11.28515625" bestFit="1" customWidth="1"/>
    <col min="9401" max="9401" width="12.28515625" bestFit="1" customWidth="1"/>
    <col min="9402" max="9402" width="13.85546875" bestFit="1" customWidth="1"/>
    <col min="9403" max="9404" width="15.140625" bestFit="1" customWidth="1"/>
    <col min="9405" max="9405" width="12.28515625" bestFit="1" customWidth="1"/>
    <col min="9406" max="9406" width="5.7109375" bestFit="1" customWidth="1"/>
    <col min="9407" max="9407" width="8.5703125" bestFit="1" customWidth="1"/>
    <col min="9408" max="9408" width="5.5703125" bestFit="1" customWidth="1"/>
    <col min="9409" max="9409" width="14.42578125" bestFit="1" customWidth="1"/>
    <col min="9410" max="9410" width="11.28515625" bestFit="1" customWidth="1"/>
    <col min="9411" max="9412" width="12.28515625" bestFit="1" customWidth="1"/>
    <col min="9413" max="9413" width="11.28515625" bestFit="1" customWidth="1"/>
    <col min="9414" max="9414" width="13.85546875" bestFit="1" customWidth="1"/>
    <col min="9415" max="9415" width="12" bestFit="1" customWidth="1"/>
    <col min="9416" max="9416" width="13.85546875" bestFit="1" customWidth="1"/>
    <col min="9417" max="9418" width="14.42578125" customWidth="1"/>
    <col min="9419" max="9419" width="10.140625" bestFit="1" customWidth="1"/>
    <col min="9420" max="9420" width="12.28515625" bestFit="1" customWidth="1"/>
    <col min="9421" max="9421" width="7.42578125" bestFit="1" customWidth="1"/>
    <col min="9422" max="9422" width="8.5703125" bestFit="1" customWidth="1"/>
    <col min="9423" max="9423" width="11.5703125" bestFit="1" customWidth="1"/>
    <col min="9424" max="9424" width="13.28515625" bestFit="1" customWidth="1"/>
    <col min="9425" max="9425" width="13.28515625" customWidth="1"/>
    <col min="9426" max="9426" width="13.140625" customWidth="1"/>
    <col min="9427" max="9427" width="12.7109375" bestFit="1" customWidth="1"/>
    <col min="9428" max="9428" width="13.28515625" bestFit="1" customWidth="1"/>
    <col min="9429" max="9431" width="13.28515625" customWidth="1"/>
    <col min="9432" max="9432" width="12.140625" bestFit="1" customWidth="1"/>
    <col min="9433" max="9433" width="12.7109375" bestFit="1" customWidth="1"/>
    <col min="9434" max="9434" width="11" customWidth="1"/>
    <col min="9435" max="9435" width="16.7109375" customWidth="1"/>
    <col min="9436" max="9436" width="17" customWidth="1"/>
    <col min="9437" max="9437" width="10.42578125" bestFit="1" customWidth="1"/>
    <col min="9481" max="9481" width="3.85546875" customWidth="1"/>
    <col min="9482" max="9482" width="15.28515625" bestFit="1" customWidth="1"/>
    <col min="9483" max="9483" width="12.28515625" customWidth="1"/>
    <col min="9484" max="9484" width="16.28515625" bestFit="1" customWidth="1"/>
    <col min="9485" max="9485" width="6.42578125" bestFit="1" customWidth="1"/>
    <col min="9486" max="9486" width="9.28515625" bestFit="1" customWidth="1"/>
    <col min="9487" max="9487" width="7.5703125" bestFit="1" customWidth="1"/>
    <col min="9488" max="9488" width="13.28515625" bestFit="1" customWidth="1"/>
    <col min="9489" max="9489" width="9.28515625" bestFit="1" customWidth="1"/>
    <col min="9490" max="9490" width="11.5703125" bestFit="1" customWidth="1"/>
    <col min="9491" max="9491" width="13.28515625" bestFit="1" customWidth="1"/>
    <col min="9492" max="9492" width="7.140625" bestFit="1" customWidth="1"/>
    <col min="9493" max="9493" width="12" bestFit="1" customWidth="1"/>
    <col min="9494" max="9494" width="13.28515625" bestFit="1" customWidth="1"/>
    <col min="9495" max="9495" width="7" bestFit="1" customWidth="1"/>
    <col min="9496" max="9496" width="12.7109375" bestFit="1" customWidth="1"/>
    <col min="9497" max="9497" width="11.5703125" bestFit="1" customWidth="1"/>
    <col min="9498" max="9498" width="10.5703125" bestFit="1" customWidth="1"/>
    <col min="9499" max="9500" width="15.7109375" bestFit="1" customWidth="1"/>
    <col min="9501" max="9501" width="11.5703125" bestFit="1" customWidth="1"/>
    <col min="9502" max="9502" width="7.7109375" bestFit="1" customWidth="1"/>
    <col min="9503" max="9503" width="15.140625" bestFit="1" customWidth="1"/>
    <col min="9504" max="9504" width="11.5703125" bestFit="1" customWidth="1"/>
    <col min="9505" max="9505" width="13.28515625" bestFit="1" customWidth="1"/>
    <col min="9506" max="9506" width="10.42578125" bestFit="1" customWidth="1"/>
    <col min="9507" max="9507" width="13.28515625" bestFit="1" customWidth="1"/>
    <col min="9508" max="9508" width="12.140625" bestFit="1" customWidth="1"/>
    <col min="9509" max="9509" width="14.42578125" bestFit="1" customWidth="1"/>
    <col min="9510" max="9510" width="13.28515625" bestFit="1" customWidth="1"/>
    <col min="9511" max="9511" width="11.5703125" bestFit="1" customWidth="1"/>
    <col min="9512" max="9512" width="7.7109375" bestFit="1" customWidth="1"/>
    <col min="9513" max="9514" width="14.42578125" bestFit="1" customWidth="1"/>
    <col min="9515" max="9515" width="11.5703125" bestFit="1" customWidth="1"/>
    <col min="9516" max="9516" width="7.7109375" bestFit="1" customWidth="1"/>
    <col min="9517" max="9517" width="13.5703125" customWidth="1"/>
    <col min="9518" max="9518" width="15.28515625" customWidth="1"/>
    <col min="9519" max="9519" width="14.5703125" customWidth="1"/>
    <col min="9520" max="9520" width="13.28515625" bestFit="1" customWidth="1"/>
    <col min="9521" max="9521" width="7.7109375" bestFit="1" customWidth="1"/>
    <col min="9522" max="9522" width="12.7109375" bestFit="1" customWidth="1"/>
    <col min="9523" max="9523" width="11.7109375" bestFit="1" customWidth="1"/>
    <col min="9524" max="9524" width="11.5703125" bestFit="1" customWidth="1"/>
    <col min="9525" max="9525" width="5.28515625" bestFit="1" customWidth="1"/>
    <col min="9526" max="9526" width="13.28515625" bestFit="1" customWidth="1"/>
    <col min="9527" max="9527" width="13.5703125" bestFit="1" customWidth="1"/>
    <col min="9528" max="9528" width="10.5703125" bestFit="1" customWidth="1"/>
    <col min="9529" max="9529" width="13.28515625" bestFit="1" customWidth="1"/>
    <col min="9530" max="9530" width="11.5703125" bestFit="1" customWidth="1"/>
    <col min="9531" max="9531" width="10.5703125" bestFit="1" customWidth="1"/>
    <col min="9532" max="9532" width="16.140625" bestFit="1" customWidth="1"/>
    <col min="9533" max="9534" width="11.28515625" bestFit="1" customWidth="1"/>
    <col min="9535" max="9535" width="13.28515625" bestFit="1" customWidth="1"/>
    <col min="9536" max="9536" width="7.7109375" bestFit="1" customWidth="1"/>
    <col min="9537" max="9540" width="9.140625" hidden="1" customWidth="1"/>
    <col min="9541" max="9541" width="10.42578125" bestFit="1" customWidth="1"/>
    <col min="9542" max="9542" width="10.5703125" bestFit="1" customWidth="1"/>
    <col min="9543" max="9543" width="10.42578125" bestFit="1" customWidth="1"/>
    <col min="9544" max="9544" width="10.5703125" bestFit="1" customWidth="1"/>
    <col min="9545" max="9545" width="9.5703125" bestFit="1" customWidth="1"/>
    <col min="9546" max="9546" width="11.5703125" bestFit="1" customWidth="1"/>
    <col min="9547" max="9547" width="10.42578125" bestFit="1" customWidth="1"/>
    <col min="9548" max="9548" width="10.85546875" customWidth="1"/>
    <col min="9549" max="9550" width="9.85546875" bestFit="1" customWidth="1"/>
    <col min="9551" max="9551" width="13.5703125" bestFit="1" customWidth="1"/>
    <col min="9552" max="9552" width="7.7109375" bestFit="1" customWidth="1"/>
    <col min="9553" max="9553" width="13.28515625" bestFit="1" customWidth="1"/>
    <col min="9554" max="9554" width="11.5703125" bestFit="1" customWidth="1"/>
    <col min="9555" max="9555" width="10.42578125" bestFit="1" customWidth="1"/>
    <col min="9556" max="9556" width="7.7109375" bestFit="1" customWidth="1"/>
    <col min="9557" max="9557" width="11.5703125" bestFit="1" customWidth="1"/>
    <col min="9558" max="9558" width="10.85546875" bestFit="1" customWidth="1"/>
    <col min="9559" max="9559" width="13.28515625" bestFit="1" customWidth="1"/>
    <col min="9560" max="9560" width="10.85546875" bestFit="1" customWidth="1"/>
    <col min="9561" max="9562" width="7.5703125" bestFit="1" customWidth="1"/>
    <col min="9563" max="9564" width="10.42578125" bestFit="1" customWidth="1"/>
    <col min="9565" max="9565" width="11.5703125" bestFit="1" customWidth="1"/>
    <col min="9566" max="9566" width="5.28515625" bestFit="1" customWidth="1"/>
    <col min="9567" max="9567" width="10.28515625" bestFit="1" customWidth="1"/>
    <col min="9568" max="9568" width="10.42578125" bestFit="1" customWidth="1"/>
    <col min="9569" max="9569" width="11.5703125" bestFit="1" customWidth="1"/>
    <col min="9570" max="9570" width="5.28515625" bestFit="1" customWidth="1"/>
    <col min="9571" max="9573" width="11.5703125" bestFit="1" customWidth="1"/>
    <col min="9574" max="9574" width="5.28515625" bestFit="1" customWidth="1"/>
    <col min="9575" max="9576" width="10.42578125" bestFit="1" customWidth="1"/>
    <col min="9577" max="9577" width="11.5703125" bestFit="1" customWidth="1"/>
    <col min="9578" max="9578" width="5.28515625" bestFit="1" customWidth="1"/>
    <col min="9579" max="9579" width="14.28515625" bestFit="1" customWidth="1"/>
    <col min="9580" max="9580" width="13" bestFit="1" customWidth="1"/>
    <col min="9581" max="9581" width="11.5703125" bestFit="1" customWidth="1"/>
    <col min="9582" max="9582" width="8.85546875" bestFit="1" customWidth="1"/>
    <col min="9583" max="9583" width="14.42578125" bestFit="1" customWidth="1"/>
    <col min="9584" max="9584" width="10.42578125" bestFit="1" customWidth="1"/>
    <col min="9585" max="9585" width="12.28515625" bestFit="1" customWidth="1"/>
    <col min="9586" max="9586" width="13.85546875" bestFit="1" customWidth="1"/>
    <col min="9587" max="9587" width="11.28515625" customWidth="1"/>
    <col min="9588" max="9588" width="11.5703125" customWidth="1"/>
    <col min="9589" max="9589" width="13.42578125" bestFit="1" customWidth="1"/>
    <col min="9590" max="9590" width="10.42578125" customWidth="1"/>
    <col min="9591" max="9591" width="13.85546875" bestFit="1" customWidth="1"/>
    <col min="9592" max="9592" width="15.42578125" bestFit="1" customWidth="1"/>
    <col min="9593" max="9593" width="12.28515625" bestFit="1" customWidth="1"/>
    <col min="9594" max="9594" width="12.7109375" customWidth="1"/>
    <col min="9595" max="9595" width="10.7109375" bestFit="1" customWidth="1"/>
    <col min="9596" max="9596" width="9.85546875" customWidth="1"/>
    <col min="9597" max="9598" width="10.140625" bestFit="1" customWidth="1"/>
    <col min="9599" max="9599" width="7.5703125" bestFit="1" customWidth="1"/>
    <col min="9600" max="9600" width="9.42578125" bestFit="1" customWidth="1"/>
    <col min="9601" max="9601" width="14.5703125" bestFit="1" customWidth="1"/>
    <col min="9602" max="9602" width="14.85546875" customWidth="1"/>
    <col min="9603" max="9603" width="15.140625" bestFit="1" customWidth="1"/>
    <col min="9604" max="9604" width="12.140625" bestFit="1" customWidth="1"/>
    <col min="9605" max="9605" width="14.85546875" bestFit="1" customWidth="1"/>
    <col min="9606" max="9606" width="12.28515625" bestFit="1" customWidth="1"/>
    <col min="9607" max="9615" width="9.140625" hidden="1" customWidth="1"/>
    <col min="9616" max="9616" width="5.28515625" bestFit="1" customWidth="1"/>
    <col min="9617" max="9622" width="11.5703125" bestFit="1" customWidth="1"/>
    <col min="9623" max="9623" width="11.28515625" bestFit="1" customWidth="1"/>
    <col min="9624" max="9624" width="10.140625" bestFit="1" customWidth="1"/>
    <col min="9625" max="9625" width="11.5703125" bestFit="1" customWidth="1"/>
    <col min="9626" max="9626" width="16.140625" customWidth="1"/>
    <col min="9627" max="9627" width="13.42578125" customWidth="1"/>
    <col min="9628" max="9628" width="10.140625" bestFit="1" customWidth="1"/>
    <col min="9629" max="9629" width="12.85546875" bestFit="1" customWidth="1"/>
    <col min="9630" max="9630" width="12.28515625" bestFit="1" customWidth="1"/>
    <col min="9631" max="9631" width="11.28515625" bestFit="1" customWidth="1"/>
    <col min="9632" max="9632" width="11.5703125" bestFit="1" customWidth="1"/>
    <col min="9633" max="9633" width="10.85546875" bestFit="1" customWidth="1"/>
    <col min="9634" max="9634" width="11.28515625" bestFit="1" customWidth="1"/>
    <col min="9635" max="9635" width="10.140625" bestFit="1" customWidth="1"/>
    <col min="9636" max="9636" width="13.28515625" bestFit="1" customWidth="1"/>
    <col min="9637" max="9638" width="12.7109375" bestFit="1" customWidth="1"/>
    <col min="9639" max="9639" width="11" bestFit="1" customWidth="1"/>
    <col min="9640" max="9640" width="11.28515625" bestFit="1" customWidth="1"/>
    <col min="9641" max="9641" width="11.5703125" bestFit="1" customWidth="1"/>
    <col min="9642" max="9642" width="12.28515625" bestFit="1" customWidth="1"/>
    <col min="9643" max="9643" width="15.140625" bestFit="1" customWidth="1"/>
    <col min="9644" max="9644" width="14.42578125" bestFit="1" customWidth="1"/>
    <col min="9645" max="9645" width="12.28515625" bestFit="1" customWidth="1"/>
    <col min="9646" max="9646" width="15.140625" bestFit="1" customWidth="1"/>
    <col min="9647" max="9647" width="14.42578125" bestFit="1" customWidth="1"/>
    <col min="9648" max="9648" width="12.28515625" bestFit="1" customWidth="1"/>
    <col min="9649" max="9649" width="14.42578125" bestFit="1" customWidth="1"/>
    <col min="9650" max="9650" width="11.28515625" bestFit="1" customWidth="1"/>
    <col min="9651" max="9651" width="12.28515625" bestFit="1" customWidth="1"/>
    <col min="9652" max="9652" width="13" bestFit="1" customWidth="1"/>
    <col min="9653" max="9653" width="15.140625" bestFit="1" customWidth="1"/>
    <col min="9654" max="9654" width="12.28515625" bestFit="1" customWidth="1"/>
    <col min="9655" max="9655" width="13.85546875" bestFit="1" customWidth="1"/>
    <col min="9656" max="9656" width="11.28515625" bestFit="1" customWidth="1"/>
    <col min="9657" max="9657" width="12.28515625" bestFit="1" customWidth="1"/>
    <col min="9658" max="9658" width="13.85546875" bestFit="1" customWidth="1"/>
    <col min="9659" max="9660" width="15.140625" bestFit="1" customWidth="1"/>
    <col min="9661" max="9661" width="12.28515625" bestFit="1" customWidth="1"/>
    <col min="9662" max="9662" width="5.7109375" bestFit="1" customWidth="1"/>
    <col min="9663" max="9663" width="8.5703125" bestFit="1" customWidth="1"/>
    <col min="9664" max="9664" width="5.5703125" bestFit="1" customWidth="1"/>
    <col min="9665" max="9665" width="14.42578125" bestFit="1" customWidth="1"/>
    <col min="9666" max="9666" width="11.28515625" bestFit="1" customWidth="1"/>
    <col min="9667" max="9668" width="12.28515625" bestFit="1" customWidth="1"/>
    <col min="9669" max="9669" width="11.28515625" bestFit="1" customWidth="1"/>
    <col min="9670" max="9670" width="13.85546875" bestFit="1" customWidth="1"/>
    <col min="9671" max="9671" width="12" bestFit="1" customWidth="1"/>
    <col min="9672" max="9672" width="13.85546875" bestFit="1" customWidth="1"/>
    <col min="9673" max="9674" width="14.42578125" customWidth="1"/>
    <col min="9675" max="9675" width="10.140625" bestFit="1" customWidth="1"/>
    <col min="9676" max="9676" width="12.28515625" bestFit="1" customWidth="1"/>
    <col min="9677" max="9677" width="7.42578125" bestFit="1" customWidth="1"/>
    <col min="9678" max="9678" width="8.5703125" bestFit="1" customWidth="1"/>
    <col min="9679" max="9679" width="11.5703125" bestFit="1" customWidth="1"/>
    <col min="9680" max="9680" width="13.28515625" bestFit="1" customWidth="1"/>
    <col min="9681" max="9681" width="13.28515625" customWidth="1"/>
    <col min="9682" max="9682" width="13.140625" customWidth="1"/>
    <col min="9683" max="9683" width="12.7109375" bestFit="1" customWidth="1"/>
    <col min="9684" max="9684" width="13.28515625" bestFit="1" customWidth="1"/>
    <col min="9685" max="9687" width="13.28515625" customWidth="1"/>
    <col min="9688" max="9688" width="12.140625" bestFit="1" customWidth="1"/>
    <col min="9689" max="9689" width="12.7109375" bestFit="1" customWidth="1"/>
    <col min="9690" max="9690" width="11" customWidth="1"/>
    <col min="9691" max="9691" width="16.7109375" customWidth="1"/>
    <col min="9692" max="9692" width="17" customWidth="1"/>
    <col min="9693" max="9693" width="10.42578125" bestFit="1" customWidth="1"/>
    <col min="9737" max="9737" width="3.85546875" customWidth="1"/>
    <col min="9738" max="9738" width="15.28515625" bestFit="1" customWidth="1"/>
    <col min="9739" max="9739" width="12.28515625" customWidth="1"/>
    <col min="9740" max="9740" width="16.28515625" bestFit="1" customWidth="1"/>
    <col min="9741" max="9741" width="6.42578125" bestFit="1" customWidth="1"/>
    <col min="9742" max="9742" width="9.28515625" bestFit="1" customWidth="1"/>
    <col min="9743" max="9743" width="7.5703125" bestFit="1" customWidth="1"/>
    <col min="9744" max="9744" width="13.28515625" bestFit="1" customWidth="1"/>
    <col min="9745" max="9745" width="9.28515625" bestFit="1" customWidth="1"/>
    <col min="9746" max="9746" width="11.5703125" bestFit="1" customWidth="1"/>
    <col min="9747" max="9747" width="13.28515625" bestFit="1" customWidth="1"/>
    <col min="9748" max="9748" width="7.140625" bestFit="1" customWidth="1"/>
    <col min="9749" max="9749" width="12" bestFit="1" customWidth="1"/>
    <col min="9750" max="9750" width="13.28515625" bestFit="1" customWidth="1"/>
    <col min="9751" max="9751" width="7" bestFit="1" customWidth="1"/>
    <col min="9752" max="9752" width="12.7109375" bestFit="1" customWidth="1"/>
    <col min="9753" max="9753" width="11.5703125" bestFit="1" customWidth="1"/>
    <col min="9754" max="9754" width="10.5703125" bestFit="1" customWidth="1"/>
    <col min="9755" max="9756" width="15.7109375" bestFit="1" customWidth="1"/>
    <col min="9757" max="9757" width="11.5703125" bestFit="1" customWidth="1"/>
    <col min="9758" max="9758" width="7.7109375" bestFit="1" customWidth="1"/>
    <col min="9759" max="9759" width="15.140625" bestFit="1" customWidth="1"/>
    <col min="9760" max="9760" width="11.5703125" bestFit="1" customWidth="1"/>
    <col min="9761" max="9761" width="13.28515625" bestFit="1" customWidth="1"/>
    <col min="9762" max="9762" width="10.42578125" bestFit="1" customWidth="1"/>
    <col min="9763" max="9763" width="13.28515625" bestFit="1" customWidth="1"/>
    <col min="9764" max="9764" width="12.140625" bestFit="1" customWidth="1"/>
    <col min="9765" max="9765" width="14.42578125" bestFit="1" customWidth="1"/>
    <col min="9766" max="9766" width="13.28515625" bestFit="1" customWidth="1"/>
    <col min="9767" max="9767" width="11.5703125" bestFit="1" customWidth="1"/>
    <col min="9768" max="9768" width="7.7109375" bestFit="1" customWidth="1"/>
    <col min="9769" max="9770" width="14.42578125" bestFit="1" customWidth="1"/>
    <col min="9771" max="9771" width="11.5703125" bestFit="1" customWidth="1"/>
    <col min="9772" max="9772" width="7.7109375" bestFit="1" customWidth="1"/>
    <col min="9773" max="9773" width="13.5703125" customWidth="1"/>
    <col min="9774" max="9774" width="15.28515625" customWidth="1"/>
    <col min="9775" max="9775" width="14.5703125" customWidth="1"/>
    <col min="9776" max="9776" width="13.28515625" bestFit="1" customWidth="1"/>
    <col min="9777" max="9777" width="7.7109375" bestFit="1" customWidth="1"/>
    <col min="9778" max="9778" width="12.7109375" bestFit="1" customWidth="1"/>
    <col min="9779" max="9779" width="11.7109375" bestFit="1" customWidth="1"/>
    <col min="9780" max="9780" width="11.5703125" bestFit="1" customWidth="1"/>
    <col min="9781" max="9781" width="5.28515625" bestFit="1" customWidth="1"/>
    <col min="9782" max="9782" width="13.28515625" bestFit="1" customWidth="1"/>
    <col min="9783" max="9783" width="13.5703125" bestFit="1" customWidth="1"/>
    <col min="9784" max="9784" width="10.5703125" bestFit="1" customWidth="1"/>
    <col min="9785" max="9785" width="13.28515625" bestFit="1" customWidth="1"/>
    <col min="9786" max="9786" width="11.5703125" bestFit="1" customWidth="1"/>
    <col min="9787" max="9787" width="10.5703125" bestFit="1" customWidth="1"/>
    <col min="9788" max="9788" width="16.140625" bestFit="1" customWidth="1"/>
    <col min="9789" max="9790" width="11.28515625" bestFit="1" customWidth="1"/>
    <col min="9791" max="9791" width="13.28515625" bestFit="1" customWidth="1"/>
    <col min="9792" max="9792" width="7.7109375" bestFit="1" customWidth="1"/>
    <col min="9793" max="9796" width="9.140625" hidden="1" customWidth="1"/>
    <col min="9797" max="9797" width="10.42578125" bestFit="1" customWidth="1"/>
    <col min="9798" max="9798" width="10.5703125" bestFit="1" customWidth="1"/>
    <col min="9799" max="9799" width="10.42578125" bestFit="1" customWidth="1"/>
    <col min="9800" max="9800" width="10.5703125" bestFit="1" customWidth="1"/>
    <col min="9801" max="9801" width="9.5703125" bestFit="1" customWidth="1"/>
    <col min="9802" max="9802" width="11.5703125" bestFit="1" customWidth="1"/>
    <col min="9803" max="9803" width="10.42578125" bestFit="1" customWidth="1"/>
    <col min="9804" max="9804" width="10.85546875" customWidth="1"/>
    <col min="9805" max="9806" width="9.85546875" bestFit="1" customWidth="1"/>
    <col min="9807" max="9807" width="13.5703125" bestFit="1" customWidth="1"/>
    <col min="9808" max="9808" width="7.7109375" bestFit="1" customWidth="1"/>
    <col min="9809" max="9809" width="13.28515625" bestFit="1" customWidth="1"/>
    <col min="9810" max="9810" width="11.5703125" bestFit="1" customWidth="1"/>
    <col min="9811" max="9811" width="10.42578125" bestFit="1" customWidth="1"/>
    <col min="9812" max="9812" width="7.7109375" bestFit="1" customWidth="1"/>
    <col min="9813" max="9813" width="11.5703125" bestFit="1" customWidth="1"/>
    <col min="9814" max="9814" width="10.85546875" bestFit="1" customWidth="1"/>
    <col min="9815" max="9815" width="13.28515625" bestFit="1" customWidth="1"/>
    <col min="9816" max="9816" width="10.85546875" bestFit="1" customWidth="1"/>
    <col min="9817" max="9818" width="7.5703125" bestFit="1" customWidth="1"/>
    <col min="9819" max="9820" width="10.42578125" bestFit="1" customWidth="1"/>
    <col min="9821" max="9821" width="11.5703125" bestFit="1" customWidth="1"/>
    <col min="9822" max="9822" width="5.28515625" bestFit="1" customWidth="1"/>
    <col min="9823" max="9823" width="10.28515625" bestFit="1" customWidth="1"/>
    <col min="9824" max="9824" width="10.42578125" bestFit="1" customWidth="1"/>
    <col min="9825" max="9825" width="11.5703125" bestFit="1" customWidth="1"/>
    <col min="9826" max="9826" width="5.28515625" bestFit="1" customWidth="1"/>
    <col min="9827" max="9829" width="11.5703125" bestFit="1" customWidth="1"/>
    <col min="9830" max="9830" width="5.28515625" bestFit="1" customWidth="1"/>
    <col min="9831" max="9832" width="10.42578125" bestFit="1" customWidth="1"/>
    <col min="9833" max="9833" width="11.5703125" bestFit="1" customWidth="1"/>
    <col min="9834" max="9834" width="5.28515625" bestFit="1" customWidth="1"/>
    <col min="9835" max="9835" width="14.28515625" bestFit="1" customWidth="1"/>
    <col min="9836" max="9836" width="13" bestFit="1" customWidth="1"/>
    <col min="9837" max="9837" width="11.5703125" bestFit="1" customWidth="1"/>
    <col min="9838" max="9838" width="8.85546875" bestFit="1" customWidth="1"/>
    <col min="9839" max="9839" width="14.42578125" bestFit="1" customWidth="1"/>
    <col min="9840" max="9840" width="10.42578125" bestFit="1" customWidth="1"/>
    <col min="9841" max="9841" width="12.28515625" bestFit="1" customWidth="1"/>
    <col min="9842" max="9842" width="13.85546875" bestFit="1" customWidth="1"/>
    <col min="9843" max="9843" width="11.28515625" customWidth="1"/>
    <col min="9844" max="9844" width="11.5703125" customWidth="1"/>
    <col min="9845" max="9845" width="13.42578125" bestFit="1" customWidth="1"/>
    <col min="9846" max="9846" width="10.42578125" customWidth="1"/>
    <col min="9847" max="9847" width="13.85546875" bestFit="1" customWidth="1"/>
    <col min="9848" max="9848" width="15.42578125" bestFit="1" customWidth="1"/>
    <col min="9849" max="9849" width="12.28515625" bestFit="1" customWidth="1"/>
    <col min="9850" max="9850" width="12.7109375" customWidth="1"/>
    <col min="9851" max="9851" width="10.7109375" bestFit="1" customWidth="1"/>
    <col min="9852" max="9852" width="9.85546875" customWidth="1"/>
    <col min="9853" max="9854" width="10.140625" bestFit="1" customWidth="1"/>
    <col min="9855" max="9855" width="7.5703125" bestFit="1" customWidth="1"/>
    <col min="9856" max="9856" width="9.42578125" bestFit="1" customWidth="1"/>
    <col min="9857" max="9857" width="14.5703125" bestFit="1" customWidth="1"/>
    <col min="9858" max="9858" width="14.85546875" customWidth="1"/>
    <col min="9859" max="9859" width="15.140625" bestFit="1" customWidth="1"/>
    <col min="9860" max="9860" width="12.140625" bestFit="1" customWidth="1"/>
    <col min="9861" max="9861" width="14.85546875" bestFit="1" customWidth="1"/>
    <col min="9862" max="9862" width="12.28515625" bestFit="1" customWidth="1"/>
    <col min="9863" max="9871" width="9.140625" hidden="1" customWidth="1"/>
    <col min="9872" max="9872" width="5.28515625" bestFit="1" customWidth="1"/>
    <col min="9873" max="9878" width="11.5703125" bestFit="1" customWidth="1"/>
    <col min="9879" max="9879" width="11.28515625" bestFit="1" customWidth="1"/>
    <col min="9880" max="9880" width="10.140625" bestFit="1" customWidth="1"/>
    <col min="9881" max="9881" width="11.5703125" bestFit="1" customWidth="1"/>
    <col min="9882" max="9882" width="16.140625" customWidth="1"/>
    <col min="9883" max="9883" width="13.42578125" customWidth="1"/>
    <col min="9884" max="9884" width="10.140625" bestFit="1" customWidth="1"/>
    <col min="9885" max="9885" width="12.85546875" bestFit="1" customWidth="1"/>
    <col min="9886" max="9886" width="12.28515625" bestFit="1" customWidth="1"/>
    <col min="9887" max="9887" width="11.28515625" bestFit="1" customWidth="1"/>
    <col min="9888" max="9888" width="11.5703125" bestFit="1" customWidth="1"/>
    <col min="9889" max="9889" width="10.85546875" bestFit="1" customWidth="1"/>
    <col min="9890" max="9890" width="11.28515625" bestFit="1" customWidth="1"/>
    <col min="9891" max="9891" width="10.140625" bestFit="1" customWidth="1"/>
    <col min="9892" max="9892" width="13.28515625" bestFit="1" customWidth="1"/>
    <col min="9893" max="9894" width="12.7109375" bestFit="1" customWidth="1"/>
    <col min="9895" max="9895" width="11" bestFit="1" customWidth="1"/>
    <col min="9896" max="9896" width="11.28515625" bestFit="1" customWidth="1"/>
    <col min="9897" max="9897" width="11.5703125" bestFit="1" customWidth="1"/>
    <col min="9898" max="9898" width="12.28515625" bestFit="1" customWidth="1"/>
    <col min="9899" max="9899" width="15.140625" bestFit="1" customWidth="1"/>
    <col min="9900" max="9900" width="14.42578125" bestFit="1" customWidth="1"/>
    <col min="9901" max="9901" width="12.28515625" bestFit="1" customWidth="1"/>
    <col min="9902" max="9902" width="15.140625" bestFit="1" customWidth="1"/>
    <col min="9903" max="9903" width="14.42578125" bestFit="1" customWidth="1"/>
    <col min="9904" max="9904" width="12.28515625" bestFit="1" customWidth="1"/>
    <col min="9905" max="9905" width="14.42578125" bestFit="1" customWidth="1"/>
    <col min="9906" max="9906" width="11.28515625" bestFit="1" customWidth="1"/>
    <col min="9907" max="9907" width="12.28515625" bestFit="1" customWidth="1"/>
    <col min="9908" max="9908" width="13" bestFit="1" customWidth="1"/>
    <col min="9909" max="9909" width="15.140625" bestFit="1" customWidth="1"/>
    <col min="9910" max="9910" width="12.28515625" bestFit="1" customWidth="1"/>
    <col min="9911" max="9911" width="13.85546875" bestFit="1" customWidth="1"/>
    <col min="9912" max="9912" width="11.28515625" bestFit="1" customWidth="1"/>
    <col min="9913" max="9913" width="12.28515625" bestFit="1" customWidth="1"/>
    <col min="9914" max="9914" width="13.85546875" bestFit="1" customWidth="1"/>
    <col min="9915" max="9916" width="15.140625" bestFit="1" customWidth="1"/>
    <col min="9917" max="9917" width="12.28515625" bestFit="1" customWidth="1"/>
    <col min="9918" max="9918" width="5.7109375" bestFit="1" customWidth="1"/>
    <col min="9919" max="9919" width="8.5703125" bestFit="1" customWidth="1"/>
    <col min="9920" max="9920" width="5.5703125" bestFit="1" customWidth="1"/>
    <col min="9921" max="9921" width="14.42578125" bestFit="1" customWidth="1"/>
    <col min="9922" max="9922" width="11.28515625" bestFit="1" customWidth="1"/>
    <col min="9923" max="9924" width="12.28515625" bestFit="1" customWidth="1"/>
    <col min="9925" max="9925" width="11.28515625" bestFit="1" customWidth="1"/>
    <col min="9926" max="9926" width="13.85546875" bestFit="1" customWidth="1"/>
    <col min="9927" max="9927" width="12" bestFit="1" customWidth="1"/>
    <col min="9928" max="9928" width="13.85546875" bestFit="1" customWidth="1"/>
    <col min="9929" max="9930" width="14.42578125" customWidth="1"/>
    <col min="9931" max="9931" width="10.140625" bestFit="1" customWidth="1"/>
    <col min="9932" max="9932" width="12.28515625" bestFit="1" customWidth="1"/>
    <col min="9933" max="9933" width="7.42578125" bestFit="1" customWidth="1"/>
    <col min="9934" max="9934" width="8.5703125" bestFit="1" customWidth="1"/>
    <col min="9935" max="9935" width="11.5703125" bestFit="1" customWidth="1"/>
    <col min="9936" max="9936" width="13.28515625" bestFit="1" customWidth="1"/>
    <col min="9937" max="9937" width="13.28515625" customWidth="1"/>
    <col min="9938" max="9938" width="13.140625" customWidth="1"/>
    <col min="9939" max="9939" width="12.7109375" bestFit="1" customWidth="1"/>
    <col min="9940" max="9940" width="13.28515625" bestFit="1" customWidth="1"/>
    <col min="9941" max="9943" width="13.28515625" customWidth="1"/>
    <col min="9944" max="9944" width="12.140625" bestFit="1" customWidth="1"/>
    <col min="9945" max="9945" width="12.7109375" bestFit="1" customWidth="1"/>
    <col min="9946" max="9946" width="11" customWidth="1"/>
    <col min="9947" max="9947" width="16.7109375" customWidth="1"/>
    <col min="9948" max="9948" width="17" customWidth="1"/>
    <col min="9949" max="9949" width="10.42578125" bestFit="1" customWidth="1"/>
    <col min="9993" max="9993" width="3.85546875" customWidth="1"/>
    <col min="9994" max="9994" width="15.28515625" bestFit="1" customWidth="1"/>
    <col min="9995" max="9995" width="12.28515625" customWidth="1"/>
    <col min="9996" max="9996" width="16.28515625" bestFit="1" customWidth="1"/>
    <col min="9997" max="9997" width="6.42578125" bestFit="1" customWidth="1"/>
    <col min="9998" max="9998" width="9.28515625" bestFit="1" customWidth="1"/>
    <col min="9999" max="9999" width="7.5703125" bestFit="1" customWidth="1"/>
    <col min="10000" max="10000" width="13.28515625" bestFit="1" customWidth="1"/>
    <col min="10001" max="10001" width="9.28515625" bestFit="1" customWidth="1"/>
    <col min="10002" max="10002" width="11.5703125" bestFit="1" customWidth="1"/>
    <col min="10003" max="10003" width="13.28515625" bestFit="1" customWidth="1"/>
    <col min="10004" max="10004" width="7.140625" bestFit="1" customWidth="1"/>
    <col min="10005" max="10005" width="12" bestFit="1" customWidth="1"/>
    <col min="10006" max="10006" width="13.28515625" bestFit="1" customWidth="1"/>
    <col min="10007" max="10007" width="7" bestFit="1" customWidth="1"/>
    <col min="10008" max="10008" width="12.7109375" bestFit="1" customWidth="1"/>
    <col min="10009" max="10009" width="11.5703125" bestFit="1" customWidth="1"/>
    <col min="10010" max="10010" width="10.5703125" bestFit="1" customWidth="1"/>
    <col min="10011" max="10012" width="15.7109375" bestFit="1" customWidth="1"/>
    <col min="10013" max="10013" width="11.5703125" bestFit="1" customWidth="1"/>
    <col min="10014" max="10014" width="7.7109375" bestFit="1" customWidth="1"/>
    <col min="10015" max="10015" width="15.140625" bestFit="1" customWidth="1"/>
    <col min="10016" max="10016" width="11.5703125" bestFit="1" customWidth="1"/>
    <col min="10017" max="10017" width="13.28515625" bestFit="1" customWidth="1"/>
    <col min="10018" max="10018" width="10.42578125" bestFit="1" customWidth="1"/>
    <col min="10019" max="10019" width="13.28515625" bestFit="1" customWidth="1"/>
    <col min="10020" max="10020" width="12.140625" bestFit="1" customWidth="1"/>
    <col min="10021" max="10021" width="14.42578125" bestFit="1" customWidth="1"/>
    <col min="10022" max="10022" width="13.28515625" bestFit="1" customWidth="1"/>
    <col min="10023" max="10023" width="11.5703125" bestFit="1" customWidth="1"/>
    <col min="10024" max="10024" width="7.7109375" bestFit="1" customWidth="1"/>
    <col min="10025" max="10026" width="14.42578125" bestFit="1" customWidth="1"/>
    <col min="10027" max="10027" width="11.5703125" bestFit="1" customWidth="1"/>
    <col min="10028" max="10028" width="7.7109375" bestFit="1" customWidth="1"/>
    <col min="10029" max="10029" width="13.5703125" customWidth="1"/>
    <col min="10030" max="10030" width="15.28515625" customWidth="1"/>
    <col min="10031" max="10031" width="14.5703125" customWidth="1"/>
    <col min="10032" max="10032" width="13.28515625" bestFit="1" customWidth="1"/>
    <col min="10033" max="10033" width="7.7109375" bestFit="1" customWidth="1"/>
    <col min="10034" max="10034" width="12.7109375" bestFit="1" customWidth="1"/>
    <col min="10035" max="10035" width="11.7109375" bestFit="1" customWidth="1"/>
    <col min="10036" max="10036" width="11.5703125" bestFit="1" customWidth="1"/>
    <col min="10037" max="10037" width="5.28515625" bestFit="1" customWidth="1"/>
    <col min="10038" max="10038" width="13.28515625" bestFit="1" customWidth="1"/>
    <col min="10039" max="10039" width="13.5703125" bestFit="1" customWidth="1"/>
    <col min="10040" max="10040" width="10.5703125" bestFit="1" customWidth="1"/>
    <col min="10041" max="10041" width="13.28515625" bestFit="1" customWidth="1"/>
    <col min="10042" max="10042" width="11.5703125" bestFit="1" customWidth="1"/>
    <col min="10043" max="10043" width="10.5703125" bestFit="1" customWidth="1"/>
    <col min="10044" max="10044" width="16.140625" bestFit="1" customWidth="1"/>
    <col min="10045" max="10046" width="11.28515625" bestFit="1" customWidth="1"/>
    <col min="10047" max="10047" width="13.28515625" bestFit="1" customWidth="1"/>
    <col min="10048" max="10048" width="7.7109375" bestFit="1" customWidth="1"/>
    <col min="10049" max="10052" width="9.140625" hidden="1" customWidth="1"/>
    <col min="10053" max="10053" width="10.42578125" bestFit="1" customWidth="1"/>
    <col min="10054" max="10054" width="10.5703125" bestFit="1" customWidth="1"/>
    <col min="10055" max="10055" width="10.42578125" bestFit="1" customWidth="1"/>
    <col min="10056" max="10056" width="10.5703125" bestFit="1" customWidth="1"/>
    <col min="10057" max="10057" width="9.5703125" bestFit="1" customWidth="1"/>
    <col min="10058" max="10058" width="11.5703125" bestFit="1" customWidth="1"/>
    <col min="10059" max="10059" width="10.42578125" bestFit="1" customWidth="1"/>
    <col min="10060" max="10060" width="10.85546875" customWidth="1"/>
    <col min="10061" max="10062" width="9.85546875" bestFit="1" customWidth="1"/>
    <col min="10063" max="10063" width="13.5703125" bestFit="1" customWidth="1"/>
    <col min="10064" max="10064" width="7.7109375" bestFit="1" customWidth="1"/>
    <col min="10065" max="10065" width="13.28515625" bestFit="1" customWidth="1"/>
    <col min="10066" max="10066" width="11.5703125" bestFit="1" customWidth="1"/>
    <col min="10067" max="10067" width="10.42578125" bestFit="1" customWidth="1"/>
    <col min="10068" max="10068" width="7.7109375" bestFit="1" customWidth="1"/>
    <col min="10069" max="10069" width="11.5703125" bestFit="1" customWidth="1"/>
    <col min="10070" max="10070" width="10.85546875" bestFit="1" customWidth="1"/>
    <col min="10071" max="10071" width="13.28515625" bestFit="1" customWidth="1"/>
    <col min="10072" max="10072" width="10.85546875" bestFit="1" customWidth="1"/>
    <col min="10073" max="10074" width="7.5703125" bestFit="1" customWidth="1"/>
    <col min="10075" max="10076" width="10.42578125" bestFit="1" customWidth="1"/>
    <col min="10077" max="10077" width="11.5703125" bestFit="1" customWidth="1"/>
    <col min="10078" max="10078" width="5.28515625" bestFit="1" customWidth="1"/>
    <col min="10079" max="10079" width="10.28515625" bestFit="1" customWidth="1"/>
    <col min="10080" max="10080" width="10.42578125" bestFit="1" customWidth="1"/>
    <col min="10081" max="10081" width="11.5703125" bestFit="1" customWidth="1"/>
    <col min="10082" max="10082" width="5.28515625" bestFit="1" customWidth="1"/>
    <col min="10083" max="10085" width="11.5703125" bestFit="1" customWidth="1"/>
    <col min="10086" max="10086" width="5.28515625" bestFit="1" customWidth="1"/>
    <col min="10087" max="10088" width="10.42578125" bestFit="1" customWidth="1"/>
    <col min="10089" max="10089" width="11.5703125" bestFit="1" customWidth="1"/>
    <col min="10090" max="10090" width="5.28515625" bestFit="1" customWidth="1"/>
    <col min="10091" max="10091" width="14.28515625" bestFit="1" customWidth="1"/>
    <col min="10092" max="10092" width="13" bestFit="1" customWidth="1"/>
    <col min="10093" max="10093" width="11.5703125" bestFit="1" customWidth="1"/>
    <col min="10094" max="10094" width="8.85546875" bestFit="1" customWidth="1"/>
    <col min="10095" max="10095" width="14.42578125" bestFit="1" customWidth="1"/>
    <col min="10096" max="10096" width="10.42578125" bestFit="1" customWidth="1"/>
    <col min="10097" max="10097" width="12.28515625" bestFit="1" customWidth="1"/>
    <col min="10098" max="10098" width="13.85546875" bestFit="1" customWidth="1"/>
    <col min="10099" max="10099" width="11.28515625" customWidth="1"/>
    <col min="10100" max="10100" width="11.5703125" customWidth="1"/>
    <col min="10101" max="10101" width="13.42578125" bestFit="1" customWidth="1"/>
    <col min="10102" max="10102" width="10.42578125" customWidth="1"/>
    <col min="10103" max="10103" width="13.85546875" bestFit="1" customWidth="1"/>
    <col min="10104" max="10104" width="15.42578125" bestFit="1" customWidth="1"/>
    <col min="10105" max="10105" width="12.28515625" bestFit="1" customWidth="1"/>
    <col min="10106" max="10106" width="12.7109375" customWidth="1"/>
    <col min="10107" max="10107" width="10.7109375" bestFit="1" customWidth="1"/>
    <col min="10108" max="10108" width="9.85546875" customWidth="1"/>
    <col min="10109" max="10110" width="10.140625" bestFit="1" customWidth="1"/>
    <col min="10111" max="10111" width="7.5703125" bestFit="1" customWidth="1"/>
    <col min="10112" max="10112" width="9.42578125" bestFit="1" customWidth="1"/>
    <col min="10113" max="10113" width="14.5703125" bestFit="1" customWidth="1"/>
    <col min="10114" max="10114" width="14.85546875" customWidth="1"/>
    <col min="10115" max="10115" width="15.140625" bestFit="1" customWidth="1"/>
    <col min="10116" max="10116" width="12.140625" bestFit="1" customWidth="1"/>
    <col min="10117" max="10117" width="14.85546875" bestFit="1" customWidth="1"/>
    <col min="10118" max="10118" width="12.28515625" bestFit="1" customWidth="1"/>
    <col min="10119" max="10127" width="9.140625" hidden="1" customWidth="1"/>
    <col min="10128" max="10128" width="5.28515625" bestFit="1" customWidth="1"/>
    <col min="10129" max="10134" width="11.5703125" bestFit="1" customWidth="1"/>
    <col min="10135" max="10135" width="11.28515625" bestFit="1" customWidth="1"/>
    <col min="10136" max="10136" width="10.140625" bestFit="1" customWidth="1"/>
    <col min="10137" max="10137" width="11.5703125" bestFit="1" customWidth="1"/>
    <col min="10138" max="10138" width="16.140625" customWidth="1"/>
    <col min="10139" max="10139" width="13.42578125" customWidth="1"/>
    <col min="10140" max="10140" width="10.140625" bestFit="1" customWidth="1"/>
    <col min="10141" max="10141" width="12.85546875" bestFit="1" customWidth="1"/>
    <col min="10142" max="10142" width="12.28515625" bestFit="1" customWidth="1"/>
    <col min="10143" max="10143" width="11.28515625" bestFit="1" customWidth="1"/>
    <col min="10144" max="10144" width="11.5703125" bestFit="1" customWidth="1"/>
    <col min="10145" max="10145" width="10.85546875" bestFit="1" customWidth="1"/>
    <col min="10146" max="10146" width="11.28515625" bestFit="1" customWidth="1"/>
    <col min="10147" max="10147" width="10.140625" bestFit="1" customWidth="1"/>
    <col min="10148" max="10148" width="13.28515625" bestFit="1" customWidth="1"/>
    <col min="10149" max="10150" width="12.7109375" bestFit="1" customWidth="1"/>
    <col min="10151" max="10151" width="11" bestFit="1" customWidth="1"/>
    <col min="10152" max="10152" width="11.28515625" bestFit="1" customWidth="1"/>
    <col min="10153" max="10153" width="11.5703125" bestFit="1" customWidth="1"/>
    <col min="10154" max="10154" width="12.28515625" bestFit="1" customWidth="1"/>
    <col min="10155" max="10155" width="15.140625" bestFit="1" customWidth="1"/>
    <col min="10156" max="10156" width="14.42578125" bestFit="1" customWidth="1"/>
    <col min="10157" max="10157" width="12.28515625" bestFit="1" customWidth="1"/>
    <col min="10158" max="10158" width="15.140625" bestFit="1" customWidth="1"/>
    <col min="10159" max="10159" width="14.42578125" bestFit="1" customWidth="1"/>
    <col min="10160" max="10160" width="12.28515625" bestFit="1" customWidth="1"/>
    <col min="10161" max="10161" width="14.42578125" bestFit="1" customWidth="1"/>
    <col min="10162" max="10162" width="11.28515625" bestFit="1" customWidth="1"/>
    <col min="10163" max="10163" width="12.28515625" bestFit="1" customWidth="1"/>
    <col min="10164" max="10164" width="13" bestFit="1" customWidth="1"/>
    <col min="10165" max="10165" width="15.140625" bestFit="1" customWidth="1"/>
    <col min="10166" max="10166" width="12.28515625" bestFit="1" customWidth="1"/>
    <col min="10167" max="10167" width="13.85546875" bestFit="1" customWidth="1"/>
    <col min="10168" max="10168" width="11.28515625" bestFit="1" customWidth="1"/>
    <col min="10169" max="10169" width="12.28515625" bestFit="1" customWidth="1"/>
    <col min="10170" max="10170" width="13.85546875" bestFit="1" customWidth="1"/>
    <col min="10171" max="10172" width="15.140625" bestFit="1" customWidth="1"/>
    <col min="10173" max="10173" width="12.28515625" bestFit="1" customWidth="1"/>
    <col min="10174" max="10174" width="5.7109375" bestFit="1" customWidth="1"/>
    <col min="10175" max="10175" width="8.5703125" bestFit="1" customWidth="1"/>
    <col min="10176" max="10176" width="5.5703125" bestFit="1" customWidth="1"/>
    <col min="10177" max="10177" width="14.42578125" bestFit="1" customWidth="1"/>
    <col min="10178" max="10178" width="11.28515625" bestFit="1" customWidth="1"/>
    <col min="10179" max="10180" width="12.28515625" bestFit="1" customWidth="1"/>
    <col min="10181" max="10181" width="11.28515625" bestFit="1" customWidth="1"/>
    <col min="10182" max="10182" width="13.85546875" bestFit="1" customWidth="1"/>
    <col min="10183" max="10183" width="12" bestFit="1" customWidth="1"/>
    <col min="10184" max="10184" width="13.85546875" bestFit="1" customWidth="1"/>
    <col min="10185" max="10186" width="14.42578125" customWidth="1"/>
    <col min="10187" max="10187" width="10.140625" bestFit="1" customWidth="1"/>
    <col min="10188" max="10188" width="12.28515625" bestFit="1" customWidth="1"/>
    <col min="10189" max="10189" width="7.42578125" bestFit="1" customWidth="1"/>
    <col min="10190" max="10190" width="8.5703125" bestFit="1" customWidth="1"/>
    <col min="10191" max="10191" width="11.5703125" bestFit="1" customWidth="1"/>
    <col min="10192" max="10192" width="13.28515625" bestFit="1" customWidth="1"/>
    <col min="10193" max="10193" width="13.28515625" customWidth="1"/>
    <col min="10194" max="10194" width="13.140625" customWidth="1"/>
    <col min="10195" max="10195" width="12.7109375" bestFit="1" customWidth="1"/>
    <col min="10196" max="10196" width="13.28515625" bestFit="1" customWidth="1"/>
    <col min="10197" max="10199" width="13.28515625" customWidth="1"/>
    <col min="10200" max="10200" width="12.140625" bestFit="1" customWidth="1"/>
    <col min="10201" max="10201" width="12.7109375" bestFit="1" customWidth="1"/>
    <col min="10202" max="10202" width="11" customWidth="1"/>
    <col min="10203" max="10203" width="16.7109375" customWidth="1"/>
    <col min="10204" max="10204" width="17" customWidth="1"/>
    <col min="10205" max="10205" width="10.42578125" bestFit="1" customWidth="1"/>
    <col min="10249" max="10249" width="3.85546875" customWidth="1"/>
    <col min="10250" max="10250" width="15.28515625" bestFit="1" customWidth="1"/>
    <col min="10251" max="10251" width="12.28515625" customWidth="1"/>
    <col min="10252" max="10252" width="16.28515625" bestFit="1" customWidth="1"/>
    <col min="10253" max="10253" width="6.42578125" bestFit="1" customWidth="1"/>
    <col min="10254" max="10254" width="9.28515625" bestFit="1" customWidth="1"/>
    <col min="10255" max="10255" width="7.5703125" bestFit="1" customWidth="1"/>
    <col min="10256" max="10256" width="13.28515625" bestFit="1" customWidth="1"/>
    <col min="10257" max="10257" width="9.28515625" bestFit="1" customWidth="1"/>
    <col min="10258" max="10258" width="11.5703125" bestFit="1" customWidth="1"/>
    <col min="10259" max="10259" width="13.28515625" bestFit="1" customWidth="1"/>
    <col min="10260" max="10260" width="7.140625" bestFit="1" customWidth="1"/>
    <col min="10261" max="10261" width="12" bestFit="1" customWidth="1"/>
    <col min="10262" max="10262" width="13.28515625" bestFit="1" customWidth="1"/>
    <col min="10263" max="10263" width="7" bestFit="1" customWidth="1"/>
    <col min="10264" max="10264" width="12.7109375" bestFit="1" customWidth="1"/>
    <col min="10265" max="10265" width="11.5703125" bestFit="1" customWidth="1"/>
    <col min="10266" max="10266" width="10.5703125" bestFit="1" customWidth="1"/>
    <col min="10267" max="10268" width="15.7109375" bestFit="1" customWidth="1"/>
    <col min="10269" max="10269" width="11.5703125" bestFit="1" customWidth="1"/>
    <col min="10270" max="10270" width="7.7109375" bestFit="1" customWidth="1"/>
    <col min="10271" max="10271" width="15.140625" bestFit="1" customWidth="1"/>
    <col min="10272" max="10272" width="11.5703125" bestFit="1" customWidth="1"/>
    <col min="10273" max="10273" width="13.28515625" bestFit="1" customWidth="1"/>
    <col min="10274" max="10274" width="10.42578125" bestFit="1" customWidth="1"/>
    <col min="10275" max="10275" width="13.28515625" bestFit="1" customWidth="1"/>
    <col min="10276" max="10276" width="12.140625" bestFit="1" customWidth="1"/>
    <col min="10277" max="10277" width="14.42578125" bestFit="1" customWidth="1"/>
    <col min="10278" max="10278" width="13.28515625" bestFit="1" customWidth="1"/>
    <col min="10279" max="10279" width="11.5703125" bestFit="1" customWidth="1"/>
    <col min="10280" max="10280" width="7.7109375" bestFit="1" customWidth="1"/>
    <col min="10281" max="10282" width="14.42578125" bestFit="1" customWidth="1"/>
    <col min="10283" max="10283" width="11.5703125" bestFit="1" customWidth="1"/>
    <col min="10284" max="10284" width="7.7109375" bestFit="1" customWidth="1"/>
    <col min="10285" max="10285" width="13.5703125" customWidth="1"/>
    <col min="10286" max="10286" width="15.28515625" customWidth="1"/>
    <col min="10287" max="10287" width="14.5703125" customWidth="1"/>
    <col min="10288" max="10288" width="13.28515625" bestFit="1" customWidth="1"/>
    <col min="10289" max="10289" width="7.7109375" bestFit="1" customWidth="1"/>
    <col min="10290" max="10290" width="12.7109375" bestFit="1" customWidth="1"/>
    <col min="10291" max="10291" width="11.7109375" bestFit="1" customWidth="1"/>
    <col min="10292" max="10292" width="11.5703125" bestFit="1" customWidth="1"/>
    <col min="10293" max="10293" width="5.28515625" bestFit="1" customWidth="1"/>
    <col min="10294" max="10294" width="13.28515625" bestFit="1" customWidth="1"/>
    <col min="10295" max="10295" width="13.5703125" bestFit="1" customWidth="1"/>
    <col min="10296" max="10296" width="10.5703125" bestFit="1" customWidth="1"/>
    <col min="10297" max="10297" width="13.28515625" bestFit="1" customWidth="1"/>
    <col min="10298" max="10298" width="11.5703125" bestFit="1" customWidth="1"/>
    <col min="10299" max="10299" width="10.5703125" bestFit="1" customWidth="1"/>
    <col min="10300" max="10300" width="16.140625" bestFit="1" customWidth="1"/>
    <col min="10301" max="10302" width="11.28515625" bestFit="1" customWidth="1"/>
    <col min="10303" max="10303" width="13.28515625" bestFit="1" customWidth="1"/>
    <col min="10304" max="10304" width="7.7109375" bestFit="1" customWidth="1"/>
    <col min="10305" max="10308" width="9.140625" hidden="1" customWidth="1"/>
    <col min="10309" max="10309" width="10.42578125" bestFit="1" customWidth="1"/>
    <col min="10310" max="10310" width="10.5703125" bestFit="1" customWidth="1"/>
    <col min="10311" max="10311" width="10.42578125" bestFit="1" customWidth="1"/>
    <col min="10312" max="10312" width="10.5703125" bestFit="1" customWidth="1"/>
    <col min="10313" max="10313" width="9.5703125" bestFit="1" customWidth="1"/>
    <col min="10314" max="10314" width="11.5703125" bestFit="1" customWidth="1"/>
    <col min="10315" max="10315" width="10.42578125" bestFit="1" customWidth="1"/>
    <col min="10316" max="10316" width="10.85546875" customWidth="1"/>
    <col min="10317" max="10318" width="9.85546875" bestFit="1" customWidth="1"/>
    <col min="10319" max="10319" width="13.5703125" bestFit="1" customWidth="1"/>
    <col min="10320" max="10320" width="7.7109375" bestFit="1" customWidth="1"/>
    <col min="10321" max="10321" width="13.28515625" bestFit="1" customWidth="1"/>
    <col min="10322" max="10322" width="11.5703125" bestFit="1" customWidth="1"/>
    <col min="10323" max="10323" width="10.42578125" bestFit="1" customWidth="1"/>
    <col min="10324" max="10324" width="7.7109375" bestFit="1" customWidth="1"/>
    <col min="10325" max="10325" width="11.5703125" bestFit="1" customWidth="1"/>
    <col min="10326" max="10326" width="10.85546875" bestFit="1" customWidth="1"/>
    <col min="10327" max="10327" width="13.28515625" bestFit="1" customWidth="1"/>
    <col min="10328" max="10328" width="10.85546875" bestFit="1" customWidth="1"/>
    <col min="10329" max="10330" width="7.5703125" bestFit="1" customWidth="1"/>
    <col min="10331" max="10332" width="10.42578125" bestFit="1" customWidth="1"/>
    <col min="10333" max="10333" width="11.5703125" bestFit="1" customWidth="1"/>
    <col min="10334" max="10334" width="5.28515625" bestFit="1" customWidth="1"/>
    <col min="10335" max="10335" width="10.28515625" bestFit="1" customWidth="1"/>
    <col min="10336" max="10336" width="10.42578125" bestFit="1" customWidth="1"/>
    <col min="10337" max="10337" width="11.5703125" bestFit="1" customWidth="1"/>
    <col min="10338" max="10338" width="5.28515625" bestFit="1" customWidth="1"/>
    <col min="10339" max="10341" width="11.5703125" bestFit="1" customWidth="1"/>
    <col min="10342" max="10342" width="5.28515625" bestFit="1" customWidth="1"/>
    <col min="10343" max="10344" width="10.42578125" bestFit="1" customWidth="1"/>
    <col min="10345" max="10345" width="11.5703125" bestFit="1" customWidth="1"/>
    <col min="10346" max="10346" width="5.28515625" bestFit="1" customWidth="1"/>
    <col min="10347" max="10347" width="14.28515625" bestFit="1" customWidth="1"/>
    <col min="10348" max="10348" width="13" bestFit="1" customWidth="1"/>
    <col min="10349" max="10349" width="11.5703125" bestFit="1" customWidth="1"/>
    <col min="10350" max="10350" width="8.85546875" bestFit="1" customWidth="1"/>
    <col min="10351" max="10351" width="14.42578125" bestFit="1" customWidth="1"/>
    <col min="10352" max="10352" width="10.42578125" bestFit="1" customWidth="1"/>
    <col min="10353" max="10353" width="12.28515625" bestFit="1" customWidth="1"/>
    <col min="10354" max="10354" width="13.85546875" bestFit="1" customWidth="1"/>
    <col min="10355" max="10355" width="11.28515625" customWidth="1"/>
    <col min="10356" max="10356" width="11.5703125" customWidth="1"/>
    <col min="10357" max="10357" width="13.42578125" bestFit="1" customWidth="1"/>
    <col min="10358" max="10358" width="10.42578125" customWidth="1"/>
    <col min="10359" max="10359" width="13.85546875" bestFit="1" customWidth="1"/>
    <col min="10360" max="10360" width="15.42578125" bestFit="1" customWidth="1"/>
    <col min="10361" max="10361" width="12.28515625" bestFit="1" customWidth="1"/>
    <col min="10362" max="10362" width="12.7109375" customWidth="1"/>
    <col min="10363" max="10363" width="10.7109375" bestFit="1" customWidth="1"/>
    <col min="10364" max="10364" width="9.85546875" customWidth="1"/>
    <col min="10365" max="10366" width="10.140625" bestFit="1" customWidth="1"/>
    <col min="10367" max="10367" width="7.5703125" bestFit="1" customWidth="1"/>
    <col min="10368" max="10368" width="9.42578125" bestFit="1" customWidth="1"/>
    <col min="10369" max="10369" width="14.5703125" bestFit="1" customWidth="1"/>
    <col min="10370" max="10370" width="14.85546875" customWidth="1"/>
    <col min="10371" max="10371" width="15.140625" bestFit="1" customWidth="1"/>
    <col min="10372" max="10372" width="12.140625" bestFit="1" customWidth="1"/>
    <col min="10373" max="10373" width="14.85546875" bestFit="1" customWidth="1"/>
    <col min="10374" max="10374" width="12.28515625" bestFit="1" customWidth="1"/>
    <col min="10375" max="10383" width="9.140625" hidden="1" customWidth="1"/>
    <col min="10384" max="10384" width="5.28515625" bestFit="1" customWidth="1"/>
    <col min="10385" max="10390" width="11.5703125" bestFit="1" customWidth="1"/>
    <col min="10391" max="10391" width="11.28515625" bestFit="1" customWidth="1"/>
    <col min="10392" max="10392" width="10.140625" bestFit="1" customWidth="1"/>
    <col min="10393" max="10393" width="11.5703125" bestFit="1" customWidth="1"/>
    <col min="10394" max="10394" width="16.140625" customWidth="1"/>
    <col min="10395" max="10395" width="13.42578125" customWidth="1"/>
    <col min="10396" max="10396" width="10.140625" bestFit="1" customWidth="1"/>
    <col min="10397" max="10397" width="12.85546875" bestFit="1" customWidth="1"/>
    <col min="10398" max="10398" width="12.28515625" bestFit="1" customWidth="1"/>
    <col min="10399" max="10399" width="11.28515625" bestFit="1" customWidth="1"/>
    <col min="10400" max="10400" width="11.5703125" bestFit="1" customWidth="1"/>
    <col min="10401" max="10401" width="10.85546875" bestFit="1" customWidth="1"/>
    <col min="10402" max="10402" width="11.28515625" bestFit="1" customWidth="1"/>
    <col min="10403" max="10403" width="10.140625" bestFit="1" customWidth="1"/>
    <col min="10404" max="10404" width="13.28515625" bestFit="1" customWidth="1"/>
    <col min="10405" max="10406" width="12.7109375" bestFit="1" customWidth="1"/>
    <col min="10407" max="10407" width="11" bestFit="1" customWidth="1"/>
    <col min="10408" max="10408" width="11.28515625" bestFit="1" customWidth="1"/>
    <col min="10409" max="10409" width="11.5703125" bestFit="1" customWidth="1"/>
    <col min="10410" max="10410" width="12.28515625" bestFit="1" customWidth="1"/>
    <col min="10411" max="10411" width="15.140625" bestFit="1" customWidth="1"/>
    <col min="10412" max="10412" width="14.42578125" bestFit="1" customWidth="1"/>
    <col min="10413" max="10413" width="12.28515625" bestFit="1" customWidth="1"/>
    <col min="10414" max="10414" width="15.140625" bestFit="1" customWidth="1"/>
    <col min="10415" max="10415" width="14.42578125" bestFit="1" customWidth="1"/>
    <col min="10416" max="10416" width="12.28515625" bestFit="1" customWidth="1"/>
    <col min="10417" max="10417" width="14.42578125" bestFit="1" customWidth="1"/>
    <col min="10418" max="10418" width="11.28515625" bestFit="1" customWidth="1"/>
    <col min="10419" max="10419" width="12.28515625" bestFit="1" customWidth="1"/>
    <col min="10420" max="10420" width="13" bestFit="1" customWidth="1"/>
    <col min="10421" max="10421" width="15.140625" bestFit="1" customWidth="1"/>
    <col min="10422" max="10422" width="12.28515625" bestFit="1" customWidth="1"/>
    <col min="10423" max="10423" width="13.85546875" bestFit="1" customWidth="1"/>
    <col min="10424" max="10424" width="11.28515625" bestFit="1" customWidth="1"/>
    <col min="10425" max="10425" width="12.28515625" bestFit="1" customWidth="1"/>
    <col min="10426" max="10426" width="13.85546875" bestFit="1" customWidth="1"/>
    <col min="10427" max="10428" width="15.140625" bestFit="1" customWidth="1"/>
    <col min="10429" max="10429" width="12.28515625" bestFit="1" customWidth="1"/>
    <col min="10430" max="10430" width="5.7109375" bestFit="1" customWidth="1"/>
    <col min="10431" max="10431" width="8.5703125" bestFit="1" customWidth="1"/>
    <col min="10432" max="10432" width="5.5703125" bestFit="1" customWidth="1"/>
    <col min="10433" max="10433" width="14.42578125" bestFit="1" customWidth="1"/>
    <col min="10434" max="10434" width="11.28515625" bestFit="1" customWidth="1"/>
    <col min="10435" max="10436" width="12.28515625" bestFit="1" customWidth="1"/>
    <col min="10437" max="10437" width="11.28515625" bestFit="1" customWidth="1"/>
    <col min="10438" max="10438" width="13.85546875" bestFit="1" customWidth="1"/>
    <col min="10439" max="10439" width="12" bestFit="1" customWidth="1"/>
    <col min="10440" max="10440" width="13.85546875" bestFit="1" customWidth="1"/>
    <col min="10441" max="10442" width="14.42578125" customWidth="1"/>
    <col min="10443" max="10443" width="10.140625" bestFit="1" customWidth="1"/>
    <col min="10444" max="10444" width="12.28515625" bestFit="1" customWidth="1"/>
    <col min="10445" max="10445" width="7.42578125" bestFit="1" customWidth="1"/>
    <col min="10446" max="10446" width="8.5703125" bestFit="1" customWidth="1"/>
    <col min="10447" max="10447" width="11.5703125" bestFit="1" customWidth="1"/>
    <col min="10448" max="10448" width="13.28515625" bestFit="1" customWidth="1"/>
    <col min="10449" max="10449" width="13.28515625" customWidth="1"/>
    <col min="10450" max="10450" width="13.140625" customWidth="1"/>
    <col min="10451" max="10451" width="12.7109375" bestFit="1" customWidth="1"/>
    <col min="10452" max="10452" width="13.28515625" bestFit="1" customWidth="1"/>
    <col min="10453" max="10455" width="13.28515625" customWidth="1"/>
    <col min="10456" max="10456" width="12.140625" bestFit="1" customWidth="1"/>
    <col min="10457" max="10457" width="12.7109375" bestFit="1" customWidth="1"/>
    <col min="10458" max="10458" width="11" customWidth="1"/>
    <col min="10459" max="10459" width="16.7109375" customWidth="1"/>
    <col min="10460" max="10460" width="17" customWidth="1"/>
    <col min="10461" max="10461" width="10.42578125" bestFit="1" customWidth="1"/>
    <col min="10505" max="10505" width="3.85546875" customWidth="1"/>
    <col min="10506" max="10506" width="15.28515625" bestFit="1" customWidth="1"/>
    <col min="10507" max="10507" width="12.28515625" customWidth="1"/>
    <col min="10508" max="10508" width="16.28515625" bestFit="1" customWidth="1"/>
    <col min="10509" max="10509" width="6.42578125" bestFit="1" customWidth="1"/>
    <col min="10510" max="10510" width="9.28515625" bestFit="1" customWidth="1"/>
    <col min="10511" max="10511" width="7.5703125" bestFit="1" customWidth="1"/>
    <col min="10512" max="10512" width="13.28515625" bestFit="1" customWidth="1"/>
    <col min="10513" max="10513" width="9.28515625" bestFit="1" customWidth="1"/>
    <col min="10514" max="10514" width="11.5703125" bestFit="1" customWidth="1"/>
    <col min="10515" max="10515" width="13.28515625" bestFit="1" customWidth="1"/>
    <col min="10516" max="10516" width="7.140625" bestFit="1" customWidth="1"/>
    <col min="10517" max="10517" width="12" bestFit="1" customWidth="1"/>
    <col min="10518" max="10518" width="13.28515625" bestFit="1" customWidth="1"/>
    <col min="10519" max="10519" width="7" bestFit="1" customWidth="1"/>
    <col min="10520" max="10520" width="12.7109375" bestFit="1" customWidth="1"/>
    <col min="10521" max="10521" width="11.5703125" bestFit="1" customWidth="1"/>
    <col min="10522" max="10522" width="10.5703125" bestFit="1" customWidth="1"/>
    <col min="10523" max="10524" width="15.7109375" bestFit="1" customWidth="1"/>
    <col min="10525" max="10525" width="11.5703125" bestFit="1" customWidth="1"/>
    <col min="10526" max="10526" width="7.7109375" bestFit="1" customWidth="1"/>
    <col min="10527" max="10527" width="15.140625" bestFit="1" customWidth="1"/>
    <col min="10528" max="10528" width="11.5703125" bestFit="1" customWidth="1"/>
    <col min="10529" max="10529" width="13.28515625" bestFit="1" customWidth="1"/>
    <col min="10530" max="10530" width="10.42578125" bestFit="1" customWidth="1"/>
    <col min="10531" max="10531" width="13.28515625" bestFit="1" customWidth="1"/>
    <col min="10532" max="10532" width="12.140625" bestFit="1" customWidth="1"/>
    <col min="10533" max="10533" width="14.42578125" bestFit="1" customWidth="1"/>
    <col min="10534" max="10534" width="13.28515625" bestFit="1" customWidth="1"/>
    <col min="10535" max="10535" width="11.5703125" bestFit="1" customWidth="1"/>
    <col min="10536" max="10536" width="7.7109375" bestFit="1" customWidth="1"/>
    <col min="10537" max="10538" width="14.42578125" bestFit="1" customWidth="1"/>
    <col min="10539" max="10539" width="11.5703125" bestFit="1" customWidth="1"/>
    <col min="10540" max="10540" width="7.7109375" bestFit="1" customWidth="1"/>
    <col min="10541" max="10541" width="13.5703125" customWidth="1"/>
    <col min="10542" max="10542" width="15.28515625" customWidth="1"/>
    <col min="10543" max="10543" width="14.5703125" customWidth="1"/>
    <col min="10544" max="10544" width="13.28515625" bestFit="1" customWidth="1"/>
    <col min="10545" max="10545" width="7.7109375" bestFit="1" customWidth="1"/>
    <col min="10546" max="10546" width="12.7109375" bestFit="1" customWidth="1"/>
    <col min="10547" max="10547" width="11.7109375" bestFit="1" customWidth="1"/>
    <col min="10548" max="10548" width="11.5703125" bestFit="1" customWidth="1"/>
    <col min="10549" max="10549" width="5.28515625" bestFit="1" customWidth="1"/>
    <col min="10550" max="10550" width="13.28515625" bestFit="1" customWidth="1"/>
    <col min="10551" max="10551" width="13.5703125" bestFit="1" customWidth="1"/>
    <col min="10552" max="10552" width="10.5703125" bestFit="1" customWidth="1"/>
    <col min="10553" max="10553" width="13.28515625" bestFit="1" customWidth="1"/>
    <col min="10554" max="10554" width="11.5703125" bestFit="1" customWidth="1"/>
    <col min="10555" max="10555" width="10.5703125" bestFit="1" customWidth="1"/>
    <col min="10556" max="10556" width="16.140625" bestFit="1" customWidth="1"/>
    <col min="10557" max="10558" width="11.28515625" bestFit="1" customWidth="1"/>
    <col min="10559" max="10559" width="13.28515625" bestFit="1" customWidth="1"/>
    <col min="10560" max="10560" width="7.7109375" bestFit="1" customWidth="1"/>
    <col min="10561" max="10564" width="9.140625" hidden="1" customWidth="1"/>
    <col min="10565" max="10565" width="10.42578125" bestFit="1" customWidth="1"/>
    <col min="10566" max="10566" width="10.5703125" bestFit="1" customWidth="1"/>
    <col min="10567" max="10567" width="10.42578125" bestFit="1" customWidth="1"/>
    <col min="10568" max="10568" width="10.5703125" bestFit="1" customWidth="1"/>
    <col min="10569" max="10569" width="9.5703125" bestFit="1" customWidth="1"/>
    <col min="10570" max="10570" width="11.5703125" bestFit="1" customWidth="1"/>
    <col min="10571" max="10571" width="10.42578125" bestFit="1" customWidth="1"/>
    <col min="10572" max="10572" width="10.85546875" customWidth="1"/>
    <col min="10573" max="10574" width="9.85546875" bestFit="1" customWidth="1"/>
    <col min="10575" max="10575" width="13.5703125" bestFit="1" customWidth="1"/>
    <col min="10576" max="10576" width="7.7109375" bestFit="1" customWidth="1"/>
    <col min="10577" max="10577" width="13.28515625" bestFit="1" customWidth="1"/>
    <col min="10578" max="10578" width="11.5703125" bestFit="1" customWidth="1"/>
    <col min="10579" max="10579" width="10.42578125" bestFit="1" customWidth="1"/>
    <col min="10580" max="10580" width="7.7109375" bestFit="1" customWidth="1"/>
    <col min="10581" max="10581" width="11.5703125" bestFit="1" customWidth="1"/>
    <col min="10582" max="10582" width="10.85546875" bestFit="1" customWidth="1"/>
    <col min="10583" max="10583" width="13.28515625" bestFit="1" customWidth="1"/>
    <col min="10584" max="10584" width="10.85546875" bestFit="1" customWidth="1"/>
    <col min="10585" max="10586" width="7.5703125" bestFit="1" customWidth="1"/>
    <col min="10587" max="10588" width="10.42578125" bestFit="1" customWidth="1"/>
    <col min="10589" max="10589" width="11.5703125" bestFit="1" customWidth="1"/>
    <col min="10590" max="10590" width="5.28515625" bestFit="1" customWidth="1"/>
    <col min="10591" max="10591" width="10.28515625" bestFit="1" customWidth="1"/>
    <col min="10592" max="10592" width="10.42578125" bestFit="1" customWidth="1"/>
    <col min="10593" max="10593" width="11.5703125" bestFit="1" customWidth="1"/>
    <col min="10594" max="10594" width="5.28515625" bestFit="1" customWidth="1"/>
    <col min="10595" max="10597" width="11.5703125" bestFit="1" customWidth="1"/>
    <col min="10598" max="10598" width="5.28515625" bestFit="1" customWidth="1"/>
    <col min="10599" max="10600" width="10.42578125" bestFit="1" customWidth="1"/>
    <col min="10601" max="10601" width="11.5703125" bestFit="1" customWidth="1"/>
    <col min="10602" max="10602" width="5.28515625" bestFit="1" customWidth="1"/>
    <col min="10603" max="10603" width="14.28515625" bestFit="1" customWidth="1"/>
    <col min="10604" max="10604" width="13" bestFit="1" customWidth="1"/>
    <col min="10605" max="10605" width="11.5703125" bestFit="1" customWidth="1"/>
    <col min="10606" max="10606" width="8.85546875" bestFit="1" customWidth="1"/>
    <col min="10607" max="10607" width="14.42578125" bestFit="1" customWidth="1"/>
    <col min="10608" max="10608" width="10.42578125" bestFit="1" customWidth="1"/>
    <col min="10609" max="10609" width="12.28515625" bestFit="1" customWidth="1"/>
    <col min="10610" max="10610" width="13.85546875" bestFit="1" customWidth="1"/>
    <col min="10611" max="10611" width="11.28515625" customWidth="1"/>
    <col min="10612" max="10612" width="11.5703125" customWidth="1"/>
    <col min="10613" max="10613" width="13.42578125" bestFit="1" customWidth="1"/>
    <col min="10614" max="10614" width="10.42578125" customWidth="1"/>
    <col min="10615" max="10615" width="13.85546875" bestFit="1" customWidth="1"/>
    <col min="10616" max="10616" width="15.42578125" bestFit="1" customWidth="1"/>
    <col min="10617" max="10617" width="12.28515625" bestFit="1" customWidth="1"/>
    <col min="10618" max="10618" width="12.7109375" customWidth="1"/>
    <col min="10619" max="10619" width="10.7109375" bestFit="1" customWidth="1"/>
    <col min="10620" max="10620" width="9.85546875" customWidth="1"/>
    <col min="10621" max="10622" width="10.140625" bestFit="1" customWidth="1"/>
    <col min="10623" max="10623" width="7.5703125" bestFit="1" customWidth="1"/>
    <col min="10624" max="10624" width="9.42578125" bestFit="1" customWidth="1"/>
    <col min="10625" max="10625" width="14.5703125" bestFit="1" customWidth="1"/>
    <col min="10626" max="10626" width="14.85546875" customWidth="1"/>
    <col min="10627" max="10627" width="15.140625" bestFit="1" customWidth="1"/>
    <col min="10628" max="10628" width="12.140625" bestFit="1" customWidth="1"/>
    <col min="10629" max="10629" width="14.85546875" bestFit="1" customWidth="1"/>
    <col min="10630" max="10630" width="12.28515625" bestFit="1" customWidth="1"/>
    <col min="10631" max="10639" width="9.140625" hidden="1" customWidth="1"/>
    <col min="10640" max="10640" width="5.28515625" bestFit="1" customWidth="1"/>
    <col min="10641" max="10646" width="11.5703125" bestFit="1" customWidth="1"/>
    <col min="10647" max="10647" width="11.28515625" bestFit="1" customWidth="1"/>
    <col min="10648" max="10648" width="10.140625" bestFit="1" customWidth="1"/>
    <col min="10649" max="10649" width="11.5703125" bestFit="1" customWidth="1"/>
    <col min="10650" max="10650" width="16.140625" customWidth="1"/>
    <col min="10651" max="10651" width="13.42578125" customWidth="1"/>
    <col min="10652" max="10652" width="10.140625" bestFit="1" customWidth="1"/>
    <col min="10653" max="10653" width="12.85546875" bestFit="1" customWidth="1"/>
    <col min="10654" max="10654" width="12.28515625" bestFit="1" customWidth="1"/>
    <col min="10655" max="10655" width="11.28515625" bestFit="1" customWidth="1"/>
    <col min="10656" max="10656" width="11.5703125" bestFit="1" customWidth="1"/>
    <col min="10657" max="10657" width="10.85546875" bestFit="1" customWidth="1"/>
    <col min="10658" max="10658" width="11.28515625" bestFit="1" customWidth="1"/>
    <col min="10659" max="10659" width="10.140625" bestFit="1" customWidth="1"/>
    <col min="10660" max="10660" width="13.28515625" bestFit="1" customWidth="1"/>
    <col min="10661" max="10662" width="12.7109375" bestFit="1" customWidth="1"/>
    <col min="10663" max="10663" width="11" bestFit="1" customWidth="1"/>
    <col min="10664" max="10664" width="11.28515625" bestFit="1" customWidth="1"/>
    <col min="10665" max="10665" width="11.5703125" bestFit="1" customWidth="1"/>
    <col min="10666" max="10666" width="12.28515625" bestFit="1" customWidth="1"/>
    <col min="10667" max="10667" width="15.140625" bestFit="1" customWidth="1"/>
    <col min="10668" max="10668" width="14.42578125" bestFit="1" customWidth="1"/>
    <col min="10669" max="10669" width="12.28515625" bestFit="1" customWidth="1"/>
    <col min="10670" max="10670" width="15.140625" bestFit="1" customWidth="1"/>
    <col min="10671" max="10671" width="14.42578125" bestFit="1" customWidth="1"/>
    <col min="10672" max="10672" width="12.28515625" bestFit="1" customWidth="1"/>
    <col min="10673" max="10673" width="14.42578125" bestFit="1" customWidth="1"/>
    <col min="10674" max="10674" width="11.28515625" bestFit="1" customWidth="1"/>
    <col min="10675" max="10675" width="12.28515625" bestFit="1" customWidth="1"/>
    <col min="10676" max="10676" width="13" bestFit="1" customWidth="1"/>
    <col min="10677" max="10677" width="15.140625" bestFit="1" customWidth="1"/>
    <col min="10678" max="10678" width="12.28515625" bestFit="1" customWidth="1"/>
    <col min="10679" max="10679" width="13.85546875" bestFit="1" customWidth="1"/>
    <col min="10680" max="10680" width="11.28515625" bestFit="1" customWidth="1"/>
    <col min="10681" max="10681" width="12.28515625" bestFit="1" customWidth="1"/>
    <col min="10682" max="10682" width="13.85546875" bestFit="1" customWidth="1"/>
    <col min="10683" max="10684" width="15.140625" bestFit="1" customWidth="1"/>
    <col min="10685" max="10685" width="12.28515625" bestFit="1" customWidth="1"/>
    <col min="10686" max="10686" width="5.7109375" bestFit="1" customWidth="1"/>
    <col min="10687" max="10687" width="8.5703125" bestFit="1" customWidth="1"/>
    <col min="10688" max="10688" width="5.5703125" bestFit="1" customWidth="1"/>
    <col min="10689" max="10689" width="14.42578125" bestFit="1" customWidth="1"/>
    <col min="10690" max="10690" width="11.28515625" bestFit="1" customWidth="1"/>
    <col min="10691" max="10692" width="12.28515625" bestFit="1" customWidth="1"/>
    <col min="10693" max="10693" width="11.28515625" bestFit="1" customWidth="1"/>
    <col min="10694" max="10694" width="13.85546875" bestFit="1" customWidth="1"/>
    <col min="10695" max="10695" width="12" bestFit="1" customWidth="1"/>
    <col min="10696" max="10696" width="13.85546875" bestFit="1" customWidth="1"/>
    <col min="10697" max="10698" width="14.42578125" customWidth="1"/>
    <col min="10699" max="10699" width="10.140625" bestFit="1" customWidth="1"/>
    <col min="10700" max="10700" width="12.28515625" bestFit="1" customWidth="1"/>
    <col min="10701" max="10701" width="7.42578125" bestFit="1" customWidth="1"/>
    <col min="10702" max="10702" width="8.5703125" bestFit="1" customWidth="1"/>
    <col min="10703" max="10703" width="11.5703125" bestFit="1" customWidth="1"/>
    <col min="10704" max="10704" width="13.28515625" bestFit="1" customWidth="1"/>
    <col min="10705" max="10705" width="13.28515625" customWidth="1"/>
    <col min="10706" max="10706" width="13.140625" customWidth="1"/>
    <col min="10707" max="10707" width="12.7109375" bestFit="1" customWidth="1"/>
    <col min="10708" max="10708" width="13.28515625" bestFit="1" customWidth="1"/>
    <col min="10709" max="10711" width="13.28515625" customWidth="1"/>
    <col min="10712" max="10712" width="12.140625" bestFit="1" customWidth="1"/>
    <col min="10713" max="10713" width="12.7109375" bestFit="1" customWidth="1"/>
    <col min="10714" max="10714" width="11" customWidth="1"/>
    <col min="10715" max="10715" width="16.7109375" customWidth="1"/>
    <col min="10716" max="10716" width="17" customWidth="1"/>
    <col min="10717" max="10717" width="10.42578125" bestFit="1" customWidth="1"/>
    <col min="10761" max="10761" width="3.85546875" customWidth="1"/>
    <col min="10762" max="10762" width="15.28515625" bestFit="1" customWidth="1"/>
    <col min="10763" max="10763" width="12.28515625" customWidth="1"/>
    <col min="10764" max="10764" width="16.28515625" bestFit="1" customWidth="1"/>
    <col min="10765" max="10765" width="6.42578125" bestFit="1" customWidth="1"/>
    <col min="10766" max="10766" width="9.28515625" bestFit="1" customWidth="1"/>
    <col min="10767" max="10767" width="7.5703125" bestFit="1" customWidth="1"/>
    <col min="10768" max="10768" width="13.28515625" bestFit="1" customWidth="1"/>
    <col min="10769" max="10769" width="9.28515625" bestFit="1" customWidth="1"/>
    <col min="10770" max="10770" width="11.5703125" bestFit="1" customWidth="1"/>
    <col min="10771" max="10771" width="13.28515625" bestFit="1" customWidth="1"/>
    <col min="10772" max="10772" width="7.140625" bestFit="1" customWidth="1"/>
    <col min="10773" max="10773" width="12" bestFit="1" customWidth="1"/>
    <col min="10774" max="10774" width="13.28515625" bestFit="1" customWidth="1"/>
    <col min="10775" max="10775" width="7" bestFit="1" customWidth="1"/>
    <col min="10776" max="10776" width="12.7109375" bestFit="1" customWidth="1"/>
    <col min="10777" max="10777" width="11.5703125" bestFit="1" customWidth="1"/>
    <col min="10778" max="10778" width="10.5703125" bestFit="1" customWidth="1"/>
    <col min="10779" max="10780" width="15.7109375" bestFit="1" customWidth="1"/>
    <col min="10781" max="10781" width="11.5703125" bestFit="1" customWidth="1"/>
    <col min="10782" max="10782" width="7.7109375" bestFit="1" customWidth="1"/>
    <col min="10783" max="10783" width="15.140625" bestFit="1" customWidth="1"/>
    <col min="10784" max="10784" width="11.5703125" bestFit="1" customWidth="1"/>
    <col min="10785" max="10785" width="13.28515625" bestFit="1" customWidth="1"/>
    <col min="10786" max="10786" width="10.42578125" bestFit="1" customWidth="1"/>
    <col min="10787" max="10787" width="13.28515625" bestFit="1" customWidth="1"/>
    <col min="10788" max="10788" width="12.140625" bestFit="1" customWidth="1"/>
    <col min="10789" max="10789" width="14.42578125" bestFit="1" customWidth="1"/>
    <col min="10790" max="10790" width="13.28515625" bestFit="1" customWidth="1"/>
    <col min="10791" max="10791" width="11.5703125" bestFit="1" customWidth="1"/>
    <col min="10792" max="10792" width="7.7109375" bestFit="1" customWidth="1"/>
    <col min="10793" max="10794" width="14.42578125" bestFit="1" customWidth="1"/>
    <col min="10795" max="10795" width="11.5703125" bestFit="1" customWidth="1"/>
    <col min="10796" max="10796" width="7.7109375" bestFit="1" customWidth="1"/>
    <col min="10797" max="10797" width="13.5703125" customWidth="1"/>
    <col min="10798" max="10798" width="15.28515625" customWidth="1"/>
    <col min="10799" max="10799" width="14.5703125" customWidth="1"/>
    <col min="10800" max="10800" width="13.28515625" bestFit="1" customWidth="1"/>
    <col min="10801" max="10801" width="7.7109375" bestFit="1" customWidth="1"/>
    <col min="10802" max="10802" width="12.7109375" bestFit="1" customWidth="1"/>
    <col min="10803" max="10803" width="11.7109375" bestFit="1" customWidth="1"/>
    <col min="10804" max="10804" width="11.5703125" bestFit="1" customWidth="1"/>
    <col min="10805" max="10805" width="5.28515625" bestFit="1" customWidth="1"/>
    <col min="10806" max="10806" width="13.28515625" bestFit="1" customWidth="1"/>
    <col min="10807" max="10807" width="13.5703125" bestFit="1" customWidth="1"/>
    <col min="10808" max="10808" width="10.5703125" bestFit="1" customWidth="1"/>
    <col min="10809" max="10809" width="13.28515625" bestFit="1" customWidth="1"/>
    <col min="10810" max="10810" width="11.5703125" bestFit="1" customWidth="1"/>
    <col min="10811" max="10811" width="10.5703125" bestFit="1" customWidth="1"/>
    <col min="10812" max="10812" width="16.140625" bestFit="1" customWidth="1"/>
    <col min="10813" max="10814" width="11.28515625" bestFit="1" customWidth="1"/>
    <col min="10815" max="10815" width="13.28515625" bestFit="1" customWidth="1"/>
    <col min="10816" max="10816" width="7.7109375" bestFit="1" customWidth="1"/>
    <col min="10817" max="10820" width="9.140625" hidden="1" customWidth="1"/>
    <col min="10821" max="10821" width="10.42578125" bestFit="1" customWidth="1"/>
    <col min="10822" max="10822" width="10.5703125" bestFit="1" customWidth="1"/>
    <col min="10823" max="10823" width="10.42578125" bestFit="1" customWidth="1"/>
    <col min="10824" max="10824" width="10.5703125" bestFit="1" customWidth="1"/>
    <col min="10825" max="10825" width="9.5703125" bestFit="1" customWidth="1"/>
    <col min="10826" max="10826" width="11.5703125" bestFit="1" customWidth="1"/>
    <col min="10827" max="10827" width="10.42578125" bestFit="1" customWidth="1"/>
    <col min="10828" max="10828" width="10.85546875" customWidth="1"/>
    <col min="10829" max="10830" width="9.85546875" bestFit="1" customWidth="1"/>
    <col min="10831" max="10831" width="13.5703125" bestFit="1" customWidth="1"/>
    <col min="10832" max="10832" width="7.7109375" bestFit="1" customWidth="1"/>
    <col min="10833" max="10833" width="13.28515625" bestFit="1" customWidth="1"/>
    <col min="10834" max="10834" width="11.5703125" bestFit="1" customWidth="1"/>
    <col min="10835" max="10835" width="10.42578125" bestFit="1" customWidth="1"/>
    <col min="10836" max="10836" width="7.7109375" bestFit="1" customWidth="1"/>
    <col min="10837" max="10837" width="11.5703125" bestFit="1" customWidth="1"/>
    <col min="10838" max="10838" width="10.85546875" bestFit="1" customWidth="1"/>
    <col min="10839" max="10839" width="13.28515625" bestFit="1" customWidth="1"/>
    <col min="10840" max="10840" width="10.85546875" bestFit="1" customWidth="1"/>
    <col min="10841" max="10842" width="7.5703125" bestFit="1" customWidth="1"/>
    <col min="10843" max="10844" width="10.42578125" bestFit="1" customWidth="1"/>
    <col min="10845" max="10845" width="11.5703125" bestFit="1" customWidth="1"/>
    <col min="10846" max="10846" width="5.28515625" bestFit="1" customWidth="1"/>
    <col min="10847" max="10847" width="10.28515625" bestFit="1" customWidth="1"/>
    <col min="10848" max="10848" width="10.42578125" bestFit="1" customWidth="1"/>
    <col min="10849" max="10849" width="11.5703125" bestFit="1" customWidth="1"/>
    <col min="10850" max="10850" width="5.28515625" bestFit="1" customWidth="1"/>
    <col min="10851" max="10853" width="11.5703125" bestFit="1" customWidth="1"/>
    <col min="10854" max="10854" width="5.28515625" bestFit="1" customWidth="1"/>
    <col min="10855" max="10856" width="10.42578125" bestFit="1" customWidth="1"/>
    <col min="10857" max="10857" width="11.5703125" bestFit="1" customWidth="1"/>
    <col min="10858" max="10858" width="5.28515625" bestFit="1" customWidth="1"/>
    <col min="10859" max="10859" width="14.28515625" bestFit="1" customWidth="1"/>
    <col min="10860" max="10860" width="13" bestFit="1" customWidth="1"/>
    <col min="10861" max="10861" width="11.5703125" bestFit="1" customWidth="1"/>
    <col min="10862" max="10862" width="8.85546875" bestFit="1" customWidth="1"/>
    <col min="10863" max="10863" width="14.42578125" bestFit="1" customWidth="1"/>
    <col min="10864" max="10864" width="10.42578125" bestFit="1" customWidth="1"/>
    <col min="10865" max="10865" width="12.28515625" bestFit="1" customWidth="1"/>
    <col min="10866" max="10866" width="13.85546875" bestFit="1" customWidth="1"/>
    <col min="10867" max="10867" width="11.28515625" customWidth="1"/>
    <col min="10868" max="10868" width="11.5703125" customWidth="1"/>
    <col min="10869" max="10869" width="13.42578125" bestFit="1" customWidth="1"/>
    <col min="10870" max="10870" width="10.42578125" customWidth="1"/>
    <col min="10871" max="10871" width="13.85546875" bestFit="1" customWidth="1"/>
    <col min="10872" max="10872" width="15.42578125" bestFit="1" customWidth="1"/>
    <col min="10873" max="10873" width="12.28515625" bestFit="1" customWidth="1"/>
    <col min="10874" max="10874" width="12.7109375" customWidth="1"/>
    <col min="10875" max="10875" width="10.7109375" bestFit="1" customWidth="1"/>
    <col min="10876" max="10876" width="9.85546875" customWidth="1"/>
    <col min="10877" max="10878" width="10.140625" bestFit="1" customWidth="1"/>
    <col min="10879" max="10879" width="7.5703125" bestFit="1" customWidth="1"/>
    <col min="10880" max="10880" width="9.42578125" bestFit="1" customWidth="1"/>
    <col min="10881" max="10881" width="14.5703125" bestFit="1" customWidth="1"/>
    <col min="10882" max="10882" width="14.85546875" customWidth="1"/>
    <col min="10883" max="10883" width="15.140625" bestFit="1" customWidth="1"/>
    <col min="10884" max="10884" width="12.140625" bestFit="1" customWidth="1"/>
    <col min="10885" max="10885" width="14.85546875" bestFit="1" customWidth="1"/>
    <col min="10886" max="10886" width="12.28515625" bestFit="1" customWidth="1"/>
    <col min="10887" max="10895" width="9.140625" hidden="1" customWidth="1"/>
    <col min="10896" max="10896" width="5.28515625" bestFit="1" customWidth="1"/>
    <col min="10897" max="10902" width="11.5703125" bestFit="1" customWidth="1"/>
    <col min="10903" max="10903" width="11.28515625" bestFit="1" customWidth="1"/>
    <col min="10904" max="10904" width="10.140625" bestFit="1" customWidth="1"/>
    <col min="10905" max="10905" width="11.5703125" bestFit="1" customWidth="1"/>
    <col min="10906" max="10906" width="16.140625" customWidth="1"/>
    <col min="10907" max="10907" width="13.42578125" customWidth="1"/>
    <col min="10908" max="10908" width="10.140625" bestFit="1" customWidth="1"/>
    <col min="10909" max="10909" width="12.85546875" bestFit="1" customWidth="1"/>
    <col min="10910" max="10910" width="12.28515625" bestFit="1" customWidth="1"/>
    <col min="10911" max="10911" width="11.28515625" bestFit="1" customWidth="1"/>
    <col min="10912" max="10912" width="11.5703125" bestFit="1" customWidth="1"/>
    <col min="10913" max="10913" width="10.85546875" bestFit="1" customWidth="1"/>
    <col min="10914" max="10914" width="11.28515625" bestFit="1" customWidth="1"/>
    <col min="10915" max="10915" width="10.140625" bestFit="1" customWidth="1"/>
    <col min="10916" max="10916" width="13.28515625" bestFit="1" customWidth="1"/>
    <col min="10917" max="10918" width="12.7109375" bestFit="1" customWidth="1"/>
    <col min="10919" max="10919" width="11" bestFit="1" customWidth="1"/>
    <col min="10920" max="10920" width="11.28515625" bestFit="1" customWidth="1"/>
    <col min="10921" max="10921" width="11.5703125" bestFit="1" customWidth="1"/>
    <col min="10922" max="10922" width="12.28515625" bestFit="1" customWidth="1"/>
    <col min="10923" max="10923" width="15.140625" bestFit="1" customWidth="1"/>
    <col min="10924" max="10924" width="14.42578125" bestFit="1" customWidth="1"/>
    <col min="10925" max="10925" width="12.28515625" bestFit="1" customWidth="1"/>
    <col min="10926" max="10926" width="15.140625" bestFit="1" customWidth="1"/>
    <col min="10927" max="10927" width="14.42578125" bestFit="1" customWidth="1"/>
    <col min="10928" max="10928" width="12.28515625" bestFit="1" customWidth="1"/>
    <col min="10929" max="10929" width="14.42578125" bestFit="1" customWidth="1"/>
    <col min="10930" max="10930" width="11.28515625" bestFit="1" customWidth="1"/>
    <col min="10931" max="10931" width="12.28515625" bestFit="1" customWidth="1"/>
    <col min="10932" max="10932" width="13" bestFit="1" customWidth="1"/>
    <col min="10933" max="10933" width="15.140625" bestFit="1" customWidth="1"/>
    <col min="10934" max="10934" width="12.28515625" bestFit="1" customWidth="1"/>
    <col min="10935" max="10935" width="13.85546875" bestFit="1" customWidth="1"/>
    <col min="10936" max="10936" width="11.28515625" bestFit="1" customWidth="1"/>
    <col min="10937" max="10937" width="12.28515625" bestFit="1" customWidth="1"/>
    <col min="10938" max="10938" width="13.85546875" bestFit="1" customWidth="1"/>
    <col min="10939" max="10940" width="15.140625" bestFit="1" customWidth="1"/>
    <col min="10941" max="10941" width="12.28515625" bestFit="1" customWidth="1"/>
    <col min="10942" max="10942" width="5.7109375" bestFit="1" customWidth="1"/>
    <col min="10943" max="10943" width="8.5703125" bestFit="1" customWidth="1"/>
    <col min="10944" max="10944" width="5.5703125" bestFit="1" customWidth="1"/>
    <col min="10945" max="10945" width="14.42578125" bestFit="1" customWidth="1"/>
    <col min="10946" max="10946" width="11.28515625" bestFit="1" customWidth="1"/>
    <col min="10947" max="10948" width="12.28515625" bestFit="1" customWidth="1"/>
    <col min="10949" max="10949" width="11.28515625" bestFit="1" customWidth="1"/>
    <col min="10950" max="10950" width="13.85546875" bestFit="1" customWidth="1"/>
    <col min="10951" max="10951" width="12" bestFit="1" customWidth="1"/>
    <col min="10952" max="10952" width="13.85546875" bestFit="1" customWidth="1"/>
    <col min="10953" max="10954" width="14.42578125" customWidth="1"/>
    <col min="10955" max="10955" width="10.140625" bestFit="1" customWidth="1"/>
    <col min="10956" max="10956" width="12.28515625" bestFit="1" customWidth="1"/>
    <col min="10957" max="10957" width="7.42578125" bestFit="1" customWidth="1"/>
    <col min="10958" max="10958" width="8.5703125" bestFit="1" customWidth="1"/>
    <col min="10959" max="10959" width="11.5703125" bestFit="1" customWidth="1"/>
    <col min="10960" max="10960" width="13.28515625" bestFit="1" customWidth="1"/>
    <col min="10961" max="10961" width="13.28515625" customWidth="1"/>
    <col min="10962" max="10962" width="13.140625" customWidth="1"/>
    <col min="10963" max="10963" width="12.7109375" bestFit="1" customWidth="1"/>
    <col min="10964" max="10964" width="13.28515625" bestFit="1" customWidth="1"/>
    <col min="10965" max="10967" width="13.28515625" customWidth="1"/>
    <col min="10968" max="10968" width="12.140625" bestFit="1" customWidth="1"/>
    <col min="10969" max="10969" width="12.7109375" bestFit="1" customWidth="1"/>
    <col min="10970" max="10970" width="11" customWidth="1"/>
    <col min="10971" max="10971" width="16.7109375" customWidth="1"/>
    <col min="10972" max="10972" width="17" customWidth="1"/>
    <col min="10973" max="10973" width="10.42578125" bestFit="1" customWidth="1"/>
    <col min="11017" max="11017" width="3.85546875" customWidth="1"/>
    <col min="11018" max="11018" width="15.28515625" bestFit="1" customWidth="1"/>
    <col min="11019" max="11019" width="12.28515625" customWidth="1"/>
    <col min="11020" max="11020" width="16.28515625" bestFit="1" customWidth="1"/>
    <col min="11021" max="11021" width="6.42578125" bestFit="1" customWidth="1"/>
    <col min="11022" max="11022" width="9.28515625" bestFit="1" customWidth="1"/>
    <col min="11023" max="11023" width="7.5703125" bestFit="1" customWidth="1"/>
    <col min="11024" max="11024" width="13.28515625" bestFit="1" customWidth="1"/>
    <col min="11025" max="11025" width="9.28515625" bestFit="1" customWidth="1"/>
    <col min="11026" max="11026" width="11.5703125" bestFit="1" customWidth="1"/>
    <col min="11027" max="11027" width="13.28515625" bestFit="1" customWidth="1"/>
    <col min="11028" max="11028" width="7.140625" bestFit="1" customWidth="1"/>
    <col min="11029" max="11029" width="12" bestFit="1" customWidth="1"/>
    <col min="11030" max="11030" width="13.28515625" bestFit="1" customWidth="1"/>
    <col min="11031" max="11031" width="7" bestFit="1" customWidth="1"/>
    <col min="11032" max="11032" width="12.7109375" bestFit="1" customWidth="1"/>
    <col min="11033" max="11033" width="11.5703125" bestFit="1" customWidth="1"/>
    <col min="11034" max="11034" width="10.5703125" bestFit="1" customWidth="1"/>
    <col min="11035" max="11036" width="15.7109375" bestFit="1" customWidth="1"/>
    <col min="11037" max="11037" width="11.5703125" bestFit="1" customWidth="1"/>
    <col min="11038" max="11038" width="7.7109375" bestFit="1" customWidth="1"/>
    <col min="11039" max="11039" width="15.140625" bestFit="1" customWidth="1"/>
    <col min="11040" max="11040" width="11.5703125" bestFit="1" customWidth="1"/>
    <col min="11041" max="11041" width="13.28515625" bestFit="1" customWidth="1"/>
    <col min="11042" max="11042" width="10.42578125" bestFit="1" customWidth="1"/>
    <col min="11043" max="11043" width="13.28515625" bestFit="1" customWidth="1"/>
    <col min="11044" max="11044" width="12.140625" bestFit="1" customWidth="1"/>
    <col min="11045" max="11045" width="14.42578125" bestFit="1" customWidth="1"/>
    <col min="11046" max="11046" width="13.28515625" bestFit="1" customWidth="1"/>
    <col min="11047" max="11047" width="11.5703125" bestFit="1" customWidth="1"/>
    <col min="11048" max="11048" width="7.7109375" bestFit="1" customWidth="1"/>
    <col min="11049" max="11050" width="14.42578125" bestFit="1" customWidth="1"/>
    <col min="11051" max="11051" width="11.5703125" bestFit="1" customWidth="1"/>
    <col min="11052" max="11052" width="7.7109375" bestFit="1" customWidth="1"/>
    <col min="11053" max="11053" width="13.5703125" customWidth="1"/>
    <col min="11054" max="11054" width="15.28515625" customWidth="1"/>
    <col min="11055" max="11055" width="14.5703125" customWidth="1"/>
    <col min="11056" max="11056" width="13.28515625" bestFit="1" customWidth="1"/>
    <col min="11057" max="11057" width="7.7109375" bestFit="1" customWidth="1"/>
    <col min="11058" max="11058" width="12.7109375" bestFit="1" customWidth="1"/>
    <col min="11059" max="11059" width="11.7109375" bestFit="1" customWidth="1"/>
    <col min="11060" max="11060" width="11.5703125" bestFit="1" customWidth="1"/>
    <col min="11061" max="11061" width="5.28515625" bestFit="1" customWidth="1"/>
    <col min="11062" max="11062" width="13.28515625" bestFit="1" customWidth="1"/>
    <col min="11063" max="11063" width="13.5703125" bestFit="1" customWidth="1"/>
    <col min="11064" max="11064" width="10.5703125" bestFit="1" customWidth="1"/>
    <col min="11065" max="11065" width="13.28515625" bestFit="1" customWidth="1"/>
    <col min="11066" max="11066" width="11.5703125" bestFit="1" customWidth="1"/>
    <col min="11067" max="11067" width="10.5703125" bestFit="1" customWidth="1"/>
    <col min="11068" max="11068" width="16.140625" bestFit="1" customWidth="1"/>
    <col min="11069" max="11070" width="11.28515625" bestFit="1" customWidth="1"/>
    <col min="11071" max="11071" width="13.28515625" bestFit="1" customWidth="1"/>
    <col min="11072" max="11072" width="7.7109375" bestFit="1" customWidth="1"/>
    <col min="11073" max="11076" width="9.140625" hidden="1" customWidth="1"/>
    <col min="11077" max="11077" width="10.42578125" bestFit="1" customWidth="1"/>
    <col min="11078" max="11078" width="10.5703125" bestFit="1" customWidth="1"/>
    <col min="11079" max="11079" width="10.42578125" bestFit="1" customWidth="1"/>
    <col min="11080" max="11080" width="10.5703125" bestFit="1" customWidth="1"/>
    <col min="11081" max="11081" width="9.5703125" bestFit="1" customWidth="1"/>
    <col min="11082" max="11082" width="11.5703125" bestFit="1" customWidth="1"/>
    <col min="11083" max="11083" width="10.42578125" bestFit="1" customWidth="1"/>
    <col min="11084" max="11084" width="10.85546875" customWidth="1"/>
    <col min="11085" max="11086" width="9.85546875" bestFit="1" customWidth="1"/>
    <col min="11087" max="11087" width="13.5703125" bestFit="1" customWidth="1"/>
    <col min="11088" max="11088" width="7.7109375" bestFit="1" customWidth="1"/>
    <col min="11089" max="11089" width="13.28515625" bestFit="1" customWidth="1"/>
    <col min="11090" max="11090" width="11.5703125" bestFit="1" customWidth="1"/>
    <col min="11091" max="11091" width="10.42578125" bestFit="1" customWidth="1"/>
    <col min="11092" max="11092" width="7.7109375" bestFit="1" customWidth="1"/>
    <col min="11093" max="11093" width="11.5703125" bestFit="1" customWidth="1"/>
    <col min="11094" max="11094" width="10.85546875" bestFit="1" customWidth="1"/>
    <col min="11095" max="11095" width="13.28515625" bestFit="1" customWidth="1"/>
    <col min="11096" max="11096" width="10.85546875" bestFit="1" customWidth="1"/>
    <col min="11097" max="11098" width="7.5703125" bestFit="1" customWidth="1"/>
    <col min="11099" max="11100" width="10.42578125" bestFit="1" customWidth="1"/>
    <col min="11101" max="11101" width="11.5703125" bestFit="1" customWidth="1"/>
    <col min="11102" max="11102" width="5.28515625" bestFit="1" customWidth="1"/>
    <col min="11103" max="11103" width="10.28515625" bestFit="1" customWidth="1"/>
    <col min="11104" max="11104" width="10.42578125" bestFit="1" customWidth="1"/>
    <col min="11105" max="11105" width="11.5703125" bestFit="1" customWidth="1"/>
    <col min="11106" max="11106" width="5.28515625" bestFit="1" customWidth="1"/>
    <col min="11107" max="11109" width="11.5703125" bestFit="1" customWidth="1"/>
    <col min="11110" max="11110" width="5.28515625" bestFit="1" customWidth="1"/>
    <col min="11111" max="11112" width="10.42578125" bestFit="1" customWidth="1"/>
    <col min="11113" max="11113" width="11.5703125" bestFit="1" customWidth="1"/>
    <col min="11114" max="11114" width="5.28515625" bestFit="1" customWidth="1"/>
    <col min="11115" max="11115" width="14.28515625" bestFit="1" customWidth="1"/>
    <col min="11116" max="11116" width="13" bestFit="1" customWidth="1"/>
    <col min="11117" max="11117" width="11.5703125" bestFit="1" customWidth="1"/>
    <col min="11118" max="11118" width="8.85546875" bestFit="1" customWidth="1"/>
    <col min="11119" max="11119" width="14.42578125" bestFit="1" customWidth="1"/>
    <col min="11120" max="11120" width="10.42578125" bestFit="1" customWidth="1"/>
    <col min="11121" max="11121" width="12.28515625" bestFit="1" customWidth="1"/>
    <col min="11122" max="11122" width="13.85546875" bestFit="1" customWidth="1"/>
    <col min="11123" max="11123" width="11.28515625" customWidth="1"/>
    <col min="11124" max="11124" width="11.5703125" customWidth="1"/>
    <col min="11125" max="11125" width="13.42578125" bestFit="1" customWidth="1"/>
    <col min="11126" max="11126" width="10.42578125" customWidth="1"/>
    <col min="11127" max="11127" width="13.85546875" bestFit="1" customWidth="1"/>
    <col min="11128" max="11128" width="15.42578125" bestFit="1" customWidth="1"/>
    <col min="11129" max="11129" width="12.28515625" bestFit="1" customWidth="1"/>
    <col min="11130" max="11130" width="12.7109375" customWidth="1"/>
    <col min="11131" max="11131" width="10.7109375" bestFit="1" customWidth="1"/>
    <col min="11132" max="11132" width="9.85546875" customWidth="1"/>
    <col min="11133" max="11134" width="10.140625" bestFit="1" customWidth="1"/>
    <col min="11135" max="11135" width="7.5703125" bestFit="1" customWidth="1"/>
    <col min="11136" max="11136" width="9.42578125" bestFit="1" customWidth="1"/>
    <col min="11137" max="11137" width="14.5703125" bestFit="1" customWidth="1"/>
    <col min="11138" max="11138" width="14.85546875" customWidth="1"/>
    <col min="11139" max="11139" width="15.140625" bestFit="1" customWidth="1"/>
    <col min="11140" max="11140" width="12.140625" bestFit="1" customWidth="1"/>
    <col min="11141" max="11141" width="14.85546875" bestFit="1" customWidth="1"/>
    <col min="11142" max="11142" width="12.28515625" bestFit="1" customWidth="1"/>
    <col min="11143" max="11151" width="9.140625" hidden="1" customWidth="1"/>
    <col min="11152" max="11152" width="5.28515625" bestFit="1" customWidth="1"/>
    <col min="11153" max="11158" width="11.5703125" bestFit="1" customWidth="1"/>
    <col min="11159" max="11159" width="11.28515625" bestFit="1" customWidth="1"/>
    <col min="11160" max="11160" width="10.140625" bestFit="1" customWidth="1"/>
    <col min="11161" max="11161" width="11.5703125" bestFit="1" customWidth="1"/>
    <col min="11162" max="11162" width="16.140625" customWidth="1"/>
    <col min="11163" max="11163" width="13.42578125" customWidth="1"/>
    <col min="11164" max="11164" width="10.140625" bestFit="1" customWidth="1"/>
    <col min="11165" max="11165" width="12.85546875" bestFit="1" customWidth="1"/>
    <col min="11166" max="11166" width="12.28515625" bestFit="1" customWidth="1"/>
    <col min="11167" max="11167" width="11.28515625" bestFit="1" customWidth="1"/>
    <col min="11168" max="11168" width="11.5703125" bestFit="1" customWidth="1"/>
    <col min="11169" max="11169" width="10.85546875" bestFit="1" customWidth="1"/>
    <col min="11170" max="11170" width="11.28515625" bestFit="1" customWidth="1"/>
    <col min="11171" max="11171" width="10.140625" bestFit="1" customWidth="1"/>
    <col min="11172" max="11172" width="13.28515625" bestFit="1" customWidth="1"/>
    <col min="11173" max="11174" width="12.7109375" bestFit="1" customWidth="1"/>
    <col min="11175" max="11175" width="11" bestFit="1" customWidth="1"/>
    <col min="11176" max="11176" width="11.28515625" bestFit="1" customWidth="1"/>
    <col min="11177" max="11177" width="11.5703125" bestFit="1" customWidth="1"/>
    <col min="11178" max="11178" width="12.28515625" bestFit="1" customWidth="1"/>
    <col min="11179" max="11179" width="15.140625" bestFit="1" customWidth="1"/>
    <col min="11180" max="11180" width="14.42578125" bestFit="1" customWidth="1"/>
    <col min="11181" max="11181" width="12.28515625" bestFit="1" customWidth="1"/>
    <col min="11182" max="11182" width="15.140625" bestFit="1" customWidth="1"/>
    <col min="11183" max="11183" width="14.42578125" bestFit="1" customWidth="1"/>
    <col min="11184" max="11184" width="12.28515625" bestFit="1" customWidth="1"/>
    <col min="11185" max="11185" width="14.42578125" bestFit="1" customWidth="1"/>
    <col min="11186" max="11186" width="11.28515625" bestFit="1" customWidth="1"/>
    <col min="11187" max="11187" width="12.28515625" bestFit="1" customWidth="1"/>
    <col min="11188" max="11188" width="13" bestFit="1" customWidth="1"/>
    <col min="11189" max="11189" width="15.140625" bestFit="1" customWidth="1"/>
    <col min="11190" max="11190" width="12.28515625" bestFit="1" customWidth="1"/>
    <col min="11191" max="11191" width="13.85546875" bestFit="1" customWidth="1"/>
    <col min="11192" max="11192" width="11.28515625" bestFit="1" customWidth="1"/>
    <col min="11193" max="11193" width="12.28515625" bestFit="1" customWidth="1"/>
    <col min="11194" max="11194" width="13.85546875" bestFit="1" customWidth="1"/>
    <col min="11195" max="11196" width="15.140625" bestFit="1" customWidth="1"/>
    <col min="11197" max="11197" width="12.28515625" bestFit="1" customWidth="1"/>
    <col min="11198" max="11198" width="5.7109375" bestFit="1" customWidth="1"/>
    <col min="11199" max="11199" width="8.5703125" bestFit="1" customWidth="1"/>
    <col min="11200" max="11200" width="5.5703125" bestFit="1" customWidth="1"/>
    <col min="11201" max="11201" width="14.42578125" bestFit="1" customWidth="1"/>
    <col min="11202" max="11202" width="11.28515625" bestFit="1" customWidth="1"/>
    <col min="11203" max="11204" width="12.28515625" bestFit="1" customWidth="1"/>
    <col min="11205" max="11205" width="11.28515625" bestFit="1" customWidth="1"/>
    <col min="11206" max="11206" width="13.85546875" bestFit="1" customWidth="1"/>
    <col min="11207" max="11207" width="12" bestFit="1" customWidth="1"/>
    <col min="11208" max="11208" width="13.85546875" bestFit="1" customWidth="1"/>
    <col min="11209" max="11210" width="14.42578125" customWidth="1"/>
    <col min="11211" max="11211" width="10.140625" bestFit="1" customWidth="1"/>
    <col min="11212" max="11212" width="12.28515625" bestFit="1" customWidth="1"/>
    <col min="11213" max="11213" width="7.42578125" bestFit="1" customWidth="1"/>
    <col min="11214" max="11214" width="8.5703125" bestFit="1" customWidth="1"/>
    <col min="11215" max="11215" width="11.5703125" bestFit="1" customWidth="1"/>
    <col min="11216" max="11216" width="13.28515625" bestFit="1" customWidth="1"/>
    <col min="11217" max="11217" width="13.28515625" customWidth="1"/>
    <col min="11218" max="11218" width="13.140625" customWidth="1"/>
    <col min="11219" max="11219" width="12.7109375" bestFit="1" customWidth="1"/>
    <col min="11220" max="11220" width="13.28515625" bestFit="1" customWidth="1"/>
    <col min="11221" max="11223" width="13.28515625" customWidth="1"/>
    <col min="11224" max="11224" width="12.140625" bestFit="1" customWidth="1"/>
    <col min="11225" max="11225" width="12.7109375" bestFit="1" customWidth="1"/>
    <col min="11226" max="11226" width="11" customWidth="1"/>
    <col min="11227" max="11227" width="16.7109375" customWidth="1"/>
    <col min="11228" max="11228" width="17" customWidth="1"/>
    <col min="11229" max="11229" width="10.42578125" bestFit="1" customWidth="1"/>
    <col min="11273" max="11273" width="3.85546875" customWidth="1"/>
    <col min="11274" max="11274" width="15.28515625" bestFit="1" customWidth="1"/>
    <col min="11275" max="11275" width="12.28515625" customWidth="1"/>
    <col min="11276" max="11276" width="16.28515625" bestFit="1" customWidth="1"/>
    <col min="11277" max="11277" width="6.42578125" bestFit="1" customWidth="1"/>
    <col min="11278" max="11278" width="9.28515625" bestFit="1" customWidth="1"/>
    <col min="11279" max="11279" width="7.5703125" bestFit="1" customWidth="1"/>
    <col min="11280" max="11280" width="13.28515625" bestFit="1" customWidth="1"/>
    <col min="11281" max="11281" width="9.28515625" bestFit="1" customWidth="1"/>
    <col min="11282" max="11282" width="11.5703125" bestFit="1" customWidth="1"/>
    <col min="11283" max="11283" width="13.28515625" bestFit="1" customWidth="1"/>
    <col min="11284" max="11284" width="7.140625" bestFit="1" customWidth="1"/>
    <col min="11285" max="11285" width="12" bestFit="1" customWidth="1"/>
    <col min="11286" max="11286" width="13.28515625" bestFit="1" customWidth="1"/>
    <col min="11287" max="11287" width="7" bestFit="1" customWidth="1"/>
    <col min="11288" max="11288" width="12.7109375" bestFit="1" customWidth="1"/>
    <col min="11289" max="11289" width="11.5703125" bestFit="1" customWidth="1"/>
    <col min="11290" max="11290" width="10.5703125" bestFit="1" customWidth="1"/>
    <col min="11291" max="11292" width="15.7109375" bestFit="1" customWidth="1"/>
    <col min="11293" max="11293" width="11.5703125" bestFit="1" customWidth="1"/>
    <col min="11294" max="11294" width="7.7109375" bestFit="1" customWidth="1"/>
    <col min="11295" max="11295" width="15.140625" bestFit="1" customWidth="1"/>
    <col min="11296" max="11296" width="11.5703125" bestFit="1" customWidth="1"/>
    <col min="11297" max="11297" width="13.28515625" bestFit="1" customWidth="1"/>
    <col min="11298" max="11298" width="10.42578125" bestFit="1" customWidth="1"/>
    <col min="11299" max="11299" width="13.28515625" bestFit="1" customWidth="1"/>
    <col min="11300" max="11300" width="12.140625" bestFit="1" customWidth="1"/>
    <col min="11301" max="11301" width="14.42578125" bestFit="1" customWidth="1"/>
    <col min="11302" max="11302" width="13.28515625" bestFit="1" customWidth="1"/>
    <col min="11303" max="11303" width="11.5703125" bestFit="1" customWidth="1"/>
    <col min="11304" max="11304" width="7.7109375" bestFit="1" customWidth="1"/>
    <col min="11305" max="11306" width="14.42578125" bestFit="1" customWidth="1"/>
    <col min="11307" max="11307" width="11.5703125" bestFit="1" customWidth="1"/>
    <col min="11308" max="11308" width="7.7109375" bestFit="1" customWidth="1"/>
    <col min="11309" max="11309" width="13.5703125" customWidth="1"/>
    <col min="11310" max="11310" width="15.28515625" customWidth="1"/>
    <col min="11311" max="11311" width="14.5703125" customWidth="1"/>
    <col min="11312" max="11312" width="13.28515625" bestFit="1" customWidth="1"/>
    <col min="11313" max="11313" width="7.7109375" bestFit="1" customWidth="1"/>
    <col min="11314" max="11314" width="12.7109375" bestFit="1" customWidth="1"/>
    <col min="11315" max="11315" width="11.7109375" bestFit="1" customWidth="1"/>
    <col min="11316" max="11316" width="11.5703125" bestFit="1" customWidth="1"/>
    <col min="11317" max="11317" width="5.28515625" bestFit="1" customWidth="1"/>
    <col min="11318" max="11318" width="13.28515625" bestFit="1" customWidth="1"/>
    <col min="11319" max="11319" width="13.5703125" bestFit="1" customWidth="1"/>
    <col min="11320" max="11320" width="10.5703125" bestFit="1" customWidth="1"/>
    <col min="11321" max="11321" width="13.28515625" bestFit="1" customWidth="1"/>
    <col min="11322" max="11322" width="11.5703125" bestFit="1" customWidth="1"/>
    <col min="11323" max="11323" width="10.5703125" bestFit="1" customWidth="1"/>
    <col min="11324" max="11324" width="16.140625" bestFit="1" customWidth="1"/>
    <col min="11325" max="11326" width="11.28515625" bestFit="1" customWidth="1"/>
    <col min="11327" max="11327" width="13.28515625" bestFit="1" customWidth="1"/>
    <col min="11328" max="11328" width="7.7109375" bestFit="1" customWidth="1"/>
    <col min="11329" max="11332" width="9.140625" hidden="1" customWidth="1"/>
    <col min="11333" max="11333" width="10.42578125" bestFit="1" customWidth="1"/>
    <col min="11334" max="11334" width="10.5703125" bestFit="1" customWidth="1"/>
    <col min="11335" max="11335" width="10.42578125" bestFit="1" customWidth="1"/>
    <col min="11336" max="11336" width="10.5703125" bestFit="1" customWidth="1"/>
    <col min="11337" max="11337" width="9.5703125" bestFit="1" customWidth="1"/>
    <col min="11338" max="11338" width="11.5703125" bestFit="1" customWidth="1"/>
    <col min="11339" max="11339" width="10.42578125" bestFit="1" customWidth="1"/>
    <col min="11340" max="11340" width="10.85546875" customWidth="1"/>
    <col min="11341" max="11342" width="9.85546875" bestFit="1" customWidth="1"/>
    <col min="11343" max="11343" width="13.5703125" bestFit="1" customWidth="1"/>
    <col min="11344" max="11344" width="7.7109375" bestFit="1" customWidth="1"/>
    <col min="11345" max="11345" width="13.28515625" bestFit="1" customWidth="1"/>
    <col min="11346" max="11346" width="11.5703125" bestFit="1" customWidth="1"/>
    <col min="11347" max="11347" width="10.42578125" bestFit="1" customWidth="1"/>
    <col min="11348" max="11348" width="7.7109375" bestFit="1" customWidth="1"/>
    <col min="11349" max="11349" width="11.5703125" bestFit="1" customWidth="1"/>
    <col min="11350" max="11350" width="10.85546875" bestFit="1" customWidth="1"/>
    <col min="11351" max="11351" width="13.28515625" bestFit="1" customWidth="1"/>
    <col min="11352" max="11352" width="10.85546875" bestFit="1" customWidth="1"/>
    <col min="11353" max="11354" width="7.5703125" bestFit="1" customWidth="1"/>
    <col min="11355" max="11356" width="10.42578125" bestFit="1" customWidth="1"/>
    <col min="11357" max="11357" width="11.5703125" bestFit="1" customWidth="1"/>
    <col min="11358" max="11358" width="5.28515625" bestFit="1" customWidth="1"/>
    <col min="11359" max="11359" width="10.28515625" bestFit="1" customWidth="1"/>
    <col min="11360" max="11360" width="10.42578125" bestFit="1" customWidth="1"/>
    <col min="11361" max="11361" width="11.5703125" bestFit="1" customWidth="1"/>
    <col min="11362" max="11362" width="5.28515625" bestFit="1" customWidth="1"/>
    <col min="11363" max="11365" width="11.5703125" bestFit="1" customWidth="1"/>
    <col min="11366" max="11366" width="5.28515625" bestFit="1" customWidth="1"/>
    <col min="11367" max="11368" width="10.42578125" bestFit="1" customWidth="1"/>
    <col min="11369" max="11369" width="11.5703125" bestFit="1" customWidth="1"/>
    <col min="11370" max="11370" width="5.28515625" bestFit="1" customWidth="1"/>
    <col min="11371" max="11371" width="14.28515625" bestFit="1" customWidth="1"/>
    <col min="11372" max="11372" width="13" bestFit="1" customWidth="1"/>
    <col min="11373" max="11373" width="11.5703125" bestFit="1" customWidth="1"/>
    <col min="11374" max="11374" width="8.85546875" bestFit="1" customWidth="1"/>
    <col min="11375" max="11375" width="14.42578125" bestFit="1" customWidth="1"/>
    <col min="11376" max="11376" width="10.42578125" bestFit="1" customWidth="1"/>
    <col min="11377" max="11377" width="12.28515625" bestFit="1" customWidth="1"/>
    <col min="11378" max="11378" width="13.85546875" bestFit="1" customWidth="1"/>
    <col min="11379" max="11379" width="11.28515625" customWidth="1"/>
    <col min="11380" max="11380" width="11.5703125" customWidth="1"/>
    <col min="11381" max="11381" width="13.42578125" bestFit="1" customWidth="1"/>
    <col min="11382" max="11382" width="10.42578125" customWidth="1"/>
    <col min="11383" max="11383" width="13.85546875" bestFit="1" customWidth="1"/>
    <col min="11384" max="11384" width="15.42578125" bestFit="1" customWidth="1"/>
    <col min="11385" max="11385" width="12.28515625" bestFit="1" customWidth="1"/>
    <col min="11386" max="11386" width="12.7109375" customWidth="1"/>
    <col min="11387" max="11387" width="10.7109375" bestFit="1" customWidth="1"/>
    <col min="11388" max="11388" width="9.85546875" customWidth="1"/>
    <col min="11389" max="11390" width="10.140625" bestFit="1" customWidth="1"/>
    <col min="11391" max="11391" width="7.5703125" bestFit="1" customWidth="1"/>
    <col min="11392" max="11392" width="9.42578125" bestFit="1" customWidth="1"/>
    <col min="11393" max="11393" width="14.5703125" bestFit="1" customWidth="1"/>
    <col min="11394" max="11394" width="14.85546875" customWidth="1"/>
    <col min="11395" max="11395" width="15.140625" bestFit="1" customWidth="1"/>
    <col min="11396" max="11396" width="12.140625" bestFit="1" customWidth="1"/>
    <col min="11397" max="11397" width="14.85546875" bestFit="1" customWidth="1"/>
    <col min="11398" max="11398" width="12.28515625" bestFit="1" customWidth="1"/>
    <col min="11399" max="11407" width="9.140625" hidden="1" customWidth="1"/>
    <col min="11408" max="11408" width="5.28515625" bestFit="1" customWidth="1"/>
    <col min="11409" max="11414" width="11.5703125" bestFit="1" customWidth="1"/>
    <col min="11415" max="11415" width="11.28515625" bestFit="1" customWidth="1"/>
    <col min="11416" max="11416" width="10.140625" bestFit="1" customWidth="1"/>
    <col min="11417" max="11417" width="11.5703125" bestFit="1" customWidth="1"/>
    <col min="11418" max="11418" width="16.140625" customWidth="1"/>
    <col min="11419" max="11419" width="13.42578125" customWidth="1"/>
    <col min="11420" max="11420" width="10.140625" bestFit="1" customWidth="1"/>
    <col min="11421" max="11421" width="12.85546875" bestFit="1" customWidth="1"/>
    <col min="11422" max="11422" width="12.28515625" bestFit="1" customWidth="1"/>
    <col min="11423" max="11423" width="11.28515625" bestFit="1" customWidth="1"/>
    <col min="11424" max="11424" width="11.5703125" bestFit="1" customWidth="1"/>
    <col min="11425" max="11425" width="10.85546875" bestFit="1" customWidth="1"/>
    <col min="11426" max="11426" width="11.28515625" bestFit="1" customWidth="1"/>
    <col min="11427" max="11427" width="10.140625" bestFit="1" customWidth="1"/>
    <col min="11428" max="11428" width="13.28515625" bestFit="1" customWidth="1"/>
    <col min="11429" max="11430" width="12.7109375" bestFit="1" customWidth="1"/>
    <col min="11431" max="11431" width="11" bestFit="1" customWidth="1"/>
    <col min="11432" max="11432" width="11.28515625" bestFit="1" customWidth="1"/>
    <col min="11433" max="11433" width="11.5703125" bestFit="1" customWidth="1"/>
    <col min="11434" max="11434" width="12.28515625" bestFit="1" customWidth="1"/>
    <col min="11435" max="11435" width="15.140625" bestFit="1" customWidth="1"/>
    <col min="11436" max="11436" width="14.42578125" bestFit="1" customWidth="1"/>
    <col min="11437" max="11437" width="12.28515625" bestFit="1" customWidth="1"/>
    <col min="11438" max="11438" width="15.140625" bestFit="1" customWidth="1"/>
    <col min="11439" max="11439" width="14.42578125" bestFit="1" customWidth="1"/>
    <col min="11440" max="11440" width="12.28515625" bestFit="1" customWidth="1"/>
    <col min="11441" max="11441" width="14.42578125" bestFit="1" customWidth="1"/>
    <col min="11442" max="11442" width="11.28515625" bestFit="1" customWidth="1"/>
    <col min="11443" max="11443" width="12.28515625" bestFit="1" customWidth="1"/>
    <col min="11444" max="11444" width="13" bestFit="1" customWidth="1"/>
    <col min="11445" max="11445" width="15.140625" bestFit="1" customWidth="1"/>
    <col min="11446" max="11446" width="12.28515625" bestFit="1" customWidth="1"/>
    <col min="11447" max="11447" width="13.85546875" bestFit="1" customWidth="1"/>
    <col min="11448" max="11448" width="11.28515625" bestFit="1" customWidth="1"/>
    <col min="11449" max="11449" width="12.28515625" bestFit="1" customWidth="1"/>
    <col min="11450" max="11450" width="13.85546875" bestFit="1" customWidth="1"/>
    <col min="11451" max="11452" width="15.140625" bestFit="1" customWidth="1"/>
    <col min="11453" max="11453" width="12.28515625" bestFit="1" customWidth="1"/>
    <col min="11454" max="11454" width="5.7109375" bestFit="1" customWidth="1"/>
    <col min="11455" max="11455" width="8.5703125" bestFit="1" customWidth="1"/>
    <col min="11456" max="11456" width="5.5703125" bestFit="1" customWidth="1"/>
    <col min="11457" max="11457" width="14.42578125" bestFit="1" customWidth="1"/>
    <col min="11458" max="11458" width="11.28515625" bestFit="1" customWidth="1"/>
    <col min="11459" max="11460" width="12.28515625" bestFit="1" customWidth="1"/>
    <col min="11461" max="11461" width="11.28515625" bestFit="1" customWidth="1"/>
    <col min="11462" max="11462" width="13.85546875" bestFit="1" customWidth="1"/>
    <col min="11463" max="11463" width="12" bestFit="1" customWidth="1"/>
    <col min="11464" max="11464" width="13.85546875" bestFit="1" customWidth="1"/>
    <col min="11465" max="11466" width="14.42578125" customWidth="1"/>
    <col min="11467" max="11467" width="10.140625" bestFit="1" customWidth="1"/>
    <col min="11468" max="11468" width="12.28515625" bestFit="1" customWidth="1"/>
    <col min="11469" max="11469" width="7.42578125" bestFit="1" customWidth="1"/>
    <col min="11470" max="11470" width="8.5703125" bestFit="1" customWidth="1"/>
    <col min="11471" max="11471" width="11.5703125" bestFit="1" customWidth="1"/>
    <col min="11472" max="11472" width="13.28515625" bestFit="1" customWidth="1"/>
    <col min="11473" max="11473" width="13.28515625" customWidth="1"/>
    <col min="11474" max="11474" width="13.140625" customWidth="1"/>
    <col min="11475" max="11475" width="12.7109375" bestFit="1" customWidth="1"/>
    <col min="11476" max="11476" width="13.28515625" bestFit="1" customWidth="1"/>
    <col min="11477" max="11479" width="13.28515625" customWidth="1"/>
    <col min="11480" max="11480" width="12.140625" bestFit="1" customWidth="1"/>
    <col min="11481" max="11481" width="12.7109375" bestFit="1" customWidth="1"/>
    <col min="11482" max="11482" width="11" customWidth="1"/>
    <col min="11483" max="11483" width="16.7109375" customWidth="1"/>
    <col min="11484" max="11484" width="17" customWidth="1"/>
    <col min="11485" max="11485" width="10.42578125" bestFit="1" customWidth="1"/>
    <col min="11529" max="11529" width="3.85546875" customWidth="1"/>
    <col min="11530" max="11530" width="15.28515625" bestFit="1" customWidth="1"/>
    <col min="11531" max="11531" width="12.28515625" customWidth="1"/>
    <col min="11532" max="11532" width="16.28515625" bestFit="1" customWidth="1"/>
    <col min="11533" max="11533" width="6.42578125" bestFit="1" customWidth="1"/>
    <col min="11534" max="11534" width="9.28515625" bestFit="1" customWidth="1"/>
    <col min="11535" max="11535" width="7.5703125" bestFit="1" customWidth="1"/>
    <col min="11536" max="11536" width="13.28515625" bestFit="1" customWidth="1"/>
    <col min="11537" max="11537" width="9.28515625" bestFit="1" customWidth="1"/>
    <col min="11538" max="11538" width="11.5703125" bestFit="1" customWidth="1"/>
    <col min="11539" max="11539" width="13.28515625" bestFit="1" customWidth="1"/>
    <col min="11540" max="11540" width="7.140625" bestFit="1" customWidth="1"/>
    <col min="11541" max="11541" width="12" bestFit="1" customWidth="1"/>
    <col min="11542" max="11542" width="13.28515625" bestFit="1" customWidth="1"/>
    <col min="11543" max="11543" width="7" bestFit="1" customWidth="1"/>
    <col min="11544" max="11544" width="12.7109375" bestFit="1" customWidth="1"/>
    <col min="11545" max="11545" width="11.5703125" bestFit="1" customWidth="1"/>
    <col min="11546" max="11546" width="10.5703125" bestFit="1" customWidth="1"/>
    <col min="11547" max="11548" width="15.7109375" bestFit="1" customWidth="1"/>
    <col min="11549" max="11549" width="11.5703125" bestFit="1" customWidth="1"/>
    <col min="11550" max="11550" width="7.7109375" bestFit="1" customWidth="1"/>
    <col min="11551" max="11551" width="15.140625" bestFit="1" customWidth="1"/>
    <col min="11552" max="11552" width="11.5703125" bestFit="1" customWidth="1"/>
    <col min="11553" max="11553" width="13.28515625" bestFit="1" customWidth="1"/>
    <col min="11554" max="11554" width="10.42578125" bestFit="1" customWidth="1"/>
    <col min="11555" max="11555" width="13.28515625" bestFit="1" customWidth="1"/>
    <col min="11556" max="11556" width="12.140625" bestFit="1" customWidth="1"/>
    <col min="11557" max="11557" width="14.42578125" bestFit="1" customWidth="1"/>
    <col min="11558" max="11558" width="13.28515625" bestFit="1" customWidth="1"/>
    <col min="11559" max="11559" width="11.5703125" bestFit="1" customWidth="1"/>
    <col min="11560" max="11560" width="7.7109375" bestFit="1" customWidth="1"/>
    <col min="11561" max="11562" width="14.42578125" bestFit="1" customWidth="1"/>
    <col min="11563" max="11563" width="11.5703125" bestFit="1" customWidth="1"/>
    <col min="11564" max="11564" width="7.7109375" bestFit="1" customWidth="1"/>
    <col min="11565" max="11565" width="13.5703125" customWidth="1"/>
    <col min="11566" max="11566" width="15.28515625" customWidth="1"/>
    <col min="11567" max="11567" width="14.5703125" customWidth="1"/>
    <col min="11568" max="11568" width="13.28515625" bestFit="1" customWidth="1"/>
    <col min="11569" max="11569" width="7.7109375" bestFit="1" customWidth="1"/>
    <col min="11570" max="11570" width="12.7109375" bestFit="1" customWidth="1"/>
    <col min="11571" max="11571" width="11.7109375" bestFit="1" customWidth="1"/>
    <col min="11572" max="11572" width="11.5703125" bestFit="1" customWidth="1"/>
    <col min="11573" max="11573" width="5.28515625" bestFit="1" customWidth="1"/>
    <col min="11574" max="11574" width="13.28515625" bestFit="1" customWidth="1"/>
    <col min="11575" max="11575" width="13.5703125" bestFit="1" customWidth="1"/>
    <col min="11576" max="11576" width="10.5703125" bestFit="1" customWidth="1"/>
    <col min="11577" max="11577" width="13.28515625" bestFit="1" customWidth="1"/>
    <col min="11578" max="11578" width="11.5703125" bestFit="1" customWidth="1"/>
    <col min="11579" max="11579" width="10.5703125" bestFit="1" customWidth="1"/>
    <col min="11580" max="11580" width="16.140625" bestFit="1" customWidth="1"/>
    <col min="11581" max="11582" width="11.28515625" bestFit="1" customWidth="1"/>
    <col min="11583" max="11583" width="13.28515625" bestFit="1" customWidth="1"/>
    <col min="11584" max="11584" width="7.7109375" bestFit="1" customWidth="1"/>
    <col min="11585" max="11588" width="9.140625" hidden="1" customWidth="1"/>
    <col min="11589" max="11589" width="10.42578125" bestFit="1" customWidth="1"/>
    <col min="11590" max="11590" width="10.5703125" bestFit="1" customWidth="1"/>
    <col min="11591" max="11591" width="10.42578125" bestFit="1" customWidth="1"/>
    <col min="11592" max="11592" width="10.5703125" bestFit="1" customWidth="1"/>
    <col min="11593" max="11593" width="9.5703125" bestFit="1" customWidth="1"/>
    <col min="11594" max="11594" width="11.5703125" bestFit="1" customWidth="1"/>
    <col min="11595" max="11595" width="10.42578125" bestFit="1" customWidth="1"/>
    <col min="11596" max="11596" width="10.85546875" customWidth="1"/>
    <col min="11597" max="11598" width="9.85546875" bestFit="1" customWidth="1"/>
    <col min="11599" max="11599" width="13.5703125" bestFit="1" customWidth="1"/>
    <col min="11600" max="11600" width="7.7109375" bestFit="1" customWidth="1"/>
    <col min="11601" max="11601" width="13.28515625" bestFit="1" customWidth="1"/>
    <col min="11602" max="11602" width="11.5703125" bestFit="1" customWidth="1"/>
    <col min="11603" max="11603" width="10.42578125" bestFit="1" customWidth="1"/>
    <col min="11604" max="11604" width="7.7109375" bestFit="1" customWidth="1"/>
    <col min="11605" max="11605" width="11.5703125" bestFit="1" customWidth="1"/>
    <col min="11606" max="11606" width="10.85546875" bestFit="1" customWidth="1"/>
    <col min="11607" max="11607" width="13.28515625" bestFit="1" customWidth="1"/>
    <col min="11608" max="11608" width="10.85546875" bestFit="1" customWidth="1"/>
    <col min="11609" max="11610" width="7.5703125" bestFit="1" customWidth="1"/>
    <col min="11611" max="11612" width="10.42578125" bestFit="1" customWidth="1"/>
    <col min="11613" max="11613" width="11.5703125" bestFit="1" customWidth="1"/>
    <col min="11614" max="11614" width="5.28515625" bestFit="1" customWidth="1"/>
    <col min="11615" max="11615" width="10.28515625" bestFit="1" customWidth="1"/>
    <col min="11616" max="11616" width="10.42578125" bestFit="1" customWidth="1"/>
    <col min="11617" max="11617" width="11.5703125" bestFit="1" customWidth="1"/>
    <col min="11618" max="11618" width="5.28515625" bestFit="1" customWidth="1"/>
    <col min="11619" max="11621" width="11.5703125" bestFit="1" customWidth="1"/>
    <col min="11622" max="11622" width="5.28515625" bestFit="1" customWidth="1"/>
    <col min="11623" max="11624" width="10.42578125" bestFit="1" customWidth="1"/>
    <col min="11625" max="11625" width="11.5703125" bestFit="1" customWidth="1"/>
    <col min="11626" max="11626" width="5.28515625" bestFit="1" customWidth="1"/>
    <col min="11627" max="11627" width="14.28515625" bestFit="1" customWidth="1"/>
    <col min="11628" max="11628" width="13" bestFit="1" customWidth="1"/>
    <col min="11629" max="11629" width="11.5703125" bestFit="1" customWidth="1"/>
    <col min="11630" max="11630" width="8.85546875" bestFit="1" customWidth="1"/>
    <col min="11631" max="11631" width="14.42578125" bestFit="1" customWidth="1"/>
    <col min="11632" max="11632" width="10.42578125" bestFit="1" customWidth="1"/>
    <col min="11633" max="11633" width="12.28515625" bestFit="1" customWidth="1"/>
    <col min="11634" max="11634" width="13.85546875" bestFit="1" customWidth="1"/>
    <col min="11635" max="11635" width="11.28515625" customWidth="1"/>
    <col min="11636" max="11636" width="11.5703125" customWidth="1"/>
    <col min="11637" max="11637" width="13.42578125" bestFit="1" customWidth="1"/>
    <col min="11638" max="11638" width="10.42578125" customWidth="1"/>
    <col min="11639" max="11639" width="13.85546875" bestFit="1" customWidth="1"/>
    <col min="11640" max="11640" width="15.42578125" bestFit="1" customWidth="1"/>
    <col min="11641" max="11641" width="12.28515625" bestFit="1" customWidth="1"/>
    <col min="11642" max="11642" width="12.7109375" customWidth="1"/>
    <col min="11643" max="11643" width="10.7109375" bestFit="1" customWidth="1"/>
    <col min="11644" max="11644" width="9.85546875" customWidth="1"/>
    <col min="11645" max="11646" width="10.140625" bestFit="1" customWidth="1"/>
    <col min="11647" max="11647" width="7.5703125" bestFit="1" customWidth="1"/>
    <col min="11648" max="11648" width="9.42578125" bestFit="1" customWidth="1"/>
    <col min="11649" max="11649" width="14.5703125" bestFit="1" customWidth="1"/>
    <col min="11650" max="11650" width="14.85546875" customWidth="1"/>
    <col min="11651" max="11651" width="15.140625" bestFit="1" customWidth="1"/>
    <col min="11652" max="11652" width="12.140625" bestFit="1" customWidth="1"/>
    <col min="11653" max="11653" width="14.85546875" bestFit="1" customWidth="1"/>
    <col min="11654" max="11654" width="12.28515625" bestFit="1" customWidth="1"/>
    <col min="11655" max="11663" width="9.140625" hidden="1" customWidth="1"/>
    <col min="11664" max="11664" width="5.28515625" bestFit="1" customWidth="1"/>
    <col min="11665" max="11670" width="11.5703125" bestFit="1" customWidth="1"/>
    <col min="11671" max="11671" width="11.28515625" bestFit="1" customWidth="1"/>
    <col min="11672" max="11672" width="10.140625" bestFit="1" customWidth="1"/>
    <col min="11673" max="11673" width="11.5703125" bestFit="1" customWidth="1"/>
    <col min="11674" max="11674" width="16.140625" customWidth="1"/>
    <col min="11675" max="11675" width="13.42578125" customWidth="1"/>
    <col min="11676" max="11676" width="10.140625" bestFit="1" customWidth="1"/>
    <col min="11677" max="11677" width="12.85546875" bestFit="1" customWidth="1"/>
    <col min="11678" max="11678" width="12.28515625" bestFit="1" customWidth="1"/>
    <col min="11679" max="11679" width="11.28515625" bestFit="1" customWidth="1"/>
    <col min="11680" max="11680" width="11.5703125" bestFit="1" customWidth="1"/>
    <col min="11681" max="11681" width="10.85546875" bestFit="1" customWidth="1"/>
    <col min="11682" max="11682" width="11.28515625" bestFit="1" customWidth="1"/>
    <col min="11683" max="11683" width="10.140625" bestFit="1" customWidth="1"/>
    <col min="11684" max="11684" width="13.28515625" bestFit="1" customWidth="1"/>
    <col min="11685" max="11686" width="12.7109375" bestFit="1" customWidth="1"/>
    <col min="11687" max="11687" width="11" bestFit="1" customWidth="1"/>
    <col min="11688" max="11688" width="11.28515625" bestFit="1" customWidth="1"/>
    <col min="11689" max="11689" width="11.5703125" bestFit="1" customWidth="1"/>
    <col min="11690" max="11690" width="12.28515625" bestFit="1" customWidth="1"/>
    <col min="11691" max="11691" width="15.140625" bestFit="1" customWidth="1"/>
    <col min="11692" max="11692" width="14.42578125" bestFit="1" customWidth="1"/>
    <col min="11693" max="11693" width="12.28515625" bestFit="1" customWidth="1"/>
    <col min="11694" max="11694" width="15.140625" bestFit="1" customWidth="1"/>
    <col min="11695" max="11695" width="14.42578125" bestFit="1" customWidth="1"/>
    <col min="11696" max="11696" width="12.28515625" bestFit="1" customWidth="1"/>
    <col min="11697" max="11697" width="14.42578125" bestFit="1" customWidth="1"/>
    <col min="11698" max="11698" width="11.28515625" bestFit="1" customWidth="1"/>
    <col min="11699" max="11699" width="12.28515625" bestFit="1" customWidth="1"/>
    <col min="11700" max="11700" width="13" bestFit="1" customWidth="1"/>
    <col min="11701" max="11701" width="15.140625" bestFit="1" customWidth="1"/>
    <col min="11702" max="11702" width="12.28515625" bestFit="1" customWidth="1"/>
    <col min="11703" max="11703" width="13.85546875" bestFit="1" customWidth="1"/>
    <col min="11704" max="11704" width="11.28515625" bestFit="1" customWidth="1"/>
    <col min="11705" max="11705" width="12.28515625" bestFit="1" customWidth="1"/>
    <col min="11706" max="11706" width="13.85546875" bestFit="1" customWidth="1"/>
    <col min="11707" max="11708" width="15.140625" bestFit="1" customWidth="1"/>
    <col min="11709" max="11709" width="12.28515625" bestFit="1" customWidth="1"/>
    <col min="11710" max="11710" width="5.7109375" bestFit="1" customWidth="1"/>
    <col min="11711" max="11711" width="8.5703125" bestFit="1" customWidth="1"/>
    <col min="11712" max="11712" width="5.5703125" bestFit="1" customWidth="1"/>
    <col min="11713" max="11713" width="14.42578125" bestFit="1" customWidth="1"/>
    <col min="11714" max="11714" width="11.28515625" bestFit="1" customWidth="1"/>
    <col min="11715" max="11716" width="12.28515625" bestFit="1" customWidth="1"/>
    <col min="11717" max="11717" width="11.28515625" bestFit="1" customWidth="1"/>
    <col min="11718" max="11718" width="13.85546875" bestFit="1" customWidth="1"/>
    <col min="11719" max="11719" width="12" bestFit="1" customWidth="1"/>
    <col min="11720" max="11720" width="13.85546875" bestFit="1" customWidth="1"/>
    <col min="11721" max="11722" width="14.42578125" customWidth="1"/>
    <col min="11723" max="11723" width="10.140625" bestFit="1" customWidth="1"/>
    <col min="11724" max="11724" width="12.28515625" bestFit="1" customWidth="1"/>
    <col min="11725" max="11725" width="7.42578125" bestFit="1" customWidth="1"/>
    <col min="11726" max="11726" width="8.5703125" bestFit="1" customWidth="1"/>
    <col min="11727" max="11727" width="11.5703125" bestFit="1" customWidth="1"/>
    <col min="11728" max="11728" width="13.28515625" bestFit="1" customWidth="1"/>
    <col min="11729" max="11729" width="13.28515625" customWidth="1"/>
    <col min="11730" max="11730" width="13.140625" customWidth="1"/>
    <col min="11731" max="11731" width="12.7109375" bestFit="1" customWidth="1"/>
    <col min="11732" max="11732" width="13.28515625" bestFit="1" customWidth="1"/>
    <col min="11733" max="11735" width="13.28515625" customWidth="1"/>
    <col min="11736" max="11736" width="12.140625" bestFit="1" customWidth="1"/>
    <col min="11737" max="11737" width="12.7109375" bestFit="1" customWidth="1"/>
    <col min="11738" max="11738" width="11" customWidth="1"/>
    <col min="11739" max="11739" width="16.7109375" customWidth="1"/>
    <col min="11740" max="11740" width="17" customWidth="1"/>
    <col min="11741" max="11741" width="10.42578125" bestFit="1" customWidth="1"/>
    <col min="11785" max="11785" width="3.85546875" customWidth="1"/>
    <col min="11786" max="11786" width="15.28515625" bestFit="1" customWidth="1"/>
    <col min="11787" max="11787" width="12.28515625" customWidth="1"/>
    <col min="11788" max="11788" width="16.28515625" bestFit="1" customWidth="1"/>
    <col min="11789" max="11789" width="6.42578125" bestFit="1" customWidth="1"/>
    <col min="11790" max="11790" width="9.28515625" bestFit="1" customWidth="1"/>
    <col min="11791" max="11791" width="7.5703125" bestFit="1" customWidth="1"/>
    <col min="11792" max="11792" width="13.28515625" bestFit="1" customWidth="1"/>
    <col min="11793" max="11793" width="9.28515625" bestFit="1" customWidth="1"/>
    <col min="11794" max="11794" width="11.5703125" bestFit="1" customWidth="1"/>
    <col min="11795" max="11795" width="13.28515625" bestFit="1" customWidth="1"/>
    <col min="11796" max="11796" width="7.140625" bestFit="1" customWidth="1"/>
    <col min="11797" max="11797" width="12" bestFit="1" customWidth="1"/>
    <col min="11798" max="11798" width="13.28515625" bestFit="1" customWidth="1"/>
    <col min="11799" max="11799" width="7" bestFit="1" customWidth="1"/>
    <col min="11800" max="11800" width="12.7109375" bestFit="1" customWidth="1"/>
    <col min="11801" max="11801" width="11.5703125" bestFit="1" customWidth="1"/>
    <col min="11802" max="11802" width="10.5703125" bestFit="1" customWidth="1"/>
    <col min="11803" max="11804" width="15.7109375" bestFit="1" customWidth="1"/>
    <col min="11805" max="11805" width="11.5703125" bestFit="1" customWidth="1"/>
    <col min="11806" max="11806" width="7.7109375" bestFit="1" customWidth="1"/>
    <col min="11807" max="11807" width="15.140625" bestFit="1" customWidth="1"/>
    <col min="11808" max="11808" width="11.5703125" bestFit="1" customWidth="1"/>
    <col min="11809" max="11809" width="13.28515625" bestFit="1" customWidth="1"/>
    <col min="11810" max="11810" width="10.42578125" bestFit="1" customWidth="1"/>
    <col min="11811" max="11811" width="13.28515625" bestFit="1" customWidth="1"/>
    <col min="11812" max="11812" width="12.140625" bestFit="1" customWidth="1"/>
    <col min="11813" max="11813" width="14.42578125" bestFit="1" customWidth="1"/>
    <col min="11814" max="11814" width="13.28515625" bestFit="1" customWidth="1"/>
    <col min="11815" max="11815" width="11.5703125" bestFit="1" customWidth="1"/>
    <col min="11816" max="11816" width="7.7109375" bestFit="1" customWidth="1"/>
    <col min="11817" max="11818" width="14.42578125" bestFit="1" customWidth="1"/>
    <col min="11819" max="11819" width="11.5703125" bestFit="1" customWidth="1"/>
    <col min="11820" max="11820" width="7.7109375" bestFit="1" customWidth="1"/>
    <col min="11821" max="11821" width="13.5703125" customWidth="1"/>
    <col min="11822" max="11822" width="15.28515625" customWidth="1"/>
    <col min="11823" max="11823" width="14.5703125" customWidth="1"/>
    <col min="11824" max="11824" width="13.28515625" bestFit="1" customWidth="1"/>
    <col min="11825" max="11825" width="7.7109375" bestFit="1" customWidth="1"/>
    <col min="11826" max="11826" width="12.7109375" bestFit="1" customWidth="1"/>
    <col min="11827" max="11827" width="11.7109375" bestFit="1" customWidth="1"/>
    <col min="11828" max="11828" width="11.5703125" bestFit="1" customWidth="1"/>
    <col min="11829" max="11829" width="5.28515625" bestFit="1" customWidth="1"/>
    <col min="11830" max="11830" width="13.28515625" bestFit="1" customWidth="1"/>
    <col min="11831" max="11831" width="13.5703125" bestFit="1" customWidth="1"/>
    <col min="11832" max="11832" width="10.5703125" bestFit="1" customWidth="1"/>
    <col min="11833" max="11833" width="13.28515625" bestFit="1" customWidth="1"/>
    <col min="11834" max="11834" width="11.5703125" bestFit="1" customWidth="1"/>
    <col min="11835" max="11835" width="10.5703125" bestFit="1" customWidth="1"/>
    <col min="11836" max="11836" width="16.140625" bestFit="1" customWidth="1"/>
    <col min="11837" max="11838" width="11.28515625" bestFit="1" customWidth="1"/>
    <col min="11839" max="11839" width="13.28515625" bestFit="1" customWidth="1"/>
    <col min="11840" max="11840" width="7.7109375" bestFit="1" customWidth="1"/>
    <col min="11841" max="11844" width="9.140625" hidden="1" customWidth="1"/>
    <col min="11845" max="11845" width="10.42578125" bestFit="1" customWidth="1"/>
    <col min="11846" max="11846" width="10.5703125" bestFit="1" customWidth="1"/>
    <col min="11847" max="11847" width="10.42578125" bestFit="1" customWidth="1"/>
    <col min="11848" max="11848" width="10.5703125" bestFit="1" customWidth="1"/>
    <col min="11849" max="11849" width="9.5703125" bestFit="1" customWidth="1"/>
    <col min="11850" max="11850" width="11.5703125" bestFit="1" customWidth="1"/>
    <col min="11851" max="11851" width="10.42578125" bestFit="1" customWidth="1"/>
    <col min="11852" max="11852" width="10.85546875" customWidth="1"/>
    <col min="11853" max="11854" width="9.85546875" bestFit="1" customWidth="1"/>
    <col min="11855" max="11855" width="13.5703125" bestFit="1" customWidth="1"/>
    <col min="11856" max="11856" width="7.7109375" bestFit="1" customWidth="1"/>
    <col min="11857" max="11857" width="13.28515625" bestFit="1" customWidth="1"/>
    <col min="11858" max="11858" width="11.5703125" bestFit="1" customWidth="1"/>
    <col min="11859" max="11859" width="10.42578125" bestFit="1" customWidth="1"/>
    <col min="11860" max="11860" width="7.7109375" bestFit="1" customWidth="1"/>
    <col min="11861" max="11861" width="11.5703125" bestFit="1" customWidth="1"/>
    <col min="11862" max="11862" width="10.85546875" bestFit="1" customWidth="1"/>
    <col min="11863" max="11863" width="13.28515625" bestFit="1" customWidth="1"/>
    <col min="11864" max="11864" width="10.85546875" bestFit="1" customWidth="1"/>
    <col min="11865" max="11866" width="7.5703125" bestFit="1" customWidth="1"/>
    <col min="11867" max="11868" width="10.42578125" bestFit="1" customWidth="1"/>
    <col min="11869" max="11869" width="11.5703125" bestFit="1" customWidth="1"/>
    <col min="11870" max="11870" width="5.28515625" bestFit="1" customWidth="1"/>
    <col min="11871" max="11871" width="10.28515625" bestFit="1" customWidth="1"/>
    <col min="11872" max="11872" width="10.42578125" bestFit="1" customWidth="1"/>
    <col min="11873" max="11873" width="11.5703125" bestFit="1" customWidth="1"/>
    <col min="11874" max="11874" width="5.28515625" bestFit="1" customWidth="1"/>
    <col min="11875" max="11877" width="11.5703125" bestFit="1" customWidth="1"/>
    <col min="11878" max="11878" width="5.28515625" bestFit="1" customWidth="1"/>
    <col min="11879" max="11880" width="10.42578125" bestFit="1" customWidth="1"/>
    <col min="11881" max="11881" width="11.5703125" bestFit="1" customWidth="1"/>
    <col min="11882" max="11882" width="5.28515625" bestFit="1" customWidth="1"/>
    <col min="11883" max="11883" width="14.28515625" bestFit="1" customWidth="1"/>
    <col min="11884" max="11884" width="13" bestFit="1" customWidth="1"/>
    <col min="11885" max="11885" width="11.5703125" bestFit="1" customWidth="1"/>
    <col min="11886" max="11886" width="8.85546875" bestFit="1" customWidth="1"/>
    <col min="11887" max="11887" width="14.42578125" bestFit="1" customWidth="1"/>
    <col min="11888" max="11888" width="10.42578125" bestFit="1" customWidth="1"/>
    <col min="11889" max="11889" width="12.28515625" bestFit="1" customWidth="1"/>
    <col min="11890" max="11890" width="13.85546875" bestFit="1" customWidth="1"/>
    <col min="11891" max="11891" width="11.28515625" customWidth="1"/>
    <col min="11892" max="11892" width="11.5703125" customWidth="1"/>
    <col min="11893" max="11893" width="13.42578125" bestFit="1" customWidth="1"/>
    <col min="11894" max="11894" width="10.42578125" customWidth="1"/>
    <col min="11895" max="11895" width="13.85546875" bestFit="1" customWidth="1"/>
    <col min="11896" max="11896" width="15.42578125" bestFit="1" customWidth="1"/>
    <col min="11897" max="11897" width="12.28515625" bestFit="1" customWidth="1"/>
    <col min="11898" max="11898" width="12.7109375" customWidth="1"/>
    <col min="11899" max="11899" width="10.7109375" bestFit="1" customWidth="1"/>
    <col min="11900" max="11900" width="9.85546875" customWidth="1"/>
    <col min="11901" max="11902" width="10.140625" bestFit="1" customWidth="1"/>
    <col min="11903" max="11903" width="7.5703125" bestFit="1" customWidth="1"/>
    <col min="11904" max="11904" width="9.42578125" bestFit="1" customWidth="1"/>
    <col min="11905" max="11905" width="14.5703125" bestFit="1" customWidth="1"/>
    <col min="11906" max="11906" width="14.85546875" customWidth="1"/>
    <col min="11907" max="11907" width="15.140625" bestFit="1" customWidth="1"/>
    <col min="11908" max="11908" width="12.140625" bestFit="1" customWidth="1"/>
    <col min="11909" max="11909" width="14.85546875" bestFit="1" customWidth="1"/>
    <col min="11910" max="11910" width="12.28515625" bestFit="1" customWidth="1"/>
    <col min="11911" max="11919" width="9.140625" hidden="1" customWidth="1"/>
    <col min="11920" max="11920" width="5.28515625" bestFit="1" customWidth="1"/>
    <col min="11921" max="11926" width="11.5703125" bestFit="1" customWidth="1"/>
    <col min="11927" max="11927" width="11.28515625" bestFit="1" customWidth="1"/>
    <col min="11928" max="11928" width="10.140625" bestFit="1" customWidth="1"/>
    <col min="11929" max="11929" width="11.5703125" bestFit="1" customWidth="1"/>
    <col min="11930" max="11930" width="16.140625" customWidth="1"/>
    <col min="11931" max="11931" width="13.42578125" customWidth="1"/>
    <col min="11932" max="11932" width="10.140625" bestFit="1" customWidth="1"/>
    <col min="11933" max="11933" width="12.85546875" bestFit="1" customWidth="1"/>
    <col min="11934" max="11934" width="12.28515625" bestFit="1" customWidth="1"/>
    <col min="11935" max="11935" width="11.28515625" bestFit="1" customWidth="1"/>
    <col min="11936" max="11936" width="11.5703125" bestFit="1" customWidth="1"/>
    <col min="11937" max="11937" width="10.85546875" bestFit="1" customWidth="1"/>
    <col min="11938" max="11938" width="11.28515625" bestFit="1" customWidth="1"/>
    <col min="11939" max="11939" width="10.140625" bestFit="1" customWidth="1"/>
    <col min="11940" max="11940" width="13.28515625" bestFit="1" customWidth="1"/>
    <col min="11941" max="11942" width="12.7109375" bestFit="1" customWidth="1"/>
    <col min="11943" max="11943" width="11" bestFit="1" customWidth="1"/>
    <col min="11944" max="11944" width="11.28515625" bestFit="1" customWidth="1"/>
    <col min="11945" max="11945" width="11.5703125" bestFit="1" customWidth="1"/>
    <col min="11946" max="11946" width="12.28515625" bestFit="1" customWidth="1"/>
    <col min="11947" max="11947" width="15.140625" bestFit="1" customWidth="1"/>
    <col min="11948" max="11948" width="14.42578125" bestFit="1" customWidth="1"/>
    <col min="11949" max="11949" width="12.28515625" bestFit="1" customWidth="1"/>
    <col min="11950" max="11950" width="15.140625" bestFit="1" customWidth="1"/>
    <col min="11951" max="11951" width="14.42578125" bestFit="1" customWidth="1"/>
    <col min="11952" max="11952" width="12.28515625" bestFit="1" customWidth="1"/>
    <col min="11953" max="11953" width="14.42578125" bestFit="1" customWidth="1"/>
    <col min="11954" max="11954" width="11.28515625" bestFit="1" customWidth="1"/>
    <col min="11955" max="11955" width="12.28515625" bestFit="1" customWidth="1"/>
    <col min="11956" max="11956" width="13" bestFit="1" customWidth="1"/>
    <col min="11957" max="11957" width="15.140625" bestFit="1" customWidth="1"/>
    <col min="11958" max="11958" width="12.28515625" bestFit="1" customWidth="1"/>
    <col min="11959" max="11959" width="13.85546875" bestFit="1" customWidth="1"/>
    <col min="11960" max="11960" width="11.28515625" bestFit="1" customWidth="1"/>
    <col min="11961" max="11961" width="12.28515625" bestFit="1" customWidth="1"/>
    <col min="11962" max="11962" width="13.85546875" bestFit="1" customWidth="1"/>
    <col min="11963" max="11964" width="15.140625" bestFit="1" customWidth="1"/>
    <col min="11965" max="11965" width="12.28515625" bestFit="1" customWidth="1"/>
    <col min="11966" max="11966" width="5.7109375" bestFit="1" customWidth="1"/>
    <col min="11967" max="11967" width="8.5703125" bestFit="1" customWidth="1"/>
    <col min="11968" max="11968" width="5.5703125" bestFit="1" customWidth="1"/>
    <col min="11969" max="11969" width="14.42578125" bestFit="1" customWidth="1"/>
    <col min="11970" max="11970" width="11.28515625" bestFit="1" customWidth="1"/>
    <col min="11971" max="11972" width="12.28515625" bestFit="1" customWidth="1"/>
    <col min="11973" max="11973" width="11.28515625" bestFit="1" customWidth="1"/>
    <col min="11974" max="11974" width="13.85546875" bestFit="1" customWidth="1"/>
    <col min="11975" max="11975" width="12" bestFit="1" customWidth="1"/>
    <col min="11976" max="11976" width="13.85546875" bestFit="1" customWidth="1"/>
    <col min="11977" max="11978" width="14.42578125" customWidth="1"/>
    <col min="11979" max="11979" width="10.140625" bestFit="1" customWidth="1"/>
    <col min="11980" max="11980" width="12.28515625" bestFit="1" customWidth="1"/>
    <col min="11981" max="11981" width="7.42578125" bestFit="1" customWidth="1"/>
    <col min="11982" max="11982" width="8.5703125" bestFit="1" customWidth="1"/>
    <col min="11983" max="11983" width="11.5703125" bestFit="1" customWidth="1"/>
    <col min="11984" max="11984" width="13.28515625" bestFit="1" customWidth="1"/>
    <col min="11985" max="11985" width="13.28515625" customWidth="1"/>
    <col min="11986" max="11986" width="13.140625" customWidth="1"/>
    <col min="11987" max="11987" width="12.7109375" bestFit="1" customWidth="1"/>
    <col min="11988" max="11988" width="13.28515625" bestFit="1" customWidth="1"/>
    <col min="11989" max="11991" width="13.28515625" customWidth="1"/>
    <col min="11992" max="11992" width="12.140625" bestFit="1" customWidth="1"/>
    <col min="11993" max="11993" width="12.7109375" bestFit="1" customWidth="1"/>
    <col min="11994" max="11994" width="11" customWidth="1"/>
    <col min="11995" max="11995" width="16.7109375" customWidth="1"/>
    <col min="11996" max="11996" width="17" customWidth="1"/>
    <col min="11997" max="11997" width="10.42578125" bestFit="1" customWidth="1"/>
    <col min="12041" max="12041" width="3.85546875" customWidth="1"/>
    <col min="12042" max="12042" width="15.28515625" bestFit="1" customWidth="1"/>
    <col min="12043" max="12043" width="12.28515625" customWidth="1"/>
    <col min="12044" max="12044" width="16.28515625" bestFit="1" customWidth="1"/>
    <col min="12045" max="12045" width="6.42578125" bestFit="1" customWidth="1"/>
    <col min="12046" max="12046" width="9.28515625" bestFit="1" customWidth="1"/>
    <col min="12047" max="12047" width="7.5703125" bestFit="1" customWidth="1"/>
    <col min="12048" max="12048" width="13.28515625" bestFit="1" customWidth="1"/>
    <col min="12049" max="12049" width="9.28515625" bestFit="1" customWidth="1"/>
    <col min="12050" max="12050" width="11.5703125" bestFit="1" customWidth="1"/>
    <col min="12051" max="12051" width="13.28515625" bestFit="1" customWidth="1"/>
    <col min="12052" max="12052" width="7.140625" bestFit="1" customWidth="1"/>
    <col min="12053" max="12053" width="12" bestFit="1" customWidth="1"/>
    <col min="12054" max="12054" width="13.28515625" bestFit="1" customWidth="1"/>
    <col min="12055" max="12055" width="7" bestFit="1" customWidth="1"/>
    <col min="12056" max="12056" width="12.7109375" bestFit="1" customWidth="1"/>
    <col min="12057" max="12057" width="11.5703125" bestFit="1" customWidth="1"/>
    <col min="12058" max="12058" width="10.5703125" bestFit="1" customWidth="1"/>
    <col min="12059" max="12060" width="15.7109375" bestFit="1" customWidth="1"/>
    <col min="12061" max="12061" width="11.5703125" bestFit="1" customWidth="1"/>
    <col min="12062" max="12062" width="7.7109375" bestFit="1" customWidth="1"/>
    <col min="12063" max="12063" width="15.140625" bestFit="1" customWidth="1"/>
    <col min="12064" max="12064" width="11.5703125" bestFit="1" customWidth="1"/>
    <col min="12065" max="12065" width="13.28515625" bestFit="1" customWidth="1"/>
    <col min="12066" max="12066" width="10.42578125" bestFit="1" customWidth="1"/>
    <col min="12067" max="12067" width="13.28515625" bestFit="1" customWidth="1"/>
    <col min="12068" max="12068" width="12.140625" bestFit="1" customWidth="1"/>
    <col min="12069" max="12069" width="14.42578125" bestFit="1" customWidth="1"/>
    <col min="12070" max="12070" width="13.28515625" bestFit="1" customWidth="1"/>
    <col min="12071" max="12071" width="11.5703125" bestFit="1" customWidth="1"/>
    <col min="12072" max="12072" width="7.7109375" bestFit="1" customWidth="1"/>
    <col min="12073" max="12074" width="14.42578125" bestFit="1" customWidth="1"/>
    <col min="12075" max="12075" width="11.5703125" bestFit="1" customWidth="1"/>
    <col min="12076" max="12076" width="7.7109375" bestFit="1" customWidth="1"/>
    <col min="12077" max="12077" width="13.5703125" customWidth="1"/>
    <col min="12078" max="12078" width="15.28515625" customWidth="1"/>
    <col min="12079" max="12079" width="14.5703125" customWidth="1"/>
    <col min="12080" max="12080" width="13.28515625" bestFit="1" customWidth="1"/>
    <col min="12081" max="12081" width="7.7109375" bestFit="1" customWidth="1"/>
    <col min="12082" max="12082" width="12.7109375" bestFit="1" customWidth="1"/>
    <col min="12083" max="12083" width="11.7109375" bestFit="1" customWidth="1"/>
    <col min="12084" max="12084" width="11.5703125" bestFit="1" customWidth="1"/>
    <col min="12085" max="12085" width="5.28515625" bestFit="1" customWidth="1"/>
    <col min="12086" max="12086" width="13.28515625" bestFit="1" customWidth="1"/>
    <col min="12087" max="12087" width="13.5703125" bestFit="1" customWidth="1"/>
    <col min="12088" max="12088" width="10.5703125" bestFit="1" customWidth="1"/>
    <col min="12089" max="12089" width="13.28515625" bestFit="1" customWidth="1"/>
    <col min="12090" max="12090" width="11.5703125" bestFit="1" customWidth="1"/>
    <col min="12091" max="12091" width="10.5703125" bestFit="1" customWidth="1"/>
    <col min="12092" max="12092" width="16.140625" bestFit="1" customWidth="1"/>
    <col min="12093" max="12094" width="11.28515625" bestFit="1" customWidth="1"/>
    <col min="12095" max="12095" width="13.28515625" bestFit="1" customWidth="1"/>
    <col min="12096" max="12096" width="7.7109375" bestFit="1" customWidth="1"/>
    <col min="12097" max="12100" width="9.140625" hidden="1" customWidth="1"/>
    <col min="12101" max="12101" width="10.42578125" bestFit="1" customWidth="1"/>
    <col min="12102" max="12102" width="10.5703125" bestFit="1" customWidth="1"/>
    <col min="12103" max="12103" width="10.42578125" bestFit="1" customWidth="1"/>
    <col min="12104" max="12104" width="10.5703125" bestFit="1" customWidth="1"/>
    <col min="12105" max="12105" width="9.5703125" bestFit="1" customWidth="1"/>
    <col min="12106" max="12106" width="11.5703125" bestFit="1" customWidth="1"/>
    <col min="12107" max="12107" width="10.42578125" bestFit="1" customWidth="1"/>
    <col min="12108" max="12108" width="10.85546875" customWidth="1"/>
    <col min="12109" max="12110" width="9.85546875" bestFit="1" customWidth="1"/>
    <col min="12111" max="12111" width="13.5703125" bestFit="1" customWidth="1"/>
    <col min="12112" max="12112" width="7.7109375" bestFit="1" customWidth="1"/>
    <col min="12113" max="12113" width="13.28515625" bestFit="1" customWidth="1"/>
    <col min="12114" max="12114" width="11.5703125" bestFit="1" customWidth="1"/>
    <col min="12115" max="12115" width="10.42578125" bestFit="1" customWidth="1"/>
    <col min="12116" max="12116" width="7.7109375" bestFit="1" customWidth="1"/>
    <col min="12117" max="12117" width="11.5703125" bestFit="1" customWidth="1"/>
    <col min="12118" max="12118" width="10.85546875" bestFit="1" customWidth="1"/>
    <col min="12119" max="12119" width="13.28515625" bestFit="1" customWidth="1"/>
    <col min="12120" max="12120" width="10.85546875" bestFit="1" customWidth="1"/>
    <col min="12121" max="12122" width="7.5703125" bestFit="1" customWidth="1"/>
    <col min="12123" max="12124" width="10.42578125" bestFit="1" customWidth="1"/>
    <col min="12125" max="12125" width="11.5703125" bestFit="1" customWidth="1"/>
    <col min="12126" max="12126" width="5.28515625" bestFit="1" customWidth="1"/>
    <col min="12127" max="12127" width="10.28515625" bestFit="1" customWidth="1"/>
    <col min="12128" max="12128" width="10.42578125" bestFit="1" customWidth="1"/>
    <col min="12129" max="12129" width="11.5703125" bestFit="1" customWidth="1"/>
    <col min="12130" max="12130" width="5.28515625" bestFit="1" customWidth="1"/>
    <col min="12131" max="12133" width="11.5703125" bestFit="1" customWidth="1"/>
    <col min="12134" max="12134" width="5.28515625" bestFit="1" customWidth="1"/>
    <col min="12135" max="12136" width="10.42578125" bestFit="1" customWidth="1"/>
    <col min="12137" max="12137" width="11.5703125" bestFit="1" customWidth="1"/>
    <col min="12138" max="12138" width="5.28515625" bestFit="1" customWidth="1"/>
    <col min="12139" max="12139" width="14.28515625" bestFit="1" customWidth="1"/>
    <col min="12140" max="12140" width="13" bestFit="1" customWidth="1"/>
    <col min="12141" max="12141" width="11.5703125" bestFit="1" customWidth="1"/>
    <col min="12142" max="12142" width="8.85546875" bestFit="1" customWidth="1"/>
    <col min="12143" max="12143" width="14.42578125" bestFit="1" customWidth="1"/>
    <col min="12144" max="12144" width="10.42578125" bestFit="1" customWidth="1"/>
    <col min="12145" max="12145" width="12.28515625" bestFit="1" customWidth="1"/>
    <col min="12146" max="12146" width="13.85546875" bestFit="1" customWidth="1"/>
    <col min="12147" max="12147" width="11.28515625" customWidth="1"/>
    <col min="12148" max="12148" width="11.5703125" customWidth="1"/>
    <col min="12149" max="12149" width="13.42578125" bestFit="1" customWidth="1"/>
    <col min="12150" max="12150" width="10.42578125" customWidth="1"/>
    <col min="12151" max="12151" width="13.85546875" bestFit="1" customWidth="1"/>
    <col min="12152" max="12152" width="15.42578125" bestFit="1" customWidth="1"/>
    <col min="12153" max="12153" width="12.28515625" bestFit="1" customWidth="1"/>
    <col min="12154" max="12154" width="12.7109375" customWidth="1"/>
    <col min="12155" max="12155" width="10.7109375" bestFit="1" customWidth="1"/>
    <col min="12156" max="12156" width="9.85546875" customWidth="1"/>
    <col min="12157" max="12158" width="10.140625" bestFit="1" customWidth="1"/>
    <col min="12159" max="12159" width="7.5703125" bestFit="1" customWidth="1"/>
    <col min="12160" max="12160" width="9.42578125" bestFit="1" customWidth="1"/>
    <col min="12161" max="12161" width="14.5703125" bestFit="1" customWidth="1"/>
    <col min="12162" max="12162" width="14.85546875" customWidth="1"/>
    <col min="12163" max="12163" width="15.140625" bestFit="1" customWidth="1"/>
    <col min="12164" max="12164" width="12.140625" bestFit="1" customWidth="1"/>
    <col min="12165" max="12165" width="14.85546875" bestFit="1" customWidth="1"/>
    <col min="12166" max="12166" width="12.28515625" bestFit="1" customWidth="1"/>
    <col min="12167" max="12175" width="9.140625" hidden="1" customWidth="1"/>
    <col min="12176" max="12176" width="5.28515625" bestFit="1" customWidth="1"/>
    <col min="12177" max="12182" width="11.5703125" bestFit="1" customWidth="1"/>
    <col min="12183" max="12183" width="11.28515625" bestFit="1" customWidth="1"/>
    <col min="12184" max="12184" width="10.140625" bestFit="1" customWidth="1"/>
    <col min="12185" max="12185" width="11.5703125" bestFit="1" customWidth="1"/>
    <col min="12186" max="12186" width="16.140625" customWidth="1"/>
    <col min="12187" max="12187" width="13.42578125" customWidth="1"/>
    <col min="12188" max="12188" width="10.140625" bestFit="1" customWidth="1"/>
    <col min="12189" max="12189" width="12.85546875" bestFit="1" customWidth="1"/>
    <col min="12190" max="12190" width="12.28515625" bestFit="1" customWidth="1"/>
    <col min="12191" max="12191" width="11.28515625" bestFit="1" customWidth="1"/>
    <col min="12192" max="12192" width="11.5703125" bestFit="1" customWidth="1"/>
    <col min="12193" max="12193" width="10.85546875" bestFit="1" customWidth="1"/>
    <col min="12194" max="12194" width="11.28515625" bestFit="1" customWidth="1"/>
    <col min="12195" max="12195" width="10.140625" bestFit="1" customWidth="1"/>
    <col min="12196" max="12196" width="13.28515625" bestFit="1" customWidth="1"/>
    <col min="12197" max="12198" width="12.7109375" bestFit="1" customWidth="1"/>
    <col min="12199" max="12199" width="11" bestFit="1" customWidth="1"/>
    <col min="12200" max="12200" width="11.28515625" bestFit="1" customWidth="1"/>
    <col min="12201" max="12201" width="11.5703125" bestFit="1" customWidth="1"/>
    <col min="12202" max="12202" width="12.28515625" bestFit="1" customWidth="1"/>
    <col min="12203" max="12203" width="15.140625" bestFit="1" customWidth="1"/>
    <col min="12204" max="12204" width="14.42578125" bestFit="1" customWidth="1"/>
    <col min="12205" max="12205" width="12.28515625" bestFit="1" customWidth="1"/>
    <col min="12206" max="12206" width="15.140625" bestFit="1" customWidth="1"/>
    <col min="12207" max="12207" width="14.42578125" bestFit="1" customWidth="1"/>
    <col min="12208" max="12208" width="12.28515625" bestFit="1" customWidth="1"/>
    <col min="12209" max="12209" width="14.42578125" bestFit="1" customWidth="1"/>
    <col min="12210" max="12210" width="11.28515625" bestFit="1" customWidth="1"/>
    <col min="12211" max="12211" width="12.28515625" bestFit="1" customWidth="1"/>
    <col min="12212" max="12212" width="13" bestFit="1" customWidth="1"/>
    <col min="12213" max="12213" width="15.140625" bestFit="1" customWidth="1"/>
    <col min="12214" max="12214" width="12.28515625" bestFit="1" customWidth="1"/>
    <col min="12215" max="12215" width="13.85546875" bestFit="1" customWidth="1"/>
    <col min="12216" max="12216" width="11.28515625" bestFit="1" customWidth="1"/>
    <col min="12217" max="12217" width="12.28515625" bestFit="1" customWidth="1"/>
    <col min="12218" max="12218" width="13.85546875" bestFit="1" customWidth="1"/>
    <col min="12219" max="12220" width="15.140625" bestFit="1" customWidth="1"/>
    <col min="12221" max="12221" width="12.28515625" bestFit="1" customWidth="1"/>
    <col min="12222" max="12222" width="5.7109375" bestFit="1" customWidth="1"/>
    <col min="12223" max="12223" width="8.5703125" bestFit="1" customWidth="1"/>
    <col min="12224" max="12224" width="5.5703125" bestFit="1" customWidth="1"/>
    <col min="12225" max="12225" width="14.42578125" bestFit="1" customWidth="1"/>
    <col min="12226" max="12226" width="11.28515625" bestFit="1" customWidth="1"/>
    <col min="12227" max="12228" width="12.28515625" bestFit="1" customWidth="1"/>
    <col min="12229" max="12229" width="11.28515625" bestFit="1" customWidth="1"/>
    <col min="12230" max="12230" width="13.85546875" bestFit="1" customWidth="1"/>
    <col min="12231" max="12231" width="12" bestFit="1" customWidth="1"/>
    <col min="12232" max="12232" width="13.85546875" bestFit="1" customWidth="1"/>
    <col min="12233" max="12234" width="14.42578125" customWidth="1"/>
    <col min="12235" max="12235" width="10.140625" bestFit="1" customWidth="1"/>
    <col min="12236" max="12236" width="12.28515625" bestFit="1" customWidth="1"/>
    <col min="12237" max="12237" width="7.42578125" bestFit="1" customWidth="1"/>
    <col min="12238" max="12238" width="8.5703125" bestFit="1" customWidth="1"/>
    <col min="12239" max="12239" width="11.5703125" bestFit="1" customWidth="1"/>
    <col min="12240" max="12240" width="13.28515625" bestFit="1" customWidth="1"/>
    <col min="12241" max="12241" width="13.28515625" customWidth="1"/>
    <col min="12242" max="12242" width="13.140625" customWidth="1"/>
    <col min="12243" max="12243" width="12.7109375" bestFit="1" customWidth="1"/>
    <col min="12244" max="12244" width="13.28515625" bestFit="1" customWidth="1"/>
    <col min="12245" max="12247" width="13.28515625" customWidth="1"/>
    <col min="12248" max="12248" width="12.140625" bestFit="1" customWidth="1"/>
    <col min="12249" max="12249" width="12.7109375" bestFit="1" customWidth="1"/>
    <col min="12250" max="12250" width="11" customWidth="1"/>
    <col min="12251" max="12251" width="16.7109375" customWidth="1"/>
    <col min="12252" max="12252" width="17" customWidth="1"/>
    <col min="12253" max="12253" width="10.42578125" bestFit="1" customWidth="1"/>
    <col min="12297" max="12297" width="3.85546875" customWidth="1"/>
    <col min="12298" max="12298" width="15.28515625" bestFit="1" customWidth="1"/>
    <col min="12299" max="12299" width="12.28515625" customWidth="1"/>
    <col min="12300" max="12300" width="16.28515625" bestFit="1" customWidth="1"/>
    <col min="12301" max="12301" width="6.42578125" bestFit="1" customWidth="1"/>
    <col min="12302" max="12302" width="9.28515625" bestFit="1" customWidth="1"/>
    <col min="12303" max="12303" width="7.5703125" bestFit="1" customWidth="1"/>
    <col min="12304" max="12304" width="13.28515625" bestFit="1" customWidth="1"/>
    <col min="12305" max="12305" width="9.28515625" bestFit="1" customWidth="1"/>
    <col min="12306" max="12306" width="11.5703125" bestFit="1" customWidth="1"/>
    <col min="12307" max="12307" width="13.28515625" bestFit="1" customWidth="1"/>
    <col min="12308" max="12308" width="7.140625" bestFit="1" customWidth="1"/>
    <col min="12309" max="12309" width="12" bestFit="1" customWidth="1"/>
    <col min="12310" max="12310" width="13.28515625" bestFit="1" customWidth="1"/>
    <col min="12311" max="12311" width="7" bestFit="1" customWidth="1"/>
    <col min="12312" max="12312" width="12.7109375" bestFit="1" customWidth="1"/>
    <col min="12313" max="12313" width="11.5703125" bestFit="1" customWidth="1"/>
    <col min="12314" max="12314" width="10.5703125" bestFit="1" customWidth="1"/>
    <col min="12315" max="12316" width="15.7109375" bestFit="1" customWidth="1"/>
    <col min="12317" max="12317" width="11.5703125" bestFit="1" customWidth="1"/>
    <col min="12318" max="12318" width="7.7109375" bestFit="1" customWidth="1"/>
    <col min="12319" max="12319" width="15.140625" bestFit="1" customWidth="1"/>
    <col min="12320" max="12320" width="11.5703125" bestFit="1" customWidth="1"/>
    <col min="12321" max="12321" width="13.28515625" bestFit="1" customWidth="1"/>
    <col min="12322" max="12322" width="10.42578125" bestFit="1" customWidth="1"/>
    <col min="12323" max="12323" width="13.28515625" bestFit="1" customWidth="1"/>
    <col min="12324" max="12324" width="12.140625" bestFit="1" customWidth="1"/>
    <col min="12325" max="12325" width="14.42578125" bestFit="1" customWidth="1"/>
    <col min="12326" max="12326" width="13.28515625" bestFit="1" customWidth="1"/>
    <col min="12327" max="12327" width="11.5703125" bestFit="1" customWidth="1"/>
    <col min="12328" max="12328" width="7.7109375" bestFit="1" customWidth="1"/>
    <col min="12329" max="12330" width="14.42578125" bestFit="1" customWidth="1"/>
    <col min="12331" max="12331" width="11.5703125" bestFit="1" customWidth="1"/>
    <col min="12332" max="12332" width="7.7109375" bestFit="1" customWidth="1"/>
    <col min="12333" max="12333" width="13.5703125" customWidth="1"/>
    <col min="12334" max="12334" width="15.28515625" customWidth="1"/>
    <col min="12335" max="12335" width="14.5703125" customWidth="1"/>
    <col min="12336" max="12336" width="13.28515625" bestFit="1" customWidth="1"/>
    <col min="12337" max="12337" width="7.7109375" bestFit="1" customWidth="1"/>
    <col min="12338" max="12338" width="12.7109375" bestFit="1" customWidth="1"/>
    <col min="12339" max="12339" width="11.7109375" bestFit="1" customWidth="1"/>
    <col min="12340" max="12340" width="11.5703125" bestFit="1" customWidth="1"/>
    <col min="12341" max="12341" width="5.28515625" bestFit="1" customWidth="1"/>
    <col min="12342" max="12342" width="13.28515625" bestFit="1" customWidth="1"/>
    <col min="12343" max="12343" width="13.5703125" bestFit="1" customWidth="1"/>
    <col min="12344" max="12344" width="10.5703125" bestFit="1" customWidth="1"/>
    <col min="12345" max="12345" width="13.28515625" bestFit="1" customWidth="1"/>
    <col min="12346" max="12346" width="11.5703125" bestFit="1" customWidth="1"/>
    <col min="12347" max="12347" width="10.5703125" bestFit="1" customWidth="1"/>
    <col min="12348" max="12348" width="16.140625" bestFit="1" customWidth="1"/>
    <col min="12349" max="12350" width="11.28515625" bestFit="1" customWidth="1"/>
    <col min="12351" max="12351" width="13.28515625" bestFit="1" customWidth="1"/>
    <col min="12352" max="12352" width="7.7109375" bestFit="1" customWidth="1"/>
    <col min="12353" max="12356" width="9.140625" hidden="1" customWidth="1"/>
    <col min="12357" max="12357" width="10.42578125" bestFit="1" customWidth="1"/>
    <col min="12358" max="12358" width="10.5703125" bestFit="1" customWidth="1"/>
    <col min="12359" max="12359" width="10.42578125" bestFit="1" customWidth="1"/>
    <col min="12360" max="12360" width="10.5703125" bestFit="1" customWidth="1"/>
    <col min="12361" max="12361" width="9.5703125" bestFit="1" customWidth="1"/>
    <col min="12362" max="12362" width="11.5703125" bestFit="1" customWidth="1"/>
    <col min="12363" max="12363" width="10.42578125" bestFit="1" customWidth="1"/>
    <col min="12364" max="12364" width="10.85546875" customWidth="1"/>
    <col min="12365" max="12366" width="9.85546875" bestFit="1" customWidth="1"/>
    <col min="12367" max="12367" width="13.5703125" bestFit="1" customWidth="1"/>
    <col min="12368" max="12368" width="7.7109375" bestFit="1" customWidth="1"/>
    <col min="12369" max="12369" width="13.28515625" bestFit="1" customWidth="1"/>
    <col min="12370" max="12370" width="11.5703125" bestFit="1" customWidth="1"/>
    <col min="12371" max="12371" width="10.42578125" bestFit="1" customWidth="1"/>
    <col min="12372" max="12372" width="7.7109375" bestFit="1" customWidth="1"/>
    <col min="12373" max="12373" width="11.5703125" bestFit="1" customWidth="1"/>
    <col min="12374" max="12374" width="10.85546875" bestFit="1" customWidth="1"/>
    <col min="12375" max="12375" width="13.28515625" bestFit="1" customWidth="1"/>
    <col min="12376" max="12376" width="10.85546875" bestFit="1" customWidth="1"/>
    <col min="12377" max="12378" width="7.5703125" bestFit="1" customWidth="1"/>
    <col min="12379" max="12380" width="10.42578125" bestFit="1" customWidth="1"/>
    <col min="12381" max="12381" width="11.5703125" bestFit="1" customWidth="1"/>
    <col min="12382" max="12382" width="5.28515625" bestFit="1" customWidth="1"/>
    <col min="12383" max="12383" width="10.28515625" bestFit="1" customWidth="1"/>
    <col min="12384" max="12384" width="10.42578125" bestFit="1" customWidth="1"/>
    <col min="12385" max="12385" width="11.5703125" bestFit="1" customWidth="1"/>
    <col min="12386" max="12386" width="5.28515625" bestFit="1" customWidth="1"/>
    <col min="12387" max="12389" width="11.5703125" bestFit="1" customWidth="1"/>
    <col min="12390" max="12390" width="5.28515625" bestFit="1" customWidth="1"/>
    <col min="12391" max="12392" width="10.42578125" bestFit="1" customWidth="1"/>
    <col min="12393" max="12393" width="11.5703125" bestFit="1" customWidth="1"/>
    <col min="12394" max="12394" width="5.28515625" bestFit="1" customWidth="1"/>
    <col min="12395" max="12395" width="14.28515625" bestFit="1" customWidth="1"/>
    <col min="12396" max="12396" width="13" bestFit="1" customWidth="1"/>
    <col min="12397" max="12397" width="11.5703125" bestFit="1" customWidth="1"/>
    <col min="12398" max="12398" width="8.85546875" bestFit="1" customWidth="1"/>
    <col min="12399" max="12399" width="14.42578125" bestFit="1" customWidth="1"/>
    <col min="12400" max="12400" width="10.42578125" bestFit="1" customWidth="1"/>
    <col min="12401" max="12401" width="12.28515625" bestFit="1" customWidth="1"/>
    <col min="12402" max="12402" width="13.85546875" bestFit="1" customWidth="1"/>
    <col min="12403" max="12403" width="11.28515625" customWidth="1"/>
    <col min="12404" max="12404" width="11.5703125" customWidth="1"/>
    <col min="12405" max="12405" width="13.42578125" bestFit="1" customWidth="1"/>
    <col min="12406" max="12406" width="10.42578125" customWidth="1"/>
    <col min="12407" max="12407" width="13.85546875" bestFit="1" customWidth="1"/>
    <col min="12408" max="12408" width="15.42578125" bestFit="1" customWidth="1"/>
    <col min="12409" max="12409" width="12.28515625" bestFit="1" customWidth="1"/>
    <col min="12410" max="12410" width="12.7109375" customWidth="1"/>
    <col min="12411" max="12411" width="10.7109375" bestFit="1" customWidth="1"/>
    <col min="12412" max="12412" width="9.85546875" customWidth="1"/>
    <col min="12413" max="12414" width="10.140625" bestFit="1" customWidth="1"/>
    <col min="12415" max="12415" width="7.5703125" bestFit="1" customWidth="1"/>
    <col min="12416" max="12416" width="9.42578125" bestFit="1" customWidth="1"/>
    <col min="12417" max="12417" width="14.5703125" bestFit="1" customWidth="1"/>
    <col min="12418" max="12418" width="14.85546875" customWidth="1"/>
    <col min="12419" max="12419" width="15.140625" bestFit="1" customWidth="1"/>
    <col min="12420" max="12420" width="12.140625" bestFit="1" customWidth="1"/>
    <col min="12421" max="12421" width="14.85546875" bestFit="1" customWidth="1"/>
    <col min="12422" max="12422" width="12.28515625" bestFit="1" customWidth="1"/>
    <col min="12423" max="12431" width="9.140625" hidden="1" customWidth="1"/>
    <col min="12432" max="12432" width="5.28515625" bestFit="1" customWidth="1"/>
    <col min="12433" max="12438" width="11.5703125" bestFit="1" customWidth="1"/>
    <col min="12439" max="12439" width="11.28515625" bestFit="1" customWidth="1"/>
    <col min="12440" max="12440" width="10.140625" bestFit="1" customWidth="1"/>
    <col min="12441" max="12441" width="11.5703125" bestFit="1" customWidth="1"/>
    <col min="12442" max="12442" width="16.140625" customWidth="1"/>
    <col min="12443" max="12443" width="13.42578125" customWidth="1"/>
    <col min="12444" max="12444" width="10.140625" bestFit="1" customWidth="1"/>
    <col min="12445" max="12445" width="12.85546875" bestFit="1" customWidth="1"/>
    <col min="12446" max="12446" width="12.28515625" bestFit="1" customWidth="1"/>
    <col min="12447" max="12447" width="11.28515625" bestFit="1" customWidth="1"/>
    <col min="12448" max="12448" width="11.5703125" bestFit="1" customWidth="1"/>
    <col min="12449" max="12449" width="10.85546875" bestFit="1" customWidth="1"/>
    <col min="12450" max="12450" width="11.28515625" bestFit="1" customWidth="1"/>
    <col min="12451" max="12451" width="10.140625" bestFit="1" customWidth="1"/>
    <col min="12452" max="12452" width="13.28515625" bestFit="1" customWidth="1"/>
    <col min="12453" max="12454" width="12.7109375" bestFit="1" customWidth="1"/>
    <col min="12455" max="12455" width="11" bestFit="1" customWidth="1"/>
    <col min="12456" max="12456" width="11.28515625" bestFit="1" customWidth="1"/>
    <col min="12457" max="12457" width="11.5703125" bestFit="1" customWidth="1"/>
    <col min="12458" max="12458" width="12.28515625" bestFit="1" customWidth="1"/>
    <col min="12459" max="12459" width="15.140625" bestFit="1" customWidth="1"/>
    <col min="12460" max="12460" width="14.42578125" bestFit="1" customWidth="1"/>
    <col min="12461" max="12461" width="12.28515625" bestFit="1" customWidth="1"/>
    <col min="12462" max="12462" width="15.140625" bestFit="1" customWidth="1"/>
    <col min="12463" max="12463" width="14.42578125" bestFit="1" customWidth="1"/>
    <col min="12464" max="12464" width="12.28515625" bestFit="1" customWidth="1"/>
    <col min="12465" max="12465" width="14.42578125" bestFit="1" customWidth="1"/>
    <col min="12466" max="12466" width="11.28515625" bestFit="1" customWidth="1"/>
    <col min="12467" max="12467" width="12.28515625" bestFit="1" customWidth="1"/>
    <col min="12468" max="12468" width="13" bestFit="1" customWidth="1"/>
    <col min="12469" max="12469" width="15.140625" bestFit="1" customWidth="1"/>
    <col min="12470" max="12470" width="12.28515625" bestFit="1" customWidth="1"/>
    <col min="12471" max="12471" width="13.85546875" bestFit="1" customWidth="1"/>
    <col min="12472" max="12472" width="11.28515625" bestFit="1" customWidth="1"/>
    <col min="12473" max="12473" width="12.28515625" bestFit="1" customWidth="1"/>
    <col min="12474" max="12474" width="13.85546875" bestFit="1" customWidth="1"/>
    <col min="12475" max="12476" width="15.140625" bestFit="1" customWidth="1"/>
    <col min="12477" max="12477" width="12.28515625" bestFit="1" customWidth="1"/>
    <col min="12478" max="12478" width="5.7109375" bestFit="1" customWidth="1"/>
    <col min="12479" max="12479" width="8.5703125" bestFit="1" customWidth="1"/>
    <col min="12480" max="12480" width="5.5703125" bestFit="1" customWidth="1"/>
    <col min="12481" max="12481" width="14.42578125" bestFit="1" customWidth="1"/>
    <col min="12482" max="12482" width="11.28515625" bestFit="1" customWidth="1"/>
    <col min="12483" max="12484" width="12.28515625" bestFit="1" customWidth="1"/>
    <col min="12485" max="12485" width="11.28515625" bestFit="1" customWidth="1"/>
    <col min="12486" max="12486" width="13.85546875" bestFit="1" customWidth="1"/>
    <col min="12487" max="12487" width="12" bestFit="1" customWidth="1"/>
    <col min="12488" max="12488" width="13.85546875" bestFit="1" customWidth="1"/>
    <col min="12489" max="12490" width="14.42578125" customWidth="1"/>
    <col min="12491" max="12491" width="10.140625" bestFit="1" customWidth="1"/>
    <col min="12492" max="12492" width="12.28515625" bestFit="1" customWidth="1"/>
    <col min="12493" max="12493" width="7.42578125" bestFit="1" customWidth="1"/>
    <col min="12494" max="12494" width="8.5703125" bestFit="1" customWidth="1"/>
    <col min="12495" max="12495" width="11.5703125" bestFit="1" customWidth="1"/>
    <col min="12496" max="12496" width="13.28515625" bestFit="1" customWidth="1"/>
    <col min="12497" max="12497" width="13.28515625" customWidth="1"/>
    <col min="12498" max="12498" width="13.140625" customWidth="1"/>
    <col min="12499" max="12499" width="12.7109375" bestFit="1" customWidth="1"/>
    <col min="12500" max="12500" width="13.28515625" bestFit="1" customWidth="1"/>
    <col min="12501" max="12503" width="13.28515625" customWidth="1"/>
    <col min="12504" max="12504" width="12.140625" bestFit="1" customWidth="1"/>
    <col min="12505" max="12505" width="12.7109375" bestFit="1" customWidth="1"/>
    <col min="12506" max="12506" width="11" customWidth="1"/>
    <col min="12507" max="12507" width="16.7109375" customWidth="1"/>
    <col min="12508" max="12508" width="17" customWidth="1"/>
    <col min="12509" max="12509" width="10.42578125" bestFit="1" customWidth="1"/>
    <col min="12553" max="12553" width="3.85546875" customWidth="1"/>
    <col min="12554" max="12554" width="15.28515625" bestFit="1" customWidth="1"/>
    <col min="12555" max="12555" width="12.28515625" customWidth="1"/>
    <col min="12556" max="12556" width="16.28515625" bestFit="1" customWidth="1"/>
    <col min="12557" max="12557" width="6.42578125" bestFit="1" customWidth="1"/>
    <col min="12558" max="12558" width="9.28515625" bestFit="1" customWidth="1"/>
    <col min="12559" max="12559" width="7.5703125" bestFit="1" customWidth="1"/>
    <col min="12560" max="12560" width="13.28515625" bestFit="1" customWidth="1"/>
    <col min="12561" max="12561" width="9.28515625" bestFit="1" customWidth="1"/>
    <col min="12562" max="12562" width="11.5703125" bestFit="1" customWidth="1"/>
    <col min="12563" max="12563" width="13.28515625" bestFit="1" customWidth="1"/>
    <col min="12564" max="12564" width="7.140625" bestFit="1" customWidth="1"/>
    <col min="12565" max="12565" width="12" bestFit="1" customWidth="1"/>
    <col min="12566" max="12566" width="13.28515625" bestFit="1" customWidth="1"/>
    <col min="12567" max="12567" width="7" bestFit="1" customWidth="1"/>
    <col min="12568" max="12568" width="12.7109375" bestFit="1" customWidth="1"/>
    <col min="12569" max="12569" width="11.5703125" bestFit="1" customWidth="1"/>
    <col min="12570" max="12570" width="10.5703125" bestFit="1" customWidth="1"/>
    <col min="12571" max="12572" width="15.7109375" bestFit="1" customWidth="1"/>
    <col min="12573" max="12573" width="11.5703125" bestFit="1" customWidth="1"/>
    <col min="12574" max="12574" width="7.7109375" bestFit="1" customWidth="1"/>
    <col min="12575" max="12575" width="15.140625" bestFit="1" customWidth="1"/>
    <col min="12576" max="12576" width="11.5703125" bestFit="1" customWidth="1"/>
    <col min="12577" max="12577" width="13.28515625" bestFit="1" customWidth="1"/>
    <col min="12578" max="12578" width="10.42578125" bestFit="1" customWidth="1"/>
    <col min="12579" max="12579" width="13.28515625" bestFit="1" customWidth="1"/>
    <col min="12580" max="12580" width="12.140625" bestFit="1" customWidth="1"/>
    <col min="12581" max="12581" width="14.42578125" bestFit="1" customWidth="1"/>
    <col min="12582" max="12582" width="13.28515625" bestFit="1" customWidth="1"/>
    <col min="12583" max="12583" width="11.5703125" bestFit="1" customWidth="1"/>
    <col min="12584" max="12584" width="7.7109375" bestFit="1" customWidth="1"/>
    <col min="12585" max="12586" width="14.42578125" bestFit="1" customWidth="1"/>
    <col min="12587" max="12587" width="11.5703125" bestFit="1" customWidth="1"/>
    <col min="12588" max="12588" width="7.7109375" bestFit="1" customWidth="1"/>
    <col min="12589" max="12589" width="13.5703125" customWidth="1"/>
    <col min="12590" max="12590" width="15.28515625" customWidth="1"/>
    <col min="12591" max="12591" width="14.5703125" customWidth="1"/>
    <col min="12592" max="12592" width="13.28515625" bestFit="1" customWidth="1"/>
    <col min="12593" max="12593" width="7.7109375" bestFit="1" customWidth="1"/>
    <col min="12594" max="12594" width="12.7109375" bestFit="1" customWidth="1"/>
    <col min="12595" max="12595" width="11.7109375" bestFit="1" customWidth="1"/>
    <col min="12596" max="12596" width="11.5703125" bestFit="1" customWidth="1"/>
    <col min="12597" max="12597" width="5.28515625" bestFit="1" customWidth="1"/>
    <col min="12598" max="12598" width="13.28515625" bestFit="1" customWidth="1"/>
    <col min="12599" max="12599" width="13.5703125" bestFit="1" customWidth="1"/>
    <col min="12600" max="12600" width="10.5703125" bestFit="1" customWidth="1"/>
    <col min="12601" max="12601" width="13.28515625" bestFit="1" customWidth="1"/>
    <col min="12602" max="12602" width="11.5703125" bestFit="1" customWidth="1"/>
    <col min="12603" max="12603" width="10.5703125" bestFit="1" customWidth="1"/>
    <col min="12604" max="12604" width="16.140625" bestFit="1" customWidth="1"/>
    <col min="12605" max="12606" width="11.28515625" bestFit="1" customWidth="1"/>
    <col min="12607" max="12607" width="13.28515625" bestFit="1" customWidth="1"/>
    <col min="12608" max="12608" width="7.7109375" bestFit="1" customWidth="1"/>
    <col min="12609" max="12612" width="9.140625" hidden="1" customWidth="1"/>
    <col min="12613" max="12613" width="10.42578125" bestFit="1" customWidth="1"/>
    <col min="12614" max="12614" width="10.5703125" bestFit="1" customWidth="1"/>
    <col min="12615" max="12615" width="10.42578125" bestFit="1" customWidth="1"/>
    <col min="12616" max="12616" width="10.5703125" bestFit="1" customWidth="1"/>
    <col min="12617" max="12617" width="9.5703125" bestFit="1" customWidth="1"/>
    <col min="12618" max="12618" width="11.5703125" bestFit="1" customWidth="1"/>
    <col min="12619" max="12619" width="10.42578125" bestFit="1" customWidth="1"/>
    <col min="12620" max="12620" width="10.85546875" customWidth="1"/>
    <col min="12621" max="12622" width="9.85546875" bestFit="1" customWidth="1"/>
    <col min="12623" max="12623" width="13.5703125" bestFit="1" customWidth="1"/>
    <col min="12624" max="12624" width="7.7109375" bestFit="1" customWidth="1"/>
    <col min="12625" max="12625" width="13.28515625" bestFit="1" customWidth="1"/>
    <col min="12626" max="12626" width="11.5703125" bestFit="1" customWidth="1"/>
    <col min="12627" max="12627" width="10.42578125" bestFit="1" customWidth="1"/>
    <col min="12628" max="12628" width="7.7109375" bestFit="1" customWidth="1"/>
    <col min="12629" max="12629" width="11.5703125" bestFit="1" customWidth="1"/>
    <col min="12630" max="12630" width="10.85546875" bestFit="1" customWidth="1"/>
    <col min="12631" max="12631" width="13.28515625" bestFit="1" customWidth="1"/>
    <col min="12632" max="12632" width="10.85546875" bestFit="1" customWidth="1"/>
    <col min="12633" max="12634" width="7.5703125" bestFit="1" customWidth="1"/>
    <col min="12635" max="12636" width="10.42578125" bestFit="1" customWidth="1"/>
    <col min="12637" max="12637" width="11.5703125" bestFit="1" customWidth="1"/>
    <col min="12638" max="12638" width="5.28515625" bestFit="1" customWidth="1"/>
    <col min="12639" max="12639" width="10.28515625" bestFit="1" customWidth="1"/>
    <col min="12640" max="12640" width="10.42578125" bestFit="1" customWidth="1"/>
    <col min="12641" max="12641" width="11.5703125" bestFit="1" customWidth="1"/>
    <col min="12642" max="12642" width="5.28515625" bestFit="1" customWidth="1"/>
    <col min="12643" max="12645" width="11.5703125" bestFit="1" customWidth="1"/>
    <col min="12646" max="12646" width="5.28515625" bestFit="1" customWidth="1"/>
    <col min="12647" max="12648" width="10.42578125" bestFit="1" customWidth="1"/>
    <col min="12649" max="12649" width="11.5703125" bestFit="1" customWidth="1"/>
    <col min="12650" max="12650" width="5.28515625" bestFit="1" customWidth="1"/>
    <col min="12651" max="12651" width="14.28515625" bestFit="1" customWidth="1"/>
    <col min="12652" max="12652" width="13" bestFit="1" customWidth="1"/>
    <col min="12653" max="12653" width="11.5703125" bestFit="1" customWidth="1"/>
    <col min="12654" max="12654" width="8.85546875" bestFit="1" customWidth="1"/>
    <col min="12655" max="12655" width="14.42578125" bestFit="1" customWidth="1"/>
    <col min="12656" max="12656" width="10.42578125" bestFit="1" customWidth="1"/>
    <col min="12657" max="12657" width="12.28515625" bestFit="1" customWidth="1"/>
    <col min="12658" max="12658" width="13.85546875" bestFit="1" customWidth="1"/>
    <col min="12659" max="12659" width="11.28515625" customWidth="1"/>
    <col min="12660" max="12660" width="11.5703125" customWidth="1"/>
    <col min="12661" max="12661" width="13.42578125" bestFit="1" customWidth="1"/>
    <col min="12662" max="12662" width="10.42578125" customWidth="1"/>
    <col min="12663" max="12663" width="13.85546875" bestFit="1" customWidth="1"/>
    <col min="12664" max="12664" width="15.42578125" bestFit="1" customWidth="1"/>
    <col min="12665" max="12665" width="12.28515625" bestFit="1" customWidth="1"/>
    <col min="12666" max="12666" width="12.7109375" customWidth="1"/>
    <col min="12667" max="12667" width="10.7109375" bestFit="1" customWidth="1"/>
    <col min="12668" max="12668" width="9.85546875" customWidth="1"/>
    <col min="12669" max="12670" width="10.140625" bestFit="1" customWidth="1"/>
    <col min="12671" max="12671" width="7.5703125" bestFit="1" customWidth="1"/>
    <col min="12672" max="12672" width="9.42578125" bestFit="1" customWidth="1"/>
    <col min="12673" max="12673" width="14.5703125" bestFit="1" customWidth="1"/>
    <col min="12674" max="12674" width="14.85546875" customWidth="1"/>
    <col min="12675" max="12675" width="15.140625" bestFit="1" customWidth="1"/>
    <col min="12676" max="12676" width="12.140625" bestFit="1" customWidth="1"/>
    <col min="12677" max="12677" width="14.85546875" bestFit="1" customWidth="1"/>
    <col min="12678" max="12678" width="12.28515625" bestFit="1" customWidth="1"/>
    <col min="12679" max="12687" width="9.140625" hidden="1" customWidth="1"/>
    <col min="12688" max="12688" width="5.28515625" bestFit="1" customWidth="1"/>
    <col min="12689" max="12694" width="11.5703125" bestFit="1" customWidth="1"/>
    <col min="12695" max="12695" width="11.28515625" bestFit="1" customWidth="1"/>
    <col min="12696" max="12696" width="10.140625" bestFit="1" customWidth="1"/>
    <col min="12697" max="12697" width="11.5703125" bestFit="1" customWidth="1"/>
    <col min="12698" max="12698" width="16.140625" customWidth="1"/>
    <col min="12699" max="12699" width="13.42578125" customWidth="1"/>
    <col min="12700" max="12700" width="10.140625" bestFit="1" customWidth="1"/>
    <col min="12701" max="12701" width="12.85546875" bestFit="1" customWidth="1"/>
    <col min="12702" max="12702" width="12.28515625" bestFit="1" customWidth="1"/>
    <col min="12703" max="12703" width="11.28515625" bestFit="1" customWidth="1"/>
    <col min="12704" max="12704" width="11.5703125" bestFit="1" customWidth="1"/>
    <col min="12705" max="12705" width="10.85546875" bestFit="1" customWidth="1"/>
    <col min="12706" max="12706" width="11.28515625" bestFit="1" customWidth="1"/>
    <col min="12707" max="12707" width="10.140625" bestFit="1" customWidth="1"/>
    <col min="12708" max="12708" width="13.28515625" bestFit="1" customWidth="1"/>
    <col min="12709" max="12710" width="12.7109375" bestFit="1" customWidth="1"/>
    <col min="12711" max="12711" width="11" bestFit="1" customWidth="1"/>
    <col min="12712" max="12712" width="11.28515625" bestFit="1" customWidth="1"/>
    <col min="12713" max="12713" width="11.5703125" bestFit="1" customWidth="1"/>
    <col min="12714" max="12714" width="12.28515625" bestFit="1" customWidth="1"/>
    <col min="12715" max="12715" width="15.140625" bestFit="1" customWidth="1"/>
    <col min="12716" max="12716" width="14.42578125" bestFit="1" customWidth="1"/>
    <col min="12717" max="12717" width="12.28515625" bestFit="1" customWidth="1"/>
    <col min="12718" max="12718" width="15.140625" bestFit="1" customWidth="1"/>
    <col min="12719" max="12719" width="14.42578125" bestFit="1" customWidth="1"/>
    <col min="12720" max="12720" width="12.28515625" bestFit="1" customWidth="1"/>
    <col min="12721" max="12721" width="14.42578125" bestFit="1" customWidth="1"/>
    <col min="12722" max="12722" width="11.28515625" bestFit="1" customWidth="1"/>
    <col min="12723" max="12723" width="12.28515625" bestFit="1" customWidth="1"/>
    <col min="12724" max="12724" width="13" bestFit="1" customWidth="1"/>
    <col min="12725" max="12725" width="15.140625" bestFit="1" customWidth="1"/>
    <col min="12726" max="12726" width="12.28515625" bestFit="1" customWidth="1"/>
    <col min="12727" max="12727" width="13.85546875" bestFit="1" customWidth="1"/>
    <col min="12728" max="12728" width="11.28515625" bestFit="1" customWidth="1"/>
    <col min="12729" max="12729" width="12.28515625" bestFit="1" customWidth="1"/>
    <col min="12730" max="12730" width="13.85546875" bestFit="1" customWidth="1"/>
    <col min="12731" max="12732" width="15.140625" bestFit="1" customWidth="1"/>
    <col min="12733" max="12733" width="12.28515625" bestFit="1" customWidth="1"/>
    <col min="12734" max="12734" width="5.7109375" bestFit="1" customWidth="1"/>
    <col min="12735" max="12735" width="8.5703125" bestFit="1" customWidth="1"/>
    <col min="12736" max="12736" width="5.5703125" bestFit="1" customWidth="1"/>
    <col min="12737" max="12737" width="14.42578125" bestFit="1" customWidth="1"/>
    <col min="12738" max="12738" width="11.28515625" bestFit="1" customWidth="1"/>
    <col min="12739" max="12740" width="12.28515625" bestFit="1" customWidth="1"/>
    <col min="12741" max="12741" width="11.28515625" bestFit="1" customWidth="1"/>
    <col min="12742" max="12742" width="13.85546875" bestFit="1" customWidth="1"/>
    <col min="12743" max="12743" width="12" bestFit="1" customWidth="1"/>
    <col min="12744" max="12744" width="13.85546875" bestFit="1" customWidth="1"/>
    <col min="12745" max="12746" width="14.42578125" customWidth="1"/>
    <col min="12747" max="12747" width="10.140625" bestFit="1" customWidth="1"/>
    <col min="12748" max="12748" width="12.28515625" bestFit="1" customWidth="1"/>
    <col min="12749" max="12749" width="7.42578125" bestFit="1" customWidth="1"/>
    <col min="12750" max="12750" width="8.5703125" bestFit="1" customWidth="1"/>
    <col min="12751" max="12751" width="11.5703125" bestFit="1" customWidth="1"/>
    <col min="12752" max="12752" width="13.28515625" bestFit="1" customWidth="1"/>
    <col min="12753" max="12753" width="13.28515625" customWidth="1"/>
    <col min="12754" max="12754" width="13.140625" customWidth="1"/>
    <col min="12755" max="12755" width="12.7109375" bestFit="1" customWidth="1"/>
    <col min="12756" max="12756" width="13.28515625" bestFit="1" customWidth="1"/>
    <col min="12757" max="12759" width="13.28515625" customWidth="1"/>
    <col min="12760" max="12760" width="12.140625" bestFit="1" customWidth="1"/>
    <col min="12761" max="12761" width="12.7109375" bestFit="1" customWidth="1"/>
    <col min="12762" max="12762" width="11" customWidth="1"/>
    <col min="12763" max="12763" width="16.7109375" customWidth="1"/>
    <col min="12764" max="12764" width="17" customWidth="1"/>
    <col min="12765" max="12765" width="10.42578125" bestFit="1" customWidth="1"/>
    <col min="12809" max="12809" width="3.85546875" customWidth="1"/>
    <col min="12810" max="12810" width="15.28515625" bestFit="1" customWidth="1"/>
    <col min="12811" max="12811" width="12.28515625" customWidth="1"/>
    <col min="12812" max="12812" width="16.28515625" bestFit="1" customWidth="1"/>
    <col min="12813" max="12813" width="6.42578125" bestFit="1" customWidth="1"/>
    <col min="12814" max="12814" width="9.28515625" bestFit="1" customWidth="1"/>
    <col min="12815" max="12815" width="7.5703125" bestFit="1" customWidth="1"/>
    <col min="12816" max="12816" width="13.28515625" bestFit="1" customWidth="1"/>
    <col min="12817" max="12817" width="9.28515625" bestFit="1" customWidth="1"/>
    <col min="12818" max="12818" width="11.5703125" bestFit="1" customWidth="1"/>
    <col min="12819" max="12819" width="13.28515625" bestFit="1" customWidth="1"/>
    <col min="12820" max="12820" width="7.140625" bestFit="1" customWidth="1"/>
    <col min="12821" max="12821" width="12" bestFit="1" customWidth="1"/>
    <col min="12822" max="12822" width="13.28515625" bestFit="1" customWidth="1"/>
    <col min="12823" max="12823" width="7" bestFit="1" customWidth="1"/>
    <col min="12824" max="12824" width="12.7109375" bestFit="1" customWidth="1"/>
    <col min="12825" max="12825" width="11.5703125" bestFit="1" customWidth="1"/>
    <col min="12826" max="12826" width="10.5703125" bestFit="1" customWidth="1"/>
    <col min="12827" max="12828" width="15.7109375" bestFit="1" customWidth="1"/>
    <col min="12829" max="12829" width="11.5703125" bestFit="1" customWidth="1"/>
    <col min="12830" max="12830" width="7.7109375" bestFit="1" customWidth="1"/>
    <col min="12831" max="12831" width="15.140625" bestFit="1" customWidth="1"/>
    <col min="12832" max="12832" width="11.5703125" bestFit="1" customWidth="1"/>
    <col min="12833" max="12833" width="13.28515625" bestFit="1" customWidth="1"/>
    <col min="12834" max="12834" width="10.42578125" bestFit="1" customWidth="1"/>
    <col min="12835" max="12835" width="13.28515625" bestFit="1" customWidth="1"/>
    <col min="12836" max="12836" width="12.140625" bestFit="1" customWidth="1"/>
    <col min="12837" max="12837" width="14.42578125" bestFit="1" customWidth="1"/>
    <col min="12838" max="12838" width="13.28515625" bestFit="1" customWidth="1"/>
    <col min="12839" max="12839" width="11.5703125" bestFit="1" customWidth="1"/>
    <col min="12840" max="12840" width="7.7109375" bestFit="1" customWidth="1"/>
    <col min="12841" max="12842" width="14.42578125" bestFit="1" customWidth="1"/>
    <col min="12843" max="12843" width="11.5703125" bestFit="1" customWidth="1"/>
    <col min="12844" max="12844" width="7.7109375" bestFit="1" customWidth="1"/>
    <col min="12845" max="12845" width="13.5703125" customWidth="1"/>
    <col min="12846" max="12846" width="15.28515625" customWidth="1"/>
    <col min="12847" max="12847" width="14.5703125" customWidth="1"/>
    <col min="12848" max="12848" width="13.28515625" bestFit="1" customWidth="1"/>
    <col min="12849" max="12849" width="7.7109375" bestFit="1" customWidth="1"/>
    <col min="12850" max="12850" width="12.7109375" bestFit="1" customWidth="1"/>
    <col min="12851" max="12851" width="11.7109375" bestFit="1" customWidth="1"/>
    <col min="12852" max="12852" width="11.5703125" bestFit="1" customWidth="1"/>
    <col min="12853" max="12853" width="5.28515625" bestFit="1" customWidth="1"/>
    <col min="12854" max="12854" width="13.28515625" bestFit="1" customWidth="1"/>
    <col min="12855" max="12855" width="13.5703125" bestFit="1" customWidth="1"/>
    <col min="12856" max="12856" width="10.5703125" bestFit="1" customWidth="1"/>
    <col min="12857" max="12857" width="13.28515625" bestFit="1" customWidth="1"/>
    <col min="12858" max="12858" width="11.5703125" bestFit="1" customWidth="1"/>
    <col min="12859" max="12859" width="10.5703125" bestFit="1" customWidth="1"/>
    <col min="12860" max="12860" width="16.140625" bestFit="1" customWidth="1"/>
    <col min="12861" max="12862" width="11.28515625" bestFit="1" customWidth="1"/>
    <col min="12863" max="12863" width="13.28515625" bestFit="1" customWidth="1"/>
    <col min="12864" max="12864" width="7.7109375" bestFit="1" customWidth="1"/>
    <col min="12865" max="12868" width="9.140625" hidden="1" customWidth="1"/>
    <col min="12869" max="12869" width="10.42578125" bestFit="1" customWidth="1"/>
    <col min="12870" max="12870" width="10.5703125" bestFit="1" customWidth="1"/>
    <col min="12871" max="12871" width="10.42578125" bestFit="1" customWidth="1"/>
    <col min="12872" max="12872" width="10.5703125" bestFit="1" customWidth="1"/>
    <col min="12873" max="12873" width="9.5703125" bestFit="1" customWidth="1"/>
    <col min="12874" max="12874" width="11.5703125" bestFit="1" customWidth="1"/>
    <col min="12875" max="12875" width="10.42578125" bestFit="1" customWidth="1"/>
    <col min="12876" max="12876" width="10.85546875" customWidth="1"/>
    <col min="12877" max="12878" width="9.85546875" bestFit="1" customWidth="1"/>
    <col min="12879" max="12879" width="13.5703125" bestFit="1" customWidth="1"/>
    <col min="12880" max="12880" width="7.7109375" bestFit="1" customWidth="1"/>
    <col min="12881" max="12881" width="13.28515625" bestFit="1" customWidth="1"/>
    <col min="12882" max="12882" width="11.5703125" bestFit="1" customWidth="1"/>
    <col min="12883" max="12883" width="10.42578125" bestFit="1" customWidth="1"/>
    <col min="12884" max="12884" width="7.7109375" bestFit="1" customWidth="1"/>
    <col min="12885" max="12885" width="11.5703125" bestFit="1" customWidth="1"/>
    <col min="12886" max="12886" width="10.85546875" bestFit="1" customWidth="1"/>
    <col min="12887" max="12887" width="13.28515625" bestFit="1" customWidth="1"/>
    <col min="12888" max="12888" width="10.85546875" bestFit="1" customWidth="1"/>
    <col min="12889" max="12890" width="7.5703125" bestFit="1" customWidth="1"/>
    <col min="12891" max="12892" width="10.42578125" bestFit="1" customWidth="1"/>
    <col min="12893" max="12893" width="11.5703125" bestFit="1" customWidth="1"/>
    <col min="12894" max="12894" width="5.28515625" bestFit="1" customWidth="1"/>
    <col min="12895" max="12895" width="10.28515625" bestFit="1" customWidth="1"/>
    <col min="12896" max="12896" width="10.42578125" bestFit="1" customWidth="1"/>
    <col min="12897" max="12897" width="11.5703125" bestFit="1" customWidth="1"/>
    <col min="12898" max="12898" width="5.28515625" bestFit="1" customWidth="1"/>
    <col min="12899" max="12901" width="11.5703125" bestFit="1" customWidth="1"/>
    <col min="12902" max="12902" width="5.28515625" bestFit="1" customWidth="1"/>
    <col min="12903" max="12904" width="10.42578125" bestFit="1" customWidth="1"/>
    <col min="12905" max="12905" width="11.5703125" bestFit="1" customWidth="1"/>
    <col min="12906" max="12906" width="5.28515625" bestFit="1" customWidth="1"/>
    <col min="12907" max="12907" width="14.28515625" bestFit="1" customWidth="1"/>
    <col min="12908" max="12908" width="13" bestFit="1" customWidth="1"/>
    <col min="12909" max="12909" width="11.5703125" bestFit="1" customWidth="1"/>
    <col min="12910" max="12910" width="8.85546875" bestFit="1" customWidth="1"/>
    <col min="12911" max="12911" width="14.42578125" bestFit="1" customWidth="1"/>
    <col min="12912" max="12912" width="10.42578125" bestFit="1" customWidth="1"/>
    <col min="12913" max="12913" width="12.28515625" bestFit="1" customWidth="1"/>
    <col min="12914" max="12914" width="13.85546875" bestFit="1" customWidth="1"/>
    <col min="12915" max="12915" width="11.28515625" customWidth="1"/>
    <col min="12916" max="12916" width="11.5703125" customWidth="1"/>
    <col min="12917" max="12917" width="13.42578125" bestFit="1" customWidth="1"/>
    <col min="12918" max="12918" width="10.42578125" customWidth="1"/>
    <col min="12919" max="12919" width="13.85546875" bestFit="1" customWidth="1"/>
    <col min="12920" max="12920" width="15.42578125" bestFit="1" customWidth="1"/>
    <col min="12921" max="12921" width="12.28515625" bestFit="1" customWidth="1"/>
    <col min="12922" max="12922" width="12.7109375" customWidth="1"/>
    <col min="12923" max="12923" width="10.7109375" bestFit="1" customWidth="1"/>
    <col min="12924" max="12924" width="9.85546875" customWidth="1"/>
    <col min="12925" max="12926" width="10.140625" bestFit="1" customWidth="1"/>
    <col min="12927" max="12927" width="7.5703125" bestFit="1" customWidth="1"/>
    <col min="12928" max="12928" width="9.42578125" bestFit="1" customWidth="1"/>
    <col min="12929" max="12929" width="14.5703125" bestFit="1" customWidth="1"/>
    <col min="12930" max="12930" width="14.85546875" customWidth="1"/>
    <col min="12931" max="12931" width="15.140625" bestFit="1" customWidth="1"/>
    <col min="12932" max="12932" width="12.140625" bestFit="1" customWidth="1"/>
    <col min="12933" max="12933" width="14.85546875" bestFit="1" customWidth="1"/>
    <col min="12934" max="12934" width="12.28515625" bestFit="1" customWidth="1"/>
    <col min="12935" max="12943" width="9.140625" hidden="1" customWidth="1"/>
    <col min="12944" max="12944" width="5.28515625" bestFit="1" customWidth="1"/>
    <col min="12945" max="12950" width="11.5703125" bestFit="1" customWidth="1"/>
    <col min="12951" max="12951" width="11.28515625" bestFit="1" customWidth="1"/>
    <col min="12952" max="12952" width="10.140625" bestFit="1" customWidth="1"/>
    <col min="12953" max="12953" width="11.5703125" bestFit="1" customWidth="1"/>
    <col min="12954" max="12954" width="16.140625" customWidth="1"/>
    <col min="12955" max="12955" width="13.42578125" customWidth="1"/>
    <col min="12956" max="12956" width="10.140625" bestFit="1" customWidth="1"/>
    <col min="12957" max="12957" width="12.85546875" bestFit="1" customWidth="1"/>
    <col min="12958" max="12958" width="12.28515625" bestFit="1" customWidth="1"/>
    <col min="12959" max="12959" width="11.28515625" bestFit="1" customWidth="1"/>
    <col min="12960" max="12960" width="11.5703125" bestFit="1" customWidth="1"/>
    <col min="12961" max="12961" width="10.85546875" bestFit="1" customWidth="1"/>
    <col min="12962" max="12962" width="11.28515625" bestFit="1" customWidth="1"/>
    <col min="12963" max="12963" width="10.140625" bestFit="1" customWidth="1"/>
    <col min="12964" max="12964" width="13.28515625" bestFit="1" customWidth="1"/>
    <col min="12965" max="12966" width="12.7109375" bestFit="1" customWidth="1"/>
    <col min="12967" max="12967" width="11" bestFit="1" customWidth="1"/>
    <col min="12968" max="12968" width="11.28515625" bestFit="1" customWidth="1"/>
    <col min="12969" max="12969" width="11.5703125" bestFit="1" customWidth="1"/>
    <col min="12970" max="12970" width="12.28515625" bestFit="1" customWidth="1"/>
    <col min="12971" max="12971" width="15.140625" bestFit="1" customWidth="1"/>
    <col min="12972" max="12972" width="14.42578125" bestFit="1" customWidth="1"/>
    <col min="12973" max="12973" width="12.28515625" bestFit="1" customWidth="1"/>
    <col min="12974" max="12974" width="15.140625" bestFit="1" customWidth="1"/>
    <col min="12975" max="12975" width="14.42578125" bestFit="1" customWidth="1"/>
    <col min="12976" max="12976" width="12.28515625" bestFit="1" customWidth="1"/>
    <col min="12977" max="12977" width="14.42578125" bestFit="1" customWidth="1"/>
    <col min="12978" max="12978" width="11.28515625" bestFit="1" customWidth="1"/>
    <col min="12979" max="12979" width="12.28515625" bestFit="1" customWidth="1"/>
    <col min="12980" max="12980" width="13" bestFit="1" customWidth="1"/>
    <col min="12981" max="12981" width="15.140625" bestFit="1" customWidth="1"/>
    <col min="12982" max="12982" width="12.28515625" bestFit="1" customWidth="1"/>
    <col min="12983" max="12983" width="13.85546875" bestFit="1" customWidth="1"/>
    <col min="12984" max="12984" width="11.28515625" bestFit="1" customWidth="1"/>
    <col min="12985" max="12985" width="12.28515625" bestFit="1" customWidth="1"/>
    <col min="12986" max="12986" width="13.85546875" bestFit="1" customWidth="1"/>
    <col min="12987" max="12988" width="15.140625" bestFit="1" customWidth="1"/>
    <col min="12989" max="12989" width="12.28515625" bestFit="1" customWidth="1"/>
    <col min="12990" max="12990" width="5.7109375" bestFit="1" customWidth="1"/>
    <col min="12991" max="12991" width="8.5703125" bestFit="1" customWidth="1"/>
    <col min="12992" max="12992" width="5.5703125" bestFit="1" customWidth="1"/>
    <col min="12993" max="12993" width="14.42578125" bestFit="1" customWidth="1"/>
    <col min="12994" max="12994" width="11.28515625" bestFit="1" customWidth="1"/>
    <col min="12995" max="12996" width="12.28515625" bestFit="1" customWidth="1"/>
    <col min="12997" max="12997" width="11.28515625" bestFit="1" customWidth="1"/>
    <col min="12998" max="12998" width="13.85546875" bestFit="1" customWidth="1"/>
    <col min="12999" max="12999" width="12" bestFit="1" customWidth="1"/>
    <col min="13000" max="13000" width="13.85546875" bestFit="1" customWidth="1"/>
    <col min="13001" max="13002" width="14.42578125" customWidth="1"/>
    <col min="13003" max="13003" width="10.140625" bestFit="1" customWidth="1"/>
    <col min="13004" max="13004" width="12.28515625" bestFit="1" customWidth="1"/>
    <col min="13005" max="13005" width="7.42578125" bestFit="1" customWidth="1"/>
    <col min="13006" max="13006" width="8.5703125" bestFit="1" customWidth="1"/>
    <col min="13007" max="13007" width="11.5703125" bestFit="1" customWidth="1"/>
    <col min="13008" max="13008" width="13.28515625" bestFit="1" customWidth="1"/>
    <col min="13009" max="13009" width="13.28515625" customWidth="1"/>
    <col min="13010" max="13010" width="13.140625" customWidth="1"/>
    <col min="13011" max="13011" width="12.7109375" bestFit="1" customWidth="1"/>
    <col min="13012" max="13012" width="13.28515625" bestFit="1" customWidth="1"/>
    <col min="13013" max="13015" width="13.28515625" customWidth="1"/>
    <col min="13016" max="13016" width="12.140625" bestFit="1" customWidth="1"/>
    <col min="13017" max="13017" width="12.7109375" bestFit="1" customWidth="1"/>
    <col min="13018" max="13018" width="11" customWidth="1"/>
    <col min="13019" max="13019" width="16.7109375" customWidth="1"/>
    <col min="13020" max="13020" width="17" customWidth="1"/>
    <col min="13021" max="13021" width="10.42578125" bestFit="1" customWidth="1"/>
    <col min="13065" max="13065" width="3.85546875" customWidth="1"/>
    <col min="13066" max="13066" width="15.28515625" bestFit="1" customWidth="1"/>
    <col min="13067" max="13067" width="12.28515625" customWidth="1"/>
    <col min="13068" max="13068" width="16.28515625" bestFit="1" customWidth="1"/>
    <col min="13069" max="13069" width="6.42578125" bestFit="1" customWidth="1"/>
    <col min="13070" max="13070" width="9.28515625" bestFit="1" customWidth="1"/>
    <col min="13071" max="13071" width="7.5703125" bestFit="1" customWidth="1"/>
    <col min="13072" max="13072" width="13.28515625" bestFit="1" customWidth="1"/>
    <col min="13073" max="13073" width="9.28515625" bestFit="1" customWidth="1"/>
    <col min="13074" max="13074" width="11.5703125" bestFit="1" customWidth="1"/>
    <col min="13075" max="13075" width="13.28515625" bestFit="1" customWidth="1"/>
    <col min="13076" max="13076" width="7.140625" bestFit="1" customWidth="1"/>
    <col min="13077" max="13077" width="12" bestFit="1" customWidth="1"/>
    <col min="13078" max="13078" width="13.28515625" bestFit="1" customWidth="1"/>
    <col min="13079" max="13079" width="7" bestFit="1" customWidth="1"/>
    <col min="13080" max="13080" width="12.7109375" bestFit="1" customWidth="1"/>
    <col min="13081" max="13081" width="11.5703125" bestFit="1" customWidth="1"/>
    <col min="13082" max="13082" width="10.5703125" bestFit="1" customWidth="1"/>
    <col min="13083" max="13084" width="15.7109375" bestFit="1" customWidth="1"/>
    <col min="13085" max="13085" width="11.5703125" bestFit="1" customWidth="1"/>
    <col min="13086" max="13086" width="7.7109375" bestFit="1" customWidth="1"/>
    <col min="13087" max="13087" width="15.140625" bestFit="1" customWidth="1"/>
    <col min="13088" max="13088" width="11.5703125" bestFit="1" customWidth="1"/>
    <col min="13089" max="13089" width="13.28515625" bestFit="1" customWidth="1"/>
    <col min="13090" max="13090" width="10.42578125" bestFit="1" customWidth="1"/>
    <col min="13091" max="13091" width="13.28515625" bestFit="1" customWidth="1"/>
    <col min="13092" max="13092" width="12.140625" bestFit="1" customWidth="1"/>
    <col min="13093" max="13093" width="14.42578125" bestFit="1" customWidth="1"/>
    <col min="13094" max="13094" width="13.28515625" bestFit="1" customWidth="1"/>
    <col min="13095" max="13095" width="11.5703125" bestFit="1" customWidth="1"/>
    <col min="13096" max="13096" width="7.7109375" bestFit="1" customWidth="1"/>
    <col min="13097" max="13098" width="14.42578125" bestFit="1" customWidth="1"/>
    <col min="13099" max="13099" width="11.5703125" bestFit="1" customWidth="1"/>
    <col min="13100" max="13100" width="7.7109375" bestFit="1" customWidth="1"/>
    <col min="13101" max="13101" width="13.5703125" customWidth="1"/>
    <col min="13102" max="13102" width="15.28515625" customWidth="1"/>
    <col min="13103" max="13103" width="14.5703125" customWidth="1"/>
    <col min="13104" max="13104" width="13.28515625" bestFit="1" customWidth="1"/>
    <col min="13105" max="13105" width="7.7109375" bestFit="1" customWidth="1"/>
    <col min="13106" max="13106" width="12.7109375" bestFit="1" customWidth="1"/>
    <col min="13107" max="13107" width="11.7109375" bestFit="1" customWidth="1"/>
    <col min="13108" max="13108" width="11.5703125" bestFit="1" customWidth="1"/>
    <col min="13109" max="13109" width="5.28515625" bestFit="1" customWidth="1"/>
    <col min="13110" max="13110" width="13.28515625" bestFit="1" customWidth="1"/>
    <col min="13111" max="13111" width="13.5703125" bestFit="1" customWidth="1"/>
    <col min="13112" max="13112" width="10.5703125" bestFit="1" customWidth="1"/>
    <col min="13113" max="13113" width="13.28515625" bestFit="1" customWidth="1"/>
    <col min="13114" max="13114" width="11.5703125" bestFit="1" customWidth="1"/>
    <col min="13115" max="13115" width="10.5703125" bestFit="1" customWidth="1"/>
    <col min="13116" max="13116" width="16.140625" bestFit="1" customWidth="1"/>
    <col min="13117" max="13118" width="11.28515625" bestFit="1" customWidth="1"/>
    <col min="13119" max="13119" width="13.28515625" bestFit="1" customWidth="1"/>
    <col min="13120" max="13120" width="7.7109375" bestFit="1" customWidth="1"/>
    <col min="13121" max="13124" width="9.140625" hidden="1" customWidth="1"/>
    <col min="13125" max="13125" width="10.42578125" bestFit="1" customWidth="1"/>
    <col min="13126" max="13126" width="10.5703125" bestFit="1" customWidth="1"/>
    <col min="13127" max="13127" width="10.42578125" bestFit="1" customWidth="1"/>
    <col min="13128" max="13128" width="10.5703125" bestFit="1" customWidth="1"/>
    <col min="13129" max="13129" width="9.5703125" bestFit="1" customWidth="1"/>
    <col min="13130" max="13130" width="11.5703125" bestFit="1" customWidth="1"/>
    <col min="13131" max="13131" width="10.42578125" bestFit="1" customWidth="1"/>
    <col min="13132" max="13132" width="10.85546875" customWidth="1"/>
    <col min="13133" max="13134" width="9.85546875" bestFit="1" customWidth="1"/>
    <col min="13135" max="13135" width="13.5703125" bestFit="1" customWidth="1"/>
    <col min="13136" max="13136" width="7.7109375" bestFit="1" customWidth="1"/>
    <col min="13137" max="13137" width="13.28515625" bestFit="1" customWidth="1"/>
    <col min="13138" max="13138" width="11.5703125" bestFit="1" customWidth="1"/>
    <col min="13139" max="13139" width="10.42578125" bestFit="1" customWidth="1"/>
    <col min="13140" max="13140" width="7.7109375" bestFit="1" customWidth="1"/>
    <col min="13141" max="13141" width="11.5703125" bestFit="1" customWidth="1"/>
    <col min="13142" max="13142" width="10.85546875" bestFit="1" customWidth="1"/>
    <col min="13143" max="13143" width="13.28515625" bestFit="1" customWidth="1"/>
    <col min="13144" max="13144" width="10.85546875" bestFit="1" customWidth="1"/>
    <col min="13145" max="13146" width="7.5703125" bestFit="1" customWidth="1"/>
    <col min="13147" max="13148" width="10.42578125" bestFit="1" customWidth="1"/>
    <col min="13149" max="13149" width="11.5703125" bestFit="1" customWidth="1"/>
    <col min="13150" max="13150" width="5.28515625" bestFit="1" customWidth="1"/>
    <col min="13151" max="13151" width="10.28515625" bestFit="1" customWidth="1"/>
    <col min="13152" max="13152" width="10.42578125" bestFit="1" customWidth="1"/>
    <col min="13153" max="13153" width="11.5703125" bestFit="1" customWidth="1"/>
    <col min="13154" max="13154" width="5.28515625" bestFit="1" customWidth="1"/>
    <col min="13155" max="13157" width="11.5703125" bestFit="1" customWidth="1"/>
    <col min="13158" max="13158" width="5.28515625" bestFit="1" customWidth="1"/>
    <col min="13159" max="13160" width="10.42578125" bestFit="1" customWidth="1"/>
    <col min="13161" max="13161" width="11.5703125" bestFit="1" customWidth="1"/>
    <col min="13162" max="13162" width="5.28515625" bestFit="1" customWidth="1"/>
    <col min="13163" max="13163" width="14.28515625" bestFit="1" customWidth="1"/>
    <col min="13164" max="13164" width="13" bestFit="1" customWidth="1"/>
    <col min="13165" max="13165" width="11.5703125" bestFit="1" customWidth="1"/>
    <col min="13166" max="13166" width="8.85546875" bestFit="1" customWidth="1"/>
    <col min="13167" max="13167" width="14.42578125" bestFit="1" customWidth="1"/>
    <col min="13168" max="13168" width="10.42578125" bestFit="1" customWidth="1"/>
    <col min="13169" max="13169" width="12.28515625" bestFit="1" customWidth="1"/>
    <col min="13170" max="13170" width="13.85546875" bestFit="1" customWidth="1"/>
    <col min="13171" max="13171" width="11.28515625" customWidth="1"/>
    <col min="13172" max="13172" width="11.5703125" customWidth="1"/>
    <col min="13173" max="13173" width="13.42578125" bestFit="1" customWidth="1"/>
    <col min="13174" max="13174" width="10.42578125" customWidth="1"/>
    <col min="13175" max="13175" width="13.85546875" bestFit="1" customWidth="1"/>
    <col min="13176" max="13176" width="15.42578125" bestFit="1" customWidth="1"/>
    <col min="13177" max="13177" width="12.28515625" bestFit="1" customWidth="1"/>
    <col min="13178" max="13178" width="12.7109375" customWidth="1"/>
    <col min="13179" max="13179" width="10.7109375" bestFit="1" customWidth="1"/>
    <col min="13180" max="13180" width="9.85546875" customWidth="1"/>
    <col min="13181" max="13182" width="10.140625" bestFit="1" customWidth="1"/>
    <col min="13183" max="13183" width="7.5703125" bestFit="1" customWidth="1"/>
    <col min="13184" max="13184" width="9.42578125" bestFit="1" customWidth="1"/>
    <col min="13185" max="13185" width="14.5703125" bestFit="1" customWidth="1"/>
    <col min="13186" max="13186" width="14.85546875" customWidth="1"/>
    <col min="13187" max="13187" width="15.140625" bestFit="1" customWidth="1"/>
    <col min="13188" max="13188" width="12.140625" bestFit="1" customWidth="1"/>
    <col min="13189" max="13189" width="14.85546875" bestFit="1" customWidth="1"/>
    <col min="13190" max="13190" width="12.28515625" bestFit="1" customWidth="1"/>
    <col min="13191" max="13199" width="9.140625" hidden="1" customWidth="1"/>
    <col min="13200" max="13200" width="5.28515625" bestFit="1" customWidth="1"/>
    <col min="13201" max="13206" width="11.5703125" bestFit="1" customWidth="1"/>
    <col min="13207" max="13207" width="11.28515625" bestFit="1" customWidth="1"/>
    <col min="13208" max="13208" width="10.140625" bestFit="1" customWidth="1"/>
    <col min="13209" max="13209" width="11.5703125" bestFit="1" customWidth="1"/>
    <col min="13210" max="13210" width="16.140625" customWidth="1"/>
    <col min="13211" max="13211" width="13.42578125" customWidth="1"/>
    <col min="13212" max="13212" width="10.140625" bestFit="1" customWidth="1"/>
    <col min="13213" max="13213" width="12.85546875" bestFit="1" customWidth="1"/>
    <col min="13214" max="13214" width="12.28515625" bestFit="1" customWidth="1"/>
    <col min="13215" max="13215" width="11.28515625" bestFit="1" customWidth="1"/>
    <col min="13216" max="13216" width="11.5703125" bestFit="1" customWidth="1"/>
    <col min="13217" max="13217" width="10.85546875" bestFit="1" customWidth="1"/>
    <col min="13218" max="13218" width="11.28515625" bestFit="1" customWidth="1"/>
    <col min="13219" max="13219" width="10.140625" bestFit="1" customWidth="1"/>
    <col min="13220" max="13220" width="13.28515625" bestFit="1" customWidth="1"/>
    <col min="13221" max="13222" width="12.7109375" bestFit="1" customWidth="1"/>
    <col min="13223" max="13223" width="11" bestFit="1" customWidth="1"/>
    <col min="13224" max="13224" width="11.28515625" bestFit="1" customWidth="1"/>
    <col min="13225" max="13225" width="11.5703125" bestFit="1" customWidth="1"/>
    <col min="13226" max="13226" width="12.28515625" bestFit="1" customWidth="1"/>
    <col min="13227" max="13227" width="15.140625" bestFit="1" customWidth="1"/>
    <col min="13228" max="13228" width="14.42578125" bestFit="1" customWidth="1"/>
    <col min="13229" max="13229" width="12.28515625" bestFit="1" customWidth="1"/>
    <col min="13230" max="13230" width="15.140625" bestFit="1" customWidth="1"/>
    <col min="13231" max="13231" width="14.42578125" bestFit="1" customWidth="1"/>
    <col min="13232" max="13232" width="12.28515625" bestFit="1" customWidth="1"/>
    <col min="13233" max="13233" width="14.42578125" bestFit="1" customWidth="1"/>
    <col min="13234" max="13234" width="11.28515625" bestFit="1" customWidth="1"/>
    <col min="13235" max="13235" width="12.28515625" bestFit="1" customWidth="1"/>
    <col min="13236" max="13236" width="13" bestFit="1" customWidth="1"/>
    <col min="13237" max="13237" width="15.140625" bestFit="1" customWidth="1"/>
    <col min="13238" max="13238" width="12.28515625" bestFit="1" customWidth="1"/>
    <col min="13239" max="13239" width="13.85546875" bestFit="1" customWidth="1"/>
    <col min="13240" max="13240" width="11.28515625" bestFit="1" customWidth="1"/>
    <col min="13241" max="13241" width="12.28515625" bestFit="1" customWidth="1"/>
    <col min="13242" max="13242" width="13.85546875" bestFit="1" customWidth="1"/>
    <col min="13243" max="13244" width="15.140625" bestFit="1" customWidth="1"/>
    <col min="13245" max="13245" width="12.28515625" bestFit="1" customWidth="1"/>
    <col min="13246" max="13246" width="5.7109375" bestFit="1" customWidth="1"/>
    <col min="13247" max="13247" width="8.5703125" bestFit="1" customWidth="1"/>
    <col min="13248" max="13248" width="5.5703125" bestFit="1" customWidth="1"/>
    <col min="13249" max="13249" width="14.42578125" bestFit="1" customWidth="1"/>
    <col min="13250" max="13250" width="11.28515625" bestFit="1" customWidth="1"/>
    <col min="13251" max="13252" width="12.28515625" bestFit="1" customWidth="1"/>
    <col min="13253" max="13253" width="11.28515625" bestFit="1" customWidth="1"/>
    <col min="13254" max="13254" width="13.85546875" bestFit="1" customWidth="1"/>
    <col min="13255" max="13255" width="12" bestFit="1" customWidth="1"/>
    <col min="13256" max="13256" width="13.85546875" bestFit="1" customWidth="1"/>
    <col min="13257" max="13258" width="14.42578125" customWidth="1"/>
    <col min="13259" max="13259" width="10.140625" bestFit="1" customWidth="1"/>
    <col min="13260" max="13260" width="12.28515625" bestFit="1" customWidth="1"/>
    <col min="13261" max="13261" width="7.42578125" bestFit="1" customWidth="1"/>
    <col min="13262" max="13262" width="8.5703125" bestFit="1" customWidth="1"/>
    <col min="13263" max="13263" width="11.5703125" bestFit="1" customWidth="1"/>
    <col min="13264" max="13264" width="13.28515625" bestFit="1" customWidth="1"/>
    <col min="13265" max="13265" width="13.28515625" customWidth="1"/>
    <col min="13266" max="13266" width="13.140625" customWidth="1"/>
    <col min="13267" max="13267" width="12.7109375" bestFit="1" customWidth="1"/>
    <col min="13268" max="13268" width="13.28515625" bestFit="1" customWidth="1"/>
    <col min="13269" max="13271" width="13.28515625" customWidth="1"/>
    <col min="13272" max="13272" width="12.140625" bestFit="1" customWidth="1"/>
    <col min="13273" max="13273" width="12.7109375" bestFit="1" customWidth="1"/>
    <col min="13274" max="13274" width="11" customWidth="1"/>
    <col min="13275" max="13275" width="16.7109375" customWidth="1"/>
    <col min="13276" max="13276" width="17" customWidth="1"/>
    <col min="13277" max="13277" width="10.42578125" bestFit="1" customWidth="1"/>
    <col min="13321" max="13321" width="3.85546875" customWidth="1"/>
    <col min="13322" max="13322" width="15.28515625" bestFit="1" customWidth="1"/>
    <col min="13323" max="13323" width="12.28515625" customWidth="1"/>
    <col min="13324" max="13324" width="16.28515625" bestFit="1" customWidth="1"/>
    <col min="13325" max="13325" width="6.42578125" bestFit="1" customWidth="1"/>
    <col min="13326" max="13326" width="9.28515625" bestFit="1" customWidth="1"/>
    <col min="13327" max="13327" width="7.5703125" bestFit="1" customWidth="1"/>
    <col min="13328" max="13328" width="13.28515625" bestFit="1" customWidth="1"/>
    <col min="13329" max="13329" width="9.28515625" bestFit="1" customWidth="1"/>
    <col min="13330" max="13330" width="11.5703125" bestFit="1" customWidth="1"/>
    <col min="13331" max="13331" width="13.28515625" bestFit="1" customWidth="1"/>
    <col min="13332" max="13332" width="7.140625" bestFit="1" customWidth="1"/>
    <col min="13333" max="13333" width="12" bestFit="1" customWidth="1"/>
    <col min="13334" max="13334" width="13.28515625" bestFit="1" customWidth="1"/>
    <col min="13335" max="13335" width="7" bestFit="1" customWidth="1"/>
    <col min="13336" max="13336" width="12.7109375" bestFit="1" customWidth="1"/>
    <col min="13337" max="13337" width="11.5703125" bestFit="1" customWidth="1"/>
    <col min="13338" max="13338" width="10.5703125" bestFit="1" customWidth="1"/>
    <col min="13339" max="13340" width="15.7109375" bestFit="1" customWidth="1"/>
    <col min="13341" max="13341" width="11.5703125" bestFit="1" customWidth="1"/>
    <col min="13342" max="13342" width="7.7109375" bestFit="1" customWidth="1"/>
    <col min="13343" max="13343" width="15.140625" bestFit="1" customWidth="1"/>
    <col min="13344" max="13344" width="11.5703125" bestFit="1" customWidth="1"/>
    <col min="13345" max="13345" width="13.28515625" bestFit="1" customWidth="1"/>
    <col min="13346" max="13346" width="10.42578125" bestFit="1" customWidth="1"/>
    <col min="13347" max="13347" width="13.28515625" bestFit="1" customWidth="1"/>
    <col min="13348" max="13348" width="12.140625" bestFit="1" customWidth="1"/>
    <col min="13349" max="13349" width="14.42578125" bestFit="1" customWidth="1"/>
    <col min="13350" max="13350" width="13.28515625" bestFit="1" customWidth="1"/>
    <col min="13351" max="13351" width="11.5703125" bestFit="1" customWidth="1"/>
    <col min="13352" max="13352" width="7.7109375" bestFit="1" customWidth="1"/>
    <col min="13353" max="13354" width="14.42578125" bestFit="1" customWidth="1"/>
    <col min="13355" max="13355" width="11.5703125" bestFit="1" customWidth="1"/>
    <col min="13356" max="13356" width="7.7109375" bestFit="1" customWidth="1"/>
    <col min="13357" max="13357" width="13.5703125" customWidth="1"/>
    <col min="13358" max="13358" width="15.28515625" customWidth="1"/>
    <col min="13359" max="13359" width="14.5703125" customWidth="1"/>
    <col min="13360" max="13360" width="13.28515625" bestFit="1" customWidth="1"/>
    <col min="13361" max="13361" width="7.7109375" bestFit="1" customWidth="1"/>
    <col min="13362" max="13362" width="12.7109375" bestFit="1" customWidth="1"/>
    <col min="13363" max="13363" width="11.7109375" bestFit="1" customWidth="1"/>
    <col min="13364" max="13364" width="11.5703125" bestFit="1" customWidth="1"/>
    <col min="13365" max="13365" width="5.28515625" bestFit="1" customWidth="1"/>
    <col min="13366" max="13366" width="13.28515625" bestFit="1" customWidth="1"/>
    <col min="13367" max="13367" width="13.5703125" bestFit="1" customWidth="1"/>
    <col min="13368" max="13368" width="10.5703125" bestFit="1" customWidth="1"/>
    <col min="13369" max="13369" width="13.28515625" bestFit="1" customWidth="1"/>
    <col min="13370" max="13370" width="11.5703125" bestFit="1" customWidth="1"/>
    <col min="13371" max="13371" width="10.5703125" bestFit="1" customWidth="1"/>
    <col min="13372" max="13372" width="16.140625" bestFit="1" customWidth="1"/>
    <col min="13373" max="13374" width="11.28515625" bestFit="1" customWidth="1"/>
    <col min="13375" max="13375" width="13.28515625" bestFit="1" customWidth="1"/>
    <col min="13376" max="13376" width="7.7109375" bestFit="1" customWidth="1"/>
    <col min="13377" max="13380" width="9.140625" hidden="1" customWidth="1"/>
    <col min="13381" max="13381" width="10.42578125" bestFit="1" customWidth="1"/>
    <col min="13382" max="13382" width="10.5703125" bestFit="1" customWidth="1"/>
    <col min="13383" max="13383" width="10.42578125" bestFit="1" customWidth="1"/>
    <col min="13384" max="13384" width="10.5703125" bestFit="1" customWidth="1"/>
    <col min="13385" max="13385" width="9.5703125" bestFit="1" customWidth="1"/>
    <col min="13386" max="13386" width="11.5703125" bestFit="1" customWidth="1"/>
    <col min="13387" max="13387" width="10.42578125" bestFit="1" customWidth="1"/>
    <col min="13388" max="13388" width="10.85546875" customWidth="1"/>
    <col min="13389" max="13390" width="9.85546875" bestFit="1" customWidth="1"/>
    <col min="13391" max="13391" width="13.5703125" bestFit="1" customWidth="1"/>
    <col min="13392" max="13392" width="7.7109375" bestFit="1" customWidth="1"/>
    <col min="13393" max="13393" width="13.28515625" bestFit="1" customWidth="1"/>
    <col min="13394" max="13394" width="11.5703125" bestFit="1" customWidth="1"/>
    <col min="13395" max="13395" width="10.42578125" bestFit="1" customWidth="1"/>
    <col min="13396" max="13396" width="7.7109375" bestFit="1" customWidth="1"/>
    <col min="13397" max="13397" width="11.5703125" bestFit="1" customWidth="1"/>
    <col min="13398" max="13398" width="10.85546875" bestFit="1" customWidth="1"/>
    <col min="13399" max="13399" width="13.28515625" bestFit="1" customWidth="1"/>
    <col min="13400" max="13400" width="10.85546875" bestFit="1" customWidth="1"/>
    <col min="13401" max="13402" width="7.5703125" bestFit="1" customWidth="1"/>
    <col min="13403" max="13404" width="10.42578125" bestFit="1" customWidth="1"/>
    <col min="13405" max="13405" width="11.5703125" bestFit="1" customWidth="1"/>
    <col min="13406" max="13406" width="5.28515625" bestFit="1" customWidth="1"/>
    <col min="13407" max="13407" width="10.28515625" bestFit="1" customWidth="1"/>
    <col min="13408" max="13408" width="10.42578125" bestFit="1" customWidth="1"/>
    <col min="13409" max="13409" width="11.5703125" bestFit="1" customWidth="1"/>
    <col min="13410" max="13410" width="5.28515625" bestFit="1" customWidth="1"/>
    <col min="13411" max="13413" width="11.5703125" bestFit="1" customWidth="1"/>
    <col min="13414" max="13414" width="5.28515625" bestFit="1" customWidth="1"/>
    <col min="13415" max="13416" width="10.42578125" bestFit="1" customWidth="1"/>
    <col min="13417" max="13417" width="11.5703125" bestFit="1" customWidth="1"/>
    <col min="13418" max="13418" width="5.28515625" bestFit="1" customWidth="1"/>
    <col min="13419" max="13419" width="14.28515625" bestFit="1" customWidth="1"/>
    <col min="13420" max="13420" width="13" bestFit="1" customWidth="1"/>
    <col min="13421" max="13421" width="11.5703125" bestFit="1" customWidth="1"/>
    <col min="13422" max="13422" width="8.85546875" bestFit="1" customWidth="1"/>
    <col min="13423" max="13423" width="14.42578125" bestFit="1" customWidth="1"/>
    <col min="13424" max="13424" width="10.42578125" bestFit="1" customWidth="1"/>
    <col min="13425" max="13425" width="12.28515625" bestFit="1" customWidth="1"/>
    <col min="13426" max="13426" width="13.85546875" bestFit="1" customWidth="1"/>
    <col min="13427" max="13427" width="11.28515625" customWidth="1"/>
    <col min="13428" max="13428" width="11.5703125" customWidth="1"/>
    <col min="13429" max="13429" width="13.42578125" bestFit="1" customWidth="1"/>
    <col min="13430" max="13430" width="10.42578125" customWidth="1"/>
    <col min="13431" max="13431" width="13.85546875" bestFit="1" customWidth="1"/>
    <col min="13432" max="13432" width="15.42578125" bestFit="1" customWidth="1"/>
    <col min="13433" max="13433" width="12.28515625" bestFit="1" customWidth="1"/>
    <col min="13434" max="13434" width="12.7109375" customWidth="1"/>
    <col min="13435" max="13435" width="10.7109375" bestFit="1" customWidth="1"/>
    <col min="13436" max="13436" width="9.85546875" customWidth="1"/>
    <col min="13437" max="13438" width="10.140625" bestFit="1" customWidth="1"/>
    <col min="13439" max="13439" width="7.5703125" bestFit="1" customWidth="1"/>
    <col min="13440" max="13440" width="9.42578125" bestFit="1" customWidth="1"/>
    <col min="13441" max="13441" width="14.5703125" bestFit="1" customWidth="1"/>
    <col min="13442" max="13442" width="14.85546875" customWidth="1"/>
    <col min="13443" max="13443" width="15.140625" bestFit="1" customWidth="1"/>
    <col min="13444" max="13444" width="12.140625" bestFit="1" customWidth="1"/>
    <col min="13445" max="13445" width="14.85546875" bestFit="1" customWidth="1"/>
    <col min="13446" max="13446" width="12.28515625" bestFit="1" customWidth="1"/>
    <col min="13447" max="13455" width="9.140625" hidden="1" customWidth="1"/>
    <col min="13456" max="13456" width="5.28515625" bestFit="1" customWidth="1"/>
    <col min="13457" max="13462" width="11.5703125" bestFit="1" customWidth="1"/>
    <col min="13463" max="13463" width="11.28515625" bestFit="1" customWidth="1"/>
    <col min="13464" max="13464" width="10.140625" bestFit="1" customWidth="1"/>
    <col min="13465" max="13465" width="11.5703125" bestFit="1" customWidth="1"/>
    <col min="13466" max="13466" width="16.140625" customWidth="1"/>
    <col min="13467" max="13467" width="13.42578125" customWidth="1"/>
    <col min="13468" max="13468" width="10.140625" bestFit="1" customWidth="1"/>
    <col min="13469" max="13469" width="12.85546875" bestFit="1" customWidth="1"/>
    <col min="13470" max="13470" width="12.28515625" bestFit="1" customWidth="1"/>
    <col min="13471" max="13471" width="11.28515625" bestFit="1" customWidth="1"/>
    <col min="13472" max="13472" width="11.5703125" bestFit="1" customWidth="1"/>
    <col min="13473" max="13473" width="10.85546875" bestFit="1" customWidth="1"/>
    <col min="13474" max="13474" width="11.28515625" bestFit="1" customWidth="1"/>
    <col min="13475" max="13475" width="10.140625" bestFit="1" customWidth="1"/>
    <col min="13476" max="13476" width="13.28515625" bestFit="1" customWidth="1"/>
    <col min="13477" max="13478" width="12.7109375" bestFit="1" customWidth="1"/>
    <col min="13479" max="13479" width="11" bestFit="1" customWidth="1"/>
    <col min="13480" max="13480" width="11.28515625" bestFit="1" customWidth="1"/>
    <col min="13481" max="13481" width="11.5703125" bestFit="1" customWidth="1"/>
    <col min="13482" max="13482" width="12.28515625" bestFit="1" customWidth="1"/>
    <col min="13483" max="13483" width="15.140625" bestFit="1" customWidth="1"/>
    <col min="13484" max="13484" width="14.42578125" bestFit="1" customWidth="1"/>
    <col min="13485" max="13485" width="12.28515625" bestFit="1" customWidth="1"/>
    <col min="13486" max="13486" width="15.140625" bestFit="1" customWidth="1"/>
    <col min="13487" max="13487" width="14.42578125" bestFit="1" customWidth="1"/>
    <col min="13488" max="13488" width="12.28515625" bestFit="1" customWidth="1"/>
    <col min="13489" max="13489" width="14.42578125" bestFit="1" customWidth="1"/>
    <col min="13490" max="13490" width="11.28515625" bestFit="1" customWidth="1"/>
    <col min="13491" max="13491" width="12.28515625" bestFit="1" customWidth="1"/>
    <col min="13492" max="13492" width="13" bestFit="1" customWidth="1"/>
    <col min="13493" max="13493" width="15.140625" bestFit="1" customWidth="1"/>
    <col min="13494" max="13494" width="12.28515625" bestFit="1" customWidth="1"/>
    <col min="13495" max="13495" width="13.85546875" bestFit="1" customWidth="1"/>
    <col min="13496" max="13496" width="11.28515625" bestFit="1" customWidth="1"/>
    <col min="13497" max="13497" width="12.28515625" bestFit="1" customWidth="1"/>
    <col min="13498" max="13498" width="13.85546875" bestFit="1" customWidth="1"/>
    <col min="13499" max="13500" width="15.140625" bestFit="1" customWidth="1"/>
    <col min="13501" max="13501" width="12.28515625" bestFit="1" customWidth="1"/>
    <col min="13502" max="13502" width="5.7109375" bestFit="1" customWidth="1"/>
    <col min="13503" max="13503" width="8.5703125" bestFit="1" customWidth="1"/>
    <col min="13504" max="13504" width="5.5703125" bestFit="1" customWidth="1"/>
    <col min="13505" max="13505" width="14.42578125" bestFit="1" customWidth="1"/>
    <col min="13506" max="13506" width="11.28515625" bestFit="1" customWidth="1"/>
    <col min="13507" max="13508" width="12.28515625" bestFit="1" customWidth="1"/>
    <col min="13509" max="13509" width="11.28515625" bestFit="1" customWidth="1"/>
    <col min="13510" max="13510" width="13.85546875" bestFit="1" customWidth="1"/>
    <col min="13511" max="13511" width="12" bestFit="1" customWidth="1"/>
    <col min="13512" max="13512" width="13.85546875" bestFit="1" customWidth="1"/>
    <col min="13513" max="13514" width="14.42578125" customWidth="1"/>
    <col min="13515" max="13515" width="10.140625" bestFit="1" customWidth="1"/>
    <col min="13516" max="13516" width="12.28515625" bestFit="1" customWidth="1"/>
    <col min="13517" max="13517" width="7.42578125" bestFit="1" customWidth="1"/>
    <col min="13518" max="13518" width="8.5703125" bestFit="1" customWidth="1"/>
    <col min="13519" max="13519" width="11.5703125" bestFit="1" customWidth="1"/>
    <col min="13520" max="13520" width="13.28515625" bestFit="1" customWidth="1"/>
    <col min="13521" max="13521" width="13.28515625" customWidth="1"/>
    <col min="13522" max="13522" width="13.140625" customWidth="1"/>
    <col min="13523" max="13523" width="12.7109375" bestFit="1" customWidth="1"/>
    <col min="13524" max="13524" width="13.28515625" bestFit="1" customWidth="1"/>
    <col min="13525" max="13527" width="13.28515625" customWidth="1"/>
    <col min="13528" max="13528" width="12.140625" bestFit="1" customWidth="1"/>
    <col min="13529" max="13529" width="12.7109375" bestFit="1" customWidth="1"/>
    <col min="13530" max="13530" width="11" customWidth="1"/>
    <col min="13531" max="13531" width="16.7109375" customWidth="1"/>
    <col min="13532" max="13532" width="17" customWidth="1"/>
    <col min="13533" max="13533" width="10.42578125" bestFit="1" customWidth="1"/>
    <col min="13577" max="13577" width="3.85546875" customWidth="1"/>
    <col min="13578" max="13578" width="15.28515625" bestFit="1" customWidth="1"/>
    <col min="13579" max="13579" width="12.28515625" customWidth="1"/>
    <col min="13580" max="13580" width="16.28515625" bestFit="1" customWidth="1"/>
    <col min="13581" max="13581" width="6.42578125" bestFit="1" customWidth="1"/>
    <col min="13582" max="13582" width="9.28515625" bestFit="1" customWidth="1"/>
    <col min="13583" max="13583" width="7.5703125" bestFit="1" customWidth="1"/>
    <col min="13584" max="13584" width="13.28515625" bestFit="1" customWidth="1"/>
    <col min="13585" max="13585" width="9.28515625" bestFit="1" customWidth="1"/>
    <col min="13586" max="13586" width="11.5703125" bestFit="1" customWidth="1"/>
    <col min="13587" max="13587" width="13.28515625" bestFit="1" customWidth="1"/>
    <col min="13588" max="13588" width="7.140625" bestFit="1" customWidth="1"/>
    <col min="13589" max="13589" width="12" bestFit="1" customWidth="1"/>
    <col min="13590" max="13590" width="13.28515625" bestFit="1" customWidth="1"/>
    <col min="13591" max="13591" width="7" bestFit="1" customWidth="1"/>
    <col min="13592" max="13592" width="12.7109375" bestFit="1" customWidth="1"/>
    <col min="13593" max="13593" width="11.5703125" bestFit="1" customWidth="1"/>
    <col min="13594" max="13594" width="10.5703125" bestFit="1" customWidth="1"/>
    <col min="13595" max="13596" width="15.7109375" bestFit="1" customWidth="1"/>
    <col min="13597" max="13597" width="11.5703125" bestFit="1" customWidth="1"/>
    <col min="13598" max="13598" width="7.7109375" bestFit="1" customWidth="1"/>
    <col min="13599" max="13599" width="15.140625" bestFit="1" customWidth="1"/>
    <col min="13600" max="13600" width="11.5703125" bestFit="1" customWidth="1"/>
    <col min="13601" max="13601" width="13.28515625" bestFit="1" customWidth="1"/>
    <col min="13602" max="13602" width="10.42578125" bestFit="1" customWidth="1"/>
    <col min="13603" max="13603" width="13.28515625" bestFit="1" customWidth="1"/>
    <col min="13604" max="13604" width="12.140625" bestFit="1" customWidth="1"/>
    <col min="13605" max="13605" width="14.42578125" bestFit="1" customWidth="1"/>
    <col min="13606" max="13606" width="13.28515625" bestFit="1" customWidth="1"/>
    <col min="13607" max="13607" width="11.5703125" bestFit="1" customWidth="1"/>
    <col min="13608" max="13608" width="7.7109375" bestFit="1" customWidth="1"/>
    <col min="13609" max="13610" width="14.42578125" bestFit="1" customWidth="1"/>
    <col min="13611" max="13611" width="11.5703125" bestFit="1" customWidth="1"/>
    <col min="13612" max="13612" width="7.7109375" bestFit="1" customWidth="1"/>
    <col min="13613" max="13613" width="13.5703125" customWidth="1"/>
    <col min="13614" max="13614" width="15.28515625" customWidth="1"/>
    <col min="13615" max="13615" width="14.5703125" customWidth="1"/>
    <col min="13616" max="13616" width="13.28515625" bestFit="1" customWidth="1"/>
    <col min="13617" max="13617" width="7.7109375" bestFit="1" customWidth="1"/>
    <col min="13618" max="13618" width="12.7109375" bestFit="1" customWidth="1"/>
    <col min="13619" max="13619" width="11.7109375" bestFit="1" customWidth="1"/>
    <col min="13620" max="13620" width="11.5703125" bestFit="1" customWidth="1"/>
    <col min="13621" max="13621" width="5.28515625" bestFit="1" customWidth="1"/>
    <col min="13622" max="13622" width="13.28515625" bestFit="1" customWidth="1"/>
    <col min="13623" max="13623" width="13.5703125" bestFit="1" customWidth="1"/>
    <col min="13624" max="13624" width="10.5703125" bestFit="1" customWidth="1"/>
    <col min="13625" max="13625" width="13.28515625" bestFit="1" customWidth="1"/>
    <col min="13626" max="13626" width="11.5703125" bestFit="1" customWidth="1"/>
    <col min="13627" max="13627" width="10.5703125" bestFit="1" customWidth="1"/>
    <col min="13628" max="13628" width="16.140625" bestFit="1" customWidth="1"/>
    <col min="13629" max="13630" width="11.28515625" bestFit="1" customWidth="1"/>
    <col min="13631" max="13631" width="13.28515625" bestFit="1" customWidth="1"/>
    <col min="13632" max="13632" width="7.7109375" bestFit="1" customWidth="1"/>
    <col min="13633" max="13636" width="9.140625" hidden="1" customWidth="1"/>
    <col min="13637" max="13637" width="10.42578125" bestFit="1" customWidth="1"/>
    <col min="13638" max="13638" width="10.5703125" bestFit="1" customWidth="1"/>
    <col min="13639" max="13639" width="10.42578125" bestFit="1" customWidth="1"/>
    <col min="13640" max="13640" width="10.5703125" bestFit="1" customWidth="1"/>
    <col min="13641" max="13641" width="9.5703125" bestFit="1" customWidth="1"/>
    <col min="13642" max="13642" width="11.5703125" bestFit="1" customWidth="1"/>
    <col min="13643" max="13643" width="10.42578125" bestFit="1" customWidth="1"/>
    <col min="13644" max="13644" width="10.85546875" customWidth="1"/>
    <col min="13645" max="13646" width="9.85546875" bestFit="1" customWidth="1"/>
    <col min="13647" max="13647" width="13.5703125" bestFit="1" customWidth="1"/>
    <col min="13648" max="13648" width="7.7109375" bestFit="1" customWidth="1"/>
    <col min="13649" max="13649" width="13.28515625" bestFit="1" customWidth="1"/>
    <col min="13650" max="13650" width="11.5703125" bestFit="1" customWidth="1"/>
    <col min="13651" max="13651" width="10.42578125" bestFit="1" customWidth="1"/>
    <col min="13652" max="13652" width="7.7109375" bestFit="1" customWidth="1"/>
    <col min="13653" max="13653" width="11.5703125" bestFit="1" customWidth="1"/>
    <col min="13654" max="13654" width="10.85546875" bestFit="1" customWidth="1"/>
    <col min="13655" max="13655" width="13.28515625" bestFit="1" customWidth="1"/>
    <col min="13656" max="13656" width="10.85546875" bestFit="1" customWidth="1"/>
    <col min="13657" max="13658" width="7.5703125" bestFit="1" customWidth="1"/>
    <col min="13659" max="13660" width="10.42578125" bestFit="1" customWidth="1"/>
    <col min="13661" max="13661" width="11.5703125" bestFit="1" customWidth="1"/>
    <col min="13662" max="13662" width="5.28515625" bestFit="1" customWidth="1"/>
    <col min="13663" max="13663" width="10.28515625" bestFit="1" customWidth="1"/>
    <col min="13664" max="13664" width="10.42578125" bestFit="1" customWidth="1"/>
    <col min="13665" max="13665" width="11.5703125" bestFit="1" customWidth="1"/>
    <col min="13666" max="13666" width="5.28515625" bestFit="1" customWidth="1"/>
    <col min="13667" max="13669" width="11.5703125" bestFit="1" customWidth="1"/>
    <col min="13670" max="13670" width="5.28515625" bestFit="1" customWidth="1"/>
    <col min="13671" max="13672" width="10.42578125" bestFit="1" customWidth="1"/>
    <col min="13673" max="13673" width="11.5703125" bestFit="1" customWidth="1"/>
    <col min="13674" max="13674" width="5.28515625" bestFit="1" customWidth="1"/>
    <col min="13675" max="13675" width="14.28515625" bestFit="1" customWidth="1"/>
    <col min="13676" max="13676" width="13" bestFit="1" customWidth="1"/>
    <col min="13677" max="13677" width="11.5703125" bestFit="1" customWidth="1"/>
    <col min="13678" max="13678" width="8.85546875" bestFit="1" customWidth="1"/>
    <col min="13679" max="13679" width="14.42578125" bestFit="1" customWidth="1"/>
    <col min="13680" max="13680" width="10.42578125" bestFit="1" customWidth="1"/>
    <col min="13681" max="13681" width="12.28515625" bestFit="1" customWidth="1"/>
    <col min="13682" max="13682" width="13.85546875" bestFit="1" customWidth="1"/>
    <col min="13683" max="13683" width="11.28515625" customWidth="1"/>
    <col min="13684" max="13684" width="11.5703125" customWidth="1"/>
    <col min="13685" max="13685" width="13.42578125" bestFit="1" customWidth="1"/>
    <col min="13686" max="13686" width="10.42578125" customWidth="1"/>
    <col min="13687" max="13687" width="13.85546875" bestFit="1" customWidth="1"/>
    <col min="13688" max="13688" width="15.42578125" bestFit="1" customWidth="1"/>
    <col min="13689" max="13689" width="12.28515625" bestFit="1" customWidth="1"/>
    <col min="13690" max="13690" width="12.7109375" customWidth="1"/>
    <col min="13691" max="13691" width="10.7109375" bestFit="1" customWidth="1"/>
    <col min="13692" max="13692" width="9.85546875" customWidth="1"/>
    <col min="13693" max="13694" width="10.140625" bestFit="1" customWidth="1"/>
    <col min="13695" max="13695" width="7.5703125" bestFit="1" customWidth="1"/>
    <col min="13696" max="13696" width="9.42578125" bestFit="1" customWidth="1"/>
    <col min="13697" max="13697" width="14.5703125" bestFit="1" customWidth="1"/>
    <col min="13698" max="13698" width="14.85546875" customWidth="1"/>
    <col min="13699" max="13699" width="15.140625" bestFit="1" customWidth="1"/>
    <col min="13700" max="13700" width="12.140625" bestFit="1" customWidth="1"/>
    <col min="13701" max="13701" width="14.85546875" bestFit="1" customWidth="1"/>
    <col min="13702" max="13702" width="12.28515625" bestFit="1" customWidth="1"/>
    <col min="13703" max="13711" width="9.140625" hidden="1" customWidth="1"/>
    <col min="13712" max="13712" width="5.28515625" bestFit="1" customWidth="1"/>
    <col min="13713" max="13718" width="11.5703125" bestFit="1" customWidth="1"/>
    <col min="13719" max="13719" width="11.28515625" bestFit="1" customWidth="1"/>
    <col min="13720" max="13720" width="10.140625" bestFit="1" customWidth="1"/>
    <col min="13721" max="13721" width="11.5703125" bestFit="1" customWidth="1"/>
    <col min="13722" max="13722" width="16.140625" customWidth="1"/>
    <col min="13723" max="13723" width="13.42578125" customWidth="1"/>
    <col min="13724" max="13724" width="10.140625" bestFit="1" customWidth="1"/>
    <col min="13725" max="13725" width="12.85546875" bestFit="1" customWidth="1"/>
    <col min="13726" max="13726" width="12.28515625" bestFit="1" customWidth="1"/>
    <col min="13727" max="13727" width="11.28515625" bestFit="1" customWidth="1"/>
    <col min="13728" max="13728" width="11.5703125" bestFit="1" customWidth="1"/>
    <col min="13729" max="13729" width="10.85546875" bestFit="1" customWidth="1"/>
    <col min="13730" max="13730" width="11.28515625" bestFit="1" customWidth="1"/>
    <col min="13731" max="13731" width="10.140625" bestFit="1" customWidth="1"/>
    <col min="13732" max="13732" width="13.28515625" bestFit="1" customWidth="1"/>
    <col min="13733" max="13734" width="12.7109375" bestFit="1" customWidth="1"/>
    <col min="13735" max="13735" width="11" bestFit="1" customWidth="1"/>
    <col min="13736" max="13736" width="11.28515625" bestFit="1" customWidth="1"/>
    <col min="13737" max="13737" width="11.5703125" bestFit="1" customWidth="1"/>
    <col min="13738" max="13738" width="12.28515625" bestFit="1" customWidth="1"/>
    <col min="13739" max="13739" width="15.140625" bestFit="1" customWidth="1"/>
    <col min="13740" max="13740" width="14.42578125" bestFit="1" customWidth="1"/>
    <col min="13741" max="13741" width="12.28515625" bestFit="1" customWidth="1"/>
    <col min="13742" max="13742" width="15.140625" bestFit="1" customWidth="1"/>
    <col min="13743" max="13743" width="14.42578125" bestFit="1" customWidth="1"/>
    <col min="13744" max="13744" width="12.28515625" bestFit="1" customWidth="1"/>
    <col min="13745" max="13745" width="14.42578125" bestFit="1" customWidth="1"/>
    <col min="13746" max="13746" width="11.28515625" bestFit="1" customWidth="1"/>
    <col min="13747" max="13747" width="12.28515625" bestFit="1" customWidth="1"/>
    <col min="13748" max="13748" width="13" bestFit="1" customWidth="1"/>
    <col min="13749" max="13749" width="15.140625" bestFit="1" customWidth="1"/>
    <col min="13750" max="13750" width="12.28515625" bestFit="1" customWidth="1"/>
    <col min="13751" max="13751" width="13.85546875" bestFit="1" customWidth="1"/>
    <col min="13752" max="13752" width="11.28515625" bestFit="1" customWidth="1"/>
    <col min="13753" max="13753" width="12.28515625" bestFit="1" customWidth="1"/>
    <col min="13754" max="13754" width="13.85546875" bestFit="1" customWidth="1"/>
    <col min="13755" max="13756" width="15.140625" bestFit="1" customWidth="1"/>
    <col min="13757" max="13757" width="12.28515625" bestFit="1" customWidth="1"/>
    <col min="13758" max="13758" width="5.7109375" bestFit="1" customWidth="1"/>
    <col min="13759" max="13759" width="8.5703125" bestFit="1" customWidth="1"/>
    <col min="13760" max="13760" width="5.5703125" bestFit="1" customWidth="1"/>
    <col min="13761" max="13761" width="14.42578125" bestFit="1" customWidth="1"/>
    <col min="13762" max="13762" width="11.28515625" bestFit="1" customWidth="1"/>
    <col min="13763" max="13764" width="12.28515625" bestFit="1" customWidth="1"/>
    <col min="13765" max="13765" width="11.28515625" bestFit="1" customWidth="1"/>
    <col min="13766" max="13766" width="13.85546875" bestFit="1" customWidth="1"/>
    <col min="13767" max="13767" width="12" bestFit="1" customWidth="1"/>
    <col min="13768" max="13768" width="13.85546875" bestFit="1" customWidth="1"/>
    <col min="13769" max="13770" width="14.42578125" customWidth="1"/>
    <col min="13771" max="13771" width="10.140625" bestFit="1" customWidth="1"/>
    <col min="13772" max="13772" width="12.28515625" bestFit="1" customWidth="1"/>
    <col min="13773" max="13773" width="7.42578125" bestFit="1" customWidth="1"/>
    <col min="13774" max="13774" width="8.5703125" bestFit="1" customWidth="1"/>
    <col min="13775" max="13775" width="11.5703125" bestFit="1" customWidth="1"/>
    <col min="13776" max="13776" width="13.28515625" bestFit="1" customWidth="1"/>
    <col min="13777" max="13777" width="13.28515625" customWidth="1"/>
    <col min="13778" max="13778" width="13.140625" customWidth="1"/>
    <col min="13779" max="13779" width="12.7109375" bestFit="1" customWidth="1"/>
    <col min="13780" max="13780" width="13.28515625" bestFit="1" customWidth="1"/>
    <col min="13781" max="13783" width="13.28515625" customWidth="1"/>
    <col min="13784" max="13784" width="12.140625" bestFit="1" customWidth="1"/>
    <col min="13785" max="13785" width="12.7109375" bestFit="1" customWidth="1"/>
    <col min="13786" max="13786" width="11" customWidth="1"/>
    <col min="13787" max="13787" width="16.7109375" customWidth="1"/>
    <col min="13788" max="13788" width="17" customWidth="1"/>
    <col min="13789" max="13789" width="10.42578125" bestFit="1" customWidth="1"/>
    <col min="13833" max="13833" width="3.85546875" customWidth="1"/>
    <col min="13834" max="13834" width="15.28515625" bestFit="1" customWidth="1"/>
    <col min="13835" max="13835" width="12.28515625" customWidth="1"/>
    <col min="13836" max="13836" width="16.28515625" bestFit="1" customWidth="1"/>
    <col min="13837" max="13837" width="6.42578125" bestFit="1" customWidth="1"/>
    <col min="13838" max="13838" width="9.28515625" bestFit="1" customWidth="1"/>
    <col min="13839" max="13839" width="7.5703125" bestFit="1" customWidth="1"/>
    <col min="13840" max="13840" width="13.28515625" bestFit="1" customWidth="1"/>
    <col min="13841" max="13841" width="9.28515625" bestFit="1" customWidth="1"/>
    <col min="13842" max="13842" width="11.5703125" bestFit="1" customWidth="1"/>
    <col min="13843" max="13843" width="13.28515625" bestFit="1" customWidth="1"/>
    <col min="13844" max="13844" width="7.140625" bestFit="1" customWidth="1"/>
    <col min="13845" max="13845" width="12" bestFit="1" customWidth="1"/>
    <col min="13846" max="13846" width="13.28515625" bestFit="1" customWidth="1"/>
    <col min="13847" max="13847" width="7" bestFit="1" customWidth="1"/>
    <col min="13848" max="13848" width="12.7109375" bestFit="1" customWidth="1"/>
    <col min="13849" max="13849" width="11.5703125" bestFit="1" customWidth="1"/>
    <col min="13850" max="13850" width="10.5703125" bestFit="1" customWidth="1"/>
    <col min="13851" max="13852" width="15.7109375" bestFit="1" customWidth="1"/>
    <col min="13853" max="13853" width="11.5703125" bestFit="1" customWidth="1"/>
    <col min="13854" max="13854" width="7.7109375" bestFit="1" customWidth="1"/>
    <col min="13855" max="13855" width="15.140625" bestFit="1" customWidth="1"/>
    <col min="13856" max="13856" width="11.5703125" bestFit="1" customWidth="1"/>
    <col min="13857" max="13857" width="13.28515625" bestFit="1" customWidth="1"/>
    <col min="13858" max="13858" width="10.42578125" bestFit="1" customWidth="1"/>
    <col min="13859" max="13859" width="13.28515625" bestFit="1" customWidth="1"/>
    <col min="13860" max="13860" width="12.140625" bestFit="1" customWidth="1"/>
    <col min="13861" max="13861" width="14.42578125" bestFit="1" customWidth="1"/>
    <col min="13862" max="13862" width="13.28515625" bestFit="1" customWidth="1"/>
    <col min="13863" max="13863" width="11.5703125" bestFit="1" customWidth="1"/>
    <col min="13864" max="13864" width="7.7109375" bestFit="1" customWidth="1"/>
    <col min="13865" max="13866" width="14.42578125" bestFit="1" customWidth="1"/>
    <col min="13867" max="13867" width="11.5703125" bestFit="1" customWidth="1"/>
    <col min="13868" max="13868" width="7.7109375" bestFit="1" customWidth="1"/>
    <col min="13869" max="13869" width="13.5703125" customWidth="1"/>
    <col min="13870" max="13870" width="15.28515625" customWidth="1"/>
    <col min="13871" max="13871" width="14.5703125" customWidth="1"/>
    <col min="13872" max="13872" width="13.28515625" bestFit="1" customWidth="1"/>
    <col min="13873" max="13873" width="7.7109375" bestFit="1" customWidth="1"/>
    <col min="13874" max="13874" width="12.7109375" bestFit="1" customWidth="1"/>
    <col min="13875" max="13875" width="11.7109375" bestFit="1" customWidth="1"/>
    <col min="13876" max="13876" width="11.5703125" bestFit="1" customWidth="1"/>
    <col min="13877" max="13877" width="5.28515625" bestFit="1" customWidth="1"/>
    <col min="13878" max="13878" width="13.28515625" bestFit="1" customWidth="1"/>
    <col min="13879" max="13879" width="13.5703125" bestFit="1" customWidth="1"/>
    <col min="13880" max="13880" width="10.5703125" bestFit="1" customWidth="1"/>
    <col min="13881" max="13881" width="13.28515625" bestFit="1" customWidth="1"/>
    <col min="13882" max="13882" width="11.5703125" bestFit="1" customWidth="1"/>
    <col min="13883" max="13883" width="10.5703125" bestFit="1" customWidth="1"/>
    <col min="13884" max="13884" width="16.140625" bestFit="1" customWidth="1"/>
    <col min="13885" max="13886" width="11.28515625" bestFit="1" customWidth="1"/>
    <col min="13887" max="13887" width="13.28515625" bestFit="1" customWidth="1"/>
    <col min="13888" max="13888" width="7.7109375" bestFit="1" customWidth="1"/>
    <col min="13889" max="13892" width="9.140625" hidden="1" customWidth="1"/>
    <col min="13893" max="13893" width="10.42578125" bestFit="1" customWidth="1"/>
    <col min="13894" max="13894" width="10.5703125" bestFit="1" customWidth="1"/>
    <col min="13895" max="13895" width="10.42578125" bestFit="1" customWidth="1"/>
    <col min="13896" max="13896" width="10.5703125" bestFit="1" customWidth="1"/>
    <col min="13897" max="13897" width="9.5703125" bestFit="1" customWidth="1"/>
    <col min="13898" max="13898" width="11.5703125" bestFit="1" customWidth="1"/>
    <col min="13899" max="13899" width="10.42578125" bestFit="1" customWidth="1"/>
    <col min="13900" max="13900" width="10.85546875" customWidth="1"/>
    <col min="13901" max="13902" width="9.85546875" bestFit="1" customWidth="1"/>
    <col min="13903" max="13903" width="13.5703125" bestFit="1" customWidth="1"/>
    <col min="13904" max="13904" width="7.7109375" bestFit="1" customWidth="1"/>
    <col min="13905" max="13905" width="13.28515625" bestFit="1" customWidth="1"/>
    <col min="13906" max="13906" width="11.5703125" bestFit="1" customWidth="1"/>
    <col min="13907" max="13907" width="10.42578125" bestFit="1" customWidth="1"/>
    <col min="13908" max="13908" width="7.7109375" bestFit="1" customWidth="1"/>
    <col min="13909" max="13909" width="11.5703125" bestFit="1" customWidth="1"/>
    <col min="13910" max="13910" width="10.85546875" bestFit="1" customWidth="1"/>
    <col min="13911" max="13911" width="13.28515625" bestFit="1" customWidth="1"/>
    <col min="13912" max="13912" width="10.85546875" bestFit="1" customWidth="1"/>
    <col min="13913" max="13914" width="7.5703125" bestFit="1" customWidth="1"/>
    <col min="13915" max="13916" width="10.42578125" bestFit="1" customWidth="1"/>
    <col min="13917" max="13917" width="11.5703125" bestFit="1" customWidth="1"/>
    <col min="13918" max="13918" width="5.28515625" bestFit="1" customWidth="1"/>
    <col min="13919" max="13919" width="10.28515625" bestFit="1" customWidth="1"/>
    <col min="13920" max="13920" width="10.42578125" bestFit="1" customWidth="1"/>
    <col min="13921" max="13921" width="11.5703125" bestFit="1" customWidth="1"/>
    <col min="13922" max="13922" width="5.28515625" bestFit="1" customWidth="1"/>
    <col min="13923" max="13925" width="11.5703125" bestFit="1" customWidth="1"/>
    <col min="13926" max="13926" width="5.28515625" bestFit="1" customWidth="1"/>
    <col min="13927" max="13928" width="10.42578125" bestFit="1" customWidth="1"/>
    <col min="13929" max="13929" width="11.5703125" bestFit="1" customWidth="1"/>
    <col min="13930" max="13930" width="5.28515625" bestFit="1" customWidth="1"/>
    <col min="13931" max="13931" width="14.28515625" bestFit="1" customWidth="1"/>
    <col min="13932" max="13932" width="13" bestFit="1" customWidth="1"/>
    <col min="13933" max="13933" width="11.5703125" bestFit="1" customWidth="1"/>
    <col min="13934" max="13934" width="8.85546875" bestFit="1" customWidth="1"/>
    <col min="13935" max="13935" width="14.42578125" bestFit="1" customWidth="1"/>
    <col min="13936" max="13936" width="10.42578125" bestFit="1" customWidth="1"/>
    <col min="13937" max="13937" width="12.28515625" bestFit="1" customWidth="1"/>
    <col min="13938" max="13938" width="13.85546875" bestFit="1" customWidth="1"/>
    <col min="13939" max="13939" width="11.28515625" customWidth="1"/>
    <col min="13940" max="13940" width="11.5703125" customWidth="1"/>
    <col min="13941" max="13941" width="13.42578125" bestFit="1" customWidth="1"/>
    <col min="13942" max="13942" width="10.42578125" customWidth="1"/>
    <col min="13943" max="13943" width="13.85546875" bestFit="1" customWidth="1"/>
    <col min="13944" max="13944" width="15.42578125" bestFit="1" customWidth="1"/>
    <col min="13945" max="13945" width="12.28515625" bestFit="1" customWidth="1"/>
    <col min="13946" max="13946" width="12.7109375" customWidth="1"/>
    <col min="13947" max="13947" width="10.7109375" bestFit="1" customWidth="1"/>
    <col min="13948" max="13948" width="9.85546875" customWidth="1"/>
    <col min="13949" max="13950" width="10.140625" bestFit="1" customWidth="1"/>
    <col min="13951" max="13951" width="7.5703125" bestFit="1" customWidth="1"/>
    <col min="13952" max="13952" width="9.42578125" bestFit="1" customWidth="1"/>
    <col min="13953" max="13953" width="14.5703125" bestFit="1" customWidth="1"/>
    <col min="13954" max="13954" width="14.85546875" customWidth="1"/>
    <col min="13955" max="13955" width="15.140625" bestFit="1" customWidth="1"/>
    <col min="13956" max="13956" width="12.140625" bestFit="1" customWidth="1"/>
    <col min="13957" max="13957" width="14.85546875" bestFit="1" customWidth="1"/>
    <col min="13958" max="13958" width="12.28515625" bestFit="1" customWidth="1"/>
    <col min="13959" max="13967" width="9.140625" hidden="1" customWidth="1"/>
    <col min="13968" max="13968" width="5.28515625" bestFit="1" customWidth="1"/>
    <col min="13969" max="13974" width="11.5703125" bestFit="1" customWidth="1"/>
    <col min="13975" max="13975" width="11.28515625" bestFit="1" customWidth="1"/>
    <col min="13976" max="13976" width="10.140625" bestFit="1" customWidth="1"/>
    <col min="13977" max="13977" width="11.5703125" bestFit="1" customWidth="1"/>
    <col min="13978" max="13978" width="16.140625" customWidth="1"/>
    <col min="13979" max="13979" width="13.42578125" customWidth="1"/>
    <col min="13980" max="13980" width="10.140625" bestFit="1" customWidth="1"/>
    <col min="13981" max="13981" width="12.85546875" bestFit="1" customWidth="1"/>
    <col min="13982" max="13982" width="12.28515625" bestFit="1" customWidth="1"/>
    <col min="13983" max="13983" width="11.28515625" bestFit="1" customWidth="1"/>
    <col min="13984" max="13984" width="11.5703125" bestFit="1" customWidth="1"/>
    <col min="13985" max="13985" width="10.85546875" bestFit="1" customWidth="1"/>
    <col min="13986" max="13986" width="11.28515625" bestFit="1" customWidth="1"/>
    <col min="13987" max="13987" width="10.140625" bestFit="1" customWidth="1"/>
    <col min="13988" max="13988" width="13.28515625" bestFit="1" customWidth="1"/>
    <col min="13989" max="13990" width="12.7109375" bestFit="1" customWidth="1"/>
    <col min="13991" max="13991" width="11" bestFit="1" customWidth="1"/>
    <col min="13992" max="13992" width="11.28515625" bestFit="1" customWidth="1"/>
    <col min="13993" max="13993" width="11.5703125" bestFit="1" customWidth="1"/>
    <col min="13994" max="13994" width="12.28515625" bestFit="1" customWidth="1"/>
    <col min="13995" max="13995" width="15.140625" bestFit="1" customWidth="1"/>
    <col min="13996" max="13996" width="14.42578125" bestFit="1" customWidth="1"/>
    <col min="13997" max="13997" width="12.28515625" bestFit="1" customWidth="1"/>
    <col min="13998" max="13998" width="15.140625" bestFit="1" customWidth="1"/>
    <col min="13999" max="13999" width="14.42578125" bestFit="1" customWidth="1"/>
    <col min="14000" max="14000" width="12.28515625" bestFit="1" customWidth="1"/>
    <col min="14001" max="14001" width="14.42578125" bestFit="1" customWidth="1"/>
    <col min="14002" max="14002" width="11.28515625" bestFit="1" customWidth="1"/>
    <col min="14003" max="14003" width="12.28515625" bestFit="1" customWidth="1"/>
    <col min="14004" max="14004" width="13" bestFit="1" customWidth="1"/>
    <col min="14005" max="14005" width="15.140625" bestFit="1" customWidth="1"/>
    <col min="14006" max="14006" width="12.28515625" bestFit="1" customWidth="1"/>
    <col min="14007" max="14007" width="13.85546875" bestFit="1" customWidth="1"/>
    <col min="14008" max="14008" width="11.28515625" bestFit="1" customWidth="1"/>
    <col min="14009" max="14009" width="12.28515625" bestFit="1" customWidth="1"/>
    <col min="14010" max="14010" width="13.85546875" bestFit="1" customWidth="1"/>
    <col min="14011" max="14012" width="15.140625" bestFit="1" customWidth="1"/>
    <col min="14013" max="14013" width="12.28515625" bestFit="1" customWidth="1"/>
    <col min="14014" max="14014" width="5.7109375" bestFit="1" customWidth="1"/>
    <col min="14015" max="14015" width="8.5703125" bestFit="1" customWidth="1"/>
    <col min="14016" max="14016" width="5.5703125" bestFit="1" customWidth="1"/>
    <col min="14017" max="14017" width="14.42578125" bestFit="1" customWidth="1"/>
    <col min="14018" max="14018" width="11.28515625" bestFit="1" customWidth="1"/>
    <col min="14019" max="14020" width="12.28515625" bestFit="1" customWidth="1"/>
    <col min="14021" max="14021" width="11.28515625" bestFit="1" customWidth="1"/>
    <col min="14022" max="14022" width="13.85546875" bestFit="1" customWidth="1"/>
    <col min="14023" max="14023" width="12" bestFit="1" customWidth="1"/>
    <col min="14024" max="14024" width="13.85546875" bestFit="1" customWidth="1"/>
    <col min="14025" max="14026" width="14.42578125" customWidth="1"/>
    <col min="14027" max="14027" width="10.140625" bestFit="1" customWidth="1"/>
    <col min="14028" max="14028" width="12.28515625" bestFit="1" customWidth="1"/>
    <col min="14029" max="14029" width="7.42578125" bestFit="1" customWidth="1"/>
    <col min="14030" max="14030" width="8.5703125" bestFit="1" customWidth="1"/>
    <col min="14031" max="14031" width="11.5703125" bestFit="1" customWidth="1"/>
    <col min="14032" max="14032" width="13.28515625" bestFit="1" customWidth="1"/>
    <col min="14033" max="14033" width="13.28515625" customWidth="1"/>
    <col min="14034" max="14034" width="13.140625" customWidth="1"/>
    <col min="14035" max="14035" width="12.7109375" bestFit="1" customWidth="1"/>
    <col min="14036" max="14036" width="13.28515625" bestFit="1" customWidth="1"/>
    <col min="14037" max="14039" width="13.28515625" customWidth="1"/>
    <col min="14040" max="14040" width="12.140625" bestFit="1" customWidth="1"/>
    <col min="14041" max="14041" width="12.7109375" bestFit="1" customWidth="1"/>
    <col min="14042" max="14042" width="11" customWidth="1"/>
    <col min="14043" max="14043" width="16.7109375" customWidth="1"/>
    <col min="14044" max="14044" width="17" customWidth="1"/>
    <col min="14045" max="14045" width="10.42578125" bestFit="1" customWidth="1"/>
    <col min="14089" max="14089" width="3.85546875" customWidth="1"/>
    <col min="14090" max="14090" width="15.28515625" bestFit="1" customWidth="1"/>
    <col min="14091" max="14091" width="12.28515625" customWidth="1"/>
    <col min="14092" max="14092" width="16.28515625" bestFit="1" customWidth="1"/>
    <col min="14093" max="14093" width="6.42578125" bestFit="1" customWidth="1"/>
    <col min="14094" max="14094" width="9.28515625" bestFit="1" customWidth="1"/>
    <col min="14095" max="14095" width="7.5703125" bestFit="1" customWidth="1"/>
    <col min="14096" max="14096" width="13.28515625" bestFit="1" customWidth="1"/>
    <col min="14097" max="14097" width="9.28515625" bestFit="1" customWidth="1"/>
    <col min="14098" max="14098" width="11.5703125" bestFit="1" customWidth="1"/>
    <col min="14099" max="14099" width="13.28515625" bestFit="1" customWidth="1"/>
    <col min="14100" max="14100" width="7.140625" bestFit="1" customWidth="1"/>
    <col min="14101" max="14101" width="12" bestFit="1" customWidth="1"/>
    <col min="14102" max="14102" width="13.28515625" bestFit="1" customWidth="1"/>
    <col min="14103" max="14103" width="7" bestFit="1" customWidth="1"/>
    <col min="14104" max="14104" width="12.7109375" bestFit="1" customWidth="1"/>
    <col min="14105" max="14105" width="11.5703125" bestFit="1" customWidth="1"/>
    <col min="14106" max="14106" width="10.5703125" bestFit="1" customWidth="1"/>
    <col min="14107" max="14108" width="15.7109375" bestFit="1" customWidth="1"/>
    <col min="14109" max="14109" width="11.5703125" bestFit="1" customWidth="1"/>
    <col min="14110" max="14110" width="7.7109375" bestFit="1" customWidth="1"/>
    <col min="14111" max="14111" width="15.140625" bestFit="1" customWidth="1"/>
    <col min="14112" max="14112" width="11.5703125" bestFit="1" customWidth="1"/>
    <col min="14113" max="14113" width="13.28515625" bestFit="1" customWidth="1"/>
    <col min="14114" max="14114" width="10.42578125" bestFit="1" customWidth="1"/>
    <col min="14115" max="14115" width="13.28515625" bestFit="1" customWidth="1"/>
    <col min="14116" max="14116" width="12.140625" bestFit="1" customWidth="1"/>
    <col min="14117" max="14117" width="14.42578125" bestFit="1" customWidth="1"/>
    <col min="14118" max="14118" width="13.28515625" bestFit="1" customWidth="1"/>
    <col min="14119" max="14119" width="11.5703125" bestFit="1" customWidth="1"/>
    <col min="14120" max="14120" width="7.7109375" bestFit="1" customWidth="1"/>
    <col min="14121" max="14122" width="14.42578125" bestFit="1" customWidth="1"/>
    <col min="14123" max="14123" width="11.5703125" bestFit="1" customWidth="1"/>
    <col min="14124" max="14124" width="7.7109375" bestFit="1" customWidth="1"/>
    <col min="14125" max="14125" width="13.5703125" customWidth="1"/>
    <col min="14126" max="14126" width="15.28515625" customWidth="1"/>
    <col min="14127" max="14127" width="14.5703125" customWidth="1"/>
    <col min="14128" max="14128" width="13.28515625" bestFit="1" customWidth="1"/>
    <col min="14129" max="14129" width="7.7109375" bestFit="1" customWidth="1"/>
    <col min="14130" max="14130" width="12.7109375" bestFit="1" customWidth="1"/>
    <col min="14131" max="14131" width="11.7109375" bestFit="1" customWidth="1"/>
    <col min="14132" max="14132" width="11.5703125" bestFit="1" customWidth="1"/>
    <col min="14133" max="14133" width="5.28515625" bestFit="1" customWidth="1"/>
    <col min="14134" max="14134" width="13.28515625" bestFit="1" customWidth="1"/>
    <col min="14135" max="14135" width="13.5703125" bestFit="1" customWidth="1"/>
    <col min="14136" max="14136" width="10.5703125" bestFit="1" customWidth="1"/>
    <col min="14137" max="14137" width="13.28515625" bestFit="1" customWidth="1"/>
    <col min="14138" max="14138" width="11.5703125" bestFit="1" customWidth="1"/>
    <col min="14139" max="14139" width="10.5703125" bestFit="1" customWidth="1"/>
    <col min="14140" max="14140" width="16.140625" bestFit="1" customWidth="1"/>
    <col min="14141" max="14142" width="11.28515625" bestFit="1" customWidth="1"/>
    <col min="14143" max="14143" width="13.28515625" bestFit="1" customWidth="1"/>
    <col min="14144" max="14144" width="7.7109375" bestFit="1" customWidth="1"/>
    <col min="14145" max="14148" width="9.140625" hidden="1" customWidth="1"/>
    <col min="14149" max="14149" width="10.42578125" bestFit="1" customWidth="1"/>
    <col min="14150" max="14150" width="10.5703125" bestFit="1" customWidth="1"/>
    <col min="14151" max="14151" width="10.42578125" bestFit="1" customWidth="1"/>
    <col min="14152" max="14152" width="10.5703125" bestFit="1" customWidth="1"/>
    <col min="14153" max="14153" width="9.5703125" bestFit="1" customWidth="1"/>
    <col min="14154" max="14154" width="11.5703125" bestFit="1" customWidth="1"/>
    <col min="14155" max="14155" width="10.42578125" bestFit="1" customWidth="1"/>
    <col min="14156" max="14156" width="10.85546875" customWidth="1"/>
    <col min="14157" max="14158" width="9.85546875" bestFit="1" customWidth="1"/>
    <col min="14159" max="14159" width="13.5703125" bestFit="1" customWidth="1"/>
    <col min="14160" max="14160" width="7.7109375" bestFit="1" customWidth="1"/>
    <col min="14161" max="14161" width="13.28515625" bestFit="1" customWidth="1"/>
    <col min="14162" max="14162" width="11.5703125" bestFit="1" customWidth="1"/>
    <col min="14163" max="14163" width="10.42578125" bestFit="1" customWidth="1"/>
    <col min="14164" max="14164" width="7.7109375" bestFit="1" customWidth="1"/>
    <col min="14165" max="14165" width="11.5703125" bestFit="1" customWidth="1"/>
    <col min="14166" max="14166" width="10.85546875" bestFit="1" customWidth="1"/>
    <col min="14167" max="14167" width="13.28515625" bestFit="1" customWidth="1"/>
    <col min="14168" max="14168" width="10.85546875" bestFit="1" customWidth="1"/>
    <col min="14169" max="14170" width="7.5703125" bestFit="1" customWidth="1"/>
    <col min="14171" max="14172" width="10.42578125" bestFit="1" customWidth="1"/>
    <col min="14173" max="14173" width="11.5703125" bestFit="1" customWidth="1"/>
    <col min="14174" max="14174" width="5.28515625" bestFit="1" customWidth="1"/>
    <col min="14175" max="14175" width="10.28515625" bestFit="1" customWidth="1"/>
    <col min="14176" max="14176" width="10.42578125" bestFit="1" customWidth="1"/>
    <col min="14177" max="14177" width="11.5703125" bestFit="1" customWidth="1"/>
    <col min="14178" max="14178" width="5.28515625" bestFit="1" customWidth="1"/>
    <col min="14179" max="14181" width="11.5703125" bestFit="1" customWidth="1"/>
    <col min="14182" max="14182" width="5.28515625" bestFit="1" customWidth="1"/>
    <col min="14183" max="14184" width="10.42578125" bestFit="1" customWidth="1"/>
    <col min="14185" max="14185" width="11.5703125" bestFit="1" customWidth="1"/>
    <col min="14186" max="14186" width="5.28515625" bestFit="1" customWidth="1"/>
    <col min="14187" max="14187" width="14.28515625" bestFit="1" customWidth="1"/>
    <col min="14188" max="14188" width="13" bestFit="1" customWidth="1"/>
    <col min="14189" max="14189" width="11.5703125" bestFit="1" customWidth="1"/>
    <col min="14190" max="14190" width="8.85546875" bestFit="1" customWidth="1"/>
    <col min="14191" max="14191" width="14.42578125" bestFit="1" customWidth="1"/>
    <col min="14192" max="14192" width="10.42578125" bestFit="1" customWidth="1"/>
    <col min="14193" max="14193" width="12.28515625" bestFit="1" customWidth="1"/>
    <col min="14194" max="14194" width="13.85546875" bestFit="1" customWidth="1"/>
    <col min="14195" max="14195" width="11.28515625" customWidth="1"/>
    <col min="14196" max="14196" width="11.5703125" customWidth="1"/>
    <col min="14197" max="14197" width="13.42578125" bestFit="1" customWidth="1"/>
    <col min="14198" max="14198" width="10.42578125" customWidth="1"/>
    <col min="14199" max="14199" width="13.85546875" bestFit="1" customWidth="1"/>
    <col min="14200" max="14200" width="15.42578125" bestFit="1" customWidth="1"/>
    <col min="14201" max="14201" width="12.28515625" bestFit="1" customWidth="1"/>
    <col min="14202" max="14202" width="12.7109375" customWidth="1"/>
    <col min="14203" max="14203" width="10.7109375" bestFit="1" customWidth="1"/>
    <col min="14204" max="14204" width="9.85546875" customWidth="1"/>
    <col min="14205" max="14206" width="10.140625" bestFit="1" customWidth="1"/>
    <col min="14207" max="14207" width="7.5703125" bestFit="1" customWidth="1"/>
    <col min="14208" max="14208" width="9.42578125" bestFit="1" customWidth="1"/>
    <col min="14209" max="14209" width="14.5703125" bestFit="1" customWidth="1"/>
    <col min="14210" max="14210" width="14.85546875" customWidth="1"/>
    <col min="14211" max="14211" width="15.140625" bestFit="1" customWidth="1"/>
    <col min="14212" max="14212" width="12.140625" bestFit="1" customWidth="1"/>
    <col min="14213" max="14213" width="14.85546875" bestFit="1" customWidth="1"/>
    <col min="14214" max="14214" width="12.28515625" bestFit="1" customWidth="1"/>
    <col min="14215" max="14223" width="9.140625" hidden="1" customWidth="1"/>
    <col min="14224" max="14224" width="5.28515625" bestFit="1" customWidth="1"/>
    <col min="14225" max="14230" width="11.5703125" bestFit="1" customWidth="1"/>
    <col min="14231" max="14231" width="11.28515625" bestFit="1" customWidth="1"/>
    <col min="14232" max="14232" width="10.140625" bestFit="1" customWidth="1"/>
    <col min="14233" max="14233" width="11.5703125" bestFit="1" customWidth="1"/>
    <col min="14234" max="14234" width="16.140625" customWidth="1"/>
    <col min="14235" max="14235" width="13.42578125" customWidth="1"/>
    <col min="14236" max="14236" width="10.140625" bestFit="1" customWidth="1"/>
    <col min="14237" max="14237" width="12.85546875" bestFit="1" customWidth="1"/>
    <col min="14238" max="14238" width="12.28515625" bestFit="1" customWidth="1"/>
    <col min="14239" max="14239" width="11.28515625" bestFit="1" customWidth="1"/>
    <col min="14240" max="14240" width="11.5703125" bestFit="1" customWidth="1"/>
    <col min="14241" max="14241" width="10.85546875" bestFit="1" customWidth="1"/>
    <col min="14242" max="14242" width="11.28515625" bestFit="1" customWidth="1"/>
    <col min="14243" max="14243" width="10.140625" bestFit="1" customWidth="1"/>
    <col min="14244" max="14244" width="13.28515625" bestFit="1" customWidth="1"/>
    <col min="14245" max="14246" width="12.7109375" bestFit="1" customWidth="1"/>
    <col min="14247" max="14247" width="11" bestFit="1" customWidth="1"/>
    <col min="14248" max="14248" width="11.28515625" bestFit="1" customWidth="1"/>
    <col min="14249" max="14249" width="11.5703125" bestFit="1" customWidth="1"/>
    <col min="14250" max="14250" width="12.28515625" bestFit="1" customWidth="1"/>
    <col min="14251" max="14251" width="15.140625" bestFit="1" customWidth="1"/>
    <col min="14252" max="14252" width="14.42578125" bestFit="1" customWidth="1"/>
    <col min="14253" max="14253" width="12.28515625" bestFit="1" customWidth="1"/>
    <col min="14254" max="14254" width="15.140625" bestFit="1" customWidth="1"/>
    <col min="14255" max="14255" width="14.42578125" bestFit="1" customWidth="1"/>
    <col min="14256" max="14256" width="12.28515625" bestFit="1" customWidth="1"/>
    <col min="14257" max="14257" width="14.42578125" bestFit="1" customWidth="1"/>
    <col min="14258" max="14258" width="11.28515625" bestFit="1" customWidth="1"/>
    <col min="14259" max="14259" width="12.28515625" bestFit="1" customWidth="1"/>
    <col min="14260" max="14260" width="13" bestFit="1" customWidth="1"/>
    <col min="14261" max="14261" width="15.140625" bestFit="1" customWidth="1"/>
    <col min="14262" max="14262" width="12.28515625" bestFit="1" customWidth="1"/>
    <col min="14263" max="14263" width="13.85546875" bestFit="1" customWidth="1"/>
    <col min="14264" max="14264" width="11.28515625" bestFit="1" customWidth="1"/>
    <col min="14265" max="14265" width="12.28515625" bestFit="1" customWidth="1"/>
    <col min="14266" max="14266" width="13.85546875" bestFit="1" customWidth="1"/>
    <col min="14267" max="14268" width="15.140625" bestFit="1" customWidth="1"/>
    <col min="14269" max="14269" width="12.28515625" bestFit="1" customWidth="1"/>
    <col min="14270" max="14270" width="5.7109375" bestFit="1" customWidth="1"/>
    <col min="14271" max="14271" width="8.5703125" bestFit="1" customWidth="1"/>
    <col min="14272" max="14272" width="5.5703125" bestFit="1" customWidth="1"/>
    <col min="14273" max="14273" width="14.42578125" bestFit="1" customWidth="1"/>
    <col min="14274" max="14274" width="11.28515625" bestFit="1" customWidth="1"/>
    <col min="14275" max="14276" width="12.28515625" bestFit="1" customWidth="1"/>
    <col min="14277" max="14277" width="11.28515625" bestFit="1" customWidth="1"/>
    <col min="14278" max="14278" width="13.85546875" bestFit="1" customWidth="1"/>
    <col min="14279" max="14279" width="12" bestFit="1" customWidth="1"/>
    <col min="14280" max="14280" width="13.85546875" bestFit="1" customWidth="1"/>
    <col min="14281" max="14282" width="14.42578125" customWidth="1"/>
    <col min="14283" max="14283" width="10.140625" bestFit="1" customWidth="1"/>
    <col min="14284" max="14284" width="12.28515625" bestFit="1" customWidth="1"/>
    <col min="14285" max="14285" width="7.42578125" bestFit="1" customWidth="1"/>
    <col min="14286" max="14286" width="8.5703125" bestFit="1" customWidth="1"/>
    <col min="14287" max="14287" width="11.5703125" bestFit="1" customWidth="1"/>
    <col min="14288" max="14288" width="13.28515625" bestFit="1" customWidth="1"/>
    <col min="14289" max="14289" width="13.28515625" customWidth="1"/>
    <col min="14290" max="14290" width="13.140625" customWidth="1"/>
    <col min="14291" max="14291" width="12.7109375" bestFit="1" customWidth="1"/>
    <col min="14292" max="14292" width="13.28515625" bestFit="1" customWidth="1"/>
    <col min="14293" max="14295" width="13.28515625" customWidth="1"/>
    <col min="14296" max="14296" width="12.140625" bestFit="1" customWidth="1"/>
    <col min="14297" max="14297" width="12.7109375" bestFit="1" customWidth="1"/>
    <col min="14298" max="14298" width="11" customWidth="1"/>
    <col min="14299" max="14299" width="16.7109375" customWidth="1"/>
    <col min="14300" max="14300" width="17" customWidth="1"/>
    <col min="14301" max="14301" width="10.42578125" bestFit="1" customWidth="1"/>
    <col min="14345" max="14345" width="3.85546875" customWidth="1"/>
    <col min="14346" max="14346" width="15.28515625" bestFit="1" customWidth="1"/>
    <col min="14347" max="14347" width="12.28515625" customWidth="1"/>
    <col min="14348" max="14348" width="16.28515625" bestFit="1" customWidth="1"/>
    <col min="14349" max="14349" width="6.42578125" bestFit="1" customWidth="1"/>
    <col min="14350" max="14350" width="9.28515625" bestFit="1" customWidth="1"/>
    <col min="14351" max="14351" width="7.5703125" bestFit="1" customWidth="1"/>
    <col min="14352" max="14352" width="13.28515625" bestFit="1" customWidth="1"/>
    <col min="14353" max="14353" width="9.28515625" bestFit="1" customWidth="1"/>
    <col min="14354" max="14354" width="11.5703125" bestFit="1" customWidth="1"/>
    <col min="14355" max="14355" width="13.28515625" bestFit="1" customWidth="1"/>
    <col min="14356" max="14356" width="7.140625" bestFit="1" customWidth="1"/>
    <col min="14357" max="14357" width="12" bestFit="1" customWidth="1"/>
    <col min="14358" max="14358" width="13.28515625" bestFit="1" customWidth="1"/>
    <col min="14359" max="14359" width="7" bestFit="1" customWidth="1"/>
    <col min="14360" max="14360" width="12.7109375" bestFit="1" customWidth="1"/>
    <col min="14361" max="14361" width="11.5703125" bestFit="1" customWidth="1"/>
    <col min="14362" max="14362" width="10.5703125" bestFit="1" customWidth="1"/>
    <col min="14363" max="14364" width="15.7109375" bestFit="1" customWidth="1"/>
    <col min="14365" max="14365" width="11.5703125" bestFit="1" customWidth="1"/>
    <col min="14366" max="14366" width="7.7109375" bestFit="1" customWidth="1"/>
    <col min="14367" max="14367" width="15.140625" bestFit="1" customWidth="1"/>
    <col min="14368" max="14368" width="11.5703125" bestFit="1" customWidth="1"/>
    <col min="14369" max="14369" width="13.28515625" bestFit="1" customWidth="1"/>
    <col min="14370" max="14370" width="10.42578125" bestFit="1" customWidth="1"/>
    <col min="14371" max="14371" width="13.28515625" bestFit="1" customWidth="1"/>
    <col min="14372" max="14372" width="12.140625" bestFit="1" customWidth="1"/>
    <col min="14373" max="14373" width="14.42578125" bestFit="1" customWidth="1"/>
    <col min="14374" max="14374" width="13.28515625" bestFit="1" customWidth="1"/>
    <col min="14375" max="14375" width="11.5703125" bestFit="1" customWidth="1"/>
    <col min="14376" max="14376" width="7.7109375" bestFit="1" customWidth="1"/>
    <col min="14377" max="14378" width="14.42578125" bestFit="1" customWidth="1"/>
    <col min="14379" max="14379" width="11.5703125" bestFit="1" customWidth="1"/>
    <col min="14380" max="14380" width="7.7109375" bestFit="1" customWidth="1"/>
    <col min="14381" max="14381" width="13.5703125" customWidth="1"/>
    <col min="14382" max="14382" width="15.28515625" customWidth="1"/>
    <col min="14383" max="14383" width="14.5703125" customWidth="1"/>
    <col min="14384" max="14384" width="13.28515625" bestFit="1" customWidth="1"/>
    <col min="14385" max="14385" width="7.7109375" bestFit="1" customWidth="1"/>
    <col min="14386" max="14386" width="12.7109375" bestFit="1" customWidth="1"/>
    <col min="14387" max="14387" width="11.7109375" bestFit="1" customWidth="1"/>
    <col min="14388" max="14388" width="11.5703125" bestFit="1" customWidth="1"/>
    <col min="14389" max="14389" width="5.28515625" bestFit="1" customWidth="1"/>
    <col min="14390" max="14390" width="13.28515625" bestFit="1" customWidth="1"/>
    <col min="14391" max="14391" width="13.5703125" bestFit="1" customWidth="1"/>
    <col min="14392" max="14392" width="10.5703125" bestFit="1" customWidth="1"/>
    <col min="14393" max="14393" width="13.28515625" bestFit="1" customWidth="1"/>
    <col min="14394" max="14394" width="11.5703125" bestFit="1" customWidth="1"/>
    <col min="14395" max="14395" width="10.5703125" bestFit="1" customWidth="1"/>
    <col min="14396" max="14396" width="16.140625" bestFit="1" customWidth="1"/>
    <col min="14397" max="14398" width="11.28515625" bestFit="1" customWidth="1"/>
    <col min="14399" max="14399" width="13.28515625" bestFit="1" customWidth="1"/>
    <col min="14400" max="14400" width="7.7109375" bestFit="1" customWidth="1"/>
    <col min="14401" max="14404" width="9.140625" hidden="1" customWidth="1"/>
    <col min="14405" max="14405" width="10.42578125" bestFit="1" customWidth="1"/>
    <col min="14406" max="14406" width="10.5703125" bestFit="1" customWidth="1"/>
    <col min="14407" max="14407" width="10.42578125" bestFit="1" customWidth="1"/>
    <col min="14408" max="14408" width="10.5703125" bestFit="1" customWidth="1"/>
    <col min="14409" max="14409" width="9.5703125" bestFit="1" customWidth="1"/>
    <col min="14410" max="14410" width="11.5703125" bestFit="1" customWidth="1"/>
    <col min="14411" max="14411" width="10.42578125" bestFit="1" customWidth="1"/>
    <col min="14412" max="14412" width="10.85546875" customWidth="1"/>
    <col min="14413" max="14414" width="9.85546875" bestFit="1" customWidth="1"/>
    <col min="14415" max="14415" width="13.5703125" bestFit="1" customWidth="1"/>
    <col min="14416" max="14416" width="7.7109375" bestFit="1" customWidth="1"/>
    <col min="14417" max="14417" width="13.28515625" bestFit="1" customWidth="1"/>
    <col min="14418" max="14418" width="11.5703125" bestFit="1" customWidth="1"/>
    <col min="14419" max="14419" width="10.42578125" bestFit="1" customWidth="1"/>
    <col min="14420" max="14420" width="7.7109375" bestFit="1" customWidth="1"/>
    <col min="14421" max="14421" width="11.5703125" bestFit="1" customWidth="1"/>
    <col min="14422" max="14422" width="10.85546875" bestFit="1" customWidth="1"/>
    <col min="14423" max="14423" width="13.28515625" bestFit="1" customWidth="1"/>
    <col min="14424" max="14424" width="10.85546875" bestFit="1" customWidth="1"/>
    <col min="14425" max="14426" width="7.5703125" bestFit="1" customWidth="1"/>
    <col min="14427" max="14428" width="10.42578125" bestFit="1" customWidth="1"/>
    <col min="14429" max="14429" width="11.5703125" bestFit="1" customWidth="1"/>
    <col min="14430" max="14430" width="5.28515625" bestFit="1" customWidth="1"/>
    <col min="14431" max="14431" width="10.28515625" bestFit="1" customWidth="1"/>
    <col min="14432" max="14432" width="10.42578125" bestFit="1" customWidth="1"/>
    <col min="14433" max="14433" width="11.5703125" bestFit="1" customWidth="1"/>
    <col min="14434" max="14434" width="5.28515625" bestFit="1" customWidth="1"/>
    <col min="14435" max="14437" width="11.5703125" bestFit="1" customWidth="1"/>
    <col min="14438" max="14438" width="5.28515625" bestFit="1" customWidth="1"/>
    <col min="14439" max="14440" width="10.42578125" bestFit="1" customWidth="1"/>
    <col min="14441" max="14441" width="11.5703125" bestFit="1" customWidth="1"/>
    <col min="14442" max="14442" width="5.28515625" bestFit="1" customWidth="1"/>
    <col min="14443" max="14443" width="14.28515625" bestFit="1" customWidth="1"/>
    <col min="14444" max="14444" width="13" bestFit="1" customWidth="1"/>
    <col min="14445" max="14445" width="11.5703125" bestFit="1" customWidth="1"/>
    <col min="14446" max="14446" width="8.85546875" bestFit="1" customWidth="1"/>
    <col min="14447" max="14447" width="14.42578125" bestFit="1" customWidth="1"/>
    <col min="14448" max="14448" width="10.42578125" bestFit="1" customWidth="1"/>
    <col min="14449" max="14449" width="12.28515625" bestFit="1" customWidth="1"/>
    <col min="14450" max="14450" width="13.85546875" bestFit="1" customWidth="1"/>
    <col min="14451" max="14451" width="11.28515625" customWidth="1"/>
    <col min="14452" max="14452" width="11.5703125" customWidth="1"/>
    <col min="14453" max="14453" width="13.42578125" bestFit="1" customWidth="1"/>
    <col min="14454" max="14454" width="10.42578125" customWidth="1"/>
    <col min="14455" max="14455" width="13.85546875" bestFit="1" customWidth="1"/>
    <col min="14456" max="14456" width="15.42578125" bestFit="1" customWidth="1"/>
    <col min="14457" max="14457" width="12.28515625" bestFit="1" customWidth="1"/>
    <col min="14458" max="14458" width="12.7109375" customWidth="1"/>
    <col min="14459" max="14459" width="10.7109375" bestFit="1" customWidth="1"/>
    <col min="14460" max="14460" width="9.85546875" customWidth="1"/>
    <col min="14461" max="14462" width="10.140625" bestFit="1" customWidth="1"/>
    <col min="14463" max="14463" width="7.5703125" bestFit="1" customWidth="1"/>
    <col min="14464" max="14464" width="9.42578125" bestFit="1" customWidth="1"/>
    <col min="14465" max="14465" width="14.5703125" bestFit="1" customWidth="1"/>
    <col min="14466" max="14466" width="14.85546875" customWidth="1"/>
    <col min="14467" max="14467" width="15.140625" bestFit="1" customWidth="1"/>
    <col min="14468" max="14468" width="12.140625" bestFit="1" customWidth="1"/>
    <col min="14469" max="14469" width="14.85546875" bestFit="1" customWidth="1"/>
    <col min="14470" max="14470" width="12.28515625" bestFit="1" customWidth="1"/>
    <col min="14471" max="14479" width="9.140625" hidden="1" customWidth="1"/>
    <col min="14480" max="14480" width="5.28515625" bestFit="1" customWidth="1"/>
    <col min="14481" max="14486" width="11.5703125" bestFit="1" customWidth="1"/>
    <col min="14487" max="14487" width="11.28515625" bestFit="1" customWidth="1"/>
    <col min="14488" max="14488" width="10.140625" bestFit="1" customWidth="1"/>
    <col min="14489" max="14489" width="11.5703125" bestFit="1" customWidth="1"/>
    <col min="14490" max="14490" width="16.140625" customWidth="1"/>
    <col min="14491" max="14491" width="13.42578125" customWidth="1"/>
    <col min="14492" max="14492" width="10.140625" bestFit="1" customWidth="1"/>
    <col min="14493" max="14493" width="12.85546875" bestFit="1" customWidth="1"/>
    <col min="14494" max="14494" width="12.28515625" bestFit="1" customWidth="1"/>
    <col min="14495" max="14495" width="11.28515625" bestFit="1" customWidth="1"/>
    <col min="14496" max="14496" width="11.5703125" bestFit="1" customWidth="1"/>
    <col min="14497" max="14497" width="10.85546875" bestFit="1" customWidth="1"/>
    <col min="14498" max="14498" width="11.28515625" bestFit="1" customWidth="1"/>
    <col min="14499" max="14499" width="10.140625" bestFit="1" customWidth="1"/>
    <col min="14500" max="14500" width="13.28515625" bestFit="1" customWidth="1"/>
    <col min="14501" max="14502" width="12.7109375" bestFit="1" customWidth="1"/>
    <col min="14503" max="14503" width="11" bestFit="1" customWidth="1"/>
    <col min="14504" max="14504" width="11.28515625" bestFit="1" customWidth="1"/>
    <col min="14505" max="14505" width="11.5703125" bestFit="1" customWidth="1"/>
    <col min="14506" max="14506" width="12.28515625" bestFit="1" customWidth="1"/>
    <col min="14507" max="14507" width="15.140625" bestFit="1" customWidth="1"/>
    <col min="14508" max="14508" width="14.42578125" bestFit="1" customWidth="1"/>
    <col min="14509" max="14509" width="12.28515625" bestFit="1" customWidth="1"/>
    <col min="14510" max="14510" width="15.140625" bestFit="1" customWidth="1"/>
    <col min="14511" max="14511" width="14.42578125" bestFit="1" customWidth="1"/>
    <col min="14512" max="14512" width="12.28515625" bestFit="1" customWidth="1"/>
    <col min="14513" max="14513" width="14.42578125" bestFit="1" customWidth="1"/>
    <col min="14514" max="14514" width="11.28515625" bestFit="1" customWidth="1"/>
    <col min="14515" max="14515" width="12.28515625" bestFit="1" customWidth="1"/>
    <col min="14516" max="14516" width="13" bestFit="1" customWidth="1"/>
    <col min="14517" max="14517" width="15.140625" bestFit="1" customWidth="1"/>
    <col min="14518" max="14518" width="12.28515625" bestFit="1" customWidth="1"/>
    <col min="14519" max="14519" width="13.85546875" bestFit="1" customWidth="1"/>
    <col min="14520" max="14520" width="11.28515625" bestFit="1" customWidth="1"/>
    <col min="14521" max="14521" width="12.28515625" bestFit="1" customWidth="1"/>
    <col min="14522" max="14522" width="13.85546875" bestFit="1" customWidth="1"/>
    <col min="14523" max="14524" width="15.140625" bestFit="1" customWidth="1"/>
    <col min="14525" max="14525" width="12.28515625" bestFit="1" customWidth="1"/>
    <col min="14526" max="14526" width="5.7109375" bestFit="1" customWidth="1"/>
    <col min="14527" max="14527" width="8.5703125" bestFit="1" customWidth="1"/>
    <col min="14528" max="14528" width="5.5703125" bestFit="1" customWidth="1"/>
    <col min="14529" max="14529" width="14.42578125" bestFit="1" customWidth="1"/>
    <col min="14530" max="14530" width="11.28515625" bestFit="1" customWidth="1"/>
    <col min="14531" max="14532" width="12.28515625" bestFit="1" customWidth="1"/>
    <col min="14533" max="14533" width="11.28515625" bestFit="1" customWidth="1"/>
    <col min="14534" max="14534" width="13.85546875" bestFit="1" customWidth="1"/>
    <col min="14535" max="14535" width="12" bestFit="1" customWidth="1"/>
    <col min="14536" max="14536" width="13.85546875" bestFit="1" customWidth="1"/>
    <col min="14537" max="14538" width="14.42578125" customWidth="1"/>
    <col min="14539" max="14539" width="10.140625" bestFit="1" customWidth="1"/>
    <col min="14540" max="14540" width="12.28515625" bestFit="1" customWidth="1"/>
    <col min="14541" max="14541" width="7.42578125" bestFit="1" customWidth="1"/>
    <col min="14542" max="14542" width="8.5703125" bestFit="1" customWidth="1"/>
    <col min="14543" max="14543" width="11.5703125" bestFit="1" customWidth="1"/>
    <col min="14544" max="14544" width="13.28515625" bestFit="1" customWidth="1"/>
    <col min="14545" max="14545" width="13.28515625" customWidth="1"/>
    <col min="14546" max="14546" width="13.140625" customWidth="1"/>
    <col min="14547" max="14547" width="12.7109375" bestFit="1" customWidth="1"/>
    <col min="14548" max="14548" width="13.28515625" bestFit="1" customWidth="1"/>
    <col min="14549" max="14551" width="13.28515625" customWidth="1"/>
    <col min="14552" max="14552" width="12.140625" bestFit="1" customWidth="1"/>
    <col min="14553" max="14553" width="12.7109375" bestFit="1" customWidth="1"/>
    <col min="14554" max="14554" width="11" customWidth="1"/>
    <col min="14555" max="14555" width="16.7109375" customWidth="1"/>
    <col min="14556" max="14556" width="17" customWidth="1"/>
    <col min="14557" max="14557" width="10.42578125" bestFit="1" customWidth="1"/>
    <col min="14601" max="14601" width="3.85546875" customWidth="1"/>
    <col min="14602" max="14602" width="15.28515625" bestFit="1" customWidth="1"/>
    <col min="14603" max="14603" width="12.28515625" customWidth="1"/>
    <col min="14604" max="14604" width="16.28515625" bestFit="1" customWidth="1"/>
    <col min="14605" max="14605" width="6.42578125" bestFit="1" customWidth="1"/>
    <col min="14606" max="14606" width="9.28515625" bestFit="1" customWidth="1"/>
    <col min="14607" max="14607" width="7.5703125" bestFit="1" customWidth="1"/>
    <col min="14608" max="14608" width="13.28515625" bestFit="1" customWidth="1"/>
    <col min="14609" max="14609" width="9.28515625" bestFit="1" customWidth="1"/>
    <col min="14610" max="14610" width="11.5703125" bestFit="1" customWidth="1"/>
    <col min="14611" max="14611" width="13.28515625" bestFit="1" customWidth="1"/>
    <col min="14612" max="14612" width="7.140625" bestFit="1" customWidth="1"/>
    <col min="14613" max="14613" width="12" bestFit="1" customWidth="1"/>
    <col min="14614" max="14614" width="13.28515625" bestFit="1" customWidth="1"/>
    <col min="14615" max="14615" width="7" bestFit="1" customWidth="1"/>
    <col min="14616" max="14616" width="12.7109375" bestFit="1" customWidth="1"/>
    <col min="14617" max="14617" width="11.5703125" bestFit="1" customWidth="1"/>
    <col min="14618" max="14618" width="10.5703125" bestFit="1" customWidth="1"/>
    <col min="14619" max="14620" width="15.7109375" bestFit="1" customWidth="1"/>
    <col min="14621" max="14621" width="11.5703125" bestFit="1" customWidth="1"/>
    <col min="14622" max="14622" width="7.7109375" bestFit="1" customWidth="1"/>
    <col min="14623" max="14623" width="15.140625" bestFit="1" customWidth="1"/>
    <col min="14624" max="14624" width="11.5703125" bestFit="1" customWidth="1"/>
    <col min="14625" max="14625" width="13.28515625" bestFit="1" customWidth="1"/>
    <col min="14626" max="14626" width="10.42578125" bestFit="1" customWidth="1"/>
    <col min="14627" max="14627" width="13.28515625" bestFit="1" customWidth="1"/>
    <col min="14628" max="14628" width="12.140625" bestFit="1" customWidth="1"/>
    <col min="14629" max="14629" width="14.42578125" bestFit="1" customWidth="1"/>
    <col min="14630" max="14630" width="13.28515625" bestFit="1" customWidth="1"/>
    <col min="14631" max="14631" width="11.5703125" bestFit="1" customWidth="1"/>
    <col min="14632" max="14632" width="7.7109375" bestFit="1" customWidth="1"/>
    <col min="14633" max="14634" width="14.42578125" bestFit="1" customWidth="1"/>
    <col min="14635" max="14635" width="11.5703125" bestFit="1" customWidth="1"/>
    <col min="14636" max="14636" width="7.7109375" bestFit="1" customWidth="1"/>
    <col min="14637" max="14637" width="13.5703125" customWidth="1"/>
    <col min="14638" max="14638" width="15.28515625" customWidth="1"/>
    <col min="14639" max="14639" width="14.5703125" customWidth="1"/>
    <col min="14640" max="14640" width="13.28515625" bestFit="1" customWidth="1"/>
    <col min="14641" max="14641" width="7.7109375" bestFit="1" customWidth="1"/>
    <col min="14642" max="14642" width="12.7109375" bestFit="1" customWidth="1"/>
    <col min="14643" max="14643" width="11.7109375" bestFit="1" customWidth="1"/>
    <col min="14644" max="14644" width="11.5703125" bestFit="1" customWidth="1"/>
    <col min="14645" max="14645" width="5.28515625" bestFit="1" customWidth="1"/>
    <col min="14646" max="14646" width="13.28515625" bestFit="1" customWidth="1"/>
    <col min="14647" max="14647" width="13.5703125" bestFit="1" customWidth="1"/>
    <col min="14648" max="14648" width="10.5703125" bestFit="1" customWidth="1"/>
    <col min="14649" max="14649" width="13.28515625" bestFit="1" customWidth="1"/>
    <col min="14650" max="14650" width="11.5703125" bestFit="1" customWidth="1"/>
    <col min="14651" max="14651" width="10.5703125" bestFit="1" customWidth="1"/>
    <col min="14652" max="14652" width="16.140625" bestFit="1" customWidth="1"/>
    <col min="14653" max="14654" width="11.28515625" bestFit="1" customWidth="1"/>
    <col min="14655" max="14655" width="13.28515625" bestFit="1" customWidth="1"/>
    <col min="14656" max="14656" width="7.7109375" bestFit="1" customWidth="1"/>
    <col min="14657" max="14660" width="9.140625" hidden="1" customWidth="1"/>
    <col min="14661" max="14661" width="10.42578125" bestFit="1" customWidth="1"/>
    <col min="14662" max="14662" width="10.5703125" bestFit="1" customWidth="1"/>
    <col min="14663" max="14663" width="10.42578125" bestFit="1" customWidth="1"/>
    <col min="14664" max="14664" width="10.5703125" bestFit="1" customWidth="1"/>
    <col min="14665" max="14665" width="9.5703125" bestFit="1" customWidth="1"/>
    <col min="14666" max="14666" width="11.5703125" bestFit="1" customWidth="1"/>
    <col min="14667" max="14667" width="10.42578125" bestFit="1" customWidth="1"/>
    <col min="14668" max="14668" width="10.85546875" customWidth="1"/>
    <col min="14669" max="14670" width="9.85546875" bestFit="1" customWidth="1"/>
    <col min="14671" max="14671" width="13.5703125" bestFit="1" customWidth="1"/>
    <col min="14672" max="14672" width="7.7109375" bestFit="1" customWidth="1"/>
    <col min="14673" max="14673" width="13.28515625" bestFit="1" customWidth="1"/>
    <col min="14674" max="14674" width="11.5703125" bestFit="1" customWidth="1"/>
    <col min="14675" max="14675" width="10.42578125" bestFit="1" customWidth="1"/>
    <col min="14676" max="14676" width="7.7109375" bestFit="1" customWidth="1"/>
    <col min="14677" max="14677" width="11.5703125" bestFit="1" customWidth="1"/>
    <col min="14678" max="14678" width="10.85546875" bestFit="1" customWidth="1"/>
    <col min="14679" max="14679" width="13.28515625" bestFit="1" customWidth="1"/>
    <col min="14680" max="14680" width="10.85546875" bestFit="1" customWidth="1"/>
    <col min="14681" max="14682" width="7.5703125" bestFit="1" customWidth="1"/>
    <col min="14683" max="14684" width="10.42578125" bestFit="1" customWidth="1"/>
    <col min="14685" max="14685" width="11.5703125" bestFit="1" customWidth="1"/>
    <col min="14686" max="14686" width="5.28515625" bestFit="1" customWidth="1"/>
    <col min="14687" max="14687" width="10.28515625" bestFit="1" customWidth="1"/>
    <col min="14688" max="14688" width="10.42578125" bestFit="1" customWidth="1"/>
    <col min="14689" max="14689" width="11.5703125" bestFit="1" customWidth="1"/>
    <col min="14690" max="14690" width="5.28515625" bestFit="1" customWidth="1"/>
    <col min="14691" max="14693" width="11.5703125" bestFit="1" customWidth="1"/>
    <col min="14694" max="14694" width="5.28515625" bestFit="1" customWidth="1"/>
    <col min="14695" max="14696" width="10.42578125" bestFit="1" customWidth="1"/>
    <col min="14697" max="14697" width="11.5703125" bestFit="1" customWidth="1"/>
    <col min="14698" max="14698" width="5.28515625" bestFit="1" customWidth="1"/>
    <col min="14699" max="14699" width="14.28515625" bestFit="1" customWidth="1"/>
    <col min="14700" max="14700" width="13" bestFit="1" customWidth="1"/>
    <col min="14701" max="14701" width="11.5703125" bestFit="1" customWidth="1"/>
    <col min="14702" max="14702" width="8.85546875" bestFit="1" customWidth="1"/>
    <col min="14703" max="14703" width="14.42578125" bestFit="1" customWidth="1"/>
    <col min="14704" max="14704" width="10.42578125" bestFit="1" customWidth="1"/>
    <col min="14705" max="14705" width="12.28515625" bestFit="1" customWidth="1"/>
    <col min="14706" max="14706" width="13.85546875" bestFit="1" customWidth="1"/>
    <col min="14707" max="14707" width="11.28515625" customWidth="1"/>
    <col min="14708" max="14708" width="11.5703125" customWidth="1"/>
    <col min="14709" max="14709" width="13.42578125" bestFit="1" customWidth="1"/>
    <col min="14710" max="14710" width="10.42578125" customWidth="1"/>
    <col min="14711" max="14711" width="13.85546875" bestFit="1" customWidth="1"/>
    <col min="14712" max="14712" width="15.42578125" bestFit="1" customWidth="1"/>
    <col min="14713" max="14713" width="12.28515625" bestFit="1" customWidth="1"/>
    <col min="14714" max="14714" width="12.7109375" customWidth="1"/>
    <col min="14715" max="14715" width="10.7109375" bestFit="1" customWidth="1"/>
    <col min="14716" max="14716" width="9.85546875" customWidth="1"/>
    <col min="14717" max="14718" width="10.140625" bestFit="1" customWidth="1"/>
    <col min="14719" max="14719" width="7.5703125" bestFit="1" customWidth="1"/>
    <col min="14720" max="14720" width="9.42578125" bestFit="1" customWidth="1"/>
    <col min="14721" max="14721" width="14.5703125" bestFit="1" customWidth="1"/>
    <col min="14722" max="14722" width="14.85546875" customWidth="1"/>
    <col min="14723" max="14723" width="15.140625" bestFit="1" customWidth="1"/>
    <col min="14724" max="14724" width="12.140625" bestFit="1" customWidth="1"/>
    <col min="14725" max="14725" width="14.85546875" bestFit="1" customWidth="1"/>
    <col min="14726" max="14726" width="12.28515625" bestFit="1" customWidth="1"/>
    <col min="14727" max="14735" width="9.140625" hidden="1" customWidth="1"/>
    <col min="14736" max="14736" width="5.28515625" bestFit="1" customWidth="1"/>
    <col min="14737" max="14742" width="11.5703125" bestFit="1" customWidth="1"/>
    <col min="14743" max="14743" width="11.28515625" bestFit="1" customWidth="1"/>
    <col min="14744" max="14744" width="10.140625" bestFit="1" customWidth="1"/>
    <col min="14745" max="14745" width="11.5703125" bestFit="1" customWidth="1"/>
    <col min="14746" max="14746" width="16.140625" customWidth="1"/>
    <col min="14747" max="14747" width="13.42578125" customWidth="1"/>
    <col min="14748" max="14748" width="10.140625" bestFit="1" customWidth="1"/>
    <col min="14749" max="14749" width="12.85546875" bestFit="1" customWidth="1"/>
    <col min="14750" max="14750" width="12.28515625" bestFit="1" customWidth="1"/>
    <col min="14751" max="14751" width="11.28515625" bestFit="1" customWidth="1"/>
    <col min="14752" max="14752" width="11.5703125" bestFit="1" customWidth="1"/>
    <col min="14753" max="14753" width="10.85546875" bestFit="1" customWidth="1"/>
    <col min="14754" max="14754" width="11.28515625" bestFit="1" customWidth="1"/>
    <col min="14755" max="14755" width="10.140625" bestFit="1" customWidth="1"/>
    <col min="14756" max="14756" width="13.28515625" bestFit="1" customWidth="1"/>
    <col min="14757" max="14758" width="12.7109375" bestFit="1" customWidth="1"/>
    <col min="14759" max="14759" width="11" bestFit="1" customWidth="1"/>
    <col min="14760" max="14760" width="11.28515625" bestFit="1" customWidth="1"/>
    <col min="14761" max="14761" width="11.5703125" bestFit="1" customWidth="1"/>
    <col min="14762" max="14762" width="12.28515625" bestFit="1" customWidth="1"/>
    <col min="14763" max="14763" width="15.140625" bestFit="1" customWidth="1"/>
    <col min="14764" max="14764" width="14.42578125" bestFit="1" customWidth="1"/>
    <col min="14765" max="14765" width="12.28515625" bestFit="1" customWidth="1"/>
    <col min="14766" max="14766" width="15.140625" bestFit="1" customWidth="1"/>
    <col min="14767" max="14767" width="14.42578125" bestFit="1" customWidth="1"/>
    <col min="14768" max="14768" width="12.28515625" bestFit="1" customWidth="1"/>
    <col min="14769" max="14769" width="14.42578125" bestFit="1" customWidth="1"/>
    <col min="14770" max="14770" width="11.28515625" bestFit="1" customWidth="1"/>
    <col min="14771" max="14771" width="12.28515625" bestFit="1" customWidth="1"/>
    <col min="14772" max="14772" width="13" bestFit="1" customWidth="1"/>
    <col min="14773" max="14773" width="15.140625" bestFit="1" customWidth="1"/>
    <col min="14774" max="14774" width="12.28515625" bestFit="1" customWidth="1"/>
    <col min="14775" max="14775" width="13.85546875" bestFit="1" customWidth="1"/>
    <col min="14776" max="14776" width="11.28515625" bestFit="1" customWidth="1"/>
    <col min="14777" max="14777" width="12.28515625" bestFit="1" customWidth="1"/>
    <col min="14778" max="14778" width="13.85546875" bestFit="1" customWidth="1"/>
    <col min="14779" max="14780" width="15.140625" bestFit="1" customWidth="1"/>
    <col min="14781" max="14781" width="12.28515625" bestFit="1" customWidth="1"/>
    <col min="14782" max="14782" width="5.7109375" bestFit="1" customWidth="1"/>
    <col min="14783" max="14783" width="8.5703125" bestFit="1" customWidth="1"/>
    <col min="14784" max="14784" width="5.5703125" bestFit="1" customWidth="1"/>
    <col min="14785" max="14785" width="14.42578125" bestFit="1" customWidth="1"/>
    <col min="14786" max="14786" width="11.28515625" bestFit="1" customWidth="1"/>
    <col min="14787" max="14788" width="12.28515625" bestFit="1" customWidth="1"/>
    <col min="14789" max="14789" width="11.28515625" bestFit="1" customWidth="1"/>
    <col min="14790" max="14790" width="13.85546875" bestFit="1" customWidth="1"/>
    <col min="14791" max="14791" width="12" bestFit="1" customWidth="1"/>
    <col min="14792" max="14792" width="13.85546875" bestFit="1" customWidth="1"/>
    <col min="14793" max="14794" width="14.42578125" customWidth="1"/>
    <col min="14795" max="14795" width="10.140625" bestFit="1" customWidth="1"/>
    <col min="14796" max="14796" width="12.28515625" bestFit="1" customWidth="1"/>
    <col min="14797" max="14797" width="7.42578125" bestFit="1" customWidth="1"/>
    <col min="14798" max="14798" width="8.5703125" bestFit="1" customWidth="1"/>
    <col min="14799" max="14799" width="11.5703125" bestFit="1" customWidth="1"/>
    <col min="14800" max="14800" width="13.28515625" bestFit="1" customWidth="1"/>
    <col min="14801" max="14801" width="13.28515625" customWidth="1"/>
    <col min="14802" max="14802" width="13.140625" customWidth="1"/>
    <col min="14803" max="14803" width="12.7109375" bestFit="1" customWidth="1"/>
    <col min="14804" max="14804" width="13.28515625" bestFit="1" customWidth="1"/>
    <col min="14805" max="14807" width="13.28515625" customWidth="1"/>
    <col min="14808" max="14808" width="12.140625" bestFit="1" customWidth="1"/>
    <col min="14809" max="14809" width="12.7109375" bestFit="1" customWidth="1"/>
    <col min="14810" max="14810" width="11" customWidth="1"/>
    <col min="14811" max="14811" width="16.7109375" customWidth="1"/>
    <col min="14812" max="14812" width="17" customWidth="1"/>
    <col min="14813" max="14813" width="10.42578125" bestFit="1" customWidth="1"/>
    <col min="14857" max="14857" width="3.85546875" customWidth="1"/>
    <col min="14858" max="14858" width="15.28515625" bestFit="1" customWidth="1"/>
    <col min="14859" max="14859" width="12.28515625" customWidth="1"/>
    <col min="14860" max="14860" width="16.28515625" bestFit="1" customWidth="1"/>
    <col min="14861" max="14861" width="6.42578125" bestFit="1" customWidth="1"/>
    <col min="14862" max="14862" width="9.28515625" bestFit="1" customWidth="1"/>
    <col min="14863" max="14863" width="7.5703125" bestFit="1" customWidth="1"/>
    <col min="14864" max="14864" width="13.28515625" bestFit="1" customWidth="1"/>
    <col min="14865" max="14865" width="9.28515625" bestFit="1" customWidth="1"/>
    <col min="14866" max="14866" width="11.5703125" bestFit="1" customWidth="1"/>
    <col min="14867" max="14867" width="13.28515625" bestFit="1" customWidth="1"/>
    <col min="14868" max="14868" width="7.140625" bestFit="1" customWidth="1"/>
    <col min="14869" max="14869" width="12" bestFit="1" customWidth="1"/>
    <col min="14870" max="14870" width="13.28515625" bestFit="1" customWidth="1"/>
    <col min="14871" max="14871" width="7" bestFit="1" customWidth="1"/>
    <col min="14872" max="14872" width="12.7109375" bestFit="1" customWidth="1"/>
    <col min="14873" max="14873" width="11.5703125" bestFit="1" customWidth="1"/>
    <col min="14874" max="14874" width="10.5703125" bestFit="1" customWidth="1"/>
    <col min="14875" max="14876" width="15.7109375" bestFit="1" customWidth="1"/>
    <col min="14877" max="14877" width="11.5703125" bestFit="1" customWidth="1"/>
    <col min="14878" max="14878" width="7.7109375" bestFit="1" customWidth="1"/>
    <col min="14879" max="14879" width="15.140625" bestFit="1" customWidth="1"/>
    <col min="14880" max="14880" width="11.5703125" bestFit="1" customWidth="1"/>
    <col min="14881" max="14881" width="13.28515625" bestFit="1" customWidth="1"/>
    <col min="14882" max="14882" width="10.42578125" bestFit="1" customWidth="1"/>
    <col min="14883" max="14883" width="13.28515625" bestFit="1" customWidth="1"/>
    <col min="14884" max="14884" width="12.140625" bestFit="1" customWidth="1"/>
    <col min="14885" max="14885" width="14.42578125" bestFit="1" customWidth="1"/>
    <col min="14886" max="14886" width="13.28515625" bestFit="1" customWidth="1"/>
    <col min="14887" max="14887" width="11.5703125" bestFit="1" customWidth="1"/>
    <col min="14888" max="14888" width="7.7109375" bestFit="1" customWidth="1"/>
    <col min="14889" max="14890" width="14.42578125" bestFit="1" customWidth="1"/>
    <col min="14891" max="14891" width="11.5703125" bestFit="1" customWidth="1"/>
    <col min="14892" max="14892" width="7.7109375" bestFit="1" customWidth="1"/>
    <col min="14893" max="14893" width="13.5703125" customWidth="1"/>
    <col min="14894" max="14894" width="15.28515625" customWidth="1"/>
    <col min="14895" max="14895" width="14.5703125" customWidth="1"/>
    <col min="14896" max="14896" width="13.28515625" bestFit="1" customWidth="1"/>
    <col min="14897" max="14897" width="7.7109375" bestFit="1" customWidth="1"/>
    <col min="14898" max="14898" width="12.7109375" bestFit="1" customWidth="1"/>
    <col min="14899" max="14899" width="11.7109375" bestFit="1" customWidth="1"/>
    <col min="14900" max="14900" width="11.5703125" bestFit="1" customWidth="1"/>
    <col min="14901" max="14901" width="5.28515625" bestFit="1" customWidth="1"/>
    <col min="14902" max="14902" width="13.28515625" bestFit="1" customWidth="1"/>
    <col min="14903" max="14903" width="13.5703125" bestFit="1" customWidth="1"/>
    <col min="14904" max="14904" width="10.5703125" bestFit="1" customWidth="1"/>
    <col min="14905" max="14905" width="13.28515625" bestFit="1" customWidth="1"/>
    <col min="14906" max="14906" width="11.5703125" bestFit="1" customWidth="1"/>
    <col min="14907" max="14907" width="10.5703125" bestFit="1" customWidth="1"/>
    <col min="14908" max="14908" width="16.140625" bestFit="1" customWidth="1"/>
    <col min="14909" max="14910" width="11.28515625" bestFit="1" customWidth="1"/>
    <col min="14911" max="14911" width="13.28515625" bestFit="1" customWidth="1"/>
    <col min="14912" max="14912" width="7.7109375" bestFit="1" customWidth="1"/>
    <col min="14913" max="14916" width="9.140625" hidden="1" customWidth="1"/>
    <col min="14917" max="14917" width="10.42578125" bestFit="1" customWidth="1"/>
    <col min="14918" max="14918" width="10.5703125" bestFit="1" customWidth="1"/>
    <col min="14919" max="14919" width="10.42578125" bestFit="1" customWidth="1"/>
    <col min="14920" max="14920" width="10.5703125" bestFit="1" customWidth="1"/>
    <col min="14921" max="14921" width="9.5703125" bestFit="1" customWidth="1"/>
    <col min="14922" max="14922" width="11.5703125" bestFit="1" customWidth="1"/>
    <col min="14923" max="14923" width="10.42578125" bestFit="1" customWidth="1"/>
    <col min="14924" max="14924" width="10.85546875" customWidth="1"/>
    <col min="14925" max="14926" width="9.85546875" bestFit="1" customWidth="1"/>
    <col min="14927" max="14927" width="13.5703125" bestFit="1" customWidth="1"/>
    <col min="14928" max="14928" width="7.7109375" bestFit="1" customWidth="1"/>
    <col min="14929" max="14929" width="13.28515625" bestFit="1" customWidth="1"/>
    <col min="14930" max="14930" width="11.5703125" bestFit="1" customWidth="1"/>
    <col min="14931" max="14931" width="10.42578125" bestFit="1" customWidth="1"/>
    <col min="14932" max="14932" width="7.7109375" bestFit="1" customWidth="1"/>
    <col min="14933" max="14933" width="11.5703125" bestFit="1" customWidth="1"/>
    <col min="14934" max="14934" width="10.85546875" bestFit="1" customWidth="1"/>
    <col min="14935" max="14935" width="13.28515625" bestFit="1" customWidth="1"/>
    <col min="14936" max="14936" width="10.85546875" bestFit="1" customWidth="1"/>
    <col min="14937" max="14938" width="7.5703125" bestFit="1" customWidth="1"/>
    <col min="14939" max="14940" width="10.42578125" bestFit="1" customWidth="1"/>
    <col min="14941" max="14941" width="11.5703125" bestFit="1" customWidth="1"/>
    <col min="14942" max="14942" width="5.28515625" bestFit="1" customWidth="1"/>
    <col min="14943" max="14943" width="10.28515625" bestFit="1" customWidth="1"/>
    <col min="14944" max="14944" width="10.42578125" bestFit="1" customWidth="1"/>
    <col min="14945" max="14945" width="11.5703125" bestFit="1" customWidth="1"/>
    <col min="14946" max="14946" width="5.28515625" bestFit="1" customWidth="1"/>
    <col min="14947" max="14949" width="11.5703125" bestFit="1" customWidth="1"/>
    <col min="14950" max="14950" width="5.28515625" bestFit="1" customWidth="1"/>
    <col min="14951" max="14952" width="10.42578125" bestFit="1" customWidth="1"/>
    <col min="14953" max="14953" width="11.5703125" bestFit="1" customWidth="1"/>
    <col min="14954" max="14954" width="5.28515625" bestFit="1" customWidth="1"/>
    <col min="14955" max="14955" width="14.28515625" bestFit="1" customWidth="1"/>
    <col min="14956" max="14956" width="13" bestFit="1" customWidth="1"/>
    <col min="14957" max="14957" width="11.5703125" bestFit="1" customWidth="1"/>
    <col min="14958" max="14958" width="8.85546875" bestFit="1" customWidth="1"/>
    <col min="14959" max="14959" width="14.42578125" bestFit="1" customWidth="1"/>
    <col min="14960" max="14960" width="10.42578125" bestFit="1" customWidth="1"/>
    <col min="14961" max="14961" width="12.28515625" bestFit="1" customWidth="1"/>
    <col min="14962" max="14962" width="13.85546875" bestFit="1" customWidth="1"/>
    <col min="14963" max="14963" width="11.28515625" customWidth="1"/>
    <col min="14964" max="14964" width="11.5703125" customWidth="1"/>
    <col min="14965" max="14965" width="13.42578125" bestFit="1" customWidth="1"/>
    <col min="14966" max="14966" width="10.42578125" customWidth="1"/>
    <col min="14967" max="14967" width="13.85546875" bestFit="1" customWidth="1"/>
    <col min="14968" max="14968" width="15.42578125" bestFit="1" customWidth="1"/>
    <col min="14969" max="14969" width="12.28515625" bestFit="1" customWidth="1"/>
    <col min="14970" max="14970" width="12.7109375" customWidth="1"/>
    <col min="14971" max="14971" width="10.7109375" bestFit="1" customWidth="1"/>
    <col min="14972" max="14972" width="9.85546875" customWidth="1"/>
    <col min="14973" max="14974" width="10.140625" bestFit="1" customWidth="1"/>
    <col min="14975" max="14975" width="7.5703125" bestFit="1" customWidth="1"/>
    <col min="14976" max="14976" width="9.42578125" bestFit="1" customWidth="1"/>
    <col min="14977" max="14977" width="14.5703125" bestFit="1" customWidth="1"/>
    <col min="14978" max="14978" width="14.85546875" customWidth="1"/>
    <col min="14979" max="14979" width="15.140625" bestFit="1" customWidth="1"/>
    <col min="14980" max="14980" width="12.140625" bestFit="1" customWidth="1"/>
    <col min="14981" max="14981" width="14.85546875" bestFit="1" customWidth="1"/>
    <col min="14982" max="14982" width="12.28515625" bestFit="1" customWidth="1"/>
    <col min="14983" max="14991" width="9.140625" hidden="1" customWidth="1"/>
    <col min="14992" max="14992" width="5.28515625" bestFit="1" customWidth="1"/>
    <col min="14993" max="14998" width="11.5703125" bestFit="1" customWidth="1"/>
    <col min="14999" max="14999" width="11.28515625" bestFit="1" customWidth="1"/>
    <col min="15000" max="15000" width="10.140625" bestFit="1" customWidth="1"/>
    <col min="15001" max="15001" width="11.5703125" bestFit="1" customWidth="1"/>
    <col min="15002" max="15002" width="16.140625" customWidth="1"/>
    <col min="15003" max="15003" width="13.42578125" customWidth="1"/>
    <col min="15004" max="15004" width="10.140625" bestFit="1" customWidth="1"/>
    <col min="15005" max="15005" width="12.85546875" bestFit="1" customWidth="1"/>
    <col min="15006" max="15006" width="12.28515625" bestFit="1" customWidth="1"/>
    <col min="15007" max="15007" width="11.28515625" bestFit="1" customWidth="1"/>
    <col min="15008" max="15008" width="11.5703125" bestFit="1" customWidth="1"/>
    <col min="15009" max="15009" width="10.85546875" bestFit="1" customWidth="1"/>
    <col min="15010" max="15010" width="11.28515625" bestFit="1" customWidth="1"/>
    <col min="15011" max="15011" width="10.140625" bestFit="1" customWidth="1"/>
    <col min="15012" max="15012" width="13.28515625" bestFit="1" customWidth="1"/>
    <col min="15013" max="15014" width="12.7109375" bestFit="1" customWidth="1"/>
    <col min="15015" max="15015" width="11" bestFit="1" customWidth="1"/>
    <col min="15016" max="15016" width="11.28515625" bestFit="1" customWidth="1"/>
    <col min="15017" max="15017" width="11.5703125" bestFit="1" customWidth="1"/>
    <col min="15018" max="15018" width="12.28515625" bestFit="1" customWidth="1"/>
    <col min="15019" max="15019" width="15.140625" bestFit="1" customWidth="1"/>
    <col min="15020" max="15020" width="14.42578125" bestFit="1" customWidth="1"/>
    <col min="15021" max="15021" width="12.28515625" bestFit="1" customWidth="1"/>
    <col min="15022" max="15022" width="15.140625" bestFit="1" customWidth="1"/>
    <col min="15023" max="15023" width="14.42578125" bestFit="1" customWidth="1"/>
    <col min="15024" max="15024" width="12.28515625" bestFit="1" customWidth="1"/>
    <col min="15025" max="15025" width="14.42578125" bestFit="1" customWidth="1"/>
    <col min="15026" max="15026" width="11.28515625" bestFit="1" customWidth="1"/>
    <col min="15027" max="15027" width="12.28515625" bestFit="1" customWidth="1"/>
    <col min="15028" max="15028" width="13" bestFit="1" customWidth="1"/>
    <col min="15029" max="15029" width="15.140625" bestFit="1" customWidth="1"/>
    <col min="15030" max="15030" width="12.28515625" bestFit="1" customWidth="1"/>
    <col min="15031" max="15031" width="13.85546875" bestFit="1" customWidth="1"/>
    <col min="15032" max="15032" width="11.28515625" bestFit="1" customWidth="1"/>
    <col min="15033" max="15033" width="12.28515625" bestFit="1" customWidth="1"/>
    <col min="15034" max="15034" width="13.85546875" bestFit="1" customWidth="1"/>
    <col min="15035" max="15036" width="15.140625" bestFit="1" customWidth="1"/>
    <col min="15037" max="15037" width="12.28515625" bestFit="1" customWidth="1"/>
    <col min="15038" max="15038" width="5.7109375" bestFit="1" customWidth="1"/>
    <col min="15039" max="15039" width="8.5703125" bestFit="1" customWidth="1"/>
    <col min="15040" max="15040" width="5.5703125" bestFit="1" customWidth="1"/>
    <col min="15041" max="15041" width="14.42578125" bestFit="1" customWidth="1"/>
    <col min="15042" max="15042" width="11.28515625" bestFit="1" customWidth="1"/>
    <col min="15043" max="15044" width="12.28515625" bestFit="1" customWidth="1"/>
    <col min="15045" max="15045" width="11.28515625" bestFit="1" customWidth="1"/>
    <col min="15046" max="15046" width="13.85546875" bestFit="1" customWidth="1"/>
    <col min="15047" max="15047" width="12" bestFit="1" customWidth="1"/>
    <col min="15048" max="15048" width="13.85546875" bestFit="1" customWidth="1"/>
    <col min="15049" max="15050" width="14.42578125" customWidth="1"/>
    <col min="15051" max="15051" width="10.140625" bestFit="1" customWidth="1"/>
    <col min="15052" max="15052" width="12.28515625" bestFit="1" customWidth="1"/>
    <col min="15053" max="15053" width="7.42578125" bestFit="1" customWidth="1"/>
    <col min="15054" max="15054" width="8.5703125" bestFit="1" customWidth="1"/>
    <col min="15055" max="15055" width="11.5703125" bestFit="1" customWidth="1"/>
    <col min="15056" max="15056" width="13.28515625" bestFit="1" customWidth="1"/>
    <col min="15057" max="15057" width="13.28515625" customWidth="1"/>
    <col min="15058" max="15058" width="13.140625" customWidth="1"/>
    <col min="15059" max="15059" width="12.7109375" bestFit="1" customWidth="1"/>
    <col min="15060" max="15060" width="13.28515625" bestFit="1" customWidth="1"/>
    <col min="15061" max="15063" width="13.28515625" customWidth="1"/>
    <col min="15064" max="15064" width="12.140625" bestFit="1" customWidth="1"/>
    <col min="15065" max="15065" width="12.7109375" bestFit="1" customWidth="1"/>
    <col min="15066" max="15066" width="11" customWidth="1"/>
    <col min="15067" max="15067" width="16.7109375" customWidth="1"/>
    <col min="15068" max="15068" width="17" customWidth="1"/>
    <col min="15069" max="15069" width="10.42578125" bestFit="1" customWidth="1"/>
    <col min="15113" max="15113" width="3.85546875" customWidth="1"/>
    <col min="15114" max="15114" width="15.28515625" bestFit="1" customWidth="1"/>
    <col min="15115" max="15115" width="12.28515625" customWidth="1"/>
    <col min="15116" max="15116" width="16.28515625" bestFit="1" customWidth="1"/>
    <col min="15117" max="15117" width="6.42578125" bestFit="1" customWidth="1"/>
    <col min="15118" max="15118" width="9.28515625" bestFit="1" customWidth="1"/>
    <col min="15119" max="15119" width="7.5703125" bestFit="1" customWidth="1"/>
    <col min="15120" max="15120" width="13.28515625" bestFit="1" customWidth="1"/>
    <col min="15121" max="15121" width="9.28515625" bestFit="1" customWidth="1"/>
    <col min="15122" max="15122" width="11.5703125" bestFit="1" customWidth="1"/>
    <col min="15123" max="15123" width="13.28515625" bestFit="1" customWidth="1"/>
    <col min="15124" max="15124" width="7.140625" bestFit="1" customWidth="1"/>
    <col min="15125" max="15125" width="12" bestFit="1" customWidth="1"/>
    <col min="15126" max="15126" width="13.28515625" bestFit="1" customWidth="1"/>
    <col min="15127" max="15127" width="7" bestFit="1" customWidth="1"/>
    <col min="15128" max="15128" width="12.7109375" bestFit="1" customWidth="1"/>
    <col min="15129" max="15129" width="11.5703125" bestFit="1" customWidth="1"/>
    <col min="15130" max="15130" width="10.5703125" bestFit="1" customWidth="1"/>
    <col min="15131" max="15132" width="15.7109375" bestFit="1" customWidth="1"/>
    <col min="15133" max="15133" width="11.5703125" bestFit="1" customWidth="1"/>
    <col min="15134" max="15134" width="7.7109375" bestFit="1" customWidth="1"/>
    <col min="15135" max="15135" width="15.140625" bestFit="1" customWidth="1"/>
    <col min="15136" max="15136" width="11.5703125" bestFit="1" customWidth="1"/>
    <col min="15137" max="15137" width="13.28515625" bestFit="1" customWidth="1"/>
    <col min="15138" max="15138" width="10.42578125" bestFit="1" customWidth="1"/>
    <col min="15139" max="15139" width="13.28515625" bestFit="1" customWidth="1"/>
    <col min="15140" max="15140" width="12.140625" bestFit="1" customWidth="1"/>
    <col min="15141" max="15141" width="14.42578125" bestFit="1" customWidth="1"/>
    <col min="15142" max="15142" width="13.28515625" bestFit="1" customWidth="1"/>
    <col min="15143" max="15143" width="11.5703125" bestFit="1" customWidth="1"/>
    <col min="15144" max="15144" width="7.7109375" bestFit="1" customWidth="1"/>
    <col min="15145" max="15146" width="14.42578125" bestFit="1" customWidth="1"/>
    <col min="15147" max="15147" width="11.5703125" bestFit="1" customWidth="1"/>
    <col min="15148" max="15148" width="7.7109375" bestFit="1" customWidth="1"/>
    <col min="15149" max="15149" width="13.5703125" customWidth="1"/>
    <col min="15150" max="15150" width="15.28515625" customWidth="1"/>
    <col min="15151" max="15151" width="14.5703125" customWidth="1"/>
    <col min="15152" max="15152" width="13.28515625" bestFit="1" customWidth="1"/>
    <col min="15153" max="15153" width="7.7109375" bestFit="1" customWidth="1"/>
    <col min="15154" max="15154" width="12.7109375" bestFit="1" customWidth="1"/>
    <col min="15155" max="15155" width="11.7109375" bestFit="1" customWidth="1"/>
    <col min="15156" max="15156" width="11.5703125" bestFit="1" customWidth="1"/>
    <col min="15157" max="15157" width="5.28515625" bestFit="1" customWidth="1"/>
    <col min="15158" max="15158" width="13.28515625" bestFit="1" customWidth="1"/>
    <col min="15159" max="15159" width="13.5703125" bestFit="1" customWidth="1"/>
    <col min="15160" max="15160" width="10.5703125" bestFit="1" customWidth="1"/>
    <col min="15161" max="15161" width="13.28515625" bestFit="1" customWidth="1"/>
    <col min="15162" max="15162" width="11.5703125" bestFit="1" customWidth="1"/>
    <col min="15163" max="15163" width="10.5703125" bestFit="1" customWidth="1"/>
    <col min="15164" max="15164" width="16.140625" bestFit="1" customWidth="1"/>
    <col min="15165" max="15166" width="11.28515625" bestFit="1" customWidth="1"/>
    <col min="15167" max="15167" width="13.28515625" bestFit="1" customWidth="1"/>
    <col min="15168" max="15168" width="7.7109375" bestFit="1" customWidth="1"/>
    <col min="15169" max="15172" width="9.140625" hidden="1" customWidth="1"/>
    <col min="15173" max="15173" width="10.42578125" bestFit="1" customWidth="1"/>
    <col min="15174" max="15174" width="10.5703125" bestFit="1" customWidth="1"/>
    <col min="15175" max="15175" width="10.42578125" bestFit="1" customWidth="1"/>
    <col min="15176" max="15176" width="10.5703125" bestFit="1" customWidth="1"/>
    <col min="15177" max="15177" width="9.5703125" bestFit="1" customWidth="1"/>
    <col min="15178" max="15178" width="11.5703125" bestFit="1" customWidth="1"/>
    <col min="15179" max="15179" width="10.42578125" bestFit="1" customWidth="1"/>
    <col min="15180" max="15180" width="10.85546875" customWidth="1"/>
    <col min="15181" max="15182" width="9.85546875" bestFit="1" customWidth="1"/>
    <col min="15183" max="15183" width="13.5703125" bestFit="1" customWidth="1"/>
    <col min="15184" max="15184" width="7.7109375" bestFit="1" customWidth="1"/>
    <col min="15185" max="15185" width="13.28515625" bestFit="1" customWidth="1"/>
    <col min="15186" max="15186" width="11.5703125" bestFit="1" customWidth="1"/>
    <col min="15187" max="15187" width="10.42578125" bestFit="1" customWidth="1"/>
    <col min="15188" max="15188" width="7.7109375" bestFit="1" customWidth="1"/>
    <col min="15189" max="15189" width="11.5703125" bestFit="1" customWidth="1"/>
    <col min="15190" max="15190" width="10.85546875" bestFit="1" customWidth="1"/>
    <col min="15191" max="15191" width="13.28515625" bestFit="1" customWidth="1"/>
    <col min="15192" max="15192" width="10.85546875" bestFit="1" customWidth="1"/>
    <col min="15193" max="15194" width="7.5703125" bestFit="1" customWidth="1"/>
    <col min="15195" max="15196" width="10.42578125" bestFit="1" customWidth="1"/>
    <col min="15197" max="15197" width="11.5703125" bestFit="1" customWidth="1"/>
    <col min="15198" max="15198" width="5.28515625" bestFit="1" customWidth="1"/>
    <col min="15199" max="15199" width="10.28515625" bestFit="1" customWidth="1"/>
    <col min="15200" max="15200" width="10.42578125" bestFit="1" customWidth="1"/>
    <col min="15201" max="15201" width="11.5703125" bestFit="1" customWidth="1"/>
    <col min="15202" max="15202" width="5.28515625" bestFit="1" customWidth="1"/>
    <col min="15203" max="15205" width="11.5703125" bestFit="1" customWidth="1"/>
    <col min="15206" max="15206" width="5.28515625" bestFit="1" customWidth="1"/>
    <col min="15207" max="15208" width="10.42578125" bestFit="1" customWidth="1"/>
    <col min="15209" max="15209" width="11.5703125" bestFit="1" customWidth="1"/>
    <col min="15210" max="15210" width="5.28515625" bestFit="1" customWidth="1"/>
    <col min="15211" max="15211" width="14.28515625" bestFit="1" customWidth="1"/>
    <col min="15212" max="15212" width="13" bestFit="1" customWidth="1"/>
    <col min="15213" max="15213" width="11.5703125" bestFit="1" customWidth="1"/>
    <col min="15214" max="15214" width="8.85546875" bestFit="1" customWidth="1"/>
    <col min="15215" max="15215" width="14.42578125" bestFit="1" customWidth="1"/>
    <col min="15216" max="15216" width="10.42578125" bestFit="1" customWidth="1"/>
    <col min="15217" max="15217" width="12.28515625" bestFit="1" customWidth="1"/>
    <col min="15218" max="15218" width="13.85546875" bestFit="1" customWidth="1"/>
    <col min="15219" max="15219" width="11.28515625" customWidth="1"/>
    <col min="15220" max="15220" width="11.5703125" customWidth="1"/>
    <col min="15221" max="15221" width="13.42578125" bestFit="1" customWidth="1"/>
    <col min="15222" max="15222" width="10.42578125" customWidth="1"/>
    <col min="15223" max="15223" width="13.85546875" bestFit="1" customWidth="1"/>
    <col min="15224" max="15224" width="15.42578125" bestFit="1" customWidth="1"/>
    <col min="15225" max="15225" width="12.28515625" bestFit="1" customWidth="1"/>
    <col min="15226" max="15226" width="12.7109375" customWidth="1"/>
    <col min="15227" max="15227" width="10.7109375" bestFit="1" customWidth="1"/>
    <col min="15228" max="15228" width="9.85546875" customWidth="1"/>
    <col min="15229" max="15230" width="10.140625" bestFit="1" customWidth="1"/>
    <col min="15231" max="15231" width="7.5703125" bestFit="1" customWidth="1"/>
    <col min="15232" max="15232" width="9.42578125" bestFit="1" customWidth="1"/>
    <col min="15233" max="15233" width="14.5703125" bestFit="1" customWidth="1"/>
    <col min="15234" max="15234" width="14.85546875" customWidth="1"/>
    <col min="15235" max="15235" width="15.140625" bestFit="1" customWidth="1"/>
    <col min="15236" max="15236" width="12.140625" bestFit="1" customWidth="1"/>
    <col min="15237" max="15237" width="14.85546875" bestFit="1" customWidth="1"/>
    <col min="15238" max="15238" width="12.28515625" bestFit="1" customWidth="1"/>
    <col min="15239" max="15247" width="9.140625" hidden="1" customWidth="1"/>
    <col min="15248" max="15248" width="5.28515625" bestFit="1" customWidth="1"/>
    <col min="15249" max="15254" width="11.5703125" bestFit="1" customWidth="1"/>
    <col min="15255" max="15255" width="11.28515625" bestFit="1" customWidth="1"/>
    <col min="15256" max="15256" width="10.140625" bestFit="1" customWidth="1"/>
    <col min="15257" max="15257" width="11.5703125" bestFit="1" customWidth="1"/>
    <col min="15258" max="15258" width="16.140625" customWidth="1"/>
    <col min="15259" max="15259" width="13.42578125" customWidth="1"/>
    <col min="15260" max="15260" width="10.140625" bestFit="1" customWidth="1"/>
    <col min="15261" max="15261" width="12.85546875" bestFit="1" customWidth="1"/>
    <col min="15262" max="15262" width="12.28515625" bestFit="1" customWidth="1"/>
    <col min="15263" max="15263" width="11.28515625" bestFit="1" customWidth="1"/>
    <col min="15264" max="15264" width="11.5703125" bestFit="1" customWidth="1"/>
    <col min="15265" max="15265" width="10.85546875" bestFit="1" customWidth="1"/>
    <col min="15266" max="15266" width="11.28515625" bestFit="1" customWidth="1"/>
    <col min="15267" max="15267" width="10.140625" bestFit="1" customWidth="1"/>
    <col min="15268" max="15268" width="13.28515625" bestFit="1" customWidth="1"/>
    <col min="15269" max="15270" width="12.7109375" bestFit="1" customWidth="1"/>
    <col min="15271" max="15271" width="11" bestFit="1" customWidth="1"/>
    <col min="15272" max="15272" width="11.28515625" bestFit="1" customWidth="1"/>
    <col min="15273" max="15273" width="11.5703125" bestFit="1" customWidth="1"/>
    <col min="15274" max="15274" width="12.28515625" bestFit="1" customWidth="1"/>
    <col min="15275" max="15275" width="15.140625" bestFit="1" customWidth="1"/>
    <col min="15276" max="15276" width="14.42578125" bestFit="1" customWidth="1"/>
    <col min="15277" max="15277" width="12.28515625" bestFit="1" customWidth="1"/>
    <col min="15278" max="15278" width="15.140625" bestFit="1" customWidth="1"/>
    <col min="15279" max="15279" width="14.42578125" bestFit="1" customWidth="1"/>
    <col min="15280" max="15280" width="12.28515625" bestFit="1" customWidth="1"/>
    <col min="15281" max="15281" width="14.42578125" bestFit="1" customWidth="1"/>
    <col min="15282" max="15282" width="11.28515625" bestFit="1" customWidth="1"/>
    <col min="15283" max="15283" width="12.28515625" bestFit="1" customWidth="1"/>
    <col min="15284" max="15284" width="13" bestFit="1" customWidth="1"/>
    <col min="15285" max="15285" width="15.140625" bestFit="1" customWidth="1"/>
    <col min="15286" max="15286" width="12.28515625" bestFit="1" customWidth="1"/>
    <col min="15287" max="15287" width="13.85546875" bestFit="1" customWidth="1"/>
    <col min="15288" max="15288" width="11.28515625" bestFit="1" customWidth="1"/>
    <col min="15289" max="15289" width="12.28515625" bestFit="1" customWidth="1"/>
    <col min="15290" max="15290" width="13.85546875" bestFit="1" customWidth="1"/>
    <col min="15291" max="15292" width="15.140625" bestFit="1" customWidth="1"/>
    <col min="15293" max="15293" width="12.28515625" bestFit="1" customWidth="1"/>
    <col min="15294" max="15294" width="5.7109375" bestFit="1" customWidth="1"/>
    <col min="15295" max="15295" width="8.5703125" bestFit="1" customWidth="1"/>
    <col min="15296" max="15296" width="5.5703125" bestFit="1" customWidth="1"/>
    <col min="15297" max="15297" width="14.42578125" bestFit="1" customWidth="1"/>
    <col min="15298" max="15298" width="11.28515625" bestFit="1" customWidth="1"/>
    <col min="15299" max="15300" width="12.28515625" bestFit="1" customWidth="1"/>
    <col min="15301" max="15301" width="11.28515625" bestFit="1" customWidth="1"/>
    <col min="15302" max="15302" width="13.85546875" bestFit="1" customWidth="1"/>
    <col min="15303" max="15303" width="12" bestFit="1" customWidth="1"/>
    <col min="15304" max="15304" width="13.85546875" bestFit="1" customWidth="1"/>
    <col min="15305" max="15306" width="14.42578125" customWidth="1"/>
    <col min="15307" max="15307" width="10.140625" bestFit="1" customWidth="1"/>
    <col min="15308" max="15308" width="12.28515625" bestFit="1" customWidth="1"/>
    <col min="15309" max="15309" width="7.42578125" bestFit="1" customWidth="1"/>
    <col min="15310" max="15310" width="8.5703125" bestFit="1" customWidth="1"/>
    <col min="15311" max="15311" width="11.5703125" bestFit="1" customWidth="1"/>
    <col min="15312" max="15312" width="13.28515625" bestFit="1" customWidth="1"/>
    <col min="15313" max="15313" width="13.28515625" customWidth="1"/>
    <col min="15314" max="15314" width="13.140625" customWidth="1"/>
    <col min="15315" max="15315" width="12.7109375" bestFit="1" customWidth="1"/>
    <col min="15316" max="15316" width="13.28515625" bestFit="1" customWidth="1"/>
    <col min="15317" max="15319" width="13.28515625" customWidth="1"/>
    <col min="15320" max="15320" width="12.140625" bestFit="1" customWidth="1"/>
    <col min="15321" max="15321" width="12.7109375" bestFit="1" customWidth="1"/>
    <col min="15322" max="15322" width="11" customWidth="1"/>
    <col min="15323" max="15323" width="16.7109375" customWidth="1"/>
    <col min="15324" max="15324" width="17" customWidth="1"/>
    <col min="15325" max="15325" width="10.42578125" bestFit="1" customWidth="1"/>
    <col min="15369" max="15369" width="3.85546875" customWidth="1"/>
    <col min="15370" max="15370" width="15.28515625" bestFit="1" customWidth="1"/>
    <col min="15371" max="15371" width="12.28515625" customWidth="1"/>
    <col min="15372" max="15372" width="16.28515625" bestFit="1" customWidth="1"/>
    <col min="15373" max="15373" width="6.42578125" bestFit="1" customWidth="1"/>
    <col min="15374" max="15374" width="9.28515625" bestFit="1" customWidth="1"/>
    <col min="15375" max="15375" width="7.5703125" bestFit="1" customWidth="1"/>
    <col min="15376" max="15376" width="13.28515625" bestFit="1" customWidth="1"/>
    <col min="15377" max="15377" width="9.28515625" bestFit="1" customWidth="1"/>
    <col min="15378" max="15378" width="11.5703125" bestFit="1" customWidth="1"/>
    <col min="15379" max="15379" width="13.28515625" bestFit="1" customWidth="1"/>
    <col min="15380" max="15380" width="7.140625" bestFit="1" customWidth="1"/>
    <col min="15381" max="15381" width="12" bestFit="1" customWidth="1"/>
    <col min="15382" max="15382" width="13.28515625" bestFit="1" customWidth="1"/>
    <col min="15383" max="15383" width="7" bestFit="1" customWidth="1"/>
    <col min="15384" max="15384" width="12.7109375" bestFit="1" customWidth="1"/>
    <col min="15385" max="15385" width="11.5703125" bestFit="1" customWidth="1"/>
    <col min="15386" max="15386" width="10.5703125" bestFit="1" customWidth="1"/>
    <col min="15387" max="15388" width="15.7109375" bestFit="1" customWidth="1"/>
    <col min="15389" max="15389" width="11.5703125" bestFit="1" customWidth="1"/>
    <col min="15390" max="15390" width="7.7109375" bestFit="1" customWidth="1"/>
    <col min="15391" max="15391" width="15.140625" bestFit="1" customWidth="1"/>
    <col min="15392" max="15392" width="11.5703125" bestFit="1" customWidth="1"/>
    <col min="15393" max="15393" width="13.28515625" bestFit="1" customWidth="1"/>
    <col min="15394" max="15394" width="10.42578125" bestFit="1" customWidth="1"/>
    <col min="15395" max="15395" width="13.28515625" bestFit="1" customWidth="1"/>
    <col min="15396" max="15396" width="12.140625" bestFit="1" customWidth="1"/>
    <col min="15397" max="15397" width="14.42578125" bestFit="1" customWidth="1"/>
    <col min="15398" max="15398" width="13.28515625" bestFit="1" customWidth="1"/>
    <col min="15399" max="15399" width="11.5703125" bestFit="1" customWidth="1"/>
    <col min="15400" max="15400" width="7.7109375" bestFit="1" customWidth="1"/>
    <col min="15401" max="15402" width="14.42578125" bestFit="1" customWidth="1"/>
    <col min="15403" max="15403" width="11.5703125" bestFit="1" customWidth="1"/>
    <col min="15404" max="15404" width="7.7109375" bestFit="1" customWidth="1"/>
    <col min="15405" max="15405" width="13.5703125" customWidth="1"/>
    <col min="15406" max="15406" width="15.28515625" customWidth="1"/>
    <col min="15407" max="15407" width="14.5703125" customWidth="1"/>
    <col min="15408" max="15408" width="13.28515625" bestFit="1" customWidth="1"/>
    <col min="15409" max="15409" width="7.7109375" bestFit="1" customWidth="1"/>
    <col min="15410" max="15410" width="12.7109375" bestFit="1" customWidth="1"/>
    <col min="15411" max="15411" width="11.7109375" bestFit="1" customWidth="1"/>
    <col min="15412" max="15412" width="11.5703125" bestFit="1" customWidth="1"/>
    <col min="15413" max="15413" width="5.28515625" bestFit="1" customWidth="1"/>
    <col min="15414" max="15414" width="13.28515625" bestFit="1" customWidth="1"/>
    <col min="15415" max="15415" width="13.5703125" bestFit="1" customWidth="1"/>
    <col min="15416" max="15416" width="10.5703125" bestFit="1" customWidth="1"/>
    <col min="15417" max="15417" width="13.28515625" bestFit="1" customWidth="1"/>
    <col min="15418" max="15418" width="11.5703125" bestFit="1" customWidth="1"/>
    <col min="15419" max="15419" width="10.5703125" bestFit="1" customWidth="1"/>
    <col min="15420" max="15420" width="16.140625" bestFit="1" customWidth="1"/>
    <col min="15421" max="15422" width="11.28515625" bestFit="1" customWidth="1"/>
    <col min="15423" max="15423" width="13.28515625" bestFit="1" customWidth="1"/>
    <col min="15424" max="15424" width="7.7109375" bestFit="1" customWidth="1"/>
    <col min="15425" max="15428" width="9.140625" hidden="1" customWidth="1"/>
    <col min="15429" max="15429" width="10.42578125" bestFit="1" customWidth="1"/>
    <col min="15430" max="15430" width="10.5703125" bestFit="1" customWidth="1"/>
    <col min="15431" max="15431" width="10.42578125" bestFit="1" customWidth="1"/>
    <col min="15432" max="15432" width="10.5703125" bestFit="1" customWidth="1"/>
    <col min="15433" max="15433" width="9.5703125" bestFit="1" customWidth="1"/>
    <col min="15434" max="15434" width="11.5703125" bestFit="1" customWidth="1"/>
    <col min="15435" max="15435" width="10.42578125" bestFit="1" customWidth="1"/>
    <col min="15436" max="15436" width="10.85546875" customWidth="1"/>
    <col min="15437" max="15438" width="9.85546875" bestFit="1" customWidth="1"/>
    <col min="15439" max="15439" width="13.5703125" bestFit="1" customWidth="1"/>
    <col min="15440" max="15440" width="7.7109375" bestFit="1" customWidth="1"/>
    <col min="15441" max="15441" width="13.28515625" bestFit="1" customWidth="1"/>
    <col min="15442" max="15442" width="11.5703125" bestFit="1" customWidth="1"/>
    <col min="15443" max="15443" width="10.42578125" bestFit="1" customWidth="1"/>
    <col min="15444" max="15444" width="7.7109375" bestFit="1" customWidth="1"/>
    <col min="15445" max="15445" width="11.5703125" bestFit="1" customWidth="1"/>
    <col min="15446" max="15446" width="10.85546875" bestFit="1" customWidth="1"/>
    <col min="15447" max="15447" width="13.28515625" bestFit="1" customWidth="1"/>
    <col min="15448" max="15448" width="10.85546875" bestFit="1" customWidth="1"/>
    <col min="15449" max="15450" width="7.5703125" bestFit="1" customWidth="1"/>
    <col min="15451" max="15452" width="10.42578125" bestFit="1" customWidth="1"/>
    <col min="15453" max="15453" width="11.5703125" bestFit="1" customWidth="1"/>
    <col min="15454" max="15454" width="5.28515625" bestFit="1" customWidth="1"/>
    <col min="15455" max="15455" width="10.28515625" bestFit="1" customWidth="1"/>
    <col min="15456" max="15456" width="10.42578125" bestFit="1" customWidth="1"/>
    <col min="15457" max="15457" width="11.5703125" bestFit="1" customWidth="1"/>
    <col min="15458" max="15458" width="5.28515625" bestFit="1" customWidth="1"/>
    <col min="15459" max="15461" width="11.5703125" bestFit="1" customWidth="1"/>
    <col min="15462" max="15462" width="5.28515625" bestFit="1" customWidth="1"/>
    <col min="15463" max="15464" width="10.42578125" bestFit="1" customWidth="1"/>
    <col min="15465" max="15465" width="11.5703125" bestFit="1" customWidth="1"/>
    <col min="15466" max="15466" width="5.28515625" bestFit="1" customWidth="1"/>
    <col min="15467" max="15467" width="14.28515625" bestFit="1" customWidth="1"/>
    <col min="15468" max="15468" width="13" bestFit="1" customWidth="1"/>
    <col min="15469" max="15469" width="11.5703125" bestFit="1" customWidth="1"/>
    <col min="15470" max="15470" width="8.85546875" bestFit="1" customWidth="1"/>
    <col min="15471" max="15471" width="14.42578125" bestFit="1" customWidth="1"/>
    <col min="15472" max="15472" width="10.42578125" bestFit="1" customWidth="1"/>
    <col min="15473" max="15473" width="12.28515625" bestFit="1" customWidth="1"/>
    <col min="15474" max="15474" width="13.85546875" bestFit="1" customWidth="1"/>
    <col min="15475" max="15475" width="11.28515625" customWidth="1"/>
    <col min="15476" max="15476" width="11.5703125" customWidth="1"/>
    <col min="15477" max="15477" width="13.42578125" bestFit="1" customWidth="1"/>
    <col min="15478" max="15478" width="10.42578125" customWidth="1"/>
    <col min="15479" max="15479" width="13.85546875" bestFit="1" customWidth="1"/>
    <col min="15480" max="15480" width="15.42578125" bestFit="1" customWidth="1"/>
    <col min="15481" max="15481" width="12.28515625" bestFit="1" customWidth="1"/>
    <col min="15482" max="15482" width="12.7109375" customWidth="1"/>
    <col min="15483" max="15483" width="10.7109375" bestFit="1" customWidth="1"/>
    <col min="15484" max="15484" width="9.85546875" customWidth="1"/>
    <col min="15485" max="15486" width="10.140625" bestFit="1" customWidth="1"/>
    <col min="15487" max="15487" width="7.5703125" bestFit="1" customWidth="1"/>
    <col min="15488" max="15488" width="9.42578125" bestFit="1" customWidth="1"/>
    <col min="15489" max="15489" width="14.5703125" bestFit="1" customWidth="1"/>
    <col min="15490" max="15490" width="14.85546875" customWidth="1"/>
    <col min="15491" max="15491" width="15.140625" bestFit="1" customWidth="1"/>
    <col min="15492" max="15492" width="12.140625" bestFit="1" customWidth="1"/>
    <col min="15493" max="15493" width="14.85546875" bestFit="1" customWidth="1"/>
    <col min="15494" max="15494" width="12.28515625" bestFit="1" customWidth="1"/>
    <col min="15495" max="15503" width="9.140625" hidden="1" customWidth="1"/>
    <col min="15504" max="15504" width="5.28515625" bestFit="1" customWidth="1"/>
    <col min="15505" max="15510" width="11.5703125" bestFit="1" customWidth="1"/>
    <col min="15511" max="15511" width="11.28515625" bestFit="1" customWidth="1"/>
    <col min="15512" max="15512" width="10.140625" bestFit="1" customWidth="1"/>
    <col min="15513" max="15513" width="11.5703125" bestFit="1" customWidth="1"/>
    <col min="15514" max="15514" width="16.140625" customWidth="1"/>
    <col min="15515" max="15515" width="13.42578125" customWidth="1"/>
    <col min="15516" max="15516" width="10.140625" bestFit="1" customWidth="1"/>
    <col min="15517" max="15517" width="12.85546875" bestFit="1" customWidth="1"/>
    <col min="15518" max="15518" width="12.28515625" bestFit="1" customWidth="1"/>
    <col min="15519" max="15519" width="11.28515625" bestFit="1" customWidth="1"/>
    <col min="15520" max="15520" width="11.5703125" bestFit="1" customWidth="1"/>
    <col min="15521" max="15521" width="10.85546875" bestFit="1" customWidth="1"/>
    <col min="15522" max="15522" width="11.28515625" bestFit="1" customWidth="1"/>
    <col min="15523" max="15523" width="10.140625" bestFit="1" customWidth="1"/>
    <col min="15524" max="15524" width="13.28515625" bestFit="1" customWidth="1"/>
    <col min="15525" max="15526" width="12.7109375" bestFit="1" customWidth="1"/>
    <col min="15527" max="15527" width="11" bestFit="1" customWidth="1"/>
    <col min="15528" max="15528" width="11.28515625" bestFit="1" customWidth="1"/>
    <col min="15529" max="15529" width="11.5703125" bestFit="1" customWidth="1"/>
    <col min="15530" max="15530" width="12.28515625" bestFit="1" customWidth="1"/>
    <col min="15531" max="15531" width="15.140625" bestFit="1" customWidth="1"/>
    <col min="15532" max="15532" width="14.42578125" bestFit="1" customWidth="1"/>
    <col min="15533" max="15533" width="12.28515625" bestFit="1" customWidth="1"/>
    <col min="15534" max="15534" width="15.140625" bestFit="1" customWidth="1"/>
    <col min="15535" max="15535" width="14.42578125" bestFit="1" customWidth="1"/>
    <col min="15536" max="15536" width="12.28515625" bestFit="1" customWidth="1"/>
    <col min="15537" max="15537" width="14.42578125" bestFit="1" customWidth="1"/>
    <col min="15538" max="15538" width="11.28515625" bestFit="1" customWidth="1"/>
    <col min="15539" max="15539" width="12.28515625" bestFit="1" customWidth="1"/>
    <col min="15540" max="15540" width="13" bestFit="1" customWidth="1"/>
    <col min="15541" max="15541" width="15.140625" bestFit="1" customWidth="1"/>
    <col min="15542" max="15542" width="12.28515625" bestFit="1" customWidth="1"/>
    <col min="15543" max="15543" width="13.85546875" bestFit="1" customWidth="1"/>
    <col min="15544" max="15544" width="11.28515625" bestFit="1" customWidth="1"/>
    <col min="15545" max="15545" width="12.28515625" bestFit="1" customWidth="1"/>
    <col min="15546" max="15546" width="13.85546875" bestFit="1" customWidth="1"/>
    <col min="15547" max="15548" width="15.140625" bestFit="1" customWidth="1"/>
    <col min="15549" max="15549" width="12.28515625" bestFit="1" customWidth="1"/>
    <col min="15550" max="15550" width="5.7109375" bestFit="1" customWidth="1"/>
    <col min="15551" max="15551" width="8.5703125" bestFit="1" customWidth="1"/>
    <col min="15552" max="15552" width="5.5703125" bestFit="1" customWidth="1"/>
    <col min="15553" max="15553" width="14.42578125" bestFit="1" customWidth="1"/>
    <col min="15554" max="15554" width="11.28515625" bestFit="1" customWidth="1"/>
    <col min="15555" max="15556" width="12.28515625" bestFit="1" customWidth="1"/>
    <col min="15557" max="15557" width="11.28515625" bestFit="1" customWidth="1"/>
    <col min="15558" max="15558" width="13.85546875" bestFit="1" customWidth="1"/>
    <col min="15559" max="15559" width="12" bestFit="1" customWidth="1"/>
    <col min="15560" max="15560" width="13.85546875" bestFit="1" customWidth="1"/>
    <col min="15561" max="15562" width="14.42578125" customWidth="1"/>
    <col min="15563" max="15563" width="10.140625" bestFit="1" customWidth="1"/>
    <col min="15564" max="15564" width="12.28515625" bestFit="1" customWidth="1"/>
    <col min="15565" max="15565" width="7.42578125" bestFit="1" customWidth="1"/>
    <col min="15566" max="15566" width="8.5703125" bestFit="1" customWidth="1"/>
    <col min="15567" max="15567" width="11.5703125" bestFit="1" customWidth="1"/>
    <col min="15568" max="15568" width="13.28515625" bestFit="1" customWidth="1"/>
    <col min="15569" max="15569" width="13.28515625" customWidth="1"/>
    <col min="15570" max="15570" width="13.140625" customWidth="1"/>
    <col min="15571" max="15571" width="12.7109375" bestFit="1" customWidth="1"/>
    <col min="15572" max="15572" width="13.28515625" bestFit="1" customWidth="1"/>
    <col min="15573" max="15575" width="13.28515625" customWidth="1"/>
    <col min="15576" max="15576" width="12.140625" bestFit="1" customWidth="1"/>
    <col min="15577" max="15577" width="12.7109375" bestFit="1" customWidth="1"/>
    <col min="15578" max="15578" width="11" customWidth="1"/>
    <col min="15579" max="15579" width="16.7109375" customWidth="1"/>
    <col min="15580" max="15580" width="17" customWidth="1"/>
    <col min="15581" max="15581" width="10.42578125" bestFit="1" customWidth="1"/>
    <col min="15625" max="15625" width="3.85546875" customWidth="1"/>
    <col min="15626" max="15626" width="15.28515625" bestFit="1" customWidth="1"/>
    <col min="15627" max="15627" width="12.28515625" customWidth="1"/>
    <col min="15628" max="15628" width="16.28515625" bestFit="1" customWidth="1"/>
    <col min="15629" max="15629" width="6.42578125" bestFit="1" customWidth="1"/>
    <col min="15630" max="15630" width="9.28515625" bestFit="1" customWidth="1"/>
    <col min="15631" max="15631" width="7.5703125" bestFit="1" customWidth="1"/>
    <col min="15632" max="15632" width="13.28515625" bestFit="1" customWidth="1"/>
    <col min="15633" max="15633" width="9.28515625" bestFit="1" customWidth="1"/>
    <col min="15634" max="15634" width="11.5703125" bestFit="1" customWidth="1"/>
    <col min="15635" max="15635" width="13.28515625" bestFit="1" customWidth="1"/>
    <col min="15636" max="15636" width="7.140625" bestFit="1" customWidth="1"/>
    <col min="15637" max="15637" width="12" bestFit="1" customWidth="1"/>
    <col min="15638" max="15638" width="13.28515625" bestFit="1" customWidth="1"/>
    <col min="15639" max="15639" width="7" bestFit="1" customWidth="1"/>
    <col min="15640" max="15640" width="12.7109375" bestFit="1" customWidth="1"/>
    <col min="15641" max="15641" width="11.5703125" bestFit="1" customWidth="1"/>
    <col min="15642" max="15642" width="10.5703125" bestFit="1" customWidth="1"/>
    <col min="15643" max="15644" width="15.7109375" bestFit="1" customWidth="1"/>
    <col min="15645" max="15645" width="11.5703125" bestFit="1" customWidth="1"/>
    <col min="15646" max="15646" width="7.7109375" bestFit="1" customWidth="1"/>
    <col min="15647" max="15647" width="15.140625" bestFit="1" customWidth="1"/>
    <col min="15648" max="15648" width="11.5703125" bestFit="1" customWidth="1"/>
    <col min="15649" max="15649" width="13.28515625" bestFit="1" customWidth="1"/>
    <col min="15650" max="15650" width="10.42578125" bestFit="1" customWidth="1"/>
    <col min="15651" max="15651" width="13.28515625" bestFit="1" customWidth="1"/>
    <col min="15652" max="15652" width="12.140625" bestFit="1" customWidth="1"/>
    <col min="15653" max="15653" width="14.42578125" bestFit="1" customWidth="1"/>
    <col min="15654" max="15654" width="13.28515625" bestFit="1" customWidth="1"/>
    <col min="15655" max="15655" width="11.5703125" bestFit="1" customWidth="1"/>
    <col min="15656" max="15656" width="7.7109375" bestFit="1" customWidth="1"/>
    <col min="15657" max="15658" width="14.42578125" bestFit="1" customWidth="1"/>
    <col min="15659" max="15659" width="11.5703125" bestFit="1" customWidth="1"/>
    <col min="15660" max="15660" width="7.7109375" bestFit="1" customWidth="1"/>
    <col min="15661" max="15661" width="13.5703125" customWidth="1"/>
    <col min="15662" max="15662" width="15.28515625" customWidth="1"/>
    <col min="15663" max="15663" width="14.5703125" customWidth="1"/>
    <col min="15664" max="15664" width="13.28515625" bestFit="1" customWidth="1"/>
    <col min="15665" max="15665" width="7.7109375" bestFit="1" customWidth="1"/>
    <col min="15666" max="15666" width="12.7109375" bestFit="1" customWidth="1"/>
    <col min="15667" max="15667" width="11.7109375" bestFit="1" customWidth="1"/>
    <col min="15668" max="15668" width="11.5703125" bestFit="1" customWidth="1"/>
    <col min="15669" max="15669" width="5.28515625" bestFit="1" customWidth="1"/>
    <col min="15670" max="15670" width="13.28515625" bestFit="1" customWidth="1"/>
    <col min="15671" max="15671" width="13.5703125" bestFit="1" customWidth="1"/>
    <col min="15672" max="15672" width="10.5703125" bestFit="1" customWidth="1"/>
    <col min="15673" max="15673" width="13.28515625" bestFit="1" customWidth="1"/>
    <col min="15674" max="15674" width="11.5703125" bestFit="1" customWidth="1"/>
    <col min="15675" max="15675" width="10.5703125" bestFit="1" customWidth="1"/>
    <col min="15676" max="15676" width="16.140625" bestFit="1" customWidth="1"/>
    <col min="15677" max="15678" width="11.28515625" bestFit="1" customWidth="1"/>
    <col min="15679" max="15679" width="13.28515625" bestFit="1" customWidth="1"/>
    <col min="15680" max="15680" width="7.7109375" bestFit="1" customWidth="1"/>
    <col min="15681" max="15684" width="9.140625" hidden="1" customWidth="1"/>
    <col min="15685" max="15685" width="10.42578125" bestFit="1" customWidth="1"/>
    <col min="15686" max="15686" width="10.5703125" bestFit="1" customWidth="1"/>
    <col min="15687" max="15687" width="10.42578125" bestFit="1" customWidth="1"/>
    <col min="15688" max="15688" width="10.5703125" bestFit="1" customWidth="1"/>
    <col min="15689" max="15689" width="9.5703125" bestFit="1" customWidth="1"/>
    <col min="15690" max="15690" width="11.5703125" bestFit="1" customWidth="1"/>
    <col min="15691" max="15691" width="10.42578125" bestFit="1" customWidth="1"/>
    <col min="15692" max="15692" width="10.85546875" customWidth="1"/>
    <col min="15693" max="15694" width="9.85546875" bestFit="1" customWidth="1"/>
    <col min="15695" max="15695" width="13.5703125" bestFit="1" customWidth="1"/>
    <col min="15696" max="15696" width="7.7109375" bestFit="1" customWidth="1"/>
    <col min="15697" max="15697" width="13.28515625" bestFit="1" customWidth="1"/>
    <col min="15698" max="15698" width="11.5703125" bestFit="1" customWidth="1"/>
    <col min="15699" max="15699" width="10.42578125" bestFit="1" customWidth="1"/>
    <col min="15700" max="15700" width="7.7109375" bestFit="1" customWidth="1"/>
    <col min="15701" max="15701" width="11.5703125" bestFit="1" customWidth="1"/>
    <col min="15702" max="15702" width="10.85546875" bestFit="1" customWidth="1"/>
    <col min="15703" max="15703" width="13.28515625" bestFit="1" customWidth="1"/>
    <col min="15704" max="15704" width="10.85546875" bestFit="1" customWidth="1"/>
    <col min="15705" max="15706" width="7.5703125" bestFit="1" customWidth="1"/>
    <col min="15707" max="15708" width="10.42578125" bestFit="1" customWidth="1"/>
    <col min="15709" max="15709" width="11.5703125" bestFit="1" customWidth="1"/>
    <col min="15710" max="15710" width="5.28515625" bestFit="1" customWidth="1"/>
    <col min="15711" max="15711" width="10.28515625" bestFit="1" customWidth="1"/>
    <col min="15712" max="15712" width="10.42578125" bestFit="1" customWidth="1"/>
    <col min="15713" max="15713" width="11.5703125" bestFit="1" customWidth="1"/>
    <col min="15714" max="15714" width="5.28515625" bestFit="1" customWidth="1"/>
    <col min="15715" max="15717" width="11.5703125" bestFit="1" customWidth="1"/>
    <col min="15718" max="15718" width="5.28515625" bestFit="1" customWidth="1"/>
    <col min="15719" max="15720" width="10.42578125" bestFit="1" customWidth="1"/>
    <col min="15721" max="15721" width="11.5703125" bestFit="1" customWidth="1"/>
    <col min="15722" max="15722" width="5.28515625" bestFit="1" customWidth="1"/>
    <col min="15723" max="15723" width="14.28515625" bestFit="1" customWidth="1"/>
    <col min="15724" max="15724" width="13" bestFit="1" customWidth="1"/>
    <col min="15725" max="15725" width="11.5703125" bestFit="1" customWidth="1"/>
    <col min="15726" max="15726" width="8.85546875" bestFit="1" customWidth="1"/>
    <col min="15727" max="15727" width="14.42578125" bestFit="1" customWidth="1"/>
    <col min="15728" max="15728" width="10.42578125" bestFit="1" customWidth="1"/>
    <col min="15729" max="15729" width="12.28515625" bestFit="1" customWidth="1"/>
    <col min="15730" max="15730" width="13.85546875" bestFit="1" customWidth="1"/>
    <col min="15731" max="15731" width="11.28515625" customWidth="1"/>
    <col min="15732" max="15732" width="11.5703125" customWidth="1"/>
    <col min="15733" max="15733" width="13.42578125" bestFit="1" customWidth="1"/>
    <col min="15734" max="15734" width="10.42578125" customWidth="1"/>
    <col min="15735" max="15735" width="13.85546875" bestFit="1" customWidth="1"/>
    <col min="15736" max="15736" width="15.42578125" bestFit="1" customWidth="1"/>
    <col min="15737" max="15737" width="12.28515625" bestFit="1" customWidth="1"/>
    <col min="15738" max="15738" width="12.7109375" customWidth="1"/>
    <col min="15739" max="15739" width="10.7109375" bestFit="1" customWidth="1"/>
    <col min="15740" max="15740" width="9.85546875" customWidth="1"/>
    <col min="15741" max="15742" width="10.140625" bestFit="1" customWidth="1"/>
    <col min="15743" max="15743" width="7.5703125" bestFit="1" customWidth="1"/>
    <col min="15744" max="15744" width="9.42578125" bestFit="1" customWidth="1"/>
    <col min="15745" max="15745" width="14.5703125" bestFit="1" customWidth="1"/>
    <col min="15746" max="15746" width="14.85546875" customWidth="1"/>
    <col min="15747" max="15747" width="15.140625" bestFit="1" customWidth="1"/>
    <col min="15748" max="15748" width="12.140625" bestFit="1" customWidth="1"/>
    <col min="15749" max="15749" width="14.85546875" bestFit="1" customWidth="1"/>
    <col min="15750" max="15750" width="12.28515625" bestFit="1" customWidth="1"/>
    <col min="15751" max="15759" width="9.140625" hidden="1" customWidth="1"/>
    <col min="15760" max="15760" width="5.28515625" bestFit="1" customWidth="1"/>
    <col min="15761" max="15766" width="11.5703125" bestFit="1" customWidth="1"/>
    <col min="15767" max="15767" width="11.28515625" bestFit="1" customWidth="1"/>
    <col min="15768" max="15768" width="10.140625" bestFit="1" customWidth="1"/>
    <col min="15769" max="15769" width="11.5703125" bestFit="1" customWidth="1"/>
    <col min="15770" max="15770" width="16.140625" customWidth="1"/>
    <col min="15771" max="15771" width="13.42578125" customWidth="1"/>
    <col min="15772" max="15772" width="10.140625" bestFit="1" customWidth="1"/>
    <col min="15773" max="15773" width="12.85546875" bestFit="1" customWidth="1"/>
    <col min="15774" max="15774" width="12.28515625" bestFit="1" customWidth="1"/>
    <col min="15775" max="15775" width="11.28515625" bestFit="1" customWidth="1"/>
    <col min="15776" max="15776" width="11.5703125" bestFit="1" customWidth="1"/>
    <col min="15777" max="15777" width="10.85546875" bestFit="1" customWidth="1"/>
    <col min="15778" max="15778" width="11.28515625" bestFit="1" customWidth="1"/>
    <col min="15779" max="15779" width="10.140625" bestFit="1" customWidth="1"/>
    <col min="15780" max="15780" width="13.28515625" bestFit="1" customWidth="1"/>
    <col min="15781" max="15782" width="12.7109375" bestFit="1" customWidth="1"/>
    <col min="15783" max="15783" width="11" bestFit="1" customWidth="1"/>
    <col min="15784" max="15784" width="11.28515625" bestFit="1" customWidth="1"/>
    <col min="15785" max="15785" width="11.5703125" bestFit="1" customWidth="1"/>
    <col min="15786" max="15786" width="12.28515625" bestFit="1" customWidth="1"/>
    <col min="15787" max="15787" width="15.140625" bestFit="1" customWidth="1"/>
    <col min="15788" max="15788" width="14.42578125" bestFit="1" customWidth="1"/>
    <col min="15789" max="15789" width="12.28515625" bestFit="1" customWidth="1"/>
    <col min="15790" max="15790" width="15.140625" bestFit="1" customWidth="1"/>
    <col min="15791" max="15791" width="14.42578125" bestFit="1" customWidth="1"/>
    <col min="15792" max="15792" width="12.28515625" bestFit="1" customWidth="1"/>
    <col min="15793" max="15793" width="14.42578125" bestFit="1" customWidth="1"/>
    <col min="15794" max="15794" width="11.28515625" bestFit="1" customWidth="1"/>
    <col min="15795" max="15795" width="12.28515625" bestFit="1" customWidth="1"/>
    <col min="15796" max="15796" width="13" bestFit="1" customWidth="1"/>
    <col min="15797" max="15797" width="15.140625" bestFit="1" customWidth="1"/>
    <col min="15798" max="15798" width="12.28515625" bestFit="1" customWidth="1"/>
    <col min="15799" max="15799" width="13.85546875" bestFit="1" customWidth="1"/>
    <col min="15800" max="15800" width="11.28515625" bestFit="1" customWidth="1"/>
    <col min="15801" max="15801" width="12.28515625" bestFit="1" customWidth="1"/>
    <col min="15802" max="15802" width="13.85546875" bestFit="1" customWidth="1"/>
    <col min="15803" max="15804" width="15.140625" bestFit="1" customWidth="1"/>
    <col min="15805" max="15805" width="12.28515625" bestFit="1" customWidth="1"/>
    <col min="15806" max="15806" width="5.7109375" bestFit="1" customWidth="1"/>
    <col min="15807" max="15807" width="8.5703125" bestFit="1" customWidth="1"/>
    <col min="15808" max="15808" width="5.5703125" bestFit="1" customWidth="1"/>
    <col min="15809" max="15809" width="14.42578125" bestFit="1" customWidth="1"/>
    <col min="15810" max="15810" width="11.28515625" bestFit="1" customWidth="1"/>
    <col min="15811" max="15812" width="12.28515625" bestFit="1" customWidth="1"/>
    <col min="15813" max="15813" width="11.28515625" bestFit="1" customWidth="1"/>
    <col min="15814" max="15814" width="13.85546875" bestFit="1" customWidth="1"/>
    <col min="15815" max="15815" width="12" bestFit="1" customWidth="1"/>
    <col min="15816" max="15816" width="13.85546875" bestFit="1" customWidth="1"/>
    <col min="15817" max="15818" width="14.42578125" customWidth="1"/>
    <col min="15819" max="15819" width="10.140625" bestFit="1" customWidth="1"/>
    <col min="15820" max="15820" width="12.28515625" bestFit="1" customWidth="1"/>
    <col min="15821" max="15821" width="7.42578125" bestFit="1" customWidth="1"/>
    <col min="15822" max="15822" width="8.5703125" bestFit="1" customWidth="1"/>
    <col min="15823" max="15823" width="11.5703125" bestFit="1" customWidth="1"/>
    <col min="15824" max="15824" width="13.28515625" bestFit="1" customWidth="1"/>
    <col min="15825" max="15825" width="13.28515625" customWidth="1"/>
    <col min="15826" max="15826" width="13.140625" customWidth="1"/>
    <col min="15827" max="15827" width="12.7109375" bestFit="1" customWidth="1"/>
    <col min="15828" max="15828" width="13.28515625" bestFit="1" customWidth="1"/>
    <col min="15829" max="15831" width="13.28515625" customWidth="1"/>
    <col min="15832" max="15832" width="12.140625" bestFit="1" customWidth="1"/>
    <col min="15833" max="15833" width="12.7109375" bestFit="1" customWidth="1"/>
    <col min="15834" max="15834" width="11" customWidth="1"/>
    <col min="15835" max="15835" width="16.7109375" customWidth="1"/>
    <col min="15836" max="15836" width="17" customWidth="1"/>
    <col min="15837" max="15837" width="10.42578125" bestFit="1" customWidth="1"/>
    <col min="15881" max="15881" width="3.85546875" customWidth="1"/>
    <col min="15882" max="15882" width="15.28515625" bestFit="1" customWidth="1"/>
    <col min="15883" max="15883" width="12.28515625" customWidth="1"/>
    <col min="15884" max="15884" width="16.28515625" bestFit="1" customWidth="1"/>
    <col min="15885" max="15885" width="6.42578125" bestFit="1" customWidth="1"/>
    <col min="15886" max="15886" width="9.28515625" bestFit="1" customWidth="1"/>
    <col min="15887" max="15887" width="7.5703125" bestFit="1" customWidth="1"/>
    <col min="15888" max="15888" width="13.28515625" bestFit="1" customWidth="1"/>
    <col min="15889" max="15889" width="9.28515625" bestFit="1" customWidth="1"/>
    <col min="15890" max="15890" width="11.5703125" bestFit="1" customWidth="1"/>
    <col min="15891" max="15891" width="13.28515625" bestFit="1" customWidth="1"/>
    <col min="15892" max="15892" width="7.140625" bestFit="1" customWidth="1"/>
    <col min="15893" max="15893" width="12" bestFit="1" customWidth="1"/>
    <col min="15894" max="15894" width="13.28515625" bestFit="1" customWidth="1"/>
    <col min="15895" max="15895" width="7" bestFit="1" customWidth="1"/>
    <col min="15896" max="15896" width="12.7109375" bestFit="1" customWidth="1"/>
    <col min="15897" max="15897" width="11.5703125" bestFit="1" customWidth="1"/>
    <col min="15898" max="15898" width="10.5703125" bestFit="1" customWidth="1"/>
    <col min="15899" max="15900" width="15.7109375" bestFit="1" customWidth="1"/>
    <col min="15901" max="15901" width="11.5703125" bestFit="1" customWidth="1"/>
    <col min="15902" max="15902" width="7.7109375" bestFit="1" customWidth="1"/>
    <col min="15903" max="15903" width="15.140625" bestFit="1" customWidth="1"/>
    <col min="15904" max="15904" width="11.5703125" bestFit="1" customWidth="1"/>
    <col min="15905" max="15905" width="13.28515625" bestFit="1" customWidth="1"/>
    <col min="15906" max="15906" width="10.42578125" bestFit="1" customWidth="1"/>
    <col min="15907" max="15907" width="13.28515625" bestFit="1" customWidth="1"/>
    <col min="15908" max="15908" width="12.140625" bestFit="1" customWidth="1"/>
    <col min="15909" max="15909" width="14.42578125" bestFit="1" customWidth="1"/>
    <col min="15910" max="15910" width="13.28515625" bestFit="1" customWidth="1"/>
    <col min="15911" max="15911" width="11.5703125" bestFit="1" customWidth="1"/>
    <col min="15912" max="15912" width="7.7109375" bestFit="1" customWidth="1"/>
    <col min="15913" max="15914" width="14.42578125" bestFit="1" customWidth="1"/>
    <col min="15915" max="15915" width="11.5703125" bestFit="1" customWidth="1"/>
    <col min="15916" max="15916" width="7.7109375" bestFit="1" customWidth="1"/>
    <col min="15917" max="15917" width="13.5703125" customWidth="1"/>
    <col min="15918" max="15918" width="15.28515625" customWidth="1"/>
    <col min="15919" max="15919" width="14.5703125" customWidth="1"/>
    <col min="15920" max="15920" width="13.28515625" bestFit="1" customWidth="1"/>
    <col min="15921" max="15921" width="7.7109375" bestFit="1" customWidth="1"/>
    <col min="15922" max="15922" width="12.7109375" bestFit="1" customWidth="1"/>
    <col min="15923" max="15923" width="11.7109375" bestFit="1" customWidth="1"/>
    <col min="15924" max="15924" width="11.5703125" bestFit="1" customWidth="1"/>
    <col min="15925" max="15925" width="5.28515625" bestFit="1" customWidth="1"/>
    <col min="15926" max="15926" width="13.28515625" bestFit="1" customWidth="1"/>
    <col min="15927" max="15927" width="13.5703125" bestFit="1" customWidth="1"/>
    <col min="15928" max="15928" width="10.5703125" bestFit="1" customWidth="1"/>
    <col min="15929" max="15929" width="13.28515625" bestFit="1" customWidth="1"/>
    <col min="15930" max="15930" width="11.5703125" bestFit="1" customWidth="1"/>
    <col min="15931" max="15931" width="10.5703125" bestFit="1" customWidth="1"/>
    <col min="15932" max="15932" width="16.140625" bestFit="1" customWidth="1"/>
    <col min="15933" max="15934" width="11.28515625" bestFit="1" customWidth="1"/>
    <col min="15935" max="15935" width="13.28515625" bestFit="1" customWidth="1"/>
    <col min="15936" max="15936" width="7.7109375" bestFit="1" customWidth="1"/>
    <col min="15937" max="15940" width="9.140625" hidden="1" customWidth="1"/>
    <col min="15941" max="15941" width="10.42578125" bestFit="1" customWidth="1"/>
    <col min="15942" max="15942" width="10.5703125" bestFit="1" customWidth="1"/>
    <col min="15943" max="15943" width="10.42578125" bestFit="1" customWidth="1"/>
    <col min="15944" max="15944" width="10.5703125" bestFit="1" customWidth="1"/>
    <col min="15945" max="15945" width="9.5703125" bestFit="1" customWidth="1"/>
    <col min="15946" max="15946" width="11.5703125" bestFit="1" customWidth="1"/>
    <col min="15947" max="15947" width="10.42578125" bestFit="1" customWidth="1"/>
    <col min="15948" max="15948" width="10.85546875" customWidth="1"/>
    <col min="15949" max="15950" width="9.85546875" bestFit="1" customWidth="1"/>
    <col min="15951" max="15951" width="13.5703125" bestFit="1" customWidth="1"/>
    <col min="15952" max="15952" width="7.7109375" bestFit="1" customWidth="1"/>
    <col min="15953" max="15953" width="13.28515625" bestFit="1" customWidth="1"/>
    <col min="15954" max="15954" width="11.5703125" bestFit="1" customWidth="1"/>
    <col min="15955" max="15955" width="10.42578125" bestFit="1" customWidth="1"/>
    <col min="15956" max="15956" width="7.7109375" bestFit="1" customWidth="1"/>
    <col min="15957" max="15957" width="11.5703125" bestFit="1" customWidth="1"/>
    <col min="15958" max="15958" width="10.85546875" bestFit="1" customWidth="1"/>
    <col min="15959" max="15959" width="13.28515625" bestFit="1" customWidth="1"/>
    <col min="15960" max="15960" width="10.85546875" bestFit="1" customWidth="1"/>
    <col min="15961" max="15962" width="7.5703125" bestFit="1" customWidth="1"/>
    <col min="15963" max="15964" width="10.42578125" bestFit="1" customWidth="1"/>
    <col min="15965" max="15965" width="11.5703125" bestFit="1" customWidth="1"/>
    <col min="15966" max="15966" width="5.28515625" bestFit="1" customWidth="1"/>
    <col min="15967" max="15967" width="10.28515625" bestFit="1" customWidth="1"/>
    <col min="15968" max="15968" width="10.42578125" bestFit="1" customWidth="1"/>
    <col min="15969" max="15969" width="11.5703125" bestFit="1" customWidth="1"/>
    <col min="15970" max="15970" width="5.28515625" bestFit="1" customWidth="1"/>
    <col min="15971" max="15973" width="11.5703125" bestFit="1" customWidth="1"/>
    <col min="15974" max="15974" width="5.28515625" bestFit="1" customWidth="1"/>
    <col min="15975" max="15976" width="10.42578125" bestFit="1" customWidth="1"/>
    <col min="15977" max="15977" width="11.5703125" bestFit="1" customWidth="1"/>
    <col min="15978" max="15978" width="5.28515625" bestFit="1" customWidth="1"/>
    <col min="15979" max="15979" width="14.28515625" bestFit="1" customWidth="1"/>
    <col min="15980" max="15980" width="13" bestFit="1" customWidth="1"/>
    <col min="15981" max="15981" width="11.5703125" bestFit="1" customWidth="1"/>
    <col min="15982" max="15982" width="8.85546875" bestFit="1" customWidth="1"/>
    <col min="15983" max="15983" width="14.42578125" bestFit="1" customWidth="1"/>
    <col min="15984" max="15984" width="10.42578125" bestFit="1" customWidth="1"/>
    <col min="15985" max="15985" width="12.28515625" bestFit="1" customWidth="1"/>
    <col min="15986" max="15986" width="13.85546875" bestFit="1" customWidth="1"/>
    <col min="15987" max="15987" width="11.28515625" customWidth="1"/>
    <col min="15988" max="15988" width="11.5703125" customWidth="1"/>
    <col min="15989" max="15989" width="13.42578125" bestFit="1" customWidth="1"/>
    <col min="15990" max="15990" width="10.42578125" customWidth="1"/>
    <col min="15991" max="15991" width="13.85546875" bestFit="1" customWidth="1"/>
    <col min="15992" max="15992" width="15.42578125" bestFit="1" customWidth="1"/>
    <col min="15993" max="15993" width="12.28515625" bestFit="1" customWidth="1"/>
    <col min="15994" max="15994" width="12.7109375" customWidth="1"/>
    <col min="15995" max="15995" width="10.7109375" bestFit="1" customWidth="1"/>
    <col min="15996" max="15996" width="9.85546875" customWidth="1"/>
    <col min="15997" max="15998" width="10.140625" bestFit="1" customWidth="1"/>
    <col min="15999" max="15999" width="7.5703125" bestFit="1" customWidth="1"/>
    <col min="16000" max="16000" width="9.42578125" bestFit="1" customWidth="1"/>
    <col min="16001" max="16001" width="14.5703125" bestFit="1" customWidth="1"/>
    <col min="16002" max="16002" width="14.85546875" customWidth="1"/>
    <col min="16003" max="16003" width="15.140625" bestFit="1" customWidth="1"/>
    <col min="16004" max="16004" width="12.140625" bestFit="1" customWidth="1"/>
    <col min="16005" max="16005" width="14.85546875" bestFit="1" customWidth="1"/>
    <col min="16006" max="16006" width="12.28515625" bestFit="1" customWidth="1"/>
    <col min="16007" max="16015" width="9.140625" hidden="1" customWidth="1"/>
    <col min="16016" max="16016" width="5.28515625" bestFit="1" customWidth="1"/>
    <col min="16017" max="16022" width="11.5703125" bestFit="1" customWidth="1"/>
    <col min="16023" max="16023" width="11.28515625" bestFit="1" customWidth="1"/>
    <col min="16024" max="16024" width="10.140625" bestFit="1" customWidth="1"/>
    <col min="16025" max="16025" width="11.5703125" bestFit="1" customWidth="1"/>
    <col min="16026" max="16026" width="16.140625" customWidth="1"/>
    <col min="16027" max="16027" width="13.42578125" customWidth="1"/>
    <col min="16028" max="16028" width="10.140625" bestFit="1" customWidth="1"/>
    <col min="16029" max="16029" width="12.85546875" bestFit="1" customWidth="1"/>
    <col min="16030" max="16030" width="12.28515625" bestFit="1" customWidth="1"/>
    <col min="16031" max="16031" width="11.28515625" bestFit="1" customWidth="1"/>
    <col min="16032" max="16032" width="11.5703125" bestFit="1" customWidth="1"/>
    <col min="16033" max="16033" width="10.85546875" bestFit="1" customWidth="1"/>
    <col min="16034" max="16034" width="11.28515625" bestFit="1" customWidth="1"/>
    <col min="16035" max="16035" width="10.140625" bestFit="1" customWidth="1"/>
    <col min="16036" max="16036" width="13.28515625" bestFit="1" customWidth="1"/>
    <col min="16037" max="16038" width="12.7109375" bestFit="1" customWidth="1"/>
    <col min="16039" max="16039" width="11" bestFit="1" customWidth="1"/>
    <col min="16040" max="16040" width="11.28515625" bestFit="1" customWidth="1"/>
    <col min="16041" max="16041" width="11.5703125" bestFit="1" customWidth="1"/>
    <col min="16042" max="16042" width="12.28515625" bestFit="1" customWidth="1"/>
    <col min="16043" max="16043" width="15.140625" bestFit="1" customWidth="1"/>
    <col min="16044" max="16044" width="14.42578125" bestFit="1" customWidth="1"/>
    <col min="16045" max="16045" width="12.28515625" bestFit="1" customWidth="1"/>
    <col min="16046" max="16046" width="15.140625" bestFit="1" customWidth="1"/>
    <col min="16047" max="16047" width="14.42578125" bestFit="1" customWidth="1"/>
    <col min="16048" max="16048" width="12.28515625" bestFit="1" customWidth="1"/>
    <col min="16049" max="16049" width="14.42578125" bestFit="1" customWidth="1"/>
    <col min="16050" max="16050" width="11.28515625" bestFit="1" customWidth="1"/>
    <col min="16051" max="16051" width="12.28515625" bestFit="1" customWidth="1"/>
    <col min="16052" max="16052" width="13" bestFit="1" customWidth="1"/>
    <col min="16053" max="16053" width="15.140625" bestFit="1" customWidth="1"/>
    <col min="16054" max="16054" width="12.28515625" bestFit="1" customWidth="1"/>
    <col min="16055" max="16055" width="13.85546875" bestFit="1" customWidth="1"/>
    <col min="16056" max="16056" width="11.28515625" bestFit="1" customWidth="1"/>
    <col min="16057" max="16057" width="12.28515625" bestFit="1" customWidth="1"/>
    <col min="16058" max="16058" width="13.85546875" bestFit="1" customWidth="1"/>
    <col min="16059" max="16060" width="15.140625" bestFit="1" customWidth="1"/>
    <col min="16061" max="16061" width="12.28515625" bestFit="1" customWidth="1"/>
    <col min="16062" max="16062" width="5.7109375" bestFit="1" customWidth="1"/>
    <col min="16063" max="16063" width="8.5703125" bestFit="1" customWidth="1"/>
    <col min="16064" max="16064" width="5.5703125" bestFit="1" customWidth="1"/>
    <col min="16065" max="16065" width="14.42578125" bestFit="1" customWidth="1"/>
    <col min="16066" max="16066" width="11.28515625" bestFit="1" customWidth="1"/>
    <col min="16067" max="16068" width="12.28515625" bestFit="1" customWidth="1"/>
    <col min="16069" max="16069" width="11.28515625" bestFit="1" customWidth="1"/>
    <col min="16070" max="16070" width="13.85546875" bestFit="1" customWidth="1"/>
    <col min="16071" max="16071" width="12" bestFit="1" customWidth="1"/>
    <col min="16072" max="16072" width="13.85546875" bestFit="1" customWidth="1"/>
    <col min="16073" max="16074" width="14.42578125" customWidth="1"/>
    <col min="16075" max="16075" width="10.140625" bestFit="1" customWidth="1"/>
    <col min="16076" max="16076" width="12.28515625" bestFit="1" customWidth="1"/>
    <col min="16077" max="16077" width="7.42578125" bestFit="1" customWidth="1"/>
    <col min="16078" max="16078" width="8.5703125" bestFit="1" customWidth="1"/>
    <col min="16079" max="16079" width="11.5703125" bestFit="1" customWidth="1"/>
    <col min="16080" max="16080" width="13.28515625" bestFit="1" customWidth="1"/>
    <col min="16081" max="16081" width="13.28515625" customWidth="1"/>
    <col min="16082" max="16082" width="13.140625" customWidth="1"/>
    <col min="16083" max="16083" width="12.7109375" bestFit="1" customWidth="1"/>
    <col min="16084" max="16084" width="13.28515625" bestFit="1" customWidth="1"/>
    <col min="16085" max="16087" width="13.28515625" customWidth="1"/>
    <col min="16088" max="16088" width="12.140625" bestFit="1" customWidth="1"/>
    <col min="16089" max="16089" width="12.7109375" bestFit="1" customWidth="1"/>
    <col min="16090" max="16090" width="11" customWidth="1"/>
    <col min="16091" max="16091" width="16.7109375" customWidth="1"/>
    <col min="16092" max="16092" width="17" customWidth="1"/>
    <col min="16093" max="16093" width="10.42578125" bestFit="1" customWidth="1"/>
    <col min="16137" max="16137" width="3.85546875" customWidth="1"/>
    <col min="16138" max="16138" width="15.28515625" bestFit="1" customWidth="1"/>
    <col min="16139" max="16139" width="12.28515625" customWidth="1"/>
    <col min="16140" max="16140" width="16.28515625" bestFit="1" customWidth="1"/>
    <col min="16141" max="16141" width="6.42578125" bestFit="1" customWidth="1"/>
    <col min="16142" max="16142" width="9.28515625" bestFit="1" customWidth="1"/>
    <col min="16143" max="16143" width="7.5703125" bestFit="1" customWidth="1"/>
    <col min="16144" max="16144" width="13.28515625" bestFit="1" customWidth="1"/>
    <col min="16145" max="16145" width="9.28515625" bestFit="1" customWidth="1"/>
    <col min="16146" max="16146" width="11.5703125" bestFit="1" customWidth="1"/>
    <col min="16147" max="16147" width="13.28515625" bestFit="1" customWidth="1"/>
    <col min="16148" max="16148" width="7.140625" bestFit="1" customWidth="1"/>
    <col min="16149" max="16149" width="12" bestFit="1" customWidth="1"/>
    <col min="16150" max="16150" width="13.28515625" bestFit="1" customWidth="1"/>
    <col min="16151" max="16151" width="7" bestFit="1" customWidth="1"/>
    <col min="16152" max="16152" width="12.7109375" bestFit="1" customWidth="1"/>
    <col min="16153" max="16153" width="11.5703125" bestFit="1" customWidth="1"/>
    <col min="16154" max="16154" width="10.5703125" bestFit="1" customWidth="1"/>
    <col min="16155" max="16156" width="15.7109375" bestFit="1" customWidth="1"/>
    <col min="16157" max="16157" width="11.5703125" bestFit="1" customWidth="1"/>
    <col min="16158" max="16158" width="7.7109375" bestFit="1" customWidth="1"/>
    <col min="16159" max="16159" width="15.140625" bestFit="1" customWidth="1"/>
    <col min="16160" max="16160" width="11.5703125" bestFit="1" customWidth="1"/>
    <col min="16161" max="16161" width="13.28515625" bestFit="1" customWidth="1"/>
    <col min="16162" max="16162" width="10.42578125" bestFit="1" customWidth="1"/>
    <col min="16163" max="16163" width="13.28515625" bestFit="1" customWidth="1"/>
    <col min="16164" max="16164" width="12.140625" bestFit="1" customWidth="1"/>
    <col min="16165" max="16165" width="14.42578125" bestFit="1" customWidth="1"/>
    <col min="16166" max="16166" width="13.28515625" bestFit="1" customWidth="1"/>
    <col min="16167" max="16167" width="11.5703125" bestFit="1" customWidth="1"/>
    <col min="16168" max="16168" width="7.7109375" bestFit="1" customWidth="1"/>
    <col min="16169" max="16170" width="14.42578125" bestFit="1" customWidth="1"/>
    <col min="16171" max="16171" width="11.5703125" bestFit="1" customWidth="1"/>
    <col min="16172" max="16172" width="7.7109375" bestFit="1" customWidth="1"/>
    <col min="16173" max="16173" width="13.5703125" customWidth="1"/>
    <col min="16174" max="16174" width="15.28515625" customWidth="1"/>
    <col min="16175" max="16175" width="14.5703125" customWidth="1"/>
    <col min="16176" max="16176" width="13.28515625" bestFit="1" customWidth="1"/>
    <col min="16177" max="16177" width="7.7109375" bestFit="1" customWidth="1"/>
    <col min="16178" max="16178" width="12.7109375" bestFit="1" customWidth="1"/>
    <col min="16179" max="16179" width="11.7109375" bestFit="1" customWidth="1"/>
    <col min="16180" max="16180" width="11.5703125" bestFit="1" customWidth="1"/>
    <col min="16181" max="16181" width="5.28515625" bestFit="1" customWidth="1"/>
    <col min="16182" max="16182" width="13.28515625" bestFit="1" customWidth="1"/>
    <col min="16183" max="16183" width="13.5703125" bestFit="1" customWidth="1"/>
    <col min="16184" max="16184" width="10.5703125" bestFit="1" customWidth="1"/>
    <col min="16185" max="16185" width="13.28515625" bestFit="1" customWidth="1"/>
    <col min="16186" max="16186" width="11.5703125" bestFit="1" customWidth="1"/>
    <col min="16187" max="16187" width="10.5703125" bestFit="1" customWidth="1"/>
    <col min="16188" max="16188" width="16.140625" bestFit="1" customWidth="1"/>
    <col min="16189" max="16190" width="11.28515625" bestFit="1" customWidth="1"/>
    <col min="16191" max="16191" width="13.28515625" bestFit="1" customWidth="1"/>
    <col min="16192" max="16192" width="7.7109375" bestFit="1" customWidth="1"/>
    <col min="16193" max="16196" width="9.140625" hidden="1" customWidth="1"/>
    <col min="16197" max="16197" width="10.42578125" bestFit="1" customWidth="1"/>
    <col min="16198" max="16198" width="10.5703125" bestFit="1" customWidth="1"/>
    <col min="16199" max="16199" width="10.42578125" bestFit="1" customWidth="1"/>
    <col min="16200" max="16200" width="10.5703125" bestFit="1" customWidth="1"/>
    <col min="16201" max="16201" width="9.5703125" bestFit="1" customWidth="1"/>
    <col min="16202" max="16202" width="11.5703125" bestFit="1" customWidth="1"/>
    <col min="16203" max="16203" width="10.42578125" bestFit="1" customWidth="1"/>
    <col min="16204" max="16204" width="10.85546875" customWidth="1"/>
    <col min="16205" max="16206" width="9.85546875" bestFit="1" customWidth="1"/>
    <col min="16207" max="16207" width="13.5703125" bestFit="1" customWidth="1"/>
    <col min="16208" max="16208" width="7.7109375" bestFit="1" customWidth="1"/>
    <col min="16209" max="16209" width="13.28515625" bestFit="1" customWidth="1"/>
    <col min="16210" max="16210" width="11.5703125" bestFit="1" customWidth="1"/>
    <col min="16211" max="16211" width="10.42578125" bestFit="1" customWidth="1"/>
    <col min="16212" max="16212" width="7.7109375" bestFit="1" customWidth="1"/>
    <col min="16213" max="16213" width="11.5703125" bestFit="1" customWidth="1"/>
    <col min="16214" max="16214" width="10.85546875" bestFit="1" customWidth="1"/>
    <col min="16215" max="16215" width="13.28515625" bestFit="1" customWidth="1"/>
    <col min="16216" max="16216" width="10.85546875" bestFit="1" customWidth="1"/>
    <col min="16217" max="16218" width="7.5703125" bestFit="1" customWidth="1"/>
    <col min="16219" max="16220" width="10.42578125" bestFit="1" customWidth="1"/>
    <col min="16221" max="16221" width="11.5703125" bestFit="1" customWidth="1"/>
    <col min="16222" max="16222" width="5.28515625" bestFit="1" customWidth="1"/>
    <col min="16223" max="16223" width="10.28515625" bestFit="1" customWidth="1"/>
    <col min="16224" max="16224" width="10.42578125" bestFit="1" customWidth="1"/>
    <col min="16225" max="16225" width="11.5703125" bestFit="1" customWidth="1"/>
    <col min="16226" max="16226" width="5.28515625" bestFit="1" customWidth="1"/>
    <col min="16227" max="16229" width="11.5703125" bestFit="1" customWidth="1"/>
    <col min="16230" max="16230" width="5.28515625" bestFit="1" customWidth="1"/>
    <col min="16231" max="16232" width="10.42578125" bestFit="1" customWidth="1"/>
    <col min="16233" max="16233" width="11.5703125" bestFit="1" customWidth="1"/>
    <col min="16234" max="16234" width="5.28515625" bestFit="1" customWidth="1"/>
    <col min="16235" max="16235" width="14.28515625" bestFit="1" customWidth="1"/>
    <col min="16236" max="16236" width="13" bestFit="1" customWidth="1"/>
    <col min="16237" max="16237" width="11.5703125" bestFit="1" customWidth="1"/>
    <col min="16238" max="16238" width="8.85546875" bestFit="1" customWidth="1"/>
    <col min="16239" max="16239" width="14.42578125" bestFit="1" customWidth="1"/>
    <col min="16240" max="16240" width="10.42578125" bestFit="1" customWidth="1"/>
    <col min="16241" max="16241" width="12.28515625" bestFit="1" customWidth="1"/>
    <col min="16242" max="16242" width="13.85546875" bestFit="1" customWidth="1"/>
    <col min="16243" max="16243" width="11.28515625" customWidth="1"/>
    <col min="16244" max="16244" width="11.5703125" customWidth="1"/>
    <col min="16245" max="16245" width="13.42578125" bestFit="1" customWidth="1"/>
    <col min="16246" max="16246" width="10.42578125" customWidth="1"/>
    <col min="16247" max="16247" width="13.85546875" bestFit="1" customWidth="1"/>
    <col min="16248" max="16248" width="15.42578125" bestFit="1" customWidth="1"/>
    <col min="16249" max="16249" width="12.28515625" bestFit="1" customWidth="1"/>
    <col min="16250" max="16250" width="12.7109375" customWidth="1"/>
    <col min="16251" max="16251" width="10.7109375" bestFit="1" customWidth="1"/>
    <col min="16252" max="16252" width="9.85546875" customWidth="1"/>
    <col min="16253" max="16254" width="10.140625" bestFit="1" customWidth="1"/>
    <col min="16255" max="16255" width="7.5703125" bestFit="1" customWidth="1"/>
    <col min="16256" max="16256" width="9.42578125" bestFit="1" customWidth="1"/>
    <col min="16257" max="16257" width="14.5703125" bestFit="1" customWidth="1"/>
    <col min="16258" max="16258" width="14.85546875" customWidth="1"/>
    <col min="16259" max="16259" width="15.140625" bestFit="1" customWidth="1"/>
    <col min="16260" max="16260" width="12.140625" bestFit="1" customWidth="1"/>
    <col min="16261" max="16261" width="14.85546875" bestFit="1" customWidth="1"/>
    <col min="16262" max="16262" width="12.28515625" bestFit="1" customWidth="1"/>
    <col min="16263" max="16271" width="9.140625" hidden="1" customWidth="1"/>
    <col min="16272" max="16272" width="5.28515625" bestFit="1" customWidth="1"/>
    <col min="16273" max="16278" width="11.5703125" bestFit="1" customWidth="1"/>
    <col min="16279" max="16279" width="11.28515625" bestFit="1" customWidth="1"/>
    <col min="16280" max="16280" width="10.140625" bestFit="1" customWidth="1"/>
    <col min="16281" max="16281" width="11.5703125" bestFit="1" customWidth="1"/>
    <col min="16282" max="16282" width="16.140625" customWidth="1"/>
    <col min="16283" max="16283" width="13.42578125" customWidth="1"/>
    <col min="16284" max="16284" width="10.140625" bestFit="1" customWidth="1"/>
    <col min="16285" max="16285" width="12.85546875" bestFit="1" customWidth="1"/>
    <col min="16286" max="16286" width="12.28515625" bestFit="1" customWidth="1"/>
    <col min="16287" max="16287" width="11.28515625" bestFit="1" customWidth="1"/>
    <col min="16288" max="16288" width="11.5703125" bestFit="1" customWidth="1"/>
    <col min="16289" max="16289" width="10.85546875" bestFit="1" customWidth="1"/>
    <col min="16290" max="16290" width="11.28515625" bestFit="1" customWidth="1"/>
    <col min="16291" max="16291" width="10.140625" bestFit="1" customWidth="1"/>
    <col min="16292" max="16292" width="13.28515625" bestFit="1" customWidth="1"/>
    <col min="16293" max="16294" width="12.7109375" bestFit="1" customWidth="1"/>
    <col min="16295" max="16295" width="11" bestFit="1" customWidth="1"/>
    <col min="16296" max="16296" width="11.28515625" bestFit="1" customWidth="1"/>
    <col min="16297" max="16297" width="11.5703125" bestFit="1" customWidth="1"/>
    <col min="16298" max="16298" width="12.28515625" bestFit="1" customWidth="1"/>
    <col min="16299" max="16299" width="15.140625" bestFit="1" customWidth="1"/>
    <col min="16300" max="16300" width="14.42578125" bestFit="1" customWidth="1"/>
    <col min="16301" max="16301" width="12.28515625" bestFit="1" customWidth="1"/>
    <col min="16302" max="16302" width="15.140625" bestFit="1" customWidth="1"/>
    <col min="16303" max="16303" width="14.42578125" bestFit="1" customWidth="1"/>
    <col min="16304" max="16304" width="12.28515625" bestFit="1" customWidth="1"/>
    <col min="16305" max="16305" width="14.42578125" bestFit="1" customWidth="1"/>
    <col min="16306" max="16306" width="11.28515625" bestFit="1" customWidth="1"/>
    <col min="16307" max="16307" width="12.28515625" bestFit="1" customWidth="1"/>
    <col min="16308" max="16308" width="13" bestFit="1" customWidth="1"/>
    <col min="16309" max="16309" width="15.140625" bestFit="1" customWidth="1"/>
    <col min="16310" max="16310" width="12.28515625" bestFit="1" customWidth="1"/>
    <col min="16311" max="16311" width="13.85546875" bestFit="1" customWidth="1"/>
    <col min="16312" max="16312" width="11.28515625" bestFit="1" customWidth="1"/>
    <col min="16313" max="16313" width="12.28515625" bestFit="1" customWidth="1"/>
    <col min="16314" max="16314" width="13.85546875" bestFit="1" customWidth="1"/>
    <col min="16315" max="16316" width="15.140625" bestFit="1" customWidth="1"/>
    <col min="16317" max="16317" width="12.28515625" bestFit="1" customWidth="1"/>
    <col min="16318" max="16318" width="5.7109375" bestFit="1" customWidth="1"/>
    <col min="16319" max="16319" width="8.5703125" bestFit="1" customWidth="1"/>
    <col min="16320" max="16320" width="5.5703125" bestFit="1" customWidth="1"/>
    <col min="16321" max="16321" width="14.42578125" bestFit="1" customWidth="1"/>
    <col min="16322" max="16322" width="11.28515625" bestFit="1" customWidth="1"/>
    <col min="16323" max="16324" width="12.28515625" bestFit="1" customWidth="1"/>
    <col min="16325" max="16325" width="11.28515625" bestFit="1" customWidth="1"/>
    <col min="16326" max="16326" width="13.85546875" bestFit="1" customWidth="1"/>
    <col min="16327" max="16327" width="12" bestFit="1" customWidth="1"/>
    <col min="16328" max="16328" width="13.85546875" bestFit="1" customWidth="1"/>
    <col min="16329" max="16330" width="14.42578125" customWidth="1"/>
    <col min="16331" max="16331" width="10.140625" bestFit="1" customWidth="1"/>
    <col min="16332" max="16332" width="12.28515625" bestFit="1" customWidth="1"/>
    <col min="16333" max="16333" width="7.42578125" bestFit="1" customWidth="1"/>
    <col min="16334" max="16334" width="8.5703125" bestFit="1" customWidth="1"/>
    <col min="16335" max="16335" width="11.5703125" bestFit="1" customWidth="1"/>
    <col min="16336" max="16336" width="13.28515625" bestFit="1" customWidth="1"/>
    <col min="16337" max="16337" width="13.28515625" customWidth="1"/>
    <col min="16338" max="16338" width="13.140625" customWidth="1"/>
    <col min="16339" max="16339" width="12.7109375" bestFit="1" customWidth="1"/>
    <col min="16340" max="16340" width="13.28515625" bestFit="1" customWidth="1"/>
    <col min="16341" max="16343" width="13.28515625" customWidth="1"/>
    <col min="16344" max="16344" width="12.140625" bestFit="1" customWidth="1"/>
    <col min="16345" max="16345" width="12.7109375" bestFit="1" customWidth="1"/>
    <col min="16346" max="16346" width="11" customWidth="1"/>
    <col min="16347" max="16347" width="16.7109375" customWidth="1"/>
    <col min="16348" max="16348" width="17" customWidth="1"/>
    <col min="16349" max="16349" width="10.42578125" bestFit="1" customWidth="1"/>
  </cols>
  <sheetData>
    <row r="1" spans="1:293" x14ac:dyDescent="0.25">
      <c r="A1" s="1" t="s">
        <v>0</v>
      </c>
      <c r="CE1" s="2"/>
      <c r="ED1" s="3"/>
      <c r="EE1" s="3"/>
      <c r="EP1" s="2"/>
      <c r="FD1" s="2"/>
    </row>
    <row r="2" spans="1:293" x14ac:dyDescent="0.25">
      <c r="A2" s="1" t="s">
        <v>184</v>
      </c>
      <c r="ED2" s="3"/>
      <c r="EP2" s="2"/>
      <c r="FD2" s="2"/>
      <c r="FE2" s="3"/>
      <c r="GA2" t="s">
        <v>211</v>
      </c>
      <c r="GP2" s="447" t="s">
        <v>210</v>
      </c>
      <c r="GQ2" s="447"/>
    </row>
    <row r="3" spans="1:293" x14ac:dyDescent="0.25">
      <c r="A3" s="448" t="s">
        <v>1</v>
      </c>
      <c r="B3" s="449" t="s">
        <v>2</v>
      </c>
      <c r="C3" s="449"/>
      <c r="D3" s="449"/>
      <c r="E3" s="449"/>
      <c r="F3" s="449"/>
      <c r="G3" s="449"/>
      <c r="H3" s="420" t="s">
        <v>3</v>
      </c>
      <c r="I3" s="420"/>
      <c r="J3" s="420"/>
      <c r="K3" s="420"/>
      <c r="L3" s="420"/>
      <c r="M3" s="420"/>
      <c r="N3" s="420"/>
      <c r="O3" s="420" t="s">
        <v>4</v>
      </c>
      <c r="P3" s="420"/>
      <c r="Q3" s="420"/>
      <c r="R3" s="420"/>
      <c r="S3" s="420"/>
      <c r="T3" s="420"/>
      <c r="U3" s="420"/>
      <c r="V3" s="420"/>
      <c r="W3" s="420"/>
      <c r="X3" s="420"/>
      <c r="Y3" s="420"/>
      <c r="Z3" s="420"/>
      <c r="AA3" s="420"/>
      <c r="AB3" s="420"/>
      <c r="AC3" s="420"/>
      <c r="AD3" s="420"/>
      <c r="AE3" s="420"/>
      <c r="AF3" s="420"/>
      <c r="AG3" s="420"/>
      <c r="AH3" s="420"/>
      <c r="AI3" s="420"/>
      <c r="AJ3" s="420"/>
      <c r="AK3" s="420"/>
      <c r="AL3" s="420"/>
      <c r="AM3" s="420"/>
      <c r="AN3" s="420"/>
      <c r="AO3" s="420"/>
      <c r="AP3" s="420"/>
      <c r="AQ3" s="420"/>
      <c r="AR3" s="420"/>
      <c r="AS3" s="420"/>
      <c r="AT3" s="420"/>
      <c r="AU3" s="420"/>
      <c r="AV3" s="420"/>
      <c r="AW3" s="420"/>
      <c r="AX3" s="420"/>
      <c r="AY3" s="420"/>
      <c r="AZ3" s="420"/>
      <c r="BA3" s="420"/>
      <c r="BB3" s="420"/>
      <c r="BC3" s="420"/>
      <c r="BD3" s="420"/>
      <c r="BE3" s="433" t="s">
        <v>5</v>
      </c>
      <c r="BF3" s="445"/>
      <c r="BG3" s="434"/>
      <c r="BH3" s="403" t="s">
        <v>6</v>
      </c>
      <c r="BI3" s="417"/>
      <c r="BJ3" s="404"/>
      <c r="BK3" s="433" t="s">
        <v>7</v>
      </c>
      <c r="BL3" s="445"/>
      <c r="BM3" s="445"/>
      <c r="BN3" s="445"/>
      <c r="BO3" s="445"/>
      <c r="BP3" s="434"/>
      <c r="BQ3" s="420" t="s">
        <v>8</v>
      </c>
      <c r="BR3" s="420"/>
      <c r="BS3" s="450"/>
      <c r="BT3" s="451"/>
      <c r="BU3" s="420" t="s">
        <v>9</v>
      </c>
      <c r="BV3" s="420"/>
      <c r="BW3" s="420"/>
      <c r="BX3" s="420"/>
      <c r="BY3" s="420"/>
      <c r="BZ3" s="420"/>
      <c r="CA3" s="420"/>
      <c r="CB3" s="420"/>
      <c r="CC3" s="420"/>
      <c r="CD3" s="420"/>
      <c r="CE3" s="420"/>
      <c r="CF3" s="420"/>
      <c r="CG3" s="420"/>
      <c r="CH3" s="420"/>
      <c r="CI3" s="420"/>
      <c r="CJ3" s="420"/>
      <c r="CK3" s="420"/>
      <c r="CL3" s="420"/>
      <c r="CM3" s="420"/>
      <c r="CN3" s="420"/>
      <c r="CO3" s="420"/>
      <c r="CP3" s="420"/>
      <c r="CQ3" s="420"/>
      <c r="CR3" s="420"/>
      <c r="CS3" s="420"/>
      <c r="CT3" s="420"/>
      <c r="CU3" s="420"/>
      <c r="CV3" s="420"/>
      <c r="CW3" s="420"/>
      <c r="CX3" s="420"/>
      <c r="CY3" s="420"/>
      <c r="CZ3" s="420"/>
      <c r="DA3" s="420"/>
      <c r="DB3" s="420"/>
      <c r="DC3" s="420"/>
      <c r="DD3" s="420"/>
      <c r="DE3" s="420"/>
      <c r="DF3" s="420"/>
      <c r="DG3" s="420"/>
      <c r="DH3" s="438" t="s">
        <v>10</v>
      </c>
      <c r="DI3" s="421" t="s">
        <v>11</v>
      </c>
      <c r="DJ3" s="421"/>
      <c r="DK3" s="421"/>
      <c r="DL3" s="421"/>
      <c r="DM3" s="421"/>
      <c r="DN3" s="421"/>
      <c r="DO3" s="421"/>
      <c r="DP3" s="421"/>
      <c r="DQ3" s="408" t="s">
        <v>180</v>
      </c>
      <c r="DR3" s="409"/>
      <c r="DS3" s="408" t="s">
        <v>12</v>
      </c>
      <c r="DT3" s="409"/>
      <c r="DU3" s="440" t="s">
        <v>13</v>
      </c>
      <c r="DV3" s="441"/>
      <c r="DW3" s="441"/>
      <c r="DX3" s="441"/>
      <c r="DY3" s="441"/>
      <c r="DZ3" s="441"/>
      <c r="EA3" s="441"/>
      <c r="EB3" s="441"/>
      <c r="EC3" s="442"/>
      <c r="ED3" s="4"/>
      <c r="EE3" s="440" t="s">
        <v>14</v>
      </c>
      <c r="EF3" s="441"/>
      <c r="EG3" s="441"/>
      <c r="EH3" s="441"/>
      <c r="EI3" s="441"/>
      <c r="EJ3" s="441"/>
      <c r="EK3" s="441"/>
      <c r="EL3" s="441"/>
      <c r="EM3" s="442"/>
      <c r="EN3" s="5"/>
      <c r="EO3" s="446" t="s">
        <v>15</v>
      </c>
      <c r="EP3" s="446"/>
      <c r="EQ3" s="446"/>
      <c r="ER3" s="446"/>
      <c r="ES3" s="446"/>
      <c r="ET3" s="446"/>
      <c r="EU3" s="446"/>
      <c r="EV3" s="446"/>
      <c r="EW3" s="446"/>
      <c r="EX3" s="446"/>
      <c r="EY3" s="446"/>
      <c r="EZ3" s="446"/>
      <c r="FA3" s="446"/>
      <c r="FB3" s="446"/>
      <c r="FC3" s="446"/>
      <c r="FD3" s="446"/>
      <c r="FE3" s="446" t="s">
        <v>16</v>
      </c>
      <c r="FF3" s="446"/>
      <c r="FG3" s="446"/>
      <c r="FH3" s="446"/>
      <c r="FI3" s="446"/>
      <c r="FJ3" s="446"/>
      <c r="FK3" s="446"/>
      <c r="FL3" s="446"/>
      <c r="FM3" s="446"/>
      <c r="FN3" s="446"/>
      <c r="FO3" s="446"/>
      <c r="FP3" s="446"/>
      <c r="FQ3" s="446"/>
      <c r="FR3" s="446"/>
      <c r="FS3" s="446"/>
      <c r="FT3" s="446"/>
      <c r="FU3" s="446"/>
      <c r="FV3" s="446" t="s">
        <v>17</v>
      </c>
      <c r="FW3" s="446"/>
      <c r="FX3" s="446"/>
      <c r="FY3" s="446"/>
      <c r="FZ3" s="446"/>
      <c r="GA3" s="446"/>
      <c r="GB3" s="446"/>
      <c r="GC3" s="446"/>
      <c r="GD3" s="446"/>
      <c r="GE3" s="446"/>
      <c r="GF3" s="446"/>
      <c r="GG3" s="446"/>
      <c r="GH3" s="404" t="s">
        <v>18</v>
      </c>
      <c r="GI3" s="402"/>
      <c r="GJ3" s="402"/>
      <c r="GK3" s="402"/>
      <c r="GL3" s="402"/>
      <c r="GM3" s="402"/>
      <c r="GN3" s="403" t="s">
        <v>202</v>
      </c>
      <c r="GO3" s="417"/>
      <c r="GP3" s="404"/>
      <c r="GQ3" s="403" t="s">
        <v>209</v>
      </c>
      <c r="GR3" s="417"/>
      <c r="GS3" s="404"/>
      <c r="HH3" s="406" t="s">
        <v>256</v>
      </c>
      <c r="HI3" s="406"/>
      <c r="HJ3" s="406"/>
      <c r="HK3" s="406"/>
      <c r="HL3" s="406"/>
      <c r="HM3" s="406"/>
      <c r="HN3" s="406"/>
      <c r="HO3" s="406"/>
      <c r="HP3" s="406"/>
      <c r="HQ3" s="406"/>
      <c r="HR3" s="406"/>
      <c r="HS3" s="406"/>
      <c r="HT3" s="406"/>
      <c r="HU3" s="406"/>
      <c r="HV3" s="406"/>
      <c r="HW3" s="406"/>
      <c r="HX3" s="406"/>
      <c r="HY3" s="406"/>
      <c r="HZ3" s="406"/>
      <c r="IA3" s="406"/>
      <c r="IB3" s="406"/>
      <c r="IC3" s="406"/>
      <c r="ID3" s="406"/>
      <c r="IE3" s="406"/>
      <c r="IF3" s="406"/>
      <c r="IG3" s="406"/>
      <c r="IH3" s="406"/>
      <c r="II3" s="406"/>
      <c r="IJ3" s="406"/>
      <c r="IK3" s="406"/>
      <c r="IL3" s="406"/>
      <c r="IM3" s="406"/>
      <c r="IN3" s="406"/>
      <c r="IO3" s="406"/>
      <c r="IP3" s="406"/>
      <c r="IQ3" s="406"/>
      <c r="IR3" s="406"/>
      <c r="IS3" s="406"/>
      <c r="IT3" s="406"/>
      <c r="IU3" s="406"/>
      <c r="IV3" s="406"/>
      <c r="IW3" s="406"/>
      <c r="IX3" s="406"/>
      <c r="IY3" s="406"/>
      <c r="IZ3" s="406"/>
      <c r="JA3" s="406"/>
      <c r="JB3" s="406"/>
      <c r="JC3" s="406"/>
      <c r="JD3" s="406"/>
      <c r="JE3" s="406"/>
      <c r="JF3" s="406"/>
      <c r="JG3" s="406"/>
      <c r="JH3" s="406"/>
      <c r="JI3" s="406"/>
      <c r="JJ3" s="406"/>
      <c r="JK3" s="406"/>
      <c r="JL3" s="406"/>
      <c r="JM3" s="406"/>
      <c r="JN3" s="406"/>
      <c r="JO3" s="406"/>
      <c r="JP3" s="406"/>
      <c r="JQ3" s="406"/>
      <c r="JR3" s="406"/>
      <c r="JS3" s="406"/>
      <c r="JT3" s="406"/>
      <c r="JU3" s="406"/>
      <c r="JV3" s="406"/>
      <c r="JW3" s="406"/>
      <c r="JX3" s="406"/>
      <c r="JY3" s="406"/>
      <c r="JZ3" s="406"/>
      <c r="KA3" s="406"/>
      <c r="KB3" s="406"/>
      <c r="KC3" s="406"/>
      <c r="KD3" s="406"/>
      <c r="KE3" s="406"/>
    </row>
    <row r="4" spans="1:293" x14ac:dyDescent="0.25">
      <c r="A4" s="448"/>
      <c r="B4" s="449"/>
      <c r="C4" s="449"/>
      <c r="D4" s="449"/>
      <c r="E4" s="449"/>
      <c r="F4" s="449"/>
      <c r="G4" s="449"/>
      <c r="H4" s="420"/>
      <c r="I4" s="420"/>
      <c r="J4" s="420"/>
      <c r="K4" s="420"/>
      <c r="L4" s="420"/>
      <c r="M4" s="420"/>
      <c r="N4" s="420"/>
      <c r="O4" s="420" t="s">
        <v>20</v>
      </c>
      <c r="P4" s="420"/>
      <c r="Q4" s="420"/>
      <c r="R4" s="420"/>
      <c r="S4" s="420"/>
      <c r="T4" s="420"/>
      <c r="U4" s="420"/>
      <c r="V4" s="420"/>
      <c r="W4" s="420"/>
      <c r="X4" s="420"/>
      <c r="Y4" s="420"/>
      <c r="Z4" s="420"/>
      <c r="AA4" s="420"/>
      <c r="AB4" s="420"/>
      <c r="AC4" s="420"/>
      <c r="AD4" s="420"/>
      <c r="AE4" s="420"/>
      <c r="AF4" s="420"/>
      <c r="AG4" s="420"/>
      <c r="AH4" s="420"/>
      <c r="AI4" s="420"/>
      <c r="AJ4" s="7"/>
      <c r="AK4" s="430" t="s">
        <v>21</v>
      </c>
      <c r="AL4" s="420" t="s">
        <v>22</v>
      </c>
      <c r="AM4" s="420"/>
      <c r="AN4" s="420"/>
      <c r="AO4" s="420"/>
      <c r="AP4" s="420"/>
      <c r="AQ4" s="420"/>
      <c r="AR4" s="420"/>
      <c r="AS4" s="420"/>
      <c r="AT4" s="420"/>
      <c r="AU4" s="420"/>
      <c r="AV4" s="420"/>
      <c r="AW4" s="420"/>
      <c r="AX4" s="420"/>
      <c r="AY4" s="420"/>
      <c r="AZ4" s="420"/>
      <c r="BA4" s="420"/>
      <c r="BB4" s="420"/>
      <c r="BC4" s="420"/>
      <c r="BD4" s="430" t="s">
        <v>23</v>
      </c>
      <c r="BE4" s="420" t="s">
        <v>24</v>
      </c>
      <c r="BF4" s="420"/>
      <c r="BG4" s="420"/>
      <c r="BH4" s="7"/>
      <c r="BI4" s="7"/>
      <c r="BJ4" s="7"/>
      <c r="BK4" s="420" t="s">
        <v>25</v>
      </c>
      <c r="BL4" s="420"/>
      <c r="BM4" s="420" t="s">
        <v>26</v>
      </c>
      <c r="BN4" s="420"/>
      <c r="BO4" s="427" t="s">
        <v>27</v>
      </c>
      <c r="BP4" s="427"/>
      <c r="BQ4" s="420"/>
      <c r="BR4" s="420"/>
      <c r="BS4" s="428" t="s">
        <v>28</v>
      </c>
      <c r="BT4" s="429"/>
      <c r="BU4" s="420"/>
      <c r="BV4" s="420"/>
      <c r="BW4" s="420"/>
      <c r="BX4" s="420"/>
      <c r="BY4" s="420"/>
      <c r="BZ4" s="420"/>
      <c r="CA4" s="420"/>
      <c r="CB4" s="420"/>
      <c r="CC4" s="420"/>
      <c r="CD4" s="420"/>
      <c r="CE4" s="420"/>
      <c r="CF4" s="420"/>
      <c r="CG4" s="420"/>
      <c r="CH4" s="420"/>
      <c r="CI4" s="420"/>
      <c r="CJ4" s="420"/>
      <c r="CK4" s="420"/>
      <c r="CL4" s="420"/>
      <c r="CM4" s="420"/>
      <c r="CN4" s="420"/>
      <c r="CO4" s="420"/>
      <c r="CP4" s="420"/>
      <c r="CQ4" s="420"/>
      <c r="CR4" s="420"/>
      <c r="CS4" s="420"/>
      <c r="CT4" s="420"/>
      <c r="CU4" s="420"/>
      <c r="CV4" s="420"/>
      <c r="CW4" s="420"/>
      <c r="CX4" s="420"/>
      <c r="CY4" s="420"/>
      <c r="CZ4" s="420"/>
      <c r="DA4" s="420"/>
      <c r="DB4" s="420"/>
      <c r="DC4" s="420"/>
      <c r="DD4" s="420"/>
      <c r="DE4" s="420"/>
      <c r="DF4" s="420"/>
      <c r="DG4" s="420"/>
      <c r="DH4" s="439"/>
      <c r="DI4" s="421"/>
      <c r="DJ4" s="421"/>
      <c r="DK4" s="421"/>
      <c r="DL4" s="421"/>
      <c r="DM4" s="421"/>
      <c r="DN4" s="421"/>
      <c r="DO4" s="421"/>
      <c r="DP4" s="421"/>
      <c r="DQ4" s="410"/>
      <c r="DR4" s="411"/>
      <c r="DS4" s="410"/>
      <c r="DT4" s="411"/>
      <c r="DU4" s="435" t="s">
        <v>29</v>
      </c>
      <c r="DV4" s="436"/>
      <c r="DW4" s="437"/>
      <c r="DX4" s="435" t="s">
        <v>30</v>
      </c>
      <c r="DY4" s="436"/>
      <c r="DZ4" s="437"/>
      <c r="EA4" s="435"/>
      <c r="EB4" s="436"/>
      <c r="EC4" s="437"/>
      <c r="ED4" s="8" t="s">
        <v>31</v>
      </c>
      <c r="EE4" s="435"/>
      <c r="EF4" s="436"/>
      <c r="EG4" s="437"/>
      <c r="EH4" s="435"/>
      <c r="EI4" s="436"/>
      <c r="EJ4" s="437"/>
      <c r="EK4" s="435"/>
      <c r="EL4" s="436"/>
      <c r="EM4" s="437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403" t="s">
        <v>33</v>
      </c>
      <c r="FW4" s="417"/>
      <c r="FX4" s="417"/>
      <c r="FY4" s="417" t="s">
        <v>33</v>
      </c>
      <c r="FZ4" s="417"/>
      <c r="GA4" s="417"/>
      <c r="GB4" s="417"/>
      <c r="GC4" s="417"/>
      <c r="GD4" s="417"/>
      <c r="GE4" s="417"/>
      <c r="GF4" s="417"/>
      <c r="GG4" s="404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402" t="s">
        <v>252</v>
      </c>
      <c r="HH4" s="491" t="s">
        <v>106</v>
      </c>
      <c r="HI4" s="491"/>
      <c r="HJ4" s="491"/>
      <c r="HK4" s="491" t="s">
        <v>258</v>
      </c>
      <c r="HL4" s="491"/>
      <c r="HM4" s="491"/>
      <c r="HN4" s="507" t="s">
        <v>259</v>
      </c>
      <c r="HO4" s="508"/>
      <c r="HP4" s="508"/>
      <c r="HQ4" s="508"/>
      <c r="HR4" s="508"/>
      <c r="HS4" s="508"/>
      <c r="HT4" s="508"/>
      <c r="HU4" s="508"/>
      <c r="HV4" s="508"/>
      <c r="HW4" s="508"/>
      <c r="HX4" s="508"/>
      <c r="HY4" s="508"/>
      <c r="HZ4" s="508"/>
      <c r="IA4" s="508"/>
      <c r="IB4" s="508"/>
      <c r="IC4" s="508"/>
      <c r="ID4" s="508"/>
      <c r="IE4" s="508"/>
      <c r="IF4" s="508"/>
      <c r="IG4" s="508"/>
      <c r="IH4" s="509"/>
      <c r="II4" s="494" t="s">
        <v>283</v>
      </c>
      <c r="IJ4" s="493" t="s">
        <v>204</v>
      </c>
      <c r="IK4" s="493"/>
      <c r="IL4" s="493"/>
      <c r="IM4" s="493"/>
      <c r="IN4" s="493"/>
      <c r="IO4" s="493"/>
      <c r="IP4" s="493"/>
      <c r="IQ4" s="493"/>
      <c r="IR4" s="493"/>
      <c r="IS4" s="493"/>
      <c r="IT4" s="493"/>
      <c r="IU4" s="493"/>
      <c r="IV4" s="492" t="s">
        <v>260</v>
      </c>
      <c r="IW4" s="492"/>
      <c r="IX4" s="492"/>
      <c r="IY4" s="492"/>
      <c r="IZ4" s="492"/>
      <c r="JA4" s="492"/>
      <c r="JB4" s="492"/>
      <c r="JC4" s="492"/>
      <c r="JD4" s="492"/>
      <c r="JE4" s="492"/>
      <c r="JF4" s="492"/>
      <c r="JG4" s="492"/>
      <c r="JH4" s="492"/>
      <c r="JI4" s="492"/>
      <c r="JJ4" s="492"/>
      <c r="JK4" s="492"/>
      <c r="JL4" s="492"/>
      <c r="JM4" s="492"/>
      <c r="JN4" s="496" t="s">
        <v>261</v>
      </c>
      <c r="JO4" s="496"/>
      <c r="JP4" s="496"/>
      <c r="JQ4" s="496"/>
      <c r="JR4" s="496"/>
      <c r="JS4" s="496"/>
      <c r="JT4" s="496"/>
      <c r="JU4" s="496"/>
      <c r="JV4" s="496"/>
      <c r="JW4" s="496"/>
      <c r="JX4" s="496"/>
      <c r="JY4" s="496"/>
      <c r="JZ4" s="496"/>
      <c r="KA4" s="496"/>
      <c r="KB4" s="496"/>
      <c r="KC4" s="496"/>
      <c r="KD4" s="496"/>
      <c r="KE4" s="496"/>
      <c r="KG4" t="s">
        <v>98</v>
      </c>
    </row>
    <row r="5" spans="1:293" x14ac:dyDescent="0.25">
      <c r="A5" s="448"/>
      <c r="B5" s="452" t="s">
        <v>35</v>
      </c>
      <c r="C5" s="452"/>
      <c r="D5" s="452"/>
      <c r="E5" s="452" t="s">
        <v>36</v>
      </c>
      <c r="F5" s="452"/>
      <c r="G5" s="15" t="s">
        <v>37</v>
      </c>
      <c r="H5" s="420" t="s">
        <v>38</v>
      </c>
      <c r="I5" s="420"/>
      <c r="J5" s="420"/>
      <c r="K5" s="420"/>
      <c r="L5" s="420" t="s">
        <v>39</v>
      </c>
      <c r="M5" s="420"/>
      <c r="N5" s="420"/>
      <c r="O5" s="420" t="s">
        <v>40</v>
      </c>
      <c r="P5" s="420"/>
      <c r="Q5" s="420"/>
      <c r="R5" s="7"/>
      <c r="S5" s="420" t="s">
        <v>41</v>
      </c>
      <c r="T5" s="420"/>
      <c r="U5" s="420" t="s">
        <v>42</v>
      </c>
      <c r="V5" s="420"/>
      <c r="W5" s="420" t="s">
        <v>43</v>
      </c>
      <c r="X5" s="420"/>
      <c r="Y5" s="431" t="s">
        <v>44</v>
      </c>
      <c r="Z5" s="432"/>
      <c r="AA5" s="433" t="s">
        <v>188</v>
      </c>
      <c r="AB5" s="434"/>
      <c r="AC5" s="420" t="s">
        <v>45</v>
      </c>
      <c r="AD5" s="420"/>
      <c r="AE5" s="420"/>
      <c r="AF5" s="420"/>
      <c r="AG5" s="420" t="s">
        <v>46</v>
      </c>
      <c r="AH5" s="420"/>
      <c r="AI5" s="420"/>
      <c r="AJ5" s="420"/>
      <c r="AK5" s="430"/>
      <c r="AL5" s="421" t="s">
        <v>47</v>
      </c>
      <c r="AM5" s="421"/>
      <c r="AN5" s="421"/>
      <c r="AO5" s="421"/>
      <c r="AP5" s="421" t="s">
        <v>48</v>
      </c>
      <c r="AQ5" s="421"/>
      <c r="AR5" s="421"/>
      <c r="AS5" s="421"/>
      <c r="AT5" s="422" t="s">
        <v>49</v>
      </c>
      <c r="AU5" s="423"/>
      <c r="AV5" s="422" t="s">
        <v>50</v>
      </c>
      <c r="AW5" s="423"/>
      <c r="AX5" s="421" t="s">
        <v>51</v>
      </c>
      <c r="AY5" s="421"/>
      <c r="AZ5" s="421"/>
      <c r="BA5" s="421" t="s">
        <v>52</v>
      </c>
      <c r="BB5" s="421"/>
      <c r="BC5" s="421"/>
      <c r="BD5" s="430"/>
      <c r="BE5" s="420"/>
      <c r="BF5" s="420"/>
      <c r="BG5" s="420"/>
      <c r="BH5" s="16"/>
      <c r="BI5" s="16"/>
      <c r="BJ5" s="16"/>
      <c r="BK5" s="420"/>
      <c r="BL5" s="420"/>
      <c r="BM5" s="420"/>
      <c r="BN5" s="420"/>
      <c r="BO5" s="427"/>
      <c r="BP5" s="427"/>
      <c r="BQ5" s="420"/>
      <c r="BR5" s="420"/>
      <c r="BS5" s="443" t="s">
        <v>53</v>
      </c>
      <c r="BT5" s="444"/>
      <c r="BU5" s="420" t="s">
        <v>54</v>
      </c>
      <c r="BV5" s="420"/>
      <c r="BW5" s="420"/>
      <c r="BX5" s="420"/>
      <c r="BY5" s="433" t="s">
        <v>55</v>
      </c>
      <c r="BZ5" s="445"/>
      <c r="CA5" s="445"/>
      <c r="CB5" s="434"/>
      <c r="CC5" s="420" t="s">
        <v>56</v>
      </c>
      <c r="CD5" s="420"/>
      <c r="CE5" s="420" t="s">
        <v>57</v>
      </c>
      <c r="CF5" s="420"/>
      <c r="CG5" s="420" t="s">
        <v>58</v>
      </c>
      <c r="CH5" s="420"/>
      <c r="CI5" s="420" t="s">
        <v>59</v>
      </c>
      <c r="CJ5" s="420"/>
      <c r="CK5" s="420"/>
      <c r="CL5" s="420"/>
      <c r="CM5" s="420" t="s">
        <v>60</v>
      </c>
      <c r="CN5" s="420"/>
      <c r="CO5" s="420"/>
      <c r="CP5" s="420"/>
      <c r="CQ5" s="421" t="s">
        <v>61</v>
      </c>
      <c r="CR5" s="421"/>
      <c r="CS5" s="421"/>
      <c r="CT5" s="421"/>
      <c r="CU5" s="421" t="s">
        <v>62</v>
      </c>
      <c r="CV5" s="421"/>
      <c r="CW5" s="421"/>
      <c r="CX5" s="421"/>
      <c r="CY5" s="421" t="s">
        <v>63</v>
      </c>
      <c r="CZ5" s="421"/>
      <c r="DA5" s="421"/>
      <c r="DB5" s="421"/>
      <c r="DC5" s="421" t="s">
        <v>64</v>
      </c>
      <c r="DD5" s="421"/>
      <c r="DE5" s="421"/>
      <c r="DF5" s="421"/>
      <c r="DG5" s="17" t="s">
        <v>65</v>
      </c>
      <c r="DH5" s="17"/>
      <c r="DI5" s="421"/>
      <c r="DJ5" s="421"/>
      <c r="DK5" s="421"/>
      <c r="DL5" s="421"/>
      <c r="DM5" s="421"/>
      <c r="DN5" s="421"/>
      <c r="DO5" s="421"/>
      <c r="DP5" s="421"/>
      <c r="DQ5" s="412"/>
      <c r="DR5" s="413"/>
      <c r="DS5" s="412"/>
      <c r="DT5" s="413"/>
      <c r="DU5" s="424" t="s">
        <v>66</v>
      </c>
      <c r="DV5" s="425"/>
      <c r="DW5" s="426"/>
      <c r="DX5" s="424" t="s">
        <v>67</v>
      </c>
      <c r="DY5" s="425"/>
      <c r="DZ5" s="426"/>
      <c r="EA5" s="424" t="s">
        <v>68</v>
      </c>
      <c r="EB5" s="425"/>
      <c r="EC5" s="426"/>
      <c r="ED5" s="18"/>
      <c r="EE5" s="424" t="s">
        <v>69</v>
      </c>
      <c r="EF5" s="425"/>
      <c r="EG5" s="426"/>
      <c r="EH5" s="424" t="s">
        <v>70</v>
      </c>
      <c r="EI5" s="425"/>
      <c r="EJ5" s="426"/>
      <c r="EK5" s="424" t="s">
        <v>71</v>
      </c>
      <c r="EL5" s="425"/>
      <c r="EM5" s="426"/>
      <c r="EN5" s="19"/>
      <c r="EO5" s="403" t="s">
        <v>72</v>
      </c>
      <c r="EP5" s="417"/>
      <c r="EQ5" s="404"/>
      <c r="ER5" s="403" t="s">
        <v>73</v>
      </c>
      <c r="ES5" s="417"/>
      <c r="ET5" s="404"/>
      <c r="EU5" s="403" t="s">
        <v>74</v>
      </c>
      <c r="EV5" s="417"/>
      <c r="EW5" s="404"/>
      <c r="EX5" s="403" t="s">
        <v>75</v>
      </c>
      <c r="EY5" s="417"/>
      <c r="EZ5" s="404"/>
      <c r="FA5" s="20"/>
      <c r="FB5" s="403" t="s">
        <v>76</v>
      </c>
      <c r="FC5" s="404"/>
      <c r="FD5" s="16" t="s">
        <v>77</v>
      </c>
      <c r="FE5" s="403" t="s">
        <v>72</v>
      </c>
      <c r="FF5" s="417"/>
      <c r="FG5" s="404"/>
      <c r="FH5" s="403" t="s">
        <v>73</v>
      </c>
      <c r="FI5" s="417"/>
      <c r="FJ5" s="404"/>
      <c r="FK5" s="10" t="s">
        <v>78</v>
      </c>
      <c r="FL5" s="11"/>
      <c r="FM5" s="21"/>
      <c r="FN5" s="403" t="s">
        <v>75</v>
      </c>
      <c r="FO5" s="417"/>
      <c r="FP5" s="404"/>
      <c r="FQ5" s="403" t="s">
        <v>79</v>
      </c>
      <c r="FR5" s="417"/>
      <c r="FS5" s="404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402"/>
      <c r="HH5" s="16"/>
      <c r="HI5" s="16"/>
      <c r="HJ5" s="16"/>
      <c r="HK5" s="16"/>
      <c r="HL5" s="16"/>
      <c r="HM5" s="16"/>
      <c r="HN5" s="403" t="s">
        <v>204</v>
      </c>
      <c r="HO5" s="417"/>
      <c r="HP5" s="404"/>
      <c r="HQ5" s="403" t="s">
        <v>260</v>
      </c>
      <c r="HR5" s="417"/>
      <c r="HS5" s="404"/>
      <c r="HT5" s="403" t="s">
        <v>261</v>
      </c>
      <c r="HU5" s="417"/>
      <c r="HV5" s="404"/>
      <c r="HW5" s="403" t="s">
        <v>318</v>
      </c>
      <c r="HX5" s="417"/>
      <c r="HY5" s="404"/>
      <c r="HZ5" s="403" t="s">
        <v>346</v>
      </c>
      <c r="IA5" s="417"/>
      <c r="IB5" s="404"/>
      <c r="IC5" s="403" t="s">
        <v>357</v>
      </c>
      <c r="ID5" s="417"/>
      <c r="IE5" s="404"/>
      <c r="IF5" s="402" t="s">
        <v>65</v>
      </c>
      <c r="IG5" s="402"/>
      <c r="IH5" s="402"/>
      <c r="II5" s="495"/>
      <c r="IJ5" s="402" t="s">
        <v>262</v>
      </c>
      <c r="IK5" s="402"/>
      <c r="IL5" s="402"/>
      <c r="IM5" s="402" t="s">
        <v>263</v>
      </c>
      <c r="IN5" s="402"/>
      <c r="IO5" s="402"/>
      <c r="IP5" s="402" t="s">
        <v>264</v>
      </c>
      <c r="IQ5" s="402"/>
      <c r="IR5" s="402"/>
      <c r="IS5" s="402" t="s">
        <v>265</v>
      </c>
      <c r="IT5" s="402"/>
      <c r="IU5" s="402"/>
      <c r="IV5" s="402" t="s">
        <v>152</v>
      </c>
      <c r="IW5" s="402"/>
      <c r="IX5" s="402"/>
      <c r="IY5" s="402" t="s">
        <v>266</v>
      </c>
      <c r="IZ5" s="402"/>
      <c r="JA5" s="402"/>
      <c r="JB5" s="402" t="s">
        <v>165</v>
      </c>
      <c r="JC5" s="402"/>
      <c r="JD5" s="402"/>
      <c r="JE5" s="402" t="s">
        <v>267</v>
      </c>
      <c r="JF5" s="402"/>
      <c r="JG5" s="402"/>
      <c r="JH5" s="402" t="s">
        <v>268</v>
      </c>
      <c r="JI5" s="402"/>
      <c r="JJ5" s="402"/>
      <c r="JK5" s="402" t="s">
        <v>269</v>
      </c>
      <c r="JL5" s="402"/>
      <c r="JM5" s="402"/>
      <c r="JN5" s="402" t="s">
        <v>152</v>
      </c>
      <c r="JO5" s="402"/>
      <c r="JP5" s="402"/>
      <c r="JQ5" s="402" t="s">
        <v>266</v>
      </c>
      <c r="JR5" s="402"/>
      <c r="JS5" s="402"/>
      <c r="JT5" s="402" t="s">
        <v>165</v>
      </c>
      <c r="JU5" s="402"/>
      <c r="JV5" s="402"/>
      <c r="JW5" s="402" t="s">
        <v>267</v>
      </c>
      <c r="JX5" s="402"/>
      <c r="JY5" s="402"/>
      <c r="JZ5" s="402" t="s">
        <v>268</v>
      </c>
      <c r="KA5" s="402"/>
      <c r="KB5" s="402"/>
      <c r="KC5" s="402" t="s">
        <v>269</v>
      </c>
      <c r="KD5" s="402"/>
      <c r="KE5" s="402"/>
    </row>
    <row r="6" spans="1:293" x14ac:dyDescent="0.25">
      <c r="A6" s="448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403" t="s">
        <v>99</v>
      </c>
      <c r="FW6" s="417"/>
      <c r="FX6" s="404"/>
      <c r="FY6" s="403" t="s">
        <v>100</v>
      </c>
      <c r="FZ6" s="417"/>
      <c r="GA6" s="404"/>
      <c r="GB6" s="403" t="s">
        <v>101</v>
      </c>
      <c r="GC6" s="417"/>
      <c r="GD6" s="404"/>
      <c r="GE6" s="403" t="s">
        <v>102</v>
      </c>
      <c r="GF6" s="417"/>
      <c r="GG6" s="404"/>
      <c r="GH6" s="403" t="s">
        <v>103</v>
      </c>
      <c r="GI6" s="417"/>
      <c r="GJ6" s="404"/>
      <c r="GK6" s="403" t="s">
        <v>104</v>
      </c>
      <c r="GL6" s="417"/>
      <c r="GM6" s="404"/>
      <c r="GN6" s="33"/>
      <c r="GO6" s="33"/>
      <c r="GP6" s="33"/>
      <c r="GQ6" s="6"/>
      <c r="GR6" s="6"/>
      <c r="GS6" s="6"/>
      <c r="GT6" s="177"/>
      <c r="GU6" s="402" t="s">
        <v>105</v>
      </c>
      <c r="GV6" s="402"/>
      <c r="GW6" s="402"/>
      <c r="GX6" s="402"/>
      <c r="GY6" s="418"/>
      <c r="GZ6" s="406"/>
      <c r="HA6" s="406"/>
      <c r="HB6" s="406"/>
      <c r="HG6" s="402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7" t="s">
        <v>82</v>
      </c>
      <c r="IA6" s="207" t="s">
        <v>83</v>
      </c>
      <c r="IB6" s="207" t="s">
        <v>257</v>
      </c>
      <c r="IC6" s="207" t="s">
        <v>82</v>
      </c>
      <c r="ID6" s="207" t="s">
        <v>83</v>
      </c>
      <c r="IE6" s="207" t="s">
        <v>257</v>
      </c>
      <c r="IF6" s="207" t="s">
        <v>82</v>
      </c>
      <c r="IG6" s="207" t="s">
        <v>83</v>
      </c>
      <c r="IH6" s="207" t="s">
        <v>257</v>
      </c>
      <c r="II6" s="209"/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W6" s="207" t="s">
        <v>82</v>
      </c>
      <c r="JX6" s="207" t="s">
        <v>83</v>
      </c>
      <c r="JY6" s="207" t="s">
        <v>257</v>
      </c>
      <c r="JZ6" s="207" t="s">
        <v>82</v>
      </c>
      <c r="KA6" s="207" t="s">
        <v>83</v>
      </c>
      <c r="KB6" s="207" t="s">
        <v>257</v>
      </c>
      <c r="KC6" s="207" t="s">
        <v>82</v>
      </c>
      <c r="KD6" s="207" t="s">
        <v>83</v>
      </c>
      <c r="KE6" s="207" t="s">
        <v>257</v>
      </c>
      <c r="KG6" s="208" t="s">
        <v>78</v>
      </c>
    </row>
    <row r="7" spans="1:293" x14ac:dyDescent="0.25">
      <c r="A7" s="35">
        <v>1</v>
      </c>
      <c r="B7" s="38">
        <v>4451.2700000000004</v>
      </c>
      <c r="C7" s="38"/>
      <c r="D7" s="38"/>
      <c r="E7" s="38">
        <v>895.84</v>
      </c>
      <c r="F7" s="38"/>
      <c r="G7" s="38"/>
      <c r="H7" s="37"/>
      <c r="I7" s="39"/>
      <c r="J7" s="42"/>
      <c r="K7" s="37"/>
      <c r="L7" s="40">
        <v>13750000</v>
      </c>
      <c r="M7" s="40"/>
      <c r="N7" s="37"/>
      <c r="O7" s="37">
        <v>11169.9</v>
      </c>
      <c r="P7" s="37"/>
      <c r="Q7" s="37"/>
      <c r="R7" s="37"/>
      <c r="S7" s="37">
        <v>11237979.85</v>
      </c>
      <c r="T7" s="37"/>
      <c r="U7" s="37">
        <v>1523790.61</v>
      </c>
      <c r="V7" s="37"/>
      <c r="W7" s="37">
        <v>3995.7</v>
      </c>
      <c r="X7" s="37"/>
      <c r="Y7" s="183"/>
      <c r="Z7" s="183"/>
      <c r="AA7" s="37">
        <v>787900</v>
      </c>
      <c r="AB7" s="37"/>
      <c r="AC7" s="37">
        <v>4166.6000000000004</v>
      </c>
      <c r="AD7" s="37"/>
      <c r="AE7" s="37"/>
      <c r="AF7" s="37"/>
      <c r="AG7" s="37">
        <v>9080.9</v>
      </c>
      <c r="AH7" s="37"/>
      <c r="AI7" s="37"/>
      <c r="AJ7" s="37"/>
      <c r="AK7" s="37"/>
      <c r="AL7" s="42">
        <v>10950</v>
      </c>
      <c r="AM7" s="42"/>
      <c r="AN7" s="37"/>
      <c r="AO7" s="37"/>
      <c r="AP7" s="37">
        <v>8490.9</v>
      </c>
      <c r="AQ7" s="37"/>
      <c r="AR7" s="37"/>
      <c r="AS7" s="37"/>
      <c r="AT7" s="183"/>
      <c r="AU7" s="183"/>
      <c r="AV7" s="183"/>
      <c r="AW7" s="183"/>
      <c r="AX7" s="37">
        <v>487314.68</v>
      </c>
      <c r="AY7" s="37"/>
      <c r="AZ7" s="37"/>
      <c r="BA7" s="37">
        <v>152299.71</v>
      </c>
      <c r="BB7" s="37"/>
      <c r="BC7" s="37"/>
      <c r="BD7" s="37"/>
      <c r="BE7" s="43">
        <v>1923.9</v>
      </c>
      <c r="BF7" s="43">
        <v>1061.4000000000001</v>
      </c>
      <c r="BG7" s="37"/>
      <c r="BH7" s="44">
        <v>8988.7999999999993</v>
      </c>
      <c r="BI7" s="44">
        <v>5783.1</v>
      </c>
      <c r="BJ7" s="37"/>
      <c r="BK7" s="40">
        <v>1598200</v>
      </c>
      <c r="BL7" s="40"/>
      <c r="BM7" s="40">
        <v>875.91</v>
      </c>
      <c r="BN7" s="37"/>
      <c r="BO7" s="186"/>
      <c r="BP7" s="183"/>
      <c r="BQ7" s="40">
        <v>828.33</v>
      </c>
      <c r="BR7" s="37"/>
      <c r="BS7" s="37">
        <v>100099.68</v>
      </c>
      <c r="BT7" s="37"/>
      <c r="BU7" s="42">
        <v>2786800</v>
      </c>
      <c r="BV7" s="42"/>
      <c r="BW7" s="37"/>
      <c r="BX7" s="37"/>
      <c r="BY7" s="43">
        <v>352.04</v>
      </c>
      <c r="BZ7" s="43"/>
      <c r="CA7" s="37"/>
      <c r="CB7" s="37"/>
      <c r="CC7" s="37">
        <v>656920</v>
      </c>
      <c r="CD7" s="37"/>
      <c r="CE7" s="41">
        <v>1228900</v>
      </c>
      <c r="CF7" s="37"/>
      <c r="CG7" s="37">
        <v>72811</v>
      </c>
      <c r="CH7" s="37"/>
      <c r="CI7" s="40">
        <v>12912</v>
      </c>
      <c r="CJ7" s="40"/>
      <c r="CK7" s="37"/>
      <c r="CL7" s="37"/>
      <c r="CM7" s="37">
        <v>3616.7</v>
      </c>
      <c r="CN7" s="37"/>
      <c r="CO7" s="37"/>
      <c r="CP7" s="37"/>
      <c r="CQ7" s="39">
        <v>208990</v>
      </c>
      <c r="CR7" s="39"/>
      <c r="CS7" s="37"/>
      <c r="CT7" s="37"/>
      <c r="CU7" s="37">
        <v>3478100</v>
      </c>
      <c r="CV7" s="41"/>
      <c r="CW7" s="38"/>
      <c r="CX7" s="37"/>
      <c r="CY7" s="37">
        <v>1829800</v>
      </c>
      <c r="CZ7" s="37"/>
      <c r="DA7" s="37"/>
      <c r="DB7" s="37"/>
      <c r="DC7" s="37"/>
      <c r="DD7" s="40"/>
      <c r="DE7" s="37" t="e">
        <f>IF((DC7-DC6)&lt;=0,0,(DC7-DC6))</f>
        <v>#VALUE!</v>
      </c>
      <c r="DF7" s="37" t="e">
        <f>IF(DE7&lt;=0,0,(DE7/SQRT(DE7^2+(DD7-DD6)^2)))</f>
        <v>#VALUE!</v>
      </c>
      <c r="DG7" s="37" t="e">
        <f t="shared" ref="DG7" si="0">(DE7)-DA7-CW7-CS7-CO7-CK7-BW7</f>
        <v>#VALUE!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3534600</v>
      </c>
      <c r="DR7" s="49"/>
      <c r="DS7" s="50">
        <v>3925000</v>
      </c>
      <c r="DT7" s="49"/>
      <c r="DU7" s="51">
        <v>8021.9</v>
      </c>
      <c r="DV7" s="51">
        <v>4498.3</v>
      </c>
      <c r="DW7" s="37"/>
      <c r="DX7" s="52">
        <v>13216</v>
      </c>
      <c r="DY7" s="52">
        <v>8425.5</v>
      </c>
      <c r="DZ7" s="37"/>
      <c r="EA7" s="49">
        <v>30286</v>
      </c>
      <c r="EB7" s="49">
        <v>21.045000000000002</v>
      </c>
      <c r="EC7" s="37"/>
      <c r="ED7" s="53"/>
      <c r="EE7" s="49">
        <v>45743</v>
      </c>
      <c r="EF7" s="49">
        <v>29.706</v>
      </c>
      <c r="EG7" s="37"/>
      <c r="EH7" s="51">
        <v>13179</v>
      </c>
      <c r="EI7" s="51">
        <v>1.8085</v>
      </c>
      <c r="EJ7" s="37"/>
      <c r="EK7" s="37">
        <v>802.13</v>
      </c>
      <c r="EL7" s="40">
        <v>1149.2</v>
      </c>
      <c r="EM7" s="37"/>
      <c r="EN7" s="54"/>
      <c r="EO7" s="48">
        <v>13077</v>
      </c>
      <c r="EP7" s="48">
        <v>4574.5</v>
      </c>
      <c r="EQ7" s="37"/>
      <c r="ER7" s="48">
        <v>9580.9</v>
      </c>
      <c r="ES7" s="55">
        <v>3933.5</v>
      </c>
      <c r="ET7" s="49"/>
      <c r="EU7" s="48">
        <v>3684</v>
      </c>
      <c r="EV7" s="48">
        <v>1309.3</v>
      </c>
      <c r="EW7" s="49"/>
      <c r="EX7" s="48">
        <v>13633</v>
      </c>
      <c r="EY7" s="48">
        <v>1.5842000000000001</v>
      </c>
      <c r="EZ7" s="37"/>
      <c r="FA7" s="48"/>
      <c r="FB7" s="48">
        <v>36769168</v>
      </c>
      <c r="FC7" s="49"/>
      <c r="FD7" s="48"/>
      <c r="FE7" s="153">
        <v>17158</v>
      </c>
      <c r="FF7" s="154">
        <v>6108.7</v>
      </c>
      <c r="FG7" s="37"/>
      <c r="FH7" s="48">
        <v>8935.5</v>
      </c>
      <c r="FI7" s="48">
        <v>3.4504000000000001</v>
      </c>
      <c r="FJ7" s="49"/>
      <c r="FK7" s="48"/>
      <c r="FL7" s="58"/>
      <c r="FM7" s="48"/>
      <c r="FN7" s="48">
        <v>16743</v>
      </c>
      <c r="FO7" s="48">
        <v>0.84699999999999998</v>
      </c>
      <c r="FP7" s="37"/>
      <c r="FQ7" s="48">
        <v>59233</v>
      </c>
      <c r="FR7" s="48">
        <v>14.331</v>
      </c>
      <c r="FS7" s="37"/>
      <c r="FT7" s="48"/>
      <c r="FU7" s="48"/>
      <c r="FV7" s="44">
        <v>4712700</v>
      </c>
      <c r="FW7" s="44">
        <v>1452100</v>
      </c>
      <c r="FX7" s="37"/>
      <c r="FY7" s="56">
        <v>3468.1</v>
      </c>
      <c r="FZ7" s="56">
        <v>2.1301999999999999</v>
      </c>
      <c r="GA7" s="37"/>
      <c r="GB7" s="56">
        <v>823.2</v>
      </c>
      <c r="GC7" s="56">
        <v>921.99</v>
      </c>
      <c r="GD7" s="37"/>
      <c r="GE7" s="56">
        <v>10180</v>
      </c>
      <c r="GF7" s="63">
        <v>3.4691000000000001</v>
      </c>
      <c r="GG7" s="37"/>
      <c r="GH7" s="48">
        <v>1976.5</v>
      </c>
      <c r="GI7" s="56">
        <v>1689.9</v>
      </c>
      <c r="GJ7" s="38"/>
      <c r="GK7" s="56">
        <v>1489.1</v>
      </c>
      <c r="GL7" s="44">
        <v>1128.4000000000001</v>
      </c>
      <c r="GM7" s="38"/>
      <c r="GN7" s="57">
        <v>208250</v>
      </c>
      <c r="GO7" s="57">
        <v>184460</v>
      </c>
      <c r="GP7" s="38"/>
      <c r="GQ7" s="38">
        <v>272200</v>
      </c>
      <c r="GR7" s="38">
        <v>267790</v>
      </c>
      <c r="GS7" s="38"/>
      <c r="GT7" s="178"/>
      <c r="GU7" s="144"/>
      <c r="GV7" s="59"/>
      <c r="GW7" s="60"/>
      <c r="GX7" s="61"/>
      <c r="GY7" s="140"/>
      <c r="GZ7" s="74"/>
      <c r="HA7" s="62"/>
      <c r="HB7" s="62"/>
      <c r="HC7" s="74"/>
      <c r="HD7" s="74"/>
      <c r="HE7" s="24"/>
      <c r="HG7" s="213">
        <v>1</v>
      </c>
      <c r="HH7" s="16">
        <v>11308</v>
      </c>
      <c r="HI7" s="16">
        <v>4362.5</v>
      </c>
      <c r="HJ7" s="16"/>
      <c r="HK7" s="16">
        <v>1.9189000000000001</v>
      </c>
      <c r="HL7" s="16">
        <v>660.93</v>
      </c>
      <c r="HM7" s="16"/>
      <c r="HN7" s="16">
        <v>2950.4</v>
      </c>
      <c r="HO7" s="16">
        <v>1289.9000000000001</v>
      </c>
      <c r="HP7" s="16"/>
      <c r="HQ7" s="16">
        <v>2506.1999999999998</v>
      </c>
      <c r="HR7" s="16">
        <v>1086.4000000000001</v>
      </c>
      <c r="HS7" s="16"/>
      <c r="HT7" s="16">
        <v>2146</v>
      </c>
      <c r="HU7" s="16">
        <v>830.84</v>
      </c>
      <c r="HV7" s="16"/>
      <c r="HW7" s="16">
        <v>1223.9000000000001</v>
      </c>
      <c r="HX7" s="16">
        <v>536.78</v>
      </c>
      <c r="HY7" s="16"/>
      <c r="HZ7" s="16">
        <v>134470</v>
      </c>
      <c r="IA7" s="16">
        <v>77723</v>
      </c>
      <c r="IB7" s="16"/>
      <c r="IC7" s="16">
        <v>719.8</v>
      </c>
      <c r="ID7" s="16">
        <v>232.78</v>
      </c>
      <c r="IE7" s="16"/>
      <c r="IF7" s="16"/>
      <c r="IG7" s="16"/>
      <c r="IH7" s="128">
        <f t="shared" ref="IH7" si="1">DT7</f>
        <v>0</v>
      </c>
      <c r="II7" s="211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</row>
    <row r="8" spans="1:293" x14ac:dyDescent="0.25">
      <c r="A8" s="35">
        <f t="shared" ref="A8:A36" si="2">A7+1</f>
        <v>2</v>
      </c>
      <c r="B8" s="38">
        <v>4462.38</v>
      </c>
      <c r="C8" s="38">
        <f t="shared" ref="C8:C38" si="3">IF((B8-B7)&lt;=0,0,(B8-B7))</f>
        <v>11.109999999999673</v>
      </c>
      <c r="D8" s="38">
        <f t="shared" ref="D8:D38" si="4">IF((B8-B7)*32000&lt;=0,0,(B8-B7)*32000)</f>
        <v>355519.99999998952</v>
      </c>
      <c r="E8" s="38">
        <v>898.1</v>
      </c>
      <c r="F8" s="38">
        <f t="shared" ref="F8:F38" si="5">IF((E8-E7)*32000&lt;=0,0,(E8-E7)*32000)</f>
        <v>72319.999999999709</v>
      </c>
      <c r="G8" s="38">
        <f t="shared" ref="G8:G38" si="6">D8+F8</f>
        <v>427839.99999998923</v>
      </c>
      <c r="H8" s="37"/>
      <c r="I8" s="39"/>
      <c r="J8" s="42"/>
      <c r="K8" s="37">
        <f>IF(J8&lt;=0,0,(J8/SQRT(J8^2+(I8-I7)^2)))</f>
        <v>0</v>
      </c>
      <c r="L8" s="40">
        <v>13792000</v>
      </c>
      <c r="M8" s="40"/>
      <c r="N8" s="37">
        <f>IF((L8-L7)&lt;=0,0,(L8-L7)*10)</f>
        <v>420000</v>
      </c>
      <c r="O8" s="37">
        <v>11187</v>
      </c>
      <c r="P8" s="37"/>
      <c r="Q8" s="37">
        <f t="shared" ref="Q8:Q21" si="7">IF((O8-O7)&lt;=0,0,(O8-O7))*1000</f>
        <v>17100.000000000364</v>
      </c>
      <c r="R8" s="37">
        <f>IF(Q8&lt;=0,0,(Q8/SQRT(Q8^2+(P8-P7)^2)))</f>
        <v>1</v>
      </c>
      <c r="S8" s="37">
        <v>11238291.859999999</v>
      </c>
      <c r="T8" s="37">
        <f t="shared" ref="T8:T38" si="8">IF((S8-S7)&lt;=0,0,(S8-S7))</f>
        <v>312.00999999977648</v>
      </c>
      <c r="U8" s="37">
        <v>1523790.61</v>
      </c>
      <c r="V8" s="37">
        <f t="shared" ref="V8:V35" si="9">IF((U8-U7)&lt;=0,0,(U8-U7))</f>
        <v>0</v>
      </c>
      <c r="W8" s="37">
        <v>4001.8</v>
      </c>
      <c r="X8" s="37">
        <f>Q8-T8-V8-AB8</f>
        <v>16647.990000000587</v>
      </c>
      <c r="Y8" s="183"/>
      <c r="Z8" s="183"/>
      <c r="AA8" s="37">
        <v>788040</v>
      </c>
      <c r="AB8" s="37">
        <f t="shared" ref="AB8:AB38" si="10">IF((AA8-AA7)&lt;=0,0,(AA8-AA7))</f>
        <v>140</v>
      </c>
      <c r="AC8" s="37">
        <v>4175.2</v>
      </c>
      <c r="AD8" s="37"/>
      <c r="AE8" s="37">
        <f t="shared" ref="AE8:AE21" si="11">IF((AC8-AC7)&lt;=0,0,(AC8-AC7))*1000</f>
        <v>8599.9999999994543</v>
      </c>
      <c r="AF8" s="37">
        <f>IF(AE8&lt;=0,0,(AE8/SQRT(AE8^2+(AD8-AD7)^2)))</f>
        <v>1</v>
      </c>
      <c r="AG8" s="37">
        <v>9097.5</v>
      </c>
      <c r="AH8" s="37"/>
      <c r="AI8" s="37">
        <f t="shared" ref="AI8:AI38" si="12">IF((AG8-AG7)&lt;=0,0,(AG8-AG7))*1000+GX8</f>
        <v>16879.680000000364</v>
      </c>
      <c r="AJ8" s="37">
        <f t="shared" ref="AJ8:AJ38" si="13">IF(AI8&lt;=0,0,(AI8/SQRT(AI8^2+(AH8-AH7)^2)))</f>
        <v>1</v>
      </c>
      <c r="AK8" s="37">
        <f t="shared" ref="AK8:AK38" si="14">T8+V8+X8+AE8+AI8</f>
        <v>42439.680000000182</v>
      </c>
      <c r="AL8" s="42">
        <v>10961</v>
      </c>
      <c r="AM8" s="42"/>
      <c r="AN8" s="37">
        <f>IF((AL8-AL7)&lt;=0,0,(AL8-AL7))*1000+GX8-BL8-BN8-BP8-BR8</f>
        <v>5879.68</v>
      </c>
      <c r="AO8" s="37">
        <f>IF(AN8&lt;=0,0,(AN8/SQRT(AN8^2+(AM8-AM7)^2)))</f>
        <v>1</v>
      </c>
      <c r="AP8" s="37">
        <v>8499.2999999999993</v>
      </c>
      <c r="AQ8" s="37"/>
      <c r="AR8" s="37">
        <f t="shared" ref="AR8:AR38" si="15">IF((AP8-AP7)&lt;=0,0,(AP8-AP7))*1000</f>
        <v>8399.9999999996362</v>
      </c>
      <c r="AS8" s="37">
        <f>IF(AR8&lt;=0,0,(AR8/SQRT(AR8^2+(AQ8-AQ7)^2)))</f>
        <v>1</v>
      </c>
      <c r="AT8" s="183"/>
      <c r="AU8" s="183"/>
      <c r="AV8" s="183"/>
      <c r="AW8" s="183"/>
      <c r="AX8" s="37">
        <v>487710.12</v>
      </c>
      <c r="AY8" s="37"/>
      <c r="AZ8" s="37">
        <f t="shared" ref="AZ8:AZ38" si="16">IF((AX8-AX7)&lt;=0,0,(AX8-AX7))</f>
        <v>395.44000000000233</v>
      </c>
      <c r="BA8" s="37">
        <v>152929.15</v>
      </c>
      <c r="BB8" s="37"/>
      <c r="BC8" s="37">
        <f t="shared" ref="BC8:BC38" si="17">IF((BA8-BA7)&lt;=0,0,(BA8-BA7))</f>
        <v>629.44000000000233</v>
      </c>
      <c r="BD8" s="37">
        <f>AN8+AR8+AZ8+BC8</f>
        <v>15304.559999999641</v>
      </c>
      <c r="BE8" s="43">
        <v>1925.8</v>
      </c>
      <c r="BF8" s="43">
        <v>1062.5999999999999</v>
      </c>
      <c r="BG8" s="37">
        <f t="shared" ref="BG8:BG38" si="18">IF((BE8-BE7)&lt;=0,0,(BE8-BE7))*1000</f>
        <v>1899.9999999998636</v>
      </c>
      <c r="BH8" s="44">
        <v>8998</v>
      </c>
      <c r="BI8" s="44">
        <v>5789.4</v>
      </c>
      <c r="BJ8" s="37">
        <f t="shared" ref="BJ8:BJ38" si="19">IF((BH8-BH7)&lt;=0,0,(BH8-BH7))*1000</f>
        <v>9200.0000000007276</v>
      </c>
      <c r="BK8" s="40">
        <v>1602600</v>
      </c>
      <c r="BL8" s="40">
        <f>IF((BK8-BK7)&lt;=0,0,(BK8-BK7))</f>
        <v>4400</v>
      </c>
      <c r="BM8" s="40">
        <v>876.61</v>
      </c>
      <c r="BN8" s="37">
        <f t="shared" ref="BN8:BN38" si="20">IF((BM8-BM7)&lt;=0,0,BM8-BM7)*1000</f>
        <v>700.00000000004547</v>
      </c>
      <c r="BO8" s="186"/>
      <c r="BP8" s="183">
        <f t="shared" ref="BP8:BP38" si="21">IF((BO8-BO7)&lt;=0,0,(BO8-BO7))*1000</f>
        <v>0</v>
      </c>
      <c r="BQ8" s="40">
        <v>828.63</v>
      </c>
      <c r="BR8" s="37">
        <f>IF((BQ8-BQ7)&lt;=0,0,(BQ8-BQ7))*1000</f>
        <v>299.99999999995453</v>
      </c>
      <c r="BS8" s="37">
        <v>100317.42</v>
      </c>
      <c r="BT8" s="37">
        <f t="shared" ref="BT8:BT38" si="22">IF((BS8-BS7)&lt;=0,0,(BS8-BS7))</f>
        <v>217.74000000000524</v>
      </c>
      <c r="BU8" s="42">
        <v>2795500</v>
      </c>
      <c r="BV8" s="42"/>
      <c r="BW8" s="37">
        <f t="shared" ref="BW8:BW38" si="23">IF((BU8-BU7)&lt;=0,0,(BU8-BU7))</f>
        <v>8700</v>
      </c>
      <c r="BX8" s="37">
        <f>IF(BW8&lt;=0,0,(BW8/SQRT(BW8^2+(BV8-BV7)^2)))</f>
        <v>1</v>
      </c>
      <c r="BY8" s="43">
        <v>352.93</v>
      </c>
      <c r="BZ8" s="43"/>
      <c r="CA8" s="37">
        <f t="shared" ref="CA8:CA16" si="24">IF((BY8-BY7)&lt;=0,0,(BY8-BY7)*1000)</f>
        <v>889.99999999998636</v>
      </c>
      <c r="CB8" s="37">
        <f>IF(CA8&lt;=0,0,(CA8/SQRT(CA8^2+(BZ8-BZ7)^2)))</f>
        <v>1</v>
      </c>
      <c r="CC8" s="37">
        <v>659500</v>
      </c>
      <c r="CD8" s="37">
        <f t="shared" ref="CD8:CD38" si="25">IF((CC8-CC7)&lt;=0,0,(CC8-CC7))</f>
        <v>2580</v>
      </c>
      <c r="CE8" s="41">
        <v>1234400</v>
      </c>
      <c r="CF8" s="37">
        <f t="shared" ref="CF8:CF38" si="26">IF((CE8-CE7)&lt;=0,0,(CE8-CE7))</f>
        <v>5500</v>
      </c>
      <c r="CG8" s="37">
        <v>72811</v>
      </c>
      <c r="CH8" s="37">
        <f>IF((CG8-CG7)&lt;=0,0,(CG8-CG7))</f>
        <v>0</v>
      </c>
      <c r="CI8" s="40">
        <v>12930</v>
      </c>
      <c r="CJ8" s="40"/>
      <c r="CK8" s="37">
        <f>IF((CI8-CI7)*1000&lt;=0,0,(CI8-CI7)*1000)+GX8-CA8</f>
        <v>17389.680000000015</v>
      </c>
      <c r="CL8" s="37">
        <f t="shared" ref="CL8:CL38" si="27">IF(CK8&lt;=0,0,(CK8/SQRT(CK8^2+(CJ8-CJ7)^2)))</f>
        <v>1</v>
      </c>
      <c r="CM8" s="37">
        <v>3625.2</v>
      </c>
      <c r="CN8" s="37"/>
      <c r="CO8" s="37">
        <f t="shared" ref="CO8:CO38" si="28">IF((CM8-CM7)&lt;=0,0,(CM8-CM7))*1000+GX8</f>
        <v>8779.68</v>
      </c>
      <c r="CP8" s="37">
        <f>IF(CO8&lt;=0,0,(CO8/SQRT(CO8^2+(CN8-CN7)^2)))</f>
        <v>1</v>
      </c>
      <c r="CQ8" s="39">
        <v>215990</v>
      </c>
      <c r="CR8" s="45"/>
      <c r="CS8" s="37">
        <f>IF((CQ8-CQ7)&lt;=0,0,(CQ8-CQ7))+GX8</f>
        <v>7279.68</v>
      </c>
      <c r="CT8" s="37">
        <f>IF(CS8&lt;=0,0,(CS8/SQRT(CS8^2+(CR8-CR7)^2)))</f>
        <v>1</v>
      </c>
      <c r="CU8" s="37">
        <v>3499300</v>
      </c>
      <c r="CV8" s="37"/>
      <c r="CW8" s="38">
        <f t="shared" ref="CW8:CW38" si="29">IF((CU8-CU7)&lt;=0,0,(CU8-CU7))</f>
        <v>21200</v>
      </c>
      <c r="CX8" s="37">
        <f>IF(CW8&lt;=0,0,(CW8/SQRT(CW8^2+(CV8-CV7)^2)))</f>
        <v>1</v>
      </c>
      <c r="CY8" s="37">
        <v>1839900</v>
      </c>
      <c r="CZ8" s="37"/>
      <c r="DA8" s="37">
        <f t="shared" ref="DA8:DA26" si="30">IF((CY8-CY7)&lt;=0,0,(CY8-CY7))</f>
        <v>10100</v>
      </c>
      <c r="DB8" s="37">
        <f>IF(DA8&lt;=0,0,(DA8/SQRT(DA8^2+(CZ8-CZ7)^2)))</f>
        <v>1</v>
      </c>
      <c r="DC8" s="37"/>
      <c r="DD8" s="40"/>
      <c r="DE8" s="37">
        <f t="shared" ref="DE8:DE33" si="31">IF((DC8-DC7)&lt;=0,0,(DC8-DC7))</f>
        <v>0</v>
      </c>
      <c r="DF8" s="37">
        <f>IF(DE8&lt;=0,0,(DE8/SQRT(DE8^2+(DD8-DD7)^2)))</f>
        <v>0</v>
      </c>
      <c r="DG8" s="37">
        <f t="shared" ref="DG8:DG38" si="32">(DE8)-DA8-CW8-CS8-CO8-CK8-BW8</f>
        <v>-73449.040000000008</v>
      </c>
      <c r="DH8" s="37">
        <f t="shared" ref="DH8:DH38" si="33">DE8+BG8+AK8+N8</f>
        <v>464339.68000000005</v>
      </c>
      <c r="DI8" s="46"/>
      <c r="DJ8" s="46"/>
      <c r="DK8" s="47"/>
      <c r="DL8" s="47"/>
      <c r="DM8" s="37"/>
      <c r="DN8" s="37"/>
      <c r="DO8" s="37"/>
      <c r="DP8" s="37"/>
      <c r="DQ8" s="50">
        <v>3542200</v>
      </c>
      <c r="DR8" s="49">
        <f>IF((DQ8-DQ7)&lt;=0,0,(DQ8-DQ7))</f>
        <v>7600</v>
      </c>
      <c r="DS8" s="50">
        <v>3945900</v>
      </c>
      <c r="DT8" s="49">
        <f>IF((DS8-DS7)&lt;=0,0,(DS8-DS7))</f>
        <v>20900</v>
      </c>
      <c r="DU8" s="52">
        <v>8026.4</v>
      </c>
      <c r="DV8" s="52">
        <v>4501.2</v>
      </c>
      <c r="DW8" s="37">
        <f>IF((DU8-DU7)*1000&lt;=0,0,(DU8-DU7)*1000)</f>
        <v>4500</v>
      </c>
      <c r="DX8" s="52">
        <v>13223</v>
      </c>
      <c r="DY8" s="52">
        <v>8427.7000000000007</v>
      </c>
      <c r="DZ8" s="37">
        <f t="shared" ref="DZ8:DZ38" si="34">IF((DX8-DX7)*1000&lt;=0,0,(DX8-DX7)*1000)+GX8</f>
        <v>7279.68</v>
      </c>
      <c r="EA8" s="49">
        <v>30308</v>
      </c>
      <c r="EB8" s="49">
        <v>21.056000000000001</v>
      </c>
      <c r="EC8" s="37">
        <f t="shared" ref="EC8:EC37" si="35">IF((EA8-EA7)*1000&lt;=0,0,(EA8-EA7)*1000)+GX8+$EE$40</f>
        <v>24439.68</v>
      </c>
      <c r="ED8" s="53">
        <f t="shared" ref="ED8:ED38" si="36">DW8+DZ8+EC8</f>
        <v>36219.360000000001</v>
      </c>
      <c r="EE8" s="49">
        <v>45769</v>
      </c>
      <c r="EF8" s="49">
        <v>29.728999999999999</v>
      </c>
      <c r="EG8" s="37">
        <f t="shared" ref="EG8:EG37" si="37">IF((EE8-EE7)*1000&lt;=0,0,(EE8-EE7)*1000)+GX8+$EE$40</f>
        <v>28439.68</v>
      </c>
      <c r="EH8" s="52">
        <v>13190</v>
      </c>
      <c r="EI8" s="52">
        <v>1.8112999999999999</v>
      </c>
      <c r="EJ8" s="37">
        <f t="shared" ref="EJ8:EJ38" si="38">IF((EH8-EH7)*1000&lt;=0,0,(EH8-EH7)*1000)+GX8</f>
        <v>11279.68</v>
      </c>
      <c r="EK8" s="37">
        <v>802.72</v>
      </c>
      <c r="EL8" s="40">
        <v>1150</v>
      </c>
      <c r="EM8" s="37">
        <f>IF((EK8-EK7)&lt;=0,0,(EK8-EK7))*1000</f>
        <v>590.00000000003183</v>
      </c>
      <c r="EN8" s="54">
        <f>EG8+EJ8+EM8</f>
        <v>40309.36000000003</v>
      </c>
      <c r="EO8" s="48">
        <v>13085</v>
      </c>
      <c r="EP8" s="48">
        <v>4574.5</v>
      </c>
      <c r="EQ8" s="37">
        <f>IF((EO8-EO7)*1000&lt;=0,0,(EO8-EO7)*1000)+GX8-FU45+FV45</f>
        <v>7409.6799999999957</v>
      </c>
      <c r="ER8" s="48">
        <v>9599.4</v>
      </c>
      <c r="ES8" s="48">
        <v>3941.1</v>
      </c>
      <c r="ET8" s="49">
        <f t="shared" ref="ET8:ET14" si="39">IF((ER8-ER7)&lt;=0,0,(ER8-ER7))*1000</f>
        <v>18500</v>
      </c>
      <c r="EU8" s="48">
        <v>3692.5</v>
      </c>
      <c r="EV8" s="48">
        <v>1312.2</v>
      </c>
      <c r="EW8" s="49">
        <f t="shared" ref="EW8:EW38" si="40">IF((EU8-EU7)&lt;=0,0,(EU8-EU7))*1000+GX8</f>
        <v>8779.68</v>
      </c>
      <c r="EX8" s="48">
        <v>13643</v>
      </c>
      <c r="EY8" s="48">
        <v>1.5866</v>
      </c>
      <c r="EZ8" s="37">
        <f t="shared" ref="EZ8:EZ38" si="41">IF((EX8-EX7)&lt;=0,0,(EX8-EX7))*1000+GX8</f>
        <v>10279.68</v>
      </c>
      <c r="FA8" s="48">
        <f>FC8-EQ8-ET8-EW8-EZ8</f>
        <v>-21665.039999999997</v>
      </c>
      <c r="FB8" s="48">
        <v>36792472</v>
      </c>
      <c r="FC8" s="49">
        <f>IF((FB8-FB7)&lt;=0,0,(FB8-FB7))</f>
        <v>23304</v>
      </c>
      <c r="FD8" s="48">
        <f>EQ8+ET8+EW8+EZ8+GJ8</f>
        <v>46669.040000000045</v>
      </c>
      <c r="FE8" s="48">
        <v>17167</v>
      </c>
      <c r="FF8" s="48">
        <v>6110.5</v>
      </c>
      <c r="FG8" s="37">
        <f>IF((FE8-FE7)*1000&lt;=0,0,(FE8-FE7)*1000)+FL8+GX8+FW45</f>
        <v>9693.0100000000057</v>
      </c>
      <c r="FH8" s="48">
        <v>8953</v>
      </c>
      <c r="FI8" s="48">
        <v>3.4571999999999998</v>
      </c>
      <c r="FJ8" s="49">
        <f t="shared" ref="FJ8:FJ38" si="42">IF((FH8-FH7)&lt;=0,0,(FH8-FH7))*1000+FL8+GX8</f>
        <v>17323.010000000002</v>
      </c>
      <c r="FK8" s="48"/>
      <c r="FL8" s="58">
        <v>-456.67</v>
      </c>
      <c r="FM8" s="48">
        <f>FT8/3</f>
        <v>-279.67666666666929</v>
      </c>
      <c r="FN8" s="48">
        <v>16754</v>
      </c>
      <c r="FO8" s="48">
        <v>0.8498</v>
      </c>
      <c r="FP8" s="37">
        <f>IF((FN8-FN7)*1000&lt;=0,0,(FN8-FN7)*1000)+FL8+GX8</f>
        <v>10823.01</v>
      </c>
      <c r="FQ8" s="48">
        <v>59270</v>
      </c>
      <c r="FR8" s="48">
        <v>14.340999999999999</v>
      </c>
      <c r="FS8" s="37">
        <f t="shared" ref="FS8:FS34" si="43">IF((FQ8-FQ7)*1000&lt;=0,0,(FQ8-FQ7)*1000)</f>
        <v>37000</v>
      </c>
      <c r="FT8" s="48">
        <f>FS8-FG8-FJ8-FP8</f>
        <v>-839.03000000000793</v>
      </c>
      <c r="FU8" s="48">
        <f>FG8+FJ8+FP8+GM8</f>
        <v>37839.030000000006</v>
      </c>
      <c r="FV8" s="44">
        <v>4742800</v>
      </c>
      <c r="FW8" s="44">
        <v>1500000</v>
      </c>
      <c r="FX8" s="37">
        <f t="shared" ref="FX8:FX38" si="44">IF((FV8-FV7)*1000&lt;=0,0,(FV8-FV7))</f>
        <v>30100</v>
      </c>
      <c r="FY8" s="56">
        <v>3476.8</v>
      </c>
      <c r="FZ8" s="56">
        <v>2.1318999999999999</v>
      </c>
      <c r="GA8" s="37">
        <f t="shared" ref="GA8:GA38" si="45">IF((FY8-FY7)*1000&lt;=0,0,((FY8-FY7)*1000)-GS8)</f>
        <v>8390.0000000002728</v>
      </c>
      <c r="GB8" s="56">
        <v>824.03</v>
      </c>
      <c r="GC8" s="56">
        <v>922.92</v>
      </c>
      <c r="GD8" s="37">
        <f t="shared" ref="GD8:GD38" si="46">IF((GB8-GB7)*1000&lt;=0,0,(GB8-GB7)*1000)</f>
        <v>829.99999999992724</v>
      </c>
      <c r="GE8" s="56">
        <v>10190</v>
      </c>
      <c r="GF8" s="63">
        <v>3.4761000000000002</v>
      </c>
      <c r="GG8" s="37">
        <f t="shared" ref="GG8:GG38" si="47">IF((GE8-GE7)*1000&lt;=0,0,(GE8-GE7)*1000)-GJ8-GM8</f>
        <v>8299.9999999999545</v>
      </c>
      <c r="GH8" s="48">
        <v>1978.2</v>
      </c>
      <c r="GI8" s="56">
        <v>1691.5</v>
      </c>
      <c r="GJ8" s="38">
        <f t="shared" ref="GJ8:GJ38" si="48">IF((GH8-GH7)&lt;=0,0,(GH8-GH7))*1000</f>
        <v>1700.0000000000455</v>
      </c>
      <c r="GK8" s="56">
        <v>1489.1</v>
      </c>
      <c r="GL8" s="44">
        <v>1128.4000000000001</v>
      </c>
      <c r="GM8" s="38">
        <f t="shared" ref="GM8:GM38" si="49">IF((GK8-GK7)&lt;=0,0,(GK8-GK7))*1000</f>
        <v>0</v>
      </c>
      <c r="GN8" s="57">
        <v>208250</v>
      </c>
      <c r="GO8" s="57">
        <v>184460</v>
      </c>
      <c r="GP8" s="38">
        <f>IF((GN8-GN7)&lt;=0,0,(GN8-GN7)+1000)</f>
        <v>0</v>
      </c>
      <c r="GQ8" s="38">
        <v>272510</v>
      </c>
      <c r="GR8" s="38">
        <v>268000</v>
      </c>
      <c r="GS8" s="38">
        <f>IF((GQ8-GQ7)&lt;=0,0,(GQ8-GQ7))</f>
        <v>310</v>
      </c>
      <c r="GT8" s="178"/>
      <c r="GU8" s="144">
        <f>DailyJun!B7-DailyJun!N7-DailyJun!V7-DailyJun!Y7-DailyJun!Z7-DailyJun!AA7-DailyJun!AB7-DailyJun!AC7-DailyJun!AD7-DailyJun!AE7-DailyJun!AK7-DailyJun!AO7-DailyJun!AS7-DailyJun!AY7-DailyJun!BD7+DailyJun!BU7-DailyJun!BG7-DailyJun!BT7-DailyJun!AF7-DailyJun!AG7</f>
        <v>-7.0000011459342204E-2</v>
      </c>
      <c r="GV8" s="59">
        <v>4195.13</v>
      </c>
      <c r="GW8" s="60">
        <f t="shared" ref="GW8:GW38" si="50">GV8/15</f>
        <v>279.67533333333336</v>
      </c>
      <c r="GX8" s="61">
        <v>279.68</v>
      </c>
      <c r="GY8" s="140"/>
      <c r="GZ8" s="62"/>
      <c r="HA8" s="62"/>
      <c r="HB8" s="62"/>
      <c r="HC8" s="62"/>
      <c r="HD8" s="74"/>
      <c r="HE8" s="24">
        <f t="shared" ref="HE8:HE35" si="51">HC8-HA8</f>
        <v>0</v>
      </c>
      <c r="HG8" s="213">
        <v>2</v>
      </c>
      <c r="HH8" s="16">
        <v>11454</v>
      </c>
      <c r="HI8" s="16">
        <v>4418.8</v>
      </c>
      <c r="HJ8" s="16">
        <f t="shared" ref="HJ8:HJ38" si="52">IF((HH8-HH7)&lt;=0,0,(HH8-HH7)*1000)</f>
        <v>146000</v>
      </c>
      <c r="HK8" s="16">
        <v>1.9189000000000001</v>
      </c>
      <c r="HL8" s="16">
        <v>660.93</v>
      </c>
      <c r="HM8" s="16">
        <f t="shared" ref="HM8:HM14" si="53">IF((HK8-HK7)&lt;=0,0,(HK8-HK7))</f>
        <v>0</v>
      </c>
      <c r="HN8" s="16">
        <v>2986.4</v>
      </c>
      <c r="HO8" s="16">
        <v>1305.5999999999999</v>
      </c>
      <c r="HP8" s="16">
        <f t="shared" ref="HP8:HP38" si="54">IF((HN8-HN7)&lt;=0,0,(HN8-HN7)*1000)+IL45</f>
        <v>35857.5</v>
      </c>
      <c r="HQ8" s="16">
        <v>2533.8000000000002</v>
      </c>
      <c r="HR8" s="16">
        <v>1097.5</v>
      </c>
      <c r="HS8" s="16">
        <f t="shared" ref="HS8:HS38" si="55">IF((HQ8-HQ7)&lt;=0,0,(HQ8-HQ7)*1000)+IL45</f>
        <v>27457.500000000364</v>
      </c>
      <c r="HT8" s="16">
        <v>2163.6</v>
      </c>
      <c r="HU8" s="16">
        <v>837.52</v>
      </c>
      <c r="HV8" s="16">
        <f t="shared" ref="HV8:HV38" si="56">IF((HT8-HT7)&lt;=0,0,(HT8-HT7)*1000)+IL45</f>
        <v>17457.499999999909</v>
      </c>
      <c r="HW8" s="16">
        <v>1250.4000000000001</v>
      </c>
      <c r="HX8" s="16">
        <v>547.64</v>
      </c>
      <c r="HY8" s="16">
        <f t="shared" ref="HY8:HY38" si="57">IF((HW8-HW7)&lt;=0,0,(HW8-HW7)*1000)+IL45</f>
        <v>26357.5</v>
      </c>
      <c r="HZ8" s="16">
        <v>152440</v>
      </c>
      <c r="IA8" s="16">
        <v>85778</v>
      </c>
      <c r="IB8" s="16">
        <f t="shared" ref="IB8:IB38" si="58">IF((HZ8-HZ7)&lt;=0,0,(HZ8-HZ7))</f>
        <v>17970</v>
      </c>
      <c r="IC8" s="16">
        <v>719.8</v>
      </c>
      <c r="ID8" s="16">
        <v>232.78</v>
      </c>
      <c r="IE8" s="16">
        <f t="shared" ref="IE8:IE38" si="59">IF((IC8-IC7)&lt;=0,0,(IC8-IC7))</f>
        <v>0</v>
      </c>
      <c r="IF8" s="16"/>
      <c r="IG8" s="16"/>
      <c r="IH8" s="128">
        <f t="shared" ref="IH8:IH38" si="60">DT8</f>
        <v>20900</v>
      </c>
      <c r="II8" s="211">
        <f t="shared" ref="II8:II28" si="61">HJ8+HM8-HS8-HV8-HY8-IH8-HP8-IB8-IE8</f>
        <v>-2.7648638933897018E-10</v>
      </c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G8" s="151">
        <f t="shared" ref="KG8:KG38" si="62">HJ8+HM8-HS8-HV8-HY8-IH8</f>
        <v>53827.499999999724</v>
      </c>
    </row>
    <row r="9" spans="1:293" x14ac:dyDescent="0.25">
      <c r="A9" s="35">
        <f t="shared" si="2"/>
        <v>3</v>
      </c>
      <c r="B9" s="38">
        <v>4473.25</v>
      </c>
      <c r="C9" s="38">
        <f t="shared" si="3"/>
        <v>10.869999999999891</v>
      </c>
      <c r="D9" s="38">
        <f t="shared" si="4"/>
        <v>347839.99999999651</v>
      </c>
      <c r="E9" s="37">
        <v>900.19</v>
      </c>
      <c r="F9" s="38">
        <f t="shared" si="5"/>
        <v>66880.000000001019</v>
      </c>
      <c r="G9" s="38">
        <f t="shared" si="6"/>
        <v>414719.99999999756</v>
      </c>
      <c r="H9" s="37"/>
      <c r="I9" s="39"/>
      <c r="J9" s="42"/>
      <c r="K9" s="37">
        <f>IF(J9&lt;=0,0,(J9/SQRT(J9^2+(I9-I8)^2)))</f>
        <v>0</v>
      </c>
      <c r="L9" s="40">
        <v>13833000</v>
      </c>
      <c r="M9" s="40"/>
      <c r="N9" s="37">
        <f>IF((L9-L8)&lt;=0,0,(L9-L8)*10)</f>
        <v>410000</v>
      </c>
      <c r="O9" s="37">
        <v>11205</v>
      </c>
      <c r="P9" s="37"/>
      <c r="Q9" s="37">
        <f t="shared" si="7"/>
        <v>18000</v>
      </c>
      <c r="R9" s="37">
        <f>IF(Q9&lt;=0,0,(Q9/SQRT(Q9^2+(P9-P8)^2)))</f>
        <v>1</v>
      </c>
      <c r="S9" s="37">
        <v>11238616.189999999</v>
      </c>
      <c r="T9" s="37">
        <f t="shared" si="8"/>
        <v>324.33000000007451</v>
      </c>
      <c r="U9" s="37">
        <v>1523790.61</v>
      </c>
      <c r="V9" s="37">
        <f t="shared" si="9"/>
        <v>0</v>
      </c>
      <c r="W9" s="37">
        <v>4008.3</v>
      </c>
      <c r="X9" s="37">
        <f>Q9-T9-V9-AB9</f>
        <v>17585.669999999925</v>
      </c>
      <c r="Y9" s="183"/>
      <c r="Z9" s="183"/>
      <c r="AA9" s="37">
        <v>788130</v>
      </c>
      <c r="AB9" s="37">
        <f t="shared" si="10"/>
        <v>90</v>
      </c>
      <c r="AC9" s="37">
        <v>4182.8</v>
      </c>
      <c r="AD9" s="37"/>
      <c r="AE9" s="37">
        <f t="shared" si="11"/>
        <v>7600.0000000003638</v>
      </c>
      <c r="AF9" s="37">
        <f>IF(AE9&lt;=0,0,(AE9/SQRT(AE9^2+(AD9-AD8)^2)))</f>
        <v>1</v>
      </c>
      <c r="AG9" s="37">
        <v>9113.2999999999993</v>
      </c>
      <c r="AH9" s="37"/>
      <c r="AI9" s="37">
        <f t="shared" si="12"/>
        <v>16629.909999999272</v>
      </c>
      <c r="AJ9" s="37">
        <f t="shared" si="13"/>
        <v>1</v>
      </c>
      <c r="AK9" s="37">
        <f t="shared" si="14"/>
        <v>42139.90999999964</v>
      </c>
      <c r="AL9" s="42">
        <v>10972</v>
      </c>
      <c r="AM9" s="42"/>
      <c r="AN9" s="37">
        <f t="shared" ref="AN9:AN38" si="63">IF((AL9-AL8)&lt;=0,0,(AL9-AL8))*1000+GX9-BL9-BN9-BP9-BR9</f>
        <v>6139.9100000000135</v>
      </c>
      <c r="AO9" s="37">
        <f>IF(AN9&lt;=0,0,(AN9/SQRT(AN9^2+(AM9-AM8)^2)))</f>
        <v>1</v>
      </c>
      <c r="AP9" s="37">
        <v>8512.4</v>
      </c>
      <c r="AQ9" s="37"/>
      <c r="AR9" s="37">
        <f t="shared" si="15"/>
        <v>13100.000000000364</v>
      </c>
      <c r="AS9" s="37">
        <f>IF(AR9&lt;=0,0,(AR9/SQRT(AR9^2+(AQ9-AQ8)^2)))</f>
        <v>1</v>
      </c>
      <c r="AT9" s="183"/>
      <c r="AU9" s="183"/>
      <c r="AV9" s="183"/>
      <c r="AW9" s="183"/>
      <c r="AX9" s="37">
        <v>488100.84</v>
      </c>
      <c r="AY9" s="37"/>
      <c r="AZ9" s="37">
        <f t="shared" si="16"/>
        <v>390.72000000003027</v>
      </c>
      <c r="BA9" s="37">
        <v>153574.82</v>
      </c>
      <c r="BB9" s="37"/>
      <c r="BC9" s="37">
        <f t="shared" si="17"/>
        <v>645.67000000001281</v>
      </c>
      <c r="BD9" s="37">
        <f>AN9+AR9+AZ9+BC9</f>
        <v>20276.300000000421</v>
      </c>
      <c r="BE9" s="43">
        <v>1927.6</v>
      </c>
      <c r="BF9" s="43">
        <v>1063.9000000000001</v>
      </c>
      <c r="BG9" s="37">
        <f t="shared" si="18"/>
        <v>1799.9999999999545</v>
      </c>
      <c r="BH9" s="44">
        <v>9008.7000000000007</v>
      </c>
      <c r="BI9" s="44">
        <v>5796.6</v>
      </c>
      <c r="BJ9" s="37">
        <f t="shared" si="19"/>
        <v>10700.000000000728</v>
      </c>
      <c r="BK9" s="40">
        <v>1606900</v>
      </c>
      <c r="BL9" s="40">
        <f>IF((BK9-BK8)&lt;=0,0,(BK9-BK8))</f>
        <v>4300</v>
      </c>
      <c r="BM9" s="40">
        <v>877.31</v>
      </c>
      <c r="BN9" s="37">
        <f t="shared" si="20"/>
        <v>699.99999999993179</v>
      </c>
      <c r="BO9" s="186"/>
      <c r="BP9" s="183">
        <f t="shared" si="21"/>
        <v>0</v>
      </c>
      <c r="BQ9" s="40">
        <v>829.32</v>
      </c>
      <c r="BR9" s="37">
        <f t="shared" ref="BR9:BR38" si="64">IF((BQ9-BQ8)&lt;=0,0,(BQ9-BQ8))*1000</f>
        <v>690.00000000005457</v>
      </c>
      <c r="BS9" s="37">
        <v>100545.89</v>
      </c>
      <c r="BT9" s="37">
        <f t="shared" si="22"/>
        <v>228.47000000000116</v>
      </c>
      <c r="BU9" s="42">
        <v>2803000</v>
      </c>
      <c r="BV9" s="42"/>
      <c r="BW9" s="37">
        <f t="shared" si="23"/>
        <v>7500</v>
      </c>
      <c r="BX9" s="37">
        <f>IF(BW9&lt;=0,0,(BW9/SQRT(BW9^2+(BV9-BV8)^2)))</f>
        <v>1</v>
      </c>
      <c r="BY9" s="43">
        <v>353.6</v>
      </c>
      <c r="BZ9" s="43"/>
      <c r="CA9" s="37">
        <f t="shared" si="24"/>
        <v>670.00000000001592</v>
      </c>
      <c r="CB9" s="37">
        <f t="shared" ref="CB9:CB38" si="65">IF(CA9&lt;=0,0,(CA9/SQRT(CA9^2+(BZ9-BZ8)^2)))</f>
        <v>1</v>
      </c>
      <c r="CC9" s="37">
        <v>661690</v>
      </c>
      <c r="CD9" s="37">
        <f t="shared" si="25"/>
        <v>2190</v>
      </c>
      <c r="CE9" s="41">
        <v>1238800</v>
      </c>
      <c r="CF9" s="37">
        <f t="shared" si="26"/>
        <v>4400</v>
      </c>
      <c r="CG9" s="37">
        <v>72811</v>
      </c>
      <c r="CH9" s="37">
        <f t="shared" ref="CH9:CH38" si="66">IF((CG9-CG8)&lt;=0,0,(CG9-CG8))</f>
        <v>0</v>
      </c>
      <c r="CI9" s="40">
        <v>12947</v>
      </c>
      <c r="CJ9" s="40"/>
      <c r="CK9" s="37">
        <f t="shared" ref="CK9:CK38" si="67">IF((CI9-CI8)*1000&lt;=0,0,(CI9-CI8)*1000)+GX9-CA9</f>
        <v>17159.909999999985</v>
      </c>
      <c r="CL9" s="37">
        <f t="shared" si="27"/>
        <v>1</v>
      </c>
      <c r="CM9" s="37">
        <v>3631.5</v>
      </c>
      <c r="CN9" s="37"/>
      <c r="CO9" s="37">
        <f t="shared" si="28"/>
        <v>7129.9100000001818</v>
      </c>
      <c r="CP9" s="37">
        <f>IF(CO9&lt;=0,0,(CO9/SQRT(CO9^2+(CN9-CN8)^2)))</f>
        <v>1</v>
      </c>
      <c r="CQ9" s="39">
        <v>222340</v>
      </c>
      <c r="CR9" s="45"/>
      <c r="CS9" s="37">
        <f t="shared" ref="CS9:CS38" si="68">IF((CQ9-CQ8)&lt;=0,0,(CQ9-CQ8))+GX9</f>
        <v>7179.91</v>
      </c>
      <c r="CT9" s="37">
        <f t="shared" ref="CT9:CT38" si="69">IF(CS9&lt;=0,0,(CS9/SQRT(CS9^2+(CR9-CR8)^2)))</f>
        <v>1</v>
      </c>
      <c r="CU9" s="37">
        <v>3516600</v>
      </c>
      <c r="CV9" s="37"/>
      <c r="CW9" s="38">
        <f t="shared" si="29"/>
        <v>17300</v>
      </c>
      <c r="CX9" s="37">
        <f>IF(CW9&lt;=0,0,(CW9/SQRT(CW9^2+(CV9-CV8)^2)))</f>
        <v>1</v>
      </c>
      <c r="CY9" s="37">
        <v>1849200</v>
      </c>
      <c r="CZ9" s="37"/>
      <c r="DA9" s="37">
        <f t="shared" si="30"/>
        <v>9300</v>
      </c>
      <c r="DB9" s="37">
        <f>IF(DA9&lt;=0,0,(DA9/SQRT(DA9^2+(CZ9-CZ8)^2)))</f>
        <v>1</v>
      </c>
      <c r="DC9" s="37"/>
      <c r="DD9" s="40"/>
      <c r="DE9" s="37">
        <f t="shared" si="31"/>
        <v>0</v>
      </c>
      <c r="DF9" s="37">
        <f>IF(DE9&lt;=0,0,(DE9/SQRT(DE9^2+(DD9-DD8)^2)))</f>
        <v>0</v>
      </c>
      <c r="DG9" s="37">
        <f t="shared" si="32"/>
        <v>-65569.730000000171</v>
      </c>
      <c r="DH9" s="37">
        <f t="shared" si="33"/>
        <v>453939.90999999957</v>
      </c>
      <c r="DI9" s="46"/>
      <c r="DJ9" s="46"/>
      <c r="DK9" s="47"/>
      <c r="DL9" s="47"/>
      <c r="DM9" s="37"/>
      <c r="DN9" s="37"/>
      <c r="DO9" s="37"/>
      <c r="DP9" s="37"/>
      <c r="DQ9" s="50">
        <v>3553100</v>
      </c>
      <c r="DR9" s="49">
        <f t="shared" ref="DR9:DR38" si="70">IF((DQ9-DQ8)&lt;=0,0,(DQ9-DQ8))</f>
        <v>10900</v>
      </c>
      <c r="DS9" s="50">
        <v>3965200</v>
      </c>
      <c r="DT9" s="49">
        <f t="shared" ref="DT9:DT38" si="71">IF((DS9-DS8)&lt;=0,0,(DS9-DS8))</f>
        <v>19300</v>
      </c>
      <c r="DU9" s="52">
        <v>8030.9</v>
      </c>
      <c r="DV9" s="52">
        <v>4503.8999999999996</v>
      </c>
      <c r="DW9" s="37">
        <f>IF((DU9-DU8)*1000&lt;=0,0,(DU9-DU8)*1000)</f>
        <v>4500</v>
      </c>
      <c r="DX9" s="52">
        <v>13231</v>
      </c>
      <c r="DY9" s="52">
        <v>8430.2999999999993</v>
      </c>
      <c r="DZ9" s="37">
        <f t="shared" si="34"/>
        <v>8829.91</v>
      </c>
      <c r="EA9" s="49">
        <v>30330</v>
      </c>
      <c r="EB9" s="49">
        <v>21.067</v>
      </c>
      <c r="EC9" s="37">
        <f t="shared" si="35"/>
        <v>24989.91</v>
      </c>
      <c r="ED9" s="53">
        <f t="shared" si="36"/>
        <v>38319.82</v>
      </c>
      <c r="EE9" s="49">
        <v>45785</v>
      </c>
      <c r="EF9" s="49">
        <v>29.744</v>
      </c>
      <c r="EG9" s="37">
        <f t="shared" si="37"/>
        <v>18989.91</v>
      </c>
      <c r="EH9" s="52">
        <v>13201</v>
      </c>
      <c r="EI9" s="52">
        <v>1.8132999999999999</v>
      </c>
      <c r="EJ9" s="37">
        <f t="shared" si="38"/>
        <v>11829.91</v>
      </c>
      <c r="EK9" s="37">
        <v>803.36</v>
      </c>
      <c r="EL9" s="40">
        <v>1150.9000000000001</v>
      </c>
      <c r="EM9" s="37">
        <f t="shared" ref="EM9:EM38" si="72">IF((EK9-EK8)&lt;=0,0,(EK9-EK8))*1000</f>
        <v>639.99999999998636</v>
      </c>
      <c r="EN9" s="54">
        <f t="shared" ref="EN9:EN38" si="73">EG9+EJ9+EM9</f>
        <v>31459.819999999985</v>
      </c>
      <c r="EO9" s="48">
        <v>13093</v>
      </c>
      <c r="EP9" s="48">
        <v>4577.5</v>
      </c>
      <c r="EQ9" s="37">
        <f t="shared" ref="EQ9:EQ38" si="74">IF((EO9-EO8)*1000&lt;=0,0,(EO9-EO8)*1000)+GX9-FU46+FV46</f>
        <v>7964.9099999999908</v>
      </c>
      <c r="ER9" s="48">
        <v>9617.7999999999993</v>
      </c>
      <c r="ES9" s="48">
        <v>3948.7</v>
      </c>
      <c r="ET9" s="49">
        <f t="shared" si="39"/>
        <v>18399.999999999636</v>
      </c>
      <c r="EU9" s="48">
        <v>3700.9</v>
      </c>
      <c r="EV9" s="48">
        <v>1315.1</v>
      </c>
      <c r="EW9" s="49">
        <f t="shared" si="40"/>
        <v>9229.9100000000908</v>
      </c>
      <c r="EX9" s="48">
        <v>13654</v>
      </c>
      <c r="EY9" s="48">
        <v>1.5891</v>
      </c>
      <c r="EZ9" s="37">
        <f t="shared" si="41"/>
        <v>11829.91</v>
      </c>
      <c r="FA9" s="48">
        <f t="shared" ref="FA9:FA38" si="75">FC9-EQ9-ET9-EW9-EZ9</f>
        <v>-24225.729999999719</v>
      </c>
      <c r="FB9" s="48">
        <v>36815671</v>
      </c>
      <c r="FC9" s="49">
        <f>IF((FB9-FB8)&lt;=0,0,(FB9-FB8))</f>
        <v>23199</v>
      </c>
      <c r="FD9" s="48">
        <f t="shared" ref="FD9:FD38" si="76">EQ9+ET9+EW9+EZ9+GJ9</f>
        <v>49024.729999999632</v>
      </c>
      <c r="FE9" s="48">
        <v>17174</v>
      </c>
      <c r="FF9" s="48">
        <v>6112.7</v>
      </c>
      <c r="FG9" s="37">
        <f t="shared" ref="FG9:FG38" si="77">IF((FE9-FE8)*1000&lt;=0,0,(FE9-FE8)*1000)+FL9+GX9+FW46</f>
        <v>9173.2400000000089</v>
      </c>
      <c r="FH9" s="48">
        <v>8970.7000000000007</v>
      </c>
      <c r="FI9" s="48">
        <v>3.464</v>
      </c>
      <c r="FJ9" s="49">
        <f t="shared" si="42"/>
        <v>19008.240000000729</v>
      </c>
      <c r="FK9" s="48"/>
      <c r="FL9" s="58">
        <v>478.33</v>
      </c>
      <c r="FM9" s="48">
        <f>FT9/3</f>
        <v>-829.90666666691266</v>
      </c>
      <c r="FN9" s="48">
        <v>16764</v>
      </c>
      <c r="FO9" s="48">
        <v>0.85060000000000002</v>
      </c>
      <c r="FP9" s="37">
        <f t="shared" ref="FP9:FP38" si="78">IF((FN9-FN8)*1000&lt;=0,0,(FN9-FN8)*1000)+FL9+GX9</f>
        <v>11308.24</v>
      </c>
      <c r="FQ9" s="48">
        <v>59307</v>
      </c>
      <c r="FR9" s="48">
        <v>14.352</v>
      </c>
      <c r="FS9" s="37">
        <f t="shared" si="43"/>
        <v>37000</v>
      </c>
      <c r="FT9" s="48">
        <f t="shared" ref="FT9:FT38" si="79">FS9-FG9-FJ9-FP9</f>
        <v>-2489.7200000007379</v>
      </c>
      <c r="FU9" s="48">
        <f t="shared" ref="FU9:FU38" si="80">FG9+FJ9+FP9+GM9</f>
        <v>39489.720000000736</v>
      </c>
      <c r="FV9" s="44">
        <v>4773900</v>
      </c>
      <c r="FW9" s="44">
        <v>1508200</v>
      </c>
      <c r="FX9" s="37">
        <f t="shared" si="44"/>
        <v>31100</v>
      </c>
      <c r="FY9" s="56">
        <v>3485.8</v>
      </c>
      <c r="FZ9" s="56">
        <v>2.1343999999999999</v>
      </c>
      <c r="GA9" s="37">
        <f t="shared" si="45"/>
        <v>8750</v>
      </c>
      <c r="GB9" s="56">
        <v>825.05</v>
      </c>
      <c r="GC9" s="56">
        <v>924.06</v>
      </c>
      <c r="GD9" s="37">
        <f t="shared" si="46"/>
        <v>1019.9999999999818</v>
      </c>
      <c r="GE9" s="63">
        <v>10200</v>
      </c>
      <c r="GF9" s="56">
        <v>3.4832999999999998</v>
      </c>
      <c r="GG9" s="37">
        <f t="shared" si="47"/>
        <v>8400.0000000000909</v>
      </c>
      <c r="GH9" s="48">
        <v>1979.8</v>
      </c>
      <c r="GI9" s="56">
        <v>1693.1</v>
      </c>
      <c r="GJ9" s="38">
        <f t="shared" si="48"/>
        <v>1599.9999999999091</v>
      </c>
      <c r="GK9" s="56">
        <v>1489.1</v>
      </c>
      <c r="GL9" s="44">
        <v>1128.4000000000001</v>
      </c>
      <c r="GM9" s="38">
        <f t="shared" si="49"/>
        <v>0</v>
      </c>
      <c r="GN9" s="57">
        <v>208250</v>
      </c>
      <c r="GO9" s="57">
        <v>184470</v>
      </c>
      <c r="GP9" s="38">
        <f>IF((GN9-GN8)&lt;=0,0,(GN9-GN8)+1000)</f>
        <v>0</v>
      </c>
      <c r="GQ9" s="38">
        <v>272760</v>
      </c>
      <c r="GR9" s="38">
        <v>268180</v>
      </c>
      <c r="GS9" s="38">
        <f t="shared" ref="GS9:GS38" si="81">IF((GQ9-GQ8)&lt;=0,0,(GQ9-GQ8))</f>
        <v>250</v>
      </c>
      <c r="GT9" s="178"/>
      <c r="GU9" s="144">
        <f>DailyJun!B8-DailyJun!N8-DailyJun!V8-DailyJun!Y8-DailyJun!Z8-DailyJun!AA8-DailyJun!AB8-DailyJun!AC8-DailyJun!AD8-DailyJun!AE8-DailyJun!AK8-DailyJun!AO8-DailyJun!AS8-DailyJun!AY8-DailyJun!BD8+DailyJun!BU8-DailyJun!BG8-DailyJun!BT8-DailyJun!AF8-DailyJun!AG8</f>
        <v>-3.0000003811437637E-2</v>
      </c>
      <c r="GV9" s="59">
        <v>12448.62</v>
      </c>
      <c r="GW9" s="60">
        <f t="shared" si="50"/>
        <v>829.90800000000002</v>
      </c>
      <c r="GX9" s="61">
        <v>829.91</v>
      </c>
      <c r="GY9" s="140"/>
      <c r="GZ9" s="62"/>
      <c r="HA9" s="62"/>
      <c r="HB9" s="74"/>
      <c r="HC9" s="62"/>
      <c r="HD9" s="74"/>
      <c r="HE9" s="24">
        <f t="shared" si="51"/>
        <v>0</v>
      </c>
      <c r="HG9" s="213">
        <v>3</v>
      </c>
      <c r="HH9" s="16">
        <v>11582</v>
      </c>
      <c r="HI9" s="16">
        <v>4467.8</v>
      </c>
      <c r="HJ9" s="16">
        <f t="shared" si="52"/>
        <v>128000</v>
      </c>
      <c r="HK9" s="16">
        <v>1.9189000000000001</v>
      </c>
      <c r="HL9" s="16">
        <v>660.93</v>
      </c>
      <c r="HM9" s="16">
        <f t="shared" si="53"/>
        <v>0</v>
      </c>
      <c r="HN9" s="16">
        <v>3019.2</v>
      </c>
      <c r="HO9" s="16">
        <v>1319.7</v>
      </c>
      <c r="HP9" s="16">
        <f t="shared" si="54"/>
        <v>32659.999999999724</v>
      </c>
      <c r="HQ9" s="16">
        <v>2560.1999999999998</v>
      </c>
      <c r="HR9" s="16">
        <v>1108.2</v>
      </c>
      <c r="HS9" s="16">
        <f t="shared" si="55"/>
        <v>26259.999999999636</v>
      </c>
      <c r="HT9" s="16">
        <v>2183.5</v>
      </c>
      <c r="HU9" s="16">
        <v>845.03</v>
      </c>
      <c r="HV9" s="16">
        <f t="shared" si="56"/>
        <v>19760.000000000091</v>
      </c>
      <c r="HW9" s="16">
        <v>1262.7</v>
      </c>
      <c r="HX9" s="16">
        <v>553.29</v>
      </c>
      <c r="HY9" s="16">
        <f t="shared" si="57"/>
        <v>12159.999999999955</v>
      </c>
      <c r="HZ9" s="16">
        <v>170300</v>
      </c>
      <c r="IA9" s="16">
        <v>93817</v>
      </c>
      <c r="IB9" s="16">
        <f t="shared" si="58"/>
        <v>17860</v>
      </c>
      <c r="IC9" s="16">
        <v>719.8</v>
      </c>
      <c r="ID9" s="16">
        <v>232.78</v>
      </c>
      <c r="IE9" s="16">
        <f t="shared" si="59"/>
        <v>0</v>
      </c>
      <c r="IF9" s="16"/>
      <c r="IG9" s="16"/>
      <c r="IH9" s="128">
        <f t="shared" si="60"/>
        <v>19300</v>
      </c>
      <c r="II9" s="211">
        <f t="shared" si="61"/>
        <v>5.9662852436304092E-10</v>
      </c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G9" s="151">
        <f t="shared" si="62"/>
        <v>50520.00000000032</v>
      </c>
    </row>
    <row r="10" spans="1:293" x14ac:dyDescent="0.25">
      <c r="A10" s="35">
        <f t="shared" si="2"/>
        <v>4</v>
      </c>
      <c r="B10" s="38">
        <v>4483.82</v>
      </c>
      <c r="C10" s="38">
        <f t="shared" si="3"/>
        <v>10.569999999999709</v>
      </c>
      <c r="D10" s="38">
        <f t="shared" si="4"/>
        <v>338239.99999999069</v>
      </c>
      <c r="E10" s="38">
        <v>902.39</v>
      </c>
      <c r="F10" s="38">
        <f t="shared" si="5"/>
        <v>70399.999999997817</v>
      </c>
      <c r="G10" s="38">
        <f t="shared" si="6"/>
        <v>408639.99999998847</v>
      </c>
      <c r="H10" s="37"/>
      <c r="I10" s="39"/>
      <c r="J10" s="42"/>
      <c r="K10" s="37">
        <f t="shared" ref="K10:K34" si="82">IF(J10&lt;=0,0,(J10/SQRT(J10^2+(I10-I9)^2)))</f>
        <v>0</v>
      </c>
      <c r="L10" s="40">
        <v>13874000</v>
      </c>
      <c r="M10" s="40"/>
      <c r="N10" s="37">
        <f t="shared" ref="N10:N38" si="83">IF((L10-L9)&lt;=0,0,(L10-L9)*10)</f>
        <v>410000</v>
      </c>
      <c r="O10" s="37">
        <v>11223</v>
      </c>
      <c r="P10" s="37"/>
      <c r="Q10" s="37">
        <f t="shared" si="7"/>
        <v>18000</v>
      </c>
      <c r="R10" s="37">
        <f t="shared" ref="R10:R34" si="84">IF(Q10&lt;=0,0,(Q10/SQRT(Q10^2+(P10-P9)^2)))</f>
        <v>1</v>
      </c>
      <c r="S10" s="37">
        <v>11238971.98</v>
      </c>
      <c r="T10" s="37">
        <f t="shared" si="8"/>
        <v>355.79000000096858</v>
      </c>
      <c r="U10" s="37">
        <v>1523790.61</v>
      </c>
      <c r="V10" s="37">
        <f t="shared" si="9"/>
        <v>0</v>
      </c>
      <c r="W10" s="37">
        <v>4015.2</v>
      </c>
      <c r="X10" s="37">
        <f>Q10-T10-V10-AB10</f>
        <v>17574.209999999031</v>
      </c>
      <c r="Y10" s="183"/>
      <c r="Z10" s="183"/>
      <c r="AA10" s="37">
        <v>788200</v>
      </c>
      <c r="AB10" s="37">
        <f t="shared" si="10"/>
        <v>70</v>
      </c>
      <c r="AC10" s="37">
        <v>4189.6000000000004</v>
      </c>
      <c r="AD10" s="37"/>
      <c r="AE10" s="37">
        <f t="shared" si="11"/>
        <v>6800.0000000001819</v>
      </c>
      <c r="AF10" s="37">
        <f t="shared" ref="AF10:AF34" si="85">IF(AE10&lt;=0,0,(AE10/SQRT(AE10^2+(AD10-AD9)^2)))</f>
        <v>1</v>
      </c>
      <c r="AG10" s="37">
        <v>9128.7000000000007</v>
      </c>
      <c r="AH10" s="37"/>
      <c r="AI10" s="37">
        <f t="shared" si="12"/>
        <v>15648.970000001455</v>
      </c>
      <c r="AJ10" s="37">
        <f t="shared" si="13"/>
        <v>1</v>
      </c>
      <c r="AK10" s="37">
        <f t="shared" si="14"/>
        <v>40378.970000001638</v>
      </c>
      <c r="AL10" s="2">
        <v>10985</v>
      </c>
      <c r="AM10" s="42"/>
      <c r="AN10" s="37">
        <f t="shared" si="63"/>
        <v>7838.969999999963</v>
      </c>
      <c r="AO10" s="37">
        <f t="shared" ref="AO10:AO34" si="86">IF(AN10&lt;=0,0,(AN10/SQRT(AN10^2+(AM10-AM9)^2)))</f>
        <v>1</v>
      </c>
      <c r="AP10" s="37">
        <v>8526.1</v>
      </c>
      <c r="AQ10" s="37"/>
      <c r="AR10" s="37">
        <f t="shared" si="15"/>
        <v>13700.000000000728</v>
      </c>
      <c r="AS10" s="37">
        <f t="shared" ref="AS10:AS34" si="87">IF(AR10&lt;=0,0,(AR10/SQRT(AR10^2+(AQ10-AQ9)^2)))</f>
        <v>1</v>
      </c>
      <c r="AT10" s="183"/>
      <c r="AU10" s="183"/>
      <c r="AV10" s="183"/>
      <c r="AW10" s="183"/>
      <c r="AX10" s="37">
        <v>488552.72</v>
      </c>
      <c r="AY10" s="37"/>
      <c r="AZ10" s="37">
        <f t="shared" si="16"/>
        <v>451.87999999994645</v>
      </c>
      <c r="BA10" s="37">
        <v>154248.38</v>
      </c>
      <c r="BB10" s="37"/>
      <c r="BC10" s="37">
        <f t="shared" si="17"/>
        <v>673.55999999999767</v>
      </c>
      <c r="BD10" s="37">
        <f t="shared" ref="BD10:BD34" si="88">AN10+AR10+AZ10+BC10</f>
        <v>22664.410000000637</v>
      </c>
      <c r="BE10" s="37">
        <v>1929.4</v>
      </c>
      <c r="BF10" s="37">
        <v>1065</v>
      </c>
      <c r="BG10" s="37">
        <f t="shared" si="18"/>
        <v>1800.0000000001819</v>
      </c>
      <c r="BH10" s="44">
        <v>9017.6</v>
      </c>
      <c r="BI10" s="44">
        <v>5802.6</v>
      </c>
      <c r="BJ10" s="37">
        <f t="shared" si="19"/>
        <v>8899.9999999996362</v>
      </c>
      <c r="BK10" s="40">
        <v>1611100</v>
      </c>
      <c r="BL10" s="40">
        <f t="shared" ref="BL10:BL38" si="89">IF((BK10-BK9)&lt;=0,0,(BK10-BK9))</f>
        <v>4200</v>
      </c>
      <c r="BM10" s="40">
        <v>878.02</v>
      </c>
      <c r="BN10" s="37">
        <f t="shared" si="20"/>
        <v>710.00000000003638</v>
      </c>
      <c r="BO10" s="186"/>
      <c r="BP10" s="183">
        <f t="shared" si="21"/>
        <v>0</v>
      </c>
      <c r="BQ10" s="40">
        <v>829.82</v>
      </c>
      <c r="BR10" s="37">
        <f t="shared" si="64"/>
        <v>500</v>
      </c>
      <c r="BS10" s="37">
        <v>100775.76</v>
      </c>
      <c r="BT10" s="37">
        <f t="shared" si="22"/>
        <v>229.86999999999534</v>
      </c>
      <c r="BU10" s="42">
        <v>2812200</v>
      </c>
      <c r="BV10" s="42"/>
      <c r="BW10" s="37">
        <f t="shared" si="23"/>
        <v>9200</v>
      </c>
      <c r="BX10" s="37">
        <f t="shared" ref="BX10:BX33" si="90">IF(BW10&lt;=0,0,(BW10/SQRT(BW10^2+(BV10-BV9)^2)))</f>
        <v>1</v>
      </c>
      <c r="BY10" s="43">
        <v>354.24</v>
      </c>
      <c r="BZ10" s="43"/>
      <c r="CA10" s="37">
        <f t="shared" si="24"/>
        <v>639.99999999998636</v>
      </c>
      <c r="CB10" s="37">
        <f t="shared" si="65"/>
        <v>1</v>
      </c>
      <c r="CC10" s="37">
        <v>663810</v>
      </c>
      <c r="CD10" s="37">
        <f t="shared" si="25"/>
        <v>2120</v>
      </c>
      <c r="CE10" s="37">
        <v>1245600</v>
      </c>
      <c r="CF10" s="37">
        <f t="shared" si="26"/>
        <v>6800</v>
      </c>
      <c r="CG10" s="37">
        <v>72811</v>
      </c>
      <c r="CH10" s="37">
        <f t="shared" si="66"/>
        <v>0</v>
      </c>
      <c r="CI10" s="40">
        <v>12965</v>
      </c>
      <c r="CJ10" s="40"/>
      <c r="CK10" s="37">
        <f t="shared" si="67"/>
        <v>17608.970000000016</v>
      </c>
      <c r="CL10" s="37">
        <f t="shared" si="27"/>
        <v>1</v>
      </c>
      <c r="CM10" s="37">
        <v>3636.9</v>
      </c>
      <c r="CN10" s="37"/>
      <c r="CO10" s="37">
        <f t="shared" si="28"/>
        <v>5648.9700000000912</v>
      </c>
      <c r="CP10" s="37">
        <f t="shared" ref="CP10:CP34" si="91">IF(CO10&lt;=0,0,(CO10/SQRT(CO10^2+(CN10-CN9)^2)))</f>
        <v>1</v>
      </c>
      <c r="CQ10" s="39">
        <v>228980</v>
      </c>
      <c r="CR10" s="45"/>
      <c r="CS10" s="37">
        <f t="shared" si="68"/>
        <v>6888.97</v>
      </c>
      <c r="CT10" s="37">
        <f t="shared" si="69"/>
        <v>1</v>
      </c>
      <c r="CU10" s="37">
        <f>CU9+18000</f>
        <v>3534600</v>
      </c>
      <c r="CV10" s="37"/>
      <c r="CW10" s="38">
        <f t="shared" si="29"/>
        <v>18000</v>
      </c>
      <c r="CX10" s="37">
        <f t="shared" ref="CX10:CX38" si="92">IF(CW10&lt;=0,0,(CW10/SQRT(CW10^2+(CV10-CV9)^2)))</f>
        <v>1</v>
      </c>
      <c r="CY10" s="37">
        <v>1859200</v>
      </c>
      <c r="CZ10" s="37"/>
      <c r="DA10" s="37">
        <f t="shared" si="30"/>
        <v>10000</v>
      </c>
      <c r="DB10" s="37">
        <f t="shared" ref="DB10:DB34" si="93">IF(DA10&lt;=0,0,(DA10/SQRT(DA10^2+(CZ10-CZ9)^2)))</f>
        <v>1</v>
      </c>
      <c r="DC10" s="37"/>
      <c r="DD10" s="40"/>
      <c r="DE10" s="37">
        <f t="shared" si="31"/>
        <v>0</v>
      </c>
      <c r="DF10" s="37">
        <f>IF(DE10&lt;=0,0,(DE10/SQRT(DE10^2+(DD10-DD9)^2)))</f>
        <v>0</v>
      </c>
      <c r="DG10" s="37">
        <f t="shared" si="32"/>
        <v>-67346.910000000105</v>
      </c>
      <c r="DH10" s="37">
        <f t="shared" si="33"/>
        <v>452178.97000000183</v>
      </c>
      <c r="DI10" s="46"/>
      <c r="DJ10" s="46"/>
      <c r="DK10" s="47"/>
      <c r="DL10" s="47"/>
      <c r="DM10" s="37"/>
      <c r="DN10" s="37"/>
      <c r="DO10" s="37"/>
      <c r="DP10" s="37"/>
      <c r="DQ10" s="50">
        <v>3563700</v>
      </c>
      <c r="DR10" s="49">
        <f t="shared" si="70"/>
        <v>10600</v>
      </c>
      <c r="DS10" s="50">
        <v>3982700</v>
      </c>
      <c r="DT10" s="49">
        <f t="shared" si="71"/>
        <v>17500</v>
      </c>
      <c r="DU10" s="52">
        <v>8034.9</v>
      </c>
      <c r="DV10" s="52">
        <v>4506.3999999999996</v>
      </c>
      <c r="DW10" s="37">
        <f t="shared" ref="DW10:DW38" si="94">IF((DU10-DU9)*1000&lt;=0,0,(DU10-DU9)*1000)</f>
        <v>4000</v>
      </c>
      <c r="DX10" s="52">
        <v>13237</v>
      </c>
      <c r="DY10" s="52">
        <v>8432.1</v>
      </c>
      <c r="DZ10" s="37">
        <f t="shared" si="34"/>
        <v>6248.97</v>
      </c>
      <c r="EA10" s="49">
        <v>30350</v>
      </c>
      <c r="EB10" s="49">
        <v>21.077000000000002</v>
      </c>
      <c r="EC10" s="37">
        <f t="shared" si="35"/>
        <v>22408.97</v>
      </c>
      <c r="ED10" s="53">
        <f t="shared" si="36"/>
        <v>32657.940000000002</v>
      </c>
      <c r="EE10" s="49">
        <v>45805</v>
      </c>
      <c r="EF10" s="49">
        <v>29.763999999999999</v>
      </c>
      <c r="EG10" s="37">
        <f t="shared" si="37"/>
        <v>22408.97</v>
      </c>
      <c r="EH10" s="52">
        <v>13212</v>
      </c>
      <c r="EI10" s="52">
        <v>1.8161</v>
      </c>
      <c r="EJ10" s="37">
        <f t="shared" si="38"/>
        <v>11248.97</v>
      </c>
      <c r="EK10" s="37">
        <v>804.11</v>
      </c>
      <c r="EL10" s="40">
        <v>1152</v>
      </c>
      <c r="EM10" s="37">
        <f t="shared" si="72"/>
        <v>750</v>
      </c>
      <c r="EN10" s="54">
        <f t="shared" si="73"/>
        <v>34407.94</v>
      </c>
      <c r="EO10" s="48">
        <v>13100</v>
      </c>
      <c r="EP10" s="48">
        <v>4581.1000000000004</v>
      </c>
      <c r="EQ10" s="37">
        <f t="shared" si="74"/>
        <v>6388.970000000043</v>
      </c>
      <c r="ER10" s="48">
        <v>9631.9</v>
      </c>
      <c r="ES10" s="48">
        <v>3954.5</v>
      </c>
      <c r="ET10" s="49">
        <f t="shared" si="39"/>
        <v>14100.000000000364</v>
      </c>
      <c r="EU10" s="48">
        <v>3708</v>
      </c>
      <c r="EV10" s="48">
        <v>1317.6</v>
      </c>
      <c r="EW10" s="49">
        <f t="shared" si="40"/>
        <v>7348.9699999999093</v>
      </c>
      <c r="EX10" s="48">
        <v>13663</v>
      </c>
      <c r="EY10" s="48">
        <v>1.591</v>
      </c>
      <c r="EZ10" s="37">
        <f t="shared" si="41"/>
        <v>9248.9699999999993</v>
      </c>
      <c r="FA10" s="48">
        <f t="shared" si="75"/>
        <v>-16957.910000000316</v>
      </c>
      <c r="FB10" s="48">
        <v>36835800</v>
      </c>
      <c r="FC10" s="49">
        <f t="shared" ref="FC10:FC35" si="95">IF((FB10-FB9)&lt;=0,0,(FB10-FB9))</f>
        <v>20129</v>
      </c>
      <c r="FD10" s="48">
        <f t="shared" si="76"/>
        <v>38486.910000000411</v>
      </c>
      <c r="FE10" s="48">
        <v>17182</v>
      </c>
      <c r="FF10" s="48">
        <v>6114.6</v>
      </c>
      <c r="FG10" s="37">
        <f t="shared" si="77"/>
        <v>8988.9699999999575</v>
      </c>
      <c r="FH10" s="48">
        <v>8986.2000000000007</v>
      </c>
      <c r="FI10" s="48">
        <v>3.4699</v>
      </c>
      <c r="FJ10" s="49">
        <f t="shared" si="42"/>
        <v>15628.97</v>
      </c>
      <c r="FK10" s="48"/>
      <c r="FL10" s="58">
        <v>-120</v>
      </c>
      <c r="FM10" s="48">
        <f t="shared" ref="FM10:FM38" si="96">FT10/3</f>
        <v>-248.96999999998539</v>
      </c>
      <c r="FN10" s="55">
        <v>16775</v>
      </c>
      <c r="FO10" s="48">
        <v>0.85260000000000002</v>
      </c>
      <c r="FP10" s="37">
        <f t="shared" si="78"/>
        <v>11128.97</v>
      </c>
      <c r="FQ10" s="48">
        <v>59342</v>
      </c>
      <c r="FR10" s="48">
        <v>14.361000000000001</v>
      </c>
      <c r="FS10" s="37">
        <f t="shared" si="43"/>
        <v>35000</v>
      </c>
      <c r="FT10" s="48">
        <f t="shared" si="79"/>
        <v>-746.9099999999562</v>
      </c>
      <c r="FU10" s="48">
        <f t="shared" si="80"/>
        <v>35746.90999999996</v>
      </c>
      <c r="FV10" s="44">
        <v>4803400</v>
      </c>
      <c r="FW10" s="44">
        <v>1515500</v>
      </c>
      <c r="FX10" s="37">
        <f t="shared" si="44"/>
        <v>29500</v>
      </c>
      <c r="FY10" s="56">
        <v>3493.1</v>
      </c>
      <c r="FZ10" s="56">
        <v>2.1358999999999999</v>
      </c>
      <c r="GA10" s="37">
        <f t="shared" si="45"/>
        <v>6979.9999999997272</v>
      </c>
      <c r="GB10" s="56">
        <v>825.86</v>
      </c>
      <c r="GC10" s="56">
        <v>924.99</v>
      </c>
      <c r="GD10" s="37">
        <f t="shared" si="46"/>
        <v>810.00000000005912</v>
      </c>
      <c r="GE10" s="56">
        <v>10208.4</v>
      </c>
      <c r="GF10" s="56">
        <v>3.49</v>
      </c>
      <c r="GG10" s="37">
        <f t="shared" si="47"/>
        <v>6999.9999999995453</v>
      </c>
      <c r="GH10" s="153">
        <v>1981.2</v>
      </c>
      <c r="GI10" s="162">
        <v>1694.5</v>
      </c>
      <c r="GJ10" s="38">
        <f t="shared" si="48"/>
        <v>1400.0000000000909</v>
      </c>
      <c r="GK10" s="162">
        <v>1489.1</v>
      </c>
      <c r="GL10" s="163">
        <v>1128.4000000000001</v>
      </c>
      <c r="GM10" s="38">
        <f t="shared" si="49"/>
        <v>0</v>
      </c>
      <c r="GN10" s="57">
        <v>208260</v>
      </c>
      <c r="GO10" s="57">
        <v>184470</v>
      </c>
      <c r="GP10" s="38">
        <f>IF((GN10-GN9)&lt;=0,0,(GN10-GN9)+1000)</f>
        <v>1010</v>
      </c>
      <c r="GQ10" s="38">
        <v>273080</v>
      </c>
      <c r="GR10" s="38">
        <v>268410</v>
      </c>
      <c r="GS10" s="38">
        <f t="shared" si="81"/>
        <v>320</v>
      </c>
      <c r="GT10" s="178"/>
      <c r="GU10" s="144">
        <f>DailyJun!B9-DailyJun!N9-DailyJun!V9-DailyJun!Y9-DailyJun!Z9-DailyJun!AA9-DailyJun!AB9-DailyJun!AC9-DailyJun!AD9-DailyJun!AE9-DailyJun!AK9-DailyJun!AO9-DailyJun!AS9-DailyJun!AY9-DailyJun!BD9+DailyJun!BU9-DailyJun!BG9-DailyJun!BT9-DailyJun!AF9-DailyJun!AG9</f>
        <v>9.9999866069993004E-3</v>
      </c>
      <c r="GV10" s="59">
        <v>3734.56</v>
      </c>
      <c r="GW10" s="60">
        <f t="shared" si="50"/>
        <v>248.97066666666666</v>
      </c>
      <c r="GX10" s="61">
        <v>248.97</v>
      </c>
      <c r="GY10" s="140"/>
      <c r="GZ10" s="62"/>
      <c r="HA10" s="62"/>
      <c r="HB10" s="74"/>
      <c r="HC10" s="62"/>
      <c r="HD10" s="74"/>
      <c r="HE10" s="24">
        <f t="shared" si="51"/>
        <v>0</v>
      </c>
      <c r="HG10" s="213">
        <v>4</v>
      </c>
      <c r="HH10" s="16">
        <v>11721</v>
      </c>
      <c r="HI10" s="16">
        <v>4521.7</v>
      </c>
      <c r="HJ10" s="16">
        <f t="shared" si="52"/>
        <v>139000</v>
      </c>
      <c r="HK10" s="16">
        <v>1.9189000000000001</v>
      </c>
      <c r="HL10" s="16">
        <v>660.93</v>
      </c>
      <c r="HM10" s="16">
        <f t="shared" si="53"/>
        <v>0</v>
      </c>
      <c r="HN10" s="16">
        <v>3054.6</v>
      </c>
      <c r="HO10" s="16">
        <v>1335.3</v>
      </c>
      <c r="HP10" s="16">
        <f t="shared" si="54"/>
        <v>35485.000000000087</v>
      </c>
      <c r="HQ10" s="16">
        <v>2587.9</v>
      </c>
      <c r="HR10" s="16">
        <v>1119.4000000000001</v>
      </c>
      <c r="HS10" s="16">
        <f t="shared" si="55"/>
        <v>27785.000000000273</v>
      </c>
      <c r="HT10" s="16">
        <v>2206.5</v>
      </c>
      <c r="HU10" s="16">
        <v>853.38</v>
      </c>
      <c r="HV10" s="16">
        <f t="shared" si="56"/>
        <v>23085</v>
      </c>
      <c r="HW10" s="16">
        <v>1277.3</v>
      </c>
      <c r="HX10" s="16">
        <v>560.39</v>
      </c>
      <c r="HY10" s="16">
        <f t="shared" si="57"/>
        <v>14684.999999999909</v>
      </c>
      <c r="HZ10" s="16">
        <v>190760</v>
      </c>
      <c r="IA10" s="16">
        <v>102850</v>
      </c>
      <c r="IB10" s="16">
        <f t="shared" si="58"/>
        <v>20460</v>
      </c>
      <c r="IC10" s="16">
        <v>719.8</v>
      </c>
      <c r="ID10" s="16">
        <v>232.78</v>
      </c>
      <c r="IE10" s="16">
        <f t="shared" si="59"/>
        <v>0</v>
      </c>
      <c r="IF10" s="16"/>
      <c r="IG10" s="16"/>
      <c r="IH10" s="128">
        <f t="shared" si="60"/>
        <v>17500</v>
      </c>
      <c r="II10" s="211">
        <f t="shared" si="61"/>
        <v>-2.7648638933897018E-10</v>
      </c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G10" s="151">
        <f t="shared" si="62"/>
        <v>55944.999999999811</v>
      </c>
    </row>
    <row r="11" spans="1:293" x14ac:dyDescent="0.25">
      <c r="A11" s="35">
        <f t="shared" si="2"/>
        <v>5</v>
      </c>
      <c r="B11" s="38">
        <v>4494.47</v>
      </c>
      <c r="C11" s="38">
        <f t="shared" si="3"/>
        <v>10.650000000000546</v>
      </c>
      <c r="D11" s="38">
        <f t="shared" si="4"/>
        <v>340800.00000001746</v>
      </c>
      <c r="E11" s="38">
        <v>904.58</v>
      </c>
      <c r="F11" s="38">
        <f t="shared" si="5"/>
        <v>70080.000000001746</v>
      </c>
      <c r="G11" s="38">
        <f t="shared" si="6"/>
        <v>410880.00000001921</v>
      </c>
      <c r="H11" s="37"/>
      <c r="I11" s="39"/>
      <c r="J11" s="42"/>
      <c r="K11" s="37">
        <f t="shared" si="82"/>
        <v>0</v>
      </c>
      <c r="L11" s="40">
        <v>13914500</v>
      </c>
      <c r="M11" s="40"/>
      <c r="N11" s="37">
        <f t="shared" si="83"/>
        <v>405000</v>
      </c>
      <c r="O11" s="37">
        <v>11241</v>
      </c>
      <c r="P11" s="37"/>
      <c r="Q11" s="37">
        <f t="shared" si="7"/>
        <v>18000</v>
      </c>
      <c r="R11" s="37">
        <f t="shared" si="84"/>
        <v>1</v>
      </c>
      <c r="S11" s="37">
        <v>11239312.869999999</v>
      </c>
      <c r="T11" s="37">
        <f t="shared" si="8"/>
        <v>340.8899999987334</v>
      </c>
      <c r="U11" s="37">
        <v>1523790.61</v>
      </c>
      <c r="V11" s="37">
        <f t="shared" si="9"/>
        <v>0</v>
      </c>
      <c r="W11" s="37">
        <v>4021.9</v>
      </c>
      <c r="X11" s="37">
        <f t="shared" ref="X11:X38" si="97">Q11-T11-V11-AB11</f>
        <v>17559.110000001267</v>
      </c>
      <c r="Y11" s="183"/>
      <c r="Z11" s="183"/>
      <c r="AA11" s="37">
        <v>788300</v>
      </c>
      <c r="AB11" s="37">
        <f t="shared" si="10"/>
        <v>100</v>
      </c>
      <c r="AC11" s="37">
        <v>4195.7</v>
      </c>
      <c r="AD11" s="37"/>
      <c r="AE11" s="37">
        <f t="shared" si="11"/>
        <v>6099.9999999994543</v>
      </c>
      <c r="AF11" s="37">
        <f t="shared" si="85"/>
        <v>1</v>
      </c>
      <c r="AG11" s="37">
        <v>9142</v>
      </c>
      <c r="AH11" s="37"/>
      <c r="AI11" s="37">
        <f t="shared" si="12"/>
        <v>13246.329999999272</v>
      </c>
      <c r="AJ11" s="37">
        <f t="shared" si="13"/>
        <v>1</v>
      </c>
      <c r="AK11" s="37">
        <f t="shared" si="14"/>
        <v>37246.329999998728</v>
      </c>
      <c r="AL11" s="42">
        <v>10995.7</v>
      </c>
      <c r="AM11" s="2"/>
      <c r="AN11" s="37">
        <f t="shared" si="63"/>
        <v>4796.3300000007366</v>
      </c>
      <c r="AO11" s="37">
        <f t="shared" si="86"/>
        <v>1</v>
      </c>
      <c r="AP11" s="37">
        <v>8539.5</v>
      </c>
      <c r="AQ11" s="37"/>
      <c r="AR11" s="37">
        <f t="shared" si="15"/>
        <v>13399.999999999636</v>
      </c>
      <c r="AS11" s="37">
        <f t="shared" si="87"/>
        <v>1</v>
      </c>
      <c r="AT11" s="183"/>
      <c r="AU11" s="183"/>
      <c r="AV11" s="183"/>
      <c r="AW11" s="183"/>
      <c r="AX11" s="37">
        <v>488970</v>
      </c>
      <c r="AY11" s="37"/>
      <c r="AZ11" s="37">
        <f t="shared" si="16"/>
        <v>417.28000000002794</v>
      </c>
      <c r="BA11" s="37">
        <v>154910</v>
      </c>
      <c r="BB11" s="37"/>
      <c r="BC11" s="37">
        <f t="shared" si="17"/>
        <v>661.61999999999534</v>
      </c>
      <c r="BD11" s="37">
        <f t="shared" si="88"/>
        <v>19275.230000000396</v>
      </c>
      <c r="BE11" s="43">
        <v>1931</v>
      </c>
      <c r="BF11" s="43">
        <v>1066.2</v>
      </c>
      <c r="BG11" s="37">
        <f t="shared" si="18"/>
        <v>1599.9999999999091</v>
      </c>
      <c r="BH11" s="44">
        <v>9027.1</v>
      </c>
      <c r="BI11" s="44">
        <v>5809.1</v>
      </c>
      <c r="BJ11" s="37">
        <f t="shared" si="19"/>
        <v>9500</v>
      </c>
      <c r="BK11" s="40">
        <v>1615190</v>
      </c>
      <c r="BL11" s="40">
        <f t="shared" si="89"/>
        <v>4090</v>
      </c>
      <c r="BM11" s="40">
        <v>878.7</v>
      </c>
      <c r="BN11" s="37">
        <f t="shared" si="20"/>
        <v>680.00000000006366</v>
      </c>
      <c r="BO11" s="186"/>
      <c r="BP11" s="183">
        <f t="shared" si="21"/>
        <v>0</v>
      </c>
      <c r="BQ11" s="40">
        <v>830.9</v>
      </c>
      <c r="BR11" s="37">
        <f t="shared" si="64"/>
        <v>1079.9999999999272</v>
      </c>
      <c r="BS11" s="37">
        <v>100996.64</v>
      </c>
      <c r="BT11" s="37">
        <f t="shared" si="22"/>
        <v>220.88000000000466</v>
      </c>
      <c r="BU11" s="42">
        <v>2819182</v>
      </c>
      <c r="BV11" s="42"/>
      <c r="BW11" s="37">
        <f t="shared" si="23"/>
        <v>6982</v>
      </c>
      <c r="BX11" s="37">
        <f t="shared" si="90"/>
        <v>1</v>
      </c>
      <c r="BY11" s="43">
        <v>354.82479999999998</v>
      </c>
      <c r="BZ11" s="43"/>
      <c r="CA11" s="37">
        <f t="shared" si="24"/>
        <v>584.7999999999729</v>
      </c>
      <c r="CB11" s="37">
        <f t="shared" si="65"/>
        <v>1</v>
      </c>
      <c r="CC11" s="37">
        <v>664461.80000000005</v>
      </c>
      <c r="CD11" s="37">
        <f t="shared" si="25"/>
        <v>651.80000000004657</v>
      </c>
      <c r="CE11" s="37">
        <v>1251652</v>
      </c>
      <c r="CF11" s="37">
        <f t="shared" si="26"/>
        <v>6052</v>
      </c>
      <c r="CG11" s="37">
        <v>72811</v>
      </c>
      <c r="CH11" s="37">
        <f t="shared" si="66"/>
        <v>0</v>
      </c>
      <c r="CI11" s="40">
        <v>12980.65</v>
      </c>
      <c r="CJ11" s="40"/>
      <c r="CK11" s="37">
        <f t="shared" si="67"/>
        <v>15011.529999999664</v>
      </c>
      <c r="CL11" s="37">
        <f t="shared" si="27"/>
        <v>1</v>
      </c>
      <c r="CM11" s="37">
        <v>3641.95</v>
      </c>
      <c r="CN11" s="37"/>
      <c r="CO11" s="37">
        <f t="shared" si="28"/>
        <v>4996.3299999997271</v>
      </c>
      <c r="CP11" s="37">
        <f>IF(CO11&lt;=0,0,(CO11/SQRT(CO11^2+(CN11-CN10)^2)))</f>
        <v>1</v>
      </c>
      <c r="CQ11" s="39">
        <v>235234.3</v>
      </c>
      <c r="CR11" s="45"/>
      <c r="CS11" s="37">
        <f t="shared" si="68"/>
        <v>6200.6299999999883</v>
      </c>
      <c r="CT11" s="37">
        <f t="shared" si="69"/>
        <v>1</v>
      </c>
      <c r="CU11" s="37">
        <v>3551830</v>
      </c>
      <c r="CV11" s="37"/>
      <c r="CW11" s="38">
        <f t="shared" si="29"/>
        <v>17230</v>
      </c>
      <c r="CX11" s="37">
        <f t="shared" si="92"/>
        <v>1</v>
      </c>
      <c r="CY11" s="37">
        <v>1868678</v>
      </c>
      <c r="CZ11" s="37"/>
      <c r="DA11" s="37">
        <f t="shared" si="30"/>
        <v>9478</v>
      </c>
      <c r="DB11" s="37">
        <f t="shared" si="93"/>
        <v>1</v>
      </c>
      <c r="DC11" s="37"/>
      <c r="DD11" s="40"/>
      <c r="DE11" s="37">
        <f t="shared" si="31"/>
        <v>0</v>
      </c>
      <c r="DF11" s="37">
        <f t="shared" ref="DF11:DF33" si="98">IF(DE11&lt;=0,0,(DE11/SQRT(DE11^2+(DD11-DD10)^2)))</f>
        <v>0</v>
      </c>
      <c r="DG11" s="37">
        <f t="shared" si="32"/>
        <v>-59898.48999999938</v>
      </c>
      <c r="DH11" s="37">
        <f t="shared" si="33"/>
        <v>443846.32999999862</v>
      </c>
      <c r="DI11" s="46"/>
      <c r="DJ11" s="46"/>
      <c r="DK11" s="47"/>
      <c r="DL11" s="47"/>
      <c r="DM11" s="37"/>
      <c r="DN11" s="37"/>
      <c r="DO11" s="37"/>
      <c r="DP11" s="37"/>
      <c r="DQ11" s="50">
        <v>3574000</v>
      </c>
      <c r="DR11" s="49">
        <f t="shared" si="70"/>
        <v>10300</v>
      </c>
      <c r="DS11" s="50">
        <v>4002500</v>
      </c>
      <c r="DT11" s="49">
        <f t="shared" si="71"/>
        <v>19800</v>
      </c>
      <c r="DU11" s="52">
        <v>8039.4</v>
      </c>
      <c r="DV11" s="52">
        <v>4509.3</v>
      </c>
      <c r="DW11" s="37">
        <f t="shared" si="94"/>
        <v>4500</v>
      </c>
      <c r="DX11" s="52">
        <v>13245</v>
      </c>
      <c r="DY11" s="52">
        <v>8434</v>
      </c>
      <c r="DZ11" s="37">
        <f t="shared" si="34"/>
        <v>7946.33</v>
      </c>
      <c r="EA11" s="49">
        <v>30373</v>
      </c>
      <c r="EB11" s="49">
        <v>21.088999999999999</v>
      </c>
      <c r="EC11" s="37">
        <f t="shared" si="35"/>
        <v>25106.33</v>
      </c>
      <c r="ED11" s="53">
        <f t="shared" si="36"/>
        <v>37552.660000000003</v>
      </c>
      <c r="EE11" s="49">
        <v>45827</v>
      </c>
      <c r="EF11" s="49">
        <v>29.786000000000001</v>
      </c>
      <c r="EG11" s="37">
        <f t="shared" si="37"/>
        <v>24106.33</v>
      </c>
      <c r="EH11" s="52">
        <v>13224</v>
      </c>
      <c r="EI11" s="52">
        <v>1.8191999999999999</v>
      </c>
      <c r="EJ11" s="37">
        <f t="shared" si="38"/>
        <v>11946.33</v>
      </c>
      <c r="EK11" s="37">
        <v>804.87</v>
      </c>
      <c r="EL11" s="64">
        <v>1153.0999999999999</v>
      </c>
      <c r="EM11" s="37">
        <f t="shared" si="72"/>
        <v>759.99999999999091</v>
      </c>
      <c r="EN11" s="54">
        <f t="shared" si="73"/>
        <v>36812.659999999996</v>
      </c>
      <c r="EO11" s="48">
        <v>13109</v>
      </c>
      <c r="EP11" s="48">
        <v>4583.1000000000004</v>
      </c>
      <c r="EQ11" s="37">
        <f t="shared" si="74"/>
        <v>8006.3300000000017</v>
      </c>
      <c r="ER11" s="48">
        <v>9647.1</v>
      </c>
      <c r="ES11" s="48">
        <v>3961.2</v>
      </c>
      <c r="ET11" s="49">
        <f t="shared" si="39"/>
        <v>15200.000000000728</v>
      </c>
      <c r="EU11" s="48">
        <v>3716.3</v>
      </c>
      <c r="EV11" s="48">
        <v>1320.5</v>
      </c>
      <c r="EW11" s="49">
        <f t="shared" si="40"/>
        <v>8246.3300000001818</v>
      </c>
      <c r="EX11" s="48">
        <v>13675</v>
      </c>
      <c r="EY11" s="48">
        <v>1.5938000000000001</v>
      </c>
      <c r="EZ11" s="37">
        <f t="shared" si="41"/>
        <v>11946.33</v>
      </c>
      <c r="FA11" s="48">
        <f t="shared" si="75"/>
        <v>-21648.990000000911</v>
      </c>
      <c r="FB11" s="48">
        <v>36857550</v>
      </c>
      <c r="FC11" s="49">
        <f t="shared" si="95"/>
        <v>21750</v>
      </c>
      <c r="FD11" s="48">
        <f t="shared" si="76"/>
        <v>45198.990000000871</v>
      </c>
      <c r="FE11" s="48">
        <v>17191</v>
      </c>
      <c r="FF11" s="48">
        <v>6116.8</v>
      </c>
      <c r="FG11" s="37">
        <f t="shared" si="77"/>
        <v>9272.9999999999982</v>
      </c>
      <c r="FH11" s="48">
        <v>9003.1</v>
      </c>
      <c r="FI11" s="48">
        <v>3.4763999999999999</v>
      </c>
      <c r="FJ11" s="49">
        <f t="shared" si="42"/>
        <v>16232.999999999636</v>
      </c>
      <c r="FK11" s="48"/>
      <c r="FL11" s="58">
        <v>-613.33000000000004</v>
      </c>
      <c r="FM11" s="48">
        <f t="shared" si="96"/>
        <v>53.666666666787933</v>
      </c>
      <c r="FN11" s="48">
        <v>16787</v>
      </c>
      <c r="FO11" s="48">
        <v>0.85450000000000004</v>
      </c>
      <c r="FP11" s="37">
        <f t="shared" si="78"/>
        <v>11333</v>
      </c>
      <c r="FQ11" s="48">
        <v>59379</v>
      </c>
      <c r="FR11" s="48">
        <v>14.371</v>
      </c>
      <c r="FS11" s="37">
        <f t="shared" si="43"/>
        <v>37000</v>
      </c>
      <c r="FT11" s="48">
        <f t="shared" si="79"/>
        <v>161.0000000003638</v>
      </c>
      <c r="FU11" s="48">
        <f>FG11+FJ11+FP11+GM11</f>
        <v>36838.999999999636</v>
      </c>
      <c r="FV11" s="44">
        <v>4840800</v>
      </c>
      <c r="FW11" s="44">
        <v>1524800</v>
      </c>
      <c r="FX11" s="37">
        <f t="shared" si="44"/>
        <v>37400</v>
      </c>
      <c r="FY11" s="56">
        <v>3502.3</v>
      </c>
      <c r="FZ11" s="56">
        <v>2.1374</v>
      </c>
      <c r="GA11" s="37">
        <f t="shared" si="45"/>
        <v>8870.0000000002728</v>
      </c>
      <c r="GB11" s="56">
        <v>826.85</v>
      </c>
      <c r="GC11" s="56">
        <v>926.12</v>
      </c>
      <c r="GD11" s="37">
        <f t="shared" si="46"/>
        <v>990.00000000000909</v>
      </c>
      <c r="GE11" s="56">
        <v>10219</v>
      </c>
      <c r="GF11" s="63">
        <v>3.4983</v>
      </c>
      <c r="GG11" s="37">
        <f t="shared" si="47"/>
        <v>8800.0000000004093</v>
      </c>
      <c r="GH11" s="153">
        <v>1983</v>
      </c>
      <c r="GI11" s="162">
        <v>1696.3</v>
      </c>
      <c r="GJ11" s="38">
        <f t="shared" si="48"/>
        <v>1799.9999999999545</v>
      </c>
      <c r="GK11" s="162">
        <v>1489.1</v>
      </c>
      <c r="GL11" s="163">
        <v>1128.5</v>
      </c>
      <c r="GM11" s="38">
        <f t="shared" si="49"/>
        <v>0</v>
      </c>
      <c r="GN11" s="57">
        <v>208260</v>
      </c>
      <c r="GO11" s="57">
        <v>184470</v>
      </c>
      <c r="GP11" s="38">
        <f>IF((GN11-GN10)&lt;=0,0,(GN11-GN10)+1000)</f>
        <v>0</v>
      </c>
      <c r="GQ11" s="38">
        <v>273410</v>
      </c>
      <c r="GR11" s="38">
        <v>268640</v>
      </c>
      <c r="GS11" s="38">
        <f t="shared" si="81"/>
        <v>330</v>
      </c>
      <c r="GT11" s="178"/>
      <c r="GU11" s="144">
        <f>DailyJun!B10-DailyJun!N10-DailyJun!V10-DailyJun!Y10-DailyJun!Z10-DailyJun!AA10-DailyJun!AB10-DailyJun!AC10-DailyJun!AD10-DailyJun!AE10-DailyJun!AK10-DailyJun!AO10-DailyJun!AS10-DailyJun!AY10-DailyJun!BD10+DailyJun!BU10-DailyJun!BG10-DailyJun!BT10-DailyJun!AF10-DailyJun!AG10</f>
        <v>4.00000196241308E-2</v>
      </c>
      <c r="GV11" s="59">
        <v>-805.01</v>
      </c>
      <c r="GW11" s="60">
        <f t="shared" si="50"/>
        <v>-53.667333333333332</v>
      </c>
      <c r="GX11" s="61">
        <v>-53.67</v>
      </c>
      <c r="GY11" s="140"/>
      <c r="GZ11" s="62"/>
      <c r="HA11" s="62"/>
      <c r="HB11" s="74"/>
      <c r="HC11" s="62"/>
      <c r="HD11" s="74"/>
      <c r="HE11" s="24">
        <f t="shared" si="51"/>
        <v>0</v>
      </c>
      <c r="HG11" s="213">
        <v>5</v>
      </c>
      <c r="HH11" s="16">
        <v>11859</v>
      </c>
      <c r="HI11" s="16">
        <v>4574.3</v>
      </c>
      <c r="HJ11" s="16">
        <f t="shared" si="52"/>
        <v>138000</v>
      </c>
      <c r="HK11" s="16">
        <v>1.9189000000000001</v>
      </c>
      <c r="HL11" s="16">
        <v>660.93</v>
      </c>
      <c r="HM11" s="16">
        <f t="shared" si="53"/>
        <v>0</v>
      </c>
      <c r="HN11" s="16">
        <v>3089.7</v>
      </c>
      <c r="HO11" s="16">
        <v>1350.5</v>
      </c>
      <c r="HP11" s="16">
        <f t="shared" si="54"/>
        <v>35264.999999999913</v>
      </c>
      <c r="HQ11" s="16">
        <v>2611.1</v>
      </c>
      <c r="HR11" s="16">
        <v>1128.9000000000001</v>
      </c>
      <c r="HS11" s="16">
        <f t="shared" si="55"/>
        <v>23364.999999999818</v>
      </c>
      <c r="HT11" s="16">
        <v>2230.4</v>
      </c>
      <c r="HU11" s="16">
        <v>861.7</v>
      </c>
      <c r="HV11" s="16">
        <f t="shared" si="56"/>
        <v>24065.000000000091</v>
      </c>
      <c r="HW11" s="16">
        <v>1292.5</v>
      </c>
      <c r="HX11" s="16">
        <v>567.59</v>
      </c>
      <c r="HY11" s="16">
        <f t="shared" si="57"/>
        <v>15365.000000000045</v>
      </c>
      <c r="HZ11" s="16">
        <v>210900</v>
      </c>
      <c r="IA11" s="16">
        <v>111620</v>
      </c>
      <c r="IB11" s="16">
        <f t="shared" si="58"/>
        <v>20140</v>
      </c>
      <c r="IC11" s="16">
        <v>719.8</v>
      </c>
      <c r="ID11" s="16">
        <v>232.78</v>
      </c>
      <c r="IE11" s="16">
        <f t="shared" si="59"/>
        <v>0</v>
      </c>
      <c r="IF11" s="16"/>
      <c r="IG11" s="16"/>
      <c r="IH11" s="128">
        <f t="shared" si="60"/>
        <v>19800</v>
      </c>
      <c r="II11" s="211">
        <f t="shared" si="61"/>
        <v>1.3096723705530167E-10</v>
      </c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G11" s="151">
        <f t="shared" si="62"/>
        <v>55405.000000000044</v>
      </c>
    </row>
    <row r="12" spans="1:293" x14ac:dyDescent="0.25">
      <c r="A12" s="35">
        <f t="shared" si="2"/>
        <v>6</v>
      </c>
      <c r="B12" s="38">
        <v>4504.96</v>
      </c>
      <c r="C12" s="38">
        <f t="shared" si="3"/>
        <v>10.489999999999782</v>
      </c>
      <c r="D12" s="38">
        <f t="shared" si="4"/>
        <v>335679.99999999302</v>
      </c>
      <c r="E12" s="38">
        <v>906.79</v>
      </c>
      <c r="F12" s="38">
        <f t="shared" si="5"/>
        <v>70719.999999997526</v>
      </c>
      <c r="G12" s="38">
        <f t="shared" si="6"/>
        <v>406399.99999999057</v>
      </c>
      <c r="H12" s="37"/>
      <c r="I12" s="39"/>
      <c r="J12" s="42"/>
      <c r="K12" s="37">
        <f>IF(J12&lt;=0,0,(J12/SQRT(J12^2+(I12-I11)^2)))</f>
        <v>0</v>
      </c>
      <c r="L12" s="40">
        <v>13954900</v>
      </c>
      <c r="M12" s="40"/>
      <c r="N12" s="37">
        <f t="shared" si="83"/>
        <v>404000</v>
      </c>
      <c r="O12" s="37">
        <v>11260</v>
      </c>
      <c r="P12" s="37"/>
      <c r="Q12" s="37">
        <f t="shared" si="7"/>
        <v>19000</v>
      </c>
      <c r="R12" s="37">
        <f>IF(Q12&lt;=0,0,(Q12/SQRT(Q12^2+(P12-P11)^2)))</f>
        <v>1</v>
      </c>
      <c r="S12" s="37">
        <v>11239659.9</v>
      </c>
      <c r="T12" s="37">
        <f t="shared" si="8"/>
        <v>347.03000000119209</v>
      </c>
      <c r="U12" s="37">
        <v>1523790.61</v>
      </c>
      <c r="V12" s="37">
        <f t="shared" si="9"/>
        <v>0</v>
      </c>
      <c r="W12" s="37">
        <v>4028.6</v>
      </c>
      <c r="X12" s="37">
        <f t="shared" si="97"/>
        <v>18652.969999998808</v>
      </c>
      <c r="Y12" s="183"/>
      <c r="Z12" s="183"/>
      <c r="AA12" s="37">
        <v>788300</v>
      </c>
      <c r="AB12" s="37">
        <f t="shared" si="10"/>
        <v>0</v>
      </c>
      <c r="AC12" s="37">
        <v>4201.5</v>
      </c>
      <c r="AD12" s="2"/>
      <c r="AE12" s="37">
        <f t="shared" si="11"/>
        <v>5800.0000000001819</v>
      </c>
      <c r="AF12" s="37">
        <f>IF(AE12&lt;=0,0,(AE12/SQRT(AE12^2+(AD12-AD11)^2)))</f>
        <v>1</v>
      </c>
      <c r="AG12" s="37">
        <v>9152.2000000000007</v>
      </c>
      <c r="AH12" s="48"/>
      <c r="AI12" s="37">
        <f t="shared" si="12"/>
        <v>10234.130000000727</v>
      </c>
      <c r="AJ12" s="37">
        <f t="shared" si="13"/>
        <v>1</v>
      </c>
      <c r="AK12" s="37">
        <f t="shared" si="14"/>
        <v>35034.130000000907</v>
      </c>
      <c r="AL12" s="42">
        <v>11007.2</v>
      </c>
      <c r="AM12" s="42"/>
      <c r="AN12" s="37">
        <f t="shared" si="63"/>
        <v>6064.1300000000037</v>
      </c>
      <c r="AO12" s="37">
        <f>IF(AN12&lt;=0,0,(AN12/SQRT(AN12^2+(AM12-AM11)^2)))</f>
        <v>1</v>
      </c>
      <c r="AP12" s="37">
        <v>8552</v>
      </c>
      <c r="AQ12" s="37"/>
      <c r="AR12" s="37">
        <f t="shared" si="15"/>
        <v>12500</v>
      </c>
      <c r="AS12" s="37">
        <f>IF(AR12&lt;=0,0,(AR12/SQRT(AR12^2+(AQ12-AQ11)^2)))</f>
        <v>1</v>
      </c>
      <c r="AT12" s="183"/>
      <c r="AU12" s="183"/>
      <c r="AV12" s="183"/>
      <c r="AW12" s="183"/>
      <c r="AX12" s="37">
        <v>489400</v>
      </c>
      <c r="AY12" s="37"/>
      <c r="AZ12" s="37">
        <f t="shared" si="16"/>
        <v>430</v>
      </c>
      <c r="BA12" s="37">
        <v>155580</v>
      </c>
      <c r="BB12" s="37"/>
      <c r="BC12" s="37">
        <f t="shared" si="17"/>
        <v>670</v>
      </c>
      <c r="BD12" s="37">
        <f t="shared" si="88"/>
        <v>19664.130000000005</v>
      </c>
      <c r="BE12" s="43">
        <v>1933</v>
      </c>
      <c r="BF12" s="43">
        <v>1067.5</v>
      </c>
      <c r="BG12" s="37">
        <f t="shared" si="18"/>
        <v>2000</v>
      </c>
      <c r="BH12" s="44">
        <v>9036</v>
      </c>
      <c r="BI12" s="44">
        <v>5815.1</v>
      </c>
      <c r="BJ12" s="37">
        <f t="shared" si="19"/>
        <v>8899.9999999996362</v>
      </c>
      <c r="BK12" s="40">
        <v>1619280</v>
      </c>
      <c r="BL12" s="40">
        <f t="shared" si="89"/>
        <v>4090</v>
      </c>
      <c r="BM12" s="40">
        <v>879.38</v>
      </c>
      <c r="BN12" s="37">
        <f t="shared" si="20"/>
        <v>679.99999999994998</v>
      </c>
      <c r="BO12" s="186"/>
      <c r="BP12" s="183">
        <f t="shared" si="21"/>
        <v>0</v>
      </c>
      <c r="BQ12" s="40">
        <v>831.6</v>
      </c>
      <c r="BR12" s="37">
        <f t="shared" si="64"/>
        <v>700.00000000004547</v>
      </c>
      <c r="BS12" s="37">
        <v>101205.11</v>
      </c>
      <c r="BT12" s="37">
        <f t="shared" si="22"/>
        <v>208.47000000000116</v>
      </c>
      <c r="BU12" s="42">
        <v>2825705</v>
      </c>
      <c r="BV12" s="42"/>
      <c r="BW12" s="37">
        <f t="shared" si="23"/>
        <v>6523</v>
      </c>
      <c r="BX12" s="37">
        <f>IF(BW12&lt;=0,0,(BW12/SQRT(BW12^2+(BV12-BV11)^2)))</f>
        <v>1</v>
      </c>
      <c r="BY12" s="43">
        <v>355.3528</v>
      </c>
      <c r="BZ12" s="43"/>
      <c r="CA12" s="37">
        <f t="shared" si="24"/>
        <v>528.00000000002001</v>
      </c>
      <c r="CB12" s="37">
        <f t="shared" si="65"/>
        <v>1</v>
      </c>
      <c r="CC12" s="37">
        <v>664461.80000000005</v>
      </c>
      <c r="CD12" s="37">
        <f t="shared" si="25"/>
        <v>0</v>
      </c>
      <c r="CE12" s="37">
        <v>1257295</v>
      </c>
      <c r="CF12" s="37">
        <f t="shared" si="26"/>
        <v>5643</v>
      </c>
      <c r="CG12" s="37">
        <v>72810.600000000006</v>
      </c>
      <c r="CH12" s="37">
        <f t="shared" si="66"/>
        <v>0</v>
      </c>
      <c r="CI12" s="40">
        <v>12996.7</v>
      </c>
      <c r="CJ12" s="40"/>
      <c r="CK12" s="37">
        <f t="shared" si="67"/>
        <v>15556.130000001071</v>
      </c>
      <c r="CL12" s="37">
        <f t="shared" si="27"/>
        <v>1</v>
      </c>
      <c r="CM12" s="37">
        <v>3646.7049999999999</v>
      </c>
      <c r="CN12" s="37"/>
      <c r="CO12" s="37">
        <f t="shared" si="28"/>
        <v>4789.1300000001092</v>
      </c>
      <c r="CP12" s="37">
        <f>IF(CO12&lt;=0,0,(CO12/SQRT(CO12^2+(CN12-CN11)^2)))</f>
        <v>1</v>
      </c>
      <c r="CQ12" s="39">
        <v>241556.3</v>
      </c>
      <c r="CR12" s="45"/>
      <c r="CS12" s="37">
        <f t="shared" si="68"/>
        <v>6356.13</v>
      </c>
      <c r="CT12" s="37">
        <f t="shared" si="69"/>
        <v>1</v>
      </c>
      <c r="CU12" s="37">
        <v>3571182</v>
      </c>
      <c r="CV12" s="37"/>
      <c r="CW12" s="38">
        <f t="shared" si="29"/>
        <v>19352</v>
      </c>
      <c r="CX12" s="37">
        <f>IF(CW12&lt;=0,0,(CW12/SQRT(CW12^2+(CV12-CV11)^2)))</f>
        <v>1</v>
      </c>
      <c r="CY12" s="37">
        <v>1878244</v>
      </c>
      <c r="CZ12" s="37"/>
      <c r="DA12" s="37">
        <f t="shared" si="30"/>
        <v>9566</v>
      </c>
      <c r="DB12" s="37">
        <f>IF(DA12&lt;=0,0,(DA12/SQRT(DA12^2+(CZ12-CZ11)^2)))</f>
        <v>1</v>
      </c>
      <c r="DC12" s="37"/>
      <c r="DD12" s="40"/>
      <c r="DE12" s="37">
        <f t="shared" si="31"/>
        <v>0</v>
      </c>
      <c r="DF12" s="37">
        <f>IF(DE12&lt;=0,0,(DE12/SQRT(DE12^2+(DD12-DD11)^2)))</f>
        <v>0</v>
      </c>
      <c r="DG12" s="37">
        <f t="shared" si="32"/>
        <v>-62142.390000001178</v>
      </c>
      <c r="DH12" s="37">
        <f t="shared" si="33"/>
        <v>441034.13000000094</v>
      </c>
      <c r="DI12" s="46"/>
      <c r="DJ12" s="46"/>
      <c r="DK12" s="47"/>
      <c r="DL12" s="47"/>
      <c r="DM12" s="37"/>
      <c r="DN12" s="37"/>
      <c r="DO12" s="37"/>
      <c r="DP12" s="37"/>
      <c r="DQ12" s="50">
        <v>3583500</v>
      </c>
      <c r="DR12" s="49">
        <f t="shared" si="70"/>
        <v>9500</v>
      </c>
      <c r="DS12" s="50">
        <v>4020400</v>
      </c>
      <c r="DT12" s="49">
        <f t="shared" si="71"/>
        <v>17900</v>
      </c>
      <c r="DU12" s="52">
        <v>8043.9</v>
      </c>
      <c r="DV12" s="52">
        <v>4512.1000000000004</v>
      </c>
      <c r="DW12" s="37">
        <f t="shared" si="94"/>
        <v>4500</v>
      </c>
      <c r="DX12" s="52">
        <v>13252</v>
      </c>
      <c r="DY12" s="52">
        <v>8436.2000000000007</v>
      </c>
      <c r="DZ12" s="37">
        <f t="shared" si="34"/>
        <v>7034.13</v>
      </c>
      <c r="EA12" s="49">
        <v>30395</v>
      </c>
      <c r="EB12" s="49">
        <v>21.1</v>
      </c>
      <c r="EC12" s="37">
        <f t="shared" si="35"/>
        <v>24194.13</v>
      </c>
      <c r="ED12" s="53">
        <f t="shared" si="36"/>
        <v>35728.26</v>
      </c>
      <c r="EE12" s="49">
        <v>45848</v>
      </c>
      <c r="EF12" s="49">
        <v>29.806000000000001</v>
      </c>
      <c r="EG12" s="37">
        <f t="shared" si="37"/>
        <v>23194.13</v>
      </c>
      <c r="EH12" s="52">
        <v>13235</v>
      </c>
      <c r="EI12" s="52">
        <v>1.8219000000000001</v>
      </c>
      <c r="EJ12" s="37">
        <f t="shared" si="38"/>
        <v>11034.13</v>
      </c>
      <c r="EK12" s="37">
        <v>805.61</v>
      </c>
      <c r="EL12" s="64">
        <v>1154.0999999999999</v>
      </c>
      <c r="EM12" s="37">
        <f t="shared" si="72"/>
        <v>740.00000000000909</v>
      </c>
      <c r="EN12" s="54">
        <f t="shared" si="73"/>
        <v>34968.260000000009</v>
      </c>
      <c r="EO12" s="48">
        <v>13116</v>
      </c>
      <c r="EP12" s="48">
        <v>4585.8999999999996</v>
      </c>
      <c r="EQ12" s="37">
        <f t="shared" si="74"/>
        <v>6174.1299999999865</v>
      </c>
      <c r="ER12" s="48">
        <v>9656.5</v>
      </c>
      <c r="ES12" s="48">
        <v>3966.1</v>
      </c>
      <c r="ET12" s="49">
        <f t="shared" si="39"/>
        <v>9399.9999999996362</v>
      </c>
      <c r="EU12" s="48">
        <v>3725.2</v>
      </c>
      <c r="EV12" s="48">
        <v>1323.6</v>
      </c>
      <c r="EW12" s="49">
        <f t="shared" si="40"/>
        <v>8934.1299999996354</v>
      </c>
      <c r="EX12" s="48">
        <v>13686</v>
      </c>
      <c r="EY12" s="48">
        <v>1.5963000000000001</v>
      </c>
      <c r="EZ12" s="37">
        <f t="shared" si="41"/>
        <v>11034.13</v>
      </c>
      <c r="FA12" s="48">
        <f t="shared" si="75"/>
        <v>-16966.389999999257</v>
      </c>
      <c r="FB12" s="48">
        <v>36876126</v>
      </c>
      <c r="FC12" s="49">
        <f t="shared" si="95"/>
        <v>18576</v>
      </c>
      <c r="FD12" s="48">
        <f t="shared" si="76"/>
        <v>37242.389999999301</v>
      </c>
      <c r="FE12" s="48">
        <v>17198</v>
      </c>
      <c r="FF12" s="48">
        <v>6118.7</v>
      </c>
      <c r="FG12" s="37">
        <f t="shared" si="77"/>
        <v>8374.1300000000138</v>
      </c>
      <c r="FH12" s="48">
        <v>9017.7999999999993</v>
      </c>
      <c r="FI12" s="48">
        <v>3.4821</v>
      </c>
      <c r="FJ12" s="49">
        <f t="shared" si="42"/>
        <v>15214.129999998908</v>
      </c>
      <c r="FK12" s="48"/>
      <c r="FL12" s="58">
        <v>480</v>
      </c>
      <c r="FM12" s="48">
        <f t="shared" si="96"/>
        <v>-34.129999999639644</v>
      </c>
      <c r="FN12" s="48">
        <v>16797</v>
      </c>
      <c r="FO12" s="48">
        <v>0.85640000000000005</v>
      </c>
      <c r="FP12" s="37">
        <f t="shared" si="78"/>
        <v>10514.13</v>
      </c>
      <c r="FQ12" s="48">
        <v>59413</v>
      </c>
      <c r="FR12" s="48">
        <v>14.381</v>
      </c>
      <c r="FS12" s="37">
        <f>IF((FQ12-FQ11)*1000&lt;=0,0,(FQ12-FQ11)*1000)</f>
        <v>34000</v>
      </c>
      <c r="FT12" s="48">
        <f t="shared" si="79"/>
        <v>-102.38999999891894</v>
      </c>
      <c r="FU12" s="48">
        <f>FG12+FJ12+FP12+GM12</f>
        <v>34102.389999998923</v>
      </c>
      <c r="FV12" s="44">
        <v>4871100</v>
      </c>
      <c r="FW12" s="65">
        <v>1531800</v>
      </c>
      <c r="FX12" s="37">
        <f t="shared" si="44"/>
        <v>30300</v>
      </c>
      <c r="FY12" s="56">
        <v>3512.7</v>
      </c>
      <c r="FZ12" s="56">
        <v>2.1387999999999998</v>
      </c>
      <c r="GA12" s="37">
        <f t="shared" si="45"/>
        <v>10119.999999999636</v>
      </c>
      <c r="GB12" s="56">
        <v>827.68</v>
      </c>
      <c r="GC12" s="63">
        <v>927.07</v>
      </c>
      <c r="GD12" s="37">
        <f t="shared" si="46"/>
        <v>829.99999999992724</v>
      </c>
      <c r="GE12" s="56">
        <v>10230</v>
      </c>
      <c r="GF12" s="56">
        <v>3.5053000000000001</v>
      </c>
      <c r="GG12" s="37">
        <f t="shared" si="47"/>
        <v>9299.9999999999545</v>
      </c>
      <c r="GH12" s="153">
        <v>1984.7</v>
      </c>
      <c r="GI12" s="162">
        <v>1698</v>
      </c>
      <c r="GJ12" s="38">
        <f t="shared" si="48"/>
        <v>1700.0000000000455</v>
      </c>
      <c r="GK12" s="162">
        <v>1489.1</v>
      </c>
      <c r="GL12" s="163">
        <v>1128.5</v>
      </c>
      <c r="GM12" s="38">
        <f t="shared" si="49"/>
        <v>0</v>
      </c>
      <c r="GN12" s="57">
        <v>208260</v>
      </c>
      <c r="GO12" s="57">
        <v>184480</v>
      </c>
      <c r="GP12" s="38">
        <f t="shared" ref="GP12:GP38" si="99">IF((GN12-GN11)&lt;=0,0,(GN12-GN11))</f>
        <v>0</v>
      </c>
      <c r="GQ12" s="38">
        <v>273690</v>
      </c>
      <c r="GR12" s="38">
        <v>268840</v>
      </c>
      <c r="GS12" s="38">
        <f t="shared" si="81"/>
        <v>280</v>
      </c>
      <c r="GT12" s="178"/>
      <c r="GU12" s="144">
        <f>DailyJun!B11-DailyJun!N11-DailyJun!V11-DailyJun!Y11-DailyJun!Z11-DailyJun!AA11-DailyJun!AB11-DailyJun!AC11-DailyJun!AD11-DailyJun!AE11-DailyJun!AK11-DailyJun!AO11-DailyJun!AS11-DailyJun!AY11-DailyJun!BD11+DailyJun!BU11-DailyJun!BG11-DailyJun!BT11-DailyJun!AF11-DailyJun!AG11+DailyJun!AF11</f>
        <v>4.9999990964465724E-2</v>
      </c>
      <c r="GV12" s="59">
        <v>512</v>
      </c>
      <c r="GW12" s="60">
        <f t="shared" si="50"/>
        <v>34.133333333333333</v>
      </c>
      <c r="GX12" s="61">
        <v>34.130000000000003</v>
      </c>
      <c r="GY12" s="140"/>
      <c r="GZ12" s="62"/>
      <c r="HA12" s="62"/>
      <c r="HB12" s="74"/>
      <c r="HC12" s="62"/>
      <c r="HD12" s="74"/>
      <c r="HE12" s="24">
        <f t="shared" si="51"/>
        <v>0</v>
      </c>
      <c r="HG12" s="213">
        <v>6</v>
      </c>
      <c r="HH12" s="16">
        <v>12010</v>
      </c>
      <c r="HI12" s="16">
        <v>4632.2</v>
      </c>
      <c r="HJ12" s="16">
        <f t="shared" si="52"/>
        <v>151000</v>
      </c>
      <c r="HK12" s="16">
        <v>1.9189000000000001</v>
      </c>
      <c r="HL12" s="16">
        <v>660.93</v>
      </c>
      <c r="HM12" s="16">
        <f t="shared" si="53"/>
        <v>0</v>
      </c>
      <c r="HN12" s="16">
        <v>3126</v>
      </c>
      <c r="HO12" s="16">
        <v>1366.4</v>
      </c>
      <c r="HP12" s="16">
        <f t="shared" si="54"/>
        <v>36662.500000000182</v>
      </c>
      <c r="HQ12" s="16">
        <v>2639</v>
      </c>
      <c r="HR12" s="16">
        <v>1140.3</v>
      </c>
      <c r="HS12" s="16">
        <f t="shared" si="55"/>
        <v>28262.500000000091</v>
      </c>
      <c r="HT12" s="16">
        <v>2256.8000000000002</v>
      </c>
      <c r="HU12" s="16">
        <v>870.8</v>
      </c>
      <c r="HV12" s="16">
        <f t="shared" si="56"/>
        <v>26762.500000000091</v>
      </c>
      <c r="HW12" s="16">
        <v>1310.5999999999999</v>
      </c>
      <c r="HX12" s="16">
        <v>575.91</v>
      </c>
      <c r="HY12" s="16">
        <f t="shared" si="57"/>
        <v>18462.499999999909</v>
      </c>
      <c r="HZ12" s="16">
        <v>233850</v>
      </c>
      <c r="IA12" s="16">
        <v>121780</v>
      </c>
      <c r="IB12" s="16">
        <f t="shared" si="58"/>
        <v>22950</v>
      </c>
      <c r="IC12" s="16">
        <v>719.8</v>
      </c>
      <c r="ID12" s="16">
        <v>232.78</v>
      </c>
      <c r="IE12" s="16">
        <f t="shared" si="59"/>
        <v>0</v>
      </c>
      <c r="IF12" s="16"/>
      <c r="IG12" s="16"/>
      <c r="IH12" s="128">
        <f t="shared" si="60"/>
        <v>17900</v>
      </c>
      <c r="II12" s="211">
        <f t="shared" si="61"/>
        <v>-2.6921043172478676E-10</v>
      </c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G12" s="151">
        <f t="shared" si="62"/>
        <v>59612.499999999913</v>
      </c>
    </row>
    <row r="13" spans="1:293" x14ac:dyDescent="0.25">
      <c r="A13" s="35">
        <f t="shared" si="2"/>
        <v>7</v>
      </c>
      <c r="B13" s="38">
        <v>4515.24</v>
      </c>
      <c r="C13" s="38">
        <f t="shared" si="3"/>
        <v>10.279999999999745</v>
      </c>
      <c r="D13" s="38">
        <f t="shared" si="4"/>
        <v>328959.99999999185</v>
      </c>
      <c r="E13" s="38">
        <v>908.89</v>
      </c>
      <c r="F13" s="38">
        <f t="shared" si="5"/>
        <v>67200.000000000728</v>
      </c>
      <c r="G13" s="38">
        <f t="shared" si="6"/>
        <v>396159.99999999255</v>
      </c>
      <c r="H13" s="37"/>
      <c r="I13" s="39"/>
      <c r="J13" s="42"/>
      <c r="K13" s="37">
        <f t="shared" si="82"/>
        <v>0</v>
      </c>
      <c r="L13" s="40">
        <v>13994600</v>
      </c>
      <c r="M13" s="40"/>
      <c r="N13" s="37">
        <f t="shared" si="83"/>
        <v>397000</v>
      </c>
      <c r="O13" s="37">
        <v>11277.8</v>
      </c>
      <c r="P13" s="37"/>
      <c r="Q13" s="37">
        <f t="shared" si="7"/>
        <v>17799.999999999272</v>
      </c>
      <c r="R13" s="37">
        <f t="shared" si="84"/>
        <v>1</v>
      </c>
      <c r="S13" s="37">
        <v>11239876.810000001</v>
      </c>
      <c r="T13" s="37">
        <f t="shared" si="8"/>
        <v>216.91000000014901</v>
      </c>
      <c r="U13" s="37">
        <v>1523790.61</v>
      </c>
      <c r="V13" s="37">
        <f t="shared" si="9"/>
        <v>0</v>
      </c>
      <c r="W13" s="37">
        <v>4035.2</v>
      </c>
      <c r="X13" s="37">
        <f t="shared" si="97"/>
        <v>17483.089999999123</v>
      </c>
      <c r="Y13" s="183"/>
      <c r="Z13" s="183"/>
      <c r="AA13" s="37">
        <v>788400</v>
      </c>
      <c r="AB13" s="37">
        <f t="shared" si="10"/>
        <v>100</v>
      </c>
      <c r="AC13" s="37">
        <v>4207.2</v>
      </c>
      <c r="AD13" s="37"/>
      <c r="AE13" s="37">
        <f t="shared" si="11"/>
        <v>5699.9999999998181</v>
      </c>
      <c r="AF13" s="37">
        <f t="shared" si="85"/>
        <v>1</v>
      </c>
      <c r="AG13" s="37">
        <v>9163.7999999999993</v>
      </c>
      <c r="AH13" s="48"/>
      <c r="AI13" s="37">
        <f t="shared" si="12"/>
        <v>12544.759999998545</v>
      </c>
      <c r="AJ13" s="37">
        <f t="shared" si="13"/>
        <v>1</v>
      </c>
      <c r="AK13" s="37">
        <f t="shared" si="14"/>
        <v>35944.759999997637</v>
      </c>
      <c r="AL13" s="42">
        <v>11018.6</v>
      </c>
      <c r="AM13" s="42"/>
      <c r="AN13" s="37">
        <f t="shared" si="63"/>
        <v>7294.7599999996364</v>
      </c>
      <c r="AO13" s="37">
        <f t="shared" si="86"/>
        <v>1</v>
      </c>
      <c r="AP13" s="37">
        <v>8564.5</v>
      </c>
      <c r="AQ13" s="37"/>
      <c r="AR13" s="37">
        <f t="shared" si="15"/>
        <v>12500</v>
      </c>
      <c r="AS13" s="37">
        <f t="shared" si="87"/>
        <v>1</v>
      </c>
      <c r="AT13" s="183"/>
      <c r="AU13" s="183"/>
      <c r="AV13" s="183"/>
      <c r="AW13" s="183"/>
      <c r="AX13" s="37">
        <v>489820</v>
      </c>
      <c r="AY13" s="37"/>
      <c r="AZ13" s="37">
        <f t="shared" si="16"/>
        <v>420</v>
      </c>
      <c r="BA13" s="37">
        <v>156240</v>
      </c>
      <c r="BB13" s="37"/>
      <c r="BC13" s="37">
        <f t="shared" si="17"/>
        <v>660</v>
      </c>
      <c r="BD13" s="37">
        <f t="shared" si="88"/>
        <v>20874.759999999638</v>
      </c>
      <c r="BE13" s="43">
        <v>1934.7</v>
      </c>
      <c r="BF13" s="43">
        <v>1068.5999999999999</v>
      </c>
      <c r="BG13" s="37">
        <f t="shared" si="18"/>
        <v>1700.0000000000455</v>
      </c>
      <c r="BH13" s="44">
        <v>9045.1</v>
      </c>
      <c r="BI13" s="44">
        <v>5821.2</v>
      </c>
      <c r="BJ13" s="37">
        <f t="shared" si="19"/>
        <v>9100.0000000003638</v>
      </c>
      <c r="BK13" s="40">
        <v>1623330</v>
      </c>
      <c r="BL13" s="40">
        <f t="shared" si="89"/>
        <v>4050</v>
      </c>
      <c r="BM13" s="40">
        <v>880.08</v>
      </c>
      <c r="BN13" s="37">
        <f t="shared" si="20"/>
        <v>700.00000000004547</v>
      </c>
      <c r="BO13" s="186"/>
      <c r="BP13" s="183">
        <f t="shared" si="21"/>
        <v>0</v>
      </c>
      <c r="BQ13" s="40">
        <v>831.9</v>
      </c>
      <c r="BR13" s="37">
        <f t="shared" si="64"/>
        <v>299.99999999995453</v>
      </c>
      <c r="BS13" s="37">
        <v>101413.26</v>
      </c>
      <c r="BT13" s="37">
        <f t="shared" si="22"/>
        <v>208.14999999999418</v>
      </c>
      <c r="BU13" s="42">
        <v>2832817</v>
      </c>
      <c r="BV13" s="42"/>
      <c r="BW13" s="37">
        <f t="shared" si="23"/>
        <v>7112</v>
      </c>
      <c r="BX13" s="37">
        <f t="shared" si="90"/>
        <v>1</v>
      </c>
      <c r="BY13" s="43">
        <v>355.86340000000001</v>
      </c>
      <c r="BZ13" s="37"/>
      <c r="CA13" s="37">
        <f t="shared" si="24"/>
        <v>510.60000000001082</v>
      </c>
      <c r="CB13" s="37">
        <f t="shared" si="65"/>
        <v>1</v>
      </c>
      <c r="CC13" s="37">
        <v>665114.9</v>
      </c>
      <c r="CD13" s="37">
        <f t="shared" si="25"/>
        <v>653.09999999997672</v>
      </c>
      <c r="CE13" s="37">
        <v>1263063</v>
      </c>
      <c r="CF13" s="37">
        <f t="shared" si="26"/>
        <v>5768</v>
      </c>
      <c r="CG13" s="37">
        <v>72810.600000000006</v>
      </c>
      <c r="CH13" s="37">
        <f t="shared" si="66"/>
        <v>0</v>
      </c>
      <c r="CI13" s="40">
        <v>13012.86</v>
      </c>
      <c r="CJ13" s="40"/>
      <c r="CK13" s="37">
        <f t="shared" si="67"/>
        <v>16594.159999999843</v>
      </c>
      <c r="CL13" s="37">
        <f t="shared" si="27"/>
        <v>1</v>
      </c>
      <c r="CM13" s="37">
        <v>3652.1350000000002</v>
      </c>
      <c r="CN13" s="37"/>
      <c r="CO13" s="37">
        <f t="shared" si="28"/>
        <v>6374.7600000002913</v>
      </c>
      <c r="CP13" s="37">
        <f t="shared" si="91"/>
        <v>1</v>
      </c>
      <c r="CQ13" s="39">
        <v>247856.8</v>
      </c>
      <c r="CR13" s="45"/>
      <c r="CS13" s="37">
        <f t="shared" si="68"/>
        <v>7245.26</v>
      </c>
      <c r="CT13" s="37">
        <f t="shared" si="69"/>
        <v>1</v>
      </c>
      <c r="CU13" s="37">
        <v>3588906</v>
      </c>
      <c r="CV13" s="37"/>
      <c r="CW13" s="38">
        <f t="shared" si="29"/>
        <v>17724</v>
      </c>
      <c r="CX13" s="37">
        <f t="shared" si="92"/>
        <v>1</v>
      </c>
      <c r="CY13" s="37">
        <v>1887927</v>
      </c>
      <c r="CZ13" s="37"/>
      <c r="DA13" s="37">
        <f t="shared" si="30"/>
        <v>9683</v>
      </c>
      <c r="DB13" s="37">
        <f t="shared" si="93"/>
        <v>1</v>
      </c>
      <c r="DC13" s="37"/>
      <c r="DD13" s="40"/>
      <c r="DE13" s="37">
        <f t="shared" si="31"/>
        <v>0</v>
      </c>
      <c r="DF13" s="37">
        <f t="shared" si="98"/>
        <v>0</v>
      </c>
      <c r="DG13" s="37">
        <f t="shared" si="32"/>
        <v>-64733.180000000139</v>
      </c>
      <c r="DH13" s="37">
        <f t="shared" si="33"/>
        <v>434644.75999999768</v>
      </c>
      <c r="DI13" s="46"/>
      <c r="DJ13" s="46"/>
      <c r="DK13" s="47"/>
      <c r="DL13" s="47"/>
      <c r="DM13" s="37"/>
      <c r="DN13" s="37"/>
      <c r="DO13" s="37"/>
      <c r="DP13" s="37"/>
      <c r="DQ13" s="50">
        <v>3591800</v>
      </c>
      <c r="DR13" s="49">
        <f t="shared" si="70"/>
        <v>8300</v>
      </c>
      <c r="DS13" s="50">
        <v>4038000</v>
      </c>
      <c r="DT13" s="49">
        <f t="shared" si="71"/>
        <v>17600</v>
      </c>
      <c r="DU13" s="52">
        <v>8048.6</v>
      </c>
      <c r="DV13" s="52">
        <v>4515</v>
      </c>
      <c r="DW13" s="37">
        <f t="shared" si="94"/>
        <v>4700.0000000007276</v>
      </c>
      <c r="DX13" s="52">
        <v>13259</v>
      </c>
      <c r="DY13" s="52">
        <v>8438.7000000000007</v>
      </c>
      <c r="DZ13" s="37">
        <f t="shared" si="34"/>
        <v>7944.76</v>
      </c>
      <c r="EA13" s="49">
        <v>30417</v>
      </c>
      <c r="EB13" s="49">
        <v>21.111000000000001</v>
      </c>
      <c r="EC13" s="37">
        <f t="shared" si="35"/>
        <v>25104.76</v>
      </c>
      <c r="ED13" s="53">
        <f t="shared" si="36"/>
        <v>37749.520000000724</v>
      </c>
      <c r="EE13" s="49">
        <v>45870</v>
      </c>
      <c r="EF13" s="49">
        <v>29.827000000000002</v>
      </c>
      <c r="EG13" s="37">
        <f t="shared" si="37"/>
        <v>25104.76</v>
      </c>
      <c r="EH13" s="52">
        <v>13246</v>
      </c>
      <c r="EI13" s="52">
        <v>1.8246</v>
      </c>
      <c r="EJ13" s="37">
        <f t="shared" si="38"/>
        <v>11944.76</v>
      </c>
      <c r="EK13" s="37">
        <v>806.49</v>
      </c>
      <c r="EL13" s="40">
        <v>1155.4000000000001</v>
      </c>
      <c r="EM13" s="37">
        <f t="shared" si="72"/>
        <v>879.99999999999545</v>
      </c>
      <c r="EN13" s="54">
        <f t="shared" si="73"/>
        <v>37929.51999999999</v>
      </c>
      <c r="EO13" s="48">
        <v>13123</v>
      </c>
      <c r="EP13" s="48">
        <v>4588.5</v>
      </c>
      <c r="EQ13" s="37">
        <f t="shared" si="74"/>
        <v>7134.7599999999984</v>
      </c>
      <c r="ER13" s="48">
        <v>9663.4</v>
      </c>
      <c r="ES13" s="48">
        <v>3969.8</v>
      </c>
      <c r="ET13" s="49">
        <f t="shared" si="39"/>
        <v>6899.9999999996362</v>
      </c>
      <c r="EU13" s="48">
        <v>3733.4</v>
      </c>
      <c r="EV13" s="48">
        <v>1326.6</v>
      </c>
      <c r="EW13" s="49">
        <f t="shared" si="40"/>
        <v>9144.7600000002731</v>
      </c>
      <c r="EX13" s="48">
        <v>13697</v>
      </c>
      <c r="EY13" s="48">
        <v>1.5989</v>
      </c>
      <c r="EZ13" s="37">
        <f t="shared" si="41"/>
        <v>11944.76</v>
      </c>
      <c r="FA13" s="48">
        <f>FC13-EQ13-ET13-EW13-EZ13</f>
        <v>-18871.279999999908</v>
      </c>
      <c r="FB13" s="48">
        <v>36892379</v>
      </c>
      <c r="FC13" s="49">
        <f t="shared" si="95"/>
        <v>16253</v>
      </c>
      <c r="FD13" s="48">
        <f t="shared" si="76"/>
        <v>36624.279999999912</v>
      </c>
      <c r="FE13" s="48">
        <v>17205</v>
      </c>
      <c r="FF13" s="48">
        <v>6120.9</v>
      </c>
      <c r="FG13" s="37">
        <f t="shared" si="77"/>
        <v>8051.4300000000021</v>
      </c>
      <c r="FH13" s="48">
        <v>9031.1</v>
      </c>
      <c r="FI13" s="48">
        <v>3.4872999999999998</v>
      </c>
      <c r="FJ13" s="49">
        <f t="shared" si="42"/>
        <v>13541.430000001092</v>
      </c>
      <c r="FK13" s="48"/>
      <c r="FL13" s="58">
        <v>-703.33</v>
      </c>
      <c r="FM13" s="48">
        <f t="shared" si="96"/>
        <v>-944.76333333369746</v>
      </c>
      <c r="FN13" s="48">
        <v>16808</v>
      </c>
      <c r="FO13" s="48">
        <v>0.85809999999999997</v>
      </c>
      <c r="FP13" s="37">
        <f t="shared" si="78"/>
        <v>11241.43</v>
      </c>
      <c r="FQ13" s="48">
        <v>59443</v>
      </c>
      <c r="FR13" s="48">
        <v>14.388999999999999</v>
      </c>
      <c r="FS13" s="37">
        <f t="shared" si="43"/>
        <v>30000</v>
      </c>
      <c r="FT13" s="48">
        <f t="shared" si="79"/>
        <v>-2834.2900000010923</v>
      </c>
      <c r="FU13" s="48">
        <f>FG13+FJ13+FP13+GM13</f>
        <v>32834.290000001092</v>
      </c>
      <c r="FV13" s="44">
        <v>4899900</v>
      </c>
      <c r="FW13" s="44">
        <v>1538800</v>
      </c>
      <c r="FX13" s="37">
        <f t="shared" si="44"/>
        <v>28800</v>
      </c>
      <c r="FY13" s="56">
        <v>3517.8</v>
      </c>
      <c r="FZ13" s="56">
        <v>2.1408</v>
      </c>
      <c r="GA13" s="37">
        <f t="shared" si="45"/>
        <v>4810.0000000003638</v>
      </c>
      <c r="GB13" s="56">
        <v>828.62</v>
      </c>
      <c r="GC13" s="56">
        <v>928.15</v>
      </c>
      <c r="GD13" s="37">
        <f t="shared" si="46"/>
        <v>940.00000000005457</v>
      </c>
      <c r="GE13" s="56">
        <v>10238</v>
      </c>
      <c r="GF13" s="56">
        <v>3.5118</v>
      </c>
      <c r="GG13" s="37">
        <f t="shared" si="47"/>
        <v>6500</v>
      </c>
      <c r="GH13" s="153">
        <v>1986.2</v>
      </c>
      <c r="GI13" s="162">
        <v>1699.5</v>
      </c>
      <c r="GJ13" s="38">
        <f t="shared" si="48"/>
        <v>1500</v>
      </c>
      <c r="GK13" s="162">
        <v>1489.1</v>
      </c>
      <c r="GL13" s="163">
        <v>1128.5</v>
      </c>
      <c r="GM13" s="38">
        <f t="shared" si="49"/>
        <v>0</v>
      </c>
      <c r="GN13" s="57">
        <v>208260</v>
      </c>
      <c r="GO13" s="57">
        <v>184480</v>
      </c>
      <c r="GP13" s="38">
        <f t="shared" si="99"/>
        <v>0</v>
      </c>
      <c r="GQ13" s="38">
        <v>273980</v>
      </c>
      <c r="GR13" s="38">
        <v>269040</v>
      </c>
      <c r="GS13" s="38">
        <f t="shared" si="81"/>
        <v>290</v>
      </c>
      <c r="GT13" s="178"/>
      <c r="GU13" s="144">
        <f>DailyJun!B12-DailyJun!N12-DailyJun!V12-DailyJun!Y12-DailyJun!Z12-DailyJun!AA12-DailyJun!AB12-DailyJun!AC12-DailyJun!AD12-DailyJun!AE12-DailyJun!AK12-DailyJun!AO12-DailyJun!AS12-DailyJun!AY12-DailyJun!BD12+DailyJun!BU12-DailyJun!BG12-DailyJun!BT12-DailyJun!AF12-DailyJun!AG12</f>
        <v>-1.0000007343478501E-2</v>
      </c>
      <c r="GV13" s="59">
        <v>14171.39</v>
      </c>
      <c r="GW13" s="60">
        <f t="shared" si="50"/>
        <v>944.7593333333333</v>
      </c>
      <c r="GX13" s="61">
        <v>944.76</v>
      </c>
      <c r="GY13" s="140"/>
      <c r="GZ13" s="62"/>
      <c r="HA13" s="62"/>
      <c r="HB13" s="74"/>
      <c r="HC13" s="62"/>
      <c r="HD13" s="74"/>
      <c r="HE13" s="24">
        <f t="shared" si="51"/>
        <v>0</v>
      </c>
      <c r="HG13" s="213">
        <v>7</v>
      </c>
      <c r="HH13" s="16">
        <v>12156</v>
      </c>
      <c r="HI13" s="16">
        <v>4688.3999999999996</v>
      </c>
      <c r="HJ13" s="16">
        <f t="shared" si="52"/>
        <v>146000</v>
      </c>
      <c r="HK13" s="16">
        <v>1.9189000000000001</v>
      </c>
      <c r="HL13" s="16">
        <v>660.93</v>
      </c>
      <c r="HM13" s="16">
        <f t="shared" si="53"/>
        <v>0</v>
      </c>
      <c r="HN13" s="16">
        <v>3163.6</v>
      </c>
      <c r="HO13" s="16">
        <v>1382.9</v>
      </c>
      <c r="HP13" s="16">
        <f t="shared" si="54"/>
        <v>37254.999999999913</v>
      </c>
      <c r="HQ13" s="16">
        <v>2665.2</v>
      </c>
      <c r="HR13" s="16">
        <v>1151.0999999999999</v>
      </c>
      <c r="HS13" s="16">
        <f t="shared" si="55"/>
        <v>25854.999999999818</v>
      </c>
      <c r="HT13" s="16">
        <v>2282</v>
      </c>
      <c r="HU13" s="16">
        <v>879.52</v>
      </c>
      <c r="HV13" s="16">
        <f t="shared" si="56"/>
        <v>24854.999999999818</v>
      </c>
      <c r="HW13" s="16">
        <v>1328.8</v>
      </c>
      <c r="HX13" s="16">
        <v>584.01</v>
      </c>
      <c r="HY13" s="16">
        <f t="shared" si="57"/>
        <v>17855.000000000044</v>
      </c>
      <c r="HZ13" s="16">
        <v>256430</v>
      </c>
      <c r="IA13" s="16">
        <v>131810</v>
      </c>
      <c r="IB13" s="16">
        <f t="shared" si="58"/>
        <v>22580</v>
      </c>
      <c r="IC13" s="16">
        <v>719.8</v>
      </c>
      <c r="ID13" s="16">
        <v>232.78</v>
      </c>
      <c r="IE13" s="16">
        <f t="shared" si="59"/>
        <v>0</v>
      </c>
      <c r="IF13" s="16"/>
      <c r="IG13" s="16"/>
      <c r="IH13" s="128">
        <f t="shared" si="60"/>
        <v>17600</v>
      </c>
      <c r="II13" s="211">
        <f t="shared" si="61"/>
        <v>3.92901711165905E-10</v>
      </c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G13" s="151">
        <f t="shared" si="62"/>
        <v>59835.000000000306</v>
      </c>
    </row>
    <row r="14" spans="1:293" x14ac:dyDescent="0.25">
      <c r="A14" s="35">
        <f t="shared" si="2"/>
        <v>8</v>
      </c>
      <c r="B14" s="38">
        <v>4525.79</v>
      </c>
      <c r="C14" s="38">
        <f t="shared" si="3"/>
        <v>10.550000000000182</v>
      </c>
      <c r="D14" s="38">
        <f t="shared" si="4"/>
        <v>337600.00000000582</v>
      </c>
      <c r="E14" s="38">
        <v>911.12</v>
      </c>
      <c r="F14" s="38">
        <f t="shared" si="5"/>
        <v>71360.000000000582</v>
      </c>
      <c r="G14" s="38">
        <f t="shared" si="6"/>
        <v>408960.0000000064</v>
      </c>
      <c r="H14" s="37"/>
      <c r="I14" s="39"/>
      <c r="J14" s="42"/>
      <c r="K14" s="37">
        <f>IF(J14&lt;=0,0,(J14/SQRT(J14^2+(I14-I13)^2)))</f>
        <v>0</v>
      </c>
      <c r="L14" s="40">
        <v>14035400</v>
      </c>
      <c r="M14" s="40"/>
      <c r="N14" s="37">
        <f t="shared" si="83"/>
        <v>408000</v>
      </c>
      <c r="O14" s="37">
        <v>11296.1</v>
      </c>
      <c r="P14" s="37"/>
      <c r="Q14" s="37">
        <f t="shared" si="7"/>
        <v>18300.000000001091</v>
      </c>
      <c r="R14" s="37">
        <f t="shared" si="84"/>
        <v>1</v>
      </c>
      <c r="S14" s="37">
        <v>11240165.050000001</v>
      </c>
      <c r="T14" s="37">
        <f t="shared" si="8"/>
        <v>288.24000000022352</v>
      </c>
      <c r="U14" s="37">
        <v>1523790.61</v>
      </c>
      <c r="V14" s="37">
        <f t="shared" si="9"/>
        <v>0</v>
      </c>
      <c r="W14" s="37">
        <v>4041.9</v>
      </c>
      <c r="X14" s="37">
        <f t="shared" si="97"/>
        <v>17911.760000000868</v>
      </c>
      <c r="Y14" s="183"/>
      <c r="Z14" s="183"/>
      <c r="AA14" s="37">
        <v>788500</v>
      </c>
      <c r="AB14" s="37">
        <f t="shared" si="10"/>
        <v>100</v>
      </c>
      <c r="AC14" s="37">
        <v>4213</v>
      </c>
      <c r="AD14" s="37"/>
      <c r="AE14" s="37">
        <f t="shared" si="11"/>
        <v>5800.0000000001819</v>
      </c>
      <c r="AF14" s="37">
        <f t="shared" si="85"/>
        <v>1</v>
      </c>
      <c r="AG14" s="37">
        <v>9174.9</v>
      </c>
      <c r="AH14" s="48"/>
      <c r="AI14" s="37">
        <f t="shared" si="12"/>
        <v>11039.230000000363</v>
      </c>
      <c r="AJ14" s="37">
        <f t="shared" si="13"/>
        <v>1</v>
      </c>
      <c r="AK14" s="37">
        <f t="shared" si="14"/>
        <v>35039.23000000164</v>
      </c>
      <c r="AL14" s="42">
        <v>11029.4</v>
      </c>
      <c r="AM14" s="42"/>
      <c r="AN14" s="37">
        <f t="shared" si="63"/>
        <v>5459.229999999322</v>
      </c>
      <c r="AO14" s="37">
        <f t="shared" si="86"/>
        <v>1</v>
      </c>
      <c r="AP14" s="37">
        <v>8577</v>
      </c>
      <c r="AQ14" s="37"/>
      <c r="AR14" s="37">
        <f t="shared" si="15"/>
        <v>12500</v>
      </c>
      <c r="AS14" s="37">
        <f t="shared" si="87"/>
        <v>1</v>
      </c>
      <c r="AT14" s="183"/>
      <c r="AU14" s="183"/>
      <c r="AV14" s="183"/>
      <c r="AW14" s="183"/>
      <c r="AX14" s="37">
        <v>490250</v>
      </c>
      <c r="AY14" s="37"/>
      <c r="AZ14" s="37">
        <f t="shared" si="16"/>
        <v>430</v>
      </c>
      <c r="BA14" s="37">
        <v>156910</v>
      </c>
      <c r="BB14" s="37"/>
      <c r="BC14" s="37">
        <f t="shared" si="17"/>
        <v>670</v>
      </c>
      <c r="BD14" s="37">
        <f t="shared" si="88"/>
        <v>19059.229999999323</v>
      </c>
      <c r="BE14" s="43">
        <v>1936.2</v>
      </c>
      <c r="BF14" s="43">
        <v>1069.5999999999999</v>
      </c>
      <c r="BG14" s="37">
        <f t="shared" si="18"/>
        <v>1500</v>
      </c>
      <c r="BH14" s="44">
        <v>9054.4</v>
      </c>
      <c r="BI14" s="44">
        <v>5827.5</v>
      </c>
      <c r="BJ14" s="37">
        <f t="shared" si="19"/>
        <v>9299.9999999992724</v>
      </c>
      <c r="BK14" s="40">
        <v>1627430</v>
      </c>
      <c r="BL14" s="40">
        <f t="shared" si="89"/>
        <v>4100</v>
      </c>
      <c r="BM14" s="40">
        <v>880.76</v>
      </c>
      <c r="BN14" s="37">
        <f t="shared" si="20"/>
        <v>679.99999999994998</v>
      </c>
      <c r="BO14" s="186"/>
      <c r="BP14" s="183">
        <f t="shared" si="21"/>
        <v>0</v>
      </c>
      <c r="BQ14" s="40">
        <v>832.4</v>
      </c>
      <c r="BR14" s="37">
        <f t="shared" si="64"/>
        <v>500</v>
      </c>
      <c r="BS14" s="37">
        <v>101603.98</v>
      </c>
      <c r="BT14" s="37">
        <f t="shared" si="22"/>
        <v>190.72000000000116</v>
      </c>
      <c r="BU14" s="42">
        <v>2842520</v>
      </c>
      <c r="BV14" s="42"/>
      <c r="BW14" s="37">
        <f t="shared" si="23"/>
        <v>9703</v>
      </c>
      <c r="BX14" s="37">
        <f t="shared" si="90"/>
        <v>1</v>
      </c>
      <c r="BY14" s="147">
        <v>356.423</v>
      </c>
      <c r="BZ14" s="40"/>
      <c r="CA14" s="37">
        <f t="shared" si="24"/>
        <v>559.599999999989</v>
      </c>
      <c r="CB14" s="37">
        <f t="shared" si="65"/>
        <v>1</v>
      </c>
      <c r="CC14" s="37">
        <v>667887.4</v>
      </c>
      <c r="CD14" s="37">
        <f t="shared" si="25"/>
        <v>2772.5</v>
      </c>
      <c r="CE14" s="37">
        <v>1268712</v>
      </c>
      <c r="CF14" s="37">
        <f t="shared" si="26"/>
        <v>5649</v>
      </c>
      <c r="CG14" s="37">
        <v>72810.600000000006</v>
      </c>
      <c r="CH14" s="37">
        <f t="shared" si="66"/>
        <v>0</v>
      </c>
      <c r="CI14" s="40">
        <v>13029.83</v>
      </c>
      <c r="CJ14" s="40"/>
      <c r="CK14" s="37">
        <f t="shared" si="67"/>
        <v>16349.629999999355</v>
      </c>
      <c r="CL14" s="37">
        <f t="shared" si="27"/>
        <v>1</v>
      </c>
      <c r="CM14" s="37">
        <v>3658.114</v>
      </c>
      <c r="CN14" s="37"/>
      <c r="CO14" s="37">
        <f t="shared" si="28"/>
        <v>5918.229999999814</v>
      </c>
      <c r="CP14" s="37">
        <f t="shared" si="91"/>
        <v>1</v>
      </c>
      <c r="CQ14" s="39">
        <v>254380.9</v>
      </c>
      <c r="CR14" s="45"/>
      <c r="CS14" s="37">
        <f t="shared" si="68"/>
        <v>6463.3300000000054</v>
      </c>
      <c r="CT14" s="37">
        <f t="shared" si="69"/>
        <v>1</v>
      </c>
      <c r="CU14" s="37">
        <v>3605666</v>
      </c>
      <c r="CV14" s="37"/>
      <c r="CW14" s="38">
        <f t="shared" si="29"/>
        <v>16760</v>
      </c>
      <c r="CX14" s="37">
        <f t="shared" si="92"/>
        <v>1</v>
      </c>
      <c r="CY14" s="37">
        <v>1896789</v>
      </c>
      <c r="CZ14" s="37"/>
      <c r="DA14" s="37">
        <f t="shared" si="30"/>
        <v>8862</v>
      </c>
      <c r="DB14" s="37">
        <f t="shared" si="93"/>
        <v>1</v>
      </c>
      <c r="DC14" s="37"/>
      <c r="DD14" s="40"/>
      <c r="DE14" s="37">
        <f t="shared" si="31"/>
        <v>0</v>
      </c>
      <c r="DF14" s="37">
        <f t="shared" si="98"/>
        <v>0</v>
      </c>
      <c r="DG14" s="37">
        <f t="shared" si="32"/>
        <v>-64056.18999999918</v>
      </c>
      <c r="DH14" s="37">
        <f t="shared" si="33"/>
        <v>444539.23000000161</v>
      </c>
      <c r="DI14" s="46"/>
      <c r="DJ14" s="46"/>
      <c r="DK14" s="47"/>
      <c r="DL14" s="47"/>
      <c r="DM14" s="37"/>
      <c r="DN14" s="37"/>
      <c r="DO14" s="37"/>
      <c r="DP14" s="37"/>
      <c r="DQ14" s="50">
        <v>3601300</v>
      </c>
      <c r="DR14" s="49">
        <f t="shared" si="70"/>
        <v>9500</v>
      </c>
      <c r="DS14" s="50">
        <v>4057400</v>
      </c>
      <c r="DT14" s="49">
        <f t="shared" si="71"/>
        <v>19400</v>
      </c>
      <c r="DU14" s="52">
        <v>8053.2</v>
      </c>
      <c r="DV14" s="52">
        <v>4517.8999999999996</v>
      </c>
      <c r="DW14" s="37">
        <f t="shared" si="94"/>
        <v>4599.9999999994543</v>
      </c>
      <c r="DX14" s="52">
        <v>13266</v>
      </c>
      <c r="DY14" s="52">
        <v>8441.4</v>
      </c>
      <c r="DZ14" s="37">
        <f t="shared" si="34"/>
        <v>6939.23</v>
      </c>
      <c r="EA14" s="49">
        <v>30439</v>
      </c>
      <c r="EB14" s="49">
        <v>21.122</v>
      </c>
      <c r="EC14" s="37">
        <f t="shared" si="35"/>
        <v>24099.23</v>
      </c>
      <c r="ED14" s="53">
        <f t="shared" si="36"/>
        <v>35638.459999999453</v>
      </c>
      <c r="EE14" s="49">
        <v>45896</v>
      </c>
      <c r="EF14" s="49">
        <v>29.85</v>
      </c>
      <c r="EG14" s="37">
        <f t="shared" si="37"/>
        <v>28099.23</v>
      </c>
      <c r="EH14" s="52">
        <v>13257</v>
      </c>
      <c r="EI14" s="52">
        <v>1.8272999999999999</v>
      </c>
      <c r="EJ14" s="37">
        <f t="shared" si="38"/>
        <v>10939.23</v>
      </c>
      <c r="EK14" s="37">
        <v>807.37</v>
      </c>
      <c r="EL14" s="40">
        <v>1156.7</v>
      </c>
      <c r="EM14" s="37">
        <f t="shared" si="72"/>
        <v>879.99999999999545</v>
      </c>
      <c r="EN14" s="54">
        <f t="shared" si="73"/>
        <v>39918.459999999992</v>
      </c>
      <c r="EO14" s="48">
        <v>13130</v>
      </c>
      <c r="EP14" s="48">
        <v>4588.5</v>
      </c>
      <c r="EQ14" s="37">
        <f t="shared" si="74"/>
        <v>5984.2300000000159</v>
      </c>
      <c r="ER14" s="48">
        <v>9671.7000000000007</v>
      </c>
      <c r="ES14" s="48">
        <v>3742.8</v>
      </c>
      <c r="ET14" s="49">
        <f t="shared" si="39"/>
        <v>8300.0000000010914</v>
      </c>
      <c r="EU14" s="48">
        <v>3742.8</v>
      </c>
      <c r="EV14" s="48">
        <v>1330</v>
      </c>
      <c r="EW14" s="49">
        <f t="shared" si="40"/>
        <v>9339.2300000000905</v>
      </c>
      <c r="EX14" s="48">
        <v>13708</v>
      </c>
      <c r="EY14" s="48">
        <v>1.6014999999999999</v>
      </c>
      <c r="EZ14" s="37">
        <f t="shared" si="41"/>
        <v>10939.23</v>
      </c>
      <c r="FA14" s="48">
        <f t="shared" si="75"/>
        <v>-15753.690000001197</v>
      </c>
      <c r="FB14" s="48">
        <v>36911188</v>
      </c>
      <c r="FC14" s="49">
        <f t="shared" si="95"/>
        <v>18809</v>
      </c>
      <c r="FD14" s="48">
        <f t="shared" si="76"/>
        <v>36462.690000001057</v>
      </c>
      <c r="FE14" s="48">
        <v>17213</v>
      </c>
      <c r="FF14" s="48">
        <v>6122.7</v>
      </c>
      <c r="FG14" s="37">
        <f t="shared" si="77"/>
        <v>8909.2299999999832</v>
      </c>
      <c r="FH14" s="48">
        <v>9046.1</v>
      </c>
      <c r="FI14" s="48">
        <v>3.4933000000000001</v>
      </c>
      <c r="FJ14" s="49">
        <f t="shared" si="42"/>
        <v>14954.23</v>
      </c>
      <c r="FK14" s="48"/>
      <c r="FL14" s="58">
        <v>15</v>
      </c>
      <c r="FM14" s="48">
        <f t="shared" si="96"/>
        <v>60.770000000006497</v>
      </c>
      <c r="FN14" s="48">
        <v>16819</v>
      </c>
      <c r="FO14" s="48">
        <v>0.85980000000000001</v>
      </c>
      <c r="FP14" s="37">
        <f t="shared" si="78"/>
        <v>10954.23</v>
      </c>
      <c r="FQ14" s="48">
        <v>59478</v>
      </c>
      <c r="FR14" s="48">
        <v>14.398999999999999</v>
      </c>
      <c r="FS14" s="37">
        <f t="shared" si="43"/>
        <v>35000</v>
      </c>
      <c r="FT14" s="48">
        <f t="shared" si="79"/>
        <v>182.3100000000195</v>
      </c>
      <c r="FU14" s="48">
        <f t="shared" si="80"/>
        <v>34817.689999999988</v>
      </c>
      <c r="FV14" s="44">
        <v>4933900</v>
      </c>
      <c r="FW14" s="44">
        <v>1547000</v>
      </c>
      <c r="FX14" s="37">
        <f t="shared" si="44"/>
        <v>34000</v>
      </c>
      <c r="FY14" s="56">
        <v>3526.7</v>
      </c>
      <c r="FZ14" s="56">
        <v>2.1429</v>
      </c>
      <c r="GA14" s="37">
        <f t="shared" si="45"/>
        <v>8579.9999999996362</v>
      </c>
      <c r="GB14" s="56">
        <v>829.56</v>
      </c>
      <c r="GC14" s="56">
        <v>929.24</v>
      </c>
      <c r="GD14" s="37">
        <f t="shared" si="46"/>
        <v>939.99999999994088</v>
      </c>
      <c r="GE14" s="56">
        <v>10249</v>
      </c>
      <c r="GF14" s="56">
        <v>3.5196000000000001</v>
      </c>
      <c r="GG14" s="37">
        <f t="shared" si="47"/>
        <v>9100.0000000001364</v>
      </c>
      <c r="GH14" s="153">
        <v>1988.1</v>
      </c>
      <c r="GI14" s="162">
        <v>1701.3</v>
      </c>
      <c r="GJ14" s="38">
        <f t="shared" si="48"/>
        <v>1899.9999999998636</v>
      </c>
      <c r="GK14" s="162">
        <v>1489.1</v>
      </c>
      <c r="GL14" s="163">
        <v>1128.5</v>
      </c>
      <c r="GM14" s="38">
        <f t="shared" si="49"/>
        <v>0</v>
      </c>
      <c r="GN14" s="57">
        <v>208270</v>
      </c>
      <c r="GO14" s="57">
        <v>184490</v>
      </c>
      <c r="GP14" s="38">
        <f t="shared" si="99"/>
        <v>10</v>
      </c>
      <c r="GQ14" s="38">
        <v>274300</v>
      </c>
      <c r="GR14" s="38">
        <v>269270</v>
      </c>
      <c r="GS14" s="38">
        <f t="shared" si="81"/>
        <v>320</v>
      </c>
      <c r="GT14" s="178"/>
      <c r="GU14" s="144">
        <f>DailyJun!B13-DailyJun!N13-DailyJun!V13-DailyJun!Y13-DailyJun!Z13-DailyJun!AA13-DailyJun!AB13-DailyJun!AC13-DailyJun!AD13-DailyJun!AE13-DailyJun!AK13-DailyJun!AO13-DailyJun!AS13-DailyJun!AY13-DailyJun!BD13+DailyJun!BU13-DailyJun!BG13-DailyJun!BT13-DailyJun!AF13-DailyJun!AG13</f>
        <v>-4.9999993207165971E-2</v>
      </c>
      <c r="GV14" s="59">
        <v>-911.6</v>
      </c>
      <c r="GW14" s="60">
        <f t="shared" si="50"/>
        <v>-60.773333333333333</v>
      </c>
      <c r="GX14" s="61">
        <v>-60.77</v>
      </c>
      <c r="GY14" s="140"/>
      <c r="GZ14" s="62"/>
      <c r="HA14" s="62"/>
      <c r="HB14" s="74"/>
      <c r="HC14" s="62"/>
      <c r="HD14" s="74"/>
      <c r="HE14" s="24">
        <f t="shared" si="51"/>
        <v>0</v>
      </c>
      <c r="HG14" s="213">
        <v>8</v>
      </c>
      <c r="HH14" s="16">
        <v>12306</v>
      </c>
      <c r="HI14" s="16">
        <v>4745.8</v>
      </c>
      <c r="HJ14" s="16">
        <f t="shared" si="52"/>
        <v>150000</v>
      </c>
      <c r="HK14" s="16">
        <v>1.9189000000000001</v>
      </c>
      <c r="HL14" s="16">
        <v>660.93</v>
      </c>
      <c r="HM14" s="16">
        <f t="shared" si="53"/>
        <v>0</v>
      </c>
      <c r="HN14" s="16">
        <v>3198.4</v>
      </c>
      <c r="HO14" s="16">
        <v>1398.4</v>
      </c>
      <c r="HP14" s="16">
        <f t="shared" si="54"/>
        <v>34882.500000000182</v>
      </c>
      <c r="HQ14" s="16">
        <v>2689.9</v>
      </c>
      <c r="HR14" s="16">
        <v>1161.4000000000001</v>
      </c>
      <c r="HS14" s="16">
        <f t="shared" si="55"/>
        <v>24782.500000000273</v>
      </c>
      <c r="HT14" s="16">
        <v>2308.1</v>
      </c>
      <c r="HU14" s="16">
        <v>888.3</v>
      </c>
      <c r="HV14" s="16">
        <f t="shared" si="56"/>
        <v>26182.499999999909</v>
      </c>
      <c r="HW14" s="16">
        <v>1352.9</v>
      </c>
      <c r="HX14" s="16">
        <v>594.20000000000005</v>
      </c>
      <c r="HY14" s="16">
        <f t="shared" si="57"/>
        <v>24182.500000000138</v>
      </c>
      <c r="HZ14" s="16">
        <v>277000</v>
      </c>
      <c r="IA14" s="16">
        <v>141110</v>
      </c>
      <c r="IB14" s="16">
        <f t="shared" si="58"/>
        <v>20570</v>
      </c>
      <c r="IC14" s="16">
        <v>719.8</v>
      </c>
      <c r="ID14" s="16">
        <v>232.78</v>
      </c>
      <c r="IE14" s="16">
        <f t="shared" si="59"/>
        <v>0</v>
      </c>
      <c r="IF14" s="16"/>
      <c r="IG14" s="16"/>
      <c r="IH14" s="128">
        <f t="shared" si="60"/>
        <v>19400</v>
      </c>
      <c r="II14" s="211">
        <f t="shared" si="61"/>
        <v>-5.0204107537865639E-10</v>
      </c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G14" s="151">
        <f t="shared" si="62"/>
        <v>55452.49999999968</v>
      </c>
    </row>
    <row r="15" spans="1:293" x14ac:dyDescent="0.25">
      <c r="A15" s="215">
        <f t="shared" si="2"/>
        <v>9</v>
      </c>
      <c r="B15" s="38">
        <v>4536.58</v>
      </c>
      <c r="C15" s="38">
        <f t="shared" si="3"/>
        <v>10.789999999999964</v>
      </c>
      <c r="D15" s="38">
        <f t="shared" si="4"/>
        <v>345279.99999999884</v>
      </c>
      <c r="E15" s="38">
        <v>913.3</v>
      </c>
      <c r="F15" s="38">
        <f t="shared" si="5"/>
        <v>69759.999999998399</v>
      </c>
      <c r="G15" s="38">
        <f t="shared" si="6"/>
        <v>415039.99999999721</v>
      </c>
      <c r="H15" s="37"/>
      <c r="I15" s="39"/>
      <c r="J15" s="42"/>
      <c r="K15" s="37">
        <f>IF(J15&lt;=0,0,(J15/SQRT(J15^2+(I15-I14)^2)))</f>
        <v>0</v>
      </c>
      <c r="L15" s="40">
        <v>14076400</v>
      </c>
      <c r="M15" s="40"/>
      <c r="N15" s="37">
        <f t="shared" si="83"/>
        <v>410000</v>
      </c>
      <c r="O15" s="37">
        <v>11314.3</v>
      </c>
      <c r="P15" s="2"/>
      <c r="Q15" s="37">
        <f t="shared" si="7"/>
        <v>18199.999999998909</v>
      </c>
      <c r="R15" s="37">
        <f>IF(Q15&lt;=0,0,(Q15/SQRT(Q15^2+(P15-P14)^2)))</f>
        <v>1</v>
      </c>
      <c r="S15" s="37">
        <v>11240446.609999999</v>
      </c>
      <c r="T15" s="37">
        <f t="shared" si="8"/>
        <v>281.5599999986589</v>
      </c>
      <c r="U15" s="37">
        <v>1523790.61</v>
      </c>
      <c r="V15" s="37">
        <f t="shared" si="9"/>
        <v>0</v>
      </c>
      <c r="W15" s="37">
        <v>4048.6</v>
      </c>
      <c r="X15" s="37">
        <f t="shared" si="97"/>
        <v>17818.44000000025</v>
      </c>
      <c r="Y15" s="183"/>
      <c r="Z15" s="183"/>
      <c r="AA15" s="37">
        <v>788600</v>
      </c>
      <c r="AB15" s="37">
        <f t="shared" si="10"/>
        <v>100</v>
      </c>
      <c r="AC15" s="37">
        <v>4218.7</v>
      </c>
      <c r="AD15" s="37"/>
      <c r="AE15" s="37">
        <f t="shared" si="11"/>
        <v>5699.9999999998181</v>
      </c>
      <c r="AF15" s="37">
        <f>IF(AE15&lt;=0,0,(AE15/SQRT(AE15^2+(AD15-AD14)^2)))</f>
        <v>1</v>
      </c>
      <c r="AG15" s="37">
        <v>9185.9</v>
      </c>
      <c r="AH15" s="48"/>
      <c r="AI15" s="37">
        <f t="shared" si="12"/>
        <v>11257.57</v>
      </c>
      <c r="AJ15" s="37">
        <f t="shared" si="13"/>
        <v>1</v>
      </c>
      <c r="AK15" s="37">
        <f t="shared" si="14"/>
        <v>35057.569999998726</v>
      </c>
      <c r="AL15" s="2">
        <v>11040.1</v>
      </c>
      <c r="AM15" s="42"/>
      <c r="AN15" s="37">
        <f t="shared" si="63"/>
        <v>5897.5700000007</v>
      </c>
      <c r="AO15" s="37">
        <f>IF(AN15&lt;=0,0,(AN15/SQRT(AN15^2+(AM15-AM14)^2)))</f>
        <v>1</v>
      </c>
      <c r="AP15" s="37">
        <v>8589.7000000000007</v>
      </c>
      <c r="AQ15" s="37"/>
      <c r="AR15" s="37">
        <f t="shared" si="15"/>
        <v>12700.000000000728</v>
      </c>
      <c r="AS15" s="37">
        <f>IF(AR15&lt;=0,0,(AR15/SQRT(AR15^2+(AQ15-AQ14)^2)))</f>
        <v>1</v>
      </c>
      <c r="AT15" s="183"/>
      <c r="AU15" s="183"/>
      <c r="AV15" s="183"/>
      <c r="AW15" s="183"/>
      <c r="AX15" s="37">
        <v>490680</v>
      </c>
      <c r="AY15" s="37"/>
      <c r="AZ15" s="37">
        <f t="shared" si="16"/>
        <v>430</v>
      </c>
      <c r="BA15" s="37">
        <v>157580</v>
      </c>
      <c r="BB15" s="37"/>
      <c r="BC15" s="37">
        <f t="shared" si="17"/>
        <v>670</v>
      </c>
      <c r="BD15" s="37">
        <f t="shared" si="88"/>
        <v>19697.570000001426</v>
      </c>
      <c r="BE15" s="43">
        <v>1938.3</v>
      </c>
      <c r="BF15" s="43">
        <v>1071</v>
      </c>
      <c r="BG15" s="37">
        <f t="shared" si="18"/>
        <v>2099.9999999999091</v>
      </c>
      <c r="BH15" s="44">
        <v>9063.2000000000007</v>
      </c>
      <c r="BI15" s="44">
        <v>5833.6</v>
      </c>
      <c r="BJ15" s="37">
        <f t="shared" si="19"/>
        <v>8800.0000000010914</v>
      </c>
      <c r="BK15" s="40">
        <v>1631520</v>
      </c>
      <c r="BL15" s="40">
        <f t="shared" si="89"/>
        <v>4090</v>
      </c>
      <c r="BM15" s="40">
        <v>881.43</v>
      </c>
      <c r="BN15" s="37">
        <f t="shared" si="20"/>
        <v>669.99999999995907</v>
      </c>
      <c r="BO15" s="186"/>
      <c r="BP15" s="183">
        <f t="shared" si="21"/>
        <v>0</v>
      </c>
      <c r="BQ15" s="40">
        <v>832.7</v>
      </c>
      <c r="BR15" s="37">
        <f t="shared" si="64"/>
        <v>300.00000000006821</v>
      </c>
      <c r="BS15" s="37">
        <v>101782.06</v>
      </c>
      <c r="BT15" s="37">
        <f t="shared" si="22"/>
        <v>178.08000000000175</v>
      </c>
      <c r="BU15" s="42">
        <v>2850308</v>
      </c>
      <c r="BV15" s="42"/>
      <c r="BW15" s="37">
        <f t="shared" si="23"/>
        <v>7788</v>
      </c>
      <c r="BX15" s="37">
        <f>IF(BW15&lt;=0,0,(BW15/SQRT(BW15^2+(BV15-BV14)^2)))</f>
        <v>1</v>
      </c>
      <c r="BY15" s="43">
        <v>357.00279999999998</v>
      </c>
      <c r="BZ15" s="37"/>
      <c r="CA15" s="37">
        <f t="shared" si="24"/>
        <v>579.79999999997744</v>
      </c>
      <c r="CB15" s="37">
        <f t="shared" si="65"/>
        <v>1</v>
      </c>
      <c r="CC15" s="37">
        <v>668878.9</v>
      </c>
      <c r="CD15" s="37">
        <f t="shared" si="25"/>
        <v>991.5</v>
      </c>
      <c r="CE15" s="37">
        <v>1274385</v>
      </c>
      <c r="CF15" s="37">
        <f t="shared" si="26"/>
        <v>5673</v>
      </c>
      <c r="CG15" s="37">
        <v>72810.600000000006</v>
      </c>
      <c r="CH15" s="37">
        <f t="shared" si="66"/>
        <v>0</v>
      </c>
      <c r="CI15" s="40">
        <v>13046.42</v>
      </c>
      <c r="CJ15" s="40"/>
      <c r="CK15" s="37">
        <f t="shared" si="67"/>
        <v>16267.770000000168</v>
      </c>
      <c r="CL15" s="37">
        <f t="shared" si="27"/>
        <v>1</v>
      </c>
      <c r="CM15" s="37">
        <v>3664.0520000000001</v>
      </c>
      <c r="CN15" s="37"/>
      <c r="CO15" s="37">
        <f t="shared" si="28"/>
        <v>6195.5700000001016</v>
      </c>
      <c r="CP15" s="37">
        <f>IF(CO15&lt;=0,0,(CO15/SQRT(CO15^2+(CN15-CN14)^2)))</f>
        <v>1</v>
      </c>
      <c r="CQ15" s="39">
        <v>260908.9</v>
      </c>
      <c r="CR15" s="45"/>
      <c r="CS15" s="37">
        <f t="shared" si="68"/>
        <v>6785.57</v>
      </c>
      <c r="CT15" s="37">
        <f t="shared" si="69"/>
        <v>1</v>
      </c>
      <c r="CU15" s="37">
        <v>3622122</v>
      </c>
      <c r="CV15" s="37"/>
      <c r="CW15" s="38">
        <f t="shared" si="29"/>
        <v>16456</v>
      </c>
      <c r="CX15" s="37">
        <f t="shared" si="92"/>
        <v>1</v>
      </c>
      <c r="CY15" s="37">
        <v>1905459</v>
      </c>
      <c r="CZ15" s="37"/>
      <c r="DA15" s="37">
        <f t="shared" si="30"/>
        <v>8670</v>
      </c>
      <c r="DB15" s="37">
        <f>IF(DA15&lt;=0,0,(DA15/SQRT(DA15^2+(CZ15-CZ14)^2)))</f>
        <v>1</v>
      </c>
      <c r="DC15" s="37"/>
      <c r="DD15" s="40"/>
      <c r="DE15" s="37">
        <f t="shared" si="31"/>
        <v>0</v>
      </c>
      <c r="DF15" s="37">
        <f>IF(DE15&lt;=0,0,(DE15/SQRT(DE15^2+(DD15-DD14)^2)))</f>
        <v>0</v>
      </c>
      <c r="DG15" s="37">
        <f t="shared" si="32"/>
        <v>-62162.910000000265</v>
      </c>
      <c r="DH15" s="37">
        <f t="shared" si="33"/>
        <v>447157.56999999867</v>
      </c>
      <c r="DI15" s="46"/>
      <c r="DJ15" s="46"/>
      <c r="DK15" s="47"/>
      <c r="DL15" s="47"/>
      <c r="DM15" s="37"/>
      <c r="DN15" s="37"/>
      <c r="DO15" s="37"/>
      <c r="DP15" s="37"/>
      <c r="DQ15" s="50">
        <v>3610000</v>
      </c>
      <c r="DR15" s="49">
        <f t="shared" si="70"/>
        <v>8700</v>
      </c>
      <c r="DS15" s="50">
        <v>4076800</v>
      </c>
      <c r="DT15" s="49">
        <f t="shared" si="71"/>
        <v>19400</v>
      </c>
      <c r="DU15" s="52">
        <v>8055.6</v>
      </c>
      <c r="DV15" s="52">
        <v>4519.2</v>
      </c>
      <c r="DW15" s="37">
        <f t="shared" si="94"/>
        <v>2400.0000000005457</v>
      </c>
      <c r="DX15" s="52">
        <v>13268</v>
      </c>
      <c r="DY15" s="52">
        <v>8444.2000000000007</v>
      </c>
      <c r="DZ15" s="37">
        <f t="shared" si="34"/>
        <v>2257.5700000000002</v>
      </c>
      <c r="EA15" s="49">
        <v>30447</v>
      </c>
      <c r="EB15" s="49">
        <v>21.125</v>
      </c>
      <c r="EC15" s="37">
        <f t="shared" si="35"/>
        <v>10417.57</v>
      </c>
      <c r="ED15" s="53">
        <f t="shared" si="36"/>
        <v>15075.140000000545</v>
      </c>
      <c r="EE15" s="49">
        <v>45921</v>
      </c>
      <c r="EF15" s="49">
        <v>29.873999999999999</v>
      </c>
      <c r="EG15" s="37">
        <f t="shared" si="37"/>
        <v>27417.57</v>
      </c>
      <c r="EH15" s="52">
        <v>13267</v>
      </c>
      <c r="EI15" s="52">
        <v>1.8297000000000001</v>
      </c>
      <c r="EJ15" s="37">
        <f t="shared" si="38"/>
        <v>10257.57</v>
      </c>
      <c r="EK15" s="37">
        <v>808.21</v>
      </c>
      <c r="EL15" s="40">
        <v>1158</v>
      </c>
      <c r="EM15" s="37">
        <f t="shared" si="72"/>
        <v>840.00000000003183</v>
      </c>
      <c r="EN15" s="54">
        <f t="shared" si="73"/>
        <v>38515.140000000029</v>
      </c>
      <c r="EO15" s="48">
        <v>13137</v>
      </c>
      <c r="EP15" s="48">
        <v>4593.8999999999996</v>
      </c>
      <c r="EQ15" s="37">
        <f t="shared" si="74"/>
        <v>6327.5699999999924</v>
      </c>
      <c r="ER15" s="48">
        <v>9682.9</v>
      </c>
      <c r="ES15" s="48">
        <v>3979.5</v>
      </c>
      <c r="ET15" s="49">
        <f>IF((ER15-ER14)&lt;=0,0,(ER15-ER14))*1000</f>
        <v>11199.999999998909</v>
      </c>
      <c r="EU15" s="48">
        <v>3751.8</v>
      </c>
      <c r="EV15" s="48">
        <v>1333.2</v>
      </c>
      <c r="EW15" s="49">
        <f t="shared" si="40"/>
        <v>9257.57</v>
      </c>
      <c r="EX15" s="48">
        <v>13720</v>
      </c>
      <c r="EY15" s="48">
        <v>1.6042000000000001</v>
      </c>
      <c r="EZ15" s="37">
        <f t="shared" si="41"/>
        <v>12257.57</v>
      </c>
      <c r="FA15" s="48">
        <f t="shared" si="75"/>
        <v>-18667.7099999989</v>
      </c>
      <c r="FB15" s="48">
        <v>36931563</v>
      </c>
      <c r="FC15" s="49">
        <f>IF((FB15-FB14)&lt;=0,0,(FB15-FB14))</f>
        <v>20375</v>
      </c>
      <c r="FD15" s="48">
        <f t="shared" si="76"/>
        <v>40642.709999999039</v>
      </c>
      <c r="FE15" s="48">
        <v>17221</v>
      </c>
      <c r="FF15" s="48">
        <v>6124.8</v>
      </c>
      <c r="FG15" s="37">
        <f t="shared" si="77"/>
        <v>9044.2400000000071</v>
      </c>
      <c r="FH15" s="48">
        <v>9061.6</v>
      </c>
      <c r="FI15" s="48">
        <v>3.4994000000000001</v>
      </c>
      <c r="FJ15" s="49">
        <f t="shared" si="42"/>
        <v>15614.24</v>
      </c>
      <c r="FK15" s="48"/>
      <c r="FL15" s="58">
        <v>-143.33000000000001</v>
      </c>
      <c r="FM15" s="48">
        <f>FT15/3</f>
        <v>-257.57333333333492</v>
      </c>
      <c r="FN15" s="48">
        <v>16830</v>
      </c>
      <c r="FO15" s="48">
        <v>0.86170000000000002</v>
      </c>
      <c r="FP15" s="37">
        <f t="shared" si="78"/>
        <v>11114.24</v>
      </c>
      <c r="FQ15" s="48">
        <v>59513</v>
      </c>
      <c r="FR15" s="48">
        <v>14.409000000000001</v>
      </c>
      <c r="FS15" s="37">
        <f t="shared" si="43"/>
        <v>35000</v>
      </c>
      <c r="FT15" s="48">
        <f t="shared" si="79"/>
        <v>-772.7200000000048</v>
      </c>
      <c r="FU15" s="48">
        <f t="shared" si="80"/>
        <v>35772.720000000008</v>
      </c>
      <c r="FV15" s="44">
        <v>4965800</v>
      </c>
      <c r="FW15" s="44">
        <v>1554600</v>
      </c>
      <c r="FX15" s="37">
        <f t="shared" si="44"/>
        <v>31900</v>
      </c>
      <c r="FY15" s="56">
        <v>3534.3</v>
      </c>
      <c r="FZ15" s="56">
        <v>2.1452</v>
      </c>
      <c r="GA15" s="37">
        <f t="shared" si="45"/>
        <v>7300.0000000003638</v>
      </c>
      <c r="GB15" s="56">
        <v>830.47</v>
      </c>
      <c r="GC15" s="56">
        <v>930.29</v>
      </c>
      <c r="GD15" s="37">
        <f t="shared" si="46"/>
        <v>910.00000000008185</v>
      </c>
      <c r="GE15" s="56">
        <v>10259</v>
      </c>
      <c r="GF15" s="56">
        <v>3.5266999999999999</v>
      </c>
      <c r="GG15" s="37">
        <f t="shared" si="47"/>
        <v>8399.9999999998636</v>
      </c>
      <c r="GH15" s="153">
        <v>1989.7</v>
      </c>
      <c r="GI15" s="162">
        <v>1702.8</v>
      </c>
      <c r="GJ15" s="38">
        <f t="shared" si="48"/>
        <v>1600.0000000001364</v>
      </c>
      <c r="GK15" s="162">
        <v>1489.1</v>
      </c>
      <c r="GL15" s="163">
        <v>1128.5</v>
      </c>
      <c r="GM15" s="38">
        <f t="shared" si="49"/>
        <v>0</v>
      </c>
      <c r="GN15" s="57">
        <v>208270</v>
      </c>
      <c r="GO15" s="57">
        <v>184430</v>
      </c>
      <c r="GP15" s="38">
        <f t="shared" si="99"/>
        <v>0</v>
      </c>
      <c r="GQ15" s="38">
        <v>274600</v>
      </c>
      <c r="GR15" s="38">
        <v>269480</v>
      </c>
      <c r="GS15" s="38">
        <f t="shared" si="81"/>
        <v>300</v>
      </c>
      <c r="GT15" s="178"/>
      <c r="GU15" s="144">
        <f>DailyJun!B14-DailyJun!N14-DailyJun!V14-DailyJun!Y14-DailyJun!Z14-DailyJun!AA14-DailyJun!AB14-DailyJun!AC14-DailyJun!AD14-DailyJun!AE14-DailyJun!AK14-DailyJun!AO14-DailyJun!AS14-DailyJun!AY14-DailyJun!BD14+DailyJun!BU14-DailyJun!BG14-DailyJun!BT14-DailyJun!AF14-DailyJun!AG14</f>
        <v>-6.0000004014000297E-2</v>
      </c>
      <c r="GV15" s="59">
        <v>3863.49</v>
      </c>
      <c r="GW15" s="60">
        <f t="shared" si="50"/>
        <v>257.56599999999997</v>
      </c>
      <c r="GX15" s="61">
        <v>257.57</v>
      </c>
      <c r="GY15" s="140"/>
      <c r="GZ15" s="62"/>
      <c r="HA15" s="62"/>
      <c r="HB15" s="142"/>
      <c r="HC15" s="62"/>
      <c r="HD15" s="74"/>
      <c r="HE15" s="24">
        <f t="shared" si="51"/>
        <v>0</v>
      </c>
      <c r="HF15" s="151"/>
      <c r="HG15" s="213">
        <v>9</v>
      </c>
      <c r="HH15" s="16">
        <v>12463</v>
      </c>
      <c r="HI15" s="16">
        <v>4804.3999999999996</v>
      </c>
      <c r="HJ15" s="16">
        <f t="shared" si="52"/>
        <v>157000</v>
      </c>
      <c r="HK15" s="16">
        <v>1.9189000000000001</v>
      </c>
      <c r="HL15" s="16">
        <v>660.93</v>
      </c>
      <c r="HM15" s="16">
        <f>IF((HK15-HK14)&lt;=0,0,(HK15-HK14))</f>
        <v>0</v>
      </c>
      <c r="HN15" s="16">
        <v>3237.1</v>
      </c>
      <c r="HO15" s="16">
        <v>1415.1</v>
      </c>
      <c r="HP15" s="16">
        <f t="shared" si="54"/>
        <v>38957.499999999818</v>
      </c>
      <c r="HQ15" s="16">
        <v>2716.9</v>
      </c>
      <c r="HR15" s="16">
        <v>1172.5</v>
      </c>
      <c r="HS15" s="16">
        <f t="shared" si="55"/>
        <v>27257.5</v>
      </c>
      <c r="HT15" s="16">
        <v>2335.4</v>
      </c>
      <c r="HU15" s="16">
        <v>897.18</v>
      </c>
      <c r="HV15" s="16">
        <f t="shared" si="56"/>
        <v>27557.500000000182</v>
      </c>
      <c r="HW15" s="16">
        <v>1373</v>
      </c>
      <c r="HX15" s="16">
        <v>602.89</v>
      </c>
      <c r="HY15" s="16">
        <f t="shared" si="57"/>
        <v>20357.499999999909</v>
      </c>
      <c r="HZ15" s="16">
        <v>300470</v>
      </c>
      <c r="IA15" s="16">
        <v>151440</v>
      </c>
      <c r="IB15" s="16">
        <f t="shared" si="58"/>
        <v>23470</v>
      </c>
      <c r="IC15" s="16">
        <v>719.8</v>
      </c>
      <c r="ID15" s="16">
        <v>232.78</v>
      </c>
      <c r="IE15" s="16">
        <f t="shared" si="59"/>
        <v>0</v>
      </c>
      <c r="IF15" s="16"/>
      <c r="IG15" s="16"/>
      <c r="IH15" s="128">
        <f t="shared" si="60"/>
        <v>19400</v>
      </c>
      <c r="II15" s="211">
        <f t="shared" si="61"/>
        <v>9.4587448984384537E-11</v>
      </c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G15" s="151">
        <f t="shared" si="62"/>
        <v>62427.499999999913</v>
      </c>
    </row>
    <row r="16" spans="1:293" x14ac:dyDescent="0.25">
      <c r="A16" s="35">
        <f t="shared" si="2"/>
        <v>10</v>
      </c>
      <c r="B16" s="38">
        <v>4546.95</v>
      </c>
      <c r="C16" s="38">
        <f t="shared" si="3"/>
        <v>10.369999999999891</v>
      </c>
      <c r="D16" s="38">
        <f t="shared" si="4"/>
        <v>331839.99999999651</v>
      </c>
      <c r="E16" s="38">
        <v>915.48</v>
      </c>
      <c r="F16" s="38">
        <f t="shared" si="5"/>
        <v>69760.000000002037</v>
      </c>
      <c r="G16" s="38">
        <f t="shared" si="6"/>
        <v>401599.99999999854</v>
      </c>
      <c r="H16" s="37"/>
      <c r="I16" s="39"/>
      <c r="J16" s="42"/>
      <c r="K16" s="37">
        <f t="shared" si="82"/>
        <v>0</v>
      </c>
      <c r="L16" s="40">
        <v>14116000</v>
      </c>
      <c r="M16" s="40"/>
      <c r="N16" s="37">
        <f t="shared" si="83"/>
        <v>396000</v>
      </c>
      <c r="O16" s="37">
        <v>11332</v>
      </c>
      <c r="P16" s="48"/>
      <c r="Q16" s="37">
        <f t="shared" si="7"/>
        <v>17700.000000000728</v>
      </c>
      <c r="R16" s="37">
        <f t="shared" si="84"/>
        <v>1</v>
      </c>
      <c r="S16" s="37">
        <v>11240779.6</v>
      </c>
      <c r="T16" s="37">
        <f t="shared" si="8"/>
        <v>332.99000000022352</v>
      </c>
      <c r="U16" s="37">
        <v>1523790.61</v>
      </c>
      <c r="V16" s="37">
        <f t="shared" si="9"/>
        <v>0</v>
      </c>
      <c r="W16" s="37">
        <v>4055.1</v>
      </c>
      <c r="X16" s="37">
        <f t="shared" si="97"/>
        <v>17367.010000000504</v>
      </c>
      <c r="Y16" s="183"/>
      <c r="Z16" s="183"/>
      <c r="AA16" s="37">
        <v>788600</v>
      </c>
      <c r="AB16" s="37">
        <f t="shared" si="10"/>
        <v>0</v>
      </c>
      <c r="AC16" s="37">
        <v>4224</v>
      </c>
      <c r="AD16" s="37"/>
      <c r="AE16" s="37">
        <f t="shared" si="11"/>
        <v>5300.0000000001819</v>
      </c>
      <c r="AF16" s="37">
        <f t="shared" si="85"/>
        <v>1</v>
      </c>
      <c r="AG16" s="37">
        <v>9198.2999999999993</v>
      </c>
      <c r="AH16" s="37"/>
      <c r="AI16" s="37">
        <f t="shared" si="12"/>
        <v>12428.809999999636</v>
      </c>
      <c r="AJ16" s="37">
        <f t="shared" si="13"/>
        <v>1</v>
      </c>
      <c r="AK16" s="37">
        <f t="shared" si="14"/>
        <v>35428.810000000543</v>
      </c>
      <c r="AL16" s="42">
        <v>11051.4</v>
      </c>
      <c r="AM16" s="42"/>
      <c r="AN16" s="37">
        <f t="shared" si="63"/>
        <v>5828.8099999992764</v>
      </c>
      <c r="AO16" s="37">
        <f t="shared" si="86"/>
        <v>1</v>
      </c>
      <c r="AP16" s="37">
        <v>8598.9</v>
      </c>
      <c r="AQ16" s="37"/>
      <c r="AR16" s="37">
        <f t="shared" si="15"/>
        <v>9199.9999999989086</v>
      </c>
      <c r="AS16" s="37">
        <f t="shared" si="87"/>
        <v>1</v>
      </c>
      <c r="AT16" s="183"/>
      <c r="AU16" s="183"/>
      <c r="AV16" s="183"/>
      <c r="AW16" s="183"/>
      <c r="AX16" s="37">
        <v>491110</v>
      </c>
      <c r="AY16" s="37"/>
      <c r="AZ16" s="37">
        <f t="shared" si="16"/>
        <v>430</v>
      </c>
      <c r="BA16" s="37">
        <v>158220</v>
      </c>
      <c r="BB16" s="37"/>
      <c r="BC16" s="37">
        <f t="shared" si="17"/>
        <v>640</v>
      </c>
      <c r="BD16" s="37">
        <f t="shared" si="88"/>
        <v>16098.809999998186</v>
      </c>
      <c r="BE16" s="43">
        <v>1940.3</v>
      </c>
      <c r="BF16" s="43">
        <v>1072.2</v>
      </c>
      <c r="BG16" s="37">
        <f t="shared" si="18"/>
        <v>2000</v>
      </c>
      <c r="BH16" s="44">
        <v>9072</v>
      </c>
      <c r="BI16" s="44">
        <v>5839.6</v>
      </c>
      <c r="BJ16" s="37">
        <f t="shared" si="19"/>
        <v>8799.9999999992724</v>
      </c>
      <c r="BK16" s="40">
        <v>1635640</v>
      </c>
      <c r="BL16" s="40">
        <f t="shared" si="89"/>
        <v>4120</v>
      </c>
      <c r="BM16" s="40">
        <v>882.11</v>
      </c>
      <c r="BN16" s="37">
        <f t="shared" si="20"/>
        <v>680.00000000006366</v>
      </c>
      <c r="BO16" s="186"/>
      <c r="BP16" s="183">
        <f t="shared" si="21"/>
        <v>0</v>
      </c>
      <c r="BQ16" s="40">
        <v>833.4</v>
      </c>
      <c r="BR16" s="37">
        <f t="shared" si="64"/>
        <v>699.99999999993179</v>
      </c>
      <c r="BS16" s="37">
        <v>101959.74</v>
      </c>
      <c r="BT16" s="37">
        <f t="shared" si="22"/>
        <v>177.68000000000757</v>
      </c>
      <c r="BU16" s="42">
        <v>2856796</v>
      </c>
      <c r="BV16" s="42"/>
      <c r="BW16" s="37">
        <f t="shared" si="23"/>
        <v>6488</v>
      </c>
      <c r="BX16" s="37">
        <f t="shared" si="90"/>
        <v>1</v>
      </c>
      <c r="BY16" s="43">
        <v>357.57369999999997</v>
      </c>
      <c r="BZ16" s="37"/>
      <c r="CA16" s="37">
        <f t="shared" si="24"/>
        <v>570.89999999999463</v>
      </c>
      <c r="CB16" s="37">
        <f t="shared" si="65"/>
        <v>1</v>
      </c>
      <c r="CC16" s="37">
        <v>668878.9</v>
      </c>
      <c r="CD16" s="37">
        <f t="shared" si="25"/>
        <v>0</v>
      </c>
      <c r="CE16" s="37">
        <v>1279837</v>
      </c>
      <c r="CF16" s="37">
        <f t="shared" si="26"/>
        <v>5452</v>
      </c>
      <c r="CG16" s="37">
        <v>72810.600000000006</v>
      </c>
      <c r="CH16" s="37">
        <f t="shared" si="66"/>
        <v>0</v>
      </c>
      <c r="CI16" s="40">
        <v>13062.7</v>
      </c>
      <c r="CJ16" s="40"/>
      <c r="CK16" s="37">
        <f t="shared" si="67"/>
        <v>15737.91000000066</v>
      </c>
      <c r="CL16" s="37">
        <f t="shared" si="27"/>
        <v>1</v>
      </c>
      <c r="CM16" s="37">
        <v>3670.2890000000002</v>
      </c>
      <c r="CN16" s="37"/>
      <c r="CO16" s="37">
        <f t="shared" si="28"/>
        <v>6265.8100000000804</v>
      </c>
      <c r="CP16" s="37">
        <f t="shared" si="91"/>
        <v>1</v>
      </c>
      <c r="CQ16" s="39">
        <v>267458.7</v>
      </c>
      <c r="CR16" s="45"/>
      <c r="CS16" s="37">
        <f t="shared" si="68"/>
        <v>6578.6100000000179</v>
      </c>
      <c r="CT16" s="37">
        <f t="shared" si="69"/>
        <v>1</v>
      </c>
      <c r="CU16" s="37">
        <v>3642015</v>
      </c>
      <c r="CV16" s="37"/>
      <c r="CW16" s="38">
        <f t="shared" si="29"/>
        <v>19893</v>
      </c>
      <c r="CX16" s="37">
        <f t="shared" si="92"/>
        <v>1</v>
      </c>
      <c r="CY16" s="37">
        <v>1915755</v>
      </c>
      <c r="CZ16" s="37"/>
      <c r="DA16" s="37">
        <f t="shared" si="30"/>
        <v>10296</v>
      </c>
      <c r="DB16" s="37">
        <f t="shared" si="93"/>
        <v>1</v>
      </c>
      <c r="DC16" s="37"/>
      <c r="DD16" s="40"/>
      <c r="DE16" s="37">
        <f t="shared" si="31"/>
        <v>0</v>
      </c>
      <c r="DF16" s="37">
        <f t="shared" si="98"/>
        <v>0</v>
      </c>
      <c r="DG16" s="37">
        <f t="shared" si="32"/>
        <v>-65259.330000000751</v>
      </c>
      <c r="DH16" s="37">
        <f t="shared" si="33"/>
        <v>433428.81000000052</v>
      </c>
      <c r="DI16" s="46"/>
      <c r="DJ16" s="46"/>
      <c r="DK16" s="47"/>
      <c r="DL16" s="47"/>
      <c r="DM16" s="37"/>
      <c r="DN16" s="37"/>
      <c r="DO16" s="37"/>
      <c r="DP16" s="37"/>
      <c r="DQ16" s="50">
        <v>3621300</v>
      </c>
      <c r="DR16" s="49">
        <f t="shared" si="70"/>
        <v>11300</v>
      </c>
      <c r="DS16" s="50">
        <v>4094800</v>
      </c>
      <c r="DT16" s="49">
        <f t="shared" si="71"/>
        <v>18000</v>
      </c>
      <c r="DU16" s="52">
        <v>8060.2</v>
      </c>
      <c r="DV16" s="52">
        <v>4522.1000000000004</v>
      </c>
      <c r="DW16" s="37">
        <f t="shared" si="94"/>
        <v>4599.9999999994543</v>
      </c>
      <c r="DX16" s="52">
        <v>13276</v>
      </c>
      <c r="DY16" s="52">
        <v>8446.2999999999993</v>
      </c>
      <c r="DZ16" s="37">
        <f t="shared" si="34"/>
        <v>8028.81</v>
      </c>
      <c r="EA16" s="49">
        <v>30468</v>
      </c>
      <c r="EB16" s="49">
        <v>21.137</v>
      </c>
      <c r="EC16" s="37">
        <f t="shared" si="35"/>
        <v>23188.81</v>
      </c>
      <c r="ED16" s="53">
        <f t="shared" si="36"/>
        <v>35817.619999999457</v>
      </c>
      <c r="EE16" s="49">
        <v>45940</v>
      </c>
      <c r="EF16" s="49">
        <v>29.891999999999999</v>
      </c>
      <c r="EG16" s="37">
        <f t="shared" si="37"/>
        <v>21188.81</v>
      </c>
      <c r="EH16" s="52">
        <v>13279</v>
      </c>
      <c r="EI16" s="52">
        <v>1.8325</v>
      </c>
      <c r="EJ16" s="37">
        <f t="shared" si="38"/>
        <v>12028.81</v>
      </c>
      <c r="EK16" s="37">
        <v>808.98</v>
      </c>
      <c r="EL16" s="40">
        <v>1159</v>
      </c>
      <c r="EM16" s="37">
        <f t="shared" si="72"/>
        <v>769.99999999998181</v>
      </c>
      <c r="EN16" s="54">
        <f t="shared" si="73"/>
        <v>33987.619999999981</v>
      </c>
      <c r="EO16" s="48">
        <v>13144</v>
      </c>
      <c r="EP16" s="48">
        <v>4596.6000000000004</v>
      </c>
      <c r="EQ16" s="37">
        <f t="shared" si="74"/>
        <v>6128.8099999999667</v>
      </c>
      <c r="ER16" s="48">
        <v>9693.9</v>
      </c>
      <c r="ES16" s="48">
        <v>3984.7</v>
      </c>
      <c r="ET16" s="49">
        <f t="shared" ref="ET16:ET38" si="100">IF((ER16-ER15)&lt;=0,0,(ER16-ER15))*1000</f>
        <v>11000</v>
      </c>
      <c r="EU16" s="48">
        <v>3759.9</v>
      </c>
      <c r="EV16" s="48">
        <v>1336</v>
      </c>
      <c r="EW16" s="49">
        <f t="shared" si="40"/>
        <v>8128.8099999999095</v>
      </c>
      <c r="EX16" s="48">
        <v>13732</v>
      </c>
      <c r="EY16" s="48">
        <v>1.6068</v>
      </c>
      <c r="EZ16" s="37">
        <f t="shared" si="41"/>
        <v>12028.81</v>
      </c>
      <c r="FA16" s="48">
        <f t="shared" si="75"/>
        <v>-17995.429999999877</v>
      </c>
      <c r="FB16" s="48">
        <v>36950854</v>
      </c>
      <c r="FC16" s="49">
        <f t="shared" si="95"/>
        <v>19291</v>
      </c>
      <c r="FD16" s="48">
        <f t="shared" si="76"/>
        <v>39086.429999999833</v>
      </c>
      <c r="FE16" s="48">
        <v>17229</v>
      </c>
      <c r="FF16" s="48">
        <v>6127.2</v>
      </c>
      <c r="FG16" s="37">
        <f t="shared" si="77"/>
        <v>8928.8100000000341</v>
      </c>
      <c r="FH16" s="48">
        <v>9075.7000000000007</v>
      </c>
      <c r="FI16" s="48">
        <v>3.5049000000000001</v>
      </c>
      <c r="FJ16" s="49">
        <f t="shared" si="42"/>
        <v>14128.810000000363</v>
      </c>
      <c r="FK16" s="48"/>
      <c r="FL16" s="58">
        <v>0</v>
      </c>
      <c r="FM16" s="48">
        <f t="shared" si="96"/>
        <v>-28.810000000132277</v>
      </c>
      <c r="FN16" s="48">
        <v>16840</v>
      </c>
      <c r="FO16" s="48">
        <v>0.86360000000000003</v>
      </c>
      <c r="FP16" s="37">
        <f t="shared" si="78"/>
        <v>10028.81</v>
      </c>
      <c r="FQ16" s="48">
        <v>59546</v>
      </c>
      <c r="FR16" s="48">
        <v>14.417999999999999</v>
      </c>
      <c r="FS16" s="37">
        <f t="shared" si="43"/>
        <v>33000</v>
      </c>
      <c r="FT16" s="48">
        <f t="shared" si="79"/>
        <v>-86.430000000396831</v>
      </c>
      <c r="FU16" s="48">
        <f t="shared" si="80"/>
        <v>33186.430000000531</v>
      </c>
      <c r="FV16" s="44">
        <v>4997200</v>
      </c>
      <c r="FW16" s="44">
        <v>1562200</v>
      </c>
      <c r="FX16" s="37">
        <f t="shared" si="44"/>
        <v>31400</v>
      </c>
      <c r="FY16" s="56">
        <v>3542.4</v>
      </c>
      <c r="FZ16" s="56">
        <v>2.1465000000000001</v>
      </c>
      <c r="GA16" s="37">
        <f t="shared" si="45"/>
        <v>7779.9999999999091</v>
      </c>
      <c r="GB16" s="56">
        <v>831.3</v>
      </c>
      <c r="GC16" s="56">
        <v>931.28</v>
      </c>
      <c r="GD16" s="37">
        <f t="shared" si="46"/>
        <v>829.99999999992724</v>
      </c>
      <c r="GE16" s="56">
        <v>10269</v>
      </c>
      <c r="GF16" s="56">
        <v>3.5337000000000001</v>
      </c>
      <c r="GG16" s="37">
        <f t="shared" si="47"/>
        <v>8099.9999999999091</v>
      </c>
      <c r="GH16" s="153">
        <v>1991.5</v>
      </c>
      <c r="GI16" s="162">
        <v>1704.4</v>
      </c>
      <c r="GJ16" s="38">
        <f t="shared" si="48"/>
        <v>1799.9999999999545</v>
      </c>
      <c r="GK16" s="162">
        <v>1489.2</v>
      </c>
      <c r="GL16" s="163">
        <v>1128.5</v>
      </c>
      <c r="GM16" s="38">
        <f t="shared" si="49"/>
        <v>100.00000000013642</v>
      </c>
      <c r="GN16" s="57">
        <v>208270</v>
      </c>
      <c r="GO16" s="57">
        <v>184500</v>
      </c>
      <c r="GP16" s="38">
        <f t="shared" si="99"/>
        <v>0</v>
      </c>
      <c r="GQ16" s="38">
        <v>274920</v>
      </c>
      <c r="GR16" s="38">
        <v>269700</v>
      </c>
      <c r="GS16" s="38">
        <f t="shared" si="81"/>
        <v>320</v>
      </c>
      <c r="GT16" s="178"/>
      <c r="GU16" s="144">
        <f>DailyJun!B15-DailyJun!N15-DailyJun!V15-DailyJun!Y15-DailyJun!Z15-DailyJun!AA15-DailyJun!AB15-DailyJun!AC15-DailyJun!AD15-DailyJun!AE15-DailyJun!AK15-DailyJun!AO15-DailyJun!AS15-DailyJun!AY15-DailyJun!BD15+DailyJun!BU15-DailyJun!BG15-DailyJun!BT15-DailyJun!AF15-DailyJun!AG15</f>
        <v>5.0000000192085281E-2</v>
      </c>
      <c r="GV16" s="59">
        <v>432.2</v>
      </c>
      <c r="GW16" s="60">
        <f t="shared" si="50"/>
        <v>28.813333333333333</v>
      </c>
      <c r="GX16" s="61">
        <v>28.81</v>
      </c>
      <c r="GY16" s="140"/>
      <c r="GZ16" s="62"/>
      <c r="HA16" s="62"/>
      <c r="HB16" s="74"/>
      <c r="HC16" s="62"/>
      <c r="HD16" s="74"/>
      <c r="HE16" s="24">
        <f t="shared" si="51"/>
        <v>0</v>
      </c>
      <c r="HF16" s="151"/>
      <c r="HG16" s="213">
        <v>10</v>
      </c>
      <c r="HH16" s="16">
        <v>12608</v>
      </c>
      <c r="HI16" s="16">
        <v>4858.1000000000004</v>
      </c>
      <c r="HJ16" s="16">
        <f t="shared" si="52"/>
        <v>145000</v>
      </c>
      <c r="HK16" s="16">
        <v>1.9189000000000001</v>
      </c>
      <c r="HL16" s="16">
        <v>660.93</v>
      </c>
      <c r="HM16" s="16">
        <f t="shared" ref="HM16:HM38" si="101">IF((HK16-HK15)&lt;=0,0,(HK16-HK15))</f>
        <v>0</v>
      </c>
      <c r="HN16" s="16">
        <v>3272.5</v>
      </c>
      <c r="HO16" s="16">
        <v>1429</v>
      </c>
      <c r="HP16" s="16">
        <f t="shared" si="54"/>
        <v>36077.500000000087</v>
      </c>
      <c r="HQ16" s="16">
        <v>2742.5</v>
      </c>
      <c r="HR16" s="16">
        <v>1182</v>
      </c>
      <c r="HS16" s="16">
        <f t="shared" si="55"/>
        <v>26277.499999999909</v>
      </c>
      <c r="HT16" s="16">
        <v>2363.4</v>
      </c>
      <c r="HU16" s="16">
        <v>906.39</v>
      </c>
      <c r="HV16" s="16">
        <f t="shared" si="56"/>
        <v>28677.5</v>
      </c>
      <c r="HW16" s="16">
        <v>1384.1</v>
      </c>
      <c r="HX16" s="16">
        <v>608.22</v>
      </c>
      <c r="HY16" s="16">
        <f t="shared" si="57"/>
        <v>11777.499999999909</v>
      </c>
      <c r="HZ16" s="16">
        <v>324660</v>
      </c>
      <c r="IA16" s="16">
        <v>161880</v>
      </c>
      <c r="IB16" s="16">
        <f t="shared" si="58"/>
        <v>24190</v>
      </c>
      <c r="IC16" s="16">
        <v>719.8</v>
      </c>
      <c r="ID16" s="16">
        <v>232.78</v>
      </c>
      <c r="IE16" s="16">
        <f t="shared" si="59"/>
        <v>0</v>
      </c>
      <c r="IF16" s="16"/>
      <c r="IG16" s="16"/>
      <c r="IH16" s="128">
        <f t="shared" si="60"/>
        <v>18000</v>
      </c>
      <c r="II16" s="211">
        <f t="shared" si="61"/>
        <v>8.7311491370201111E-11</v>
      </c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G16" s="151">
        <f t="shared" si="62"/>
        <v>60267.500000000175</v>
      </c>
    </row>
    <row r="17" spans="1:293" x14ac:dyDescent="0.25">
      <c r="A17" s="35">
        <f t="shared" si="2"/>
        <v>11</v>
      </c>
      <c r="B17" s="38">
        <v>4557.8100000000004</v>
      </c>
      <c r="C17" s="38">
        <f t="shared" si="3"/>
        <v>10.860000000000582</v>
      </c>
      <c r="D17" s="38">
        <f t="shared" si="4"/>
        <v>347520.00000001863</v>
      </c>
      <c r="E17" s="38">
        <v>917.64</v>
      </c>
      <c r="F17" s="38">
        <f t="shared" si="5"/>
        <v>69119.999999998981</v>
      </c>
      <c r="G17" s="38">
        <f t="shared" si="6"/>
        <v>416640.00000001758</v>
      </c>
      <c r="H17" s="37"/>
      <c r="I17" s="39"/>
      <c r="J17" s="42"/>
      <c r="K17" s="37">
        <f t="shared" si="82"/>
        <v>0</v>
      </c>
      <c r="L17" s="40">
        <v>14157800</v>
      </c>
      <c r="M17" s="40"/>
      <c r="N17" s="37">
        <f t="shared" si="83"/>
        <v>418000</v>
      </c>
      <c r="O17" s="37">
        <v>11349.8</v>
      </c>
      <c r="P17" s="37"/>
      <c r="Q17" s="37">
        <f t="shared" si="7"/>
        <v>17799.999999999272</v>
      </c>
      <c r="R17" s="37">
        <f t="shared" si="84"/>
        <v>1</v>
      </c>
      <c r="S17" s="37">
        <v>11241170.800000001</v>
      </c>
      <c r="T17" s="37">
        <f t="shared" si="8"/>
        <v>391.20000000111759</v>
      </c>
      <c r="U17" s="37">
        <v>1523790.61</v>
      </c>
      <c r="V17" s="37">
        <f>IF((U17-U16)&lt;=0,0,(U17-U16))</f>
        <v>0</v>
      </c>
      <c r="W17" s="37">
        <v>4061.8</v>
      </c>
      <c r="X17" s="37">
        <f t="shared" si="97"/>
        <v>17308.799999998155</v>
      </c>
      <c r="Y17" s="183"/>
      <c r="Z17" s="183"/>
      <c r="AA17" s="37">
        <v>788700</v>
      </c>
      <c r="AB17" s="37">
        <f t="shared" si="10"/>
        <v>100</v>
      </c>
      <c r="AC17" s="37">
        <v>4229.7</v>
      </c>
      <c r="AD17" s="37"/>
      <c r="AE17" s="37">
        <f t="shared" si="11"/>
        <v>5699.9999999998181</v>
      </c>
      <c r="AF17" s="37">
        <f t="shared" si="85"/>
        <v>1</v>
      </c>
      <c r="AG17" s="37">
        <v>9212.6</v>
      </c>
      <c r="AH17" s="37"/>
      <c r="AI17" s="37">
        <f t="shared" si="12"/>
        <v>15224.460000001091</v>
      </c>
      <c r="AJ17" s="37">
        <f t="shared" si="13"/>
        <v>1</v>
      </c>
      <c r="AK17" s="37">
        <f t="shared" si="14"/>
        <v>38624.460000000181</v>
      </c>
      <c r="AL17" s="2">
        <v>11063.2</v>
      </c>
      <c r="AM17" s="42"/>
      <c r="AN17" s="37">
        <f t="shared" si="63"/>
        <v>6994.4600000010814</v>
      </c>
      <c r="AO17" s="37">
        <f t="shared" si="86"/>
        <v>1</v>
      </c>
      <c r="AP17" s="37">
        <v>8608.7999999999993</v>
      </c>
      <c r="AQ17" s="37"/>
      <c r="AR17" s="37">
        <f t="shared" si="15"/>
        <v>9899.9999999996362</v>
      </c>
      <c r="AS17" s="37">
        <f t="shared" si="87"/>
        <v>1</v>
      </c>
      <c r="AT17" s="183"/>
      <c r="AU17" s="183"/>
      <c r="AV17" s="183"/>
      <c r="AW17" s="183"/>
      <c r="AX17" s="37">
        <v>491560</v>
      </c>
      <c r="AY17" s="37"/>
      <c r="AZ17" s="37">
        <f t="shared" si="16"/>
        <v>450</v>
      </c>
      <c r="BA17" s="37">
        <v>158500</v>
      </c>
      <c r="BB17" s="37"/>
      <c r="BC17" s="37">
        <f t="shared" si="17"/>
        <v>280</v>
      </c>
      <c r="BD17" s="37">
        <f t="shared" si="88"/>
        <v>17624.460000000719</v>
      </c>
      <c r="BE17" s="43">
        <v>1941.9</v>
      </c>
      <c r="BF17" s="43">
        <v>1073.3</v>
      </c>
      <c r="BG17" s="37">
        <f t="shared" si="18"/>
        <v>1600.0000000001364</v>
      </c>
      <c r="BH17" s="44">
        <v>9081.2999999999993</v>
      </c>
      <c r="BI17" s="44">
        <v>5845.8</v>
      </c>
      <c r="BJ17" s="37">
        <f t="shared" si="19"/>
        <v>9299.9999999992724</v>
      </c>
      <c r="BK17" s="40">
        <v>1639880</v>
      </c>
      <c r="BL17" s="40">
        <f t="shared" si="89"/>
        <v>4240</v>
      </c>
      <c r="BM17" s="40">
        <v>882.8</v>
      </c>
      <c r="BN17" s="37">
        <f t="shared" si="20"/>
        <v>689.99999999994088</v>
      </c>
      <c r="BO17" s="186"/>
      <c r="BP17" s="183">
        <f t="shared" si="21"/>
        <v>0</v>
      </c>
      <c r="BQ17" s="40">
        <v>834.2</v>
      </c>
      <c r="BR17" s="37">
        <f t="shared" si="64"/>
        <v>800.00000000006821</v>
      </c>
      <c r="BS17" s="37">
        <v>102163.61</v>
      </c>
      <c r="BT17" s="37">
        <f t="shared" si="22"/>
        <v>203.86999999999534</v>
      </c>
      <c r="BU17" s="42">
        <v>2865615</v>
      </c>
      <c r="BV17" s="42"/>
      <c r="BW17" s="37">
        <f t="shared" si="23"/>
        <v>8819</v>
      </c>
      <c r="BX17" s="37">
        <f t="shared" si="90"/>
        <v>1</v>
      </c>
      <c r="BY17" s="43">
        <v>358.11349999999999</v>
      </c>
      <c r="BZ17" s="43"/>
      <c r="CA17" s="37">
        <f>IF((BY17-BY16)&lt;=0,0,(BY17-BY16)*1000)</f>
        <v>539.80000000001382</v>
      </c>
      <c r="CB17" s="37">
        <f t="shared" si="65"/>
        <v>1</v>
      </c>
      <c r="CC17" s="37">
        <v>671246.6</v>
      </c>
      <c r="CD17" s="37">
        <f t="shared" si="25"/>
        <v>2367.6999999999534</v>
      </c>
      <c r="CE17" s="37">
        <v>1284631</v>
      </c>
      <c r="CF17" s="37">
        <f t="shared" si="26"/>
        <v>4794</v>
      </c>
      <c r="CG17" s="37">
        <v>72810.600000000006</v>
      </c>
      <c r="CH17" s="37">
        <f t="shared" si="66"/>
        <v>0</v>
      </c>
      <c r="CI17" s="40">
        <v>13079.45</v>
      </c>
      <c r="CJ17" s="40"/>
      <c r="CK17" s="37">
        <f t="shared" si="67"/>
        <v>17134.659999999985</v>
      </c>
      <c r="CL17" s="37">
        <f t="shared" si="27"/>
        <v>1</v>
      </c>
      <c r="CM17" s="37">
        <v>3675.9540000000002</v>
      </c>
      <c r="CN17" s="37"/>
      <c r="CO17" s="37">
        <f t="shared" si="28"/>
        <v>6589.4599999999637</v>
      </c>
      <c r="CP17" s="37">
        <f t="shared" si="91"/>
        <v>1</v>
      </c>
      <c r="CQ17" s="39">
        <v>273820.09999999998</v>
      </c>
      <c r="CR17" s="45"/>
      <c r="CS17" s="37">
        <f t="shared" si="68"/>
        <v>7285.8599999999651</v>
      </c>
      <c r="CT17" s="37">
        <f t="shared" si="69"/>
        <v>1</v>
      </c>
      <c r="CU17" s="37">
        <v>3657602</v>
      </c>
      <c r="CV17" s="37"/>
      <c r="CW17" s="38">
        <f t="shared" si="29"/>
        <v>15587</v>
      </c>
      <c r="CX17" s="37">
        <f t="shared" si="92"/>
        <v>1</v>
      </c>
      <c r="CY17" s="37">
        <v>1923803</v>
      </c>
      <c r="CZ17" s="37"/>
      <c r="DA17" s="37">
        <f t="shared" si="30"/>
        <v>8048</v>
      </c>
      <c r="DB17" s="37">
        <f t="shared" si="93"/>
        <v>1</v>
      </c>
      <c r="DC17" s="37"/>
      <c r="DD17" s="40"/>
      <c r="DE17" s="37">
        <f t="shared" si="31"/>
        <v>0</v>
      </c>
      <c r="DF17" s="37">
        <f t="shared" si="98"/>
        <v>0</v>
      </c>
      <c r="DG17" s="37">
        <f t="shared" si="32"/>
        <v>-63463.979999999909</v>
      </c>
      <c r="DH17" s="37">
        <f t="shared" si="33"/>
        <v>458224.46000000031</v>
      </c>
      <c r="DI17" s="46"/>
      <c r="DJ17" s="46"/>
      <c r="DK17" s="47"/>
      <c r="DL17" s="47"/>
      <c r="DM17" s="37"/>
      <c r="DN17" s="37"/>
      <c r="DO17" s="37"/>
      <c r="DP17" s="37"/>
      <c r="DQ17" s="50">
        <v>3632800</v>
      </c>
      <c r="DR17" s="49">
        <f t="shared" si="70"/>
        <v>11500</v>
      </c>
      <c r="DS17" s="50">
        <v>4115300</v>
      </c>
      <c r="DT17" s="49">
        <f t="shared" si="71"/>
        <v>20500</v>
      </c>
      <c r="DU17" s="36">
        <v>8064.7</v>
      </c>
      <c r="DV17" s="36">
        <v>4525</v>
      </c>
      <c r="DW17" s="37">
        <f t="shared" si="94"/>
        <v>4500</v>
      </c>
      <c r="DX17" s="52">
        <v>13283</v>
      </c>
      <c r="DY17" s="52">
        <v>8448.5</v>
      </c>
      <c r="DZ17" s="37">
        <f t="shared" si="34"/>
        <v>7924.46</v>
      </c>
      <c r="EA17" s="50">
        <v>30490</v>
      </c>
      <c r="EB17" s="49">
        <v>21.15</v>
      </c>
      <c r="EC17" s="37">
        <f t="shared" si="35"/>
        <v>25084.46</v>
      </c>
      <c r="ED17" s="53">
        <f t="shared" si="36"/>
        <v>37508.92</v>
      </c>
      <c r="EE17" s="49">
        <v>45962</v>
      </c>
      <c r="EF17" s="49">
        <v>29.913</v>
      </c>
      <c r="EG17" s="37">
        <f t="shared" si="37"/>
        <v>25084.46</v>
      </c>
      <c r="EH17" s="52">
        <v>13291</v>
      </c>
      <c r="EI17" s="52">
        <v>1.8360000000000001</v>
      </c>
      <c r="EJ17" s="37">
        <f t="shared" si="38"/>
        <v>12924.46</v>
      </c>
      <c r="EK17" s="37">
        <v>809.72</v>
      </c>
      <c r="EL17" s="40">
        <v>1160.0999999999999</v>
      </c>
      <c r="EM17" s="37">
        <f t="shared" si="72"/>
        <v>740.00000000000909</v>
      </c>
      <c r="EN17" s="54">
        <f t="shared" si="73"/>
        <v>38748.920000000006</v>
      </c>
      <c r="EO17" s="55">
        <v>13151</v>
      </c>
      <c r="EP17" s="48">
        <v>4599.2</v>
      </c>
      <c r="EQ17" s="37">
        <f t="shared" si="74"/>
        <v>7024.4600000000228</v>
      </c>
      <c r="ER17" s="48">
        <v>9707.5</v>
      </c>
      <c r="ES17" s="48">
        <v>3990.9</v>
      </c>
      <c r="ET17" s="49">
        <f t="shared" si="100"/>
        <v>13600.000000000364</v>
      </c>
      <c r="EU17" s="48">
        <v>3768.9</v>
      </c>
      <c r="EV17" s="48">
        <v>1339.2</v>
      </c>
      <c r="EW17" s="49">
        <f t="shared" si="40"/>
        <v>9924.4599999999991</v>
      </c>
      <c r="EX17" s="48">
        <v>13745</v>
      </c>
      <c r="EY17" s="48">
        <v>1.6092</v>
      </c>
      <c r="EZ17" s="37">
        <f t="shared" si="41"/>
        <v>13924.46</v>
      </c>
      <c r="FA17" s="48">
        <f t="shared" si="75"/>
        <v>-22884.380000000383</v>
      </c>
      <c r="FB17" s="48">
        <v>36972443</v>
      </c>
      <c r="FC17" s="49">
        <f t="shared" si="95"/>
        <v>21589</v>
      </c>
      <c r="FD17" s="48">
        <f t="shared" si="76"/>
        <v>46173.380000000427</v>
      </c>
      <c r="FE17" s="48">
        <v>17237</v>
      </c>
      <c r="FF17" s="48">
        <v>6129.4</v>
      </c>
      <c r="FG17" s="37">
        <f t="shared" si="77"/>
        <v>9591.1299999999792</v>
      </c>
      <c r="FH17" s="48">
        <v>9091.5</v>
      </c>
      <c r="FI17" s="48">
        <v>3.5110999999999999</v>
      </c>
      <c r="FJ17" s="49">
        <f t="shared" si="42"/>
        <v>16491.129999999273</v>
      </c>
      <c r="FK17" s="48"/>
      <c r="FL17" s="58">
        <v>-233.33</v>
      </c>
      <c r="FM17" s="48">
        <f t="shared" si="96"/>
        <v>-924.46333333308451</v>
      </c>
      <c r="FN17" s="48">
        <v>16851</v>
      </c>
      <c r="FO17" s="48">
        <v>0.86519999999999997</v>
      </c>
      <c r="FP17" s="37">
        <f t="shared" si="78"/>
        <v>11691.130000000001</v>
      </c>
      <c r="FQ17" s="48">
        <v>59581</v>
      </c>
      <c r="FR17" s="48">
        <v>14.427</v>
      </c>
      <c r="FS17" s="37">
        <f t="shared" si="43"/>
        <v>35000</v>
      </c>
      <c r="FT17" s="48">
        <f t="shared" si="79"/>
        <v>-2773.3899999992536</v>
      </c>
      <c r="FU17" s="48">
        <f t="shared" si="80"/>
        <v>37773.389999999257</v>
      </c>
      <c r="FV17" s="44">
        <v>5030200</v>
      </c>
      <c r="FW17" s="44">
        <v>1570600</v>
      </c>
      <c r="FX17" s="37">
        <f t="shared" si="44"/>
        <v>33000</v>
      </c>
      <c r="FY17" s="56">
        <v>3550.7</v>
      </c>
      <c r="FZ17" s="56">
        <v>2.1476999999999999</v>
      </c>
      <c r="GA17" s="37">
        <f t="shared" si="45"/>
        <v>7979.9999999997272</v>
      </c>
      <c r="GB17" s="56">
        <v>832.36</v>
      </c>
      <c r="GC17" s="56">
        <v>932.48</v>
      </c>
      <c r="GD17" s="37">
        <f t="shared" si="46"/>
        <v>1060.0000000000591</v>
      </c>
      <c r="GE17" s="56">
        <v>10279</v>
      </c>
      <c r="GF17" s="56">
        <v>3.5411000000000001</v>
      </c>
      <c r="GG17" s="37">
        <f t="shared" si="47"/>
        <v>8299.9999999999545</v>
      </c>
      <c r="GH17" s="153">
        <v>1993.2</v>
      </c>
      <c r="GI17" s="162">
        <v>1705.9</v>
      </c>
      <c r="GJ17" s="38">
        <f t="shared" si="48"/>
        <v>1700.0000000000455</v>
      </c>
      <c r="GK17" s="162">
        <v>1489.2</v>
      </c>
      <c r="GL17" s="163">
        <v>1128.5</v>
      </c>
      <c r="GM17" s="38">
        <f t="shared" si="49"/>
        <v>0</v>
      </c>
      <c r="GN17" s="57">
        <v>208280</v>
      </c>
      <c r="GO17" s="57">
        <v>184500</v>
      </c>
      <c r="GP17" s="38">
        <f t="shared" si="99"/>
        <v>10</v>
      </c>
      <c r="GQ17" s="38">
        <v>275240</v>
      </c>
      <c r="GR17" s="38">
        <v>269930</v>
      </c>
      <c r="GS17" s="38">
        <f t="shared" si="81"/>
        <v>320</v>
      </c>
      <c r="GT17" s="178"/>
      <c r="GU17" s="144">
        <f>DailyJun!B16-DailyJun!N16-DailyJun!V16-DailyJun!Y16-DailyJun!Z16-DailyJun!AA16-DailyJun!AB16-DailyJun!AC16-DailyJun!AD16-DailyJun!AE16-DailyJun!AK16-DailyJun!AO16-DailyJun!AS16-DailyJun!AY16-DailyJun!BD16+DailyJun!BU16-DailyJun!BG16-DailyJun!BT16-DailyJun!AF16-DailyJun!AG16</f>
        <v>-9.9999819649383426E-3</v>
      </c>
      <c r="GV17" s="59">
        <v>13866.89</v>
      </c>
      <c r="GW17" s="60">
        <f t="shared" si="50"/>
        <v>924.45933333333335</v>
      </c>
      <c r="GX17" s="61">
        <v>924.46</v>
      </c>
      <c r="GY17" s="140"/>
      <c r="GZ17" s="62"/>
      <c r="HA17" s="62"/>
      <c r="HB17" s="74"/>
      <c r="HC17" s="62"/>
      <c r="HD17" s="74"/>
      <c r="HE17" s="24">
        <f t="shared" si="51"/>
        <v>0</v>
      </c>
      <c r="HF17" s="151"/>
      <c r="HG17" s="213">
        <v>11</v>
      </c>
      <c r="HH17" s="16">
        <v>12749</v>
      </c>
      <c r="HI17" s="16">
        <v>4913.2</v>
      </c>
      <c r="HJ17" s="16">
        <f t="shared" si="52"/>
        <v>141000</v>
      </c>
      <c r="HK17" s="16">
        <v>1.9189000000000001</v>
      </c>
      <c r="HL17" s="16">
        <v>660.93</v>
      </c>
      <c r="HM17" s="16">
        <f t="shared" si="101"/>
        <v>0</v>
      </c>
      <c r="HN17" s="16">
        <v>3307</v>
      </c>
      <c r="HO17" s="16">
        <v>1445.4</v>
      </c>
      <c r="HP17" s="16">
        <f t="shared" si="54"/>
        <v>34045</v>
      </c>
      <c r="HQ17" s="16">
        <v>2767.6</v>
      </c>
      <c r="HR17" s="16">
        <v>1193.3</v>
      </c>
      <c r="HS17" s="16">
        <f t="shared" si="55"/>
        <v>24644.999999999909</v>
      </c>
      <c r="HT17" s="16">
        <v>2387.8000000000002</v>
      </c>
      <c r="HU17" s="16">
        <v>915.57</v>
      </c>
      <c r="HV17" s="16">
        <f t="shared" si="56"/>
        <v>23945.000000000091</v>
      </c>
      <c r="HW17" s="16">
        <v>1402.1</v>
      </c>
      <c r="HX17" s="16">
        <v>616.4</v>
      </c>
      <c r="HY17" s="16">
        <f t="shared" si="57"/>
        <v>17545</v>
      </c>
      <c r="HZ17" s="16">
        <v>344980</v>
      </c>
      <c r="IA17" s="16">
        <v>170680</v>
      </c>
      <c r="IB17" s="16">
        <f t="shared" si="58"/>
        <v>20320</v>
      </c>
      <c r="IC17" s="16">
        <v>719.8</v>
      </c>
      <c r="ID17" s="16">
        <v>232.78</v>
      </c>
      <c r="IE17" s="16">
        <f t="shared" si="59"/>
        <v>0</v>
      </c>
      <c r="IF17" s="16"/>
      <c r="IG17" s="16"/>
      <c r="IH17" s="128">
        <f t="shared" si="60"/>
        <v>20500</v>
      </c>
      <c r="II17" s="211">
        <f t="shared" si="61"/>
        <v>0</v>
      </c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G17" s="151">
        <f t="shared" si="62"/>
        <v>54365</v>
      </c>
    </row>
    <row r="18" spans="1:293" x14ac:dyDescent="0.25">
      <c r="A18" s="35">
        <f t="shared" si="2"/>
        <v>12</v>
      </c>
      <c r="B18" s="38">
        <v>4568.9399999999996</v>
      </c>
      <c r="C18" s="38">
        <f t="shared" si="3"/>
        <v>11.1299999999992</v>
      </c>
      <c r="D18" s="38">
        <f t="shared" si="4"/>
        <v>356159.99999997439</v>
      </c>
      <c r="E18" s="38">
        <v>919.64</v>
      </c>
      <c r="F18" s="38">
        <f t="shared" si="5"/>
        <v>64000</v>
      </c>
      <c r="G18" s="38">
        <f t="shared" si="6"/>
        <v>420159.99999997439</v>
      </c>
      <c r="H18" s="37"/>
      <c r="I18" s="39"/>
      <c r="J18" s="42"/>
      <c r="K18" s="37">
        <f t="shared" si="82"/>
        <v>0</v>
      </c>
      <c r="L18" s="40">
        <v>14199000</v>
      </c>
      <c r="M18" s="40"/>
      <c r="N18" s="37">
        <f t="shared" si="83"/>
        <v>412000</v>
      </c>
      <c r="O18" s="37">
        <v>11368.8</v>
      </c>
      <c r="P18" s="37"/>
      <c r="Q18" s="37">
        <f t="shared" si="7"/>
        <v>19000</v>
      </c>
      <c r="R18" s="37">
        <f t="shared" si="84"/>
        <v>1</v>
      </c>
      <c r="S18" s="37">
        <v>11241585.65</v>
      </c>
      <c r="T18" s="37">
        <f t="shared" si="8"/>
        <v>414.84999999962747</v>
      </c>
      <c r="U18" s="37">
        <v>1523790.61</v>
      </c>
      <c r="V18" s="37">
        <f>IF((U18-U17)&lt;=0,0,(U18-U17))</f>
        <v>0</v>
      </c>
      <c r="W18" s="37">
        <v>4068.4</v>
      </c>
      <c r="X18" s="37">
        <f t="shared" si="97"/>
        <v>18585.150000000373</v>
      </c>
      <c r="Y18" s="183"/>
      <c r="Z18" s="183"/>
      <c r="AA18" s="37">
        <v>788700</v>
      </c>
      <c r="AB18" s="37">
        <f t="shared" si="10"/>
        <v>0</v>
      </c>
      <c r="AC18" s="173">
        <v>4235.5</v>
      </c>
      <c r="AD18" s="37"/>
      <c r="AE18" s="37">
        <f t="shared" si="11"/>
        <v>5800.0000000001819</v>
      </c>
      <c r="AF18" s="37">
        <f t="shared" si="85"/>
        <v>1</v>
      </c>
      <c r="AG18" s="37">
        <v>9227.1</v>
      </c>
      <c r="AH18" s="37"/>
      <c r="AI18" s="37">
        <f t="shared" si="12"/>
        <v>14582.09</v>
      </c>
      <c r="AJ18" s="37">
        <f t="shared" si="13"/>
        <v>1</v>
      </c>
      <c r="AK18" s="37">
        <f t="shared" si="14"/>
        <v>39382.090000000186</v>
      </c>
      <c r="AL18" s="48">
        <v>11074</v>
      </c>
      <c r="AM18" s="66"/>
      <c r="AN18" s="37">
        <f>IF((AL18-AL17)&lt;=0,0,(AL18-AL17))*1000+GX18-BL18-BN18-BP18-BR18</f>
        <v>5462.0899999992953</v>
      </c>
      <c r="AO18" s="37">
        <f t="shared" si="86"/>
        <v>1</v>
      </c>
      <c r="AP18" s="37">
        <v>8618.2000000000007</v>
      </c>
      <c r="AQ18" s="37"/>
      <c r="AR18" s="37">
        <f t="shared" si="15"/>
        <v>9400.0000000014552</v>
      </c>
      <c r="AS18" s="37">
        <f t="shared" si="87"/>
        <v>1</v>
      </c>
      <c r="AT18" s="183"/>
      <c r="AU18" s="183"/>
      <c r="AV18" s="183"/>
      <c r="AW18" s="183"/>
      <c r="AX18" s="37">
        <v>492010</v>
      </c>
      <c r="AY18" s="37"/>
      <c r="AZ18" s="37">
        <f t="shared" si="16"/>
        <v>450</v>
      </c>
      <c r="BA18" s="40">
        <v>159600</v>
      </c>
      <c r="BB18" s="37"/>
      <c r="BC18" s="37">
        <f t="shared" si="17"/>
        <v>1100</v>
      </c>
      <c r="BD18" s="37">
        <f t="shared" si="88"/>
        <v>16412.09000000075</v>
      </c>
      <c r="BE18" s="43">
        <v>1943.6</v>
      </c>
      <c r="BF18" s="43">
        <v>1074.5</v>
      </c>
      <c r="BG18" s="37">
        <f t="shared" si="18"/>
        <v>1699.9999999998181</v>
      </c>
      <c r="BH18" s="44">
        <v>9090.7999999999993</v>
      </c>
      <c r="BI18" s="44">
        <v>5852</v>
      </c>
      <c r="BJ18" s="37">
        <f t="shared" si="19"/>
        <v>9500</v>
      </c>
      <c r="BK18" s="40">
        <v>1643900</v>
      </c>
      <c r="BL18" s="40">
        <f t="shared" si="89"/>
        <v>4020</v>
      </c>
      <c r="BM18" s="40">
        <v>883.5</v>
      </c>
      <c r="BN18" s="37">
        <f t="shared" si="20"/>
        <v>700.00000000004547</v>
      </c>
      <c r="BO18" s="186"/>
      <c r="BP18" s="183">
        <f t="shared" si="21"/>
        <v>0</v>
      </c>
      <c r="BQ18" s="40">
        <v>834.9</v>
      </c>
      <c r="BR18" s="37">
        <f t="shared" si="64"/>
        <v>699.99999999993179</v>
      </c>
      <c r="BS18" s="37">
        <v>102354.54</v>
      </c>
      <c r="BT18" s="37">
        <f t="shared" si="22"/>
        <v>190.92999999999302</v>
      </c>
      <c r="BU18" s="42">
        <v>2871400</v>
      </c>
      <c r="BV18" s="42"/>
      <c r="BW18" s="37">
        <f t="shared" si="23"/>
        <v>5785</v>
      </c>
      <c r="BX18" s="37">
        <f t="shared" si="90"/>
        <v>1</v>
      </c>
      <c r="BY18" s="43">
        <v>358.75</v>
      </c>
      <c r="BZ18" s="43"/>
      <c r="CA18" s="37">
        <f>IF((BY18-BY17)&lt;=0,0,(BY18-BY17)*1000)</f>
        <v>636.50000000001228</v>
      </c>
      <c r="CB18" s="37">
        <f t="shared" si="65"/>
        <v>1</v>
      </c>
      <c r="CC18" s="37">
        <v>671250</v>
      </c>
      <c r="CD18" s="37">
        <f t="shared" si="25"/>
        <v>3.4000000000232831</v>
      </c>
      <c r="CE18" s="37">
        <v>1289500</v>
      </c>
      <c r="CF18" s="37">
        <f t="shared" si="26"/>
        <v>4869</v>
      </c>
      <c r="CG18" s="37">
        <v>72811</v>
      </c>
      <c r="CH18" s="37">
        <f t="shared" si="66"/>
        <v>0.39999999999417923</v>
      </c>
      <c r="CI18" s="40">
        <v>13096</v>
      </c>
      <c r="CJ18" s="40"/>
      <c r="CK18" s="37">
        <f t="shared" si="67"/>
        <v>15995.58999999926</v>
      </c>
      <c r="CL18" s="37">
        <f t="shared" si="27"/>
        <v>1</v>
      </c>
      <c r="CM18" s="37">
        <v>3683.9</v>
      </c>
      <c r="CN18" s="37"/>
      <c r="CO18" s="37">
        <f t="shared" si="28"/>
        <v>8028.0899999999128</v>
      </c>
      <c r="CP18" s="37">
        <f t="shared" si="91"/>
        <v>1</v>
      </c>
      <c r="CQ18" s="39">
        <v>280420</v>
      </c>
      <c r="CR18" s="39"/>
      <c r="CS18" s="37">
        <f t="shared" si="68"/>
        <v>6681.9900000000234</v>
      </c>
      <c r="CT18" s="37">
        <f t="shared" si="69"/>
        <v>1</v>
      </c>
      <c r="CU18" s="37">
        <v>3674700</v>
      </c>
      <c r="CV18" s="37"/>
      <c r="CW18" s="38">
        <f t="shared" si="29"/>
        <v>17098</v>
      </c>
      <c r="CX18" s="37">
        <f t="shared" si="92"/>
        <v>1</v>
      </c>
      <c r="CY18" s="37">
        <v>1932900</v>
      </c>
      <c r="CZ18" s="37"/>
      <c r="DA18" s="37">
        <f t="shared" si="30"/>
        <v>9097</v>
      </c>
      <c r="DB18" s="37">
        <f t="shared" si="93"/>
        <v>1</v>
      </c>
      <c r="DC18" s="37"/>
      <c r="DD18" s="40"/>
      <c r="DE18" s="37">
        <f>IF((DC18-DC17)&lt;=0,0,(DC18-DC17))</f>
        <v>0</v>
      </c>
      <c r="DF18" s="37">
        <f t="shared" si="98"/>
        <v>0</v>
      </c>
      <c r="DG18" s="37">
        <f t="shared" si="32"/>
        <v>-62685.669999999191</v>
      </c>
      <c r="DH18" s="37">
        <f t="shared" si="33"/>
        <v>453082.09</v>
      </c>
      <c r="DI18" s="46"/>
      <c r="DJ18" s="46"/>
      <c r="DK18" s="46"/>
      <c r="DL18" s="47"/>
      <c r="DM18" s="37"/>
      <c r="DN18" s="37"/>
      <c r="DO18" s="37"/>
      <c r="DP18" s="37"/>
      <c r="DQ18" s="50">
        <v>3643600</v>
      </c>
      <c r="DR18" s="49">
        <f t="shared" si="70"/>
        <v>10800</v>
      </c>
      <c r="DS18" s="50">
        <v>4133600</v>
      </c>
      <c r="DT18" s="49">
        <f t="shared" si="71"/>
        <v>18300</v>
      </c>
      <c r="DU18" s="52">
        <v>8069</v>
      </c>
      <c r="DV18" s="52">
        <v>4527.8999999999996</v>
      </c>
      <c r="DW18" s="37">
        <f t="shared" si="94"/>
        <v>4300.0000000001819</v>
      </c>
      <c r="DX18" s="52">
        <v>13291</v>
      </c>
      <c r="DY18" s="52">
        <v>8451</v>
      </c>
      <c r="DZ18" s="37">
        <f t="shared" si="34"/>
        <v>8082.09</v>
      </c>
      <c r="EA18" s="49">
        <v>30511</v>
      </c>
      <c r="EB18" s="49">
        <v>21.161999999999999</v>
      </c>
      <c r="EC18" s="37">
        <f t="shared" si="35"/>
        <v>23242.09</v>
      </c>
      <c r="ED18" s="53">
        <f t="shared" si="36"/>
        <v>35624.180000000182</v>
      </c>
      <c r="EE18" s="49">
        <v>45988</v>
      </c>
      <c r="EF18" s="49">
        <v>29.937000000000001</v>
      </c>
      <c r="EG18" s="37">
        <f t="shared" si="37"/>
        <v>28242.09</v>
      </c>
      <c r="EH18" s="52">
        <v>13304</v>
      </c>
      <c r="EI18" s="44">
        <v>1.8398000000000001</v>
      </c>
      <c r="EJ18" s="37">
        <f t="shared" si="38"/>
        <v>13082.09</v>
      </c>
      <c r="EK18" s="37">
        <v>810.54</v>
      </c>
      <c r="EL18" s="40">
        <v>1161.3</v>
      </c>
      <c r="EM18" s="37">
        <f t="shared" si="72"/>
        <v>819.99999999993634</v>
      </c>
      <c r="EN18" s="54">
        <f t="shared" si="73"/>
        <v>42144.179999999935</v>
      </c>
      <c r="EO18" s="48">
        <v>13159</v>
      </c>
      <c r="EP18" s="48">
        <v>4601.7</v>
      </c>
      <c r="EQ18" s="37">
        <f t="shared" si="74"/>
        <v>7157.0899999999892</v>
      </c>
      <c r="ER18" s="48">
        <v>9721.1</v>
      </c>
      <c r="ES18" s="48">
        <v>3996.9</v>
      </c>
      <c r="ET18" s="49">
        <f t="shared" si="100"/>
        <v>13600.000000000364</v>
      </c>
      <c r="EU18" s="48">
        <v>3778.1</v>
      </c>
      <c r="EV18" s="48">
        <v>1342.4</v>
      </c>
      <c r="EW18" s="49">
        <f t="shared" si="40"/>
        <v>9282.0899999998182</v>
      </c>
      <c r="EX18" s="55">
        <v>13758</v>
      </c>
      <c r="EY18" s="48">
        <v>1.6120000000000001</v>
      </c>
      <c r="EZ18" s="37">
        <f t="shared" si="41"/>
        <v>13082.09</v>
      </c>
      <c r="FA18" s="48">
        <f t="shared" si="75"/>
        <v>-21159.270000000171</v>
      </c>
      <c r="FB18" s="48">
        <v>36994405</v>
      </c>
      <c r="FC18" s="49">
        <f>IF((FB18-FB17)&lt;=0,0,(FB18-FB17))</f>
        <v>21962</v>
      </c>
      <c r="FD18" s="48">
        <f t="shared" si="76"/>
        <v>44821.270000000215</v>
      </c>
      <c r="FE18" s="48">
        <v>17245</v>
      </c>
      <c r="FF18" s="48">
        <v>6131.5</v>
      </c>
      <c r="FG18" s="37">
        <f t="shared" si="77"/>
        <v>8765.420000000011</v>
      </c>
      <c r="FH18" s="48">
        <v>9107.2999999999993</v>
      </c>
      <c r="FI18" s="48">
        <v>3.5171999999999999</v>
      </c>
      <c r="FJ18" s="49">
        <f t="shared" si="42"/>
        <v>15640.419999999272</v>
      </c>
      <c r="FK18" s="48"/>
      <c r="FL18" s="58">
        <v>-241.67</v>
      </c>
      <c r="FM18" s="48">
        <f>FT18/3</f>
        <v>-82.086666666428457</v>
      </c>
      <c r="FN18" s="48">
        <v>16862</v>
      </c>
      <c r="FO18" s="48">
        <v>0.8669</v>
      </c>
      <c r="FP18" s="37">
        <f t="shared" si="78"/>
        <v>10840.42</v>
      </c>
      <c r="FQ18" s="48">
        <v>59616</v>
      </c>
      <c r="FR18" s="48">
        <v>14.436999999999999</v>
      </c>
      <c r="FS18" s="37">
        <f>IF((FQ18-FQ17)*1000&lt;=0,0,(FQ18-FQ17)*1000)</f>
        <v>35000</v>
      </c>
      <c r="FT18" s="48">
        <f t="shared" si="79"/>
        <v>-246.25999999928536</v>
      </c>
      <c r="FU18" s="48">
        <f t="shared" si="80"/>
        <v>35246.259999999282</v>
      </c>
      <c r="FV18" s="44">
        <v>5062600</v>
      </c>
      <c r="FW18" s="44">
        <v>1578700</v>
      </c>
      <c r="FX18" s="37">
        <f t="shared" si="44"/>
        <v>32400</v>
      </c>
      <c r="FY18" s="56">
        <v>3558.7</v>
      </c>
      <c r="FZ18" s="56">
        <v>2.149</v>
      </c>
      <c r="GA18" s="37">
        <f t="shared" si="45"/>
        <v>7660</v>
      </c>
      <c r="GB18" s="56">
        <v>833.33</v>
      </c>
      <c r="GC18" s="56">
        <v>933.6</v>
      </c>
      <c r="GD18" s="37">
        <f t="shared" si="46"/>
        <v>970.00000000002728</v>
      </c>
      <c r="GE18" s="56">
        <v>10289</v>
      </c>
      <c r="GF18" s="56">
        <v>3.5482999999999998</v>
      </c>
      <c r="GG18" s="37">
        <f t="shared" si="47"/>
        <v>8299.9999999999545</v>
      </c>
      <c r="GH18" s="153">
        <v>1994.9</v>
      </c>
      <c r="GI18" s="162">
        <v>1707.5</v>
      </c>
      <c r="GJ18" s="38">
        <f t="shared" si="48"/>
        <v>1700.0000000000455</v>
      </c>
      <c r="GK18" s="162">
        <v>1489.2</v>
      </c>
      <c r="GL18" s="163">
        <v>1128.5</v>
      </c>
      <c r="GM18" s="38">
        <f t="shared" si="49"/>
        <v>0</v>
      </c>
      <c r="GN18" s="57">
        <v>208280</v>
      </c>
      <c r="GO18" s="57">
        <v>184510</v>
      </c>
      <c r="GP18" s="38">
        <f t="shared" si="99"/>
        <v>0</v>
      </c>
      <c r="GQ18" s="38">
        <v>275580</v>
      </c>
      <c r="GR18" s="38">
        <v>270160</v>
      </c>
      <c r="GS18" s="38">
        <f t="shared" si="81"/>
        <v>340</v>
      </c>
      <c r="GT18" s="178"/>
      <c r="GU18" s="144">
        <f>DailyJun!B17-DailyJun!N17-DailyJun!V17-DailyJun!Y17-DailyJun!Z17-DailyJun!AA17-DailyJun!AB17-DailyJun!AC17-DailyJun!AD17-DailyJun!AE17-DailyJun!AK17-DailyJun!AO17-DailyJun!AS17-DailyJun!AY17-DailyJun!BD17+DailyJun!BU17-DailyJun!BG17-DailyJun!BT17-DailyJun!AF17-DailyJun!AG17</f>
        <v>-4.0000025124754757E-2</v>
      </c>
      <c r="GV18" s="59">
        <v>1231.31</v>
      </c>
      <c r="GW18" s="60">
        <f t="shared" si="50"/>
        <v>82.087333333333333</v>
      </c>
      <c r="GX18" s="61">
        <v>82.09</v>
      </c>
      <c r="GY18" s="140"/>
      <c r="GZ18" s="62"/>
      <c r="HA18" s="62"/>
      <c r="HB18" s="74"/>
      <c r="HC18" s="62"/>
      <c r="HD18" s="74"/>
      <c r="HE18" s="24">
        <f t="shared" si="51"/>
        <v>0</v>
      </c>
      <c r="HF18" s="151"/>
      <c r="HG18" s="213">
        <v>12</v>
      </c>
      <c r="HH18" s="16">
        <v>12903</v>
      </c>
      <c r="HI18" s="16">
        <v>4971.7</v>
      </c>
      <c r="HJ18" s="16">
        <f t="shared" si="52"/>
        <v>154000</v>
      </c>
      <c r="HK18" s="16">
        <v>1.9189000000000001</v>
      </c>
      <c r="HL18" s="16">
        <v>660.93</v>
      </c>
      <c r="HM18" s="16">
        <f t="shared" si="101"/>
        <v>0</v>
      </c>
      <c r="HN18" s="16">
        <v>3344.6</v>
      </c>
      <c r="HO18" s="16">
        <v>1461.7</v>
      </c>
      <c r="HP18" s="16">
        <f t="shared" si="54"/>
        <v>37832.499999999913</v>
      </c>
      <c r="HQ18" s="16">
        <v>2793</v>
      </c>
      <c r="HR18" s="16">
        <v>1203.5999999999999</v>
      </c>
      <c r="HS18" s="16">
        <f t="shared" si="55"/>
        <v>25632.500000000091</v>
      </c>
      <c r="HT18" s="16">
        <v>2414.9</v>
      </c>
      <c r="HU18" s="16">
        <v>924.74</v>
      </c>
      <c r="HV18" s="16">
        <f t="shared" si="56"/>
        <v>27332.499999999909</v>
      </c>
      <c r="HW18" s="16">
        <v>1423.3</v>
      </c>
      <c r="HX18" s="16">
        <v>625.85</v>
      </c>
      <c r="HY18" s="16">
        <f t="shared" si="57"/>
        <v>21432.500000000044</v>
      </c>
      <c r="HZ18" s="16">
        <v>368450</v>
      </c>
      <c r="IA18" s="16">
        <v>180690</v>
      </c>
      <c r="IB18" s="16">
        <f t="shared" si="58"/>
        <v>23470</v>
      </c>
      <c r="IC18" s="16">
        <v>719.8</v>
      </c>
      <c r="ID18" s="16">
        <v>232.78</v>
      </c>
      <c r="IE18" s="16">
        <f t="shared" si="59"/>
        <v>0</v>
      </c>
      <c r="IF18" s="16"/>
      <c r="IG18" s="16"/>
      <c r="IH18" s="128">
        <f t="shared" si="60"/>
        <v>18300</v>
      </c>
      <c r="II18" s="211">
        <f t="shared" si="61"/>
        <v>4.3655745685100555E-11</v>
      </c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G18" s="151">
        <f t="shared" si="62"/>
        <v>61302.499999999956</v>
      </c>
    </row>
    <row r="19" spans="1:293" x14ac:dyDescent="0.25">
      <c r="A19" s="35">
        <f t="shared" si="2"/>
        <v>13</v>
      </c>
      <c r="B19" s="38">
        <v>4579.49</v>
      </c>
      <c r="C19" s="38">
        <f t="shared" si="3"/>
        <v>10.550000000000182</v>
      </c>
      <c r="D19" s="38">
        <f t="shared" si="4"/>
        <v>337600.00000000582</v>
      </c>
      <c r="E19" s="38">
        <v>921.83</v>
      </c>
      <c r="F19" s="38">
        <f t="shared" si="5"/>
        <v>70080.000000001746</v>
      </c>
      <c r="G19" s="38">
        <f t="shared" si="6"/>
        <v>407680.00000000757</v>
      </c>
      <c r="H19" s="37"/>
      <c r="I19" s="39"/>
      <c r="J19" s="42"/>
      <c r="K19" s="37">
        <f t="shared" si="82"/>
        <v>0</v>
      </c>
      <c r="L19" s="40">
        <v>14240000</v>
      </c>
      <c r="M19" s="40"/>
      <c r="N19" s="37">
        <f t="shared" si="83"/>
        <v>410000</v>
      </c>
      <c r="O19" s="37">
        <v>11386</v>
      </c>
      <c r="P19" s="37"/>
      <c r="Q19" s="37">
        <f t="shared" si="7"/>
        <v>17200.000000000728</v>
      </c>
      <c r="R19" s="37">
        <f t="shared" si="84"/>
        <v>1</v>
      </c>
      <c r="S19" s="37">
        <v>11241915.449999999</v>
      </c>
      <c r="T19" s="37">
        <f t="shared" si="8"/>
        <v>329.79999999888241</v>
      </c>
      <c r="U19" s="37">
        <v>1523790.61</v>
      </c>
      <c r="V19" s="37">
        <f t="shared" si="9"/>
        <v>0</v>
      </c>
      <c r="W19" s="37">
        <v>4075</v>
      </c>
      <c r="X19" s="37">
        <f t="shared" si="97"/>
        <v>16710.200000001845</v>
      </c>
      <c r="Y19" s="183"/>
      <c r="Z19" s="183"/>
      <c r="AA19" s="37">
        <v>788860</v>
      </c>
      <c r="AB19" s="37">
        <f t="shared" si="10"/>
        <v>160</v>
      </c>
      <c r="AC19" s="37">
        <v>4241.3</v>
      </c>
      <c r="AD19" s="37"/>
      <c r="AE19" s="37">
        <f t="shared" si="11"/>
        <v>5800.0000000001819</v>
      </c>
      <c r="AF19" s="37">
        <f t="shared" si="85"/>
        <v>1</v>
      </c>
      <c r="AG19" s="37">
        <v>9241.4</v>
      </c>
      <c r="AH19" s="67"/>
      <c r="AI19" s="37">
        <f t="shared" si="12"/>
        <v>14837.709999999272</v>
      </c>
      <c r="AJ19" s="37">
        <f t="shared" si="13"/>
        <v>1</v>
      </c>
      <c r="AK19" s="37">
        <f t="shared" si="14"/>
        <v>37677.710000000181</v>
      </c>
      <c r="AL19" s="48">
        <v>11085</v>
      </c>
      <c r="AM19" s="66"/>
      <c r="AN19" s="37">
        <f t="shared" si="63"/>
        <v>5877.70999999994</v>
      </c>
      <c r="AO19" s="37">
        <f t="shared" si="86"/>
        <v>1</v>
      </c>
      <c r="AP19" s="37">
        <v>8627.6</v>
      </c>
      <c r="AQ19" s="37"/>
      <c r="AR19" s="37">
        <f t="shared" si="15"/>
        <v>9399.9999999996362</v>
      </c>
      <c r="AS19" s="37">
        <f t="shared" si="87"/>
        <v>1</v>
      </c>
      <c r="AT19" s="183"/>
      <c r="AU19" s="183"/>
      <c r="AV19" s="183"/>
      <c r="AW19" s="183"/>
      <c r="AX19" s="37">
        <v>492477.44</v>
      </c>
      <c r="AY19" s="37"/>
      <c r="AZ19" s="37">
        <f t="shared" si="16"/>
        <v>467.44000000000233</v>
      </c>
      <c r="BA19" s="37">
        <v>160311.84</v>
      </c>
      <c r="BB19" s="37"/>
      <c r="BC19" s="37">
        <f t="shared" si="17"/>
        <v>711.83999999999651</v>
      </c>
      <c r="BD19" s="37">
        <f>AN19+AR19+AZ19+BC19</f>
        <v>16456.989999999576</v>
      </c>
      <c r="BE19" s="43">
        <v>1945.5</v>
      </c>
      <c r="BF19" s="43">
        <v>1075.8</v>
      </c>
      <c r="BG19" s="37">
        <f t="shared" si="18"/>
        <v>1900.0000000000909</v>
      </c>
      <c r="BH19" s="44">
        <v>9100.1</v>
      </c>
      <c r="BI19" s="44">
        <v>5858.1</v>
      </c>
      <c r="BJ19" s="37">
        <f t="shared" si="19"/>
        <v>9300.0000000010914</v>
      </c>
      <c r="BK19" s="40">
        <v>1648000</v>
      </c>
      <c r="BL19" s="40">
        <f t="shared" si="89"/>
        <v>4100</v>
      </c>
      <c r="BM19" s="40">
        <v>884.25</v>
      </c>
      <c r="BN19" s="37">
        <f t="shared" si="20"/>
        <v>750</v>
      </c>
      <c r="BO19" s="186"/>
      <c r="BP19" s="183">
        <f t="shared" si="21"/>
        <v>0</v>
      </c>
      <c r="BQ19" s="40">
        <v>835.71</v>
      </c>
      <c r="BR19" s="37">
        <f t="shared" si="64"/>
        <v>810.00000000005912</v>
      </c>
      <c r="BS19" s="37">
        <v>102534.28</v>
      </c>
      <c r="BT19" s="37">
        <f t="shared" si="22"/>
        <v>179.74000000000524</v>
      </c>
      <c r="BU19" s="42">
        <v>2879200</v>
      </c>
      <c r="BV19" s="42"/>
      <c r="BW19" s="37">
        <f t="shared" si="23"/>
        <v>7800</v>
      </c>
      <c r="BX19" s="37">
        <f t="shared" si="90"/>
        <v>1</v>
      </c>
      <c r="BY19" s="43">
        <v>359.48</v>
      </c>
      <c r="BZ19" s="43"/>
      <c r="CA19" s="37">
        <f>IF((BY19-BY18)&lt;=0,0,(BY19-BY18)*1000)</f>
        <v>730.00000000001819</v>
      </c>
      <c r="CB19" s="37">
        <f t="shared" si="65"/>
        <v>1</v>
      </c>
      <c r="CC19" s="37">
        <v>672910</v>
      </c>
      <c r="CD19" s="37">
        <f t="shared" si="25"/>
        <v>1660</v>
      </c>
      <c r="CE19" s="41">
        <v>1295400</v>
      </c>
      <c r="CF19" s="37">
        <f t="shared" si="26"/>
        <v>5900</v>
      </c>
      <c r="CG19" s="37">
        <v>72811</v>
      </c>
      <c r="CH19" s="37">
        <f t="shared" si="66"/>
        <v>0</v>
      </c>
      <c r="CI19" s="40">
        <v>13113</v>
      </c>
      <c r="CJ19" s="40"/>
      <c r="CK19" s="37">
        <f t="shared" si="67"/>
        <v>16807.709999999981</v>
      </c>
      <c r="CL19" s="37">
        <f t="shared" si="27"/>
        <v>1</v>
      </c>
      <c r="CM19" s="37">
        <v>3692</v>
      </c>
      <c r="CN19" s="37"/>
      <c r="CO19" s="37">
        <f t="shared" si="28"/>
        <v>8637.7099999999082</v>
      </c>
      <c r="CP19" s="37">
        <f t="shared" si="91"/>
        <v>1</v>
      </c>
      <c r="CQ19" s="39">
        <v>286890</v>
      </c>
      <c r="CR19" s="39"/>
      <c r="CS19" s="37">
        <f t="shared" si="68"/>
        <v>7007.71</v>
      </c>
      <c r="CT19" s="37">
        <f t="shared" si="69"/>
        <v>1</v>
      </c>
      <c r="CU19" s="37">
        <v>3690500</v>
      </c>
      <c r="CV19" s="37"/>
      <c r="CW19" s="38">
        <f t="shared" si="29"/>
        <v>15800</v>
      </c>
      <c r="CX19" s="37">
        <f t="shared" si="92"/>
        <v>1</v>
      </c>
      <c r="CY19" s="37">
        <v>1941000</v>
      </c>
      <c r="CZ19" s="37"/>
      <c r="DA19" s="37">
        <f t="shared" si="30"/>
        <v>8100</v>
      </c>
      <c r="DB19" s="37">
        <f t="shared" si="93"/>
        <v>1</v>
      </c>
      <c r="DC19" s="37"/>
      <c r="DD19" s="40"/>
      <c r="DE19" s="37">
        <f t="shared" si="31"/>
        <v>0</v>
      </c>
      <c r="DF19" s="37">
        <f t="shared" si="98"/>
        <v>0</v>
      </c>
      <c r="DG19" s="37">
        <f t="shared" si="32"/>
        <v>-64153.129999999888</v>
      </c>
      <c r="DH19" s="37">
        <f t="shared" si="33"/>
        <v>449577.71000000025</v>
      </c>
      <c r="DI19" s="46"/>
      <c r="DJ19" s="46"/>
      <c r="DK19" s="47"/>
      <c r="DL19" s="47"/>
      <c r="DM19" s="37"/>
      <c r="DN19" s="37"/>
      <c r="DO19" s="37"/>
      <c r="DP19" s="37"/>
      <c r="DQ19" s="50">
        <v>3655400</v>
      </c>
      <c r="DR19" s="49">
        <f t="shared" si="70"/>
        <v>11800</v>
      </c>
      <c r="DS19" s="50">
        <v>4152400</v>
      </c>
      <c r="DT19" s="49">
        <f t="shared" si="71"/>
        <v>18800</v>
      </c>
      <c r="DU19" s="52">
        <v>8073.6</v>
      </c>
      <c r="DV19" s="52">
        <v>4530.8999999999996</v>
      </c>
      <c r="DW19" s="37">
        <f t="shared" si="94"/>
        <v>4600.0000000003638</v>
      </c>
      <c r="DX19" s="52">
        <v>13298</v>
      </c>
      <c r="DY19" s="52">
        <v>8453.7999999999993</v>
      </c>
      <c r="DZ19" s="37">
        <f t="shared" si="34"/>
        <v>7537.71</v>
      </c>
      <c r="EA19" s="49">
        <v>30534</v>
      </c>
      <c r="EB19" s="49">
        <v>21.175000000000001</v>
      </c>
      <c r="EC19" s="37">
        <f t="shared" si="35"/>
        <v>25697.71</v>
      </c>
      <c r="ED19" s="53">
        <f t="shared" si="36"/>
        <v>37835.420000000362</v>
      </c>
      <c r="EE19" s="49">
        <v>46016</v>
      </c>
      <c r="EF19" s="49">
        <v>29.196300000000001</v>
      </c>
      <c r="EG19" s="37">
        <f t="shared" si="37"/>
        <v>30697.71</v>
      </c>
      <c r="EH19" s="44">
        <v>13316</v>
      </c>
      <c r="EI19" s="68">
        <v>1.8436999999999999</v>
      </c>
      <c r="EJ19" s="37">
        <f t="shared" si="38"/>
        <v>12537.71</v>
      </c>
      <c r="EK19" s="37">
        <v>811.35</v>
      </c>
      <c r="EL19" s="40">
        <v>1162.5</v>
      </c>
      <c r="EM19" s="37">
        <f t="shared" si="72"/>
        <v>810.00000000005912</v>
      </c>
      <c r="EN19" s="54">
        <f t="shared" si="73"/>
        <v>44045.420000000056</v>
      </c>
      <c r="EO19" s="48">
        <v>13165</v>
      </c>
      <c r="EP19" s="48">
        <v>4604.1000000000004</v>
      </c>
      <c r="EQ19" s="37">
        <f t="shared" si="74"/>
        <v>5612.7099999999882</v>
      </c>
      <c r="ER19" s="48">
        <v>9732.7000000000007</v>
      </c>
      <c r="ES19" s="48">
        <v>4002.2</v>
      </c>
      <c r="ET19" s="49">
        <f t="shared" si="100"/>
        <v>11600.000000000364</v>
      </c>
      <c r="EU19" s="48">
        <v>3786.9</v>
      </c>
      <c r="EV19" s="48">
        <v>1345.5</v>
      </c>
      <c r="EW19" s="49">
        <f t="shared" si="40"/>
        <v>9337.710000000181</v>
      </c>
      <c r="EX19" s="48">
        <v>13769</v>
      </c>
      <c r="EY19" s="48">
        <v>1.6141000000000001</v>
      </c>
      <c r="EZ19" s="37">
        <f t="shared" si="41"/>
        <v>11537.71</v>
      </c>
      <c r="FA19" s="48">
        <f t="shared" si="75"/>
        <v>-18165.130000000532</v>
      </c>
      <c r="FB19" s="48">
        <v>37014328</v>
      </c>
      <c r="FC19" s="49">
        <f t="shared" si="95"/>
        <v>19923</v>
      </c>
      <c r="FD19" s="48">
        <f t="shared" si="76"/>
        <v>39888.130000000485</v>
      </c>
      <c r="FE19" s="48">
        <v>17252</v>
      </c>
      <c r="FF19" s="48">
        <v>6133.3</v>
      </c>
      <c r="FG19" s="37">
        <f t="shared" si="77"/>
        <v>8687.7100000000119</v>
      </c>
      <c r="FH19" s="48">
        <v>9121.7000000000007</v>
      </c>
      <c r="FI19" s="48">
        <v>3.5226999999999999</v>
      </c>
      <c r="FJ19" s="49">
        <f t="shared" si="42"/>
        <v>15162.710000001454</v>
      </c>
      <c r="FK19" s="48"/>
      <c r="FL19" s="58">
        <v>225</v>
      </c>
      <c r="FM19" s="48">
        <f t="shared" si="96"/>
        <v>-537.710000000489</v>
      </c>
      <c r="FN19" s="48">
        <v>16873</v>
      </c>
      <c r="FO19" s="48">
        <v>0.86880000000000002</v>
      </c>
      <c r="FP19" s="37">
        <f t="shared" si="78"/>
        <v>11762.71</v>
      </c>
      <c r="FQ19" s="48">
        <v>59650</v>
      </c>
      <c r="FR19" s="48">
        <v>14.446</v>
      </c>
      <c r="FS19" s="37">
        <f t="shared" si="43"/>
        <v>34000</v>
      </c>
      <c r="FT19" s="48">
        <f t="shared" si="79"/>
        <v>-1613.1300000014671</v>
      </c>
      <c r="FU19" s="48">
        <f t="shared" si="80"/>
        <v>35613.130000001467</v>
      </c>
      <c r="FV19" s="44">
        <v>5093300</v>
      </c>
      <c r="FW19" s="44">
        <v>1586300</v>
      </c>
      <c r="FX19" s="37">
        <f t="shared" si="44"/>
        <v>30700</v>
      </c>
      <c r="FY19" s="56">
        <v>3566.5</v>
      </c>
      <c r="FZ19" s="63">
        <v>2.1503000000000001</v>
      </c>
      <c r="GA19" s="37">
        <f t="shared" si="45"/>
        <v>7490.0000000001819</v>
      </c>
      <c r="GB19" s="56">
        <v>834.19</v>
      </c>
      <c r="GC19" s="56">
        <v>934.6</v>
      </c>
      <c r="GD19" s="37">
        <f t="shared" si="46"/>
        <v>860.00000000001364</v>
      </c>
      <c r="GE19" s="56">
        <v>10298</v>
      </c>
      <c r="GF19" s="56">
        <v>3.5552999999999999</v>
      </c>
      <c r="GG19" s="37">
        <f t="shared" si="47"/>
        <v>7200.0000000000455</v>
      </c>
      <c r="GH19" s="153">
        <v>1996.7</v>
      </c>
      <c r="GI19" s="162">
        <v>1709.2</v>
      </c>
      <c r="GJ19" s="38">
        <f t="shared" si="48"/>
        <v>1799.9999999999545</v>
      </c>
      <c r="GK19" s="162">
        <v>1489.2</v>
      </c>
      <c r="GL19" s="163">
        <v>1128.5</v>
      </c>
      <c r="GM19" s="38">
        <f t="shared" si="49"/>
        <v>0</v>
      </c>
      <c r="GN19" s="57">
        <v>208280</v>
      </c>
      <c r="GO19" s="57">
        <v>184510</v>
      </c>
      <c r="GP19" s="38">
        <f t="shared" si="99"/>
        <v>0</v>
      </c>
      <c r="GQ19" s="38">
        <v>275890</v>
      </c>
      <c r="GR19" s="38">
        <v>270380</v>
      </c>
      <c r="GS19" s="38">
        <f t="shared" si="81"/>
        <v>310</v>
      </c>
      <c r="GT19" s="178"/>
      <c r="GU19" s="144">
        <f>DailyJun!B18-DailyJun!N18-DailyJun!V18-DailyJun!Y18-DailyJun!Z18-DailyJun!AA18-DailyJun!AB18-DailyJun!AC18-DailyJun!AD18-DailyJun!AE18-DailyJun!AK18-DailyJun!AO18-DailyJun!AS18-DailyJun!AY18-DailyJun!BD18+DailyJun!BU18-DailyJun!BG18-DailyJun!BT18-DailyJun!AF18-DailyJun!AG18</f>
        <v>7.0000003994209692E-2</v>
      </c>
      <c r="GV19" s="59">
        <v>8065.72</v>
      </c>
      <c r="GW19" s="60">
        <f t="shared" si="50"/>
        <v>537.71466666666663</v>
      </c>
      <c r="GX19" s="61">
        <v>537.71</v>
      </c>
      <c r="GY19" s="140"/>
      <c r="GZ19" s="62"/>
      <c r="HA19" s="62"/>
      <c r="HB19" s="74"/>
      <c r="HC19" s="62"/>
      <c r="HD19" s="74"/>
      <c r="HE19" s="24">
        <f t="shared" si="51"/>
        <v>0</v>
      </c>
      <c r="HF19" s="151"/>
      <c r="HG19" s="213">
        <v>13</v>
      </c>
      <c r="HH19" s="16">
        <v>13048</v>
      </c>
      <c r="HI19" s="16">
        <v>5027</v>
      </c>
      <c r="HJ19" s="16">
        <f t="shared" si="52"/>
        <v>145000</v>
      </c>
      <c r="HK19" s="16">
        <v>1.9189000000000001</v>
      </c>
      <c r="HL19" s="16">
        <v>660.93</v>
      </c>
      <c r="HM19" s="16">
        <f t="shared" si="101"/>
        <v>0</v>
      </c>
      <c r="HN19" s="16">
        <v>3381.9</v>
      </c>
      <c r="HO19" s="16">
        <v>1478</v>
      </c>
      <c r="HP19" s="16">
        <f t="shared" si="54"/>
        <v>37247.500000000182</v>
      </c>
      <c r="HQ19" s="16">
        <v>2810.4</v>
      </c>
      <c r="HR19" s="16">
        <v>1211.0999999999999</v>
      </c>
      <c r="HS19" s="16">
        <f t="shared" si="55"/>
        <v>17347.500000000091</v>
      </c>
      <c r="HT19" s="16">
        <v>2441.1</v>
      </c>
      <c r="HU19" s="16">
        <v>933.56</v>
      </c>
      <c r="HV19" s="16">
        <f t="shared" si="56"/>
        <v>26147.499999999818</v>
      </c>
      <c r="HW19" s="16">
        <v>1444.1</v>
      </c>
      <c r="HX19" s="16">
        <v>634.63</v>
      </c>
      <c r="HY19" s="16">
        <f t="shared" si="57"/>
        <v>20747.499999999956</v>
      </c>
      <c r="HZ19" s="16">
        <v>393160</v>
      </c>
      <c r="IA19" s="16">
        <v>191160</v>
      </c>
      <c r="IB19" s="16">
        <f t="shared" si="58"/>
        <v>24710</v>
      </c>
      <c r="IC19" s="16">
        <v>719.8</v>
      </c>
      <c r="ID19" s="16">
        <v>232.78</v>
      </c>
      <c r="IE19" s="16">
        <f t="shared" si="59"/>
        <v>0</v>
      </c>
      <c r="IF19" s="16"/>
      <c r="IG19" s="16"/>
      <c r="IH19" s="128">
        <f t="shared" si="60"/>
        <v>18800</v>
      </c>
      <c r="II19" s="211">
        <f t="shared" si="61"/>
        <v>-5.0931703299283981E-11</v>
      </c>
      <c r="IJ19" s="16"/>
      <c r="IK19" s="16"/>
      <c r="IL19" s="16">
        <f t="shared" ref="IL19:IL38" si="102">IF((IJ19-IJ18)&lt;=0,0,(IJ19-IJ18))</f>
        <v>0</v>
      </c>
      <c r="IM19" s="16"/>
      <c r="IN19" s="16"/>
      <c r="IO19" s="16">
        <f t="shared" ref="IO19:IO38" si="103">IF((IM19-IM18)&lt;=0,0,(IM19-IM18)*1000)</f>
        <v>0</v>
      </c>
      <c r="IP19" s="16"/>
      <c r="IQ19" s="16"/>
      <c r="IR19" s="16">
        <f t="shared" ref="IR19:IR38" si="104">IF((IP19-IP18)&lt;=0,0,(IP19-IP18))</f>
        <v>0</v>
      </c>
      <c r="IS19" s="16"/>
      <c r="IT19" s="16"/>
      <c r="IU19" s="16">
        <f t="shared" ref="IU19:IU38" si="105">IF((IS19-IS18)&lt;=0,0,(IS19-IS18))</f>
        <v>0</v>
      </c>
      <c r="IV19" s="16"/>
      <c r="IW19" s="16"/>
      <c r="IX19" s="16">
        <f t="shared" ref="IX19:IX38" si="106">IF((IV19-IV18)&lt;=0,0,(IV19-IV18))</f>
        <v>0</v>
      </c>
      <c r="IY19" s="16"/>
      <c r="IZ19" s="16"/>
      <c r="JA19" s="16">
        <f t="shared" ref="JA19:JA38" si="107">IF((IY19-IY18)&lt;=0,0,(IY19-IY18))</f>
        <v>0</v>
      </c>
      <c r="JB19" s="16"/>
      <c r="JC19" s="16"/>
      <c r="JD19" s="16">
        <f t="shared" ref="JD19:JD38" si="108">IF((JB19-JB18)&lt;=0,0,(JB19-JB18))</f>
        <v>0</v>
      </c>
      <c r="JE19" s="16"/>
      <c r="JF19" s="16"/>
      <c r="JG19" s="16">
        <f t="shared" ref="JG19:JG38" si="109">IF((JE19-JE18)&lt;=0,0,(JE19-JE18))</f>
        <v>0</v>
      </c>
      <c r="JH19" s="16"/>
      <c r="JI19" s="16"/>
      <c r="JJ19" s="16">
        <f t="shared" ref="JJ19:JJ38" si="110">IF((JH19-JH18)&lt;=0,0,(JH19-JH18))</f>
        <v>0</v>
      </c>
      <c r="JK19" s="16"/>
      <c r="JL19" s="16"/>
      <c r="JM19" s="16">
        <f t="shared" ref="JM19:JM38" si="111">IF((JK19-JK18)&lt;=0,0,(JK19-JK18))</f>
        <v>0</v>
      </c>
      <c r="JN19" s="16"/>
      <c r="JO19" s="16"/>
      <c r="JP19" s="16">
        <f t="shared" ref="JP19:JP38" si="112">IF((JN19-JN18)&lt;=0,0,(JN19-JN18))</f>
        <v>0</v>
      </c>
      <c r="JQ19" s="16"/>
      <c r="JR19" s="16"/>
      <c r="JS19" s="16">
        <f t="shared" ref="JS19:JS38" si="113">IF((JQ19-JQ18)&lt;=0,0,(JQ19-JQ18))</f>
        <v>0</v>
      </c>
      <c r="JT19" s="16"/>
      <c r="JU19" s="16"/>
      <c r="JV19" s="16">
        <f t="shared" ref="JV19:JV38" si="114">IF((JT19-JT18)&lt;=0,0,(JT19-JT18))</f>
        <v>0</v>
      </c>
      <c r="JW19" s="16"/>
      <c r="JX19" s="16"/>
      <c r="JY19" s="16">
        <f t="shared" ref="JY19:JY38" si="115">IF((JW19-JW18)&lt;=0,0,(JW19-JW18))</f>
        <v>0</v>
      </c>
      <c r="JZ19" s="16"/>
      <c r="KA19" s="16"/>
      <c r="KB19" s="16">
        <f t="shared" ref="KB19:KB38" si="116">IF((JZ19-JZ18)&lt;=0,0,(JZ19-JZ18))</f>
        <v>0</v>
      </c>
      <c r="KC19" s="16"/>
      <c r="KD19" s="16"/>
      <c r="KE19" s="16">
        <f t="shared" ref="KE19:KE38" si="117">IF((KC19-KC18)&lt;=0,0,(KC19-KC18))</f>
        <v>0</v>
      </c>
      <c r="KG19" s="151">
        <f t="shared" si="62"/>
        <v>61957.500000000131</v>
      </c>
    </row>
    <row r="20" spans="1:293" x14ac:dyDescent="0.25">
      <c r="A20" s="35">
        <f t="shared" si="2"/>
        <v>14</v>
      </c>
      <c r="B20" s="38">
        <v>4589.8900000000003</v>
      </c>
      <c r="C20" s="38">
        <f t="shared" si="3"/>
        <v>10.400000000000546</v>
      </c>
      <c r="D20" s="38">
        <f t="shared" si="4"/>
        <v>332800.00000001746</v>
      </c>
      <c r="E20" s="38">
        <v>923.98</v>
      </c>
      <c r="F20" s="38">
        <f t="shared" si="5"/>
        <v>68799.999999999272</v>
      </c>
      <c r="G20" s="38">
        <f t="shared" si="6"/>
        <v>401600.00000001676</v>
      </c>
      <c r="H20" s="37"/>
      <c r="I20" s="39"/>
      <c r="J20" s="42"/>
      <c r="K20" s="37">
        <f t="shared" si="82"/>
        <v>0</v>
      </c>
      <c r="L20" s="40">
        <v>14279300</v>
      </c>
      <c r="M20" s="40"/>
      <c r="N20" s="37">
        <f t="shared" si="83"/>
        <v>393000</v>
      </c>
      <c r="O20" s="37">
        <v>11404</v>
      </c>
      <c r="P20" s="37"/>
      <c r="Q20" s="37">
        <f t="shared" si="7"/>
        <v>18000</v>
      </c>
      <c r="R20" s="37">
        <f t="shared" si="84"/>
        <v>1</v>
      </c>
      <c r="S20" s="37">
        <v>11242304.109999999</v>
      </c>
      <c r="T20" s="37">
        <f t="shared" si="8"/>
        <v>388.66000000014901</v>
      </c>
      <c r="U20" s="37">
        <v>1523790.61</v>
      </c>
      <c r="V20" s="37">
        <f t="shared" si="9"/>
        <v>0</v>
      </c>
      <c r="W20" s="37">
        <v>4081.7</v>
      </c>
      <c r="X20" s="37">
        <f t="shared" si="97"/>
        <v>17571.339999999851</v>
      </c>
      <c r="Y20" s="183"/>
      <c r="Z20" s="183"/>
      <c r="AA20" s="37">
        <v>788900</v>
      </c>
      <c r="AB20" s="37">
        <f t="shared" si="10"/>
        <v>40</v>
      </c>
      <c r="AC20" s="37">
        <v>4247.2</v>
      </c>
      <c r="AD20" s="37"/>
      <c r="AE20" s="37">
        <f t="shared" si="11"/>
        <v>5899.9999999996362</v>
      </c>
      <c r="AF20" s="37">
        <f t="shared" si="85"/>
        <v>1</v>
      </c>
      <c r="AG20" s="37">
        <v>9255.9</v>
      </c>
      <c r="AH20" s="67"/>
      <c r="AI20" s="37">
        <f t="shared" si="12"/>
        <v>14640.23</v>
      </c>
      <c r="AJ20" s="37">
        <f t="shared" si="13"/>
        <v>1</v>
      </c>
      <c r="AK20" s="37">
        <f t="shared" si="14"/>
        <v>38500.229999999632</v>
      </c>
      <c r="AL20" s="48">
        <v>11095.7</v>
      </c>
      <c r="AM20" s="66"/>
      <c r="AN20" s="37">
        <f t="shared" si="63"/>
        <v>5310.2300000007499</v>
      </c>
      <c r="AO20" s="37">
        <f t="shared" si="86"/>
        <v>1</v>
      </c>
      <c r="AP20" s="37">
        <v>8636.6</v>
      </c>
      <c r="AQ20" s="37"/>
      <c r="AR20" s="37">
        <f t="shared" si="15"/>
        <v>9000</v>
      </c>
      <c r="AS20" s="37">
        <f t="shared" si="87"/>
        <v>1</v>
      </c>
      <c r="AT20" s="183"/>
      <c r="AU20" s="183"/>
      <c r="AV20" s="183"/>
      <c r="AW20" s="183"/>
      <c r="AX20" s="37">
        <v>492930</v>
      </c>
      <c r="AY20" s="37"/>
      <c r="AZ20" s="37">
        <f t="shared" si="16"/>
        <v>452.55999999999767</v>
      </c>
      <c r="BA20" s="37">
        <v>161010</v>
      </c>
      <c r="BB20" s="37"/>
      <c r="BC20" s="37">
        <f t="shared" si="17"/>
        <v>698.16000000000349</v>
      </c>
      <c r="BD20" s="37">
        <f t="shared" si="88"/>
        <v>15460.95000000075</v>
      </c>
      <c r="BE20" s="43">
        <v>1947.3</v>
      </c>
      <c r="BF20" s="43">
        <v>1077</v>
      </c>
      <c r="BG20" s="37">
        <f t="shared" si="18"/>
        <v>1799.9999999999545</v>
      </c>
      <c r="BH20" s="44">
        <v>9109.5</v>
      </c>
      <c r="BI20" s="44">
        <v>5864.2</v>
      </c>
      <c r="BJ20" s="37">
        <f t="shared" si="19"/>
        <v>9399.9999999996362</v>
      </c>
      <c r="BK20" s="40">
        <v>1652130</v>
      </c>
      <c r="BL20" s="40">
        <f t="shared" si="89"/>
        <v>4130</v>
      </c>
      <c r="BM20" s="40">
        <v>884.96</v>
      </c>
      <c r="BN20" s="37">
        <f t="shared" si="20"/>
        <v>710.00000000003638</v>
      </c>
      <c r="BO20" s="186"/>
      <c r="BP20" s="183">
        <f t="shared" si="21"/>
        <v>0</v>
      </c>
      <c r="BQ20" s="40">
        <v>836.4</v>
      </c>
      <c r="BR20" s="37">
        <f t="shared" si="64"/>
        <v>689.99999999994088</v>
      </c>
      <c r="BS20" s="37">
        <v>102710.12</v>
      </c>
      <c r="BT20" s="37">
        <f t="shared" si="22"/>
        <v>175.83999999999651</v>
      </c>
      <c r="BU20" s="42">
        <v>2887500</v>
      </c>
      <c r="BV20" s="42"/>
      <c r="BW20" s="37">
        <f t="shared" si="23"/>
        <v>8300</v>
      </c>
      <c r="BX20" s="37">
        <f t="shared" si="90"/>
        <v>1</v>
      </c>
      <c r="BY20" s="43">
        <v>360.04680000000002</v>
      </c>
      <c r="BZ20" s="43"/>
      <c r="CA20" s="37">
        <f>IF((BY20-BY19)&lt;=0,0,(BY20-BY19)*1000)</f>
        <v>566.80000000000064</v>
      </c>
      <c r="CB20" s="37">
        <f t="shared" si="65"/>
        <v>1</v>
      </c>
      <c r="CC20" s="37">
        <v>675270</v>
      </c>
      <c r="CD20" s="37">
        <f t="shared" si="25"/>
        <v>2360</v>
      </c>
      <c r="CE20" s="41">
        <v>1300800</v>
      </c>
      <c r="CF20" s="37">
        <f t="shared" si="26"/>
        <v>5400</v>
      </c>
      <c r="CG20" s="37">
        <v>72811</v>
      </c>
      <c r="CH20" s="37">
        <f t="shared" si="66"/>
        <v>0</v>
      </c>
      <c r="CI20" s="40">
        <v>13129.6</v>
      </c>
      <c r="CJ20" s="40"/>
      <c r="CK20" s="37">
        <f t="shared" si="67"/>
        <v>16173.430000000362</v>
      </c>
      <c r="CL20" s="37">
        <f t="shared" si="27"/>
        <v>1</v>
      </c>
      <c r="CM20" s="37">
        <v>3700.0970000000002</v>
      </c>
      <c r="CN20" s="37"/>
      <c r="CO20" s="37">
        <f t="shared" si="28"/>
        <v>8237.2300000002069</v>
      </c>
      <c r="CP20" s="37">
        <f t="shared" si="91"/>
        <v>1</v>
      </c>
      <c r="CQ20" s="39">
        <v>293333.8</v>
      </c>
      <c r="CR20" s="39"/>
      <c r="CS20" s="37">
        <f t="shared" si="68"/>
        <v>6584.0299999999879</v>
      </c>
      <c r="CT20" s="37">
        <f t="shared" si="69"/>
        <v>1</v>
      </c>
      <c r="CU20" s="37">
        <v>3702800</v>
      </c>
      <c r="CV20" s="37"/>
      <c r="CW20" s="38">
        <f t="shared" si="29"/>
        <v>12300</v>
      </c>
      <c r="CX20" s="37">
        <f t="shared" si="92"/>
        <v>1</v>
      </c>
      <c r="CY20" s="37">
        <v>1947900</v>
      </c>
      <c r="CZ20" s="37"/>
      <c r="DA20" s="37">
        <f t="shared" si="30"/>
        <v>6900</v>
      </c>
      <c r="DB20" s="37">
        <f t="shared" si="93"/>
        <v>1</v>
      </c>
      <c r="DC20" s="37"/>
      <c r="DD20" s="40"/>
      <c r="DE20" s="37">
        <f t="shared" si="31"/>
        <v>0</v>
      </c>
      <c r="DF20" s="37">
        <f t="shared" si="98"/>
        <v>0</v>
      </c>
      <c r="DG20" s="37">
        <f t="shared" si="32"/>
        <v>-58494.690000000563</v>
      </c>
      <c r="DH20" s="37">
        <f t="shared" si="33"/>
        <v>433300.22999999957</v>
      </c>
      <c r="DI20" s="46"/>
      <c r="DJ20" s="46"/>
      <c r="DK20" s="47"/>
      <c r="DL20" s="47"/>
      <c r="DM20" s="37"/>
      <c r="DN20" s="37"/>
      <c r="DO20" s="37"/>
      <c r="DP20" s="37"/>
      <c r="DQ20" s="50">
        <v>3666800</v>
      </c>
      <c r="DR20" s="49">
        <f t="shared" si="70"/>
        <v>11400</v>
      </c>
      <c r="DS20" s="50">
        <v>4169600</v>
      </c>
      <c r="DT20" s="49">
        <f t="shared" si="71"/>
        <v>17200</v>
      </c>
      <c r="DU20" s="52">
        <v>8077.9</v>
      </c>
      <c r="DV20" s="52">
        <v>4533.8</v>
      </c>
      <c r="DW20" s="37">
        <f t="shared" si="94"/>
        <v>4299.9999999992724</v>
      </c>
      <c r="DX20" s="52">
        <v>13305</v>
      </c>
      <c r="DY20" s="52">
        <v>8456.2999999999993</v>
      </c>
      <c r="DZ20" s="37">
        <f t="shared" si="34"/>
        <v>7140.23</v>
      </c>
      <c r="EA20" s="49">
        <v>30556</v>
      </c>
      <c r="EB20" s="49">
        <v>21.187999999999999</v>
      </c>
      <c r="EC20" s="37">
        <f t="shared" si="35"/>
        <v>24300.23</v>
      </c>
      <c r="ED20" s="53">
        <f t="shared" si="36"/>
        <v>35740.459999999272</v>
      </c>
      <c r="EE20" s="49">
        <v>46042</v>
      </c>
      <c r="EF20" s="49">
        <v>29.986999999999998</v>
      </c>
      <c r="EG20" s="37">
        <f t="shared" si="37"/>
        <v>28300.23</v>
      </c>
      <c r="EH20" s="68">
        <v>13328</v>
      </c>
      <c r="EI20" s="52">
        <v>1.8472999999999999</v>
      </c>
      <c r="EJ20" s="37">
        <f t="shared" si="38"/>
        <v>12140.23</v>
      </c>
      <c r="EK20" s="37">
        <v>812.14</v>
      </c>
      <c r="EL20" s="40">
        <v>1163.7</v>
      </c>
      <c r="EM20" s="37">
        <f t="shared" si="72"/>
        <v>789.99999999996362</v>
      </c>
      <c r="EN20" s="54">
        <f t="shared" si="73"/>
        <v>41230.459999999963</v>
      </c>
      <c r="EO20" s="48">
        <v>13173</v>
      </c>
      <c r="EP20" s="48">
        <v>4606.8</v>
      </c>
      <c r="EQ20" s="37">
        <f t="shared" si="74"/>
        <v>7175.230000000025</v>
      </c>
      <c r="ER20" s="48">
        <v>9744.2000000000007</v>
      </c>
      <c r="ES20" s="48">
        <v>4007.7</v>
      </c>
      <c r="ET20" s="49">
        <f t="shared" si="100"/>
        <v>11500</v>
      </c>
      <c r="EU20" s="48">
        <v>3795.6</v>
      </c>
      <c r="EV20" s="48">
        <v>1348.5</v>
      </c>
      <c r="EW20" s="49">
        <f t="shared" si="40"/>
        <v>8840.2299999998177</v>
      </c>
      <c r="EX20" s="48">
        <v>13781</v>
      </c>
      <c r="EY20" s="48">
        <v>1.6161000000000001</v>
      </c>
      <c r="EZ20" s="37">
        <f t="shared" si="41"/>
        <v>12140.23</v>
      </c>
      <c r="FA20" s="48">
        <f t="shared" si="75"/>
        <v>-19770.689999999842</v>
      </c>
      <c r="FB20" s="48">
        <v>37034213</v>
      </c>
      <c r="FC20" s="49">
        <f t="shared" si="95"/>
        <v>19885</v>
      </c>
      <c r="FD20" s="48">
        <f t="shared" si="76"/>
        <v>41355.689999999886</v>
      </c>
      <c r="FE20" s="48">
        <v>17260</v>
      </c>
      <c r="FF20" s="48">
        <v>6135.1</v>
      </c>
      <c r="FG20" s="37">
        <f t="shared" si="77"/>
        <v>9016.8999999999742</v>
      </c>
      <c r="FH20" s="48">
        <v>9137</v>
      </c>
      <c r="FI20" s="48">
        <v>3.5286</v>
      </c>
      <c r="FJ20" s="49">
        <f t="shared" si="42"/>
        <v>15351.899999999272</v>
      </c>
      <c r="FK20" s="48"/>
      <c r="FL20" s="58">
        <v>-88.33</v>
      </c>
      <c r="FM20" s="48">
        <f t="shared" si="96"/>
        <v>-140.23333333308133</v>
      </c>
      <c r="FN20" s="48">
        <v>16884</v>
      </c>
      <c r="FO20" s="48">
        <v>0.87060000000000004</v>
      </c>
      <c r="FP20" s="37">
        <f t="shared" si="78"/>
        <v>11051.9</v>
      </c>
      <c r="FQ20" s="48">
        <v>59685</v>
      </c>
      <c r="FR20" s="48">
        <v>14.456</v>
      </c>
      <c r="FS20" s="37">
        <f t="shared" si="43"/>
        <v>35000</v>
      </c>
      <c r="FT20" s="48">
        <f t="shared" si="79"/>
        <v>-420.69999999924403</v>
      </c>
      <c r="FU20" s="48">
        <f t="shared" si="80"/>
        <v>35420.699999999248</v>
      </c>
      <c r="FV20" s="44">
        <v>5125600</v>
      </c>
      <c r="FW20" s="44">
        <v>1594500</v>
      </c>
      <c r="FX20" s="37">
        <f t="shared" si="44"/>
        <v>32300</v>
      </c>
      <c r="FY20" s="56">
        <v>3575.1</v>
      </c>
      <c r="FZ20" s="63">
        <v>2.1518000000000002</v>
      </c>
      <c r="GA20" s="37">
        <f t="shared" si="45"/>
        <v>8269.9999999999091</v>
      </c>
      <c r="GB20" s="56">
        <v>835.14</v>
      </c>
      <c r="GC20" s="56">
        <v>935.68</v>
      </c>
      <c r="GD20" s="37">
        <f t="shared" si="46"/>
        <v>949.99999999993179</v>
      </c>
      <c r="GE20" s="56">
        <v>10308</v>
      </c>
      <c r="GF20" s="56">
        <v>3.5626000000000002</v>
      </c>
      <c r="GG20" s="37">
        <f t="shared" si="47"/>
        <v>8299.9999999999545</v>
      </c>
      <c r="GH20" s="153">
        <v>1998.4</v>
      </c>
      <c r="GI20" s="162">
        <v>1711</v>
      </c>
      <c r="GJ20" s="38">
        <f t="shared" si="48"/>
        <v>1700.0000000000455</v>
      </c>
      <c r="GK20" s="162">
        <v>1489.2</v>
      </c>
      <c r="GL20" s="163">
        <v>1128.5</v>
      </c>
      <c r="GM20" s="38">
        <f t="shared" si="49"/>
        <v>0</v>
      </c>
      <c r="GN20" s="57">
        <v>208280</v>
      </c>
      <c r="GO20" s="57">
        <v>184510</v>
      </c>
      <c r="GP20" s="38">
        <f t="shared" si="99"/>
        <v>0</v>
      </c>
      <c r="GQ20" s="38">
        <v>276220</v>
      </c>
      <c r="GR20" s="38">
        <v>270620</v>
      </c>
      <c r="GS20" s="38">
        <f t="shared" si="81"/>
        <v>330</v>
      </c>
      <c r="GT20" s="178"/>
      <c r="GU20" s="144">
        <f>DailyJun!B19-DailyJun!N19-DailyJun!V19-DailyJun!Y19-DailyJun!Z19-DailyJun!AA19-DailyJun!AB19-DailyJun!AC19-DailyJun!AD19-DailyJun!AE19-DailyJun!AK19-DailyJun!AO19-DailyJun!AS19-DailyJun!AY19-DailyJun!BD19+DailyJun!BU19-DailyJun!BG19-DailyJun!BT19-DailyJun!AF19-DailyJun!AG19</f>
        <v>2.0000017975689843E-2</v>
      </c>
      <c r="GV20" s="59">
        <v>2103.4699999999998</v>
      </c>
      <c r="GW20" s="60">
        <f t="shared" si="50"/>
        <v>140.23133333333331</v>
      </c>
      <c r="GX20" s="61">
        <v>140.22999999999999</v>
      </c>
      <c r="GY20" s="140"/>
      <c r="GZ20" s="62"/>
      <c r="HA20" s="62"/>
      <c r="HB20" s="74"/>
      <c r="HC20" s="62"/>
      <c r="HD20" s="74"/>
      <c r="HE20" s="24">
        <f t="shared" si="51"/>
        <v>0</v>
      </c>
      <c r="HF20" s="151"/>
      <c r="HG20" s="213">
        <v>14</v>
      </c>
      <c r="HH20" s="16">
        <v>13192</v>
      </c>
      <c r="HI20" s="128">
        <v>5082.8</v>
      </c>
      <c r="HJ20" s="16">
        <f t="shared" si="52"/>
        <v>144000</v>
      </c>
      <c r="HK20" s="16">
        <v>1.9189000000000001</v>
      </c>
      <c r="HL20" s="16">
        <v>660.93</v>
      </c>
      <c r="HM20" s="16">
        <f t="shared" si="101"/>
        <v>0</v>
      </c>
      <c r="HN20" s="16">
        <v>3419.6</v>
      </c>
      <c r="HO20" s="16">
        <v>1494.6</v>
      </c>
      <c r="HP20" s="16">
        <f t="shared" si="54"/>
        <v>37707.499999999818</v>
      </c>
      <c r="HQ20" s="16">
        <v>2827.4</v>
      </c>
      <c r="HR20" s="16">
        <v>1218.7</v>
      </c>
      <c r="HS20" s="16">
        <f t="shared" si="55"/>
        <v>17007.5</v>
      </c>
      <c r="HT20" s="16">
        <v>2468.3000000000002</v>
      </c>
      <c r="HU20" s="16">
        <v>942.92</v>
      </c>
      <c r="HV20" s="16">
        <f t="shared" si="56"/>
        <v>27207.500000000273</v>
      </c>
      <c r="HW20" s="16">
        <v>1463.5</v>
      </c>
      <c r="HX20" s="16">
        <v>643.36</v>
      </c>
      <c r="HY20" s="16">
        <f t="shared" si="57"/>
        <v>19407.500000000091</v>
      </c>
      <c r="HZ20" s="16">
        <v>418630</v>
      </c>
      <c r="IA20" s="16">
        <v>202040</v>
      </c>
      <c r="IB20" s="16">
        <f t="shared" si="58"/>
        <v>25470</v>
      </c>
      <c r="IC20" s="16">
        <v>719.8</v>
      </c>
      <c r="ID20" s="16">
        <v>232.78</v>
      </c>
      <c r="IE20" s="16">
        <f t="shared" si="59"/>
        <v>0</v>
      </c>
      <c r="IF20" s="16"/>
      <c r="IG20" s="16"/>
      <c r="IH20" s="128">
        <f t="shared" si="60"/>
        <v>17200</v>
      </c>
      <c r="II20" s="211">
        <f t="shared" si="61"/>
        <v>-1.8189894035458565E-10</v>
      </c>
      <c r="IJ20" s="16"/>
      <c r="IK20" s="16"/>
      <c r="IL20" s="16">
        <f t="shared" si="102"/>
        <v>0</v>
      </c>
      <c r="IM20" s="16"/>
      <c r="IN20" s="16"/>
      <c r="IO20" s="16">
        <f t="shared" si="103"/>
        <v>0</v>
      </c>
      <c r="IP20" s="16"/>
      <c r="IQ20" s="16"/>
      <c r="IR20" s="16">
        <f t="shared" si="104"/>
        <v>0</v>
      </c>
      <c r="IS20" s="16"/>
      <c r="IT20" s="16"/>
      <c r="IU20" s="16">
        <f t="shared" si="105"/>
        <v>0</v>
      </c>
      <c r="IV20" s="16"/>
      <c r="IW20" s="16"/>
      <c r="IX20" s="16">
        <f t="shared" si="106"/>
        <v>0</v>
      </c>
      <c r="IY20" s="16"/>
      <c r="IZ20" s="16"/>
      <c r="JA20" s="16">
        <f t="shared" si="107"/>
        <v>0</v>
      </c>
      <c r="JB20" s="16"/>
      <c r="JC20" s="16"/>
      <c r="JD20" s="16">
        <f t="shared" si="108"/>
        <v>0</v>
      </c>
      <c r="JE20" s="16"/>
      <c r="JF20" s="16"/>
      <c r="JG20" s="16">
        <f t="shared" si="109"/>
        <v>0</v>
      </c>
      <c r="JH20" s="16"/>
      <c r="JI20" s="16"/>
      <c r="JJ20" s="16">
        <f t="shared" si="110"/>
        <v>0</v>
      </c>
      <c r="JK20" s="16"/>
      <c r="JL20" s="16"/>
      <c r="JM20" s="16">
        <f t="shared" si="111"/>
        <v>0</v>
      </c>
      <c r="JN20" s="16"/>
      <c r="JO20" s="16"/>
      <c r="JP20" s="16">
        <f t="shared" si="112"/>
        <v>0</v>
      </c>
      <c r="JQ20" s="16"/>
      <c r="JR20" s="16"/>
      <c r="JS20" s="16">
        <f t="shared" si="113"/>
        <v>0</v>
      </c>
      <c r="JT20" s="16"/>
      <c r="JU20" s="16"/>
      <c r="JV20" s="16">
        <f t="shared" si="114"/>
        <v>0</v>
      </c>
      <c r="JW20" s="16"/>
      <c r="JX20" s="16"/>
      <c r="JY20" s="16">
        <f t="shared" si="115"/>
        <v>0</v>
      </c>
      <c r="JZ20" s="16"/>
      <c r="KA20" s="16"/>
      <c r="KB20" s="16">
        <f t="shared" si="116"/>
        <v>0</v>
      </c>
      <c r="KC20" s="16"/>
      <c r="KD20" s="16"/>
      <c r="KE20" s="16">
        <f t="shared" si="117"/>
        <v>0</v>
      </c>
      <c r="KG20" s="151">
        <f t="shared" si="62"/>
        <v>63177.499999999636</v>
      </c>
    </row>
    <row r="21" spans="1:293" x14ac:dyDescent="0.25">
      <c r="A21" s="35">
        <f t="shared" si="2"/>
        <v>15</v>
      </c>
      <c r="B21" s="38">
        <v>4600.09</v>
      </c>
      <c r="C21" s="38">
        <f t="shared" si="3"/>
        <v>10.199999999999818</v>
      </c>
      <c r="D21" s="38">
        <f t="shared" si="4"/>
        <v>326399.99999999418</v>
      </c>
      <c r="E21" s="38">
        <v>926.16</v>
      </c>
      <c r="F21" s="38">
        <f t="shared" si="5"/>
        <v>69759.999999998399</v>
      </c>
      <c r="G21" s="38">
        <f t="shared" si="6"/>
        <v>396159.99999999255</v>
      </c>
      <c r="H21" s="37"/>
      <c r="I21" s="39"/>
      <c r="J21" s="42"/>
      <c r="K21" s="37">
        <f t="shared" si="82"/>
        <v>0</v>
      </c>
      <c r="L21" s="40">
        <v>14318200</v>
      </c>
      <c r="M21" s="40"/>
      <c r="N21" s="37">
        <f t="shared" si="83"/>
        <v>389000</v>
      </c>
      <c r="O21" s="37">
        <v>11416.6</v>
      </c>
      <c r="P21" s="37"/>
      <c r="Q21" s="37">
        <f t="shared" si="7"/>
        <v>12600.000000000364</v>
      </c>
      <c r="R21" s="37">
        <f t="shared" si="84"/>
        <v>1</v>
      </c>
      <c r="S21" s="37">
        <v>11242545.58</v>
      </c>
      <c r="T21" s="37">
        <f t="shared" si="8"/>
        <v>241.47000000067055</v>
      </c>
      <c r="U21" s="37">
        <v>1523790.61</v>
      </c>
      <c r="V21" s="37">
        <f t="shared" si="9"/>
        <v>0</v>
      </c>
      <c r="W21" s="37">
        <v>4086.6</v>
      </c>
      <c r="X21" s="37">
        <f t="shared" si="97"/>
        <v>12258.529999999693</v>
      </c>
      <c r="Y21" s="183"/>
      <c r="Z21" s="183"/>
      <c r="AA21" s="37">
        <v>789000</v>
      </c>
      <c r="AB21" s="37">
        <f t="shared" si="10"/>
        <v>100</v>
      </c>
      <c r="AC21" s="37">
        <v>4250.1000000000004</v>
      </c>
      <c r="AD21" s="37"/>
      <c r="AE21" s="37">
        <f t="shared" si="11"/>
        <v>2900.0000000005457</v>
      </c>
      <c r="AF21" s="37">
        <f t="shared" si="85"/>
        <v>1</v>
      </c>
      <c r="AG21" s="37">
        <v>9265.5</v>
      </c>
      <c r="AH21" s="67"/>
      <c r="AI21" s="37">
        <f t="shared" si="12"/>
        <v>10047.680000000364</v>
      </c>
      <c r="AJ21" s="37">
        <f t="shared" si="13"/>
        <v>1</v>
      </c>
      <c r="AK21" s="37">
        <f t="shared" si="14"/>
        <v>25447.680000001274</v>
      </c>
      <c r="AL21" s="42">
        <v>11104.5</v>
      </c>
      <c r="AM21" s="42"/>
      <c r="AN21" s="37">
        <f t="shared" si="63"/>
        <v>4097.6799999993591</v>
      </c>
      <c r="AO21" s="37">
        <f t="shared" si="86"/>
        <v>1</v>
      </c>
      <c r="AP21" s="37">
        <v>8644.6</v>
      </c>
      <c r="AQ21" s="37"/>
      <c r="AR21" s="37">
        <f t="shared" si="15"/>
        <v>8000</v>
      </c>
      <c r="AS21" s="37">
        <f t="shared" si="87"/>
        <v>1</v>
      </c>
      <c r="AT21" s="183"/>
      <c r="AU21" s="183"/>
      <c r="AV21" s="183"/>
      <c r="AW21" s="183"/>
      <c r="AX21" s="37">
        <v>493330</v>
      </c>
      <c r="AY21" s="37"/>
      <c r="AZ21" s="37">
        <f t="shared" si="16"/>
        <v>400</v>
      </c>
      <c r="BA21" s="37">
        <v>161640</v>
      </c>
      <c r="BB21" s="37"/>
      <c r="BC21" s="37">
        <f t="shared" si="17"/>
        <v>630</v>
      </c>
      <c r="BD21" s="37">
        <f t="shared" si="88"/>
        <v>13127.67999999936</v>
      </c>
      <c r="BE21" s="43">
        <v>1949.3</v>
      </c>
      <c r="BF21" s="43">
        <v>1078.3</v>
      </c>
      <c r="BG21" s="37">
        <f t="shared" si="18"/>
        <v>2000</v>
      </c>
      <c r="BH21" s="44">
        <v>9118.9</v>
      </c>
      <c r="BI21" s="44">
        <v>5870.3</v>
      </c>
      <c r="BJ21" s="37">
        <f t="shared" si="19"/>
        <v>9399.9999999996362</v>
      </c>
      <c r="BK21" s="40">
        <v>1656060</v>
      </c>
      <c r="BL21" s="40">
        <f t="shared" si="89"/>
        <v>3930</v>
      </c>
      <c r="BM21" s="40">
        <v>885.68</v>
      </c>
      <c r="BN21" s="37">
        <f t="shared" si="20"/>
        <v>719.9999999999136</v>
      </c>
      <c r="BO21" s="186"/>
      <c r="BP21" s="183">
        <f t="shared" si="21"/>
        <v>0</v>
      </c>
      <c r="BQ21" s="40">
        <v>836.9</v>
      </c>
      <c r="BR21" s="37">
        <f>IF((BQ21-BQ20)&lt;=0,0,(BQ21-BQ20))*1000</f>
        <v>500</v>
      </c>
      <c r="BS21" s="37">
        <v>102900.29</v>
      </c>
      <c r="BT21" s="37">
        <f t="shared" si="22"/>
        <v>190.16999999999825</v>
      </c>
      <c r="BU21" s="42">
        <v>2895300</v>
      </c>
      <c r="BV21" s="42"/>
      <c r="BW21" s="37">
        <f t="shared" si="23"/>
        <v>7800</v>
      </c>
      <c r="BX21" s="37">
        <f t="shared" si="90"/>
        <v>1</v>
      </c>
      <c r="BY21" s="43">
        <v>360.67340000000002</v>
      </c>
      <c r="BZ21" s="43"/>
      <c r="CA21" s="37">
        <f t="shared" ref="CA21:CA38" si="118">IF((BY21-BY20)&lt;=0,0,(BY21-BY20)*1000)</f>
        <v>626.59999999999627</v>
      </c>
      <c r="CB21" s="37">
        <f t="shared" si="65"/>
        <v>1</v>
      </c>
      <c r="CC21" s="37">
        <v>677290</v>
      </c>
      <c r="CD21" s="37">
        <f t="shared" si="25"/>
        <v>2020</v>
      </c>
      <c r="CE21" s="41">
        <v>1305800</v>
      </c>
      <c r="CF21" s="37">
        <f t="shared" si="26"/>
        <v>5000</v>
      </c>
      <c r="CG21" s="37">
        <v>72811</v>
      </c>
      <c r="CH21" s="37">
        <f t="shared" si="66"/>
        <v>0</v>
      </c>
      <c r="CI21" s="40">
        <v>13146.63</v>
      </c>
      <c r="CJ21" s="40"/>
      <c r="CK21" s="37">
        <f t="shared" si="67"/>
        <v>16851.079999998841</v>
      </c>
      <c r="CL21" s="37">
        <f t="shared" si="27"/>
        <v>1</v>
      </c>
      <c r="CM21" s="37">
        <v>3708.375</v>
      </c>
      <c r="CN21" s="37"/>
      <c r="CO21" s="37">
        <f t="shared" si="28"/>
        <v>8725.6799999997929</v>
      </c>
      <c r="CP21" s="37">
        <f t="shared" si="91"/>
        <v>1</v>
      </c>
      <c r="CQ21" s="39">
        <v>299895.59999999998</v>
      </c>
      <c r="CR21" s="39"/>
      <c r="CS21" s="37">
        <f t="shared" si="68"/>
        <v>7009.4799999999886</v>
      </c>
      <c r="CT21" s="37">
        <f t="shared" si="69"/>
        <v>1</v>
      </c>
      <c r="CU21" s="37">
        <v>3717600</v>
      </c>
      <c r="CV21" s="37"/>
      <c r="CW21" s="38">
        <f t="shared" si="29"/>
        <v>14800</v>
      </c>
      <c r="CX21" s="37">
        <f t="shared" si="92"/>
        <v>1</v>
      </c>
      <c r="CY21" s="37">
        <v>1956200</v>
      </c>
      <c r="CZ21" s="37"/>
      <c r="DA21" s="37">
        <f t="shared" si="30"/>
        <v>8300</v>
      </c>
      <c r="DB21" s="37">
        <f t="shared" si="93"/>
        <v>1</v>
      </c>
      <c r="DC21" s="37"/>
      <c r="DD21" s="40"/>
      <c r="DE21" s="37">
        <f t="shared" si="31"/>
        <v>0</v>
      </c>
      <c r="DF21" s="37">
        <f t="shared" si="98"/>
        <v>0</v>
      </c>
      <c r="DG21" s="37">
        <f t="shared" si="32"/>
        <v>-63486.239999998623</v>
      </c>
      <c r="DH21" s="37">
        <f t="shared" si="33"/>
        <v>416447.68000000127</v>
      </c>
      <c r="DI21" s="46"/>
      <c r="DJ21" s="46"/>
      <c r="DK21" s="47"/>
      <c r="DL21" s="47"/>
      <c r="DM21" s="37"/>
      <c r="DN21" s="37"/>
      <c r="DO21" s="37"/>
      <c r="DP21" s="37"/>
      <c r="DQ21" s="50">
        <v>3677200</v>
      </c>
      <c r="DR21" s="49">
        <f t="shared" si="70"/>
        <v>10400</v>
      </c>
      <c r="DS21" s="50">
        <v>4190100</v>
      </c>
      <c r="DT21" s="49">
        <f t="shared" si="71"/>
        <v>20500</v>
      </c>
      <c r="DU21" s="52">
        <v>8082.2</v>
      </c>
      <c r="DV21" s="52">
        <v>4536.6000000000004</v>
      </c>
      <c r="DW21" s="37">
        <f t="shared" si="94"/>
        <v>4300.0000000001819</v>
      </c>
      <c r="DX21" s="52">
        <v>13313</v>
      </c>
      <c r="DY21" s="52">
        <v>8458.7999999999993</v>
      </c>
      <c r="DZ21" s="37">
        <f t="shared" si="34"/>
        <v>8447.68</v>
      </c>
      <c r="EA21" s="49">
        <v>30579</v>
      </c>
      <c r="EB21" s="49">
        <v>21.201000000000001</v>
      </c>
      <c r="EC21" s="37">
        <f t="shared" si="35"/>
        <v>25607.68</v>
      </c>
      <c r="ED21" s="53">
        <f t="shared" si="36"/>
        <v>38355.360000000182</v>
      </c>
      <c r="EE21" s="49">
        <v>46069</v>
      </c>
      <c r="EF21" s="49">
        <v>30.010999999999999</v>
      </c>
      <c r="EG21" s="37">
        <f t="shared" si="37"/>
        <v>29607.68</v>
      </c>
      <c r="EH21" s="52">
        <v>13339</v>
      </c>
      <c r="EI21" s="52">
        <v>1.8508</v>
      </c>
      <c r="EJ21" s="37">
        <f t="shared" si="38"/>
        <v>11447.68</v>
      </c>
      <c r="EK21" s="37">
        <v>812.89</v>
      </c>
      <c r="EL21" s="40">
        <v>1164.7</v>
      </c>
      <c r="EM21" s="37">
        <f t="shared" si="72"/>
        <v>750</v>
      </c>
      <c r="EN21" s="54">
        <f t="shared" si="73"/>
        <v>41805.360000000001</v>
      </c>
      <c r="EO21" s="48">
        <v>13180</v>
      </c>
      <c r="EP21" s="48">
        <v>4609.3999999999996</v>
      </c>
      <c r="EQ21" s="37">
        <f t="shared" si="74"/>
        <v>6492.6800000000167</v>
      </c>
      <c r="ER21" s="48">
        <v>9757</v>
      </c>
      <c r="ES21" s="48">
        <v>4013.5</v>
      </c>
      <c r="ET21" s="49">
        <f t="shared" si="100"/>
        <v>12799.999999999272</v>
      </c>
      <c r="EU21" s="48">
        <v>3804.3</v>
      </c>
      <c r="EV21" s="48">
        <v>1351.6</v>
      </c>
      <c r="EW21" s="49">
        <f t="shared" si="40"/>
        <v>9147.6800000002731</v>
      </c>
      <c r="EX21" s="48">
        <v>13792</v>
      </c>
      <c r="EY21" s="48">
        <v>1.6180000000000001</v>
      </c>
      <c r="EZ21" s="37">
        <f t="shared" si="41"/>
        <v>11447.68</v>
      </c>
      <c r="FA21" s="48">
        <f t="shared" si="75"/>
        <v>-19658.039999999564</v>
      </c>
      <c r="FB21" s="48">
        <v>37054443</v>
      </c>
      <c r="FC21" s="49">
        <f t="shared" si="95"/>
        <v>20230</v>
      </c>
      <c r="FD21" s="48">
        <f t="shared" si="76"/>
        <v>41388.039999999557</v>
      </c>
      <c r="FE21" s="48">
        <v>17268</v>
      </c>
      <c r="FF21" s="48">
        <v>6137</v>
      </c>
      <c r="FG21" s="37">
        <f t="shared" si="77"/>
        <v>9051.0099999999838</v>
      </c>
      <c r="FH21" s="48">
        <v>9152.1</v>
      </c>
      <c r="FI21" s="48">
        <v>3.5345</v>
      </c>
      <c r="FJ21" s="49">
        <f t="shared" si="42"/>
        <v>15196.010000000364</v>
      </c>
      <c r="FK21" s="48"/>
      <c r="FL21" s="58">
        <v>-351.67</v>
      </c>
      <c r="FM21" s="48">
        <f t="shared" si="96"/>
        <v>-447.67666666678269</v>
      </c>
      <c r="FN21" s="48">
        <v>16895</v>
      </c>
      <c r="FO21" s="48">
        <v>0.87250000000000005</v>
      </c>
      <c r="FP21" s="37">
        <f t="shared" si="78"/>
        <v>11096.01</v>
      </c>
      <c r="FQ21" s="48">
        <v>59719</v>
      </c>
      <c r="FR21" s="48">
        <v>14.465</v>
      </c>
      <c r="FS21" s="37">
        <f t="shared" si="43"/>
        <v>34000</v>
      </c>
      <c r="FT21" s="48">
        <f t="shared" si="79"/>
        <v>-1343.0300000003481</v>
      </c>
      <c r="FU21" s="48">
        <f>FG21+FJ21+FP21+GM21</f>
        <v>35343.030000000348</v>
      </c>
      <c r="FV21" s="44">
        <v>5157600</v>
      </c>
      <c r="FW21" s="44">
        <v>1602600</v>
      </c>
      <c r="FX21" s="37">
        <f t="shared" si="44"/>
        <v>32000</v>
      </c>
      <c r="FY21" s="56">
        <v>3583.9</v>
      </c>
      <c r="FZ21" s="56">
        <v>2.1537000000000002</v>
      </c>
      <c r="GA21" s="37">
        <f t="shared" si="45"/>
        <v>8460.0000000001819</v>
      </c>
      <c r="GB21" s="56">
        <v>835.99</v>
      </c>
      <c r="GC21" s="56">
        <v>936.63</v>
      </c>
      <c r="GD21" s="37">
        <f t="shared" si="46"/>
        <v>850.00000000002274</v>
      </c>
      <c r="GE21" s="56">
        <v>10317</v>
      </c>
      <c r="GF21" s="56">
        <v>3.5695999999999999</v>
      </c>
      <c r="GG21" s="37">
        <f t="shared" si="47"/>
        <v>7500</v>
      </c>
      <c r="GH21" s="153">
        <v>1999.9</v>
      </c>
      <c r="GI21" s="162">
        <v>1712.5</v>
      </c>
      <c r="GJ21" s="38">
        <f t="shared" si="48"/>
        <v>1500</v>
      </c>
      <c r="GK21" s="162">
        <v>1489.2</v>
      </c>
      <c r="GL21" s="163">
        <v>1128.5</v>
      </c>
      <c r="GM21" s="38">
        <f t="shared" si="49"/>
        <v>0</v>
      </c>
      <c r="GN21" s="57">
        <v>208290</v>
      </c>
      <c r="GO21" s="57">
        <v>184520</v>
      </c>
      <c r="GP21" s="38">
        <f t="shared" si="99"/>
        <v>10</v>
      </c>
      <c r="GQ21" s="38">
        <v>276560</v>
      </c>
      <c r="GR21" s="38">
        <v>270870</v>
      </c>
      <c r="GS21" s="38">
        <f t="shared" si="81"/>
        <v>340</v>
      </c>
      <c r="GT21" s="178"/>
      <c r="GU21" s="144">
        <f>DailyJun!B20-DailyJun!N20-DailyJun!V20-DailyJun!Y20-DailyJun!Z20-DailyJun!AA20-DailyJun!AB20-DailyJun!AC20-DailyJun!AD20-DailyJun!AE20-DailyJun!AK20-DailyJun!AO20-DailyJun!AS20-DailyJun!AY20-DailyJun!BD20+DailyJun!BU20-DailyJun!BG20-DailyJun!BT20-DailyJun!AF20-DailyJun!AG20</f>
        <v>9.9999934172956273E-3</v>
      </c>
      <c r="GV21" s="59">
        <v>6715.21</v>
      </c>
      <c r="GW21" s="60">
        <f t="shared" si="50"/>
        <v>447.6806666666667</v>
      </c>
      <c r="GX21" s="61">
        <v>447.68</v>
      </c>
      <c r="GY21" s="140"/>
      <c r="GZ21" s="62"/>
      <c r="HA21" s="62"/>
      <c r="HB21" s="74"/>
      <c r="HC21" s="62"/>
      <c r="HD21" s="74"/>
      <c r="HE21" s="24">
        <f t="shared" si="51"/>
        <v>0</v>
      </c>
      <c r="HF21" s="151"/>
      <c r="HG21" s="213">
        <v>15</v>
      </c>
      <c r="HH21" s="16">
        <v>13340</v>
      </c>
      <c r="HI21" s="16">
        <v>5140.2</v>
      </c>
      <c r="HJ21" s="16">
        <f t="shared" si="52"/>
        <v>148000</v>
      </c>
      <c r="HK21" s="16">
        <v>1.9189000000000001</v>
      </c>
      <c r="HL21" s="16">
        <v>660.93</v>
      </c>
      <c r="HM21" s="16">
        <f t="shared" si="101"/>
        <v>0</v>
      </c>
      <c r="HN21" s="16">
        <v>3456.4</v>
      </c>
      <c r="HO21" s="16">
        <v>1511</v>
      </c>
      <c r="HP21" s="16">
        <f t="shared" si="54"/>
        <v>36952.500000000182</v>
      </c>
      <c r="HQ21" s="16">
        <v>2849.5</v>
      </c>
      <c r="HR21" s="16">
        <v>1228.0999999999999</v>
      </c>
      <c r="HS21" s="16">
        <f t="shared" si="55"/>
        <v>22252.499999999909</v>
      </c>
      <c r="HT21" s="16">
        <v>2493.3000000000002</v>
      </c>
      <c r="HU21" s="16">
        <v>951.62</v>
      </c>
      <c r="HV21" s="16">
        <f t="shared" si="56"/>
        <v>25152.5</v>
      </c>
      <c r="HW21" s="16">
        <v>1484</v>
      </c>
      <c r="HX21" s="16">
        <v>652.41999999999996</v>
      </c>
      <c r="HY21" s="16">
        <f t="shared" si="57"/>
        <v>20652.5</v>
      </c>
      <c r="HZ21" s="16">
        <v>441120</v>
      </c>
      <c r="IA21" s="16">
        <v>211840</v>
      </c>
      <c r="IB21" s="16">
        <f t="shared" si="58"/>
        <v>22490</v>
      </c>
      <c r="IC21" s="16">
        <v>719.8</v>
      </c>
      <c r="ID21" s="16">
        <v>232.78</v>
      </c>
      <c r="IE21" s="16">
        <f t="shared" si="59"/>
        <v>0</v>
      </c>
      <c r="IF21" s="16"/>
      <c r="IG21" s="16"/>
      <c r="IH21" s="128">
        <f t="shared" si="60"/>
        <v>20500</v>
      </c>
      <c r="II21" s="211">
        <f t="shared" si="61"/>
        <v>-9.4587448984384537E-11</v>
      </c>
      <c r="IJ21" s="16"/>
      <c r="IK21" s="16"/>
      <c r="IL21" s="16">
        <f t="shared" si="102"/>
        <v>0</v>
      </c>
      <c r="IM21" s="16"/>
      <c r="IN21" s="16"/>
      <c r="IO21" s="16">
        <f t="shared" si="103"/>
        <v>0</v>
      </c>
      <c r="IP21" s="16"/>
      <c r="IQ21" s="16"/>
      <c r="IR21" s="16">
        <f t="shared" si="104"/>
        <v>0</v>
      </c>
      <c r="IS21" s="16"/>
      <c r="IT21" s="16"/>
      <c r="IU21" s="16">
        <f t="shared" si="105"/>
        <v>0</v>
      </c>
      <c r="IV21" s="16"/>
      <c r="IW21" s="16"/>
      <c r="IX21" s="16">
        <f t="shared" si="106"/>
        <v>0</v>
      </c>
      <c r="IY21" s="16"/>
      <c r="IZ21" s="16"/>
      <c r="JA21" s="16">
        <f t="shared" si="107"/>
        <v>0</v>
      </c>
      <c r="JB21" s="16"/>
      <c r="JC21" s="16"/>
      <c r="JD21" s="16">
        <f t="shared" si="108"/>
        <v>0</v>
      </c>
      <c r="JE21" s="16"/>
      <c r="JF21" s="16"/>
      <c r="JG21" s="16">
        <f t="shared" si="109"/>
        <v>0</v>
      </c>
      <c r="JH21" s="16"/>
      <c r="JI21" s="16"/>
      <c r="JJ21" s="16">
        <f t="shared" si="110"/>
        <v>0</v>
      </c>
      <c r="JK21" s="16"/>
      <c r="JL21" s="16"/>
      <c r="JM21" s="16">
        <f t="shared" si="111"/>
        <v>0</v>
      </c>
      <c r="JN21" s="16"/>
      <c r="JO21" s="16"/>
      <c r="JP21" s="16">
        <f t="shared" si="112"/>
        <v>0</v>
      </c>
      <c r="JQ21" s="16"/>
      <c r="JR21" s="16"/>
      <c r="JS21" s="16">
        <f t="shared" si="113"/>
        <v>0</v>
      </c>
      <c r="JT21" s="16"/>
      <c r="JU21" s="16"/>
      <c r="JV21" s="16">
        <f t="shared" si="114"/>
        <v>0</v>
      </c>
      <c r="JW21" s="16"/>
      <c r="JX21" s="16"/>
      <c r="JY21" s="16">
        <f t="shared" si="115"/>
        <v>0</v>
      </c>
      <c r="JZ21" s="16"/>
      <c r="KA21" s="16"/>
      <c r="KB21" s="16">
        <f t="shared" si="116"/>
        <v>0</v>
      </c>
      <c r="KC21" s="16"/>
      <c r="KD21" s="16"/>
      <c r="KE21" s="16">
        <f t="shared" si="117"/>
        <v>0</v>
      </c>
      <c r="KG21" s="151">
        <f t="shared" si="62"/>
        <v>59442.500000000087</v>
      </c>
    </row>
    <row r="22" spans="1:293" x14ac:dyDescent="0.25">
      <c r="A22" s="35">
        <f t="shared" si="2"/>
        <v>16</v>
      </c>
      <c r="B22" s="38">
        <v>4610.79</v>
      </c>
      <c r="C22" s="38">
        <f t="shared" si="3"/>
        <v>10.699999999999818</v>
      </c>
      <c r="D22" s="38">
        <f t="shared" si="4"/>
        <v>342399.99999999418</v>
      </c>
      <c r="E22" s="38">
        <v>928.34</v>
      </c>
      <c r="F22" s="38">
        <f t="shared" si="5"/>
        <v>69760.000000002037</v>
      </c>
      <c r="G22" s="38">
        <f t="shared" si="6"/>
        <v>412159.99999999622</v>
      </c>
      <c r="H22" s="37"/>
      <c r="I22" s="39"/>
      <c r="J22" s="42"/>
      <c r="K22" s="37">
        <f>IF(J22&lt;=0,0,(J22/SQRT(J22^2+(I22-I21)^2)))</f>
        <v>0</v>
      </c>
      <c r="L22" s="40">
        <v>14359000</v>
      </c>
      <c r="M22" s="40"/>
      <c r="N22" s="37">
        <f t="shared" si="83"/>
        <v>408000</v>
      </c>
      <c r="O22" s="37">
        <v>11434.7</v>
      </c>
      <c r="P22" s="37"/>
      <c r="Q22" s="37">
        <f>IF((O22-O21)&lt;=0,0,(O22-O21))*1000</f>
        <v>18100.000000000364</v>
      </c>
      <c r="R22" s="37">
        <f>IF(Q22&lt;=0,0,(Q22/SQRT(Q22^2+(P22-P21)^2)))</f>
        <v>1</v>
      </c>
      <c r="S22" s="37">
        <v>11242869.880000001</v>
      </c>
      <c r="T22" s="37">
        <f t="shared" si="8"/>
        <v>324.30000000074506</v>
      </c>
      <c r="U22" s="37">
        <v>1523790.61</v>
      </c>
      <c r="V22" s="37">
        <f t="shared" si="9"/>
        <v>0</v>
      </c>
      <c r="W22" s="37">
        <v>4093.2</v>
      </c>
      <c r="X22" s="37">
        <f t="shared" si="97"/>
        <v>17675.699999999619</v>
      </c>
      <c r="Y22" s="183"/>
      <c r="Z22" s="183"/>
      <c r="AA22" s="37">
        <v>789100</v>
      </c>
      <c r="AB22" s="37">
        <f t="shared" si="10"/>
        <v>100</v>
      </c>
      <c r="AC22" s="37">
        <v>4254.3999999999996</v>
      </c>
      <c r="AD22" s="37"/>
      <c r="AE22" s="37">
        <f>IF((AC22-AC21)&lt;=0,0,(AC22-AC21))*1000</f>
        <v>4299.9999999992724</v>
      </c>
      <c r="AF22" s="37">
        <f>IF(AE22&lt;=0,0,(AE22/SQRT(AE22^2+(AD22-AD21)^2)))</f>
        <v>1</v>
      </c>
      <c r="AG22" s="37">
        <v>9281.2000000000007</v>
      </c>
      <c r="AH22" s="37"/>
      <c r="AI22" s="37">
        <f t="shared" si="12"/>
        <v>15705.770000000728</v>
      </c>
      <c r="AJ22" s="37">
        <f t="shared" si="13"/>
        <v>1</v>
      </c>
      <c r="AK22" s="37">
        <f t="shared" si="14"/>
        <v>38005.770000000368</v>
      </c>
      <c r="AL22" s="42">
        <v>11115.1</v>
      </c>
      <c r="AM22" s="42"/>
      <c r="AN22" s="37">
        <f t="shared" si="63"/>
        <v>5455.7700000003597</v>
      </c>
      <c r="AO22" s="37">
        <f t="shared" si="86"/>
        <v>1</v>
      </c>
      <c r="AP22" s="37">
        <v>8657.5</v>
      </c>
      <c r="AQ22" s="37"/>
      <c r="AR22" s="37">
        <f t="shared" si="15"/>
        <v>12899.999999999636</v>
      </c>
      <c r="AS22" s="37">
        <f t="shared" si="87"/>
        <v>1</v>
      </c>
      <c r="AT22" s="183"/>
      <c r="AU22" s="183"/>
      <c r="AV22" s="183"/>
      <c r="AW22" s="183"/>
      <c r="AX22" s="37">
        <v>493790</v>
      </c>
      <c r="AY22" s="37"/>
      <c r="AZ22" s="37">
        <f t="shared" si="16"/>
        <v>460</v>
      </c>
      <c r="BA22" s="37">
        <v>162320</v>
      </c>
      <c r="BB22" s="37"/>
      <c r="BC22" s="37">
        <f t="shared" si="17"/>
        <v>680</v>
      </c>
      <c r="BD22" s="37">
        <f t="shared" si="88"/>
        <v>19495.769999999997</v>
      </c>
      <c r="BE22" s="43">
        <v>1951.2</v>
      </c>
      <c r="BF22" s="43">
        <v>1079.5</v>
      </c>
      <c r="BG22" s="37">
        <f t="shared" si="18"/>
        <v>1900.0000000000909</v>
      </c>
      <c r="BH22" s="44">
        <v>9127.9</v>
      </c>
      <c r="BI22" s="44">
        <v>5876.3</v>
      </c>
      <c r="BJ22" s="37">
        <f t="shared" si="19"/>
        <v>9000</v>
      </c>
      <c r="BK22" s="40">
        <v>1660090</v>
      </c>
      <c r="BL22" s="40">
        <f t="shared" si="89"/>
        <v>4030</v>
      </c>
      <c r="BM22" s="40">
        <v>886.4</v>
      </c>
      <c r="BN22" s="37">
        <f t="shared" si="20"/>
        <v>720.00000000002728</v>
      </c>
      <c r="BO22" s="186"/>
      <c r="BP22" s="183">
        <f t="shared" si="21"/>
        <v>0</v>
      </c>
      <c r="BQ22" s="40">
        <v>837.3</v>
      </c>
      <c r="BR22" s="37">
        <f t="shared" si="64"/>
        <v>399.99999999997726</v>
      </c>
      <c r="BS22" s="37">
        <v>103113.89</v>
      </c>
      <c r="BT22" s="37">
        <f t="shared" si="22"/>
        <v>213.60000000000582</v>
      </c>
      <c r="BU22" s="42">
        <v>2903000</v>
      </c>
      <c r="BV22" s="42"/>
      <c r="BW22" s="37">
        <f t="shared" si="23"/>
        <v>7700</v>
      </c>
      <c r="BX22" s="37">
        <f t="shared" si="90"/>
        <v>1</v>
      </c>
      <c r="BY22" s="43">
        <v>361.28890000000001</v>
      </c>
      <c r="BZ22" s="43"/>
      <c r="CA22" s="37">
        <f t="shared" si="118"/>
        <v>615.49999999999727</v>
      </c>
      <c r="CB22" s="37">
        <f t="shared" si="65"/>
        <v>1</v>
      </c>
      <c r="CC22" s="37">
        <v>679320</v>
      </c>
      <c r="CD22" s="37">
        <f t="shared" si="25"/>
        <v>2030</v>
      </c>
      <c r="CE22" s="41">
        <v>1310700</v>
      </c>
      <c r="CF22" s="37">
        <f t="shared" si="26"/>
        <v>4900</v>
      </c>
      <c r="CG22" s="37">
        <v>72811</v>
      </c>
      <c r="CH22" s="37">
        <f t="shared" si="66"/>
        <v>0</v>
      </c>
      <c r="CI22" s="40">
        <v>13163.54</v>
      </c>
      <c r="CJ22" s="40"/>
      <c r="CK22" s="37">
        <f t="shared" si="67"/>
        <v>16300.270000001678</v>
      </c>
      <c r="CL22" s="37">
        <f t="shared" si="27"/>
        <v>1</v>
      </c>
      <c r="CM22" s="37">
        <v>3716.7339999999999</v>
      </c>
      <c r="CN22" s="37"/>
      <c r="CO22" s="37">
        <f t="shared" si="28"/>
        <v>8364.769999999924</v>
      </c>
      <c r="CP22" s="37">
        <f t="shared" si="91"/>
        <v>1</v>
      </c>
      <c r="CQ22" s="39">
        <v>306455</v>
      </c>
      <c r="CR22" s="39"/>
      <c r="CS22" s="37">
        <f t="shared" si="68"/>
        <v>6565.1700000000237</v>
      </c>
      <c r="CT22" s="37">
        <f t="shared" si="69"/>
        <v>1</v>
      </c>
      <c r="CU22" s="37">
        <v>3733200</v>
      </c>
      <c r="CV22" s="37"/>
      <c r="CW22" s="38">
        <f t="shared" si="29"/>
        <v>15600</v>
      </c>
      <c r="CX22" s="37">
        <f t="shared" si="92"/>
        <v>1</v>
      </c>
      <c r="CY22" s="37">
        <v>1965000</v>
      </c>
      <c r="CZ22" s="37"/>
      <c r="DA22" s="37">
        <f t="shared" si="30"/>
        <v>8800</v>
      </c>
      <c r="DB22" s="37">
        <f t="shared" si="93"/>
        <v>1</v>
      </c>
      <c r="DC22" s="37"/>
      <c r="DD22" s="40"/>
      <c r="DE22" s="37">
        <f t="shared" si="31"/>
        <v>0</v>
      </c>
      <c r="DF22" s="37">
        <f t="shared" si="98"/>
        <v>0</v>
      </c>
      <c r="DG22" s="37">
        <f t="shared" si="32"/>
        <v>-63330.210000001622</v>
      </c>
      <c r="DH22" s="37">
        <f t="shared" si="33"/>
        <v>447905.77000000048</v>
      </c>
      <c r="DI22" s="46"/>
      <c r="DJ22" s="46"/>
      <c r="DK22" s="47"/>
      <c r="DL22" s="47"/>
      <c r="DM22" s="37"/>
      <c r="DN22" s="37"/>
      <c r="DO22" s="37"/>
      <c r="DP22" s="37"/>
      <c r="DQ22" s="50">
        <v>3686100</v>
      </c>
      <c r="DR22" s="49">
        <f t="shared" si="70"/>
        <v>8900</v>
      </c>
      <c r="DS22" s="50">
        <v>4208800</v>
      </c>
      <c r="DT22" s="49">
        <f>IF((DS22-DS21)&lt;=0,0,(DS22-DS21))</f>
        <v>18700</v>
      </c>
      <c r="DU22" s="52">
        <v>8086.6</v>
      </c>
      <c r="DV22" s="52">
        <v>4539.5</v>
      </c>
      <c r="DW22" s="37">
        <f t="shared" si="94"/>
        <v>4400.0000000005457</v>
      </c>
      <c r="DX22" s="52">
        <v>13321</v>
      </c>
      <c r="DY22" s="52">
        <v>8461.2999999999993</v>
      </c>
      <c r="DZ22" s="37">
        <f t="shared" si="34"/>
        <v>8005.77</v>
      </c>
      <c r="EA22" s="49">
        <v>30601</v>
      </c>
      <c r="EB22" s="69">
        <v>21.213000000000001</v>
      </c>
      <c r="EC22" s="37">
        <f t="shared" si="35"/>
        <v>24165.77</v>
      </c>
      <c r="ED22" s="53">
        <f t="shared" si="36"/>
        <v>36571.540000000547</v>
      </c>
      <c r="EE22" s="49">
        <v>46091</v>
      </c>
      <c r="EF22" s="49">
        <v>30.032</v>
      </c>
      <c r="EG22" s="37">
        <f t="shared" si="37"/>
        <v>24165.77</v>
      </c>
      <c r="EH22" s="52">
        <v>13351</v>
      </c>
      <c r="EI22" s="52">
        <v>1.8541000000000001</v>
      </c>
      <c r="EJ22" s="37">
        <f t="shared" si="38"/>
        <v>12005.77</v>
      </c>
      <c r="EK22" s="37">
        <v>813.68</v>
      </c>
      <c r="EL22" s="40">
        <v>1165.9000000000001</v>
      </c>
      <c r="EM22" s="37">
        <f t="shared" si="72"/>
        <v>789.99999999996362</v>
      </c>
      <c r="EN22" s="54">
        <f t="shared" si="73"/>
        <v>36961.539999999964</v>
      </c>
      <c r="EO22" s="48">
        <v>13187</v>
      </c>
      <c r="EP22" s="48">
        <v>4611.6000000000004</v>
      </c>
      <c r="EQ22" s="37">
        <f t="shared" si="74"/>
        <v>6070.7699999999986</v>
      </c>
      <c r="ER22" s="48">
        <v>9769.7000000000007</v>
      </c>
      <c r="ES22" s="48">
        <v>4019.2</v>
      </c>
      <c r="ET22" s="49">
        <f t="shared" si="100"/>
        <v>12700.000000000728</v>
      </c>
      <c r="EU22" s="48">
        <v>3812.8</v>
      </c>
      <c r="EV22" s="48">
        <v>1354.7</v>
      </c>
      <c r="EW22" s="49">
        <f t="shared" si="40"/>
        <v>8505.77</v>
      </c>
      <c r="EX22" s="48">
        <v>13803</v>
      </c>
      <c r="EY22" s="48">
        <v>1.62</v>
      </c>
      <c r="EZ22" s="37">
        <f t="shared" si="41"/>
        <v>11005.77</v>
      </c>
      <c r="FA22" s="48">
        <f t="shared" si="75"/>
        <v>-18073.310000000725</v>
      </c>
      <c r="FB22" s="48">
        <v>37074652</v>
      </c>
      <c r="FC22" s="49">
        <f t="shared" si="95"/>
        <v>20209</v>
      </c>
      <c r="FD22" s="48">
        <f t="shared" si="76"/>
        <v>39382.310000000638</v>
      </c>
      <c r="FE22" s="48">
        <v>17276</v>
      </c>
      <c r="FF22" s="48">
        <v>6139.2</v>
      </c>
      <c r="FG22" s="37">
        <f t="shared" si="77"/>
        <v>8862.4400000000023</v>
      </c>
      <c r="FH22" s="48">
        <v>9167.4</v>
      </c>
      <c r="FI22" s="48">
        <v>3.5406</v>
      </c>
      <c r="FJ22" s="49">
        <f t="shared" si="42"/>
        <v>15227.439999999273</v>
      </c>
      <c r="FK22" s="48"/>
      <c r="FL22" s="58">
        <v>-78.33</v>
      </c>
      <c r="FM22" s="48">
        <f t="shared" si="96"/>
        <v>-5.7733333330919168</v>
      </c>
      <c r="FN22" s="48">
        <v>16907</v>
      </c>
      <c r="FO22" s="48">
        <v>0.87419999999999998</v>
      </c>
      <c r="FP22" s="37">
        <f t="shared" si="78"/>
        <v>11927.44</v>
      </c>
      <c r="FQ22" s="48">
        <v>59755</v>
      </c>
      <c r="FR22" s="48">
        <v>14.475</v>
      </c>
      <c r="FS22" s="37">
        <f t="shared" si="43"/>
        <v>36000</v>
      </c>
      <c r="FT22" s="48">
        <f t="shared" si="79"/>
        <v>-17.319999999275751</v>
      </c>
      <c r="FU22" s="48">
        <f t="shared" si="80"/>
        <v>36017.319999999279</v>
      </c>
      <c r="FV22" s="44">
        <v>5187100</v>
      </c>
      <c r="FW22" s="44">
        <v>1609200</v>
      </c>
      <c r="FX22" s="37">
        <f t="shared" si="44"/>
        <v>29500</v>
      </c>
      <c r="FY22" s="56">
        <v>3592</v>
      </c>
      <c r="FZ22" s="56">
        <v>2.1568000000000001</v>
      </c>
      <c r="GA22" s="37">
        <f t="shared" si="45"/>
        <v>7779.9999999999091</v>
      </c>
      <c r="GB22" s="56">
        <v>836.77</v>
      </c>
      <c r="GC22" s="56">
        <v>937.54</v>
      </c>
      <c r="GD22" s="37">
        <f t="shared" si="46"/>
        <v>779.99999999997272</v>
      </c>
      <c r="GE22" s="56">
        <v>10326</v>
      </c>
      <c r="GF22" s="56">
        <v>3.5760999999999998</v>
      </c>
      <c r="GG22" s="37">
        <f t="shared" si="47"/>
        <v>7900.0000000000909</v>
      </c>
      <c r="GH22" s="153">
        <v>2001</v>
      </c>
      <c r="GI22" s="162">
        <v>1713.9</v>
      </c>
      <c r="GJ22" s="38">
        <f t="shared" si="48"/>
        <v>1099.9999999999091</v>
      </c>
      <c r="GK22" s="162">
        <v>1489.2</v>
      </c>
      <c r="GL22" s="163">
        <v>1128.5</v>
      </c>
      <c r="GM22" s="38">
        <f t="shared" si="49"/>
        <v>0</v>
      </c>
      <c r="GN22" s="57">
        <v>208290</v>
      </c>
      <c r="GO22" s="57">
        <v>184520</v>
      </c>
      <c r="GP22" s="38">
        <f t="shared" si="99"/>
        <v>0</v>
      </c>
      <c r="GQ22" s="38">
        <v>276880</v>
      </c>
      <c r="GR22" s="38">
        <v>271100</v>
      </c>
      <c r="GS22" s="38">
        <f t="shared" si="81"/>
        <v>320</v>
      </c>
      <c r="GT22" s="178"/>
      <c r="GU22" s="144">
        <f>DailyJun!B21-DailyJun!N21-DailyJun!V21-DailyJun!Y21-DailyJun!Z21-DailyJun!AA21-DailyJun!AB21-DailyJun!AC21-DailyJun!AD21-DailyJun!AE21-DailyJun!AK21-DailyJun!AO21-DailyJun!AS21-DailyJun!AY21-DailyJun!BD21+DailyJun!BU21-DailyJun!BG21-DailyJun!BT21-DailyJun!AF21-DailyJun!AG21</f>
        <v>3.9999993605306372E-2</v>
      </c>
      <c r="GV22" s="59">
        <v>86.59</v>
      </c>
      <c r="GW22" s="60">
        <f t="shared" si="50"/>
        <v>5.7726666666666668</v>
      </c>
      <c r="GX22" s="61">
        <v>5.77</v>
      </c>
      <c r="GY22" s="140"/>
      <c r="GZ22" s="62"/>
      <c r="HA22" s="62"/>
      <c r="HB22" s="74"/>
      <c r="HC22" s="62"/>
      <c r="HD22" s="74"/>
      <c r="HE22" s="24">
        <f t="shared" si="51"/>
        <v>0</v>
      </c>
      <c r="HF22" s="151"/>
      <c r="HG22" s="213">
        <v>16</v>
      </c>
      <c r="HH22" s="16">
        <v>13493</v>
      </c>
      <c r="HI22" s="16">
        <v>5197.8999999999996</v>
      </c>
      <c r="HJ22" s="16">
        <f t="shared" si="52"/>
        <v>153000</v>
      </c>
      <c r="HK22" s="16">
        <v>1.9189000000000001</v>
      </c>
      <c r="HL22" s="16">
        <v>660.93</v>
      </c>
      <c r="HM22" s="16">
        <f t="shared" si="101"/>
        <v>0</v>
      </c>
      <c r="HN22" s="16">
        <v>3494.1</v>
      </c>
      <c r="HO22" s="16">
        <v>1527.8</v>
      </c>
      <c r="HP22" s="16">
        <f t="shared" si="54"/>
        <v>37997.499999999818</v>
      </c>
      <c r="HQ22" s="16">
        <v>2874.5</v>
      </c>
      <c r="HR22" s="16">
        <v>1238.3</v>
      </c>
      <c r="HS22" s="16">
        <f t="shared" si="55"/>
        <v>25297.5</v>
      </c>
      <c r="HT22" s="16">
        <v>2519.9</v>
      </c>
      <c r="HU22" s="16">
        <v>960.41</v>
      </c>
      <c r="HV22" s="16">
        <f t="shared" si="56"/>
        <v>26897.499999999909</v>
      </c>
      <c r="HW22" s="16">
        <v>1503.6</v>
      </c>
      <c r="HX22" s="16">
        <v>660.85</v>
      </c>
      <c r="HY22" s="16">
        <f t="shared" si="57"/>
        <v>19897.499999999909</v>
      </c>
      <c r="HZ22" s="16">
        <v>465330</v>
      </c>
      <c r="IA22" s="16">
        <v>222250</v>
      </c>
      <c r="IB22" s="16">
        <f t="shared" si="58"/>
        <v>24210</v>
      </c>
      <c r="IC22" s="16">
        <v>719.8</v>
      </c>
      <c r="ID22" s="16">
        <v>232.78</v>
      </c>
      <c r="IE22" s="16">
        <f t="shared" si="59"/>
        <v>0</v>
      </c>
      <c r="IF22" s="16"/>
      <c r="IG22" s="16"/>
      <c r="IH22" s="128">
        <f t="shared" si="60"/>
        <v>18700</v>
      </c>
      <c r="II22" s="211">
        <f t="shared" si="61"/>
        <v>3.5652192309498787E-10</v>
      </c>
      <c r="IJ22" s="16"/>
      <c r="IK22" s="16"/>
      <c r="IL22" s="16">
        <f t="shared" si="102"/>
        <v>0</v>
      </c>
      <c r="IM22" s="16"/>
      <c r="IN22" s="16"/>
      <c r="IO22" s="16">
        <f t="shared" si="103"/>
        <v>0</v>
      </c>
      <c r="IP22" s="16"/>
      <c r="IQ22" s="16"/>
      <c r="IR22" s="16">
        <f t="shared" si="104"/>
        <v>0</v>
      </c>
      <c r="IS22" s="16"/>
      <c r="IT22" s="16"/>
      <c r="IU22" s="16">
        <f t="shared" si="105"/>
        <v>0</v>
      </c>
      <c r="IV22" s="16"/>
      <c r="IW22" s="16"/>
      <c r="IX22" s="16">
        <f t="shared" si="106"/>
        <v>0</v>
      </c>
      <c r="IY22" s="16"/>
      <c r="IZ22" s="16"/>
      <c r="JA22" s="16">
        <f t="shared" si="107"/>
        <v>0</v>
      </c>
      <c r="JB22" s="16"/>
      <c r="JC22" s="16"/>
      <c r="JD22" s="16">
        <f t="shared" si="108"/>
        <v>0</v>
      </c>
      <c r="JE22" s="16"/>
      <c r="JF22" s="16"/>
      <c r="JG22" s="16">
        <f t="shared" si="109"/>
        <v>0</v>
      </c>
      <c r="JH22" s="16"/>
      <c r="JI22" s="16"/>
      <c r="JJ22" s="16">
        <f t="shared" si="110"/>
        <v>0</v>
      </c>
      <c r="JK22" s="16"/>
      <c r="JL22" s="16"/>
      <c r="JM22" s="16">
        <f t="shared" si="111"/>
        <v>0</v>
      </c>
      <c r="JN22" s="16"/>
      <c r="JO22" s="16"/>
      <c r="JP22" s="16">
        <f t="shared" si="112"/>
        <v>0</v>
      </c>
      <c r="JQ22" s="16"/>
      <c r="JR22" s="16"/>
      <c r="JS22" s="16">
        <f t="shared" si="113"/>
        <v>0</v>
      </c>
      <c r="JT22" s="16"/>
      <c r="JU22" s="16"/>
      <c r="JV22" s="16">
        <f t="shared" si="114"/>
        <v>0</v>
      </c>
      <c r="JW22" s="16"/>
      <c r="JX22" s="16"/>
      <c r="JY22" s="16">
        <f t="shared" si="115"/>
        <v>0</v>
      </c>
      <c r="JZ22" s="16"/>
      <c r="KA22" s="16"/>
      <c r="KB22" s="16">
        <f t="shared" si="116"/>
        <v>0</v>
      </c>
      <c r="KC22" s="16"/>
      <c r="KD22" s="16"/>
      <c r="KE22" s="16">
        <f t="shared" si="117"/>
        <v>0</v>
      </c>
      <c r="KG22" s="151">
        <f t="shared" si="62"/>
        <v>62207.500000000175</v>
      </c>
    </row>
    <row r="23" spans="1:293" x14ac:dyDescent="0.25">
      <c r="A23" s="35">
        <f t="shared" si="2"/>
        <v>17</v>
      </c>
      <c r="B23" s="38">
        <v>4621.9799999999996</v>
      </c>
      <c r="C23" s="38">
        <f t="shared" si="3"/>
        <v>11.1899999999996</v>
      </c>
      <c r="D23" s="38">
        <f t="shared" si="4"/>
        <v>358079.99999998719</v>
      </c>
      <c r="E23" s="38">
        <v>930.64</v>
      </c>
      <c r="F23" s="38">
        <f t="shared" si="5"/>
        <v>73599.999999998545</v>
      </c>
      <c r="G23" s="38">
        <f t="shared" si="6"/>
        <v>431679.99999998574</v>
      </c>
      <c r="H23" s="37"/>
      <c r="I23" s="39"/>
      <c r="J23" s="42"/>
      <c r="K23" s="37">
        <f t="shared" ref="K23:K24" si="119">IF(J23&lt;=0,0,(J23/SQRT(J23^2+(I23-I22)^2)))</f>
        <v>0</v>
      </c>
      <c r="L23" s="40">
        <v>14402200</v>
      </c>
      <c r="M23" s="40"/>
      <c r="N23" s="37">
        <f t="shared" si="83"/>
        <v>432000</v>
      </c>
      <c r="O23" s="37">
        <v>11453.1</v>
      </c>
      <c r="P23" s="37"/>
      <c r="Q23" s="37">
        <f t="shared" ref="Q23:Q38" si="120">IF((O23-O22)&lt;=0,0,(O23-O22))*1000</f>
        <v>18399.999999999636</v>
      </c>
      <c r="R23" s="37">
        <f t="shared" ref="R23:R24" si="121">IF(Q23&lt;=0,0,(Q23/SQRT(Q23^2+(P23-P22)^2)))</f>
        <v>1</v>
      </c>
      <c r="S23" s="37">
        <v>11243255.41</v>
      </c>
      <c r="T23" s="37">
        <f t="shared" si="8"/>
        <v>385.52999999932945</v>
      </c>
      <c r="U23" s="37">
        <v>1523790.61</v>
      </c>
      <c r="V23" s="37">
        <f t="shared" si="9"/>
        <v>0</v>
      </c>
      <c r="W23" s="37">
        <v>4100</v>
      </c>
      <c r="X23" s="37">
        <f t="shared" si="97"/>
        <v>18014.470000000307</v>
      </c>
      <c r="Y23" s="183"/>
      <c r="Z23" s="183"/>
      <c r="AA23" s="37">
        <v>789100</v>
      </c>
      <c r="AB23" s="37">
        <f t="shared" si="10"/>
        <v>0</v>
      </c>
      <c r="AC23" s="37">
        <v>4259.1000000000004</v>
      </c>
      <c r="AD23" s="37"/>
      <c r="AE23" s="37">
        <f t="shared" ref="AE23:AE38" si="122">IF((AC23-AC22)&lt;=0,0,(AC23-AC22))*1000</f>
        <v>4700.0000000007276</v>
      </c>
      <c r="AF23" s="37">
        <f t="shared" ref="AF23:AF24" si="123">IF(AE23&lt;=0,0,(AE23/SQRT(AE23^2+(AD23-AD22)^2)))</f>
        <v>1</v>
      </c>
      <c r="AG23" s="37">
        <v>9293.2000000000007</v>
      </c>
      <c r="AH23" s="70"/>
      <c r="AI23" s="37">
        <f t="shared" si="12"/>
        <v>13073.77</v>
      </c>
      <c r="AJ23" s="37">
        <f t="shared" si="13"/>
        <v>1</v>
      </c>
      <c r="AK23" s="37">
        <f t="shared" si="14"/>
        <v>36173.770000000368</v>
      </c>
      <c r="AL23" s="42">
        <v>11126.7</v>
      </c>
      <c r="AM23" s="42"/>
      <c r="AN23" s="37">
        <f t="shared" si="63"/>
        <v>6953.770000000246</v>
      </c>
      <c r="AO23" s="37">
        <f t="shared" si="86"/>
        <v>1</v>
      </c>
      <c r="AP23" s="37">
        <v>8670.2000000000007</v>
      </c>
      <c r="AQ23" s="37"/>
      <c r="AR23" s="37">
        <f t="shared" si="15"/>
        <v>12700.000000000728</v>
      </c>
      <c r="AS23" s="37">
        <f t="shared" si="87"/>
        <v>1</v>
      </c>
      <c r="AT23" s="183"/>
      <c r="AU23" s="183"/>
      <c r="AV23" s="183"/>
      <c r="AW23" s="183"/>
      <c r="AX23" s="37">
        <v>494240</v>
      </c>
      <c r="AY23" s="37"/>
      <c r="AZ23" s="37">
        <f t="shared" si="16"/>
        <v>450</v>
      </c>
      <c r="BA23" s="37">
        <v>163020</v>
      </c>
      <c r="BB23" s="37"/>
      <c r="BC23" s="37">
        <f t="shared" si="17"/>
        <v>700</v>
      </c>
      <c r="BD23" s="37">
        <f t="shared" si="88"/>
        <v>20803.770000000972</v>
      </c>
      <c r="BE23" s="43">
        <v>1953.2</v>
      </c>
      <c r="BF23" s="43">
        <v>1080.8</v>
      </c>
      <c r="BG23" s="37">
        <f t="shared" si="18"/>
        <v>2000</v>
      </c>
      <c r="BH23" s="44">
        <v>9137.4</v>
      </c>
      <c r="BI23" s="44">
        <v>5882.5</v>
      </c>
      <c r="BJ23" s="37">
        <f t="shared" si="19"/>
        <v>9500</v>
      </c>
      <c r="BK23" s="40">
        <v>1664190</v>
      </c>
      <c r="BL23" s="40">
        <f t="shared" si="89"/>
        <v>4100</v>
      </c>
      <c r="BM23" s="40">
        <v>887.12</v>
      </c>
      <c r="BN23" s="37">
        <f t="shared" si="20"/>
        <v>720.00000000002728</v>
      </c>
      <c r="BO23" s="186"/>
      <c r="BP23" s="183">
        <f t="shared" si="21"/>
        <v>0</v>
      </c>
      <c r="BQ23" s="40">
        <v>838.2</v>
      </c>
      <c r="BR23" s="37">
        <f t="shared" si="64"/>
        <v>900.00000000009095</v>
      </c>
      <c r="BS23" s="37">
        <v>103337.84</v>
      </c>
      <c r="BT23" s="37">
        <f t="shared" si="22"/>
        <v>223.94999999999709</v>
      </c>
      <c r="BU23" s="42">
        <v>2910000</v>
      </c>
      <c r="BV23" s="42"/>
      <c r="BW23" s="37">
        <f t="shared" si="23"/>
        <v>7000</v>
      </c>
      <c r="BX23" s="37">
        <f t="shared" si="90"/>
        <v>1</v>
      </c>
      <c r="BY23" s="43">
        <v>361.95839999999998</v>
      </c>
      <c r="BZ23" s="43"/>
      <c r="CA23" s="37">
        <f t="shared" si="118"/>
        <v>669.4999999999709</v>
      </c>
      <c r="CB23" s="37">
        <f t="shared" si="65"/>
        <v>1</v>
      </c>
      <c r="CC23" s="37">
        <v>680640</v>
      </c>
      <c r="CD23" s="37">
        <f t="shared" si="25"/>
        <v>1320</v>
      </c>
      <c r="CE23" s="41">
        <v>1315600</v>
      </c>
      <c r="CF23" s="37">
        <f t="shared" si="26"/>
        <v>4900</v>
      </c>
      <c r="CG23" s="37">
        <v>72811</v>
      </c>
      <c r="CH23" s="37">
        <f t="shared" si="66"/>
        <v>0</v>
      </c>
      <c r="CI23" s="40">
        <v>13180.37</v>
      </c>
      <c r="CJ23" s="40"/>
      <c r="CK23" s="37">
        <f t="shared" si="67"/>
        <v>17234.269999999957</v>
      </c>
      <c r="CL23" s="37">
        <f t="shared" si="27"/>
        <v>1</v>
      </c>
      <c r="CM23" s="37">
        <v>3725.373</v>
      </c>
      <c r="CN23" s="37"/>
      <c r="CO23" s="37">
        <f t="shared" si="28"/>
        <v>9712.7700000001241</v>
      </c>
      <c r="CP23" s="37">
        <f t="shared" si="91"/>
        <v>1</v>
      </c>
      <c r="CQ23" s="39">
        <v>313059.40000000002</v>
      </c>
      <c r="CR23" s="39"/>
      <c r="CS23" s="37">
        <f t="shared" si="68"/>
        <v>7678.1700000000237</v>
      </c>
      <c r="CT23" s="37">
        <f t="shared" si="69"/>
        <v>1</v>
      </c>
      <c r="CU23" s="37">
        <v>3750900</v>
      </c>
      <c r="CV23" s="37"/>
      <c r="CW23" s="38">
        <f t="shared" si="29"/>
        <v>17700</v>
      </c>
      <c r="CX23" s="37">
        <f t="shared" si="92"/>
        <v>1</v>
      </c>
      <c r="CY23" s="37">
        <v>1975000</v>
      </c>
      <c r="CZ23" s="37"/>
      <c r="DA23" s="37">
        <f t="shared" si="30"/>
        <v>10000</v>
      </c>
      <c r="DB23" s="37">
        <f t="shared" si="93"/>
        <v>1</v>
      </c>
      <c r="DC23" s="37"/>
      <c r="DD23" s="40"/>
      <c r="DE23" s="37">
        <f t="shared" si="31"/>
        <v>0</v>
      </c>
      <c r="DF23" s="37">
        <f t="shared" si="98"/>
        <v>0</v>
      </c>
      <c r="DG23" s="37">
        <f t="shared" si="32"/>
        <v>-69325.210000000108</v>
      </c>
      <c r="DH23" s="37">
        <f t="shared" si="33"/>
        <v>470173.77000000037</v>
      </c>
      <c r="DI23" s="46"/>
      <c r="DJ23" s="46"/>
      <c r="DK23" s="47"/>
      <c r="DL23" s="47"/>
      <c r="DM23" s="37"/>
      <c r="DN23" s="37"/>
      <c r="DO23" s="37"/>
      <c r="DP23" s="37"/>
      <c r="DQ23" s="50">
        <v>3697100</v>
      </c>
      <c r="DR23" s="49">
        <f t="shared" si="70"/>
        <v>11000</v>
      </c>
      <c r="DS23" s="50">
        <v>4226900</v>
      </c>
      <c r="DT23" s="49">
        <f>IF((DS23-DS22)&lt;=0,0,(DS23-DS22))</f>
        <v>18100</v>
      </c>
      <c r="DU23" s="51">
        <v>8090.7</v>
      </c>
      <c r="DV23" s="51">
        <v>4542.3</v>
      </c>
      <c r="DW23" s="37">
        <f t="shared" si="94"/>
        <v>4099.9999999994543</v>
      </c>
      <c r="DX23" s="51">
        <v>13328</v>
      </c>
      <c r="DY23" s="51">
        <v>8464</v>
      </c>
      <c r="DZ23" s="37">
        <f t="shared" si="34"/>
        <v>8073.77</v>
      </c>
      <c r="EA23" s="49">
        <v>30623</v>
      </c>
      <c r="EB23" s="49">
        <v>21.225999999999999</v>
      </c>
      <c r="EC23" s="37">
        <f t="shared" si="35"/>
        <v>25233.77</v>
      </c>
      <c r="ED23" s="53">
        <f t="shared" si="36"/>
        <v>37407.539999999455</v>
      </c>
      <c r="EE23" s="49">
        <v>46117</v>
      </c>
      <c r="EF23" s="49">
        <v>30.056000000000001</v>
      </c>
      <c r="EG23" s="37">
        <f t="shared" si="37"/>
        <v>29233.77</v>
      </c>
      <c r="EH23" s="51">
        <v>13362</v>
      </c>
      <c r="EI23" s="51">
        <v>1.8573999999999999</v>
      </c>
      <c r="EJ23" s="37">
        <f t="shared" si="38"/>
        <v>12073.77</v>
      </c>
      <c r="EK23" s="37">
        <v>814.5</v>
      </c>
      <c r="EL23" s="40">
        <v>1167</v>
      </c>
      <c r="EM23" s="37">
        <f t="shared" si="72"/>
        <v>820.00000000005002</v>
      </c>
      <c r="EN23" s="54">
        <f t="shared" si="73"/>
        <v>42127.540000000052</v>
      </c>
      <c r="EO23" s="48">
        <v>13193</v>
      </c>
      <c r="EP23" s="48">
        <v>4613.8999999999996</v>
      </c>
      <c r="EQ23" s="37">
        <f t="shared" si="74"/>
        <v>6163.769999999975</v>
      </c>
      <c r="ER23" s="48">
        <v>9782.2999999999993</v>
      </c>
      <c r="ES23" s="48">
        <v>4024.8</v>
      </c>
      <c r="ET23" s="49">
        <f t="shared" si="100"/>
        <v>12599.999999998545</v>
      </c>
      <c r="EU23" s="48">
        <v>3821</v>
      </c>
      <c r="EV23" s="48">
        <v>1357.6</v>
      </c>
      <c r="EW23" s="49">
        <f t="shared" si="40"/>
        <v>9273.7699999998185</v>
      </c>
      <c r="EX23" s="48">
        <v>13814</v>
      </c>
      <c r="EY23" s="48">
        <v>1.6215999999999999</v>
      </c>
      <c r="EZ23" s="37">
        <f t="shared" si="41"/>
        <v>12073.77</v>
      </c>
      <c r="FA23" s="48">
        <f t="shared" si="75"/>
        <v>-20495.309999998339</v>
      </c>
      <c r="FB23" s="48">
        <v>37094268</v>
      </c>
      <c r="FC23" s="49">
        <f t="shared" si="95"/>
        <v>19616</v>
      </c>
      <c r="FD23" s="48">
        <f t="shared" si="76"/>
        <v>42011.309999998426</v>
      </c>
      <c r="FE23" s="48">
        <v>17284</v>
      </c>
      <c r="FF23" s="48">
        <v>6141.1</v>
      </c>
      <c r="FG23" s="37">
        <f t="shared" si="77"/>
        <v>9713.7700000000259</v>
      </c>
      <c r="FH23" s="48">
        <v>9182.2999999999993</v>
      </c>
      <c r="FI23" s="48">
        <v>3.5464000000000002</v>
      </c>
      <c r="FJ23" s="49">
        <f t="shared" si="42"/>
        <v>15703.769999999637</v>
      </c>
      <c r="FK23" s="48"/>
      <c r="FL23" s="58">
        <v>-270</v>
      </c>
      <c r="FM23" s="48">
        <f t="shared" si="96"/>
        <v>-1073.7699999998877</v>
      </c>
      <c r="FN23" s="48">
        <v>16918</v>
      </c>
      <c r="FO23" s="48">
        <v>0.87609999999999999</v>
      </c>
      <c r="FP23" s="37">
        <f t="shared" si="78"/>
        <v>11803.77</v>
      </c>
      <c r="FQ23" s="48">
        <v>59789</v>
      </c>
      <c r="FR23" s="48">
        <v>14.484999999999999</v>
      </c>
      <c r="FS23" s="37">
        <f t="shared" si="43"/>
        <v>34000</v>
      </c>
      <c r="FT23" s="48">
        <f t="shared" si="79"/>
        <v>-3221.309999999663</v>
      </c>
      <c r="FU23" s="48">
        <f t="shared" si="80"/>
        <v>37221.309999999663</v>
      </c>
      <c r="FV23" s="44">
        <v>5219400</v>
      </c>
      <c r="FW23" s="44">
        <v>1616500</v>
      </c>
      <c r="FX23" s="37">
        <f t="shared" si="44"/>
        <v>32300</v>
      </c>
      <c r="FY23" s="56">
        <v>3601.1</v>
      </c>
      <c r="FZ23" s="56">
        <v>2.1591999999999998</v>
      </c>
      <c r="GA23" s="37">
        <f t="shared" si="45"/>
        <v>8769.9999999999091</v>
      </c>
      <c r="GB23" s="56">
        <v>837.68</v>
      </c>
      <c r="GC23" s="56">
        <v>938.59</v>
      </c>
      <c r="GD23" s="37">
        <f t="shared" si="46"/>
        <v>909.99999999996817</v>
      </c>
      <c r="GE23" s="56">
        <v>10335</v>
      </c>
      <c r="GF23" s="56">
        <v>3.5831</v>
      </c>
      <c r="GG23" s="37">
        <f t="shared" si="47"/>
        <v>7099.9999999999091</v>
      </c>
      <c r="GH23" s="137">
        <v>2002.9</v>
      </c>
      <c r="GI23" s="162">
        <v>1715.4</v>
      </c>
      <c r="GJ23" s="38">
        <f t="shared" si="48"/>
        <v>1900.0000000000909</v>
      </c>
      <c r="GK23" s="162">
        <v>1489.2</v>
      </c>
      <c r="GL23" s="163">
        <v>1128.5</v>
      </c>
      <c r="GM23" s="38">
        <f t="shared" si="49"/>
        <v>0</v>
      </c>
      <c r="GN23" s="57">
        <v>208290</v>
      </c>
      <c r="GO23" s="57">
        <v>184530</v>
      </c>
      <c r="GP23" s="38">
        <f t="shared" si="99"/>
        <v>0</v>
      </c>
      <c r="GQ23" s="38">
        <v>277210</v>
      </c>
      <c r="GR23" s="38">
        <v>271330</v>
      </c>
      <c r="GS23" s="38">
        <f t="shared" si="81"/>
        <v>330</v>
      </c>
      <c r="GT23" s="178"/>
      <c r="GU23" s="144">
        <f>DailyJun!B22-DailyJun!N22-DailyJun!V22-DailyJun!Y22-DailyJun!Z22-DailyJun!AA22-DailyJun!AB22-DailyJun!AC22-DailyJun!AD22-DailyJun!AE22-DailyJun!AK22-DailyJun!AO22-DailyJun!AS22-DailyJun!AY22-DailyJun!BD22+DailyJun!BU22-DailyJun!BG22-DailyJun!BT22-DailyJun!AF22-DailyJun!AG22</f>
        <v>4.9999986833427101E-2</v>
      </c>
      <c r="GV23" s="59">
        <v>16106.6</v>
      </c>
      <c r="GW23" s="60">
        <f t="shared" si="50"/>
        <v>1073.7733333333333</v>
      </c>
      <c r="GX23" s="61">
        <v>1073.77</v>
      </c>
      <c r="GY23" s="140"/>
      <c r="GZ23" s="62"/>
      <c r="HA23" s="62"/>
      <c r="HB23" s="74"/>
      <c r="HC23" s="62"/>
      <c r="HD23" s="74"/>
      <c r="HE23" s="24">
        <f t="shared" si="51"/>
        <v>0</v>
      </c>
      <c r="HF23" s="151"/>
      <c r="HG23" s="213">
        <v>17</v>
      </c>
      <c r="HH23" s="16">
        <v>13648</v>
      </c>
      <c r="HI23" s="16">
        <v>5256.6</v>
      </c>
      <c r="HJ23" s="16">
        <f t="shared" si="52"/>
        <v>155000</v>
      </c>
      <c r="HK23" s="16">
        <v>1.9189000000000001</v>
      </c>
      <c r="HL23" s="16">
        <v>660.93</v>
      </c>
      <c r="HM23" s="16">
        <f t="shared" si="101"/>
        <v>0</v>
      </c>
      <c r="HN23" s="16">
        <v>3532.2</v>
      </c>
      <c r="HO23" s="16">
        <v>1544.4</v>
      </c>
      <c r="HP23" s="16">
        <f t="shared" si="54"/>
        <v>38424.999999999913</v>
      </c>
      <c r="HQ23" s="16">
        <v>2899.5</v>
      </c>
      <c r="HR23" s="16">
        <v>1248.5</v>
      </c>
      <c r="HS23" s="16">
        <f t="shared" si="55"/>
        <v>25325</v>
      </c>
      <c r="HT23" s="16">
        <v>2545.8000000000002</v>
      </c>
      <c r="HU23" s="16">
        <v>969.16</v>
      </c>
      <c r="HV23" s="16">
        <f t="shared" si="56"/>
        <v>26225.000000000091</v>
      </c>
      <c r="HW23" s="16">
        <v>1525.8</v>
      </c>
      <c r="HX23" s="16">
        <v>670.1</v>
      </c>
      <c r="HY23" s="16">
        <f t="shared" si="57"/>
        <v>22525.000000000044</v>
      </c>
      <c r="HZ23" s="16">
        <v>489730</v>
      </c>
      <c r="IA23" s="16">
        <v>232650</v>
      </c>
      <c r="IB23" s="16">
        <f t="shared" si="58"/>
        <v>24400</v>
      </c>
      <c r="IC23" s="16">
        <v>719.8</v>
      </c>
      <c r="ID23" s="16">
        <v>232.78</v>
      </c>
      <c r="IE23" s="16">
        <f t="shared" si="59"/>
        <v>0</v>
      </c>
      <c r="IF23" s="16"/>
      <c r="IG23" s="16"/>
      <c r="IH23" s="128">
        <f t="shared" si="60"/>
        <v>18100</v>
      </c>
      <c r="II23" s="211">
        <f t="shared" si="61"/>
        <v>-4.3655745685100555E-11</v>
      </c>
      <c r="IJ23" s="16"/>
      <c r="IK23" s="16"/>
      <c r="IL23" s="16">
        <f t="shared" si="102"/>
        <v>0</v>
      </c>
      <c r="IM23" s="16"/>
      <c r="IN23" s="16"/>
      <c r="IO23" s="16">
        <f t="shared" si="103"/>
        <v>0</v>
      </c>
      <c r="IP23" s="16"/>
      <c r="IQ23" s="16"/>
      <c r="IR23" s="16">
        <f t="shared" si="104"/>
        <v>0</v>
      </c>
      <c r="IS23" s="16"/>
      <c r="IT23" s="16"/>
      <c r="IU23" s="16">
        <f t="shared" si="105"/>
        <v>0</v>
      </c>
      <c r="IV23" s="16"/>
      <c r="IW23" s="16"/>
      <c r="IX23" s="16">
        <f t="shared" si="106"/>
        <v>0</v>
      </c>
      <c r="IY23" s="16"/>
      <c r="IZ23" s="16"/>
      <c r="JA23" s="16">
        <f t="shared" si="107"/>
        <v>0</v>
      </c>
      <c r="JB23" s="16"/>
      <c r="JC23" s="16"/>
      <c r="JD23" s="16">
        <f t="shared" si="108"/>
        <v>0</v>
      </c>
      <c r="JE23" s="16"/>
      <c r="JF23" s="16"/>
      <c r="JG23" s="16">
        <f t="shared" si="109"/>
        <v>0</v>
      </c>
      <c r="JH23" s="16"/>
      <c r="JI23" s="16"/>
      <c r="JJ23" s="16">
        <f t="shared" si="110"/>
        <v>0</v>
      </c>
      <c r="JK23" s="16"/>
      <c r="JL23" s="16"/>
      <c r="JM23" s="16">
        <f t="shared" si="111"/>
        <v>0</v>
      </c>
      <c r="JN23" s="16"/>
      <c r="JO23" s="16"/>
      <c r="JP23" s="16">
        <f t="shared" si="112"/>
        <v>0</v>
      </c>
      <c r="JQ23" s="16"/>
      <c r="JR23" s="16"/>
      <c r="JS23" s="16">
        <f t="shared" si="113"/>
        <v>0</v>
      </c>
      <c r="JT23" s="16"/>
      <c r="JU23" s="16"/>
      <c r="JV23" s="16">
        <f t="shared" si="114"/>
        <v>0</v>
      </c>
      <c r="JW23" s="16"/>
      <c r="JX23" s="16"/>
      <c r="JY23" s="16">
        <f t="shared" si="115"/>
        <v>0</v>
      </c>
      <c r="JZ23" s="16"/>
      <c r="KA23" s="16"/>
      <c r="KB23" s="16">
        <f t="shared" si="116"/>
        <v>0</v>
      </c>
      <c r="KC23" s="16"/>
      <c r="KD23" s="16"/>
      <c r="KE23" s="16">
        <f t="shared" si="117"/>
        <v>0</v>
      </c>
      <c r="KG23" s="151">
        <f t="shared" si="62"/>
        <v>62824.999999999869</v>
      </c>
    </row>
    <row r="24" spans="1:293" x14ac:dyDescent="0.25">
      <c r="A24" s="35">
        <f t="shared" si="2"/>
        <v>18</v>
      </c>
      <c r="B24" s="38">
        <v>4632.8</v>
      </c>
      <c r="C24" s="38">
        <f t="shared" si="3"/>
        <v>10.820000000000618</v>
      </c>
      <c r="D24" s="38">
        <f t="shared" si="4"/>
        <v>346240.00000001979</v>
      </c>
      <c r="E24" s="38">
        <v>932.81</v>
      </c>
      <c r="F24" s="38">
        <f t="shared" si="5"/>
        <v>69439.99999999869</v>
      </c>
      <c r="G24" s="38">
        <f t="shared" si="6"/>
        <v>415680.00000001851</v>
      </c>
      <c r="H24" s="37"/>
      <c r="I24" s="39"/>
      <c r="J24" s="42"/>
      <c r="K24" s="37">
        <f t="shared" si="119"/>
        <v>0</v>
      </c>
      <c r="L24" s="40">
        <v>14443300</v>
      </c>
      <c r="M24" s="40"/>
      <c r="N24" s="37">
        <f t="shared" si="83"/>
        <v>411000</v>
      </c>
      <c r="O24" s="37">
        <v>11470.9</v>
      </c>
      <c r="P24" s="37"/>
      <c r="Q24" s="37">
        <f t="shared" si="120"/>
        <v>17799.999999999272</v>
      </c>
      <c r="R24" s="37">
        <f t="shared" si="121"/>
        <v>1</v>
      </c>
      <c r="S24" s="37">
        <v>11243612.210000001</v>
      </c>
      <c r="T24" s="37">
        <f t="shared" si="8"/>
        <v>356.80000000074506</v>
      </c>
      <c r="U24" s="37">
        <v>1523790.61</v>
      </c>
      <c r="V24" s="37">
        <f t="shared" si="9"/>
        <v>0</v>
      </c>
      <c r="W24" s="37">
        <v>4106.6000000000004</v>
      </c>
      <c r="X24" s="37">
        <f t="shared" si="97"/>
        <v>17343.199999998527</v>
      </c>
      <c r="Y24" s="183"/>
      <c r="Z24" s="183"/>
      <c r="AA24" s="37">
        <v>789200</v>
      </c>
      <c r="AB24" s="37">
        <f t="shared" si="10"/>
        <v>100</v>
      </c>
      <c r="AC24" s="37">
        <v>4263.7</v>
      </c>
      <c r="AD24" s="37"/>
      <c r="AE24" s="37">
        <f t="shared" si="122"/>
        <v>4599.9999999994543</v>
      </c>
      <c r="AF24" s="37">
        <f t="shared" si="123"/>
        <v>1</v>
      </c>
      <c r="AG24" s="37">
        <v>9302.7999999999993</v>
      </c>
      <c r="AH24" s="37"/>
      <c r="AI24" s="37">
        <f t="shared" si="12"/>
        <v>9479.2999999985441</v>
      </c>
      <c r="AJ24" s="37">
        <f t="shared" si="13"/>
        <v>1</v>
      </c>
      <c r="AK24" s="37">
        <f t="shared" si="14"/>
        <v>31779.299999997271</v>
      </c>
      <c r="AL24" s="42">
        <v>11138.1</v>
      </c>
      <c r="AM24" s="42"/>
      <c r="AN24" s="37">
        <f t="shared" si="63"/>
        <v>5929.2999999996582</v>
      </c>
      <c r="AO24" s="37">
        <f t="shared" si="86"/>
        <v>1</v>
      </c>
      <c r="AP24" s="37">
        <v>8681.9</v>
      </c>
      <c r="AQ24" s="37"/>
      <c r="AR24" s="37">
        <f t="shared" si="15"/>
        <v>11699.999999998909</v>
      </c>
      <c r="AS24" s="37">
        <f t="shared" si="87"/>
        <v>1</v>
      </c>
      <c r="AT24" s="183"/>
      <c r="AU24" s="183"/>
      <c r="AV24" s="183"/>
      <c r="AW24" s="183"/>
      <c r="AX24" s="37">
        <v>494690</v>
      </c>
      <c r="AY24" s="37"/>
      <c r="AZ24" s="37">
        <f t="shared" si="16"/>
        <v>450</v>
      </c>
      <c r="BA24" s="37">
        <v>163700</v>
      </c>
      <c r="BB24" s="37"/>
      <c r="BC24" s="37">
        <f t="shared" si="17"/>
        <v>680</v>
      </c>
      <c r="BD24" s="37">
        <f>AN24+AR24+AZ24+BC24</f>
        <v>18759.299999998566</v>
      </c>
      <c r="BE24" s="43">
        <v>1955.1</v>
      </c>
      <c r="BF24" s="43">
        <v>1082.0999999999999</v>
      </c>
      <c r="BG24" s="37">
        <f t="shared" si="18"/>
        <v>1899.9999999998636</v>
      </c>
      <c r="BH24" s="44">
        <v>9146.9</v>
      </c>
      <c r="BI24" s="44">
        <v>5888.9</v>
      </c>
      <c r="BJ24" s="37">
        <f t="shared" si="19"/>
        <v>9500</v>
      </c>
      <c r="BK24" s="40">
        <v>1668140</v>
      </c>
      <c r="BL24" s="40">
        <f t="shared" si="89"/>
        <v>3950</v>
      </c>
      <c r="BM24" s="40">
        <v>887.82</v>
      </c>
      <c r="BN24" s="37">
        <f t="shared" si="20"/>
        <v>700.00000000004547</v>
      </c>
      <c r="BO24" s="186"/>
      <c r="BP24" s="183">
        <f t="shared" si="21"/>
        <v>0</v>
      </c>
      <c r="BQ24" s="40">
        <v>838.9</v>
      </c>
      <c r="BR24" s="37">
        <f t="shared" si="64"/>
        <v>699.99999999993179</v>
      </c>
      <c r="BS24" s="37">
        <v>103528.22</v>
      </c>
      <c r="BT24" s="37">
        <f t="shared" si="22"/>
        <v>190.38000000000466</v>
      </c>
      <c r="BU24" s="42">
        <v>2916400</v>
      </c>
      <c r="BV24" s="42"/>
      <c r="BW24" s="37">
        <f t="shared" si="23"/>
        <v>6400</v>
      </c>
      <c r="BX24" s="37">
        <f t="shared" si="90"/>
        <v>1</v>
      </c>
      <c r="BY24" s="43">
        <v>362.62329999999997</v>
      </c>
      <c r="BZ24" s="37"/>
      <c r="CA24" s="37">
        <f t="shared" si="118"/>
        <v>664.89999999998872</v>
      </c>
      <c r="CB24" s="37">
        <f t="shared" si="65"/>
        <v>1</v>
      </c>
      <c r="CC24" s="37">
        <v>681080</v>
      </c>
      <c r="CD24" s="37">
        <f t="shared" si="25"/>
        <v>440</v>
      </c>
      <c r="CE24" s="41">
        <v>1321200</v>
      </c>
      <c r="CF24" s="37">
        <f t="shared" si="26"/>
        <v>5600</v>
      </c>
      <c r="CG24" s="37">
        <v>72811</v>
      </c>
      <c r="CH24" s="37">
        <f t="shared" si="66"/>
        <v>0</v>
      </c>
      <c r="CI24" s="40">
        <v>13196.4</v>
      </c>
      <c r="CJ24" s="40"/>
      <c r="CK24" s="37">
        <f t="shared" si="67"/>
        <v>15244.399999998846</v>
      </c>
      <c r="CL24" s="37">
        <f t="shared" si="27"/>
        <v>1</v>
      </c>
      <c r="CM24" s="37">
        <v>3733.212</v>
      </c>
      <c r="CN24" s="37"/>
      <c r="CO24" s="37">
        <f t="shared" si="28"/>
        <v>7718.299999999942</v>
      </c>
      <c r="CP24" s="37">
        <f t="shared" si="91"/>
        <v>1</v>
      </c>
      <c r="CQ24" s="39">
        <v>319156.59999999998</v>
      </c>
      <c r="CR24" s="39"/>
      <c r="CS24" s="37">
        <f t="shared" si="68"/>
        <v>5976.4999999999536</v>
      </c>
      <c r="CT24" s="37">
        <f t="shared" si="69"/>
        <v>1</v>
      </c>
      <c r="CU24" s="37">
        <v>3768400</v>
      </c>
      <c r="CV24" s="37"/>
      <c r="CW24" s="38">
        <f t="shared" si="29"/>
        <v>17500</v>
      </c>
      <c r="CX24" s="37">
        <f t="shared" si="92"/>
        <v>1</v>
      </c>
      <c r="CY24" s="37">
        <v>1985300</v>
      </c>
      <c r="CZ24" s="37"/>
      <c r="DA24" s="37">
        <f t="shared" si="30"/>
        <v>10300</v>
      </c>
      <c r="DB24" s="37">
        <f t="shared" si="93"/>
        <v>1</v>
      </c>
      <c r="DC24" s="37"/>
      <c r="DD24" s="40"/>
      <c r="DE24" s="37">
        <f t="shared" si="31"/>
        <v>0</v>
      </c>
      <c r="DF24" s="37">
        <f t="shared" si="98"/>
        <v>0</v>
      </c>
      <c r="DG24" s="37">
        <f t="shared" si="32"/>
        <v>-63139.199999998746</v>
      </c>
      <c r="DH24" s="37">
        <f t="shared" si="33"/>
        <v>444679.29999999714</v>
      </c>
      <c r="DI24" s="46"/>
      <c r="DJ24" s="46"/>
      <c r="DK24" s="47"/>
      <c r="DL24" s="47"/>
      <c r="DM24" s="37"/>
      <c r="DN24" s="37"/>
      <c r="DO24" s="37"/>
      <c r="DP24" s="37"/>
      <c r="DQ24" s="50">
        <v>3708100</v>
      </c>
      <c r="DR24" s="49">
        <f t="shared" si="70"/>
        <v>11000</v>
      </c>
      <c r="DS24" s="50">
        <v>4243400</v>
      </c>
      <c r="DT24" s="49">
        <f>IF((DS24-DS23)&lt;=0,0,(DS24-DS23))</f>
        <v>16500</v>
      </c>
      <c r="DU24" s="51">
        <v>8095.1</v>
      </c>
      <c r="DV24" s="51">
        <v>4545.2</v>
      </c>
      <c r="DW24" s="37">
        <f t="shared" si="94"/>
        <v>4400.0000000005457</v>
      </c>
      <c r="DX24" s="52">
        <v>13336</v>
      </c>
      <c r="DY24" s="52">
        <v>8466.5</v>
      </c>
      <c r="DZ24" s="37">
        <f t="shared" si="34"/>
        <v>7879.3</v>
      </c>
      <c r="EA24" s="49">
        <v>30646</v>
      </c>
      <c r="EB24" s="49">
        <v>21.239000000000001</v>
      </c>
      <c r="EC24" s="37">
        <f t="shared" si="35"/>
        <v>25039.3</v>
      </c>
      <c r="ED24" s="53">
        <f t="shared" si="36"/>
        <v>37318.600000000544</v>
      </c>
      <c r="EE24" s="49">
        <v>46141</v>
      </c>
      <c r="EF24" s="49">
        <v>30.079000000000001</v>
      </c>
      <c r="EG24" s="37">
        <f t="shared" si="37"/>
        <v>26039.3</v>
      </c>
      <c r="EH24" s="51">
        <v>13374</v>
      </c>
      <c r="EI24" s="51">
        <v>1.8607</v>
      </c>
      <c r="EJ24" s="37">
        <f t="shared" si="38"/>
        <v>11879.3</v>
      </c>
      <c r="EK24" s="37">
        <v>815.31</v>
      </c>
      <c r="EL24" s="40">
        <v>1168.2</v>
      </c>
      <c r="EM24" s="37">
        <f t="shared" si="72"/>
        <v>809.99999999994543</v>
      </c>
      <c r="EN24" s="54">
        <f t="shared" si="73"/>
        <v>38728.599999999948</v>
      </c>
      <c r="EO24" s="48">
        <v>13200</v>
      </c>
      <c r="EP24" s="48">
        <v>4616.2</v>
      </c>
      <c r="EQ24" s="37">
        <f t="shared" si="74"/>
        <v>5954.2999999999884</v>
      </c>
      <c r="ER24" s="48">
        <v>9795.1</v>
      </c>
      <c r="ES24" s="48">
        <v>4030.5</v>
      </c>
      <c r="ET24" s="49">
        <f t="shared" si="100"/>
        <v>12800.000000001091</v>
      </c>
      <c r="EU24" s="48">
        <v>3829.4</v>
      </c>
      <c r="EV24" s="48">
        <v>1360.5</v>
      </c>
      <c r="EW24" s="49">
        <f t="shared" si="40"/>
        <v>8279.3000000000902</v>
      </c>
      <c r="EX24" s="48">
        <v>13825</v>
      </c>
      <c r="EY24" s="48">
        <v>1.6234</v>
      </c>
      <c r="EZ24" s="37">
        <f t="shared" si="41"/>
        <v>10879.3</v>
      </c>
      <c r="FA24" s="48">
        <f t="shared" si="75"/>
        <v>-17913.900000001169</v>
      </c>
      <c r="FB24" s="48">
        <v>37114267</v>
      </c>
      <c r="FC24" s="49">
        <f t="shared" si="95"/>
        <v>19999</v>
      </c>
      <c r="FD24" s="48">
        <f t="shared" si="76"/>
        <v>39512.900000001086</v>
      </c>
      <c r="FE24" s="48">
        <v>17291</v>
      </c>
      <c r="FF24" s="48">
        <v>6142.8</v>
      </c>
      <c r="FG24" s="37">
        <f t="shared" si="77"/>
        <v>8009.050000000012</v>
      </c>
      <c r="FH24" s="48">
        <v>9198</v>
      </c>
      <c r="FI24" s="48">
        <v>3.5524</v>
      </c>
      <c r="FJ24" s="49">
        <f t="shared" si="42"/>
        <v>15784.050000000727</v>
      </c>
      <c r="FK24" s="48"/>
      <c r="FL24" s="58">
        <v>204.75</v>
      </c>
      <c r="FM24" s="48">
        <f t="shared" si="96"/>
        <v>40.94999999975456</v>
      </c>
      <c r="FN24" s="48">
        <v>16930</v>
      </c>
      <c r="FO24" s="48">
        <v>0.87829999999999997</v>
      </c>
      <c r="FP24" s="37">
        <f t="shared" si="78"/>
        <v>12084.05</v>
      </c>
      <c r="FQ24" s="48">
        <v>59825</v>
      </c>
      <c r="FR24" s="48">
        <v>14.494</v>
      </c>
      <c r="FS24" s="37">
        <f t="shared" si="43"/>
        <v>36000</v>
      </c>
      <c r="FT24" s="48">
        <f t="shared" si="79"/>
        <v>122.84999999926367</v>
      </c>
      <c r="FU24" s="48">
        <f t="shared" si="80"/>
        <v>35877.150000000736</v>
      </c>
      <c r="FV24" s="44">
        <v>5253000</v>
      </c>
      <c r="FW24" s="44">
        <v>1624000</v>
      </c>
      <c r="FX24" s="37">
        <f t="shared" si="44"/>
        <v>33600</v>
      </c>
      <c r="FY24" s="56">
        <v>3610.5</v>
      </c>
      <c r="FZ24" s="56">
        <v>2.1613000000000002</v>
      </c>
      <c r="GA24" s="37">
        <f t="shared" si="45"/>
        <v>9070.0000000000909</v>
      </c>
      <c r="GB24" s="56">
        <v>838.58</v>
      </c>
      <c r="GC24" s="56">
        <v>939.62</v>
      </c>
      <c r="GD24" s="37">
        <f t="shared" si="46"/>
        <v>900.00000000009095</v>
      </c>
      <c r="GE24" s="56">
        <v>10345</v>
      </c>
      <c r="GF24" s="56">
        <v>3.5905</v>
      </c>
      <c r="GG24" s="37">
        <f t="shared" si="47"/>
        <v>8400.0000000000909</v>
      </c>
      <c r="GH24" s="158">
        <v>2004.5</v>
      </c>
      <c r="GI24" s="159">
        <v>1717</v>
      </c>
      <c r="GJ24" s="38">
        <f t="shared" si="48"/>
        <v>1599.9999999999091</v>
      </c>
      <c r="GK24" s="159">
        <v>1489.2</v>
      </c>
      <c r="GL24" s="160">
        <v>1128.5</v>
      </c>
      <c r="GM24" s="38">
        <f t="shared" si="49"/>
        <v>0</v>
      </c>
      <c r="GN24" s="57">
        <v>208300</v>
      </c>
      <c r="GO24" s="57">
        <v>184530</v>
      </c>
      <c r="GP24" s="38">
        <f t="shared" si="99"/>
        <v>10</v>
      </c>
      <c r="GQ24" s="38">
        <v>277540</v>
      </c>
      <c r="GR24" s="38">
        <v>271560</v>
      </c>
      <c r="GS24" s="38">
        <f t="shared" si="81"/>
        <v>330</v>
      </c>
      <c r="GT24" s="178"/>
      <c r="GU24" s="144">
        <f>DailyJun!B23-DailyJun!N23-DailyJun!V23-DailyJun!Y23-DailyJun!Z23-DailyJun!AA23-DailyJun!AB23-DailyJun!AC23-DailyJun!AD23-DailyJun!AE23-DailyJun!AK23-DailyJun!AO23-DailyJun!AS23-DailyJun!AY23-DailyJun!BD23+DailyJun!BU23-DailyJun!BG23-DailyJun!BT23-DailyJun!AF23-DailyJun!AG23</f>
        <v>5.0000021525193006E-2</v>
      </c>
      <c r="GV24" s="59">
        <v>-1810.45</v>
      </c>
      <c r="GW24" s="60">
        <f t="shared" si="50"/>
        <v>-120.69666666666667</v>
      </c>
      <c r="GX24" s="61">
        <v>-120.7</v>
      </c>
      <c r="GY24" s="140"/>
      <c r="GZ24" s="62"/>
      <c r="HA24" s="62"/>
      <c r="HB24" s="74"/>
      <c r="HC24" s="62"/>
      <c r="HD24" s="74"/>
      <c r="HE24" s="24">
        <f t="shared" si="51"/>
        <v>0</v>
      </c>
      <c r="HF24" s="151"/>
      <c r="HG24" s="213">
        <v>18</v>
      </c>
      <c r="HH24" s="16">
        <v>13805</v>
      </c>
      <c r="HI24" s="16">
        <v>5315.4</v>
      </c>
      <c r="HJ24" s="16">
        <f t="shared" si="52"/>
        <v>157000</v>
      </c>
      <c r="HK24" s="16">
        <v>1.9189000000000001</v>
      </c>
      <c r="HL24" s="16">
        <v>660.93</v>
      </c>
      <c r="HM24" s="16">
        <f t="shared" si="101"/>
        <v>0</v>
      </c>
      <c r="HN24" s="16">
        <v>3569.4</v>
      </c>
      <c r="HO24" s="16">
        <v>1560.6</v>
      </c>
      <c r="HP24" s="16">
        <f t="shared" si="54"/>
        <v>37234.000000000276</v>
      </c>
      <c r="HQ24" s="16">
        <v>2925.6</v>
      </c>
      <c r="HR24" s="16">
        <v>1259</v>
      </c>
      <c r="HS24" s="16">
        <f t="shared" si="55"/>
        <v>26133.999999999909</v>
      </c>
      <c r="HT24" s="16">
        <v>2572.1999999999998</v>
      </c>
      <c r="HU24" s="16">
        <v>978</v>
      </c>
      <c r="HV24" s="16">
        <f t="shared" si="56"/>
        <v>26433.999999999636</v>
      </c>
      <c r="HW24" s="16">
        <v>1550.5</v>
      </c>
      <c r="HX24" s="16">
        <v>680.21</v>
      </c>
      <c r="HY24" s="16">
        <f t="shared" si="57"/>
        <v>24734.000000000044</v>
      </c>
      <c r="HZ24" s="16">
        <v>515694</v>
      </c>
      <c r="IA24" s="16">
        <v>243490</v>
      </c>
      <c r="IB24" s="16">
        <f t="shared" si="58"/>
        <v>25964</v>
      </c>
      <c r="IC24" s="16">
        <v>719.8</v>
      </c>
      <c r="ID24" s="16">
        <v>232.78</v>
      </c>
      <c r="IE24" s="16">
        <f t="shared" si="59"/>
        <v>0</v>
      </c>
      <c r="IF24" s="16"/>
      <c r="IG24" s="16"/>
      <c r="IH24" s="128">
        <f t="shared" si="60"/>
        <v>16500</v>
      </c>
      <c r="II24" s="211">
        <f t="shared" si="61"/>
        <v>1.3096723705530167E-10</v>
      </c>
      <c r="IJ24" s="16"/>
      <c r="IK24" s="16"/>
      <c r="IL24" s="16">
        <f t="shared" si="102"/>
        <v>0</v>
      </c>
      <c r="IM24" s="16"/>
      <c r="IN24" s="16"/>
      <c r="IO24" s="16">
        <f t="shared" si="103"/>
        <v>0</v>
      </c>
      <c r="IP24" s="16"/>
      <c r="IQ24" s="16"/>
      <c r="IR24" s="16">
        <f t="shared" si="104"/>
        <v>0</v>
      </c>
      <c r="IS24" s="16"/>
      <c r="IT24" s="16"/>
      <c r="IU24" s="16">
        <f t="shared" si="105"/>
        <v>0</v>
      </c>
      <c r="IV24" s="16"/>
      <c r="IW24" s="16"/>
      <c r="IX24" s="16">
        <f t="shared" si="106"/>
        <v>0</v>
      </c>
      <c r="IY24" s="16"/>
      <c r="IZ24" s="16"/>
      <c r="JA24" s="16">
        <f t="shared" si="107"/>
        <v>0</v>
      </c>
      <c r="JB24" s="16"/>
      <c r="JC24" s="16"/>
      <c r="JD24" s="16">
        <f t="shared" si="108"/>
        <v>0</v>
      </c>
      <c r="JE24" s="16"/>
      <c r="JF24" s="16"/>
      <c r="JG24" s="16">
        <f t="shared" si="109"/>
        <v>0</v>
      </c>
      <c r="JH24" s="16"/>
      <c r="JI24" s="16"/>
      <c r="JJ24" s="16">
        <f t="shared" si="110"/>
        <v>0</v>
      </c>
      <c r="JK24" s="16"/>
      <c r="JL24" s="16"/>
      <c r="JM24" s="16">
        <f t="shared" si="111"/>
        <v>0</v>
      </c>
      <c r="JN24" s="16"/>
      <c r="JO24" s="16"/>
      <c r="JP24" s="16">
        <f t="shared" si="112"/>
        <v>0</v>
      </c>
      <c r="JQ24" s="16"/>
      <c r="JR24" s="16"/>
      <c r="JS24" s="16">
        <f t="shared" si="113"/>
        <v>0</v>
      </c>
      <c r="JT24" s="16"/>
      <c r="JU24" s="16"/>
      <c r="JV24" s="16">
        <f t="shared" si="114"/>
        <v>0</v>
      </c>
      <c r="JW24" s="16"/>
      <c r="JX24" s="16"/>
      <c r="JY24" s="16">
        <f t="shared" si="115"/>
        <v>0</v>
      </c>
      <c r="JZ24" s="16"/>
      <c r="KA24" s="16"/>
      <c r="KB24" s="16">
        <f t="shared" si="116"/>
        <v>0</v>
      </c>
      <c r="KC24" s="16"/>
      <c r="KD24" s="16"/>
      <c r="KE24" s="16">
        <f t="shared" si="117"/>
        <v>0</v>
      </c>
      <c r="KG24" s="151">
        <f t="shared" si="62"/>
        <v>63198.000000000407</v>
      </c>
    </row>
    <row r="25" spans="1:293" x14ac:dyDescent="0.25">
      <c r="A25" s="35">
        <f t="shared" si="2"/>
        <v>19</v>
      </c>
      <c r="B25" s="38">
        <v>4643.96</v>
      </c>
      <c r="C25" s="38">
        <f t="shared" si="3"/>
        <v>11.159999999999854</v>
      </c>
      <c r="D25" s="38">
        <f t="shared" si="4"/>
        <v>357119.99999999534</v>
      </c>
      <c r="E25" s="38">
        <v>934.9</v>
      </c>
      <c r="F25" s="38">
        <f t="shared" si="5"/>
        <v>66880.000000001019</v>
      </c>
      <c r="G25" s="38">
        <f t="shared" si="6"/>
        <v>423999.99999999639</v>
      </c>
      <c r="H25" s="37"/>
      <c r="I25" s="39"/>
      <c r="J25" s="42"/>
      <c r="K25" s="37">
        <f t="shared" si="82"/>
        <v>0</v>
      </c>
      <c r="L25" s="40">
        <v>14485900</v>
      </c>
      <c r="M25" s="40"/>
      <c r="N25" s="37">
        <f t="shared" si="83"/>
        <v>426000</v>
      </c>
      <c r="O25" s="37">
        <v>11488.9</v>
      </c>
      <c r="P25" s="70"/>
      <c r="Q25" s="37">
        <f t="shared" si="120"/>
        <v>18000</v>
      </c>
      <c r="R25" s="37">
        <f t="shared" si="84"/>
        <v>1</v>
      </c>
      <c r="S25" s="37">
        <v>11243958.77</v>
      </c>
      <c r="T25" s="37">
        <f t="shared" si="8"/>
        <v>346.5599999986589</v>
      </c>
      <c r="U25" s="37">
        <v>1523790.61</v>
      </c>
      <c r="V25" s="37">
        <f t="shared" si="9"/>
        <v>0</v>
      </c>
      <c r="W25" s="37">
        <v>4113.2</v>
      </c>
      <c r="X25" s="37">
        <f t="shared" si="97"/>
        <v>17553.440000001341</v>
      </c>
      <c r="Y25" s="183"/>
      <c r="Z25" s="183"/>
      <c r="AA25" s="37">
        <v>789300</v>
      </c>
      <c r="AB25" s="37">
        <f t="shared" si="10"/>
        <v>100</v>
      </c>
      <c r="AC25" s="37">
        <v>4270.1000000000004</v>
      </c>
      <c r="AD25" s="37"/>
      <c r="AE25" s="37">
        <f t="shared" si="122"/>
        <v>6400.0000000005457</v>
      </c>
      <c r="AF25" s="37">
        <f t="shared" si="85"/>
        <v>1</v>
      </c>
      <c r="AG25" s="37">
        <v>9315.9</v>
      </c>
      <c r="AH25" s="37"/>
      <c r="AI25" s="37">
        <f t="shared" si="12"/>
        <v>13405.070000000364</v>
      </c>
      <c r="AJ25" s="37">
        <f t="shared" si="13"/>
        <v>1</v>
      </c>
      <c r="AK25" s="37">
        <f t="shared" si="14"/>
        <v>37705.070000000909</v>
      </c>
      <c r="AL25" s="42">
        <v>11150.3</v>
      </c>
      <c r="AM25" s="42"/>
      <c r="AN25" s="37">
        <f t="shared" si="63"/>
        <v>6785.0699999988401</v>
      </c>
      <c r="AO25" s="37">
        <f t="shared" si="86"/>
        <v>1</v>
      </c>
      <c r="AP25" s="37">
        <v>8688.7999999999993</v>
      </c>
      <c r="AQ25" s="37"/>
      <c r="AR25" s="37">
        <f t="shared" si="15"/>
        <v>6899.9999999996362</v>
      </c>
      <c r="AS25" s="37">
        <f t="shared" si="87"/>
        <v>1</v>
      </c>
      <c r="AT25" s="183"/>
      <c r="AU25" s="183"/>
      <c r="AV25" s="183"/>
      <c r="AW25" s="183"/>
      <c r="AX25" s="37">
        <v>495140</v>
      </c>
      <c r="AY25" s="37"/>
      <c r="AZ25" s="37">
        <f t="shared" si="16"/>
        <v>450</v>
      </c>
      <c r="BA25" s="37">
        <v>164380</v>
      </c>
      <c r="BB25" s="37"/>
      <c r="BC25" s="37">
        <f t="shared" si="17"/>
        <v>680</v>
      </c>
      <c r="BD25" s="37">
        <f t="shared" si="88"/>
        <v>14815.069999998475</v>
      </c>
      <c r="BE25" s="37">
        <v>1956.6</v>
      </c>
      <c r="BF25" s="37">
        <v>1083.0999999999999</v>
      </c>
      <c r="BG25" s="37">
        <f t="shared" si="18"/>
        <v>1500</v>
      </c>
      <c r="BH25" s="44">
        <v>9155.7000000000007</v>
      </c>
      <c r="BI25" s="44">
        <v>5894.9</v>
      </c>
      <c r="BJ25" s="37">
        <f t="shared" si="19"/>
        <v>8800.0000000010914</v>
      </c>
      <c r="BK25" s="40">
        <v>1672310</v>
      </c>
      <c r="BL25" s="40">
        <f t="shared" si="89"/>
        <v>4170</v>
      </c>
      <c r="BM25" s="40">
        <v>888.57</v>
      </c>
      <c r="BN25" s="37">
        <f t="shared" si="20"/>
        <v>750</v>
      </c>
      <c r="BO25" s="186"/>
      <c r="BP25" s="183">
        <f t="shared" si="21"/>
        <v>0</v>
      </c>
      <c r="BQ25" s="40">
        <v>839.7</v>
      </c>
      <c r="BR25" s="37">
        <f t="shared" si="64"/>
        <v>800.00000000006821</v>
      </c>
      <c r="BS25" s="37">
        <v>103711.06</v>
      </c>
      <c r="BT25" s="37">
        <f t="shared" si="22"/>
        <v>182.83999999999651</v>
      </c>
      <c r="BU25" s="42">
        <v>2924645</v>
      </c>
      <c r="BV25" s="42"/>
      <c r="BW25" s="37">
        <f t="shared" si="23"/>
        <v>8245</v>
      </c>
      <c r="BX25" s="37">
        <f t="shared" si="90"/>
        <v>1</v>
      </c>
      <c r="BY25" s="37">
        <v>363.22680000000003</v>
      </c>
      <c r="BZ25" s="37"/>
      <c r="CA25" s="37">
        <f t="shared" si="118"/>
        <v>603.50000000005366</v>
      </c>
      <c r="CB25" s="37">
        <f t="shared" si="65"/>
        <v>1</v>
      </c>
      <c r="CC25" s="37">
        <v>683301.8</v>
      </c>
      <c r="CD25" s="37">
        <f t="shared" si="25"/>
        <v>2221.8000000000466</v>
      </c>
      <c r="CE25" s="41">
        <v>1326852</v>
      </c>
      <c r="CF25" s="37">
        <f t="shared" si="26"/>
        <v>5652</v>
      </c>
      <c r="CG25" s="37">
        <v>72810.600000000006</v>
      </c>
      <c r="CH25" s="37">
        <f t="shared" si="66"/>
        <v>0</v>
      </c>
      <c r="CI25" s="40">
        <v>13213.37</v>
      </c>
      <c r="CJ25" s="40"/>
      <c r="CK25" s="37">
        <f t="shared" si="67"/>
        <v>16671.570000001109</v>
      </c>
      <c r="CL25" s="37">
        <f t="shared" si="27"/>
        <v>1</v>
      </c>
      <c r="CM25" s="37">
        <v>3741.259</v>
      </c>
      <c r="CN25" s="37"/>
      <c r="CO25" s="37">
        <f t="shared" si="28"/>
        <v>8352.0700000000252</v>
      </c>
      <c r="CP25" s="37">
        <f t="shared" si="91"/>
        <v>1</v>
      </c>
      <c r="CQ25" s="39">
        <v>325479.7</v>
      </c>
      <c r="CR25" s="39"/>
      <c r="CS25" s="37">
        <f t="shared" si="68"/>
        <v>6628.1700000000346</v>
      </c>
      <c r="CT25" s="37">
        <f t="shared" si="69"/>
        <v>1</v>
      </c>
      <c r="CU25" s="37">
        <v>3781091</v>
      </c>
      <c r="CV25" s="37"/>
      <c r="CW25" s="38">
        <f t="shared" si="29"/>
        <v>12691</v>
      </c>
      <c r="CX25" s="37">
        <f t="shared" si="92"/>
        <v>1</v>
      </c>
      <c r="CY25" s="37">
        <v>1992509</v>
      </c>
      <c r="CZ25" s="37"/>
      <c r="DA25" s="37">
        <f t="shared" si="30"/>
        <v>7209</v>
      </c>
      <c r="DB25" s="37">
        <f t="shared" si="93"/>
        <v>1</v>
      </c>
      <c r="DC25" s="37"/>
      <c r="DD25" s="40"/>
      <c r="DE25" s="37">
        <f t="shared" si="31"/>
        <v>0</v>
      </c>
      <c r="DF25" s="37">
        <f t="shared" si="98"/>
        <v>0</v>
      </c>
      <c r="DG25" s="37">
        <f t="shared" si="32"/>
        <v>-59796.810000001176</v>
      </c>
      <c r="DH25" s="37">
        <f t="shared" si="33"/>
        <v>465205.07000000088</v>
      </c>
      <c r="DI25" s="46"/>
      <c r="DJ25" s="46"/>
      <c r="DK25" s="47"/>
      <c r="DL25" s="47"/>
      <c r="DM25" s="37"/>
      <c r="DN25" s="37"/>
      <c r="DO25" s="37"/>
      <c r="DP25" s="37"/>
      <c r="DQ25" s="50">
        <v>3719000</v>
      </c>
      <c r="DR25" s="49">
        <f t="shared" si="70"/>
        <v>10900</v>
      </c>
      <c r="DS25" s="50">
        <v>4263400</v>
      </c>
      <c r="DT25" s="49">
        <f t="shared" si="71"/>
        <v>20000</v>
      </c>
      <c r="DU25" s="51">
        <v>8099.2</v>
      </c>
      <c r="DV25" s="51">
        <v>4547.8</v>
      </c>
      <c r="DW25" s="37">
        <f t="shared" si="94"/>
        <v>4099.9999999994543</v>
      </c>
      <c r="DX25" s="52">
        <v>13349</v>
      </c>
      <c r="DY25" s="52">
        <v>8468.9</v>
      </c>
      <c r="DZ25" s="37">
        <f t="shared" si="34"/>
        <v>13305.07</v>
      </c>
      <c r="EA25" s="49">
        <v>30668</v>
      </c>
      <c r="EB25" s="49">
        <v>21.251999999999999</v>
      </c>
      <c r="EC25" s="37">
        <f t="shared" si="35"/>
        <v>24465.07</v>
      </c>
      <c r="ED25" s="53">
        <f t="shared" si="36"/>
        <v>41870.139999999454</v>
      </c>
      <c r="EE25" s="49">
        <v>46166</v>
      </c>
      <c r="EF25" s="49">
        <v>30.102</v>
      </c>
      <c r="EG25" s="37">
        <f t="shared" si="37"/>
        <v>27465.07</v>
      </c>
      <c r="EH25" s="51">
        <v>13385</v>
      </c>
      <c r="EI25" s="51">
        <v>1.8638999999999999</v>
      </c>
      <c r="EJ25" s="37">
        <f t="shared" si="38"/>
        <v>11305.07</v>
      </c>
      <c r="EK25" s="37">
        <v>815.93</v>
      </c>
      <c r="EL25" s="40">
        <v>1169.0999999999999</v>
      </c>
      <c r="EM25" s="37">
        <f t="shared" si="72"/>
        <v>620.00000000000455</v>
      </c>
      <c r="EN25" s="54">
        <f t="shared" si="73"/>
        <v>39390.140000000007</v>
      </c>
      <c r="EO25" s="48">
        <v>13208</v>
      </c>
      <c r="EP25" s="48">
        <v>4618.3999999999996</v>
      </c>
      <c r="EQ25" s="37">
        <f t="shared" si="74"/>
        <v>7345.0700000000197</v>
      </c>
      <c r="ER25" s="48">
        <v>9808.1</v>
      </c>
      <c r="ES25" s="48">
        <v>4036.2</v>
      </c>
      <c r="ET25" s="49">
        <f t="shared" si="100"/>
        <v>13000</v>
      </c>
      <c r="EU25" s="48">
        <v>3837.9</v>
      </c>
      <c r="EV25" s="48">
        <v>1363.5</v>
      </c>
      <c r="EW25" s="49">
        <f t="shared" si="40"/>
        <v>8805.07</v>
      </c>
      <c r="EX25" s="48">
        <v>13837</v>
      </c>
      <c r="EY25" s="48">
        <v>1.6254</v>
      </c>
      <c r="EZ25" s="37">
        <f t="shared" si="41"/>
        <v>12305.07</v>
      </c>
      <c r="FA25" s="48">
        <f t="shared" si="75"/>
        <v>-20897.210000000021</v>
      </c>
      <c r="FB25" s="48">
        <v>37134825</v>
      </c>
      <c r="FC25" s="49">
        <f t="shared" si="95"/>
        <v>20558</v>
      </c>
      <c r="FD25" s="48">
        <f t="shared" si="76"/>
        <v>43055.209999999934</v>
      </c>
      <c r="FE25" s="48">
        <v>17299</v>
      </c>
      <c r="FF25" s="48">
        <v>6144.7</v>
      </c>
      <c r="FG25" s="37">
        <f t="shared" si="77"/>
        <v>9345.0699999999797</v>
      </c>
      <c r="FH25" s="48">
        <v>9213.7999999999993</v>
      </c>
      <c r="FI25" s="48">
        <v>3.5585</v>
      </c>
      <c r="FJ25" s="49">
        <f t="shared" si="42"/>
        <v>16185.069999999272</v>
      </c>
      <c r="FK25" s="48"/>
      <c r="FL25" s="58">
        <v>80</v>
      </c>
      <c r="FM25" s="48">
        <f t="shared" si="96"/>
        <v>-305.06999999974988</v>
      </c>
      <c r="FN25" s="48">
        <v>16941</v>
      </c>
      <c r="FO25" s="48">
        <v>0.88039999999999996</v>
      </c>
      <c r="FP25" s="37">
        <f t="shared" si="78"/>
        <v>11385.07</v>
      </c>
      <c r="FQ25" s="48">
        <v>59861</v>
      </c>
      <c r="FR25" s="48">
        <v>14.504</v>
      </c>
      <c r="FS25" s="37">
        <f t="shared" si="43"/>
        <v>36000</v>
      </c>
      <c r="FT25" s="48">
        <f t="shared" si="79"/>
        <v>-915.2099999992497</v>
      </c>
      <c r="FU25" s="48">
        <f>FG25+FJ25+FP25+GM25</f>
        <v>36915.20999999925</v>
      </c>
      <c r="FV25" s="44">
        <v>5285700</v>
      </c>
      <c r="FW25" s="44">
        <v>1631400</v>
      </c>
      <c r="FX25" s="37">
        <f t="shared" si="44"/>
        <v>32700</v>
      </c>
      <c r="FY25" s="56">
        <v>3619.6</v>
      </c>
      <c r="FZ25" s="56">
        <v>2.1629</v>
      </c>
      <c r="GA25" s="37">
        <f t="shared" si="45"/>
        <v>8759.9999999999091</v>
      </c>
      <c r="GB25" s="56">
        <v>839.51</v>
      </c>
      <c r="GC25" s="56">
        <v>940.67</v>
      </c>
      <c r="GD25" s="37">
        <f t="shared" si="46"/>
        <v>929.99999999994998</v>
      </c>
      <c r="GE25" s="56">
        <v>10355</v>
      </c>
      <c r="GF25" s="56">
        <v>3.5977999999999999</v>
      </c>
      <c r="GG25" s="37">
        <f t="shared" si="47"/>
        <v>8400.0000000000909</v>
      </c>
      <c r="GH25" s="158">
        <v>2006.1</v>
      </c>
      <c r="GI25" s="159">
        <v>1718.6</v>
      </c>
      <c r="GJ25" s="38">
        <f t="shared" si="48"/>
        <v>1599.9999999999091</v>
      </c>
      <c r="GK25" s="159">
        <v>1489.2</v>
      </c>
      <c r="GL25" s="160">
        <v>1128.5</v>
      </c>
      <c r="GM25" s="38">
        <f t="shared" si="49"/>
        <v>0</v>
      </c>
      <c r="GN25" s="57">
        <v>208300</v>
      </c>
      <c r="GO25" s="57">
        <v>184530</v>
      </c>
      <c r="GP25" s="38">
        <f t="shared" si="99"/>
        <v>0</v>
      </c>
      <c r="GQ25" s="38">
        <v>277880</v>
      </c>
      <c r="GR25" s="38">
        <v>271800</v>
      </c>
      <c r="GS25" s="38">
        <f t="shared" si="81"/>
        <v>340</v>
      </c>
      <c r="GT25" s="178"/>
      <c r="GU25" s="144">
        <f>DailyJun!B24-DailyJun!N24-DailyJun!V24-DailyJun!Y24-DailyJun!Z24-DailyJun!AA24-DailyJun!AB24-DailyJun!AC24-DailyJun!AD24-DailyJun!AE24-DailyJun!AK24-DailyJun!AO24-DailyJun!AS24-DailyJun!AY24-DailyJun!BD24+DailyJun!BU24-DailyJun!BG24-DailyJun!BT24-DailyJun!AF24-DailyJun!AG24</f>
        <v>4.9999995942926034E-2</v>
      </c>
      <c r="GV25" s="59">
        <v>4576.1000000000004</v>
      </c>
      <c r="GW25" s="60">
        <f t="shared" si="50"/>
        <v>305.07333333333338</v>
      </c>
      <c r="GX25" s="61">
        <v>305.07</v>
      </c>
      <c r="GY25" s="140"/>
      <c r="GZ25" s="62"/>
      <c r="HA25" s="62"/>
      <c r="HB25" s="74"/>
      <c r="HC25" s="62"/>
      <c r="HD25" s="74"/>
      <c r="HE25" s="24">
        <f t="shared" si="51"/>
        <v>0</v>
      </c>
      <c r="HF25" s="151"/>
      <c r="HG25" s="213">
        <v>19</v>
      </c>
      <c r="HH25" s="16">
        <f>HH24+155</f>
        <v>13960</v>
      </c>
      <c r="HI25" s="16"/>
      <c r="HJ25" s="16">
        <f t="shared" si="52"/>
        <v>155000</v>
      </c>
      <c r="HK25" s="16">
        <v>1.9189000000000001</v>
      </c>
      <c r="HL25" s="16">
        <v>660.93</v>
      </c>
      <c r="HM25" s="16">
        <f t="shared" si="101"/>
        <v>0</v>
      </c>
      <c r="HN25" s="16"/>
      <c r="HO25" s="16"/>
      <c r="HP25" s="16">
        <f t="shared" si="54"/>
        <v>0</v>
      </c>
      <c r="HQ25" s="16"/>
      <c r="HR25" s="16"/>
      <c r="HS25" s="16">
        <f t="shared" si="55"/>
        <v>0</v>
      </c>
      <c r="HT25" s="16"/>
      <c r="HU25" s="16"/>
      <c r="HV25" s="16">
        <f t="shared" si="56"/>
        <v>0</v>
      </c>
      <c r="HW25" s="16"/>
      <c r="HX25" s="16"/>
      <c r="HY25" s="16">
        <f t="shared" si="57"/>
        <v>0</v>
      </c>
      <c r="HZ25" s="16"/>
      <c r="IA25" s="16"/>
      <c r="IB25" s="16">
        <f t="shared" si="58"/>
        <v>0</v>
      </c>
      <c r="IC25" s="16">
        <v>719.8</v>
      </c>
      <c r="ID25" s="16">
        <v>232.78</v>
      </c>
      <c r="IE25" s="16">
        <f t="shared" si="59"/>
        <v>0</v>
      </c>
      <c r="IF25" s="16"/>
      <c r="IG25" s="16"/>
      <c r="IH25" s="128">
        <f t="shared" si="60"/>
        <v>20000</v>
      </c>
      <c r="II25" s="211">
        <f t="shared" si="61"/>
        <v>135000</v>
      </c>
      <c r="IJ25" s="16"/>
      <c r="IK25" s="16"/>
      <c r="IL25" s="16">
        <f t="shared" si="102"/>
        <v>0</v>
      </c>
      <c r="IM25" s="16"/>
      <c r="IN25" s="16"/>
      <c r="IO25" s="16">
        <f t="shared" si="103"/>
        <v>0</v>
      </c>
      <c r="IP25" s="16"/>
      <c r="IQ25" s="16"/>
      <c r="IR25" s="16">
        <f t="shared" si="104"/>
        <v>0</v>
      </c>
      <c r="IS25" s="16"/>
      <c r="IT25" s="16"/>
      <c r="IU25" s="16">
        <f t="shared" si="105"/>
        <v>0</v>
      </c>
      <c r="IV25" s="16"/>
      <c r="IW25" s="16"/>
      <c r="IX25" s="16">
        <f t="shared" si="106"/>
        <v>0</v>
      </c>
      <c r="IY25" s="16"/>
      <c r="IZ25" s="16"/>
      <c r="JA25" s="16">
        <f t="shared" si="107"/>
        <v>0</v>
      </c>
      <c r="JB25" s="16"/>
      <c r="JC25" s="16"/>
      <c r="JD25" s="16">
        <f t="shared" si="108"/>
        <v>0</v>
      </c>
      <c r="JE25" s="16"/>
      <c r="JF25" s="16"/>
      <c r="JG25" s="16">
        <f t="shared" si="109"/>
        <v>0</v>
      </c>
      <c r="JH25" s="16"/>
      <c r="JI25" s="16"/>
      <c r="JJ25" s="16">
        <f t="shared" si="110"/>
        <v>0</v>
      </c>
      <c r="JK25" s="16"/>
      <c r="JL25" s="16"/>
      <c r="JM25" s="16">
        <f t="shared" si="111"/>
        <v>0</v>
      </c>
      <c r="JN25" s="16"/>
      <c r="JO25" s="16"/>
      <c r="JP25" s="16">
        <f t="shared" si="112"/>
        <v>0</v>
      </c>
      <c r="JQ25" s="16"/>
      <c r="JR25" s="16"/>
      <c r="JS25" s="16">
        <f t="shared" si="113"/>
        <v>0</v>
      </c>
      <c r="JT25" s="16"/>
      <c r="JU25" s="16"/>
      <c r="JV25" s="16">
        <f t="shared" si="114"/>
        <v>0</v>
      </c>
      <c r="JW25" s="16"/>
      <c r="JX25" s="16"/>
      <c r="JY25" s="16">
        <f t="shared" si="115"/>
        <v>0</v>
      </c>
      <c r="JZ25" s="16"/>
      <c r="KA25" s="16"/>
      <c r="KB25" s="16">
        <f t="shared" si="116"/>
        <v>0</v>
      </c>
      <c r="KC25" s="16"/>
      <c r="KD25" s="16"/>
      <c r="KE25" s="16">
        <f t="shared" si="117"/>
        <v>0</v>
      </c>
      <c r="KG25" s="151">
        <f t="shared" si="62"/>
        <v>135000</v>
      </c>
    </row>
    <row r="26" spans="1:293" x14ac:dyDescent="0.25">
      <c r="A26" s="35">
        <f t="shared" si="2"/>
        <v>20</v>
      </c>
      <c r="B26" s="38">
        <v>4655.05</v>
      </c>
      <c r="C26" s="38">
        <f t="shared" si="3"/>
        <v>11.090000000000146</v>
      </c>
      <c r="D26" s="38">
        <f t="shared" si="4"/>
        <v>354880.00000000466</v>
      </c>
      <c r="E26" s="38">
        <v>937.12</v>
      </c>
      <c r="F26" s="38">
        <f t="shared" si="5"/>
        <v>71040.000000000873</v>
      </c>
      <c r="G26" s="38">
        <f t="shared" si="6"/>
        <v>425920.00000000553</v>
      </c>
      <c r="H26" s="37"/>
      <c r="I26" s="39"/>
      <c r="J26" s="42"/>
      <c r="K26" s="37">
        <f t="shared" si="82"/>
        <v>0</v>
      </c>
      <c r="L26" s="40">
        <v>14528100</v>
      </c>
      <c r="M26" s="40"/>
      <c r="N26" s="37">
        <f t="shared" si="83"/>
        <v>422000</v>
      </c>
      <c r="O26" s="37">
        <v>11506.4</v>
      </c>
      <c r="P26" s="37"/>
      <c r="Q26" s="37">
        <f t="shared" si="120"/>
        <v>17500</v>
      </c>
      <c r="R26" s="37">
        <f t="shared" si="84"/>
        <v>1</v>
      </c>
      <c r="S26" s="37">
        <v>11244287.609999999</v>
      </c>
      <c r="T26" s="37">
        <f t="shared" si="8"/>
        <v>328.83999999985099</v>
      </c>
      <c r="U26" s="37">
        <v>1523790.61</v>
      </c>
      <c r="V26" s="37">
        <f t="shared" si="9"/>
        <v>0</v>
      </c>
      <c r="W26" s="37">
        <v>4119.6000000000004</v>
      </c>
      <c r="X26" s="37">
        <f t="shared" si="97"/>
        <v>17071.160000000149</v>
      </c>
      <c r="Y26" s="183"/>
      <c r="Z26" s="183"/>
      <c r="AA26" s="37">
        <v>789400</v>
      </c>
      <c r="AB26" s="37">
        <f t="shared" si="10"/>
        <v>100</v>
      </c>
      <c r="AC26" s="37">
        <v>4276.7</v>
      </c>
      <c r="AD26" s="37"/>
      <c r="AE26" s="37">
        <f t="shared" si="122"/>
        <v>6599.9999999994543</v>
      </c>
      <c r="AF26" s="37">
        <f>IF(AE26&lt;=0,0,(AE26/SQRT(AE26^2+(AD26-AD25)^2)))</f>
        <v>1</v>
      </c>
      <c r="AG26" s="37">
        <v>9329.7999999999993</v>
      </c>
      <c r="AH26" s="37"/>
      <c r="AI26" s="37">
        <f t="shared" si="12"/>
        <v>14116.829999999636</v>
      </c>
      <c r="AJ26" s="37">
        <f t="shared" si="13"/>
        <v>1</v>
      </c>
      <c r="AK26" s="37">
        <f t="shared" si="14"/>
        <v>38116.829999999092</v>
      </c>
      <c r="AL26" s="42">
        <v>11161.2</v>
      </c>
      <c r="AM26" s="42"/>
      <c r="AN26" s="37">
        <f t="shared" si="63"/>
        <v>5626.8300000016097</v>
      </c>
      <c r="AO26" s="37">
        <f t="shared" si="86"/>
        <v>1</v>
      </c>
      <c r="AP26" s="37">
        <v>8695.1</v>
      </c>
      <c r="AQ26" s="37"/>
      <c r="AR26" s="37">
        <f t="shared" si="15"/>
        <v>6300.0000000010914</v>
      </c>
      <c r="AS26" s="37">
        <f t="shared" si="87"/>
        <v>1</v>
      </c>
      <c r="AT26" s="183"/>
      <c r="AU26" s="183"/>
      <c r="AV26" s="183"/>
      <c r="AW26" s="183"/>
      <c r="AX26" s="37">
        <v>495520</v>
      </c>
      <c r="AY26" s="37"/>
      <c r="AZ26" s="37">
        <f t="shared" si="16"/>
        <v>380</v>
      </c>
      <c r="BA26" s="37">
        <v>164940</v>
      </c>
      <c r="BB26" s="37"/>
      <c r="BC26" s="37">
        <f t="shared" si="17"/>
        <v>560</v>
      </c>
      <c r="BD26" s="37">
        <f t="shared" si="88"/>
        <v>12866.830000002701</v>
      </c>
      <c r="BE26" s="43">
        <v>1958.1</v>
      </c>
      <c r="BF26" s="43">
        <v>1084.0999999999999</v>
      </c>
      <c r="BG26" s="37">
        <f t="shared" si="18"/>
        <v>1500</v>
      </c>
      <c r="BH26" s="44">
        <v>9164.7000000000007</v>
      </c>
      <c r="BI26" s="44">
        <v>5901</v>
      </c>
      <c r="BJ26" s="37">
        <f t="shared" si="19"/>
        <v>9000</v>
      </c>
      <c r="BK26" s="40">
        <v>1676380</v>
      </c>
      <c r="BL26" s="40">
        <f t="shared" si="89"/>
        <v>4070</v>
      </c>
      <c r="BM26" s="40">
        <v>889.29</v>
      </c>
      <c r="BN26" s="37">
        <f t="shared" si="20"/>
        <v>719.9999999999136</v>
      </c>
      <c r="BO26" s="186"/>
      <c r="BP26" s="183">
        <f t="shared" si="21"/>
        <v>0</v>
      </c>
      <c r="BQ26" s="40">
        <v>840.4</v>
      </c>
      <c r="BR26" s="37">
        <f t="shared" si="64"/>
        <v>699.99999999993179</v>
      </c>
      <c r="BS26" s="37">
        <v>103880.97</v>
      </c>
      <c r="BT26" s="37">
        <f t="shared" si="22"/>
        <v>169.91000000000349</v>
      </c>
      <c r="BU26" s="42">
        <v>2933708</v>
      </c>
      <c r="BV26" s="42"/>
      <c r="BW26" s="37">
        <f t="shared" si="23"/>
        <v>9063</v>
      </c>
      <c r="BX26" s="37">
        <f t="shared" si="90"/>
        <v>1</v>
      </c>
      <c r="BY26" s="43">
        <v>363.83449999999999</v>
      </c>
      <c r="BZ26" s="37"/>
      <c r="CA26" s="37">
        <f t="shared" si="118"/>
        <v>607.69999999996571</v>
      </c>
      <c r="CB26" s="37">
        <f t="shared" si="65"/>
        <v>1</v>
      </c>
      <c r="CC26" s="37">
        <v>685722.6</v>
      </c>
      <c r="CD26" s="37">
        <f t="shared" si="25"/>
        <v>2420.7999999999302</v>
      </c>
      <c r="CE26" s="41">
        <v>1332747</v>
      </c>
      <c r="CF26" s="37">
        <f t="shared" si="26"/>
        <v>5895</v>
      </c>
      <c r="CG26" s="37">
        <v>72810.600000000006</v>
      </c>
      <c r="CH26" s="37">
        <f t="shared" si="66"/>
        <v>0</v>
      </c>
      <c r="CI26" s="40">
        <v>13230.63</v>
      </c>
      <c r="CJ26" s="40"/>
      <c r="CK26" s="37">
        <f t="shared" si="67"/>
        <v>16869.129999998437</v>
      </c>
      <c r="CL26" s="37">
        <f t="shared" si="27"/>
        <v>1</v>
      </c>
      <c r="CM26" s="37">
        <v>3749.9290000000001</v>
      </c>
      <c r="CN26" s="37"/>
      <c r="CO26" s="37">
        <f t="shared" si="28"/>
        <v>8886.8300000000727</v>
      </c>
      <c r="CP26" s="37">
        <f t="shared" si="91"/>
        <v>1</v>
      </c>
      <c r="CQ26" s="39">
        <v>332452.5</v>
      </c>
      <c r="CR26" s="39"/>
      <c r="CS26" s="37">
        <f t="shared" si="68"/>
        <v>7189.6299999999883</v>
      </c>
      <c r="CT26" s="37">
        <f t="shared" si="69"/>
        <v>1</v>
      </c>
      <c r="CU26" s="37">
        <v>3794080</v>
      </c>
      <c r="CV26" s="37"/>
      <c r="CW26" s="38">
        <f t="shared" si="29"/>
        <v>12989</v>
      </c>
      <c r="CX26" s="37">
        <f t="shared" si="92"/>
        <v>1</v>
      </c>
      <c r="CY26" s="37">
        <v>2000239</v>
      </c>
      <c r="CZ26" s="37"/>
      <c r="DA26" s="37">
        <f t="shared" si="30"/>
        <v>7730</v>
      </c>
      <c r="DB26" s="37">
        <f t="shared" si="93"/>
        <v>1</v>
      </c>
      <c r="DC26" s="37"/>
      <c r="DD26" s="40"/>
      <c r="DE26" s="37">
        <f t="shared" si="31"/>
        <v>0</v>
      </c>
      <c r="DF26" s="37">
        <f t="shared" si="98"/>
        <v>0</v>
      </c>
      <c r="DG26" s="37">
        <f t="shared" si="32"/>
        <v>-62727.589999998498</v>
      </c>
      <c r="DH26" s="37">
        <f t="shared" si="33"/>
        <v>461616.82999999908</v>
      </c>
      <c r="DI26" s="46"/>
      <c r="DJ26" s="46"/>
      <c r="DK26" s="47"/>
      <c r="DL26" s="47"/>
      <c r="DM26" s="37"/>
      <c r="DN26" s="37"/>
      <c r="DO26" s="37"/>
      <c r="DP26" s="37"/>
      <c r="DQ26" s="50">
        <v>3729100</v>
      </c>
      <c r="DR26" s="49">
        <f t="shared" si="70"/>
        <v>10100</v>
      </c>
      <c r="DS26" s="50">
        <v>4282100</v>
      </c>
      <c r="DT26" s="49">
        <f t="shared" si="71"/>
        <v>18700</v>
      </c>
      <c r="DU26" s="51">
        <v>8103.1</v>
      </c>
      <c r="DV26" s="51">
        <v>4550.3</v>
      </c>
      <c r="DW26" s="37">
        <f t="shared" si="94"/>
        <v>3900.0000000005457</v>
      </c>
      <c r="DX26" s="52">
        <v>13352</v>
      </c>
      <c r="DY26" s="52">
        <v>8471.5</v>
      </c>
      <c r="DZ26" s="37">
        <f t="shared" si="34"/>
        <v>3216.83</v>
      </c>
      <c r="EA26" s="49">
        <v>30691</v>
      </c>
      <c r="EB26" s="49">
        <v>21.263999999999999</v>
      </c>
      <c r="EC26" s="37">
        <f t="shared" si="35"/>
        <v>25376.83</v>
      </c>
      <c r="ED26" s="53">
        <f t="shared" si="36"/>
        <v>32493.660000000549</v>
      </c>
      <c r="EE26" s="49">
        <v>46191</v>
      </c>
      <c r="EF26" s="49">
        <v>30.125</v>
      </c>
      <c r="EG26" s="37">
        <f t="shared" si="37"/>
        <v>27376.83</v>
      </c>
      <c r="EH26" s="51">
        <v>13396</v>
      </c>
      <c r="EI26" s="51">
        <v>1.867</v>
      </c>
      <c r="EJ26" s="37">
        <f t="shared" si="38"/>
        <v>11216.83</v>
      </c>
      <c r="EK26" s="37">
        <v>816.68</v>
      </c>
      <c r="EL26" s="40">
        <v>1170.0999999999999</v>
      </c>
      <c r="EM26" s="37">
        <f t="shared" si="72"/>
        <v>750</v>
      </c>
      <c r="EN26" s="54">
        <f t="shared" si="73"/>
        <v>39343.660000000003</v>
      </c>
      <c r="EO26" s="48">
        <v>13214</v>
      </c>
      <c r="EP26" s="48">
        <v>4620.8999999999996</v>
      </c>
      <c r="EQ26" s="37">
        <f t="shared" si="74"/>
        <v>5336.8300000000045</v>
      </c>
      <c r="ER26" s="48">
        <v>9820.9</v>
      </c>
      <c r="ES26" s="48">
        <v>4041.8</v>
      </c>
      <c r="ET26" s="49">
        <f t="shared" si="100"/>
        <v>12799.999999999272</v>
      </c>
      <c r="EU26" s="48">
        <v>3846.3</v>
      </c>
      <c r="EV26" s="48">
        <v>1366.5</v>
      </c>
      <c r="EW26" s="49">
        <f t="shared" si="40"/>
        <v>8616.8300000000909</v>
      </c>
      <c r="EX26" s="48">
        <v>13848</v>
      </c>
      <c r="EY26" s="48">
        <v>1.6274999999999999</v>
      </c>
      <c r="EZ26" s="37">
        <f t="shared" si="41"/>
        <v>11216.83</v>
      </c>
      <c r="FA26" s="48">
        <f t="shared" si="75"/>
        <v>-17833.489999999369</v>
      </c>
      <c r="FB26" s="60">
        <v>37154962</v>
      </c>
      <c r="FC26" s="49">
        <f t="shared" si="95"/>
        <v>20137</v>
      </c>
      <c r="FD26" s="48">
        <f t="shared" si="76"/>
        <v>39670.489999999416</v>
      </c>
      <c r="FE26" s="48">
        <v>17307</v>
      </c>
      <c r="FF26" s="48">
        <v>6146.5</v>
      </c>
      <c r="FG26" s="37">
        <f t="shared" si="77"/>
        <v>8670.1599999999962</v>
      </c>
      <c r="FH26" s="48">
        <v>9229.2000000000007</v>
      </c>
      <c r="FI26" s="48">
        <v>3.5644</v>
      </c>
      <c r="FJ26" s="49">
        <f t="shared" si="42"/>
        <v>15190.160000001455</v>
      </c>
      <c r="FK26" s="48"/>
      <c r="FL26" s="58">
        <v>-426.67</v>
      </c>
      <c r="FM26" s="48">
        <f t="shared" si="96"/>
        <v>-216.82666666715036</v>
      </c>
      <c r="FN26" s="48">
        <v>16953</v>
      </c>
      <c r="FO26" s="48">
        <v>0.88239999999999996</v>
      </c>
      <c r="FP26" s="37">
        <f t="shared" si="78"/>
        <v>11790.16</v>
      </c>
      <c r="FQ26" s="48">
        <v>59896</v>
      </c>
      <c r="FR26" s="48">
        <v>14.513999999999999</v>
      </c>
      <c r="FS26" s="37">
        <f t="shared" si="43"/>
        <v>35000</v>
      </c>
      <c r="FT26" s="48">
        <f t="shared" si="79"/>
        <v>-650.48000000145112</v>
      </c>
      <c r="FU26" s="48">
        <f t="shared" si="80"/>
        <v>35650.480000001451</v>
      </c>
      <c r="FV26" s="71">
        <v>5322000</v>
      </c>
      <c r="FW26" s="44">
        <v>1639800</v>
      </c>
      <c r="FX26" s="37">
        <f t="shared" si="44"/>
        <v>36300</v>
      </c>
      <c r="FY26" s="56">
        <v>3629</v>
      </c>
      <c r="FZ26" s="56">
        <v>2.1646000000000001</v>
      </c>
      <c r="GA26" s="37">
        <f t="shared" si="45"/>
        <v>9070.0000000000909</v>
      </c>
      <c r="GB26" s="56">
        <v>840.61</v>
      </c>
      <c r="GC26" s="56">
        <v>941.88</v>
      </c>
      <c r="GD26" s="37">
        <f t="shared" si="46"/>
        <v>1100.0000000000227</v>
      </c>
      <c r="GE26" s="56">
        <v>10366</v>
      </c>
      <c r="GF26" s="56">
        <v>3.6057000000000001</v>
      </c>
      <c r="GG26" s="37">
        <f t="shared" si="47"/>
        <v>9299.9999999999545</v>
      </c>
      <c r="GH26" s="158">
        <v>2007.8</v>
      </c>
      <c r="GI26" s="159">
        <v>1720.3</v>
      </c>
      <c r="GJ26" s="38">
        <f t="shared" si="48"/>
        <v>1700.0000000000455</v>
      </c>
      <c r="GK26" s="159">
        <v>1489.2</v>
      </c>
      <c r="GL26" s="160">
        <v>1128.5</v>
      </c>
      <c r="GM26" s="38">
        <f>IF((GK26-GK25)&lt;=0,0,((((GH26-GH25))*1000)+((GK26-GK25))*1000))/2</f>
        <v>0</v>
      </c>
      <c r="GN26" s="57">
        <v>208300</v>
      </c>
      <c r="GO26" s="57">
        <v>184540</v>
      </c>
      <c r="GP26" s="38">
        <f t="shared" si="99"/>
        <v>0</v>
      </c>
      <c r="GQ26" s="38">
        <v>278210</v>
      </c>
      <c r="GR26" s="38">
        <v>272040</v>
      </c>
      <c r="GS26" s="38">
        <f t="shared" si="81"/>
        <v>330</v>
      </c>
      <c r="GT26" s="178"/>
      <c r="GU26" s="144">
        <f>DailyJun!B25-DailyJun!N25-DailyJun!V25-DailyJun!Y25-DailyJun!Z25-DailyJun!AA25-DailyJun!AB25-DailyJun!AC25-DailyJun!AD25-DailyJun!AE25-DailyJun!AK25-DailyJun!AO25-DailyJun!AS25-DailyJun!AY25-DailyJun!BD25+DailyJun!BU25-DailyJun!BG25-DailyJun!BT25-DailyJun!AF25-DailyJun!AG25</f>
        <v>-3.9999995962716639E-2</v>
      </c>
      <c r="GV26" s="59">
        <v>3252.41</v>
      </c>
      <c r="GW26" s="60">
        <f t="shared" si="50"/>
        <v>216.82733333333331</v>
      </c>
      <c r="GX26" s="61">
        <v>216.83</v>
      </c>
      <c r="GY26" s="140"/>
      <c r="GZ26" s="62"/>
      <c r="HA26" s="62"/>
      <c r="HB26" s="74"/>
      <c r="HC26" s="62"/>
      <c r="HD26" s="74"/>
      <c r="HE26" s="24">
        <f t="shared" si="51"/>
        <v>0</v>
      </c>
      <c r="HF26" s="151"/>
      <c r="HG26" s="213">
        <v>20</v>
      </c>
      <c r="HH26" s="16">
        <v>14127</v>
      </c>
      <c r="HI26" s="16">
        <v>5436.1</v>
      </c>
      <c r="HJ26" s="16">
        <f t="shared" si="52"/>
        <v>167000</v>
      </c>
      <c r="HK26" s="16">
        <v>1.9189000000000001</v>
      </c>
      <c r="HL26" s="16">
        <v>660.93</v>
      </c>
      <c r="HM26" s="16">
        <f t="shared" si="101"/>
        <v>0</v>
      </c>
      <c r="HN26" s="16">
        <v>3648.1</v>
      </c>
      <c r="HO26" s="16">
        <v>1594.4</v>
      </c>
      <c r="HP26" s="16">
        <f t="shared" si="54"/>
        <v>3648100</v>
      </c>
      <c r="HQ26" s="16">
        <v>2979.1</v>
      </c>
      <c r="HR26" s="16">
        <v>1280.5999999999999</v>
      </c>
      <c r="HS26" s="16">
        <f t="shared" si="55"/>
        <v>2979100</v>
      </c>
      <c r="HT26" s="16">
        <v>2626</v>
      </c>
      <c r="HU26" s="16">
        <v>995.95</v>
      </c>
      <c r="HV26" s="16">
        <f t="shared" si="56"/>
        <v>2626000</v>
      </c>
      <c r="HW26" s="16">
        <v>1597.9</v>
      </c>
      <c r="HX26" s="16">
        <v>699.74</v>
      </c>
      <c r="HY26" s="16">
        <f t="shared" si="57"/>
        <v>1597900</v>
      </c>
      <c r="HZ26" s="16">
        <v>565850</v>
      </c>
      <c r="IA26" s="16"/>
      <c r="IB26" s="16">
        <f t="shared" si="58"/>
        <v>565850</v>
      </c>
      <c r="IC26" s="16">
        <v>719.8</v>
      </c>
      <c r="ID26" s="16">
        <v>232.78</v>
      </c>
      <c r="IE26" s="16">
        <f t="shared" si="59"/>
        <v>0</v>
      </c>
      <c r="IF26" s="16"/>
      <c r="IG26" s="16"/>
      <c r="IH26" s="128">
        <f t="shared" si="60"/>
        <v>18700</v>
      </c>
      <c r="II26" s="211">
        <f t="shared" si="61"/>
        <v>-11268650</v>
      </c>
      <c r="IJ26" s="16"/>
      <c r="IK26" s="16"/>
      <c r="IL26" s="16">
        <f t="shared" si="102"/>
        <v>0</v>
      </c>
      <c r="IM26" s="16"/>
      <c r="IN26" s="16"/>
      <c r="IO26" s="16">
        <f t="shared" si="103"/>
        <v>0</v>
      </c>
      <c r="IP26" s="16"/>
      <c r="IQ26" s="16"/>
      <c r="IR26" s="16">
        <f t="shared" si="104"/>
        <v>0</v>
      </c>
      <c r="IS26" s="16"/>
      <c r="IT26" s="16"/>
      <c r="IU26" s="16">
        <f t="shared" si="105"/>
        <v>0</v>
      </c>
      <c r="IV26" s="16"/>
      <c r="IW26" s="16"/>
      <c r="IX26" s="16">
        <f t="shared" si="106"/>
        <v>0</v>
      </c>
      <c r="IY26" s="16"/>
      <c r="IZ26" s="16"/>
      <c r="JA26" s="16">
        <f t="shared" si="107"/>
        <v>0</v>
      </c>
      <c r="JB26" s="16"/>
      <c r="JC26" s="16"/>
      <c r="JD26" s="16">
        <f t="shared" si="108"/>
        <v>0</v>
      </c>
      <c r="JE26" s="16"/>
      <c r="JF26" s="16"/>
      <c r="JG26" s="16">
        <f t="shared" si="109"/>
        <v>0</v>
      </c>
      <c r="JH26" s="16"/>
      <c r="JI26" s="16"/>
      <c r="JJ26" s="16">
        <f t="shared" si="110"/>
        <v>0</v>
      </c>
      <c r="JK26" s="16"/>
      <c r="JL26" s="16"/>
      <c r="JM26" s="16">
        <f t="shared" si="111"/>
        <v>0</v>
      </c>
      <c r="JN26" s="16"/>
      <c r="JO26" s="16"/>
      <c r="JP26" s="16">
        <f t="shared" si="112"/>
        <v>0</v>
      </c>
      <c r="JQ26" s="16"/>
      <c r="JR26" s="16"/>
      <c r="JS26" s="16">
        <f t="shared" si="113"/>
        <v>0</v>
      </c>
      <c r="JT26" s="16"/>
      <c r="JU26" s="16"/>
      <c r="JV26" s="16">
        <f t="shared" si="114"/>
        <v>0</v>
      </c>
      <c r="JW26" s="16"/>
      <c r="JX26" s="16"/>
      <c r="JY26" s="16">
        <f t="shared" si="115"/>
        <v>0</v>
      </c>
      <c r="JZ26" s="16"/>
      <c r="KA26" s="16"/>
      <c r="KB26" s="16">
        <f t="shared" si="116"/>
        <v>0</v>
      </c>
      <c r="KC26" s="16"/>
      <c r="KD26" s="16"/>
      <c r="KE26" s="16">
        <f t="shared" si="117"/>
        <v>0</v>
      </c>
      <c r="KG26" s="151">
        <f t="shared" si="62"/>
        <v>-7054700</v>
      </c>
    </row>
    <row r="27" spans="1:293" x14ac:dyDescent="0.25">
      <c r="A27" s="35">
        <f t="shared" si="2"/>
        <v>21</v>
      </c>
      <c r="B27" s="38">
        <v>4665.46</v>
      </c>
      <c r="C27" s="38">
        <f t="shared" si="3"/>
        <v>10.409999999999854</v>
      </c>
      <c r="D27" s="38">
        <f t="shared" si="4"/>
        <v>333119.99999999534</v>
      </c>
      <c r="E27" s="38">
        <v>939.32</v>
      </c>
      <c r="F27" s="38">
        <f t="shared" si="5"/>
        <v>70400.000000001455</v>
      </c>
      <c r="G27" s="38">
        <f t="shared" si="6"/>
        <v>403519.9999999968</v>
      </c>
      <c r="H27" s="37"/>
      <c r="I27" s="39"/>
      <c r="J27" s="42"/>
      <c r="K27" s="37">
        <f t="shared" si="82"/>
        <v>0</v>
      </c>
      <c r="L27" s="40">
        <v>14568300</v>
      </c>
      <c r="M27" s="40"/>
      <c r="N27" s="37">
        <f t="shared" si="83"/>
        <v>402000</v>
      </c>
      <c r="O27" s="37">
        <v>11524.4</v>
      </c>
      <c r="P27" s="37"/>
      <c r="Q27" s="37">
        <f t="shared" si="120"/>
        <v>18000</v>
      </c>
      <c r="R27" s="37">
        <f t="shared" si="84"/>
        <v>1</v>
      </c>
      <c r="S27" s="37">
        <v>11244627.560000001</v>
      </c>
      <c r="T27" s="37">
        <f t="shared" si="8"/>
        <v>339.95000000111759</v>
      </c>
      <c r="U27" s="37">
        <v>1523790.61</v>
      </c>
      <c r="V27" s="37">
        <f t="shared" si="9"/>
        <v>0</v>
      </c>
      <c r="W27" s="37">
        <v>4126.2</v>
      </c>
      <c r="X27" s="37">
        <f t="shared" si="97"/>
        <v>17660.049999998882</v>
      </c>
      <c r="Y27" s="183"/>
      <c r="Z27" s="183"/>
      <c r="AA27" s="37">
        <v>789400</v>
      </c>
      <c r="AB27" s="37">
        <f t="shared" si="10"/>
        <v>0</v>
      </c>
      <c r="AC27" s="37">
        <v>4283.8999999999996</v>
      </c>
      <c r="AD27" s="37"/>
      <c r="AE27" s="37">
        <f t="shared" si="122"/>
        <v>7199.9999999998181</v>
      </c>
      <c r="AF27" s="37">
        <f t="shared" si="85"/>
        <v>1</v>
      </c>
      <c r="AG27" s="37">
        <v>9344.9</v>
      </c>
      <c r="AH27" s="37"/>
      <c r="AI27" s="37">
        <f t="shared" si="12"/>
        <v>15477.730000000363</v>
      </c>
      <c r="AJ27" s="37">
        <f t="shared" si="13"/>
        <v>1</v>
      </c>
      <c r="AK27" s="37">
        <f t="shared" si="14"/>
        <v>40677.730000000185</v>
      </c>
      <c r="AL27" s="42">
        <v>11171.2</v>
      </c>
      <c r="AM27" s="42"/>
      <c r="AN27" s="37">
        <f t="shared" si="63"/>
        <v>5077.7299999999495</v>
      </c>
      <c r="AO27" s="37">
        <f t="shared" si="86"/>
        <v>1</v>
      </c>
      <c r="AP27" s="37">
        <v>8702.7000000000007</v>
      </c>
      <c r="AQ27" s="37"/>
      <c r="AR27" s="37">
        <f t="shared" si="15"/>
        <v>7600.0000000003638</v>
      </c>
      <c r="AS27" s="37">
        <f t="shared" si="87"/>
        <v>1</v>
      </c>
      <c r="AT27" s="183"/>
      <c r="AU27" s="183"/>
      <c r="AV27" s="183"/>
      <c r="AW27" s="183"/>
      <c r="AX27" s="37">
        <v>495950</v>
      </c>
      <c r="AY27" s="37"/>
      <c r="AZ27" s="37">
        <f t="shared" si="16"/>
        <v>430</v>
      </c>
      <c r="BA27" s="37">
        <v>165550</v>
      </c>
      <c r="BB27" s="37"/>
      <c r="BC27" s="37">
        <f t="shared" si="17"/>
        <v>610</v>
      </c>
      <c r="BD27" s="37">
        <f t="shared" si="88"/>
        <v>13717.730000000312</v>
      </c>
      <c r="BE27" s="43">
        <v>1959.9</v>
      </c>
      <c r="BF27" s="43">
        <v>1085.4000000000001</v>
      </c>
      <c r="BG27" s="37">
        <f t="shared" si="18"/>
        <v>1800.0000000001819</v>
      </c>
      <c r="BH27" s="44">
        <v>9174.1</v>
      </c>
      <c r="BI27" s="44">
        <v>5907.4</v>
      </c>
      <c r="BJ27" s="37">
        <f t="shared" si="19"/>
        <v>9399.9999999996362</v>
      </c>
      <c r="BK27" s="40">
        <v>1680360</v>
      </c>
      <c r="BL27" s="40">
        <f t="shared" si="89"/>
        <v>3980</v>
      </c>
      <c r="BM27" s="40">
        <v>890.01</v>
      </c>
      <c r="BN27" s="37">
        <f t="shared" si="20"/>
        <v>720.00000000002728</v>
      </c>
      <c r="BO27" s="186"/>
      <c r="BP27" s="183">
        <f t="shared" si="21"/>
        <v>0</v>
      </c>
      <c r="BQ27" s="40">
        <v>841</v>
      </c>
      <c r="BR27" s="37">
        <f t="shared" si="64"/>
        <v>600.00000000002274</v>
      </c>
      <c r="BS27" s="37">
        <v>104047.44</v>
      </c>
      <c r="BT27" s="37">
        <f t="shared" si="22"/>
        <v>166.47000000000116</v>
      </c>
      <c r="BU27" s="42">
        <v>2941695</v>
      </c>
      <c r="BV27" s="42"/>
      <c r="BW27" s="37">
        <f t="shared" si="23"/>
        <v>7987</v>
      </c>
      <c r="BX27" s="37">
        <f t="shared" si="90"/>
        <v>1</v>
      </c>
      <c r="BY27" s="43">
        <v>364.36779999999999</v>
      </c>
      <c r="BZ27" s="37"/>
      <c r="CA27" s="37">
        <f t="shared" si="118"/>
        <v>533.299999999997</v>
      </c>
      <c r="CB27" s="37">
        <f t="shared" si="65"/>
        <v>1</v>
      </c>
      <c r="CC27" s="37">
        <v>687796.8</v>
      </c>
      <c r="CD27" s="37">
        <f t="shared" si="25"/>
        <v>2074.2000000000698</v>
      </c>
      <c r="CE27" s="41">
        <v>1337751</v>
      </c>
      <c r="CF27" s="37">
        <f t="shared" si="26"/>
        <v>5004</v>
      </c>
      <c r="CG27" s="37">
        <v>72810.600000000006</v>
      </c>
      <c r="CH27" s="37">
        <f t="shared" si="66"/>
        <v>0</v>
      </c>
      <c r="CI27" s="40">
        <v>13246.33</v>
      </c>
      <c r="CJ27" s="40"/>
      <c r="CK27" s="37">
        <f t="shared" si="67"/>
        <v>15544.43000000073</v>
      </c>
      <c r="CL27" s="37">
        <f t="shared" si="27"/>
        <v>1</v>
      </c>
      <c r="CM27" s="37">
        <v>3756.9969999999998</v>
      </c>
      <c r="CN27" s="37"/>
      <c r="CO27" s="37">
        <f t="shared" si="28"/>
        <v>7445.7299999997558</v>
      </c>
      <c r="CP27" s="37">
        <f t="shared" si="91"/>
        <v>1</v>
      </c>
      <c r="CQ27" s="39">
        <v>338269.4</v>
      </c>
      <c r="CR27" s="39"/>
      <c r="CS27" s="37">
        <f t="shared" si="68"/>
        <v>6194.6300000000228</v>
      </c>
      <c r="CT27" s="37">
        <f t="shared" si="69"/>
        <v>1</v>
      </c>
      <c r="CU27" s="37">
        <v>3808288</v>
      </c>
      <c r="CV27" s="37"/>
      <c r="CW27" s="38">
        <f t="shared" si="29"/>
        <v>14208</v>
      </c>
      <c r="CX27" s="37">
        <f t="shared" si="92"/>
        <v>1</v>
      </c>
      <c r="CY27" s="37">
        <v>2009097</v>
      </c>
      <c r="CZ27" s="37"/>
      <c r="DA27" s="37">
        <f t="shared" ref="DA27:DA38" si="124">IF((CY27-CY26)&lt;=0,0,(CY27-CY26))/1</f>
        <v>8858</v>
      </c>
      <c r="DB27" s="37">
        <f t="shared" si="93"/>
        <v>1</v>
      </c>
      <c r="DC27" s="37"/>
      <c r="DD27" s="40"/>
      <c r="DE27" s="37">
        <f t="shared" si="31"/>
        <v>0</v>
      </c>
      <c r="DF27" s="37">
        <f t="shared" si="98"/>
        <v>0</v>
      </c>
      <c r="DG27" s="37">
        <f t="shared" si="32"/>
        <v>-60237.79000000051</v>
      </c>
      <c r="DH27" s="37">
        <f t="shared" si="33"/>
        <v>444477.73000000039</v>
      </c>
      <c r="DI27" s="46"/>
      <c r="DJ27" s="46"/>
      <c r="DK27" s="47"/>
      <c r="DL27" s="47"/>
      <c r="DM27" s="37"/>
      <c r="DN27" s="37"/>
      <c r="DO27" s="37"/>
      <c r="DP27" s="37"/>
      <c r="DQ27" s="50">
        <v>3739000</v>
      </c>
      <c r="DR27" s="49">
        <f t="shared" si="70"/>
        <v>9900</v>
      </c>
      <c r="DS27" s="50">
        <v>4300000</v>
      </c>
      <c r="DT27" s="49">
        <f t="shared" si="71"/>
        <v>17900</v>
      </c>
      <c r="DU27" s="51">
        <v>8107.4</v>
      </c>
      <c r="DV27" s="51">
        <v>4553.1000000000004</v>
      </c>
      <c r="DW27" s="37">
        <f t="shared" si="94"/>
        <v>4299.9999999992724</v>
      </c>
      <c r="DX27" s="52">
        <v>13359</v>
      </c>
      <c r="DY27" s="52">
        <v>8474.2999999999993</v>
      </c>
      <c r="DZ27" s="37">
        <f t="shared" si="34"/>
        <v>7377.73</v>
      </c>
      <c r="EA27" s="49">
        <v>30712</v>
      </c>
      <c r="EB27" s="49">
        <v>21.277000000000001</v>
      </c>
      <c r="EC27" s="37">
        <f t="shared" si="35"/>
        <v>23537.73</v>
      </c>
      <c r="ED27" s="53">
        <f t="shared" si="36"/>
        <v>35215.459999999272</v>
      </c>
      <c r="EE27" s="49">
        <v>46218</v>
      </c>
      <c r="EF27" s="49">
        <v>30.15</v>
      </c>
      <c r="EG27" s="37">
        <f t="shared" si="37"/>
        <v>29537.73</v>
      </c>
      <c r="EH27" s="51">
        <v>13408</v>
      </c>
      <c r="EI27" s="51">
        <v>1.8698999999999999</v>
      </c>
      <c r="EJ27" s="37">
        <f t="shared" si="38"/>
        <v>12377.73</v>
      </c>
      <c r="EK27" s="37">
        <v>817.33</v>
      </c>
      <c r="EL27" s="40">
        <v>1171</v>
      </c>
      <c r="EM27" s="37">
        <f t="shared" si="72"/>
        <v>650.00000000009095</v>
      </c>
      <c r="EN27" s="54">
        <f t="shared" si="73"/>
        <v>42565.460000000094</v>
      </c>
      <c r="EO27" s="48">
        <v>13221</v>
      </c>
      <c r="EP27" s="48">
        <v>4623.2</v>
      </c>
      <c r="EQ27" s="37">
        <f t="shared" si="74"/>
        <v>6492.7300000000087</v>
      </c>
      <c r="ER27" s="48">
        <v>9833.4</v>
      </c>
      <c r="ES27" s="48">
        <v>4047.4</v>
      </c>
      <c r="ET27" s="49">
        <f t="shared" si="100"/>
        <v>12500</v>
      </c>
      <c r="EU27" s="48">
        <v>3854.9</v>
      </c>
      <c r="EV27" s="48">
        <v>1369.6</v>
      </c>
      <c r="EW27" s="49">
        <f t="shared" si="40"/>
        <v>8977.7299999999086</v>
      </c>
      <c r="EX27" s="48">
        <v>13859</v>
      </c>
      <c r="EY27" s="48">
        <v>1.6297999999999999</v>
      </c>
      <c r="EZ27" s="37">
        <f t="shared" si="41"/>
        <v>11377.73</v>
      </c>
      <c r="FA27" s="48">
        <f t="shared" si="75"/>
        <v>-19432.189999999915</v>
      </c>
      <c r="FB27" s="48">
        <v>37174878</v>
      </c>
      <c r="FC27" s="49">
        <f t="shared" si="95"/>
        <v>19916</v>
      </c>
      <c r="FD27" s="48">
        <f t="shared" si="76"/>
        <v>41048.189999999959</v>
      </c>
      <c r="FE27" s="48">
        <v>17315</v>
      </c>
      <c r="FF27" s="48">
        <v>6148.5</v>
      </c>
      <c r="FG27" s="37">
        <f t="shared" si="77"/>
        <v>9134.3999999999905</v>
      </c>
      <c r="FH27" s="48">
        <v>9244.7000000000007</v>
      </c>
      <c r="FI27" s="48">
        <v>3.5703999999999998</v>
      </c>
      <c r="FJ27" s="49">
        <f t="shared" si="42"/>
        <v>15749.4</v>
      </c>
      <c r="FK27" s="48"/>
      <c r="FL27" s="58">
        <v>-128.33000000000001</v>
      </c>
      <c r="FM27" s="48">
        <f t="shared" si="96"/>
        <v>-377.73333333332994</v>
      </c>
      <c r="FN27" s="48">
        <v>16964</v>
      </c>
      <c r="FO27" s="48">
        <v>0.88419999999999999</v>
      </c>
      <c r="FP27" s="37">
        <f t="shared" si="78"/>
        <v>11249.4</v>
      </c>
      <c r="FQ27" s="48">
        <v>59931</v>
      </c>
      <c r="FR27" s="55">
        <v>14.523</v>
      </c>
      <c r="FS27" s="37">
        <f t="shared" si="43"/>
        <v>35000</v>
      </c>
      <c r="FT27" s="48">
        <f t="shared" si="79"/>
        <v>-1133.1999999999898</v>
      </c>
      <c r="FU27" s="48">
        <f t="shared" si="80"/>
        <v>36133.19999999999</v>
      </c>
      <c r="FV27" s="44">
        <v>5351000</v>
      </c>
      <c r="FW27" s="44">
        <v>1646300</v>
      </c>
      <c r="FX27" s="37">
        <f t="shared" si="44"/>
        <v>29000</v>
      </c>
      <c r="FY27" s="56">
        <v>3636.6</v>
      </c>
      <c r="FZ27" s="56">
        <v>2.1680000000000001</v>
      </c>
      <c r="GA27" s="37">
        <f t="shared" si="45"/>
        <v>7239.9999999999091</v>
      </c>
      <c r="GB27" s="56">
        <v>841.55</v>
      </c>
      <c r="GC27" s="56">
        <v>942.98</v>
      </c>
      <c r="GD27" s="37">
        <f t="shared" si="46"/>
        <v>939.99999999994088</v>
      </c>
      <c r="GE27" s="63">
        <v>10375</v>
      </c>
      <c r="GF27" s="56">
        <v>3.6128999999999998</v>
      </c>
      <c r="GG27" s="37">
        <f t="shared" si="47"/>
        <v>7299.9999999999545</v>
      </c>
      <c r="GH27" s="158">
        <v>2009.5</v>
      </c>
      <c r="GI27" s="159">
        <v>1722</v>
      </c>
      <c r="GJ27" s="38">
        <f t="shared" si="48"/>
        <v>1700.0000000000455</v>
      </c>
      <c r="GK27" s="159">
        <v>1489.2</v>
      </c>
      <c r="GL27" s="160">
        <v>1128.5</v>
      </c>
      <c r="GM27" s="38">
        <f>IF((GK27-GK26)&lt;=0,0,((((GH27-GH26))*1000)+((GK27-GK26))*1000))/2</f>
        <v>0</v>
      </c>
      <c r="GN27" s="57">
        <v>208300</v>
      </c>
      <c r="GO27" s="57">
        <v>184540</v>
      </c>
      <c r="GP27" s="38">
        <f t="shared" si="99"/>
        <v>0</v>
      </c>
      <c r="GQ27" s="38">
        <v>278570</v>
      </c>
      <c r="GR27" s="38">
        <v>272250</v>
      </c>
      <c r="GS27" s="38">
        <f t="shared" si="81"/>
        <v>360</v>
      </c>
      <c r="GT27" s="24"/>
      <c r="GU27" s="144">
        <f>DailyJun!B26-DailyJun!N26-DailyJun!V26-DailyJun!Y26-DailyJun!Z26-DailyJun!AA26-DailyJun!AB26-DailyJun!AC26-DailyJun!AD26-DailyJun!AE26-DailyJun!AK26-DailyJun!AO26-DailyJun!AS26-DailyJun!AY26-DailyJun!BD26+DailyJun!BU26-DailyJun!BG26-DailyJun!BT26-DailyJun!AF26-DailyJun!AG26</f>
        <v>-6.0000003228196874E-2</v>
      </c>
      <c r="GV27" s="59">
        <v>5665.89</v>
      </c>
      <c r="GW27" s="60">
        <f t="shared" si="50"/>
        <v>377.726</v>
      </c>
      <c r="GX27" s="61">
        <v>377.73</v>
      </c>
      <c r="GY27" s="140"/>
      <c r="GZ27" s="62"/>
      <c r="HA27" s="62"/>
      <c r="HB27" s="74"/>
      <c r="HC27" s="62"/>
      <c r="HD27" s="62"/>
      <c r="HE27" s="24">
        <f t="shared" si="51"/>
        <v>0</v>
      </c>
      <c r="HF27" s="3"/>
      <c r="HG27" s="213">
        <v>21</v>
      </c>
      <c r="HH27" s="16">
        <v>14277</v>
      </c>
      <c r="HI27" s="16">
        <v>5493.1</v>
      </c>
      <c r="HJ27" s="16">
        <f t="shared" si="52"/>
        <v>150000</v>
      </c>
      <c r="HK27" s="16">
        <v>1.9189000000000001</v>
      </c>
      <c r="HL27" s="16">
        <v>660.93</v>
      </c>
      <c r="HM27" s="16">
        <f t="shared" si="101"/>
        <v>0</v>
      </c>
      <c r="HN27" s="16">
        <v>3685.7</v>
      </c>
      <c r="HO27" s="16">
        <v>1610.9</v>
      </c>
      <c r="HP27" s="16">
        <f t="shared" si="54"/>
        <v>37757.499999999913</v>
      </c>
      <c r="HQ27" s="16">
        <v>3003.2</v>
      </c>
      <c r="HR27" s="16">
        <v>1290.4000000000001</v>
      </c>
      <c r="HS27" s="16">
        <f t="shared" si="55"/>
        <v>24257.499999999909</v>
      </c>
      <c r="HT27" s="16">
        <v>2650.2</v>
      </c>
      <c r="HU27" s="16">
        <v>1004.3</v>
      </c>
      <c r="HV27" s="16">
        <f t="shared" si="56"/>
        <v>24357.499999999818</v>
      </c>
      <c r="HW27" s="16">
        <v>1617.9</v>
      </c>
      <c r="HX27" s="16">
        <v>708.39</v>
      </c>
      <c r="HY27" s="16">
        <f t="shared" si="57"/>
        <v>20157.5</v>
      </c>
      <c r="HZ27" s="16">
        <v>591420</v>
      </c>
      <c r="IA27" s="16">
        <v>275920</v>
      </c>
      <c r="IB27" s="16">
        <f t="shared" si="58"/>
        <v>25570</v>
      </c>
      <c r="IC27" s="16">
        <v>719.8</v>
      </c>
      <c r="ID27" s="16">
        <v>232.78</v>
      </c>
      <c r="IE27" s="16">
        <f t="shared" si="59"/>
        <v>0</v>
      </c>
      <c r="IF27" s="16"/>
      <c r="IG27" s="16"/>
      <c r="IH27" s="128">
        <f t="shared" si="60"/>
        <v>17900</v>
      </c>
      <c r="II27" s="211">
        <f t="shared" si="61"/>
        <v>3.4924596548080444E-10</v>
      </c>
      <c r="IJ27" s="16"/>
      <c r="IK27" s="16"/>
      <c r="IL27" s="16">
        <f t="shared" si="102"/>
        <v>0</v>
      </c>
      <c r="IM27" s="16"/>
      <c r="IN27" s="16"/>
      <c r="IO27" s="16">
        <f t="shared" si="103"/>
        <v>0</v>
      </c>
      <c r="IP27" s="16"/>
      <c r="IQ27" s="16"/>
      <c r="IR27" s="16">
        <f t="shared" si="104"/>
        <v>0</v>
      </c>
      <c r="IS27" s="16"/>
      <c r="IT27" s="16"/>
      <c r="IU27" s="16">
        <f t="shared" si="105"/>
        <v>0</v>
      </c>
      <c r="IV27" s="16"/>
      <c r="IW27" s="16"/>
      <c r="IX27" s="16">
        <f t="shared" si="106"/>
        <v>0</v>
      </c>
      <c r="IY27" s="16"/>
      <c r="IZ27" s="16"/>
      <c r="JA27" s="16">
        <f t="shared" si="107"/>
        <v>0</v>
      </c>
      <c r="JB27" s="16"/>
      <c r="JC27" s="16"/>
      <c r="JD27" s="16">
        <f t="shared" si="108"/>
        <v>0</v>
      </c>
      <c r="JE27" s="16"/>
      <c r="JF27" s="16"/>
      <c r="JG27" s="16">
        <f t="shared" si="109"/>
        <v>0</v>
      </c>
      <c r="JH27" s="16"/>
      <c r="JI27" s="16"/>
      <c r="JJ27" s="16">
        <f t="shared" si="110"/>
        <v>0</v>
      </c>
      <c r="JK27" s="16"/>
      <c r="JL27" s="16"/>
      <c r="JM27" s="16">
        <f t="shared" si="111"/>
        <v>0</v>
      </c>
      <c r="JN27" s="16"/>
      <c r="JO27" s="16"/>
      <c r="JP27" s="16">
        <f t="shared" si="112"/>
        <v>0</v>
      </c>
      <c r="JQ27" s="16"/>
      <c r="JR27" s="16"/>
      <c r="JS27" s="16">
        <f t="shared" si="113"/>
        <v>0</v>
      </c>
      <c r="JT27" s="16"/>
      <c r="JU27" s="16"/>
      <c r="JV27" s="16">
        <f t="shared" si="114"/>
        <v>0</v>
      </c>
      <c r="JW27" s="16"/>
      <c r="JX27" s="16"/>
      <c r="JY27" s="16">
        <f t="shared" si="115"/>
        <v>0</v>
      </c>
      <c r="JZ27" s="16"/>
      <c r="KA27" s="16"/>
      <c r="KB27" s="16">
        <f t="shared" si="116"/>
        <v>0</v>
      </c>
      <c r="KC27" s="16"/>
      <c r="KD27" s="16"/>
      <c r="KE27" s="16">
        <f t="shared" si="117"/>
        <v>0</v>
      </c>
      <c r="KG27" s="151">
        <f t="shared" si="62"/>
        <v>63327.500000000262</v>
      </c>
    </row>
    <row r="28" spans="1:293" x14ac:dyDescent="0.25">
      <c r="A28" s="35">
        <f t="shared" si="2"/>
        <v>22</v>
      </c>
      <c r="B28" s="38">
        <v>4676.6400000000003</v>
      </c>
      <c r="C28" s="38">
        <f t="shared" si="3"/>
        <v>11.180000000000291</v>
      </c>
      <c r="D28" s="38">
        <f t="shared" si="4"/>
        <v>357760.00000000931</v>
      </c>
      <c r="E28" s="38">
        <v>941.64</v>
      </c>
      <c r="F28" s="38">
        <f t="shared" si="5"/>
        <v>74239.999999997963</v>
      </c>
      <c r="G28" s="38">
        <f t="shared" si="6"/>
        <v>432000.00000000728</v>
      </c>
      <c r="H28" s="37"/>
      <c r="I28" s="39"/>
      <c r="J28" s="42"/>
      <c r="K28" s="37">
        <f t="shared" si="82"/>
        <v>0</v>
      </c>
      <c r="L28" s="40">
        <v>14611200</v>
      </c>
      <c r="M28" s="40"/>
      <c r="N28" s="37">
        <f t="shared" si="83"/>
        <v>429000</v>
      </c>
      <c r="O28" s="37">
        <v>11542.8</v>
      </c>
      <c r="P28" s="37"/>
      <c r="Q28" s="37">
        <f t="shared" si="120"/>
        <v>18399.999999999636</v>
      </c>
      <c r="R28" s="37">
        <f t="shared" si="84"/>
        <v>1</v>
      </c>
      <c r="S28" s="37">
        <v>11244950.82</v>
      </c>
      <c r="T28" s="37">
        <f t="shared" si="8"/>
        <v>323.25999999977648</v>
      </c>
      <c r="U28" s="37">
        <v>1523790.61</v>
      </c>
      <c r="V28" s="37">
        <f>IF((U28-U27)&lt;=0,0,(U28-U27))</f>
        <v>0</v>
      </c>
      <c r="W28" s="37">
        <v>4132.8999999999996</v>
      </c>
      <c r="X28" s="37">
        <f t="shared" si="97"/>
        <v>17976.73999999986</v>
      </c>
      <c r="Y28" s="183"/>
      <c r="Z28" s="183"/>
      <c r="AA28" s="37">
        <v>789500</v>
      </c>
      <c r="AB28" s="37">
        <f t="shared" si="10"/>
        <v>100</v>
      </c>
      <c r="AC28" s="37">
        <v>4291.5</v>
      </c>
      <c r="AD28" s="37"/>
      <c r="AE28" s="37">
        <f t="shared" si="122"/>
        <v>7600.0000000003638</v>
      </c>
      <c r="AF28" s="37">
        <f t="shared" si="85"/>
        <v>1</v>
      </c>
      <c r="AG28" s="37">
        <v>9360.7000000000007</v>
      </c>
      <c r="AH28" s="37"/>
      <c r="AI28" s="37">
        <f t="shared" si="12"/>
        <v>16049.450000001092</v>
      </c>
      <c r="AJ28" s="37">
        <f t="shared" si="13"/>
        <v>1</v>
      </c>
      <c r="AK28" s="37">
        <f t="shared" si="14"/>
        <v>41949.450000001088</v>
      </c>
      <c r="AL28" s="42">
        <v>11181.4</v>
      </c>
      <c r="AM28" s="2"/>
      <c r="AN28" s="37">
        <f t="shared" si="63"/>
        <v>5259.4499999989139</v>
      </c>
      <c r="AO28" s="37">
        <f t="shared" si="86"/>
        <v>1</v>
      </c>
      <c r="AP28" s="37">
        <v>8710.7999999999993</v>
      </c>
      <c r="AQ28" s="37"/>
      <c r="AR28" s="37">
        <f t="shared" si="15"/>
        <v>8099.9999999985448</v>
      </c>
      <c r="AS28" s="37">
        <f t="shared" si="87"/>
        <v>1</v>
      </c>
      <c r="AT28" s="183"/>
      <c r="AU28" s="183"/>
      <c r="AV28" s="183"/>
      <c r="AW28" s="183"/>
      <c r="AX28" s="37">
        <v>496360</v>
      </c>
      <c r="AY28" s="37"/>
      <c r="AZ28" s="37">
        <f t="shared" si="16"/>
        <v>410</v>
      </c>
      <c r="BA28" s="37">
        <v>166180</v>
      </c>
      <c r="BB28" s="37"/>
      <c r="BC28" s="37">
        <f t="shared" si="17"/>
        <v>630</v>
      </c>
      <c r="BD28" s="37">
        <f t="shared" si="88"/>
        <v>14399.449999997458</v>
      </c>
      <c r="BE28" s="43">
        <v>1961.7</v>
      </c>
      <c r="BF28" s="43">
        <v>1086.5999999999999</v>
      </c>
      <c r="BG28" s="37">
        <f t="shared" si="18"/>
        <v>1799.9999999999545</v>
      </c>
      <c r="BH28" s="44">
        <v>9183.2000000000007</v>
      </c>
      <c r="BI28" s="44">
        <v>5913.6</v>
      </c>
      <c r="BJ28" s="37">
        <f t="shared" si="19"/>
        <v>9100.0000000003638</v>
      </c>
      <c r="BK28" s="40">
        <v>1684420</v>
      </c>
      <c r="BL28" s="40">
        <f t="shared" si="89"/>
        <v>4060</v>
      </c>
      <c r="BM28" s="40">
        <v>890.74</v>
      </c>
      <c r="BN28" s="37">
        <f t="shared" si="20"/>
        <v>730.00000000001819</v>
      </c>
      <c r="BO28" s="186"/>
      <c r="BP28" s="183">
        <f t="shared" si="21"/>
        <v>0</v>
      </c>
      <c r="BQ28" s="40">
        <v>841.4</v>
      </c>
      <c r="BR28" s="37">
        <f t="shared" si="64"/>
        <v>399.99999999997726</v>
      </c>
      <c r="BS28" s="37">
        <v>104239.6</v>
      </c>
      <c r="BT28" s="37">
        <f t="shared" si="22"/>
        <v>192.16000000000349</v>
      </c>
      <c r="BU28" s="42">
        <v>2952181</v>
      </c>
      <c r="BV28" s="42"/>
      <c r="BW28" s="37">
        <f t="shared" si="23"/>
        <v>10486</v>
      </c>
      <c r="BX28" s="37">
        <f t="shared" si="90"/>
        <v>1</v>
      </c>
      <c r="BY28" s="43">
        <v>364.93020000000001</v>
      </c>
      <c r="BZ28" s="37"/>
      <c r="CA28" s="37">
        <f t="shared" si="118"/>
        <v>562.4000000000251</v>
      </c>
      <c r="CB28" s="37">
        <f t="shared" si="65"/>
        <v>1</v>
      </c>
      <c r="CC28" s="37">
        <v>691229.6</v>
      </c>
      <c r="CD28" s="37">
        <f t="shared" si="25"/>
        <v>3432.7999999999302</v>
      </c>
      <c r="CE28" s="41">
        <v>1343065</v>
      </c>
      <c r="CF28" s="37">
        <f t="shared" si="26"/>
        <v>5314</v>
      </c>
      <c r="CG28" s="37">
        <v>72810.600000000006</v>
      </c>
      <c r="CH28" s="37">
        <f t="shared" si="66"/>
        <v>0</v>
      </c>
      <c r="CI28" s="40">
        <v>13263.93</v>
      </c>
      <c r="CJ28" s="40"/>
      <c r="CK28" s="37">
        <f t="shared" si="67"/>
        <v>17287.050000000338</v>
      </c>
      <c r="CL28" s="37">
        <f t="shared" si="27"/>
        <v>1</v>
      </c>
      <c r="CM28" s="37">
        <v>3762.547</v>
      </c>
      <c r="CN28" s="37"/>
      <c r="CO28" s="37">
        <f t="shared" si="28"/>
        <v>5799.4500000001817</v>
      </c>
      <c r="CP28" s="37">
        <f t="shared" si="91"/>
        <v>1</v>
      </c>
      <c r="CQ28" s="39">
        <v>344366.9</v>
      </c>
      <c r="CR28" s="39"/>
      <c r="CS28" s="37">
        <f t="shared" si="68"/>
        <v>6346.95</v>
      </c>
      <c r="CT28" s="37">
        <f t="shared" si="69"/>
        <v>1</v>
      </c>
      <c r="CU28" s="37">
        <v>3824249</v>
      </c>
      <c r="CV28" s="37"/>
      <c r="CW28" s="38">
        <f t="shared" si="29"/>
        <v>15961</v>
      </c>
      <c r="CX28" s="37">
        <f t="shared" si="92"/>
        <v>1</v>
      </c>
      <c r="CY28" s="37">
        <v>2018580</v>
      </c>
      <c r="CZ28" s="37"/>
      <c r="DA28" s="37">
        <f t="shared" si="124"/>
        <v>9483</v>
      </c>
      <c r="DB28" s="37">
        <f>IF(DA28&lt;=0,0,(DA28/SQRT(DA28^2+(CZ28-CZ27)^2)))</f>
        <v>1</v>
      </c>
      <c r="DC28" s="37"/>
      <c r="DD28" s="40"/>
      <c r="DE28" s="37">
        <f t="shared" si="31"/>
        <v>0</v>
      </c>
      <c r="DF28" s="37">
        <f t="shared" si="98"/>
        <v>0</v>
      </c>
      <c r="DG28" s="37">
        <f t="shared" si="32"/>
        <v>-65363.450000000521</v>
      </c>
      <c r="DH28" s="37">
        <f t="shared" si="33"/>
        <v>472749.45000000106</v>
      </c>
      <c r="DI28" s="46"/>
      <c r="DJ28" s="46"/>
      <c r="DK28" s="47"/>
      <c r="DL28" s="47"/>
      <c r="DM28" s="37"/>
      <c r="DN28" s="37"/>
      <c r="DO28" s="37"/>
      <c r="DP28" s="37"/>
      <c r="DQ28" s="50">
        <v>3748500</v>
      </c>
      <c r="DR28" s="49">
        <f t="shared" si="70"/>
        <v>9500</v>
      </c>
      <c r="DS28" s="50">
        <v>4319300</v>
      </c>
      <c r="DT28" s="49">
        <f t="shared" si="71"/>
        <v>19300</v>
      </c>
      <c r="DU28" s="51">
        <v>8111.8</v>
      </c>
      <c r="DV28" s="51">
        <v>4556</v>
      </c>
      <c r="DW28" s="37">
        <f t="shared" si="94"/>
        <v>4400.0000000005457</v>
      </c>
      <c r="DX28" s="52">
        <v>13367</v>
      </c>
      <c r="DY28" s="52">
        <v>8476.7000000000007</v>
      </c>
      <c r="DZ28" s="37">
        <f t="shared" si="34"/>
        <v>8249.4500000000007</v>
      </c>
      <c r="EA28" s="49">
        <v>30736</v>
      </c>
      <c r="EB28" s="49">
        <v>21.29</v>
      </c>
      <c r="EC28" s="37">
        <f t="shared" si="35"/>
        <v>26409.45</v>
      </c>
      <c r="ED28" s="53">
        <f t="shared" si="36"/>
        <v>39058.900000000547</v>
      </c>
      <c r="EE28" s="49">
        <v>46244</v>
      </c>
      <c r="EF28" s="49">
        <v>30.173999999999999</v>
      </c>
      <c r="EG28" s="37">
        <f t="shared" si="37"/>
        <v>28409.45</v>
      </c>
      <c r="EH28" s="51">
        <v>13419</v>
      </c>
      <c r="EI28" s="51">
        <v>1.8732</v>
      </c>
      <c r="EJ28" s="37">
        <f t="shared" si="38"/>
        <v>11249.45</v>
      </c>
      <c r="EK28" s="37">
        <v>817.86</v>
      </c>
      <c r="EL28" s="40">
        <v>1171.7</v>
      </c>
      <c r="EM28" s="37">
        <f t="shared" si="72"/>
        <v>529.99999999997272</v>
      </c>
      <c r="EN28" s="54">
        <f t="shared" si="73"/>
        <v>40188.899999999972</v>
      </c>
      <c r="EO28" s="48">
        <v>13228</v>
      </c>
      <c r="EP28" s="48">
        <v>4625.6000000000004</v>
      </c>
      <c r="EQ28" s="37">
        <f t="shared" si="74"/>
        <v>6369.4500000000044</v>
      </c>
      <c r="ER28" s="48">
        <v>9845.9</v>
      </c>
      <c r="ES28" s="48">
        <v>4053.1</v>
      </c>
      <c r="ET28" s="49">
        <f t="shared" si="100"/>
        <v>12500</v>
      </c>
      <c r="EU28" s="48">
        <v>3863.7</v>
      </c>
      <c r="EV28" s="48">
        <v>1372.7</v>
      </c>
      <c r="EW28" s="49">
        <f t="shared" si="40"/>
        <v>9049.4499999997279</v>
      </c>
      <c r="EX28" s="48">
        <v>13870</v>
      </c>
      <c r="EY28" s="48">
        <v>1.6314</v>
      </c>
      <c r="EZ28" s="37">
        <f t="shared" si="41"/>
        <v>11249.45</v>
      </c>
      <c r="FA28" s="48">
        <f t="shared" si="75"/>
        <v>-19075.349999999733</v>
      </c>
      <c r="FB28" s="48">
        <v>37194971</v>
      </c>
      <c r="FC28" s="49">
        <f t="shared" si="95"/>
        <v>20093</v>
      </c>
      <c r="FD28" s="48">
        <f t="shared" si="76"/>
        <v>40868.349999999773</v>
      </c>
      <c r="FE28" s="48">
        <v>17323</v>
      </c>
      <c r="FF28" s="48">
        <v>6150.5</v>
      </c>
      <c r="FG28" s="37">
        <f t="shared" si="77"/>
        <v>9469.4499999999971</v>
      </c>
      <c r="FH28" s="48">
        <v>9260.7999999999993</v>
      </c>
      <c r="FI28" s="48">
        <v>3.5767000000000002</v>
      </c>
      <c r="FJ28" s="49">
        <f t="shared" si="42"/>
        <v>16689.449999998546</v>
      </c>
      <c r="FK28" s="48"/>
      <c r="FL28" s="58">
        <v>340</v>
      </c>
      <c r="FM28" s="48">
        <f t="shared" si="96"/>
        <v>-249.44999999951446</v>
      </c>
      <c r="FN28" s="48">
        <v>16974</v>
      </c>
      <c r="FO28" s="48">
        <v>0.88639999999999997</v>
      </c>
      <c r="FP28" s="37">
        <f t="shared" si="78"/>
        <v>10589.45</v>
      </c>
      <c r="FQ28" s="48">
        <v>59967</v>
      </c>
      <c r="FR28" s="48">
        <v>14.534000000000001</v>
      </c>
      <c r="FS28" s="37">
        <f t="shared" si="43"/>
        <v>36000</v>
      </c>
      <c r="FT28" s="48">
        <f t="shared" si="79"/>
        <v>-748.34999999854335</v>
      </c>
      <c r="FU28" s="48">
        <f t="shared" si="80"/>
        <v>36748.349999998543</v>
      </c>
      <c r="FV28" s="44">
        <v>5383000</v>
      </c>
      <c r="FW28" s="44">
        <v>1655400</v>
      </c>
      <c r="FX28" s="37">
        <f t="shared" si="44"/>
        <v>32000</v>
      </c>
      <c r="FY28" s="56">
        <v>3646.2</v>
      </c>
      <c r="FZ28" s="56">
        <v>2.1696</v>
      </c>
      <c r="GA28" s="37">
        <f t="shared" si="45"/>
        <v>9329.9999999999091</v>
      </c>
      <c r="GB28" s="56">
        <v>842.57</v>
      </c>
      <c r="GC28" s="56">
        <v>944.16</v>
      </c>
      <c r="GD28" s="37">
        <f t="shared" si="46"/>
        <v>1020.0000000000955</v>
      </c>
      <c r="GE28" s="56">
        <v>10385</v>
      </c>
      <c r="GF28" s="56">
        <v>3.6202999999999999</v>
      </c>
      <c r="GG28" s="37">
        <f t="shared" si="47"/>
        <v>8299.9999999999545</v>
      </c>
      <c r="GH28" s="158">
        <v>2011.2</v>
      </c>
      <c r="GI28" s="159">
        <v>1723.6</v>
      </c>
      <c r="GJ28" s="38">
        <f t="shared" si="48"/>
        <v>1700.0000000000455</v>
      </c>
      <c r="GK28" s="159">
        <v>1489.2</v>
      </c>
      <c r="GL28" s="160">
        <v>1128.5</v>
      </c>
      <c r="GM28" s="38">
        <f>IF((GK28-GK27)&lt;=0,0,(GK28-GK27))*1000</f>
        <v>0</v>
      </c>
      <c r="GN28" s="57">
        <v>208310</v>
      </c>
      <c r="GO28" s="57">
        <v>184550</v>
      </c>
      <c r="GP28" s="38">
        <f t="shared" si="99"/>
        <v>10</v>
      </c>
      <c r="GQ28" s="38">
        <v>278840</v>
      </c>
      <c r="GR28" s="38">
        <v>272490</v>
      </c>
      <c r="GS28" s="38">
        <f t="shared" si="81"/>
        <v>270</v>
      </c>
      <c r="GT28" s="178"/>
      <c r="GU28" s="144">
        <f>DailyJun!B27-DailyJun!N27-DailyJun!V27-DailyJun!Y27-DailyJun!Z27-DailyJun!AA27-DailyJun!AB27-DailyJun!AC27-DailyJun!AD27-DailyJun!AE27-DailyJun!AK27-DailyJun!AO27-DailyJun!AS27-DailyJun!AY27-DailyJun!BD27+DailyJun!BU27-DailyJun!BG27-DailyJun!BT27-DailyJun!AF27-DailyJun!AG27</f>
        <v>-4.9999990791548043E-2</v>
      </c>
      <c r="GV28" s="59">
        <v>3741.7</v>
      </c>
      <c r="GW28" s="60">
        <f t="shared" si="50"/>
        <v>249.44666666666666</v>
      </c>
      <c r="GX28" s="61">
        <v>249.45</v>
      </c>
      <c r="GY28" s="140"/>
      <c r="GZ28" s="62"/>
      <c r="HA28" s="62"/>
      <c r="HB28" s="74"/>
      <c r="HC28" s="62"/>
      <c r="HD28" s="74"/>
      <c r="HE28" s="24">
        <f t="shared" si="51"/>
        <v>0</v>
      </c>
      <c r="HF28" s="151"/>
      <c r="HG28" s="213">
        <v>22</v>
      </c>
      <c r="HH28" s="16">
        <v>14442</v>
      </c>
      <c r="HI28" s="16">
        <v>5555.1</v>
      </c>
      <c r="HJ28" s="16">
        <f t="shared" si="52"/>
        <v>165000</v>
      </c>
      <c r="HK28" s="16">
        <v>1.9189000000000001</v>
      </c>
      <c r="HL28" s="16">
        <v>660.93</v>
      </c>
      <c r="HM28" s="16">
        <f t="shared" si="101"/>
        <v>0</v>
      </c>
      <c r="HN28" s="16">
        <v>3725.3</v>
      </c>
      <c r="HO28" s="16">
        <v>1627.9</v>
      </c>
      <c r="HP28" s="16">
        <f t="shared" si="54"/>
        <v>39782.500000000364</v>
      </c>
      <c r="HQ28" s="16">
        <v>3030.1</v>
      </c>
      <c r="HR28" s="16">
        <v>1301.3</v>
      </c>
      <c r="HS28" s="16">
        <f t="shared" si="55"/>
        <v>27082.500000000091</v>
      </c>
      <c r="HT28" s="16">
        <v>2677.2</v>
      </c>
      <c r="HU28" s="16">
        <v>1013.6</v>
      </c>
      <c r="HV28" s="16">
        <f t="shared" si="56"/>
        <v>27182.5</v>
      </c>
      <c r="HW28" s="16">
        <v>1640.3</v>
      </c>
      <c r="HX28" s="16">
        <v>717.75</v>
      </c>
      <c r="HY28" s="16">
        <f t="shared" si="57"/>
        <v>22582.499999999862</v>
      </c>
      <c r="HZ28" s="16">
        <v>620490</v>
      </c>
      <c r="IA28" s="16">
        <v>288280</v>
      </c>
      <c r="IB28" s="16">
        <f t="shared" si="58"/>
        <v>29070</v>
      </c>
      <c r="IC28" s="16">
        <v>719.8</v>
      </c>
      <c r="ID28" s="16">
        <v>232.78</v>
      </c>
      <c r="IE28" s="16">
        <f t="shared" si="59"/>
        <v>0</v>
      </c>
      <c r="IF28" s="16"/>
      <c r="IG28" s="16"/>
      <c r="IH28" s="128">
        <f t="shared" si="60"/>
        <v>19300</v>
      </c>
      <c r="II28" s="211">
        <f t="shared" si="61"/>
        <v>-3.0559021979570389E-10</v>
      </c>
      <c r="IJ28" s="16"/>
      <c r="IK28" s="16"/>
      <c r="IL28" s="16">
        <f t="shared" si="102"/>
        <v>0</v>
      </c>
      <c r="IM28" s="16"/>
      <c r="IN28" s="16"/>
      <c r="IO28" s="16">
        <f t="shared" si="103"/>
        <v>0</v>
      </c>
      <c r="IP28" s="16"/>
      <c r="IQ28" s="16"/>
      <c r="IR28" s="16">
        <f t="shared" si="104"/>
        <v>0</v>
      </c>
      <c r="IS28" s="16"/>
      <c r="IT28" s="16"/>
      <c r="IU28" s="16">
        <f t="shared" si="105"/>
        <v>0</v>
      </c>
      <c r="IV28" s="16"/>
      <c r="IW28" s="16"/>
      <c r="IX28" s="16">
        <f t="shared" si="106"/>
        <v>0</v>
      </c>
      <c r="IY28" s="16"/>
      <c r="IZ28" s="16"/>
      <c r="JA28" s="16">
        <f t="shared" si="107"/>
        <v>0</v>
      </c>
      <c r="JB28" s="16"/>
      <c r="JC28" s="16"/>
      <c r="JD28" s="16">
        <f t="shared" si="108"/>
        <v>0</v>
      </c>
      <c r="JE28" s="16"/>
      <c r="JF28" s="16"/>
      <c r="JG28" s="16">
        <f t="shared" si="109"/>
        <v>0</v>
      </c>
      <c r="JH28" s="16"/>
      <c r="JI28" s="16"/>
      <c r="JJ28" s="16">
        <f t="shared" si="110"/>
        <v>0</v>
      </c>
      <c r="JK28" s="16"/>
      <c r="JL28" s="16"/>
      <c r="JM28" s="16">
        <f t="shared" si="111"/>
        <v>0</v>
      </c>
      <c r="JN28" s="16"/>
      <c r="JO28" s="16"/>
      <c r="JP28" s="16">
        <f t="shared" si="112"/>
        <v>0</v>
      </c>
      <c r="JQ28" s="16"/>
      <c r="JR28" s="16"/>
      <c r="JS28" s="16">
        <f t="shared" si="113"/>
        <v>0</v>
      </c>
      <c r="JT28" s="16"/>
      <c r="JU28" s="16"/>
      <c r="JV28" s="16">
        <f t="shared" si="114"/>
        <v>0</v>
      </c>
      <c r="JW28" s="16"/>
      <c r="JX28" s="16"/>
      <c r="JY28" s="16">
        <f t="shared" si="115"/>
        <v>0</v>
      </c>
      <c r="JZ28" s="16"/>
      <c r="KA28" s="16"/>
      <c r="KB28" s="16">
        <f t="shared" si="116"/>
        <v>0</v>
      </c>
      <c r="KC28" s="16"/>
      <c r="KD28" s="16"/>
      <c r="KE28" s="16">
        <f t="shared" si="117"/>
        <v>0</v>
      </c>
      <c r="KG28" s="151">
        <f t="shared" si="62"/>
        <v>68852.500000000058</v>
      </c>
    </row>
    <row r="29" spans="1:293" x14ac:dyDescent="0.25">
      <c r="A29" s="35">
        <f t="shared" si="2"/>
        <v>23</v>
      </c>
      <c r="B29" s="38">
        <v>4686.9799999999996</v>
      </c>
      <c r="C29" s="38">
        <f t="shared" si="3"/>
        <v>10.339999999999236</v>
      </c>
      <c r="D29" s="38">
        <f t="shared" si="4"/>
        <v>330879.99999997555</v>
      </c>
      <c r="E29" s="38">
        <v>941.81</v>
      </c>
      <c r="F29" s="38">
        <f t="shared" si="5"/>
        <v>5439.9999999986903</v>
      </c>
      <c r="G29" s="38">
        <f t="shared" si="6"/>
        <v>336319.99999997427</v>
      </c>
      <c r="H29" s="37"/>
      <c r="I29" s="39"/>
      <c r="J29" s="42"/>
      <c r="K29" s="37">
        <f t="shared" si="82"/>
        <v>0</v>
      </c>
      <c r="L29" s="40">
        <v>14645000</v>
      </c>
      <c r="M29" s="40"/>
      <c r="N29" s="37">
        <f t="shared" si="83"/>
        <v>338000</v>
      </c>
      <c r="O29" s="37">
        <v>11558</v>
      </c>
      <c r="P29" s="37"/>
      <c r="Q29" s="37">
        <f t="shared" si="120"/>
        <v>15200.000000000728</v>
      </c>
      <c r="R29" s="37">
        <f t="shared" si="84"/>
        <v>1</v>
      </c>
      <c r="S29" s="37">
        <v>11245196.01</v>
      </c>
      <c r="T29" s="37">
        <f t="shared" si="8"/>
        <v>245.18999999947846</v>
      </c>
      <c r="U29" s="37">
        <v>1523790.61</v>
      </c>
      <c r="V29" s="37">
        <f t="shared" si="9"/>
        <v>0</v>
      </c>
      <c r="W29" s="37">
        <v>4138.3</v>
      </c>
      <c r="X29" s="37">
        <f t="shared" si="97"/>
        <v>14894.810000001249</v>
      </c>
      <c r="Y29" s="183"/>
      <c r="Z29" s="183"/>
      <c r="AA29" s="37">
        <v>789560</v>
      </c>
      <c r="AB29" s="37">
        <f t="shared" si="10"/>
        <v>60</v>
      </c>
      <c r="AC29" s="37">
        <v>4297.7</v>
      </c>
      <c r="AD29" s="37"/>
      <c r="AE29" s="37">
        <f t="shared" si="122"/>
        <v>6199.9999999998181</v>
      </c>
      <c r="AF29" s="37">
        <f t="shared" si="85"/>
        <v>1</v>
      </c>
      <c r="AG29" s="37">
        <v>9373.6</v>
      </c>
      <c r="AH29" s="37"/>
      <c r="AI29" s="37">
        <f t="shared" si="12"/>
        <v>13471.109999999637</v>
      </c>
      <c r="AJ29" s="37">
        <f t="shared" si="13"/>
        <v>1</v>
      </c>
      <c r="AK29" s="37">
        <f t="shared" si="14"/>
        <v>34811.110000000182</v>
      </c>
      <c r="AL29" s="42">
        <v>11190</v>
      </c>
      <c r="AM29" s="42"/>
      <c r="AN29" s="37">
        <f t="shared" si="63"/>
        <v>4961.1100000003235</v>
      </c>
      <c r="AO29" s="37">
        <f t="shared" si="86"/>
        <v>1</v>
      </c>
      <c r="AP29" s="67">
        <v>8717.4</v>
      </c>
      <c r="AQ29" s="37"/>
      <c r="AR29" s="37">
        <f t="shared" si="15"/>
        <v>6600.0000000003638</v>
      </c>
      <c r="AS29" s="37">
        <f t="shared" si="87"/>
        <v>1</v>
      </c>
      <c r="AT29" s="183"/>
      <c r="AU29" s="183"/>
      <c r="AV29" s="183"/>
      <c r="AW29" s="183"/>
      <c r="AX29" s="37">
        <v>496696.52</v>
      </c>
      <c r="AY29" s="37"/>
      <c r="AZ29" s="37">
        <f t="shared" si="16"/>
        <v>336.52000000001863</v>
      </c>
      <c r="BA29" s="37">
        <v>166623.94</v>
      </c>
      <c r="BB29" s="37"/>
      <c r="BC29" s="37">
        <f t="shared" si="17"/>
        <v>443.94000000000233</v>
      </c>
      <c r="BD29" s="37">
        <f t="shared" si="88"/>
        <v>12341.570000000709</v>
      </c>
      <c r="BE29" s="43">
        <v>1963.6</v>
      </c>
      <c r="BF29" s="43">
        <v>1087.8</v>
      </c>
      <c r="BG29" s="37">
        <f t="shared" si="18"/>
        <v>1899.9999999998636</v>
      </c>
      <c r="BH29" s="44">
        <v>9191.7999999999993</v>
      </c>
      <c r="BI29" s="44">
        <v>5919.4</v>
      </c>
      <c r="BJ29" s="37">
        <f t="shared" si="19"/>
        <v>8599.9999999985448</v>
      </c>
      <c r="BK29" s="40">
        <v>1687800</v>
      </c>
      <c r="BL29" s="40">
        <f t="shared" si="89"/>
        <v>3380</v>
      </c>
      <c r="BM29" s="40">
        <v>891.32</v>
      </c>
      <c r="BN29" s="37">
        <f t="shared" si="20"/>
        <v>580.00000000004093</v>
      </c>
      <c r="BO29" s="186"/>
      <c r="BP29" s="183">
        <f t="shared" si="21"/>
        <v>0</v>
      </c>
      <c r="BQ29" s="40">
        <v>841.65</v>
      </c>
      <c r="BR29" s="37">
        <f t="shared" si="64"/>
        <v>250</v>
      </c>
      <c r="BS29" s="37">
        <v>104394.21</v>
      </c>
      <c r="BT29" s="37">
        <f t="shared" si="22"/>
        <v>154.61000000000058</v>
      </c>
      <c r="BU29" s="42">
        <v>2958700</v>
      </c>
      <c r="BV29" s="42"/>
      <c r="BW29" s="37">
        <f t="shared" si="23"/>
        <v>6519</v>
      </c>
      <c r="BX29" s="37">
        <f t="shared" si="90"/>
        <v>1</v>
      </c>
      <c r="BY29" s="43">
        <v>365.43</v>
      </c>
      <c r="BZ29" s="43"/>
      <c r="CA29" s="37">
        <f t="shared" si="118"/>
        <v>499.79999999999336</v>
      </c>
      <c r="CB29" s="37">
        <f t="shared" si="65"/>
        <v>1</v>
      </c>
      <c r="CC29" s="37">
        <v>692490</v>
      </c>
      <c r="CD29" s="37">
        <f t="shared" si="25"/>
        <v>1260.4000000000233</v>
      </c>
      <c r="CE29" s="41">
        <v>1347200</v>
      </c>
      <c r="CF29" s="37">
        <f t="shared" si="26"/>
        <v>4135</v>
      </c>
      <c r="CG29" s="37">
        <v>72811</v>
      </c>
      <c r="CH29" s="37">
        <f t="shared" si="66"/>
        <v>0.39999999999417923</v>
      </c>
      <c r="CI29" s="40">
        <v>13278</v>
      </c>
      <c r="CJ29" s="40"/>
      <c r="CK29" s="37">
        <f t="shared" si="67"/>
        <v>14141.309999999716</v>
      </c>
      <c r="CL29" s="37">
        <f t="shared" si="27"/>
        <v>1</v>
      </c>
      <c r="CM29" s="37">
        <v>3766.9</v>
      </c>
      <c r="CN29" s="37"/>
      <c r="CO29" s="37">
        <f t="shared" si="28"/>
        <v>4924.1100000000652</v>
      </c>
      <c r="CP29" s="37">
        <f t="shared" si="91"/>
        <v>1</v>
      </c>
      <c r="CQ29" s="39">
        <v>349110</v>
      </c>
      <c r="CR29" s="39"/>
      <c r="CS29" s="37">
        <f t="shared" si="68"/>
        <v>5314.2099999999764</v>
      </c>
      <c r="CT29" s="37">
        <f t="shared" si="69"/>
        <v>1</v>
      </c>
      <c r="CU29" s="37">
        <v>3838400</v>
      </c>
      <c r="CV29" s="37"/>
      <c r="CW29" s="38">
        <f t="shared" si="29"/>
        <v>14151</v>
      </c>
      <c r="CX29" s="37">
        <f t="shared" si="92"/>
        <v>1</v>
      </c>
      <c r="CY29" s="37">
        <v>2026600</v>
      </c>
      <c r="CZ29" s="37"/>
      <c r="DA29" s="37">
        <f t="shared" si="124"/>
        <v>8020</v>
      </c>
      <c r="DB29" s="37">
        <f t="shared" si="93"/>
        <v>1</v>
      </c>
      <c r="DC29" s="37"/>
      <c r="DD29" s="40"/>
      <c r="DE29" s="37">
        <f t="shared" si="31"/>
        <v>0</v>
      </c>
      <c r="DF29" s="37">
        <f t="shared" si="98"/>
        <v>0</v>
      </c>
      <c r="DG29" s="37">
        <f t="shared" si="32"/>
        <v>-53069.629999999757</v>
      </c>
      <c r="DH29" s="37">
        <f t="shared" si="33"/>
        <v>374711.11000000004</v>
      </c>
      <c r="DI29" s="46"/>
      <c r="DJ29" s="46"/>
      <c r="DK29" s="47"/>
      <c r="DL29" s="47"/>
      <c r="DM29" s="37"/>
      <c r="DN29" s="37"/>
      <c r="DO29" s="37"/>
      <c r="DP29" s="37"/>
      <c r="DQ29" s="50">
        <v>3754200</v>
      </c>
      <c r="DR29" s="49">
        <f t="shared" si="70"/>
        <v>5700</v>
      </c>
      <c r="DS29" s="50">
        <v>4333400</v>
      </c>
      <c r="DT29" s="49">
        <f t="shared" si="71"/>
        <v>14100</v>
      </c>
      <c r="DU29" s="72">
        <v>8116</v>
      </c>
      <c r="DV29" s="51">
        <v>4558.7</v>
      </c>
      <c r="DW29" s="37">
        <f t="shared" si="94"/>
        <v>4199.9999999998181</v>
      </c>
      <c r="DX29" s="52">
        <v>13375</v>
      </c>
      <c r="DY29" s="52">
        <v>8478.9</v>
      </c>
      <c r="DZ29" s="37">
        <f t="shared" si="34"/>
        <v>8571.11</v>
      </c>
      <c r="EA29" s="49">
        <v>30758</v>
      </c>
      <c r="EB29" s="49">
        <v>21.303000000000001</v>
      </c>
      <c r="EC29" s="37">
        <f t="shared" si="35"/>
        <v>24731.11</v>
      </c>
      <c r="ED29" s="53">
        <f t="shared" si="36"/>
        <v>37502.219999999819</v>
      </c>
      <c r="EE29" s="49">
        <v>46267</v>
      </c>
      <c r="EF29" s="49">
        <v>30.193999999999999</v>
      </c>
      <c r="EG29" s="37">
        <f t="shared" si="37"/>
        <v>25731.11</v>
      </c>
      <c r="EH29" s="72">
        <v>13431</v>
      </c>
      <c r="EI29" s="51">
        <v>1.8763000000000001</v>
      </c>
      <c r="EJ29" s="37">
        <f t="shared" si="38"/>
        <v>12571.11</v>
      </c>
      <c r="EK29" s="37">
        <v>818.48</v>
      </c>
      <c r="EL29" s="40">
        <v>1172.7</v>
      </c>
      <c r="EM29" s="37">
        <f t="shared" si="72"/>
        <v>620.00000000000455</v>
      </c>
      <c r="EN29" s="54">
        <f t="shared" si="73"/>
        <v>38922.220000000008</v>
      </c>
      <c r="EO29" s="48">
        <v>13234</v>
      </c>
      <c r="EP29" s="48">
        <v>4627.6000000000004</v>
      </c>
      <c r="EQ29" s="37">
        <f t="shared" si="74"/>
        <v>5771.1099999999878</v>
      </c>
      <c r="ER29" s="48">
        <v>9855.9</v>
      </c>
      <c r="ES29" s="48">
        <v>4057.6</v>
      </c>
      <c r="ET29" s="49">
        <f t="shared" si="100"/>
        <v>10000</v>
      </c>
      <c r="EU29" s="48">
        <v>3870.8</v>
      </c>
      <c r="EV29" s="48">
        <v>1375.2</v>
      </c>
      <c r="EW29" s="49">
        <f t="shared" si="40"/>
        <v>7671.1100000003635</v>
      </c>
      <c r="EX29" s="48">
        <v>13879</v>
      </c>
      <c r="EY29" s="55">
        <v>1.6331</v>
      </c>
      <c r="EZ29" s="37">
        <f t="shared" si="41"/>
        <v>9571.11</v>
      </c>
      <c r="FA29" s="48">
        <f t="shared" si="75"/>
        <v>-16693.330000000351</v>
      </c>
      <c r="FB29" s="48">
        <v>37211291</v>
      </c>
      <c r="FC29" s="49">
        <f t="shared" si="95"/>
        <v>16320</v>
      </c>
      <c r="FD29" s="48">
        <f t="shared" si="76"/>
        <v>34413.330000000213</v>
      </c>
      <c r="FE29" s="48">
        <v>17330</v>
      </c>
      <c r="FF29" s="48">
        <v>6152.6</v>
      </c>
      <c r="FG29" s="37">
        <f t="shared" si="77"/>
        <v>7937.7800000000116</v>
      </c>
      <c r="FH29" s="48">
        <v>9272.2999999999993</v>
      </c>
      <c r="FI29" s="48">
        <v>3.5813000000000001</v>
      </c>
      <c r="FJ29" s="49">
        <f t="shared" si="42"/>
        <v>11637.78</v>
      </c>
      <c r="FK29" s="48"/>
      <c r="FL29" s="58">
        <v>-433.33</v>
      </c>
      <c r="FM29" s="48">
        <f t="shared" si="96"/>
        <v>-571.11333333333789</v>
      </c>
      <c r="FN29" s="48">
        <v>16982</v>
      </c>
      <c r="FO29" s="48">
        <v>0.88800000000000001</v>
      </c>
      <c r="FP29" s="37">
        <f t="shared" si="78"/>
        <v>8137.78</v>
      </c>
      <c r="FQ29" s="48">
        <v>59993</v>
      </c>
      <c r="FR29" s="48">
        <v>14.542</v>
      </c>
      <c r="FS29" s="37">
        <f t="shared" si="43"/>
        <v>26000</v>
      </c>
      <c r="FT29" s="48">
        <f t="shared" si="79"/>
        <v>-1713.3400000000138</v>
      </c>
      <c r="FU29" s="48">
        <f t="shared" si="80"/>
        <v>27713.340000000011</v>
      </c>
      <c r="FV29" s="44">
        <v>5407400</v>
      </c>
      <c r="FW29" s="65">
        <v>1662800</v>
      </c>
      <c r="FX29" s="37">
        <f t="shared" si="44"/>
        <v>24400</v>
      </c>
      <c r="FY29" s="56">
        <v>3652.9</v>
      </c>
      <c r="FZ29" s="56">
        <v>2.1714000000000002</v>
      </c>
      <c r="GA29" s="37">
        <f t="shared" si="45"/>
        <v>6460.0000000002728</v>
      </c>
      <c r="GB29" s="56">
        <v>843.48</v>
      </c>
      <c r="GC29" s="56">
        <v>945.26</v>
      </c>
      <c r="GD29" s="37">
        <f t="shared" si="46"/>
        <v>909.99999999996817</v>
      </c>
      <c r="GE29" s="56">
        <v>10392</v>
      </c>
      <c r="GF29" s="56">
        <v>3.6259999999999999</v>
      </c>
      <c r="GG29" s="37">
        <f t="shared" si="47"/>
        <v>5600.0000000001364</v>
      </c>
      <c r="GH29" s="158">
        <v>2012.6</v>
      </c>
      <c r="GI29" s="159">
        <v>1724.9</v>
      </c>
      <c r="GJ29" s="38">
        <f t="shared" si="48"/>
        <v>1399.9999999998636</v>
      </c>
      <c r="GK29" s="159">
        <v>1489.2</v>
      </c>
      <c r="GL29" s="160">
        <v>1128.5999999999999</v>
      </c>
      <c r="GM29" s="38">
        <f t="shared" si="49"/>
        <v>0</v>
      </c>
      <c r="GN29" s="57">
        <v>208310</v>
      </c>
      <c r="GO29" s="57">
        <v>184550</v>
      </c>
      <c r="GP29" s="38">
        <f t="shared" si="99"/>
        <v>0</v>
      </c>
      <c r="GQ29" s="38">
        <v>279080</v>
      </c>
      <c r="GR29" s="38">
        <v>272660</v>
      </c>
      <c r="GS29" s="38">
        <f t="shared" si="81"/>
        <v>240</v>
      </c>
      <c r="GT29" s="178"/>
      <c r="GU29" s="144">
        <f>DailyJun!B28-DailyJun!N28-DailyJun!V28-DailyJun!Y28-DailyJun!Z28-DailyJun!AA28-DailyJun!AB28-DailyJun!AC28-DailyJun!AD28-DailyJun!AE28-DailyJun!AK28-DailyJun!AO28-DailyJun!AS28-DailyJun!AY28-DailyJun!BD28+DailyJun!BU28-DailyJun!BG28-DailyJun!BT28-DailyJun!AF28-DailyJun!AG28</f>
        <v>-2.0000025266199373E-2</v>
      </c>
      <c r="GV29" s="59">
        <v>8566.6299999999992</v>
      </c>
      <c r="GW29" s="60">
        <f t="shared" si="50"/>
        <v>571.10866666666664</v>
      </c>
      <c r="GX29" s="61">
        <v>571.11</v>
      </c>
      <c r="GY29" s="140"/>
      <c r="GZ29" s="62"/>
      <c r="HA29" s="62"/>
      <c r="HB29" s="74"/>
      <c r="HC29" s="62"/>
      <c r="HD29" s="74"/>
      <c r="HE29" s="24">
        <f t="shared" si="51"/>
        <v>0</v>
      </c>
      <c r="HG29" s="213">
        <v>23</v>
      </c>
      <c r="HH29" s="16">
        <v>14565</v>
      </c>
      <c r="HI29" s="16">
        <v>5602.1</v>
      </c>
      <c r="HJ29" s="16">
        <f t="shared" si="52"/>
        <v>123000</v>
      </c>
      <c r="HK29" s="16">
        <v>1.9189000000000001</v>
      </c>
      <c r="HL29" s="16">
        <v>660.93</v>
      </c>
      <c r="HM29" s="16">
        <f t="shared" si="101"/>
        <v>0</v>
      </c>
      <c r="HN29" s="16">
        <v>3757.5</v>
      </c>
      <c r="HO29" s="16">
        <v>1641.8</v>
      </c>
      <c r="HP29" s="16">
        <f t="shared" si="54"/>
        <v>32164.999999999818</v>
      </c>
      <c r="HQ29" s="16">
        <v>3049.9</v>
      </c>
      <c r="HR29" s="16">
        <v>1309.5999999999999</v>
      </c>
      <c r="HS29" s="16">
        <f t="shared" si="55"/>
        <v>19765.000000000182</v>
      </c>
      <c r="HT29" s="16">
        <v>2696</v>
      </c>
      <c r="HU29" s="16">
        <v>1019.9</v>
      </c>
      <c r="HV29" s="16">
        <f t="shared" si="56"/>
        <v>18765.000000000182</v>
      </c>
      <c r="HW29" s="16">
        <v>1658</v>
      </c>
      <c r="HX29" s="16">
        <v>725.25</v>
      </c>
      <c r="HY29" s="16">
        <f t="shared" si="57"/>
        <v>17665.000000000044</v>
      </c>
      <c r="HZ29" s="16">
        <v>641030</v>
      </c>
      <c r="IA29" s="16">
        <v>297260</v>
      </c>
      <c r="IB29" s="16">
        <f t="shared" si="58"/>
        <v>20540</v>
      </c>
      <c r="IC29" s="16">
        <v>719.8</v>
      </c>
      <c r="ID29" s="16">
        <v>232.78</v>
      </c>
      <c r="IE29" s="16">
        <f t="shared" si="59"/>
        <v>0</v>
      </c>
      <c r="IF29" s="16"/>
      <c r="IG29" s="16"/>
      <c r="IH29" s="128">
        <f t="shared" si="60"/>
        <v>14100</v>
      </c>
      <c r="II29" s="211">
        <f>HJ29+HM29-HS29-HV29-HY29-IH29-HP29-IB29-IE29</f>
        <v>-2.1100277081131935E-10</v>
      </c>
      <c r="IJ29" s="16"/>
      <c r="IK29" s="16"/>
      <c r="IL29" s="16">
        <f t="shared" si="102"/>
        <v>0</v>
      </c>
      <c r="IM29" s="16"/>
      <c r="IN29" s="16"/>
      <c r="IO29" s="16">
        <f t="shared" si="103"/>
        <v>0</v>
      </c>
      <c r="IP29" s="16"/>
      <c r="IQ29" s="16"/>
      <c r="IR29" s="16">
        <f t="shared" si="104"/>
        <v>0</v>
      </c>
      <c r="IS29" s="16"/>
      <c r="IT29" s="16"/>
      <c r="IU29" s="16">
        <f t="shared" si="105"/>
        <v>0</v>
      </c>
      <c r="IV29" s="16"/>
      <c r="IW29" s="16"/>
      <c r="IX29" s="16">
        <f t="shared" si="106"/>
        <v>0</v>
      </c>
      <c r="IY29" s="16"/>
      <c r="IZ29" s="16"/>
      <c r="JA29" s="16">
        <f t="shared" si="107"/>
        <v>0</v>
      </c>
      <c r="JB29" s="16"/>
      <c r="JC29" s="16"/>
      <c r="JD29" s="16">
        <f t="shared" si="108"/>
        <v>0</v>
      </c>
      <c r="JE29" s="16"/>
      <c r="JF29" s="16"/>
      <c r="JG29" s="16">
        <f t="shared" si="109"/>
        <v>0</v>
      </c>
      <c r="JH29" s="16"/>
      <c r="JI29" s="16"/>
      <c r="JJ29" s="16">
        <f t="shared" si="110"/>
        <v>0</v>
      </c>
      <c r="JK29" s="16"/>
      <c r="JL29" s="16"/>
      <c r="JM29" s="16">
        <f t="shared" si="111"/>
        <v>0</v>
      </c>
      <c r="JN29" s="16"/>
      <c r="JO29" s="16"/>
      <c r="JP29" s="16">
        <f t="shared" si="112"/>
        <v>0</v>
      </c>
      <c r="JQ29" s="16"/>
      <c r="JR29" s="16"/>
      <c r="JS29" s="16">
        <f t="shared" si="113"/>
        <v>0</v>
      </c>
      <c r="JT29" s="16"/>
      <c r="JU29" s="16"/>
      <c r="JV29" s="16">
        <f t="shared" si="114"/>
        <v>0</v>
      </c>
      <c r="JW29" s="16"/>
      <c r="JX29" s="16"/>
      <c r="JY29" s="16">
        <f t="shared" si="115"/>
        <v>0</v>
      </c>
      <c r="JZ29" s="16"/>
      <c r="KA29" s="16"/>
      <c r="KB29" s="16">
        <f t="shared" si="116"/>
        <v>0</v>
      </c>
      <c r="KC29" s="16"/>
      <c r="KD29" s="16"/>
      <c r="KE29" s="16">
        <f t="shared" si="117"/>
        <v>0</v>
      </c>
      <c r="KG29" s="151">
        <f t="shared" si="62"/>
        <v>52704.999999999607</v>
      </c>
    </row>
    <row r="30" spans="1:293" x14ac:dyDescent="0.25">
      <c r="A30" s="35">
        <f t="shared" si="2"/>
        <v>24</v>
      </c>
      <c r="B30" s="38">
        <v>4697.1000000000004</v>
      </c>
      <c r="C30" s="38">
        <f t="shared" si="3"/>
        <v>10.1200000000008</v>
      </c>
      <c r="D30" s="38">
        <f t="shared" si="4"/>
        <v>323840.00000002561</v>
      </c>
      <c r="E30" s="38">
        <v>944</v>
      </c>
      <c r="F30" s="38">
        <f t="shared" si="5"/>
        <v>70080.000000001746</v>
      </c>
      <c r="G30" s="38">
        <f t="shared" si="6"/>
        <v>393920.00000002736</v>
      </c>
      <c r="H30" s="37"/>
      <c r="I30" s="39"/>
      <c r="J30" s="42"/>
      <c r="K30" s="37">
        <f>IF(J30&lt;=0,0,(J30/SQRT(J30^2+(I30-I29)^2)))</f>
        <v>0</v>
      </c>
      <c r="L30" s="40">
        <v>14684000</v>
      </c>
      <c r="M30" s="40"/>
      <c r="N30" s="37">
        <f t="shared" si="83"/>
        <v>390000</v>
      </c>
      <c r="O30" s="37">
        <v>11576</v>
      </c>
      <c r="P30" s="37"/>
      <c r="Q30" s="37">
        <f t="shared" si="120"/>
        <v>18000</v>
      </c>
      <c r="R30" s="37">
        <f>IF(Q30&lt;=0,0,(Q30/SQRT(Q30^2+(P30-P29)^2)))</f>
        <v>1</v>
      </c>
      <c r="S30" s="37">
        <v>11245506.75</v>
      </c>
      <c r="T30" s="37">
        <f t="shared" si="8"/>
        <v>310.74000000022352</v>
      </c>
      <c r="U30" s="37">
        <v>1523790.61</v>
      </c>
      <c r="V30" s="37">
        <f t="shared" si="9"/>
        <v>0</v>
      </c>
      <c r="W30" s="37">
        <v>4114.8999999999996</v>
      </c>
      <c r="X30" s="37">
        <f t="shared" si="97"/>
        <v>17619.259999999776</v>
      </c>
      <c r="Y30" s="183"/>
      <c r="Z30" s="183"/>
      <c r="AA30" s="37">
        <v>789630</v>
      </c>
      <c r="AB30" s="37">
        <f t="shared" si="10"/>
        <v>70</v>
      </c>
      <c r="AC30" s="37">
        <v>4305.5</v>
      </c>
      <c r="AD30" s="37"/>
      <c r="AE30" s="37">
        <f t="shared" si="122"/>
        <v>7800.0000000001819</v>
      </c>
      <c r="AF30" s="37">
        <f>IF(AE30&lt;=0,0,(AE30/SQRT(AE30^2+(AD30-AD29)^2)))</f>
        <v>1</v>
      </c>
      <c r="AG30" s="37">
        <v>9390.4</v>
      </c>
      <c r="AH30" s="37"/>
      <c r="AI30" s="37">
        <f t="shared" si="12"/>
        <v>17721.959999999272</v>
      </c>
      <c r="AJ30" s="37">
        <f t="shared" si="13"/>
        <v>1</v>
      </c>
      <c r="AK30" s="37">
        <f t="shared" si="14"/>
        <v>43451.959999999453</v>
      </c>
      <c r="AL30" s="42">
        <v>11200</v>
      </c>
      <c r="AM30" s="42"/>
      <c r="AN30" s="37">
        <f t="shared" si="63"/>
        <v>5161.9600000000537</v>
      </c>
      <c r="AO30" s="37">
        <f>IF(AN30&lt;=0,0,(AN30/SQRT(AN30^2+(AM30-AM29)^2)))</f>
        <v>1</v>
      </c>
      <c r="AP30" s="67">
        <v>8725.2000000000007</v>
      </c>
      <c r="AQ30" s="37"/>
      <c r="AR30" s="37">
        <f t="shared" si="15"/>
        <v>7800.0000000010914</v>
      </c>
      <c r="AS30" s="37">
        <f>IF(AR30&lt;=0,0,(AR30/SQRT(AR30^2+(AQ30-AQ29)^2)))</f>
        <v>1</v>
      </c>
      <c r="AT30" s="183"/>
      <c r="AU30" s="183"/>
      <c r="AV30" s="183"/>
      <c r="AW30" s="183"/>
      <c r="AX30" s="37">
        <v>497098.32</v>
      </c>
      <c r="AY30" s="37"/>
      <c r="AZ30" s="37">
        <f t="shared" si="16"/>
        <v>401.79999999998836</v>
      </c>
      <c r="BA30" s="37">
        <v>167217.76</v>
      </c>
      <c r="BB30" s="37"/>
      <c r="BC30" s="37">
        <f t="shared" si="17"/>
        <v>593.82000000000698</v>
      </c>
      <c r="BD30" s="37">
        <f>AN30+AR30+AZ30+BC30</f>
        <v>13957.58000000114</v>
      </c>
      <c r="BE30" s="43">
        <v>1965.7</v>
      </c>
      <c r="BF30" s="43">
        <v>1089.0999999999999</v>
      </c>
      <c r="BG30" s="37">
        <f t="shared" si="18"/>
        <v>2100.0000000001364</v>
      </c>
      <c r="BH30" s="44">
        <v>9200.9</v>
      </c>
      <c r="BI30" s="44">
        <v>5925.6</v>
      </c>
      <c r="BJ30" s="37">
        <f t="shared" si="19"/>
        <v>9100.0000000003638</v>
      </c>
      <c r="BK30" s="40">
        <v>1692000</v>
      </c>
      <c r="BL30" s="40">
        <f t="shared" si="89"/>
        <v>4200</v>
      </c>
      <c r="BM30" s="40">
        <v>892.05</v>
      </c>
      <c r="BN30" s="37">
        <f t="shared" si="20"/>
        <v>729.9999999999045</v>
      </c>
      <c r="BO30" s="186"/>
      <c r="BP30" s="183">
        <f t="shared" si="21"/>
        <v>0</v>
      </c>
      <c r="BQ30" s="40">
        <v>842.48</v>
      </c>
      <c r="BR30" s="37">
        <f t="shared" si="64"/>
        <v>830.00000000004093</v>
      </c>
      <c r="BS30" s="37">
        <v>104593.7</v>
      </c>
      <c r="BT30" s="37">
        <f t="shared" si="22"/>
        <v>199.48999999999069</v>
      </c>
      <c r="BU30" s="42">
        <v>2964700</v>
      </c>
      <c r="BV30" s="42"/>
      <c r="BW30" s="37">
        <f t="shared" si="23"/>
        <v>6000</v>
      </c>
      <c r="BX30" s="37">
        <f>IF(BW30&lt;=0,0,(BW30/SQRT(BW30^2+(BV30-BV29)^2)))</f>
        <v>1</v>
      </c>
      <c r="BY30" s="43">
        <v>366.12</v>
      </c>
      <c r="BZ30" s="37"/>
      <c r="CA30" s="37">
        <f t="shared" si="118"/>
        <v>689.99999999999773</v>
      </c>
      <c r="CB30" s="37">
        <f t="shared" si="65"/>
        <v>1</v>
      </c>
      <c r="CC30" s="37">
        <v>692490</v>
      </c>
      <c r="CD30" s="37">
        <f t="shared" si="25"/>
        <v>0</v>
      </c>
      <c r="CE30" s="41">
        <v>1352300</v>
      </c>
      <c r="CF30" s="37">
        <f t="shared" si="26"/>
        <v>5100</v>
      </c>
      <c r="CG30" s="37">
        <v>72811</v>
      </c>
      <c r="CH30" s="37">
        <f t="shared" si="66"/>
        <v>0</v>
      </c>
      <c r="CI30" s="40">
        <f>CI29+15</f>
        <v>13293</v>
      </c>
      <c r="CJ30" s="40"/>
      <c r="CK30" s="37">
        <f t="shared" si="67"/>
        <v>15231.960000000001</v>
      </c>
      <c r="CL30" s="37">
        <f t="shared" si="27"/>
        <v>1</v>
      </c>
      <c r="CM30" s="37">
        <v>3771.8</v>
      </c>
      <c r="CN30" s="37"/>
      <c r="CO30" s="37">
        <f t="shared" si="28"/>
        <v>5821.960000000091</v>
      </c>
      <c r="CP30" s="37">
        <f>IF(CO30&lt;=0,0,(CO30/SQRT(CO30^2+(CN30-CN29)^2)))</f>
        <v>1</v>
      </c>
      <c r="CQ30" s="39">
        <v>355200</v>
      </c>
      <c r="CR30" s="39"/>
      <c r="CS30" s="37">
        <f t="shared" si="68"/>
        <v>7011.96</v>
      </c>
      <c r="CT30" s="37">
        <f t="shared" si="69"/>
        <v>1</v>
      </c>
      <c r="CU30" s="37">
        <v>3857900</v>
      </c>
      <c r="CV30" s="37"/>
      <c r="CW30" s="38">
        <f t="shared" si="29"/>
        <v>19500</v>
      </c>
      <c r="CX30" s="37">
        <f>IF(CW30&lt;=0,0,(CW30/SQRT(CW30^2+(CV30-CV29)^2)))</f>
        <v>1</v>
      </c>
      <c r="CY30" s="37">
        <v>2037700</v>
      </c>
      <c r="CZ30" s="37"/>
      <c r="DA30" s="37">
        <f t="shared" si="124"/>
        <v>11100</v>
      </c>
      <c r="DB30" s="37">
        <f t="shared" si="93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2"/>
        <v>-64665.880000000092</v>
      </c>
      <c r="DH30" s="37">
        <f t="shared" si="33"/>
        <v>435551.95999999961</v>
      </c>
      <c r="DI30" s="46"/>
      <c r="DJ30" s="46"/>
      <c r="DK30" s="47"/>
      <c r="DL30" s="47"/>
      <c r="DM30" s="37"/>
      <c r="DN30" s="37"/>
      <c r="DO30" s="37"/>
      <c r="DP30" s="37"/>
      <c r="DQ30" s="50">
        <v>3764500</v>
      </c>
      <c r="DR30" s="49">
        <f t="shared" si="70"/>
        <v>10300</v>
      </c>
      <c r="DS30" s="50">
        <v>4353500</v>
      </c>
      <c r="DT30" s="49">
        <f t="shared" si="71"/>
        <v>20100</v>
      </c>
      <c r="DU30" s="51">
        <v>8120.2</v>
      </c>
      <c r="DV30" s="51">
        <v>4561.5</v>
      </c>
      <c r="DW30" s="37">
        <f t="shared" si="94"/>
        <v>4199.9999999998181</v>
      </c>
      <c r="DX30" s="52">
        <v>13383</v>
      </c>
      <c r="DY30" s="52">
        <v>8481.1</v>
      </c>
      <c r="DZ30" s="37">
        <f t="shared" si="34"/>
        <v>8921.9599999999991</v>
      </c>
      <c r="EA30" s="49">
        <v>30784</v>
      </c>
      <c r="EB30" s="49">
        <v>21.317</v>
      </c>
      <c r="EC30" s="37">
        <f t="shared" si="35"/>
        <v>29081.96</v>
      </c>
      <c r="ED30" s="53">
        <f t="shared" si="36"/>
        <v>42203.919999999816</v>
      </c>
      <c r="EE30" s="49">
        <v>46292</v>
      </c>
      <c r="EF30" s="49">
        <v>30.218</v>
      </c>
      <c r="EG30" s="37">
        <f t="shared" si="37"/>
        <v>28081.96</v>
      </c>
      <c r="EH30" s="51">
        <v>13442</v>
      </c>
      <c r="EI30" s="51">
        <v>1.8796999999999999</v>
      </c>
      <c r="EJ30" s="37">
        <f t="shared" si="38"/>
        <v>11921.96</v>
      </c>
      <c r="EK30" s="37">
        <v>819.15</v>
      </c>
      <c r="EL30" s="40">
        <v>1173.5999999999999</v>
      </c>
      <c r="EM30" s="37">
        <f t="shared" si="72"/>
        <v>669.99999999995907</v>
      </c>
      <c r="EN30" s="54">
        <f t="shared" si="73"/>
        <v>40673.919999999955</v>
      </c>
      <c r="EO30" s="48">
        <v>13241</v>
      </c>
      <c r="EP30" s="48">
        <v>4629.8999999999996</v>
      </c>
      <c r="EQ30" s="37">
        <f t="shared" si="74"/>
        <v>7036.9600000000091</v>
      </c>
      <c r="ER30" s="48">
        <v>9870.2000000000007</v>
      </c>
      <c r="ES30" s="48">
        <v>4063.8</v>
      </c>
      <c r="ET30" s="49">
        <f t="shared" si="100"/>
        <v>14300.000000001091</v>
      </c>
      <c r="EU30" s="73">
        <v>3879.9</v>
      </c>
      <c r="EV30" s="48">
        <v>1378.4</v>
      </c>
      <c r="EW30" s="49">
        <f t="shared" si="40"/>
        <v>10021.959999999908</v>
      </c>
      <c r="EX30" s="48">
        <v>13890</v>
      </c>
      <c r="EY30" s="55">
        <v>1.6354</v>
      </c>
      <c r="EZ30" s="37">
        <f t="shared" si="41"/>
        <v>11921.96</v>
      </c>
      <c r="FA30" s="48">
        <f t="shared" si="75"/>
        <v>-21744.880000001009</v>
      </c>
      <c r="FB30" s="48">
        <v>37232827</v>
      </c>
      <c r="FC30" s="49">
        <f t="shared" si="95"/>
        <v>21536</v>
      </c>
      <c r="FD30" s="48">
        <f t="shared" si="76"/>
        <v>44880.880000001147</v>
      </c>
      <c r="FE30" s="48">
        <v>17333</v>
      </c>
      <c r="FF30" s="55">
        <v>6154.4</v>
      </c>
      <c r="FG30" s="37">
        <f t="shared" si="77"/>
        <v>4311.9599999999909</v>
      </c>
      <c r="FH30" s="48">
        <v>9275.9</v>
      </c>
      <c r="FI30" s="48">
        <v>3.5829</v>
      </c>
      <c r="FJ30" s="49">
        <f t="shared" si="42"/>
        <v>4026.9600000003638</v>
      </c>
      <c r="FK30" s="48"/>
      <c r="FL30" s="58">
        <v>-495</v>
      </c>
      <c r="FM30" s="48">
        <f t="shared" si="96"/>
        <v>-921.96000000011827</v>
      </c>
      <c r="FN30" s="48">
        <v>16988</v>
      </c>
      <c r="FO30" s="48">
        <v>0.88890000000000002</v>
      </c>
      <c r="FP30" s="37">
        <f t="shared" si="78"/>
        <v>6426.96</v>
      </c>
      <c r="FQ30" s="48">
        <v>60005</v>
      </c>
      <c r="FR30" s="48">
        <v>14.545999999999999</v>
      </c>
      <c r="FS30" s="37">
        <f t="shared" si="43"/>
        <v>12000</v>
      </c>
      <c r="FT30" s="48">
        <f t="shared" si="79"/>
        <v>-2765.8800000003548</v>
      </c>
      <c r="FU30" s="48">
        <f t="shared" si="80"/>
        <v>15265.880000000354</v>
      </c>
      <c r="FV30" s="44">
        <v>5424300</v>
      </c>
      <c r="FW30" s="44">
        <v>1668100</v>
      </c>
      <c r="FX30" s="37">
        <f t="shared" si="44"/>
        <v>16900</v>
      </c>
      <c r="FY30" s="56">
        <v>3657.8</v>
      </c>
      <c r="FZ30" s="56">
        <v>2.173</v>
      </c>
      <c r="GA30" s="37">
        <f t="shared" si="45"/>
        <v>4760.0000000000909</v>
      </c>
      <c r="GB30" s="56">
        <v>844.07</v>
      </c>
      <c r="GC30" s="56">
        <v>946</v>
      </c>
      <c r="GD30" s="37">
        <f t="shared" si="46"/>
        <v>590.00000000003183</v>
      </c>
      <c r="GE30" s="56">
        <v>10399</v>
      </c>
      <c r="GF30" s="56">
        <v>3.6309</v>
      </c>
      <c r="GG30" s="37">
        <f t="shared" si="47"/>
        <v>4899.9999999998636</v>
      </c>
      <c r="GH30" s="158">
        <v>2014.2</v>
      </c>
      <c r="GI30" s="159">
        <v>1726.5</v>
      </c>
      <c r="GJ30" s="38">
        <f t="shared" si="48"/>
        <v>1600.0000000001364</v>
      </c>
      <c r="GK30" s="159">
        <v>1489.7</v>
      </c>
      <c r="GL30" s="160">
        <v>1128.8</v>
      </c>
      <c r="GM30" s="38">
        <f t="shared" si="49"/>
        <v>500</v>
      </c>
      <c r="GN30" s="57">
        <v>208310</v>
      </c>
      <c r="GO30" s="57">
        <v>184560</v>
      </c>
      <c r="GP30" s="38">
        <f t="shared" si="99"/>
        <v>0</v>
      </c>
      <c r="GQ30" s="38">
        <v>279220</v>
      </c>
      <c r="GR30" s="38">
        <v>272760</v>
      </c>
      <c r="GS30" s="38">
        <f t="shared" si="81"/>
        <v>140</v>
      </c>
      <c r="GT30" s="178"/>
      <c r="GU30" s="144">
        <f>DailyJun!B29-DailyJun!N29-DailyJun!V29-DailyJun!Y29-DailyJun!Z29-DailyJun!AA29-DailyJun!AB29-DailyJun!AC29-DailyJun!AD29-DailyJun!AE29-DailyJun!AK29-DailyJun!AO29-DailyJun!AS29-DailyJun!AY29-DailyJun!BD29+DailyJun!BU29-DailyJun!BG29-DailyJun!BT29-DailyJun!AF29-DailyJun!AG29</f>
        <v>-1.999997504753992E-2</v>
      </c>
      <c r="GV30" s="59">
        <v>13829.38</v>
      </c>
      <c r="GW30" s="60">
        <f t="shared" si="50"/>
        <v>921.95866666666666</v>
      </c>
      <c r="GX30" s="61">
        <v>921.96</v>
      </c>
      <c r="GY30" s="140"/>
      <c r="GZ30" s="62"/>
      <c r="HA30" s="62"/>
      <c r="HB30" s="74"/>
      <c r="HC30" s="62"/>
      <c r="HD30" s="74"/>
      <c r="HE30" s="24">
        <f t="shared" si="51"/>
        <v>0</v>
      </c>
      <c r="HG30" s="213">
        <v>24</v>
      </c>
      <c r="HH30" s="16">
        <v>14729</v>
      </c>
      <c r="HI30" s="16">
        <v>5663.6</v>
      </c>
      <c r="HJ30" s="16">
        <f t="shared" si="52"/>
        <v>164000</v>
      </c>
      <c r="HK30" s="16">
        <v>1.9189000000000001</v>
      </c>
      <c r="HL30" s="16">
        <v>660.93</v>
      </c>
      <c r="HM30" s="16">
        <f t="shared" si="101"/>
        <v>0</v>
      </c>
      <c r="HN30" s="16">
        <v>3797.9</v>
      </c>
      <c r="HO30" s="16">
        <v>1659</v>
      </c>
      <c r="HP30" s="16">
        <f t="shared" si="54"/>
        <v>40327.500000000087</v>
      </c>
      <c r="HQ30" s="16">
        <v>3076</v>
      </c>
      <c r="HR30" s="16">
        <v>1320</v>
      </c>
      <c r="HS30" s="16">
        <f t="shared" si="55"/>
        <v>26027.499999999909</v>
      </c>
      <c r="HT30" s="16">
        <v>2721.9</v>
      </c>
      <c r="HU30" s="16">
        <v>1028.5999999999999</v>
      </c>
      <c r="HV30" s="16">
        <f t="shared" si="56"/>
        <v>25827.500000000091</v>
      </c>
      <c r="HW30" s="16">
        <v>1682.4</v>
      </c>
      <c r="HX30" s="16">
        <v>735.33</v>
      </c>
      <c r="HY30" s="16">
        <f t="shared" si="57"/>
        <v>24327.500000000091</v>
      </c>
      <c r="HZ30" s="16">
        <v>668420</v>
      </c>
      <c r="IA30" s="16">
        <v>308850</v>
      </c>
      <c r="IB30" s="16">
        <f t="shared" si="58"/>
        <v>27390</v>
      </c>
      <c r="IC30" s="16">
        <v>719.8</v>
      </c>
      <c r="ID30" s="16">
        <v>232.78</v>
      </c>
      <c r="IE30" s="16">
        <f t="shared" si="59"/>
        <v>0</v>
      </c>
      <c r="IF30" s="16"/>
      <c r="IG30" s="16"/>
      <c r="IH30" s="128">
        <f t="shared" si="60"/>
        <v>20100</v>
      </c>
      <c r="II30" s="211">
        <f>HJ30+HM30-HS30-HV30-HY30-IH30-HP30-IB30-IE30</f>
        <v>-1.7462298274040222E-10</v>
      </c>
      <c r="IJ30" s="16"/>
      <c r="IK30" s="16"/>
      <c r="IL30" s="16">
        <f t="shared" si="102"/>
        <v>0</v>
      </c>
      <c r="IM30" s="16"/>
      <c r="IN30" s="16"/>
      <c r="IO30" s="16">
        <f t="shared" si="103"/>
        <v>0</v>
      </c>
      <c r="IP30" s="16"/>
      <c r="IQ30" s="16"/>
      <c r="IR30" s="16">
        <f t="shared" si="104"/>
        <v>0</v>
      </c>
      <c r="IS30" s="16"/>
      <c r="IT30" s="16"/>
      <c r="IU30" s="16">
        <f t="shared" si="105"/>
        <v>0</v>
      </c>
      <c r="IV30" s="16"/>
      <c r="IW30" s="16"/>
      <c r="IX30" s="16">
        <f t="shared" si="106"/>
        <v>0</v>
      </c>
      <c r="IY30" s="16"/>
      <c r="IZ30" s="16"/>
      <c r="JA30" s="16">
        <f t="shared" si="107"/>
        <v>0</v>
      </c>
      <c r="JB30" s="16"/>
      <c r="JC30" s="16"/>
      <c r="JD30" s="16">
        <f t="shared" si="108"/>
        <v>0</v>
      </c>
      <c r="JE30" s="16"/>
      <c r="JF30" s="16"/>
      <c r="JG30" s="16">
        <f t="shared" si="109"/>
        <v>0</v>
      </c>
      <c r="JH30" s="16"/>
      <c r="JI30" s="16"/>
      <c r="JJ30" s="16">
        <f t="shared" si="110"/>
        <v>0</v>
      </c>
      <c r="JK30" s="16"/>
      <c r="JL30" s="16"/>
      <c r="JM30" s="16">
        <f t="shared" si="111"/>
        <v>0</v>
      </c>
      <c r="JN30" s="16"/>
      <c r="JO30" s="16"/>
      <c r="JP30" s="16">
        <f t="shared" si="112"/>
        <v>0</v>
      </c>
      <c r="JQ30" s="16"/>
      <c r="JR30" s="16"/>
      <c r="JS30" s="16">
        <f t="shared" si="113"/>
        <v>0</v>
      </c>
      <c r="JT30" s="16"/>
      <c r="JU30" s="16"/>
      <c r="JV30" s="16">
        <f t="shared" si="114"/>
        <v>0</v>
      </c>
      <c r="JW30" s="16"/>
      <c r="JX30" s="16"/>
      <c r="JY30" s="16">
        <f t="shared" si="115"/>
        <v>0</v>
      </c>
      <c r="JZ30" s="16"/>
      <c r="KA30" s="16"/>
      <c r="KB30" s="16">
        <f t="shared" si="116"/>
        <v>0</v>
      </c>
      <c r="KC30" s="16"/>
      <c r="KD30" s="16"/>
      <c r="KE30" s="16">
        <f t="shared" si="117"/>
        <v>0</v>
      </c>
      <c r="KG30" s="151">
        <f t="shared" si="62"/>
        <v>67717.499999999913</v>
      </c>
    </row>
    <row r="31" spans="1:293" x14ac:dyDescent="0.25">
      <c r="A31" s="35">
        <f t="shared" si="2"/>
        <v>25</v>
      </c>
      <c r="B31" s="38">
        <v>4707.78</v>
      </c>
      <c r="C31" s="38">
        <f t="shared" si="3"/>
        <v>10.679999999999382</v>
      </c>
      <c r="D31" s="38">
        <f t="shared" si="4"/>
        <v>341759.99999998021</v>
      </c>
      <c r="E31" s="38">
        <v>946.03</v>
      </c>
      <c r="F31" s="38">
        <f t="shared" si="5"/>
        <v>64959.999999999127</v>
      </c>
      <c r="G31" s="38">
        <f t="shared" si="6"/>
        <v>406719.99999997934</v>
      </c>
      <c r="H31" s="37"/>
      <c r="I31" s="39"/>
      <c r="J31" s="42"/>
      <c r="K31" s="37">
        <f t="shared" si="82"/>
        <v>0</v>
      </c>
      <c r="L31" s="40">
        <v>14724000</v>
      </c>
      <c r="M31" s="40"/>
      <c r="N31" s="37">
        <f t="shared" si="83"/>
        <v>400000</v>
      </c>
      <c r="O31" s="37">
        <v>11594</v>
      </c>
      <c r="P31" s="37"/>
      <c r="Q31" s="37">
        <f t="shared" si="120"/>
        <v>18000</v>
      </c>
      <c r="R31" s="37">
        <f t="shared" si="84"/>
        <v>1</v>
      </c>
      <c r="S31" s="37">
        <v>11245791.5</v>
      </c>
      <c r="T31" s="37">
        <f t="shared" si="8"/>
        <v>284.75</v>
      </c>
      <c r="U31" s="37">
        <v>1523790.61</v>
      </c>
      <c r="V31" s="37">
        <f t="shared" si="9"/>
        <v>0</v>
      </c>
      <c r="W31" s="37">
        <v>4151.3999999999996</v>
      </c>
      <c r="X31" s="37">
        <f t="shared" si="97"/>
        <v>17645.25</v>
      </c>
      <c r="Y31" s="183"/>
      <c r="Z31" s="183"/>
      <c r="AA31" s="37">
        <v>789700</v>
      </c>
      <c r="AB31" s="37">
        <f t="shared" si="10"/>
        <v>70</v>
      </c>
      <c r="AC31" s="37">
        <v>4313.1000000000004</v>
      </c>
      <c r="AD31" s="37"/>
      <c r="AE31" s="37">
        <f t="shared" si="122"/>
        <v>7600.0000000003638</v>
      </c>
      <c r="AF31" s="37">
        <f t="shared" si="85"/>
        <v>1</v>
      </c>
      <c r="AG31" s="37">
        <v>9407.1</v>
      </c>
      <c r="AH31" s="37"/>
      <c r="AI31" s="37">
        <f t="shared" si="12"/>
        <v>15476.190000000728</v>
      </c>
      <c r="AJ31" s="37">
        <f t="shared" si="13"/>
        <v>1</v>
      </c>
      <c r="AK31" s="37">
        <f t="shared" si="14"/>
        <v>41006.190000001094</v>
      </c>
      <c r="AL31" s="42">
        <v>11211</v>
      </c>
      <c r="AM31" s="2"/>
      <c r="AN31" s="37">
        <f t="shared" si="63"/>
        <v>4346.1899999999368</v>
      </c>
      <c r="AO31" s="37">
        <f t="shared" si="86"/>
        <v>1</v>
      </c>
      <c r="AP31" s="37">
        <v>8733.1</v>
      </c>
      <c r="AQ31" s="37"/>
      <c r="AR31" s="37">
        <f t="shared" si="15"/>
        <v>7899.9999999996362</v>
      </c>
      <c r="AS31" s="37">
        <f t="shared" si="87"/>
        <v>1</v>
      </c>
      <c r="AT31" s="183"/>
      <c r="AU31" s="183"/>
      <c r="AV31" s="183"/>
      <c r="AW31" s="183"/>
      <c r="AX31" s="37">
        <v>497492.4</v>
      </c>
      <c r="AY31" s="37"/>
      <c r="AZ31" s="37">
        <f t="shared" si="16"/>
        <v>394.0800000000163</v>
      </c>
      <c r="BA31" s="37">
        <v>167818.04</v>
      </c>
      <c r="BB31" s="37"/>
      <c r="BC31" s="37">
        <f t="shared" si="17"/>
        <v>600.27999999999884</v>
      </c>
      <c r="BD31" s="37">
        <f t="shared" si="88"/>
        <v>13240.549999999588</v>
      </c>
      <c r="BE31" s="43">
        <v>1967.2</v>
      </c>
      <c r="BF31" s="43">
        <v>1090.2</v>
      </c>
      <c r="BG31" s="37">
        <f t="shared" si="18"/>
        <v>1500</v>
      </c>
      <c r="BH31" s="44">
        <v>9209.9</v>
      </c>
      <c r="BI31" s="44">
        <v>5931.7</v>
      </c>
      <c r="BJ31" s="37">
        <f t="shared" si="19"/>
        <v>9000</v>
      </c>
      <c r="BK31" s="40">
        <v>1696000</v>
      </c>
      <c r="BL31" s="40">
        <f t="shared" si="89"/>
        <v>4000</v>
      </c>
      <c r="BM31" s="40">
        <v>892.75</v>
      </c>
      <c r="BN31" s="37">
        <f t="shared" si="20"/>
        <v>700.00000000004547</v>
      </c>
      <c r="BO31" s="186"/>
      <c r="BP31" s="183">
        <f t="shared" si="21"/>
        <v>0</v>
      </c>
      <c r="BQ31" s="40">
        <v>843.21</v>
      </c>
      <c r="BR31" s="37">
        <f t="shared" si="64"/>
        <v>730.00000000001819</v>
      </c>
      <c r="BS31" s="37">
        <v>104779.97</v>
      </c>
      <c r="BT31" s="37">
        <f t="shared" si="22"/>
        <v>186.27000000000407</v>
      </c>
      <c r="BU31" s="42">
        <v>2970600</v>
      </c>
      <c r="BV31" s="42"/>
      <c r="BW31" s="37">
        <f t="shared" si="23"/>
        <v>5900</v>
      </c>
      <c r="BX31" s="37">
        <f t="shared" si="90"/>
        <v>1</v>
      </c>
      <c r="BY31" s="43">
        <v>366.67</v>
      </c>
      <c r="BZ31" s="37"/>
      <c r="CA31" s="37">
        <f t="shared" si="118"/>
        <v>550.00000000001137</v>
      </c>
      <c r="CB31" s="37">
        <f t="shared" si="65"/>
        <v>1</v>
      </c>
      <c r="CC31" s="37">
        <v>692490</v>
      </c>
      <c r="CD31" s="37">
        <f t="shared" si="25"/>
        <v>0</v>
      </c>
      <c r="CE31" s="41">
        <v>1358100</v>
      </c>
      <c r="CF31" s="37">
        <f t="shared" si="26"/>
        <v>5800</v>
      </c>
      <c r="CG31" s="37">
        <v>72811</v>
      </c>
      <c r="CH31" s="37">
        <f t="shared" si="66"/>
        <v>0</v>
      </c>
      <c r="CI31" s="40">
        <v>13309</v>
      </c>
      <c r="CJ31" s="40"/>
      <c r="CK31" s="37">
        <f t="shared" si="67"/>
        <v>14226.18999999999</v>
      </c>
      <c r="CL31" s="37">
        <f t="shared" si="27"/>
        <v>1</v>
      </c>
      <c r="CM31" s="37">
        <v>3776.2</v>
      </c>
      <c r="CN31" s="37"/>
      <c r="CO31" s="37">
        <f t="shared" si="28"/>
        <v>3176.1899999996363</v>
      </c>
      <c r="CP31" s="37">
        <f t="shared" si="91"/>
        <v>1</v>
      </c>
      <c r="CQ31" s="39">
        <v>360680</v>
      </c>
      <c r="CR31" s="39"/>
      <c r="CS31" s="37">
        <f t="shared" si="68"/>
        <v>4256.1900000000005</v>
      </c>
      <c r="CT31" s="37">
        <f t="shared" si="69"/>
        <v>1</v>
      </c>
      <c r="CU31" s="37">
        <v>3875700</v>
      </c>
      <c r="CV31" s="37"/>
      <c r="CW31" s="38">
        <f t="shared" si="29"/>
        <v>17800</v>
      </c>
      <c r="CX31" s="37">
        <f t="shared" si="92"/>
        <v>1</v>
      </c>
      <c r="CY31" s="37">
        <v>2048400</v>
      </c>
      <c r="CZ31" s="37"/>
      <c r="DA31" s="37">
        <f t="shared" si="124"/>
        <v>10700</v>
      </c>
      <c r="DB31" s="37">
        <f t="shared" si="93"/>
        <v>1</v>
      </c>
      <c r="DC31" s="37"/>
      <c r="DD31" s="40"/>
      <c r="DE31" s="37">
        <f t="shared" si="31"/>
        <v>0</v>
      </c>
      <c r="DF31" s="37">
        <f t="shared" si="98"/>
        <v>0</v>
      </c>
      <c r="DG31" s="37">
        <f t="shared" si="32"/>
        <v>-56058.569999999629</v>
      </c>
      <c r="DH31" s="37">
        <f t="shared" si="33"/>
        <v>442506.19000000111</v>
      </c>
      <c r="DI31" s="46"/>
      <c r="DJ31" s="46"/>
      <c r="DK31" s="47"/>
      <c r="DL31" s="47"/>
      <c r="DM31" s="37"/>
      <c r="DN31" s="37"/>
      <c r="DO31" s="37"/>
      <c r="DP31" s="37"/>
      <c r="DQ31" s="50">
        <v>3774800</v>
      </c>
      <c r="DR31" s="49">
        <f t="shared" si="70"/>
        <v>10300</v>
      </c>
      <c r="DS31" s="50">
        <v>4369700</v>
      </c>
      <c r="DT31" s="49">
        <f t="shared" si="71"/>
        <v>16200</v>
      </c>
      <c r="DU31" s="51">
        <v>8124.4</v>
      </c>
      <c r="DV31" s="51">
        <v>4564.2</v>
      </c>
      <c r="DW31" s="37">
        <f t="shared" si="94"/>
        <v>4199.9999999998181</v>
      </c>
      <c r="DX31" s="52">
        <v>13391</v>
      </c>
      <c r="DY31" s="52">
        <v>8483.2000000000007</v>
      </c>
      <c r="DZ31" s="37">
        <f t="shared" si="34"/>
        <v>6776.1900000000005</v>
      </c>
      <c r="EA31" s="49">
        <v>30809</v>
      </c>
      <c r="EB31" s="49">
        <v>21.331</v>
      </c>
      <c r="EC31" s="37">
        <f t="shared" si="35"/>
        <v>25936.19</v>
      </c>
      <c r="ED31" s="53">
        <f t="shared" si="36"/>
        <v>36912.379999999815</v>
      </c>
      <c r="EE31" s="49">
        <v>46318</v>
      </c>
      <c r="EF31" s="49">
        <v>30.24</v>
      </c>
      <c r="EG31" s="37">
        <f t="shared" si="37"/>
        <v>26936.19</v>
      </c>
      <c r="EH31" s="51">
        <v>13453</v>
      </c>
      <c r="EI31" s="51">
        <v>1.8824000000000001</v>
      </c>
      <c r="EJ31" s="37">
        <f t="shared" si="38"/>
        <v>9776.19</v>
      </c>
      <c r="EK31" s="37">
        <v>819.98</v>
      </c>
      <c r="EL31" s="40">
        <v>1174.8</v>
      </c>
      <c r="EM31" s="37">
        <f t="shared" si="72"/>
        <v>830.00000000004093</v>
      </c>
      <c r="EN31" s="54">
        <f t="shared" si="73"/>
        <v>37542.380000000041</v>
      </c>
      <c r="EO31" s="48">
        <v>13249</v>
      </c>
      <c r="EP31" s="48">
        <v>4632.2</v>
      </c>
      <c r="EQ31" s="37">
        <f t="shared" si="74"/>
        <v>5896.1900000000051</v>
      </c>
      <c r="ER31" s="48">
        <v>9884.7999999999993</v>
      </c>
      <c r="ES31" s="48">
        <v>4070.1</v>
      </c>
      <c r="ET31" s="49">
        <f t="shared" si="100"/>
        <v>14599.999999998545</v>
      </c>
      <c r="EU31" s="48">
        <v>3888.7</v>
      </c>
      <c r="EV31" s="48">
        <v>1381.6</v>
      </c>
      <c r="EW31" s="49">
        <f t="shared" si="40"/>
        <v>7576.1899999997277</v>
      </c>
      <c r="EX31" s="48">
        <v>13902</v>
      </c>
      <c r="EY31" s="48">
        <v>1.6375</v>
      </c>
      <c r="EZ31" s="37">
        <f t="shared" si="41"/>
        <v>10776.19</v>
      </c>
      <c r="FA31" s="48">
        <f t="shared" si="75"/>
        <v>-17434.569999998279</v>
      </c>
      <c r="FB31" s="48">
        <v>37254241</v>
      </c>
      <c r="FC31" s="49">
        <f t="shared" si="95"/>
        <v>21414</v>
      </c>
      <c r="FD31" s="48">
        <f t="shared" si="76"/>
        <v>40348.569999998283</v>
      </c>
      <c r="FE31" s="48">
        <v>17342</v>
      </c>
      <c r="FF31" s="48">
        <v>6158</v>
      </c>
      <c r="FG31" s="37">
        <f t="shared" si="77"/>
        <v>9737.1399999999958</v>
      </c>
      <c r="FH31" s="48">
        <v>9290.7999999999993</v>
      </c>
      <c r="FI31" s="48">
        <v>3.5888</v>
      </c>
      <c r="FJ31" s="49">
        <f t="shared" si="42"/>
        <v>14757.139999999637</v>
      </c>
      <c r="FK31" s="48"/>
      <c r="FL31" s="58">
        <v>1080.95</v>
      </c>
      <c r="FM31" s="48">
        <f>FT31/3</f>
        <v>216.19333333345517</v>
      </c>
      <c r="FN31" s="48">
        <v>17001</v>
      </c>
      <c r="FO31" s="48">
        <v>0.89080000000000004</v>
      </c>
      <c r="FP31" s="37">
        <f t="shared" si="78"/>
        <v>12857.140000000001</v>
      </c>
      <c r="FQ31" s="48">
        <v>60043</v>
      </c>
      <c r="FR31" s="48">
        <v>14.558</v>
      </c>
      <c r="FS31" s="37">
        <f t="shared" si="43"/>
        <v>38000</v>
      </c>
      <c r="FT31" s="48">
        <f t="shared" si="79"/>
        <v>648.58000000036554</v>
      </c>
      <c r="FU31" s="48">
        <f>FG31+FJ31+FP31+GM31</f>
        <v>38951.419999999547</v>
      </c>
      <c r="FV31" s="44">
        <v>5441200</v>
      </c>
      <c r="FW31" s="44">
        <v>1673400</v>
      </c>
      <c r="FX31" s="37">
        <f t="shared" si="44"/>
        <v>16900</v>
      </c>
      <c r="FY31" s="56">
        <v>3662.9</v>
      </c>
      <c r="FZ31" s="56">
        <v>2.1757</v>
      </c>
      <c r="GA31" s="37">
        <f t="shared" si="45"/>
        <v>4959.9999999999091</v>
      </c>
      <c r="GB31" s="56">
        <v>844.69</v>
      </c>
      <c r="GC31" s="56">
        <v>946.73</v>
      </c>
      <c r="GD31" s="37">
        <f t="shared" si="46"/>
        <v>620.00000000000455</v>
      </c>
      <c r="GE31" s="56">
        <v>10407</v>
      </c>
      <c r="GF31" s="56">
        <v>3.6362999999999999</v>
      </c>
      <c r="GG31" s="37">
        <f t="shared" si="47"/>
        <v>4900.0000000000909</v>
      </c>
      <c r="GH31" s="158">
        <v>2015.7</v>
      </c>
      <c r="GI31" s="159">
        <v>1728.1</v>
      </c>
      <c r="GJ31" s="38">
        <f t="shared" si="48"/>
        <v>1500</v>
      </c>
      <c r="GK31" s="159">
        <v>1491.3</v>
      </c>
      <c r="GL31" s="160">
        <v>1129.4000000000001</v>
      </c>
      <c r="GM31" s="38">
        <f t="shared" si="49"/>
        <v>1599.9999999999091</v>
      </c>
      <c r="GN31" s="57">
        <v>208320</v>
      </c>
      <c r="GO31" s="57">
        <v>184560</v>
      </c>
      <c r="GP31" s="38">
        <f t="shared" si="99"/>
        <v>10</v>
      </c>
      <c r="GQ31" s="38">
        <v>279360</v>
      </c>
      <c r="GR31" s="38">
        <v>272850</v>
      </c>
      <c r="GS31" s="38">
        <f t="shared" si="81"/>
        <v>140</v>
      </c>
      <c r="GT31" s="178"/>
      <c r="GU31" s="144">
        <f>DailyJun!B30-DailyJun!N30-DailyJun!V30-DailyJun!Y30-DailyJun!Z30-DailyJun!AA30-DailyJun!AB30-DailyJun!AC30-DailyJun!AD30-DailyJun!AE30-DailyJun!AK30-DailyJun!AO30-DailyJun!AS30-DailyJun!AY30-DailyJun!BD30+DailyJun!BU30-DailyJun!BG30-DailyJun!BT30-DailyJun!AF30-DailyJun!AG30</f>
        <v>-6.0000018769642338E-2</v>
      </c>
      <c r="GV31" s="59">
        <v>-18357.21</v>
      </c>
      <c r="GW31" s="60">
        <f t="shared" si="50"/>
        <v>-1223.8139999999999</v>
      </c>
      <c r="GX31" s="61">
        <v>-1223.81</v>
      </c>
      <c r="GY31" s="140"/>
      <c r="GZ31" s="62"/>
      <c r="HA31" s="62"/>
      <c r="HB31" s="74"/>
      <c r="HC31" s="62"/>
      <c r="HD31" s="74"/>
      <c r="HE31" s="24">
        <f t="shared" si="51"/>
        <v>0</v>
      </c>
      <c r="HF31" s="3"/>
      <c r="HG31" s="213">
        <v>25</v>
      </c>
      <c r="HH31" s="16">
        <v>14905</v>
      </c>
      <c r="HI31" s="16">
        <v>5729.7</v>
      </c>
      <c r="HJ31" s="16">
        <f t="shared" si="52"/>
        <v>176000</v>
      </c>
      <c r="HK31" s="16">
        <v>1.9189000000000001</v>
      </c>
      <c r="HL31" s="16">
        <v>660.93</v>
      </c>
      <c r="HM31" s="16">
        <f t="shared" si="101"/>
        <v>0</v>
      </c>
      <c r="HN31" s="16">
        <v>3840.6</v>
      </c>
      <c r="HO31" s="16">
        <v>1677.2</v>
      </c>
      <c r="HP31" s="16">
        <f t="shared" si="54"/>
        <v>43594.999999999818</v>
      </c>
      <c r="HQ31" s="16">
        <v>3103.9</v>
      </c>
      <c r="HR31" s="16">
        <v>1331.2</v>
      </c>
      <c r="HS31" s="16">
        <f t="shared" si="55"/>
        <v>28795.000000000091</v>
      </c>
      <c r="HT31" s="16">
        <v>2750.2</v>
      </c>
      <c r="HU31" s="16">
        <v>1037.8</v>
      </c>
      <c r="HV31" s="16">
        <f t="shared" si="56"/>
        <v>29194.999999999727</v>
      </c>
      <c r="HW31" s="16">
        <v>1710</v>
      </c>
      <c r="HX31" s="16">
        <v>746.66</v>
      </c>
      <c r="HY31" s="16">
        <f t="shared" si="57"/>
        <v>28494.999999999909</v>
      </c>
      <c r="HZ31" s="16">
        <v>698140</v>
      </c>
      <c r="IA31" s="16">
        <v>321470</v>
      </c>
      <c r="IB31" s="16">
        <f t="shared" si="58"/>
        <v>29720</v>
      </c>
      <c r="IC31" s="16">
        <v>719.8</v>
      </c>
      <c r="ID31" s="16">
        <v>232.78</v>
      </c>
      <c r="IE31" s="16">
        <f t="shared" si="59"/>
        <v>0</v>
      </c>
      <c r="IF31" s="16"/>
      <c r="IG31" s="16"/>
      <c r="IH31" s="128">
        <f t="shared" si="60"/>
        <v>16200</v>
      </c>
      <c r="II31" s="211">
        <f t="shared" ref="II31:II38" si="125">HJ31+HM31-HS31-HV31-HY31-IH31-HP31-IB31</f>
        <v>4.5838532969355583E-10</v>
      </c>
      <c r="IJ31" s="16"/>
      <c r="IK31" s="16"/>
      <c r="IL31" s="16">
        <f t="shared" si="102"/>
        <v>0</v>
      </c>
      <c r="IM31" s="16"/>
      <c r="IN31" s="16"/>
      <c r="IO31" s="16">
        <f t="shared" si="103"/>
        <v>0</v>
      </c>
      <c r="IP31" s="16"/>
      <c r="IQ31" s="16"/>
      <c r="IR31" s="16">
        <f t="shared" si="104"/>
        <v>0</v>
      </c>
      <c r="IS31" s="16"/>
      <c r="IT31" s="16"/>
      <c r="IU31" s="16">
        <f t="shared" si="105"/>
        <v>0</v>
      </c>
      <c r="IV31" s="16"/>
      <c r="IW31" s="16"/>
      <c r="IX31" s="16">
        <f t="shared" si="106"/>
        <v>0</v>
      </c>
      <c r="IY31" s="16"/>
      <c r="IZ31" s="16"/>
      <c r="JA31" s="16">
        <f t="shared" si="107"/>
        <v>0</v>
      </c>
      <c r="JB31" s="16"/>
      <c r="JC31" s="16"/>
      <c r="JD31" s="16">
        <f t="shared" si="108"/>
        <v>0</v>
      </c>
      <c r="JE31" s="16"/>
      <c r="JF31" s="16"/>
      <c r="JG31" s="16">
        <f t="shared" si="109"/>
        <v>0</v>
      </c>
      <c r="JH31" s="16"/>
      <c r="JI31" s="16"/>
      <c r="JJ31" s="16">
        <f t="shared" si="110"/>
        <v>0</v>
      </c>
      <c r="JK31" s="16"/>
      <c r="JL31" s="16"/>
      <c r="JM31" s="16">
        <f t="shared" si="111"/>
        <v>0</v>
      </c>
      <c r="JN31" s="16"/>
      <c r="JO31" s="16"/>
      <c r="JP31" s="16">
        <f t="shared" si="112"/>
        <v>0</v>
      </c>
      <c r="JQ31" s="16"/>
      <c r="JR31" s="16"/>
      <c r="JS31" s="16">
        <f t="shared" si="113"/>
        <v>0</v>
      </c>
      <c r="JT31" s="16"/>
      <c r="JU31" s="16"/>
      <c r="JV31" s="16">
        <f t="shared" si="114"/>
        <v>0</v>
      </c>
      <c r="JW31" s="16"/>
      <c r="JX31" s="16"/>
      <c r="JY31" s="16">
        <f t="shared" si="115"/>
        <v>0</v>
      </c>
      <c r="JZ31" s="16"/>
      <c r="KA31" s="16"/>
      <c r="KB31" s="16">
        <f t="shared" si="116"/>
        <v>0</v>
      </c>
      <c r="KC31" s="16"/>
      <c r="KD31" s="16"/>
      <c r="KE31" s="16">
        <f t="shared" si="117"/>
        <v>0</v>
      </c>
      <c r="KG31" s="151">
        <f t="shared" si="62"/>
        <v>73315.000000000276</v>
      </c>
    </row>
    <row r="32" spans="1:293" x14ac:dyDescent="0.25">
      <c r="A32" s="35">
        <f t="shared" si="2"/>
        <v>26</v>
      </c>
      <c r="B32" s="38">
        <v>4719.2299999999996</v>
      </c>
      <c r="C32" s="38">
        <f t="shared" si="3"/>
        <v>11.449999999999818</v>
      </c>
      <c r="D32" s="38">
        <f t="shared" si="4"/>
        <v>366399.99999999418</v>
      </c>
      <c r="E32" s="38">
        <v>948.51</v>
      </c>
      <c r="F32" s="38">
        <f t="shared" si="5"/>
        <v>79360.000000000582</v>
      </c>
      <c r="G32" s="38">
        <f t="shared" si="6"/>
        <v>445759.99999999476</v>
      </c>
      <c r="H32" s="37"/>
      <c r="I32" s="39"/>
      <c r="J32" s="42"/>
      <c r="K32" s="37">
        <f t="shared" si="82"/>
        <v>0</v>
      </c>
      <c r="L32" s="40">
        <v>14768400</v>
      </c>
      <c r="M32" s="40"/>
      <c r="N32" s="37">
        <f t="shared" si="83"/>
        <v>444000</v>
      </c>
      <c r="O32" s="37">
        <v>11613</v>
      </c>
      <c r="P32" s="37"/>
      <c r="Q32" s="37">
        <f t="shared" si="120"/>
        <v>19000</v>
      </c>
      <c r="R32" s="37">
        <f t="shared" si="84"/>
        <v>1</v>
      </c>
      <c r="S32" s="37">
        <v>11246088.380000001</v>
      </c>
      <c r="T32" s="37">
        <f t="shared" si="8"/>
        <v>296.88000000081956</v>
      </c>
      <c r="U32" s="37">
        <v>1523790.61</v>
      </c>
      <c r="V32" s="37">
        <f>IF((U32-U31)&lt;=0,0,(U32-U31))</f>
        <v>0</v>
      </c>
      <c r="W32" s="37">
        <v>4158.1000000000004</v>
      </c>
      <c r="X32" s="37">
        <f t="shared" si="97"/>
        <v>18603.11999999918</v>
      </c>
      <c r="Y32" s="183"/>
      <c r="Z32" s="183"/>
      <c r="AA32" s="37">
        <v>789800</v>
      </c>
      <c r="AB32" s="37">
        <f t="shared" si="10"/>
        <v>100</v>
      </c>
      <c r="AC32" s="37">
        <v>4320.8999999999996</v>
      </c>
      <c r="AD32" s="37"/>
      <c r="AE32" s="37">
        <f t="shared" si="122"/>
        <v>7799.9999999992724</v>
      </c>
      <c r="AF32" s="37">
        <f t="shared" si="85"/>
        <v>1</v>
      </c>
      <c r="AG32" s="37">
        <v>9423.4</v>
      </c>
      <c r="AH32" s="37"/>
      <c r="AI32" s="37">
        <f t="shared" si="12"/>
        <v>16952.189999999271</v>
      </c>
      <c r="AJ32" s="37">
        <f t="shared" si="13"/>
        <v>1</v>
      </c>
      <c r="AK32" s="37">
        <f t="shared" si="14"/>
        <v>43652.189999998547</v>
      </c>
      <c r="AL32" s="42">
        <v>11221.1</v>
      </c>
      <c r="AM32" s="42"/>
      <c r="AN32" s="37">
        <f t="shared" si="63"/>
        <v>5052.1900000004052</v>
      </c>
      <c r="AO32" s="37">
        <f t="shared" si="86"/>
        <v>1</v>
      </c>
      <c r="AP32" s="37">
        <v>8741.4</v>
      </c>
      <c r="AQ32" s="37"/>
      <c r="AR32" s="37">
        <f t="shared" si="15"/>
        <v>8299.9999999992724</v>
      </c>
      <c r="AS32" s="37">
        <f t="shared" si="87"/>
        <v>1</v>
      </c>
      <c r="AT32" s="183"/>
      <c r="AU32" s="183"/>
      <c r="AV32" s="183"/>
      <c r="AW32" s="183"/>
      <c r="AX32" s="37">
        <v>497890</v>
      </c>
      <c r="AY32" s="37"/>
      <c r="AZ32" s="37">
        <f t="shared" si="16"/>
        <v>397.59999999997672</v>
      </c>
      <c r="BA32" s="37">
        <v>168400</v>
      </c>
      <c r="BB32" s="37"/>
      <c r="BC32" s="37">
        <f t="shared" si="17"/>
        <v>581.95999999999185</v>
      </c>
      <c r="BD32" s="37">
        <f t="shared" si="88"/>
        <v>14331.749999999647</v>
      </c>
      <c r="BE32" s="43">
        <v>1968.9</v>
      </c>
      <c r="BF32" s="43">
        <v>1091.3</v>
      </c>
      <c r="BG32" s="37">
        <f t="shared" si="18"/>
        <v>1700.0000000000455</v>
      </c>
      <c r="BH32" s="44">
        <v>9219</v>
      </c>
      <c r="BI32" s="44">
        <v>5937.7</v>
      </c>
      <c r="BJ32" s="37">
        <f t="shared" si="19"/>
        <v>9100.0000000003638</v>
      </c>
      <c r="BK32" s="40">
        <v>1700280</v>
      </c>
      <c r="BL32" s="40">
        <f t="shared" si="89"/>
        <v>4280</v>
      </c>
      <c r="BM32" s="40">
        <v>893.48</v>
      </c>
      <c r="BN32" s="37">
        <f t="shared" si="20"/>
        <v>730.00000000001819</v>
      </c>
      <c r="BO32" s="186"/>
      <c r="BP32" s="183">
        <f t="shared" si="21"/>
        <v>0</v>
      </c>
      <c r="BQ32" s="40">
        <v>843.9</v>
      </c>
      <c r="BR32" s="37">
        <f t="shared" si="64"/>
        <v>689.99999999994088</v>
      </c>
      <c r="BS32" s="37">
        <v>104974.28</v>
      </c>
      <c r="BT32" s="37">
        <f t="shared" si="22"/>
        <v>194.30999999999767</v>
      </c>
      <c r="BU32" s="42">
        <v>2977294</v>
      </c>
      <c r="BV32" s="42"/>
      <c r="BW32" s="37">
        <f t="shared" si="23"/>
        <v>6694</v>
      </c>
      <c r="BX32" s="37">
        <f t="shared" si="90"/>
        <v>1</v>
      </c>
      <c r="BY32" s="43">
        <v>367.2688</v>
      </c>
      <c r="BZ32" s="43"/>
      <c r="CA32" s="37">
        <f t="shared" si="118"/>
        <v>598.7999999999829</v>
      </c>
      <c r="CB32" s="37">
        <f t="shared" si="65"/>
        <v>1</v>
      </c>
      <c r="CC32" s="37">
        <v>692493.4</v>
      </c>
      <c r="CD32" s="37">
        <f t="shared" si="25"/>
        <v>3.4000000000232831</v>
      </c>
      <c r="CE32" s="41">
        <v>1364650</v>
      </c>
      <c r="CF32" s="37">
        <f t="shared" si="26"/>
        <v>6550</v>
      </c>
      <c r="CG32" s="37">
        <v>72810.600000000006</v>
      </c>
      <c r="CH32" s="37">
        <f t="shared" si="66"/>
        <v>0</v>
      </c>
      <c r="CI32" s="40">
        <v>13325.87</v>
      </c>
      <c r="CJ32" s="40"/>
      <c r="CK32" s="37">
        <f t="shared" si="67"/>
        <v>16923.390000000814</v>
      </c>
      <c r="CL32" s="37">
        <f t="shared" si="27"/>
        <v>1</v>
      </c>
      <c r="CM32" s="37">
        <v>3781.335</v>
      </c>
      <c r="CN32" s="37"/>
      <c r="CO32" s="37">
        <f t="shared" si="28"/>
        <v>5787.1900000002188</v>
      </c>
      <c r="CP32" s="37">
        <f t="shared" si="91"/>
        <v>1</v>
      </c>
      <c r="CQ32" s="39">
        <v>366994.2</v>
      </c>
      <c r="CR32" s="39"/>
      <c r="CS32" s="37">
        <f t="shared" si="68"/>
        <v>6966.3900000000122</v>
      </c>
      <c r="CT32" s="37">
        <f t="shared" si="69"/>
        <v>1</v>
      </c>
      <c r="CU32" s="37">
        <v>3897161</v>
      </c>
      <c r="CV32" s="37"/>
      <c r="CW32" s="38">
        <f t="shared" si="29"/>
        <v>21461</v>
      </c>
      <c r="CX32" s="37">
        <f>IF(CW32&lt;=0,0,(CW32/SQRT(CW32^2+(CV32-CV31)^2)))</f>
        <v>1</v>
      </c>
      <c r="CY32" s="37">
        <v>2060459</v>
      </c>
      <c r="CZ32" s="37"/>
      <c r="DA32" s="37">
        <f t="shared" si="124"/>
        <v>12059</v>
      </c>
      <c r="DB32" s="37">
        <f t="shared" si="93"/>
        <v>1</v>
      </c>
      <c r="DC32" s="37"/>
      <c r="DD32" s="40"/>
      <c r="DE32" s="37">
        <f t="shared" si="31"/>
        <v>0</v>
      </c>
      <c r="DF32" s="37">
        <f t="shared" si="98"/>
        <v>0</v>
      </c>
      <c r="DG32" s="37">
        <f t="shared" si="32"/>
        <v>-69890.970000001049</v>
      </c>
      <c r="DH32" s="37">
        <f t="shared" si="33"/>
        <v>489352.18999999861</v>
      </c>
      <c r="DI32" s="46"/>
      <c r="DJ32" s="46"/>
      <c r="DK32" s="47"/>
      <c r="DL32" s="47"/>
      <c r="DM32" s="37"/>
      <c r="DN32" s="37"/>
      <c r="DO32" s="37"/>
      <c r="DP32" s="37"/>
      <c r="DQ32" s="50">
        <v>3784900</v>
      </c>
      <c r="DR32" s="49">
        <f t="shared" si="70"/>
        <v>10100</v>
      </c>
      <c r="DS32" s="50">
        <v>4390300</v>
      </c>
      <c r="DT32" s="49">
        <f t="shared" si="71"/>
        <v>20600</v>
      </c>
      <c r="DU32" s="51">
        <v>8128.4</v>
      </c>
      <c r="DV32" s="51">
        <v>4566.7</v>
      </c>
      <c r="DW32" s="37">
        <f t="shared" si="94"/>
        <v>4000</v>
      </c>
      <c r="DX32" s="52">
        <v>13398</v>
      </c>
      <c r="DY32" s="52">
        <v>8485.5</v>
      </c>
      <c r="DZ32" s="37">
        <f t="shared" si="34"/>
        <v>7652.1900000000005</v>
      </c>
      <c r="EA32" s="49">
        <v>30831</v>
      </c>
      <c r="EB32" s="49">
        <v>21.344999999999999</v>
      </c>
      <c r="EC32" s="37">
        <f t="shared" si="35"/>
        <v>24812.19</v>
      </c>
      <c r="ED32" s="53">
        <f t="shared" si="36"/>
        <v>36464.379999999997</v>
      </c>
      <c r="EE32" s="49">
        <v>46341</v>
      </c>
      <c r="EF32" s="49">
        <v>30.26</v>
      </c>
      <c r="EG32" s="37">
        <f t="shared" si="37"/>
        <v>25812.19</v>
      </c>
      <c r="EH32" s="51">
        <v>13464</v>
      </c>
      <c r="EI32" s="51">
        <v>1.8845000000000001</v>
      </c>
      <c r="EJ32" s="37">
        <f t="shared" si="38"/>
        <v>11652.19</v>
      </c>
      <c r="EK32" s="37">
        <v>820.36</v>
      </c>
      <c r="EL32" s="40">
        <v>1175.3</v>
      </c>
      <c r="EM32" s="37">
        <f t="shared" si="72"/>
        <v>379.99999999999545</v>
      </c>
      <c r="EN32" s="54">
        <f t="shared" si="73"/>
        <v>37844.37999999999</v>
      </c>
      <c r="EO32" s="48">
        <v>13255</v>
      </c>
      <c r="EP32" s="48">
        <v>4634.5</v>
      </c>
      <c r="EQ32" s="37">
        <f t="shared" si="74"/>
        <v>5757.1899999999623</v>
      </c>
      <c r="ER32" s="48">
        <v>9893.7000000000007</v>
      </c>
      <c r="ES32" s="48">
        <v>4074.2</v>
      </c>
      <c r="ET32" s="49">
        <f t="shared" si="100"/>
        <v>8900.0000000014552</v>
      </c>
      <c r="EU32" s="48">
        <v>3896.5</v>
      </c>
      <c r="EV32" s="48">
        <v>1384.4</v>
      </c>
      <c r="EW32" s="49">
        <f t="shared" si="40"/>
        <v>8452.1900000001824</v>
      </c>
      <c r="EX32" s="48">
        <v>13911</v>
      </c>
      <c r="EY32" s="48">
        <v>1.6389</v>
      </c>
      <c r="EZ32" s="37">
        <f t="shared" si="41"/>
        <v>9652.19</v>
      </c>
      <c r="FA32" s="48">
        <f t="shared" si="75"/>
        <v>-15796.5700000016</v>
      </c>
      <c r="FB32" s="48">
        <v>37271206</v>
      </c>
      <c r="FC32" s="49">
        <f t="shared" si="95"/>
        <v>16965</v>
      </c>
      <c r="FD32" s="48">
        <f t="shared" si="76"/>
        <v>34561.570000001557</v>
      </c>
      <c r="FE32" s="48">
        <v>17349</v>
      </c>
      <c r="FF32" s="48">
        <v>6161.4</v>
      </c>
      <c r="FG32" s="37">
        <f t="shared" si="77"/>
        <v>8882.1900000000387</v>
      </c>
      <c r="FH32" s="48">
        <v>9303.9</v>
      </c>
      <c r="FI32" s="48">
        <v>3.5939999999999999</v>
      </c>
      <c r="FJ32" s="49">
        <f t="shared" si="42"/>
        <v>14087.190000000364</v>
      </c>
      <c r="FK32" s="48"/>
      <c r="FL32" s="58">
        <v>335</v>
      </c>
      <c r="FM32" s="48">
        <f>FT32/3</f>
        <v>-652.19000000013455</v>
      </c>
      <c r="FN32" s="48">
        <v>17012</v>
      </c>
      <c r="FO32" s="48">
        <v>0.89</v>
      </c>
      <c r="FP32" s="37">
        <f t="shared" si="78"/>
        <v>11987.19</v>
      </c>
      <c r="FQ32" s="48">
        <v>60076</v>
      </c>
      <c r="FR32" s="48">
        <v>14.568</v>
      </c>
      <c r="FS32" s="37">
        <f t="shared" si="43"/>
        <v>33000</v>
      </c>
      <c r="FT32" s="48">
        <f t="shared" si="79"/>
        <v>-1956.5700000004035</v>
      </c>
      <c r="FU32" s="48">
        <f t="shared" si="80"/>
        <v>36256.570000000364</v>
      </c>
      <c r="FV32" s="44">
        <v>5454000</v>
      </c>
      <c r="FW32" s="44">
        <v>1677300</v>
      </c>
      <c r="FX32" s="37">
        <f t="shared" si="44"/>
        <v>12800</v>
      </c>
      <c r="FY32" s="56">
        <v>3666.8</v>
      </c>
      <c r="FZ32" s="56">
        <v>2.1766000000000001</v>
      </c>
      <c r="GA32" s="37">
        <f t="shared" si="45"/>
        <v>3790.0000000000909</v>
      </c>
      <c r="GB32" s="56">
        <v>845.2</v>
      </c>
      <c r="GC32" s="56">
        <v>947.35</v>
      </c>
      <c r="GD32" s="37">
        <f t="shared" si="46"/>
        <v>509.99999999999091</v>
      </c>
      <c r="GE32" s="56">
        <v>10414</v>
      </c>
      <c r="GF32" s="56">
        <v>3.6410999999999998</v>
      </c>
      <c r="GG32" s="37">
        <f>IF((GE32-GE31)*1000&lt;=0,0,(GE32-GE31)*1000)-GJ32-GM32</f>
        <v>3900.0000000000909</v>
      </c>
      <c r="GH32" s="158">
        <v>2017.5</v>
      </c>
      <c r="GI32" s="159">
        <v>1730</v>
      </c>
      <c r="GJ32" s="38">
        <f t="shared" si="48"/>
        <v>1799.9999999999545</v>
      </c>
      <c r="GK32" s="159">
        <v>1492.6</v>
      </c>
      <c r="GL32" s="160">
        <v>1130</v>
      </c>
      <c r="GM32" s="38">
        <f t="shared" si="49"/>
        <v>1299.9999999999545</v>
      </c>
      <c r="GN32" s="57">
        <v>208320</v>
      </c>
      <c r="GO32" s="57">
        <v>184560</v>
      </c>
      <c r="GP32" s="38">
        <f t="shared" si="99"/>
        <v>0</v>
      </c>
      <c r="GQ32" s="38">
        <v>279470</v>
      </c>
      <c r="GR32" s="38">
        <v>272920</v>
      </c>
      <c r="GS32" s="38">
        <f t="shared" si="81"/>
        <v>110</v>
      </c>
      <c r="GT32" s="178"/>
      <c r="GU32" s="144">
        <f>DailyJun!B31-DailyJun!N31-DailyJun!V31-DailyJun!Y31-DailyJun!Z31-DailyJun!AA31-DailyJun!AB31-DailyJun!AC31-DailyJun!AD31-DailyJun!AE31-DailyJun!AK31-DailyJun!AO31-DailyJun!AS31-DailyJun!AY31-DailyJun!BD31+DailyJun!BU31-DailyJun!BG31-DailyJun!BT31-DailyJun!AF31-DailyJun!AG31</f>
        <v>-1.0000006936024874E-2</v>
      </c>
      <c r="GV32" s="59">
        <v>9782.84</v>
      </c>
      <c r="GW32" s="60">
        <f t="shared" si="50"/>
        <v>652.18933333333337</v>
      </c>
      <c r="GX32" s="61">
        <v>652.19000000000005</v>
      </c>
      <c r="GY32" s="140"/>
      <c r="GZ32" s="62"/>
      <c r="HA32" s="62"/>
      <c r="HB32" s="74"/>
      <c r="HC32" s="62"/>
      <c r="HD32" s="74"/>
      <c r="HE32" s="24">
        <f t="shared" si="51"/>
        <v>0</v>
      </c>
      <c r="HG32" s="213">
        <v>26</v>
      </c>
      <c r="HH32" s="16">
        <v>15048</v>
      </c>
      <c r="HI32" s="16">
        <v>5784.2</v>
      </c>
      <c r="HJ32" s="16">
        <f t="shared" si="52"/>
        <v>143000</v>
      </c>
      <c r="HK32" s="16">
        <v>2.1432000000000002</v>
      </c>
      <c r="HL32" s="16">
        <v>807.23</v>
      </c>
      <c r="HM32" s="16">
        <f t="shared" si="101"/>
        <v>0.22430000000000017</v>
      </c>
      <c r="HN32" s="16">
        <v>3875.1</v>
      </c>
      <c r="HO32" s="16">
        <v>1692.3</v>
      </c>
      <c r="HP32" s="16">
        <f t="shared" si="54"/>
        <v>34700.055</v>
      </c>
      <c r="HQ32" s="16">
        <v>3127.4</v>
      </c>
      <c r="HR32" s="16">
        <v>1340.8</v>
      </c>
      <c r="HS32" s="16">
        <f t="shared" si="55"/>
        <v>23700.055</v>
      </c>
      <c r="HT32" s="16">
        <v>2769.9</v>
      </c>
      <c r="HU32" s="16">
        <v>1044.5999999999999</v>
      </c>
      <c r="HV32" s="16">
        <f t="shared" si="56"/>
        <v>19900.055000000273</v>
      </c>
      <c r="HW32" s="16">
        <v>1731.8</v>
      </c>
      <c r="HX32" s="16">
        <v>755.81</v>
      </c>
      <c r="HY32" s="16">
        <f t="shared" si="57"/>
        <v>22000.054999999957</v>
      </c>
      <c r="HZ32" s="16">
        <v>720240</v>
      </c>
      <c r="IA32" s="16">
        <v>331170</v>
      </c>
      <c r="IB32" s="16">
        <f t="shared" si="58"/>
        <v>22100</v>
      </c>
      <c r="IC32" s="16">
        <v>719.8</v>
      </c>
      <c r="ID32" s="16">
        <v>232.78</v>
      </c>
      <c r="IE32" s="16">
        <f t="shared" si="59"/>
        <v>0</v>
      </c>
      <c r="IF32" s="16"/>
      <c r="IG32" s="16"/>
      <c r="IH32" s="128">
        <f t="shared" si="60"/>
        <v>20600</v>
      </c>
      <c r="II32" s="211">
        <f t="shared" si="125"/>
        <v>4.2999997895094566E-3</v>
      </c>
      <c r="IJ32" s="16"/>
      <c r="IK32" s="16"/>
      <c r="IL32" s="16">
        <f t="shared" si="102"/>
        <v>0</v>
      </c>
      <c r="IM32" s="16"/>
      <c r="IN32" s="16"/>
      <c r="IO32" s="16">
        <f t="shared" si="103"/>
        <v>0</v>
      </c>
      <c r="IP32" s="16"/>
      <c r="IQ32" s="16"/>
      <c r="IR32" s="16">
        <f t="shared" si="104"/>
        <v>0</v>
      </c>
      <c r="IS32" s="16"/>
      <c r="IT32" s="16"/>
      <c r="IU32" s="16">
        <f t="shared" si="105"/>
        <v>0</v>
      </c>
      <c r="IV32" s="16"/>
      <c r="IW32" s="16"/>
      <c r="IX32" s="16">
        <f t="shared" si="106"/>
        <v>0</v>
      </c>
      <c r="IY32" s="16"/>
      <c r="IZ32" s="16"/>
      <c r="JA32" s="16">
        <f t="shared" si="107"/>
        <v>0</v>
      </c>
      <c r="JB32" s="16"/>
      <c r="JC32" s="16"/>
      <c r="JD32" s="16">
        <f t="shared" si="108"/>
        <v>0</v>
      </c>
      <c r="JE32" s="16"/>
      <c r="JF32" s="16"/>
      <c r="JG32" s="16">
        <f t="shared" si="109"/>
        <v>0</v>
      </c>
      <c r="JH32" s="16"/>
      <c r="JI32" s="16"/>
      <c r="JJ32" s="16">
        <f t="shared" si="110"/>
        <v>0</v>
      </c>
      <c r="JK32" s="16"/>
      <c r="JL32" s="16"/>
      <c r="JM32" s="16">
        <f t="shared" si="111"/>
        <v>0</v>
      </c>
      <c r="JN32" s="16"/>
      <c r="JO32" s="16"/>
      <c r="JP32" s="16">
        <f t="shared" si="112"/>
        <v>0</v>
      </c>
      <c r="JQ32" s="16"/>
      <c r="JR32" s="16"/>
      <c r="JS32" s="16">
        <f t="shared" si="113"/>
        <v>0</v>
      </c>
      <c r="JT32" s="16"/>
      <c r="JU32" s="16"/>
      <c r="JV32" s="16">
        <f t="shared" si="114"/>
        <v>0</v>
      </c>
      <c r="JW32" s="16"/>
      <c r="JX32" s="16"/>
      <c r="JY32" s="16">
        <f t="shared" si="115"/>
        <v>0</v>
      </c>
      <c r="JZ32" s="16"/>
      <c r="KA32" s="16"/>
      <c r="KB32" s="16">
        <f t="shared" si="116"/>
        <v>0</v>
      </c>
      <c r="KC32" s="16"/>
      <c r="KD32" s="16"/>
      <c r="KE32" s="16">
        <f t="shared" si="117"/>
        <v>0</v>
      </c>
      <c r="KG32" s="151">
        <f t="shared" si="62"/>
        <v>56800.05929999979</v>
      </c>
    </row>
    <row r="33" spans="1:293" x14ac:dyDescent="0.25">
      <c r="A33" s="35">
        <f t="shared" si="2"/>
        <v>27</v>
      </c>
      <c r="B33" s="38">
        <v>4731.59</v>
      </c>
      <c r="C33" s="38">
        <f t="shared" si="3"/>
        <v>12.360000000000582</v>
      </c>
      <c r="D33" s="38">
        <f t="shared" si="4"/>
        <v>395520.00000001863</v>
      </c>
      <c r="E33" s="38">
        <v>951.03</v>
      </c>
      <c r="F33" s="38">
        <f t="shared" si="5"/>
        <v>80639.999999999418</v>
      </c>
      <c r="G33" s="38">
        <f t="shared" si="6"/>
        <v>476160.00000001804</v>
      </c>
      <c r="H33" s="37"/>
      <c r="I33" s="39"/>
      <c r="J33" s="42"/>
      <c r="K33" s="37">
        <f t="shared" si="82"/>
        <v>0</v>
      </c>
      <c r="L33" s="40">
        <v>14816300</v>
      </c>
      <c r="M33" s="40"/>
      <c r="N33" s="37">
        <f t="shared" si="83"/>
        <v>479000</v>
      </c>
      <c r="O33" s="37">
        <v>11631</v>
      </c>
      <c r="P33" s="37"/>
      <c r="Q33" s="37">
        <f t="shared" si="120"/>
        <v>18000</v>
      </c>
      <c r="R33" s="37">
        <f t="shared" si="84"/>
        <v>1</v>
      </c>
      <c r="S33" s="37">
        <v>11246364.98</v>
      </c>
      <c r="T33" s="37">
        <f t="shared" si="8"/>
        <v>276.59999999962747</v>
      </c>
      <c r="U33" s="37">
        <v>1523790.61</v>
      </c>
      <c r="V33" s="37">
        <f t="shared" si="9"/>
        <v>0</v>
      </c>
      <c r="W33" s="37">
        <v>4164.8</v>
      </c>
      <c r="X33" s="37">
        <f t="shared" si="97"/>
        <v>17623.400000000373</v>
      </c>
      <c r="Y33" s="183"/>
      <c r="Z33" s="183"/>
      <c r="AA33" s="37">
        <v>789900</v>
      </c>
      <c r="AB33" s="37">
        <f t="shared" si="10"/>
        <v>100</v>
      </c>
      <c r="AC33" s="37">
        <v>4325.3</v>
      </c>
      <c r="AD33" s="37"/>
      <c r="AE33" s="37">
        <f t="shared" si="122"/>
        <v>4400.0000000005457</v>
      </c>
      <c r="AF33" s="37">
        <f t="shared" si="85"/>
        <v>1</v>
      </c>
      <c r="AG33" s="37">
        <v>9433.1</v>
      </c>
      <c r="AH33" s="37"/>
      <c r="AI33" s="37">
        <f t="shared" si="12"/>
        <v>9139.2900000007285</v>
      </c>
      <c r="AJ33" s="37">
        <f t="shared" si="13"/>
        <v>1</v>
      </c>
      <c r="AK33" s="37">
        <f t="shared" si="14"/>
        <v>31439.290000001274</v>
      </c>
      <c r="AL33" s="42">
        <v>11232.5</v>
      </c>
      <c r="AM33" s="42"/>
      <c r="AN33" s="37">
        <f t="shared" si="63"/>
        <v>5529.2899999995871</v>
      </c>
      <c r="AO33" s="37">
        <f t="shared" si="86"/>
        <v>1</v>
      </c>
      <c r="AP33" s="37">
        <v>8752.7000000000007</v>
      </c>
      <c r="AQ33" s="37"/>
      <c r="AR33" s="37">
        <f t="shared" si="15"/>
        <v>11300.000000001091</v>
      </c>
      <c r="AS33" s="37">
        <f t="shared" si="87"/>
        <v>1</v>
      </c>
      <c r="AT33" s="183"/>
      <c r="AU33" s="183"/>
      <c r="AV33" s="183"/>
      <c r="AW33" s="183"/>
      <c r="AX33" s="37">
        <v>498320</v>
      </c>
      <c r="AY33" s="37"/>
      <c r="AZ33" s="37">
        <f t="shared" si="16"/>
        <v>430</v>
      </c>
      <c r="BA33" s="37">
        <v>169050</v>
      </c>
      <c r="BB33" s="37"/>
      <c r="BC33" s="37">
        <f t="shared" si="17"/>
        <v>650</v>
      </c>
      <c r="BD33" s="37">
        <f t="shared" si="88"/>
        <v>17909.290000000678</v>
      </c>
      <c r="BE33" s="43">
        <v>1970.5</v>
      </c>
      <c r="BF33" s="43">
        <v>1092.4000000000001</v>
      </c>
      <c r="BG33" s="37">
        <f t="shared" si="18"/>
        <v>1599.9999999999091</v>
      </c>
      <c r="BH33" s="44">
        <v>9228.4</v>
      </c>
      <c r="BI33" s="44">
        <v>5943.9</v>
      </c>
      <c r="BJ33" s="37">
        <f t="shared" si="19"/>
        <v>9399.9999999996362</v>
      </c>
      <c r="BK33" s="40">
        <v>1704270</v>
      </c>
      <c r="BL33" s="40">
        <f t="shared" si="89"/>
        <v>3990</v>
      </c>
      <c r="BM33" s="40">
        <v>894.1</v>
      </c>
      <c r="BN33" s="37">
        <f t="shared" si="20"/>
        <v>620.00000000000455</v>
      </c>
      <c r="BO33" s="186"/>
      <c r="BP33" s="183">
        <f t="shared" si="21"/>
        <v>0</v>
      </c>
      <c r="BQ33" s="40">
        <v>844.6</v>
      </c>
      <c r="BR33" s="37">
        <f t="shared" si="64"/>
        <v>700.00000000004547</v>
      </c>
      <c r="BS33" s="37">
        <v>105175.1</v>
      </c>
      <c r="BT33" s="37">
        <f t="shared" si="22"/>
        <v>200.82000000000698</v>
      </c>
      <c r="BU33" s="42">
        <v>2984081</v>
      </c>
      <c r="BV33" s="42"/>
      <c r="BW33" s="37">
        <f t="shared" si="23"/>
        <v>6787</v>
      </c>
      <c r="BX33" s="37">
        <f t="shared" si="90"/>
        <v>1</v>
      </c>
      <c r="BY33" s="43">
        <v>367.94670000000002</v>
      </c>
      <c r="BZ33" s="43"/>
      <c r="CA33" s="37">
        <f t="shared" si="118"/>
        <v>677.90000000002237</v>
      </c>
      <c r="CB33" s="37">
        <f t="shared" si="65"/>
        <v>1</v>
      </c>
      <c r="CC33" s="37">
        <v>692999.3</v>
      </c>
      <c r="CD33" s="37">
        <f t="shared" si="25"/>
        <v>505.90000000002328</v>
      </c>
      <c r="CE33" s="41">
        <v>1370743</v>
      </c>
      <c r="CF33" s="37">
        <f t="shared" si="26"/>
        <v>6093</v>
      </c>
      <c r="CG33" s="37">
        <v>72810.600000000006</v>
      </c>
      <c r="CH33" s="37">
        <f t="shared" si="66"/>
        <v>0</v>
      </c>
      <c r="CI33" s="40">
        <v>13342.37</v>
      </c>
      <c r="CJ33" s="40"/>
      <c r="CK33" s="37">
        <f t="shared" si="67"/>
        <v>15261.389999999978</v>
      </c>
      <c r="CL33" s="37">
        <f t="shared" si="27"/>
        <v>1</v>
      </c>
      <c r="CM33" s="37">
        <v>3786.9560000000001</v>
      </c>
      <c r="CN33" s="37"/>
      <c r="CO33" s="37">
        <f t="shared" si="28"/>
        <v>5060.2900000000946</v>
      </c>
      <c r="CP33" s="37">
        <f t="shared" si="91"/>
        <v>1</v>
      </c>
      <c r="CQ33" s="39">
        <v>373021</v>
      </c>
      <c r="CR33" s="39"/>
      <c r="CS33" s="37">
        <f t="shared" si="68"/>
        <v>5466.0899999999883</v>
      </c>
      <c r="CT33" s="37">
        <f t="shared" si="69"/>
        <v>1</v>
      </c>
      <c r="CU33" s="37">
        <v>3916430</v>
      </c>
      <c r="CV33" s="37"/>
      <c r="CW33" s="38">
        <f t="shared" si="29"/>
        <v>19269</v>
      </c>
      <c r="CX33" s="37">
        <f t="shared" si="92"/>
        <v>1</v>
      </c>
      <c r="CY33" s="37">
        <v>2071544</v>
      </c>
      <c r="CZ33" s="37"/>
      <c r="DA33" s="37">
        <f t="shared" si="124"/>
        <v>11085</v>
      </c>
      <c r="DB33" s="37">
        <f t="shared" si="93"/>
        <v>1</v>
      </c>
      <c r="DC33" s="37"/>
      <c r="DD33" s="40"/>
      <c r="DE33" s="37">
        <f t="shared" si="31"/>
        <v>0</v>
      </c>
      <c r="DF33" s="37">
        <f t="shared" si="98"/>
        <v>0</v>
      </c>
      <c r="DG33" s="37">
        <f t="shared" si="32"/>
        <v>-62928.770000000062</v>
      </c>
      <c r="DH33" s="37">
        <f t="shared" si="33"/>
        <v>512039.2900000012</v>
      </c>
      <c r="DI33" s="46"/>
      <c r="DJ33" s="46"/>
      <c r="DK33" s="47"/>
      <c r="DL33" s="47"/>
      <c r="DM33" s="37"/>
      <c r="DN33" s="37"/>
      <c r="DO33" s="37"/>
      <c r="DP33" s="37"/>
      <c r="DQ33" s="50">
        <v>3795500</v>
      </c>
      <c r="DR33" s="49">
        <f t="shared" si="70"/>
        <v>10600</v>
      </c>
      <c r="DS33" s="50">
        <v>4411800</v>
      </c>
      <c r="DT33" s="49">
        <f t="shared" si="71"/>
        <v>21500</v>
      </c>
      <c r="DU33" s="51">
        <v>8133</v>
      </c>
      <c r="DV33" s="51">
        <v>4569.3</v>
      </c>
      <c r="DW33" s="37">
        <f t="shared" si="94"/>
        <v>4600.0000000003638</v>
      </c>
      <c r="DX33" s="52">
        <v>13406</v>
      </c>
      <c r="DY33" s="52">
        <v>8487.6</v>
      </c>
      <c r="DZ33" s="37">
        <f t="shared" si="34"/>
        <v>7439.29</v>
      </c>
      <c r="EA33" s="49">
        <v>30854</v>
      </c>
      <c r="EB33" s="49">
        <v>21.361000000000001</v>
      </c>
      <c r="EC33" s="37">
        <f t="shared" si="35"/>
        <v>24599.29</v>
      </c>
      <c r="ED33" s="53">
        <f t="shared" si="36"/>
        <v>36638.580000000366</v>
      </c>
      <c r="EE33" s="49">
        <v>46367</v>
      </c>
      <c r="EF33" s="49">
        <v>30.282</v>
      </c>
      <c r="EG33" s="37">
        <f t="shared" si="37"/>
        <v>27599.29</v>
      </c>
      <c r="EH33" s="51">
        <v>13474</v>
      </c>
      <c r="EI33" s="51">
        <v>1.8864000000000001</v>
      </c>
      <c r="EJ33" s="37">
        <f t="shared" si="38"/>
        <v>9439.2900000000009</v>
      </c>
      <c r="EK33" s="37">
        <v>820.91</v>
      </c>
      <c r="EL33" s="40">
        <v>1176</v>
      </c>
      <c r="EM33" s="37">
        <f t="shared" si="72"/>
        <v>549.99999999995453</v>
      </c>
      <c r="EN33" s="54">
        <f t="shared" si="73"/>
        <v>37588.579999999958</v>
      </c>
      <c r="EO33" s="48">
        <v>13262</v>
      </c>
      <c r="EP33" s="48">
        <v>4637</v>
      </c>
      <c r="EQ33" s="37">
        <f t="shared" si="74"/>
        <v>5559.2900000000045</v>
      </c>
      <c r="ER33" s="48">
        <v>9904.6</v>
      </c>
      <c r="ES33" s="48">
        <v>4079.2</v>
      </c>
      <c r="ET33" s="49">
        <f t="shared" si="100"/>
        <v>10899.999999999636</v>
      </c>
      <c r="EU33" s="48">
        <v>3905</v>
      </c>
      <c r="EV33" s="48">
        <v>1387.4</v>
      </c>
      <c r="EW33" s="49">
        <f t="shared" si="40"/>
        <v>7939.29</v>
      </c>
      <c r="EX33" s="48">
        <v>13922</v>
      </c>
      <c r="EY33" s="48">
        <v>1.6404000000000001</v>
      </c>
      <c r="EZ33" s="37">
        <f t="shared" si="41"/>
        <v>10439.290000000001</v>
      </c>
      <c r="FA33" s="48">
        <f t="shared" si="75"/>
        <v>-16122.869999999642</v>
      </c>
      <c r="FB33" s="48">
        <v>37289921</v>
      </c>
      <c r="FC33" s="49">
        <f t="shared" si="95"/>
        <v>18715</v>
      </c>
      <c r="FD33" s="48">
        <f t="shared" si="76"/>
        <v>36437.869999999559</v>
      </c>
      <c r="FE33" s="48">
        <v>17358</v>
      </c>
      <c r="FF33" s="48">
        <v>6164.4</v>
      </c>
      <c r="FG33" s="37">
        <f t="shared" si="77"/>
        <v>8925.9599999999955</v>
      </c>
      <c r="FH33" s="48">
        <v>9320.2000000000007</v>
      </c>
      <c r="FI33" s="48">
        <v>3.6002999999999998</v>
      </c>
      <c r="FJ33" s="49">
        <f t="shared" si="42"/>
        <v>15345.960000001091</v>
      </c>
      <c r="FK33" s="48"/>
      <c r="FL33" s="58">
        <v>-393.33</v>
      </c>
      <c r="FM33" s="48">
        <f t="shared" si="96"/>
        <v>560.70666666630495</v>
      </c>
      <c r="FN33" s="48">
        <v>17025</v>
      </c>
      <c r="FO33" s="48">
        <v>0.89429999999999998</v>
      </c>
      <c r="FP33" s="37">
        <f t="shared" si="78"/>
        <v>12045.96</v>
      </c>
      <c r="FQ33" s="48">
        <v>60114</v>
      </c>
      <c r="FR33" s="48">
        <v>14.579000000000001</v>
      </c>
      <c r="FS33" s="37">
        <f t="shared" si="43"/>
        <v>38000</v>
      </c>
      <c r="FT33" s="48">
        <f t="shared" si="79"/>
        <v>1682.1199999989149</v>
      </c>
      <c r="FU33" s="48">
        <f t="shared" si="80"/>
        <v>37817.880000001081</v>
      </c>
      <c r="FV33" s="44">
        <v>5469100</v>
      </c>
      <c r="FW33" s="44">
        <v>1682000</v>
      </c>
      <c r="FX33" s="37">
        <f t="shared" si="44"/>
        <v>15100</v>
      </c>
      <c r="FY33" s="56">
        <v>3671.7</v>
      </c>
      <c r="FZ33" s="56">
        <v>2.1777000000000002</v>
      </c>
      <c r="GA33" s="37">
        <f t="shared" si="45"/>
        <v>4799.9999999996362</v>
      </c>
      <c r="GB33" s="56">
        <v>845.83</v>
      </c>
      <c r="GC33" s="56">
        <v>948.09</v>
      </c>
      <c r="GD33" s="37">
        <f t="shared" si="46"/>
        <v>629.99999999999545</v>
      </c>
      <c r="GE33" s="56">
        <v>10421</v>
      </c>
      <c r="GF33" s="56">
        <v>3.6461000000000001</v>
      </c>
      <c r="GG33" s="37">
        <f t="shared" si="47"/>
        <v>3900.0000000000909</v>
      </c>
      <c r="GH33" s="153">
        <v>2019.1</v>
      </c>
      <c r="GI33" s="162">
        <v>1731.6</v>
      </c>
      <c r="GJ33" s="38">
        <f t="shared" si="48"/>
        <v>1599.9999999999091</v>
      </c>
      <c r="GK33" s="162">
        <v>1494.1</v>
      </c>
      <c r="GL33" s="163">
        <v>1130.7</v>
      </c>
      <c r="GM33" s="38">
        <f t="shared" si="49"/>
        <v>1500</v>
      </c>
      <c r="GN33" s="57">
        <v>208320</v>
      </c>
      <c r="GO33" s="57">
        <v>184570</v>
      </c>
      <c r="GP33" s="38">
        <f t="shared" si="99"/>
        <v>0</v>
      </c>
      <c r="GQ33" s="38">
        <v>279570</v>
      </c>
      <c r="GR33" s="38">
        <v>273000</v>
      </c>
      <c r="GS33" s="38">
        <f t="shared" si="81"/>
        <v>100</v>
      </c>
      <c r="GT33" s="178"/>
      <c r="GU33" s="144">
        <f>DailyJun!B32-DailyJun!N32-DailyJun!V32-DailyJun!Y32-DailyJun!Z32-DailyJun!AA32-DailyJun!AB32-DailyJun!AC32-DailyJun!AD32-DailyJun!AE32-DailyJun!AK32-DailyJun!AO32-DailyJun!AS32-DailyJun!AY32-DailyJun!BD32+DailyJun!BU32-DailyJun!BG32-DailyJun!BT32-DailyJun!AF32-DailyJun!AG32</f>
        <v>-5.9999984310707077E-2</v>
      </c>
      <c r="GV33" s="59">
        <v>-8410.7099999999991</v>
      </c>
      <c r="GW33" s="60">
        <f t="shared" si="50"/>
        <v>-560.71399999999994</v>
      </c>
      <c r="GX33" s="61">
        <v>-560.71</v>
      </c>
      <c r="GY33" s="140"/>
      <c r="GZ33" s="62"/>
      <c r="HA33" s="62"/>
      <c r="HB33" s="74"/>
      <c r="HC33" s="62"/>
      <c r="HD33" s="74"/>
      <c r="HE33" s="24">
        <f t="shared" si="51"/>
        <v>0</v>
      </c>
      <c r="HG33" s="213">
        <v>27</v>
      </c>
      <c r="HH33" s="16">
        <v>15212</v>
      </c>
      <c r="HI33" s="16">
        <v>5845.2</v>
      </c>
      <c r="HJ33" s="16">
        <f t="shared" si="52"/>
        <v>164000</v>
      </c>
      <c r="HK33" s="16">
        <v>2.1432000000000002</v>
      </c>
      <c r="HL33" s="16">
        <v>807.23</v>
      </c>
      <c r="HM33" s="16">
        <f t="shared" si="101"/>
        <v>0</v>
      </c>
      <c r="HN33" s="16">
        <v>3915.6</v>
      </c>
      <c r="HO33" s="16">
        <v>1709.5</v>
      </c>
      <c r="HP33" s="16">
        <f t="shared" si="54"/>
        <v>39895</v>
      </c>
      <c r="HQ33" s="16">
        <v>3154.3</v>
      </c>
      <c r="HR33" s="16">
        <v>1351.6</v>
      </c>
      <c r="HS33" s="16">
        <f t="shared" si="55"/>
        <v>26295.000000000091</v>
      </c>
      <c r="HT33" s="16">
        <v>2797.3</v>
      </c>
      <c r="HU33" s="16">
        <v>1053.5999999999999</v>
      </c>
      <c r="HV33" s="16">
        <f t="shared" si="56"/>
        <v>26795.000000000091</v>
      </c>
      <c r="HW33" s="16">
        <v>1757.4</v>
      </c>
      <c r="HX33" s="16">
        <v>766.31</v>
      </c>
      <c r="HY33" s="16">
        <f t="shared" si="57"/>
        <v>24995.000000000138</v>
      </c>
      <c r="HZ33" s="16">
        <v>744760</v>
      </c>
      <c r="IA33" s="16">
        <v>341670</v>
      </c>
      <c r="IB33" s="16">
        <f t="shared" si="58"/>
        <v>24520</v>
      </c>
      <c r="IC33" s="16">
        <v>719.8</v>
      </c>
      <c r="ID33" s="16">
        <v>232.78</v>
      </c>
      <c r="IE33" s="16">
        <f t="shared" si="59"/>
        <v>0</v>
      </c>
      <c r="IF33" s="16"/>
      <c r="IG33" s="16"/>
      <c r="IH33" s="128">
        <f t="shared" si="60"/>
        <v>21500</v>
      </c>
      <c r="II33" s="211">
        <f t="shared" si="125"/>
        <v>-3.2014213502407074E-10</v>
      </c>
      <c r="IJ33" s="16"/>
      <c r="IK33" s="16"/>
      <c r="IL33" s="16">
        <f t="shared" si="102"/>
        <v>0</v>
      </c>
      <c r="IM33" s="16"/>
      <c r="IN33" s="16"/>
      <c r="IO33" s="16">
        <f t="shared" si="103"/>
        <v>0</v>
      </c>
      <c r="IP33" s="16"/>
      <c r="IQ33" s="16"/>
      <c r="IR33" s="16">
        <f t="shared" si="104"/>
        <v>0</v>
      </c>
      <c r="IS33" s="16"/>
      <c r="IT33" s="16"/>
      <c r="IU33" s="16">
        <f t="shared" si="105"/>
        <v>0</v>
      </c>
      <c r="IV33" s="16"/>
      <c r="IW33" s="16"/>
      <c r="IX33" s="16">
        <f t="shared" si="106"/>
        <v>0</v>
      </c>
      <c r="IY33" s="16"/>
      <c r="IZ33" s="16"/>
      <c r="JA33" s="16">
        <f t="shared" si="107"/>
        <v>0</v>
      </c>
      <c r="JB33" s="16"/>
      <c r="JC33" s="16"/>
      <c r="JD33" s="16">
        <f t="shared" si="108"/>
        <v>0</v>
      </c>
      <c r="JE33" s="16"/>
      <c r="JF33" s="16"/>
      <c r="JG33" s="16">
        <f t="shared" si="109"/>
        <v>0</v>
      </c>
      <c r="JH33" s="16"/>
      <c r="JI33" s="16"/>
      <c r="JJ33" s="16">
        <f t="shared" si="110"/>
        <v>0</v>
      </c>
      <c r="JK33" s="16"/>
      <c r="JL33" s="16"/>
      <c r="JM33" s="16">
        <f t="shared" si="111"/>
        <v>0</v>
      </c>
      <c r="JN33" s="16"/>
      <c r="JO33" s="16"/>
      <c r="JP33" s="16">
        <f t="shared" si="112"/>
        <v>0</v>
      </c>
      <c r="JQ33" s="16"/>
      <c r="JR33" s="16"/>
      <c r="JS33" s="16">
        <f t="shared" si="113"/>
        <v>0</v>
      </c>
      <c r="JT33" s="16"/>
      <c r="JU33" s="16"/>
      <c r="JV33" s="16">
        <f t="shared" si="114"/>
        <v>0</v>
      </c>
      <c r="JW33" s="16"/>
      <c r="JX33" s="16"/>
      <c r="JY33" s="16">
        <f t="shared" si="115"/>
        <v>0</v>
      </c>
      <c r="JZ33" s="16"/>
      <c r="KA33" s="16"/>
      <c r="KB33" s="16">
        <f t="shared" si="116"/>
        <v>0</v>
      </c>
      <c r="KC33" s="16"/>
      <c r="KD33" s="16"/>
      <c r="KE33" s="16">
        <f t="shared" si="117"/>
        <v>0</v>
      </c>
      <c r="KG33" s="151">
        <f t="shared" si="62"/>
        <v>64414.99999999968</v>
      </c>
    </row>
    <row r="34" spans="1:293" x14ac:dyDescent="0.25">
      <c r="A34" s="35">
        <f t="shared" si="2"/>
        <v>28</v>
      </c>
      <c r="B34" s="38">
        <v>4745.01</v>
      </c>
      <c r="C34" s="38">
        <f t="shared" si="3"/>
        <v>13.420000000000073</v>
      </c>
      <c r="D34" s="38">
        <f t="shared" si="4"/>
        <v>429440.00000000233</v>
      </c>
      <c r="E34" s="38">
        <v>953.49</v>
      </c>
      <c r="F34" s="38">
        <f t="shared" si="5"/>
        <v>78720.000000001164</v>
      </c>
      <c r="G34" s="38">
        <f t="shared" si="6"/>
        <v>508160.00000000349</v>
      </c>
      <c r="H34" s="37"/>
      <c r="I34" s="39"/>
      <c r="J34" s="42"/>
      <c r="K34" s="37">
        <f t="shared" si="82"/>
        <v>0</v>
      </c>
      <c r="L34" s="40">
        <v>14866200</v>
      </c>
      <c r="M34" s="40"/>
      <c r="N34" s="37">
        <f t="shared" si="83"/>
        <v>499000</v>
      </c>
      <c r="O34" s="37">
        <v>11649</v>
      </c>
      <c r="P34" s="37"/>
      <c r="Q34" s="37">
        <f t="shared" si="120"/>
        <v>18000</v>
      </c>
      <c r="R34" s="37">
        <f t="shared" si="84"/>
        <v>1</v>
      </c>
      <c r="S34" s="37">
        <v>11246649.119999999</v>
      </c>
      <c r="T34" s="37">
        <f t="shared" si="8"/>
        <v>284.1399999987334</v>
      </c>
      <c r="U34" s="37">
        <v>1523790.61</v>
      </c>
      <c r="V34" s="37">
        <f t="shared" si="9"/>
        <v>0</v>
      </c>
      <c r="W34" s="37">
        <v>4171.8999999999996</v>
      </c>
      <c r="X34" s="37">
        <f t="shared" si="97"/>
        <v>17715.860000001267</v>
      </c>
      <c r="Y34" s="183"/>
      <c r="Z34" s="183"/>
      <c r="AA34" s="37">
        <v>789900</v>
      </c>
      <c r="AB34" s="37">
        <f t="shared" si="10"/>
        <v>0</v>
      </c>
      <c r="AC34" s="37">
        <v>4330.5</v>
      </c>
      <c r="AD34" s="37"/>
      <c r="AE34" s="37">
        <f t="shared" si="122"/>
        <v>5199.9999999998181</v>
      </c>
      <c r="AF34" s="37">
        <f t="shared" si="85"/>
        <v>1</v>
      </c>
      <c r="AG34" s="37">
        <v>9445.7000000000007</v>
      </c>
      <c r="AH34" s="37"/>
      <c r="AI34" s="37">
        <f t="shared" si="12"/>
        <v>13579.590000000364</v>
      </c>
      <c r="AJ34" s="37">
        <f t="shared" si="13"/>
        <v>1</v>
      </c>
      <c r="AK34" s="37">
        <f t="shared" si="14"/>
        <v>36779.590000000186</v>
      </c>
      <c r="AL34" s="42">
        <v>11244.2</v>
      </c>
      <c r="AM34" s="42"/>
      <c r="AN34" s="37">
        <f t="shared" si="63"/>
        <v>7739.5900000007823</v>
      </c>
      <c r="AO34" s="37">
        <f t="shared" si="86"/>
        <v>1</v>
      </c>
      <c r="AP34" s="37">
        <v>8766.2000000000007</v>
      </c>
      <c r="AQ34" s="37"/>
      <c r="AR34" s="37">
        <f t="shared" si="15"/>
        <v>13500</v>
      </c>
      <c r="AS34" s="37">
        <f t="shared" si="87"/>
        <v>1</v>
      </c>
      <c r="AT34" s="183"/>
      <c r="AU34" s="183"/>
      <c r="AV34" s="183"/>
      <c r="AW34" s="183"/>
      <c r="AX34" s="37">
        <v>498810</v>
      </c>
      <c r="AY34" s="37"/>
      <c r="AZ34" s="37">
        <f t="shared" si="16"/>
        <v>490</v>
      </c>
      <c r="BA34" s="37">
        <v>169770</v>
      </c>
      <c r="BB34" s="37"/>
      <c r="BC34" s="37">
        <f t="shared" si="17"/>
        <v>720</v>
      </c>
      <c r="BD34" s="37">
        <f t="shared" si="88"/>
        <v>22449.590000000782</v>
      </c>
      <c r="BE34" s="43">
        <v>1972.1</v>
      </c>
      <c r="BF34" s="43">
        <v>1093.4000000000001</v>
      </c>
      <c r="BG34" s="37">
        <f t="shared" si="18"/>
        <v>1599.9999999999091</v>
      </c>
      <c r="BH34" s="44">
        <v>9238.4</v>
      </c>
      <c r="BI34" s="44">
        <v>5950.6</v>
      </c>
      <c r="BJ34" s="37">
        <f t="shared" si="19"/>
        <v>10000</v>
      </c>
      <c r="BK34" s="40">
        <v>1708400</v>
      </c>
      <c r="BL34" s="40">
        <f t="shared" si="89"/>
        <v>4130</v>
      </c>
      <c r="BM34" s="40">
        <v>894.61</v>
      </c>
      <c r="BN34" s="37">
        <f t="shared" si="20"/>
        <v>509.99999999999091</v>
      </c>
      <c r="BO34" s="186"/>
      <c r="BP34" s="183">
        <f t="shared" si="21"/>
        <v>0</v>
      </c>
      <c r="BQ34" s="40">
        <v>844.9</v>
      </c>
      <c r="BR34" s="37">
        <f t="shared" si="64"/>
        <v>299.99999999995453</v>
      </c>
      <c r="BS34" s="37">
        <v>105384.93</v>
      </c>
      <c r="BT34" s="37">
        <f t="shared" si="22"/>
        <v>209.82999999998719</v>
      </c>
      <c r="BU34" s="42">
        <v>2994623</v>
      </c>
      <c r="BV34" s="42"/>
      <c r="BW34" s="37">
        <f t="shared" si="23"/>
        <v>10542</v>
      </c>
      <c r="BX34" s="37">
        <f>IF(BW34&lt;=0,0,(BW34/SQRT(BW34^2+(BV34-BV33)^2)))</f>
        <v>1</v>
      </c>
      <c r="BY34" s="43">
        <v>368.65980000000002</v>
      </c>
      <c r="BZ34" s="37"/>
      <c r="CA34" s="37">
        <f t="shared" si="118"/>
        <v>713.09999999999718</v>
      </c>
      <c r="CB34" s="37">
        <f t="shared" si="65"/>
        <v>1</v>
      </c>
      <c r="CC34" s="37">
        <v>696328.5</v>
      </c>
      <c r="CD34" s="37">
        <f t="shared" si="25"/>
        <v>3329.1999999999534</v>
      </c>
      <c r="CE34" s="41">
        <v>1377825</v>
      </c>
      <c r="CF34" s="37">
        <f t="shared" si="26"/>
        <v>7082</v>
      </c>
      <c r="CG34" s="37">
        <v>72810.600000000006</v>
      </c>
      <c r="CH34" s="37">
        <f t="shared" si="66"/>
        <v>0</v>
      </c>
      <c r="CI34" s="40">
        <v>13359.86</v>
      </c>
      <c r="CJ34" s="40"/>
      <c r="CK34" s="37">
        <f t="shared" si="67"/>
        <v>17756.489999999783</v>
      </c>
      <c r="CL34" s="37">
        <f t="shared" si="27"/>
        <v>1</v>
      </c>
      <c r="CM34" s="37">
        <v>3793.2860000000001</v>
      </c>
      <c r="CN34" s="37"/>
      <c r="CO34" s="37">
        <f t="shared" si="28"/>
        <v>7309.5899999999274</v>
      </c>
      <c r="CP34" s="37">
        <f t="shared" si="91"/>
        <v>1</v>
      </c>
      <c r="CQ34" s="39">
        <v>379232</v>
      </c>
      <c r="CR34" s="39"/>
      <c r="CS34" s="37">
        <f t="shared" si="68"/>
        <v>7190.59</v>
      </c>
      <c r="CT34" s="37">
        <f t="shared" si="69"/>
        <v>1</v>
      </c>
      <c r="CU34" s="37">
        <v>3934487</v>
      </c>
      <c r="CV34" s="37"/>
      <c r="CW34" s="38">
        <f t="shared" si="29"/>
        <v>18057</v>
      </c>
      <c r="CX34" s="37">
        <f t="shared" si="92"/>
        <v>1</v>
      </c>
      <c r="CY34" s="37">
        <v>2081946</v>
      </c>
      <c r="CZ34" s="37"/>
      <c r="DA34" s="37">
        <f t="shared" si="124"/>
        <v>10402</v>
      </c>
      <c r="DB34" s="37">
        <f t="shared" si="93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2"/>
        <v>-71257.669999999707</v>
      </c>
      <c r="DH34" s="37">
        <f t="shared" si="33"/>
        <v>537379.59000000008</v>
      </c>
      <c r="DI34" s="46"/>
      <c r="DJ34" s="46"/>
      <c r="DK34" s="47"/>
      <c r="DL34" s="47"/>
      <c r="DM34" s="37"/>
      <c r="DN34" s="37"/>
      <c r="DO34" s="37"/>
      <c r="DP34" s="37"/>
      <c r="DQ34" s="50">
        <v>3804100</v>
      </c>
      <c r="DR34" s="49">
        <f t="shared" si="70"/>
        <v>8600</v>
      </c>
      <c r="DS34" s="50">
        <v>4431300</v>
      </c>
      <c r="DT34" s="49">
        <f t="shared" si="71"/>
        <v>19500</v>
      </c>
      <c r="DU34" s="51">
        <v>8137.6</v>
      </c>
      <c r="DV34" s="51">
        <v>4571.8999999999996</v>
      </c>
      <c r="DW34" s="37">
        <f t="shared" si="94"/>
        <v>4600.0000000003638</v>
      </c>
      <c r="DX34" s="52">
        <v>13414</v>
      </c>
      <c r="DY34" s="52">
        <v>8489.7999999999993</v>
      </c>
      <c r="DZ34" s="37">
        <f t="shared" si="34"/>
        <v>8979.59</v>
      </c>
      <c r="EA34" s="49">
        <v>30877</v>
      </c>
      <c r="EB34" s="49">
        <v>21.373999999999999</v>
      </c>
      <c r="EC34" s="37">
        <f t="shared" si="35"/>
        <v>26139.59</v>
      </c>
      <c r="ED34" s="53">
        <f t="shared" si="36"/>
        <v>39719.180000000364</v>
      </c>
      <c r="EE34" s="49">
        <v>46392</v>
      </c>
      <c r="EF34" s="49">
        <v>30.303999999999998</v>
      </c>
      <c r="EG34" s="37">
        <f t="shared" si="37"/>
        <v>28139.59</v>
      </c>
      <c r="EH34" s="51">
        <v>13485</v>
      </c>
      <c r="EI34" s="51">
        <v>1.8887</v>
      </c>
      <c r="EJ34" s="37">
        <f t="shared" si="38"/>
        <v>11979.59</v>
      </c>
      <c r="EK34" s="37">
        <v>821.52</v>
      </c>
      <c r="EL34" s="40">
        <v>1176.9000000000001</v>
      </c>
      <c r="EM34" s="37">
        <f t="shared" si="72"/>
        <v>610.00000000001364</v>
      </c>
      <c r="EN34" s="54">
        <f t="shared" si="73"/>
        <v>40729.180000000015</v>
      </c>
      <c r="EO34" s="48">
        <v>13270</v>
      </c>
      <c r="EP34" s="48">
        <v>4639.7</v>
      </c>
      <c r="EQ34" s="37">
        <f t="shared" si="74"/>
        <v>8094.5900000000092</v>
      </c>
      <c r="ER34" s="48">
        <v>9916</v>
      </c>
      <c r="ES34" s="48">
        <v>4084.5</v>
      </c>
      <c r="ET34" s="49">
        <f t="shared" si="100"/>
        <v>11399.999999999636</v>
      </c>
      <c r="EU34" s="48">
        <v>3913.4</v>
      </c>
      <c r="EV34" s="48">
        <v>1390.5</v>
      </c>
      <c r="EW34" s="49">
        <f t="shared" si="40"/>
        <v>9379.5900000000911</v>
      </c>
      <c r="EX34" s="48">
        <v>13932</v>
      </c>
      <c r="EY34" s="48">
        <v>1.6419999999999999</v>
      </c>
      <c r="EZ34" s="37">
        <f t="shared" si="41"/>
        <v>10979.59</v>
      </c>
      <c r="FA34" s="48">
        <f t="shared" si="75"/>
        <v>-20904.769999999735</v>
      </c>
      <c r="FB34" s="48">
        <v>37308870</v>
      </c>
      <c r="FC34" s="49">
        <f t="shared" si="95"/>
        <v>18949</v>
      </c>
      <c r="FD34" s="48">
        <f t="shared" si="76"/>
        <v>41453.76999999988</v>
      </c>
      <c r="FE34" s="48">
        <v>17367</v>
      </c>
      <c r="FF34" s="48">
        <v>6167.2</v>
      </c>
      <c r="FG34" s="37">
        <f t="shared" si="77"/>
        <v>10769.589999999991</v>
      </c>
      <c r="FH34" s="48">
        <v>9335.6</v>
      </c>
      <c r="FI34" s="48">
        <v>3.6063000000000001</v>
      </c>
      <c r="FJ34" s="49">
        <f t="shared" si="42"/>
        <v>16284.589999999636</v>
      </c>
      <c r="FK34" s="48"/>
      <c r="FL34" s="58">
        <v>-95</v>
      </c>
      <c r="FM34" s="48">
        <f t="shared" si="96"/>
        <v>-979.5899999998752</v>
      </c>
      <c r="FN34" s="48">
        <v>17038</v>
      </c>
      <c r="FO34" s="48">
        <v>0.89600000000000002</v>
      </c>
      <c r="FP34" s="37">
        <f t="shared" si="78"/>
        <v>13884.59</v>
      </c>
      <c r="FQ34" s="48">
        <v>60152</v>
      </c>
      <c r="FR34" s="48">
        <v>14.589</v>
      </c>
      <c r="FS34" s="37">
        <f t="shared" si="43"/>
        <v>38000</v>
      </c>
      <c r="FT34" s="48">
        <f t="shared" si="79"/>
        <v>-2938.7699999996257</v>
      </c>
      <c r="FU34" s="48">
        <f t="shared" si="80"/>
        <v>42538.769999999764</v>
      </c>
      <c r="FV34" s="44">
        <v>5481900</v>
      </c>
      <c r="FW34" s="44">
        <v>1686000</v>
      </c>
      <c r="FX34" s="37">
        <f t="shared" si="44"/>
        <v>12800</v>
      </c>
      <c r="FY34" s="56">
        <v>3675.5</v>
      </c>
      <c r="FZ34" s="56">
        <v>2.1785000000000001</v>
      </c>
      <c r="GA34" s="37">
        <f t="shared" si="45"/>
        <v>3690.0000000001819</v>
      </c>
      <c r="GB34" s="56">
        <v>846.35</v>
      </c>
      <c r="GC34" s="56">
        <v>948.75</v>
      </c>
      <c r="GD34" s="37">
        <f t="shared" si="46"/>
        <v>519.99999999998181</v>
      </c>
      <c r="GE34" s="56">
        <v>10428</v>
      </c>
      <c r="GF34" s="56">
        <v>3.6505999999999998</v>
      </c>
      <c r="GG34" s="37">
        <f t="shared" si="47"/>
        <v>3799.9999999997272</v>
      </c>
      <c r="GH34" s="158">
        <v>2020.7</v>
      </c>
      <c r="GI34" s="159">
        <v>1733.2</v>
      </c>
      <c r="GJ34" s="38">
        <f t="shared" si="48"/>
        <v>1600.0000000001364</v>
      </c>
      <c r="GK34" s="56">
        <v>1495.7</v>
      </c>
      <c r="GL34" s="44">
        <v>1131.4000000000001</v>
      </c>
      <c r="GM34" s="38">
        <f t="shared" si="49"/>
        <v>1600.0000000001364</v>
      </c>
      <c r="GN34" s="57">
        <v>208320</v>
      </c>
      <c r="GO34" s="57">
        <v>184570</v>
      </c>
      <c r="GP34" s="38">
        <f t="shared" si="99"/>
        <v>0</v>
      </c>
      <c r="GQ34" s="38">
        <v>279680</v>
      </c>
      <c r="GR34" s="38">
        <v>273070</v>
      </c>
      <c r="GS34" s="38">
        <f t="shared" si="81"/>
        <v>110</v>
      </c>
      <c r="GT34" s="178"/>
      <c r="GU34" s="144">
        <f>DailyJun!B33-DailyJun!N33-DailyJun!V33-DailyJun!Y33-DailyJun!Z33-DailyJun!AA33-DailyJun!AB33-DailyJun!AC33-DailyJun!AD33-DailyJun!AE33-DailyJun!AK33-DailyJun!AO33-DailyJun!AS33-DailyJun!AY33-DailyJun!BD33+DailyJun!BU33-DailyJun!BG33-DailyJun!BT33-DailyJun!AF33-DailyJun!AG33</f>
        <v>-4.9999996874248609E-2</v>
      </c>
      <c r="GV34" s="59">
        <v>14693.8</v>
      </c>
      <c r="GW34" s="60">
        <f t="shared" si="50"/>
        <v>979.58666666666659</v>
      </c>
      <c r="GX34" s="61">
        <v>979.59</v>
      </c>
      <c r="GY34" s="140"/>
      <c r="GZ34" s="62"/>
      <c r="HA34" s="62"/>
      <c r="HB34" s="74"/>
      <c r="HC34" s="62"/>
      <c r="HD34" s="74"/>
      <c r="HE34" s="24">
        <f t="shared" si="51"/>
        <v>0</v>
      </c>
      <c r="HG34" s="213">
        <v>28</v>
      </c>
      <c r="HH34" s="16">
        <v>15379</v>
      </c>
      <c r="HI34" s="16">
        <v>5908</v>
      </c>
      <c r="HJ34" s="16">
        <f t="shared" si="52"/>
        <v>167000</v>
      </c>
      <c r="HK34" s="16">
        <v>2.1432000000000002</v>
      </c>
      <c r="HL34" s="16">
        <v>807.23</v>
      </c>
      <c r="HM34" s="16">
        <f t="shared" si="101"/>
        <v>0</v>
      </c>
      <c r="HN34" s="16">
        <v>3956.3</v>
      </c>
      <c r="HO34" s="16">
        <v>1726.8</v>
      </c>
      <c r="HP34" s="16">
        <f t="shared" si="54"/>
        <v>40895.000000000276</v>
      </c>
      <c r="HQ34" s="16">
        <v>3180.6</v>
      </c>
      <c r="HR34" s="16">
        <v>1362.3</v>
      </c>
      <c r="HS34" s="16">
        <f t="shared" si="55"/>
        <v>26494.999999999727</v>
      </c>
      <c r="HT34" s="16">
        <v>2824.3</v>
      </c>
      <c r="HU34" s="16">
        <v>1062.7</v>
      </c>
      <c r="HV34" s="16">
        <f t="shared" si="56"/>
        <v>27195</v>
      </c>
      <c r="HW34" s="16">
        <v>1782.6</v>
      </c>
      <c r="HX34" s="16">
        <v>776.87</v>
      </c>
      <c r="HY34" s="16">
        <f t="shared" si="57"/>
        <v>25394.999999999818</v>
      </c>
      <c r="HZ34" s="16">
        <v>772280</v>
      </c>
      <c r="IA34" s="16">
        <v>353330</v>
      </c>
      <c r="IB34" s="16">
        <f t="shared" si="58"/>
        <v>27520</v>
      </c>
      <c r="IC34" s="16">
        <v>719.8</v>
      </c>
      <c r="ID34" s="16">
        <v>232.78</v>
      </c>
      <c r="IE34" s="16">
        <f t="shared" si="59"/>
        <v>0</v>
      </c>
      <c r="IF34" s="16"/>
      <c r="IG34" s="16"/>
      <c r="IH34" s="128">
        <f t="shared" si="60"/>
        <v>19500</v>
      </c>
      <c r="II34" s="211">
        <f t="shared" si="125"/>
        <v>1.6007106751203537E-10</v>
      </c>
      <c r="IJ34" s="16"/>
      <c r="IK34" s="16"/>
      <c r="IL34" s="16">
        <f t="shared" si="102"/>
        <v>0</v>
      </c>
      <c r="IM34" s="16"/>
      <c r="IN34" s="16"/>
      <c r="IO34" s="16">
        <f t="shared" si="103"/>
        <v>0</v>
      </c>
      <c r="IP34" s="16"/>
      <c r="IQ34" s="16"/>
      <c r="IR34" s="16">
        <f t="shared" si="104"/>
        <v>0</v>
      </c>
      <c r="IS34" s="16"/>
      <c r="IT34" s="16"/>
      <c r="IU34" s="16">
        <f t="shared" si="105"/>
        <v>0</v>
      </c>
      <c r="IV34" s="16"/>
      <c r="IW34" s="16"/>
      <c r="IX34" s="16">
        <f t="shared" si="106"/>
        <v>0</v>
      </c>
      <c r="IY34" s="16"/>
      <c r="IZ34" s="16"/>
      <c r="JA34" s="16">
        <f t="shared" si="107"/>
        <v>0</v>
      </c>
      <c r="JB34" s="16"/>
      <c r="JC34" s="16"/>
      <c r="JD34" s="16">
        <f t="shared" si="108"/>
        <v>0</v>
      </c>
      <c r="JE34" s="16"/>
      <c r="JF34" s="16"/>
      <c r="JG34" s="16">
        <f t="shared" si="109"/>
        <v>0</v>
      </c>
      <c r="JH34" s="16"/>
      <c r="JI34" s="16"/>
      <c r="JJ34" s="16">
        <f t="shared" si="110"/>
        <v>0</v>
      </c>
      <c r="JK34" s="16"/>
      <c r="JL34" s="16"/>
      <c r="JM34" s="16">
        <f t="shared" si="111"/>
        <v>0</v>
      </c>
      <c r="JN34" s="16"/>
      <c r="JO34" s="16"/>
      <c r="JP34" s="16">
        <f t="shared" si="112"/>
        <v>0</v>
      </c>
      <c r="JQ34" s="16"/>
      <c r="JR34" s="16"/>
      <c r="JS34" s="16">
        <f t="shared" si="113"/>
        <v>0</v>
      </c>
      <c r="JT34" s="16"/>
      <c r="JU34" s="16"/>
      <c r="JV34" s="16">
        <f t="shared" si="114"/>
        <v>0</v>
      </c>
      <c r="JW34" s="16"/>
      <c r="JX34" s="16"/>
      <c r="JY34" s="16">
        <f t="shared" si="115"/>
        <v>0</v>
      </c>
      <c r="JZ34" s="16"/>
      <c r="KA34" s="16"/>
      <c r="KB34" s="16">
        <f t="shared" si="116"/>
        <v>0</v>
      </c>
      <c r="KC34" s="16"/>
      <c r="KD34" s="16"/>
      <c r="KE34" s="16">
        <f t="shared" si="117"/>
        <v>0</v>
      </c>
      <c r="KG34" s="151">
        <f t="shared" si="62"/>
        <v>68415.000000000437</v>
      </c>
    </row>
    <row r="35" spans="1:293" x14ac:dyDescent="0.25">
      <c r="A35" s="35">
        <v>29</v>
      </c>
      <c r="B35" s="38">
        <v>4757.3900000000003</v>
      </c>
      <c r="C35" s="38">
        <f t="shared" si="3"/>
        <v>12.380000000000109</v>
      </c>
      <c r="D35" s="38">
        <f t="shared" si="4"/>
        <v>396160.00000000349</v>
      </c>
      <c r="E35" s="38">
        <v>955.72</v>
      </c>
      <c r="F35" s="38">
        <f t="shared" si="5"/>
        <v>71360.000000000582</v>
      </c>
      <c r="G35" s="38">
        <f t="shared" si="6"/>
        <v>467520.00000000407</v>
      </c>
      <c r="H35" s="37"/>
      <c r="I35" s="39"/>
      <c r="J35" s="42"/>
      <c r="K35" s="37">
        <f>IF(J35&lt;=0,0,(J35/SQRT(J35^2+(I35-I34)^2)))</f>
        <v>0</v>
      </c>
      <c r="L35" s="40">
        <v>14912500</v>
      </c>
      <c r="M35" s="40"/>
      <c r="N35" s="37">
        <f t="shared" si="83"/>
        <v>463000</v>
      </c>
      <c r="O35" s="37">
        <v>11668</v>
      </c>
      <c r="P35" s="37"/>
      <c r="Q35" s="37">
        <f t="shared" si="120"/>
        <v>19000</v>
      </c>
      <c r="R35" s="37">
        <f>IF(Q35&lt;=0,0,(Q35/SQRT(Q35^2+(P35-P34)^2)))</f>
        <v>1</v>
      </c>
      <c r="S35" s="37">
        <v>11246914</v>
      </c>
      <c r="T35" s="37">
        <f t="shared" si="8"/>
        <v>264.88000000081956</v>
      </c>
      <c r="U35" s="37">
        <v>1523790.61</v>
      </c>
      <c r="V35" s="37">
        <f t="shared" si="9"/>
        <v>0</v>
      </c>
      <c r="W35" s="37">
        <v>4178.8</v>
      </c>
      <c r="X35" s="37">
        <f t="shared" si="97"/>
        <v>18635.11999999918</v>
      </c>
      <c r="Y35" s="183"/>
      <c r="Z35" s="183"/>
      <c r="AA35" s="37">
        <v>790000</v>
      </c>
      <c r="AB35" s="37">
        <f t="shared" si="10"/>
        <v>100</v>
      </c>
      <c r="AC35" s="37">
        <v>4335.7</v>
      </c>
      <c r="AD35" s="37"/>
      <c r="AE35" s="37">
        <f t="shared" si="122"/>
        <v>5199.9999999998181</v>
      </c>
      <c r="AF35" s="37">
        <f>IF(AE35&lt;=0,0,(AE35/SQRT(AE35^2+(AD35-AD34)^2)))</f>
        <v>1</v>
      </c>
      <c r="AG35" s="37">
        <v>9458.2999999999993</v>
      </c>
      <c r="AH35" s="37"/>
      <c r="AI35" s="37">
        <f t="shared" si="12"/>
        <v>12721.099999998545</v>
      </c>
      <c r="AJ35" s="37">
        <f t="shared" si="13"/>
        <v>1</v>
      </c>
      <c r="AK35" s="37">
        <f t="shared" si="14"/>
        <v>36821.099999998361</v>
      </c>
      <c r="AL35" s="42">
        <v>11256.1</v>
      </c>
      <c r="AM35" s="42"/>
      <c r="AN35" s="37">
        <f t="shared" si="63"/>
        <v>6801.0999999996411</v>
      </c>
      <c r="AO35" s="37">
        <f>IF(AN35&lt;=0,0,(AN35/SQRT(AN35^2+(AM35-AM34)^2)))</f>
        <v>1</v>
      </c>
      <c r="AP35" s="37">
        <v>8778.9</v>
      </c>
      <c r="AQ35" s="37"/>
      <c r="AR35" s="37">
        <f t="shared" si="15"/>
        <v>12699.999999998909</v>
      </c>
      <c r="AS35" s="37">
        <f>IF(AR35&lt;=0,0,(AR35/SQRT(AR35^2+(AQ35-AQ34)^2)))</f>
        <v>1</v>
      </c>
      <c r="AT35" s="183"/>
      <c r="AU35" s="183"/>
      <c r="AV35" s="183"/>
      <c r="AW35" s="183"/>
      <c r="AX35" s="37">
        <v>499330</v>
      </c>
      <c r="AY35" s="37"/>
      <c r="AZ35" s="37">
        <f t="shared" si="16"/>
        <v>520</v>
      </c>
      <c r="BA35" s="37">
        <v>170460</v>
      </c>
      <c r="BB35" s="37"/>
      <c r="BC35" s="37">
        <f t="shared" si="17"/>
        <v>690</v>
      </c>
      <c r="BD35" s="37">
        <f>AN35+AR35+AZ35+BC35</f>
        <v>20711.099999998551</v>
      </c>
      <c r="BE35" s="43">
        <v>1973.8</v>
      </c>
      <c r="BF35" s="43">
        <v>1094.5999999999999</v>
      </c>
      <c r="BG35" s="37">
        <f t="shared" si="18"/>
        <v>1700.0000000000455</v>
      </c>
      <c r="BH35" s="44">
        <v>9248.2999999999993</v>
      </c>
      <c r="BI35" s="44">
        <v>5957.2</v>
      </c>
      <c r="BJ35" s="37">
        <f t="shared" si="19"/>
        <v>9899.9999999996362</v>
      </c>
      <c r="BK35" s="40">
        <v>1712490</v>
      </c>
      <c r="BL35" s="40">
        <f t="shared" si="89"/>
        <v>4090</v>
      </c>
      <c r="BM35" s="40">
        <v>895.24</v>
      </c>
      <c r="BN35" s="37">
        <f t="shared" si="20"/>
        <v>629.99999999999545</v>
      </c>
      <c r="BO35" s="186"/>
      <c r="BP35" s="183">
        <f t="shared" si="21"/>
        <v>0</v>
      </c>
      <c r="BQ35" s="40">
        <v>845.4</v>
      </c>
      <c r="BR35" s="37">
        <f t="shared" si="64"/>
        <v>500</v>
      </c>
      <c r="BS35" s="37">
        <v>105583.3</v>
      </c>
      <c r="BT35" s="37">
        <f t="shared" si="22"/>
        <v>198.3700000000099</v>
      </c>
      <c r="BU35" s="42">
        <v>3004907</v>
      </c>
      <c r="BV35" s="42"/>
      <c r="BW35" s="37">
        <f t="shared" si="23"/>
        <v>10284</v>
      </c>
      <c r="BX35" s="37">
        <f>IF(BW35&lt;=0,0,(BW35/SQRT(BW35^2+(BV35-BV34)^2)))</f>
        <v>1</v>
      </c>
      <c r="BY35" s="37">
        <v>369.2192</v>
      </c>
      <c r="BZ35" s="37"/>
      <c r="CA35" s="37">
        <f t="shared" si="118"/>
        <v>559.39999999998236</v>
      </c>
      <c r="CB35" s="37">
        <f t="shared" si="65"/>
        <v>1</v>
      </c>
      <c r="CC35" s="37">
        <v>699428.9</v>
      </c>
      <c r="CD35" s="37">
        <f t="shared" si="25"/>
        <v>3100.4000000000233</v>
      </c>
      <c r="CE35" s="41">
        <v>1384821</v>
      </c>
      <c r="CF35" s="37">
        <f t="shared" si="26"/>
        <v>6996</v>
      </c>
      <c r="CG35" s="37">
        <v>72810.600000000006</v>
      </c>
      <c r="CH35" s="37">
        <f t="shared" si="66"/>
        <v>0</v>
      </c>
      <c r="CI35" s="40">
        <v>13376.55</v>
      </c>
      <c r="CJ35" s="40"/>
      <c r="CK35" s="37">
        <f t="shared" si="67"/>
        <v>16251.699999998706</v>
      </c>
      <c r="CL35" s="37">
        <f t="shared" si="27"/>
        <v>1</v>
      </c>
      <c r="CM35" s="37">
        <v>3799.2429999999999</v>
      </c>
      <c r="CN35" s="37"/>
      <c r="CO35" s="37">
        <f t="shared" si="28"/>
        <v>6078.0999999998803</v>
      </c>
      <c r="CP35" s="37">
        <f>IF(CO35&lt;=0,0,(CO35/SQRT(CO35^2+(CN35-CN34)^2)))</f>
        <v>1</v>
      </c>
      <c r="CQ35" s="39">
        <v>385197.1</v>
      </c>
      <c r="CR35" s="39"/>
      <c r="CS35" s="37">
        <f t="shared" si="68"/>
        <v>6086.1999999999771</v>
      </c>
      <c r="CT35" s="37">
        <f t="shared" si="69"/>
        <v>1</v>
      </c>
      <c r="CU35" s="37">
        <v>3953844</v>
      </c>
      <c r="CV35" s="37"/>
      <c r="CW35" s="38">
        <f t="shared" si="29"/>
        <v>19357</v>
      </c>
      <c r="CX35" s="37">
        <f t="shared" si="92"/>
        <v>1</v>
      </c>
      <c r="CY35" s="37">
        <v>2092724</v>
      </c>
      <c r="CZ35" s="37"/>
      <c r="DA35" s="37">
        <f t="shared" si="124"/>
        <v>10778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2"/>
        <v>-68834.999999998559</v>
      </c>
      <c r="DH35" s="37">
        <f t="shared" si="33"/>
        <v>501521.09999999841</v>
      </c>
      <c r="DI35" s="46"/>
      <c r="DJ35" s="46"/>
      <c r="DK35" s="46"/>
      <c r="DL35" s="47"/>
      <c r="DM35" s="37"/>
      <c r="DN35" s="37"/>
      <c r="DO35" s="37"/>
      <c r="DP35" s="37"/>
      <c r="DQ35" s="50">
        <v>3813800</v>
      </c>
      <c r="DR35" s="49">
        <f t="shared" si="70"/>
        <v>9700</v>
      </c>
      <c r="DS35" s="50">
        <v>4451300</v>
      </c>
      <c r="DT35" s="49">
        <f t="shared" si="71"/>
        <v>20000</v>
      </c>
      <c r="DU35" s="51">
        <v>8142.2</v>
      </c>
      <c r="DV35" s="51">
        <v>4574.6000000000004</v>
      </c>
      <c r="DW35" s="37">
        <f t="shared" si="94"/>
        <v>4599.9999999994543</v>
      </c>
      <c r="DX35" s="52">
        <v>13422</v>
      </c>
      <c r="DY35" s="52">
        <v>8491.9</v>
      </c>
      <c r="DZ35" s="37">
        <f t="shared" si="34"/>
        <v>8121.1</v>
      </c>
      <c r="EA35" s="49">
        <v>30900</v>
      </c>
      <c r="EB35" s="49">
        <v>21.387</v>
      </c>
      <c r="EC35" s="37">
        <f t="shared" si="35"/>
        <v>25281.1</v>
      </c>
      <c r="ED35" s="53">
        <f t="shared" si="36"/>
        <v>38002.199999999451</v>
      </c>
      <c r="EE35" s="49">
        <v>46419</v>
      </c>
      <c r="EF35" s="49">
        <v>30.326000000000001</v>
      </c>
      <c r="EG35" s="37">
        <f t="shared" si="37"/>
        <v>29281.1</v>
      </c>
      <c r="EH35" s="51">
        <v>13496</v>
      </c>
      <c r="EI35" s="51">
        <v>1.8906000000000001</v>
      </c>
      <c r="EJ35" s="37">
        <f t="shared" si="38"/>
        <v>11121.1</v>
      </c>
      <c r="EK35" s="37">
        <v>821.97</v>
      </c>
      <c r="EL35" s="40">
        <v>1177.5</v>
      </c>
      <c r="EM35" s="37">
        <f t="shared" si="72"/>
        <v>450.00000000004547</v>
      </c>
      <c r="EN35" s="54">
        <f t="shared" si="73"/>
        <v>40852.200000000041</v>
      </c>
      <c r="EO35" s="55">
        <v>13277</v>
      </c>
      <c r="EP35" s="48">
        <v>4642.3999999999996</v>
      </c>
      <c r="EQ35" s="37">
        <f t="shared" si="74"/>
        <v>6261.0999999999867</v>
      </c>
      <c r="ER35" s="48">
        <v>9930</v>
      </c>
      <c r="ES35" s="48">
        <v>4090.6</v>
      </c>
      <c r="ET35" s="49">
        <f t="shared" si="100"/>
        <v>14000</v>
      </c>
      <c r="EU35" s="48">
        <v>3922.1</v>
      </c>
      <c r="EV35" s="48">
        <v>1393.6</v>
      </c>
      <c r="EW35" s="49">
        <f t="shared" si="40"/>
        <v>8821.0999999998185</v>
      </c>
      <c r="EX35" s="48">
        <v>13943</v>
      </c>
      <c r="EY35" s="48">
        <v>1.6437999999999999</v>
      </c>
      <c r="EZ35" s="37">
        <f t="shared" si="41"/>
        <v>11121.1</v>
      </c>
      <c r="FA35" s="48">
        <f t="shared" si="75"/>
        <v>-19463.299999999806</v>
      </c>
      <c r="FB35" s="48">
        <v>37329610</v>
      </c>
      <c r="FC35" s="49">
        <f t="shared" si="95"/>
        <v>20740</v>
      </c>
      <c r="FD35" s="48">
        <f t="shared" si="76"/>
        <v>42003.299999999763</v>
      </c>
      <c r="FE35" s="48">
        <v>17375</v>
      </c>
      <c r="FF35" s="48">
        <v>6169.9</v>
      </c>
      <c r="FG35" s="37">
        <f t="shared" si="77"/>
        <v>8794.4300000000148</v>
      </c>
      <c r="FH35" s="48">
        <v>9351.2999999999993</v>
      </c>
      <c r="FI35" s="48">
        <v>3.6124000000000001</v>
      </c>
      <c r="FJ35" s="49">
        <f t="shared" si="42"/>
        <v>15634.429999998909</v>
      </c>
      <c r="FK35" s="48"/>
      <c r="FL35" s="58">
        <v>-186.67</v>
      </c>
      <c r="FM35" s="48">
        <f t="shared" si="96"/>
        <v>-121.09666666630801</v>
      </c>
      <c r="FN35" s="48">
        <v>17052</v>
      </c>
      <c r="FO35" s="48">
        <v>0.89759999999999995</v>
      </c>
      <c r="FP35" s="37">
        <f t="shared" si="78"/>
        <v>13934.43</v>
      </c>
      <c r="FQ35" s="48">
        <v>60190</v>
      </c>
      <c r="FR35" s="48">
        <v>14.599</v>
      </c>
      <c r="FS35" s="37">
        <f>IF((FQ35-FQ34)*1000&lt;=0,0,(FQ35-FQ34)*1000)</f>
        <v>38000</v>
      </c>
      <c r="FT35" s="48">
        <f t="shared" si="79"/>
        <v>-363.28999999892403</v>
      </c>
      <c r="FU35" s="48">
        <f t="shared" si="80"/>
        <v>39963.289999998829</v>
      </c>
      <c r="FV35" s="44">
        <v>5497100</v>
      </c>
      <c r="FW35" s="44">
        <v>1690600</v>
      </c>
      <c r="FX35" s="37">
        <f t="shared" si="44"/>
        <v>15200</v>
      </c>
      <c r="FY35" s="56">
        <v>3679.9</v>
      </c>
      <c r="FZ35" s="56">
        <v>2.1795</v>
      </c>
      <c r="GA35" s="37">
        <f t="shared" si="45"/>
        <v>4280.0000000000909</v>
      </c>
      <c r="GB35" s="56">
        <v>846.89</v>
      </c>
      <c r="GC35" s="56">
        <v>949.43</v>
      </c>
      <c r="GD35" s="37">
        <f t="shared" si="46"/>
        <v>539.99999999996362</v>
      </c>
      <c r="GE35" s="56">
        <v>10435</v>
      </c>
      <c r="GF35" s="56">
        <v>3.6558000000000002</v>
      </c>
      <c r="GG35" s="37">
        <f t="shared" si="47"/>
        <v>3600.0000000001364</v>
      </c>
      <c r="GH35" s="48">
        <v>2022.5</v>
      </c>
      <c r="GI35" s="56">
        <v>1734.9</v>
      </c>
      <c r="GJ35" s="38">
        <f t="shared" si="48"/>
        <v>1799.9999999999545</v>
      </c>
      <c r="GK35" s="56">
        <v>1497.3</v>
      </c>
      <c r="GL35" s="44">
        <v>1132.0999999999999</v>
      </c>
      <c r="GM35" s="38">
        <f t="shared" si="49"/>
        <v>1599.9999999999091</v>
      </c>
      <c r="GN35" s="57">
        <v>208330</v>
      </c>
      <c r="GO35" s="57">
        <v>184580</v>
      </c>
      <c r="GP35" s="38">
        <f t="shared" si="99"/>
        <v>10</v>
      </c>
      <c r="GQ35" s="38">
        <v>279800</v>
      </c>
      <c r="GR35" s="38">
        <v>273150</v>
      </c>
      <c r="GS35" s="38">
        <f t="shared" si="81"/>
        <v>120</v>
      </c>
      <c r="GT35" s="178"/>
      <c r="GU35" s="144">
        <f>DailyJun!B34-DailyJun!N34-DailyJun!V34-DailyJun!Y34-DailyJun!Z34-DailyJun!AA34-DailyJun!AB34-DailyJun!AC34-DailyJun!AD34-DailyJun!AE34-DailyJun!AK34-DailyJun!AO34-DailyJun!AS34-DailyJun!AY34-DailyJun!BD34+DailyJun!BU34-DailyJun!BG34-DailyJun!BT34-DailyJun!AF34-DailyJun!AG34</f>
        <v>1.0000010515796021E-2</v>
      </c>
      <c r="GV35" s="59">
        <v>1816.51</v>
      </c>
      <c r="GW35" s="60">
        <f t="shared" si="50"/>
        <v>121.10066666666667</v>
      </c>
      <c r="GX35" s="61">
        <v>121.1</v>
      </c>
      <c r="GY35" s="140"/>
      <c r="GZ35" s="62"/>
      <c r="HA35" s="62"/>
      <c r="HB35" s="74"/>
      <c r="HC35" s="62"/>
      <c r="HD35" s="74"/>
      <c r="HE35" s="24">
        <f t="shared" si="51"/>
        <v>0</v>
      </c>
      <c r="HG35" s="213">
        <v>29</v>
      </c>
      <c r="HH35" s="16">
        <v>15509</v>
      </c>
      <c r="HI35" s="16">
        <v>5957.5</v>
      </c>
      <c r="HJ35" s="16">
        <f t="shared" si="52"/>
        <v>130000</v>
      </c>
      <c r="HK35" s="16">
        <v>2.1432000000000002</v>
      </c>
      <c r="HL35" s="16">
        <v>807.23</v>
      </c>
      <c r="HM35" s="16">
        <f t="shared" si="101"/>
        <v>0</v>
      </c>
      <c r="HN35" s="16">
        <v>3987.2</v>
      </c>
      <c r="HO35" s="16">
        <v>1740.5</v>
      </c>
      <c r="HP35" s="16">
        <f t="shared" si="54"/>
        <v>30764.999999999636</v>
      </c>
      <c r="HQ35" s="16">
        <v>3196.3</v>
      </c>
      <c r="HR35" s="16">
        <v>1369.1</v>
      </c>
      <c r="HS35" s="16">
        <f t="shared" si="55"/>
        <v>15565.000000000273</v>
      </c>
      <c r="HT35" s="16">
        <v>2845.5</v>
      </c>
      <c r="HU35" s="16">
        <v>1070</v>
      </c>
      <c r="HV35" s="16">
        <f t="shared" si="56"/>
        <v>21064.999999999818</v>
      </c>
      <c r="HW35" s="16">
        <v>1798</v>
      </c>
      <c r="HX35" s="16">
        <v>783.57</v>
      </c>
      <c r="HY35" s="16">
        <f t="shared" si="57"/>
        <v>15265.000000000091</v>
      </c>
      <c r="HZ35" s="16">
        <v>799620</v>
      </c>
      <c r="IA35" s="16">
        <v>365080</v>
      </c>
      <c r="IB35" s="16">
        <f t="shared" si="58"/>
        <v>27340</v>
      </c>
      <c r="IC35" s="16">
        <v>719.8</v>
      </c>
      <c r="ID35" s="16">
        <v>232.78</v>
      </c>
      <c r="IE35" s="16">
        <f t="shared" si="59"/>
        <v>0</v>
      </c>
      <c r="IF35" s="16"/>
      <c r="IG35" s="16"/>
      <c r="IH35" s="128">
        <f t="shared" si="60"/>
        <v>20000</v>
      </c>
      <c r="II35" s="211">
        <f t="shared" si="125"/>
        <v>1.8917489796876907E-10</v>
      </c>
      <c r="IJ35" s="16"/>
      <c r="IK35" s="16"/>
      <c r="IL35" s="16">
        <f t="shared" si="102"/>
        <v>0</v>
      </c>
      <c r="IM35" s="16"/>
      <c r="IN35" s="16"/>
      <c r="IO35" s="16">
        <f t="shared" si="103"/>
        <v>0</v>
      </c>
      <c r="IP35" s="16"/>
      <c r="IQ35" s="16"/>
      <c r="IR35" s="16">
        <f t="shared" si="104"/>
        <v>0</v>
      </c>
      <c r="IS35" s="16"/>
      <c r="IT35" s="16"/>
      <c r="IU35" s="16">
        <f t="shared" si="105"/>
        <v>0</v>
      </c>
      <c r="IV35" s="16"/>
      <c r="IW35" s="16"/>
      <c r="IX35" s="16">
        <f t="shared" si="106"/>
        <v>0</v>
      </c>
      <c r="IY35" s="16"/>
      <c r="IZ35" s="16"/>
      <c r="JA35" s="16">
        <f t="shared" si="107"/>
        <v>0</v>
      </c>
      <c r="JB35" s="16"/>
      <c r="JC35" s="16"/>
      <c r="JD35" s="16">
        <f t="shared" si="108"/>
        <v>0</v>
      </c>
      <c r="JE35" s="16"/>
      <c r="JF35" s="16"/>
      <c r="JG35" s="16">
        <f t="shared" si="109"/>
        <v>0</v>
      </c>
      <c r="JH35" s="16"/>
      <c r="JI35" s="16"/>
      <c r="JJ35" s="16">
        <f t="shared" si="110"/>
        <v>0</v>
      </c>
      <c r="JK35" s="16"/>
      <c r="JL35" s="16"/>
      <c r="JM35" s="16">
        <f t="shared" si="111"/>
        <v>0</v>
      </c>
      <c r="JN35" s="16"/>
      <c r="JO35" s="16"/>
      <c r="JP35" s="16">
        <f t="shared" si="112"/>
        <v>0</v>
      </c>
      <c r="JQ35" s="16"/>
      <c r="JR35" s="16"/>
      <c r="JS35" s="16">
        <f t="shared" si="113"/>
        <v>0</v>
      </c>
      <c r="JT35" s="16"/>
      <c r="JU35" s="16"/>
      <c r="JV35" s="16">
        <f t="shared" si="114"/>
        <v>0</v>
      </c>
      <c r="JW35" s="16"/>
      <c r="JX35" s="16"/>
      <c r="JY35" s="16">
        <f t="shared" si="115"/>
        <v>0</v>
      </c>
      <c r="JZ35" s="16"/>
      <c r="KA35" s="16"/>
      <c r="KB35" s="16">
        <f t="shared" si="116"/>
        <v>0</v>
      </c>
      <c r="KC35" s="16"/>
      <c r="KD35" s="16"/>
      <c r="KE35" s="16">
        <f t="shared" si="117"/>
        <v>0</v>
      </c>
      <c r="KG35" s="151">
        <f t="shared" si="62"/>
        <v>58104.999999999825</v>
      </c>
    </row>
    <row r="36" spans="1:293" x14ac:dyDescent="0.25">
      <c r="A36" s="35">
        <f t="shared" si="2"/>
        <v>30</v>
      </c>
      <c r="B36" s="38">
        <v>4770.8599999999997</v>
      </c>
      <c r="C36" s="38">
        <f t="shared" si="3"/>
        <v>13.469999999999345</v>
      </c>
      <c r="D36" s="38">
        <f t="shared" si="4"/>
        <v>431039.99999997905</v>
      </c>
      <c r="E36" s="38">
        <v>958.25</v>
      </c>
      <c r="F36" s="38">
        <f t="shared" si="5"/>
        <v>80959.999999999127</v>
      </c>
      <c r="G36" s="38">
        <f t="shared" si="6"/>
        <v>511999.99999997817</v>
      </c>
      <c r="H36" s="37"/>
      <c r="I36" s="39"/>
      <c r="J36" s="42"/>
      <c r="K36" s="37">
        <f>IF(J36&lt;=0,0,(J36/SQRT(J36^2+(I36-I35)^2)))</f>
        <v>0</v>
      </c>
      <c r="L36" s="40">
        <v>14963700</v>
      </c>
      <c r="M36" s="40"/>
      <c r="N36" s="37">
        <f t="shared" si="83"/>
        <v>512000</v>
      </c>
      <c r="O36" s="37">
        <v>11687</v>
      </c>
      <c r="P36" s="37"/>
      <c r="Q36" s="37">
        <f t="shared" si="120"/>
        <v>19000</v>
      </c>
      <c r="R36" s="37">
        <f>IF(Q36&lt;=0,0,(Q36/SQRT(Q36^2+(P36-P35)^2)))</f>
        <v>1</v>
      </c>
      <c r="S36" s="37">
        <v>11247169.050000001</v>
      </c>
      <c r="T36" s="37">
        <f t="shared" si="8"/>
        <v>255.05000000074506</v>
      </c>
      <c r="U36" s="37">
        <v>1523790.61</v>
      </c>
      <c r="V36" s="37">
        <f>IF((U36-U35)&lt;=0,0,(U36-U35))</f>
        <v>0</v>
      </c>
      <c r="W36" s="37">
        <v>4186</v>
      </c>
      <c r="X36" s="37">
        <f t="shared" si="97"/>
        <v>18644.949999999255</v>
      </c>
      <c r="Y36" s="183"/>
      <c r="Z36" s="183"/>
      <c r="AA36" s="37">
        <v>790100</v>
      </c>
      <c r="AB36" s="37">
        <f t="shared" si="10"/>
        <v>100</v>
      </c>
      <c r="AC36" s="37">
        <v>4341</v>
      </c>
      <c r="AD36" s="37"/>
      <c r="AE36" s="37">
        <f t="shared" si="122"/>
        <v>5300.0000000001819</v>
      </c>
      <c r="AF36" s="37">
        <f>IF(AE36&lt;=0,0,(AE36/SQRT(AE36^2+(AD36-AD35)^2)))</f>
        <v>1</v>
      </c>
      <c r="AG36" s="37">
        <v>9471.2999999999993</v>
      </c>
      <c r="AH36" s="37"/>
      <c r="AI36" s="37">
        <f t="shared" si="12"/>
        <v>13041.06</v>
      </c>
      <c r="AJ36" s="37">
        <f t="shared" si="13"/>
        <v>1</v>
      </c>
      <c r="AK36" s="37">
        <f t="shared" si="14"/>
        <v>37241.06000000018</v>
      </c>
      <c r="AL36" s="42">
        <v>11268</v>
      </c>
      <c r="AM36" s="42"/>
      <c r="AN36" s="37">
        <f t="shared" si="63"/>
        <v>6671.0599999995993</v>
      </c>
      <c r="AO36" s="37">
        <f>IF(AN36&lt;=0,0,(AN36/SQRT(AN36^2+(AM36-AM35)^2)))</f>
        <v>1</v>
      </c>
      <c r="AP36" s="37">
        <v>8792</v>
      </c>
      <c r="AQ36" s="37"/>
      <c r="AR36" s="37">
        <f t="shared" si="15"/>
        <v>13100.000000000364</v>
      </c>
      <c r="AS36" s="37">
        <f>IF(AR36&lt;=0,0,(AR36/SQRT(AR36^2+(AQ36-AQ35)^2)))</f>
        <v>1</v>
      </c>
      <c r="AT36" s="183"/>
      <c r="AU36" s="183"/>
      <c r="AV36" s="183"/>
      <c r="AW36" s="183"/>
      <c r="AX36" s="37">
        <v>499880</v>
      </c>
      <c r="AY36" s="37"/>
      <c r="AZ36" s="37">
        <f t="shared" si="16"/>
        <v>550</v>
      </c>
      <c r="BA36" s="37">
        <v>171180</v>
      </c>
      <c r="BB36" s="37"/>
      <c r="BC36" s="37">
        <f t="shared" si="17"/>
        <v>720</v>
      </c>
      <c r="BD36" s="37">
        <f>AN36+AR36+AZ36+BC36</f>
        <v>21041.059999999961</v>
      </c>
      <c r="BE36" s="43">
        <v>1975.6</v>
      </c>
      <c r="BF36" s="43">
        <v>1095.8</v>
      </c>
      <c r="BG36" s="37">
        <f t="shared" si="18"/>
        <v>1799.9999999999545</v>
      </c>
      <c r="BH36" s="44">
        <v>9257.4</v>
      </c>
      <c r="BI36" s="44">
        <v>5963.2</v>
      </c>
      <c r="BJ36" s="37">
        <f t="shared" si="19"/>
        <v>9100.0000000003638</v>
      </c>
      <c r="BK36" s="40">
        <v>1716800</v>
      </c>
      <c r="BL36" s="40">
        <f t="shared" si="89"/>
        <v>4310</v>
      </c>
      <c r="BM36" s="40">
        <v>895.9</v>
      </c>
      <c r="BN36" s="37">
        <f t="shared" si="20"/>
        <v>659.99999999996817</v>
      </c>
      <c r="BO36" s="186"/>
      <c r="BP36" s="183">
        <f t="shared" si="21"/>
        <v>0</v>
      </c>
      <c r="BQ36" s="40">
        <v>845.7</v>
      </c>
      <c r="BR36" s="37">
        <f t="shared" si="64"/>
        <v>300.00000000006821</v>
      </c>
      <c r="BS36" s="37">
        <v>105768.1</v>
      </c>
      <c r="BT36" s="37">
        <f t="shared" si="22"/>
        <v>184.80000000000291</v>
      </c>
      <c r="BU36" s="42">
        <v>3013966</v>
      </c>
      <c r="BV36" s="42"/>
      <c r="BW36" s="37">
        <f t="shared" si="23"/>
        <v>9059</v>
      </c>
      <c r="BX36" s="37">
        <f>IF(BW36&lt;=0,0,(BW36/SQRT(BW36^2+(BV36-BV35)^2)))</f>
        <v>1</v>
      </c>
      <c r="BY36" s="43">
        <v>369.79379999999998</v>
      </c>
      <c r="BZ36" s="43"/>
      <c r="CA36" s="37">
        <f t="shared" si="118"/>
        <v>574.59999999997535</v>
      </c>
      <c r="CB36" s="37">
        <f t="shared" si="65"/>
        <v>1</v>
      </c>
      <c r="CC36" s="37">
        <v>701235.8</v>
      </c>
      <c r="CD36" s="37">
        <f t="shared" si="25"/>
        <v>1806.9000000000233</v>
      </c>
      <c r="CE36" s="41">
        <v>1392036</v>
      </c>
      <c r="CF36" s="37">
        <f t="shared" si="26"/>
        <v>7215</v>
      </c>
      <c r="CG36" s="37">
        <v>72810.600000000006</v>
      </c>
      <c r="CH36" s="37">
        <f t="shared" si="66"/>
        <v>0</v>
      </c>
      <c r="CI36" s="40">
        <v>13393.65</v>
      </c>
      <c r="CJ36" s="40"/>
      <c r="CK36" s="37">
        <f t="shared" si="67"/>
        <v>16566.460000000388</v>
      </c>
      <c r="CL36" s="37">
        <f t="shared" si="27"/>
        <v>1</v>
      </c>
      <c r="CM36" s="37">
        <v>3805.402</v>
      </c>
      <c r="CN36" s="37"/>
      <c r="CO36" s="37">
        <f t="shared" si="28"/>
        <v>6200.0600000001059</v>
      </c>
      <c r="CP36" s="37">
        <f>IF(CO36&lt;=0,0,(CO36/SQRT(CO36^2+(CN36-CN35)^2)))</f>
        <v>1</v>
      </c>
      <c r="CQ36" s="39">
        <v>391416.3</v>
      </c>
      <c r="CR36" s="39"/>
      <c r="CS36" s="37">
        <f t="shared" si="68"/>
        <v>6260.260000000012</v>
      </c>
      <c r="CT36" s="37">
        <f t="shared" si="69"/>
        <v>1</v>
      </c>
      <c r="CU36" s="37">
        <v>3974241</v>
      </c>
      <c r="CV36" s="41"/>
      <c r="CW36" s="38">
        <f t="shared" si="29"/>
        <v>20397</v>
      </c>
      <c r="CX36" s="37">
        <f t="shared" si="92"/>
        <v>1</v>
      </c>
      <c r="CY36" s="37">
        <v>2103956</v>
      </c>
      <c r="CZ36" s="37"/>
      <c r="DA36" s="37">
        <f t="shared" si="124"/>
        <v>11232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2"/>
        <v>-69714.780000000508</v>
      </c>
      <c r="DH36" s="37">
        <f t="shared" si="33"/>
        <v>551041.06000000017</v>
      </c>
      <c r="DI36" s="46"/>
      <c r="DJ36" s="46"/>
      <c r="DK36" s="47"/>
      <c r="DL36" s="47"/>
      <c r="DM36" s="37"/>
      <c r="DN36" s="37"/>
      <c r="DO36" s="37"/>
      <c r="DP36" s="37"/>
      <c r="DQ36" s="50">
        <v>3821700</v>
      </c>
      <c r="DR36" s="49">
        <f t="shared" si="70"/>
        <v>7900</v>
      </c>
      <c r="DS36" s="50">
        <v>4471200</v>
      </c>
      <c r="DT36" s="49">
        <f t="shared" si="71"/>
        <v>19900</v>
      </c>
      <c r="DU36" s="51">
        <v>8146.7</v>
      </c>
      <c r="DV36" s="51">
        <v>4577.3</v>
      </c>
      <c r="DW36" s="37">
        <f t="shared" si="94"/>
        <v>4500</v>
      </c>
      <c r="DX36" s="52">
        <v>13430</v>
      </c>
      <c r="DY36" s="52">
        <v>8493.7999999999993</v>
      </c>
      <c r="DZ36" s="37">
        <f t="shared" si="34"/>
        <v>8041.06</v>
      </c>
      <c r="EA36" s="49">
        <v>30924</v>
      </c>
      <c r="EB36" s="49">
        <v>21.399000000000001</v>
      </c>
      <c r="EC36" s="37">
        <f t="shared" si="35"/>
        <v>26201.06</v>
      </c>
      <c r="ED36" s="53">
        <f t="shared" si="36"/>
        <v>38742.120000000003</v>
      </c>
      <c r="EE36" s="49">
        <v>46445</v>
      </c>
      <c r="EF36" s="49">
        <v>30.349</v>
      </c>
      <c r="EG36" s="37">
        <f t="shared" si="37"/>
        <v>28201.06</v>
      </c>
      <c r="EH36" s="51">
        <v>13507</v>
      </c>
      <c r="EI36" s="51">
        <v>1.8926000000000001</v>
      </c>
      <c r="EJ36" s="37">
        <f t="shared" si="38"/>
        <v>11041.06</v>
      </c>
      <c r="EK36" s="37">
        <v>822.51</v>
      </c>
      <c r="EL36" s="40">
        <v>1178.2</v>
      </c>
      <c r="EM36" s="37">
        <f t="shared" si="72"/>
        <v>539.99999999996362</v>
      </c>
      <c r="EN36" s="54">
        <f t="shared" si="73"/>
        <v>39782.119999999966</v>
      </c>
      <c r="EO36" s="48">
        <v>13284</v>
      </c>
      <c r="EP36" s="48">
        <v>4645</v>
      </c>
      <c r="EQ36" s="37">
        <f t="shared" si="74"/>
        <v>6146.0600000000186</v>
      </c>
      <c r="ER36" s="48">
        <v>9944.7000000000007</v>
      </c>
      <c r="ES36" s="55">
        <v>4097.1000000000004</v>
      </c>
      <c r="ET36" s="49">
        <f t="shared" si="100"/>
        <v>14700.000000000728</v>
      </c>
      <c r="EU36" s="48">
        <v>3931.1</v>
      </c>
      <c r="EV36" s="48">
        <v>1396.9</v>
      </c>
      <c r="EW36" s="49">
        <f t="shared" si="40"/>
        <v>9041.06</v>
      </c>
      <c r="EX36" s="48">
        <v>13954</v>
      </c>
      <c r="EY36" s="48">
        <v>1.6456999999999999</v>
      </c>
      <c r="EZ36" s="37">
        <f t="shared" si="41"/>
        <v>11041.06</v>
      </c>
      <c r="FA36" s="48">
        <f t="shared" si="75"/>
        <v>-19459.180000000746</v>
      </c>
      <c r="FB36" s="48">
        <v>37351079</v>
      </c>
      <c r="FC36" s="49">
        <f>IF((FB36-FB35)&lt;=0,0,(FB36-FB35))</f>
        <v>21469</v>
      </c>
      <c r="FD36" s="48">
        <f t="shared" si="76"/>
        <v>42728.180000000699</v>
      </c>
      <c r="FE36" s="153">
        <v>17384</v>
      </c>
      <c r="FF36" s="48">
        <v>6173</v>
      </c>
      <c r="FG36" s="37">
        <f t="shared" si="77"/>
        <v>10004.389999999981</v>
      </c>
      <c r="FH36" s="48">
        <v>9369.2000000000007</v>
      </c>
      <c r="FI36" s="48">
        <v>3.6194999999999999</v>
      </c>
      <c r="FJ36" s="49">
        <f t="shared" si="42"/>
        <v>18009.390000001458</v>
      </c>
      <c r="FK36" s="48"/>
      <c r="FL36" s="58">
        <v>68.33</v>
      </c>
      <c r="FM36" s="48">
        <f t="shared" si="96"/>
        <v>-41.056666667146295</v>
      </c>
      <c r="FN36" s="48">
        <v>17065</v>
      </c>
      <c r="FO36" s="48">
        <v>0.89929999999999999</v>
      </c>
      <c r="FP36" s="37">
        <f t="shared" si="78"/>
        <v>13109.39</v>
      </c>
      <c r="FQ36" s="48">
        <v>60231</v>
      </c>
      <c r="FR36" s="48">
        <v>14.611000000000001</v>
      </c>
      <c r="FS36" s="37">
        <f>IF((FQ36-FQ35)*1000&lt;=0,0,(FQ36-FQ35)*1000)</f>
        <v>41000</v>
      </c>
      <c r="FT36" s="48">
        <f t="shared" si="79"/>
        <v>-123.17000000143889</v>
      </c>
      <c r="FU36" s="48">
        <f t="shared" si="80"/>
        <v>42723.170000001577</v>
      </c>
      <c r="FV36" s="44">
        <v>5512300</v>
      </c>
      <c r="FW36" s="44">
        <v>1695300</v>
      </c>
      <c r="FX36" s="37">
        <f t="shared" si="44"/>
        <v>15200</v>
      </c>
      <c r="FY36" s="56">
        <v>3684.3</v>
      </c>
      <c r="FZ36" s="56">
        <v>2.1812999999999998</v>
      </c>
      <c r="GA36" s="37">
        <f t="shared" si="45"/>
        <v>4280.0000000000909</v>
      </c>
      <c r="GB36" s="56">
        <v>847.45</v>
      </c>
      <c r="GC36" s="56">
        <v>950.1</v>
      </c>
      <c r="GD36" s="37">
        <f t="shared" si="46"/>
        <v>560.00000000005912</v>
      </c>
      <c r="GE36" s="56">
        <v>10443</v>
      </c>
      <c r="GF36" s="63">
        <v>3.6608000000000001</v>
      </c>
      <c r="GG36" s="37">
        <f t="shared" si="47"/>
        <v>4599.9999999999091</v>
      </c>
      <c r="GH36" s="48">
        <v>2024.3</v>
      </c>
      <c r="GI36" s="56">
        <v>1736.6</v>
      </c>
      <c r="GJ36" s="38">
        <f t="shared" si="48"/>
        <v>1799.9999999999545</v>
      </c>
      <c r="GK36" s="56">
        <v>1498.9</v>
      </c>
      <c r="GL36" s="44">
        <v>1132.8</v>
      </c>
      <c r="GM36" s="38">
        <f t="shared" si="49"/>
        <v>1600.0000000001364</v>
      </c>
      <c r="GN36" s="57">
        <v>208330</v>
      </c>
      <c r="GO36" s="57">
        <v>184580</v>
      </c>
      <c r="GP36" s="38">
        <f t="shared" si="99"/>
        <v>0</v>
      </c>
      <c r="GQ36" s="38">
        <v>279920</v>
      </c>
      <c r="GR36" s="38">
        <v>273230</v>
      </c>
      <c r="GS36" s="38">
        <f t="shared" si="81"/>
        <v>120</v>
      </c>
      <c r="GT36" s="178"/>
      <c r="GU36" s="144">
        <f>DailyJun!B35-DailyJun!N35-DailyJun!V35-DailyJun!Y35-DailyJun!Z35-DailyJun!AA35-DailyJun!AB35-DailyJun!AC35-DailyJun!AD35-DailyJun!AE35-DailyJun!AK35-DailyJun!AO35-DailyJun!AS35-DailyJun!AY35-DailyJun!BD35+DailyJun!BU35-DailyJun!BG35-DailyJun!BT35-DailyJun!AF35-DailyJun!AG35</f>
        <v>9.999974980019033E-3</v>
      </c>
      <c r="GV36" s="59">
        <v>615.91</v>
      </c>
      <c r="GW36" s="60">
        <f t="shared" si="50"/>
        <v>41.060666666666663</v>
      </c>
      <c r="GX36" s="61">
        <v>41.06</v>
      </c>
      <c r="GY36" s="140"/>
      <c r="GZ36" s="62"/>
      <c r="HA36" s="62"/>
      <c r="HB36" s="62"/>
      <c r="HC36" s="62"/>
      <c r="HD36" s="74"/>
      <c r="HE36" s="24"/>
      <c r="HG36" s="213">
        <v>30</v>
      </c>
      <c r="HH36" s="16">
        <v>15680</v>
      </c>
      <c r="HI36" s="16">
        <v>6021.7</v>
      </c>
      <c r="HJ36" s="16">
        <f t="shared" si="52"/>
        <v>171000</v>
      </c>
      <c r="HK36" s="16">
        <v>2.1432000000000002</v>
      </c>
      <c r="HL36" s="16">
        <v>807.23</v>
      </c>
      <c r="HM36" s="16">
        <f t="shared" si="101"/>
        <v>0</v>
      </c>
      <c r="HN36" s="16">
        <v>4027.5</v>
      </c>
      <c r="HO36" s="16">
        <v>1758</v>
      </c>
      <c r="HP36" s="16">
        <f t="shared" si="54"/>
        <v>40687.500000000182</v>
      </c>
      <c r="HQ36" s="16">
        <v>3224.6</v>
      </c>
      <c r="HR36" s="16">
        <v>1380.6</v>
      </c>
      <c r="HS36" s="16">
        <f t="shared" si="55"/>
        <v>28687.499999999727</v>
      </c>
      <c r="HT36" s="16">
        <v>2873.6</v>
      </c>
      <c r="HU36" s="16">
        <v>1079.2</v>
      </c>
      <c r="HV36" s="16">
        <f t="shared" si="56"/>
        <v>28487.499999999909</v>
      </c>
      <c r="HW36" s="16">
        <v>1821.4</v>
      </c>
      <c r="HX36" s="16">
        <v>793.37</v>
      </c>
      <c r="HY36" s="16">
        <f t="shared" si="57"/>
        <v>23787.500000000091</v>
      </c>
      <c r="HZ36" s="16">
        <v>829070</v>
      </c>
      <c r="IA36" s="16">
        <v>377730</v>
      </c>
      <c r="IB36" s="16">
        <f t="shared" si="58"/>
        <v>29450</v>
      </c>
      <c r="IC36" s="16">
        <v>719.8</v>
      </c>
      <c r="ID36" s="16">
        <v>232.78</v>
      </c>
      <c r="IE36" s="16">
        <f t="shared" si="59"/>
        <v>0</v>
      </c>
      <c r="IF36" s="16"/>
      <c r="IG36" s="16"/>
      <c r="IH36" s="128">
        <f t="shared" si="60"/>
        <v>19900</v>
      </c>
      <c r="II36" s="211">
        <f t="shared" si="125"/>
        <v>8.0035533756017685E-11</v>
      </c>
      <c r="IJ36" s="16"/>
      <c r="IK36" s="16"/>
      <c r="IL36" s="16">
        <f t="shared" si="102"/>
        <v>0</v>
      </c>
      <c r="IM36" s="16"/>
      <c r="IN36" s="16"/>
      <c r="IO36" s="16">
        <f t="shared" si="103"/>
        <v>0</v>
      </c>
      <c r="IP36" s="16"/>
      <c r="IQ36" s="16"/>
      <c r="IR36" s="16">
        <f t="shared" si="104"/>
        <v>0</v>
      </c>
      <c r="IS36" s="16"/>
      <c r="IT36" s="16"/>
      <c r="IU36" s="16">
        <f t="shared" si="105"/>
        <v>0</v>
      </c>
      <c r="IV36" s="16"/>
      <c r="IW36" s="16"/>
      <c r="IX36" s="16">
        <f t="shared" si="106"/>
        <v>0</v>
      </c>
      <c r="IY36" s="16"/>
      <c r="IZ36" s="16"/>
      <c r="JA36" s="16">
        <f t="shared" si="107"/>
        <v>0</v>
      </c>
      <c r="JB36" s="16"/>
      <c r="JC36" s="16"/>
      <c r="JD36" s="16">
        <f t="shared" si="108"/>
        <v>0</v>
      </c>
      <c r="JE36" s="16"/>
      <c r="JF36" s="16"/>
      <c r="JG36" s="16">
        <f t="shared" si="109"/>
        <v>0</v>
      </c>
      <c r="JH36" s="16"/>
      <c r="JI36" s="16"/>
      <c r="JJ36" s="16">
        <f t="shared" si="110"/>
        <v>0</v>
      </c>
      <c r="JK36" s="16"/>
      <c r="JL36" s="16"/>
      <c r="JM36" s="16">
        <f t="shared" si="111"/>
        <v>0</v>
      </c>
      <c r="JN36" s="16"/>
      <c r="JO36" s="16"/>
      <c r="JP36" s="16">
        <f t="shared" si="112"/>
        <v>0</v>
      </c>
      <c r="JQ36" s="16"/>
      <c r="JR36" s="16"/>
      <c r="JS36" s="16">
        <f t="shared" si="113"/>
        <v>0</v>
      </c>
      <c r="JT36" s="16"/>
      <c r="JU36" s="16"/>
      <c r="JV36" s="16">
        <f t="shared" si="114"/>
        <v>0</v>
      </c>
      <c r="JW36" s="16"/>
      <c r="JX36" s="16"/>
      <c r="JY36" s="16">
        <f t="shared" si="115"/>
        <v>0</v>
      </c>
      <c r="JZ36" s="16"/>
      <c r="KA36" s="16"/>
      <c r="KB36" s="16">
        <f t="shared" si="116"/>
        <v>0</v>
      </c>
      <c r="KC36" s="16"/>
      <c r="KD36" s="16"/>
      <c r="KE36" s="16">
        <f t="shared" si="117"/>
        <v>0</v>
      </c>
      <c r="KG36" s="151">
        <f t="shared" si="62"/>
        <v>70137.500000000262</v>
      </c>
    </row>
    <row r="37" spans="1:293" x14ac:dyDescent="0.25">
      <c r="A37" s="35">
        <v>1</v>
      </c>
      <c r="B37" s="38">
        <v>4782.78</v>
      </c>
      <c r="C37" s="38">
        <f t="shared" si="3"/>
        <v>11.920000000000073</v>
      </c>
      <c r="D37" s="38">
        <f t="shared" si="4"/>
        <v>381440.00000000233</v>
      </c>
      <c r="E37" s="38">
        <v>960.73</v>
      </c>
      <c r="F37" s="38">
        <f t="shared" si="5"/>
        <v>79360.000000000582</v>
      </c>
      <c r="G37" s="38">
        <f t="shared" si="6"/>
        <v>460800.00000000291</v>
      </c>
      <c r="H37" s="37"/>
      <c r="I37" s="39"/>
      <c r="J37" s="42"/>
      <c r="K37" s="37">
        <f>IF(J37&lt;=0,0,(J37/SQRT(J37^2+(I37-I36)^2)))</f>
        <v>0</v>
      </c>
      <c r="L37" s="40">
        <v>15009300</v>
      </c>
      <c r="M37" s="40"/>
      <c r="N37" s="37">
        <f t="shared" si="83"/>
        <v>456000</v>
      </c>
      <c r="O37" s="37">
        <v>11704.1</v>
      </c>
      <c r="P37" s="37"/>
      <c r="Q37" s="37">
        <f t="shared" si="120"/>
        <v>17100.000000000364</v>
      </c>
      <c r="R37" s="37">
        <f>IF(Q37&lt;=0,0,(Q37/SQRT(Q37^2+(P37-P36)^2)))</f>
        <v>1</v>
      </c>
      <c r="S37" s="37">
        <v>11247433.960000001</v>
      </c>
      <c r="T37" s="37">
        <f t="shared" si="8"/>
        <v>264.91000000014901</v>
      </c>
      <c r="U37" s="37">
        <v>1523790.61</v>
      </c>
      <c r="V37" s="37">
        <f>IF((U37-U36)&lt;=0,0,(U37-U36))</f>
        <v>0</v>
      </c>
      <c r="W37" s="37">
        <v>4192.5</v>
      </c>
      <c r="X37" s="37">
        <f t="shared" si="97"/>
        <v>16835.090000000215</v>
      </c>
      <c r="Y37" s="183"/>
      <c r="Z37" s="183"/>
      <c r="AA37" s="37">
        <v>790100</v>
      </c>
      <c r="AB37" s="37">
        <f t="shared" si="10"/>
        <v>0</v>
      </c>
      <c r="AC37" s="37">
        <v>4346.5</v>
      </c>
      <c r="AD37" s="37"/>
      <c r="AE37" s="37">
        <f t="shared" si="122"/>
        <v>5500</v>
      </c>
      <c r="AF37" s="37">
        <f>IF(AE37&lt;=0,0,(AE37/SQRT(AE37^2+(AD37-AD36)^2)))</f>
        <v>1</v>
      </c>
      <c r="AG37" s="37">
        <v>9483.7000000000007</v>
      </c>
      <c r="AH37" s="37"/>
      <c r="AI37" s="37">
        <f t="shared" si="12"/>
        <v>12881.190000001456</v>
      </c>
      <c r="AJ37" s="37">
        <f t="shared" si="13"/>
        <v>1</v>
      </c>
      <c r="AK37" s="37">
        <f t="shared" si="14"/>
        <v>35481.190000001821</v>
      </c>
      <c r="AL37" s="42">
        <v>11279.7</v>
      </c>
      <c r="AM37" s="42"/>
      <c r="AN37" s="37">
        <f t="shared" si="63"/>
        <v>6771.1900000008327</v>
      </c>
      <c r="AO37" s="37">
        <f>IF(AN37&lt;=0,0,(AN37/SQRT(AN37^2+(AM37-AM36)^2)))</f>
        <v>1</v>
      </c>
      <c r="AP37" s="37">
        <v>8804.6</v>
      </c>
      <c r="AQ37" s="37"/>
      <c r="AR37" s="37">
        <f t="shared" si="15"/>
        <v>12600.000000000364</v>
      </c>
      <c r="AS37" s="37">
        <f>IF(AR37&lt;=0,0,(AR37/SQRT(AR37^2+(AQ37-AQ36)^2)))</f>
        <v>1</v>
      </c>
      <c r="AT37" s="183"/>
      <c r="AU37" s="183"/>
      <c r="AV37" s="183"/>
      <c r="AW37" s="183"/>
      <c r="AX37" s="37">
        <v>500370</v>
      </c>
      <c r="AY37" s="37"/>
      <c r="AZ37" s="37">
        <f t="shared" si="16"/>
        <v>490</v>
      </c>
      <c r="BA37" s="37">
        <v>171880</v>
      </c>
      <c r="BB37" s="37"/>
      <c r="BC37" s="37">
        <f t="shared" si="17"/>
        <v>700</v>
      </c>
      <c r="BD37" s="37">
        <f>AN37+AR37+AZ37+BC37</f>
        <v>20561.190000001196</v>
      </c>
      <c r="BE37" s="43">
        <v>1977.5</v>
      </c>
      <c r="BF37" s="43">
        <v>1097</v>
      </c>
      <c r="BG37" s="37">
        <f t="shared" si="18"/>
        <v>1900.0000000000909</v>
      </c>
      <c r="BH37" s="44">
        <v>9266.4</v>
      </c>
      <c r="BI37" s="44">
        <v>5969.1</v>
      </c>
      <c r="BJ37" s="37">
        <f t="shared" si="19"/>
        <v>9000</v>
      </c>
      <c r="BK37" s="40">
        <v>1720970</v>
      </c>
      <c r="BL37" s="40">
        <f t="shared" si="89"/>
        <v>4170</v>
      </c>
      <c r="BM37" s="40">
        <v>896.54</v>
      </c>
      <c r="BN37" s="37">
        <f t="shared" si="20"/>
        <v>639.99999999998636</v>
      </c>
      <c r="BO37" s="186"/>
      <c r="BP37" s="183">
        <f t="shared" si="21"/>
        <v>0</v>
      </c>
      <c r="BQ37" s="40">
        <v>846.3</v>
      </c>
      <c r="BR37" s="37">
        <f t="shared" si="64"/>
        <v>599.99999999990905</v>
      </c>
      <c r="BS37" s="37">
        <v>105954.86</v>
      </c>
      <c r="BT37" s="37">
        <f t="shared" si="22"/>
        <v>186.75999999999476</v>
      </c>
      <c r="BU37" s="42">
        <v>3022874</v>
      </c>
      <c r="BV37" s="42"/>
      <c r="BW37" s="37">
        <f t="shared" si="23"/>
        <v>8908</v>
      </c>
      <c r="BX37" s="37">
        <f>IF(BW37&lt;=0,0,(BW37/SQRT(BW37^2+(BV37-BV36)^2)))</f>
        <v>1</v>
      </c>
      <c r="BY37" s="43">
        <v>370.31470000000002</v>
      </c>
      <c r="BZ37" s="43"/>
      <c r="CA37" s="37">
        <f t="shared" si="118"/>
        <v>520.90000000004011</v>
      </c>
      <c r="CB37" s="37">
        <f t="shared" si="65"/>
        <v>1</v>
      </c>
      <c r="CC37" s="37">
        <v>703660.1</v>
      </c>
      <c r="CD37" s="37">
        <f t="shared" si="25"/>
        <v>2424.2999999999302</v>
      </c>
      <c r="CE37" s="41">
        <v>1398349</v>
      </c>
      <c r="CF37" s="37">
        <f t="shared" si="26"/>
        <v>6313</v>
      </c>
      <c r="CG37" s="37">
        <v>72810.600000000006</v>
      </c>
      <c r="CH37" s="37">
        <f t="shared" si="66"/>
        <v>0</v>
      </c>
      <c r="CI37" s="40">
        <v>13409.63</v>
      </c>
      <c r="CJ37" s="40"/>
      <c r="CK37" s="37">
        <f t="shared" si="67"/>
        <v>15940.289999999522</v>
      </c>
      <c r="CL37" s="37">
        <f t="shared" si="27"/>
        <v>1</v>
      </c>
      <c r="CM37" s="37">
        <v>3811.0990000000002</v>
      </c>
      <c r="CN37" s="37"/>
      <c r="CO37" s="37">
        <f t="shared" si="28"/>
        <v>6178.190000000116</v>
      </c>
      <c r="CP37" s="37">
        <f>IF(CO37&lt;=0,0,(CO37/SQRT(CO37^2+(CN37-CN36)^2)))</f>
        <v>1</v>
      </c>
      <c r="CQ37" s="39">
        <v>397079.2</v>
      </c>
      <c r="CR37" s="39"/>
      <c r="CS37" s="37">
        <f t="shared" si="68"/>
        <v>6144.0900000000229</v>
      </c>
      <c r="CT37" s="37">
        <f t="shared" si="69"/>
        <v>1</v>
      </c>
      <c r="CU37" s="37">
        <v>3992879</v>
      </c>
      <c r="CV37" s="41"/>
      <c r="CW37" s="38">
        <f t="shared" si="29"/>
        <v>18638</v>
      </c>
      <c r="CX37" s="37">
        <f t="shared" si="92"/>
        <v>1</v>
      </c>
      <c r="CY37" s="37">
        <v>2113788</v>
      </c>
      <c r="CZ37" s="37"/>
      <c r="DA37" s="37">
        <f t="shared" si="124"/>
        <v>9832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2"/>
        <v>-65640.569999999658</v>
      </c>
      <c r="DH37" s="37">
        <f t="shared" si="33"/>
        <v>493381.19000000192</v>
      </c>
      <c r="DI37" s="46"/>
      <c r="DJ37" s="46"/>
      <c r="DK37" s="47"/>
      <c r="DL37" s="47"/>
      <c r="DM37" s="37"/>
      <c r="DN37" s="37"/>
      <c r="DO37" s="37"/>
      <c r="DP37" s="37"/>
      <c r="DQ37" s="50">
        <v>3833000</v>
      </c>
      <c r="DR37" s="49">
        <f t="shared" si="70"/>
        <v>11300</v>
      </c>
      <c r="DS37" s="50">
        <v>4491100</v>
      </c>
      <c r="DT37" s="49">
        <f t="shared" si="71"/>
        <v>19900</v>
      </c>
      <c r="DU37" s="51">
        <v>8151.1</v>
      </c>
      <c r="DV37" s="51">
        <v>4579.8999999999996</v>
      </c>
      <c r="DW37" s="37">
        <f t="shared" si="94"/>
        <v>4400.0000000005457</v>
      </c>
      <c r="DX37" s="52">
        <v>13437</v>
      </c>
      <c r="DY37" s="52">
        <v>8496</v>
      </c>
      <c r="DZ37" s="37">
        <f t="shared" si="34"/>
        <v>7481.19</v>
      </c>
      <c r="EA37" s="49">
        <v>30946</v>
      </c>
      <c r="EB37" s="49">
        <v>21.411000000000001</v>
      </c>
      <c r="EC37" s="37">
        <f t="shared" si="35"/>
        <v>24641.19</v>
      </c>
      <c r="ED37" s="53">
        <f t="shared" si="36"/>
        <v>36522.380000000543</v>
      </c>
      <c r="EE37" s="49">
        <v>46465</v>
      </c>
      <c r="EF37" s="49">
        <v>30.366</v>
      </c>
      <c r="EG37" s="37">
        <f t="shared" si="37"/>
        <v>22641.19</v>
      </c>
      <c r="EH37" s="51">
        <v>13517</v>
      </c>
      <c r="EI37" s="51">
        <v>1.8944000000000001</v>
      </c>
      <c r="EJ37" s="37">
        <f t="shared" si="38"/>
        <v>10481.19</v>
      </c>
      <c r="EK37" s="37">
        <v>823.03</v>
      </c>
      <c r="EL37" s="40">
        <v>1178.8</v>
      </c>
      <c r="EM37" s="37">
        <f t="shared" si="72"/>
        <v>519.99999999998181</v>
      </c>
      <c r="EN37" s="54">
        <f t="shared" si="73"/>
        <v>33642.379999999976</v>
      </c>
      <c r="EO37" s="48">
        <v>13291</v>
      </c>
      <c r="EP37" s="48">
        <v>4647.3999999999996</v>
      </c>
      <c r="EQ37" s="37">
        <f t="shared" si="74"/>
        <v>6596.1900000000087</v>
      </c>
      <c r="ER37" s="48">
        <v>9958.6</v>
      </c>
      <c r="ES37" s="55">
        <v>4103.1000000000004</v>
      </c>
      <c r="ET37" s="49">
        <f t="shared" si="100"/>
        <v>13899.999999999636</v>
      </c>
      <c r="EU37" s="48">
        <v>3940</v>
      </c>
      <c r="EV37" s="48">
        <v>1400</v>
      </c>
      <c r="EW37" s="49">
        <f t="shared" si="40"/>
        <v>9381.1900000000915</v>
      </c>
      <c r="EX37" s="48">
        <v>13964</v>
      </c>
      <c r="EY37" s="48">
        <v>1.6476</v>
      </c>
      <c r="EZ37" s="37">
        <f t="shared" si="41"/>
        <v>10481.19</v>
      </c>
      <c r="FA37" s="48">
        <f t="shared" si="75"/>
        <v>-19851.569999999738</v>
      </c>
      <c r="FB37" s="48">
        <v>37371586</v>
      </c>
      <c r="FC37" s="49">
        <f>IF((FB37-FB36)&lt;=0,0,(FB37-FB36))</f>
        <v>20507</v>
      </c>
      <c r="FD37" s="48">
        <f t="shared" si="76"/>
        <v>41958.569999999876</v>
      </c>
      <c r="FE37" s="153">
        <v>17393</v>
      </c>
      <c r="FF37" s="154">
        <v>6175.7</v>
      </c>
      <c r="FG37" s="37">
        <f t="shared" si="77"/>
        <v>10071.189999999991</v>
      </c>
      <c r="FH37" s="48">
        <v>9386.2000000000007</v>
      </c>
      <c r="FI37" s="48">
        <v>3.6261000000000001</v>
      </c>
      <c r="FJ37" s="49">
        <f t="shared" si="42"/>
        <v>17186.189999999999</v>
      </c>
      <c r="FK37" s="48"/>
      <c r="FL37" s="58">
        <v>-295</v>
      </c>
      <c r="FM37" s="48">
        <f t="shared" si="96"/>
        <v>-481.18999999999687</v>
      </c>
      <c r="FN37" s="48">
        <v>17077</v>
      </c>
      <c r="FO37" s="48">
        <v>0.90090000000000003</v>
      </c>
      <c r="FP37" s="37">
        <f t="shared" si="78"/>
        <v>12186.19</v>
      </c>
      <c r="FQ37" s="48">
        <v>60269</v>
      </c>
      <c r="FR37" s="48">
        <v>14.622</v>
      </c>
      <c r="FS37" s="37">
        <f>IF((FQ37-FQ36)*1000&lt;=0,0,(FQ37-FQ36)*1000)</f>
        <v>38000</v>
      </c>
      <c r="FT37" s="48">
        <f t="shared" si="79"/>
        <v>-1443.5699999999906</v>
      </c>
      <c r="FU37" s="48">
        <f t="shared" si="80"/>
        <v>40943.569999999992</v>
      </c>
      <c r="FV37" s="44">
        <v>5522200</v>
      </c>
      <c r="FW37" s="44">
        <v>1698400</v>
      </c>
      <c r="FX37" s="37">
        <f t="shared" si="44"/>
        <v>9900</v>
      </c>
      <c r="FY37" s="56">
        <v>3687.5</v>
      </c>
      <c r="FZ37" s="56">
        <v>2.1821999999999999</v>
      </c>
      <c r="GA37" s="37">
        <f t="shared" si="45"/>
        <v>3109.9999999998181</v>
      </c>
      <c r="GB37" s="56">
        <v>847.9</v>
      </c>
      <c r="GC37" s="56">
        <v>950.67</v>
      </c>
      <c r="GD37" s="37">
        <f t="shared" si="46"/>
        <v>449.99999999993179</v>
      </c>
      <c r="GE37" s="56">
        <v>10449</v>
      </c>
      <c r="GF37" s="63">
        <v>3.6648999999999998</v>
      </c>
      <c r="GG37" s="37">
        <f t="shared" si="47"/>
        <v>2899.9999999998636</v>
      </c>
      <c r="GH37" s="48">
        <v>2025.9</v>
      </c>
      <c r="GI37" s="56">
        <v>1738.2</v>
      </c>
      <c r="GJ37" s="38">
        <f t="shared" si="48"/>
        <v>1600.0000000001364</v>
      </c>
      <c r="GK37" s="56">
        <v>1500.4</v>
      </c>
      <c r="GL37" s="44">
        <v>1133.4000000000001</v>
      </c>
      <c r="GM37" s="38">
        <f t="shared" si="49"/>
        <v>1500</v>
      </c>
      <c r="GN37" s="57">
        <v>208330</v>
      </c>
      <c r="GO37" s="57">
        <v>184590</v>
      </c>
      <c r="GP37" s="38">
        <f t="shared" si="99"/>
        <v>0</v>
      </c>
      <c r="GQ37" s="38">
        <v>280010</v>
      </c>
      <c r="GR37" s="38">
        <v>273290</v>
      </c>
      <c r="GS37" s="38">
        <f t="shared" si="81"/>
        <v>90</v>
      </c>
      <c r="GT37" s="178"/>
      <c r="GU37" s="144">
        <f>DailyJun!B36-DailyJun!N36-DailyJun!V36-DailyJun!Y36-DailyJun!Z36-DailyJun!AA36-DailyJun!AB36-DailyJun!AC36-DailyJun!AD36-DailyJun!AE36-DailyJun!AK36-DailyJun!AO36-DailyJun!AS36-DailyJun!AY36-DailyJun!BD36+DailyJun!BU36-DailyJun!BG36-DailyJun!BT36-DailyJun!AF36-DailyJun!AG36</f>
        <v>-4.9999999770079739E-2</v>
      </c>
      <c r="GV37" s="59">
        <v>7217.8</v>
      </c>
      <c r="GW37" s="60">
        <f t="shared" si="50"/>
        <v>481.18666666666667</v>
      </c>
      <c r="GX37" s="61">
        <v>481.19</v>
      </c>
      <c r="GY37" s="140"/>
      <c r="GZ37" s="62"/>
      <c r="HA37" s="62"/>
      <c r="HB37" s="62"/>
      <c r="HC37" s="62"/>
      <c r="HD37" s="74"/>
      <c r="HE37" s="24"/>
      <c r="HG37" s="213">
        <v>31</v>
      </c>
      <c r="HH37" s="16">
        <v>15822</v>
      </c>
      <c r="HI37" s="16">
        <v>6075</v>
      </c>
      <c r="HJ37" s="16">
        <f t="shared" si="52"/>
        <v>142000</v>
      </c>
      <c r="HK37" s="16">
        <v>2.1432000000000002</v>
      </c>
      <c r="HL37" s="16">
        <v>807.23</v>
      </c>
      <c r="HM37" s="16">
        <f t="shared" si="101"/>
        <v>0</v>
      </c>
      <c r="HN37" s="16">
        <v>4061.9</v>
      </c>
      <c r="HO37" s="16">
        <v>1772.9</v>
      </c>
      <c r="HP37" s="16">
        <f t="shared" si="54"/>
        <v>34025.000000000087</v>
      </c>
      <c r="HQ37" s="16">
        <v>3246.1</v>
      </c>
      <c r="HR37" s="16">
        <v>1389.5</v>
      </c>
      <c r="HS37" s="16">
        <f t="shared" si="55"/>
        <v>21125</v>
      </c>
      <c r="HT37" s="16">
        <v>2897.7</v>
      </c>
      <c r="HU37" s="16">
        <v>1075</v>
      </c>
      <c r="HV37" s="16">
        <f t="shared" si="56"/>
        <v>23724.999999999909</v>
      </c>
      <c r="HW37" s="16">
        <v>1842.6</v>
      </c>
      <c r="HX37" s="16">
        <v>802.21</v>
      </c>
      <c r="HY37" s="16">
        <f t="shared" si="57"/>
        <v>20824.999999999818</v>
      </c>
      <c r="HZ37" s="16">
        <v>851470</v>
      </c>
      <c r="IA37" s="16">
        <v>387430</v>
      </c>
      <c r="IB37" s="16">
        <f t="shared" si="58"/>
        <v>22400</v>
      </c>
      <c r="IC37" s="16">
        <v>719.8</v>
      </c>
      <c r="ID37" s="16">
        <v>232.78</v>
      </c>
      <c r="IE37" s="16">
        <f t="shared" si="59"/>
        <v>0</v>
      </c>
      <c r="IF37" s="16"/>
      <c r="IG37" s="16"/>
      <c r="IH37" s="128">
        <f t="shared" si="60"/>
        <v>19900</v>
      </c>
      <c r="II37" s="211">
        <f t="shared" si="125"/>
        <v>1.7462298274040222E-10</v>
      </c>
      <c r="IJ37" s="16"/>
      <c r="IK37" s="16"/>
      <c r="IL37" s="16">
        <f t="shared" si="102"/>
        <v>0</v>
      </c>
      <c r="IM37" s="16"/>
      <c r="IN37" s="16"/>
      <c r="IO37" s="16">
        <f t="shared" si="103"/>
        <v>0</v>
      </c>
      <c r="IP37" s="16"/>
      <c r="IQ37" s="16"/>
      <c r="IR37" s="16">
        <f t="shared" si="104"/>
        <v>0</v>
      </c>
      <c r="IS37" s="16"/>
      <c r="IT37" s="16"/>
      <c r="IU37" s="16">
        <f t="shared" si="105"/>
        <v>0</v>
      </c>
      <c r="IV37" s="16"/>
      <c r="IW37" s="16"/>
      <c r="IX37" s="16">
        <f t="shared" si="106"/>
        <v>0</v>
      </c>
      <c r="IY37" s="16"/>
      <c r="IZ37" s="16"/>
      <c r="JA37" s="16">
        <f t="shared" si="107"/>
        <v>0</v>
      </c>
      <c r="JB37" s="16"/>
      <c r="JC37" s="16"/>
      <c r="JD37" s="16">
        <f t="shared" si="108"/>
        <v>0</v>
      </c>
      <c r="JE37" s="16"/>
      <c r="JF37" s="16"/>
      <c r="JG37" s="16">
        <f t="shared" si="109"/>
        <v>0</v>
      </c>
      <c r="JH37" s="16"/>
      <c r="JI37" s="16"/>
      <c r="JJ37" s="16">
        <f t="shared" si="110"/>
        <v>0</v>
      </c>
      <c r="JK37" s="16"/>
      <c r="JL37" s="16"/>
      <c r="JM37" s="16">
        <f t="shared" si="111"/>
        <v>0</v>
      </c>
      <c r="JN37" s="16"/>
      <c r="JO37" s="16"/>
      <c r="JP37" s="16">
        <f t="shared" si="112"/>
        <v>0</v>
      </c>
      <c r="JQ37" s="16"/>
      <c r="JR37" s="16"/>
      <c r="JS37" s="16">
        <f t="shared" si="113"/>
        <v>0</v>
      </c>
      <c r="JT37" s="16"/>
      <c r="JU37" s="16"/>
      <c r="JV37" s="16">
        <f t="shared" si="114"/>
        <v>0</v>
      </c>
      <c r="JW37" s="16"/>
      <c r="JX37" s="16"/>
      <c r="JY37" s="16">
        <f t="shared" si="115"/>
        <v>0</v>
      </c>
      <c r="JZ37" s="16"/>
      <c r="KA37" s="16"/>
      <c r="KB37" s="16">
        <f t="shared" si="116"/>
        <v>0</v>
      </c>
      <c r="KC37" s="16"/>
      <c r="KD37" s="16"/>
      <c r="KE37" s="16">
        <f t="shared" si="117"/>
        <v>0</v>
      </c>
      <c r="KG37" s="151">
        <f t="shared" si="62"/>
        <v>56425.000000000262</v>
      </c>
    </row>
    <row r="38" spans="1:293" ht="15.75" thickBot="1" x14ac:dyDescent="0.3">
      <c r="A38" s="35"/>
      <c r="B38" s="38"/>
      <c r="C38" s="38">
        <f t="shared" si="3"/>
        <v>0</v>
      </c>
      <c r="D38" s="38">
        <f t="shared" si="4"/>
        <v>0</v>
      </c>
      <c r="E38" s="38"/>
      <c r="F38" s="38">
        <f t="shared" si="5"/>
        <v>0</v>
      </c>
      <c r="G38" s="38">
        <f t="shared" si="6"/>
        <v>0</v>
      </c>
      <c r="H38" s="37"/>
      <c r="I38" s="39"/>
      <c r="J38" s="42"/>
      <c r="K38" s="37">
        <f>IF(J38&lt;=0,0,(J38/SQRT(J38^2+(I38-I37)^2)))</f>
        <v>0</v>
      </c>
      <c r="L38" s="40"/>
      <c r="M38" s="40"/>
      <c r="N38" s="37">
        <f t="shared" si="83"/>
        <v>0</v>
      </c>
      <c r="O38" s="37"/>
      <c r="P38" s="37"/>
      <c r="Q38" s="37">
        <f t="shared" si="120"/>
        <v>0</v>
      </c>
      <c r="R38" s="37">
        <f>IF(Q38&lt;=0,0,(Q38/SQRT(Q38^2+(P38-P37)^2)))</f>
        <v>0</v>
      </c>
      <c r="S38" s="37"/>
      <c r="T38" s="37">
        <f t="shared" si="8"/>
        <v>0</v>
      </c>
      <c r="U38" s="37"/>
      <c r="V38" s="37">
        <f>IF((U38-U37)&lt;=0,0,(U38-U37))</f>
        <v>0</v>
      </c>
      <c r="W38" s="37"/>
      <c r="X38" s="37">
        <f t="shared" si="97"/>
        <v>0</v>
      </c>
      <c r="Y38" s="183"/>
      <c r="Z38" s="183"/>
      <c r="AA38" s="37"/>
      <c r="AB38" s="37">
        <f t="shared" si="10"/>
        <v>0</v>
      </c>
      <c r="AC38" s="37"/>
      <c r="AD38" s="37"/>
      <c r="AE38" s="37">
        <f t="shared" si="122"/>
        <v>0</v>
      </c>
      <c r="AF38" s="37">
        <f>IF(AE38&lt;=0,0,(AE38/SQRT(AE38^2+(AD38-AD37)^2)))</f>
        <v>0</v>
      </c>
      <c r="AG38" s="37"/>
      <c r="AH38" s="37"/>
      <c r="AI38" s="37">
        <f t="shared" si="12"/>
        <v>0</v>
      </c>
      <c r="AJ38" s="37">
        <f t="shared" si="13"/>
        <v>0</v>
      </c>
      <c r="AK38" s="37">
        <f t="shared" si="14"/>
        <v>0</v>
      </c>
      <c r="AL38" s="42"/>
      <c r="AM38" s="42"/>
      <c r="AN38" s="37">
        <f t="shared" si="63"/>
        <v>0</v>
      </c>
      <c r="AO38" s="37">
        <f>IF(AN38&lt;=0,0,(AN38/SQRT(AN38^2+(AM38-AM37)^2)))</f>
        <v>0</v>
      </c>
      <c r="AP38" s="37"/>
      <c r="AQ38" s="37"/>
      <c r="AR38" s="37">
        <f t="shared" si="15"/>
        <v>0</v>
      </c>
      <c r="AS38" s="37">
        <f>IF(AR38&lt;=0,0,(AR38/SQRT(AR38^2+(AQ38-AQ37)^2)))</f>
        <v>0</v>
      </c>
      <c r="AT38" s="183"/>
      <c r="AU38" s="183"/>
      <c r="AV38" s="183"/>
      <c r="AW38" s="183"/>
      <c r="AX38" s="37"/>
      <c r="AY38" s="37"/>
      <c r="AZ38" s="37">
        <f t="shared" si="16"/>
        <v>0</v>
      </c>
      <c r="BA38" s="37"/>
      <c r="BB38" s="37"/>
      <c r="BC38" s="37">
        <f t="shared" si="17"/>
        <v>0</v>
      </c>
      <c r="BD38" s="37">
        <f>AN38+AR38+AZ38+BC38</f>
        <v>0</v>
      </c>
      <c r="BE38" s="43"/>
      <c r="BF38" s="43"/>
      <c r="BG38" s="37">
        <f t="shared" si="18"/>
        <v>0</v>
      </c>
      <c r="BH38" s="44"/>
      <c r="BI38" s="44"/>
      <c r="BJ38" s="37">
        <f t="shared" si="19"/>
        <v>0</v>
      </c>
      <c r="BK38" s="40"/>
      <c r="BL38" s="40">
        <f t="shared" si="89"/>
        <v>0</v>
      </c>
      <c r="BM38" s="40"/>
      <c r="BN38" s="37">
        <f t="shared" si="20"/>
        <v>0</v>
      </c>
      <c r="BO38" s="186"/>
      <c r="BP38" s="183">
        <f t="shared" si="21"/>
        <v>0</v>
      </c>
      <c r="BQ38" s="40"/>
      <c r="BR38" s="37">
        <f t="shared" si="64"/>
        <v>0</v>
      </c>
      <c r="BS38" s="37"/>
      <c r="BT38" s="37">
        <f t="shared" si="22"/>
        <v>0</v>
      </c>
      <c r="BU38" s="42"/>
      <c r="BV38" s="42"/>
      <c r="BW38" s="37">
        <f t="shared" si="23"/>
        <v>0</v>
      </c>
      <c r="BX38" s="37">
        <f>IF(BW38&lt;=0,0,(BW38/SQRT(BW38^2+(BV38-BV37)^2)))</f>
        <v>0</v>
      </c>
      <c r="BY38" s="43"/>
      <c r="BZ38" s="43"/>
      <c r="CA38" s="37">
        <f t="shared" si="118"/>
        <v>0</v>
      </c>
      <c r="CB38" s="37">
        <f t="shared" si="65"/>
        <v>0</v>
      </c>
      <c r="CC38" s="37"/>
      <c r="CD38" s="37">
        <f t="shared" si="25"/>
        <v>0</v>
      </c>
      <c r="CE38" s="41"/>
      <c r="CF38" s="37">
        <f t="shared" si="26"/>
        <v>0</v>
      </c>
      <c r="CG38" s="37"/>
      <c r="CH38" s="37">
        <f t="shared" si="66"/>
        <v>0</v>
      </c>
      <c r="CI38" s="40"/>
      <c r="CJ38" s="40"/>
      <c r="CK38" s="37">
        <f t="shared" si="67"/>
        <v>0</v>
      </c>
      <c r="CL38" s="37">
        <f t="shared" si="27"/>
        <v>0</v>
      </c>
      <c r="CM38" s="37"/>
      <c r="CN38" s="37"/>
      <c r="CO38" s="37">
        <f t="shared" si="28"/>
        <v>0</v>
      </c>
      <c r="CP38" s="37">
        <f>IF(CO38&lt;=0,0,(CO38/SQRT(CO38^2+(CN38-CN37)^2)))</f>
        <v>0</v>
      </c>
      <c r="CQ38" s="39"/>
      <c r="CR38" s="39"/>
      <c r="CS38" s="37">
        <f t="shared" si="68"/>
        <v>0</v>
      </c>
      <c r="CT38" s="37">
        <f t="shared" si="69"/>
        <v>0</v>
      </c>
      <c r="CU38" s="37"/>
      <c r="CV38" s="41"/>
      <c r="CW38" s="38">
        <f t="shared" si="29"/>
        <v>0</v>
      </c>
      <c r="CX38" s="37">
        <f t="shared" si="92"/>
        <v>0</v>
      </c>
      <c r="CY38" s="37"/>
      <c r="CZ38" s="37"/>
      <c r="DA38" s="37">
        <f t="shared" si="124"/>
        <v>0</v>
      </c>
      <c r="DB38" s="37">
        <f>IF(DA38&lt;=0,0,(DA38/SQRT(DA38^2+(CZ38-CZ37)^2)))</f>
        <v>0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2"/>
        <v>0</v>
      </c>
      <c r="DH38" s="37">
        <f t="shared" si="33"/>
        <v>0</v>
      </c>
      <c r="DI38" s="46"/>
      <c r="DJ38" s="46"/>
      <c r="DK38" s="47"/>
      <c r="DL38" s="47"/>
      <c r="DM38" s="37"/>
      <c r="DN38" s="37"/>
      <c r="DO38" s="37"/>
      <c r="DP38" s="37"/>
      <c r="DQ38" s="50"/>
      <c r="DR38" s="49">
        <f t="shared" si="70"/>
        <v>0</v>
      </c>
      <c r="DS38" s="50"/>
      <c r="DT38" s="49">
        <f t="shared" si="71"/>
        <v>0</v>
      </c>
      <c r="DU38" s="51"/>
      <c r="DV38" s="51"/>
      <c r="DW38" s="37">
        <f t="shared" si="94"/>
        <v>0</v>
      </c>
      <c r="DX38" s="52"/>
      <c r="DY38" s="52"/>
      <c r="DZ38" s="37">
        <f t="shared" si="34"/>
        <v>0</v>
      </c>
      <c r="EA38" s="49"/>
      <c r="EB38" s="49"/>
      <c r="EC38" s="37">
        <f t="shared" ref="EC38" si="126">IF((EA38-EA37)*1000&lt;=0,0,(EA38-EA37)*1000)+GX38</f>
        <v>0</v>
      </c>
      <c r="ED38" s="53">
        <f t="shared" si="36"/>
        <v>0</v>
      </c>
      <c r="EE38" s="49"/>
      <c r="EF38" s="49"/>
      <c r="EG38" s="37">
        <f t="shared" ref="EG38" si="127">IF((EE38-EE37)*1000&lt;=0,0,(EE38-EE37)*1000)+GX38</f>
        <v>0</v>
      </c>
      <c r="EH38" s="51"/>
      <c r="EI38" s="51"/>
      <c r="EJ38" s="37">
        <f t="shared" si="38"/>
        <v>0</v>
      </c>
      <c r="EK38" s="37"/>
      <c r="EL38" s="40"/>
      <c r="EM38" s="37">
        <f t="shared" si="72"/>
        <v>0</v>
      </c>
      <c r="EN38" s="54">
        <f t="shared" si="73"/>
        <v>0</v>
      </c>
      <c r="EO38" s="48"/>
      <c r="EP38" s="48"/>
      <c r="EQ38" s="37">
        <f t="shared" si="74"/>
        <v>0</v>
      </c>
      <c r="ER38" s="48"/>
      <c r="ES38" s="55"/>
      <c r="ET38" s="49">
        <f t="shared" si="100"/>
        <v>0</v>
      </c>
      <c r="EU38" s="48"/>
      <c r="EV38" s="48"/>
      <c r="EW38" s="49">
        <f t="shared" si="40"/>
        <v>0</v>
      </c>
      <c r="EX38" s="48"/>
      <c r="EY38" s="48"/>
      <c r="EZ38" s="37">
        <f t="shared" si="41"/>
        <v>0</v>
      </c>
      <c r="FA38" s="48">
        <f t="shared" si="75"/>
        <v>0</v>
      </c>
      <c r="FB38" s="48"/>
      <c r="FC38" s="49">
        <f>IF((FB38-FB37)&lt;=0,0,(FB38-FB37))</f>
        <v>0</v>
      </c>
      <c r="FD38" s="48">
        <f t="shared" si="76"/>
        <v>0</v>
      </c>
      <c r="FE38" s="153"/>
      <c r="FF38" s="154"/>
      <c r="FG38" s="37">
        <f t="shared" si="77"/>
        <v>0</v>
      </c>
      <c r="FH38" s="48"/>
      <c r="FI38" s="48"/>
      <c r="FJ38" s="49">
        <f t="shared" si="42"/>
        <v>0</v>
      </c>
      <c r="FK38" s="48"/>
      <c r="FL38" s="58"/>
      <c r="FM38" s="48">
        <f t="shared" si="96"/>
        <v>0</v>
      </c>
      <c r="FN38" s="48"/>
      <c r="FO38" s="48"/>
      <c r="FP38" s="37">
        <f t="shared" si="78"/>
        <v>0</v>
      </c>
      <c r="FQ38" s="48"/>
      <c r="FR38" s="48"/>
      <c r="FS38" s="37">
        <f>IF((FQ38-FQ37)*1000&lt;=0,0,(FQ38-FQ37)*1000)</f>
        <v>0</v>
      </c>
      <c r="FT38" s="48">
        <f t="shared" si="79"/>
        <v>0</v>
      </c>
      <c r="FU38" s="48">
        <f t="shared" si="80"/>
        <v>0</v>
      </c>
      <c r="FV38" s="44"/>
      <c r="FW38" s="44"/>
      <c r="FX38" s="37">
        <f t="shared" si="44"/>
        <v>0</v>
      </c>
      <c r="FY38" s="56"/>
      <c r="FZ38" s="56"/>
      <c r="GA38" s="37">
        <f t="shared" si="45"/>
        <v>0</v>
      </c>
      <c r="GB38" s="56"/>
      <c r="GC38" s="56"/>
      <c r="GD38" s="37">
        <f t="shared" si="46"/>
        <v>0</v>
      </c>
      <c r="GE38" s="56"/>
      <c r="GF38" s="63"/>
      <c r="GG38" s="37">
        <f t="shared" si="47"/>
        <v>0</v>
      </c>
      <c r="GH38" s="48"/>
      <c r="GI38" s="56"/>
      <c r="GJ38" s="38">
        <f t="shared" si="48"/>
        <v>0</v>
      </c>
      <c r="GK38" s="56"/>
      <c r="GL38" s="44"/>
      <c r="GM38" s="38">
        <f t="shared" si="49"/>
        <v>0</v>
      </c>
      <c r="GN38" s="57"/>
      <c r="GO38" s="57"/>
      <c r="GP38" s="38">
        <f t="shared" si="99"/>
        <v>0</v>
      </c>
      <c r="GQ38" s="38"/>
      <c r="GR38" s="38"/>
      <c r="GS38" s="38">
        <f t="shared" si="81"/>
        <v>0</v>
      </c>
      <c r="GT38" s="178"/>
      <c r="GU38" s="144">
        <f>DailyJun!B37-DailyJun!N37-DailyJun!V37-DailyJun!Y37-DailyJun!Z37-DailyJun!AA37-DailyJun!AB37-DailyJun!AC37-DailyJun!AD37-DailyJun!AE37-DailyJun!AK37-DailyJun!AO37-DailyJun!AS37-DailyJun!AY37-DailyJun!BD37+DailyJun!BU37-DailyJun!BG37-DailyJun!BT37-DailyJun!AF37-DailyJun!AG37</f>
        <v>0</v>
      </c>
      <c r="GV38" s="59"/>
      <c r="GW38" s="60">
        <f t="shared" si="50"/>
        <v>0</v>
      </c>
      <c r="GX38" s="61"/>
      <c r="GY38" s="140"/>
      <c r="GZ38" s="74"/>
      <c r="HA38" s="62"/>
      <c r="HB38" s="62"/>
      <c r="HC38" s="74"/>
      <c r="HD38" s="74"/>
      <c r="HE38" s="24"/>
      <c r="HG38" s="213">
        <v>1</v>
      </c>
      <c r="HH38" s="16"/>
      <c r="HI38" s="16"/>
      <c r="HJ38" s="16">
        <f t="shared" si="52"/>
        <v>0</v>
      </c>
      <c r="HK38" s="16"/>
      <c r="HL38" s="16"/>
      <c r="HM38" s="16">
        <f t="shared" si="101"/>
        <v>0</v>
      </c>
      <c r="HN38" s="16"/>
      <c r="HO38" s="16"/>
      <c r="HP38" s="16">
        <f t="shared" si="54"/>
        <v>0</v>
      </c>
      <c r="HQ38" s="16"/>
      <c r="HR38" s="16"/>
      <c r="HS38" s="16">
        <f t="shared" si="55"/>
        <v>0</v>
      </c>
      <c r="HT38" s="16"/>
      <c r="HU38" s="16"/>
      <c r="HV38" s="16">
        <f t="shared" si="56"/>
        <v>0</v>
      </c>
      <c r="HW38" s="16"/>
      <c r="HX38" s="16"/>
      <c r="HY38" s="16">
        <f t="shared" si="57"/>
        <v>0</v>
      </c>
      <c r="HZ38" s="16"/>
      <c r="IA38" s="16"/>
      <c r="IB38" s="16">
        <f t="shared" si="58"/>
        <v>0</v>
      </c>
      <c r="IC38" s="16"/>
      <c r="ID38" s="16"/>
      <c r="IE38" s="16">
        <f t="shared" si="59"/>
        <v>0</v>
      </c>
      <c r="IF38" s="16"/>
      <c r="IG38" s="16"/>
      <c r="IH38" s="128">
        <f t="shared" si="60"/>
        <v>0</v>
      </c>
      <c r="II38" s="211">
        <f t="shared" si="125"/>
        <v>0</v>
      </c>
      <c r="IJ38" s="16"/>
      <c r="IK38" s="16"/>
      <c r="IL38" s="16">
        <f t="shared" si="102"/>
        <v>0</v>
      </c>
      <c r="IM38" s="16"/>
      <c r="IN38" s="16"/>
      <c r="IO38" s="16">
        <f t="shared" si="103"/>
        <v>0</v>
      </c>
      <c r="IP38" s="16"/>
      <c r="IQ38" s="16"/>
      <c r="IR38" s="16">
        <f t="shared" si="104"/>
        <v>0</v>
      </c>
      <c r="IS38" s="16"/>
      <c r="IT38" s="16"/>
      <c r="IU38" s="16">
        <f t="shared" si="105"/>
        <v>0</v>
      </c>
      <c r="IV38" s="16"/>
      <c r="IW38" s="16"/>
      <c r="IX38" s="16">
        <f t="shared" si="106"/>
        <v>0</v>
      </c>
      <c r="IY38" s="16"/>
      <c r="IZ38" s="16"/>
      <c r="JA38" s="16">
        <f t="shared" si="107"/>
        <v>0</v>
      </c>
      <c r="JB38" s="16"/>
      <c r="JC38" s="16"/>
      <c r="JD38" s="16">
        <f t="shared" si="108"/>
        <v>0</v>
      </c>
      <c r="JE38" s="16"/>
      <c r="JF38" s="16"/>
      <c r="JG38" s="16">
        <f t="shared" si="109"/>
        <v>0</v>
      </c>
      <c r="JH38" s="16"/>
      <c r="JI38" s="16"/>
      <c r="JJ38" s="16">
        <f t="shared" si="110"/>
        <v>0</v>
      </c>
      <c r="JK38" s="16"/>
      <c r="JL38" s="16"/>
      <c r="JM38" s="16">
        <f t="shared" si="111"/>
        <v>0</v>
      </c>
      <c r="JN38" s="16"/>
      <c r="JO38" s="16"/>
      <c r="JP38" s="16">
        <f t="shared" si="112"/>
        <v>0</v>
      </c>
      <c r="JQ38" s="16"/>
      <c r="JR38" s="16"/>
      <c r="JS38" s="16">
        <f t="shared" si="113"/>
        <v>0</v>
      </c>
      <c r="JT38" s="16"/>
      <c r="JU38" s="16"/>
      <c r="JV38" s="16">
        <f t="shared" si="114"/>
        <v>0</v>
      </c>
      <c r="JW38" s="16"/>
      <c r="JX38" s="16"/>
      <c r="JY38" s="16">
        <f t="shared" si="115"/>
        <v>0</v>
      </c>
      <c r="JZ38" s="16"/>
      <c r="KA38" s="16"/>
      <c r="KB38" s="16">
        <f t="shared" si="116"/>
        <v>0</v>
      </c>
      <c r="KC38" s="16"/>
      <c r="KD38" s="16"/>
      <c r="KE38" s="16">
        <f t="shared" si="117"/>
        <v>0</v>
      </c>
      <c r="KG38" s="151">
        <f t="shared" si="62"/>
        <v>0</v>
      </c>
    </row>
    <row r="39" spans="1:293" ht="15.75" thickBot="1" x14ac:dyDescent="0.3">
      <c r="A39" s="77" t="s">
        <v>37</v>
      </c>
      <c r="B39" s="78"/>
      <c r="C39" s="78">
        <f>SUM(C8:C38)</f>
        <v>331.50999999999931</v>
      </c>
      <c r="D39" s="78">
        <f>SUM(D8:D38)</f>
        <v>10608319.999999978</v>
      </c>
      <c r="E39" s="78"/>
      <c r="F39" s="78">
        <f>SUM(F8:F38)</f>
        <v>2076479.9999999991</v>
      </c>
      <c r="G39" s="78">
        <f>SUM(G8:G38)</f>
        <v>12684799.99999998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12593000</v>
      </c>
      <c r="O39" s="79"/>
      <c r="P39" s="79"/>
      <c r="Q39" s="78">
        <f>SUM(Q8:Q38)</f>
        <v>534200.0000000007</v>
      </c>
      <c r="R39" s="79">
        <f>AVERAGE(R8:R38)</f>
        <v>0.967741935483871</v>
      </c>
      <c r="S39" s="79"/>
      <c r="T39" s="78">
        <f>SUM(T8:T38)</f>
        <v>9454.1100000012666</v>
      </c>
      <c r="U39" s="79"/>
      <c r="V39" s="79">
        <f>SUM(V8:V38)</f>
        <v>0</v>
      </c>
      <c r="W39" s="79"/>
      <c r="X39" s="78">
        <f>SUM(X8:X38)</f>
        <v>522545.88999999943</v>
      </c>
      <c r="Y39" s="184"/>
      <c r="Z39" s="184"/>
      <c r="AA39" s="78"/>
      <c r="AB39" s="78"/>
      <c r="AC39" s="79"/>
      <c r="AD39" s="79"/>
      <c r="AE39" s="78">
        <f>SUM(AE8:AE38)</f>
        <v>179899.99999999965</v>
      </c>
      <c r="AF39" s="79">
        <f>AVERAGE(AF8:AF38)</f>
        <v>0.967741935483871</v>
      </c>
      <c r="AG39" s="79"/>
      <c r="AH39" s="79"/>
      <c r="AI39" s="78">
        <f>SUM(AI8:AI38)</f>
        <v>411533.16000000102</v>
      </c>
      <c r="AJ39" s="79">
        <f>AVERAGE(AJ8:AJ38)</f>
        <v>0.967741935483871</v>
      </c>
      <c r="AK39" s="78">
        <f>SUM(AK8:AK38)</f>
        <v>1123433.1600000018</v>
      </c>
      <c r="AL39" s="79"/>
      <c r="AM39" s="79"/>
      <c r="AN39" s="78">
        <f>SUM(AN8:AN38)</f>
        <v>177063.16000000082</v>
      </c>
      <c r="AO39" s="79">
        <f>AVERAGE(AO8:AO38)</f>
        <v>0.967741935483871</v>
      </c>
      <c r="AP39" s="79"/>
      <c r="AQ39" s="79"/>
      <c r="AR39" s="78">
        <f>SUM(AR8:AR38)</f>
        <v>313700.0000000007</v>
      </c>
      <c r="AS39" s="79">
        <f>AVERAGE(AS8:AS38)</f>
        <v>0.967741935483871</v>
      </c>
      <c r="AT39" s="184"/>
      <c r="AU39" s="184"/>
      <c r="AV39" s="184"/>
      <c r="AW39" s="184"/>
      <c r="AX39" s="79"/>
      <c r="AY39" s="79"/>
      <c r="AZ39" s="78">
        <f>SUM(AZ8:AZ38)</f>
        <v>13055.320000000007</v>
      </c>
      <c r="BA39" s="79"/>
      <c r="BB39" s="79"/>
      <c r="BC39" s="78">
        <f>SUM(BC8:BC38)</f>
        <v>19580.290000000008</v>
      </c>
      <c r="BD39" s="78">
        <f>SUM(BD8:BD38)</f>
        <v>523398.77000000153</v>
      </c>
      <c r="BE39" s="80"/>
      <c r="BF39" s="81"/>
      <c r="BG39" s="78">
        <f>SUM(BG8:BG38)</f>
        <v>53599.999999999913</v>
      </c>
      <c r="BH39" s="78"/>
      <c r="BI39" s="78"/>
      <c r="BJ39" s="78"/>
      <c r="BK39" s="80"/>
      <c r="BL39" s="78">
        <f>SUM(BL8:BL38)</f>
        <v>122770</v>
      </c>
      <c r="BM39" s="80"/>
      <c r="BN39" s="78">
        <f>SUM(BN8:BN38)</f>
        <v>20630</v>
      </c>
      <c r="BO39" s="187"/>
      <c r="BP39" s="188">
        <f>SUM(BP8:BP38)</f>
        <v>0</v>
      </c>
      <c r="BQ39" s="79"/>
      <c r="BR39" s="78">
        <f>SUM(BR8:BR38)</f>
        <v>17969.999999999913</v>
      </c>
      <c r="BS39" s="78"/>
      <c r="BT39" s="78"/>
      <c r="BU39" s="79"/>
      <c r="BV39" s="79"/>
      <c r="BW39" s="78">
        <f>SUM(BW8:BW38)</f>
        <v>236074</v>
      </c>
      <c r="BX39" s="79">
        <f>AVERAGE(BX8:BX38)</f>
        <v>0.967741935483871</v>
      </c>
      <c r="BY39" s="79"/>
      <c r="BZ39" s="79"/>
      <c r="CA39" s="78">
        <f>SUM(CA8:CA38)</f>
        <v>18274.700000000004</v>
      </c>
      <c r="CB39" s="78"/>
      <c r="CC39" s="79"/>
      <c r="CD39" s="79"/>
      <c r="CE39" s="79"/>
      <c r="CF39" s="78">
        <f>SUM(CF8:CF38)</f>
        <v>169449</v>
      </c>
      <c r="CG39" s="79"/>
      <c r="CH39" s="78">
        <f>SUM(CH8:CH38)</f>
        <v>0.79999999998835847</v>
      </c>
      <c r="CI39" s="79"/>
      <c r="CJ39" s="79"/>
      <c r="CK39" s="78">
        <f>SUM(CK8:CK38)</f>
        <v>488088.45999999926</v>
      </c>
      <c r="CL39" s="79">
        <f>AVERAGE(CL8:CL38)</f>
        <v>0.967741935483871</v>
      </c>
      <c r="CM39" s="79"/>
      <c r="CN39" s="79"/>
      <c r="CO39" s="78">
        <f>SUM(CO8:CO38)</f>
        <v>203132.16000000032</v>
      </c>
      <c r="CP39" s="79">
        <f>AVERAGE(CP8:CP38)</f>
        <v>0.967741935483871</v>
      </c>
      <c r="CQ39" s="82"/>
      <c r="CR39" s="83"/>
      <c r="CS39" s="78">
        <f>SUM(CS8:CS38)</f>
        <v>196822.36000000002</v>
      </c>
      <c r="CT39" s="79">
        <f>AVERAGE(CT8:CT38)</f>
        <v>0.967741935483871</v>
      </c>
      <c r="CU39" s="79"/>
      <c r="CV39" s="79"/>
      <c r="CW39" s="78">
        <f>SUM(CW8:CW38)</f>
        <v>514779</v>
      </c>
      <c r="CX39" s="79">
        <f>AVERAGE(CX8:CX38)</f>
        <v>0.967741935483871</v>
      </c>
      <c r="CY39" s="79"/>
      <c r="CZ39" s="79"/>
      <c r="DA39" s="78">
        <f>SUM(DA8:DA38)</f>
        <v>283988</v>
      </c>
      <c r="DB39" s="79">
        <f>AVERAGE(DB8:DB38)</f>
        <v>0.967741935483871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-1922883.9799999993</v>
      </c>
      <c r="DH39" s="78">
        <f>SUM(DH8:DH38)</f>
        <v>13770033.159999998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298400</v>
      </c>
      <c r="DS39" s="84"/>
      <c r="DT39" s="85">
        <f>SUMIF(DT7:DT38,"&gt;0")</f>
        <v>566100</v>
      </c>
      <c r="DU39" s="86"/>
      <c r="DV39" s="86"/>
      <c r="DW39" s="87">
        <f>SUMIF(DW8:DW38,"&gt;0")</f>
        <v>129200.00000000076</v>
      </c>
      <c r="DX39" s="86"/>
      <c r="DY39" s="86"/>
      <c r="DZ39" s="87">
        <f>SUMIF(DZ8:DZ38,"&gt;0")</f>
        <v>229733.16000000003</v>
      </c>
      <c r="EA39" s="86"/>
      <c r="EB39" s="86"/>
      <c r="EC39" s="87">
        <f>SUMIF(EC8:EC38,"&gt;0")</f>
        <v>733533.15999999992</v>
      </c>
      <c r="ED39" s="88">
        <f>SUMIF(ED8:ED38,"&gt;0")</f>
        <v>1092466.3200000008</v>
      </c>
      <c r="EE39" s="86"/>
      <c r="EF39" s="86"/>
      <c r="EG39" s="87">
        <f>SUMIF(EG8:EG38,"&gt;0")</f>
        <v>795533.1599999998</v>
      </c>
      <c r="EH39" s="86"/>
      <c r="EI39" s="86"/>
      <c r="EJ39" s="87">
        <f>SUMIF(EJ8:EJ38,"&gt;0")</f>
        <v>346733.16</v>
      </c>
      <c r="EK39" s="87"/>
      <c r="EL39" s="87"/>
      <c r="EM39" s="87">
        <f>SUMIF(EM8:EM38,"&gt;0")</f>
        <v>20899.999999999975</v>
      </c>
      <c r="EN39" s="89">
        <f>SUMIF(EN8:EN38,"&gt;0")</f>
        <v>1163166.3199999996</v>
      </c>
      <c r="EO39" s="48"/>
      <c r="EP39" s="48"/>
      <c r="EQ39" s="90">
        <f>SUMIF(EQ8:EQ38,"&gt;0")</f>
        <v>195833.16000000003</v>
      </c>
      <c r="ER39" s="90"/>
      <c r="ES39" s="90"/>
      <c r="ET39" s="90">
        <f>SUMIF(ET8:ET38,"&gt;0")</f>
        <v>377700.00000000081</v>
      </c>
      <c r="EU39" s="90"/>
      <c r="EV39" s="90"/>
      <c r="EW39" s="90">
        <f>SUMIF(EW8:EW38,"&gt;0")</f>
        <v>264733.16000000003</v>
      </c>
      <c r="EX39" s="48"/>
      <c r="EY39" s="48"/>
      <c r="EZ39" s="90">
        <f>SUMIF(EZ8:EZ38,"&gt;0")</f>
        <v>339733.16</v>
      </c>
      <c r="FA39" s="90"/>
      <c r="FB39" s="90"/>
      <c r="FC39" s="90"/>
      <c r="FD39" s="90">
        <f>SUMIF(FD8:FD38,"&gt;0")</f>
        <v>1227399.4800000007</v>
      </c>
      <c r="FE39" s="48"/>
      <c r="FF39" s="48"/>
      <c r="FG39" s="90">
        <f>SUMIF(FG8:FG38,"&gt;0")</f>
        <v>268187.19999999995</v>
      </c>
      <c r="FH39" s="90"/>
      <c r="FI39" s="90"/>
      <c r="FJ39" s="90">
        <f>SUMIF(FJ8:FJ38,"&gt;0")</f>
        <v>456987.20000000077</v>
      </c>
      <c r="FK39" s="90"/>
      <c r="FL39" s="90">
        <f>SUMIF(FL8:FL38,"&gt;0")</f>
        <v>3307.3599999999997</v>
      </c>
      <c r="FM39" s="90">
        <f>SUMIF(FM8:FM38,"&gt;0")</f>
        <v>932.28666666630909</v>
      </c>
      <c r="FN39" s="48"/>
      <c r="FO39" s="48"/>
      <c r="FP39" s="90">
        <f>SUMIF(FP8:FP38,"&gt;0")</f>
        <v>340287.20000000007</v>
      </c>
      <c r="FQ39" s="90"/>
      <c r="FR39" s="90"/>
      <c r="FS39" s="90">
        <f>SUMIF(FS8:FS38,"&gt;0")</f>
        <v>1036000</v>
      </c>
      <c r="FT39" s="90"/>
      <c r="FU39" s="90">
        <f>SUMIF(FU8:FU38,"&gt;0")</f>
        <v>1076761.600000001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1080</v>
      </c>
      <c r="GQ39" s="90"/>
      <c r="GR39" s="90"/>
      <c r="GS39" s="90">
        <f>SUM(GS8:GS38)</f>
        <v>7810</v>
      </c>
      <c r="GT39" s="178"/>
      <c r="GU39" s="90">
        <f>SUM(GU8:GU38)</f>
        <v>-0.23000002770447736</v>
      </c>
      <c r="GV39" s="90">
        <f>SUM(GV8:GV38)</f>
        <v>130997.17000000003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H39" s="16"/>
      <c r="HI39" s="16"/>
      <c r="HJ39" s="16">
        <f>SUM(HJ7:HJ38)</f>
        <v>4514000</v>
      </c>
      <c r="HK39" s="16"/>
      <c r="HL39" s="16"/>
      <c r="HM39" s="16">
        <f>SUM(HM7:HM38)</f>
        <v>0.22430000000000017</v>
      </c>
      <c r="HN39" s="16"/>
      <c r="HO39" s="16"/>
      <c r="HP39" s="16">
        <f>SUM(HP7:HP38)</f>
        <v>4683239.0549999997</v>
      </c>
      <c r="HQ39" s="16"/>
      <c r="HR39" s="16"/>
      <c r="HS39" s="16">
        <f>SUM(HS7:HS38)</f>
        <v>3667839.0549999997</v>
      </c>
      <c r="HT39" s="16"/>
      <c r="HU39" s="16"/>
      <c r="HV39" s="16">
        <f>SUM(HV7:HV38)</f>
        <v>3326239.0549999997</v>
      </c>
      <c r="HW39" s="16"/>
      <c r="HX39" s="16"/>
      <c r="HY39" s="16">
        <f>SUM(HY7:HY38)</f>
        <v>2171539.0549999997</v>
      </c>
      <c r="HZ39" s="16"/>
      <c r="IA39" s="16"/>
      <c r="IB39" s="16">
        <f>SUM(IB7:IB38)</f>
        <v>1232694</v>
      </c>
      <c r="IC39" s="16"/>
      <c r="ID39" s="16"/>
      <c r="IE39" s="16">
        <f>SUM(IE7:IE38)</f>
        <v>0</v>
      </c>
      <c r="IF39" s="16"/>
      <c r="IG39" s="16"/>
      <c r="IH39" s="16">
        <f>SUM(IH7:IH38)</f>
        <v>566100</v>
      </c>
      <c r="II39" s="211">
        <f>SUM(II8:II38)</f>
        <v>-11133649.9957</v>
      </c>
      <c r="IJ39" s="16"/>
      <c r="IK39" s="16"/>
      <c r="IL39" s="16">
        <f>SUM(IL7:IL38)</f>
        <v>0</v>
      </c>
      <c r="IM39" s="16"/>
      <c r="IN39" s="16"/>
      <c r="IO39" s="16">
        <f>SUM(IO7:IO38)</f>
        <v>0</v>
      </c>
      <c r="IP39" s="16"/>
      <c r="IQ39" s="16"/>
      <c r="IR39" s="16">
        <f>SUM(IR7:IR38)</f>
        <v>0</v>
      </c>
      <c r="IS39" s="16"/>
      <c r="IT39" s="16"/>
      <c r="IU39" s="16">
        <f>SUM(IU7:IU38)</f>
        <v>0</v>
      </c>
      <c r="IV39" s="16"/>
      <c r="IW39" s="16"/>
      <c r="IX39" s="16">
        <f>SUM(IX7:IX38)</f>
        <v>0</v>
      </c>
      <c r="IY39" s="16"/>
      <c r="IZ39" s="16"/>
      <c r="JA39" s="16">
        <f>SUM(JA7:JA38)</f>
        <v>0</v>
      </c>
      <c r="JB39" s="16"/>
      <c r="JC39" s="16"/>
      <c r="JD39" s="16">
        <f>SUM(JD7:JD38)</f>
        <v>0</v>
      </c>
      <c r="JE39" s="16"/>
      <c r="JF39" s="16"/>
      <c r="JG39" s="16">
        <f>SUM(JG7:JG38)</f>
        <v>0</v>
      </c>
      <c r="JH39" s="16"/>
      <c r="JI39" s="16"/>
      <c r="JJ39" s="16">
        <f>SUM(JJ7:JJ38)</f>
        <v>0</v>
      </c>
      <c r="JK39" s="16"/>
      <c r="JL39" s="16"/>
      <c r="JM39" s="16">
        <f>SUM(JM7:JM38)</f>
        <v>0</v>
      </c>
      <c r="JN39" s="16"/>
      <c r="JO39" s="16"/>
      <c r="JP39" s="16">
        <f>SUM(JP7:JP38)</f>
        <v>0</v>
      </c>
      <c r="JQ39" s="16"/>
      <c r="JR39" s="16"/>
      <c r="JS39" s="16">
        <f>SUM(JS7:JS38)</f>
        <v>0</v>
      </c>
      <c r="JT39" s="16"/>
      <c r="JU39" s="16"/>
      <c r="JV39" s="16">
        <f>SUM(JV7:JV38)</f>
        <v>0</v>
      </c>
      <c r="JW39" s="16"/>
      <c r="JX39" s="16"/>
      <c r="JY39" s="16">
        <f>SUM(JY7:JY38)</f>
        <v>0</v>
      </c>
      <c r="JZ39" s="16"/>
      <c r="KA39" s="16"/>
      <c r="KB39" s="16">
        <f>SUM(KB7:KB38)</f>
        <v>0</v>
      </c>
      <c r="KC39" s="16"/>
      <c r="KD39" s="16"/>
      <c r="KE39" s="16">
        <f>SUM(KE7:KE38)</f>
        <v>0</v>
      </c>
      <c r="KG39">
        <f>SUM(KG7:KG38)</f>
        <v>-5217716.9407000002</v>
      </c>
    </row>
    <row r="40" spans="1:293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74"/>
    </row>
    <row r="41" spans="1:293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419" t="s">
        <v>208</v>
      </c>
      <c r="BV41" s="419"/>
      <c r="BW41" s="419"/>
      <c r="BY41" s="406" t="s">
        <v>205</v>
      </c>
      <c r="BZ41" s="406"/>
      <c r="CA41" s="406"/>
      <c r="CC41" s="91"/>
      <c r="CE41" s="95"/>
      <c r="CF41" s="95"/>
      <c r="CG41" s="95"/>
      <c r="CH41" s="96"/>
      <c r="CI41" s="92"/>
      <c r="CJ41" s="92"/>
      <c r="CK41" s="92"/>
      <c r="CL41" s="92"/>
      <c r="CZ41" s="91"/>
      <c r="DB41" s="91"/>
      <c r="DS41" s="24"/>
      <c r="DT41" s="151"/>
      <c r="DU41" s="406" t="s">
        <v>205</v>
      </c>
      <c r="DV41" s="406"/>
      <c r="DW41" s="406"/>
      <c r="DX41" s="406" t="s">
        <v>203</v>
      </c>
      <c r="DY41" s="406"/>
      <c r="DZ41" s="406"/>
      <c r="EA41" s="406" t="s">
        <v>204</v>
      </c>
      <c r="EB41" s="406"/>
      <c r="EC41" s="406"/>
      <c r="EE41" t="s">
        <v>108</v>
      </c>
      <c r="EF41" s="3"/>
      <c r="EJ41" s="2"/>
      <c r="EK41" s="174"/>
      <c r="EL41" s="174"/>
      <c r="EN41" s="2"/>
      <c r="EO41" s="406" t="s">
        <v>155</v>
      </c>
      <c r="EP41" s="406"/>
      <c r="EQ41" s="406"/>
      <c r="ER41" s="406" t="s">
        <v>135</v>
      </c>
      <c r="ES41" s="406"/>
      <c r="ET41" s="406"/>
      <c r="EU41" s="406" t="s">
        <v>155</v>
      </c>
      <c r="EV41" s="406"/>
      <c r="EW41" s="406"/>
      <c r="EX41" s="406"/>
      <c r="EY41" s="406"/>
      <c r="EZ41" s="406"/>
      <c r="FE41" s="407" t="s">
        <v>155</v>
      </c>
      <c r="FF41" s="407"/>
      <c r="FG41" s="407"/>
      <c r="FH41" s="406" t="s">
        <v>135</v>
      </c>
      <c r="FI41" s="406"/>
      <c r="FJ41" s="406"/>
      <c r="FO41" s="407" t="s">
        <v>155</v>
      </c>
      <c r="FP41" s="407"/>
      <c r="FQ41" s="407"/>
      <c r="FX41" s="91">
        <f>SUM(FX8:FX38)</f>
        <v>809500</v>
      </c>
      <c r="GA41" s="91">
        <f>SUM(GA8:GA38)</f>
        <v>211590.00000000006</v>
      </c>
      <c r="GG41" s="91">
        <f>SUM(GG8:GG38)</f>
        <v>208299.99999999971</v>
      </c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X41" s="151"/>
    </row>
    <row r="42" spans="1:293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28">BW8</f>
        <v>8700</v>
      </c>
      <c r="CE42" s="96">
        <f t="shared" ref="CE42:CE45" si="129">CD42-CF43</f>
        <v>8009.0999999999767</v>
      </c>
      <c r="CF42" s="98">
        <f t="shared" ref="CF42:CF46" si="130">CD42-CE42</f>
        <v>690.90000000002328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414" t="s">
        <v>224</v>
      </c>
      <c r="DR42" s="414"/>
      <c r="DS42" s="414"/>
      <c r="DT42" s="414"/>
      <c r="EE42" t="s">
        <v>109</v>
      </c>
      <c r="EJ42" s="3"/>
      <c r="EK42" s="174"/>
      <c r="EL42" s="174"/>
      <c r="EN42" s="2"/>
      <c r="EO42" s="151"/>
      <c r="FF42" s="416" t="s">
        <v>243</v>
      </c>
      <c r="FG42" s="416"/>
      <c r="FH42" s="416" t="s">
        <v>246</v>
      </c>
      <c r="FI42" s="416"/>
      <c r="FJ42" s="415" t="s">
        <v>247</v>
      </c>
      <c r="FK42" s="415"/>
      <c r="FL42" s="415" t="s">
        <v>245</v>
      </c>
      <c r="FM42" s="415"/>
      <c r="FN42" s="416" t="s">
        <v>37</v>
      </c>
      <c r="FO42" s="418" t="s">
        <v>310</v>
      </c>
      <c r="FP42" s="406"/>
      <c r="FQ42" s="500"/>
      <c r="FR42" s="402" t="s">
        <v>1</v>
      </c>
      <c r="FS42" s="402" t="s">
        <v>306</v>
      </c>
      <c r="FT42" s="402"/>
      <c r="FU42" s="402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4514000</v>
      </c>
      <c r="HJ42" s="16"/>
      <c r="HT42" s="151"/>
      <c r="HX42" s="151"/>
      <c r="IH42" s="16"/>
      <c r="II42" s="16" t="s">
        <v>290</v>
      </c>
      <c r="IJ42" s="16"/>
      <c r="IK42" s="16"/>
      <c r="IL42" s="16"/>
      <c r="JN42" t="s">
        <v>296</v>
      </c>
    </row>
    <row r="43" spans="1:293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28"/>
        <v>7500</v>
      </c>
      <c r="CE43" s="96">
        <f t="shared" si="129"/>
        <v>6809.0999999999767</v>
      </c>
      <c r="CF43" s="98">
        <f t="shared" si="130"/>
        <v>690.90000000002328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408" t="s">
        <v>225</v>
      </c>
      <c r="DR43" s="409"/>
      <c r="DS43" s="408" t="s">
        <v>226</v>
      </c>
      <c r="DT43" s="409"/>
      <c r="EE43" t="s">
        <v>110</v>
      </c>
      <c r="EJ43" s="2"/>
      <c r="EK43" s="174"/>
      <c r="EL43" s="174"/>
      <c r="EN43" s="3"/>
      <c r="EO43" s="151"/>
      <c r="EZ43" s="416" t="s">
        <v>241</v>
      </c>
      <c r="FA43" s="416" t="s">
        <v>242</v>
      </c>
      <c r="FB43" s="416" t="s">
        <v>37</v>
      </c>
      <c r="FD43" s="3"/>
      <c r="FF43" s="416"/>
      <c r="FG43" s="416"/>
      <c r="FH43" s="416"/>
      <c r="FI43" s="416"/>
      <c r="FJ43" s="415"/>
      <c r="FK43" s="415"/>
      <c r="FL43" s="415"/>
      <c r="FM43" s="415"/>
      <c r="FN43" s="416"/>
      <c r="FO43" s="418"/>
      <c r="FP43" s="406"/>
      <c r="FQ43" s="500"/>
      <c r="FR43" s="402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0.22430000000000017</v>
      </c>
      <c r="HJ43" s="16"/>
      <c r="HT43" s="151"/>
      <c r="HV43" s="151"/>
      <c r="HW43" s="151"/>
      <c r="HX43" s="151"/>
      <c r="IH43" s="16"/>
      <c r="II43" s="16" t="s">
        <v>291</v>
      </c>
      <c r="IJ43" s="16"/>
      <c r="IK43" s="16"/>
      <c r="IL43" s="16"/>
      <c r="JN43">
        <f t="shared" ref="JN43:JN63" si="131">HY15-JP15</f>
        <v>20357.499999999909</v>
      </c>
    </row>
    <row r="44" spans="1:293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128"/>
        <v>9200</v>
      </c>
      <c r="CE44" s="96">
        <f t="shared" si="129"/>
        <v>8509.0999999999767</v>
      </c>
      <c r="CF44" s="98">
        <f t="shared" si="130"/>
        <v>690.90000000002328</v>
      </c>
      <c r="CG44" s="96">
        <v>4450.1999999999753</v>
      </c>
      <c r="CH44" s="96">
        <f t="shared" ref="CH44:CH46" si="132">CG44-CD10-CH10</f>
        <v>2330.1999999999753</v>
      </c>
      <c r="CI44" s="92"/>
      <c r="CJ44" s="92"/>
      <c r="CK44" s="92"/>
      <c r="CL44" s="92"/>
      <c r="CQ44" s="161"/>
      <c r="CR44" s="161"/>
      <c r="CV44" s="91"/>
      <c r="DQ44" s="410"/>
      <c r="DR44" s="411"/>
      <c r="DS44" s="410"/>
      <c r="DT44" s="411"/>
      <c r="EE44" t="s">
        <v>111</v>
      </c>
      <c r="EJ44" s="2"/>
      <c r="EV44" t="s">
        <v>235</v>
      </c>
      <c r="EZ44" s="416"/>
      <c r="FA44" s="416"/>
      <c r="FB44" s="416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416"/>
      <c r="FO44" s="418"/>
      <c r="FP44" s="406"/>
      <c r="FQ44" s="500"/>
      <c r="FR44" s="16">
        <v>1</v>
      </c>
      <c r="FS44" s="16">
        <v>652.61</v>
      </c>
      <c r="FT44" s="16">
        <v>334.14</v>
      </c>
      <c r="FU44" s="16"/>
      <c r="FV44" s="16"/>
      <c r="FW44" s="16"/>
      <c r="HD44" s="74"/>
      <c r="HH44" s="16" t="s">
        <v>272</v>
      </c>
      <c r="HI44" s="16">
        <f>HS39</f>
        <v>3667839.0549999997</v>
      </c>
      <c r="HJ44" s="16"/>
      <c r="HT44" s="151"/>
      <c r="HV44" s="151"/>
      <c r="HW44" s="151"/>
      <c r="HX44" s="151"/>
      <c r="IH44" s="16"/>
      <c r="II44" s="16"/>
      <c r="IJ44" s="16" t="s">
        <v>292</v>
      </c>
      <c r="IK44" s="16"/>
      <c r="IL44" s="16" t="s">
        <v>292</v>
      </c>
      <c r="JN44">
        <f t="shared" si="131"/>
        <v>11777.499999999909</v>
      </c>
    </row>
    <row r="45" spans="1:293" x14ac:dyDescent="0.25">
      <c r="A45" s="35">
        <v>30</v>
      </c>
      <c r="B45" s="138">
        <v>0.37280000000000002</v>
      </c>
      <c r="C45" s="65"/>
      <c r="D45" s="55"/>
      <c r="E45" s="16">
        <v>25732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28"/>
        <v>6982</v>
      </c>
      <c r="CE45" s="96">
        <f t="shared" si="129"/>
        <v>6291.0999999999767</v>
      </c>
      <c r="CF45" s="98">
        <f t="shared" si="130"/>
        <v>690.90000000002328</v>
      </c>
      <c r="CG45" s="96">
        <v>4316.1999999999753</v>
      </c>
      <c r="CH45" s="96">
        <f t="shared" si="132"/>
        <v>3664.3999999999287</v>
      </c>
      <c r="CI45" s="92"/>
      <c r="CJ45" s="92"/>
      <c r="CK45" s="92"/>
      <c r="CL45" s="92"/>
      <c r="DQ45" s="412"/>
      <c r="DR45" s="413"/>
      <c r="DS45" s="412"/>
      <c r="DT45" s="413"/>
      <c r="EE45" t="s">
        <v>114</v>
      </c>
      <c r="EV45" t="s">
        <v>236</v>
      </c>
      <c r="EW45" s="406" t="s">
        <v>238</v>
      </c>
      <c r="EX45" s="406"/>
      <c r="EZ45" s="203">
        <f>EZ8</f>
        <v>10279.68</v>
      </c>
      <c r="FA45" s="205">
        <f>FP8</f>
        <v>10823.01</v>
      </c>
      <c r="FB45" s="201">
        <f>EZ45+FA45</f>
        <v>21102.690000000002</v>
      </c>
      <c r="FC45" s="16">
        <f>85*0.6355*24</f>
        <v>1296.42</v>
      </c>
      <c r="FD45" s="167">
        <f>FB45-$FC$45</f>
        <v>19806.270000000004</v>
      </c>
      <c r="FE45" s="16"/>
      <c r="FF45" s="199">
        <f t="shared" ref="FF45:FF74" si="133">FQ45</f>
        <v>0.48967162616521376</v>
      </c>
      <c r="FG45" s="200">
        <f t="shared" ref="FG45:FG74" si="134">1-FF45</f>
        <v>0.51032837383478624</v>
      </c>
      <c r="FH45" s="16">
        <f>FF45*$FC$45</f>
        <v>634.82008959310645</v>
      </c>
      <c r="FI45" s="179">
        <f>FG45*$FC$45</f>
        <v>661.59991040689363</v>
      </c>
      <c r="FJ45" s="179">
        <f>FF45*FD45</f>
        <v>9698.5684391672894</v>
      </c>
      <c r="FK45" s="179">
        <f>FG45*FD45</f>
        <v>10107.701560832715</v>
      </c>
      <c r="FL45" s="204">
        <f>FH45+FJ45</f>
        <v>10333.388528760395</v>
      </c>
      <c r="FM45" s="206">
        <f>FI45+FK45</f>
        <v>10769.301471239609</v>
      </c>
      <c r="FN45" s="202">
        <f>FL45+FM45</f>
        <v>21102.690000000002</v>
      </c>
      <c r="FO45">
        <v>48.643000000000001</v>
      </c>
      <c r="FP45">
        <v>50.694999999999993</v>
      </c>
      <c r="FQ45" s="217">
        <f>FO45/(FO45+FP45)</f>
        <v>0.48967162616521376</v>
      </c>
      <c r="FR45" s="16">
        <v>2</v>
      </c>
      <c r="FS45" s="16">
        <v>654.35</v>
      </c>
      <c r="FT45" s="16">
        <v>335.27</v>
      </c>
      <c r="FU45" s="16">
        <f t="shared" ref="FU45:FU74" si="135">(FS45-FS44)*1000</f>
        <v>1740.0000000000091</v>
      </c>
      <c r="FV45" s="16">
        <f t="shared" ref="FV45:FV75" si="136">FU45/2</f>
        <v>870.00000000000455</v>
      </c>
      <c r="FW45" s="16">
        <f t="shared" ref="FW45:FW75" si="137">FU45/2</f>
        <v>870.00000000000455</v>
      </c>
      <c r="HD45" s="74"/>
      <c r="HH45" s="16" t="s">
        <v>273</v>
      </c>
      <c r="HI45" s="16">
        <f>HV39</f>
        <v>3326239.0549999997</v>
      </c>
      <c r="HJ45" s="179"/>
      <c r="HR45" s="151"/>
      <c r="HS45" s="151"/>
      <c r="HT45" s="151"/>
      <c r="HV45" s="151"/>
      <c r="HW45" s="151"/>
      <c r="IG45" s="151"/>
      <c r="IH45" s="16">
        <v>1</v>
      </c>
      <c r="II45" s="144">
        <f>DailyJun!BX7+DailyJun!BY7-DailyJun!BZ7-DailyJun!CA7-DailyJun!CB7-DailyJun!CC7-DailyJun!CD7-DailyJun!CF7-DailyJun!CE7</f>
        <v>-2.7648638933897018E-10</v>
      </c>
      <c r="IJ45" s="16">
        <v>-570</v>
      </c>
      <c r="IK45" s="16">
        <f>IJ45/4</f>
        <v>-142.5</v>
      </c>
      <c r="IL45" s="16">
        <v>-142.5</v>
      </c>
      <c r="JN45">
        <f t="shared" si="131"/>
        <v>17545</v>
      </c>
    </row>
    <row r="46" spans="1:293" x14ac:dyDescent="0.25">
      <c r="A46" s="35">
        <v>1</v>
      </c>
      <c r="B46" s="138">
        <v>0.37280000000000002</v>
      </c>
      <c r="C46" s="65"/>
      <c r="D46" s="37">
        <f>IF((B46-B45)&lt;=0,0,(B46-B45))*1000000</f>
        <v>0</v>
      </c>
      <c r="E46" s="16">
        <v>25819</v>
      </c>
      <c r="F46" s="16"/>
      <c r="G46" s="37">
        <f t="shared" ref="G46:G77" si="138">IF((E46-E45)&lt;=0,0,(E46-E45))*1000</f>
        <v>87000</v>
      </c>
      <c r="H46" s="138"/>
      <c r="I46" s="65"/>
      <c r="J46" s="37">
        <f t="shared" ref="J46:J75" si="139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>
        <f t="shared" si="128"/>
        <v>6523</v>
      </c>
      <c r="CE46" s="96">
        <f>CD46-CF47</f>
        <v>5832.0999999999767</v>
      </c>
      <c r="CF46" s="98">
        <f t="shared" si="130"/>
        <v>690.90000000002328</v>
      </c>
      <c r="CG46" s="96">
        <v>3692.1999999999753</v>
      </c>
      <c r="CH46" s="96">
        <f t="shared" si="132"/>
        <v>3692.1999999999753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40">EZ9</f>
        <v>11829.91</v>
      </c>
      <c r="FA46" s="205">
        <f t="shared" ref="FA46:FA75" si="141">FP9</f>
        <v>11308.24</v>
      </c>
      <c r="FB46" s="201">
        <f t="shared" ref="FB46:FB75" si="142">EZ46+FA46</f>
        <v>23138.15</v>
      </c>
      <c r="FC46" s="16"/>
      <c r="FD46" s="167">
        <f t="shared" ref="FD46:FD75" si="143">FB46-$FC$45</f>
        <v>21841.730000000003</v>
      </c>
      <c r="FE46" s="16"/>
      <c r="FF46" s="199">
        <f t="shared" si="133"/>
        <v>0.50042105059382658</v>
      </c>
      <c r="FG46" s="200">
        <f t="shared" si="134"/>
        <v>0.49957894940617342</v>
      </c>
      <c r="FH46" s="16">
        <f t="shared" ref="FH46:FI75" si="144">FF46*$FC$45</f>
        <v>648.75585841084865</v>
      </c>
      <c r="FI46" s="179">
        <f t="shared" si="144"/>
        <v>647.66414158915143</v>
      </c>
      <c r="FJ46" s="179">
        <f t="shared" ref="FJ46:FJ75" si="145">FF46*FD46</f>
        <v>10930.061473386701</v>
      </c>
      <c r="FK46" s="179">
        <f t="shared" ref="FK46:FK75" si="146">FG46*FD46</f>
        <v>10911.668526613303</v>
      </c>
      <c r="FL46" s="204">
        <f t="shared" ref="FL46:FM75" si="147">FH46+FJ46</f>
        <v>11578.817331797549</v>
      </c>
      <c r="FM46" s="206">
        <f t="shared" si="147"/>
        <v>11559.332668202454</v>
      </c>
      <c r="FN46" s="202">
        <f t="shared" ref="FN46:FN75" si="148">FL46+FM46</f>
        <v>23138.15</v>
      </c>
      <c r="FO46">
        <v>51.7</v>
      </c>
      <c r="FP46">
        <v>51.613</v>
      </c>
      <c r="FQ46" s="217">
        <f t="shared" ref="FQ46:FQ71" si="149">FO46/(FO46+FP46)</f>
        <v>0.50042105059382658</v>
      </c>
      <c r="FR46" s="16">
        <v>3</v>
      </c>
      <c r="FS46" s="16">
        <v>656.08</v>
      </c>
      <c r="FT46" s="16">
        <v>336.39</v>
      </c>
      <c r="FU46" s="16">
        <f t="shared" si="135"/>
        <v>1730.0000000000182</v>
      </c>
      <c r="FV46" s="16">
        <f t="shared" si="136"/>
        <v>865.00000000000909</v>
      </c>
      <c r="FW46" s="16">
        <f t="shared" si="137"/>
        <v>865.00000000000909</v>
      </c>
      <c r="HH46" s="16" t="s">
        <v>274</v>
      </c>
      <c r="HI46" s="16">
        <f>HY39</f>
        <v>2171539.0549999997</v>
      </c>
      <c r="HJ46" s="16"/>
      <c r="HV46" s="151"/>
      <c r="IH46" s="16">
        <v>2</v>
      </c>
      <c r="II46" s="144">
        <f>DailyJun!BX8+DailyJun!BY8-DailyJun!BZ8-DailyJun!CA8-DailyJun!CB8-DailyJun!CC8-DailyJun!CD8-DailyJun!CF8-DailyJun!CE8</f>
        <v>5.9662852436304092E-10</v>
      </c>
      <c r="IJ46" s="16">
        <v>-560</v>
      </c>
      <c r="IK46" s="16">
        <f t="shared" ref="IK46:IK75" si="150">IJ46/4</f>
        <v>-140</v>
      </c>
      <c r="IL46" s="16">
        <v>-140</v>
      </c>
      <c r="JN46">
        <f t="shared" si="131"/>
        <v>21432.500000000044</v>
      </c>
    </row>
    <row r="47" spans="1:293" x14ac:dyDescent="0.25">
      <c r="A47" s="35">
        <v>2</v>
      </c>
      <c r="B47" s="138">
        <v>0.37280000000000002</v>
      </c>
      <c r="C47" s="65"/>
      <c r="D47" s="37">
        <f t="shared" ref="D47:D77" si="151">IF((B47-B46)&lt;=0,0,(B47-B46))*1000000</f>
        <v>0</v>
      </c>
      <c r="E47" s="16">
        <v>25901</v>
      </c>
      <c r="F47" s="16"/>
      <c r="G47" s="37">
        <f t="shared" si="138"/>
        <v>82000</v>
      </c>
      <c r="H47" s="138"/>
      <c r="I47" s="65"/>
      <c r="J47" s="37">
        <f t="shared" si="139"/>
        <v>0</v>
      </c>
      <c r="BH47" s="96"/>
      <c r="BI47" s="96"/>
      <c r="BJ47" s="96"/>
      <c r="CC47" s="91"/>
      <c r="CD47" s="91">
        <f>BW13</f>
        <v>7112</v>
      </c>
      <c r="CE47" s="96">
        <f>CD13+CF13+CH13</f>
        <v>6421.0999999999767</v>
      </c>
      <c r="CF47" s="98">
        <f>CD47-CE47</f>
        <v>690.90000000002328</v>
      </c>
      <c r="CG47" s="96">
        <v>5653.1999999999753</v>
      </c>
      <c r="CH47" s="96">
        <f>CG47-CD13-CH13</f>
        <v>5000.0999999999985</v>
      </c>
      <c r="CI47" s="92"/>
      <c r="CJ47" s="92"/>
      <c r="CK47" s="92"/>
      <c r="CL47" s="92"/>
      <c r="CN47" s="91"/>
      <c r="DP47">
        <v>31</v>
      </c>
      <c r="DQ47" s="50">
        <v>8.2584</v>
      </c>
      <c r="DR47" s="49"/>
      <c r="DS47" s="50">
        <v>51.348999999999997</v>
      </c>
      <c r="DT47" s="49"/>
      <c r="EV47" t="s">
        <v>239</v>
      </c>
      <c r="EZ47" s="203">
        <f t="shared" si="140"/>
        <v>9248.9699999999993</v>
      </c>
      <c r="FA47" s="205">
        <f t="shared" si="141"/>
        <v>11128.97</v>
      </c>
      <c r="FB47" s="201">
        <f t="shared" si="142"/>
        <v>20377.939999999999</v>
      </c>
      <c r="FC47" s="16"/>
      <c r="FD47" s="167">
        <f t="shared" si="143"/>
        <v>19081.519999999997</v>
      </c>
      <c r="FE47" s="16"/>
      <c r="FF47" s="199">
        <f t="shared" si="133"/>
        <v>0.44913602560891958</v>
      </c>
      <c r="FG47" s="200">
        <f t="shared" si="134"/>
        <v>0.55086397439108037</v>
      </c>
      <c r="FH47" s="16">
        <f t="shared" si="144"/>
        <v>582.26892631991552</v>
      </c>
      <c r="FI47" s="179">
        <f t="shared" si="144"/>
        <v>714.15107368008444</v>
      </c>
      <c r="FJ47" s="179">
        <f t="shared" si="145"/>
        <v>8570.19805537711</v>
      </c>
      <c r="FK47" s="179">
        <f t="shared" si="146"/>
        <v>10511.321944622887</v>
      </c>
      <c r="FL47" s="204">
        <f t="shared" si="147"/>
        <v>9152.4669816970254</v>
      </c>
      <c r="FM47" s="206">
        <f t="shared" si="147"/>
        <v>11225.473018302971</v>
      </c>
      <c r="FN47" s="202">
        <f t="shared" si="148"/>
        <v>20377.939999999995</v>
      </c>
      <c r="FO47">
        <v>41.25</v>
      </c>
      <c r="FP47">
        <v>50.593000000000004</v>
      </c>
      <c r="FQ47" s="217">
        <f t="shared" si="149"/>
        <v>0.44913602560891958</v>
      </c>
      <c r="FR47" s="16">
        <v>4</v>
      </c>
      <c r="FS47" s="16">
        <v>657.8</v>
      </c>
      <c r="FT47" s="16">
        <v>337.5</v>
      </c>
      <c r="FU47" s="16">
        <f t="shared" si="135"/>
        <v>1719.9999999999136</v>
      </c>
      <c r="FV47" s="16">
        <f t="shared" si="136"/>
        <v>859.9999999999568</v>
      </c>
      <c r="FW47" s="16">
        <f t="shared" si="137"/>
        <v>859.9999999999568</v>
      </c>
      <c r="HH47" s="16" t="s">
        <v>319</v>
      </c>
      <c r="HI47" s="16">
        <f>HP39</f>
        <v>4683239.0549999997</v>
      </c>
      <c r="HJ47" s="16"/>
      <c r="HT47" s="151"/>
      <c r="HV47" s="151"/>
      <c r="HW47" s="151"/>
      <c r="IH47" s="16">
        <v>3</v>
      </c>
      <c r="II47" s="144">
        <f>DailyJun!BX9+DailyJun!BY9-DailyJun!BZ9-DailyJun!CA9-DailyJun!CB9-DailyJun!CC9-DailyJun!CD9-DailyJun!CF9-DailyJun!CE9</f>
        <v>-2.7648638933897018E-10</v>
      </c>
      <c r="IJ47" s="16">
        <v>340</v>
      </c>
      <c r="IK47" s="16">
        <f t="shared" si="150"/>
        <v>85</v>
      </c>
      <c r="IL47" s="16">
        <v>85</v>
      </c>
      <c r="JN47">
        <f t="shared" si="131"/>
        <v>20747.499999999956</v>
      </c>
    </row>
    <row r="48" spans="1:293" x14ac:dyDescent="0.25">
      <c r="A48" s="35">
        <v>3</v>
      </c>
      <c r="B48" s="138">
        <v>0.37280000000000002</v>
      </c>
      <c r="C48" s="65"/>
      <c r="D48" s="37">
        <f t="shared" si="151"/>
        <v>0</v>
      </c>
      <c r="E48" s="16">
        <v>25978</v>
      </c>
      <c r="F48" s="16"/>
      <c r="G48" s="37">
        <f t="shared" si="138"/>
        <v>77000</v>
      </c>
      <c r="H48" s="138"/>
      <c r="I48" s="65"/>
      <c r="J48" s="37">
        <f t="shared" si="139"/>
        <v>0</v>
      </c>
      <c r="AL48" s="101"/>
      <c r="AM48" s="101"/>
      <c r="AN48" s="101"/>
      <c r="AP48" s="405"/>
      <c r="AQ48" s="405"/>
      <c r="AR48" s="405"/>
      <c r="AS48" s="405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v>1</v>
      </c>
      <c r="DQ48" s="50">
        <v>8.2584</v>
      </c>
      <c r="DR48" s="49">
        <f t="shared" ref="DR48:DR78" si="152">IF((DQ48-DQ47)&lt;=0,0,(DQ48-DQ47))*10000</f>
        <v>0</v>
      </c>
      <c r="DS48" s="50">
        <v>51.348999999999997</v>
      </c>
      <c r="DT48" s="49">
        <f t="shared" ref="DT48:DT56" si="153">IF((DS48-DS47)&lt;=0,0,(DS48-DS47))*1000</f>
        <v>0</v>
      </c>
      <c r="EE48" s="406" t="s">
        <v>206</v>
      </c>
      <c r="EF48" s="406"/>
      <c r="EG48" s="406"/>
      <c r="EH48" s="406" t="s">
        <v>155</v>
      </c>
      <c r="EI48" s="406"/>
      <c r="EJ48" s="406"/>
      <c r="EK48" s="406" t="s">
        <v>207</v>
      </c>
      <c r="EL48" s="406"/>
      <c r="EM48" s="406"/>
      <c r="EV48" s="406" t="s">
        <v>240</v>
      </c>
      <c r="EW48" s="406"/>
      <c r="EX48">
        <f>85*0.6355*24</f>
        <v>1296.42</v>
      </c>
      <c r="EZ48" s="203">
        <f t="shared" si="140"/>
        <v>11946.33</v>
      </c>
      <c r="FA48" s="205">
        <f t="shared" si="141"/>
        <v>11333</v>
      </c>
      <c r="FB48" s="201">
        <f t="shared" si="142"/>
        <v>23279.33</v>
      </c>
      <c r="FC48" s="16"/>
      <c r="FD48" s="167">
        <f t="shared" si="143"/>
        <v>21982.910000000003</v>
      </c>
      <c r="FE48" s="16"/>
      <c r="FF48" s="199">
        <f t="shared" si="133"/>
        <v>0.48134829644743887</v>
      </c>
      <c r="FG48" s="200">
        <f t="shared" si="134"/>
        <v>0.51865170355256107</v>
      </c>
      <c r="FH48" s="16">
        <f t="shared" si="144"/>
        <v>624.02955848038869</v>
      </c>
      <c r="FI48" s="179">
        <f t="shared" si="144"/>
        <v>672.39044151961127</v>
      </c>
      <c r="FJ48" s="179">
        <f t="shared" si="145"/>
        <v>10581.43627945737</v>
      </c>
      <c r="FK48" s="179">
        <f t="shared" si="146"/>
        <v>11401.473720542632</v>
      </c>
      <c r="FL48" s="204">
        <f t="shared" si="147"/>
        <v>11205.465837937758</v>
      </c>
      <c r="FM48" s="206">
        <f t="shared" si="147"/>
        <v>12073.864162062244</v>
      </c>
      <c r="FN48" s="202">
        <f t="shared" si="148"/>
        <v>23279.33</v>
      </c>
      <c r="FO48">
        <v>47.652999999999999</v>
      </c>
      <c r="FP48">
        <v>51.346000000000004</v>
      </c>
      <c r="FQ48" s="217">
        <f t="shared" si="149"/>
        <v>0.48134829644743887</v>
      </c>
      <c r="FR48" s="16">
        <v>5</v>
      </c>
      <c r="FS48" s="16">
        <v>659.68</v>
      </c>
      <c r="FT48" s="16">
        <v>338.72</v>
      </c>
      <c r="FU48" s="16">
        <f t="shared" si="135"/>
        <v>1879.9999999999955</v>
      </c>
      <c r="FV48" s="16">
        <f t="shared" si="136"/>
        <v>939.99999999999773</v>
      </c>
      <c r="FW48" s="16">
        <f t="shared" si="137"/>
        <v>939.99999999999773</v>
      </c>
      <c r="HH48" s="16" t="s">
        <v>347</v>
      </c>
      <c r="HI48" s="16">
        <f>IB39</f>
        <v>1232694</v>
      </c>
      <c r="HJ48" s="16"/>
      <c r="HT48" s="151"/>
      <c r="IH48" s="16">
        <v>4</v>
      </c>
      <c r="II48" s="144">
        <f>DailyJun!BX10+DailyJun!BY10-DailyJun!BZ10-DailyJun!CA10-DailyJun!CB10-DailyJun!CC10-DailyJun!CD10-DailyJun!CF10-DailyJun!CE10</f>
        <v>1.3096723705530167E-10</v>
      </c>
      <c r="IJ48" s="16">
        <v>660</v>
      </c>
      <c r="IK48" s="16">
        <f t="shared" si="150"/>
        <v>165</v>
      </c>
      <c r="IL48" s="16">
        <v>165</v>
      </c>
      <c r="JN48">
        <f t="shared" si="131"/>
        <v>19407.500000000091</v>
      </c>
    </row>
    <row r="49" spans="1:274" x14ac:dyDescent="0.25">
      <c r="A49" s="35">
        <v>4</v>
      </c>
      <c r="B49" s="138">
        <v>0.37280000000000002</v>
      </c>
      <c r="C49" s="65"/>
      <c r="D49" s="37">
        <f t="shared" si="151"/>
        <v>0</v>
      </c>
      <c r="E49" s="16">
        <v>26052</v>
      </c>
      <c r="F49" s="16"/>
      <c r="G49" s="37">
        <f t="shared" si="138"/>
        <v>74000</v>
      </c>
      <c r="H49" s="138"/>
      <c r="I49" s="65"/>
      <c r="J49" s="37">
        <f t="shared" si="139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v>2</v>
      </c>
      <c r="DQ49" s="50">
        <v>8.2584</v>
      </c>
      <c r="DR49" s="49">
        <f t="shared" si="152"/>
        <v>0</v>
      </c>
      <c r="DS49" s="50">
        <v>51.348999999999997</v>
      </c>
      <c r="DT49" s="49">
        <f t="shared" si="153"/>
        <v>0</v>
      </c>
      <c r="EZ49" s="203">
        <f t="shared" si="140"/>
        <v>11034.13</v>
      </c>
      <c r="FA49" s="205">
        <f t="shared" si="141"/>
        <v>10514.13</v>
      </c>
      <c r="FB49" s="201">
        <f t="shared" si="142"/>
        <v>21548.26</v>
      </c>
      <c r="FC49" s="16"/>
      <c r="FD49" s="167">
        <f t="shared" si="143"/>
        <v>20251.839999999997</v>
      </c>
      <c r="FE49" s="16"/>
      <c r="FF49" s="199">
        <f t="shared" si="133"/>
        <v>0.47172535247319974</v>
      </c>
      <c r="FG49" s="200">
        <f t="shared" si="134"/>
        <v>0.52827464752680031</v>
      </c>
      <c r="FH49" s="16">
        <f t="shared" si="144"/>
        <v>611.55418145330566</v>
      </c>
      <c r="FI49" s="179">
        <f t="shared" si="144"/>
        <v>684.86581854669453</v>
      </c>
      <c r="FJ49" s="179">
        <f t="shared" si="145"/>
        <v>9553.3063622308437</v>
      </c>
      <c r="FK49" s="179">
        <f t="shared" si="146"/>
        <v>10698.533637769155</v>
      </c>
      <c r="FL49" s="204">
        <f t="shared" si="147"/>
        <v>10164.86054368415</v>
      </c>
      <c r="FM49" s="206">
        <f t="shared" si="147"/>
        <v>11383.399456315849</v>
      </c>
      <c r="FN49" s="202">
        <f t="shared" si="148"/>
        <v>21548.26</v>
      </c>
      <c r="FO49">
        <v>46.072000000000003</v>
      </c>
      <c r="FP49">
        <v>51.594999999999992</v>
      </c>
      <c r="FQ49" s="217">
        <f t="shared" si="149"/>
        <v>0.47172535247319974</v>
      </c>
      <c r="FR49" s="16">
        <v>6</v>
      </c>
      <c r="FS49" s="16">
        <v>661.4</v>
      </c>
      <c r="FT49" s="16">
        <v>339.82</v>
      </c>
      <c r="FU49" s="16">
        <f t="shared" si="135"/>
        <v>1720.0000000000273</v>
      </c>
      <c r="FV49" s="16">
        <f t="shared" si="136"/>
        <v>860.00000000001364</v>
      </c>
      <c r="FW49" s="16">
        <f t="shared" si="137"/>
        <v>860.00000000001364</v>
      </c>
      <c r="HH49" s="16" t="s">
        <v>347</v>
      </c>
      <c r="HI49" s="16">
        <f>IE39</f>
        <v>0</v>
      </c>
      <c r="HJ49" s="16"/>
      <c r="HT49" s="151"/>
      <c r="IH49" s="16">
        <v>5</v>
      </c>
      <c r="II49" s="144">
        <f>DailyJun!BX11+DailyJun!BY11-DailyJun!BZ11-DailyJun!CA11-DailyJun!CB11-DailyJun!CC11-DailyJun!CD11-DailyJun!CF11-DailyJun!CE11</f>
        <v>-2.6193447411060333E-10</v>
      </c>
      <c r="IJ49" s="16">
        <v>1450</v>
      </c>
      <c r="IK49" s="16">
        <f t="shared" si="150"/>
        <v>362.5</v>
      </c>
      <c r="IL49" s="16">
        <v>362.5</v>
      </c>
      <c r="JN49">
        <f t="shared" si="131"/>
        <v>20652.5</v>
      </c>
    </row>
    <row r="50" spans="1:274" x14ac:dyDescent="0.25">
      <c r="A50" s="35">
        <v>5</v>
      </c>
      <c r="B50" s="138">
        <v>0.37280000000000002</v>
      </c>
      <c r="C50" s="65"/>
      <c r="D50" s="37">
        <f t="shared" si="151"/>
        <v>0</v>
      </c>
      <c r="E50" s="16">
        <v>26135</v>
      </c>
      <c r="F50" s="16"/>
      <c r="G50" s="37">
        <f t="shared" si="138"/>
        <v>83000</v>
      </c>
      <c r="H50" s="138"/>
      <c r="I50" s="65"/>
      <c r="J50" s="37">
        <f t="shared" si="139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v>3</v>
      </c>
      <c r="DQ50" s="50">
        <v>8.2584</v>
      </c>
      <c r="DR50" s="49">
        <f t="shared" si="152"/>
        <v>0</v>
      </c>
      <c r="DS50" s="50">
        <v>51.348999999999997</v>
      </c>
      <c r="DT50" s="49">
        <f t="shared" si="153"/>
        <v>0</v>
      </c>
      <c r="EZ50" s="203">
        <f t="shared" si="140"/>
        <v>11944.76</v>
      </c>
      <c r="FA50" s="205">
        <f t="shared" si="141"/>
        <v>11241.43</v>
      </c>
      <c r="FB50" s="201">
        <f t="shared" si="142"/>
        <v>23186.190000000002</v>
      </c>
      <c r="FC50" s="16"/>
      <c r="FD50" s="167">
        <f t="shared" si="143"/>
        <v>21889.770000000004</v>
      </c>
      <c r="FE50" s="16"/>
      <c r="FF50" s="199">
        <f t="shared" si="133"/>
        <v>0.4837541431909535</v>
      </c>
      <c r="FG50" s="200">
        <f t="shared" si="134"/>
        <v>0.51624585680904644</v>
      </c>
      <c r="FH50" s="16">
        <f t="shared" si="144"/>
        <v>627.14854631561593</v>
      </c>
      <c r="FI50" s="179">
        <f t="shared" si="144"/>
        <v>669.27145368438403</v>
      </c>
      <c r="FJ50" s="179">
        <f t="shared" si="145"/>
        <v>10589.266930997041</v>
      </c>
      <c r="FK50" s="179">
        <f t="shared" si="146"/>
        <v>11300.503069002963</v>
      </c>
      <c r="FL50" s="204">
        <f t="shared" si="147"/>
        <v>11216.415477312657</v>
      </c>
      <c r="FM50" s="206">
        <f t="shared" si="147"/>
        <v>11969.774522687347</v>
      </c>
      <c r="FN50" s="202">
        <f t="shared" si="148"/>
        <v>23186.190000000002</v>
      </c>
      <c r="FO50">
        <v>42.543999999999997</v>
      </c>
      <c r="FP50">
        <v>45.401499999999999</v>
      </c>
      <c r="FQ50" s="217">
        <f t="shared" si="149"/>
        <v>0.4837541431909535</v>
      </c>
      <c r="FR50" s="16">
        <v>7</v>
      </c>
      <c r="FS50" s="16">
        <v>663.02</v>
      </c>
      <c r="FT50" s="16">
        <v>340.85</v>
      </c>
      <c r="FU50" s="16">
        <f t="shared" si="135"/>
        <v>1620.0000000000045</v>
      </c>
      <c r="FV50" s="16">
        <f t="shared" si="136"/>
        <v>810.00000000000227</v>
      </c>
      <c r="FW50" s="16">
        <f t="shared" si="137"/>
        <v>810.00000000000227</v>
      </c>
      <c r="FX50" s="151"/>
      <c r="FY50" s="150"/>
      <c r="FZ50" s="151"/>
      <c r="GV50" s="166"/>
      <c r="HH50" s="16" t="s">
        <v>275</v>
      </c>
      <c r="HI50" s="16">
        <f>$IH$39</f>
        <v>566100</v>
      </c>
      <c r="HJ50" s="16"/>
      <c r="IH50" s="16">
        <v>6</v>
      </c>
      <c r="II50" s="144">
        <f>DailyJun!BX12+DailyJun!BY12-DailyJun!BZ12-DailyJun!CA12-DailyJun!CB12-DailyJun!CC12-DailyJun!CD12-DailyJun!CF12-DailyJun!CE12</f>
        <v>4.0017766878008842E-10</v>
      </c>
      <c r="IJ50" s="16">
        <v>-1380</v>
      </c>
      <c r="IK50" s="16">
        <f t="shared" si="150"/>
        <v>-345</v>
      </c>
      <c r="IL50" s="16">
        <v>-345</v>
      </c>
      <c r="JN50">
        <f t="shared" si="131"/>
        <v>19897.499999999909</v>
      </c>
    </row>
    <row r="51" spans="1:274" x14ac:dyDescent="0.25">
      <c r="A51" s="35">
        <v>6</v>
      </c>
      <c r="B51" s="138">
        <v>0.37280000000000002</v>
      </c>
      <c r="C51" s="65"/>
      <c r="D51" s="37">
        <f t="shared" si="151"/>
        <v>0</v>
      </c>
      <c r="E51" s="16">
        <v>26214</v>
      </c>
      <c r="F51" s="16"/>
      <c r="G51" s="37">
        <f t="shared" si="138"/>
        <v>79000</v>
      </c>
      <c r="H51" s="138"/>
      <c r="I51" s="65"/>
      <c r="J51" s="37">
        <f t="shared" si="139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v>4</v>
      </c>
      <c r="DQ51" s="50">
        <v>8.2584</v>
      </c>
      <c r="DR51" s="49">
        <f t="shared" si="152"/>
        <v>0</v>
      </c>
      <c r="DS51" s="50">
        <v>51.348999999999997</v>
      </c>
      <c r="DT51" s="49">
        <f t="shared" si="153"/>
        <v>0</v>
      </c>
      <c r="EZ51" s="203">
        <f t="shared" si="140"/>
        <v>10939.23</v>
      </c>
      <c r="FA51" s="205">
        <f t="shared" si="141"/>
        <v>10954.23</v>
      </c>
      <c r="FB51" s="201">
        <f t="shared" si="142"/>
        <v>21893.46</v>
      </c>
      <c r="FC51" s="16"/>
      <c r="FD51" s="167">
        <f t="shared" si="143"/>
        <v>20597.04</v>
      </c>
      <c r="FE51" s="16"/>
      <c r="FF51" s="199">
        <f t="shared" si="133"/>
        <v>0.48220552434950315</v>
      </c>
      <c r="FG51" s="200">
        <f t="shared" si="134"/>
        <v>0.51779447565049685</v>
      </c>
      <c r="FH51" s="16">
        <f t="shared" si="144"/>
        <v>625.14088587718288</v>
      </c>
      <c r="FI51" s="179">
        <f t="shared" si="144"/>
        <v>671.27911412281719</v>
      </c>
      <c r="FJ51" s="179">
        <f t="shared" si="145"/>
        <v>9932.0064732476912</v>
      </c>
      <c r="FK51" s="179">
        <f t="shared" si="146"/>
        <v>10665.03352675231</v>
      </c>
      <c r="FL51" s="204">
        <f t="shared" si="147"/>
        <v>10557.147359124874</v>
      </c>
      <c r="FM51" s="206">
        <f t="shared" si="147"/>
        <v>11336.312640875127</v>
      </c>
      <c r="FN51" s="202">
        <f t="shared" si="148"/>
        <v>21893.46</v>
      </c>
      <c r="FO51">
        <v>45.756</v>
      </c>
      <c r="FP51">
        <v>49.132999999999996</v>
      </c>
      <c r="FQ51" s="217">
        <f t="shared" si="149"/>
        <v>0.48220552434950315</v>
      </c>
      <c r="FR51" s="16">
        <v>8</v>
      </c>
      <c r="FS51" s="16">
        <v>664.93</v>
      </c>
      <c r="FT51" s="16">
        <v>342.04</v>
      </c>
      <c r="FU51" s="16">
        <f t="shared" si="135"/>
        <v>1909.9999999999682</v>
      </c>
      <c r="FV51" s="16">
        <f t="shared" si="136"/>
        <v>954.99999999998408</v>
      </c>
      <c r="FW51" s="16">
        <f t="shared" si="137"/>
        <v>954.99999999998408</v>
      </c>
      <c r="GV51" s="166"/>
      <c r="IH51" s="16">
        <v>7</v>
      </c>
      <c r="II51" s="144">
        <f>DailyJun!BX13+DailyJun!BY13-DailyJun!BZ13-DailyJun!CA13-DailyJun!CB13-DailyJun!CC13-DailyJun!CD13-DailyJun!CF13-DailyJun!CE13</f>
        <v>-5.0204107537865639E-10</v>
      </c>
      <c r="IJ51" s="16">
        <v>330</v>
      </c>
      <c r="IK51" s="16">
        <f t="shared" si="150"/>
        <v>82.5</v>
      </c>
      <c r="IL51" s="16">
        <v>82.5</v>
      </c>
      <c r="JN51">
        <f t="shared" si="131"/>
        <v>22525.000000000044</v>
      </c>
    </row>
    <row r="52" spans="1:274" x14ac:dyDescent="0.25">
      <c r="A52" s="35">
        <v>7</v>
      </c>
      <c r="B52" s="138">
        <v>0.37280000000000002</v>
      </c>
      <c r="C52" s="65"/>
      <c r="D52" s="37">
        <f t="shared" si="151"/>
        <v>0</v>
      </c>
      <c r="E52" s="16">
        <v>26295</v>
      </c>
      <c r="F52" s="16"/>
      <c r="G52" s="37">
        <f t="shared" si="138"/>
        <v>81000</v>
      </c>
      <c r="H52" s="138"/>
      <c r="I52" s="65"/>
      <c r="J52" s="37">
        <f t="shared" si="139"/>
        <v>0</v>
      </c>
      <c r="L52">
        <f>D52/3</f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v>5</v>
      </c>
      <c r="DQ52" s="50">
        <f>8.2584+0.058</f>
        <v>8.3163999999999998</v>
      </c>
      <c r="DR52" s="49">
        <f t="shared" si="152"/>
        <v>579.99999999999829</v>
      </c>
      <c r="DS52" s="50">
        <v>51.348999999999997</v>
      </c>
      <c r="DT52" s="49">
        <f t="shared" si="153"/>
        <v>0</v>
      </c>
      <c r="EZ52" s="203">
        <f t="shared" si="140"/>
        <v>12257.57</v>
      </c>
      <c r="FA52" s="205">
        <f t="shared" si="141"/>
        <v>11114.24</v>
      </c>
      <c r="FB52" s="201">
        <f t="shared" si="142"/>
        <v>23371.809999999998</v>
      </c>
      <c r="FC52" s="16"/>
      <c r="FD52" s="167">
        <f t="shared" si="143"/>
        <v>22075.39</v>
      </c>
      <c r="FE52" s="16"/>
      <c r="FF52" s="199">
        <f t="shared" si="133"/>
        <v>0.49061484589419219</v>
      </c>
      <c r="FG52" s="200">
        <f t="shared" si="134"/>
        <v>0.50938515410580787</v>
      </c>
      <c r="FH52" s="16">
        <f t="shared" si="144"/>
        <v>636.04289851414865</v>
      </c>
      <c r="FI52" s="179">
        <f t="shared" si="144"/>
        <v>660.37710148585143</v>
      </c>
      <c r="FJ52" s="179">
        <f t="shared" si="145"/>
        <v>10830.514062904191</v>
      </c>
      <c r="FK52" s="179">
        <f t="shared" si="146"/>
        <v>11244.875937095811</v>
      </c>
      <c r="FL52" s="204">
        <f t="shared" si="147"/>
        <v>11466.556961418339</v>
      </c>
      <c r="FM52" s="206">
        <f t="shared" si="147"/>
        <v>11905.253038581663</v>
      </c>
      <c r="FN52" s="202">
        <f t="shared" si="148"/>
        <v>23371.81</v>
      </c>
      <c r="FO52">
        <v>46.655999999999999</v>
      </c>
      <c r="FP52">
        <v>48.441000000000003</v>
      </c>
      <c r="FQ52" s="217">
        <f t="shared" si="149"/>
        <v>0.49061484589419219</v>
      </c>
      <c r="FR52" s="16">
        <v>9</v>
      </c>
      <c r="FS52" s="16">
        <v>666.79</v>
      </c>
      <c r="FT52" s="16">
        <v>343.21</v>
      </c>
      <c r="FU52" s="16">
        <f t="shared" si="135"/>
        <v>1860.0000000000136</v>
      </c>
      <c r="FV52" s="16">
        <f t="shared" si="136"/>
        <v>930.00000000000682</v>
      </c>
      <c r="FW52" s="16">
        <f t="shared" si="137"/>
        <v>930.00000000000682</v>
      </c>
      <c r="HH52" s="16" t="s">
        <v>276</v>
      </c>
      <c r="HI52" s="222">
        <f>$HI$42+$HI$43-$HI$44-$HI$45-$HI$46-$HI$47-$HI$48-$HI$50-$HI$49</f>
        <v>-11133649.995699998</v>
      </c>
      <c r="HJ52" s="179"/>
      <c r="HK52" s="16" t="s">
        <v>115</v>
      </c>
      <c r="IH52" s="16">
        <v>8</v>
      </c>
      <c r="II52" s="144">
        <f>DailyJun!BX14+DailyJun!BY14-DailyJun!BZ14-DailyJun!CA14-DailyJun!CB14-DailyJun!CC14-DailyJun!CD14-DailyJun!CF14-DailyJun!CE14</f>
        <v>8.7311491370201111E-11</v>
      </c>
      <c r="IJ52" s="16">
        <v>1030</v>
      </c>
      <c r="IK52" s="16">
        <f t="shared" si="150"/>
        <v>257.5</v>
      </c>
      <c r="IL52" s="16">
        <v>257.5</v>
      </c>
      <c r="JN52">
        <f t="shared" si="131"/>
        <v>24734.000000000044</v>
      </c>
    </row>
    <row r="53" spans="1:274" x14ac:dyDescent="0.25">
      <c r="A53" s="35">
        <v>8</v>
      </c>
      <c r="B53" s="138">
        <v>0.37280000000000002</v>
      </c>
      <c r="C53" s="65"/>
      <c r="D53" s="37">
        <f t="shared" si="151"/>
        <v>0</v>
      </c>
      <c r="E53" s="16">
        <v>26378</v>
      </c>
      <c r="F53" s="16"/>
      <c r="G53" s="37">
        <f t="shared" si="138"/>
        <v>83000</v>
      </c>
      <c r="H53" s="138"/>
      <c r="I53" s="65"/>
      <c r="J53" s="37">
        <f t="shared" si="139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49"/>
      <c r="DP53">
        <v>6</v>
      </c>
      <c r="DQ53" s="50">
        <f>8.2584+0.058</f>
        <v>8.3163999999999998</v>
      </c>
      <c r="DR53" s="49">
        <f t="shared" si="152"/>
        <v>0</v>
      </c>
      <c r="DS53" s="50">
        <v>51.348999999999997</v>
      </c>
      <c r="DT53" s="49">
        <f t="shared" si="153"/>
        <v>0</v>
      </c>
      <c r="EZ53" s="203">
        <f t="shared" si="140"/>
        <v>12028.81</v>
      </c>
      <c r="FA53" s="205">
        <f t="shared" si="141"/>
        <v>10028.81</v>
      </c>
      <c r="FB53" s="201">
        <f t="shared" si="142"/>
        <v>22057.62</v>
      </c>
      <c r="FC53" s="16"/>
      <c r="FD53" s="167">
        <f t="shared" si="143"/>
        <v>20761.199999999997</v>
      </c>
      <c r="FE53" s="16"/>
      <c r="FF53" s="199">
        <f t="shared" si="133"/>
        <v>0.47554259138381205</v>
      </c>
      <c r="FG53" s="200">
        <f t="shared" si="134"/>
        <v>0.52445740861618795</v>
      </c>
      <c r="FH53" s="16">
        <f t="shared" si="144"/>
        <v>616.50292632180162</v>
      </c>
      <c r="FI53" s="179">
        <f t="shared" si="144"/>
        <v>679.91707367819845</v>
      </c>
      <c r="FJ53" s="179">
        <f t="shared" si="145"/>
        <v>9872.8348482375968</v>
      </c>
      <c r="FK53" s="179">
        <f t="shared" si="146"/>
        <v>10888.3651517624</v>
      </c>
      <c r="FL53" s="204">
        <f t="shared" si="147"/>
        <v>10489.337774559399</v>
      </c>
      <c r="FM53" s="206">
        <f t="shared" si="147"/>
        <v>11568.282225440598</v>
      </c>
      <c r="FN53" s="202">
        <f t="shared" si="148"/>
        <v>22057.619999999995</v>
      </c>
      <c r="FO53">
        <v>46.626000000000005</v>
      </c>
      <c r="FP53">
        <v>51.421999999999997</v>
      </c>
      <c r="FQ53" s="217">
        <f t="shared" si="149"/>
        <v>0.47554259138381205</v>
      </c>
      <c r="FR53" s="16">
        <v>10</v>
      </c>
      <c r="FS53" s="16">
        <v>668.59</v>
      </c>
      <c r="FT53" s="16">
        <v>344.32</v>
      </c>
      <c r="FU53" s="16">
        <f t="shared" si="135"/>
        <v>1800.0000000000682</v>
      </c>
      <c r="FV53" s="16">
        <f t="shared" si="136"/>
        <v>900.00000000003411</v>
      </c>
      <c r="FW53" s="16">
        <f t="shared" si="137"/>
        <v>900.00000000003411</v>
      </c>
      <c r="IH53" s="16">
        <v>9</v>
      </c>
      <c r="II53" s="144">
        <f>DailyJun!BX15+DailyJun!BY15-DailyJun!BZ15-DailyJun!CA15-DailyJun!CB15-DailyJun!CC15-DailyJun!CD15-DailyJun!CF15-DailyJun!CE15</f>
        <v>8.7311491370201111E-11</v>
      </c>
      <c r="IJ53" s="16">
        <v>2710</v>
      </c>
      <c r="IK53" s="16">
        <f t="shared" si="150"/>
        <v>677.5</v>
      </c>
      <c r="IL53" s="16">
        <v>677.5</v>
      </c>
      <c r="JN53">
        <f t="shared" si="131"/>
        <v>0</v>
      </c>
    </row>
    <row r="54" spans="1:274" x14ac:dyDescent="0.25">
      <c r="A54" s="35">
        <v>9</v>
      </c>
      <c r="B54" s="138">
        <v>0.37280000000000002</v>
      </c>
      <c r="C54" s="65"/>
      <c r="D54" s="37">
        <f t="shared" si="151"/>
        <v>0</v>
      </c>
      <c r="E54" s="16">
        <v>26439</v>
      </c>
      <c r="F54" s="16"/>
      <c r="G54" s="37">
        <f t="shared" si="138"/>
        <v>61000</v>
      </c>
      <c r="H54" s="138"/>
      <c r="I54" s="65"/>
      <c r="J54" s="37">
        <f t="shared" si="139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v>7</v>
      </c>
      <c r="DQ54" s="50">
        <f t="shared" ref="DQ54:DQ78" si="154">8.2584+0.058</f>
        <v>8.3163999999999998</v>
      </c>
      <c r="DR54" s="49">
        <f t="shared" si="152"/>
        <v>0</v>
      </c>
      <c r="DS54" s="50">
        <v>51.348999999999997</v>
      </c>
      <c r="DT54" s="49">
        <f t="shared" si="153"/>
        <v>0</v>
      </c>
      <c r="EZ54" s="203">
        <f t="shared" si="140"/>
        <v>13924.46</v>
      </c>
      <c r="FA54" s="205">
        <f t="shared" si="141"/>
        <v>11691.130000000001</v>
      </c>
      <c r="FB54" s="201">
        <f t="shared" si="142"/>
        <v>25615.59</v>
      </c>
      <c r="FC54" s="16"/>
      <c r="FD54" s="167">
        <f t="shared" si="143"/>
        <v>24319.17</v>
      </c>
      <c r="FE54" s="16"/>
      <c r="FF54" s="199">
        <f t="shared" si="133"/>
        <v>0.48708334155631428</v>
      </c>
      <c r="FG54" s="200">
        <f t="shared" si="134"/>
        <v>0.51291665844368572</v>
      </c>
      <c r="FH54" s="16">
        <f t="shared" si="144"/>
        <v>631.46458566043702</v>
      </c>
      <c r="FI54" s="179">
        <f t="shared" si="144"/>
        <v>664.95541433956305</v>
      </c>
      <c r="FJ54" s="179">
        <f t="shared" si="145"/>
        <v>11845.462587476071</v>
      </c>
      <c r="FK54" s="179">
        <f t="shared" si="146"/>
        <v>12473.707412523927</v>
      </c>
      <c r="FL54" s="204">
        <f t="shared" si="147"/>
        <v>12476.927173136508</v>
      </c>
      <c r="FM54" s="206">
        <f t="shared" si="147"/>
        <v>13138.66282686349</v>
      </c>
      <c r="FN54" s="202">
        <f t="shared" si="148"/>
        <v>25615.589999999997</v>
      </c>
      <c r="FO54">
        <v>49.362000000000009</v>
      </c>
      <c r="FP54">
        <v>51.980000000000004</v>
      </c>
      <c r="FQ54" s="217">
        <f t="shared" si="149"/>
        <v>0.48708334155631428</v>
      </c>
      <c r="FR54" s="16">
        <v>11</v>
      </c>
      <c r="FS54" s="16">
        <v>670.39</v>
      </c>
      <c r="FT54" s="16">
        <v>345.45</v>
      </c>
      <c r="FU54" s="16">
        <f t="shared" si="135"/>
        <v>1799.9999999999545</v>
      </c>
      <c r="FV54" s="16">
        <f t="shared" si="136"/>
        <v>899.99999999997726</v>
      </c>
      <c r="FW54" s="16">
        <f t="shared" si="137"/>
        <v>899.99999999997726</v>
      </c>
      <c r="FX54" s="151"/>
      <c r="IH54" s="16">
        <v>10</v>
      </c>
      <c r="II54" s="144">
        <f>DailyJun!BX16+DailyJun!BY16-DailyJun!BZ16-DailyJun!CA16-DailyJun!CB16-DailyJun!CC16-DailyJun!CD16-DailyJun!CF16-DailyJun!CE16</f>
        <v>0</v>
      </c>
      <c r="IJ54" s="16">
        <v>-1820</v>
      </c>
      <c r="IK54" s="16">
        <f t="shared" si="150"/>
        <v>-455</v>
      </c>
      <c r="IL54" s="16">
        <v>-455</v>
      </c>
      <c r="JN54">
        <f t="shared" si="131"/>
        <v>1597900</v>
      </c>
    </row>
    <row r="55" spans="1:274" x14ac:dyDescent="0.25">
      <c r="A55" s="35">
        <v>10</v>
      </c>
      <c r="B55" s="138">
        <v>0.37280000000000002</v>
      </c>
      <c r="C55" s="65"/>
      <c r="D55" s="37">
        <f t="shared" si="151"/>
        <v>0</v>
      </c>
      <c r="E55" s="16">
        <v>26516</v>
      </c>
      <c r="F55" s="16"/>
      <c r="G55" s="37">
        <f t="shared" si="138"/>
        <v>77000</v>
      </c>
      <c r="H55" s="138"/>
      <c r="I55" s="65"/>
      <c r="J55" s="37">
        <f t="shared" si="139"/>
        <v>0</v>
      </c>
      <c r="L55">
        <v>3.9633333333333333E-2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v>8</v>
      </c>
      <c r="DQ55" s="50">
        <f t="shared" si="154"/>
        <v>8.3163999999999998</v>
      </c>
      <c r="DR55" s="49">
        <f t="shared" si="152"/>
        <v>0</v>
      </c>
      <c r="DS55" s="50">
        <v>51.348999999999997</v>
      </c>
      <c r="DT55" s="49">
        <f t="shared" si="153"/>
        <v>0</v>
      </c>
      <c r="EZ55" s="203">
        <f t="shared" si="140"/>
        <v>13082.09</v>
      </c>
      <c r="FA55" s="205">
        <f t="shared" si="141"/>
        <v>10840.42</v>
      </c>
      <c r="FB55" s="201">
        <f t="shared" si="142"/>
        <v>23922.510000000002</v>
      </c>
      <c r="FC55" s="16"/>
      <c r="FD55" s="167">
        <f t="shared" si="143"/>
        <v>22626.090000000004</v>
      </c>
      <c r="FE55" s="16"/>
      <c r="FF55" s="199">
        <f t="shared" si="133"/>
        <v>0.48733258656796385</v>
      </c>
      <c r="FG55" s="200">
        <f t="shared" si="134"/>
        <v>0.51266741343203615</v>
      </c>
      <c r="FH55" s="16">
        <f t="shared" si="144"/>
        <v>631.78771187843972</v>
      </c>
      <c r="FI55" s="179">
        <f t="shared" si="144"/>
        <v>664.63228812156035</v>
      </c>
      <c r="FJ55" s="179">
        <f t="shared" si="145"/>
        <v>11026.430963619543</v>
      </c>
      <c r="FK55" s="179">
        <f t="shared" si="146"/>
        <v>11599.659036380461</v>
      </c>
      <c r="FL55" s="204">
        <f t="shared" si="147"/>
        <v>11658.218675497983</v>
      </c>
      <c r="FM55" s="206">
        <f t="shared" si="147"/>
        <v>12264.291324502021</v>
      </c>
      <c r="FN55" s="202">
        <f t="shared" si="148"/>
        <v>23922.510000000002</v>
      </c>
      <c r="FO55">
        <v>50.032000000000004</v>
      </c>
      <c r="FP55">
        <v>52.632999999999996</v>
      </c>
      <c r="FQ55" s="217">
        <f t="shared" si="149"/>
        <v>0.48733258656796385</v>
      </c>
      <c r="FR55" s="16">
        <v>12</v>
      </c>
      <c r="FS55" s="16">
        <v>672.24</v>
      </c>
      <c r="FT55" s="16">
        <v>346.61</v>
      </c>
      <c r="FU55" s="16">
        <f t="shared" si="135"/>
        <v>1850.0000000000227</v>
      </c>
      <c r="FV55" s="16">
        <f t="shared" si="136"/>
        <v>925.00000000001137</v>
      </c>
      <c r="FW55" s="16">
        <f t="shared" si="137"/>
        <v>925.00000000001137</v>
      </c>
      <c r="FX55" s="151"/>
      <c r="IH55" s="16">
        <v>11</v>
      </c>
      <c r="II55" s="144">
        <f>DailyJun!BX17+DailyJun!BY17-DailyJun!BZ17-DailyJun!CA17-DailyJun!CB17-DailyJun!CC17-DailyJun!CD17-DailyJun!CF17-DailyJun!CE17</f>
        <v>4.3655745685100555E-11</v>
      </c>
      <c r="IJ55" s="16">
        <v>930</v>
      </c>
      <c r="IK55" s="16">
        <f t="shared" si="150"/>
        <v>232.5</v>
      </c>
      <c r="IL55" s="16">
        <v>232.5</v>
      </c>
      <c r="JN55">
        <f t="shared" si="131"/>
        <v>20157.5</v>
      </c>
    </row>
    <row r="56" spans="1:274" x14ac:dyDescent="0.25">
      <c r="A56" s="35">
        <v>11</v>
      </c>
      <c r="B56" s="138">
        <v>0.37280000000000002</v>
      </c>
      <c r="C56" s="65"/>
      <c r="D56" s="37">
        <f t="shared" si="151"/>
        <v>0</v>
      </c>
      <c r="E56" s="16">
        <v>26597</v>
      </c>
      <c r="F56" s="16"/>
      <c r="G56" s="37">
        <f t="shared" si="138"/>
        <v>81000</v>
      </c>
      <c r="H56" s="138"/>
      <c r="I56" s="65"/>
      <c r="J56" s="37">
        <f t="shared" si="139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v>9</v>
      </c>
      <c r="DQ56" s="50">
        <f t="shared" si="154"/>
        <v>8.3163999999999998</v>
      </c>
      <c r="DR56" s="49">
        <f t="shared" si="152"/>
        <v>0</v>
      </c>
      <c r="DS56" s="50">
        <v>51.348999999999997</v>
      </c>
      <c r="DT56" s="49">
        <f t="shared" si="153"/>
        <v>0</v>
      </c>
      <c r="EZ56" s="203">
        <f t="shared" si="140"/>
        <v>11537.71</v>
      </c>
      <c r="FA56" s="205">
        <f t="shared" si="141"/>
        <v>11762.71</v>
      </c>
      <c r="FB56" s="201">
        <f t="shared" si="142"/>
        <v>23300.42</v>
      </c>
      <c r="FC56" s="16"/>
      <c r="FD56" s="167">
        <f t="shared" si="143"/>
        <v>22004</v>
      </c>
      <c r="FE56" s="16"/>
      <c r="FF56" s="199">
        <f t="shared" si="133"/>
        <v>0.49437587955978979</v>
      </c>
      <c r="FG56" s="200">
        <f t="shared" si="134"/>
        <v>0.50562412044021021</v>
      </c>
      <c r="FH56" s="16">
        <f t="shared" si="144"/>
        <v>640.91877777890272</v>
      </c>
      <c r="FI56" s="179">
        <f t="shared" si="144"/>
        <v>655.50122222109735</v>
      </c>
      <c r="FJ56" s="179">
        <f t="shared" si="145"/>
        <v>10878.246853833614</v>
      </c>
      <c r="FK56" s="179">
        <f t="shared" si="146"/>
        <v>11125.753146166386</v>
      </c>
      <c r="FL56" s="204">
        <f t="shared" si="147"/>
        <v>11519.165631612517</v>
      </c>
      <c r="FM56" s="206">
        <f t="shared" si="147"/>
        <v>11781.254368387483</v>
      </c>
      <c r="FN56" s="202">
        <f t="shared" si="148"/>
        <v>23300.42</v>
      </c>
      <c r="FO56">
        <v>48.83</v>
      </c>
      <c r="FP56">
        <v>49.941000000000003</v>
      </c>
      <c r="FQ56" s="217">
        <f t="shared" si="149"/>
        <v>0.49437587955978979</v>
      </c>
      <c r="FR56" s="16">
        <v>13</v>
      </c>
      <c r="FS56" s="16">
        <v>674.09</v>
      </c>
      <c r="FT56" s="16">
        <v>347.73</v>
      </c>
      <c r="FU56" s="16">
        <f t="shared" si="135"/>
        <v>1850.0000000000227</v>
      </c>
      <c r="FV56" s="16">
        <f t="shared" si="136"/>
        <v>925.00000000001137</v>
      </c>
      <c r="FW56" s="16">
        <f t="shared" si="137"/>
        <v>925.00000000001137</v>
      </c>
      <c r="IH56" s="16">
        <v>12</v>
      </c>
      <c r="II56" s="144">
        <f>DailyJun!BX18+DailyJun!BY18-DailyJun!BZ18-DailyJun!CA18-DailyJun!CB18-DailyJun!CC18-DailyJun!CD18-DailyJun!CF18-DailyJun!CE18</f>
        <v>-3.637978807091713E-11</v>
      </c>
      <c r="IJ56" s="16">
        <v>-210</v>
      </c>
      <c r="IK56" s="16">
        <f t="shared" si="150"/>
        <v>-52.5</v>
      </c>
      <c r="IL56" s="16">
        <v>-52.5</v>
      </c>
      <c r="JN56">
        <f t="shared" si="131"/>
        <v>22582.499999999862</v>
      </c>
    </row>
    <row r="57" spans="1:274" x14ac:dyDescent="0.25">
      <c r="A57" s="35">
        <v>12</v>
      </c>
      <c r="B57" s="138">
        <v>0.37280000000000002</v>
      </c>
      <c r="C57" s="65"/>
      <c r="D57" s="37">
        <f t="shared" si="151"/>
        <v>0</v>
      </c>
      <c r="E57" s="16">
        <v>26683</v>
      </c>
      <c r="F57" s="16"/>
      <c r="G57" s="37">
        <f t="shared" si="138"/>
        <v>86000</v>
      </c>
      <c r="H57" s="138"/>
      <c r="I57" s="65"/>
      <c r="J57" s="37">
        <f t="shared" si="139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v>10</v>
      </c>
      <c r="DQ57" s="50">
        <f t="shared" si="154"/>
        <v>8.3163999999999998</v>
      </c>
      <c r="DR57" s="49">
        <f t="shared" si="152"/>
        <v>0</v>
      </c>
      <c r="DS57" s="50">
        <v>51.348999999999997</v>
      </c>
      <c r="DT57" s="49">
        <f>IF((DS57-DS56)&lt;=0,0,(DS57-DS56))*1000</f>
        <v>0</v>
      </c>
      <c r="EZ57" s="203">
        <f t="shared" si="140"/>
        <v>12140.23</v>
      </c>
      <c r="FA57" s="205">
        <f t="shared" si="141"/>
        <v>11051.9</v>
      </c>
      <c r="FB57" s="201">
        <f t="shared" si="142"/>
        <v>23192.129999999997</v>
      </c>
      <c r="FC57" s="16"/>
      <c r="FD57" s="167">
        <f t="shared" si="143"/>
        <v>21895.71</v>
      </c>
      <c r="FE57" s="16"/>
      <c r="FF57" s="199">
        <f t="shared" si="133"/>
        <v>0.46936674436674436</v>
      </c>
      <c r="FG57" s="200">
        <f t="shared" si="134"/>
        <v>0.53063325563325558</v>
      </c>
      <c r="FH57" s="16">
        <f t="shared" si="144"/>
        <v>608.49643473193476</v>
      </c>
      <c r="FI57" s="179">
        <f t="shared" si="144"/>
        <v>687.9235652680652</v>
      </c>
      <c r="FJ57" s="179">
        <f t="shared" si="145"/>
        <v>10277.118118298367</v>
      </c>
      <c r="FK57" s="179">
        <f t="shared" si="146"/>
        <v>11618.59188170163</v>
      </c>
      <c r="FL57" s="204">
        <f t="shared" si="147"/>
        <v>10885.614553030302</v>
      </c>
      <c r="FM57" s="206">
        <f t="shared" si="147"/>
        <v>12306.515446969695</v>
      </c>
      <c r="FN57" s="202">
        <f t="shared" si="148"/>
        <v>23192.129999999997</v>
      </c>
      <c r="FO57">
        <v>48.326000000000001</v>
      </c>
      <c r="FP57">
        <v>54.634</v>
      </c>
      <c r="FQ57" s="217">
        <f t="shared" si="149"/>
        <v>0.46936674436674436</v>
      </c>
      <c r="FR57" s="16">
        <v>14</v>
      </c>
      <c r="FS57" s="16">
        <v>676.02</v>
      </c>
      <c r="FT57" s="16">
        <v>348.91</v>
      </c>
      <c r="FU57" s="16">
        <f t="shared" si="135"/>
        <v>1929.99999999995</v>
      </c>
      <c r="FV57" s="16">
        <f t="shared" si="136"/>
        <v>964.99999999997499</v>
      </c>
      <c r="FW57" s="16">
        <f t="shared" si="137"/>
        <v>964.99999999997499</v>
      </c>
      <c r="IH57" s="16">
        <v>13</v>
      </c>
      <c r="II57" s="144">
        <f>DailyJun!BX19+DailyJun!BY19-DailyJun!BZ19-DailyJun!CA19-DailyJun!CB19-DailyJun!CC19-DailyJun!CD19-DailyJun!CF19-DailyJun!CE19</f>
        <v>-1.8917489796876907E-10</v>
      </c>
      <c r="IJ57" s="16">
        <v>30</v>
      </c>
      <c r="IK57" s="16">
        <f t="shared" si="150"/>
        <v>7.5</v>
      </c>
      <c r="IL57" s="16">
        <v>7.5</v>
      </c>
      <c r="JN57">
        <f t="shared" si="131"/>
        <v>17665.000000000044</v>
      </c>
    </row>
    <row r="58" spans="1:274" x14ac:dyDescent="0.25">
      <c r="A58" s="35">
        <v>13</v>
      </c>
      <c r="B58" s="138">
        <v>0.37280000000000002</v>
      </c>
      <c r="C58" s="65"/>
      <c r="D58" s="37">
        <f t="shared" si="151"/>
        <v>0</v>
      </c>
      <c r="E58" s="16">
        <v>26771</v>
      </c>
      <c r="F58" s="16"/>
      <c r="G58" s="37">
        <f t="shared" si="138"/>
        <v>88000</v>
      </c>
      <c r="H58" s="138"/>
      <c r="I58" s="65"/>
      <c r="J58" s="37">
        <f t="shared" si="139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v>11</v>
      </c>
      <c r="DQ58" s="50">
        <f t="shared" si="154"/>
        <v>8.3163999999999998</v>
      </c>
      <c r="DR58" s="49">
        <f t="shared" si="152"/>
        <v>0</v>
      </c>
      <c r="DS58" s="50">
        <v>51.348999999999997</v>
      </c>
      <c r="DT58" s="49">
        <f t="shared" ref="DT58:DT78" si="155">IF((DS58-DS57)&lt;=0,0,(DS58-DS57))*1000</f>
        <v>0</v>
      </c>
      <c r="EJ58" s="2"/>
      <c r="EZ58" s="203">
        <f t="shared" si="140"/>
        <v>11447.68</v>
      </c>
      <c r="FA58" s="205">
        <f t="shared" si="141"/>
        <v>11096.01</v>
      </c>
      <c r="FB58" s="201">
        <f t="shared" si="142"/>
        <v>22543.690000000002</v>
      </c>
      <c r="FC58" s="16"/>
      <c r="FD58" s="167">
        <f t="shared" si="143"/>
        <v>21247.270000000004</v>
      </c>
      <c r="FE58" s="16"/>
      <c r="FF58" s="199">
        <f t="shared" si="133"/>
        <v>0.45629128103194816</v>
      </c>
      <c r="FG58" s="200">
        <f t="shared" si="134"/>
        <v>0.54370871896805184</v>
      </c>
      <c r="FH58" s="16">
        <f t="shared" si="144"/>
        <v>591.54514255543825</v>
      </c>
      <c r="FI58" s="179">
        <f t="shared" si="144"/>
        <v>704.87485744456183</v>
      </c>
      <c r="FJ58" s="179">
        <f t="shared" si="145"/>
        <v>9694.9440467316836</v>
      </c>
      <c r="FK58" s="179">
        <f t="shared" si="146"/>
        <v>11552.325953268321</v>
      </c>
      <c r="FL58" s="204">
        <f t="shared" si="147"/>
        <v>10286.489189287122</v>
      </c>
      <c r="FM58" s="206">
        <f t="shared" si="147"/>
        <v>12257.200810712882</v>
      </c>
      <c r="FN58" s="202">
        <f t="shared" si="148"/>
        <v>22543.690000000002</v>
      </c>
      <c r="FO58">
        <v>44.074999999999996</v>
      </c>
      <c r="FP58">
        <v>52.518999999999998</v>
      </c>
      <c r="FQ58" s="217">
        <f t="shared" si="149"/>
        <v>0.45629128103194816</v>
      </c>
      <c r="FR58" s="16">
        <v>15</v>
      </c>
      <c r="FS58" s="16">
        <v>677.93</v>
      </c>
      <c r="FT58" s="16">
        <v>350.08</v>
      </c>
      <c r="FU58" s="16">
        <f t="shared" si="135"/>
        <v>1909.9999999999682</v>
      </c>
      <c r="FV58" s="16">
        <f t="shared" si="136"/>
        <v>954.99999999998408</v>
      </c>
      <c r="FW58" s="16">
        <f t="shared" si="137"/>
        <v>954.99999999998408</v>
      </c>
      <c r="IH58" s="16">
        <v>14</v>
      </c>
      <c r="II58" s="144">
        <f>DailyJun!BX20+DailyJun!BY20-DailyJun!BZ20-DailyJun!CA20-DailyJun!CB20-DailyJun!CC20-DailyJun!CD20-DailyJun!CF20-DailyJun!CE20</f>
        <v>-8.7311491370201111E-11</v>
      </c>
      <c r="IJ58" s="16">
        <v>610</v>
      </c>
      <c r="IK58" s="16">
        <f t="shared" si="150"/>
        <v>152.5</v>
      </c>
      <c r="IL58" s="16">
        <v>152.5</v>
      </c>
      <c r="JN58">
        <f t="shared" si="131"/>
        <v>24327.500000000091</v>
      </c>
    </row>
    <row r="59" spans="1:274" x14ac:dyDescent="0.25">
      <c r="A59" s="35">
        <v>14</v>
      </c>
      <c r="B59" s="138">
        <v>0.37280000000000002</v>
      </c>
      <c r="C59" s="65"/>
      <c r="D59" s="37">
        <f t="shared" si="151"/>
        <v>0</v>
      </c>
      <c r="E59" s="16">
        <v>26857</v>
      </c>
      <c r="F59" s="16"/>
      <c r="G59" s="37">
        <f t="shared" si="138"/>
        <v>86000</v>
      </c>
      <c r="H59" s="138"/>
      <c r="I59" s="65"/>
      <c r="J59" s="37">
        <f t="shared" si="139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v>12</v>
      </c>
      <c r="DQ59" s="50">
        <f t="shared" si="154"/>
        <v>8.3163999999999998</v>
      </c>
      <c r="DR59" s="49">
        <f t="shared" si="152"/>
        <v>0</v>
      </c>
      <c r="DS59" s="50">
        <v>51.348999999999997</v>
      </c>
      <c r="DT59" s="49">
        <f t="shared" si="155"/>
        <v>0</v>
      </c>
      <c r="EJ59" s="2"/>
      <c r="EZ59" s="203">
        <f t="shared" si="140"/>
        <v>11005.77</v>
      </c>
      <c r="FA59" s="205">
        <f t="shared" si="141"/>
        <v>11927.44</v>
      </c>
      <c r="FB59" s="201">
        <f t="shared" si="142"/>
        <v>22933.21</v>
      </c>
      <c r="FC59" s="16"/>
      <c r="FD59" s="167">
        <f t="shared" si="143"/>
        <v>21636.79</v>
      </c>
      <c r="FE59" s="16"/>
      <c r="FF59" s="199">
        <f t="shared" si="133"/>
        <v>0.45668505384817437</v>
      </c>
      <c r="FG59" s="200">
        <f t="shared" si="134"/>
        <v>0.54331494615182563</v>
      </c>
      <c r="FH59" s="16">
        <f t="shared" si="144"/>
        <v>592.05563750985027</v>
      </c>
      <c r="FI59" s="179">
        <f t="shared" si="144"/>
        <v>704.3643624901498</v>
      </c>
      <c r="FJ59" s="179">
        <f t="shared" si="145"/>
        <v>9881.1986062516407</v>
      </c>
      <c r="FK59" s="179">
        <f t="shared" si="146"/>
        <v>11755.59139374836</v>
      </c>
      <c r="FL59" s="204">
        <f t="shared" si="147"/>
        <v>10473.25424376149</v>
      </c>
      <c r="FM59" s="206">
        <f t="shared" si="147"/>
        <v>12459.955756238511</v>
      </c>
      <c r="FN59" s="202">
        <f t="shared" si="148"/>
        <v>22933.21</v>
      </c>
      <c r="FO59">
        <v>43.465000000000003</v>
      </c>
      <c r="FP59">
        <v>51.71</v>
      </c>
      <c r="FQ59" s="217">
        <f t="shared" si="149"/>
        <v>0.45668505384817437</v>
      </c>
      <c r="FR59" s="16">
        <v>16</v>
      </c>
      <c r="FS59" s="16">
        <v>679.8</v>
      </c>
      <c r="FT59" s="16">
        <v>351.25</v>
      </c>
      <c r="FU59" s="16">
        <f t="shared" si="135"/>
        <v>1870.0000000000045</v>
      </c>
      <c r="FV59" s="16">
        <f t="shared" si="136"/>
        <v>935.00000000000227</v>
      </c>
      <c r="FW59" s="16">
        <f t="shared" si="137"/>
        <v>935.00000000000227</v>
      </c>
      <c r="IH59" s="16">
        <v>15</v>
      </c>
      <c r="II59" s="144">
        <f>DailyJun!BX21+DailyJun!BY21-DailyJun!BZ21-DailyJun!CA21-DailyJun!CB21-DailyJun!CC21-DailyJun!CD21-DailyJun!CF21-DailyJun!CE21</f>
        <v>3.4924596548080444E-10</v>
      </c>
      <c r="IJ59" s="16">
        <v>1190</v>
      </c>
      <c r="IK59" s="16">
        <f t="shared" si="150"/>
        <v>297.5</v>
      </c>
      <c r="IL59" s="16">
        <v>297.5</v>
      </c>
      <c r="JN59">
        <f t="shared" si="131"/>
        <v>28494.999999999909</v>
      </c>
    </row>
    <row r="60" spans="1:274" x14ac:dyDescent="0.25">
      <c r="A60" s="35">
        <v>15</v>
      </c>
      <c r="B60" s="138">
        <v>0.37280000000000002</v>
      </c>
      <c r="C60" s="65"/>
      <c r="D60" s="37">
        <f t="shared" si="151"/>
        <v>0</v>
      </c>
      <c r="E60" s="16">
        <v>26943</v>
      </c>
      <c r="F60" s="16"/>
      <c r="G60" s="37">
        <f t="shared" si="138"/>
        <v>86000</v>
      </c>
      <c r="H60" s="138"/>
      <c r="I60" s="65"/>
      <c r="J60" s="37">
        <f t="shared" si="139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v>13</v>
      </c>
      <c r="DQ60" s="50">
        <f t="shared" si="154"/>
        <v>8.3163999999999998</v>
      </c>
      <c r="DR60" s="49">
        <f t="shared" si="152"/>
        <v>0</v>
      </c>
      <c r="DS60" s="50">
        <v>51.348999999999997</v>
      </c>
      <c r="DT60" s="49">
        <f t="shared" si="155"/>
        <v>0</v>
      </c>
      <c r="EJ60" s="2"/>
      <c r="EZ60" s="203">
        <f t="shared" si="140"/>
        <v>12073.77</v>
      </c>
      <c r="FA60" s="205">
        <f t="shared" si="141"/>
        <v>11803.77</v>
      </c>
      <c r="FB60" s="201">
        <f t="shared" si="142"/>
        <v>23877.54</v>
      </c>
      <c r="FC60" s="16"/>
      <c r="FD60" s="167">
        <f t="shared" si="143"/>
        <v>22581.120000000003</v>
      </c>
      <c r="FE60" s="16"/>
      <c r="FF60" s="199">
        <f t="shared" si="133"/>
        <v>0.46757720432706834</v>
      </c>
      <c r="FG60" s="200">
        <f t="shared" si="134"/>
        <v>0.53242279567293171</v>
      </c>
      <c r="FH60" s="16">
        <f t="shared" si="144"/>
        <v>606.17643923369792</v>
      </c>
      <c r="FI60" s="179">
        <f t="shared" si="144"/>
        <v>690.24356076630215</v>
      </c>
      <c r="FJ60" s="179">
        <f t="shared" si="145"/>
        <v>10558.41696017405</v>
      </c>
      <c r="FK60" s="179">
        <f t="shared" si="146"/>
        <v>12022.703039825954</v>
      </c>
      <c r="FL60" s="204">
        <f t="shared" si="147"/>
        <v>11164.593399407748</v>
      </c>
      <c r="FM60" s="206">
        <f t="shared" si="147"/>
        <v>12712.946600592257</v>
      </c>
      <c r="FN60" s="202">
        <f t="shared" si="148"/>
        <v>23877.540000000005</v>
      </c>
      <c r="FO60">
        <v>46.421999999999997</v>
      </c>
      <c r="FP60">
        <v>52.86</v>
      </c>
      <c r="FQ60" s="217">
        <f t="shared" si="149"/>
        <v>0.46757720432706834</v>
      </c>
      <c r="FR60" s="16">
        <v>17</v>
      </c>
      <c r="FS60" s="16">
        <v>681.62</v>
      </c>
      <c r="FT60" s="16">
        <v>352.38</v>
      </c>
      <c r="FU60" s="16">
        <f t="shared" si="135"/>
        <v>1820.00000000005</v>
      </c>
      <c r="FV60" s="16">
        <f t="shared" si="136"/>
        <v>910.00000000002501</v>
      </c>
      <c r="FW60" s="16">
        <f t="shared" si="137"/>
        <v>910.00000000002501</v>
      </c>
      <c r="IH60" s="16">
        <v>16</v>
      </c>
      <c r="II60" s="144">
        <f>DailyJun!BX22+DailyJun!BY22-DailyJun!BZ22-DailyJun!CA22-DailyJun!CB22-DailyJun!CC22-DailyJun!CD22-DailyJun!CF22-DailyJun!CE22</f>
        <v>-4.3655745685100555E-11</v>
      </c>
      <c r="IJ60" s="16">
        <v>1300</v>
      </c>
      <c r="IK60" s="16">
        <f t="shared" si="150"/>
        <v>325</v>
      </c>
      <c r="IL60" s="16">
        <v>325</v>
      </c>
      <c r="JN60">
        <f t="shared" si="131"/>
        <v>22000.054999999957</v>
      </c>
    </row>
    <row r="61" spans="1:274" x14ac:dyDescent="0.25">
      <c r="A61" s="35">
        <v>16</v>
      </c>
      <c r="B61" s="138">
        <v>0.37280000000000002</v>
      </c>
      <c r="C61" s="65"/>
      <c r="D61" s="37">
        <f t="shared" si="151"/>
        <v>0</v>
      </c>
      <c r="E61" s="16">
        <v>27024</v>
      </c>
      <c r="F61" s="16"/>
      <c r="G61" s="37">
        <f t="shared" si="138"/>
        <v>81000</v>
      </c>
      <c r="H61" s="138"/>
      <c r="I61" s="65"/>
      <c r="J61" s="37">
        <f t="shared" si="139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v>14</v>
      </c>
      <c r="DQ61" s="50">
        <f t="shared" si="154"/>
        <v>8.3163999999999998</v>
      </c>
      <c r="DR61" s="49">
        <f t="shared" si="152"/>
        <v>0</v>
      </c>
      <c r="DS61" s="50">
        <v>51.348999999999997</v>
      </c>
      <c r="DT61" s="49">
        <f t="shared" si="155"/>
        <v>0</v>
      </c>
      <c r="EJ61" s="2"/>
      <c r="EZ61" s="203">
        <f t="shared" si="140"/>
        <v>10879.3</v>
      </c>
      <c r="FA61" s="205">
        <f t="shared" si="141"/>
        <v>12084.05</v>
      </c>
      <c r="FB61" s="201">
        <f t="shared" si="142"/>
        <v>22963.35</v>
      </c>
      <c r="FC61" s="16"/>
      <c r="FD61" s="167">
        <f t="shared" si="143"/>
        <v>21666.93</v>
      </c>
      <c r="FE61" s="16"/>
      <c r="FF61" s="199">
        <f t="shared" si="133"/>
        <v>0.45924117398605147</v>
      </c>
      <c r="FG61" s="200">
        <f t="shared" si="134"/>
        <v>0.54075882601394853</v>
      </c>
      <c r="FH61" s="16">
        <f t="shared" si="144"/>
        <v>595.36944277899693</v>
      </c>
      <c r="FI61" s="179">
        <f t="shared" si="144"/>
        <v>701.05055722100315</v>
      </c>
      <c r="FJ61" s="179">
        <f t="shared" si="145"/>
        <v>9950.3463698735977</v>
      </c>
      <c r="FK61" s="179">
        <f t="shared" si="146"/>
        <v>11716.583630126403</v>
      </c>
      <c r="FL61" s="204">
        <f t="shared" si="147"/>
        <v>10545.715812652594</v>
      </c>
      <c r="FM61" s="206">
        <f t="shared" si="147"/>
        <v>12417.634187347405</v>
      </c>
      <c r="FN61" s="202">
        <f t="shared" si="148"/>
        <v>22963.35</v>
      </c>
      <c r="FO61">
        <v>44.579000000000001</v>
      </c>
      <c r="FP61">
        <v>52.492000000000004</v>
      </c>
      <c r="FQ61" s="217">
        <f t="shared" si="149"/>
        <v>0.45924117398605147</v>
      </c>
      <c r="FR61" s="16">
        <v>18</v>
      </c>
      <c r="FS61" s="16">
        <v>683.47</v>
      </c>
      <c r="FT61" s="16">
        <v>353.53</v>
      </c>
      <c r="FU61" s="16">
        <f t="shared" si="135"/>
        <v>1850.0000000000227</v>
      </c>
      <c r="FV61" s="16">
        <f t="shared" si="136"/>
        <v>925.00000000001137</v>
      </c>
      <c r="FW61" s="16">
        <f t="shared" si="137"/>
        <v>925.00000000001137</v>
      </c>
      <c r="IH61" s="16">
        <v>17</v>
      </c>
      <c r="II61" s="144">
        <f>DailyJun!BX23+DailyJun!BY23-DailyJun!BZ23-DailyJun!CA23-DailyJun!CB23-DailyJun!CC23-DailyJun!CD23-DailyJun!CF23-DailyJun!CE23</f>
        <v>1.3096723705530167E-10</v>
      </c>
      <c r="IJ61" s="16">
        <v>136</v>
      </c>
      <c r="IK61" s="16">
        <f t="shared" si="150"/>
        <v>34</v>
      </c>
      <c r="IL61" s="16">
        <v>34</v>
      </c>
      <c r="JN61">
        <f t="shared" si="131"/>
        <v>24995.000000000138</v>
      </c>
    </row>
    <row r="62" spans="1:274" x14ac:dyDescent="0.25">
      <c r="A62" s="35">
        <v>17</v>
      </c>
      <c r="B62" s="138">
        <v>0.37280000000000002</v>
      </c>
      <c r="C62" s="65"/>
      <c r="D62" s="37">
        <f t="shared" si="151"/>
        <v>0</v>
      </c>
      <c r="E62" s="16">
        <v>27109</v>
      </c>
      <c r="F62" s="16"/>
      <c r="G62" s="37">
        <f t="shared" si="138"/>
        <v>85000</v>
      </c>
      <c r="H62" s="138"/>
      <c r="I62" s="65"/>
      <c r="J62" s="37">
        <f t="shared" si="139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v>15</v>
      </c>
      <c r="DQ62" s="50">
        <f t="shared" si="154"/>
        <v>8.3163999999999998</v>
      </c>
      <c r="DR62" s="49">
        <f t="shared" si="152"/>
        <v>0</v>
      </c>
      <c r="DS62" s="50">
        <v>51.348999999999997</v>
      </c>
      <c r="DT62" s="49">
        <f t="shared" si="155"/>
        <v>0</v>
      </c>
      <c r="EJ62" s="2"/>
      <c r="EZ62" s="203">
        <f t="shared" si="140"/>
        <v>12305.07</v>
      </c>
      <c r="FA62" s="205">
        <f t="shared" si="141"/>
        <v>11385.07</v>
      </c>
      <c r="FB62" s="201">
        <f t="shared" si="142"/>
        <v>23690.14</v>
      </c>
      <c r="FC62" s="16"/>
      <c r="FD62" s="167">
        <f t="shared" si="143"/>
        <v>22393.72</v>
      </c>
      <c r="FE62" s="16"/>
      <c r="FF62" s="199">
        <f t="shared" si="133"/>
        <v>0.45587651379789557</v>
      </c>
      <c r="FG62" s="200">
        <f t="shared" si="134"/>
        <v>0.54412348620210449</v>
      </c>
      <c r="FH62" s="16">
        <f t="shared" si="144"/>
        <v>591.00743001786782</v>
      </c>
      <c r="FI62" s="179">
        <f t="shared" si="144"/>
        <v>705.41256998213237</v>
      </c>
      <c r="FJ62" s="179">
        <f t="shared" si="145"/>
        <v>10208.77100456621</v>
      </c>
      <c r="FK62" s="179">
        <f t="shared" si="146"/>
        <v>12184.948995433791</v>
      </c>
      <c r="FL62" s="204">
        <f t="shared" si="147"/>
        <v>10799.778434584077</v>
      </c>
      <c r="FM62" s="206">
        <f t="shared" si="147"/>
        <v>12890.361565415924</v>
      </c>
      <c r="FN62" s="202">
        <f t="shared" si="148"/>
        <v>23690.14</v>
      </c>
      <c r="FO62">
        <v>45.925000000000004</v>
      </c>
      <c r="FP62">
        <v>54.814999999999998</v>
      </c>
      <c r="FQ62" s="217">
        <f t="shared" si="149"/>
        <v>0.45587651379789557</v>
      </c>
      <c r="FR62" s="16">
        <v>19</v>
      </c>
      <c r="FS62" s="16">
        <v>685.39</v>
      </c>
      <c r="FT62" s="16">
        <v>354.71</v>
      </c>
      <c r="FU62" s="16">
        <f t="shared" si="135"/>
        <v>1919.9999999999591</v>
      </c>
      <c r="FV62" s="16">
        <f t="shared" si="136"/>
        <v>959.99999999997954</v>
      </c>
      <c r="FW62" s="16">
        <f t="shared" si="137"/>
        <v>959.99999999997954</v>
      </c>
      <c r="IH62" s="16">
        <v>18</v>
      </c>
      <c r="II62" s="144">
        <f>DailyJun!BX24+DailyJun!BY24-DailyJun!BZ24-DailyJun!CA24-DailyJun!CB24-DailyJun!CC24-DailyJun!CD24-DailyJun!CF24-DailyJun!CE24</f>
        <v>135000</v>
      </c>
      <c r="IJ62" s="16"/>
      <c r="IK62" s="16">
        <f t="shared" si="150"/>
        <v>0</v>
      </c>
      <c r="IL62" s="16"/>
      <c r="JN62">
        <f t="shared" si="131"/>
        <v>25394.999999999818</v>
      </c>
    </row>
    <row r="63" spans="1:274" x14ac:dyDescent="0.25">
      <c r="A63" s="35">
        <v>18</v>
      </c>
      <c r="B63" s="138">
        <v>0.37280000000000002</v>
      </c>
      <c r="C63" s="65"/>
      <c r="D63" s="37">
        <f t="shared" si="151"/>
        <v>0</v>
      </c>
      <c r="E63" s="16">
        <v>27195</v>
      </c>
      <c r="F63" s="16"/>
      <c r="G63" s="37">
        <f t="shared" si="138"/>
        <v>86000</v>
      </c>
      <c r="H63" s="138"/>
      <c r="I63" s="65"/>
      <c r="J63" s="37">
        <f t="shared" si="139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v>16</v>
      </c>
      <c r="DQ63" s="50">
        <f t="shared" si="154"/>
        <v>8.3163999999999998</v>
      </c>
      <c r="DR63" s="49">
        <f t="shared" si="152"/>
        <v>0</v>
      </c>
      <c r="DS63" s="50">
        <v>51.348999999999997</v>
      </c>
      <c r="DT63" s="49">
        <f t="shared" si="155"/>
        <v>0</v>
      </c>
      <c r="EJ63" s="2"/>
      <c r="EZ63" s="203">
        <f t="shared" si="140"/>
        <v>11216.83</v>
      </c>
      <c r="FA63" s="205">
        <f t="shared" si="141"/>
        <v>11790.16</v>
      </c>
      <c r="FB63" s="201">
        <f t="shared" si="142"/>
        <v>23006.989999999998</v>
      </c>
      <c r="FC63" s="16"/>
      <c r="FD63" s="167">
        <f t="shared" si="143"/>
        <v>21710.57</v>
      </c>
      <c r="FE63" s="16"/>
      <c r="FF63" s="199">
        <f t="shared" si="133"/>
        <v>0.46221494932432433</v>
      </c>
      <c r="FG63" s="200">
        <f t="shared" si="134"/>
        <v>0.53778505067567561</v>
      </c>
      <c r="FH63" s="16">
        <f t="shared" si="144"/>
        <v>599.22470460304055</v>
      </c>
      <c r="FI63" s="179">
        <f t="shared" si="144"/>
        <v>697.19529539695941</v>
      </c>
      <c r="FJ63" s="179">
        <f t="shared" si="145"/>
        <v>10034.950012352196</v>
      </c>
      <c r="FK63" s="179">
        <f t="shared" si="146"/>
        <v>11675.619987647802</v>
      </c>
      <c r="FL63" s="204">
        <f t="shared" si="147"/>
        <v>10634.174716955236</v>
      </c>
      <c r="FM63" s="206">
        <f t="shared" si="147"/>
        <v>12372.815283044762</v>
      </c>
      <c r="FN63" s="202">
        <f t="shared" si="148"/>
        <v>23006.989999999998</v>
      </c>
      <c r="FO63">
        <v>43.780999999999999</v>
      </c>
      <c r="FP63">
        <v>50.939000000000007</v>
      </c>
      <c r="FQ63" s="217">
        <f t="shared" si="149"/>
        <v>0.46221494932432433</v>
      </c>
      <c r="FR63" s="16">
        <v>20</v>
      </c>
      <c r="FS63" s="16">
        <v>687.15</v>
      </c>
      <c r="FT63" s="16">
        <v>355.82</v>
      </c>
      <c r="FU63" s="16">
        <f t="shared" si="135"/>
        <v>1759.9999999999909</v>
      </c>
      <c r="FV63" s="16">
        <f t="shared" si="136"/>
        <v>879.99999999999545</v>
      </c>
      <c r="FW63" s="16">
        <f t="shared" si="137"/>
        <v>879.99999999999545</v>
      </c>
      <c r="IH63" s="16">
        <v>19</v>
      </c>
      <c r="II63" s="144">
        <f>DailyJun!BX25+DailyJun!BY25-DailyJun!BZ25-DailyJun!CA25-DailyJun!CB25-DailyJun!CC25-DailyJun!CD25-DailyJun!CF25-DailyJun!CE25</f>
        <v>-11268650</v>
      </c>
      <c r="IJ63" s="16"/>
      <c r="IK63" s="16">
        <f t="shared" si="150"/>
        <v>0</v>
      </c>
      <c r="IL63" s="16"/>
      <c r="JN63">
        <f t="shared" si="131"/>
        <v>15265.000000000091</v>
      </c>
    </row>
    <row r="64" spans="1:274" x14ac:dyDescent="0.25">
      <c r="A64" s="35">
        <v>19</v>
      </c>
      <c r="B64" s="138">
        <v>0.37280000000000002</v>
      </c>
      <c r="C64" s="65"/>
      <c r="D64" s="37">
        <f t="shared" si="151"/>
        <v>0</v>
      </c>
      <c r="E64" s="16">
        <v>27277</v>
      </c>
      <c r="F64" s="16"/>
      <c r="G64" s="37">
        <f t="shared" si="138"/>
        <v>82000</v>
      </c>
      <c r="H64" s="138"/>
      <c r="I64" s="65"/>
      <c r="J64" s="37">
        <f t="shared" si="139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v>17</v>
      </c>
      <c r="DQ64" s="50">
        <f t="shared" si="154"/>
        <v>8.3163999999999998</v>
      </c>
      <c r="DR64" s="49">
        <f t="shared" si="152"/>
        <v>0</v>
      </c>
      <c r="DS64" s="50">
        <v>51.348999999999997</v>
      </c>
      <c r="DT64" s="49">
        <f t="shared" si="155"/>
        <v>0</v>
      </c>
      <c r="EZ64" s="203">
        <f t="shared" si="140"/>
        <v>11377.73</v>
      </c>
      <c r="FA64" s="205">
        <f t="shared" si="141"/>
        <v>11249.4</v>
      </c>
      <c r="FB64" s="201">
        <f t="shared" si="142"/>
        <v>22627.129999999997</v>
      </c>
      <c r="FC64" s="16"/>
      <c r="FD64" s="167">
        <f t="shared" si="143"/>
        <v>21330.71</v>
      </c>
      <c r="FE64" s="16"/>
      <c r="FF64" s="199">
        <f t="shared" si="133"/>
        <v>0.46019219472184963</v>
      </c>
      <c r="FG64" s="200">
        <f t="shared" si="134"/>
        <v>0.53980780527815031</v>
      </c>
      <c r="FH64" s="16">
        <f t="shared" si="144"/>
        <v>596.60236508130038</v>
      </c>
      <c r="FI64" s="179">
        <f t="shared" si="144"/>
        <v>699.8176349186997</v>
      </c>
      <c r="FJ64" s="179">
        <f t="shared" si="145"/>
        <v>9816.2262498753043</v>
      </c>
      <c r="FK64" s="179">
        <f t="shared" si="146"/>
        <v>11514.483750124693</v>
      </c>
      <c r="FL64" s="204">
        <f t="shared" si="147"/>
        <v>10412.828614956605</v>
      </c>
      <c r="FM64" s="206">
        <f t="shared" si="147"/>
        <v>12214.301385043393</v>
      </c>
      <c r="FN64" s="202">
        <f t="shared" si="148"/>
        <v>22627.129999999997</v>
      </c>
      <c r="FO64">
        <v>41.518999999999998</v>
      </c>
      <c r="FP64">
        <v>48.701999999999998</v>
      </c>
      <c r="FQ64" s="217">
        <f t="shared" si="149"/>
        <v>0.46019219472184963</v>
      </c>
      <c r="FR64" s="16">
        <v>21</v>
      </c>
      <c r="FS64" s="16">
        <v>688.92</v>
      </c>
      <c r="FT64" s="16">
        <v>356.94</v>
      </c>
      <c r="FU64" s="16">
        <f t="shared" si="135"/>
        <v>1769.9999999999818</v>
      </c>
      <c r="FV64" s="16">
        <f t="shared" si="136"/>
        <v>884.99999999999091</v>
      </c>
      <c r="FW64" s="16">
        <f t="shared" si="137"/>
        <v>884.99999999999091</v>
      </c>
      <c r="IH64" s="16">
        <v>20</v>
      </c>
      <c r="II64" s="144">
        <f>DailyJun!BX26+DailyJun!BY26-DailyJun!BZ26-DailyJun!CA26-DailyJun!CB26-DailyJun!CC26-DailyJun!CD26-DailyJun!CF26-DailyJun!CE26</f>
        <v>3.5652192309498787E-10</v>
      </c>
      <c r="IJ64" s="16">
        <v>630</v>
      </c>
      <c r="IK64" s="16">
        <f t="shared" si="150"/>
        <v>157.5</v>
      </c>
      <c r="IL64" s="16">
        <v>157.5</v>
      </c>
    </row>
    <row r="65" spans="1:246" x14ac:dyDescent="0.25">
      <c r="A65" s="35">
        <v>20</v>
      </c>
      <c r="B65" s="138">
        <v>0.37280000000000002</v>
      </c>
      <c r="C65" s="65"/>
      <c r="D65" s="37">
        <f t="shared" si="151"/>
        <v>0</v>
      </c>
      <c r="E65" s="16">
        <v>27360</v>
      </c>
      <c r="F65" s="16"/>
      <c r="G65" s="37">
        <f t="shared" si="138"/>
        <v>83000</v>
      </c>
      <c r="H65" s="138"/>
      <c r="I65" s="65"/>
      <c r="J65" s="37">
        <f t="shared" si="139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v>18</v>
      </c>
      <c r="DQ65" s="50">
        <f t="shared" si="154"/>
        <v>8.3163999999999998</v>
      </c>
      <c r="DR65" s="49">
        <f t="shared" si="152"/>
        <v>0</v>
      </c>
      <c r="DS65" s="50">
        <v>51.348999999999997</v>
      </c>
      <c r="DT65" s="49">
        <f t="shared" si="155"/>
        <v>0</v>
      </c>
      <c r="EZ65" s="203">
        <f t="shared" si="140"/>
        <v>11249.45</v>
      </c>
      <c r="FA65" s="205">
        <f t="shared" si="141"/>
        <v>10589.45</v>
      </c>
      <c r="FB65" s="201">
        <f t="shared" si="142"/>
        <v>21838.9</v>
      </c>
      <c r="FC65" s="16"/>
      <c r="FD65" s="167">
        <f t="shared" si="143"/>
        <v>20542.480000000003</v>
      </c>
      <c r="FE65" s="16"/>
      <c r="FF65" s="199">
        <f t="shared" si="133"/>
        <v>0.47713981065624089</v>
      </c>
      <c r="FG65" s="200">
        <f t="shared" si="134"/>
        <v>0.52286018934375911</v>
      </c>
      <c r="FH65" s="16">
        <f t="shared" si="144"/>
        <v>618.57359333096383</v>
      </c>
      <c r="FI65" s="179">
        <f t="shared" si="144"/>
        <v>677.84640666903624</v>
      </c>
      <c r="FJ65" s="179">
        <f t="shared" si="145"/>
        <v>9801.6350176096166</v>
      </c>
      <c r="FK65" s="179">
        <f t="shared" si="146"/>
        <v>10740.844982390387</v>
      </c>
      <c r="FL65" s="204">
        <f t="shared" si="147"/>
        <v>10420.208610940581</v>
      </c>
      <c r="FM65" s="206">
        <f t="shared" si="147"/>
        <v>11418.691389059422</v>
      </c>
      <c r="FN65" s="202">
        <f t="shared" si="148"/>
        <v>21838.9</v>
      </c>
      <c r="FO65">
        <v>44.301000000000002</v>
      </c>
      <c r="FP65">
        <v>48.545999999999999</v>
      </c>
      <c r="FQ65" s="217">
        <f t="shared" si="149"/>
        <v>0.47713981065624089</v>
      </c>
      <c r="FR65" s="16">
        <v>22</v>
      </c>
      <c r="FS65" s="16">
        <v>690.68</v>
      </c>
      <c r="FT65" s="16">
        <v>358.07</v>
      </c>
      <c r="FU65" s="16">
        <f t="shared" si="135"/>
        <v>1759.9999999999909</v>
      </c>
      <c r="FV65" s="16">
        <f t="shared" si="136"/>
        <v>879.99999999999545</v>
      </c>
      <c r="FW65" s="16">
        <f t="shared" si="137"/>
        <v>879.99999999999545</v>
      </c>
      <c r="IH65" s="16">
        <v>21</v>
      </c>
      <c r="II65" s="144">
        <f>DailyJun!BX27+DailyJun!BY27-DailyJun!BZ27-DailyJun!CA27-DailyJun!CB27-DailyJun!CC27-DailyJun!CD27-DailyJun!CF27-DailyJun!CE27</f>
        <v>-3.1286617740988731E-10</v>
      </c>
      <c r="IJ65" s="16">
        <v>730</v>
      </c>
      <c r="IK65" s="16">
        <f t="shared" si="150"/>
        <v>182.5</v>
      </c>
      <c r="IL65" s="16">
        <v>182.5</v>
      </c>
    </row>
    <row r="66" spans="1:246" x14ac:dyDescent="0.25">
      <c r="A66" s="35">
        <v>21</v>
      </c>
      <c r="B66" s="138">
        <v>0.37280000000000002</v>
      </c>
      <c r="C66" s="65"/>
      <c r="D66" s="37">
        <f t="shared" si="151"/>
        <v>0</v>
      </c>
      <c r="E66" s="16">
        <v>27446</v>
      </c>
      <c r="F66" s="16"/>
      <c r="G66" s="37">
        <f t="shared" si="138"/>
        <v>86000</v>
      </c>
      <c r="H66" s="138"/>
      <c r="I66" s="65"/>
      <c r="J66" s="37">
        <f t="shared" si="139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v>19</v>
      </c>
      <c r="DQ66" s="50">
        <f t="shared" si="154"/>
        <v>8.3163999999999998</v>
      </c>
      <c r="DR66" s="49">
        <f t="shared" si="152"/>
        <v>0</v>
      </c>
      <c r="DS66" s="50">
        <v>51.348999999999997</v>
      </c>
      <c r="DT66" s="49">
        <f t="shared" si="155"/>
        <v>0</v>
      </c>
      <c r="EZ66" s="203">
        <f t="shared" si="140"/>
        <v>9571.11</v>
      </c>
      <c r="FA66" s="205">
        <f t="shared" si="141"/>
        <v>8137.78</v>
      </c>
      <c r="FB66" s="201">
        <f t="shared" si="142"/>
        <v>17708.89</v>
      </c>
      <c r="FC66" s="16"/>
      <c r="FD66" s="167">
        <f t="shared" si="143"/>
        <v>16412.47</v>
      </c>
      <c r="FE66" s="16"/>
      <c r="FF66" s="199">
        <f t="shared" si="133"/>
        <v>0.49898665276933324</v>
      </c>
      <c r="FG66" s="200">
        <f t="shared" si="134"/>
        <v>0.50101334723066682</v>
      </c>
      <c r="FH66" s="16">
        <f t="shared" si="144"/>
        <v>646.89627638321906</v>
      </c>
      <c r="FI66" s="179">
        <f t="shared" si="144"/>
        <v>649.52372361678113</v>
      </c>
      <c r="FJ66" s="179">
        <f t="shared" si="145"/>
        <v>8189.6034689770995</v>
      </c>
      <c r="FK66" s="179">
        <f t="shared" si="146"/>
        <v>8222.8665310229026</v>
      </c>
      <c r="FL66" s="204">
        <f t="shared" si="147"/>
        <v>8836.4997453603191</v>
      </c>
      <c r="FM66" s="206">
        <f t="shared" si="147"/>
        <v>8872.3902546396839</v>
      </c>
      <c r="FN66" s="202">
        <f t="shared" si="148"/>
        <v>17708.890000000003</v>
      </c>
      <c r="FO66">
        <v>34.469000000000001</v>
      </c>
      <c r="FP66">
        <v>34.609000000000002</v>
      </c>
      <c r="FQ66" s="217">
        <f t="shared" si="149"/>
        <v>0.49898665276933324</v>
      </c>
      <c r="FR66" s="16">
        <v>23</v>
      </c>
      <c r="FS66" s="16">
        <v>692.28</v>
      </c>
      <c r="FT66" s="16">
        <v>359.09</v>
      </c>
      <c r="FU66" s="16">
        <f t="shared" si="135"/>
        <v>1600.0000000000227</v>
      </c>
      <c r="FV66" s="16">
        <f t="shared" si="136"/>
        <v>800.00000000001137</v>
      </c>
      <c r="FW66" s="16">
        <f t="shared" si="137"/>
        <v>800.00000000001137</v>
      </c>
      <c r="IH66" s="16">
        <v>22</v>
      </c>
      <c r="II66" s="144">
        <f>DailyJun!BX28+DailyJun!BY28-DailyJun!BZ28-DailyJun!CA28-DailyJun!CB28-DailyJun!CC28-DailyJun!CD28-DailyJun!CF28-DailyJun!CE28</f>
        <v>-2.255546860396862E-10</v>
      </c>
      <c r="IJ66" s="16">
        <v>-140</v>
      </c>
      <c r="IK66" s="16">
        <f t="shared" si="150"/>
        <v>-35</v>
      </c>
      <c r="IL66" s="16">
        <v>-35</v>
      </c>
    </row>
    <row r="67" spans="1:246" x14ac:dyDescent="0.25">
      <c r="A67" s="35">
        <v>22</v>
      </c>
      <c r="B67" s="138">
        <v>0.37280000000000002</v>
      </c>
      <c r="C67" s="65"/>
      <c r="D67" s="37">
        <f t="shared" si="151"/>
        <v>0</v>
      </c>
      <c r="E67" s="16">
        <v>27532</v>
      </c>
      <c r="F67" s="16"/>
      <c r="G67" s="37">
        <f t="shared" si="138"/>
        <v>86000</v>
      </c>
      <c r="H67" s="138"/>
      <c r="I67" s="65"/>
      <c r="J67" s="37">
        <f t="shared" si="139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v>20</v>
      </c>
      <c r="DQ67" s="50">
        <f t="shared" si="154"/>
        <v>8.3163999999999998</v>
      </c>
      <c r="DR67" s="49">
        <f t="shared" si="152"/>
        <v>0</v>
      </c>
      <c r="DS67" s="50">
        <v>51.348999999999997</v>
      </c>
      <c r="DT67" s="49">
        <f t="shared" si="155"/>
        <v>0</v>
      </c>
      <c r="EZ67" s="203">
        <f t="shared" si="140"/>
        <v>11921.96</v>
      </c>
      <c r="FA67" s="205">
        <f t="shared" si="141"/>
        <v>6426.96</v>
      </c>
      <c r="FB67" s="201">
        <f t="shared" si="142"/>
        <v>18348.919999999998</v>
      </c>
      <c r="FC67" s="16"/>
      <c r="FD67" s="167">
        <f t="shared" si="143"/>
        <v>17052.5</v>
      </c>
      <c r="FE67" s="16"/>
      <c r="FF67" s="199">
        <f t="shared" si="133"/>
        <v>0.87729179837921722</v>
      </c>
      <c r="FG67" s="200">
        <f t="shared" si="134"/>
        <v>0.12270820162078278</v>
      </c>
      <c r="FH67" s="16">
        <f t="shared" si="144"/>
        <v>1137.3386332547848</v>
      </c>
      <c r="FI67" s="179">
        <f t="shared" si="144"/>
        <v>159.08136674521521</v>
      </c>
      <c r="FJ67" s="179">
        <f t="shared" si="145"/>
        <v>14960.018391861602</v>
      </c>
      <c r="FK67" s="179">
        <f t="shared" si="146"/>
        <v>2092.4816081383983</v>
      </c>
      <c r="FL67" s="204">
        <f t="shared" si="147"/>
        <v>16097.357025116387</v>
      </c>
      <c r="FM67" s="206">
        <f t="shared" si="147"/>
        <v>2251.5629748836136</v>
      </c>
      <c r="FN67" s="202">
        <f t="shared" si="148"/>
        <v>18348.920000000002</v>
      </c>
      <c r="FO67">
        <v>45.792000000000002</v>
      </c>
      <c r="FP67">
        <v>6.4050000000000002</v>
      </c>
      <c r="FQ67" s="217">
        <f t="shared" si="149"/>
        <v>0.87729179837921722</v>
      </c>
      <c r="FR67" s="16">
        <v>24</v>
      </c>
      <c r="FS67" s="16">
        <v>694.05</v>
      </c>
      <c r="FT67" s="16">
        <v>360.23</v>
      </c>
      <c r="FU67" s="16">
        <f t="shared" si="135"/>
        <v>1769.9999999999818</v>
      </c>
      <c r="FV67" s="16">
        <f t="shared" si="136"/>
        <v>884.99999999999091</v>
      </c>
      <c r="FW67" s="16">
        <f t="shared" si="137"/>
        <v>884.99999999999091</v>
      </c>
      <c r="IH67" s="16">
        <v>23</v>
      </c>
      <c r="II67" s="144">
        <f>DailyJun!BX29+DailyJun!BY29-DailyJun!BZ29-DailyJun!CA29-DailyJun!CB29-DailyJun!CC29-DailyJun!CD29-DailyJun!CF29-DailyJun!CE29</f>
        <v>-1.7462298274040222E-10</v>
      </c>
      <c r="IJ67" s="16">
        <v>-290</v>
      </c>
      <c r="IK67" s="16">
        <f t="shared" si="150"/>
        <v>-72.5</v>
      </c>
      <c r="IL67" s="16">
        <v>-72.5</v>
      </c>
    </row>
    <row r="68" spans="1:246" x14ac:dyDescent="0.25">
      <c r="A68" s="35">
        <v>23</v>
      </c>
      <c r="B68" s="138">
        <v>0.37280000000000002</v>
      </c>
      <c r="C68" s="65"/>
      <c r="D68" s="37">
        <f t="shared" si="151"/>
        <v>0</v>
      </c>
      <c r="E68" s="16">
        <v>27614</v>
      </c>
      <c r="F68" s="16"/>
      <c r="G68" s="37">
        <f t="shared" si="138"/>
        <v>82000</v>
      </c>
      <c r="H68" s="138"/>
      <c r="I68" s="65"/>
      <c r="J68" s="37">
        <f t="shared" si="139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v>21</v>
      </c>
      <c r="DQ68" s="50">
        <f t="shared" si="154"/>
        <v>8.3163999999999998</v>
      </c>
      <c r="DR68" s="49">
        <f t="shared" si="152"/>
        <v>0</v>
      </c>
      <c r="DS68" s="50">
        <v>51.348999999999997</v>
      </c>
      <c r="DT68" s="49">
        <f t="shared" si="155"/>
        <v>0</v>
      </c>
      <c r="EZ68" s="203">
        <f t="shared" si="140"/>
        <v>10776.19</v>
      </c>
      <c r="FA68" s="205">
        <f t="shared" si="141"/>
        <v>12857.140000000001</v>
      </c>
      <c r="FB68" s="201">
        <f t="shared" si="142"/>
        <v>23633.33</v>
      </c>
      <c r="FC68" s="16"/>
      <c r="FD68" s="167">
        <f t="shared" si="143"/>
        <v>22336.910000000003</v>
      </c>
      <c r="FE68" s="16"/>
      <c r="FF68" s="199">
        <f t="shared" si="133"/>
        <v>0.49440175177656587</v>
      </c>
      <c r="FG68" s="200">
        <f t="shared" si="134"/>
        <v>0.50559824822343413</v>
      </c>
      <c r="FH68" s="16">
        <f t="shared" si="144"/>
        <v>640.95231903817557</v>
      </c>
      <c r="FI68" s="179">
        <f t="shared" si="144"/>
        <v>655.4676809618245</v>
      </c>
      <c r="FJ68" s="179">
        <f t="shared" si="145"/>
        <v>11043.407433275494</v>
      </c>
      <c r="FK68" s="179">
        <f t="shared" si="146"/>
        <v>11293.50256672451</v>
      </c>
      <c r="FL68" s="204">
        <f t="shared" si="147"/>
        <v>11684.359752313669</v>
      </c>
      <c r="FM68" s="206">
        <f t="shared" si="147"/>
        <v>11948.970247686335</v>
      </c>
      <c r="FN68" s="202">
        <f t="shared" si="148"/>
        <v>23633.33</v>
      </c>
      <c r="FO68">
        <v>47.866</v>
      </c>
      <c r="FP68">
        <v>48.95</v>
      </c>
      <c r="FQ68" s="217">
        <f t="shared" si="149"/>
        <v>0.49440175177656587</v>
      </c>
      <c r="FR68" s="16">
        <v>25</v>
      </c>
      <c r="FS68" s="16">
        <v>695.81</v>
      </c>
      <c r="FT68" s="16">
        <v>361.36</v>
      </c>
      <c r="FU68" s="16">
        <f t="shared" si="135"/>
        <v>1759.9999999999909</v>
      </c>
      <c r="FV68" s="16">
        <f t="shared" si="136"/>
        <v>879.99999999999545</v>
      </c>
      <c r="FW68" s="16">
        <f t="shared" si="137"/>
        <v>879.99999999999545</v>
      </c>
      <c r="IH68" s="16">
        <v>24</v>
      </c>
      <c r="II68" s="144">
        <f>DailyJun!BX30+DailyJun!BY30-DailyJun!BZ30-DailyJun!CA30-DailyJun!CB30-DailyJun!CC30-DailyJun!CD30-DailyJun!CF30-DailyJun!CE30</f>
        <v>4.5110937207937241E-10</v>
      </c>
      <c r="IJ68" s="16">
        <v>3580</v>
      </c>
      <c r="IK68" s="16">
        <f t="shared" si="150"/>
        <v>895</v>
      </c>
      <c r="IL68" s="16">
        <v>895</v>
      </c>
    </row>
    <row r="69" spans="1:246" x14ac:dyDescent="0.25">
      <c r="A69" s="35">
        <v>24</v>
      </c>
      <c r="B69" s="138">
        <v>0.37280000000000002</v>
      </c>
      <c r="C69" s="65"/>
      <c r="D69" s="37">
        <f t="shared" si="151"/>
        <v>0</v>
      </c>
      <c r="E69" s="16">
        <v>27703</v>
      </c>
      <c r="F69" s="16"/>
      <c r="G69" s="37">
        <f t="shared" si="138"/>
        <v>89000</v>
      </c>
      <c r="H69" s="138"/>
      <c r="I69" s="65"/>
      <c r="J69" s="37">
        <f t="shared" si="139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v>22</v>
      </c>
      <c r="DQ69" s="50">
        <f t="shared" si="154"/>
        <v>8.3163999999999998</v>
      </c>
      <c r="DR69" s="49">
        <f t="shared" si="152"/>
        <v>0</v>
      </c>
      <c r="DS69" s="50">
        <v>51.348999999999997</v>
      </c>
      <c r="DT69" s="49">
        <f t="shared" si="155"/>
        <v>0</v>
      </c>
      <c r="EZ69" s="203">
        <f t="shared" si="140"/>
        <v>9652.19</v>
      </c>
      <c r="FA69" s="205">
        <f t="shared" si="141"/>
        <v>11987.19</v>
      </c>
      <c r="FB69" s="201">
        <f t="shared" si="142"/>
        <v>21639.38</v>
      </c>
      <c r="FC69" s="16"/>
      <c r="FD69" s="167">
        <f t="shared" si="143"/>
        <v>20342.96</v>
      </c>
      <c r="FE69" s="16"/>
      <c r="FF69" s="199">
        <f t="shared" si="133"/>
        <v>0.51873175938859173</v>
      </c>
      <c r="FG69" s="200">
        <f t="shared" si="134"/>
        <v>0.48126824061140827</v>
      </c>
      <c r="FH69" s="16">
        <f t="shared" si="144"/>
        <v>672.4942275065581</v>
      </c>
      <c r="FI69" s="179">
        <f t="shared" si="144"/>
        <v>623.92577249344197</v>
      </c>
      <c r="FJ69" s="179">
        <f t="shared" si="145"/>
        <v>10552.539431971745</v>
      </c>
      <c r="FK69" s="179">
        <f t="shared" si="146"/>
        <v>9790.4205680282539</v>
      </c>
      <c r="FL69" s="204">
        <f t="shared" si="147"/>
        <v>11225.033659478304</v>
      </c>
      <c r="FM69" s="206">
        <f t="shared" si="147"/>
        <v>10414.346340521695</v>
      </c>
      <c r="FN69" s="202">
        <f t="shared" si="148"/>
        <v>21639.379999999997</v>
      </c>
      <c r="FO69">
        <v>45.679000000000002</v>
      </c>
      <c r="FP69">
        <v>42.379999999999995</v>
      </c>
      <c r="FQ69" s="217">
        <f t="shared" si="149"/>
        <v>0.51873175938859173</v>
      </c>
      <c r="FR69" s="16">
        <v>26</v>
      </c>
      <c r="FS69" s="16">
        <v>697.6</v>
      </c>
      <c r="FT69" s="16">
        <v>362.49</v>
      </c>
      <c r="FU69" s="16">
        <f t="shared" si="135"/>
        <v>1790.0000000000773</v>
      </c>
      <c r="FV69" s="16">
        <f t="shared" si="136"/>
        <v>895.00000000003865</v>
      </c>
      <c r="FW69" s="16">
        <f t="shared" si="137"/>
        <v>895.00000000003865</v>
      </c>
      <c r="IH69" s="16">
        <v>25</v>
      </c>
      <c r="II69" s="144">
        <f>DailyJun!BX31+DailyJun!BY31-DailyJun!BZ31-DailyJun!CA31-DailyJun!CB31-DailyJun!CC31-DailyJun!CD31-DailyJun!CF31-DailyJun!CE31</f>
        <v>4.2999997895094566E-3</v>
      </c>
      <c r="IJ69" s="16">
        <v>800.22</v>
      </c>
      <c r="IK69" s="16">
        <f t="shared" si="150"/>
        <v>200.05500000000001</v>
      </c>
      <c r="IL69" s="16">
        <v>200.05500000000001</v>
      </c>
    </row>
    <row r="70" spans="1:246" x14ac:dyDescent="0.25">
      <c r="A70" s="35">
        <v>25</v>
      </c>
      <c r="B70" s="138">
        <v>0.37280000000000002</v>
      </c>
      <c r="C70" s="65"/>
      <c r="D70" s="37">
        <f t="shared" si="151"/>
        <v>0</v>
      </c>
      <c r="E70" s="16">
        <v>27790</v>
      </c>
      <c r="F70" s="16"/>
      <c r="G70" s="37">
        <f t="shared" si="138"/>
        <v>87000</v>
      </c>
      <c r="H70" s="138"/>
      <c r="I70" s="65"/>
      <c r="J70" s="37">
        <f t="shared" si="139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v>23</v>
      </c>
      <c r="DQ70" s="50">
        <f t="shared" si="154"/>
        <v>8.3163999999999998</v>
      </c>
      <c r="DR70" s="49">
        <f t="shared" si="152"/>
        <v>0</v>
      </c>
      <c r="DS70" s="50">
        <v>51.348999999999997</v>
      </c>
      <c r="DT70" s="49">
        <f t="shared" si="155"/>
        <v>0</v>
      </c>
      <c r="EZ70" s="203">
        <f t="shared" si="140"/>
        <v>10439.290000000001</v>
      </c>
      <c r="FA70" s="205">
        <f t="shared" si="141"/>
        <v>12045.96</v>
      </c>
      <c r="FB70" s="201">
        <f t="shared" si="142"/>
        <v>22485.25</v>
      </c>
      <c r="FC70" s="16"/>
      <c r="FD70" s="167">
        <f t="shared" si="143"/>
        <v>21188.83</v>
      </c>
      <c r="FE70" s="16"/>
      <c r="FF70" s="199">
        <f t="shared" si="133"/>
        <v>0.52300128998181838</v>
      </c>
      <c r="FG70" s="200">
        <f t="shared" si="134"/>
        <v>0.47699871001818162</v>
      </c>
      <c r="FH70" s="16">
        <f t="shared" si="144"/>
        <v>678.029332358229</v>
      </c>
      <c r="FI70" s="179">
        <f t="shared" si="144"/>
        <v>618.39066764177107</v>
      </c>
      <c r="FJ70" s="179">
        <f t="shared" si="145"/>
        <v>11081.785423205454</v>
      </c>
      <c r="FK70" s="179">
        <f t="shared" si="146"/>
        <v>10107.044576794548</v>
      </c>
      <c r="FL70" s="204">
        <f t="shared" si="147"/>
        <v>11759.814755563682</v>
      </c>
      <c r="FM70" s="206">
        <f t="shared" si="147"/>
        <v>10725.435244436319</v>
      </c>
      <c r="FN70" s="202">
        <f t="shared" si="148"/>
        <v>22485.25</v>
      </c>
      <c r="FO70">
        <v>51.489999999999995</v>
      </c>
      <c r="FP70">
        <v>46.960999999999999</v>
      </c>
      <c r="FQ70" s="217">
        <f t="shared" si="149"/>
        <v>0.52300128998181838</v>
      </c>
      <c r="FR70" s="16">
        <v>27</v>
      </c>
      <c r="FS70" s="16">
        <v>699.36</v>
      </c>
      <c r="FT70" s="16">
        <v>366.59</v>
      </c>
      <c r="FU70" s="16">
        <f t="shared" si="135"/>
        <v>1759.9999999999909</v>
      </c>
      <c r="FV70" s="16">
        <f t="shared" si="136"/>
        <v>879.99999999999545</v>
      </c>
      <c r="FW70" s="16">
        <f t="shared" si="137"/>
        <v>879.99999999999545</v>
      </c>
      <c r="IH70" s="16">
        <v>26</v>
      </c>
      <c r="II70" s="144">
        <f>DailyJun!BX32+DailyJun!BY32-DailyJun!BZ32-DailyJun!CA32-DailyJun!CB32-DailyJun!CC32-DailyJun!CD32-DailyJun!CF32-DailyJun!CE32</f>
        <v>-3.1286617740988731E-10</v>
      </c>
      <c r="IJ70" s="16">
        <v>-2420</v>
      </c>
      <c r="IK70" s="16">
        <f t="shared" si="150"/>
        <v>-605</v>
      </c>
      <c r="IL70" s="16">
        <v>-605</v>
      </c>
    </row>
    <row r="71" spans="1:246" x14ac:dyDescent="0.25">
      <c r="A71" s="35">
        <v>26</v>
      </c>
      <c r="B71" s="138">
        <v>0.37280000000000002</v>
      </c>
      <c r="C71" s="65"/>
      <c r="D71" s="37">
        <f t="shared" si="151"/>
        <v>0</v>
      </c>
      <c r="E71" s="16">
        <v>27808</v>
      </c>
      <c r="F71" s="16"/>
      <c r="G71" s="37">
        <f t="shared" si="138"/>
        <v>18000</v>
      </c>
      <c r="H71" s="138"/>
      <c r="I71" s="65"/>
      <c r="J71" s="37">
        <f t="shared" si="139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v>24</v>
      </c>
      <c r="DQ71" s="50">
        <f t="shared" si="154"/>
        <v>8.3163999999999998</v>
      </c>
      <c r="DR71" s="49">
        <f t="shared" si="152"/>
        <v>0</v>
      </c>
      <c r="DS71" s="50">
        <v>51.348999999999997</v>
      </c>
      <c r="DT71" s="49">
        <f t="shared" si="155"/>
        <v>0</v>
      </c>
      <c r="EZ71" s="203">
        <f t="shared" si="140"/>
        <v>10979.59</v>
      </c>
      <c r="FA71" s="205">
        <f t="shared" si="141"/>
        <v>13884.59</v>
      </c>
      <c r="FB71" s="201">
        <f t="shared" si="142"/>
        <v>24864.18</v>
      </c>
      <c r="FC71" s="16"/>
      <c r="FD71" s="167">
        <f t="shared" si="143"/>
        <v>23567.760000000002</v>
      </c>
      <c r="FE71" s="16"/>
      <c r="FF71" s="199">
        <f t="shared" si="133"/>
        <v>0.49688495475432015</v>
      </c>
      <c r="FG71" s="200">
        <f t="shared" si="134"/>
        <v>0.50311504524567985</v>
      </c>
      <c r="FH71" s="16">
        <f t="shared" si="144"/>
        <v>644.17159304259576</v>
      </c>
      <c r="FI71" s="179">
        <f t="shared" si="144"/>
        <v>652.24840695740431</v>
      </c>
      <c r="FJ71" s="179">
        <f t="shared" si="145"/>
        <v>11710.465361260678</v>
      </c>
      <c r="FK71" s="179">
        <f t="shared" si="146"/>
        <v>11857.294638739324</v>
      </c>
      <c r="FL71" s="204">
        <f t="shared" si="147"/>
        <v>12354.636954303274</v>
      </c>
      <c r="FM71" s="206">
        <f t="shared" si="147"/>
        <v>12509.543045696728</v>
      </c>
      <c r="FN71" s="202">
        <f t="shared" si="148"/>
        <v>24864.18</v>
      </c>
      <c r="FO71">
        <v>52.878</v>
      </c>
      <c r="FP71">
        <v>53.541000000000004</v>
      </c>
      <c r="FQ71" s="217">
        <f t="shared" si="149"/>
        <v>0.49688495475432015</v>
      </c>
      <c r="FR71" s="16">
        <v>28</v>
      </c>
      <c r="FS71" s="16">
        <v>701.13</v>
      </c>
      <c r="FT71" s="16">
        <v>364.7</v>
      </c>
      <c r="FU71" s="16">
        <f t="shared" si="135"/>
        <v>1769.9999999999818</v>
      </c>
      <c r="FV71" s="16">
        <f t="shared" si="136"/>
        <v>884.99999999999091</v>
      </c>
      <c r="FW71" s="16">
        <f t="shared" si="137"/>
        <v>884.99999999999091</v>
      </c>
      <c r="IH71" s="16">
        <v>27</v>
      </c>
      <c r="II71" s="144">
        <f>DailyJun!BX33+DailyJun!BY33-DailyJun!BZ33-DailyJun!CA33-DailyJun!CB33-DailyJun!CC33-DailyJun!CD33-DailyJun!CF33-DailyJun!CE33</f>
        <v>1.8189894035458565E-10</v>
      </c>
      <c r="IJ71" s="16">
        <v>780</v>
      </c>
      <c r="IK71" s="16">
        <f t="shared" si="150"/>
        <v>195</v>
      </c>
      <c r="IL71" s="16">
        <v>195</v>
      </c>
    </row>
    <row r="72" spans="1:246" x14ac:dyDescent="0.25">
      <c r="A72" s="35">
        <v>27</v>
      </c>
      <c r="B72" s="138"/>
      <c r="C72" s="65"/>
      <c r="D72" s="37">
        <f t="shared" si="151"/>
        <v>0</v>
      </c>
      <c r="E72" s="16">
        <v>27808</v>
      </c>
      <c r="F72" s="16"/>
      <c r="G72" s="37">
        <f t="shared" si="138"/>
        <v>0</v>
      </c>
      <c r="H72" s="138"/>
      <c r="I72" s="65"/>
      <c r="J72" s="37">
        <f t="shared" si="139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v>25</v>
      </c>
      <c r="DQ72" s="50">
        <f t="shared" si="154"/>
        <v>8.3163999999999998</v>
      </c>
      <c r="DR72" s="49">
        <f t="shared" si="152"/>
        <v>0</v>
      </c>
      <c r="DS72" s="50">
        <v>51.348999999999997</v>
      </c>
      <c r="DT72" s="49">
        <f t="shared" si="155"/>
        <v>0</v>
      </c>
      <c r="EZ72" s="203">
        <f t="shared" si="140"/>
        <v>11121.1</v>
      </c>
      <c r="FA72" s="205">
        <f t="shared" si="141"/>
        <v>13934.43</v>
      </c>
      <c r="FB72" s="201">
        <f t="shared" si="142"/>
        <v>25055.53</v>
      </c>
      <c r="FC72" s="16"/>
      <c r="FD72" s="167">
        <f t="shared" si="143"/>
        <v>23759.11</v>
      </c>
      <c r="FE72" s="16"/>
      <c r="FF72" s="199">
        <f t="shared" si="133"/>
        <v>0.5</v>
      </c>
      <c r="FG72" s="200">
        <f t="shared" si="134"/>
        <v>0.5</v>
      </c>
      <c r="FH72" s="16">
        <f t="shared" si="144"/>
        <v>648.21</v>
      </c>
      <c r="FI72" s="179">
        <f t="shared" si="144"/>
        <v>648.21</v>
      </c>
      <c r="FJ72" s="179">
        <f t="shared" si="145"/>
        <v>11879.555</v>
      </c>
      <c r="FK72" s="179">
        <f t="shared" si="146"/>
        <v>11879.555</v>
      </c>
      <c r="FL72" s="204">
        <f t="shared" si="147"/>
        <v>12527.764999999999</v>
      </c>
      <c r="FM72" s="206">
        <f t="shared" si="147"/>
        <v>12527.764999999999</v>
      </c>
      <c r="FN72" s="202">
        <f t="shared" si="148"/>
        <v>25055.53</v>
      </c>
      <c r="FP72">
        <v>46.421999999999997</v>
      </c>
      <c r="FQ72" s="217">
        <v>0.5</v>
      </c>
      <c r="FR72" s="16">
        <v>29</v>
      </c>
      <c r="FS72" s="16">
        <v>702.85</v>
      </c>
      <c r="FT72" s="16">
        <v>365.78</v>
      </c>
      <c r="FU72" s="16">
        <f t="shared" si="135"/>
        <v>1720.0000000000273</v>
      </c>
      <c r="FV72" s="16">
        <f t="shared" si="136"/>
        <v>860.00000000001364</v>
      </c>
      <c r="FW72" s="16">
        <f t="shared" si="137"/>
        <v>860.00000000001364</v>
      </c>
      <c r="IH72" s="16">
        <v>28</v>
      </c>
      <c r="II72" s="144">
        <f>DailyJun!BX34+DailyJun!BY34-DailyJun!BZ34-DailyJun!CA34-DailyJun!CB34-DailyJun!CC34-DailyJun!CD34-DailyJun!CF34-DailyJun!CE34</f>
        <v>1.7462298274040222E-10</v>
      </c>
      <c r="IJ72" s="16">
        <v>-540</v>
      </c>
      <c r="IK72" s="16">
        <f t="shared" si="150"/>
        <v>-135</v>
      </c>
      <c r="IL72" s="16">
        <v>-135</v>
      </c>
    </row>
    <row r="73" spans="1:246" x14ac:dyDescent="0.25">
      <c r="A73" s="35">
        <v>28</v>
      </c>
      <c r="B73" s="138"/>
      <c r="C73" s="65"/>
      <c r="D73" s="37">
        <f t="shared" si="151"/>
        <v>0</v>
      </c>
      <c r="E73" s="16">
        <v>27808</v>
      </c>
      <c r="F73" s="16"/>
      <c r="G73" s="37">
        <f t="shared" si="138"/>
        <v>0</v>
      </c>
      <c r="H73" s="138"/>
      <c r="I73" s="65"/>
      <c r="J73" s="37">
        <f t="shared" si="139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v>26</v>
      </c>
      <c r="DQ73" s="50">
        <f t="shared" si="154"/>
        <v>8.3163999999999998</v>
      </c>
      <c r="DR73" s="49">
        <f t="shared" si="152"/>
        <v>0</v>
      </c>
      <c r="DS73" s="50">
        <v>51.348999999999997</v>
      </c>
      <c r="DT73" s="49">
        <f t="shared" si="155"/>
        <v>0</v>
      </c>
      <c r="EZ73" s="203">
        <f t="shared" si="140"/>
        <v>11041.06</v>
      </c>
      <c r="FA73" s="205">
        <f t="shared" si="141"/>
        <v>13109.39</v>
      </c>
      <c r="FB73" s="201">
        <f t="shared" si="142"/>
        <v>24150.449999999997</v>
      </c>
      <c r="FC73" s="16"/>
      <c r="FD73" s="167">
        <f t="shared" si="143"/>
        <v>22854.03</v>
      </c>
      <c r="FE73" s="16"/>
      <c r="FF73" s="199">
        <f t="shared" si="133"/>
        <v>0.5</v>
      </c>
      <c r="FG73" s="200">
        <f t="shared" si="134"/>
        <v>0.5</v>
      </c>
      <c r="FH73" s="16">
        <f t="shared" si="144"/>
        <v>648.21</v>
      </c>
      <c r="FI73" s="179">
        <f t="shared" si="144"/>
        <v>648.21</v>
      </c>
      <c r="FJ73" s="179">
        <f t="shared" si="145"/>
        <v>11427.014999999999</v>
      </c>
      <c r="FK73" s="179">
        <f t="shared" si="146"/>
        <v>11427.014999999999</v>
      </c>
      <c r="FL73" s="204">
        <f t="shared" si="147"/>
        <v>12075.224999999999</v>
      </c>
      <c r="FM73" s="206">
        <f t="shared" si="147"/>
        <v>12075.224999999999</v>
      </c>
      <c r="FN73" s="202">
        <f t="shared" si="148"/>
        <v>24150.449999999997</v>
      </c>
      <c r="FP73">
        <v>51.042999999999999</v>
      </c>
      <c r="FQ73" s="217">
        <v>0.5</v>
      </c>
      <c r="FR73" s="16">
        <v>30</v>
      </c>
      <c r="FS73" s="16">
        <v>704.64</v>
      </c>
      <c r="FT73" s="16">
        <v>366.92</v>
      </c>
      <c r="FU73" s="16">
        <f t="shared" si="135"/>
        <v>1789.9999999999636</v>
      </c>
      <c r="FV73" s="16">
        <f t="shared" si="136"/>
        <v>894.99999999998181</v>
      </c>
      <c r="FW73" s="16">
        <f t="shared" si="137"/>
        <v>894.99999999998181</v>
      </c>
      <c r="IH73" s="16">
        <v>29</v>
      </c>
      <c r="II73" s="144">
        <f>DailyJun!BX35+DailyJun!BY35-DailyJun!BZ35-DailyJun!CA35-DailyJun!CB35-DailyJun!CC35-DailyJun!CD35-DailyJun!CF35-DailyJun!CE35</f>
        <v>1.0186340659856796E-10</v>
      </c>
      <c r="IJ73" s="16">
        <v>1550</v>
      </c>
      <c r="IK73" s="16">
        <f t="shared" si="150"/>
        <v>387.5</v>
      </c>
      <c r="IL73" s="16">
        <v>387.5</v>
      </c>
    </row>
    <row r="74" spans="1:246" x14ac:dyDescent="0.25">
      <c r="A74" s="35">
        <v>29</v>
      </c>
      <c r="B74" s="138"/>
      <c r="C74" s="65"/>
      <c r="D74" s="37">
        <f t="shared" si="151"/>
        <v>0</v>
      </c>
      <c r="E74" s="16">
        <v>27808</v>
      </c>
      <c r="F74" s="16"/>
      <c r="G74" s="37">
        <f t="shared" si="138"/>
        <v>0</v>
      </c>
      <c r="H74" s="138"/>
      <c r="I74" s="65"/>
      <c r="J74" s="37">
        <f t="shared" si="139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v>27</v>
      </c>
      <c r="DQ74" s="50">
        <f t="shared" si="154"/>
        <v>8.3163999999999998</v>
      </c>
      <c r="DR74" s="49">
        <f t="shared" si="152"/>
        <v>0</v>
      </c>
      <c r="DS74" s="50">
        <v>51.348999999999997</v>
      </c>
      <c r="DT74" s="49">
        <f t="shared" si="155"/>
        <v>0</v>
      </c>
      <c r="EZ74" s="203">
        <f t="shared" si="140"/>
        <v>10481.19</v>
      </c>
      <c r="FA74" s="205">
        <f t="shared" si="141"/>
        <v>12186.19</v>
      </c>
      <c r="FB74" s="201">
        <f t="shared" si="142"/>
        <v>22667.38</v>
      </c>
      <c r="FC74" s="16"/>
      <c r="FD74" s="167">
        <f t="shared" si="143"/>
        <v>21370.959999999999</v>
      </c>
      <c r="FE74" s="16"/>
      <c r="FF74" s="199">
        <f t="shared" si="133"/>
        <v>0.5</v>
      </c>
      <c r="FG74" s="200">
        <f t="shared" si="134"/>
        <v>0.5</v>
      </c>
      <c r="FH74" s="16">
        <f t="shared" si="144"/>
        <v>648.21</v>
      </c>
      <c r="FI74" s="179">
        <f t="shared" si="144"/>
        <v>648.21</v>
      </c>
      <c r="FJ74" s="179">
        <f t="shared" si="145"/>
        <v>10685.48</v>
      </c>
      <c r="FK74" s="179">
        <f t="shared" si="146"/>
        <v>10685.48</v>
      </c>
      <c r="FL74" s="204">
        <f t="shared" si="147"/>
        <v>11333.689999999999</v>
      </c>
      <c r="FM74" s="206">
        <f t="shared" si="147"/>
        <v>11333.689999999999</v>
      </c>
      <c r="FN74" s="202">
        <f t="shared" si="148"/>
        <v>22667.379999999997</v>
      </c>
      <c r="FQ74" s="217">
        <v>0.5</v>
      </c>
      <c r="FR74" s="16">
        <v>31</v>
      </c>
      <c r="FS74" s="16">
        <v>706.41</v>
      </c>
      <c r="FT74" s="16">
        <v>368.03</v>
      </c>
      <c r="FU74" s="16">
        <f t="shared" si="135"/>
        <v>1769.9999999999818</v>
      </c>
      <c r="FV74" s="16">
        <f t="shared" si="136"/>
        <v>884.99999999999091</v>
      </c>
      <c r="FW74" s="16">
        <f t="shared" si="137"/>
        <v>884.99999999999091</v>
      </c>
      <c r="IH74" s="34">
        <v>30</v>
      </c>
      <c r="II74" s="144">
        <f>DailyJun!BX36+DailyJun!BY36-DailyJun!BZ36-DailyJun!CA36-DailyJun!CB36-DailyJun!CC36-DailyJun!CD36-DailyJun!CF36-DailyJun!CE36</f>
        <v>1.8189894035458565E-10</v>
      </c>
      <c r="IJ74" s="16">
        <v>-1500</v>
      </c>
      <c r="IK74" s="16">
        <f t="shared" si="150"/>
        <v>-375</v>
      </c>
      <c r="IL74" s="16">
        <v>-375</v>
      </c>
    </row>
    <row r="75" spans="1:246" x14ac:dyDescent="0.25">
      <c r="A75" s="35">
        <v>30</v>
      </c>
      <c r="B75" s="138"/>
      <c r="C75" s="65"/>
      <c r="D75" s="37">
        <f t="shared" si="151"/>
        <v>0</v>
      </c>
      <c r="E75" s="16">
        <v>27808</v>
      </c>
      <c r="F75" s="16"/>
      <c r="G75" s="37">
        <f t="shared" si="138"/>
        <v>0</v>
      </c>
      <c r="H75" s="138"/>
      <c r="I75" s="65"/>
      <c r="J75" s="37">
        <f t="shared" si="139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28</v>
      </c>
      <c r="DQ75" s="50">
        <f t="shared" si="154"/>
        <v>8.3163999999999998</v>
      </c>
      <c r="DR75" s="49">
        <f t="shared" si="152"/>
        <v>0</v>
      </c>
      <c r="DS75" s="50">
        <v>51.348999999999997</v>
      </c>
      <c r="DT75" s="49">
        <f t="shared" si="155"/>
        <v>0</v>
      </c>
      <c r="EZ75" s="167">
        <f t="shared" si="140"/>
        <v>0</v>
      </c>
      <c r="FA75" s="167">
        <f t="shared" si="141"/>
        <v>0</v>
      </c>
      <c r="FB75" s="167">
        <f t="shared" si="142"/>
        <v>0</v>
      </c>
      <c r="FC75" s="16"/>
      <c r="FD75" s="167">
        <f t="shared" si="143"/>
        <v>-1296.42</v>
      </c>
      <c r="FE75" s="16"/>
      <c r="FF75" s="199"/>
      <c r="FG75" s="200"/>
      <c r="FH75" s="16">
        <f t="shared" si="144"/>
        <v>0</v>
      </c>
      <c r="FI75" s="179">
        <f t="shared" si="144"/>
        <v>0</v>
      </c>
      <c r="FJ75" s="179">
        <f t="shared" si="145"/>
        <v>0</v>
      </c>
      <c r="FK75" s="179">
        <f t="shared" si="146"/>
        <v>0</v>
      </c>
      <c r="FL75" s="204">
        <f t="shared" si="147"/>
        <v>0</v>
      </c>
      <c r="FM75" s="206">
        <f t="shared" si="147"/>
        <v>0</v>
      </c>
      <c r="FN75" s="202">
        <f t="shared" si="148"/>
        <v>0</v>
      </c>
      <c r="FQ75" s="217"/>
      <c r="FR75" s="16">
        <v>1</v>
      </c>
      <c r="FS75" s="16"/>
      <c r="FT75" s="16"/>
      <c r="FU75" s="16"/>
      <c r="FV75" s="16">
        <f t="shared" si="136"/>
        <v>0</v>
      </c>
      <c r="FW75" s="16">
        <f t="shared" si="137"/>
        <v>0</v>
      </c>
      <c r="IH75" s="34">
        <v>1</v>
      </c>
      <c r="II75" s="144">
        <f>DailyJun!BX37+DailyJun!BY37-DailyJun!BZ37-DailyJun!CA37-DailyJun!CB37-DailyJun!CC37-DailyJun!CD37-DailyJun!CF37-DailyJun!CE37</f>
        <v>0</v>
      </c>
      <c r="IJ75" s="16"/>
      <c r="IK75" s="16">
        <f t="shared" si="150"/>
        <v>0</v>
      </c>
      <c r="IL75" s="16"/>
    </row>
    <row r="76" spans="1:246" x14ac:dyDescent="0.25">
      <c r="A76" s="35">
        <v>1</v>
      </c>
      <c r="B76" s="138"/>
      <c r="C76" s="65"/>
      <c r="D76" s="37">
        <f t="shared" si="151"/>
        <v>0</v>
      </c>
      <c r="E76" s="16">
        <v>27808</v>
      </c>
      <c r="F76" s="16"/>
      <c r="G76" s="37">
        <f t="shared" si="138"/>
        <v>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29</v>
      </c>
      <c r="DQ76" s="50">
        <f t="shared" si="154"/>
        <v>8.3163999999999998</v>
      </c>
      <c r="DR76" s="49">
        <f t="shared" si="152"/>
        <v>0</v>
      </c>
      <c r="DS76" s="50">
        <v>51.348999999999997</v>
      </c>
      <c r="DT76" s="49">
        <f t="shared" si="155"/>
        <v>0</v>
      </c>
      <c r="EZ76" s="91"/>
      <c r="IH76" s="16" t="s">
        <v>37</v>
      </c>
      <c r="II76" s="128">
        <f>SUM(II45:II75)</f>
        <v>-11133649.9957</v>
      </c>
      <c r="IJ76" s="16"/>
      <c r="IK76" s="16"/>
      <c r="IL76" s="16"/>
    </row>
    <row r="77" spans="1:246" ht="15.75" thickBot="1" x14ac:dyDescent="0.3">
      <c r="A77" s="157"/>
      <c r="B77" s="138"/>
      <c r="C77" s="65"/>
      <c r="D77" s="37">
        <f t="shared" si="151"/>
        <v>0</v>
      </c>
      <c r="E77" s="16"/>
      <c r="F77" s="16"/>
      <c r="G77" s="37">
        <f t="shared" si="138"/>
        <v>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30</v>
      </c>
      <c r="DQ77" s="50">
        <f t="shared" si="154"/>
        <v>8.3163999999999998</v>
      </c>
      <c r="DR77" s="49">
        <f t="shared" si="152"/>
        <v>0</v>
      </c>
      <c r="DS77" s="50">
        <v>51.348999999999997</v>
      </c>
      <c r="DT77" s="49">
        <f t="shared" si="155"/>
        <v>0</v>
      </c>
      <c r="EZ77" s="91"/>
    </row>
    <row r="78" spans="1:246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2076000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f t="shared" si="154"/>
        <v>8.3163999999999998</v>
      </c>
      <c r="DR78" s="49">
        <f t="shared" si="152"/>
        <v>0</v>
      </c>
      <c r="DS78" s="50">
        <v>51.348999999999997</v>
      </c>
      <c r="DT78" s="49">
        <f t="shared" si="155"/>
        <v>0</v>
      </c>
      <c r="EZ78" s="91"/>
    </row>
    <row r="79" spans="1:246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579.99999999999829</v>
      </c>
      <c r="DS79" s="84"/>
      <c r="DT79" s="85">
        <f>SUMIF(DT47:DT78,"&gt;0")</f>
        <v>0</v>
      </c>
      <c r="EZ79" s="91"/>
    </row>
    <row r="80" spans="1:246" x14ac:dyDescent="0.25">
      <c r="B80" t="s">
        <v>197</v>
      </c>
      <c r="F80" s="1" t="s">
        <v>198</v>
      </c>
      <c r="J80" s="189" t="s">
        <v>343</v>
      </c>
      <c r="K80" s="190"/>
      <c r="L80" s="191"/>
      <c r="M80" s="75"/>
      <c r="N80" s="189" t="s">
        <v>342</v>
      </c>
      <c r="O80" s="190"/>
      <c r="P80" s="191"/>
      <c r="Q80" s="75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B60</f>
        <v>0.37280000000000002</v>
      </c>
      <c r="F81" t="s">
        <v>173</v>
      </c>
      <c r="H81" s="146">
        <f>E75</f>
        <v>27808</v>
      </c>
      <c r="J81" s="192" t="s">
        <v>213</v>
      </c>
      <c r="K81" s="193"/>
      <c r="L81" s="194">
        <f>[7]Master!$AU$36</f>
        <v>0</v>
      </c>
      <c r="M81" s="24"/>
      <c r="N81" s="192" t="s">
        <v>213</v>
      </c>
      <c r="O81" s="193"/>
      <c r="P81" s="194">
        <f>[7]Master!$BN$36</f>
        <v>0</v>
      </c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f>0</f>
        <v>0</v>
      </c>
      <c r="F82" t="s">
        <v>174</v>
      </c>
      <c r="H82" s="148">
        <f>E45</f>
        <v>25732</v>
      </c>
      <c r="J82" s="192" t="s">
        <v>214</v>
      </c>
      <c r="K82" s="195"/>
      <c r="L82" s="196">
        <f>[6]Master!$AU$37</f>
        <v>0</v>
      </c>
      <c r="M82" s="24"/>
      <c r="N82" s="192" t="s">
        <v>214</v>
      </c>
      <c r="O82" s="195"/>
      <c r="P82" s="196">
        <f>[6]Master!$BN$37</f>
        <v>0</v>
      </c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(D81-D82)*1000000</f>
        <v>372800</v>
      </c>
      <c r="E83" t="s">
        <v>176</v>
      </c>
      <c r="F83" t="s">
        <v>175</v>
      </c>
      <c r="H83" s="104">
        <f>(H81-H82)*1000</f>
        <v>2076000</v>
      </c>
      <c r="I83" t="s">
        <v>176</v>
      </c>
      <c r="J83" s="192" t="s">
        <v>175</v>
      </c>
      <c r="K83" s="192"/>
      <c r="L83" s="197">
        <f>L81-L82</f>
        <v>0</v>
      </c>
      <c r="M83" s="24" t="s">
        <v>215</v>
      </c>
      <c r="N83" s="192" t="s">
        <v>175</v>
      </c>
      <c r="O83" s="192"/>
      <c r="P83" s="197">
        <f>P81-P82</f>
        <v>0</v>
      </c>
      <c r="Q83" s="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customSheetViews>
    <customSheetView guid="{48545DB9-4D9D-4699-ACEC-DA6E2D3586A8}" scale="85" fitToPage="1" hiddenColumns="1">
      <pane xSplit="1" ySplit="6" topLeftCell="GR22" activePane="bottomRight" state="frozen"/>
      <selection pane="bottomRight" activeCell="GV7" sqref="GV7"/>
      <pageMargins left="0.70866141732283472" right="0.70866141732283472" top="0.74803149606299213" bottom="0.74803149606299213" header="0.31496062992125984" footer="0.31496062992125984"/>
      <pageSetup scale="10" orientation="landscape" r:id="rId1"/>
    </customSheetView>
    <customSheetView guid="{32ABFE17-599B-4D0B-A1DB-D95B181877FC}" scale="85" fitToPage="1" hiddenColumns="1">
      <pane xSplit="1" ySplit="6" topLeftCell="GR7" activePane="bottomRight" state="frozen"/>
      <selection pane="bottomRight" activeCell="GV7" sqref="GV7"/>
      <pageMargins left="0.70866141732283472" right="0.70866141732283472" top="0.74803149606299213" bottom="0.74803149606299213" header="0.31496062992125984" footer="0.31496062992125984"/>
      <pageSetup scale="10" orientation="landscape" r:id="rId2"/>
    </customSheetView>
  </customSheetViews>
  <mergeCells count="156"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EE4:EG4"/>
    <mergeCell ref="EH4:EJ4"/>
    <mergeCell ref="GQ3:GS3"/>
    <mergeCell ref="AT5:AU5"/>
    <mergeCell ref="AV5:AW5"/>
    <mergeCell ref="AX5:AZ5"/>
    <mergeCell ref="S5:T5"/>
    <mergeCell ref="U5:V5"/>
    <mergeCell ref="W5:X5"/>
    <mergeCell ref="Y5:Z5"/>
    <mergeCell ref="AA5:AB5"/>
    <mergeCell ref="AC5:AF5"/>
    <mergeCell ref="CU5:CX5"/>
    <mergeCell ref="CY5:DB5"/>
    <mergeCell ref="HH3:KE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HN4:IH4"/>
    <mergeCell ref="II4:II5"/>
    <mergeCell ref="IJ4:IU4"/>
    <mergeCell ref="IV4:JM4"/>
    <mergeCell ref="JN4:KE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AG5:AJ5"/>
    <mergeCell ref="AL5:AO5"/>
    <mergeCell ref="AP5:AS5"/>
    <mergeCell ref="DC5:DF5"/>
    <mergeCell ref="DU5:DW5"/>
    <mergeCell ref="DX5:DZ5"/>
    <mergeCell ref="EA5:EC5"/>
    <mergeCell ref="BA5:BC5"/>
    <mergeCell ref="BS5:BT5"/>
    <mergeCell ref="BU5:BX5"/>
    <mergeCell ref="BY5:CB5"/>
    <mergeCell ref="CC5:CD5"/>
    <mergeCell ref="CE5:CF5"/>
    <mergeCell ref="CG5:CH5"/>
    <mergeCell ref="CI5:CL5"/>
    <mergeCell ref="CM5:CP5"/>
    <mergeCell ref="CQ5:CT5"/>
    <mergeCell ref="FN5:FP5"/>
    <mergeCell ref="FQ5:FS5"/>
    <mergeCell ref="HN5:HP5"/>
    <mergeCell ref="HQ5:HS5"/>
    <mergeCell ref="HT5:HV5"/>
    <mergeCell ref="HW5:HY5"/>
    <mergeCell ref="EE5:EG5"/>
    <mergeCell ref="EH5:EJ5"/>
    <mergeCell ref="EK5:EM5"/>
    <mergeCell ref="EO5:EQ5"/>
    <mergeCell ref="ER5:ET5"/>
    <mergeCell ref="EU5:EW5"/>
    <mergeCell ref="JB5:JD5"/>
    <mergeCell ref="JE5:JG5"/>
    <mergeCell ref="JH5:JJ5"/>
    <mergeCell ref="HZ5:IB5"/>
    <mergeCell ref="IC5:IE5"/>
    <mergeCell ref="IF5:IH5"/>
    <mergeCell ref="IJ5:IL5"/>
    <mergeCell ref="IM5:IO5"/>
    <mergeCell ref="IP5:IR5"/>
    <mergeCell ref="BU41:BW41"/>
    <mergeCell ref="BY41:CA41"/>
    <mergeCell ref="DU41:DW41"/>
    <mergeCell ref="DX41:DZ41"/>
    <mergeCell ref="EA41:EC41"/>
    <mergeCell ref="EO41:EQ41"/>
    <mergeCell ref="KC5:KE5"/>
    <mergeCell ref="FV6:FX6"/>
    <mergeCell ref="FY6:GA6"/>
    <mergeCell ref="GB6:GD6"/>
    <mergeCell ref="GE6:GG6"/>
    <mergeCell ref="GH6:GJ6"/>
    <mergeCell ref="GK6:GM6"/>
    <mergeCell ref="GU6:GX6"/>
    <mergeCell ref="GY6:HB6"/>
    <mergeCell ref="JK5:JM5"/>
    <mergeCell ref="JN5:JP5"/>
    <mergeCell ref="JQ5:JS5"/>
    <mergeCell ref="JT5:JV5"/>
    <mergeCell ref="JW5:JY5"/>
    <mergeCell ref="JZ5:KB5"/>
    <mergeCell ref="IS5:IU5"/>
    <mergeCell ref="IV5:IX5"/>
    <mergeCell ref="IY5:JA5"/>
    <mergeCell ref="ER41:ET41"/>
    <mergeCell ref="EU41:EZ41"/>
    <mergeCell ref="FE41:FG41"/>
    <mergeCell ref="FH41:FJ41"/>
    <mergeCell ref="FO41:FQ41"/>
    <mergeCell ref="DQ42:DT42"/>
    <mergeCell ref="FF42:FG43"/>
    <mergeCell ref="FH42:FI43"/>
    <mergeCell ref="FJ42:FK43"/>
    <mergeCell ref="FL42:FM43"/>
    <mergeCell ref="AP48:AS48"/>
    <mergeCell ref="EE48:EG48"/>
    <mergeCell ref="EH48:EJ48"/>
    <mergeCell ref="EK48:EM48"/>
    <mergeCell ref="EV48:EW48"/>
    <mergeCell ref="FN42:FN44"/>
    <mergeCell ref="FO42:FQ44"/>
    <mergeCell ref="FR42:FR43"/>
    <mergeCell ref="FS42:FU42"/>
    <mergeCell ref="DQ43:DR45"/>
    <mergeCell ref="DS43:DT45"/>
    <mergeCell ref="EZ43:EZ44"/>
    <mergeCell ref="FA43:FA44"/>
    <mergeCell ref="FB43:FB44"/>
    <mergeCell ref="EW45:EX45"/>
  </mergeCells>
  <pageMargins left="0.70866141732283472" right="0.70866141732283472" top="0.74803149606299213" bottom="0.74803149606299213" header="0.31496062992125984" footer="0.31496062992125984"/>
  <pageSetup scale="10" orientation="landscape" r:id="rId3"/>
  <legacy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2:CI72"/>
  <sheetViews>
    <sheetView zoomScale="85" zoomScaleNormal="85" workbookViewId="0">
      <pane xSplit="1" ySplit="6" topLeftCell="B42" activePane="bottomRight" state="frozen"/>
      <selection pane="topRight" activeCell="B1" sqref="B1"/>
      <selection pane="bottomLeft" activeCell="A7" sqref="A7"/>
      <selection pane="bottomRight" activeCell="B68" sqref="B68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hidden="1" customWidth="1"/>
    <col min="16" max="16" width="10.7109375" hidden="1" customWidth="1"/>
    <col min="17" max="17" width="10.85546875" hidden="1" customWidth="1"/>
    <col min="18" max="18" width="10.5703125" hidden="1" customWidth="1"/>
    <col min="19" max="19" width="11.28515625" hidden="1" customWidth="1"/>
    <col min="20" max="20" width="10.85546875" hidden="1" customWidth="1"/>
    <col min="21" max="21" width="11.28515625" hidden="1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1" width="10.42578125" customWidth="1"/>
    <col min="32" max="32" width="8.5703125" customWidth="1"/>
    <col min="33" max="33" width="12.7109375" customWidth="1"/>
    <col min="34" max="34" width="10.85546875" hidden="1" customWidth="1"/>
    <col min="35" max="36" width="11.285156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2.42578125" bestFit="1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2.42578125" bestFit="1" customWidth="1"/>
    <col min="46" max="46" width="11.28515625" hidden="1" customWidth="1"/>
    <col min="47" max="47" width="11.42578125" hidden="1" customWidth="1"/>
    <col min="48" max="48" width="12" hidden="1" customWidth="1"/>
    <col min="49" max="50" width="11.28515625" hidden="1" customWidth="1"/>
    <col min="51" max="51" width="12.42578125" bestFit="1" customWidth="1"/>
    <col min="52" max="52" width="11.28515625" hidden="1" customWidth="1"/>
    <col min="53" max="53" width="11.42578125" hidden="1" customWidth="1"/>
    <col min="54" max="55" width="11.28515625" hidden="1" customWidth="1"/>
    <col min="56" max="56" width="12.42578125" bestFit="1" customWidth="1"/>
    <col min="57" max="58" width="12.42578125" hidden="1" customWidth="1"/>
    <col min="59" max="60" width="10.7109375" customWidth="1"/>
    <col min="61" max="64" width="5.7109375" customWidth="1"/>
    <col min="65" max="65" width="10.7109375" customWidth="1"/>
    <col min="66" max="66" width="5.7109375" customWidth="1"/>
    <col min="67" max="67" width="10.7109375" customWidth="1"/>
    <col min="68" max="72" width="5.7109375" customWidth="1"/>
    <col min="73" max="73" width="11.42578125" customWidth="1"/>
    <col min="74" max="74" width="58.42578125" hidden="1" customWidth="1"/>
    <col min="75" max="75" width="16.140625" hidden="1" customWidth="1"/>
    <col min="76" max="76" width="11.7109375" hidden="1" customWidth="1"/>
    <col min="77" max="77" width="9.140625" hidden="1" customWidth="1"/>
    <col min="78" max="83" width="10.5703125" hidden="1" customWidth="1"/>
    <col min="84" max="84" width="12.5703125" hidden="1" customWidth="1"/>
    <col min="85" max="87" width="9.140625" hidden="1" customWidth="1"/>
    <col min="88" max="89" width="9.140625" customWidth="1"/>
  </cols>
  <sheetData>
    <row r="2" spans="1:84" ht="26.25" x14ac:dyDescent="0.4">
      <c r="A2" s="499" t="s">
        <v>378</v>
      </c>
      <c r="B2" s="499"/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499"/>
      <c r="O2" s="499"/>
      <c r="P2" s="499"/>
      <c r="Q2" s="499"/>
      <c r="R2" s="499"/>
      <c r="S2" s="499"/>
      <c r="T2" s="499"/>
      <c r="U2" s="499"/>
      <c r="V2" s="499"/>
      <c r="W2" s="499"/>
      <c r="X2" s="499"/>
      <c r="Y2" s="499"/>
      <c r="Z2" s="499"/>
      <c r="AA2" s="499"/>
      <c r="AB2" s="499"/>
      <c r="AC2" s="499"/>
      <c r="AD2" s="499"/>
      <c r="AE2" s="499"/>
      <c r="AF2" s="499"/>
      <c r="AG2" s="499"/>
      <c r="AH2" s="499"/>
      <c r="AI2" s="499"/>
      <c r="AJ2" s="499"/>
      <c r="AK2" s="499"/>
      <c r="AL2" s="499"/>
      <c r="AM2" s="499"/>
      <c r="AN2" s="499"/>
      <c r="AO2" s="499"/>
      <c r="AP2" s="499"/>
      <c r="AQ2" s="499"/>
      <c r="AR2" s="499"/>
      <c r="AS2" s="499"/>
      <c r="AT2" s="499"/>
      <c r="AU2" s="499"/>
      <c r="AV2" s="499"/>
      <c r="AW2" s="499"/>
      <c r="AX2" s="499"/>
      <c r="AY2" s="499"/>
      <c r="AZ2" s="499"/>
      <c r="BA2" s="499"/>
      <c r="BB2" s="499"/>
      <c r="BC2" s="499"/>
      <c r="BD2" s="499"/>
      <c r="BE2" s="499"/>
      <c r="BF2" s="499"/>
      <c r="BG2" s="499"/>
      <c r="BH2" s="499"/>
      <c r="BI2" s="499"/>
      <c r="BJ2" s="499"/>
      <c r="BK2" s="499"/>
      <c r="BL2" s="499"/>
      <c r="BM2" s="499"/>
      <c r="BN2" s="499"/>
      <c r="BO2" s="499"/>
      <c r="BP2" s="499"/>
      <c r="BQ2" s="499"/>
      <c r="BR2" s="499"/>
      <c r="BS2" s="499"/>
      <c r="BT2" s="499"/>
      <c r="BU2" s="499"/>
    </row>
    <row r="4" spans="1:84" ht="15" customHeight="1" x14ac:dyDescent="0.25">
      <c r="A4" s="448" t="s">
        <v>1</v>
      </c>
      <c r="B4" s="455" t="s">
        <v>118</v>
      </c>
      <c r="C4" s="455" t="s">
        <v>119</v>
      </c>
      <c r="D4" s="465" t="s">
        <v>4</v>
      </c>
      <c r="E4" s="466"/>
      <c r="F4" s="466"/>
      <c r="G4" s="466"/>
      <c r="H4" s="466"/>
      <c r="I4" s="466"/>
      <c r="J4" s="466"/>
      <c r="K4" s="466"/>
      <c r="L4" s="466"/>
      <c r="M4" s="467"/>
      <c r="N4" s="468" t="s">
        <v>120</v>
      </c>
      <c r="O4" s="110"/>
      <c r="P4" s="110"/>
      <c r="Q4" s="110"/>
      <c r="R4" s="110"/>
      <c r="S4" s="110" t="s">
        <v>121</v>
      </c>
      <c r="T4" s="110"/>
      <c r="U4" s="110"/>
      <c r="V4" s="476" t="s">
        <v>121</v>
      </c>
      <c r="W4" s="460" t="s">
        <v>122</v>
      </c>
      <c r="X4" s="460"/>
      <c r="Y4" s="459" t="s">
        <v>123</v>
      </c>
      <c r="Z4" s="461" t="s">
        <v>124</v>
      </c>
      <c r="AA4" s="462" t="s">
        <v>125</v>
      </c>
      <c r="AB4" s="463" t="s">
        <v>126</v>
      </c>
      <c r="AC4" s="456" t="s">
        <v>127</v>
      </c>
      <c r="AD4" s="457" t="s">
        <v>200</v>
      </c>
      <c r="AE4" s="457" t="s">
        <v>223</v>
      </c>
      <c r="AF4" s="457" t="s">
        <v>248</v>
      </c>
      <c r="AG4" s="457" t="s">
        <v>249</v>
      </c>
      <c r="AH4" s="458" t="s">
        <v>128</v>
      </c>
      <c r="AI4" s="458"/>
      <c r="AJ4" s="458"/>
      <c r="AK4" s="454" t="s">
        <v>129</v>
      </c>
      <c r="AL4" s="454" t="s">
        <v>130</v>
      </c>
      <c r="AM4" s="454"/>
      <c r="AN4" s="454"/>
      <c r="AO4" s="454" t="s">
        <v>14</v>
      </c>
      <c r="AP4" s="459" t="s">
        <v>131</v>
      </c>
      <c r="AQ4" s="459"/>
      <c r="AR4" s="459"/>
      <c r="AS4" s="459" t="s">
        <v>17</v>
      </c>
      <c r="AT4" s="453" t="s">
        <v>132</v>
      </c>
      <c r="AU4" s="453"/>
      <c r="AV4" s="453"/>
      <c r="AW4" s="453"/>
      <c r="AX4" s="111"/>
      <c r="AY4" s="453" t="s">
        <v>15</v>
      </c>
      <c r="AZ4" s="453" t="s">
        <v>133</v>
      </c>
      <c r="BA4" s="453"/>
      <c r="BB4" s="453"/>
      <c r="BC4" s="111"/>
      <c r="BD4" s="453" t="s">
        <v>16</v>
      </c>
      <c r="BE4" s="505" t="s">
        <v>19</v>
      </c>
      <c r="BF4" s="506"/>
      <c r="BG4" s="459" t="s">
        <v>19</v>
      </c>
      <c r="BH4" s="477" t="s">
        <v>201</v>
      </c>
      <c r="BI4" s="478"/>
      <c r="BJ4" s="478"/>
      <c r="BK4" s="479"/>
      <c r="BL4" s="483" t="s">
        <v>134</v>
      </c>
      <c r="BM4" s="483"/>
      <c r="BN4" s="483"/>
      <c r="BO4" s="483"/>
      <c r="BP4" s="501" t="s">
        <v>335</v>
      </c>
      <c r="BQ4" s="501"/>
      <c r="BR4" s="501"/>
      <c r="BS4" s="502"/>
      <c r="BT4" s="455" t="s">
        <v>293</v>
      </c>
      <c r="BU4" s="455" t="s">
        <v>190</v>
      </c>
      <c r="BX4" s="455" t="s">
        <v>278</v>
      </c>
      <c r="BY4" s="455" t="s">
        <v>279</v>
      </c>
      <c r="BZ4" s="455" t="s">
        <v>204</v>
      </c>
      <c r="CA4" s="455" t="s">
        <v>260</v>
      </c>
      <c r="CB4" s="455" t="s">
        <v>261</v>
      </c>
      <c r="CC4" s="455" t="s">
        <v>318</v>
      </c>
      <c r="CD4" s="511" t="s">
        <v>346</v>
      </c>
      <c r="CE4" s="511" t="s">
        <v>357</v>
      </c>
      <c r="CF4" s="455" t="s">
        <v>280</v>
      </c>
    </row>
    <row r="5" spans="1:84" x14ac:dyDescent="0.25">
      <c r="A5" s="448"/>
      <c r="B5" s="455"/>
      <c r="C5" s="455"/>
      <c r="D5" s="471" t="s">
        <v>135</v>
      </c>
      <c r="E5" s="472"/>
      <c r="F5" s="472"/>
      <c r="G5" s="472"/>
      <c r="H5" s="472"/>
      <c r="I5" s="473"/>
      <c r="J5" s="474" t="s">
        <v>136</v>
      </c>
      <c r="K5" s="475"/>
      <c r="L5" s="474" t="s">
        <v>55</v>
      </c>
      <c r="M5" s="475"/>
      <c r="N5" s="469"/>
      <c r="O5" s="110"/>
      <c r="P5" s="110"/>
      <c r="Q5" s="110"/>
      <c r="R5" s="110"/>
      <c r="S5" s="110"/>
      <c r="T5" s="110"/>
      <c r="U5" s="110"/>
      <c r="V5" s="476"/>
      <c r="W5" s="460"/>
      <c r="X5" s="460"/>
      <c r="Y5" s="459"/>
      <c r="Z5" s="461"/>
      <c r="AA5" s="462"/>
      <c r="AB5" s="463"/>
      <c r="AC5" s="456"/>
      <c r="AD5" s="457"/>
      <c r="AE5" s="457"/>
      <c r="AF5" s="457"/>
      <c r="AG5" s="457"/>
      <c r="AH5" s="112"/>
      <c r="AI5" s="112"/>
      <c r="AJ5" s="112"/>
      <c r="AK5" s="454"/>
      <c r="AL5" s="113"/>
      <c r="AM5" s="113"/>
      <c r="AN5" s="113"/>
      <c r="AO5" s="454"/>
      <c r="AP5" s="114"/>
      <c r="AQ5" s="114"/>
      <c r="AR5" s="114"/>
      <c r="AS5" s="459"/>
      <c r="AT5" s="111"/>
      <c r="AU5" s="111"/>
      <c r="AV5" s="111"/>
      <c r="AW5" s="111"/>
      <c r="AX5" s="111"/>
      <c r="AY5" s="453"/>
      <c r="AZ5" s="111"/>
      <c r="BA5" s="111"/>
      <c r="BB5" s="111"/>
      <c r="BC5" s="111"/>
      <c r="BD5" s="453"/>
      <c r="BE5" s="218"/>
      <c r="BF5" s="218"/>
      <c r="BG5" s="459"/>
      <c r="BH5" s="480"/>
      <c r="BI5" s="481"/>
      <c r="BJ5" s="481"/>
      <c r="BK5" s="482"/>
      <c r="BL5" s="483"/>
      <c r="BM5" s="483"/>
      <c r="BN5" s="483"/>
      <c r="BO5" s="483"/>
      <c r="BP5" s="503"/>
      <c r="BQ5" s="503"/>
      <c r="BR5" s="503"/>
      <c r="BS5" s="504"/>
      <c r="BT5" s="455"/>
      <c r="BU5" s="455"/>
      <c r="BX5" s="455"/>
      <c r="BY5" s="455"/>
      <c r="BZ5" s="455"/>
      <c r="CA5" s="455"/>
      <c r="CB5" s="455"/>
      <c r="CC5" s="455"/>
      <c r="CD5" s="512"/>
      <c r="CE5" s="512"/>
      <c r="CF5" s="455"/>
    </row>
    <row r="6" spans="1:84" ht="60" x14ac:dyDescent="0.25">
      <c r="A6" s="448"/>
      <c r="B6" s="455"/>
      <c r="C6" s="455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70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76"/>
      <c r="W6" s="120" t="s">
        <v>62</v>
      </c>
      <c r="X6" s="121" t="s">
        <v>63</v>
      </c>
      <c r="Y6" s="459"/>
      <c r="Z6" s="461"/>
      <c r="AA6" s="462"/>
      <c r="AB6" s="463"/>
      <c r="AC6" s="456"/>
      <c r="AD6" s="457"/>
      <c r="AE6" s="457"/>
      <c r="AF6" s="457"/>
      <c r="AG6" s="457"/>
      <c r="AH6" s="112" t="s">
        <v>66</v>
      </c>
      <c r="AI6" s="112" t="s">
        <v>67</v>
      </c>
      <c r="AJ6" s="112" t="s">
        <v>147</v>
      </c>
      <c r="AK6" s="454"/>
      <c r="AL6" s="122" t="s">
        <v>148</v>
      </c>
      <c r="AM6" s="122" t="s">
        <v>149</v>
      </c>
      <c r="AN6" s="122" t="s">
        <v>150</v>
      </c>
      <c r="AO6" s="454"/>
      <c r="AP6" s="114" t="s">
        <v>99</v>
      </c>
      <c r="AQ6" s="114" t="s">
        <v>100</v>
      </c>
      <c r="AR6" s="114" t="s">
        <v>151</v>
      </c>
      <c r="AS6" s="459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453"/>
      <c r="AZ6" s="111" t="s">
        <v>152</v>
      </c>
      <c r="BA6" s="111" t="s">
        <v>153</v>
      </c>
      <c r="BB6" s="111" t="s">
        <v>155</v>
      </c>
      <c r="BC6" s="111" t="s">
        <v>151</v>
      </c>
      <c r="BD6" s="453"/>
      <c r="BE6" s="114" t="s">
        <v>202</v>
      </c>
      <c r="BF6" s="114" t="s">
        <v>330</v>
      </c>
      <c r="BG6" s="459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455"/>
      <c r="BU6" s="455"/>
      <c r="BX6" s="455"/>
      <c r="BY6" s="455"/>
      <c r="BZ6" s="455"/>
      <c r="CA6" s="455"/>
      <c r="CB6" s="455"/>
      <c r="CC6" s="455"/>
      <c r="CD6" s="513"/>
      <c r="CE6" s="513"/>
      <c r="CF6" s="455"/>
    </row>
    <row r="7" spans="1:84" x14ac:dyDescent="0.25">
      <c r="A7" s="124">
        <v>1</v>
      </c>
      <c r="B7" s="42">
        <f>Jun!G8</f>
        <v>427839.99999998923</v>
      </c>
      <c r="C7" s="42">
        <f>Jun!N8</f>
        <v>420000</v>
      </c>
      <c r="D7" s="42">
        <f>Jun!T8</f>
        <v>312.00999999977648</v>
      </c>
      <c r="E7" s="42">
        <f>Jun!V8</f>
        <v>0</v>
      </c>
      <c r="F7" s="42">
        <f>Jun!AB8</f>
        <v>140</v>
      </c>
      <c r="G7" s="42">
        <f>Jun!X8</f>
        <v>16647.990000000587</v>
      </c>
      <c r="H7" s="42">
        <f>Jun!AE8</f>
        <v>8599.9999999994543</v>
      </c>
      <c r="I7" s="42">
        <f>Jun!AI8</f>
        <v>16879.680000000364</v>
      </c>
      <c r="J7" s="42">
        <f>Jun!AN8</f>
        <v>5879.68</v>
      </c>
      <c r="K7" s="42">
        <f>Jun!AR8</f>
        <v>8399.9999999996362</v>
      </c>
      <c r="L7" s="42">
        <f>Jun!AZ8</f>
        <v>395.44000000000233</v>
      </c>
      <c r="M7" s="42">
        <f>Jun!BC8</f>
        <v>629.44000000000233</v>
      </c>
      <c r="N7" s="125">
        <f t="shared" ref="N7" si="0">SUM(D7:M7)</f>
        <v>57884.239999999823</v>
      </c>
      <c r="O7" s="125">
        <f>Jun!CA8</f>
        <v>889.99999999998636</v>
      </c>
      <c r="P7" s="125">
        <f>Jun!CD8</f>
        <v>2580</v>
      </c>
      <c r="Q7" s="125">
        <f>Jun!CF8</f>
        <v>5500</v>
      </c>
      <c r="R7" s="125">
        <f>Jun!CH8</f>
        <v>0</v>
      </c>
      <c r="S7" s="125">
        <f>Jun!CK8</f>
        <v>17389.680000000015</v>
      </c>
      <c r="T7" s="125">
        <f>Jun!CO8</f>
        <v>8779.68</v>
      </c>
      <c r="U7" s="125">
        <f>Jun!CS8</f>
        <v>7279.68</v>
      </c>
      <c r="V7" s="126">
        <f>SUM(O7:U7)</f>
        <v>42419.040000000001</v>
      </c>
      <c r="W7" s="126">
        <f>Jun!CW8</f>
        <v>21200</v>
      </c>
      <c r="X7" s="126">
        <f>Jun!DA8</f>
        <v>10100</v>
      </c>
      <c r="Y7" s="126">
        <f t="shared" ref="Y7:Y37" si="1">W7+X7</f>
        <v>31300</v>
      </c>
      <c r="Z7" s="42">
        <f>Jun!BR8</f>
        <v>299.99999999995453</v>
      </c>
      <c r="AA7" s="126">
        <f>Jun!BG8</f>
        <v>1899.9999999998636</v>
      </c>
      <c r="AB7" s="126">
        <f>Jun!BJ8</f>
        <v>9200.0000000007276</v>
      </c>
      <c r="AC7" s="126">
        <f>Jun!BL8+Jun!BN8</f>
        <v>5100.0000000000455</v>
      </c>
      <c r="AD7" s="126">
        <f>Jun!DR8</f>
        <v>7600</v>
      </c>
      <c r="AE7" s="127">
        <f>Jun!DT8-Jun!DR48-Jun!DT48</f>
        <v>20900</v>
      </c>
      <c r="AF7" s="127">
        <f>Jun!DR48+Jun!DT48</f>
        <v>0</v>
      </c>
      <c r="AG7" s="127">
        <f>Jun!HJ8-AE7</f>
        <v>125100</v>
      </c>
      <c r="AH7" s="127">
        <f>Jun!DW8</f>
        <v>4500</v>
      </c>
      <c r="AI7" s="127">
        <f>Jun!DZ8</f>
        <v>7279.68</v>
      </c>
      <c r="AJ7" s="127">
        <f>Jun!EC8</f>
        <v>24439.68</v>
      </c>
      <c r="AK7" s="127">
        <f>SUM(AH7:AJ7)</f>
        <v>36219.360000000001</v>
      </c>
      <c r="AL7" s="127">
        <f>Jun!EG8</f>
        <v>28439.68</v>
      </c>
      <c r="AM7" s="127">
        <f>Jun!EJ8</f>
        <v>11279.68</v>
      </c>
      <c r="AN7" s="127">
        <f>Jun!EM8</f>
        <v>590.00000000003183</v>
      </c>
      <c r="AO7" s="127">
        <f>SUM(AL7:AN7)</f>
        <v>40309.36000000003</v>
      </c>
      <c r="AP7" s="127">
        <f>Jun!FX8</f>
        <v>30100</v>
      </c>
      <c r="AQ7" s="127">
        <f>Jun!GA8</f>
        <v>8390.0000000002728</v>
      </c>
      <c r="AR7" s="127">
        <f>Jun!GG8</f>
        <v>8299.9999999999545</v>
      </c>
      <c r="AS7" s="127">
        <f>SUM(AP7:AR7)</f>
        <v>46790.000000000233</v>
      </c>
      <c r="AT7" s="127">
        <f>Jun!EQ8</f>
        <v>7409.6799999999957</v>
      </c>
      <c r="AU7" s="127">
        <f>Jun!ET8</f>
        <v>18500</v>
      </c>
      <c r="AV7" s="127">
        <f>Jun!EW8</f>
        <v>8779.68</v>
      </c>
      <c r="AW7" s="127">
        <f>Jun!FL45</f>
        <v>10333.388528760395</v>
      </c>
      <c r="AX7" s="127">
        <f>Jun!GJ8</f>
        <v>1700.0000000000455</v>
      </c>
      <c r="AY7" s="127">
        <f>SUM(AT7:AX7)</f>
        <v>46722.748528760436</v>
      </c>
      <c r="AZ7" s="127">
        <f>Jun!FG8</f>
        <v>9693.0100000000057</v>
      </c>
      <c r="BA7" s="127">
        <f>Jun!FJ8</f>
        <v>17323.010000000002</v>
      </c>
      <c r="BB7" s="127">
        <f>Jun!FM45</f>
        <v>10769.301471239609</v>
      </c>
      <c r="BC7" s="127">
        <f>Jun!GM8</f>
        <v>0</v>
      </c>
      <c r="BD7" s="127">
        <f>SUM(AZ7:BC7)</f>
        <v>37785.321471239615</v>
      </c>
      <c r="BE7" s="127">
        <f>Jun!GP8</f>
        <v>0</v>
      </c>
      <c r="BF7" s="127">
        <f>Jun!GS8</f>
        <v>310</v>
      </c>
      <c r="BG7" s="127">
        <f>BE7+BF7</f>
        <v>310</v>
      </c>
      <c r="BH7" s="127">
        <f>Y7</f>
        <v>31300</v>
      </c>
      <c r="BI7" s="127"/>
      <c r="BJ7" s="127"/>
      <c r="BK7" s="127"/>
      <c r="BL7" s="128"/>
      <c r="BM7" s="128">
        <f>((AS7)+BG7)*50%</f>
        <v>23550.000000000116</v>
      </c>
      <c r="BN7" s="128"/>
      <c r="BO7" s="128">
        <f>((AS7)+BG7)*50%</f>
        <v>23550.000000000116</v>
      </c>
      <c r="BP7" s="128"/>
      <c r="BQ7" s="128"/>
      <c r="BR7" s="128"/>
      <c r="BS7" s="128"/>
      <c r="BT7" s="42">
        <f>Jun!D46</f>
        <v>0</v>
      </c>
      <c r="BU7" s="42">
        <f>Jun!G47</f>
        <v>82000</v>
      </c>
      <c r="BV7" t="s">
        <v>360</v>
      </c>
      <c r="BX7" s="42">
        <f>Jun!HJ8</f>
        <v>146000</v>
      </c>
      <c r="BY7" s="42">
        <f>Jun!HM8</f>
        <v>0</v>
      </c>
      <c r="BZ7" s="42">
        <f>Jun!HP8</f>
        <v>35857.5</v>
      </c>
      <c r="CA7" s="42">
        <f>Jun!HS8</f>
        <v>27457.500000000364</v>
      </c>
      <c r="CB7" s="42">
        <f>Jun!HV8</f>
        <v>17457.499999999909</v>
      </c>
      <c r="CC7" s="42">
        <f>Jun!HY8</f>
        <v>26357.5</v>
      </c>
      <c r="CD7" s="42">
        <f>Jun!IB8</f>
        <v>17970</v>
      </c>
      <c r="CE7" s="42">
        <f>Jun!IE8</f>
        <v>0</v>
      </c>
      <c r="CF7" s="42">
        <f>Jun!IH8</f>
        <v>20900</v>
      </c>
    </row>
    <row r="8" spans="1:84" x14ac:dyDescent="0.25">
      <c r="A8" s="26">
        <f>A7+1</f>
        <v>2</v>
      </c>
      <c r="B8" s="42">
        <f>Jun!G9</f>
        <v>414719.99999999756</v>
      </c>
      <c r="C8" s="42">
        <f>Jun!N9</f>
        <v>410000</v>
      </c>
      <c r="D8" s="42">
        <f>Jun!T9</f>
        <v>324.33000000007451</v>
      </c>
      <c r="E8" s="42">
        <f>Jun!V9</f>
        <v>0</v>
      </c>
      <c r="F8" s="42">
        <f>Jun!AB9</f>
        <v>90</v>
      </c>
      <c r="G8" s="42">
        <f>Jun!X9</f>
        <v>17585.669999999925</v>
      </c>
      <c r="H8" s="42">
        <f>Jun!AE9</f>
        <v>7600.0000000003638</v>
      </c>
      <c r="I8" s="42">
        <f>Jun!AI9</f>
        <v>16629.909999999272</v>
      </c>
      <c r="J8" s="42">
        <f>Jun!AN9</f>
        <v>6139.9100000000135</v>
      </c>
      <c r="K8" s="42">
        <f>Jun!AR9</f>
        <v>13100.000000000364</v>
      </c>
      <c r="L8" s="42">
        <f>Jun!AZ9</f>
        <v>390.72000000003027</v>
      </c>
      <c r="M8" s="42">
        <f>Jun!BC9</f>
        <v>645.67000000001281</v>
      </c>
      <c r="N8" s="125">
        <f t="shared" ref="N8:N15" si="2">SUM(D8:M8)</f>
        <v>62506.210000000057</v>
      </c>
      <c r="O8" s="125">
        <f>Jun!CA9</f>
        <v>670.00000000001592</v>
      </c>
      <c r="P8" s="125">
        <f>Jun!CD9</f>
        <v>2190</v>
      </c>
      <c r="Q8" s="125">
        <f>Jun!CF9</f>
        <v>4400</v>
      </c>
      <c r="R8" s="125">
        <f>Jun!CH9</f>
        <v>0</v>
      </c>
      <c r="S8" s="125">
        <f>Jun!CK9</f>
        <v>17159.909999999985</v>
      </c>
      <c r="T8" s="125">
        <f>Jun!CO9</f>
        <v>7129.9100000001818</v>
      </c>
      <c r="U8" s="125">
        <f>Jun!CS9</f>
        <v>7179.91</v>
      </c>
      <c r="V8" s="126">
        <f t="shared" ref="V8:V37" si="3">SUM(O8:U8)</f>
        <v>38729.730000000185</v>
      </c>
      <c r="W8" s="126">
        <f>Jun!CW9</f>
        <v>17300</v>
      </c>
      <c r="X8" s="126">
        <f>Jun!DA9</f>
        <v>9300</v>
      </c>
      <c r="Y8" s="126">
        <f t="shared" si="1"/>
        <v>26600</v>
      </c>
      <c r="Z8" s="42">
        <f>Jun!BR9</f>
        <v>690.00000000005457</v>
      </c>
      <c r="AA8" s="126">
        <f>Jun!BG9</f>
        <v>1799.9999999999545</v>
      </c>
      <c r="AB8" s="126">
        <f>Jun!BJ9</f>
        <v>10700.000000000728</v>
      </c>
      <c r="AC8" s="126">
        <f>Jun!BL9+Jun!BN9</f>
        <v>4999.9999999999318</v>
      </c>
      <c r="AD8" s="126">
        <f>Jun!DR9</f>
        <v>10900</v>
      </c>
      <c r="AE8" s="127">
        <f>Jun!DT9-Jun!DR49-Jun!DT49</f>
        <v>19300</v>
      </c>
      <c r="AF8" s="127">
        <f>Jun!DR49+Jun!DT49</f>
        <v>0</v>
      </c>
      <c r="AG8" s="127">
        <f>Jun!HJ9-AE8</f>
        <v>108700</v>
      </c>
      <c r="AH8" s="127">
        <f>Jun!DW9</f>
        <v>4500</v>
      </c>
      <c r="AI8" s="127">
        <f>Jun!DZ9</f>
        <v>8829.91</v>
      </c>
      <c r="AJ8" s="127">
        <f>Jun!EC9</f>
        <v>24989.91</v>
      </c>
      <c r="AK8" s="127">
        <f t="shared" ref="AK8:AK37" si="4">SUM(AH8:AJ8)</f>
        <v>38319.82</v>
      </c>
      <c r="AL8" s="127">
        <f>Jun!EG9</f>
        <v>18989.91</v>
      </c>
      <c r="AM8" s="127">
        <f>Jun!EJ9</f>
        <v>11829.91</v>
      </c>
      <c r="AN8" s="127">
        <f>Jun!EM9</f>
        <v>639.99999999998636</v>
      </c>
      <c r="AO8" s="127">
        <f t="shared" ref="AO8:AO28" si="5">SUM(AL8:AN8)</f>
        <v>31459.819999999985</v>
      </c>
      <c r="AP8" s="127">
        <f>Jun!FX9</f>
        <v>31100</v>
      </c>
      <c r="AQ8" s="127">
        <f>Jun!GA9</f>
        <v>8750</v>
      </c>
      <c r="AR8" s="127">
        <f>Jun!GG9</f>
        <v>8400.0000000000909</v>
      </c>
      <c r="AS8" s="127">
        <f t="shared" ref="AS8:AS37" si="6">SUM(AP8:AR8)</f>
        <v>48250.000000000087</v>
      </c>
      <c r="AT8" s="127">
        <f>Jun!EQ9</f>
        <v>7964.9099999999908</v>
      </c>
      <c r="AU8" s="127">
        <f>Jun!ET9</f>
        <v>18399.999999999636</v>
      </c>
      <c r="AV8" s="127">
        <f>Jun!EW9</f>
        <v>9229.9100000000908</v>
      </c>
      <c r="AW8" s="127">
        <f>Jun!FL46</f>
        <v>11578.817331797549</v>
      </c>
      <c r="AX8" s="127">
        <f>Jun!GJ9</f>
        <v>1599.9999999999091</v>
      </c>
      <c r="AY8" s="127">
        <f t="shared" ref="AY8:AY34" si="7">SUM(AT8:AX8)</f>
        <v>48773.637331797174</v>
      </c>
      <c r="AZ8" s="127">
        <f>Jun!FG9</f>
        <v>9173.2400000000089</v>
      </c>
      <c r="BA8" s="127">
        <f>Jun!FJ9</f>
        <v>19008.240000000729</v>
      </c>
      <c r="BB8" s="127">
        <f>Jun!FM46</f>
        <v>11559.332668202454</v>
      </c>
      <c r="BC8" s="127">
        <f>Jun!GM9</f>
        <v>0</v>
      </c>
      <c r="BD8" s="127">
        <f t="shared" ref="BD8:BD34" si="8">SUM(AZ8:BC8)</f>
        <v>39740.812668203194</v>
      </c>
      <c r="BE8" s="127">
        <f>Jun!GP9</f>
        <v>0</v>
      </c>
      <c r="BF8" s="127">
        <f>Jun!GS9</f>
        <v>250</v>
      </c>
      <c r="BG8" s="127">
        <f t="shared" ref="BG8:BG37" si="9">BE8+BF8</f>
        <v>250</v>
      </c>
      <c r="BH8" s="127">
        <f t="shared" ref="BH8:BH37" si="10">Y8</f>
        <v>26600</v>
      </c>
      <c r="BI8" s="127"/>
      <c r="BJ8" s="127"/>
      <c r="BK8" s="127"/>
      <c r="BL8" s="128"/>
      <c r="BM8" s="128">
        <f>((AS8)+BG8)*31%</f>
        <v>15035.000000000027</v>
      </c>
      <c r="BN8" s="128"/>
      <c r="BO8" s="128">
        <f>((AS8)+BG8)*69%</f>
        <v>33465.000000000058</v>
      </c>
      <c r="BP8" s="128"/>
      <c r="BQ8" s="128"/>
      <c r="BR8" s="128"/>
      <c r="BS8" s="128"/>
      <c r="BT8" s="42">
        <f>Jun!D47</f>
        <v>0</v>
      </c>
      <c r="BU8" s="42">
        <f>Jun!G48</f>
        <v>77000</v>
      </c>
      <c r="BV8" t="s">
        <v>367</v>
      </c>
      <c r="BX8" s="42">
        <f>Jun!HJ9</f>
        <v>128000</v>
      </c>
      <c r="BY8" s="42">
        <f>Jun!HM9</f>
        <v>0</v>
      </c>
      <c r="BZ8" s="42">
        <f>Jun!HP9</f>
        <v>32659.999999999724</v>
      </c>
      <c r="CA8" s="42">
        <f>Jun!HS9</f>
        <v>26259.999999999636</v>
      </c>
      <c r="CB8" s="42">
        <f>Jun!HV9</f>
        <v>19760.000000000091</v>
      </c>
      <c r="CC8" s="42">
        <f>Jun!HY9</f>
        <v>12159.999999999955</v>
      </c>
      <c r="CD8" s="42">
        <f>Jun!IB9</f>
        <v>17860</v>
      </c>
      <c r="CE8" s="42">
        <f>Jun!IE9</f>
        <v>0</v>
      </c>
      <c r="CF8" s="42">
        <f>Jun!IH9</f>
        <v>19300</v>
      </c>
    </row>
    <row r="9" spans="1:84" x14ac:dyDescent="0.25">
      <c r="A9" s="26">
        <f t="shared" ref="A9:A37" si="11">A8+1</f>
        <v>3</v>
      </c>
      <c r="B9" s="42">
        <f>Jun!G10</f>
        <v>408639.99999998847</v>
      </c>
      <c r="C9" s="42">
        <f>Jun!N10</f>
        <v>410000</v>
      </c>
      <c r="D9" s="42">
        <f>Jun!T10</f>
        <v>355.79000000096858</v>
      </c>
      <c r="E9" s="42">
        <f>Jun!V10</f>
        <v>0</v>
      </c>
      <c r="F9" s="42">
        <f>Jun!AB10</f>
        <v>70</v>
      </c>
      <c r="G9" s="42">
        <f>Jun!X10</f>
        <v>17574.209999999031</v>
      </c>
      <c r="H9" s="42">
        <f>Jun!AE10</f>
        <v>6800.0000000001819</v>
      </c>
      <c r="I9" s="42">
        <f>Jun!AI10</f>
        <v>15648.970000001455</v>
      </c>
      <c r="J9" s="42">
        <f>Jun!AN10</f>
        <v>7838.969999999963</v>
      </c>
      <c r="K9" s="42">
        <f>Jun!AR10</f>
        <v>13700.000000000728</v>
      </c>
      <c r="L9" s="42">
        <f>Jun!AZ10</f>
        <v>451.87999999994645</v>
      </c>
      <c r="M9" s="42">
        <f>Jun!BC10</f>
        <v>673.55999999999767</v>
      </c>
      <c r="N9" s="125">
        <f t="shared" si="2"/>
        <v>63113.380000002275</v>
      </c>
      <c r="O9" s="125">
        <f>Jun!CA10</f>
        <v>639.99999999998636</v>
      </c>
      <c r="P9" s="125">
        <f>Jun!CD10</f>
        <v>2120</v>
      </c>
      <c r="Q9" s="125">
        <f>Jun!CF10</f>
        <v>6800</v>
      </c>
      <c r="R9" s="125">
        <f>Jun!CH10</f>
        <v>0</v>
      </c>
      <c r="S9" s="125">
        <f>Jun!CK10</f>
        <v>17608.970000000016</v>
      </c>
      <c r="T9" s="125">
        <f>Jun!CO10</f>
        <v>5648.9700000000912</v>
      </c>
      <c r="U9" s="125">
        <f>Jun!CS10</f>
        <v>6888.97</v>
      </c>
      <c r="V9" s="126">
        <f t="shared" si="3"/>
        <v>39706.910000000091</v>
      </c>
      <c r="W9" s="126">
        <f>Jun!CW10</f>
        <v>18000</v>
      </c>
      <c r="X9" s="126">
        <f>Jun!DA10</f>
        <v>10000</v>
      </c>
      <c r="Y9" s="126">
        <f t="shared" si="1"/>
        <v>28000</v>
      </c>
      <c r="Z9" s="42">
        <f>Jun!BR10</f>
        <v>500</v>
      </c>
      <c r="AA9" s="126">
        <f>Jun!BG10</f>
        <v>1800.0000000001819</v>
      </c>
      <c r="AB9" s="126">
        <f>Jun!BJ10</f>
        <v>8899.9999999996362</v>
      </c>
      <c r="AC9" s="126">
        <f>Jun!BL10+Jun!BN10</f>
        <v>4910.0000000000364</v>
      </c>
      <c r="AD9" s="126">
        <f>Jun!DR10</f>
        <v>10600</v>
      </c>
      <c r="AE9" s="127">
        <f>Jun!DT10-Jun!DR50-Jun!DT50</f>
        <v>17500</v>
      </c>
      <c r="AF9" s="127">
        <f>Jun!DR50+Jun!DT50</f>
        <v>0</v>
      </c>
      <c r="AG9" s="127">
        <f>Jun!HJ10-AE9</f>
        <v>121500</v>
      </c>
      <c r="AH9" s="127">
        <f>Jun!DW10</f>
        <v>4000</v>
      </c>
      <c r="AI9" s="127">
        <f>Jun!DZ10</f>
        <v>6248.97</v>
      </c>
      <c r="AJ9" s="127">
        <f>Jun!EC10</f>
        <v>22408.97</v>
      </c>
      <c r="AK9" s="127">
        <f t="shared" si="4"/>
        <v>32657.940000000002</v>
      </c>
      <c r="AL9" s="127">
        <f>Jun!EG10</f>
        <v>22408.97</v>
      </c>
      <c r="AM9" s="127">
        <f>Jun!EJ10</f>
        <v>11248.97</v>
      </c>
      <c r="AN9" s="127">
        <f>Jun!EM10</f>
        <v>750</v>
      </c>
      <c r="AO9" s="127">
        <f t="shared" si="5"/>
        <v>34407.94</v>
      </c>
      <c r="AP9" s="127">
        <f>Jun!FX10</f>
        <v>29500</v>
      </c>
      <c r="AQ9" s="127">
        <f>Jun!GA10</f>
        <v>6979.9999999997272</v>
      </c>
      <c r="AR9" s="127">
        <f>Jun!GG10</f>
        <v>6999.9999999995453</v>
      </c>
      <c r="AS9" s="127">
        <f t="shared" si="6"/>
        <v>43479.999999999272</v>
      </c>
      <c r="AT9" s="127">
        <f>Jun!EQ10</f>
        <v>6388.970000000043</v>
      </c>
      <c r="AU9" s="127">
        <f>Jun!ET10</f>
        <v>14100.000000000364</v>
      </c>
      <c r="AV9" s="127">
        <f>Jun!EW10</f>
        <v>7348.9699999999093</v>
      </c>
      <c r="AW9" s="127">
        <f>Jun!FL47</f>
        <v>9152.4669816970254</v>
      </c>
      <c r="AX9" s="127">
        <f>Jun!GJ10</f>
        <v>1400.0000000000909</v>
      </c>
      <c r="AY9" s="127">
        <f t="shared" si="7"/>
        <v>38390.406981697437</v>
      </c>
      <c r="AZ9" s="127">
        <f>Jun!FG10</f>
        <v>8988.9699999999575</v>
      </c>
      <c r="BA9" s="127">
        <f>Jun!FJ10</f>
        <v>15628.97</v>
      </c>
      <c r="BB9" s="127">
        <f>Jun!FM47</f>
        <v>11225.473018302971</v>
      </c>
      <c r="BC9" s="127">
        <f>Jun!GM10</f>
        <v>0</v>
      </c>
      <c r="BD9" s="127">
        <f t="shared" si="8"/>
        <v>35843.413018302934</v>
      </c>
      <c r="BE9" s="127">
        <f>Jun!GP10</f>
        <v>1010</v>
      </c>
      <c r="BF9" s="127">
        <f>Jun!GS10</f>
        <v>320</v>
      </c>
      <c r="BG9" s="127">
        <f t="shared" si="9"/>
        <v>1330</v>
      </c>
      <c r="BH9" s="127">
        <f t="shared" si="10"/>
        <v>28000</v>
      </c>
      <c r="BI9" s="127"/>
      <c r="BJ9" s="127"/>
      <c r="BK9" s="127"/>
      <c r="BL9" s="128"/>
      <c r="BM9" s="128">
        <f>((AS9)+BG9)*48%</f>
        <v>21508.79999999965</v>
      </c>
      <c r="BN9" s="128"/>
      <c r="BO9" s="128">
        <f>((AS9)+BG9)*52%</f>
        <v>23301.199999999622</v>
      </c>
      <c r="BP9" s="128"/>
      <c r="BQ9" s="128"/>
      <c r="BR9" s="128"/>
      <c r="BS9" s="128"/>
      <c r="BT9" s="42">
        <f>Jun!D48</f>
        <v>0</v>
      </c>
      <c r="BU9" s="42">
        <f>Jun!G49</f>
        <v>74000</v>
      </c>
      <c r="BV9" t="s">
        <v>368</v>
      </c>
      <c r="BX9" s="42">
        <f>Jun!HJ10</f>
        <v>139000</v>
      </c>
      <c r="BY9" s="42">
        <f>Jun!HM10</f>
        <v>0</v>
      </c>
      <c r="BZ9" s="42">
        <f>Jun!HP10</f>
        <v>35485.000000000087</v>
      </c>
      <c r="CA9" s="42">
        <f>Jun!HS10</f>
        <v>27785.000000000273</v>
      </c>
      <c r="CB9" s="42">
        <f>Jun!HV10</f>
        <v>23085</v>
      </c>
      <c r="CC9" s="42">
        <f>Jun!HY10</f>
        <v>14684.999999999909</v>
      </c>
      <c r="CD9" s="42">
        <f>Jun!IB10</f>
        <v>20460</v>
      </c>
      <c r="CE9" s="42">
        <f>Jun!IE10</f>
        <v>0</v>
      </c>
      <c r="CF9" s="42">
        <f>Jun!IH10</f>
        <v>17500</v>
      </c>
    </row>
    <row r="10" spans="1:84" x14ac:dyDescent="0.25">
      <c r="A10" s="26">
        <f t="shared" si="11"/>
        <v>4</v>
      </c>
      <c r="B10" s="42">
        <f>Jun!G11</f>
        <v>410880.00000001921</v>
      </c>
      <c r="C10" s="42">
        <f>Jun!N11</f>
        <v>405000</v>
      </c>
      <c r="D10" s="42">
        <f>Jun!T11</f>
        <v>340.8899999987334</v>
      </c>
      <c r="E10" s="42">
        <f>Jun!V11</f>
        <v>0</v>
      </c>
      <c r="F10" s="42">
        <f>Jun!AB11</f>
        <v>100</v>
      </c>
      <c r="G10" s="42">
        <f>Jun!X11</f>
        <v>17559.110000001267</v>
      </c>
      <c r="H10" s="42">
        <f>Jun!AE11</f>
        <v>6099.9999999994543</v>
      </c>
      <c r="I10" s="42">
        <f>Jun!AI11</f>
        <v>13246.329999999272</v>
      </c>
      <c r="J10" s="42">
        <f>Jun!AN11</f>
        <v>4796.3300000007366</v>
      </c>
      <c r="K10" s="42">
        <f>Jun!AR11</f>
        <v>13399.999999999636</v>
      </c>
      <c r="L10" s="42">
        <f>Jun!AZ11</f>
        <v>417.28000000002794</v>
      </c>
      <c r="M10" s="42">
        <f>Jun!BC11</f>
        <v>661.61999999999534</v>
      </c>
      <c r="N10" s="125">
        <f t="shared" si="2"/>
        <v>56621.559999999125</v>
      </c>
      <c r="O10" s="125">
        <f>Jun!CA11</f>
        <v>584.7999999999729</v>
      </c>
      <c r="P10" s="125">
        <f>Jun!CD11</f>
        <v>651.80000000004657</v>
      </c>
      <c r="Q10" s="125">
        <f>Jun!CF11</f>
        <v>6052</v>
      </c>
      <c r="R10" s="125">
        <f>Jun!CH11</f>
        <v>0</v>
      </c>
      <c r="S10" s="125">
        <f>Jun!CK11</f>
        <v>15011.529999999664</v>
      </c>
      <c r="T10" s="125">
        <f>Jun!CO11</f>
        <v>4996.3299999997271</v>
      </c>
      <c r="U10" s="125">
        <f>Jun!CS11</f>
        <v>6200.6299999999883</v>
      </c>
      <c r="V10" s="126">
        <f t="shared" si="3"/>
        <v>33497.0899999994</v>
      </c>
      <c r="W10" s="126">
        <f>Jun!CW11</f>
        <v>17230</v>
      </c>
      <c r="X10" s="126">
        <f>Jun!DA11</f>
        <v>9478</v>
      </c>
      <c r="Y10" s="126">
        <f t="shared" si="1"/>
        <v>26708</v>
      </c>
      <c r="Z10" s="42">
        <f>Jun!BR11</f>
        <v>1079.9999999999272</v>
      </c>
      <c r="AA10" s="126">
        <f>Jun!BG11</f>
        <v>1599.9999999999091</v>
      </c>
      <c r="AB10" s="126">
        <f>Jun!BJ11</f>
        <v>9500</v>
      </c>
      <c r="AC10" s="126">
        <f>Jun!BL11+Jun!BN11</f>
        <v>4770.0000000000637</v>
      </c>
      <c r="AD10" s="126">
        <f>Jun!DR11</f>
        <v>10300</v>
      </c>
      <c r="AE10" s="127">
        <f>Jun!DT11-Jun!DR51-Jun!DT51</f>
        <v>19800</v>
      </c>
      <c r="AF10" s="127">
        <f>Jun!DR51+Jun!DT51</f>
        <v>0</v>
      </c>
      <c r="AG10" s="127">
        <f>Jun!HJ11-AE10</f>
        <v>118200</v>
      </c>
      <c r="AH10" s="127">
        <f>Jun!DW11</f>
        <v>4500</v>
      </c>
      <c r="AI10" s="127">
        <f>Jun!DZ11</f>
        <v>7946.33</v>
      </c>
      <c r="AJ10" s="127">
        <f>Jun!EC11</f>
        <v>25106.33</v>
      </c>
      <c r="AK10" s="127">
        <f t="shared" si="4"/>
        <v>37552.660000000003</v>
      </c>
      <c r="AL10" s="127">
        <f>Jun!EG11</f>
        <v>24106.33</v>
      </c>
      <c r="AM10" s="127">
        <f>Jun!EJ11</f>
        <v>11946.33</v>
      </c>
      <c r="AN10" s="127">
        <f>Jun!EM11</f>
        <v>759.99999999999091</v>
      </c>
      <c r="AO10" s="127">
        <f t="shared" si="5"/>
        <v>36812.659999999996</v>
      </c>
      <c r="AP10" s="127">
        <f>Jun!FX11</f>
        <v>37400</v>
      </c>
      <c r="AQ10" s="127">
        <f>Jun!GA11</f>
        <v>8870.0000000002728</v>
      </c>
      <c r="AR10" s="127">
        <f>Jun!GG11</f>
        <v>8800.0000000004093</v>
      </c>
      <c r="AS10" s="127">
        <f t="shared" si="6"/>
        <v>55070.000000000684</v>
      </c>
      <c r="AT10" s="127">
        <f>Jun!EQ11</f>
        <v>8006.3300000000017</v>
      </c>
      <c r="AU10" s="127">
        <f>Jun!ET11</f>
        <v>15200.000000000728</v>
      </c>
      <c r="AV10" s="127">
        <f>Jun!EW11</f>
        <v>8246.3300000001818</v>
      </c>
      <c r="AW10" s="127">
        <f>Jun!FL48</f>
        <v>11205.465837937758</v>
      </c>
      <c r="AX10" s="127">
        <f>Jun!GJ11</f>
        <v>1799.9999999999545</v>
      </c>
      <c r="AY10" s="127">
        <f t="shared" si="7"/>
        <v>44458.125837938627</v>
      </c>
      <c r="AZ10" s="127">
        <f>Jun!FG11</f>
        <v>9272.9999999999982</v>
      </c>
      <c r="BA10" s="127">
        <f>Jun!FJ11</f>
        <v>16232.999999999636</v>
      </c>
      <c r="BB10" s="127">
        <f>Jun!FM48</f>
        <v>12073.864162062244</v>
      </c>
      <c r="BC10" s="127">
        <f>Jun!GM11</f>
        <v>0</v>
      </c>
      <c r="BD10" s="127">
        <f t="shared" si="8"/>
        <v>37579.86416206188</v>
      </c>
      <c r="BE10" s="127">
        <f>Jun!GP11</f>
        <v>0</v>
      </c>
      <c r="BF10" s="127">
        <f>Jun!GS11</f>
        <v>330</v>
      </c>
      <c r="BG10" s="127">
        <f t="shared" si="9"/>
        <v>330</v>
      </c>
      <c r="BH10" s="127">
        <f t="shared" si="10"/>
        <v>26708</v>
      </c>
      <c r="BI10" s="127"/>
      <c r="BJ10" s="127"/>
      <c r="BK10" s="127"/>
      <c r="BL10" s="128"/>
      <c r="BM10" s="128">
        <f>((AS10)+BG10)*47%</f>
        <v>26038.00000000032</v>
      </c>
      <c r="BN10" s="128"/>
      <c r="BO10" s="128">
        <f>((AS10)+BG10)*53%</f>
        <v>29362.000000000364</v>
      </c>
      <c r="BP10" s="128"/>
      <c r="BQ10" s="128"/>
      <c r="BR10" s="128"/>
      <c r="BS10" s="128"/>
      <c r="BT10" s="42">
        <f>Jun!D49</f>
        <v>0</v>
      </c>
      <c r="BU10" s="42">
        <f>Jun!G50</f>
        <v>83000</v>
      </c>
      <c r="BV10" t="s">
        <v>369</v>
      </c>
      <c r="BX10" s="42">
        <f>Jun!HJ11</f>
        <v>138000</v>
      </c>
      <c r="BY10" s="42">
        <f>Jun!HM11</f>
        <v>0</v>
      </c>
      <c r="BZ10" s="42">
        <f>Jun!HP11</f>
        <v>35264.999999999913</v>
      </c>
      <c r="CA10" s="42">
        <f>Jun!HS11</f>
        <v>23364.999999999818</v>
      </c>
      <c r="CB10" s="42">
        <f>Jun!HV11</f>
        <v>24065.000000000091</v>
      </c>
      <c r="CC10" s="42">
        <f>Jun!HY11</f>
        <v>15365.000000000045</v>
      </c>
      <c r="CD10" s="42">
        <f>Jun!IB11</f>
        <v>20140</v>
      </c>
      <c r="CE10" s="42">
        <f>Jun!IE11</f>
        <v>0</v>
      </c>
      <c r="CF10" s="42">
        <f>Jun!IH11</f>
        <v>19800</v>
      </c>
    </row>
    <row r="11" spans="1:84" x14ac:dyDescent="0.25">
      <c r="A11" s="26">
        <f t="shared" si="11"/>
        <v>5</v>
      </c>
      <c r="B11" s="42">
        <f>Jun!G12</f>
        <v>406399.99999999057</v>
      </c>
      <c r="C11" s="42">
        <f>Jun!N12</f>
        <v>404000</v>
      </c>
      <c r="D11" s="42">
        <f>Jun!T12</f>
        <v>347.03000000119209</v>
      </c>
      <c r="E11" s="42">
        <f>Jun!V12</f>
        <v>0</v>
      </c>
      <c r="F11" s="42">
        <f>Jun!AB12</f>
        <v>0</v>
      </c>
      <c r="G11" s="42">
        <f>Jun!X12</f>
        <v>18652.969999998808</v>
      </c>
      <c r="H11" s="42">
        <f>Jun!AE12</f>
        <v>5800.0000000001819</v>
      </c>
      <c r="I11" s="42">
        <f>Jun!AI12</f>
        <v>10234.130000000727</v>
      </c>
      <c r="J11" s="42">
        <f>Jun!AN12</f>
        <v>6064.1300000000037</v>
      </c>
      <c r="K11" s="42">
        <f>Jun!AR12</f>
        <v>12500</v>
      </c>
      <c r="L11" s="42">
        <f>Jun!AZ12</f>
        <v>430</v>
      </c>
      <c r="M11" s="42">
        <f>Jun!BC12</f>
        <v>670</v>
      </c>
      <c r="N11" s="125">
        <f t="shared" si="2"/>
        <v>54698.260000000912</v>
      </c>
      <c r="O11" s="125">
        <f>Jun!CA12</f>
        <v>528.00000000002001</v>
      </c>
      <c r="P11" s="125">
        <f>Jun!CD12</f>
        <v>0</v>
      </c>
      <c r="Q11" s="125">
        <f>Jun!CF12</f>
        <v>5643</v>
      </c>
      <c r="R11" s="125">
        <f>Jun!CH12</f>
        <v>0</v>
      </c>
      <c r="S11" s="125">
        <f>Jun!CK12</f>
        <v>15556.130000001071</v>
      </c>
      <c r="T11" s="125">
        <f>Jun!CO12</f>
        <v>4789.1300000001092</v>
      </c>
      <c r="U11" s="125">
        <f>Jun!CS12</f>
        <v>6356.13</v>
      </c>
      <c r="V11" s="126">
        <f t="shared" si="3"/>
        <v>32872.3900000012</v>
      </c>
      <c r="W11" s="126">
        <f>Jun!CW12</f>
        <v>19352</v>
      </c>
      <c r="X11" s="126">
        <f>Jun!DA12</f>
        <v>9566</v>
      </c>
      <c r="Y11" s="126">
        <f t="shared" si="1"/>
        <v>28918</v>
      </c>
      <c r="Z11" s="42">
        <f>Jun!BR12</f>
        <v>700.00000000004547</v>
      </c>
      <c r="AA11" s="126">
        <f>Jun!BG12</f>
        <v>2000</v>
      </c>
      <c r="AB11" s="126">
        <f>Jun!BJ12</f>
        <v>8899.9999999996362</v>
      </c>
      <c r="AC11" s="126">
        <f>Jun!BL12+Jun!BN12</f>
        <v>4769.99999999995</v>
      </c>
      <c r="AD11" s="126">
        <f>Jun!DR12</f>
        <v>9500</v>
      </c>
      <c r="AE11" s="127">
        <f>Jun!DT12-AF11</f>
        <v>17320</v>
      </c>
      <c r="AF11" s="127">
        <f>Jun!DR52+Jun!DT52</f>
        <v>579.99999999999829</v>
      </c>
      <c r="AG11" s="127">
        <f>Jun!HJ12-AE11</f>
        <v>133680</v>
      </c>
      <c r="AH11" s="127">
        <f>Jun!DW12</f>
        <v>4500</v>
      </c>
      <c r="AI11" s="127">
        <f>Jun!DZ12</f>
        <v>7034.13</v>
      </c>
      <c r="AJ11" s="127">
        <f>Jun!EC12</f>
        <v>24194.13</v>
      </c>
      <c r="AK11" s="127">
        <f t="shared" si="4"/>
        <v>35728.26</v>
      </c>
      <c r="AL11" s="127">
        <f>Jun!EG12</f>
        <v>23194.13</v>
      </c>
      <c r="AM11" s="127">
        <f>Jun!EJ12</f>
        <v>11034.13</v>
      </c>
      <c r="AN11" s="127">
        <f>Jun!EM12</f>
        <v>740.00000000000909</v>
      </c>
      <c r="AO11" s="127">
        <f t="shared" si="5"/>
        <v>34968.260000000009</v>
      </c>
      <c r="AP11" s="127">
        <f>Jun!FX12</f>
        <v>30300</v>
      </c>
      <c r="AQ11" s="127">
        <f>Jun!GA12</f>
        <v>10119.999999999636</v>
      </c>
      <c r="AR11" s="127">
        <f>Jun!GG12</f>
        <v>9299.9999999999545</v>
      </c>
      <c r="AS11" s="127">
        <f t="shared" si="6"/>
        <v>49719.999999999593</v>
      </c>
      <c r="AT11" s="127">
        <f>Jun!EQ12</f>
        <v>6174.1299999999865</v>
      </c>
      <c r="AU11" s="127">
        <f>Jun!ET12</f>
        <v>9399.9999999996362</v>
      </c>
      <c r="AV11" s="127">
        <f>Jun!EW12</f>
        <v>8934.1299999996354</v>
      </c>
      <c r="AW11" s="127">
        <f>Jun!FL49</f>
        <v>10164.86054368415</v>
      </c>
      <c r="AX11" s="127">
        <f>Jun!GJ12</f>
        <v>1700.0000000000455</v>
      </c>
      <c r="AY11" s="127">
        <f t="shared" si="7"/>
        <v>36373.120543683457</v>
      </c>
      <c r="AZ11" s="127">
        <f>Jun!FG12</f>
        <v>8374.1300000000138</v>
      </c>
      <c r="BA11" s="127">
        <f>Jun!FJ12</f>
        <v>15214.129999998908</v>
      </c>
      <c r="BB11" s="127">
        <f>Jun!FM49</f>
        <v>11383.399456315849</v>
      </c>
      <c r="BC11" s="127">
        <f>Jun!GM12</f>
        <v>0</v>
      </c>
      <c r="BD11" s="127">
        <f t="shared" si="8"/>
        <v>34971.659456314766</v>
      </c>
      <c r="BE11" s="127">
        <f>Jun!GP12</f>
        <v>0</v>
      </c>
      <c r="BF11" s="127">
        <f>Jun!GS12</f>
        <v>280</v>
      </c>
      <c r="BG11" s="127">
        <f t="shared" si="9"/>
        <v>280</v>
      </c>
      <c r="BH11" s="127">
        <f t="shared" si="10"/>
        <v>28918</v>
      </c>
      <c r="BI11" s="127"/>
      <c r="BJ11" s="127"/>
      <c r="BK11" s="127"/>
      <c r="BL11" s="128"/>
      <c r="BM11" s="128">
        <f>((AS11)+BG11)*44%</f>
        <v>21999.999999999822</v>
      </c>
      <c r="BN11" s="128"/>
      <c r="BO11" s="128">
        <f>((AS11)+BG11)*56%</f>
        <v>27999.999999999774</v>
      </c>
      <c r="BP11" s="128"/>
      <c r="BQ11" s="128"/>
      <c r="BR11" s="128"/>
      <c r="BS11" s="128"/>
      <c r="BT11" s="42">
        <f>Jun!D50</f>
        <v>0</v>
      </c>
      <c r="BU11" s="42">
        <f>Jun!G51</f>
        <v>79000</v>
      </c>
      <c r="BV11" t="s">
        <v>370</v>
      </c>
      <c r="BX11" s="42">
        <f>Jun!HJ12</f>
        <v>151000</v>
      </c>
      <c r="BY11" s="42">
        <f>Jun!HM12</f>
        <v>0</v>
      </c>
      <c r="BZ11" s="42">
        <f>Jun!HP12</f>
        <v>36662.500000000182</v>
      </c>
      <c r="CA11" s="42">
        <f>Jun!HS12</f>
        <v>28262.500000000091</v>
      </c>
      <c r="CB11" s="42">
        <f>Jun!HV12</f>
        <v>26762.500000000091</v>
      </c>
      <c r="CC11" s="42">
        <f>Jun!HY12</f>
        <v>18462.499999999909</v>
      </c>
      <c r="CD11" s="42">
        <f>Jun!IB12</f>
        <v>22950</v>
      </c>
      <c r="CE11" s="42">
        <f>Jun!IE12</f>
        <v>0</v>
      </c>
      <c r="CF11" s="42">
        <f>Jun!IH12</f>
        <v>17900</v>
      </c>
    </row>
    <row r="12" spans="1:84" x14ac:dyDescent="0.25">
      <c r="A12" s="26">
        <f t="shared" si="11"/>
        <v>6</v>
      </c>
      <c r="B12" s="42">
        <f>Jun!G13</f>
        <v>396159.99999999255</v>
      </c>
      <c r="C12" s="42">
        <f>Jun!N13</f>
        <v>397000</v>
      </c>
      <c r="D12" s="42">
        <f>Jun!T13</f>
        <v>216.91000000014901</v>
      </c>
      <c r="E12" s="42">
        <f>Jun!V13</f>
        <v>0</v>
      </c>
      <c r="F12" s="42">
        <f>Jun!AB13</f>
        <v>100</v>
      </c>
      <c r="G12" s="42">
        <f>Jun!X13</f>
        <v>17483.089999999123</v>
      </c>
      <c r="H12" s="42">
        <f>Jun!AE13</f>
        <v>5699.9999999998181</v>
      </c>
      <c r="I12" s="42">
        <f>Jun!AI13</f>
        <v>12544.759999998545</v>
      </c>
      <c r="J12" s="42">
        <f>Jun!AN13</f>
        <v>7294.7599999996364</v>
      </c>
      <c r="K12" s="42">
        <f>Jun!AR13</f>
        <v>12500</v>
      </c>
      <c r="L12" s="42">
        <f>Jun!AZ13</f>
        <v>420</v>
      </c>
      <c r="M12" s="42">
        <f>Jun!BC13</f>
        <v>660</v>
      </c>
      <c r="N12" s="125">
        <f t="shared" si="2"/>
        <v>56919.519999997276</v>
      </c>
      <c r="O12" s="125">
        <f>Jun!CA13</f>
        <v>510.60000000001082</v>
      </c>
      <c r="P12" s="125">
        <f>Jun!CD13</f>
        <v>653.09999999997672</v>
      </c>
      <c r="Q12" s="125">
        <f>Jun!CF13</f>
        <v>5768</v>
      </c>
      <c r="R12" s="125">
        <f>Jun!CH13</f>
        <v>0</v>
      </c>
      <c r="S12" s="125">
        <f>Jun!CK13</f>
        <v>16594.159999999843</v>
      </c>
      <c r="T12" s="125">
        <f>Jun!CO13</f>
        <v>6374.7600000002913</v>
      </c>
      <c r="U12" s="125">
        <f>Jun!CS13</f>
        <v>7245.26</v>
      </c>
      <c r="V12" s="126">
        <f t="shared" si="3"/>
        <v>37145.880000000128</v>
      </c>
      <c r="W12" s="126">
        <f>Jun!CW13</f>
        <v>17724</v>
      </c>
      <c r="X12" s="126">
        <f>Jun!DA13</f>
        <v>9683</v>
      </c>
      <c r="Y12" s="126">
        <f t="shared" si="1"/>
        <v>27407</v>
      </c>
      <c r="Z12" s="42">
        <f>Jun!BR13</f>
        <v>299.99999999995453</v>
      </c>
      <c r="AA12" s="126">
        <f>Jun!BG13</f>
        <v>1700.0000000000455</v>
      </c>
      <c r="AB12" s="126">
        <f>Jun!BJ13</f>
        <v>9100.0000000003638</v>
      </c>
      <c r="AC12" s="126">
        <f>Jun!BL13+Jun!BN13</f>
        <v>4750.0000000000455</v>
      </c>
      <c r="AD12" s="126">
        <f>Jun!DR13</f>
        <v>8300</v>
      </c>
      <c r="AE12" s="127">
        <f>Jun!DT13-Jun!DR53-Jun!DT53</f>
        <v>17600</v>
      </c>
      <c r="AF12" s="127">
        <f>Jun!DR53+Jun!DT53</f>
        <v>0</v>
      </c>
      <c r="AG12" s="127">
        <f>Jun!HJ13-AE12</f>
        <v>128400</v>
      </c>
      <c r="AH12" s="127">
        <f>Jun!DW13</f>
        <v>4700.0000000007276</v>
      </c>
      <c r="AI12" s="127">
        <f>Jun!DZ13</f>
        <v>7944.76</v>
      </c>
      <c r="AJ12" s="127">
        <f>Jun!EC13</f>
        <v>25104.76</v>
      </c>
      <c r="AK12" s="127">
        <f t="shared" si="4"/>
        <v>37749.520000000724</v>
      </c>
      <c r="AL12" s="127">
        <f>Jun!EG13</f>
        <v>25104.76</v>
      </c>
      <c r="AM12" s="127">
        <f>Jun!EJ13</f>
        <v>11944.76</v>
      </c>
      <c r="AN12" s="127">
        <f>Jun!EM13</f>
        <v>879.99999999999545</v>
      </c>
      <c r="AO12" s="127">
        <f t="shared" si="5"/>
        <v>37929.51999999999</v>
      </c>
      <c r="AP12" s="127">
        <f>Jun!FX13</f>
        <v>28800</v>
      </c>
      <c r="AQ12" s="127">
        <f>Jun!GA13</f>
        <v>4810.0000000003638</v>
      </c>
      <c r="AR12" s="127">
        <f>Jun!GG13</f>
        <v>6500</v>
      </c>
      <c r="AS12" s="127">
        <f t="shared" si="6"/>
        <v>40110.000000000364</v>
      </c>
      <c r="AT12" s="127">
        <f>Jun!EQ13</f>
        <v>7134.7599999999984</v>
      </c>
      <c r="AU12" s="127">
        <f>Jun!ET13</f>
        <v>6899.9999999996362</v>
      </c>
      <c r="AV12" s="127">
        <f>Jun!EW13</f>
        <v>9144.7600000002731</v>
      </c>
      <c r="AW12" s="127">
        <f>Jun!FL50</f>
        <v>11216.415477312657</v>
      </c>
      <c r="AX12" s="127">
        <f>Jun!GJ13</f>
        <v>1500</v>
      </c>
      <c r="AY12" s="127">
        <f t="shared" si="7"/>
        <v>35895.935477312567</v>
      </c>
      <c r="AZ12" s="127">
        <f>Jun!FG13</f>
        <v>8051.4300000000021</v>
      </c>
      <c r="BA12" s="127">
        <f>Jun!FJ13</f>
        <v>13541.430000001092</v>
      </c>
      <c r="BB12" s="127">
        <f>Jun!FM50</f>
        <v>11969.774522687347</v>
      </c>
      <c r="BC12" s="127">
        <f>Jun!GM13</f>
        <v>0</v>
      </c>
      <c r="BD12" s="127">
        <f t="shared" si="8"/>
        <v>33562.634522688437</v>
      </c>
      <c r="BE12" s="127">
        <f>Jun!GP13</f>
        <v>0</v>
      </c>
      <c r="BF12" s="127">
        <f>Jun!GS13</f>
        <v>290</v>
      </c>
      <c r="BG12" s="127">
        <f t="shared" si="9"/>
        <v>290</v>
      </c>
      <c r="BH12" s="127">
        <f t="shared" si="10"/>
        <v>27407</v>
      </c>
      <c r="BI12" s="127"/>
      <c r="BJ12" s="127"/>
      <c r="BK12" s="127"/>
      <c r="BL12" s="128"/>
      <c r="BM12" s="128">
        <f>((AS12)+BG12)*50%</f>
        <v>20200.000000000182</v>
      </c>
      <c r="BN12" s="128"/>
      <c r="BO12" s="128">
        <f>((AS12)+BG12)*50%</f>
        <v>20200.000000000182</v>
      </c>
      <c r="BP12" s="128"/>
      <c r="BQ12" s="128"/>
      <c r="BR12" s="128"/>
      <c r="BS12" s="128"/>
      <c r="BT12" s="42">
        <f>Jun!D51</f>
        <v>0</v>
      </c>
      <c r="BU12" s="42">
        <f>Jun!G52</f>
        <v>81000</v>
      </c>
      <c r="BV12" t="s">
        <v>360</v>
      </c>
      <c r="BX12" s="42">
        <f>Jun!HJ13</f>
        <v>146000</v>
      </c>
      <c r="BY12" s="42">
        <f>Jun!HM13</f>
        <v>0</v>
      </c>
      <c r="BZ12" s="42">
        <f>Jun!HP13</f>
        <v>37254.999999999913</v>
      </c>
      <c r="CA12" s="42">
        <f>Jun!HS13</f>
        <v>25854.999999999818</v>
      </c>
      <c r="CB12" s="42">
        <f>Jun!HV13</f>
        <v>24854.999999999818</v>
      </c>
      <c r="CC12" s="42">
        <f>Jun!HY13</f>
        <v>17855.000000000044</v>
      </c>
      <c r="CD12" s="42">
        <f>Jun!IB13</f>
        <v>22580</v>
      </c>
      <c r="CE12" s="42">
        <f>Jun!IE13</f>
        <v>0</v>
      </c>
      <c r="CF12" s="42">
        <f>Jun!IH13</f>
        <v>17600</v>
      </c>
    </row>
    <row r="13" spans="1:84" x14ac:dyDescent="0.25">
      <c r="A13" s="26">
        <f t="shared" si="11"/>
        <v>7</v>
      </c>
      <c r="B13" s="42">
        <f>Jun!G14</f>
        <v>408960.0000000064</v>
      </c>
      <c r="C13" s="42">
        <f>Jun!N14</f>
        <v>408000</v>
      </c>
      <c r="D13" s="42">
        <f>Jun!T14</f>
        <v>288.24000000022352</v>
      </c>
      <c r="E13" s="42">
        <f>Jun!V14</f>
        <v>0</v>
      </c>
      <c r="F13" s="42">
        <f>Jun!AB14</f>
        <v>100</v>
      </c>
      <c r="G13" s="42">
        <f>Jun!X14</f>
        <v>17911.760000000868</v>
      </c>
      <c r="H13" s="42">
        <f>Jun!AE14</f>
        <v>5800.0000000001819</v>
      </c>
      <c r="I13" s="42">
        <f>Jun!AI14</f>
        <v>11039.230000000363</v>
      </c>
      <c r="J13" s="42">
        <f>Jun!AN14</f>
        <v>5459.229999999322</v>
      </c>
      <c r="K13" s="42">
        <f>Jun!AR14</f>
        <v>12500</v>
      </c>
      <c r="L13" s="42">
        <f>Jun!AZ14</f>
        <v>430</v>
      </c>
      <c r="M13" s="42">
        <f>Jun!BC14</f>
        <v>670</v>
      </c>
      <c r="N13" s="125">
        <f t="shared" si="2"/>
        <v>54198.46000000096</v>
      </c>
      <c r="O13" s="125">
        <f>Jun!CA14</f>
        <v>559.599999999989</v>
      </c>
      <c r="P13" s="125">
        <f>Jun!CD14</f>
        <v>2772.5</v>
      </c>
      <c r="Q13" s="125">
        <f>Jun!CF14</f>
        <v>5649</v>
      </c>
      <c r="R13" s="125">
        <f>Jun!CH14</f>
        <v>0</v>
      </c>
      <c r="S13" s="125">
        <f>Jun!CK14</f>
        <v>16349.629999999355</v>
      </c>
      <c r="T13" s="125">
        <f>Jun!CO14</f>
        <v>5918.229999999814</v>
      </c>
      <c r="U13" s="125">
        <f>Jun!CS14</f>
        <v>6463.3300000000054</v>
      </c>
      <c r="V13" s="126">
        <f t="shared" si="3"/>
        <v>37712.289999999164</v>
      </c>
      <c r="W13" s="126">
        <f>Jun!CW14</f>
        <v>16760</v>
      </c>
      <c r="X13" s="126">
        <f>Jun!DA14</f>
        <v>8862</v>
      </c>
      <c r="Y13" s="126">
        <f t="shared" si="1"/>
        <v>25622</v>
      </c>
      <c r="Z13" s="42">
        <f>Jun!BR14</f>
        <v>500</v>
      </c>
      <c r="AA13" s="126">
        <f>Jun!BG14</f>
        <v>1500</v>
      </c>
      <c r="AB13" s="126">
        <f>Jun!BJ14</f>
        <v>9299.9999999992724</v>
      </c>
      <c r="AC13" s="126">
        <f>Jun!BL14+Jun!BN14</f>
        <v>4779.99999999995</v>
      </c>
      <c r="AD13" s="126">
        <f>Jun!DR14</f>
        <v>9500</v>
      </c>
      <c r="AE13" s="127">
        <f>Jun!DT14-Jun!DR54-Jun!DT54</f>
        <v>19400</v>
      </c>
      <c r="AF13" s="127">
        <f>Jun!DR54+Jun!DT54</f>
        <v>0</v>
      </c>
      <c r="AG13" s="127">
        <f>Jun!HJ14-AE13</f>
        <v>130600</v>
      </c>
      <c r="AH13" s="127">
        <f>Jun!DW14</f>
        <v>4599.9999999994543</v>
      </c>
      <c r="AI13" s="127">
        <f>Jun!DZ14</f>
        <v>6939.23</v>
      </c>
      <c r="AJ13" s="127">
        <f>Jun!EC14</f>
        <v>24099.23</v>
      </c>
      <c r="AK13" s="127">
        <f t="shared" si="4"/>
        <v>35638.459999999453</v>
      </c>
      <c r="AL13" s="127">
        <f>Jun!EG14</f>
        <v>28099.23</v>
      </c>
      <c r="AM13" s="127">
        <f>Jun!EJ14</f>
        <v>10939.23</v>
      </c>
      <c r="AN13" s="127">
        <f>Jun!EM14</f>
        <v>879.99999999999545</v>
      </c>
      <c r="AO13" s="127">
        <f t="shared" si="5"/>
        <v>39918.459999999992</v>
      </c>
      <c r="AP13" s="127">
        <f>Jun!FX14</f>
        <v>34000</v>
      </c>
      <c r="AQ13" s="127">
        <f>Jun!GA14</f>
        <v>8579.9999999996362</v>
      </c>
      <c r="AR13" s="127">
        <f>Jun!GG14</f>
        <v>9100.0000000001364</v>
      </c>
      <c r="AS13" s="127">
        <f t="shared" si="6"/>
        <v>51679.999999999774</v>
      </c>
      <c r="AT13" s="127">
        <f>Jun!EQ14</f>
        <v>5984.2300000000159</v>
      </c>
      <c r="AU13" s="127">
        <f>Jun!ET14</f>
        <v>8300.0000000010914</v>
      </c>
      <c r="AV13" s="127">
        <f>Jun!EW14</f>
        <v>9339.2300000000905</v>
      </c>
      <c r="AW13" s="127">
        <f>Jun!FL51</f>
        <v>10557.147359124874</v>
      </c>
      <c r="AX13" s="127">
        <f>Jun!GJ14</f>
        <v>1899.9999999998636</v>
      </c>
      <c r="AY13" s="127">
        <f t="shared" si="7"/>
        <v>36080.607359125934</v>
      </c>
      <c r="AZ13" s="127">
        <f>Jun!FG14</f>
        <v>8909.2299999999832</v>
      </c>
      <c r="BA13" s="127">
        <f>Jun!FJ14</f>
        <v>14954.23</v>
      </c>
      <c r="BB13" s="127">
        <f>Jun!FM51</f>
        <v>11336.312640875127</v>
      </c>
      <c r="BC13" s="127">
        <f>Jun!GM14</f>
        <v>0</v>
      </c>
      <c r="BD13" s="127">
        <f t="shared" si="8"/>
        <v>35199.772640875111</v>
      </c>
      <c r="BE13" s="127">
        <f>Jun!GP14</f>
        <v>10</v>
      </c>
      <c r="BF13" s="127">
        <f>Jun!GS14</f>
        <v>320</v>
      </c>
      <c r="BG13" s="127">
        <f t="shared" si="9"/>
        <v>330</v>
      </c>
      <c r="BH13" s="127">
        <f t="shared" si="10"/>
        <v>25622</v>
      </c>
      <c r="BI13" s="127"/>
      <c r="BJ13" s="127"/>
      <c r="BK13" s="127"/>
      <c r="BL13" s="128"/>
      <c r="BM13" s="128">
        <f>((AS13)+BG13)*51%</f>
        <v>26525.099999999886</v>
      </c>
      <c r="BN13" s="128"/>
      <c r="BO13" s="128">
        <f>((AS13)+BG13)*49%</f>
        <v>25484.899999999889</v>
      </c>
      <c r="BP13" s="128"/>
      <c r="BQ13" s="128"/>
      <c r="BR13" s="128"/>
      <c r="BS13" s="128"/>
      <c r="BT13" s="42">
        <f>Jun!D52</f>
        <v>0</v>
      </c>
      <c r="BU13" s="42">
        <f>Jun!G53</f>
        <v>83000</v>
      </c>
      <c r="BV13" t="s">
        <v>363</v>
      </c>
      <c r="BX13" s="42">
        <f>Jun!HJ14</f>
        <v>150000</v>
      </c>
      <c r="BY13" s="42">
        <f>Jun!HM14</f>
        <v>0</v>
      </c>
      <c r="BZ13" s="42">
        <f>Jun!HP14</f>
        <v>34882.500000000182</v>
      </c>
      <c r="CA13" s="42">
        <f>Jun!HS14</f>
        <v>24782.500000000273</v>
      </c>
      <c r="CB13" s="42">
        <f>Jun!HV14</f>
        <v>26182.499999999909</v>
      </c>
      <c r="CC13" s="42">
        <f>Jun!HY14</f>
        <v>24182.500000000138</v>
      </c>
      <c r="CD13" s="42">
        <f>Jun!IB14</f>
        <v>20570</v>
      </c>
      <c r="CE13" s="42">
        <f>Jun!IE14</f>
        <v>0</v>
      </c>
      <c r="CF13" s="42">
        <f>Jun!IH14</f>
        <v>19400</v>
      </c>
    </row>
    <row r="14" spans="1:84" x14ac:dyDescent="0.25">
      <c r="A14" s="26">
        <f t="shared" si="11"/>
        <v>8</v>
      </c>
      <c r="B14" s="42">
        <f>Jun!G15</f>
        <v>415039.99999999721</v>
      </c>
      <c r="C14" s="42">
        <f>Jun!N15</f>
        <v>410000</v>
      </c>
      <c r="D14" s="42">
        <f>Jun!T15</f>
        <v>281.5599999986589</v>
      </c>
      <c r="E14" s="42">
        <f>Jun!V15</f>
        <v>0</v>
      </c>
      <c r="F14" s="42">
        <f>Jun!AB15</f>
        <v>100</v>
      </c>
      <c r="G14" s="42">
        <f>Jun!X15</f>
        <v>17818.44000000025</v>
      </c>
      <c r="H14" s="42">
        <f>Jun!AE15</f>
        <v>5699.9999999998181</v>
      </c>
      <c r="I14" s="42">
        <f>Jun!AI15</f>
        <v>11257.57</v>
      </c>
      <c r="J14" s="42">
        <f>Jun!AN15</f>
        <v>5897.5700000007</v>
      </c>
      <c r="K14" s="42">
        <f>Jun!AR15</f>
        <v>12700.000000000728</v>
      </c>
      <c r="L14" s="42">
        <f>Jun!AZ15</f>
        <v>430</v>
      </c>
      <c r="M14" s="42">
        <f>Jun!BC15</f>
        <v>670</v>
      </c>
      <c r="N14" s="125">
        <f t="shared" si="2"/>
        <v>54855.140000000152</v>
      </c>
      <c r="O14" s="125">
        <f>Jun!CA15</f>
        <v>579.79999999997744</v>
      </c>
      <c r="P14" s="125">
        <f>Jun!CD15</f>
        <v>991.5</v>
      </c>
      <c r="Q14" s="125">
        <f>Jun!CF15</f>
        <v>5673</v>
      </c>
      <c r="R14" s="125">
        <f>Jun!CH15</f>
        <v>0</v>
      </c>
      <c r="S14" s="125">
        <f>Jun!CK15</f>
        <v>16267.770000000168</v>
      </c>
      <c r="T14" s="125">
        <f>Jun!CO15</f>
        <v>6195.5700000001016</v>
      </c>
      <c r="U14" s="125">
        <f>Jun!CS15</f>
        <v>6785.57</v>
      </c>
      <c r="V14" s="126">
        <f t="shared" si="3"/>
        <v>36493.210000000247</v>
      </c>
      <c r="W14" s="126">
        <f>Jun!CW15</f>
        <v>16456</v>
      </c>
      <c r="X14" s="126">
        <f>Jun!DA15</f>
        <v>8670</v>
      </c>
      <c r="Y14" s="126">
        <f t="shared" si="1"/>
        <v>25126</v>
      </c>
      <c r="Z14" s="42">
        <f>Jun!BR15</f>
        <v>300.00000000006821</v>
      </c>
      <c r="AA14" s="126">
        <f>Jun!BG15</f>
        <v>2099.9999999999091</v>
      </c>
      <c r="AB14" s="126">
        <f>Jun!BJ15</f>
        <v>8800.0000000010914</v>
      </c>
      <c r="AC14" s="126">
        <f>Jun!BL15+Jun!BN15</f>
        <v>4759.9999999999591</v>
      </c>
      <c r="AD14" s="126">
        <f>Jun!DR15</f>
        <v>8700</v>
      </c>
      <c r="AE14" s="127">
        <f>Jun!DT15-Jun!DR55-Jun!DT55</f>
        <v>19400</v>
      </c>
      <c r="AF14" s="127">
        <f>Jun!DR55+Jun!DT55</f>
        <v>0</v>
      </c>
      <c r="AG14" s="127">
        <f>Jun!HJ15-AE14</f>
        <v>137600</v>
      </c>
      <c r="AH14" s="127">
        <f>Jun!DW15</f>
        <v>2400.0000000005457</v>
      </c>
      <c r="AI14" s="127">
        <f>Jun!DZ15</f>
        <v>2257.5700000000002</v>
      </c>
      <c r="AJ14" s="127">
        <f>Jun!EC15</f>
        <v>10417.57</v>
      </c>
      <c r="AK14" s="127">
        <f t="shared" si="4"/>
        <v>15075.140000000545</v>
      </c>
      <c r="AL14" s="127">
        <f>Jun!EG15</f>
        <v>27417.57</v>
      </c>
      <c r="AM14" s="127">
        <f>Jun!EJ15</f>
        <v>10257.57</v>
      </c>
      <c r="AN14" s="127">
        <f>Jun!EM15</f>
        <v>840.00000000003183</v>
      </c>
      <c r="AO14" s="127">
        <f t="shared" si="5"/>
        <v>38515.140000000029</v>
      </c>
      <c r="AP14" s="127">
        <f>Jun!FX15</f>
        <v>31900</v>
      </c>
      <c r="AQ14" s="127">
        <f>Jun!GA15</f>
        <v>7300.0000000003638</v>
      </c>
      <c r="AR14" s="127">
        <f>Jun!GG15</f>
        <v>8399.9999999998636</v>
      </c>
      <c r="AS14" s="127">
        <f t="shared" si="6"/>
        <v>47600.000000000226</v>
      </c>
      <c r="AT14" s="127">
        <f>Jun!EQ15</f>
        <v>6327.5699999999924</v>
      </c>
      <c r="AU14" s="127">
        <f>Jun!ET15</f>
        <v>11199.999999998909</v>
      </c>
      <c r="AV14" s="127">
        <f>Jun!EW15</f>
        <v>9257.57</v>
      </c>
      <c r="AW14" s="127">
        <f>Jun!FL52</f>
        <v>11466.556961418339</v>
      </c>
      <c r="AX14" s="127">
        <f>Jun!GJ15</f>
        <v>1600.0000000001364</v>
      </c>
      <c r="AY14" s="127">
        <f t="shared" si="7"/>
        <v>39851.696961417379</v>
      </c>
      <c r="AZ14" s="127">
        <f>Jun!FG15</f>
        <v>9044.2400000000071</v>
      </c>
      <c r="BA14" s="127">
        <f>Jun!FJ15</f>
        <v>15614.24</v>
      </c>
      <c r="BB14" s="127">
        <f>Jun!FM52</f>
        <v>11905.253038581663</v>
      </c>
      <c r="BC14" s="127">
        <f>Jun!GM15</f>
        <v>0</v>
      </c>
      <c r="BD14" s="127">
        <f t="shared" si="8"/>
        <v>36563.733038581668</v>
      </c>
      <c r="BE14" s="127">
        <f>Jun!GP15</f>
        <v>0</v>
      </c>
      <c r="BF14" s="127">
        <f>Jun!GS15</f>
        <v>300</v>
      </c>
      <c r="BG14" s="127">
        <f t="shared" si="9"/>
        <v>300</v>
      </c>
      <c r="BH14" s="127">
        <f t="shared" si="10"/>
        <v>25126</v>
      </c>
      <c r="BI14" s="127"/>
      <c r="BJ14" s="127"/>
      <c r="BK14" s="127"/>
      <c r="BL14" s="128"/>
      <c r="BM14" s="128">
        <f>((AS14)+BG14)*52%</f>
        <v>24908.000000000116</v>
      </c>
      <c r="BN14" s="128"/>
      <c r="BO14" s="128">
        <f>((AS14)+BG14)*48%</f>
        <v>22992.000000000109</v>
      </c>
      <c r="BP14" s="128"/>
      <c r="BQ14" s="128"/>
      <c r="BR14" s="128"/>
      <c r="BS14" s="128"/>
      <c r="BT14" s="42">
        <f>Jun!D53</f>
        <v>0</v>
      </c>
      <c r="BU14" s="42">
        <f>Jun!G54</f>
        <v>61000</v>
      </c>
      <c r="BV14" t="s">
        <v>362</v>
      </c>
      <c r="BX14" s="42">
        <f>Jun!HJ15</f>
        <v>157000</v>
      </c>
      <c r="BY14" s="42">
        <f>Jun!HM15</f>
        <v>0</v>
      </c>
      <c r="BZ14" s="42">
        <f>Jun!HP15</f>
        <v>38957.499999999818</v>
      </c>
      <c r="CA14" s="42">
        <f>Jun!HS15</f>
        <v>27257.5</v>
      </c>
      <c r="CB14" s="42">
        <f>Jun!HV15</f>
        <v>27557.500000000182</v>
      </c>
      <c r="CC14" s="42">
        <f>Jun!HY15</f>
        <v>20357.499999999909</v>
      </c>
      <c r="CD14" s="42">
        <f>Jun!IB15</f>
        <v>23470</v>
      </c>
      <c r="CE14" s="42">
        <f>Jun!IE15</f>
        <v>0</v>
      </c>
      <c r="CF14" s="42">
        <f>Jun!IH15</f>
        <v>19400</v>
      </c>
    </row>
    <row r="15" spans="1:84" x14ac:dyDescent="0.25">
      <c r="A15" s="26">
        <f t="shared" si="11"/>
        <v>9</v>
      </c>
      <c r="B15" s="42">
        <f>Jun!G16</f>
        <v>401599.99999999854</v>
      </c>
      <c r="C15" s="42">
        <f>Jun!N16</f>
        <v>396000</v>
      </c>
      <c r="D15" s="42">
        <f>Jun!T16</f>
        <v>332.99000000022352</v>
      </c>
      <c r="E15" s="42">
        <f>Jun!V16</f>
        <v>0</v>
      </c>
      <c r="F15" s="42">
        <f>Jun!AB16</f>
        <v>0</v>
      </c>
      <c r="G15" s="42">
        <f>Jun!X16</f>
        <v>17367.010000000504</v>
      </c>
      <c r="H15" s="42">
        <f>Jun!AE16</f>
        <v>5300.0000000001819</v>
      </c>
      <c r="I15" s="42">
        <f>Jun!AI16</f>
        <v>12428.809999999636</v>
      </c>
      <c r="J15" s="42">
        <f>Jun!AN16</f>
        <v>5828.8099999992764</v>
      </c>
      <c r="K15" s="42">
        <f>Jun!AR16</f>
        <v>9199.9999999989086</v>
      </c>
      <c r="L15" s="42">
        <f>Jun!AZ16</f>
        <v>430</v>
      </c>
      <c r="M15" s="42">
        <f>Jun!BC16</f>
        <v>640</v>
      </c>
      <c r="N15" s="125">
        <f t="shared" si="2"/>
        <v>51527.619999998729</v>
      </c>
      <c r="O15" s="125">
        <f>Jun!CA16</f>
        <v>570.89999999999463</v>
      </c>
      <c r="P15" s="125">
        <f>Jun!CD16</f>
        <v>0</v>
      </c>
      <c r="Q15" s="125">
        <f>Jun!CF16</f>
        <v>5452</v>
      </c>
      <c r="R15" s="125">
        <f>Jun!CH16</f>
        <v>0</v>
      </c>
      <c r="S15" s="125">
        <f>Jun!CK16</f>
        <v>15737.91000000066</v>
      </c>
      <c r="T15" s="125">
        <f>Jun!CO16</f>
        <v>6265.8100000000804</v>
      </c>
      <c r="U15" s="125">
        <f>Jun!CS16</f>
        <v>6578.6100000000179</v>
      </c>
      <c r="V15" s="126">
        <f t="shared" si="3"/>
        <v>34605.230000000753</v>
      </c>
      <c r="W15" s="126">
        <f>Jun!CW16</f>
        <v>19893</v>
      </c>
      <c r="X15" s="126">
        <f>Jun!DA16</f>
        <v>10296</v>
      </c>
      <c r="Y15" s="126">
        <f t="shared" si="1"/>
        <v>30189</v>
      </c>
      <c r="Z15" s="42">
        <f>Jun!BR16</f>
        <v>699.99999999993179</v>
      </c>
      <c r="AA15" s="126">
        <f>Jun!BG16</f>
        <v>2000</v>
      </c>
      <c r="AB15" s="126">
        <f>Jun!BJ16</f>
        <v>8799.9999999992724</v>
      </c>
      <c r="AC15" s="126">
        <f>Jun!BL16+Jun!BN16</f>
        <v>4800.0000000000637</v>
      </c>
      <c r="AD15" s="126">
        <f>Jun!DR16</f>
        <v>11300</v>
      </c>
      <c r="AE15" s="127">
        <f>Jun!DT16-Jun!DR56-Jun!DT56</f>
        <v>18000</v>
      </c>
      <c r="AF15" s="127">
        <f>Jun!DR56+Jun!DT56</f>
        <v>0</v>
      </c>
      <c r="AG15" s="127">
        <f>Jun!HJ16-AE15</f>
        <v>127000</v>
      </c>
      <c r="AH15" s="127">
        <f>Jun!DW16</f>
        <v>4599.9999999994543</v>
      </c>
      <c r="AI15" s="127">
        <f>Jun!DZ16</f>
        <v>8028.81</v>
      </c>
      <c r="AJ15" s="127">
        <f>Jun!EC16</f>
        <v>23188.81</v>
      </c>
      <c r="AK15" s="127">
        <f t="shared" si="4"/>
        <v>35817.619999999457</v>
      </c>
      <c r="AL15" s="127">
        <f>Jun!EG16</f>
        <v>21188.81</v>
      </c>
      <c r="AM15" s="127">
        <f>Jun!EJ16</f>
        <v>12028.81</v>
      </c>
      <c r="AN15" s="127">
        <f>Jun!EM16</f>
        <v>769.99999999998181</v>
      </c>
      <c r="AO15" s="127">
        <f t="shared" si="5"/>
        <v>33987.619999999981</v>
      </c>
      <c r="AP15" s="127">
        <f>Jun!FX16</f>
        <v>31400</v>
      </c>
      <c r="AQ15" s="127">
        <f>Jun!GA16</f>
        <v>7779.9999999999091</v>
      </c>
      <c r="AR15" s="127">
        <f>Jun!GG16</f>
        <v>8099.9999999999091</v>
      </c>
      <c r="AS15" s="127">
        <f t="shared" si="6"/>
        <v>47279.999999999825</v>
      </c>
      <c r="AT15" s="127">
        <f>Jun!EQ16</f>
        <v>6128.8099999999667</v>
      </c>
      <c r="AU15" s="127">
        <f>Jun!ET16</f>
        <v>11000</v>
      </c>
      <c r="AV15" s="127">
        <f>Jun!EW16</f>
        <v>8128.8099999999095</v>
      </c>
      <c r="AW15" s="127">
        <f>Jun!FL53</f>
        <v>10489.337774559399</v>
      </c>
      <c r="AX15" s="127">
        <f>Jun!GJ16</f>
        <v>1799.9999999999545</v>
      </c>
      <c r="AY15" s="127">
        <f t="shared" si="7"/>
        <v>37546.957774559232</v>
      </c>
      <c r="AZ15" s="127">
        <f>Jun!FG16</f>
        <v>8928.8100000000341</v>
      </c>
      <c r="BA15" s="127">
        <f>Jun!FJ16</f>
        <v>14128.810000000363</v>
      </c>
      <c r="BB15" s="127">
        <f>Jun!FM53</f>
        <v>11568.282225440598</v>
      </c>
      <c r="BC15" s="127">
        <f>Jun!GM16</f>
        <v>100.00000000013642</v>
      </c>
      <c r="BD15" s="127">
        <f t="shared" si="8"/>
        <v>34725.902225441132</v>
      </c>
      <c r="BE15" s="127">
        <f>Jun!GP16</f>
        <v>0</v>
      </c>
      <c r="BF15" s="127">
        <f>Jun!GS16</f>
        <v>320</v>
      </c>
      <c r="BG15" s="127">
        <f t="shared" si="9"/>
        <v>320</v>
      </c>
      <c r="BH15" s="127">
        <f t="shared" si="10"/>
        <v>30189</v>
      </c>
      <c r="BI15" s="127"/>
      <c r="BJ15" s="127"/>
      <c r="BK15" s="127"/>
      <c r="BL15" s="128"/>
      <c r="BM15" s="128">
        <f>((AS15)+BG15)*51%</f>
        <v>24275.999999999913</v>
      </c>
      <c r="BN15" s="128"/>
      <c r="BO15" s="128">
        <f>((AS15)+BG15)*49%</f>
        <v>23323.999999999913</v>
      </c>
      <c r="BP15" s="128"/>
      <c r="BQ15" s="128"/>
      <c r="BR15" s="128"/>
      <c r="BS15" s="128"/>
      <c r="BT15" s="42">
        <f>Jun!D54</f>
        <v>0</v>
      </c>
      <c r="BU15" s="42">
        <f>Jun!G55</f>
        <v>77000</v>
      </c>
      <c r="BV15" t="s">
        <v>363</v>
      </c>
      <c r="BW15" s="151"/>
      <c r="BX15" s="42">
        <f>Jun!HJ16</f>
        <v>145000</v>
      </c>
      <c r="BY15" s="42">
        <f>Jun!HM16</f>
        <v>0</v>
      </c>
      <c r="BZ15" s="42">
        <f>Jun!HP16</f>
        <v>36077.500000000087</v>
      </c>
      <c r="CA15" s="42">
        <f>Jun!HS16</f>
        <v>26277.499999999909</v>
      </c>
      <c r="CB15" s="42">
        <f>Jun!HV16</f>
        <v>28677.5</v>
      </c>
      <c r="CC15" s="42">
        <f>Jun!HY16</f>
        <v>11777.499999999909</v>
      </c>
      <c r="CD15" s="42">
        <f>Jun!IB16</f>
        <v>24190</v>
      </c>
      <c r="CE15" s="42">
        <f>Jun!IE16</f>
        <v>0</v>
      </c>
      <c r="CF15" s="42">
        <f>Jun!IH16</f>
        <v>18000</v>
      </c>
    </row>
    <row r="16" spans="1:84" x14ac:dyDescent="0.25">
      <c r="A16" s="26">
        <f t="shared" si="11"/>
        <v>10</v>
      </c>
      <c r="B16" s="42">
        <f>Jun!G17</f>
        <v>416640.00000001758</v>
      </c>
      <c r="C16" s="42">
        <f>Jun!N17</f>
        <v>418000</v>
      </c>
      <c r="D16" s="42">
        <f>Jun!T17</f>
        <v>391.20000000111759</v>
      </c>
      <c r="E16" s="42">
        <f>Jun!V17</f>
        <v>0</v>
      </c>
      <c r="F16" s="42">
        <f>Jun!AB17</f>
        <v>100</v>
      </c>
      <c r="G16" s="42">
        <f>Jun!X17</f>
        <v>17308.799999998155</v>
      </c>
      <c r="H16" s="42">
        <f>Jun!AE17</f>
        <v>5699.9999999998181</v>
      </c>
      <c r="I16" s="42">
        <f>Jun!AI17</f>
        <v>15224.460000001091</v>
      </c>
      <c r="J16" s="42">
        <f>Jun!AN17</f>
        <v>6994.4600000010814</v>
      </c>
      <c r="K16" s="42">
        <f>Jun!AR17</f>
        <v>9899.9999999996362</v>
      </c>
      <c r="L16" s="42">
        <f>Jun!AZ17</f>
        <v>450</v>
      </c>
      <c r="M16" s="42">
        <f>Jun!BC17</f>
        <v>280</v>
      </c>
      <c r="N16" s="125">
        <f t="shared" ref="N16:N34" si="12">SUM(D16:M16)</f>
        <v>56348.9200000009</v>
      </c>
      <c r="O16" s="125">
        <f>Jun!CA17</f>
        <v>539.80000000001382</v>
      </c>
      <c r="P16" s="125">
        <f>Jun!CD17</f>
        <v>2367.6999999999534</v>
      </c>
      <c r="Q16" s="125">
        <f>Jun!CF17</f>
        <v>4794</v>
      </c>
      <c r="R16" s="125">
        <f>Jun!CH17</f>
        <v>0</v>
      </c>
      <c r="S16" s="125">
        <f>Jun!CK17</f>
        <v>17134.659999999985</v>
      </c>
      <c r="T16" s="125">
        <f>Jun!CO17</f>
        <v>6589.4599999999637</v>
      </c>
      <c r="U16" s="125">
        <f>Jun!CS17</f>
        <v>7285.8599999999651</v>
      </c>
      <c r="V16" s="126">
        <f t="shared" si="3"/>
        <v>38711.47999999988</v>
      </c>
      <c r="W16" s="126">
        <f>Jun!CW17</f>
        <v>15587</v>
      </c>
      <c r="X16" s="126">
        <f>Jun!DA17</f>
        <v>8048</v>
      </c>
      <c r="Y16" s="126">
        <f t="shared" si="1"/>
        <v>23635</v>
      </c>
      <c r="Z16" s="42">
        <f>Jun!BR17</f>
        <v>800.00000000006821</v>
      </c>
      <c r="AA16" s="126">
        <f>Jun!BG17</f>
        <v>1600.0000000001364</v>
      </c>
      <c r="AB16" s="126">
        <f>Jun!BJ17</f>
        <v>9299.9999999992724</v>
      </c>
      <c r="AC16" s="126">
        <f>Jun!BL17+Jun!BN17+Jun!BP17</f>
        <v>4929.9999999999409</v>
      </c>
      <c r="AD16" s="126">
        <f>Jun!DR17</f>
        <v>11500</v>
      </c>
      <c r="AE16" s="127">
        <f>Jun!DT17-Jun!DR57-Jun!DT57</f>
        <v>20500</v>
      </c>
      <c r="AF16" s="127">
        <f>Jun!DR57+Jun!DT57</f>
        <v>0</v>
      </c>
      <c r="AG16" s="127">
        <f>Jun!HJ17-AE16</f>
        <v>120500</v>
      </c>
      <c r="AH16" s="127">
        <f>Jun!DW17</f>
        <v>4500</v>
      </c>
      <c r="AI16" s="127">
        <f>Jun!DZ17</f>
        <v>7924.46</v>
      </c>
      <c r="AJ16" s="127">
        <f>Jun!EC17</f>
        <v>25084.46</v>
      </c>
      <c r="AK16" s="127">
        <f t="shared" si="4"/>
        <v>37508.92</v>
      </c>
      <c r="AL16" s="127">
        <f>Jun!EG17</f>
        <v>25084.46</v>
      </c>
      <c r="AM16" s="127">
        <f>Jun!EJ17</f>
        <v>12924.46</v>
      </c>
      <c r="AN16" s="127">
        <f>Jun!EM17</f>
        <v>740.00000000000909</v>
      </c>
      <c r="AO16" s="127">
        <f t="shared" si="5"/>
        <v>38748.920000000006</v>
      </c>
      <c r="AP16" s="127">
        <f>Jun!FX17</f>
        <v>33000</v>
      </c>
      <c r="AQ16" s="127">
        <f>Jun!GA17</f>
        <v>7979.9999999997272</v>
      </c>
      <c r="AR16" s="127">
        <f>Jun!GG17</f>
        <v>8299.9999999999545</v>
      </c>
      <c r="AS16" s="127">
        <f t="shared" si="6"/>
        <v>49279.99999999968</v>
      </c>
      <c r="AT16" s="127">
        <f>Jun!EQ17</f>
        <v>7024.4600000000228</v>
      </c>
      <c r="AU16" s="127">
        <f>Jun!ET17</f>
        <v>13600.000000000364</v>
      </c>
      <c r="AV16" s="127">
        <f>Jun!EW17</f>
        <v>9924.4599999999991</v>
      </c>
      <c r="AW16" s="127">
        <f>Jun!FL54</f>
        <v>12476.927173136508</v>
      </c>
      <c r="AX16" s="127">
        <f>Jun!GJ17</f>
        <v>1700.0000000000455</v>
      </c>
      <c r="AY16" s="127">
        <f t="shared" si="7"/>
        <v>44725.847173136935</v>
      </c>
      <c r="AZ16" s="127">
        <f>Jun!FG17</f>
        <v>9591.1299999999792</v>
      </c>
      <c r="BA16" s="127">
        <f>Jun!FJ17</f>
        <v>16491.129999999273</v>
      </c>
      <c r="BB16" s="127">
        <f>Jun!FM54</f>
        <v>13138.66282686349</v>
      </c>
      <c r="BC16" s="127">
        <f>Jun!GM17</f>
        <v>0</v>
      </c>
      <c r="BD16" s="127">
        <f t="shared" si="8"/>
        <v>39220.922826862741</v>
      </c>
      <c r="BE16" s="127">
        <f>Jun!GP17</f>
        <v>10</v>
      </c>
      <c r="BF16" s="127">
        <f>Jun!GS17</f>
        <v>320</v>
      </c>
      <c r="BG16" s="127">
        <f t="shared" si="9"/>
        <v>330</v>
      </c>
      <c r="BH16" s="127">
        <f t="shared" si="10"/>
        <v>23635</v>
      </c>
      <c r="BI16" s="127"/>
      <c r="BJ16" s="127"/>
      <c r="BK16" s="127"/>
      <c r="BL16" s="128"/>
      <c r="BM16" s="128">
        <f>((AS16)+BG16)*53%</f>
        <v>26293.299999999832</v>
      </c>
      <c r="BN16" s="128"/>
      <c r="BO16" s="128">
        <f>((AS16)+BG16)*47%</f>
        <v>23316.699999999848</v>
      </c>
      <c r="BP16" s="128"/>
      <c r="BQ16" s="128"/>
      <c r="BR16" s="128"/>
      <c r="BS16" s="128"/>
      <c r="BT16" s="42">
        <f>Jun!D55</f>
        <v>0</v>
      </c>
      <c r="BU16" s="42">
        <f>Jun!G56</f>
        <v>81000</v>
      </c>
      <c r="BV16" t="s">
        <v>371</v>
      </c>
      <c r="BX16" s="42">
        <f>Jun!HJ17</f>
        <v>141000</v>
      </c>
      <c r="BY16" s="42">
        <f>Jun!HM17</f>
        <v>0</v>
      </c>
      <c r="BZ16" s="42">
        <f>Jun!HP17</f>
        <v>34045</v>
      </c>
      <c r="CA16" s="42">
        <f>Jun!HS17</f>
        <v>24644.999999999909</v>
      </c>
      <c r="CB16" s="42">
        <f>Jun!HV17</f>
        <v>23945.000000000091</v>
      </c>
      <c r="CC16" s="42">
        <f>Jun!HY17</f>
        <v>17545</v>
      </c>
      <c r="CD16" s="42">
        <f>Jun!IB17</f>
        <v>20320</v>
      </c>
      <c r="CE16" s="42">
        <f>Jun!IE17</f>
        <v>0</v>
      </c>
      <c r="CF16" s="42">
        <f>Jun!IH17</f>
        <v>20500</v>
      </c>
    </row>
    <row r="17" spans="1:84" x14ac:dyDescent="0.25">
      <c r="A17" s="26">
        <f t="shared" si="11"/>
        <v>11</v>
      </c>
      <c r="B17" s="42">
        <f>Jun!G18</f>
        <v>420159.99999997439</v>
      </c>
      <c r="C17" s="42">
        <f>Jun!N18</f>
        <v>412000</v>
      </c>
      <c r="D17" s="42">
        <f>Jun!T18</f>
        <v>414.84999999962747</v>
      </c>
      <c r="E17" s="42">
        <f>Jun!V18</f>
        <v>0</v>
      </c>
      <c r="F17" s="42">
        <f>Jun!AB18</f>
        <v>0</v>
      </c>
      <c r="G17" s="42">
        <f>Jun!X18</f>
        <v>18585.150000000373</v>
      </c>
      <c r="H17" s="42">
        <f>Jun!AE18</f>
        <v>5800.0000000001819</v>
      </c>
      <c r="I17" s="42">
        <f>Jun!AI18</f>
        <v>14582.09</v>
      </c>
      <c r="J17" s="42">
        <f>Jun!AN18</f>
        <v>5462.0899999992953</v>
      </c>
      <c r="K17" s="42">
        <f>Jun!AR18</f>
        <v>9400.0000000014552</v>
      </c>
      <c r="L17" s="42">
        <f>Jun!AZ18</f>
        <v>450</v>
      </c>
      <c r="M17" s="42">
        <f>Jun!BC18</f>
        <v>1100</v>
      </c>
      <c r="N17" s="125">
        <f t="shared" si="12"/>
        <v>55794.180000000939</v>
      </c>
      <c r="O17" s="125">
        <f>Jun!CA18</f>
        <v>636.50000000001228</v>
      </c>
      <c r="P17" s="125">
        <f>Jun!CD18</f>
        <v>3.4000000000232831</v>
      </c>
      <c r="Q17" s="125">
        <f>Jun!CF18</f>
        <v>4869</v>
      </c>
      <c r="R17" s="125">
        <f>Jun!CH18</f>
        <v>0.39999999999417923</v>
      </c>
      <c r="S17" s="125">
        <f>Jun!CK18</f>
        <v>15995.58999999926</v>
      </c>
      <c r="T17" s="125">
        <f>Jun!CO18</f>
        <v>8028.0899999999128</v>
      </c>
      <c r="U17" s="125">
        <f>Jun!CS18</f>
        <v>6681.9900000000234</v>
      </c>
      <c r="V17" s="126">
        <f t="shared" si="3"/>
        <v>36214.96999999923</v>
      </c>
      <c r="W17" s="126">
        <f>Jun!CW18</f>
        <v>17098</v>
      </c>
      <c r="X17" s="126">
        <f>Jun!DA18</f>
        <v>9097</v>
      </c>
      <c r="Y17" s="126">
        <f t="shared" si="1"/>
        <v>26195</v>
      </c>
      <c r="Z17" s="42">
        <f>Jun!BR18</f>
        <v>699.99999999993179</v>
      </c>
      <c r="AA17" s="126">
        <f>Jun!BG18</f>
        <v>1699.9999999998181</v>
      </c>
      <c r="AB17" s="126">
        <f>Jun!BJ18</f>
        <v>9500</v>
      </c>
      <c r="AC17" s="126">
        <f>Jun!BL18+Jun!BN18+Jun!BP18</f>
        <v>4720.0000000000455</v>
      </c>
      <c r="AD17" s="126">
        <f>Jun!DR18</f>
        <v>10800</v>
      </c>
      <c r="AE17" s="127">
        <f>Jun!DT18-Jun!DR58-Jun!DT58</f>
        <v>18300</v>
      </c>
      <c r="AF17" s="127">
        <f>Jun!DR58+Jun!DT58</f>
        <v>0</v>
      </c>
      <c r="AG17" s="127">
        <f>Jun!HJ18-AE17</f>
        <v>135700</v>
      </c>
      <c r="AH17" s="127">
        <f>Jun!DW18</f>
        <v>4300.0000000001819</v>
      </c>
      <c r="AI17" s="127">
        <f>Jun!DZ18</f>
        <v>8082.09</v>
      </c>
      <c r="AJ17" s="127">
        <f>Jun!EC18</f>
        <v>23242.09</v>
      </c>
      <c r="AK17" s="127">
        <f t="shared" si="4"/>
        <v>35624.180000000182</v>
      </c>
      <c r="AL17" s="127">
        <f>Jun!EG18</f>
        <v>28242.09</v>
      </c>
      <c r="AM17" s="127">
        <f>Jun!EJ18</f>
        <v>13082.09</v>
      </c>
      <c r="AN17" s="127">
        <f>Jun!EM18</f>
        <v>819.99999999993634</v>
      </c>
      <c r="AO17" s="127">
        <f t="shared" si="5"/>
        <v>42144.179999999935</v>
      </c>
      <c r="AP17" s="127">
        <f>Jun!FX18</f>
        <v>32400</v>
      </c>
      <c r="AQ17" s="127">
        <f>Jun!GA18</f>
        <v>7660</v>
      </c>
      <c r="AR17" s="127">
        <f>Jun!GG18</f>
        <v>8299.9999999999545</v>
      </c>
      <c r="AS17" s="127">
        <f t="shared" si="6"/>
        <v>48359.999999999956</v>
      </c>
      <c r="AT17" s="127">
        <f>Jun!EQ18</f>
        <v>7157.0899999999892</v>
      </c>
      <c r="AU17" s="127">
        <f>Jun!ET18</f>
        <v>13600.000000000364</v>
      </c>
      <c r="AV17" s="127">
        <f>Jun!EW18</f>
        <v>9282.0899999998182</v>
      </c>
      <c r="AW17" s="127">
        <f>Jun!FL55</f>
        <v>11658.218675497983</v>
      </c>
      <c r="AX17" s="127">
        <f>Jun!GJ18</f>
        <v>1700.0000000000455</v>
      </c>
      <c r="AY17" s="127">
        <f t="shared" si="7"/>
        <v>43397.398675498196</v>
      </c>
      <c r="AZ17" s="127">
        <f>Jun!FG18</f>
        <v>8765.420000000011</v>
      </c>
      <c r="BA17" s="127">
        <f>Jun!FJ18</f>
        <v>15640.419999999272</v>
      </c>
      <c r="BB17" s="127">
        <f>Jun!FM55</f>
        <v>12264.291324502021</v>
      </c>
      <c r="BC17" s="127">
        <f>Jun!GM18</f>
        <v>0</v>
      </c>
      <c r="BD17" s="127">
        <f t="shared" si="8"/>
        <v>36670.131324501301</v>
      </c>
      <c r="BE17" s="127">
        <f>Jun!GP18</f>
        <v>0</v>
      </c>
      <c r="BF17" s="127">
        <f>Jun!GS18</f>
        <v>340</v>
      </c>
      <c r="BG17" s="127">
        <f t="shared" si="9"/>
        <v>340</v>
      </c>
      <c r="BH17" s="127">
        <f t="shared" si="10"/>
        <v>26195</v>
      </c>
      <c r="BI17" s="127"/>
      <c r="BJ17" s="127"/>
      <c r="BK17" s="127"/>
      <c r="BL17" s="128"/>
      <c r="BM17" s="128">
        <f>((AS17)+BG17)*46%</f>
        <v>22401.999999999982</v>
      </c>
      <c r="BN17" s="128"/>
      <c r="BO17" s="128">
        <f>((AS17)+BG17)*54%</f>
        <v>26297.999999999978</v>
      </c>
      <c r="BP17" s="128"/>
      <c r="BQ17" s="128"/>
      <c r="BR17" s="128"/>
      <c r="BS17" s="128"/>
      <c r="BT17" s="42">
        <f>Jun!D56</f>
        <v>0</v>
      </c>
      <c r="BU17" s="42">
        <f>Jun!G57</f>
        <v>86000</v>
      </c>
      <c r="BV17" t="s">
        <v>372</v>
      </c>
      <c r="BX17" s="42">
        <f>Jun!HJ18</f>
        <v>154000</v>
      </c>
      <c r="BY17" s="42">
        <f>Jun!HM18</f>
        <v>0</v>
      </c>
      <c r="BZ17" s="42">
        <f>Jun!HP18</f>
        <v>37832.499999999913</v>
      </c>
      <c r="CA17" s="42">
        <f>Jun!HS18</f>
        <v>25632.500000000091</v>
      </c>
      <c r="CB17" s="42">
        <f>Jun!HV18</f>
        <v>27332.499999999909</v>
      </c>
      <c r="CC17" s="42">
        <f>Jun!HY18</f>
        <v>21432.500000000044</v>
      </c>
      <c r="CD17" s="42">
        <f>Jun!IB18</f>
        <v>23470</v>
      </c>
      <c r="CE17" s="42">
        <f>Jun!IE18</f>
        <v>0</v>
      </c>
      <c r="CF17" s="42">
        <f>Jun!IH18</f>
        <v>18300</v>
      </c>
    </row>
    <row r="18" spans="1:84" x14ac:dyDescent="0.25">
      <c r="A18" s="26">
        <f t="shared" si="11"/>
        <v>12</v>
      </c>
      <c r="B18" s="42">
        <f>Jun!G19</f>
        <v>407680.00000000757</v>
      </c>
      <c r="C18" s="42">
        <f>Jun!N19</f>
        <v>410000</v>
      </c>
      <c r="D18" s="42">
        <f>Jun!T19</f>
        <v>329.79999999888241</v>
      </c>
      <c r="E18" s="42">
        <f>Jun!V19</f>
        <v>0</v>
      </c>
      <c r="F18" s="42">
        <f>Jun!AB19</f>
        <v>160</v>
      </c>
      <c r="G18" s="42">
        <f>Jun!X19</f>
        <v>16710.200000001845</v>
      </c>
      <c r="H18" s="42">
        <f>Jun!AE19</f>
        <v>5800.0000000001819</v>
      </c>
      <c r="I18" s="42">
        <f>Jun!AI19</f>
        <v>14837.709999999272</v>
      </c>
      <c r="J18" s="42">
        <f>Jun!AN19</f>
        <v>5877.70999999994</v>
      </c>
      <c r="K18" s="42">
        <f>Jun!AR19</f>
        <v>9399.9999999996362</v>
      </c>
      <c r="L18" s="42">
        <f>Jun!AZ19</f>
        <v>467.44000000000233</v>
      </c>
      <c r="M18" s="42">
        <f>Jun!BC19</f>
        <v>711.83999999999651</v>
      </c>
      <c r="N18" s="125">
        <f t="shared" si="12"/>
        <v>54294.699999999757</v>
      </c>
      <c r="O18" s="125">
        <f>Jun!CA19</f>
        <v>730.00000000001819</v>
      </c>
      <c r="P18" s="125">
        <f>Jun!CD19</f>
        <v>1660</v>
      </c>
      <c r="Q18" s="125">
        <f>Jun!CF19</f>
        <v>5900</v>
      </c>
      <c r="R18" s="125">
        <f>Jun!CH19</f>
        <v>0</v>
      </c>
      <c r="S18" s="125">
        <f>Jun!CK19</f>
        <v>16807.709999999981</v>
      </c>
      <c r="T18" s="125">
        <f>Jun!CO19</f>
        <v>8637.7099999999082</v>
      </c>
      <c r="U18" s="125">
        <f>Jun!CS19</f>
        <v>7007.71</v>
      </c>
      <c r="V18" s="126">
        <f t="shared" si="3"/>
        <v>40743.12999999991</v>
      </c>
      <c r="W18" s="126">
        <f>Jun!CW19</f>
        <v>15800</v>
      </c>
      <c r="X18" s="126">
        <f>Jun!DA19</f>
        <v>8100</v>
      </c>
      <c r="Y18" s="126">
        <f t="shared" si="1"/>
        <v>23900</v>
      </c>
      <c r="Z18" s="42">
        <f>Jun!BR19</f>
        <v>810.00000000005912</v>
      </c>
      <c r="AA18" s="126">
        <f>Jun!BG19</f>
        <v>1900.0000000000909</v>
      </c>
      <c r="AB18" s="126">
        <f>Jun!BJ19</f>
        <v>9300.0000000010914</v>
      </c>
      <c r="AC18" s="126">
        <f>Jun!BL19+Jun!BN19+Jun!BP19</f>
        <v>4850</v>
      </c>
      <c r="AD18" s="126">
        <f>Jun!DR19</f>
        <v>11800</v>
      </c>
      <c r="AE18" s="127">
        <f>Jun!DT19-Jun!DR59-Jun!DT59</f>
        <v>18800</v>
      </c>
      <c r="AF18" s="127">
        <f>Jun!DR59+Jun!DT59</f>
        <v>0</v>
      </c>
      <c r="AG18" s="127">
        <f>Jun!HJ19-AE18</f>
        <v>126200</v>
      </c>
      <c r="AH18" s="127">
        <f>Jun!DW19</f>
        <v>4600.0000000003638</v>
      </c>
      <c r="AI18" s="127">
        <f>Jun!DZ19</f>
        <v>7537.71</v>
      </c>
      <c r="AJ18" s="127">
        <f>Jun!EC19</f>
        <v>25697.71</v>
      </c>
      <c r="AK18" s="127">
        <f t="shared" si="4"/>
        <v>37835.420000000362</v>
      </c>
      <c r="AL18" s="127">
        <f>Jun!EG19</f>
        <v>30697.71</v>
      </c>
      <c r="AM18" s="127">
        <f>Jun!EJ19</f>
        <v>12537.71</v>
      </c>
      <c r="AN18" s="127">
        <f>Jun!EM19</f>
        <v>810.00000000005912</v>
      </c>
      <c r="AO18" s="127">
        <f t="shared" si="5"/>
        <v>44045.420000000056</v>
      </c>
      <c r="AP18" s="127">
        <f>Jun!FX19</f>
        <v>30700</v>
      </c>
      <c r="AQ18" s="127">
        <f>Jun!GA19</f>
        <v>7490.0000000001819</v>
      </c>
      <c r="AR18" s="127">
        <f>Jun!GG19</f>
        <v>7200.0000000000455</v>
      </c>
      <c r="AS18" s="127">
        <f t="shared" si="6"/>
        <v>45390.000000000226</v>
      </c>
      <c r="AT18" s="127">
        <f>Jun!EQ19</f>
        <v>5612.7099999999882</v>
      </c>
      <c r="AU18" s="127">
        <f>Jun!ET19</f>
        <v>11600.000000000364</v>
      </c>
      <c r="AV18" s="127">
        <f>Jun!EW19</f>
        <v>9337.710000000181</v>
      </c>
      <c r="AW18" s="127">
        <f>Jun!FL56</f>
        <v>11519.165631612517</v>
      </c>
      <c r="AX18" s="127">
        <f>Jun!GJ19</f>
        <v>1799.9999999999545</v>
      </c>
      <c r="AY18" s="127">
        <f t="shared" si="7"/>
        <v>39869.585631613008</v>
      </c>
      <c r="AZ18" s="127">
        <f>Jun!FG19</f>
        <v>8687.7100000000119</v>
      </c>
      <c r="BA18" s="127">
        <f>Jun!FJ19</f>
        <v>15162.710000001454</v>
      </c>
      <c r="BB18" s="127">
        <f>Jun!FM56</f>
        <v>11781.254368387483</v>
      </c>
      <c r="BC18" s="127">
        <f>Jun!GM19</f>
        <v>0</v>
      </c>
      <c r="BD18" s="127">
        <f t="shared" si="8"/>
        <v>35631.674368388951</v>
      </c>
      <c r="BE18" s="127">
        <f>Jun!GP19</f>
        <v>0</v>
      </c>
      <c r="BF18" s="127">
        <f>Jun!GS19</f>
        <v>310</v>
      </c>
      <c r="BG18" s="127">
        <f t="shared" si="9"/>
        <v>310</v>
      </c>
      <c r="BH18" s="127">
        <f t="shared" si="10"/>
        <v>23900</v>
      </c>
      <c r="BI18" s="127"/>
      <c r="BJ18" s="127"/>
      <c r="BK18" s="127"/>
      <c r="BL18" s="128"/>
      <c r="BM18" s="128">
        <f>((AS18)+BG18)*49%</f>
        <v>22393.000000000109</v>
      </c>
      <c r="BN18" s="128"/>
      <c r="BO18" s="128">
        <f>((AS18)+BG18)*51%</f>
        <v>23307.000000000116</v>
      </c>
      <c r="BP18" s="128"/>
      <c r="BQ18" s="128"/>
      <c r="BR18" s="128"/>
      <c r="BS18" s="128"/>
      <c r="BT18" s="42">
        <f>Jun!D57</f>
        <v>0</v>
      </c>
      <c r="BU18" s="42">
        <f>Jun!G58</f>
        <v>88000</v>
      </c>
      <c r="BV18" t="s">
        <v>364</v>
      </c>
      <c r="BX18" s="42">
        <f>Jun!HJ19</f>
        <v>145000</v>
      </c>
      <c r="BY18" s="42">
        <f>Jun!HM19</f>
        <v>0</v>
      </c>
      <c r="BZ18" s="42">
        <f>Jun!HP19</f>
        <v>37247.500000000182</v>
      </c>
      <c r="CA18" s="42">
        <f>Jun!HS19</f>
        <v>17347.500000000091</v>
      </c>
      <c r="CB18" s="42">
        <f>Jun!HV19</f>
        <v>26147.499999999818</v>
      </c>
      <c r="CC18" s="42">
        <f>Jun!HY19</f>
        <v>20747.499999999956</v>
      </c>
      <c r="CD18" s="42">
        <f>Jun!IB19</f>
        <v>24710</v>
      </c>
      <c r="CE18" s="42">
        <f>Jun!IE19</f>
        <v>0</v>
      </c>
      <c r="CF18" s="42">
        <f>Jun!IH19</f>
        <v>18800</v>
      </c>
    </row>
    <row r="19" spans="1:84" x14ac:dyDescent="0.25">
      <c r="A19" s="26">
        <f t="shared" si="11"/>
        <v>13</v>
      </c>
      <c r="B19" s="42">
        <f>Jun!G20</f>
        <v>401600.00000001676</v>
      </c>
      <c r="C19" s="42">
        <f>Jun!N20</f>
        <v>393000</v>
      </c>
      <c r="D19" s="42">
        <f>Jun!T20</f>
        <v>388.66000000014901</v>
      </c>
      <c r="E19" s="42">
        <f>Jun!V20</f>
        <v>0</v>
      </c>
      <c r="F19" s="42">
        <f>Jun!AB20</f>
        <v>40</v>
      </c>
      <c r="G19" s="42">
        <f>Jun!X20</f>
        <v>17571.339999999851</v>
      </c>
      <c r="H19" s="42">
        <f>Jun!AE20</f>
        <v>5899.9999999996362</v>
      </c>
      <c r="I19" s="42">
        <f>Jun!AI20</f>
        <v>14640.23</v>
      </c>
      <c r="J19" s="42">
        <f>Jun!AN20</f>
        <v>5310.2300000007499</v>
      </c>
      <c r="K19" s="42">
        <f>Jun!AR20</f>
        <v>9000</v>
      </c>
      <c r="L19" s="42">
        <f>Jun!AZ20</f>
        <v>452.55999999999767</v>
      </c>
      <c r="M19" s="42">
        <f>Jun!BC20</f>
        <v>698.16000000000349</v>
      </c>
      <c r="N19" s="125">
        <f t="shared" si="12"/>
        <v>54001.180000000386</v>
      </c>
      <c r="O19" s="125">
        <f>Jun!CA20</f>
        <v>566.80000000000064</v>
      </c>
      <c r="P19" s="125">
        <f>Jun!CD20</f>
        <v>2360</v>
      </c>
      <c r="Q19" s="125">
        <f>Jun!CF20</f>
        <v>5400</v>
      </c>
      <c r="R19" s="125">
        <f>Jun!CH20</f>
        <v>0</v>
      </c>
      <c r="S19" s="125">
        <f>Jun!CK20</f>
        <v>16173.430000000362</v>
      </c>
      <c r="T19" s="125">
        <f>Jun!CO20</f>
        <v>8237.2300000002069</v>
      </c>
      <c r="U19" s="125">
        <f>Jun!CS20</f>
        <v>6584.0299999999879</v>
      </c>
      <c r="V19" s="126">
        <f t="shared" si="3"/>
        <v>39321.490000000558</v>
      </c>
      <c r="W19" s="126">
        <f>Jun!CW20</f>
        <v>12300</v>
      </c>
      <c r="X19" s="126">
        <f>Jun!DA20</f>
        <v>6900</v>
      </c>
      <c r="Y19" s="126">
        <f t="shared" si="1"/>
        <v>19200</v>
      </c>
      <c r="Z19" s="42">
        <f>Jun!BR20</f>
        <v>689.99999999994088</v>
      </c>
      <c r="AA19" s="126">
        <f>Jun!BG20</f>
        <v>1799.9999999999545</v>
      </c>
      <c r="AB19" s="126">
        <f>Jun!BJ20</f>
        <v>9399.9999999996362</v>
      </c>
      <c r="AC19" s="126">
        <f>Jun!BL20+Jun!BN20+Jun!BP20</f>
        <v>4840.0000000000364</v>
      </c>
      <c r="AD19" s="126">
        <f>Jun!DR20</f>
        <v>11400</v>
      </c>
      <c r="AE19" s="127">
        <f>Jun!DT20-Jun!DR60-Jun!DT60</f>
        <v>17200</v>
      </c>
      <c r="AF19" s="127">
        <f>Jun!DR60+Jun!DT60</f>
        <v>0</v>
      </c>
      <c r="AG19" s="127">
        <f>Jun!HJ20-AE19</f>
        <v>126800</v>
      </c>
      <c r="AH19" s="127">
        <f>Jun!DW20</f>
        <v>4299.9999999992724</v>
      </c>
      <c r="AI19" s="127">
        <f>Jun!DZ20</f>
        <v>7140.23</v>
      </c>
      <c r="AJ19" s="127">
        <f>Jun!EC20</f>
        <v>24300.23</v>
      </c>
      <c r="AK19" s="127">
        <f t="shared" si="4"/>
        <v>35740.459999999272</v>
      </c>
      <c r="AL19" s="127">
        <f>Jun!EG20</f>
        <v>28300.23</v>
      </c>
      <c r="AM19" s="127">
        <f>Jun!EJ20</f>
        <v>12140.23</v>
      </c>
      <c r="AN19" s="127">
        <f>Jun!EM20</f>
        <v>789.99999999996362</v>
      </c>
      <c r="AO19" s="127">
        <f t="shared" si="5"/>
        <v>41230.459999999963</v>
      </c>
      <c r="AP19" s="127">
        <f>Jun!FX20</f>
        <v>32300</v>
      </c>
      <c r="AQ19" s="127">
        <f>Jun!GA20</f>
        <v>8269.9999999999091</v>
      </c>
      <c r="AR19" s="127">
        <f>Jun!GG20</f>
        <v>8299.9999999999545</v>
      </c>
      <c r="AS19" s="127">
        <f t="shared" si="6"/>
        <v>48869.999999999869</v>
      </c>
      <c r="AT19" s="127">
        <f>Jun!EQ20</f>
        <v>7175.230000000025</v>
      </c>
      <c r="AU19" s="127">
        <f>Jun!ET20</f>
        <v>11500</v>
      </c>
      <c r="AV19" s="127">
        <f>Jun!EW20</f>
        <v>8840.2299999998177</v>
      </c>
      <c r="AW19" s="127">
        <f>Jun!FL57</f>
        <v>10885.614553030302</v>
      </c>
      <c r="AX19" s="127">
        <f>Jun!GJ20</f>
        <v>1700.0000000000455</v>
      </c>
      <c r="AY19" s="127">
        <f t="shared" si="7"/>
        <v>40101.074553030187</v>
      </c>
      <c r="AZ19" s="127">
        <f>Jun!FG20</f>
        <v>9016.8999999999742</v>
      </c>
      <c r="BA19" s="127">
        <f>Jun!FJ20</f>
        <v>15351.899999999272</v>
      </c>
      <c r="BB19" s="127">
        <f>Jun!FM57</f>
        <v>12306.515446969695</v>
      </c>
      <c r="BC19" s="127">
        <f>Jun!GM20</f>
        <v>0</v>
      </c>
      <c r="BD19" s="127">
        <f t="shared" si="8"/>
        <v>36675.31544696894</v>
      </c>
      <c r="BE19" s="127">
        <f>Jun!GP20</f>
        <v>0</v>
      </c>
      <c r="BF19" s="127">
        <f>Jun!GS20</f>
        <v>330</v>
      </c>
      <c r="BG19" s="127">
        <f t="shared" si="9"/>
        <v>330</v>
      </c>
      <c r="BH19" s="127">
        <f t="shared" si="10"/>
        <v>19200</v>
      </c>
      <c r="BI19" s="127"/>
      <c r="BJ19" s="127"/>
      <c r="BK19" s="127"/>
      <c r="BL19" s="128"/>
      <c r="BM19" s="128">
        <f>((AS19)+BG19)*46%</f>
        <v>22631.999999999942</v>
      </c>
      <c r="BN19" s="128"/>
      <c r="BO19" s="128">
        <f>((AS19)+BG19)*54%</f>
        <v>26567.999999999931</v>
      </c>
      <c r="BP19" s="128"/>
      <c r="BQ19" s="128"/>
      <c r="BR19" s="128"/>
      <c r="BS19" s="128"/>
      <c r="BT19" s="42">
        <f>Jun!D58</f>
        <v>0</v>
      </c>
      <c r="BU19" s="42">
        <f>Jun!G59</f>
        <v>86000</v>
      </c>
      <c r="BV19" t="s">
        <v>372</v>
      </c>
      <c r="BW19" s="151"/>
      <c r="BX19" s="42">
        <f>Jun!HJ20</f>
        <v>144000</v>
      </c>
      <c r="BY19" s="42">
        <f>Jun!HM20</f>
        <v>0</v>
      </c>
      <c r="BZ19" s="42">
        <f>Jun!HP20</f>
        <v>37707.499999999818</v>
      </c>
      <c r="CA19" s="42">
        <f>Jun!HS20</f>
        <v>17007.5</v>
      </c>
      <c r="CB19" s="42">
        <f>Jun!HV20</f>
        <v>27207.500000000273</v>
      </c>
      <c r="CC19" s="42">
        <f>Jun!HY20</f>
        <v>19407.500000000091</v>
      </c>
      <c r="CD19" s="42">
        <f>Jun!IB20</f>
        <v>25470</v>
      </c>
      <c r="CE19" s="42">
        <f>Jun!IE20</f>
        <v>0</v>
      </c>
      <c r="CF19" s="42">
        <f>Jun!IH20</f>
        <v>17200</v>
      </c>
    </row>
    <row r="20" spans="1:84" x14ac:dyDescent="0.25">
      <c r="A20" s="26">
        <f t="shared" si="11"/>
        <v>14</v>
      </c>
      <c r="B20" s="42">
        <f>Jun!G21</f>
        <v>396159.99999999255</v>
      </c>
      <c r="C20" s="42">
        <f>Jun!N21</f>
        <v>389000</v>
      </c>
      <c r="D20" s="42">
        <f>Jun!T21</f>
        <v>241.47000000067055</v>
      </c>
      <c r="E20" s="42">
        <f>Jun!V21</f>
        <v>0</v>
      </c>
      <c r="F20" s="42">
        <f>Jun!AB21</f>
        <v>100</v>
      </c>
      <c r="G20" s="42">
        <f>Jun!X21</f>
        <v>12258.529999999693</v>
      </c>
      <c r="H20" s="42">
        <f>Jun!AE21</f>
        <v>2900.0000000005457</v>
      </c>
      <c r="I20" s="42">
        <f>Jun!AI21</f>
        <v>10047.680000000364</v>
      </c>
      <c r="J20" s="42">
        <f>Jun!AN21</f>
        <v>4097.6799999993591</v>
      </c>
      <c r="K20" s="42">
        <f>Jun!AR21</f>
        <v>8000</v>
      </c>
      <c r="L20" s="42">
        <f>Jun!AZ21</f>
        <v>400</v>
      </c>
      <c r="M20" s="42">
        <f>Jun!BC21</f>
        <v>630</v>
      </c>
      <c r="N20" s="125">
        <f t="shared" si="12"/>
        <v>38675.360000000634</v>
      </c>
      <c r="O20" s="125">
        <f>Jun!CA21</f>
        <v>626.59999999999627</v>
      </c>
      <c r="P20" s="125">
        <f>Jun!CD21</f>
        <v>2020</v>
      </c>
      <c r="Q20" s="125">
        <f>Jun!CF21</f>
        <v>5000</v>
      </c>
      <c r="R20" s="125">
        <f>Jun!CH21</f>
        <v>0</v>
      </c>
      <c r="S20" s="125">
        <f>Jun!CK21</f>
        <v>16851.079999998841</v>
      </c>
      <c r="T20" s="125">
        <f>Jun!CO21</f>
        <v>8725.6799999997929</v>
      </c>
      <c r="U20" s="125">
        <f>Jun!CS21</f>
        <v>7009.4799999999886</v>
      </c>
      <c r="V20" s="126">
        <f t="shared" si="3"/>
        <v>40232.839999998621</v>
      </c>
      <c r="W20" s="126">
        <f>Jun!CW21</f>
        <v>14800</v>
      </c>
      <c r="X20" s="126">
        <f>Jun!DA21</f>
        <v>8300</v>
      </c>
      <c r="Y20" s="126">
        <f t="shared" si="1"/>
        <v>23100</v>
      </c>
      <c r="Z20" s="42">
        <f>Jun!BR21</f>
        <v>500</v>
      </c>
      <c r="AA20" s="126">
        <f>Jun!BG21</f>
        <v>2000</v>
      </c>
      <c r="AB20" s="126">
        <f>Jun!BJ21</f>
        <v>9399.9999999996362</v>
      </c>
      <c r="AC20" s="126">
        <f>Jun!BL21+Jun!BN21+Jun!BP21</f>
        <v>4649.9999999999136</v>
      </c>
      <c r="AD20" s="126">
        <f>Jun!DR21</f>
        <v>10400</v>
      </c>
      <c r="AE20" s="127">
        <f>Jun!DT21-Jun!DR61-Jun!DT61</f>
        <v>20500</v>
      </c>
      <c r="AF20" s="127">
        <f>Jun!DR61+Jun!DT61</f>
        <v>0</v>
      </c>
      <c r="AG20" s="127">
        <f>Jun!HJ21-AE20</f>
        <v>127500</v>
      </c>
      <c r="AH20" s="127">
        <f>Jun!DW21</f>
        <v>4300.0000000001819</v>
      </c>
      <c r="AI20" s="127">
        <f>Jun!DZ21</f>
        <v>8447.68</v>
      </c>
      <c r="AJ20" s="127">
        <f>Jun!EC21</f>
        <v>25607.68</v>
      </c>
      <c r="AK20" s="127">
        <f t="shared" si="4"/>
        <v>38355.360000000182</v>
      </c>
      <c r="AL20" s="127">
        <f>Jun!EG21</f>
        <v>29607.68</v>
      </c>
      <c r="AM20" s="127">
        <f>Jun!EJ21</f>
        <v>11447.68</v>
      </c>
      <c r="AN20" s="127">
        <f>Jun!EM21</f>
        <v>750</v>
      </c>
      <c r="AO20" s="127">
        <f t="shared" si="5"/>
        <v>41805.360000000001</v>
      </c>
      <c r="AP20" s="127">
        <f>Jun!FX21</f>
        <v>32000</v>
      </c>
      <c r="AQ20" s="127">
        <f>Jun!GA21</f>
        <v>8460.0000000001819</v>
      </c>
      <c r="AR20" s="127">
        <f>Jun!GG21</f>
        <v>7500</v>
      </c>
      <c r="AS20" s="127">
        <f t="shared" si="6"/>
        <v>47960.000000000182</v>
      </c>
      <c r="AT20" s="127">
        <f>Jun!EQ21</f>
        <v>6492.6800000000167</v>
      </c>
      <c r="AU20" s="127">
        <f>Jun!ET21</f>
        <v>12799.999999999272</v>
      </c>
      <c r="AV20" s="127">
        <f>Jun!EW21</f>
        <v>9147.6800000002731</v>
      </c>
      <c r="AW20" s="127">
        <f>Jun!FL58</f>
        <v>10286.489189287122</v>
      </c>
      <c r="AX20" s="127">
        <f>Jun!GJ21</f>
        <v>1500</v>
      </c>
      <c r="AY20" s="127">
        <f t="shared" si="7"/>
        <v>40226.84918928668</v>
      </c>
      <c r="AZ20" s="127">
        <f>Jun!FG21</f>
        <v>9051.0099999999838</v>
      </c>
      <c r="BA20" s="127">
        <f>Jun!FJ21</f>
        <v>15196.010000000364</v>
      </c>
      <c r="BB20" s="127">
        <f>Jun!FM58</f>
        <v>12257.200810712882</v>
      </c>
      <c r="BC20" s="127">
        <f>Jun!GM21</f>
        <v>0</v>
      </c>
      <c r="BD20" s="127">
        <f t="shared" si="8"/>
        <v>36504.220810713232</v>
      </c>
      <c r="BE20" s="127">
        <f>Jun!GP21</f>
        <v>10</v>
      </c>
      <c r="BF20" s="127">
        <f>Jun!GS21</f>
        <v>340</v>
      </c>
      <c r="BG20" s="127">
        <f t="shared" si="9"/>
        <v>350</v>
      </c>
      <c r="BH20" s="127">
        <f t="shared" si="10"/>
        <v>23100</v>
      </c>
      <c r="BI20" s="127"/>
      <c r="BJ20" s="127"/>
      <c r="BK20" s="127"/>
      <c r="BL20" s="128"/>
      <c r="BM20" s="128">
        <f>((AS20)+BG20)*47%</f>
        <v>22705.700000000084</v>
      </c>
      <c r="BN20" s="128"/>
      <c r="BO20" s="128">
        <f>((AS20)+BG20)*53%</f>
        <v>25604.300000000097</v>
      </c>
      <c r="BP20" s="128"/>
      <c r="BQ20" s="128"/>
      <c r="BR20" s="128"/>
      <c r="BS20" s="128"/>
      <c r="BT20" s="42">
        <f>Jun!D59</f>
        <v>0</v>
      </c>
      <c r="BU20" s="42">
        <f>Jun!G60</f>
        <v>86000</v>
      </c>
      <c r="BV20" t="s">
        <v>369</v>
      </c>
      <c r="BX20" s="42">
        <f>Jun!HJ21</f>
        <v>148000</v>
      </c>
      <c r="BY20" s="42">
        <f>Jun!HM21</f>
        <v>0</v>
      </c>
      <c r="BZ20" s="42">
        <f>Jun!HP21</f>
        <v>36952.500000000182</v>
      </c>
      <c r="CA20" s="42">
        <f>Jun!HS21</f>
        <v>22252.499999999909</v>
      </c>
      <c r="CB20" s="42">
        <f>Jun!HV21</f>
        <v>25152.5</v>
      </c>
      <c r="CC20" s="42">
        <f>Jun!HY21</f>
        <v>20652.5</v>
      </c>
      <c r="CD20" s="42">
        <f>Jun!IB21</f>
        <v>22490</v>
      </c>
      <c r="CE20" s="42">
        <f>Jun!IE21</f>
        <v>0</v>
      </c>
      <c r="CF20" s="42">
        <f>Jun!IH21</f>
        <v>20500</v>
      </c>
    </row>
    <row r="21" spans="1:84" x14ac:dyDescent="0.25">
      <c r="A21" s="26">
        <f t="shared" si="11"/>
        <v>15</v>
      </c>
      <c r="B21" s="42">
        <f>Jun!G22</f>
        <v>412159.99999999622</v>
      </c>
      <c r="C21" s="42">
        <f>Jun!N22</f>
        <v>408000</v>
      </c>
      <c r="D21" s="42">
        <f>Jun!T22</f>
        <v>324.30000000074506</v>
      </c>
      <c r="E21" s="42">
        <f>Jun!V22</f>
        <v>0</v>
      </c>
      <c r="F21" s="42">
        <f>Jun!AB22</f>
        <v>100</v>
      </c>
      <c r="G21" s="42">
        <f>Jun!X22</f>
        <v>17675.699999999619</v>
      </c>
      <c r="H21" s="42">
        <f>Jun!AE22</f>
        <v>4299.9999999992724</v>
      </c>
      <c r="I21" s="42">
        <f>Jun!AI22</f>
        <v>15705.770000000728</v>
      </c>
      <c r="J21" s="42">
        <f>Jun!AN22</f>
        <v>5455.7700000003597</v>
      </c>
      <c r="K21" s="42">
        <f>Jun!AR22</f>
        <v>12899.999999999636</v>
      </c>
      <c r="L21" s="42">
        <f>Jun!AZ22</f>
        <v>460</v>
      </c>
      <c r="M21" s="42">
        <f>Jun!BC22</f>
        <v>680</v>
      </c>
      <c r="N21" s="125">
        <f t="shared" si="12"/>
        <v>57601.540000000365</v>
      </c>
      <c r="O21" s="125">
        <f>Jun!CA22</f>
        <v>615.49999999999727</v>
      </c>
      <c r="P21" s="125">
        <f>Jun!CD22</f>
        <v>2030</v>
      </c>
      <c r="Q21" s="125">
        <f>Jun!CF22</f>
        <v>4900</v>
      </c>
      <c r="R21" s="125">
        <f>Jun!CH22</f>
        <v>0</v>
      </c>
      <c r="S21" s="125">
        <f>Jun!CK22</f>
        <v>16300.270000001678</v>
      </c>
      <c r="T21" s="125">
        <f>Jun!CO22</f>
        <v>8364.769999999924</v>
      </c>
      <c r="U21" s="125">
        <f>Jun!CS22</f>
        <v>6565.1700000000237</v>
      </c>
      <c r="V21" s="126">
        <f t="shared" si="3"/>
        <v>38775.710000001622</v>
      </c>
      <c r="W21" s="126">
        <f>Jun!CW22</f>
        <v>15600</v>
      </c>
      <c r="X21" s="126">
        <f>Jun!DA22</f>
        <v>8800</v>
      </c>
      <c r="Y21" s="126">
        <f t="shared" si="1"/>
        <v>24400</v>
      </c>
      <c r="Z21" s="42">
        <f>Jun!BR22</f>
        <v>399.99999999997726</v>
      </c>
      <c r="AA21" s="126">
        <f>Jun!BG22</f>
        <v>1900.0000000000909</v>
      </c>
      <c r="AB21" s="126">
        <f>Jun!BJ22</f>
        <v>9000</v>
      </c>
      <c r="AC21" s="126">
        <f>Jun!BL22+Jun!BN22+Jun!BP22</f>
        <v>4750.0000000000273</v>
      </c>
      <c r="AD21" s="126">
        <f>Jun!DR22</f>
        <v>8900</v>
      </c>
      <c r="AE21" s="127">
        <f>Jun!DT22-Jun!DR62-Jun!DT62</f>
        <v>18700</v>
      </c>
      <c r="AF21" s="127">
        <f>Jun!DR62+Jun!DT62</f>
        <v>0</v>
      </c>
      <c r="AG21" s="127">
        <f>Jun!HJ22-AE21</f>
        <v>134300</v>
      </c>
      <c r="AH21" s="127">
        <f>Jun!DW22</f>
        <v>4400.0000000005457</v>
      </c>
      <c r="AI21" s="127">
        <f>Jun!DZ22</f>
        <v>8005.77</v>
      </c>
      <c r="AJ21" s="127">
        <f>Jun!EC22</f>
        <v>24165.77</v>
      </c>
      <c r="AK21" s="127">
        <f t="shared" si="4"/>
        <v>36571.540000000547</v>
      </c>
      <c r="AL21" s="127">
        <f>Jun!EG22</f>
        <v>24165.77</v>
      </c>
      <c r="AM21" s="127">
        <f>Jun!EJ22</f>
        <v>12005.77</v>
      </c>
      <c r="AN21" s="127">
        <f>Jun!EM22</f>
        <v>789.99999999996362</v>
      </c>
      <c r="AO21" s="127">
        <f t="shared" si="5"/>
        <v>36961.539999999964</v>
      </c>
      <c r="AP21" s="127">
        <f>Jun!FX22</f>
        <v>29500</v>
      </c>
      <c r="AQ21" s="127">
        <f>Jun!GA22</f>
        <v>7779.9999999999091</v>
      </c>
      <c r="AR21" s="127">
        <f>Jun!GG22</f>
        <v>7900.0000000000909</v>
      </c>
      <c r="AS21" s="127">
        <f t="shared" si="6"/>
        <v>45180</v>
      </c>
      <c r="AT21" s="127">
        <f>Jun!EQ22</f>
        <v>6070.7699999999986</v>
      </c>
      <c r="AU21" s="127">
        <f>Jun!ET22</f>
        <v>12700.000000000728</v>
      </c>
      <c r="AV21" s="127">
        <f>Jun!EW22</f>
        <v>8505.77</v>
      </c>
      <c r="AW21" s="127">
        <f>Jun!FL59</f>
        <v>10473.25424376149</v>
      </c>
      <c r="AX21" s="127">
        <f>Jun!GJ22</f>
        <v>1099.9999999999091</v>
      </c>
      <c r="AY21" s="127">
        <f t="shared" si="7"/>
        <v>38849.794243762124</v>
      </c>
      <c r="AZ21" s="127">
        <f>Jun!FG22</f>
        <v>8862.4400000000023</v>
      </c>
      <c r="BA21" s="127">
        <f>Jun!FJ22</f>
        <v>15227.439999999273</v>
      </c>
      <c r="BB21" s="127">
        <f>Jun!FM59</f>
        <v>12459.955756238511</v>
      </c>
      <c r="BC21" s="127">
        <f>Jun!GM22</f>
        <v>0</v>
      </c>
      <c r="BD21" s="127">
        <f t="shared" si="8"/>
        <v>36549.835756237786</v>
      </c>
      <c r="BE21" s="127">
        <f>Jun!GP22</f>
        <v>0</v>
      </c>
      <c r="BF21" s="127">
        <f>Jun!GS22</f>
        <v>320</v>
      </c>
      <c r="BG21" s="127">
        <f t="shared" si="9"/>
        <v>320</v>
      </c>
      <c r="BH21" s="127">
        <f t="shared" si="10"/>
        <v>24400</v>
      </c>
      <c r="BI21" s="127"/>
      <c r="BJ21" s="127"/>
      <c r="BK21" s="127"/>
      <c r="BL21" s="128"/>
      <c r="BM21" s="128">
        <f>((AS21)+BG21)*45%</f>
        <v>20475</v>
      </c>
      <c r="BN21" s="128"/>
      <c r="BO21" s="128">
        <f>((AS21)+BG21)*55%</f>
        <v>25025.000000000004</v>
      </c>
      <c r="BP21" s="128"/>
      <c r="BQ21" s="128"/>
      <c r="BR21" s="128"/>
      <c r="BS21" s="128"/>
      <c r="BT21" s="42">
        <f>Jun!D60</f>
        <v>0</v>
      </c>
      <c r="BU21" s="42">
        <f>Jun!G61</f>
        <v>81000</v>
      </c>
      <c r="BV21" t="s">
        <v>373</v>
      </c>
      <c r="BX21" s="42">
        <f>Jun!HJ22</f>
        <v>153000</v>
      </c>
      <c r="BY21" s="42">
        <f>Jun!HM22</f>
        <v>0</v>
      </c>
      <c r="BZ21" s="42">
        <f>Jun!HP22</f>
        <v>37997.499999999818</v>
      </c>
      <c r="CA21" s="42">
        <f>Jun!HS22</f>
        <v>25297.5</v>
      </c>
      <c r="CB21" s="42">
        <f>Jun!HV22</f>
        <v>26897.499999999909</v>
      </c>
      <c r="CC21" s="42">
        <f>Jun!HY22</f>
        <v>19897.499999999909</v>
      </c>
      <c r="CD21" s="42">
        <f>Jun!IB22</f>
        <v>24210</v>
      </c>
      <c r="CE21" s="42">
        <f>Jun!IE22</f>
        <v>0</v>
      </c>
      <c r="CF21" s="42">
        <f>Jun!IH22</f>
        <v>18700</v>
      </c>
    </row>
    <row r="22" spans="1:84" x14ac:dyDescent="0.25">
      <c r="A22" s="26">
        <f t="shared" si="11"/>
        <v>16</v>
      </c>
      <c r="B22" s="42">
        <f>Jun!G23</f>
        <v>431679.99999998574</v>
      </c>
      <c r="C22" s="42">
        <f>Jun!N23</f>
        <v>432000</v>
      </c>
      <c r="D22" s="42">
        <f>Jun!T23</f>
        <v>385.52999999932945</v>
      </c>
      <c r="E22" s="42">
        <f>Jun!V23</f>
        <v>0</v>
      </c>
      <c r="F22" s="42">
        <f>Jun!AB23</f>
        <v>0</v>
      </c>
      <c r="G22" s="42">
        <f>Jun!X23</f>
        <v>18014.470000000307</v>
      </c>
      <c r="H22" s="42">
        <f>Jun!AE23</f>
        <v>4700.0000000007276</v>
      </c>
      <c r="I22" s="42">
        <f>Jun!AI23</f>
        <v>13073.77</v>
      </c>
      <c r="J22" s="42">
        <f>Jun!AN23</f>
        <v>6953.770000000246</v>
      </c>
      <c r="K22" s="42">
        <f>Jun!AR23</f>
        <v>12700.000000000728</v>
      </c>
      <c r="L22" s="42">
        <f>Jun!AZ23</f>
        <v>450</v>
      </c>
      <c r="M22" s="42">
        <f>Jun!BC23</f>
        <v>700</v>
      </c>
      <c r="N22" s="125">
        <f t="shared" si="12"/>
        <v>56977.54000000134</v>
      </c>
      <c r="O22" s="125">
        <f>Jun!CA23</f>
        <v>669.4999999999709</v>
      </c>
      <c r="P22" s="125">
        <f>Jun!CD23</f>
        <v>1320</v>
      </c>
      <c r="Q22" s="125">
        <f>Jun!CF23</f>
        <v>4900</v>
      </c>
      <c r="R22" s="125">
        <f>Jun!CH23</f>
        <v>0</v>
      </c>
      <c r="S22" s="125">
        <f>Jun!CK23</f>
        <v>17234.269999999957</v>
      </c>
      <c r="T22" s="125">
        <f>Jun!CO23</f>
        <v>9712.7700000001241</v>
      </c>
      <c r="U22" s="125">
        <f>Jun!CS23</f>
        <v>7678.1700000000237</v>
      </c>
      <c r="V22" s="126">
        <f t="shared" si="3"/>
        <v>41514.710000000079</v>
      </c>
      <c r="W22" s="126">
        <f>Jun!CW23</f>
        <v>17700</v>
      </c>
      <c r="X22" s="126">
        <f>Jun!DA23</f>
        <v>10000</v>
      </c>
      <c r="Y22" s="126">
        <f t="shared" si="1"/>
        <v>27700</v>
      </c>
      <c r="Z22" s="42">
        <f>Jun!BR23</f>
        <v>900.00000000009095</v>
      </c>
      <c r="AA22" s="126">
        <f>Jun!BG23</f>
        <v>2000</v>
      </c>
      <c r="AB22" s="126">
        <f>Jun!BJ23</f>
        <v>9500</v>
      </c>
      <c r="AC22" s="126">
        <f>Jun!BL23+Jun!BN23+Jun!BP23</f>
        <v>4820.0000000000273</v>
      </c>
      <c r="AD22" s="126">
        <f>Jun!DR23</f>
        <v>11000</v>
      </c>
      <c r="AE22" s="127">
        <f>Jun!DT23-Jun!DR63-Jun!DT63</f>
        <v>18100</v>
      </c>
      <c r="AF22" s="127">
        <f>Jun!DR63+Jun!DT63</f>
        <v>0</v>
      </c>
      <c r="AG22" s="127">
        <f>Jun!HJ23-AE22</f>
        <v>136900</v>
      </c>
      <c r="AH22" s="127">
        <f>Jun!DW23</f>
        <v>4099.9999999994543</v>
      </c>
      <c r="AI22" s="127">
        <f>Jun!DZ23</f>
        <v>8073.77</v>
      </c>
      <c r="AJ22" s="127">
        <f>Jun!EC23</f>
        <v>25233.77</v>
      </c>
      <c r="AK22" s="127">
        <f t="shared" si="4"/>
        <v>37407.539999999455</v>
      </c>
      <c r="AL22" s="127">
        <f>Jun!EG23</f>
        <v>29233.77</v>
      </c>
      <c r="AM22" s="127">
        <f>Jun!EJ23</f>
        <v>12073.77</v>
      </c>
      <c r="AN22" s="127">
        <f>Jun!EM23</f>
        <v>820.00000000005002</v>
      </c>
      <c r="AO22" s="127">
        <f t="shared" si="5"/>
        <v>42127.540000000052</v>
      </c>
      <c r="AP22" s="127">
        <f>Jun!FX23</f>
        <v>32300</v>
      </c>
      <c r="AQ22" s="127">
        <f>Jun!GA23</f>
        <v>8769.9999999999091</v>
      </c>
      <c r="AR22" s="127">
        <f>Jun!GG23</f>
        <v>7099.9999999999091</v>
      </c>
      <c r="AS22" s="127">
        <f t="shared" si="6"/>
        <v>48169.999999999825</v>
      </c>
      <c r="AT22" s="127">
        <f>Jun!EQ23</f>
        <v>6163.769999999975</v>
      </c>
      <c r="AU22" s="127">
        <f>Jun!ET23</f>
        <v>12599.999999998545</v>
      </c>
      <c r="AV22" s="127">
        <f>Jun!EW23</f>
        <v>9273.7699999998185</v>
      </c>
      <c r="AW22" s="127">
        <f>Jun!FL60</f>
        <v>11164.593399407748</v>
      </c>
      <c r="AX22" s="127">
        <f>Jun!GJ23</f>
        <v>1900.0000000000909</v>
      </c>
      <c r="AY22" s="127">
        <f t="shared" si="7"/>
        <v>41102.133399406172</v>
      </c>
      <c r="AZ22" s="127">
        <f>Jun!FG23</f>
        <v>9713.7700000000259</v>
      </c>
      <c r="BA22" s="127">
        <f>Jun!FJ23</f>
        <v>15703.769999999637</v>
      </c>
      <c r="BB22" s="127">
        <f>Jun!FM60</f>
        <v>12712.946600592257</v>
      </c>
      <c r="BC22" s="127">
        <f>Jun!GM23</f>
        <v>0</v>
      </c>
      <c r="BD22" s="127">
        <f t="shared" si="8"/>
        <v>38130.486600591918</v>
      </c>
      <c r="BE22" s="127">
        <f>Jun!GP23</f>
        <v>0</v>
      </c>
      <c r="BF22" s="127">
        <f>Jun!GS23</f>
        <v>330</v>
      </c>
      <c r="BG22" s="127">
        <f t="shared" si="9"/>
        <v>330</v>
      </c>
      <c r="BH22" s="127">
        <f t="shared" si="10"/>
        <v>27700</v>
      </c>
      <c r="BI22" s="127"/>
      <c r="BJ22" s="127"/>
      <c r="BK22" s="127"/>
      <c r="BL22" s="128"/>
      <c r="BM22" s="128">
        <f>((AS22)+BG22)*48%</f>
        <v>23279.999999999916</v>
      </c>
      <c r="BN22" s="128"/>
      <c r="BO22" s="128">
        <f>((AS22)+BG22)*52%</f>
        <v>25219.999999999909</v>
      </c>
      <c r="BP22" s="128"/>
      <c r="BQ22" s="128"/>
      <c r="BR22" s="128"/>
      <c r="BS22" s="128"/>
      <c r="BT22" s="42">
        <f>Jun!D61</f>
        <v>0</v>
      </c>
      <c r="BU22" s="42">
        <f>Jun!G62</f>
        <v>85000</v>
      </c>
      <c r="BV22" t="s">
        <v>368</v>
      </c>
      <c r="BW22" s="151"/>
      <c r="BX22" s="42">
        <f>Jun!HJ23</f>
        <v>155000</v>
      </c>
      <c r="BY22" s="42">
        <f>Jun!HM23</f>
        <v>0</v>
      </c>
      <c r="BZ22" s="42">
        <f>Jun!HP23</f>
        <v>38424.999999999913</v>
      </c>
      <c r="CA22" s="42">
        <f>Jun!HS23</f>
        <v>25325</v>
      </c>
      <c r="CB22" s="42">
        <f>Jun!HV23</f>
        <v>26225.000000000091</v>
      </c>
      <c r="CC22" s="42">
        <f>Jun!HY23</f>
        <v>22525.000000000044</v>
      </c>
      <c r="CD22" s="42">
        <f>Jun!IB23</f>
        <v>24400</v>
      </c>
      <c r="CE22" s="42">
        <f>Jun!IE23</f>
        <v>0</v>
      </c>
      <c r="CF22" s="42">
        <f>Jun!IH23</f>
        <v>18100</v>
      </c>
    </row>
    <row r="23" spans="1:84" x14ac:dyDescent="0.25">
      <c r="A23" s="26">
        <f t="shared" si="11"/>
        <v>17</v>
      </c>
      <c r="B23" s="42">
        <f>Jun!G24</f>
        <v>415680.00000001851</v>
      </c>
      <c r="C23" s="42">
        <f>Jun!N24</f>
        <v>411000</v>
      </c>
      <c r="D23" s="42">
        <f>Jun!T24</f>
        <v>356.80000000074506</v>
      </c>
      <c r="E23" s="42">
        <f>Jun!V24</f>
        <v>0</v>
      </c>
      <c r="F23" s="42">
        <f>Jun!AB24</f>
        <v>100</v>
      </c>
      <c r="G23" s="42">
        <f>Jun!X24</f>
        <v>17343.199999998527</v>
      </c>
      <c r="H23" s="42">
        <f>Jun!AE24</f>
        <v>4599.9999999994543</v>
      </c>
      <c r="I23" s="42">
        <f>Jun!AI24</f>
        <v>9479.2999999985441</v>
      </c>
      <c r="J23" s="42">
        <f>Jun!AN24</f>
        <v>5929.2999999996582</v>
      </c>
      <c r="K23" s="42">
        <f>Jun!AR24</f>
        <v>11699.999999998909</v>
      </c>
      <c r="L23" s="42">
        <f>Jun!AZ24</f>
        <v>450</v>
      </c>
      <c r="M23" s="42">
        <f>Jun!BC24</f>
        <v>680</v>
      </c>
      <c r="N23" s="125">
        <f t="shared" si="12"/>
        <v>50638.599999995837</v>
      </c>
      <c r="O23" s="125">
        <f>Jun!CA24</f>
        <v>664.89999999998872</v>
      </c>
      <c r="P23" s="125">
        <f>Jun!CD24</f>
        <v>440</v>
      </c>
      <c r="Q23" s="125">
        <f>Jun!CF24</f>
        <v>5600</v>
      </c>
      <c r="R23" s="125">
        <f>Jun!CH24</f>
        <v>0</v>
      </c>
      <c r="S23" s="125">
        <f>Jun!CK24</f>
        <v>15244.399999998846</v>
      </c>
      <c r="T23" s="125">
        <f>Jun!CO24</f>
        <v>7718.299999999942</v>
      </c>
      <c r="U23" s="125">
        <f>Jun!CS24</f>
        <v>5976.4999999999536</v>
      </c>
      <c r="V23" s="126">
        <f t="shared" si="3"/>
        <v>35644.099999998733</v>
      </c>
      <c r="W23" s="126">
        <f>Jun!CW24</f>
        <v>17500</v>
      </c>
      <c r="X23" s="126">
        <f>Jun!DA24</f>
        <v>10300</v>
      </c>
      <c r="Y23" s="126">
        <f t="shared" si="1"/>
        <v>27800</v>
      </c>
      <c r="Z23" s="42">
        <f>Jun!BR24</f>
        <v>699.99999999993179</v>
      </c>
      <c r="AA23" s="126">
        <f>Jun!BG24</f>
        <v>1899.9999999998636</v>
      </c>
      <c r="AB23" s="126">
        <f>Jun!BJ24</f>
        <v>9500</v>
      </c>
      <c r="AC23" s="126">
        <f>Jun!BL24+Jun!BN24+Jun!BP24</f>
        <v>4650.0000000000455</v>
      </c>
      <c r="AD23" s="126">
        <f>Jun!DR24</f>
        <v>11000</v>
      </c>
      <c r="AE23" s="127">
        <f>Jun!DT24-Jun!DR64-Jun!DT64</f>
        <v>16500</v>
      </c>
      <c r="AF23" s="127">
        <f>Jun!DR64+Jun!DT64</f>
        <v>0</v>
      </c>
      <c r="AG23" s="127">
        <f>Jun!HJ24-AE23</f>
        <v>140500</v>
      </c>
      <c r="AH23" s="127">
        <f>Jun!DW24</f>
        <v>4400.0000000005457</v>
      </c>
      <c r="AI23" s="127">
        <f>Jun!DZ24</f>
        <v>7879.3</v>
      </c>
      <c r="AJ23" s="127">
        <f>Jun!EC24</f>
        <v>25039.3</v>
      </c>
      <c r="AK23" s="127">
        <f t="shared" si="4"/>
        <v>37318.600000000544</v>
      </c>
      <c r="AL23" s="127">
        <f>Jun!EG24</f>
        <v>26039.3</v>
      </c>
      <c r="AM23" s="127">
        <f>Jun!EJ24</f>
        <v>11879.3</v>
      </c>
      <c r="AN23" s="127">
        <f>Jun!EM24</f>
        <v>809.99999999994543</v>
      </c>
      <c r="AO23" s="127">
        <f t="shared" si="5"/>
        <v>38728.599999999948</v>
      </c>
      <c r="AP23" s="127">
        <f>Jun!FX24</f>
        <v>33600</v>
      </c>
      <c r="AQ23" s="127">
        <f>Jun!GA24</f>
        <v>9070.0000000000909</v>
      </c>
      <c r="AR23" s="127">
        <f>Jun!GG24</f>
        <v>8400.0000000000909</v>
      </c>
      <c r="AS23" s="127">
        <f t="shared" si="6"/>
        <v>51070.000000000175</v>
      </c>
      <c r="AT23" s="127">
        <f>Jun!EQ24</f>
        <v>5954.2999999999884</v>
      </c>
      <c r="AU23" s="127">
        <f>Jun!ET24</f>
        <v>12800.000000001091</v>
      </c>
      <c r="AV23" s="127">
        <f>Jun!EW24</f>
        <v>8279.3000000000902</v>
      </c>
      <c r="AW23" s="127">
        <f>Jun!FL61</f>
        <v>10545.715812652594</v>
      </c>
      <c r="AX23" s="127">
        <f>Jun!GJ24</f>
        <v>1599.9999999999091</v>
      </c>
      <c r="AY23" s="127">
        <f t="shared" si="7"/>
        <v>39179.315812653673</v>
      </c>
      <c r="AZ23" s="127">
        <f>Jun!FG24</f>
        <v>8009.050000000012</v>
      </c>
      <c r="BA23" s="127">
        <f>Jun!FJ24</f>
        <v>15784.050000000727</v>
      </c>
      <c r="BB23" s="127">
        <f>Jun!FM61</f>
        <v>12417.634187347405</v>
      </c>
      <c r="BC23" s="127">
        <f>Jun!GM24</f>
        <v>0</v>
      </c>
      <c r="BD23" s="127">
        <f t="shared" si="8"/>
        <v>36210.734187348149</v>
      </c>
      <c r="BE23" s="127">
        <f>Jun!GP24</f>
        <v>10</v>
      </c>
      <c r="BF23" s="127">
        <f>Jun!GS24</f>
        <v>330</v>
      </c>
      <c r="BG23" s="127">
        <f t="shared" si="9"/>
        <v>340</v>
      </c>
      <c r="BH23" s="127">
        <f t="shared" si="10"/>
        <v>27800</v>
      </c>
      <c r="BI23" s="127"/>
      <c r="BJ23" s="127"/>
      <c r="BK23" s="127"/>
      <c r="BL23" s="128"/>
      <c r="BM23" s="128">
        <f>((AS23)+BG23)*46%</f>
        <v>23648.600000000082</v>
      </c>
      <c r="BN23" s="128"/>
      <c r="BO23" s="128">
        <f>((AS23)+BG23)*54%</f>
        <v>27761.400000000096</v>
      </c>
      <c r="BP23" s="128"/>
      <c r="BQ23" s="128"/>
      <c r="BR23" s="128"/>
      <c r="BS23" s="128"/>
      <c r="BT23" s="42">
        <f>Jun!D62</f>
        <v>0</v>
      </c>
      <c r="BU23" s="42">
        <f>Jun!G63</f>
        <v>86000</v>
      </c>
      <c r="BV23" t="s">
        <v>372</v>
      </c>
      <c r="BX23" s="42">
        <f>Jun!HJ24</f>
        <v>157000</v>
      </c>
      <c r="BY23" s="42">
        <f>Jun!HM24</f>
        <v>0</v>
      </c>
      <c r="BZ23" s="42">
        <f>Jun!HP24</f>
        <v>37234.000000000276</v>
      </c>
      <c r="CA23" s="42">
        <f>Jun!HS24</f>
        <v>26133.999999999909</v>
      </c>
      <c r="CB23" s="42">
        <f>Jun!HV24</f>
        <v>26433.999999999636</v>
      </c>
      <c r="CC23" s="42">
        <f>Jun!HY24</f>
        <v>24734.000000000044</v>
      </c>
      <c r="CD23" s="42">
        <f>Jun!IB24</f>
        <v>25964</v>
      </c>
      <c r="CE23" s="42">
        <f>Jun!IE24</f>
        <v>0</v>
      </c>
      <c r="CF23" s="42">
        <f>Jun!IH24</f>
        <v>16500</v>
      </c>
    </row>
    <row r="24" spans="1:84" x14ac:dyDescent="0.25">
      <c r="A24" s="26">
        <f t="shared" si="11"/>
        <v>18</v>
      </c>
      <c r="B24" s="42">
        <f>Jun!G25</f>
        <v>423999.99999999639</v>
      </c>
      <c r="C24" s="42">
        <f>Jun!N25</f>
        <v>426000</v>
      </c>
      <c r="D24" s="42">
        <f>Jun!T25</f>
        <v>346.5599999986589</v>
      </c>
      <c r="E24" s="42">
        <f>Jun!V25</f>
        <v>0</v>
      </c>
      <c r="F24" s="42">
        <f>Jun!AB25</f>
        <v>100</v>
      </c>
      <c r="G24" s="42">
        <f>Jun!X25</f>
        <v>17553.440000001341</v>
      </c>
      <c r="H24" s="42">
        <f>Jun!AE25</f>
        <v>6400.0000000005457</v>
      </c>
      <c r="I24" s="42">
        <f>Jun!AI25</f>
        <v>13405.070000000364</v>
      </c>
      <c r="J24" s="42">
        <f>Jun!AN25</f>
        <v>6785.0699999988401</v>
      </c>
      <c r="K24" s="42">
        <f>Jun!AR25</f>
        <v>6899.9999999996362</v>
      </c>
      <c r="L24" s="42">
        <f>Jun!AZ25</f>
        <v>450</v>
      </c>
      <c r="M24" s="42">
        <f>Jun!BC25</f>
        <v>680</v>
      </c>
      <c r="N24" s="125">
        <f t="shared" si="12"/>
        <v>52620.139999999388</v>
      </c>
      <c r="O24" s="125">
        <f>Jun!CA25</f>
        <v>603.50000000005366</v>
      </c>
      <c r="P24" s="125">
        <f>Jun!CD25</f>
        <v>2221.8000000000466</v>
      </c>
      <c r="Q24" s="125">
        <f>Jun!CF25</f>
        <v>5652</v>
      </c>
      <c r="R24" s="125">
        <f>Jun!CH25</f>
        <v>0</v>
      </c>
      <c r="S24" s="125">
        <f>Jun!CK25</f>
        <v>16671.570000001109</v>
      </c>
      <c r="T24" s="125">
        <f>Jun!CO25</f>
        <v>8352.0700000000252</v>
      </c>
      <c r="U24" s="125">
        <f>Jun!CS25</f>
        <v>6628.1700000000346</v>
      </c>
      <c r="V24" s="126">
        <f t="shared" si="3"/>
        <v>40129.110000001274</v>
      </c>
      <c r="W24" s="126">
        <f>Jun!CW25</f>
        <v>12691</v>
      </c>
      <c r="X24" s="126">
        <f>Jun!DA25</f>
        <v>7209</v>
      </c>
      <c r="Y24" s="126">
        <f t="shared" si="1"/>
        <v>19900</v>
      </c>
      <c r="Z24" s="42">
        <f>Jun!BR25</f>
        <v>800.00000000006821</v>
      </c>
      <c r="AA24" s="126">
        <f>Jun!BG25</f>
        <v>1500</v>
      </c>
      <c r="AB24" s="126">
        <f>Jun!BJ25</f>
        <v>8800.0000000010914</v>
      </c>
      <c r="AC24" s="126">
        <f>Jun!BL25+Jun!BN25+Jun!BP25</f>
        <v>4920</v>
      </c>
      <c r="AD24" s="126">
        <f>Jun!DR25</f>
        <v>10900</v>
      </c>
      <c r="AE24" s="127">
        <f>Jun!DT25-Jun!DR65-Jun!DT65</f>
        <v>20000</v>
      </c>
      <c r="AF24" s="127">
        <f>Jun!DR65+Jun!DT65</f>
        <v>0</v>
      </c>
      <c r="AG24" s="127">
        <f>Jun!HJ25-AE24</f>
        <v>135000</v>
      </c>
      <c r="AH24" s="127">
        <f>Jun!DW25</f>
        <v>4099.9999999994543</v>
      </c>
      <c r="AI24" s="127">
        <f>Jun!DZ25</f>
        <v>13305.07</v>
      </c>
      <c r="AJ24" s="127">
        <f>Jun!EC25</f>
        <v>24465.07</v>
      </c>
      <c r="AK24" s="127">
        <f t="shared" si="4"/>
        <v>41870.139999999454</v>
      </c>
      <c r="AL24" s="127">
        <f>Jun!EG25</f>
        <v>27465.07</v>
      </c>
      <c r="AM24" s="127">
        <f>Jun!EJ25</f>
        <v>11305.07</v>
      </c>
      <c r="AN24" s="127">
        <f>Jun!EM25</f>
        <v>620.00000000000455</v>
      </c>
      <c r="AO24" s="127">
        <f t="shared" si="5"/>
        <v>39390.140000000007</v>
      </c>
      <c r="AP24" s="127">
        <f>Jun!FX25</f>
        <v>32700</v>
      </c>
      <c r="AQ24" s="127">
        <f>Jun!GA25</f>
        <v>8759.9999999999091</v>
      </c>
      <c r="AR24" s="127">
        <f>Jun!GG25</f>
        <v>8400.0000000000909</v>
      </c>
      <c r="AS24" s="127">
        <f t="shared" si="6"/>
        <v>49860</v>
      </c>
      <c r="AT24" s="127">
        <f>Jun!EQ25</f>
        <v>7345.0700000000197</v>
      </c>
      <c r="AU24" s="127">
        <f>Jun!ET25</f>
        <v>13000</v>
      </c>
      <c r="AV24" s="127">
        <f>Jun!EW25</f>
        <v>8805.07</v>
      </c>
      <c r="AW24" s="127">
        <f>Jun!FL62</f>
        <v>10799.778434584077</v>
      </c>
      <c r="AX24" s="127">
        <f>Jun!GJ25</f>
        <v>1599.9999999999091</v>
      </c>
      <c r="AY24" s="127">
        <f t="shared" si="7"/>
        <v>41549.918434584004</v>
      </c>
      <c r="AZ24" s="127">
        <f>Jun!FG25</f>
        <v>9345.0699999999797</v>
      </c>
      <c r="BA24" s="127">
        <f>Jun!FJ25</f>
        <v>16185.069999999272</v>
      </c>
      <c r="BB24" s="127">
        <f>Jun!FM62</f>
        <v>12890.361565415924</v>
      </c>
      <c r="BC24" s="127">
        <f>Jun!GM25</f>
        <v>0</v>
      </c>
      <c r="BD24" s="127">
        <f t="shared" si="8"/>
        <v>38420.501565415172</v>
      </c>
      <c r="BE24" s="127">
        <f>Jun!GP25</f>
        <v>0</v>
      </c>
      <c r="BF24" s="127">
        <f>Jun!GS25</f>
        <v>340</v>
      </c>
      <c r="BG24" s="127">
        <f t="shared" si="9"/>
        <v>340</v>
      </c>
      <c r="BH24" s="127">
        <f t="shared" si="10"/>
        <v>19900</v>
      </c>
      <c r="BI24" s="127"/>
      <c r="BJ24" s="127"/>
      <c r="BK24" s="127"/>
      <c r="BL24" s="128"/>
      <c r="BM24" s="128">
        <f>((AS24)+BG24)*48%</f>
        <v>24096</v>
      </c>
      <c r="BN24" s="128"/>
      <c r="BO24" s="128">
        <f>((AS24)+BG24)*52%</f>
        <v>26104</v>
      </c>
      <c r="BP24" s="128"/>
      <c r="BQ24" s="128"/>
      <c r="BR24" s="128"/>
      <c r="BS24" s="128"/>
      <c r="BT24" s="42">
        <f>Jun!D63</f>
        <v>0</v>
      </c>
      <c r="BU24" s="42">
        <f>Jun!G64</f>
        <v>82000</v>
      </c>
      <c r="BV24" t="s">
        <v>368</v>
      </c>
      <c r="BX24" s="42">
        <f>Jun!HJ25</f>
        <v>155000</v>
      </c>
      <c r="BY24" s="42">
        <f>Jun!HM25</f>
        <v>0</v>
      </c>
      <c r="BZ24" s="42">
        <f>Jun!HP25</f>
        <v>0</v>
      </c>
      <c r="CA24" s="42">
        <f>Jun!HS25</f>
        <v>0</v>
      </c>
      <c r="CB24" s="42">
        <f>Jun!HV25</f>
        <v>0</v>
      </c>
      <c r="CC24" s="42">
        <f>Jun!HY25</f>
        <v>0</v>
      </c>
      <c r="CD24" s="42">
        <f>Jun!IB25</f>
        <v>0</v>
      </c>
      <c r="CE24" s="42">
        <f>Jun!IE25</f>
        <v>0</v>
      </c>
      <c r="CF24" s="42">
        <f>Jun!IH25</f>
        <v>20000</v>
      </c>
    </row>
    <row r="25" spans="1:84" x14ac:dyDescent="0.25">
      <c r="A25" s="26">
        <f t="shared" si="11"/>
        <v>19</v>
      </c>
      <c r="B25" s="42">
        <f>Jun!G26</f>
        <v>425920.00000000553</v>
      </c>
      <c r="C25" s="42">
        <f>Jun!N26</f>
        <v>422000</v>
      </c>
      <c r="D25" s="42">
        <f>Jun!T26</f>
        <v>328.83999999985099</v>
      </c>
      <c r="E25" s="42">
        <f>Jun!V26</f>
        <v>0</v>
      </c>
      <c r="F25" s="42">
        <f>Jun!AB26</f>
        <v>100</v>
      </c>
      <c r="G25" s="42">
        <f>Jun!X26</f>
        <v>17071.160000000149</v>
      </c>
      <c r="H25" s="42">
        <f>Jun!AE26</f>
        <v>6599.9999999994543</v>
      </c>
      <c r="I25" s="42">
        <f>Jun!AI26</f>
        <v>14116.829999999636</v>
      </c>
      <c r="J25" s="42">
        <f>Jun!AN26</f>
        <v>5626.8300000016097</v>
      </c>
      <c r="K25" s="42">
        <f>Jun!AR26</f>
        <v>6300.0000000010914</v>
      </c>
      <c r="L25" s="42">
        <f>Jun!AZ26</f>
        <v>380</v>
      </c>
      <c r="M25" s="42">
        <f>Jun!BC26</f>
        <v>560</v>
      </c>
      <c r="N25" s="125">
        <f t="shared" si="12"/>
        <v>51083.660000001793</v>
      </c>
      <c r="O25" s="125">
        <f>Jun!CA26</f>
        <v>607.69999999996571</v>
      </c>
      <c r="P25" s="125">
        <f>Jun!CD26</f>
        <v>2420.7999999999302</v>
      </c>
      <c r="Q25" s="125">
        <f>Jun!CF26</f>
        <v>5895</v>
      </c>
      <c r="R25" s="125">
        <f>Jun!CH26</f>
        <v>0</v>
      </c>
      <c r="S25" s="125">
        <f>Jun!CK26</f>
        <v>16869.129999998437</v>
      </c>
      <c r="T25" s="125">
        <f>Jun!CO26</f>
        <v>8886.8300000000727</v>
      </c>
      <c r="U25" s="125">
        <f>Jun!CS26</f>
        <v>7189.6299999999883</v>
      </c>
      <c r="V25" s="126">
        <f t="shared" si="3"/>
        <v>41869.089999998396</v>
      </c>
      <c r="W25" s="126">
        <f>Jun!CW26</f>
        <v>12989</v>
      </c>
      <c r="X25" s="126">
        <f>Jun!DA26</f>
        <v>7730</v>
      </c>
      <c r="Y25" s="126">
        <f t="shared" si="1"/>
        <v>20719</v>
      </c>
      <c r="Z25" s="42">
        <f>Jun!BR26</f>
        <v>699.99999999993179</v>
      </c>
      <c r="AA25" s="126">
        <f>Jun!BG26</f>
        <v>1500</v>
      </c>
      <c r="AB25" s="126">
        <f>Jun!BJ26</f>
        <v>9000</v>
      </c>
      <c r="AC25" s="126">
        <f>Jun!BL26+Jun!BN26+Jun!BP26</f>
        <v>4789.9999999999136</v>
      </c>
      <c r="AD25" s="126">
        <f>Jun!DR26</f>
        <v>10100</v>
      </c>
      <c r="AE25" s="127">
        <f>Jun!DT26-Jun!DR66-Jun!DT66</f>
        <v>18700</v>
      </c>
      <c r="AF25" s="127">
        <f>Jun!DR66+Jun!DT66</f>
        <v>0</v>
      </c>
      <c r="AG25" s="127">
        <f>Jun!HJ26-AE25</f>
        <v>148300</v>
      </c>
      <c r="AH25" s="127">
        <f>Jun!DW26</f>
        <v>3900.0000000005457</v>
      </c>
      <c r="AI25" s="127">
        <f>Jun!DZ26</f>
        <v>3216.83</v>
      </c>
      <c r="AJ25" s="127">
        <f>Jun!EC26</f>
        <v>25376.83</v>
      </c>
      <c r="AK25" s="127">
        <f t="shared" si="4"/>
        <v>32493.660000000549</v>
      </c>
      <c r="AL25" s="127">
        <f>Jun!EG26</f>
        <v>27376.83</v>
      </c>
      <c r="AM25" s="127">
        <f>Jun!EJ26</f>
        <v>11216.83</v>
      </c>
      <c r="AN25" s="127">
        <f>Jun!EM26</f>
        <v>750</v>
      </c>
      <c r="AO25" s="127">
        <f t="shared" si="5"/>
        <v>39343.660000000003</v>
      </c>
      <c r="AP25" s="127">
        <f>Jun!FX26</f>
        <v>36300</v>
      </c>
      <c r="AQ25" s="127">
        <f>Jun!GA26</f>
        <v>9070.0000000000909</v>
      </c>
      <c r="AR25" s="127">
        <f>Jun!GG26</f>
        <v>9299.9999999999545</v>
      </c>
      <c r="AS25" s="127">
        <f t="shared" si="6"/>
        <v>54670.000000000044</v>
      </c>
      <c r="AT25" s="127">
        <f>Jun!EQ26</f>
        <v>5336.8300000000045</v>
      </c>
      <c r="AU25" s="127">
        <f>Jun!ET26</f>
        <v>12799.999999999272</v>
      </c>
      <c r="AV25" s="127">
        <f>Jun!EW26</f>
        <v>8616.8300000000909</v>
      </c>
      <c r="AW25" s="127">
        <f>Jun!FL63</f>
        <v>10634.174716955236</v>
      </c>
      <c r="AX25" s="127">
        <f>Jun!GJ26</f>
        <v>1700.0000000000455</v>
      </c>
      <c r="AY25" s="127">
        <f t="shared" si="7"/>
        <v>39087.834716954647</v>
      </c>
      <c r="AZ25" s="127">
        <f>Jun!FG26</f>
        <v>8670.1599999999962</v>
      </c>
      <c r="BA25" s="127">
        <f>Jun!FJ26</f>
        <v>15190.160000001455</v>
      </c>
      <c r="BB25" s="127">
        <f>Jun!FM63</f>
        <v>12372.815283044762</v>
      </c>
      <c r="BC25" s="127">
        <f>Jun!GM26</f>
        <v>0</v>
      </c>
      <c r="BD25" s="127">
        <f t="shared" si="8"/>
        <v>36233.135283046213</v>
      </c>
      <c r="BE25" s="127">
        <f>Jun!GP26</f>
        <v>0</v>
      </c>
      <c r="BF25" s="127">
        <f>Jun!GS26</f>
        <v>330</v>
      </c>
      <c r="BG25" s="127">
        <f t="shared" si="9"/>
        <v>330</v>
      </c>
      <c r="BH25" s="127">
        <f t="shared" si="10"/>
        <v>20719</v>
      </c>
      <c r="BI25" s="127"/>
      <c r="BJ25" s="127"/>
      <c r="BK25" s="127"/>
      <c r="BL25" s="128"/>
      <c r="BM25" s="128">
        <f>((AS25)+BG25)*49%</f>
        <v>26950.000000000022</v>
      </c>
      <c r="BN25" s="128"/>
      <c r="BO25" s="128">
        <f>((AS25)+BG25)*51%</f>
        <v>28050.000000000022</v>
      </c>
      <c r="BP25" s="128"/>
      <c r="BQ25" s="128"/>
      <c r="BR25" s="128"/>
      <c r="BS25" s="128"/>
      <c r="BT25" s="42">
        <f>Jun!D64</f>
        <v>0</v>
      </c>
      <c r="BU25" s="42">
        <f>Jun!G65</f>
        <v>83000</v>
      </c>
      <c r="BV25" t="s">
        <v>364</v>
      </c>
      <c r="BX25" s="42">
        <f>Jun!HJ26</f>
        <v>167000</v>
      </c>
      <c r="BY25" s="42">
        <f>Jun!HM26</f>
        <v>0</v>
      </c>
      <c r="BZ25" s="42">
        <f>Jun!HP26</f>
        <v>3648100</v>
      </c>
      <c r="CA25" s="42">
        <f>Jun!HS26</f>
        <v>2979100</v>
      </c>
      <c r="CB25" s="42">
        <f>Jun!HV26</f>
        <v>2626000</v>
      </c>
      <c r="CC25" s="42">
        <f>Jun!HY26</f>
        <v>1597900</v>
      </c>
      <c r="CD25" s="42">
        <f>Jun!IB26</f>
        <v>565850</v>
      </c>
      <c r="CE25" s="42">
        <f>Jun!IE26</f>
        <v>0</v>
      </c>
      <c r="CF25" s="42">
        <f>Jun!IH26</f>
        <v>18700</v>
      </c>
    </row>
    <row r="26" spans="1:84" x14ac:dyDescent="0.25">
      <c r="A26" s="26">
        <f t="shared" si="11"/>
        <v>20</v>
      </c>
      <c r="B26" s="42">
        <f>Jun!G27</f>
        <v>403519.9999999968</v>
      </c>
      <c r="C26" s="42">
        <f>Jun!N27</f>
        <v>402000</v>
      </c>
      <c r="D26" s="42">
        <f>Jun!T27</f>
        <v>339.95000000111759</v>
      </c>
      <c r="E26" s="42">
        <f>Jun!V27</f>
        <v>0</v>
      </c>
      <c r="F26" s="42">
        <f>Jun!AB27</f>
        <v>0</v>
      </c>
      <c r="G26" s="42">
        <f>Jun!X27</f>
        <v>17660.049999998882</v>
      </c>
      <c r="H26" s="42">
        <f>Jun!AE27</f>
        <v>7199.9999999998181</v>
      </c>
      <c r="I26" s="42">
        <f>Jun!AI27</f>
        <v>15477.730000000363</v>
      </c>
      <c r="J26" s="42">
        <f>Jun!AN27</f>
        <v>5077.7299999999495</v>
      </c>
      <c r="K26" s="42">
        <f>Jun!AR27</f>
        <v>7600.0000000003638</v>
      </c>
      <c r="L26" s="42">
        <f>Jun!AZ27</f>
        <v>430</v>
      </c>
      <c r="M26" s="42">
        <f>Jun!BC27</f>
        <v>610</v>
      </c>
      <c r="N26" s="125">
        <f t="shared" si="12"/>
        <v>54395.460000000501</v>
      </c>
      <c r="O26" s="125">
        <f>Jun!CA27</f>
        <v>533.299999999997</v>
      </c>
      <c r="P26" s="125">
        <f>Jun!CD27</f>
        <v>2074.2000000000698</v>
      </c>
      <c r="Q26" s="125">
        <f>Jun!CF27</f>
        <v>5004</v>
      </c>
      <c r="R26" s="125">
        <f>Jun!CH27</f>
        <v>0</v>
      </c>
      <c r="S26" s="125">
        <f>Jun!CK27</f>
        <v>15544.43000000073</v>
      </c>
      <c r="T26" s="125">
        <f>Jun!CO27</f>
        <v>7445.7299999997558</v>
      </c>
      <c r="U26" s="125">
        <f>Jun!CS27</f>
        <v>6194.6300000000228</v>
      </c>
      <c r="V26" s="126">
        <f t="shared" si="3"/>
        <v>36796.290000000576</v>
      </c>
      <c r="W26" s="126">
        <f>Jun!CW27</f>
        <v>14208</v>
      </c>
      <c r="X26" s="126">
        <f>Jun!DA27</f>
        <v>8858</v>
      </c>
      <c r="Y26" s="126">
        <f t="shared" si="1"/>
        <v>23066</v>
      </c>
      <c r="Z26" s="42">
        <f>Jun!BR27</f>
        <v>600.00000000002274</v>
      </c>
      <c r="AA26" s="126">
        <f>Jun!BG27</f>
        <v>1800.0000000001819</v>
      </c>
      <c r="AB26" s="126">
        <f>Jun!BJ27</f>
        <v>9399.9999999996362</v>
      </c>
      <c r="AC26" s="126">
        <f>Jun!BL27+Jun!BN27+Jun!BP27</f>
        <v>4700.0000000000273</v>
      </c>
      <c r="AD26" s="126">
        <f>Jun!DR27</f>
        <v>9900</v>
      </c>
      <c r="AE26" s="127">
        <f>Jun!DT27-Jun!DR67-Jun!DT67</f>
        <v>17900</v>
      </c>
      <c r="AF26" s="127">
        <f>Jun!DR67+Jun!DT67</f>
        <v>0</v>
      </c>
      <c r="AG26" s="127">
        <f>Jun!HJ27-AE26</f>
        <v>132100</v>
      </c>
      <c r="AH26" s="127">
        <f>Jun!DW27</f>
        <v>4299.9999999992724</v>
      </c>
      <c r="AI26" s="127">
        <f>Jun!DZ27</f>
        <v>7377.73</v>
      </c>
      <c r="AJ26" s="127">
        <f>Jun!EC27</f>
        <v>23537.73</v>
      </c>
      <c r="AK26" s="127">
        <f t="shared" si="4"/>
        <v>35215.459999999272</v>
      </c>
      <c r="AL26" s="127">
        <f>Jun!EG27</f>
        <v>29537.73</v>
      </c>
      <c r="AM26" s="127">
        <f>Jun!EJ27</f>
        <v>12377.73</v>
      </c>
      <c r="AN26" s="127">
        <f>Jun!EM27</f>
        <v>650.00000000009095</v>
      </c>
      <c r="AO26" s="127">
        <f t="shared" si="5"/>
        <v>42565.460000000094</v>
      </c>
      <c r="AP26" s="127">
        <f>Jun!FX27</f>
        <v>29000</v>
      </c>
      <c r="AQ26" s="127">
        <f>Jun!GA27</f>
        <v>7239.9999999999091</v>
      </c>
      <c r="AR26" s="127">
        <f>Jun!GG27</f>
        <v>7299.9999999999545</v>
      </c>
      <c r="AS26" s="127">
        <f t="shared" si="6"/>
        <v>43539.999999999869</v>
      </c>
      <c r="AT26" s="127">
        <f>Jun!EQ27</f>
        <v>6492.7300000000087</v>
      </c>
      <c r="AU26" s="127">
        <f>Jun!ET27</f>
        <v>12500</v>
      </c>
      <c r="AV26" s="127">
        <f>Jun!EW27</f>
        <v>8977.7299999999086</v>
      </c>
      <c r="AW26" s="127">
        <f>Jun!FL64</f>
        <v>10412.828614956605</v>
      </c>
      <c r="AX26" s="127">
        <f>Jun!GJ27</f>
        <v>1700.0000000000455</v>
      </c>
      <c r="AY26" s="127">
        <f t="shared" si="7"/>
        <v>40083.288614956567</v>
      </c>
      <c r="AZ26" s="127">
        <f>Jun!FG27</f>
        <v>9134.3999999999905</v>
      </c>
      <c r="BA26" s="127">
        <f>Jun!FJ27</f>
        <v>15749.4</v>
      </c>
      <c r="BB26" s="127">
        <f>Jun!FM64</f>
        <v>12214.301385043393</v>
      </c>
      <c r="BC26" s="127">
        <f>Jun!GM27</f>
        <v>0</v>
      </c>
      <c r="BD26" s="127">
        <f t="shared" si="8"/>
        <v>37098.101385043381</v>
      </c>
      <c r="BE26" s="127">
        <f>Jun!GP27</f>
        <v>0</v>
      </c>
      <c r="BF26" s="127">
        <f>Jun!GS27</f>
        <v>360</v>
      </c>
      <c r="BG26" s="127">
        <f t="shared" si="9"/>
        <v>360</v>
      </c>
      <c r="BH26" s="127">
        <f t="shared" si="10"/>
        <v>23066</v>
      </c>
      <c r="BI26" s="127"/>
      <c r="BJ26" s="127"/>
      <c r="BK26" s="127"/>
      <c r="BL26" s="128"/>
      <c r="BM26" s="128">
        <f>((AS26)+BG26)*47%</f>
        <v>20632.999999999938</v>
      </c>
      <c r="BN26" s="128"/>
      <c r="BO26" s="128">
        <f>((AS26)+BG26)*53%</f>
        <v>23266.999999999931</v>
      </c>
      <c r="BP26" s="128"/>
      <c r="BQ26" s="128"/>
      <c r="BR26" s="128"/>
      <c r="BS26" s="128"/>
      <c r="BT26" s="42">
        <f>Jun!D65</f>
        <v>0</v>
      </c>
      <c r="BU26" s="42">
        <f>Jun!G66</f>
        <v>86000</v>
      </c>
      <c r="BV26" t="s">
        <v>369</v>
      </c>
      <c r="BX26" s="42">
        <f>Jun!HJ27</f>
        <v>150000</v>
      </c>
      <c r="BY26" s="42">
        <f>Jun!HM27</f>
        <v>0</v>
      </c>
      <c r="BZ26" s="42">
        <f>Jun!HP27</f>
        <v>37757.499999999913</v>
      </c>
      <c r="CA26" s="42">
        <f>Jun!HS27</f>
        <v>24257.499999999909</v>
      </c>
      <c r="CB26" s="42">
        <f>Jun!HV27</f>
        <v>24357.499999999818</v>
      </c>
      <c r="CC26" s="42">
        <f>Jun!HY27</f>
        <v>20157.5</v>
      </c>
      <c r="CD26" s="42">
        <f>Jun!IB27</f>
        <v>25570</v>
      </c>
      <c r="CE26" s="42">
        <f>Jun!IE27</f>
        <v>0</v>
      </c>
      <c r="CF26" s="42">
        <f>Jun!IH27</f>
        <v>17900</v>
      </c>
    </row>
    <row r="27" spans="1:84" x14ac:dyDescent="0.25">
      <c r="A27" s="26">
        <f t="shared" si="11"/>
        <v>21</v>
      </c>
      <c r="B27" s="42">
        <f>Jun!G28</f>
        <v>432000.00000000728</v>
      </c>
      <c r="C27" s="42">
        <f>Jun!N28</f>
        <v>429000</v>
      </c>
      <c r="D27" s="42">
        <f>Jun!T28</f>
        <v>323.25999999977648</v>
      </c>
      <c r="E27" s="42">
        <f>Jun!V28</f>
        <v>0</v>
      </c>
      <c r="F27" s="42">
        <f>Jun!AB28</f>
        <v>100</v>
      </c>
      <c r="G27" s="42">
        <f>Jun!X28</f>
        <v>17976.73999999986</v>
      </c>
      <c r="H27" s="42">
        <f>Jun!AE28</f>
        <v>7600.0000000003638</v>
      </c>
      <c r="I27" s="42">
        <f>Jun!AI28</f>
        <v>16049.450000001092</v>
      </c>
      <c r="J27" s="42">
        <f>Jun!AN28</f>
        <v>5259.4499999989139</v>
      </c>
      <c r="K27" s="42">
        <f>Jun!AR28</f>
        <v>8099.9999999985448</v>
      </c>
      <c r="L27" s="42">
        <f>Jun!AZ28</f>
        <v>410</v>
      </c>
      <c r="M27" s="42">
        <f>Jun!BC28</f>
        <v>630</v>
      </c>
      <c r="N27" s="125">
        <f t="shared" si="12"/>
        <v>56448.899999998546</v>
      </c>
      <c r="O27" s="125">
        <f>Jun!CA28</f>
        <v>562.4000000000251</v>
      </c>
      <c r="P27" s="125">
        <f>Jun!CD28</f>
        <v>3432.7999999999302</v>
      </c>
      <c r="Q27" s="125">
        <f>Jun!CF28</f>
        <v>5314</v>
      </c>
      <c r="R27" s="125">
        <f>Jun!CH28</f>
        <v>0</v>
      </c>
      <c r="S27" s="125">
        <f>Jun!CK28</f>
        <v>17287.050000000338</v>
      </c>
      <c r="T27" s="125">
        <f>Jun!CO28</f>
        <v>5799.4500000001817</v>
      </c>
      <c r="U27" s="125">
        <f>Jun!CS28</f>
        <v>6346.95</v>
      </c>
      <c r="V27" s="126">
        <f t="shared" si="3"/>
        <v>38742.650000000474</v>
      </c>
      <c r="W27" s="126">
        <f>Jun!CW28</f>
        <v>15961</v>
      </c>
      <c r="X27" s="126">
        <f>Jun!DA28</f>
        <v>9483</v>
      </c>
      <c r="Y27" s="126">
        <f t="shared" si="1"/>
        <v>25444</v>
      </c>
      <c r="Z27" s="42">
        <f>Jun!BR28</f>
        <v>399.99999999997726</v>
      </c>
      <c r="AA27" s="126">
        <f>Jun!BG28</f>
        <v>1799.9999999999545</v>
      </c>
      <c r="AB27" s="126">
        <f>Jun!BJ28</f>
        <v>9100.0000000003638</v>
      </c>
      <c r="AC27" s="126">
        <f>Jun!BL28+Jun!BN28+Jun!BP28</f>
        <v>4790.0000000000182</v>
      </c>
      <c r="AD27" s="126">
        <f>Jun!DR28</f>
        <v>9500</v>
      </c>
      <c r="AE27" s="127">
        <f>Jun!DT28-Jun!DR68-Jun!DT68</f>
        <v>19300</v>
      </c>
      <c r="AF27" s="127">
        <f>Jun!DR68+Jun!DT68</f>
        <v>0</v>
      </c>
      <c r="AG27" s="127">
        <f>Jun!HJ28-AE27</f>
        <v>145700</v>
      </c>
      <c r="AH27" s="127">
        <f>Jun!DW28</f>
        <v>4400.0000000005457</v>
      </c>
      <c r="AI27" s="127">
        <f>Jun!DZ28</f>
        <v>8249.4500000000007</v>
      </c>
      <c r="AJ27" s="127">
        <f>Jun!EC28</f>
        <v>26409.45</v>
      </c>
      <c r="AK27" s="127">
        <f t="shared" si="4"/>
        <v>39058.900000000547</v>
      </c>
      <c r="AL27" s="127">
        <f>Jun!EG28</f>
        <v>28409.45</v>
      </c>
      <c r="AM27" s="127">
        <f>Jun!EJ28</f>
        <v>11249.45</v>
      </c>
      <c r="AN27" s="127">
        <f>Jun!EM28</f>
        <v>529.99999999997272</v>
      </c>
      <c r="AO27" s="127">
        <f t="shared" si="5"/>
        <v>40188.899999999972</v>
      </c>
      <c r="AP27" s="127">
        <f>Jun!FX28</f>
        <v>32000</v>
      </c>
      <c r="AQ27" s="127">
        <f>Jun!GA28</f>
        <v>9329.9999999999091</v>
      </c>
      <c r="AR27" s="127">
        <f>Jun!GG28</f>
        <v>8299.9999999999545</v>
      </c>
      <c r="AS27" s="127">
        <f t="shared" si="6"/>
        <v>49629.999999999869</v>
      </c>
      <c r="AT27" s="127">
        <f>Jun!EQ28</f>
        <v>6369.4500000000044</v>
      </c>
      <c r="AU27" s="127">
        <f>Jun!ET28</f>
        <v>12500</v>
      </c>
      <c r="AV27" s="127">
        <f>Jun!EW28</f>
        <v>9049.4499999997279</v>
      </c>
      <c r="AW27" s="127">
        <f>Jun!FL65</f>
        <v>10420.208610940581</v>
      </c>
      <c r="AX27" s="127">
        <f>Jun!GJ28</f>
        <v>1700.0000000000455</v>
      </c>
      <c r="AY27" s="127">
        <f t="shared" si="7"/>
        <v>40039.108610940355</v>
      </c>
      <c r="AZ27" s="127">
        <f>Jun!FG28</f>
        <v>9469.4499999999971</v>
      </c>
      <c r="BA27" s="127">
        <f>Jun!FJ28</f>
        <v>16689.449999998546</v>
      </c>
      <c r="BB27" s="127">
        <f>Jun!FM65</f>
        <v>11418.691389059422</v>
      </c>
      <c r="BC27" s="127">
        <f>Jun!GM28</f>
        <v>0</v>
      </c>
      <c r="BD27" s="127">
        <f t="shared" si="8"/>
        <v>37577.591389057969</v>
      </c>
      <c r="BE27" s="127">
        <f>Jun!GP28</f>
        <v>10</v>
      </c>
      <c r="BF27" s="127">
        <f>Jun!GS28</f>
        <v>270</v>
      </c>
      <c r="BG27" s="127">
        <f t="shared" si="9"/>
        <v>280</v>
      </c>
      <c r="BH27" s="127">
        <f t="shared" si="10"/>
        <v>25444</v>
      </c>
      <c r="BI27" s="127"/>
      <c r="BJ27" s="127"/>
      <c r="BK27" s="127"/>
      <c r="BL27" s="128"/>
      <c r="BM27" s="128">
        <f>((AS27)+BG27)*50%</f>
        <v>24954.999999999935</v>
      </c>
      <c r="BN27" s="128"/>
      <c r="BO27" s="128">
        <f>((AS27)+BG27)*50%</f>
        <v>24954.999999999935</v>
      </c>
      <c r="BP27" s="128"/>
      <c r="BQ27" s="128"/>
      <c r="BR27" s="128"/>
      <c r="BS27" s="128"/>
      <c r="BT27" s="42">
        <f>Jun!D66</f>
        <v>0</v>
      </c>
      <c r="BU27" s="42">
        <f>Jun!G67</f>
        <v>86000</v>
      </c>
      <c r="BV27" t="s">
        <v>360</v>
      </c>
      <c r="BX27" s="42">
        <f>Jun!HJ28</f>
        <v>165000</v>
      </c>
      <c r="BY27" s="42">
        <f>Jun!HM28</f>
        <v>0</v>
      </c>
      <c r="BZ27" s="42">
        <f>Jun!HP28</f>
        <v>39782.500000000364</v>
      </c>
      <c r="CA27" s="42">
        <f>Jun!HS28</f>
        <v>27082.500000000091</v>
      </c>
      <c r="CB27" s="42">
        <f>Jun!HV28</f>
        <v>27182.5</v>
      </c>
      <c r="CC27" s="42">
        <f>Jun!HY28</f>
        <v>22582.499999999862</v>
      </c>
      <c r="CD27" s="42">
        <f>Jun!IB28</f>
        <v>29070</v>
      </c>
      <c r="CE27" s="42">
        <f>Jun!IE28</f>
        <v>0</v>
      </c>
      <c r="CF27" s="42">
        <f>Jun!IH28</f>
        <v>19300</v>
      </c>
    </row>
    <row r="28" spans="1:84" x14ac:dyDescent="0.25">
      <c r="A28" s="26">
        <f t="shared" si="11"/>
        <v>22</v>
      </c>
      <c r="B28" s="42">
        <f>Jun!G29</f>
        <v>336319.99999997427</v>
      </c>
      <c r="C28" s="42">
        <f>Jun!N29</f>
        <v>338000</v>
      </c>
      <c r="D28" s="42">
        <f>Jun!T29</f>
        <v>245.18999999947846</v>
      </c>
      <c r="E28" s="42">
        <f>Jun!V29</f>
        <v>0</v>
      </c>
      <c r="F28" s="42">
        <f>Jun!AB29</f>
        <v>60</v>
      </c>
      <c r="G28" s="42">
        <f>Jun!X29</f>
        <v>14894.810000001249</v>
      </c>
      <c r="H28" s="42">
        <f>Jun!AE29</f>
        <v>6199.9999999998181</v>
      </c>
      <c r="I28" s="42">
        <f>Jun!AI29</f>
        <v>13471.109999999637</v>
      </c>
      <c r="J28" s="42">
        <f>Jun!AN29</f>
        <v>4961.1100000003235</v>
      </c>
      <c r="K28" s="42">
        <f>Jun!AR29</f>
        <v>6600.0000000003638</v>
      </c>
      <c r="L28" s="42">
        <f>Jun!AZ29</f>
        <v>336.52000000001863</v>
      </c>
      <c r="M28" s="42">
        <f>Jun!BC29</f>
        <v>443.94000000000233</v>
      </c>
      <c r="N28" s="125">
        <f t="shared" si="12"/>
        <v>47212.680000000888</v>
      </c>
      <c r="O28" s="125">
        <f>Jun!CA29</f>
        <v>499.79999999999336</v>
      </c>
      <c r="P28" s="125">
        <f>Jun!CD29</f>
        <v>1260.4000000000233</v>
      </c>
      <c r="Q28" s="125">
        <f>Jun!CF29</f>
        <v>4135</v>
      </c>
      <c r="R28" s="125">
        <f>Jun!CH29</f>
        <v>0.39999999999417923</v>
      </c>
      <c r="S28" s="125">
        <f>Jun!CK29</f>
        <v>14141.309999999716</v>
      </c>
      <c r="T28" s="125">
        <f>Jun!CO29</f>
        <v>4924.1100000000652</v>
      </c>
      <c r="U28" s="125">
        <f>Jun!CS29</f>
        <v>5314.2099999999764</v>
      </c>
      <c r="V28" s="126">
        <f t="shared" si="3"/>
        <v>30275.22999999977</v>
      </c>
      <c r="W28" s="126">
        <f>Jun!CW29</f>
        <v>14151</v>
      </c>
      <c r="X28" s="126">
        <f>Jun!DA29</f>
        <v>8020</v>
      </c>
      <c r="Y28" s="126">
        <f t="shared" si="1"/>
        <v>22171</v>
      </c>
      <c r="Z28" s="42">
        <f>Jun!BR29</f>
        <v>250</v>
      </c>
      <c r="AA28" s="126">
        <f>Jun!BG29</f>
        <v>1899.9999999998636</v>
      </c>
      <c r="AB28" s="126">
        <f>Jun!BJ29</f>
        <v>8599.9999999985448</v>
      </c>
      <c r="AC28" s="126">
        <f>Jun!BL29+Jun!BN29+Jun!BP29</f>
        <v>3960.0000000000409</v>
      </c>
      <c r="AD28" s="126">
        <f>Jun!DR29</f>
        <v>5700</v>
      </c>
      <c r="AE28" s="127">
        <f>Jun!DT29-Jun!DR69-Jun!DT69</f>
        <v>14100</v>
      </c>
      <c r="AF28" s="127">
        <f>Jun!DR69+Jun!DT69</f>
        <v>0</v>
      </c>
      <c r="AG28" s="127">
        <f>Jun!HJ29-AE28</f>
        <v>108900</v>
      </c>
      <c r="AH28" s="127">
        <f>Jun!DW29</f>
        <v>4199.9999999998181</v>
      </c>
      <c r="AI28" s="127">
        <f>Jun!DZ29</f>
        <v>8571.11</v>
      </c>
      <c r="AJ28" s="127">
        <f>Jun!EC29</f>
        <v>24731.11</v>
      </c>
      <c r="AK28" s="127">
        <f t="shared" si="4"/>
        <v>37502.219999999819</v>
      </c>
      <c r="AL28" s="127">
        <f>Jun!EG29</f>
        <v>25731.11</v>
      </c>
      <c r="AM28" s="127">
        <f>Jun!EJ29</f>
        <v>12571.11</v>
      </c>
      <c r="AN28" s="127">
        <f>Jun!EM29</f>
        <v>620.00000000000455</v>
      </c>
      <c r="AO28" s="127">
        <f t="shared" si="5"/>
        <v>38922.220000000008</v>
      </c>
      <c r="AP28" s="127">
        <f>Jun!FX29</f>
        <v>24400</v>
      </c>
      <c r="AQ28" s="127">
        <f>Jun!GA29</f>
        <v>6460.0000000002728</v>
      </c>
      <c r="AR28" s="127">
        <f>Jun!GG29</f>
        <v>5600.0000000001364</v>
      </c>
      <c r="AS28" s="127">
        <f t="shared" si="6"/>
        <v>36460.000000000407</v>
      </c>
      <c r="AT28" s="127">
        <f>Jun!EQ29</f>
        <v>5771.1099999999878</v>
      </c>
      <c r="AU28" s="127">
        <f>Jun!ET29</f>
        <v>10000</v>
      </c>
      <c r="AV28" s="127">
        <f>Jun!EW29</f>
        <v>7671.1100000003635</v>
      </c>
      <c r="AW28" s="127">
        <f>Jun!FL66</f>
        <v>8836.4997453603191</v>
      </c>
      <c r="AX28" s="127">
        <f>Jun!GJ29</f>
        <v>1399.9999999998636</v>
      </c>
      <c r="AY28" s="127">
        <f t="shared" si="7"/>
        <v>33678.719745360533</v>
      </c>
      <c r="AZ28" s="127">
        <f>Jun!FG29</f>
        <v>7937.7800000000116</v>
      </c>
      <c r="BA28" s="127">
        <f>Jun!FJ29</f>
        <v>11637.78</v>
      </c>
      <c r="BB28" s="127">
        <f>Jun!FM66</f>
        <v>8872.3902546396839</v>
      </c>
      <c r="BC28" s="127">
        <f>Jun!GM29</f>
        <v>0</v>
      </c>
      <c r="BD28" s="127">
        <f t="shared" si="8"/>
        <v>28447.950254639698</v>
      </c>
      <c r="BE28" s="127">
        <f>Jun!GP29</f>
        <v>0</v>
      </c>
      <c r="BF28" s="127">
        <f>Jun!GS29</f>
        <v>240</v>
      </c>
      <c r="BG28" s="127">
        <f t="shared" si="9"/>
        <v>240</v>
      </c>
      <c r="BH28" s="127">
        <f t="shared" si="10"/>
        <v>22171</v>
      </c>
      <c r="BI28" s="127"/>
      <c r="BJ28" s="127"/>
      <c r="BK28" s="127"/>
      <c r="BL28" s="128"/>
      <c r="BM28" s="128">
        <f>((AS28)+BG28)*56%</f>
        <v>20552.000000000229</v>
      </c>
      <c r="BN28" s="128"/>
      <c r="BO28" s="128">
        <f>((AS28)+BG28)*44%</f>
        <v>16148.00000000018</v>
      </c>
      <c r="BP28" s="128"/>
      <c r="BQ28" s="128"/>
      <c r="BR28" s="128"/>
      <c r="BS28" s="128"/>
      <c r="BT28" s="42">
        <f>Jun!D67</f>
        <v>0</v>
      </c>
      <c r="BU28" s="42">
        <f>Jun!G68</f>
        <v>82000</v>
      </c>
      <c r="BV28" t="s">
        <v>374</v>
      </c>
      <c r="BX28" s="42">
        <f>Jun!HJ29</f>
        <v>123000</v>
      </c>
      <c r="BY28" s="42">
        <f>Jun!HM29</f>
        <v>0</v>
      </c>
      <c r="BZ28" s="42">
        <f>Jun!HP29</f>
        <v>32164.999999999818</v>
      </c>
      <c r="CA28" s="42">
        <f>Jun!HS29</f>
        <v>19765.000000000182</v>
      </c>
      <c r="CB28" s="42">
        <f>Jun!HV29</f>
        <v>18765.000000000182</v>
      </c>
      <c r="CC28" s="42">
        <f>Jun!HY29</f>
        <v>17665.000000000044</v>
      </c>
      <c r="CD28" s="42">
        <f>Jun!IB29</f>
        <v>20540</v>
      </c>
      <c r="CE28" s="42">
        <f>Jun!IE29</f>
        <v>0</v>
      </c>
      <c r="CF28" s="42">
        <f>Jun!IH29</f>
        <v>14100</v>
      </c>
    </row>
    <row r="29" spans="1:84" x14ac:dyDescent="0.25">
      <c r="A29" s="26">
        <f t="shared" si="11"/>
        <v>23</v>
      </c>
      <c r="B29" s="42">
        <f>Jun!G30</f>
        <v>393920.00000002736</v>
      </c>
      <c r="C29" s="42">
        <f>Jun!N30</f>
        <v>390000</v>
      </c>
      <c r="D29" s="42">
        <f>Jun!T30</f>
        <v>310.74000000022352</v>
      </c>
      <c r="E29" s="42">
        <f>Jun!V30</f>
        <v>0</v>
      </c>
      <c r="F29" s="42">
        <f>Jun!AB30</f>
        <v>70</v>
      </c>
      <c r="G29" s="42">
        <f>Jun!X30</f>
        <v>17619.259999999776</v>
      </c>
      <c r="H29" s="42">
        <f>Jun!AE30</f>
        <v>7800.0000000001819</v>
      </c>
      <c r="I29" s="42">
        <f>Jun!AI30</f>
        <v>17721.959999999272</v>
      </c>
      <c r="J29" s="42">
        <f>Jun!AN30</f>
        <v>5161.9600000000537</v>
      </c>
      <c r="K29" s="42">
        <f>Jun!AR30</f>
        <v>7800.0000000010914</v>
      </c>
      <c r="L29" s="42">
        <f>Jun!AZ30</f>
        <v>401.79999999998836</v>
      </c>
      <c r="M29" s="42">
        <f>Jun!BC30</f>
        <v>593.82000000000698</v>
      </c>
      <c r="N29" s="125">
        <f t="shared" si="12"/>
        <v>57479.54000000059</v>
      </c>
      <c r="O29" s="125">
        <f>Jun!CA30</f>
        <v>689.99999999999773</v>
      </c>
      <c r="P29" s="125">
        <f>Jun!CD30</f>
        <v>0</v>
      </c>
      <c r="Q29" s="125">
        <f>Jun!CF30</f>
        <v>5100</v>
      </c>
      <c r="R29" s="125">
        <f>Jun!CH30</f>
        <v>0</v>
      </c>
      <c r="S29" s="125">
        <f>Jun!CK30</f>
        <v>15231.960000000001</v>
      </c>
      <c r="T29" s="125">
        <f>Jun!CO30</f>
        <v>5821.960000000091</v>
      </c>
      <c r="U29" s="125">
        <f>Jun!CS30</f>
        <v>7011.96</v>
      </c>
      <c r="V29" s="126">
        <f t="shared" si="3"/>
        <v>33855.880000000092</v>
      </c>
      <c r="W29" s="126">
        <f>Jun!CW30</f>
        <v>19500</v>
      </c>
      <c r="X29" s="126">
        <f>Jun!DA30</f>
        <v>11100</v>
      </c>
      <c r="Y29" s="126">
        <f t="shared" si="1"/>
        <v>30600</v>
      </c>
      <c r="Z29" s="42">
        <f>Jun!BR30</f>
        <v>830.00000000004093</v>
      </c>
      <c r="AA29" s="126">
        <f>Jun!BG30</f>
        <v>2100.0000000001364</v>
      </c>
      <c r="AB29" s="126">
        <f>Jun!BJ30</f>
        <v>9100.0000000003638</v>
      </c>
      <c r="AC29" s="126">
        <f>Jun!BL30+Jun!BN30+Jun!BP30</f>
        <v>4929.9999999999045</v>
      </c>
      <c r="AD29" s="126">
        <f>Jun!DR30</f>
        <v>10300</v>
      </c>
      <c r="AE29" s="127">
        <f>Jun!DT30-Jun!DR70-Jun!DT70</f>
        <v>20100</v>
      </c>
      <c r="AF29" s="127">
        <f>Jun!DR70+Jun!DT70</f>
        <v>0</v>
      </c>
      <c r="AG29" s="127">
        <f>Jun!HJ30-AE29</f>
        <v>143900</v>
      </c>
      <c r="AH29" s="127">
        <f>Jun!DW30</f>
        <v>4199.9999999998181</v>
      </c>
      <c r="AI29" s="127">
        <f>Jun!DZ30</f>
        <v>8921.9599999999991</v>
      </c>
      <c r="AJ29" s="127">
        <f>Jun!EC30</f>
        <v>29081.96</v>
      </c>
      <c r="AK29" s="127">
        <f t="shared" si="4"/>
        <v>42203.919999999816</v>
      </c>
      <c r="AL29" s="127">
        <f>Jun!EG30</f>
        <v>28081.96</v>
      </c>
      <c r="AM29" s="127">
        <f>Jun!EJ30</f>
        <v>11921.96</v>
      </c>
      <c r="AN29" s="127">
        <f>Jun!EM30</f>
        <v>669.99999999995907</v>
      </c>
      <c r="AO29" s="127">
        <f t="shared" ref="AO29:AO37" si="13">SUM(AL29:AN29)</f>
        <v>40673.919999999955</v>
      </c>
      <c r="AP29" s="127">
        <f>Jun!FX30</f>
        <v>16900</v>
      </c>
      <c r="AQ29" s="127">
        <f>Jun!GA30</f>
        <v>4760.0000000000909</v>
      </c>
      <c r="AR29" s="127">
        <f>Jun!GG30</f>
        <v>4899.9999999998636</v>
      </c>
      <c r="AS29" s="127">
        <f t="shared" si="6"/>
        <v>26559.999999999956</v>
      </c>
      <c r="AT29" s="127">
        <f>Jun!EQ30</f>
        <v>7036.9600000000091</v>
      </c>
      <c r="AU29" s="127">
        <f>Jun!ET30</f>
        <v>14300.000000001091</v>
      </c>
      <c r="AV29" s="127">
        <f>Jun!EW30</f>
        <v>10021.959999999908</v>
      </c>
      <c r="AW29" s="127">
        <f>Jun!FL67</f>
        <v>16097.357025116387</v>
      </c>
      <c r="AX29" s="127">
        <f>Jun!GJ30</f>
        <v>1600.0000000001364</v>
      </c>
      <c r="AY29" s="127">
        <f t="shared" si="7"/>
        <v>49056.277025117532</v>
      </c>
      <c r="AZ29" s="127">
        <f>Jun!FG30</f>
        <v>4311.9599999999909</v>
      </c>
      <c r="BA29" s="127">
        <f>Jun!FJ30</f>
        <v>4026.9600000003638</v>
      </c>
      <c r="BB29" s="127">
        <f>Jun!FM67</f>
        <v>2251.5629748836136</v>
      </c>
      <c r="BC29" s="127">
        <f>Jun!GM30</f>
        <v>500</v>
      </c>
      <c r="BD29" s="127">
        <f t="shared" si="8"/>
        <v>11090.482974883969</v>
      </c>
      <c r="BE29" s="127">
        <f>Jun!GP30</f>
        <v>0</v>
      </c>
      <c r="BF29" s="127">
        <f>Jun!GS30</f>
        <v>140</v>
      </c>
      <c r="BG29" s="127">
        <f t="shared" si="9"/>
        <v>140</v>
      </c>
      <c r="BH29" s="127">
        <f t="shared" si="10"/>
        <v>30600</v>
      </c>
      <c r="BI29" s="127"/>
      <c r="BJ29" s="127"/>
      <c r="BK29" s="127"/>
      <c r="BL29" s="128"/>
      <c r="BM29" s="128">
        <f t="shared" ref="BM29:BM36" si="14">((AS29)+BG29)</f>
        <v>26699.999999999956</v>
      </c>
      <c r="BN29" s="128"/>
      <c r="BO29" s="128"/>
      <c r="BP29" s="128"/>
      <c r="BQ29" s="128"/>
      <c r="BR29" s="128"/>
      <c r="BS29" s="128"/>
      <c r="BT29" s="42">
        <f>Jun!D68</f>
        <v>0</v>
      </c>
      <c r="BU29" s="42">
        <f>Jun!G69</f>
        <v>89000</v>
      </c>
      <c r="BV29" t="s">
        <v>375</v>
      </c>
      <c r="BX29" s="42">
        <f>Jun!HJ30</f>
        <v>164000</v>
      </c>
      <c r="BY29" s="42">
        <f>Jun!HM30</f>
        <v>0</v>
      </c>
      <c r="BZ29" s="42">
        <f>Jun!HP30</f>
        <v>40327.500000000087</v>
      </c>
      <c r="CA29" s="42">
        <f>Jun!HS30</f>
        <v>26027.499999999909</v>
      </c>
      <c r="CB29" s="42">
        <f>Jun!HV30</f>
        <v>25827.500000000091</v>
      </c>
      <c r="CC29" s="42">
        <f>Jun!HY30</f>
        <v>24327.500000000091</v>
      </c>
      <c r="CD29" s="42">
        <f>Jun!IB30</f>
        <v>27390</v>
      </c>
      <c r="CE29" s="42">
        <f>Jun!IE30</f>
        <v>0</v>
      </c>
      <c r="CF29" s="42">
        <f>Jun!IH30</f>
        <v>20100</v>
      </c>
    </row>
    <row r="30" spans="1:84" x14ac:dyDescent="0.25">
      <c r="A30" s="26">
        <f t="shared" si="11"/>
        <v>24</v>
      </c>
      <c r="B30" s="42">
        <f>Jun!G31</f>
        <v>406719.99999997934</v>
      </c>
      <c r="C30" s="42">
        <f>Jun!N31</f>
        <v>400000</v>
      </c>
      <c r="D30" s="42">
        <f>Jun!T31</f>
        <v>284.75</v>
      </c>
      <c r="E30" s="42">
        <f>Jun!V31</f>
        <v>0</v>
      </c>
      <c r="F30" s="42">
        <f>Jun!AB31</f>
        <v>70</v>
      </c>
      <c r="G30" s="42">
        <f>Jun!X31</f>
        <v>17645.25</v>
      </c>
      <c r="H30" s="42">
        <f>Jun!AE31</f>
        <v>7600.0000000003638</v>
      </c>
      <c r="I30" s="42">
        <f>Jun!AI31</f>
        <v>15476.190000000728</v>
      </c>
      <c r="J30" s="42">
        <f>Jun!AN31</f>
        <v>4346.1899999999368</v>
      </c>
      <c r="K30" s="42">
        <f>Jun!AR31</f>
        <v>7899.9999999996362</v>
      </c>
      <c r="L30" s="42">
        <f>Jun!AZ31</f>
        <v>394.0800000000163</v>
      </c>
      <c r="M30" s="42">
        <f>Jun!BC31</f>
        <v>600.27999999999884</v>
      </c>
      <c r="N30" s="125">
        <f t="shared" si="12"/>
        <v>54316.740000000682</v>
      </c>
      <c r="O30" s="125">
        <f>Jun!CA31</f>
        <v>550.00000000001137</v>
      </c>
      <c r="P30" s="125">
        <f>Jun!CD31</f>
        <v>0</v>
      </c>
      <c r="Q30" s="125">
        <f>Jun!CF31</f>
        <v>5800</v>
      </c>
      <c r="R30" s="125">
        <f>Jun!CH31</f>
        <v>0</v>
      </c>
      <c r="S30" s="125">
        <f>Jun!CK31</f>
        <v>14226.18999999999</v>
      </c>
      <c r="T30" s="125">
        <f>Jun!CO31</f>
        <v>3176.1899999996363</v>
      </c>
      <c r="U30" s="125">
        <f>Jun!CS31</f>
        <v>4256.1900000000005</v>
      </c>
      <c r="V30" s="126">
        <f t="shared" si="3"/>
        <v>28008.569999999636</v>
      </c>
      <c r="W30" s="126">
        <f>Jun!CW31</f>
        <v>17800</v>
      </c>
      <c r="X30" s="126">
        <f>Jun!DA31</f>
        <v>10700</v>
      </c>
      <c r="Y30" s="126">
        <f t="shared" si="1"/>
        <v>28500</v>
      </c>
      <c r="Z30" s="42">
        <f>Jun!BR31</f>
        <v>730.00000000001819</v>
      </c>
      <c r="AA30" s="126">
        <f>Jun!BG31</f>
        <v>1500</v>
      </c>
      <c r="AB30" s="126">
        <f>Jun!BJ31</f>
        <v>9000</v>
      </c>
      <c r="AC30" s="126">
        <f>Jun!BL31+Jun!BN31+Jun!BP31</f>
        <v>4700.0000000000455</v>
      </c>
      <c r="AD30" s="126">
        <f>Jun!DR31</f>
        <v>10300</v>
      </c>
      <c r="AE30" s="127">
        <f>Jun!DT31-Jun!DR71-Jun!DT71</f>
        <v>16200</v>
      </c>
      <c r="AF30" s="127">
        <f>Jun!DR71+Jun!DT71</f>
        <v>0</v>
      </c>
      <c r="AG30" s="127">
        <f>Jun!HJ31-AE30</f>
        <v>159800</v>
      </c>
      <c r="AH30" s="127">
        <f>Jun!DW31</f>
        <v>4199.9999999998181</v>
      </c>
      <c r="AI30" s="127">
        <f>Jun!DZ31</f>
        <v>6776.1900000000005</v>
      </c>
      <c r="AJ30" s="127">
        <f>Jun!EC31</f>
        <v>25936.19</v>
      </c>
      <c r="AK30" s="127">
        <f t="shared" si="4"/>
        <v>36912.379999999815</v>
      </c>
      <c r="AL30" s="127">
        <f>Jun!EG31</f>
        <v>26936.19</v>
      </c>
      <c r="AM30" s="127">
        <f>Jun!EJ31</f>
        <v>9776.19</v>
      </c>
      <c r="AN30" s="127">
        <f>Jun!EM31</f>
        <v>830.00000000004093</v>
      </c>
      <c r="AO30" s="127">
        <f t="shared" si="13"/>
        <v>37542.380000000041</v>
      </c>
      <c r="AP30" s="127">
        <f>Jun!FX31</f>
        <v>16900</v>
      </c>
      <c r="AQ30" s="127">
        <f>Jun!GA31</f>
        <v>4959.9999999999091</v>
      </c>
      <c r="AR30" s="127">
        <f>Jun!GG31</f>
        <v>4900.0000000000909</v>
      </c>
      <c r="AS30" s="127">
        <f t="shared" si="6"/>
        <v>26760</v>
      </c>
      <c r="AT30" s="127">
        <f>Jun!EQ31</f>
        <v>5896.1900000000051</v>
      </c>
      <c r="AU30" s="127">
        <f>Jun!ET31</f>
        <v>14599.999999998545</v>
      </c>
      <c r="AV30" s="127">
        <f>Jun!EW31</f>
        <v>7576.1899999997277</v>
      </c>
      <c r="AW30" s="127">
        <f>Jun!FL68</f>
        <v>11684.359752313669</v>
      </c>
      <c r="AX30" s="127">
        <f>Jun!GJ31</f>
        <v>1500</v>
      </c>
      <c r="AY30" s="127">
        <f t="shared" si="7"/>
        <v>41256.739752311951</v>
      </c>
      <c r="AZ30" s="127">
        <f>Jun!FG31</f>
        <v>9737.1399999999958</v>
      </c>
      <c r="BA30" s="127">
        <f>Jun!FJ31</f>
        <v>14757.139999999637</v>
      </c>
      <c r="BB30" s="127">
        <f>Jun!FM68</f>
        <v>11948.970247686335</v>
      </c>
      <c r="BC30" s="127">
        <f>Jun!GM31</f>
        <v>1599.9999999999091</v>
      </c>
      <c r="BD30" s="127">
        <f t="shared" si="8"/>
        <v>38043.250247685879</v>
      </c>
      <c r="BE30" s="127">
        <f>Jun!GP31</f>
        <v>10</v>
      </c>
      <c r="BF30" s="127">
        <f>Jun!GS31</f>
        <v>140</v>
      </c>
      <c r="BG30" s="127">
        <f t="shared" si="9"/>
        <v>150</v>
      </c>
      <c r="BH30" s="127">
        <f t="shared" si="10"/>
        <v>28500</v>
      </c>
      <c r="BI30" s="127"/>
      <c r="BJ30" s="127"/>
      <c r="BK30" s="127"/>
      <c r="BL30" s="128"/>
      <c r="BM30" s="128">
        <f t="shared" si="14"/>
        <v>26910</v>
      </c>
      <c r="BN30" s="128"/>
      <c r="BO30" s="128"/>
      <c r="BP30" s="128"/>
      <c r="BQ30" s="128"/>
      <c r="BR30" s="128"/>
      <c r="BS30" s="128"/>
      <c r="BT30" s="42">
        <f>Jun!D69</f>
        <v>0</v>
      </c>
      <c r="BU30" s="42">
        <f>Jun!G70</f>
        <v>87000</v>
      </c>
      <c r="BV30" t="s">
        <v>375</v>
      </c>
      <c r="BX30" s="42">
        <f>Jun!HJ31</f>
        <v>176000</v>
      </c>
      <c r="BY30" s="42">
        <f>Jun!HM31</f>
        <v>0</v>
      </c>
      <c r="BZ30" s="42">
        <f>Jun!HP31</f>
        <v>43594.999999999818</v>
      </c>
      <c r="CA30" s="42">
        <f>Jun!HS31</f>
        <v>28795.000000000091</v>
      </c>
      <c r="CB30" s="42">
        <f>Jun!HV31</f>
        <v>29194.999999999727</v>
      </c>
      <c r="CC30" s="42">
        <f>Jun!HY31</f>
        <v>28494.999999999909</v>
      </c>
      <c r="CD30" s="42">
        <f>Jun!IB31</f>
        <v>29720</v>
      </c>
      <c r="CE30" s="42">
        <f>Jun!IE31</f>
        <v>0</v>
      </c>
      <c r="CF30" s="42">
        <f>Jun!IH31</f>
        <v>16200</v>
      </c>
    </row>
    <row r="31" spans="1:84" x14ac:dyDescent="0.25">
      <c r="A31" s="26">
        <f t="shared" si="11"/>
        <v>25</v>
      </c>
      <c r="B31" s="42">
        <f>Jun!G32</f>
        <v>445759.99999999476</v>
      </c>
      <c r="C31" s="42">
        <f>Jun!N32</f>
        <v>444000</v>
      </c>
      <c r="D31" s="42">
        <f>Jun!T32</f>
        <v>296.88000000081956</v>
      </c>
      <c r="E31" s="42">
        <f>Jun!V32</f>
        <v>0</v>
      </c>
      <c r="F31" s="42">
        <f>Jun!AB32</f>
        <v>100</v>
      </c>
      <c r="G31" s="42">
        <f>Jun!X32</f>
        <v>18603.11999999918</v>
      </c>
      <c r="H31" s="42">
        <f>Jun!AE32</f>
        <v>7799.9999999992724</v>
      </c>
      <c r="I31" s="42">
        <f>Jun!AI32</f>
        <v>16952.189999999271</v>
      </c>
      <c r="J31" s="42">
        <f>Jun!AN32</f>
        <v>5052.1900000004052</v>
      </c>
      <c r="K31" s="42">
        <f>Jun!AR32</f>
        <v>8299.9999999992724</v>
      </c>
      <c r="L31" s="42">
        <f>Jun!AZ32</f>
        <v>397.59999999997672</v>
      </c>
      <c r="M31" s="42">
        <f>Jun!BC32</f>
        <v>581.95999999999185</v>
      </c>
      <c r="N31" s="125">
        <f t="shared" si="12"/>
        <v>58083.939999998191</v>
      </c>
      <c r="O31" s="125">
        <f>Jun!CA32</f>
        <v>598.7999999999829</v>
      </c>
      <c r="P31" s="125">
        <f>Jun!CD32</f>
        <v>3.4000000000232831</v>
      </c>
      <c r="Q31" s="125">
        <f>Jun!CF32</f>
        <v>6550</v>
      </c>
      <c r="R31" s="125">
        <f>Jun!CH32</f>
        <v>0</v>
      </c>
      <c r="S31" s="125">
        <f>Jun!CK32</f>
        <v>16923.390000000814</v>
      </c>
      <c r="T31" s="125">
        <f>Jun!CO32</f>
        <v>5787.1900000002188</v>
      </c>
      <c r="U31" s="125">
        <f>Jun!CS32</f>
        <v>6966.3900000000122</v>
      </c>
      <c r="V31" s="126">
        <f t="shared" si="3"/>
        <v>36829.170000001053</v>
      </c>
      <c r="W31" s="126">
        <f>Jun!CW32</f>
        <v>21461</v>
      </c>
      <c r="X31" s="126">
        <f>Jun!DA32</f>
        <v>12059</v>
      </c>
      <c r="Y31" s="126">
        <f t="shared" si="1"/>
        <v>33520</v>
      </c>
      <c r="Z31" s="42">
        <f>Jun!BR32</f>
        <v>689.99999999994088</v>
      </c>
      <c r="AA31" s="126">
        <f>Jun!BG32</f>
        <v>1700.0000000000455</v>
      </c>
      <c r="AB31" s="126">
        <f>Jun!BJ32</f>
        <v>9100.0000000003638</v>
      </c>
      <c r="AC31" s="126">
        <f>Jun!BL32+Jun!BN32+Jun!BP32</f>
        <v>5010.0000000000182</v>
      </c>
      <c r="AD31" s="126">
        <f>Jun!DR32</f>
        <v>10100</v>
      </c>
      <c r="AE31" s="127">
        <f>Jun!DT32-Jun!DR72-Jun!DT72</f>
        <v>20600</v>
      </c>
      <c r="AF31" s="127">
        <f>Jun!DR72+Jun!DT72</f>
        <v>0</v>
      </c>
      <c r="AG31" s="127">
        <f>Jun!HJ32-AE31</f>
        <v>122400</v>
      </c>
      <c r="AH31" s="127">
        <f>Jun!DW32</f>
        <v>4000</v>
      </c>
      <c r="AI31" s="127">
        <f>Jun!DZ32</f>
        <v>7652.1900000000005</v>
      </c>
      <c r="AJ31" s="127">
        <f>Jun!EC32</f>
        <v>24812.19</v>
      </c>
      <c r="AK31" s="127">
        <f t="shared" si="4"/>
        <v>36464.379999999997</v>
      </c>
      <c r="AL31" s="127">
        <f>Jun!EG32</f>
        <v>25812.19</v>
      </c>
      <c r="AM31" s="127">
        <f>Jun!EJ32</f>
        <v>11652.19</v>
      </c>
      <c r="AN31" s="127">
        <f>Jun!EM32</f>
        <v>379.99999999999545</v>
      </c>
      <c r="AO31" s="127">
        <f t="shared" si="13"/>
        <v>37844.37999999999</v>
      </c>
      <c r="AP31" s="127">
        <f>Jun!FX32</f>
        <v>12800</v>
      </c>
      <c r="AQ31" s="127">
        <f>Jun!GA32</f>
        <v>3790.0000000000909</v>
      </c>
      <c r="AR31" s="127">
        <f>Jun!GG32</f>
        <v>3900.0000000000909</v>
      </c>
      <c r="AS31" s="127">
        <f t="shared" si="6"/>
        <v>20490.000000000182</v>
      </c>
      <c r="AT31" s="127">
        <f>Jun!EQ32</f>
        <v>5757.1899999999623</v>
      </c>
      <c r="AU31" s="127">
        <f>Jun!ET32</f>
        <v>8900.0000000014552</v>
      </c>
      <c r="AV31" s="127">
        <f>Jun!EW32</f>
        <v>8452.1900000001824</v>
      </c>
      <c r="AW31" s="127">
        <f>Jun!FL69</f>
        <v>11225.033659478304</v>
      </c>
      <c r="AX31" s="127">
        <f>Jun!GJ32</f>
        <v>1799.9999999999545</v>
      </c>
      <c r="AY31" s="127">
        <f t="shared" si="7"/>
        <v>36134.413659479862</v>
      </c>
      <c r="AZ31" s="127">
        <f>Jun!FG32</f>
        <v>8882.1900000000387</v>
      </c>
      <c r="BA31" s="127">
        <f>Jun!FJ32</f>
        <v>14087.190000000364</v>
      </c>
      <c r="BB31" s="127">
        <f>Jun!FM69</f>
        <v>10414.346340521695</v>
      </c>
      <c r="BC31" s="127">
        <f>Jun!GM32</f>
        <v>1299.9999999999545</v>
      </c>
      <c r="BD31" s="127">
        <f t="shared" si="8"/>
        <v>34683.726340522058</v>
      </c>
      <c r="BE31" s="127">
        <f>Jun!GP32</f>
        <v>0</v>
      </c>
      <c r="BF31" s="127">
        <f>Jun!GS32</f>
        <v>110</v>
      </c>
      <c r="BG31" s="127">
        <f t="shared" si="9"/>
        <v>110</v>
      </c>
      <c r="BH31" s="127">
        <f t="shared" si="10"/>
        <v>33520</v>
      </c>
      <c r="BI31" s="127"/>
      <c r="BJ31" s="127"/>
      <c r="BK31" s="127"/>
      <c r="BL31" s="128"/>
      <c r="BM31" s="128">
        <f t="shared" si="14"/>
        <v>20600.000000000182</v>
      </c>
      <c r="BN31" s="128"/>
      <c r="BO31" s="128"/>
      <c r="BP31" s="128"/>
      <c r="BQ31" s="128"/>
      <c r="BR31" s="128"/>
      <c r="BS31" s="128"/>
      <c r="BT31" s="42">
        <f>Jun!D70</f>
        <v>0</v>
      </c>
      <c r="BU31" s="42">
        <f>Jun!G71</f>
        <v>18000</v>
      </c>
      <c r="BV31" t="s">
        <v>375</v>
      </c>
      <c r="BX31" s="42">
        <f>Jun!HJ32</f>
        <v>143000</v>
      </c>
      <c r="BY31" s="42">
        <f>Jun!HM32</f>
        <v>0.22430000000000017</v>
      </c>
      <c r="BZ31" s="42">
        <f>Jun!HP32</f>
        <v>34700.055</v>
      </c>
      <c r="CA31" s="42">
        <f>Jun!HS32</f>
        <v>23700.055</v>
      </c>
      <c r="CB31" s="42">
        <f>Jun!HV32</f>
        <v>19900.055000000273</v>
      </c>
      <c r="CC31" s="42">
        <f>Jun!HY32</f>
        <v>22000.054999999957</v>
      </c>
      <c r="CD31" s="42">
        <f>Jun!IB32</f>
        <v>22100</v>
      </c>
      <c r="CE31" s="42">
        <f>Jun!IE32</f>
        <v>0</v>
      </c>
      <c r="CF31" s="42">
        <f>Jun!IH32</f>
        <v>20600</v>
      </c>
    </row>
    <row r="32" spans="1:84" x14ac:dyDescent="0.25">
      <c r="A32" s="26">
        <f t="shared" si="11"/>
        <v>26</v>
      </c>
      <c r="B32" s="42">
        <f>Jun!G33</f>
        <v>476160.00000001804</v>
      </c>
      <c r="C32" s="42">
        <f>Jun!N33</f>
        <v>479000</v>
      </c>
      <c r="D32" s="42">
        <f>Jun!T33</f>
        <v>276.59999999962747</v>
      </c>
      <c r="E32" s="42">
        <f>Jun!V33</f>
        <v>0</v>
      </c>
      <c r="F32" s="42">
        <f>Jun!AB33</f>
        <v>100</v>
      </c>
      <c r="G32" s="42">
        <f>Jun!X33</f>
        <v>17623.400000000373</v>
      </c>
      <c r="H32" s="42">
        <f>Jun!AE33</f>
        <v>4400.0000000005457</v>
      </c>
      <c r="I32" s="42">
        <f>Jun!AI33</f>
        <v>9139.2900000007285</v>
      </c>
      <c r="J32" s="42">
        <f>Jun!AN33</f>
        <v>5529.2899999995871</v>
      </c>
      <c r="K32" s="42">
        <f>Jun!AR33</f>
        <v>11300.000000001091</v>
      </c>
      <c r="L32" s="42">
        <f>Jun!AZ33</f>
        <v>430</v>
      </c>
      <c r="M32" s="42">
        <f>Jun!BC33</f>
        <v>650</v>
      </c>
      <c r="N32" s="125">
        <f t="shared" si="12"/>
        <v>49448.580000001952</v>
      </c>
      <c r="O32" s="125">
        <f>Jun!CA33</f>
        <v>677.90000000002237</v>
      </c>
      <c r="P32" s="125">
        <f>Jun!CD33</f>
        <v>505.90000000002328</v>
      </c>
      <c r="Q32" s="125">
        <f>Jun!CF33</f>
        <v>6093</v>
      </c>
      <c r="R32" s="125">
        <f>Jun!CH33</f>
        <v>0</v>
      </c>
      <c r="S32" s="125">
        <f>Jun!CK33</f>
        <v>15261.389999999978</v>
      </c>
      <c r="T32" s="125">
        <f>Jun!CO33</f>
        <v>5060.2900000000946</v>
      </c>
      <c r="U32" s="125">
        <f>Jun!CS33</f>
        <v>5466.0899999999883</v>
      </c>
      <c r="V32" s="126">
        <f t="shared" si="3"/>
        <v>33064.570000000109</v>
      </c>
      <c r="W32" s="126">
        <f>Jun!CW33</f>
        <v>19269</v>
      </c>
      <c r="X32" s="126">
        <f>Jun!DA33</f>
        <v>11085</v>
      </c>
      <c r="Y32" s="126">
        <f t="shared" si="1"/>
        <v>30354</v>
      </c>
      <c r="Z32" s="42">
        <f>Jun!BR33</f>
        <v>700.00000000004547</v>
      </c>
      <c r="AA32" s="126">
        <f>Jun!BG33</f>
        <v>1599.9999999999091</v>
      </c>
      <c r="AB32" s="126">
        <f>Jun!BJ33</f>
        <v>9399.9999999996362</v>
      </c>
      <c r="AC32" s="126">
        <f>Jun!BL33+Jun!BN33+Jun!BP33</f>
        <v>4610.0000000000045</v>
      </c>
      <c r="AD32" s="126">
        <f>Jun!DR33</f>
        <v>10600</v>
      </c>
      <c r="AE32" s="127">
        <f>Jun!DT33-Jun!DR73-Jun!DT73</f>
        <v>21500</v>
      </c>
      <c r="AF32" s="127">
        <f>Jun!DR73+Jun!DT73</f>
        <v>0</v>
      </c>
      <c r="AG32" s="127">
        <f>Jun!HJ33-AE32</f>
        <v>142500</v>
      </c>
      <c r="AH32" s="127">
        <f>Jun!DW33</f>
        <v>4600.0000000003638</v>
      </c>
      <c r="AI32" s="127">
        <f>Jun!DZ33</f>
        <v>7439.29</v>
      </c>
      <c r="AJ32" s="127">
        <f>Jun!EC33</f>
        <v>24599.29</v>
      </c>
      <c r="AK32" s="127">
        <f t="shared" si="4"/>
        <v>36638.580000000366</v>
      </c>
      <c r="AL32" s="127">
        <f>Jun!EG33</f>
        <v>27599.29</v>
      </c>
      <c r="AM32" s="127">
        <f>Jun!EJ33</f>
        <v>9439.2900000000009</v>
      </c>
      <c r="AN32" s="127">
        <f>Jun!EM33</f>
        <v>549.99999999995453</v>
      </c>
      <c r="AO32" s="127">
        <f t="shared" si="13"/>
        <v>37588.579999999958</v>
      </c>
      <c r="AP32" s="127">
        <f>Jun!FX33</f>
        <v>15100</v>
      </c>
      <c r="AQ32" s="127">
        <f>Jun!GA33</f>
        <v>4799.9999999996362</v>
      </c>
      <c r="AR32" s="127">
        <f>Jun!GG33</f>
        <v>3900.0000000000909</v>
      </c>
      <c r="AS32" s="127">
        <f t="shared" si="6"/>
        <v>23799.999999999727</v>
      </c>
      <c r="AT32" s="127">
        <f>Jun!EQ33</f>
        <v>5559.2900000000045</v>
      </c>
      <c r="AU32" s="127">
        <f>Jun!ET33</f>
        <v>10899.999999999636</v>
      </c>
      <c r="AV32" s="127">
        <f>Jun!EW33</f>
        <v>7939.29</v>
      </c>
      <c r="AW32" s="127">
        <f>Jun!FL70</f>
        <v>11759.814755563682</v>
      </c>
      <c r="AX32" s="127">
        <f>Jun!GJ33</f>
        <v>1599.9999999999091</v>
      </c>
      <c r="AY32" s="127">
        <f t="shared" si="7"/>
        <v>37758.394755563233</v>
      </c>
      <c r="AZ32" s="127">
        <f>Jun!FG33</f>
        <v>8925.9599999999955</v>
      </c>
      <c r="BA32" s="127">
        <f>Jun!FJ33</f>
        <v>15345.960000001091</v>
      </c>
      <c r="BB32" s="127">
        <f>Jun!FM70</f>
        <v>10725.435244436319</v>
      </c>
      <c r="BC32" s="127">
        <f>Jun!GM33</f>
        <v>1500</v>
      </c>
      <c r="BD32" s="127">
        <f t="shared" si="8"/>
        <v>36497.355244437407</v>
      </c>
      <c r="BE32" s="127">
        <f>Jun!GP33</f>
        <v>0</v>
      </c>
      <c r="BF32" s="127">
        <f>Jun!GS33</f>
        <v>100</v>
      </c>
      <c r="BG32" s="127">
        <f t="shared" si="9"/>
        <v>100</v>
      </c>
      <c r="BH32" s="127">
        <f t="shared" si="10"/>
        <v>30354</v>
      </c>
      <c r="BI32" s="127"/>
      <c r="BJ32" s="127"/>
      <c r="BK32" s="127"/>
      <c r="BL32" s="128"/>
      <c r="BM32" s="128">
        <f t="shared" si="14"/>
        <v>23899.999999999727</v>
      </c>
      <c r="BN32" s="128"/>
      <c r="BO32" s="128"/>
      <c r="BP32" s="128"/>
      <c r="BQ32" s="128"/>
      <c r="BR32" s="128"/>
      <c r="BS32" s="128"/>
      <c r="BT32" s="42">
        <f>Jun!D71</f>
        <v>0</v>
      </c>
      <c r="BU32" s="42">
        <f>Jun!G72</f>
        <v>0</v>
      </c>
      <c r="BV32" t="s">
        <v>375</v>
      </c>
      <c r="BX32" s="42">
        <f>Jun!HJ33</f>
        <v>164000</v>
      </c>
      <c r="BY32" s="42">
        <f>Jun!HM33</f>
        <v>0</v>
      </c>
      <c r="BZ32" s="42">
        <f>Jun!HP33</f>
        <v>39895</v>
      </c>
      <c r="CA32" s="42">
        <f>Jun!HS33</f>
        <v>26295.000000000091</v>
      </c>
      <c r="CB32" s="42">
        <f>Jun!HV33</f>
        <v>26795.000000000091</v>
      </c>
      <c r="CC32" s="42">
        <f>Jun!HY33</f>
        <v>24995.000000000138</v>
      </c>
      <c r="CD32" s="42">
        <f>Jun!IB33</f>
        <v>24520</v>
      </c>
      <c r="CE32" s="42">
        <f>Jun!IE33</f>
        <v>0</v>
      </c>
      <c r="CF32" s="42">
        <f>Jun!IH33</f>
        <v>21500</v>
      </c>
    </row>
    <row r="33" spans="1:87" x14ac:dyDescent="0.25">
      <c r="A33" s="26">
        <f t="shared" si="11"/>
        <v>27</v>
      </c>
      <c r="B33" s="42">
        <f>Jun!G34</f>
        <v>508160.00000000349</v>
      </c>
      <c r="C33" s="42">
        <f>Jun!N34</f>
        <v>499000</v>
      </c>
      <c r="D33" s="42">
        <f>Jun!T34</f>
        <v>284.1399999987334</v>
      </c>
      <c r="E33" s="42">
        <f>Jun!V34</f>
        <v>0</v>
      </c>
      <c r="F33" s="42">
        <f>Jun!AB34</f>
        <v>0</v>
      </c>
      <c r="G33" s="42">
        <f>Jun!X34</f>
        <v>17715.860000001267</v>
      </c>
      <c r="H33" s="42">
        <f>Jun!AE34</f>
        <v>5199.9999999998181</v>
      </c>
      <c r="I33" s="42">
        <f>Jun!AI34</f>
        <v>13579.590000000364</v>
      </c>
      <c r="J33" s="42">
        <f>Jun!AN34</f>
        <v>7739.5900000007823</v>
      </c>
      <c r="K33" s="42">
        <f>Jun!AR34</f>
        <v>13500</v>
      </c>
      <c r="L33" s="42">
        <f>Jun!AZ34</f>
        <v>490</v>
      </c>
      <c r="M33" s="42">
        <f>Jun!BC34</f>
        <v>720</v>
      </c>
      <c r="N33" s="125">
        <f t="shared" si="12"/>
        <v>59229.180000000968</v>
      </c>
      <c r="O33" s="125">
        <f>Jun!CA34</f>
        <v>713.09999999999718</v>
      </c>
      <c r="P33" s="125">
        <f>Jun!CD34</f>
        <v>3329.1999999999534</v>
      </c>
      <c r="Q33" s="125">
        <f>Jun!CF34</f>
        <v>7082</v>
      </c>
      <c r="R33" s="125">
        <f>Jun!CH34</f>
        <v>0</v>
      </c>
      <c r="S33" s="125">
        <f>Jun!CK34</f>
        <v>17756.489999999783</v>
      </c>
      <c r="T33" s="125">
        <f>Jun!CO34</f>
        <v>7309.5899999999274</v>
      </c>
      <c r="U33" s="125">
        <f>Jun!CS34</f>
        <v>7190.59</v>
      </c>
      <c r="V33" s="126">
        <f t="shared" si="3"/>
        <v>43380.969999999652</v>
      </c>
      <c r="W33" s="126">
        <f>Jun!CW34</f>
        <v>18057</v>
      </c>
      <c r="X33" s="126">
        <f>Jun!DA34</f>
        <v>10402</v>
      </c>
      <c r="Y33" s="126">
        <f t="shared" si="1"/>
        <v>28459</v>
      </c>
      <c r="Z33" s="42">
        <f>Jun!BR34</f>
        <v>299.99999999995453</v>
      </c>
      <c r="AA33" s="126">
        <f>Jun!BG34</f>
        <v>1599.9999999999091</v>
      </c>
      <c r="AB33" s="126">
        <f>Jun!BJ34</f>
        <v>10000</v>
      </c>
      <c r="AC33" s="126">
        <f>Jun!BL34+Jun!BN34+Jun!BP34</f>
        <v>4639.9999999999909</v>
      </c>
      <c r="AD33" s="126">
        <f>Jun!DR34</f>
        <v>8600</v>
      </c>
      <c r="AE33" s="127">
        <f>Jun!DT34-Jun!DR74-Jun!DT74</f>
        <v>19500</v>
      </c>
      <c r="AF33" s="127">
        <f>Jun!DR74+Jun!DT74</f>
        <v>0</v>
      </c>
      <c r="AG33" s="127">
        <f>Jun!HJ34-AE33</f>
        <v>147500</v>
      </c>
      <c r="AH33" s="127">
        <f>Jun!DW34</f>
        <v>4600.0000000003638</v>
      </c>
      <c r="AI33" s="127">
        <f>Jun!DZ34</f>
        <v>8979.59</v>
      </c>
      <c r="AJ33" s="127">
        <f>Jun!EC34</f>
        <v>26139.59</v>
      </c>
      <c r="AK33" s="127">
        <f t="shared" si="4"/>
        <v>39719.180000000364</v>
      </c>
      <c r="AL33" s="127">
        <f>Jun!EG34</f>
        <v>28139.59</v>
      </c>
      <c r="AM33" s="127">
        <f>Jun!EJ34</f>
        <v>11979.59</v>
      </c>
      <c r="AN33" s="127">
        <f>Jun!EM34</f>
        <v>610.00000000001364</v>
      </c>
      <c r="AO33" s="127">
        <f t="shared" si="13"/>
        <v>40729.180000000015</v>
      </c>
      <c r="AP33" s="127">
        <f>Jun!FX34</f>
        <v>12800</v>
      </c>
      <c r="AQ33" s="127">
        <f>Jun!GA34</f>
        <v>3690.0000000001819</v>
      </c>
      <c r="AR33" s="127">
        <f>Jun!GG34</f>
        <v>3799.9999999997272</v>
      </c>
      <c r="AS33" s="127">
        <f t="shared" si="6"/>
        <v>20289.999999999909</v>
      </c>
      <c r="AT33" s="127">
        <f>Jun!EQ34</f>
        <v>8094.5900000000092</v>
      </c>
      <c r="AU33" s="127">
        <f>Jun!ET34</f>
        <v>11399.999999999636</v>
      </c>
      <c r="AV33" s="127">
        <f>Jun!EW34</f>
        <v>9379.5900000000911</v>
      </c>
      <c r="AW33" s="127">
        <f>Jun!FL71</f>
        <v>12354.636954303274</v>
      </c>
      <c r="AX33" s="127">
        <f>Jun!GJ34+((Jun!GP34+Jun!GS34)*50/100)</f>
        <v>1655.0000000001364</v>
      </c>
      <c r="AY33" s="127">
        <f t="shared" si="7"/>
        <v>42883.816954303147</v>
      </c>
      <c r="AZ33" s="127">
        <f>Jun!FG34</f>
        <v>10769.589999999991</v>
      </c>
      <c r="BA33" s="127">
        <f>Jun!FJ34</f>
        <v>16284.589999999636</v>
      </c>
      <c r="BB33" s="127">
        <f>Jun!FM71</f>
        <v>12509.543045696728</v>
      </c>
      <c r="BC33" s="127">
        <f>Jun!GM34+((Jun!GP34+Jun!GS34)*50/100)</f>
        <v>1655.0000000001364</v>
      </c>
      <c r="BD33" s="127">
        <f t="shared" si="8"/>
        <v>41218.723045696497</v>
      </c>
      <c r="BE33" s="127">
        <f>Jun!GP34</f>
        <v>0</v>
      </c>
      <c r="BF33" s="127">
        <f>Jun!GS34</f>
        <v>110</v>
      </c>
      <c r="BG33" s="127">
        <f t="shared" si="9"/>
        <v>110</v>
      </c>
      <c r="BH33" s="127">
        <f t="shared" si="10"/>
        <v>28459</v>
      </c>
      <c r="BI33" s="127"/>
      <c r="BJ33" s="127"/>
      <c r="BK33" s="127"/>
      <c r="BL33" s="128"/>
      <c r="BM33" s="128">
        <f t="shared" si="14"/>
        <v>20399.999999999909</v>
      </c>
      <c r="BN33" s="128"/>
      <c r="BO33" s="128"/>
      <c r="BP33" s="128"/>
      <c r="BQ33" s="128"/>
      <c r="BR33" s="128"/>
      <c r="BS33" s="128"/>
      <c r="BT33" s="42">
        <f>Jun!D72</f>
        <v>0</v>
      </c>
      <c r="BU33" s="42">
        <f>Jun!G73</f>
        <v>0</v>
      </c>
      <c r="BV33" t="s">
        <v>375</v>
      </c>
      <c r="BX33" s="42">
        <f>Jun!HJ34</f>
        <v>167000</v>
      </c>
      <c r="BY33" s="42">
        <f>Jun!HM34</f>
        <v>0</v>
      </c>
      <c r="BZ33" s="42">
        <f>Jun!HP34</f>
        <v>40895.000000000276</v>
      </c>
      <c r="CA33" s="42">
        <f>Jun!HS34</f>
        <v>26494.999999999727</v>
      </c>
      <c r="CB33" s="42">
        <f>Jun!HV34</f>
        <v>27195</v>
      </c>
      <c r="CC33" s="42">
        <f>Jun!HY34</f>
        <v>25394.999999999818</v>
      </c>
      <c r="CD33" s="42">
        <f>Jun!IB34</f>
        <v>27520</v>
      </c>
      <c r="CE33" s="42">
        <f>Jun!IE34</f>
        <v>0</v>
      </c>
      <c r="CF33" s="42">
        <f>Jun!IH34</f>
        <v>19500</v>
      </c>
    </row>
    <row r="34" spans="1:87" x14ac:dyDescent="0.25">
      <c r="A34" s="26">
        <f t="shared" si="11"/>
        <v>28</v>
      </c>
      <c r="B34" s="42">
        <f>Jun!G35</f>
        <v>467520.00000000407</v>
      </c>
      <c r="C34" s="42">
        <f>Jun!N35</f>
        <v>463000</v>
      </c>
      <c r="D34" s="42">
        <f>Jun!T35</f>
        <v>264.88000000081956</v>
      </c>
      <c r="E34" s="42">
        <f>Jun!V35</f>
        <v>0</v>
      </c>
      <c r="F34" s="42">
        <f>Jun!AB35</f>
        <v>100</v>
      </c>
      <c r="G34" s="42">
        <f>Jun!X35</f>
        <v>18635.11999999918</v>
      </c>
      <c r="H34" s="42">
        <f>Jun!AE35</f>
        <v>5199.9999999998181</v>
      </c>
      <c r="I34" s="42">
        <f>Jun!AI35</f>
        <v>12721.099999998545</v>
      </c>
      <c r="J34" s="42">
        <f>Jun!AN35</f>
        <v>6801.0999999996411</v>
      </c>
      <c r="K34" s="42">
        <f>Jun!AR35</f>
        <v>12699.999999998909</v>
      </c>
      <c r="L34" s="42">
        <f>Jun!AZ35</f>
        <v>520</v>
      </c>
      <c r="M34" s="42">
        <f>Jun!BC35</f>
        <v>690</v>
      </c>
      <c r="N34" s="125">
        <f t="shared" si="12"/>
        <v>57632.199999996912</v>
      </c>
      <c r="O34" s="125">
        <f>Jun!CA35</f>
        <v>559.39999999998236</v>
      </c>
      <c r="P34" s="125">
        <f>Jun!CD35</f>
        <v>3100.4000000000233</v>
      </c>
      <c r="Q34" s="125">
        <f>Jun!CF35</f>
        <v>6996</v>
      </c>
      <c r="R34" s="125">
        <f>Jun!CH35</f>
        <v>0</v>
      </c>
      <c r="S34" s="125">
        <f>Jun!CK35</f>
        <v>16251.699999998706</v>
      </c>
      <c r="T34" s="125">
        <f>Jun!CO35</f>
        <v>6078.0999999998803</v>
      </c>
      <c r="U34" s="125">
        <f>Jun!CS35</f>
        <v>6086.1999999999771</v>
      </c>
      <c r="V34" s="126">
        <f t="shared" si="3"/>
        <v>39071.79999999857</v>
      </c>
      <c r="W34" s="126">
        <f>Jun!CW35</f>
        <v>19357</v>
      </c>
      <c r="X34" s="126">
        <f>Jun!DA35</f>
        <v>10778</v>
      </c>
      <c r="Y34" s="126">
        <f t="shared" si="1"/>
        <v>30135</v>
      </c>
      <c r="Z34" s="42">
        <f>Jun!BR35</f>
        <v>500</v>
      </c>
      <c r="AA34" s="126">
        <f>Jun!BG35</f>
        <v>1700.0000000000455</v>
      </c>
      <c r="AB34" s="126">
        <f>Jun!BJ35</f>
        <v>9899.9999999996362</v>
      </c>
      <c r="AC34" s="126">
        <f>Jun!BL35+Jun!BN35+Jun!BP35</f>
        <v>4719.9999999999955</v>
      </c>
      <c r="AD34" s="126">
        <f>Jun!DR35</f>
        <v>9700</v>
      </c>
      <c r="AE34" s="127">
        <f>Jun!DT35-Jun!DR75-Jun!DT75</f>
        <v>20000</v>
      </c>
      <c r="AF34" s="127">
        <f>Jun!DR75+Jun!DT75</f>
        <v>0</v>
      </c>
      <c r="AG34" s="127">
        <f>Jun!HJ35-AE34</f>
        <v>110000</v>
      </c>
      <c r="AH34" s="127">
        <f>Jun!DW35</f>
        <v>4599.9999999994543</v>
      </c>
      <c r="AI34" s="127">
        <f>Jun!DZ35</f>
        <v>8121.1</v>
      </c>
      <c r="AJ34" s="127">
        <f>Jun!EC35</f>
        <v>25281.1</v>
      </c>
      <c r="AK34" s="127">
        <f t="shared" si="4"/>
        <v>38002.199999999451</v>
      </c>
      <c r="AL34" s="127">
        <f>Jun!EG35</f>
        <v>29281.1</v>
      </c>
      <c r="AM34" s="127">
        <f>Jun!EJ35</f>
        <v>11121.1</v>
      </c>
      <c r="AN34" s="127">
        <f>Jun!EM35</f>
        <v>450.00000000004547</v>
      </c>
      <c r="AO34" s="127">
        <f t="shared" si="13"/>
        <v>40852.200000000041</v>
      </c>
      <c r="AP34" s="127">
        <f>Jun!FX35</f>
        <v>15200</v>
      </c>
      <c r="AQ34" s="127">
        <f>Jun!GA35</f>
        <v>4280.0000000000909</v>
      </c>
      <c r="AR34" s="127">
        <f>Jun!GG35</f>
        <v>3600.0000000001364</v>
      </c>
      <c r="AS34" s="127">
        <f t="shared" si="6"/>
        <v>23080.000000000226</v>
      </c>
      <c r="AT34" s="127">
        <f>Jun!EQ35</f>
        <v>6261.0999999999867</v>
      </c>
      <c r="AU34" s="127">
        <f>Jun!ET35</f>
        <v>14000</v>
      </c>
      <c r="AV34" s="127">
        <f>Jun!EW35</f>
        <v>8821.0999999998185</v>
      </c>
      <c r="AW34" s="127">
        <f>Jun!FL72</f>
        <v>12527.764999999999</v>
      </c>
      <c r="AX34" s="127">
        <f>Jun!GJ35+((Jun!GP35+Jun!GS35)*50/100)</f>
        <v>1864.9999999999545</v>
      </c>
      <c r="AY34" s="127">
        <f t="shared" si="7"/>
        <v>43474.964999999764</v>
      </c>
      <c r="AZ34" s="127">
        <f>Jun!FG35</f>
        <v>8794.4300000000148</v>
      </c>
      <c r="BA34" s="127">
        <f>Jun!FJ35</f>
        <v>15634.429999998909</v>
      </c>
      <c r="BB34" s="127">
        <f>Jun!FM72</f>
        <v>12527.764999999999</v>
      </c>
      <c r="BC34" s="127">
        <f>Jun!GM35+((Jun!GP35+Jun!GS35)*50/100)</f>
        <v>1664.9999999999091</v>
      </c>
      <c r="BD34" s="127">
        <f t="shared" si="8"/>
        <v>38621.624999998836</v>
      </c>
      <c r="BE34" s="127">
        <f>Jun!GP35</f>
        <v>10</v>
      </c>
      <c r="BF34" s="127">
        <f>Jun!GS35</f>
        <v>120</v>
      </c>
      <c r="BG34" s="127">
        <f t="shared" si="9"/>
        <v>130</v>
      </c>
      <c r="BH34" s="127">
        <f t="shared" si="10"/>
        <v>30135</v>
      </c>
      <c r="BI34" s="127"/>
      <c r="BJ34" s="127"/>
      <c r="BK34" s="127"/>
      <c r="BL34" s="128"/>
      <c r="BM34" s="128">
        <f t="shared" si="14"/>
        <v>23210.000000000226</v>
      </c>
      <c r="BN34" s="128"/>
      <c r="BO34" s="128"/>
      <c r="BP34" s="128"/>
      <c r="BQ34" s="128"/>
      <c r="BR34" s="128"/>
      <c r="BS34" s="128"/>
      <c r="BT34" s="42">
        <f>Jun!D73</f>
        <v>0</v>
      </c>
      <c r="BU34" s="42">
        <f>Jun!G74</f>
        <v>0</v>
      </c>
      <c r="BV34" t="s">
        <v>375</v>
      </c>
      <c r="BX34" s="42">
        <f>Jun!HJ35</f>
        <v>130000</v>
      </c>
      <c r="BY34" s="42">
        <f>Jun!HM35</f>
        <v>0</v>
      </c>
      <c r="BZ34" s="42">
        <f>Jun!HP35</f>
        <v>30764.999999999636</v>
      </c>
      <c r="CA34" s="42">
        <f>Jun!HS35</f>
        <v>15565.000000000273</v>
      </c>
      <c r="CB34" s="42">
        <f>Jun!HV35</f>
        <v>21064.999999999818</v>
      </c>
      <c r="CC34" s="42">
        <f>Jun!HY35</f>
        <v>15265.000000000091</v>
      </c>
      <c r="CD34" s="42">
        <f>Jun!IB35</f>
        <v>27340</v>
      </c>
      <c r="CE34" s="42">
        <f>Jun!IE35</f>
        <v>0</v>
      </c>
      <c r="CF34" s="42">
        <f>Jun!IH35</f>
        <v>20000</v>
      </c>
    </row>
    <row r="35" spans="1:87" ht="15" customHeight="1" x14ac:dyDescent="0.25">
      <c r="A35" s="26">
        <f t="shared" si="11"/>
        <v>29</v>
      </c>
      <c r="B35" s="42">
        <f>Jun!G36</f>
        <v>511999.99999997817</v>
      </c>
      <c r="C35" s="42">
        <f>Jun!N36</f>
        <v>512000</v>
      </c>
      <c r="D35" s="42">
        <f>Jun!T36</f>
        <v>255.05000000074506</v>
      </c>
      <c r="E35" s="42">
        <f>Jun!V36</f>
        <v>0</v>
      </c>
      <c r="F35" s="42">
        <f>Jun!AB36</f>
        <v>100</v>
      </c>
      <c r="G35" s="42">
        <f>Jun!X36</f>
        <v>18644.949999999255</v>
      </c>
      <c r="H35" s="42">
        <f>Jun!AE36</f>
        <v>5300.0000000001819</v>
      </c>
      <c r="I35" s="42">
        <f>Jun!AI36</f>
        <v>13041.06</v>
      </c>
      <c r="J35" s="42">
        <f>Jun!AN36</f>
        <v>6671.0599999995993</v>
      </c>
      <c r="K35" s="42">
        <f>Jun!AR36</f>
        <v>13100.000000000364</v>
      </c>
      <c r="L35" s="42">
        <f>Jun!AZ36</f>
        <v>550</v>
      </c>
      <c r="M35" s="42">
        <f>Jun!BC36</f>
        <v>720</v>
      </c>
      <c r="N35" s="125">
        <f t="shared" ref="N35:N37" si="15">SUM(D35:M35)</f>
        <v>58382.120000000141</v>
      </c>
      <c r="O35" s="125">
        <f>Jun!CA36</f>
        <v>574.59999999997535</v>
      </c>
      <c r="P35" s="125">
        <f>Jun!CD36</f>
        <v>1806.9000000000233</v>
      </c>
      <c r="Q35" s="125">
        <f>Jun!CF36</f>
        <v>7215</v>
      </c>
      <c r="R35" s="125">
        <f>Jun!CH36</f>
        <v>0</v>
      </c>
      <c r="S35" s="125">
        <f>Jun!CK36</f>
        <v>16566.460000000388</v>
      </c>
      <c r="T35" s="125">
        <f>Jun!CO36</f>
        <v>6200.0600000001059</v>
      </c>
      <c r="U35" s="125">
        <f>Jun!CS36</f>
        <v>6260.260000000012</v>
      </c>
      <c r="V35" s="126">
        <f t="shared" si="3"/>
        <v>38623.280000000501</v>
      </c>
      <c r="W35" s="126">
        <f>Jun!CW36</f>
        <v>20397</v>
      </c>
      <c r="X35" s="126">
        <f>Jun!DA36</f>
        <v>11232</v>
      </c>
      <c r="Y35" s="126">
        <f t="shared" si="1"/>
        <v>31629</v>
      </c>
      <c r="Z35" s="42">
        <f>Jun!BR36</f>
        <v>300.00000000006821</v>
      </c>
      <c r="AA35" s="126">
        <f>Jun!BG36</f>
        <v>1799.9999999999545</v>
      </c>
      <c r="AB35" s="126">
        <f>Jun!BJ36</f>
        <v>9100.0000000003638</v>
      </c>
      <c r="AC35" s="126">
        <f>Jun!BL36+Jun!BN36+Jun!BP36</f>
        <v>4969.9999999999682</v>
      </c>
      <c r="AD35" s="126">
        <f>Jun!DR36</f>
        <v>7900</v>
      </c>
      <c r="AE35" s="127">
        <f>Jun!DT36-Jun!DR76-Jun!DT76</f>
        <v>19900</v>
      </c>
      <c r="AF35" s="127">
        <f>Jun!DR76+Jun!DT76</f>
        <v>0</v>
      </c>
      <c r="AG35" s="127">
        <f>Jun!HJ36-AE35</f>
        <v>151100</v>
      </c>
      <c r="AH35" s="127">
        <f>Jun!DW36</f>
        <v>4500</v>
      </c>
      <c r="AI35" s="127">
        <f>Jun!DZ36</f>
        <v>8041.06</v>
      </c>
      <c r="AJ35" s="127">
        <f>Jun!EC36</f>
        <v>26201.06</v>
      </c>
      <c r="AK35" s="127">
        <f t="shared" si="4"/>
        <v>38742.120000000003</v>
      </c>
      <c r="AL35" s="127">
        <f>Jun!EG36</f>
        <v>28201.06</v>
      </c>
      <c r="AM35" s="127">
        <f>Jun!EJ36</f>
        <v>11041.06</v>
      </c>
      <c r="AN35" s="127">
        <f>Jun!EM36</f>
        <v>539.99999999996362</v>
      </c>
      <c r="AO35" s="127">
        <f t="shared" si="13"/>
        <v>39782.119999999966</v>
      </c>
      <c r="AP35" s="127">
        <f>Jun!FX36</f>
        <v>15200</v>
      </c>
      <c r="AQ35" s="127">
        <f>Jun!GA36</f>
        <v>4280.0000000000909</v>
      </c>
      <c r="AR35" s="127">
        <f>Jun!GG36</f>
        <v>4599.9999999999091</v>
      </c>
      <c r="AS35" s="127">
        <f t="shared" si="6"/>
        <v>24080</v>
      </c>
      <c r="AT35" s="127">
        <f>Jun!EQ36</f>
        <v>6146.0600000000186</v>
      </c>
      <c r="AU35" s="127">
        <f>Jun!ET36</f>
        <v>14700.000000000728</v>
      </c>
      <c r="AV35" s="127">
        <f>Jun!EW36</f>
        <v>9041.06</v>
      </c>
      <c r="AW35" s="127">
        <f>Jun!FL73</f>
        <v>12075.224999999999</v>
      </c>
      <c r="AX35" s="127">
        <f>Jun!GJ36+((Jun!GP36+Jun!GS36)*50/100)</f>
        <v>1859.9999999999545</v>
      </c>
      <c r="AY35" s="127">
        <f t="shared" ref="AY35:AY37" si="16">SUM(AT35:AX35)</f>
        <v>43822.3450000007</v>
      </c>
      <c r="AZ35" s="127">
        <f>Jun!FG36</f>
        <v>10004.389999999981</v>
      </c>
      <c r="BA35" s="127">
        <f>Jun!FJ36</f>
        <v>18009.390000001458</v>
      </c>
      <c r="BB35" s="127">
        <f>Jun!FM73</f>
        <v>12075.224999999999</v>
      </c>
      <c r="BC35" s="127">
        <f>Jun!GM36+((Jun!GP36+Jun!GS36)*50/100)</f>
        <v>1660.0000000001364</v>
      </c>
      <c r="BD35" s="127">
        <f t="shared" ref="BD35:BD37" si="17">SUM(AZ35:BC35)</f>
        <v>41749.005000001576</v>
      </c>
      <c r="BE35" s="127">
        <f>Jun!GP36</f>
        <v>0</v>
      </c>
      <c r="BF35" s="127">
        <f>Jun!GS36</f>
        <v>120</v>
      </c>
      <c r="BG35" s="127">
        <f t="shared" si="9"/>
        <v>120</v>
      </c>
      <c r="BH35" s="127">
        <f t="shared" si="10"/>
        <v>31629</v>
      </c>
      <c r="BI35" s="127"/>
      <c r="BJ35" s="127"/>
      <c r="BK35" s="127"/>
      <c r="BL35" s="128"/>
      <c r="BM35" s="128">
        <f t="shared" si="14"/>
        <v>24200</v>
      </c>
      <c r="BN35" s="128"/>
      <c r="BO35" s="128"/>
      <c r="BP35" s="128"/>
      <c r="BQ35" s="128"/>
      <c r="BR35" s="128"/>
      <c r="BS35" s="128"/>
      <c r="BT35" s="42">
        <f>Jun!D74</f>
        <v>0</v>
      </c>
      <c r="BU35" s="42">
        <f>Jun!G75</f>
        <v>0</v>
      </c>
      <c r="BV35" t="s">
        <v>375</v>
      </c>
      <c r="BX35" s="42">
        <f>Jun!HJ36</f>
        <v>171000</v>
      </c>
      <c r="BY35" s="42">
        <f>Jun!HM36</f>
        <v>0</v>
      </c>
      <c r="BZ35" s="42">
        <f>Jun!HP36</f>
        <v>40687.500000000182</v>
      </c>
      <c r="CA35" s="42">
        <f>Jun!HS36</f>
        <v>28687.499999999727</v>
      </c>
      <c r="CB35" s="42">
        <f>Jun!HV36</f>
        <v>28487.499999999909</v>
      </c>
      <c r="CC35" s="42">
        <f>Jun!HY36</f>
        <v>23787.500000000091</v>
      </c>
      <c r="CD35" s="42">
        <f>Jun!IB36</f>
        <v>29450</v>
      </c>
      <c r="CE35" s="42">
        <f>Jun!IE36</f>
        <v>0</v>
      </c>
      <c r="CF35" s="42">
        <f>Jun!IH36</f>
        <v>19900</v>
      </c>
    </row>
    <row r="36" spans="1:87" x14ac:dyDescent="0.25">
      <c r="A36" s="26">
        <f t="shared" si="11"/>
        <v>30</v>
      </c>
      <c r="B36" s="42">
        <f>Jun!G37</f>
        <v>460800.00000000291</v>
      </c>
      <c r="C36" s="42">
        <f>Jun!N37</f>
        <v>456000</v>
      </c>
      <c r="D36" s="42">
        <f>Jun!T37</f>
        <v>264.91000000014901</v>
      </c>
      <c r="E36" s="42">
        <f>Jun!V37</f>
        <v>0</v>
      </c>
      <c r="F36" s="42">
        <f>Jun!AB37</f>
        <v>0</v>
      </c>
      <c r="G36" s="42">
        <f>Jun!X37</f>
        <v>16835.090000000215</v>
      </c>
      <c r="H36" s="42">
        <f>Jun!AE37</f>
        <v>5500</v>
      </c>
      <c r="I36" s="42">
        <f>Jun!AI37</f>
        <v>12881.190000001456</v>
      </c>
      <c r="J36" s="42">
        <f>Jun!AN37</f>
        <v>6771.1900000008327</v>
      </c>
      <c r="K36" s="42">
        <f>Jun!AR37</f>
        <v>12600.000000000364</v>
      </c>
      <c r="L36" s="42">
        <f>Jun!AZ37</f>
        <v>490</v>
      </c>
      <c r="M36" s="42">
        <f>Jun!BC37</f>
        <v>700</v>
      </c>
      <c r="N36" s="125">
        <f t="shared" si="15"/>
        <v>56042.380000003017</v>
      </c>
      <c r="O36" s="125">
        <f>Jun!CA37</f>
        <v>520.90000000004011</v>
      </c>
      <c r="P36" s="125">
        <f>Jun!CD37</f>
        <v>2424.2999999999302</v>
      </c>
      <c r="Q36" s="125">
        <f>Jun!CF37</f>
        <v>6313</v>
      </c>
      <c r="R36" s="125">
        <f>Jun!CH37</f>
        <v>0</v>
      </c>
      <c r="S36" s="125">
        <f>Jun!CK37</f>
        <v>15940.289999999522</v>
      </c>
      <c r="T36" s="125">
        <f>Jun!CO37</f>
        <v>6178.190000000116</v>
      </c>
      <c r="U36" s="125">
        <f>Jun!CS37</f>
        <v>6144.0900000000229</v>
      </c>
      <c r="V36" s="126">
        <f t="shared" si="3"/>
        <v>37520.769999999633</v>
      </c>
      <c r="W36" s="126">
        <f>Jun!CW37</f>
        <v>18638</v>
      </c>
      <c r="X36" s="126">
        <f>Jun!DA37</f>
        <v>9832</v>
      </c>
      <c r="Y36" s="126">
        <f t="shared" si="1"/>
        <v>28470</v>
      </c>
      <c r="Z36" s="42">
        <f>Jun!BR37</f>
        <v>599.99999999990905</v>
      </c>
      <c r="AA36" s="126">
        <f>Jun!BG37</f>
        <v>1900.0000000000909</v>
      </c>
      <c r="AB36" s="126">
        <f>Jun!BJ37</f>
        <v>9000</v>
      </c>
      <c r="AC36" s="126">
        <f>Jun!BL37+Jun!BN37+Jun!BP37</f>
        <v>4809.9999999999864</v>
      </c>
      <c r="AD36" s="126">
        <f>Jun!DR37</f>
        <v>11300</v>
      </c>
      <c r="AE36" s="127">
        <f>Jun!DT37-Jun!DR77-Jun!DT77</f>
        <v>19900</v>
      </c>
      <c r="AF36" s="127">
        <f>Jun!DR77+Jun!DT77</f>
        <v>0</v>
      </c>
      <c r="AG36" s="127">
        <f>Jun!HJ37-AE36</f>
        <v>122100</v>
      </c>
      <c r="AH36" s="127">
        <f>Jun!DW37</f>
        <v>4400.0000000005457</v>
      </c>
      <c r="AI36" s="127">
        <f>Jun!DZ37</f>
        <v>7481.19</v>
      </c>
      <c r="AJ36" s="127">
        <f>Jun!EC37</f>
        <v>24641.19</v>
      </c>
      <c r="AK36" s="127">
        <f t="shared" si="4"/>
        <v>36522.380000000543</v>
      </c>
      <c r="AL36" s="127">
        <f>Jun!EG37</f>
        <v>22641.19</v>
      </c>
      <c r="AM36" s="127">
        <f>Jun!EJ37</f>
        <v>10481.19</v>
      </c>
      <c r="AN36" s="127">
        <f>Jun!EM37</f>
        <v>519.99999999998181</v>
      </c>
      <c r="AO36" s="127">
        <f t="shared" si="13"/>
        <v>33642.379999999976</v>
      </c>
      <c r="AP36" s="127">
        <f>Jun!FX37</f>
        <v>9900</v>
      </c>
      <c r="AQ36" s="127">
        <f>Jun!GA37</f>
        <v>3109.9999999998181</v>
      </c>
      <c r="AR36" s="127">
        <f>Jun!GG37</f>
        <v>2899.9999999998636</v>
      </c>
      <c r="AS36" s="127">
        <f t="shared" si="6"/>
        <v>15909.999999999682</v>
      </c>
      <c r="AT36" s="127">
        <f>Jun!EQ37</f>
        <v>6596.1900000000087</v>
      </c>
      <c r="AU36" s="127">
        <f>Jun!ET37</f>
        <v>13899.999999999636</v>
      </c>
      <c r="AV36" s="127">
        <f>Jun!EW37</f>
        <v>9381.1900000000915</v>
      </c>
      <c r="AW36" s="127">
        <f>Jun!FL74</f>
        <v>11333.689999999999</v>
      </c>
      <c r="AX36" s="127">
        <f>Jun!GJ37+((Jun!GP37+Jun!GS37)*50/100)</f>
        <v>1645.0000000001364</v>
      </c>
      <c r="AY36" s="127">
        <f t="shared" si="16"/>
        <v>42856.069999999869</v>
      </c>
      <c r="AZ36" s="127">
        <f>Jun!FG37</f>
        <v>10071.189999999991</v>
      </c>
      <c r="BA36" s="127">
        <f>Jun!FJ37</f>
        <v>17186.189999999999</v>
      </c>
      <c r="BB36" s="127">
        <f>Jun!FM74</f>
        <v>11333.689999999999</v>
      </c>
      <c r="BC36" s="127">
        <f>Jun!GM37+((Jun!GP37+Jun!GS37)*50/100)</f>
        <v>1545</v>
      </c>
      <c r="BD36" s="127">
        <f t="shared" si="17"/>
        <v>40136.069999999992</v>
      </c>
      <c r="BE36" s="127">
        <f>Jun!GP37</f>
        <v>0</v>
      </c>
      <c r="BF36" s="127">
        <f>Jun!GS37</f>
        <v>90</v>
      </c>
      <c r="BG36" s="127">
        <f t="shared" si="9"/>
        <v>90</v>
      </c>
      <c r="BH36" s="127">
        <f t="shared" si="10"/>
        <v>28470</v>
      </c>
      <c r="BI36" s="127"/>
      <c r="BJ36" s="127"/>
      <c r="BK36" s="127"/>
      <c r="BL36" s="128"/>
      <c r="BM36" s="128">
        <f t="shared" si="14"/>
        <v>15999.999999999682</v>
      </c>
      <c r="BN36" s="128"/>
      <c r="BO36" s="128"/>
      <c r="BP36" s="128"/>
      <c r="BQ36" s="128"/>
      <c r="BR36" s="128"/>
      <c r="BS36" s="128"/>
      <c r="BT36" s="42">
        <f>Jun!D75</f>
        <v>0</v>
      </c>
      <c r="BU36" s="42">
        <f>Jun!G76</f>
        <v>0</v>
      </c>
      <c r="BV36" t="s">
        <v>375</v>
      </c>
      <c r="BX36" s="42">
        <f>Jun!HJ37</f>
        <v>142000</v>
      </c>
      <c r="BY36" s="42">
        <f>Jun!HM37</f>
        <v>0</v>
      </c>
      <c r="BZ36" s="42">
        <f>Jun!HP37</f>
        <v>34025.000000000087</v>
      </c>
      <c r="CA36" s="42">
        <f>Jun!HS37</f>
        <v>21125</v>
      </c>
      <c r="CB36" s="42">
        <f>Jun!HV37</f>
        <v>23724.999999999909</v>
      </c>
      <c r="CC36" s="42">
        <f>Jun!HY37</f>
        <v>20824.999999999818</v>
      </c>
      <c r="CD36" s="42">
        <f>Jun!IB37</f>
        <v>22400</v>
      </c>
      <c r="CE36" s="42">
        <f>Jun!IE37</f>
        <v>0</v>
      </c>
      <c r="CF36" s="42">
        <f>Jun!IH37</f>
        <v>19900</v>
      </c>
    </row>
    <row r="37" spans="1:87" hidden="1" x14ac:dyDescent="0.25">
      <c r="A37" s="26">
        <f t="shared" si="11"/>
        <v>31</v>
      </c>
      <c r="B37" s="42">
        <f>Jun!G38</f>
        <v>0</v>
      </c>
      <c r="C37" s="42">
        <f>Jun!N38</f>
        <v>0</v>
      </c>
      <c r="D37" s="42">
        <f>Jun!T38</f>
        <v>0</v>
      </c>
      <c r="E37" s="42">
        <f>Jun!V38</f>
        <v>0</v>
      </c>
      <c r="F37" s="42">
        <f>Jun!AB38</f>
        <v>0</v>
      </c>
      <c r="G37" s="42">
        <f>Jun!X38</f>
        <v>0</v>
      </c>
      <c r="H37" s="42">
        <f>Jun!AE38</f>
        <v>0</v>
      </c>
      <c r="I37" s="42">
        <f>Jun!AI38</f>
        <v>0</v>
      </c>
      <c r="J37" s="42">
        <f>Jun!AN38</f>
        <v>0</v>
      </c>
      <c r="K37" s="42">
        <f>Jun!AR38</f>
        <v>0</v>
      </c>
      <c r="L37" s="42">
        <f>Jun!AZ38</f>
        <v>0</v>
      </c>
      <c r="M37" s="42">
        <f>Jun!BC38</f>
        <v>0</v>
      </c>
      <c r="N37" s="125">
        <f t="shared" si="15"/>
        <v>0</v>
      </c>
      <c r="O37" s="125">
        <f>Jun!CA38</f>
        <v>0</v>
      </c>
      <c r="P37" s="125">
        <f>Jun!CD38</f>
        <v>0</v>
      </c>
      <c r="Q37" s="125">
        <f>Jun!CF38</f>
        <v>0</v>
      </c>
      <c r="R37" s="125">
        <f>Jun!CH38</f>
        <v>0</v>
      </c>
      <c r="S37" s="125">
        <f>Jun!CK38</f>
        <v>0</v>
      </c>
      <c r="T37" s="125">
        <f>Jun!CO38</f>
        <v>0</v>
      </c>
      <c r="U37" s="125">
        <f>Jun!CS38</f>
        <v>0</v>
      </c>
      <c r="V37" s="126">
        <f t="shared" si="3"/>
        <v>0</v>
      </c>
      <c r="W37" s="126">
        <f>Jun!CW38</f>
        <v>0</v>
      </c>
      <c r="X37" s="126">
        <f>Jun!DA38</f>
        <v>0</v>
      </c>
      <c r="Y37" s="126">
        <f t="shared" si="1"/>
        <v>0</v>
      </c>
      <c r="Z37" s="42">
        <f>Jun!BR38</f>
        <v>0</v>
      </c>
      <c r="AA37" s="126">
        <f>Jun!BG38</f>
        <v>0</v>
      </c>
      <c r="AB37" s="126">
        <f>Jun!BJ38</f>
        <v>0</v>
      </c>
      <c r="AC37" s="126">
        <f>Jun!BL38+Jun!BN38+Jun!BP38</f>
        <v>0</v>
      </c>
      <c r="AD37" s="126">
        <f>Jun!DR38</f>
        <v>0</v>
      </c>
      <c r="AE37" s="127">
        <f>Jun!DT38-Jun!DR78-Jun!DT78</f>
        <v>0</v>
      </c>
      <c r="AF37" s="127">
        <f>Jun!DR78+Jun!DT78</f>
        <v>0</v>
      </c>
      <c r="AG37" s="127">
        <f>Jun!HJ38-AE37</f>
        <v>0</v>
      </c>
      <c r="AH37" s="127">
        <f>Jun!DW38</f>
        <v>0</v>
      </c>
      <c r="AI37" s="127">
        <f>Jun!DZ38</f>
        <v>0</v>
      </c>
      <c r="AJ37" s="127">
        <f>Jun!EC38</f>
        <v>0</v>
      </c>
      <c r="AK37" s="127">
        <f t="shared" si="4"/>
        <v>0</v>
      </c>
      <c r="AL37" s="127">
        <f>Jun!EG38</f>
        <v>0</v>
      </c>
      <c r="AM37" s="127">
        <f>Jun!EJ38</f>
        <v>0</v>
      </c>
      <c r="AN37" s="127">
        <f>Jun!EM38</f>
        <v>0</v>
      </c>
      <c r="AO37" s="127">
        <f t="shared" si="13"/>
        <v>0</v>
      </c>
      <c r="AP37" s="127">
        <f>Jun!FX38</f>
        <v>0</v>
      </c>
      <c r="AQ37" s="127">
        <f>Jun!GA38</f>
        <v>0</v>
      </c>
      <c r="AR37" s="127">
        <f>Jun!GG38</f>
        <v>0</v>
      </c>
      <c r="AS37" s="127">
        <f t="shared" si="6"/>
        <v>0</v>
      </c>
      <c r="AT37" s="127">
        <f>Jun!EQ38</f>
        <v>0</v>
      </c>
      <c r="AU37" s="127">
        <f>Jun!ET38</f>
        <v>0</v>
      </c>
      <c r="AV37" s="127">
        <f>Jun!EW38</f>
        <v>0</v>
      </c>
      <c r="AW37" s="127">
        <f>Jun!FL75</f>
        <v>0</v>
      </c>
      <c r="AX37" s="127">
        <f>Jun!GJ38+((Jun!GP38+Jun!GS38)*50/100)</f>
        <v>0</v>
      </c>
      <c r="AY37" s="127">
        <f t="shared" si="16"/>
        <v>0</v>
      </c>
      <c r="AZ37" s="127">
        <f>Jun!FG38</f>
        <v>0</v>
      </c>
      <c r="BA37" s="127">
        <f>Jun!FJ38</f>
        <v>0</v>
      </c>
      <c r="BB37" s="127">
        <f>Jun!FM75</f>
        <v>0</v>
      </c>
      <c r="BC37" s="127">
        <f>Jun!GM38+((Jun!GP38+Jun!GS38)*50/100)</f>
        <v>0</v>
      </c>
      <c r="BD37" s="127">
        <f t="shared" si="17"/>
        <v>0</v>
      </c>
      <c r="BE37" s="127">
        <f>Jun!GP38</f>
        <v>0</v>
      </c>
      <c r="BF37" s="127">
        <f>Jun!GS38</f>
        <v>0</v>
      </c>
      <c r="BG37" s="127">
        <f t="shared" si="9"/>
        <v>0</v>
      </c>
      <c r="BH37" s="127">
        <f t="shared" si="10"/>
        <v>0</v>
      </c>
      <c r="BI37" s="127"/>
      <c r="BJ37" s="127"/>
      <c r="BK37" s="127"/>
      <c r="BL37" s="128"/>
      <c r="BM37" s="128">
        <f>((AS37)+BG37)*49%</f>
        <v>0</v>
      </c>
      <c r="BN37" s="128"/>
      <c r="BO37" s="128">
        <f>((AS37)+BG37)*51%</f>
        <v>0</v>
      </c>
      <c r="BP37" s="128"/>
      <c r="BQ37" s="128"/>
      <c r="BR37" s="128"/>
      <c r="BS37" s="128"/>
      <c r="BT37" s="42">
        <f>Jun!D76</f>
        <v>0</v>
      </c>
      <c r="BU37" s="42">
        <f>Jun!G77</f>
        <v>0</v>
      </c>
      <c r="BX37" s="42">
        <f>Jun!HJ38</f>
        <v>0</v>
      </c>
      <c r="BY37" s="42">
        <f>Jun!HM38</f>
        <v>0</v>
      </c>
      <c r="BZ37" s="42">
        <f>Jun!HS38</f>
        <v>0</v>
      </c>
      <c r="CA37" s="42">
        <f>Jun!HV38</f>
        <v>0</v>
      </c>
      <c r="CB37" s="42">
        <f>Jun!HY38</f>
        <v>0</v>
      </c>
      <c r="CC37" s="42">
        <f>Jun!HP38</f>
        <v>0</v>
      </c>
      <c r="CD37" s="42">
        <f>Jun!IB38</f>
        <v>0</v>
      </c>
      <c r="CE37" s="42"/>
      <c r="CF37" s="42">
        <f>Jun!IH38</f>
        <v>0</v>
      </c>
    </row>
    <row r="38" spans="1:87" x14ac:dyDescent="0.25">
      <c r="A38" s="129" t="s">
        <v>37</v>
      </c>
      <c r="B38" s="130">
        <f t="shared" ref="B38:AJ38" si="18">SUM(B7:B37)</f>
        <v>12684799.99999998</v>
      </c>
      <c r="C38" s="130">
        <f t="shared" si="18"/>
        <v>12593000</v>
      </c>
      <c r="D38" s="130">
        <f t="shared" si="18"/>
        <v>9454.1100000012666</v>
      </c>
      <c r="E38" s="130">
        <f t="shared" si="18"/>
        <v>0</v>
      </c>
      <c r="F38" s="130">
        <f t="shared" si="18"/>
        <v>2200</v>
      </c>
      <c r="G38" s="130">
        <f t="shared" si="18"/>
        <v>522545.88999999943</v>
      </c>
      <c r="H38" s="130">
        <f t="shared" si="18"/>
        <v>179899.99999999965</v>
      </c>
      <c r="I38" s="130">
        <f t="shared" si="18"/>
        <v>411533.16000000102</v>
      </c>
      <c r="J38" s="130">
        <f t="shared" si="18"/>
        <v>177063.16000000082</v>
      </c>
      <c r="K38" s="130">
        <f t="shared" si="18"/>
        <v>313700.0000000007</v>
      </c>
      <c r="L38" s="130">
        <f t="shared" si="18"/>
        <v>13055.320000000007</v>
      </c>
      <c r="M38" s="130">
        <f t="shared" si="18"/>
        <v>19580.290000000008</v>
      </c>
      <c r="N38" s="130">
        <f t="shared" si="18"/>
        <v>1649031.9300000025</v>
      </c>
      <c r="O38" s="130">
        <f t="shared" si="18"/>
        <v>18274.700000000004</v>
      </c>
      <c r="P38" s="130">
        <f t="shared" si="18"/>
        <v>46740.099999999977</v>
      </c>
      <c r="Q38" s="130">
        <f t="shared" si="18"/>
        <v>169449</v>
      </c>
      <c r="R38" s="130">
        <f t="shared" si="18"/>
        <v>0.79999999998835847</v>
      </c>
      <c r="S38" s="130">
        <f t="shared" si="18"/>
        <v>488088.45999999926</v>
      </c>
      <c r="T38" s="130">
        <f t="shared" si="18"/>
        <v>203132.16000000032</v>
      </c>
      <c r="U38" s="130">
        <f t="shared" si="18"/>
        <v>196822.36000000002</v>
      </c>
      <c r="V38" s="130">
        <f t="shared" si="18"/>
        <v>1122507.5799999991</v>
      </c>
      <c r="W38" s="130">
        <f t="shared" si="18"/>
        <v>514779</v>
      </c>
      <c r="X38" s="130">
        <f t="shared" si="18"/>
        <v>283988</v>
      </c>
      <c r="Y38" s="130">
        <f t="shared" si="18"/>
        <v>798767</v>
      </c>
      <c r="Z38" s="130">
        <f t="shared" si="18"/>
        <v>17969.999999999913</v>
      </c>
      <c r="AA38" s="130">
        <f t="shared" si="18"/>
        <v>53599.999999999913</v>
      </c>
      <c r="AB38" s="130">
        <f t="shared" si="18"/>
        <v>277600.00000000035</v>
      </c>
      <c r="AC38" s="130">
        <f t="shared" si="18"/>
        <v>143400</v>
      </c>
      <c r="AD38" s="130">
        <f t="shared" si="18"/>
        <v>298400</v>
      </c>
      <c r="AE38" s="130">
        <f t="shared" si="18"/>
        <v>565520</v>
      </c>
      <c r="AF38" s="130">
        <f t="shared" si="18"/>
        <v>579.99999999999829</v>
      </c>
      <c r="AG38" s="130">
        <f t="shared" si="18"/>
        <v>3948480</v>
      </c>
      <c r="AH38" s="130">
        <f t="shared" si="18"/>
        <v>129200.00000000076</v>
      </c>
      <c r="AI38" s="130">
        <f t="shared" si="18"/>
        <v>229733.16000000003</v>
      </c>
      <c r="AJ38" s="130">
        <f t="shared" si="18"/>
        <v>733533.15999999992</v>
      </c>
      <c r="AK38" s="130">
        <f t="shared" ref="AK38:BU38" si="19">SUM(AK7:AK37)</f>
        <v>1092466.3200000008</v>
      </c>
      <c r="AL38" s="130">
        <f t="shared" si="19"/>
        <v>795533.1599999998</v>
      </c>
      <c r="AM38" s="130">
        <f t="shared" si="19"/>
        <v>346733.16</v>
      </c>
      <c r="AN38" s="130">
        <f t="shared" si="19"/>
        <v>20899.999999999975</v>
      </c>
      <c r="AO38" s="130">
        <f t="shared" si="19"/>
        <v>1163166.3199999996</v>
      </c>
      <c r="AP38" s="130">
        <f t="shared" si="19"/>
        <v>809500</v>
      </c>
      <c r="AQ38" s="130">
        <f t="shared" si="19"/>
        <v>211590.00000000006</v>
      </c>
      <c r="AR38" s="130">
        <f t="shared" si="19"/>
        <v>208299.99999999971</v>
      </c>
      <c r="AS38" s="130">
        <f t="shared" si="19"/>
        <v>1229390.0000000005</v>
      </c>
      <c r="AT38" s="130">
        <f t="shared" si="19"/>
        <v>195833.16000000003</v>
      </c>
      <c r="AU38" s="130">
        <f t="shared" si="19"/>
        <v>377700.00000000081</v>
      </c>
      <c r="AV38" s="130">
        <f t="shared" si="19"/>
        <v>264733.16000000003</v>
      </c>
      <c r="AW38" s="130">
        <f t="shared" si="19"/>
        <v>335335.80774425052</v>
      </c>
      <c r="AX38" s="130">
        <f t="shared" si="19"/>
        <v>49625.000000000087</v>
      </c>
      <c r="AY38" s="130">
        <f t="shared" si="19"/>
        <v>1223227.1277442514</v>
      </c>
      <c r="AZ38" s="130">
        <f t="shared" si="19"/>
        <v>268187.19999999995</v>
      </c>
      <c r="BA38" s="130">
        <f t="shared" si="19"/>
        <v>456987.20000000077</v>
      </c>
      <c r="BB38" s="130">
        <f t="shared" si="19"/>
        <v>344684.55225574947</v>
      </c>
      <c r="BC38" s="130">
        <f t="shared" si="19"/>
        <v>11525.000000000182</v>
      </c>
      <c r="BD38" s="130">
        <f t="shared" si="19"/>
        <v>1081383.9522557503</v>
      </c>
      <c r="BE38" s="130">
        <f t="shared" si="19"/>
        <v>1080</v>
      </c>
      <c r="BF38" s="130">
        <f t="shared" si="19"/>
        <v>7810</v>
      </c>
      <c r="BG38" s="130">
        <f t="shared" si="19"/>
        <v>8890</v>
      </c>
      <c r="BH38" s="130">
        <f t="shared" si="19"/>
        <v>798767</v>
      </c>
      <c r="BI38" s="130">
        <f t="shared" si="19"/>
        <v>0</v>
      </c>
      <c r="BJ38" s="130">
        <f t="shared" si="19"/>
        <v>0</v>
      </c>
      <c r="BK38" s="130">
        <f t="shared" si="19"/>
        <v>0</v>
      </c>
      <c r="BL38" s="130">
        <f t="shared" si="19"/>
        <v>0</v>
      </c>
      <c r="BM38" s="130">
        <f t="shared" si="19"/>
        <v>686976.49999999988</v>
      </c>
      <c r="BN38" s="130">
        <f t="shared" si="19"/>
        <v>0</v>
      </c>
      <c r="BO38" s="130">
        <f t="shared" si="19"/>
        <v>551303.5</v>
      </c>
      <c r="BP38" s="130">
        <f t="shared" si="19"/>
        <v>0</v>
      </c>
      <c r="BQ38" s="130">
        <f t="shared" si="19"/>
        <v>0</v>
      </c>
      <c r="BR38" s="130">
        <f t="shared" si="19"/>
        <v>0</v>
      </c>
      <c r="BS38" s="130">
        <f t="shared" si="19"/>
        <v>0</v>
      </c>
      <c r="BT38" s="130">
        <f t="shared" si="19"/>
        <v>0</v>
      </c>
      <c r="BU38" s="130">
        <f t="shared" si="19"/>
        <v>1989000</v>
      </c>
      <c r="BV38" s="164"/>
      <c r="BX38" s="130">
        <f t="shared" ref="BX38:CF38" si="20">SUM(BX7:BX37)</f>
        <v>4514000</v>
      </c>
      <c r="BY38" s="130">
        <f t="shared" si="20"/>
        <v>0.22430000000000017</v>
      </c>
      <c r="BZ38" s="130">
        <f t="shared" si="20"/>
        <v>4683239.0549999997</v>
      </c>
      <c r="CA38" s="130">
        <f t="shared" si="20"/>
        <v>3667839.0549999997</v>
      </c>
      <c r="CB38" s="130">
        <f t="shared" si="20"/>
        <v>3326239.0549999997</v>
      </c>
      <c r="CC38" s="130">
        <f t="shared" si="20"/>
        <v>2171539.0549999997</v>
      </c>
      <c r="CD38" s="130">
        <f t="shared" si="20"/>
        <v>1232694</v>
      </c>
      <c r="CE38" s="130">
        <f t="shared" si="20"/>
        <v>0</v>
      </c>
      <c r="CF38" s="130">
        <f t="shared" si="20"/>
        <v>566100</v>
      </c>
    </row>
    <row r="39" spans="1:87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E40" t="s">
        <v>388</v>
      </c>
      <c r="AK40" s="3"/>
      <c r="AL40" s="3"/>
      <c r="AM40" s="3"/>
      <c r="AN40" s="3"/>
      <c r="AO40" s="3"/>
      <c r="AP40" s="3"/>
      <c r="AQ40" s="3"/>
      <c r="AR40" s="3"/>
      <c r="AS40" s="151"/>
      <c r="BL40" s="91"/>
      <c r="BM40" s="91"/>
      <c r="BN40" s="91"/>
      <c r="BO40" s="91"/>
      <c r="BP40" s="91"/>
      <c r="BQ40" s="221"/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E41" s="91">
        <f>AE38+AF38</f>
        <v>566100</v>
      </c>
      <c r="AK41" s="3"/>
      <c r="AL41" s="3"/>
      <c r="AM41" s="3"/>
      <c r="AN41" s="3"/>
      <c r="AO41" s="3"/>
      <c r="AP41" s="3"/>
      <c r="AQ41" s="3"/>
      <c r="AR41" s="3"/>
      <c r="AV41" s="3">
        <f>AVERAGE(AS7:AS30)</f>
        <v>45905.83333333335</v>
      </c>
      <c r="BL41" s="91"/>
      <c r="BM41" s="91"/>
      <c r="BN41" s="91"/>
      <c r="BO41" s="91"/>
      <c r="BP41" s="91"/>
      <c r="BQ41" s="221"/>
      <c r="BR41" s="91"/>
      <c r="BV41" s="91"/>
      <c r="BW41" t="s">
        <v>281</v>
      </c>
      <c r="BX41" s="91">
        <f>BX38</f>
        <v>4514000</v>
      </c>
      <c r="CH41" t="s">
        <v>336</v>
      </c>
      <c r="CI41">
        <f>$Y$38</f>
        <v>798767</v>
      </c>
    </row>
    <row r="42" spans="1:87" x14ac:dyDescent="0.25">
      <c r="B42" t="s">
        <v>106</v>
      </c>
      <c r="C42" s="24">
        <f>B38</f>
        <v>12684799.99999998</v>
      </c>
      <c r="D42" s="91"/>
      <c r="N42" s="132"/>
      <c r="O42" s="132"/>
      <c r="P42" s="132"/>
      <c r="Q42" s="132"/>
      <c r="R42" s="132"/>
      <c r="S42" s="132"/>
      <c r="T42" s="132"/>
      <c r="U42" s="132"/>
      <c r="V42" s="497">
        <v>45839</v>
      </c>
      <c r="W42" s="497"/>
      <c r="X42" s="497"/>
      <c r="Y42" s="497"/>
      <c r="Z42" s="497"/>
      <c r="AA42" s="497"/>
      <c r="AB42" s="497"/>
      <c r="AC42" s="497"/>
      <c r="AD42" s="497"/>
      <c r="AK42" s="3"/>
      <c r="AL42" s="3"/>
      <c r="AM42" s="3"/>
      <c r="AN42" s="3"/>
      <c r="AO42" s="3"/>
      <c r="AP42" s="3"/>
      <c r="AQ42" s="3"/>
      <c r="AR42" s="3"/>
      <c r="AV42" s="151">
        <f>AV41/24</f>
        <v>1912.7430555555563</v>
      </c>
      <c r="BI42" s="6" t="s">
        <v>379</v>
      </c>
      <c r="BJ42" s="402" t="s">
        <v>307</v>
      </c>
      <c r="BK42" s="402"/>
      <c r="BL42" s="402"/>
      <c r="BM42" s="402"/>
      <c r="BN42" s="402"/>
      <c r="BO42" s="402"/>
      <c r="BP42" s="402"/>
      <c r="BQ42" s="221"/>
      <c r="BW42" t="s">
        <v>258</v>
      </c>
      <c r="BX42" s="91">
        <f>BY38</f>
        <v>0.22430000000000017</v>
      </c>
      <c r="CH42" t="s">
        <v>17</v>
      </c>
      <c r="CI42">
        <f>$AS$38</f>
        <v>1229390.0000000005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406" t="s">
        <v>158</v>
      </c>
      <c r="W43" s="406"/>
      <c r="X43" s="406"/>
      <c r="Y43" s="406"/>
      <c r="Z43" s="406"/>
      <c r="AA43" s="406" t="s">
        <v>159</v>
      </c>
      <c r="AB43" s="406"/>
      <c r="AC43" s="406"/>
      <c r="AD43" s="406"/>
      <c r="AK43" s="169"/>
      <c r="AL43" s="134"/>
      <c r="AM43" s="134"/>
      <c r="AN43" s="170"/>
      <c r="AO43" s="169"/>
      <c r="AP43" s="134"/>
      <c r="AQ43" s="134"/>
      <c r="AR43" s="134"/>
      <c r="BI43" s="6">
        <v>1</v>
      </c>
      <c r="BJ43" s="464" t="s">
        <v>360</v>
      </c>
      <c r="BK43" s="464"/>
      <c r="BL43" s="464"/>
      <c r="BM43" s="464"/>
      <c r="BN43" s="464"/>
      <c r="BO43" s="464"/>
      <c r="BP43" s="464"/>
      <c r="BQ43" s="221"/>
      <c r="BW43" t="s">
        <v>204</v>
      </c>
      <c r="BX43" s="91">
        <f>BZ38</f>
        <v>4683239.0549999997</v>
      </c>
      <c r="CH43" t="s">
        <v>19</v>
      </c>
      <c r="CI43">
        <f>$BG$38</f>
        <v>8890</v>
      </c>
    </row>
    <row r="44" spans="1:87" x14ac:dyDescent="0.25">
      <c r="B44" t="s">
        <v>120</v>
      </c>
      <c r="C44" s="24">
        <f>N38</f>
        <v>1649031.9300000025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I44" s="6">
        <v>2</v>
      </c>
      <c r="BJ44" s="464" t="s">
        <v>367</v>
      </c>
      <c r="BK44" s="464"/>
      <c r="BL44" s="464"/>
      <c r="BM44" s="464"/>
      <c r="BN44" s="464"/>
      <c r="BO44" s="464"/>
      <c r="BP44" s="464"/>
      <c r="BQ44" s="221"/>
      <c r="BW44" t="s">
        <v>260</v>
      </c>
      <c r="BX44" s="91">
        <f>CA38</f>
        <v>3667839.0549999997</v>
      </c>
      <c r="CI44">
        <f>SUM(CI41:CI43)</f>
        <v>2037047.0000000005</v>
      </c>
    </row>
    <row r="45" spans="1:87" x14ac:dyDescent="0.25">
      <c r="B45" t="s">
        <v>157</v>
      </c>
      <c r="C45" s="24">
        <f>V38</f>
        <v>1122507.5799999991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I45" s="6">
        <v>3</v>
      </c>
      <c r="BJ45" s="464" t="s">
        <v>368</v>
      </c>
      <c r="BK45" s="464"/>
      <c r="BL45" s="464"/>
      <c r="BM45" s="464"/>
      <c r="BN45" s="464"/>
      <c r="BO45" s="464"/>
      <c r="BP45" s="464"/>
      <c r="BQ45" s="221"/>
      <c r="BW45" t="s">
        <v>261</v>
      </c>
      <c r="BX45" s="91">
        <f>CB38</f>
        <v>3326239.0549999997</v>
      </c>
      <c r="CH45" t="s">
        <v>337</v>
      </c>
      <c r="CI45">
        <f>SUM($BH$38:$BK$38)</f>
        <v>798767</v>
      </c>
    </row>
    <row r="46" spans="1:87" x14ac:dyDescent="0.25">
      <c r="B46" t="s">
        <v>160</v>
      </c>
      <c r="C46" s="24">
        <f>Y38</f>
        <v>798767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I46" s="6">
        <v>4</v>
      </c>
      <c r="BJ46" s="464" t="s">
        <v>369</v>
      </c>
      <c r="BK46" s="464"/>
      <c r="BL46" s="464"/>
      <c r="BM46" s="464"/>
      <c r="BN46" s="464"/>
      <c r="BO46" s="464"/>
      <c r="BP46" s="464"/>
      <c r="BQ46" s="221"/>
      <c r="BW46" t="s">
        <v>318</v>
      </c>
      <c r="BX46" s="91">
        <f>$CC$38</f>
        <v>2171539.0549999997</v>
      </c>
      <c r="CH46" t="s">
        <v>333</v>
      </c>
      <c r="CI46">
        <f>SUM($BL$38:$BO$38)</f>
        <v>1238280</v>
      </c>
    </row>
    <row r="47" spans="1:87" x14ac:dyDescent="0.25">
      <c r="B47" t="s">
        <v>128</v>
      </c>
      <c r="C47" s="24">
        <f>AK38</f>
        <v>1092466.3200000008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I47" s="6">
        <v>5</v>
      </c>
      <c r="BJ47" s="464" t="s">
        <v>370</v>
      </c>
      <c r="BK47" s="464"/>
      <c r="BL47" s="464"/>
      <c r="BM47" s="464"/>
      <c r="BN47" s="464"/>
      <c r="BO47" s="464"/>
      <c r="BP47" s="464"/>
      <c r="BQ47" s="221"/>
      <c r="BW47" t="s">
        <v>346</v>
      </c>
      <c r="BX47" s="91">
        <f>$CD$38</f>
        <v>1232694</v>
      </c>
      <c r="CH47" t="s">
        <v>331</v>
      </c>
      <c r="CI47">
        <f>SUM($BP$38:$BS$38)</f>
        <v>0</v>
      </c>
    </row>
    <row r="48" spans="1:87" x14ac:dyDescent="0.25">
      <c r="B48" t="s">
        <v>130</v>
      </c>
      <c r="C48" s="24">
        <f>AO38</f>
        <v>1163166.3199999996</v>
      </c>
      <c r="D48" s="91"/>
      <c r="N48" s="132"/>
      <c r="O48" s="132"/>
      <c r="P48" s="132"/>
      <c r="Q48" s="132"/>
      <c r="R48" s="132"/>
      <c r="S48" s="132"/>
      <c r="T48" s="132"/>
      <c r="U48" s="132"/>
      <c r="V48" s="406" t="s">
        <v>178</v>
      </c>
      <c r="W48" s="406"/>
      <c r="X48" s="406"/>
      <c r="Y48" s="406"/>
      <c r="Z48" s="406"/>
      <c r="AA48" s="406" t="s">
        <v>161</v>
      </c>
      <c r="AB48" s="406"/>
      <c r="AC48" s="406" t="s">
        <v>162</v>
      </c>
      <c r="AD48" s="406"/>
      <c r="BI48" s="6">
        <v>6</v>
      </c>
      <c r="BJ48" s="464" t="s">
        <v>360</v>
      </c>
      <c r="BK48" s="464"/>
      <c r="BL48" s="464"/>
      <c r="BM48" s="464"/>
      <c r="BN48" s="464"/>
      <c r="BO48" s="464"/>
      <c r="BP48" s="464"/>
      <c r="BQ48" s="221"/>
      <c r="BW48" t="s">
        <v>358</v>
      </c>
      <c r="BX48" s="91">
        <f>CE38</f>
        <v>0</v>
      </c>
      <c r="CI48">
        <f>SUM(CI45:CI47)</f>
        <v>2037047</v>
      </c>
    </row>
    <row r="49" spans="2:76" x14ac:dyDescent="0.25">
      <c r="B49" t="s">
        <v>132</v>
      </c>
      <c r="C49" s="24">
        <f>AY38</f>
        <v>1223227.1277442514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I49" s="6">
        <v>7</v>
      </c>
      <c r="BJ49" s="464" t="s">
        <v>363</v>
      </c>
      <c r="BK49" s="464"/>
      <c r="BL49" s="464"/>
      <c r="BM49" s="464"/>
      <c r="BN49" s="464"/>
      <c r="BO49" s="464"/>
      <c r="BP49" s="464"/>
      <c r="BQ49" s="221"/>
      <c r="BW49" t="s">
        <v>282</v>
      </c>
      <c r="BX49" s="91">
        <f>$CF$38</f>
        <v>566100</v>
      </c>
    </row>
    <row r="50" spans="2:76" x14ac:dyDescent="0.25">
      <c r="B50" t="s">
        <v>133</v>
      </c>
      <c r="C50" s="69">
        <f>BD38</f>
        <v>1081383.9522557503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I50" s="6">
        <v>8</v>
      </c>
      <c r="BJ50" s="464" t="s">
        <v>362</v>
      </c>
      <c r="BK50" s="464"/>
      <c r="BL50" s="464"/>
      <c r="BM50" s="464"/>
      <c r="BN50" s="464"/>
      <c r="BO50" s="464"/>
      <c r="BP50" s="464"/>
      <c r="BQ50" s="221"/>
      <c r="BX50" s="91"/>
    </row>
    <row r="51" spans="2:76" x14ac:dyDescent="0.25">
      <c r="B51" t="s">
        <v>131</v>
      </c>
      <c r="C51" s="24">
        <f>AS38</f>
        <v>1229390.0000000005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I51" s="6">
        <v>9</v>
      </c>
      <c r="BJ51" s="464" t="s">
        <v>363</v>
      </c>
      <c r="BK51" s="464"/>
      <c r="BL51" s="464"/>
      <c r="BM51" s="464"/>
      <c r="BN51" s="464"/>
      <c r="BO51" s="464"/>
      <c r="BP51" s="464"/>
      <c r="BQ51" s="221"/>
      <c r="BW51" t="s">
        <v>98</v>
      </c>
      <c r="BX51" s="91">
        <f>BX41+BX42-BX43-BX44-BX45-BX46-BX47-BX48-BX49</f>
        <v>-11133649.995699998</v>
      </c>
    </row>
    <row r="52" spans="2:76" x14ac:dyDescent="0.25">
      <c r="B52" t="s">
        <v>19</v>
      </c>
      <c r="C52" s="24">
        <f>BG38</f>
        <v>8890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I52" s="6">
        <v>10</v>
      </c>
      <c r="BJ52" s="464" t="s">
        <v>371</v>
      </c>
      <c r="BK52" s="464"/>
      <c r="BL52" s="464"/>
      <c r="BM52" s="464"/>
      <c r="BN52" s="464"/>
      <c r="BO52" s="464"/>
      <c r="BP52" s="464"/>
      <c r="BQ52" s="221"/>
    </row>
    <row r="53" spans="2:76" x14ac:dyDescent="0.25">
      <c r="B53" t="s">
        <v>163</v>
      </c>
      <c r="C53" s="24">
        <f>AA38</f>
        <v>53599.999999999913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I53" s="6">
        <v>11</v>
      </c>
      <c r="BJ53" s="464" t="s">
        <v>372</v>
      </c>
      <c r="BK53" s="464"/>
      <c r="BL53" s="464"/>
      <c r="BM53" s="464"/>
      <c r="BN53" s="464"/>
      <c r="BO53" s="464"/>
      <c r="BP53" s="464"/>
      <c r="BQ53" s="221"/>
    </row>
    <row r="54" spans="2:76" x14ac:dyDescent="0.25">
      <c r="B54" t="s">
        <v>6</v>
      </c>
      <c r="C54" s="24">
        <f>AB38</f>
        <v>277600.00000000035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I54" s="6">
        <v>12</v>
      </c>
      <c r="BJ54" s="464" t="s">
        <v>364</v>
      </c>
      <c r="BK54" s="464"/>
      <c r="BL54" s="464"/>
      <c r="BM54" s="464"/>
      <c r="BN54" s="464"/>
      <c r="BO54" s="464"/>
      <c r="BP54" s="464"/>
      <c r="BQ54" s="221"/>
    </row>
    <row r="55" spans="2:76" x14ac:dyDescent="0.25">
      <c r="B55" t="s">
        <v>164</v>
      </c>
      <c r="C55" s="24">
        <f>Z38</f>
        <v>17969.999999999913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I55" s="6">
        <v>13</v>
      </c>
      <c r="BJ55" s="464" t="s">
        <v>372</v>
      </c>
      <c r="BK55" s="464"/>
      <c r="BL55" s="464"/>
      <c r="BM55" s="464"/>
      <c r="BN55" s="464"/>
      <c r="BO55" s="464"/>
      <c r="BP55" s="464"/>
      <c r="BQ55" s="221"/>
    </row>
    <row r="56" spans="2:76" x14ac:dyDescent="0.25">
      <c r="B56" t="s">
        <v>165</v>
      </c>
      <c r="C56" s="24">
        <f>AC38</f>
        <v>143400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I56" s="6">
        <v>14</v>
      </c>
      <c r="BJ56" s="464" t="s">
        <v>369</v>
      </c>
      <c r="BK56" s="464"/>
      <c r="BL56" s="464"/>
      <c r="BM56" s="464"/>
      <c r="BN56" s="464"/>
      <c r="BO56" s="464"/>
      <c r="BP56" s="464"/>
      <c r="BQ56" s="221"/>
    </row>
    <row r="57" spans="2:76" x14ac:dyDescent="0.25">
      <c r="B57" t="s">
        <v>377</v>
      </c>
      <c r="C57" s="24">
        <f>AD38</f>
        <v>298400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I57" s="6">
        <v>15</v>
      </c>
      <c r="BJ57" s="464" t="s">
        <v>373</v>
      </c>
      <c r="BK57" s="464"/>
      <c r="BL57" s="464"/>
      <c r="BM57" s="464"/>
      <c r="BN57" s="464"/>
      <c r="BO57" s="464"/>
      <c r="BP57" s="464"/>
      <c r="BQ57" s="221"/>
    </row>
    <row r="58" spans="2:76" x14ac:dyDescent="0.25">
      <c r="B58" t="s">
        <v>376</v>
      </c>
      <c r="C58" s="24">
        <f>AE38</f>
        <v>565520</v>
      </c>
      <c r="D58" s="91"/>
      <c r="N58" s="91"/>
      <c r="O58" s="91"/>
      <c r="P58" s="91"/>
      <c r="Q58" s="91"/>
      <c r="R58" s="91"/>
      <c r="S58" s="91"/>
      <c r="T58" s="91"/>
      <c r="U58" s="91"/>
      <c r="BI58" s="6">
        <v>16</v>
      </c>
      <c r="BJ58" s="464" t="s">
        <v>368</v>
      </c>
      <c r="BK58" s="464"/>
      <c r="BL58" s="464"/>
      <c r="BM58" s="464"/>
      <c r="BN58" s="464"/>
      <c r="BO58" s="464"/>
      <c r="BP58" s="464"/>
      <c r="BQ58" s="221"/>
    </row>
    <row r="59" spans="2:76" x14ac:dyDescent="0.25">
      <c r="B59" t="s">
        <v>250</v>
      </c>
      <c r="C59" s="24">
        <f>AF38</f>
        <v>579.99999999999829</v>
      </c>
      <c r="D59" s="91"/>
      <c r="N59" s="91"/>
      <c r="O59" s="91"/>
      <c r="P59" s="91"/>
      <c r="Q59" s="91"/>
      <c r="R59" s="91"/>
      <c r="S59" s="91"/>
      <c r="T59" s="91"/>
      <c r="U59" s="91"/>
      <c r="BI59" s="6">
        <v>17</v>
      </c>
      <c r="BJ59" s="464" t="s">
        <v>372</v>
      </c>
      <c r="BK59" s="464"/>
      <c r="BL59" s="464"/>
      <c r="BM59" s="464"/>
      <c r="BN59" s="464"/>
      <c r="BO59" s="464"/>
      <c r="BP59" s="464"/>
      <c r="BQ59" s="221"/>
    </row>
    <row r="60" spans="2:76" x14ac:dyDescent="0.25">
      <c r="B60" t="s">
        <v>251</v>
      </c>
      <c r="C60" s="24">
        <f>AG38</f>
        <v>3948480</v>
      </c>
      <c r="D60" s="91"/>
      <c r="N60" s="91"/>
      <c r="O60" s="91"/>
      <c r="P60" s="91"/>
      <c r="Q60" s="91"/>
      <c r="R60" s="91"/>
      <c r="S60" s="91"/>
      <c r="T60" s="91"/>
      <c r="U60" s="91"/>
      <c r="BI60" s="6">
        <v>18</v>
      </c>
      <c r="BJ60" s="464" t="s">
        <v>368</v>
      </c>
      <c r="BK60" s="464"/>
      <c r="BL60" s="464"/>
      <c r="BM60" s="464"/>
      <c r="BN60" s="464"/>
      <c r="BO60" s="464"/>
      <c r="BP60" s="464"/>
      <c r="BQ60" s="221"/>
    </row>
    <row r="61" spans="2:76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I61" s="6">
        <v>19</v>
      </c>
      <c r="BJ61" s="464" t="s">
        <v>364</v>
      </c>
      <c r="BK61" s="464"/>
      <c r="BL61" s="464"/>
      <c r="BM61" s="464"/>
      <c r="BN61" s="464"/>
      <c r="BO61" s="464"/>
      <c r="BP61" s="464"/>
      <c r="BQ61" s="221"/>
    </row>
    <row r="62" spans="2:76" x14ac:dyDescent="0.25">
      <c r="B62" t="s">
        <v>192</v>
      </c>
      <c r="C62" s="24">
        <f>BU38</f>
        <v>1989000</v>
      </c>
      <c r="D62" s="91"/>
      <c r="N62" s="3"/>
      <c r="O62" s="3"/>
      <c r="P62" s="3"/>
      <c r="Q62" s="3"/>
      <c r="R62" s="3"/>
      <c r="S62" s="3"/>
      <c r="T62" s="3"/>
      <c r="U62" s="3"/>
      <c r="BI62" s="6">
        <v>20</v>
      </c>
      <c r="BJ62" s="464" t="s">
        <v>369</v>
      </c>
      <c r="BK62" s="464"/>
      <c r="BL62" s="464"/>
      <c r="BM62" s="464"/>
      <c r="BN62" s="464"/>
      <c r="BO62" s="464"/>
      <c r="BP62" s="464"/>
      <c r="BQ62" s="221"/>
    </row>
    <row r="63" spans="2:76" x14ac:dyDescent="0.25">
      <c r="B63" t="s">
        <v>167</v>
      </c>
      <c r="C63" s="24">
        <f>C42-C44-C45-C46-C47-C48-C49-C50-C51-C52-C53-C54-C55-C56-C57-C58-C61+C62-C60</f>
        <v>-0.23000002186745405</v>
      </c>
      <c r="D63" s="3"/>
      <c r="N63" s="3"/>
      <c r="O63" s="3"/>
      <c r="P63" s="3"/>
      <c r="Q63" s="3"/>
      <c r="R63" s="3"/>
      <c r="S63" s="3"/>
      <c r="T63" s="3"/>
      <c r="U63" s="3"/>
      <c r="BI63" s="6">
        <v>21</v>
      </c>
      <c r="BJ63" s="464" t="s">
        <v>360</v>
      </c>
      <c r="BK63" s="464"/>
      <c r="BL63" s="464"/>
      <c r="BM63" s="464"/>
      <c r="BN63" s="464"/>
      <c r="BO63" s="464"/>
      <c r="BP63" s="464"/>
      <c r="BQ63" s="221"/>
    </row>
    <row r="64" spans="2:76" x14ac:dyDescent="0.25">
      <c r="BI64" s="6">
        <v>22</v>
      </c>
      <c r="BJ64" s="464" t="s">
        <v>374</v>
      </c>
      <c r="BK64" s="464"/>
      <c r="BL64" s="464"/>
      <c r="BM64" s="464"/>
      <c r="BN64" s="464"/>
      <c r="BO64" s="464"/>
      <c r="BP64" s="464"/>
      <c r="BQ64" s="221"/>
    </row>
    <row r="65" spans="2:69" x14ac:dyDescent="0.25">
      <c r="BI65" s="6">
        <v>23</v>
      </c>
      <c r="BJ65" s="464" t="s">
        <v>375</v>
      </c>
      <c r="BK65" s="464"/>
      <c r="BL65" s="464"/>
      <c r="BM65" s="464"/>
      <c r="BN65" s="464"/>
      <c r="BO65" s="464"/>
      <c r="BP65" s="464"/>
      <c r="BQ65" s="221"/>
    </row>
    <row r="66" spans="2:69" x14ac:dyDescent="0.25">
      <c r="B66" s="3"/>
      <c r="C66" s="3"/>
      <c r="D66" s="151"/>
      <c r="BI66" s="6">
        <v>24</v>
      </c>
      <c r="BJ66" s="464" t="s">
        <v>375</v>
      </c>
      <c r="BK66" s="464"/>
      <c r="BL66" s="464"/>
      <c r="BM66" s="464"/>
      <c r="BN66" s="464"/>
      <c r="BO66" s="464"/>
      <c r="BP66" s="464"/>
      <c r="BQ66" s="221"/>
    </row>
    <row r="67" spans="2:69" x14ac:dyDescent="0.25">
      <c r="BI67" s="6">
        <v>25</v>
      </c>
      <c r="BJ67" s="464" t="s">
        <v>375</v>
      </c>
      <c r="BK67" s="464"/>
      <c r="BL67" s="464"/>
      <c r="BM67" s="464"/>
      <c r="BN67" s="464"/>
      <c r="BO67" s="464"/>
      <c r="BP67" s="464"/>
      <c r="BQ67" s="221"/>
    </row>
    <row r="68" spans="2:69" x14ac:dyDescent="0.25">
      <c r="BI68" s="6">
        <v>26</v>
      </c>
      <c r="BJ68" s="464" t="s">
        <v>375</v>
      </c>
      <c r="BK68" s="464"/>
      <c r="BL68" s="464"/>
      <c r="BM68" s="464"/>
      <c r="BN68" s="464"/>
      <c r="BO68" s="464"/>
      <c r="BP68" s="464"/>
      <c r="BQ68" s="221"/>
    </row>
    <row r="69" spans="2:69" x14ac:dyDescent="0.25">
      <c r="BI69" s="6">
        <v>27</v>
      </c>
      <c r="BJ69" s="464" t="s">
        <v>375</v>
      </c>
      <c r="BK69" s="464"/>
      <c r="BL69" s="464"/>
      <c r="BM69" s="464"/>
      <c r="BN69" s="464"/>
      <c r="BO69" s="464"/>
      <c r="BP69" s="464"/>
      <c r="BQ69" s="221"/>
    </row>
    <row r="70" spans="2:69" x14ac:dyDescent="0.25">
      <c r="BI70" s="6">
        <v>28</v>
      </c>
      <c r="BJ70" s="464" t="s">
        <v>375</v>
      </c>
      <c r="BK70" s="464"/>
      <c r="BL70" s="464"/>
      <c r="BM70" s="464"/>
      <c r="BN70" s="464"/>
      <c r="BO70" s="464"/>
      <c r="BP70" s="464"/>
      <c r="BQ70" s="221"/>
    </row>
    <row r="71" spans="2:69" x14ac:dyDescent="0.25">
      <c r="BI71" s="6">
        <v>29</v>
      </c>
      <c r="BJ71" s="464" t="s">
        <v>375</v>
      </c>
      <c r="BK71" s="464"/>
      <c r="BL71" s="464"/>
      <c r="BM71" s="464"/>
      <c r="BN71" s="464"/>
      <c r="BO71" s="464"/>
      <c r="BP71" s="464"/>
      <c r="BQ71" s="221"/>
    </row>
    <row r="72" spans="2:69" x14ac:dyDescent="0.25">
      <c r="BI72" s="6">
        <v>30</v>
      </c>
      <c r="BJ72" s="464" t="s">
        <v>375</v>
      </c>
      <c r="BK72" s="464"/>
      <c r="BL72" s="464"/>
      <c r="BM72" s="464"/>
      <c r="BN72" s="464"/>
      <c r="BO72" s="464"/>
      <c r="BP72" s="464"/>
      <c r="BQ72" s="221"/>
    </row>
  </sheetData>
  <customSheetViews>
    <customSheetView guid="{48545DB9-4D9D-4699-ACEC-DA6E2D3586A8}" scale="85" fitToPage="1" hiddenRows="1" hiddenColumns="1">
      <pane xSplit="1" ySplit="6" topLeftCell="B42" activePane="bottomRight" state="frozen"/>
      <selection pane="bottomRight" activeCell="B68" sqref="B68"/>
      <pageMargins left="0.31496062992125984" right="0" top="0.35433070866141736" bottom="0.19685039370078741" header="0.31496062992125984" footer="0.31496062992125984"/>
      <printOptions horizontalCentered="1"/>
      <pageSetup paperSize="9" scale="43" orientation="landscape" r:id="rId1"/>
    </customSheetView>
    <customSheetView guid="{32ABFE17-599B-4D0B-A1DB-D95B181877FC}" scale="85" fitToPage="1" hiddenRows="1" hiddenColumns="1">
      <pane xSplit="1" ySplit="6" topLeftCell="B42" activePane="bottomRight" state="frozen"/>
      <selection pane="bottomRight" activeCell="B68" sqref="B68"/>
      <pageMargins left="0.31496062992125984" right="0" top="0.35433070866141736" bottom="0.19685039370078741" header="0.31496062992125984" footer="0.31496062992125984"/>
      <printOptions horizontalCentered="1"/>
      <pageSetup paperSize="9" scale="43" orientation="landscape" r:id="rId2"/>
    </customSheetView>
  </customSheetViews>
  <mergeCells count="83">
    <mergeCell ref="BJ72:BP72"/>
    <mergeCell ref="BJ67:BP67"/>
    <mergeCell ref="BJ68:BP68"/>
    <mergeCell ref="BJ69:BP69"/>
    <mergeCell ref="BJ70:BP70"/>
    <mergeCell ref="BJ71:BP71"/>
    <mergeCell ref="BJ62:BP62"/>
    <mergeCell ref="BJ63:BP63"/>
    <mergeCell ref="BJ64:BP64"/>
    <mergeCell ref="BJ65:BP65"/>
    <mergeCell ref="BJ66:BP66"/>
    <mergeCell ref="BJ57:BP57"/>
    <mergeCell ref="BJ58:BP58"/>
    <mergeCell ref="BJ59:BP59"/>
    <mergeCell ref="BJ60:BP60"/>
    <mergeCell ref="BJ61:BP61"/>
    <mergeCell ref="BJ52:BP52"/>
    <mergeCell ref="BJ53:BP53"/>
    <mergeCell ref="BJ54:BP54"/>
    <mergeCell ref="BJ55:BP55"/>
    <mergeCell ref="BJ56:BP56"/>
    <mergeCell ref="BJ47:BP47"/>
    <mergeCell ref="BJ48:BP48"/>
    <mergeCell ref="BJ49:BP49"/>
    <mergeCell ref="BJ50:BP50"/>
    <mergeCell ref="BJ51:BP51"/>
    <mergeCell ref="BJ42:BP42"/>
    <mergeCell ref="BJ43:BP43"/>
    <mergeCell ref="BJ44:BP44"/>
    <mergeCell ref="BJ45:BP45"/>
    <mergeCell ref="BJ46:BP46"/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P4:AR4"/>
    <mergeCell ref="AA4:AA6"/>
    <mergeCell ref="AB4:AB6"/>
    <mergeCell ref="AC4:AC6"/>
    <mergeCell ref="AD4:AD6"/>
    <mergeCell ref="AE4:AE6"/>
    <mergeCell ref="AF4:AF6"/>
    <mergeCell ref="AG4:AG6"/>
    <mergeCell ref="AH4:AJ4"/>
    <mergeCell ref="AK4:AK6"/>
    <mergeCell ref="AL4:AN4"/>
    <mergeCell ref="AO4:AO6"/>
    <mergeCell ref="BT4:BT6"/>
    <mergeCell ref="BU4:BU6"/>
    <mergeCell ref="AS4:AS6"/>
    <mergeCell ref="AT4:AW4"/>
    <mergeCell ref="AY4:AY6"/>
    <mergeCell ref="AZ4:BB4"/>
    <mergeCell ref="BD4:BD6"/>
    <mergeCell ref="BE4:BF4"/>
    <mergeCell ref="CD4:CD6"/>
    <mergeCell ref="CE4:CE6"/>
    <mergeCell ref="CF4:CF6"/>
    <mergeCell ref="D5:I5"/>
    <mergeCell ref="J5:K5"/>
    <mergeCell ref="L5:M5"/>
    <mergeCell ref="BX4:BX6"/>
    <mergeCell ref="BY4:BY6"/>
    <mergeCell ref="BZ4:BZ6"/>
    <mergeCell ref="CA4:CA6"/>
    <mergeCell ref="CB4:CB6"/>
    <mergeCell ref="CC4:CC6"/>
    <mergeCell ref="BG4:BG6"/>
    <mergeCell ref="BH4:BK5"/>
    <mergeCell ref="BL4:BO5"/>
    <mergeCell ref="BP4:BS5"/>
    <mergeCell ref="V48:Z48"/>
    <mergeCell ref="AA48:AB48"/>
    <mergeCell ref="AC48:AD48"/>
    <mergeCell ref="V42:AD42"/>
    <mergeCell ref="V43:Z43"/>
    <mergeCell ref="AA43:AD43"/>
  </mergeCells>
  <printOptions horizontalCentered="1"/>
  <pageMargins left="0.31496062992125984" right="0" top="0.35433070866141736" bottom="0.19685039370078741" header="0.31496062992125984" footer="0.31496062992125984"/>
  <pageSetup paperSize="9" scale="43" orientation="landscape" r:id="rId3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>
    <pageSetUpPr fitToPage="1"/>
  </sheetPr>
  <dimension ref="A1:XAU88"/>
  <sheetViews>
    <sheetView zoomScale="85" zoomScaleNormal="85" workbookViewId="0">
      <pane xSplit="1" ySplit="6" topLeftCell="ER7" activePane="bottomRight" state="frozen"/>
      <selection pane="topRight" activeCell="B1" sqref="B1"/>
      <selection pane="bottomLeft" activeCell="A7" sqref="A7"/>
      <selection pane="bottomRight" activeCell="GX2" sqref="GX2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5" bestFit="1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5" width="12.28515625" bestFit="1" customWidth="1"/>
    <col min="96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57031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11.5703125" bestFit="1" customWidth="1"/>
    <col min="183" max="183" width="10.42578125" customWidth="1"/>
    <col min="184" max="185" width="10.7109375" bestFit="1" customWidth="1"/>
    <col min="186" max="186" width="8.42578125" customWidth="1"/>
    <col min="187" max="187" width="13.85546875" customWidth="1"/>
    <col min="188" max="188" width="12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4" width="1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2" width="7.42578125" bestFit="1" customWidth="1"/>
    <col min="233" max="233" width="11" bestFit="1" customWidth="1"/>
    <col min="234" max="239" width="11" customWidth="1"/>
    <col min="240" max="240" width="5.5703125" bestFit="1" customWidth="1"/>
    <col min="241" max="241" width="7.28515625" bestFit="1" customWidth="1"/>
    <col min="242" max="242" width="11" bestFit="1" customWidth="1"/>
    <col min="243" max="243" width="24.140625" bestFit="1" customWidth="1"/>
    <col min="244" max="244" width="9.5703125" bestFit="1" customWidth="1"/>
    <col min="245" max="245" width="8.5703125" bestFit="1" customWidth="1"/>
    <col min="246" max="246" width="11" bestFit="1" customWidth="1"/>
    <col min="247" max="248" width="7.42578125" bestFit="1" customWidth="1"/>
    <col min="249" max="249" width="11" bestFit="1" customWidth="1"/>
    <col min="250" max="251" width="8.5703125" bestFit="1" customWidth="1"/>
    <col min="252" max="252" width="11" bestFit="1" customWidth="1"/>
    <col min="253" max="254" width="8.5703125" bestFit="1" customWidth="1"/>
    <col min="255" max="255" width="11" bestFit="1" customWidth="1"/>
    <col min="256" max="257" width="9.5703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8.5703125" bestFit="1" customWidth="1"/>
    <col min="263" max="263" width="7.42578125" bestFit="1" customWidth="1"/>
    <col min="264" max="264" width="11" bestFit="1" customWidth="1"/>
    <col min="265" max="265" width="9.5703125" bestFit="1" customWidth="1"/>
    <col min="266" max="266" width="8.5703125" bestFit="1" customWidth="1"/>
    <col min="267" max="267" width="11" bestFit="1" customWidth="1"/>
    <col min="268" max="268" width="9.5703125" bestFit="1" customWidth="1"/>
    <col min="269" max="269" width="7.42578125" bestFit="1" customWidth="1"/>
    <col min="270" max="270" width="11" bestFit="1" customWidth="1"/>
    <col min="271" max="272" width="8.5703125" bestFit="1" customWidth="1"/>
    <col min="273" max="273" width="11" bestFit="1" customWidth="1"/>
    <col min="274" max="275" width="9.5703125" bestFit="1" customWidth="1"/>
    <col min="276" max="276" width="11" bestFit="1" customWidth="1"/>
    <col min="277" max="277" width="9.5703125" bestFit="1" customWidth="1"/>
    <col min="278" max="278" width="8.5703125" bestFit="1" customWidth="1"/>
    <col min="279" max="279" width="11" bestFit="1" customWidth="1"/>
    <col min="280" max="281" width="8.5703125" bestFit="1" customWidth="1"/>
    <col min="282" max="282" width="11" bestFit="1" customWidth="1"/>
    <col min="283" max="283" width="9.5703125" bestFit="1" customWidth="1"/>
    <col min="284" max="284" width="10.5703125" bestFit="1" customWidth="1"/>
    <col min="285" max="285" width="11" bestFit="1" customWidth="1"/>
    <col min="286" max="286" width="7.42578125" bestFit="1" customWidth="1"/>
    <col min="287" max="287" width="7.28515625" bestFit="1" customWidth="1"/>
    <col min="288" max="288" width="11" bestFit="1" customWidth="1"/>
    <col min="289" max="289" width="8.5703125" bestFit="1" customWidth="1"/>
    <col min="290" max="290" width="7.42578125" bestFit="1" customWidth="1"/>
    <col min="291" max="291" width="11" bestFit="1" customWidth="1"/>
    <col min="292" max="292" width="12.140625" bestFit="1" customWidth="1"/>
    <col min="293" max="293" width="14.42578125" bestFit="1" customWidth="1"/>
    <col min="294" max="294" width="13.28515625" bestFit="1" customWidth="1"/>
    <col min="295" max="295" width="11.5703125" bestFit="1" customWidth="1"/>
    <col min="296" max="296" width="7.7109375" bestFit="1" customWidth="1"/>
    <col min="297" max="298" width="14.42578125" bestFit="1" customWidth="1"/>
    <col min="299" max="299" width="11.5703125" bestFit="1" customWidth="1"/>
    <col min="300" max="300" width="7.7109375" bestFit="1" customWidth="1"/>
    <col min="301" max="301" width="13.5703125" customWidth="1"/>
    <col min="302" max="302" width="15.28515625" customWidth="1"/>
    <col min="303" max="303" width="14.5703125" customWidth="1"/>
    <col min="304" max="304" width="13.28515625" bestFit="1" customWidth="1"/>
    <col min="305" max="305" width="7.7109375" bestFit="1" customWidth="1"/>
    <col min="306" max="306" width="12.7109375" bestFit="1" customWidth="1"/>
    <col min="307" max="307" width="11.7109375" bestFit="1" customWidth="1"/>
    <col min="308" max="308" width="11.5703125" bestFit="1" customWidth="1"/>
    <col min="309" max="309" width="5.28515625" bestFit="1" customWidth="1"/>
    <col min="310" max="310" width="13.28515625" bestFit="1" customWidth="1"/>
    <col min="311" max="311" width="13.5703125" bestFit="1" customWidth="1"/>
    <col min="312" max="312" width="10.5703125" bestFit="1" customWidth="1"/>
    <col min="313" max="313" width="13.28515625" bestFit="1" customWidth="1"/>
    <col min="314" max="314" width="11.5703125" bestFit="1" customWidth="1"/>
    <col min="315" max="315" width="10.5703125" bestFit="1" customWidth="1"/>
    <col min="316" max="316" width="16.140625" bestFit="1" customWidth="1"/>
    <col min="317" max="318" width="11.28515625" bestFit="1" customWidth="1"/>
    <col min="319" max="319" width="13.28515625" bestFit="1" customWidth="1"/>
    <col min="320" max="320" width="7.7109375" bestFit="1" customWidth="1"/>
    <col min="321" max="324" width="9.140625" hidden="1" customWidth="1"/>
    <col min="325" max="325" width="10.42578125" bestFit="1" customWidth="1"/>
    <col min="326" max="326" width="10.5703125" bestFit="1" customWidth="1"/>
    <col min="327" max="327" width="10.42578125" bestFit="1" customWidth="1"/>
    <col min="328" max="328" width="10.5703125" bestFit="1" customWidth="1"/>
    <col min="329" max="329" width="9.5703125" bestFit="1" customWidth="1"/>
    <col min="330" max="330" width="11.5703125" bestFit="1" customWidth="1"/>
    <col min="331" max="331" width="10.42578125" bestFit="1" customWidth="1"/>
    <col min="332" max="332" width="10.85546875" customWidth="1"/>
    <col min="333" max="334" width="9.85546875" bestFit="1" customWidth="1"/>
    <col min="335" max="335" width="13.5703125" bestFit="1" customWidth="1"/>
    <col min="336" max="336" width="7.7109375" bestFit="1" customWidth="1"/>
    <col min="337" max="337" width="13.28515625" bestFit="1" customWidth="1"/>
    <col min="338" max="338" width="11.5703125" bestFit="1" customWidth="1"/>
    <col min="339" max="339" width="10.42578125" bestFit="1" customWidth="1"/>
    <col min="340" max="340" width="7.7109375" bestFit="1" customWidth="1"/>
    <col min="341" max="341" width="11.5703125" bestFit="1" customWidth="1"/>
    <col min="342" max="342" width="10.85546875" bestFit="1" customWidth="1"/>
    <col min="343" max="343" width="13.28515625" bestFit="1" customWidth="1"/>
    <col min="344" max="344" width="10.85546875" bestFit="1" customWidth="1"/>
    <col min="345" max="346" width="7.5703125" bestFit="1" customWidth="1"/>
    <col min="347" max="348" width="10.42578125" bestFit="1" customWidth="1"/>
    <col min="349" max="349" width="11.5703125" bestFit="1" customWidth="1"/>
    <col min="350" max="350" width="5.28515625" bestFit="1" customWidth="1"/>
    <col min="351" max="351" width="10.28515625" bestFit="1" customWidth="1"/>
    <col min="352" max="352" width="10.42578125" bestFit="1" customWidth="1"/>
    <col min="353" max="353" width="11.5703125" bestFit="1" customWidth="1"/>
    <col min="354" max="354" width="5.28515625" bestFit="1" customWidth="1"/>
    <col min="355" max="357" width="11.5703125" bestFit="1" customWidth="1"/>
    <col min="358" max="358" width="5.28515625" bestFit="1" customWidth="1"/>
    <col min="359" max="360" width="10.42578125" bestFit="1" customWidth="1"/>
    <col min="361" max="361" width="11.5703125" bestFit="1" customWidth="1"/>
    <col min="362" max="362" width="5.28515625" bestFit="1" customWidth="1"/>
    <col min="363" max="363" width="14.28515625" bestFit="1" customWidth="1"/>
    <col min="364" max="364" width="13" bestFit="1" customWidth="1"/>
    <col min="365" max="365" width="11.5703125" bestFit="1" customWidth="1"/>
    <col min="366" max="366" width="8.85546875" bestFit="1" customWidth="1"/>
    <col min="367" max="367" width="14.42578125" bestFit="1" customWidth="1"/>
    <col min="368" max="368" width="10.42578125" bestFit="1" customWidth="1"/>
    <col min="369" max="369" width="12.28515625" bestFit="1" customWidth="1"/>
    <col min="370" max="370" width="13.85546875" bestFit="1" customWidth="1"/>
    <col min="371" max="371" width="11.28515625" customWidth="1"/>
    <col min="372" max="372" width="11.5703125" customWidth="1"/>
    <col min="373" max="373" width="13.42578125" bestFit="1" customWidth="1"/>
    <col min="374" max="374" width="10.42578125" customWidth="1"/>
    <col min="375" max="375" width="13.85546875" bestFit="1" customWidth="1"/>
    <col min="376" max="376" width="15.42578125" bestFit="1" customWidth="1"/>
    <col min="377" max="377" width="12.28515625" bestFit="1" customWidth="1"/>
    <col min="378" max="378" width="12.7109375" customWidth="1"/>
    <col min="379" max="379" width="10.7109375" bestFit="1" customWidth="1"/>
    <col min="380" max="380" width="9.85546875" customWidth="1"/>
    <col min="381" max="382" width="10.140625" bestFit="1" customWidth="1"/>
    <col min="383" max="383" width="7.5703125" bestFit="1" customWidth="1"/>
    <col min="384" max="384" width="9.42578125" bestFit="1" customWidth="1"/>
    <col min="385" max="385" width="14.5703125" bestFit="1" customWidth="1"/>
    <col min="386" max="386" width="14.85546875" customWidth="1"/>
    <col min="387" max="387" width="15.140625" bestFit="1" customWidth="1"/>
    <col min="388" max="388" width="12.140625" bestFit="1" customWidth="1"/>
    <col min="389" max="389" width="14.85546875" bestFit="1" customWidth="1"/>
    <col min="390" max="390" width="12.28515625" bestFit="1" customWidth="1"/>
    <col min="391" max="399" width="9.140625" hidden="1" customWidth="1"/>
    <col min="400" max="400" width="5.28515625" bestFit="1" customWidth="1"/>
    <col min="401" max="406" width="11.5703125" bestFit="1" customWidth="1"/>
    <col min="407" max="407" width="11.28515625" bestFit="1" customWidth="1"/>
    <col min="408" max="408" width="10.140625" bestFit="1" customWidth="1"/>
    <col min="409" max="409" width="11.5703125" bestFit="1" customWidth="1"/>
    <col min="410" max="410" width="16.140625" customWidth="1"/>
    <col min="411" max="411" width="13.42578125" customWidth="1"/>
    <col min="412" max="412" width="10.140625" bestFit="1" customWidth="1"/>
    <col min="413" max="413" width="12.85546875" bestFit="1" customWidth="1"/>
    <col min="414" max="414" width="12.28515625" bestFit="1" customWidth="1"/>
    <col min="415" max="415" width="11.28515625" bestFit="1" customWidth="1"/>
    <col min="416" max="416" width="11.5703125" bestFit="1" customWidth="1"/>
    <col min="417" max="417" width="10.85546875" bestFit="1" customWidth="1"/>
    <col min="418" max="418" width="11.28515625" bestFit="1" customWidth="1"/>
    <col min="419" max="419" width="10.140625" bestFit="1" customWidth="1"/>
    <col min="420" max="420" width="13.28515625" bestFit="1" customWidth="1"/>
    <col min="421" max="422" width="12.7109375" bestFit="1" customWidth="1"/>
    <col min="423" max="423" width="11" bestFit="1" customWidth="1"/>
    <col min="424" max="424" width="11.28515625" bestFit="1" customWidth="1"/>
    <col min="425" max="425" width="11.5703125" bestFit="1" customWidth="1"/>
    <col min="426" max="426" width="12.28515625" bestFit="1" customWidth="1"/>
    <col min="427" max="427" width="15.140625" bestFit="1" customWidth="1"/>
    <col min="428" max="428" width="14.42578125" bestFit="1" customWidth="1"/>
    <col min="429" max="429" width="12.28515625" bestFit="1" customWidth="1"/>
    <col min="430" max="430" width="15.140625" bestFit="1" customWidth="1"/>
    <col min="431" max="431" width="14.42578125" bestFit="1" customWidth="1"/>
    <col min="432" max="432" width="12.28515625" bestFit="1" customWidth="1"/>
    <col min="433" max="433" width="14.42578125" bestFit="1" customWidth="1"/>
    <col min="434" max="434" width="11.28515625" bestFit="1" customWidth="1"/>
    <col min="435" max="435" width="12.28515625" bestFit="1" customWidth="1"/>
    <col min="436" max="436" width="13" bestFit="1" customWidth="1"/>
    <col min="437" max="437" width="15.140625" bestFit="1" customWidth="1"/>
    <col min="438" max="438" width="12.28515625" bestFit="1" customWidth="1"/>
    <col min="439" max="439" width="13.85546875" bestFit="1" customWidth="1"/>
    <col min="440" max="440" width="11.28515625" bestFit="1" customWidth="1"/>
    <col min="441" max="441" width="12.28515625" bestFit="1" customWidth="1"/>
    <col min="442" max="442" width="13.85546875" bestFit="1" customWidth="1"/>
    <col min="443" max="444" width="15.140625" bestFit="1" customWidth="1"/>
    <col min="445" max="445" width="12.28515625" bestFit="1" customWidth="1"/>
    <col min="446" max="446" width="5.7109375" bestFit="1" customWidth="1"/>
    <col min="447" max="447" width="8.5703125" bestFit="1" customWidth="1"/>
    <col min="448" max="448" width="5.5703125" bestFit="1" customWidth="1"/>
    <col min="449" max="449" width="14.42578125" bestFit="1" customWidth="1"/>
    <col min="450" max="450" width="11.28515625" bestFit="1" customWidth="1"/>
    <col min="451" max="452" width="12.28515625" bestFit="1" customWidth="1"/>
    <col min="453" max="453" width="11.28515625" bestFit="1" customWidth="1"/>
    <col min="454" max="454" width="13.85546875" bestFit="1" customWidth="1"/>
    <col min="455" max="455" width="12" bestFit="1" customWidth="1"/>
    <col min="456" max="456" width="13.85546875" bestFit="1" customWidth="1"/>
    <col min="457" max="458" width="14.42578125" customWidth="1"/>
    <col min="459" max="459" width="10.140625" bestFit="1" customWidth="1"/>
    <col min="460" max="460" width="12.28515625" bestFit="1" customWidth="1"/>
    <col min="461" max="461" width="7.42578125" bestFit="1" customWidth="1"/>
    <col min="462" max="462" width="8.5703125" bestFit="1" customWidth="1"/>
    <col min="463" max="463" width="11.5703125" bestFit="1" customWidth="1"/>
    <col min="464" max="464" width="13.28515625" bestFit="1" customWidth="1"/>
    <col min="465" max="465" width="13.28515625" customWidth="1"/>
    <col min="466" max="466" width="13.140625" customWidth="1"/>
    <col min="467" max="467" width="12.7109375" bestFit="1" customWidth="1"/>
    <col min="468" max="468" width="13.28515625" bestFit="1" customWidth="1"/>
    <col min="469" max="471" width="13.28515625" customWidth="1"/>
    <col min="472" max="472" width="12.140625" bestFit="1" customWidth="1"/>
    <col min="473" max="473" width="12.7109375" bestFit="1" customWidth="1"/>
    <col min="474" max="474" width="11" customWidth="1"/>
    <col min="475" max="475" width="16.7109375" customWidth="1"/>
    <col min="476" max="476" width="17" customWidth="1"/>
    <col min="477" max="477" width="10.42578125" bestFit="1" customWidth="1"/>
    <col min="521" max="521" width="3.85546875" customWidth="1"/>
    <col min="522" max="522" width="15.28515625" bestFit="1" customWidth="1"/>
    <col min="523" max="523" width="12.28515625" customWidth="1"/>
    <col min="524" max="524" width="16.28515625" bestFit="1" customWidth="1"/>
    <col min="525" max="525" width="6.42578125" bestFit="1" customWidth="1"/>
    <col min="526" max="526" width="9.28515625" bestFit="1" customWidth="1"/>
    <col min="527" max="527" width="7.5703125" bestFit="1" customWidth="1"/>
    <col min="528" max="528" width="13.28515625" bestFit="1" customWidth="1"/>
    <col min="529" max="529" width="9.28515625" bestFit="1" customWidth="1"/>
    <col min="530" max="530" width="11.5703125" bestFit="1" customWidth="1"/>
    <col min="531" max="531" width="13.28515625" bestFit="1" customWidth="1"/>
    <col min="532" max="532" width="7.140625" bestFit="1" customWidth="1"/>
    <col min="533" max="533" width="12" bestFit="1" customWidth="1"/>
    <col min="534" max="534" width="13.28515625" bestFit="1" customWidth="1"/>
    <col min="535" max="535" width="7" bestFit="1" customWidth="1"/>
    <col min="536" max="536" width="12.7109375" bestFit="1" customWidth="1"/>
    <col min="537" max="537" width="11.5703125" bestFit="1" customWidth="1"/>
    <col min="538" max="538" width="10.5703125" bestFit="1" customWidth="1"/>
    <col min="539" max="540" width="15.7109375" bestFit="1" customWidth="1"/>
    <col min="541" max="541" width="11.5703125" bestFit="1" customWidth="1"/>
    <col min="542" max="542" width="7.7109375" bestFit="1" customWidth="1"/>
    <col min="543" max="543" width="15.140625" bestFit="1" customWidth="1"/>
    <col min="544" max="544" width="11.5703125" bestFit="1" customWidth="1"/>
    <col min="545" max="545" width="13.28515625" bestFit="1" customWidth="1"/>
    <col min="546" max="546" width="10.42578125" bestFit="1" customWidth="1"/>
    <col min="547" max="547" width="13.28515625" bestFit="1" customWidth="1"/>
    <col min="548" max="548" width="12.140625" bestFit="1" customWidth="1"/>
    <col min="549" max="549" width="14.42578125" bestFit="1" customWidth="1"/>
    <col min="550" max="550" width="13.28515625" bestFit="1" customWidth="1"/>
    <col min="551" max="551" width="11.5703125" bestFit="1" customWidth="1"/>
    <col min="552" max="552" width="7.7109375" bestFit="1" customWidth="1"/>
    <col min="553" max="554" width="14.42578125" bestFit="1" customWidth="1"/>
    <col min="555" max="555" width="11.5703125" bestFit="1" customWidth="1"/>
    <col min="556" max="556" width="7.7109375" bestFit="1" customWidth="1"/>
    <col min="557" max="557" width="13.5703125" customWidth="1"/>
    <col min="558" max="558" width="15.28515625" customWidth="1"/>
    <col min="559" max="559" width="14.5703125" customWidth="1"/>
    <col min="560" max="560" width="13.28515625" bestFit="1" customWidth="1"/>
    <col min="561" max="561" width="7.7109375" bestFit="1" customWidth="1"/>
    <col min="562" max="562" width="12.7109375" bestFit="1" customWidth="1"/>
    <col min="563" max="563" width="11.7109375" bestFit="1" customWidth="1"/>
    <col min="564" max="564" width="11.5703125" bestFit="1" customWidth="1"/>
    <col min="565" max="565" width="5.28515625" bestFit="1" customWidth="1"/>
    <col min="566" max="566" width="13.28515625" bestFit="1" customWidth="1"/>
    <col min="567" max="567" width="13.5703125" bestFit="1" customWidth="1"/>
    <col min="568" max="568" width="10.5703125" bestFit="1" customWidth="1"/>
    <col min="569" max="569" width="13.28515625" bestFit="1" customWidth="1"/>
    <col min="570" max="570" width="11.5703125" bestFit="1" customWidth="1"/>
    <col min="571" max="571" width="10.5703125" bestFit="1" customWidth="1"/>
    <col min="572" max="572" width="16.140625" bestFit="1" customWidth="1"/>
    <col min="573" max="574" width="11.28515625" bestFit="1" customWidth="1"/>
    <col min="575" max="575" width="13.28515625" bestFit="1" customWidth="1"/>
    <col min="576" max="576" width="7.7109375" bestFit="1" customWidth="1"/>
    <col min="577" max="580" width="9.140625" hidden="1" customWidth="1"/>
    <col min="581" max="581" width="10.42578125" bestFit="1" customWidth="1"/>
    <col min="582" max="582" width="10.5703125" bestFit="1" customWidth="1"/>
    <col min="583" max="583" width="10.42578125" bestFit="1" customWidth="1"/>
    <col min="584" max="584" width="10.5703125" bestFit="1" customWidth="1"/>
    <col min="585" max="585" width="9.5703125" bestFit="1" customWidth="1"/>
    <col min="586" max="586" width="11.5703125" bestFit="1" customWidth="1"/>
    <col min="587" max="587" width="10.42578125" bestFit="1" customWidth="1"/>
    <col min="588" max="588" width="10.85546875" customWidth="1"/>
    <col min="589" max="590" width="9.85546875" bestFit="1" customWidth="1"/>
    <col min="591" max="591" width="13.5703125" bestFit="1" customWidth="1"/>
    <col min="592" max="592" width="7.7109375" bestFit="1" customWidth="1"/>
    <col min="593" max="593" width="13.28515625" bestFit="1" customWidth="1"/>
    <col min="594" max="594" width="11.5703125" bestFit="1" customWidth="1"/>
    <col min="595" max="595" width="10.42578125" bestFit="1" customWidth="1"/>
    <col min="596" max="596" width="7.7109375" bestFit="1" customWidth="1"/>
    <col min="597" max="597" width="11.5703125" bestFit="1" customWidth="1"/>
    <col min="598" max="598" width="10.85546875" bestFit="1" customWidth="1"/>
    <col min="599" max="599" width="13.28515625" bestFit="1" customWidth="1"/>
    <col min="600" max="600" width="10.85546875" bestFit="1" customWidth="1"/>
    <col min="601" max="602" width="7.5703125" bestFit="1" customWidth="1"/>
    <col min="603" max="604" width="10.42578125" bestFit="1" customWidth="1"/>
    <col min="605" max="605" width="11.5703125" bestFit="1" customWidth="1"/>
    <col min="606" max="606" width="5.28515625" bestFit="1" customWidth="1"/>
    <col min="607" max="607" width="10.28515625" bestFit="1" customWidth="1"/>
    <col min="608" max="608" width="10.42578125" bestFit="1" customWidth="1"/>
    <col min="609" max="609" width="11.5703125" bestFit="1" customWidth="1"/>
    <col min="610" max="610" width="5.28515625" bestFit="1" customWidth="1"/>
    <col min="611" max="613" width="11.5703125" bestFit="1" customWidth="1"/>
    <col min="614" max="614" width="5.28515625" bestFit="1" customWidth="1"/>
    <col min="615" max="616" width="10.42578125" bestFit="1" customWidth="1"/>
    <col min="617" max="617" width="11.5703125" bestFit="1" customWidth="1"/>
    <col min="618" max="618" width="5.28515625" bestFit="1" customWidth="1"/>
    <col min="619" max="619" width="14.28515625" bestFit="1" customWidth="1"/>
    <col min="620" max="620" width="13" bestFit="1" customWidth="1"/>
    <col min="621" max="621" width="11.5703125" bestFit="1" customWidth="1"/>
    <col min="622" max="622" width="8.85546875" bestFit="1" customWidth="1"/>
    <col min="623" max="623" width="14.42578125" bestFit="1" customWidth="1"/>
    <col min="624" max="624" width="10.42578125" bestFit="1" customWidth="1"/>
    <col min="625" max="625" width="12.28515625" bestFit="1" customWidth="1"/>
    <col min="626" max="626" width="13.85546875" bestFit="1" customWidth="1"/>
    <col min="627" max="627" width="11.28515625" customWidth="1"/>
    <col min="628" max="628" width="11.5703125" customWidth="1"/>
    <col min="629" max="629" width="13.42578125" bestFit="1" customWidth="1"/>
    <col min="630" max="630" width="10.42578125" customWidth="1"/>
    <col min="631" max="631" width="13.85546875" bestFit="1" customWidth="1"/>
    <col min="632" max="632" width="15.42578125" bestFit="1" customWidth="1"/>
    <col min="633" max="633" width="12.28515625" bestFit="1" customWidth="1"/>
    <col min="634" max="634" width="12.7109375" customWidth="1"/>
    <col min="635" max="635" width="10.7109375" bestFit="1" customWidth="1"/>
    <col min="636" max="636" width="9.85546875" customWidth="1"/>
    <col min="637" max="638" width="10.140625" bestFit="1" customWidth="1"/>
    <col min="639" max="639" width="7.5703125" bestFit="1" customWidth="1"/>
    <col min="640" max="640" width="9.42578125" bestFit="1" customWidth="1"/>
    <col min="641" max="641" width="14.5703125" bestFit="1" customWidth="1"/>
    <col min="642" max="642" width="14.85546875" customWidth="1"/>
    <col min="643" max="643" width="15.140625" bestFit="1" customWidth="1"/>
    <col min="644" max="644" width="12.140625" bestFit="1" customWidth="1"/>
    <col min="645" max="645" width="14.85546875" bestFit="1" customWidth="1"/>
    <col min="646" max="646" width="12.28515625" bestFit="1" customWidth="1"/>
    <col min="647" max="655" width="9.140625" hidden="1" customWidth="1"/>
    <col min="656" max="656" width="5.28515625" bestFit="1" customWidth="1"/>
    <col min="657" max="662" width="11.5703125" bestFit="1" customWidth="1"/>
    <col min="663" max="663" width="11.28515625" bestFit="1" customWidth="1"/>
    <col min="664" max="664" width="10.140625" bestFit="1" customWidth="1"/>
    <col min="665" max="665" width="11.5703125" bestFit="1" customWidth="1"/>
    <col min="666" max="666" width="16.140625" customWidth="1"/>
    <col min="667" max="667" width="13.42578125" customWidth="1"/>
    <col min="668" max="668" width="10.140625" bestFit="1" customWidth="1"/>
    <col min="669" max="669" width="12.85546875" bestFit="1" customWidth="1"/>
    <col min="670" max="670" width="12.28515625" bestFit="1" customWidth="1"/>
    <col min="671" max="671" width="11.28515625" bestFit="1" customWidth="1"/>
    <col min="672" max="672" width="11.5703125" bestFit="1" customWidth="1"/>
    <col min="673" max="673" width="10.85546875" bestFit="1" customWidth="1"/>
    <col min="674" max="674" width="11.28515625" bestFit="1" customWidth="1"/>
    <col min="675" max="675" width="10.140625" bestFit="1" customWidth="1"/>
    <col min="676" max="676" width="13.28515625" bestFit="1" customWidth="1"/>
    <col min="677" max="678" width="12.7109375" bestFit="1" customWidth="1"/>
    <col min="679" max="679" width="11" bestFit="1" customWidth="1"/>
    <col min="680" max="680" width="11.28515625" bestFit="1" customWidth="1"/>
    <col min="681" max="681" width="11.5703125" bestFit="1" customWidth="1"/>
    <col min="682" max="682" width="12.28515625" bestFit="1" customWidth="1"/>
    <col min="683" max="683" width="15.140625" bestFit="1" customWidth="1"/>
    <col min="684" max="684" width="14.42578125" bestFit="1" customWidth="1"/>
    <col min="685" max="685" width="12.28515625" bestFit="1" customWidth="1"/>
    <col min="686" max="686" width="15.140625" bestFit="1" customWidth="1"/>
    <col min="687" max="687" width="14.42578125" bestFit="1" customWidth="1"/>
    <col min="688" max="688" width="12.28515625" bestFit="1" customWidth="1"/>
    <col min="689" max="689" width="14.42578125" bestFit="1" customWidth="1"/>
    <col min="690" max="690" width="11.28515625" bestFit="1" customWidth="1"/>
    <col min="691" max="691" width="12.28515625" bestFit="1" customWidth="1"/>
    <col min="692" max="692" width="13" bestFit="1" customWidth="1"/>
    <col min="693" max="693" width="15.140625" bestFit="1" customWidth="1"/>
    <col min="694" max="694" width="12.28515625" bestFit="1" customWidth="1"/>
    <col min="695" max="695" width="13.85546875" bestFit="1" customWidth="1"/>
    <col min="696" max="696" width="11.28515625" bestFit="1" customWidth="1"/>
    <col min="697" max="697" width="12.28515625" bestFit="1" customWidth="1"/>
    <col min="698" max="698" width="13.85546875" bestFit="1" customWidth="1"/>
    <col min="699" max="700" width="15.140625" bestFit="1" customWidth="1"/>
    <col min="701" max="701" width="12.28515625" bestFit="1" customWidth="1"/>
    <col min="702" max="702" width="5.7109375" bestFit="1" customWidth="1"/>
    <col min="703" max="703" width="8.5703125" bestFit="1" customWidth="1"/>
    <col min="704" max="704" width="5.5703125" bestFit="1" customWidth="1"/>
    <col min="705" max="705" width="14.42578125" bestFit="1" customWidth="1"/>
    <col min="706" max="706" width="11.28515625" bestFit="1" customWidth="1"/>
    <col min="707" max="708" width="12.28515625" bestFit="1" customWidth="1"/>
    <col min="709" max="709" width="11.28515625" bestFit="1" customWidth="1"/>
    <col min="710" max="710" width="13.85546875" bestFit="1" customWidth="1"/>
    <col min="711" max="711" width="12" bestFit="1" customWidth="1"/>
    <col min="712" max="712" width="13.85546875" bestFit="1" customWidth="1"/>
    <col min="713" max="714" width="14.42578125" customWidth="1"/>
    <col min="715" max="715" width="10.140625" bestFit="1" customWidth="1"/>
    <col min="716" max="716" width="12.28515625" bestFit="1" customWidth="1"/>
    <col min="717" max="717" width="7.42578125" bestFit="1" customWidth="1"/>
    <col min="718" max="718" width="8.5703125" bestFit="1" customWidth="1"/>
    <col min="719" max="719" width="11.5703125" bestFit="1" customWidth="1"/>
    <col min="720" max="720" width="13.28515625" bestFit="1" customWidth="1"/>
    <col min="721" max="721" width="13.28515625" customWidth="1"/>
    <col min="722" max="722" width="13.140625" customWidth="1"/>
    <col min="723" max="723" width="12.7109375" bestFit="1" customWidth="1"/>
    <col min="724" max="724" width="13.28515625" bestFit="1" customWidth="1"/>
    <col min="725" max="727" width="13.28515625" customWidth="1"/>
    <col min="728" max="728" width="12.140625" bestFit="1" customWidth="1"/>
    <col min="729" max="729" width="12.7109375" bestFit="1" customWidth="1"/>
    <col min="730" max="730" width="11" customWidth="1"/>
    <col min="731" max="731" width="16.7109375" customWidth="1"/>
    <col min="732" max="732" width="17" customWidth="1"/>
    <col min="733" max="733" width="10.42578125" bestFit="1" customWidth="1"/>
    <col min="777" max="777" width="3.85546875" customWidth="1"/>
    <col min="778" max="778" width="15.28515625" bestFit="1" customWidth="1"/>
    <col min="779" max="779" width="12.28515625" customWidth="1"/>
    <col min="780" max="780" width="16.28515625" bestFit="1" customWidth="1"/>
    <col min="781" max="781" width="6.42578125" bestFit="1" customWidth="1"/>
    <col min="782" max="782" width="9.28515625" bestFit="1" customWidth="1"/>
    <col min="783" max="783" width="7.5703125" bestFit="1" customWidth="1"/>
    <col min="784" max="784" width="13.28515625" bestFit="1" customWidth="1"/>
    <col min="785" max="785" width="9.28515625" bestFit="1" customWidth="1"/>
    <col min="786" max="786" width="11.5703125" bestFit="1" customWidth="1"/>
    <col min="787" max="787" width="13.28515625" bestFit="1" customWidth="1"/>
    <col min="788" max="788" width="7.140625" bestFit="1" customWidth="1"/>
    <col min="789" max="789" width="12" bestFit="1" customWidth="1"/>
    <col min="790" max="790" width="13.28515625" bestFit="1" customWidth="1"/>
    <col min="791" max="791" width="7" bestFit="1" customWidth="1"/>
    <col min="792" max="792" width="12.7109375" bestFit="1" customWidth="1"/>
    <col min="793" max="793" width="11.5703125" bestFit="1" customWidth="1"/>
    <col min="794" max="794" width="10.5703125" bestFit="1" customWidth="1"/>
    <col min="795" max="796" width="15.7109375" bestFit="1" customWidth="1"/>
    <col min="797" max="797" width="11.5703125" bestFit="1" customWidth="1"/>
    <col min="798" max="798" width="7.7109375" bestFit="1" customWidth="1"/>
    <col min="799" max="799" width="15.140625" bestFit="1" customWidth="1"/>
    <col min="800" max="800" width="11.5703125" bestFit="1" customWidth="1"/>
    <col min="801" max="801" width="13.28515625" bestFit="1" customWidth="1"/>
    <col min="802" max="802" width="10.42578125" bestFit="1" customWidth="1"/>
    <col min="803" max="803" width="13.28515625" bestFit="1" customWidth="1"/>
    <col min="804" max="804" width="12.140625" bestFit="1" customWidth="1"/>
    <col min="805" max="805" width="14.42578125" bestFit="1" customWidth="1"/>
    <col min="806" max="806" width="13.28515625" bestFit="1" customWidth="1"/>
    <col min="807" max="807" width="11.5703125" bestFit="1" customWidth="1"/>
    <col min="808" max="808" width="7.7109375" bestFit="1" customWidth="1"/>
    <col min="809" max="810" width="14.42578125" bestFit="1" customWidth="1"/>
    <col min="811" max="811" width="11.5703125" bestFit="1" customWidth="1"/>
    <col min="812" max="812" width="7.7109375" bestFit="1" customWidth="1"/>
    <col min="813" max="813" width="13.5703125" customWidth="1"/>
    <col min="814" max="814" width="15.28515625" customWidth="1"/>
    <col min="815" max="815" width="14.5703125" customWidth="1"/>
    <col min="816" max="816" width="13.28515625" bestFit="1" customWidth="1"/>
    <col min="817" max="817" width="7.7109375" bestFit="1" customWidth="1"/>
    <col min="818" max="818" width="12.7109375" bestFit="1" customWidth="1"/>
    <col min="819" max="819" width="11.7109375" bestFit="1" customWidth="1"/>
    <col min="820" max="820" width="11.5703125" bestFit="1" customWidth="1"/>
    <col min="821" max="821" width="5.28515625" bestFit="1" customWidth="1"/>
    <col min="822" max="822" width="13.28515625" bestFit="1" customWidth="1"/>
    <col min="823" max="823" width="13.5703125" bestFit="1" customWidth="1"/>
    <col min="824" max="824" width="10.5703125" bestFit="1" customWidth="1"/>
    <col min="825" max="825" width="13.28515625" bestFit="1" customWidth="1"/>
    <col min="826" max="826" width="11.5703125" bestFit="1" customWidth="1"/>
    <col min="827" max="827" width="10.5703125" bestFit="1" customWidth="1"/>
    <col min="828" max="828" width="16.140625" bestFit="1" customWidth="1"/>
    <col min="829" max="830" width="11.28515625" bestFit="1" customWidth="1"/>
    <col min="831" max="831" width="13.28515625" bestFit="1" customWidth="1"/>
    <col min="832" max="832" width="7.7109375" bestFit="1" customWidth="1"/>
    <col min="833" max="836" width="9.140625" hidden="1" customWidth="1"/>
    <col min="837" max="837" width="10.42578125" bestFit="1" customWidth="1"/>
    <col min="838" max="838" width="10.5703125" bestFit="1" customWidth="1"/>
    <col min="839" max="839" width="10.42578125" bestFit="1" customWidth="1"/>
    <col min="840" max="840" width="10.5703125" bestFit="1" customWidth="1"/>
    <col min="841" max="841" width="9.5703125" bestFit="1" customWidth="1"/>
    <col min="842" max="842" width="11.5703125" bestFit="1" customWidth="1"/>
    <col min="843" max="843" width="10.42578125" bestFit="1" customWidth="1"/>
    <col min="844" max="844" width="10.85546875" customWidth="1"/>
    <col min="845" max="846" width="9.85546875" bestFit="1" customWidth="1"/>
    <col min="847" max="847" width="13.5703125" bestFit="1" customWidth="1"/>
    <col min="848" max="848" width="7.7109375" bestFit="1" customWidth="1"/>
    <col min="849" max="849" width="13.28515625" bestFit="1" customWidth="1"/>
    <col min="850" max="850" width="11.5703125" bestFit="1" customWidth="1"/>
    <col min="851" max="851" width="10.42578125" bestFit="1" customWidth="1"/>
    <col min="852" max="852" width="7.7109375" bestFit="1" customWidth="1"/>
    <col min="853" max="853" width="11.5703125" bestFit="1" customWidth="1"/>
    <col min="854" max="854" width="10.85546875" bestFit="1" customWidth="1"/>
    <col min="855" max="855" width="13.28515625" bestFit="1" customWidth="1"/>
    <col min="856" max="856" width="10.85546875" bestFit="1" customWidth="1"/>
    <col min="857" max="858" width="7.5703125" bestFit="1" customWidth="1"/>
    <col min="859" max="860" width="10.42578125" bestFit="1" customWidth="1"/>
    <col min="861" max="861" width="11.5703125" bestFit="1" customWidth="1"/>
    <col min="862" max="862" width="5.28515625" bestFit="1" customWidth="1"/>
    <col min="863" max="863" width="10.28515625" bestFit="1" customWidth="1"/>
    <col min="864" max="864" width="10.42578125" bestFit="1" customWidth="1"/>
    <col min="865" max="865" width="11.5703125" bestFit="1" customWidth="1"/>
    <col min="866" max="866" width="5.28515625" bestFit="1" customWidth="1"/>
    <col min="867" max="869" width="11.5703125" bestFit="1" customWidth="1"/>
    <col min="870" max="870" width="5.28515625" bestFit="1" customWidth="1"/>
    <col min="871" max="872" width="10.42578125" bestFit="1" customWidth="1"/>
    <col min="873" max="873" width="11.5703125" bestFit="1" customWidth="1"/>
    <col min="874" max="874" width="5.28515625" bestFit="1" customWidth="1"/>
    <col min="875" max="875" width="14.28515625" bestFit="1" customWidth="1"/>
    <col min="876" max="876" width="13" bestFit="1" customWidth="1"/>
    <col min="877" max="877" width="11.5703125" bestFit="1" customWidth="1"/>
    <col min="878" max="878" width="8.85546875" bestFit="1" customWidth="1"/>
    <col min="879" max="879" width="14.42578125" bestFit="1" customWidth="1"/>
    <col min="880" max="880" width="10.42578125" bestFit="1" customWidth="1"/>
    <col min="881" max="881" width="12.28515625" bestFit="1" customWidth="1"/>
    <col min="882" max="882" width="13.85546875" bestFit="1" customWidth="1"/>
    <col min="883" max="883" width="11.28515625" customWidth="1"/>
    <col min="884" max="884" width="11.5703125" customWidth="1"/>
    <col min="885" max="885" width="13.42578125" bestFit="1" customWidth="1"/>
    <col min="886" max="886" width="10.42578125" customWidth="1"/>
    <col min="887" max="887" width="13.85546875" bestFit="1" customWidth="1"/>
    <col min="888" max="888" width="15.42578125" bestFit="1" customWidth="1"/>
    <col min="889" max="889" width="12.28515625" bestFit="1" customWidth="1"/>
    <col min="890" max="890" width="12.7109375" customWidth="1"/>
    <col min="891" max="891" width="10.7109375" bestFit="1" customWidth="1"/>
    <col min="892" max="892" width="9.85546875" customWidth="1"/>
    <col min="893" max="894" width="10.140625" bestFit="1" customWidth="1"/>
    <col min="895" max="895" width="7.5703125" bestFit="1" customWidth="1"/>
    <col min="896" max="896" width="9.42578125" bestFit="1" customWidth="1"/>
    <col min="897" max="897" width="14.5703125" bestFit="1" customWidth="1"/>
    <col min="898" max="898" width="14.85546875" customWidth="1"/>
    <col min="899" max="899" width="15.140625" bestFit="1" customWidth="1"/>
    <col min="900" max="900" width="12.140625" bestFit="1" customWidth="1"/>
    <col min="901" max="901" width="14.85546875" bestFit="1" customWidth="1"/>
    <col min="902" max="902" width="12.28515625" bestFit="1" customWidth="1"/>
    <col min="903" max="911" width="9.140625" hidden="1" customWidth="1"/>
    <col min="912" max="912" width="5.28515625" bestFit="1" customWidth="1"/>
    <col min="913" max="918" width="11.5703125" bestFit="1" customWidth="1"/>
    <col min="919" max="919" width="11.28515625" bestFit="1" customWidth="1"/>
    <col min="920" max="920" width="10.140625" bestFit="1" customWidth="1"/>
    <col min="921" max="921" width="11.5703125" bestFit="1" customWidth="1"/>
    <col min="922" max="922" width="16.140625" customWidth="1"/>
    <col min="923" max="923" width="13.42578125" customWidth="1"/>
    <col min="924" max="924" width="10.140625" bestFit="1" customWidth="1"/>
    <col min="925" max="925" width="12.85546875" bestFit="1" customWidth="1"/>
    <col min="926" max="926" width="12.28515625" bestFit="1" customWidth="1"/>
    <col min="927" max="927" width="11.28515625" bestFit="1" customWidth="1"/>
    <col min="928" max="928" width="11.5703125" bestFit="1" customWidth="1"/>
    <col min="929" max="929" width="10.85546875" bestFit="1" customWidth="1"/>
    <col min="930" max="930" width="11.28515625" bestFit="1" customWidth="1"/>
    <col min="931" max="931" width="10.140625" bestFit="1" customWidth="1"/>
    <col min="932" max="932" width="13.28515625" bestFit="1" customWidth="1"/>
    <col min="933" max="934" width="12.7109375" bestFit="1" customWidth="1"/>
    <col min="935" max="935" width="11" bestFit="1" customWidth="1"/>
    <col min="936" max="936" width="11.28515625" bestFit="1" customWidth="1"/>
    <col min="937" max="937" width="11.5703125" bestFit="1" customWidth="1"/>
    <col min="938" max="938" width="12.28515625" bestFit="1" customWidth="1"/>
    <col min="939" max="939" width="15.140625" bestFit="1" customWidth="1"/>
    <col min="940" max="940" width="14.42578125" bestFit="1" customWidth="1"/>
    <col min="941" max="941" width="12.28515625" bestFit="1" customWidth="1"/>
    <col min="942" max="942" width="15.140625" bestFit="1" customWidth="1"/>
    <col min="943" max="943" width="14.42578125" bestFit="1" customWidth="1"/>
    <col min="944" max="944" width="12.28515625" bestFit="1" customWidth="1"/>
    <col min="945" max="945" width="14.42578125" bestFit="1" customWidth="1"/>
    <col min="946" max="946" width="11.28515625" bestFit="1" customWidth="1"/>
    <col min="947" max="947" width="12.28515625" bestFit="1" customWidth="1"/>
    <col min="948" max="948" width="13" bestFit="1" customWidth="1"/>
    <col min="949" max="949" width="15.140625" bestFit="1" customWidth="1"/>
    <col min="950" max="950" width="12.28515625" bestFit="1" customWidth="1"/>
    <col min="951" max="951" width="13.85546875" bestFit="1" customWidth="1"/>
    <col min="952" max="952" width="11.28515625" bestFit="1" customWidth="1"/>
    <col min="953" max="953" width="12.28515625" bestFit="1" customWidth="1"/>
    <col min="954" max="954" width="13.85546875" bestFit="1" customWidth="1"/>
    <col min="955" max="956" width="15.140625" bestFit="1" customWidth="1"/>
    <col min="957" max="957" width="12.28515625" bestFit="1" customWidth="1"/>
    <col min="958" max="958" width="5.7109375" bestFit="1" customWidth="1"/>
    <col min="959" max="959" width="8.5703125" bestFit="1" customWidth="1"/>
    <col min="960" max="960" width="5.5703125" bestFit="1" customWidth="1"/>
    <col min="961" max="961" width="14.42578125" bestFit="1" customWidth="1"/>
    <col min="962" max="962" width="11.28515625" bestFit="1" customWidth="1"/>
    <col min="963" max="964" width="12.28515625" bestFit="1" customWidth="1"/>
    <col min="965" max="965" width="11.28515625" bestFit="1" customWidth="1"/>
    <col min="966" max="966" width="13.85546875" bestFit="1" customWidth="1"/>
    <col min="967" max="967" width="12" bestFit="1" customWidth="1"/>
    <col min="968" max="968" width="13.85546875" bestFit="1" customWidth="1"/>
    <col min="969" max="970" width="14.42578125" customWidth="1"/>
    <col min="971" max="971" width="10.140625" bestFit="1" customWidth="1"/>
    <col min="972" max="972" width="12.28515625" bestFit="1" customWidth="1"/>
    <col min="973" max="973" width="7.42578125" bestFit="1" customWidth="1"/>
    <col min="974" max="974" width="8.5703125" bestFit="1" customWidth="1"/>
    <col min="975" max="975" width="11.5703125" bestFit="1" customWidth="1"/>
    <col min="976" max="976" width="13.28515625" bestFit="1" customWidth="1"/>
    <col min="977" max="977" width="13.28515625" customWidth="1"/>
    <col min="978" max="978" width="13.140625" customWidth="1"/>
    <col min="979" max="979" width="12.7109375" bestFit="1" customWidth="1"/>
    <col min="980" max="980" width="13.28515625" bestFit="1" customWidth="1"/>
    <col min="981" max="983" width="13.28515625" customWidth="1"/>
    <col min="984" max="984" width="12.140625" bestFit="1" customWidth="1"/>
    <col min="985" max="985" width="12.7109375" bestFit="1" customWidth="1"/>
    <col min="986" max="986" width="11" customWidth="1"/>
    <col min="987" max="987" width="16.7109375" customWidth="1"/>
    <col min="988" max="988" width="17" customWidth="1"/>
    <col min="989" max="989" width="10.42578125" bestFit="1" customWidth="1"/>
    <col min="1033" max="1033" width="3.85546875" customWidth="1"/>
    <col min="1034" max="1034" width="15.28515625" bestFit="1" customWidth="1"/>
    <col min="1035" max="1035" width="12.28515625" customWidth="1"/>
    <col min="1036" max="1036" width="16.28515625" bestFit="1" customWidth="1"/>
    <col min="1037" max="1037" width="6.42578125" bestFit="1" customWidth="1"/>
    <col min="1038" max="1038" width="9.28515625" bestFit="1" customWidth="1"/>
    <col min="1039" max="1039" width="7.5703125" bestFit="1" customWidth="1"/>
    <col min="1040" max="1040" width="13.28515625" bestFit="1" customWidth="1"/>
    <col min="1041" max="1041" width="9.28515625" bestFit="1" customWidth="1"/>
    <col min="1042" max="1042" width="11.5703125" bestFit="1" customWidth="1"/>
    <col min="1043" max="1043" width="13.28515625" bestFit="1" customWidth="1"/>
    <col min="1044" max="1044" width="7.140625" bestFit="1" customWidth="1"/>
    <col min="1045" max="1045" width="12" bestFit="1" customWidth="1"/>
    <col min="1046" max="1046" width="13.28515625" bestFit="1" customWidth="1"/>
    <col min="1047" max="1047" width="7" bestFit="1" customWidth="1"/>
    <col min="1048" max="1048" width="12.7109375" bestFit="1" customWidth="1"/>
    <col min="1049" max="1049" width="11.5703125" bestFit="1" customWidth="1"/>
    <col min="1050" max="1050" width="10.5703125" bestFit="1" customWidth="1"/>
    <col min="1051" max="1052" width="15.7109375" bestFit="1" customWidth="1"/>
    <col min="1053" max="1053" width="11.5703125" bestFit="1" customWidth="1"/>
    <col min="1054" max="1054" width="7.7109375" bestFit="1" customWidth="1"/>
    <col min="1055" max="1055" width="15.140625" bestFit="1" customWidth="1"/>
    <col min="1056" max="1056" width="11.5703125" bestFit="1" customWidth="1"/>
    <col min="1057" max="1057" width="13.28515625" bestFit="1" customWidth="1"/>
    <col min="1058" max="1058" width="10.42578125" bestFit="1" customWidth="1"/>
    <col min="1059" max="1059" width="13.28515625" bestFit="1" customWidth="1"/>
    <col min="1060" max="1060" width="12.140625" bestFit="1" customWidth="1"/>
    <col min="1061" max="1061" width="14.42578125" bestFit="1" customWidth="1"/>
    <col min="1062" max="1062" width="13.28515625" bestFit="1" customWidth="1"/>
    <col min="1063" max="1063" width="11.5703125" bestFit="1" customWidth="1"/>
    <col min="1064" max="1064" width="7.7109375" bestFit="1" customWidth="1"/>
    <col min="1065" max="1066" width="14.42578125" bestFit="1" customWidth="1"/>
    <col min="1067" max="1067" width="11.5703125" bestFit="1" customWidth="1"/>
    <col min="1068" max="1068" width="7.7109375" bestFit="1" customWidth="1"/>
    <col min="1069" max="1069" width="13.5703125" customWidth="1"/>
    <col min="1070" max="1070" width="15.28515625" customWidth="1"/>
    <col min="1071" max="1071" width="14.5703125" customWidth="1"/>
    <col min="1072" max="1072" width="13.28515625" bestFit="1" customWidth="1"/>
    <col min="1073" max="1073" width="7.7109375" bestFit="1" customWidth="1"/>
    <col min="1074" max="1074" width="12.7109375" bestFit="1" customWidth="1"/>
    <col min="1075" max="1075" width="11.7109375" bestFit="1" customWidth="1"/>
    <col min="1076" max="1076" width="11.5703125" bestFit="1" customWidth="1"/>
    <col min="1077" max="1077" width="5.28515625" bestFit="1" customWidth="1"/>
    <col min="1078" max="1078" width="13.28515625" bestFit="1" customWidth="1"/>
    <col min="1079" max="1079" width="13.5703125" bestFit="1" customWidth="1"/>
    <col min="1080" max="1080" width="10.5703125" bestFit="1" customWidth="1"/>
    <col min="1081" max="1081" width="13.28515625" bestFit="1" customWidth="1"/>
    <col min="1082" max="1082" width="11.5703125" bestFit="1" customWidth="1"/>
    <col min="1083" max="1083" width="10.5703125" bestFit="1" customWidth="1"/>
    <col min="1084" max="1084" width="16.140625" bestFit="1" customWidth="1"/>
    <col min="1085" max="1086" width="11.28515625" bestFit="1" customWidth="1"/>
    <col min="1087" max="1087" width="13.28515625" bestFit="1" customWidth="1"/>
    <col min="1088" max="1088" width="7.7109375" bestFit="1" customWidth="1"/>
    <col min="1089" max="1092" width="9.140625" hidden="1" customWidth="1"/>
    <col min="1093" max="1093" width="10.42578125" bestFit="1" customWidth="1"/>
    <col min="1094" max="1094" width="10.5703125" bestFit="1" customWidth="1"/>
    <col min="1095" max="1095" width="10.42578125" bestFit="1" customWidth="1"/>
    <col min="1096" max="1096" width="10.5703125" bestFit="1" customWidth="1"/>
    <col min="1097" max="1097" width="9.5703125" bestFit="1" customWidth="1"/>
    <col min="1098" max="1098" width="11.5703125" bestFit="1" customWidth="1"/>
    <col min="1099" max="1099" width="10.42578125" bestFit="1" customWidth="1"/>
    <col min="1100" max="1100" width="10.85546875" customWidth="1"/>
    <col min="1101" max="1102" width="9.85546875" bestFit="1" customWidth="1"/>
    <col min="1103" max="1103" width="13.5703125" bestFit="1" customWidth="1"/>
    <col min="1104" max="1104" width="7.7109375" bestFit="1" customWidth="1"/>
    <col min="1105" max="1105" width="13.28515625" bestFit="1" customWidth="1"/>
    <col min="1106" max="1106" width="11.5703125" bestFit="1" customWidth="1"/>
    <col min="1107" max="1107" width="10.42578125" bestFit="1" customWidth="1"/>
    <col min="1108" max="1108" width="7.7109375" bestFit="1" customWidth="1"/>
    <col min="1109" max="1109" width="11.5703125" bestFit="1" customWidth="1"/>
    <col min="1110" max="1110" width="10.85546875" bestFit="1" customWidth="1"/>
    <col min="1111" max="1111" width="13.28515625" bestFit="1" customWidth="1"/>
    <col min="1112" max="1112" width="10.85546875" bestFit="1" customWidth="1"/>
    <col min="1113" max="1114" width="7.5703125" bestFit="1" customWidth="1"/>
    <col min="1115" max="1116" width="10.42578125" bestFit="1" customWidth="1"/>
    <col min="1117" max="1117" width="11.5703125" bestFit="1" customWidth="1"/>
    <col min="1118" max="1118" width="5.28515625" bestFit="1" customWidth="1"/>
    <col min="1119" max="1119" width="10.28515625" bestFit="1" customWidth="1"/>
    <col min="1120" max="1120" width="10.42578125" bestFit="1" customWidth="1"/>
    <col min="1121" max="1121" width="11.5703125" bestFit="1" customWidth="1"/>
    <col min="1122" max="1122" width="5.28515625" bestFit="1" customWidth="1"/>
    <col min="1123" max="1125" width="11.5703125" bestFit="1" customWidth="1"/>
    <col min="1126" max="1126" width="5.28515625" bestFit="1" customWidth="1"/>
    <col min="1127" max="1128" width="10.42578125" bestFit="1" customWidth="1"/>
    <col min="1129" max="1129" width="11.5703125" bestFit="1" customWidth="1"/>
    <col min="1130" max="1130" width="5.28515625" bestFit="1" customWidth="1"/>
    <col min="1131" max="1131" width="14.28515625" bestFit="1" customWidth="1"/>
    <col min="1132" max="1132" width="13" bestFit="1" customWidth="1"/>
    <col min="1133" max="1133" width="11.5703125" bestFit="1" customWidth="1"/>
    <col min="1134" max="1134" width="8.85546875" bestFit="1" customWidth="1"/>
    <col min="1135" max="1135" width="14.42578125" bestFit="1" customWidth="1"/>
    <col min="1136" max="1136" width="10.42578125" bestFit="1" customWidth="1"/>
    <col min="1137" max="1137" width="12.28515625" bestFit="1" customWidth="1"/>
    <col min="1138" max="1138" width="13.85546875" bestFit="1" customWidth="1"/>
    <col min="1139" max="1139" width="11.28515625" customWidth="1"/>
    <col min="1140" max="1140" width="11.5703125" customWidth="1"/>
    <col min="1141" max="1141" width="13.42578125" bestFit="1" customWidth="1"/>
    <col min="1142" max="1142" width="10.42578125" customWidth="1"/>
    <col min="1143" max="1143" width="13.85546875" bestFit="1" customWidth="1"/>
    <col min="1144" max="1144" width="15.42578125" bestFit="1" customWidth="1"/>
    <col min="1145" max="1145" width="12.28515625" bestFit="1" customWidth="1"/>
    <col min="1146" max="1146" width="12.7109375" customWidth="1"/>
    <col min="1147" max="1147" width="10.7109375" bestFit="1" customWidth="1"/>
    <col min="1148" max="1148" width="9.85546875" customWidth="1"/>
    <col min="1149" max="1150" width="10.140625" bestFit="1" customWidth="1"/>
    <col min="1151" max="1151" width="7.5703125" bestFit="1" customWidth="1"/>
    <col min="1152" max="1152" width="9.42578125" bestFit="1" customWidth="1"/>
    <col min="1153" max="1153" width="14.5703125" bestFit="1" customWidth="1"/>
    <col min="1154" max="1154" width="14.85546875" customWidth="1"/>
    <col min="1155" max="1155" width="15.140625" bestFit="1" customWidth="1"/>
    <col min="1156" max="1156" width="12.140625" bestFit="1" customWidth="1"/>
    <col min="1157" max="1157" width="14.85546875" bestFit="1" customWidth="1"/>
    <col min="1158" max="1158" width="12.28515625" bestFit="1" customWidth="1"/>
    <col min="1159" max="1167" width="9.140625" hidden="1" customWidth="1"/>
    <col min="1168" max="1168" width="5.28515625" bestFit="1" customWidth="1"/>
    <col min="1169" max="1174" width="11.5703125" bestFit="1" customWidth="1"/>
    <col min="1175" max="1175" width="11.28515625" bestFit="1" customWidth="1"/>
    <col min="1176" max="1176" width="10.140625" bestFit="1" customWidth="1"/>
    <col min="1177" max="1177" width="11.5703125" bestFit="1" customWidth="1"/>
    <col min="1178" max="1178" width="16.140625" customWidth="1"/>
    <col min="1179" max="1179" width="13.42578125" customWidth="1"/>
    <col min="1180" max="1180" width="10.140625" bestFit="1" customWidth="1"/>
    <col min="1181" max="1181" width="12.85546875" bestFit="1" customWidth="1"/>
    <col min="1182" max="1182" width="12.28515625" bestFit="1" customWidth="1"/>
    <col min="1183" max="1183" width="11.28515625" bestFit="1" customWidth="1"/>
    <col min="1184" max="1184" width="11.5703125" bestFit="1" customWidth="1"/>
    <col min="1185" max="1185" width="10.85546875" bestFit="1" customWidth="1"/>
    <col min="1186" max="1186" width="11.28515625" bestFit="1" customWidth="1"/>
    <col min="1187" max="1187" width="10.140625" bestFit="1" customWidth="1"/>
    <col min="1188" max="1188" width="13.28515625" bestFit="1" customWidth="1"/>
    <col min="1189" max="1190" width="12.7109375" bestFit="1" customWidth="1"/>
    <col min="1191" max="1191" width="11" bestFit="1" customWidth="1"/>
    <col min="1192" max="1192" width="11.28515625" bestFit="1" customWidth="1"/>
    <col min="1193" max="1193" width="11.5703125" bestFit="1" customWidth="1"/>
    <col min="1194" max="1194" width="12.28515625" bestFit="1" customWidth="1"/>
    <col min="1195" max="1195" width="15.140625" bestFit="1" customWidth="1"/>
    <col min="1196" max="1196" width="14.42578125" bestFit="1" customWidth="1"/>
    <col min="1197" max="1197" width="12.28515625" bestFit="1" customWidth="1"/>
    <col min="1198" max="1198" width="15.140625" bestFit="1" customWidth="1"/>
    <col min="1199" max="1199" width="14.42578125" bestFit="1" customWidth="1"/>
    <col min="1200" max="1200" width="12.28515625" bestFit="1" customWidth="1"/>
    <col min="1201" max="1201" width="14.42578125" bestFit="1" customWidth="1"/>
    <col min="1202" max="1202" width="11.28515625" bestFit="1" customWidth="1"/>
    <col min="1203" max="1203" width="12.28515625" bestFit="1" customWidth="1"/>
    <col min="1204" max="1204" width="13" bestFit="1" customWidth="1"/>
    <col min="1205" max="1205" width="15.140625" bestFit="1" customWidth="1"/>
    <col min="1206" max="1206" width="12.28515625" bestFit="1" customWidth="1"/>
    <col min="1207" max="1207" width="13.85546875" bestFit="1" customWidth="1"/>
    <col min="1208" max="1208" width="11.28515625" bestFit="1" customWidth="1"/>
    <col min="1209" max="1209" width="12.28515625" bestFit="1" customWidth="1"/>
    <col min="1210" max="1210" width="13.85546875" bestFit="1" customWidth="1"/>
    <col min="1211" max="1212" width="15.140625" bestFit="1" customWidth="1"/>
    <col min="1213" max="1213" width="12.28515625" bestFit="1" customWidth="1"/>
    <col min="1214" max="1214" width="5.7109375" bestFit="1" customWidth="1"/>
    <col min="1215" max="1215" width="8.5703125" bestFit="1" customWidth="1"/>
    <col min="1216" max="1216" width="5.5703125" bestFit="1" customWidth="1"/>
    <col min="1217" max="1217" width="14.42578125" bestFit="1" customWidth="1"/>
    <col min="1218" max="1218" width="11.28515625" bestFit="1" customWidth="1"/>
    <col min="1219" max="1220" width="12.28515625" bestFit="1" customWidth="1"/>
    <col min="1221" max="1221" width="11.28515625" bestFit="1" customWidth="1"/>
    <col min="1222" max="1222" width="13.85546875" bestFit="1" customWidth="1"/>
    <col min="1223" max="1223" width="12" bestFit="1" customWidth="1"/>
    <col min="1224" max="1224" width="13.85546875" bestFit="1" customWidth="1"/>
    <col min="1225" max="1226" width="14.42578125" customWidth="1"/>
    <col min="1227" max="1227" width="10.140625" bestFit="1" customWidth="1"/>
    <col min="1228" max="1228" width="12.28515625" bestFit="1" customWidth="1"/>
    <col min="1229" max="1229" width="7.42578125" bestFit="1" customWidth="1"/>
    <col min="1230" max="1230" width="8.5703125" bestFit="1" customWidth="1"/>
    <col min="1231" max="1231" width="11.5703125" bestFit="1" customWidth="1"/>
    <col min="1232" max="1232" width="13.28515625" bestFit="1" customWidth="1"/>
    <col min="1233" max="1233" width="13.28515625" customWidth="1"/>
    <col min="1234" max="1234" width="13.140625" customWidth="1"/>
    <col min="1235" max="1235" width="12.7109375" bestFit="1" customWidth="1"/>
    <col min="1236" max="1236" width="13.28515625" bestFit="1" customWidth="1"/>
    <col min="1237" max="1239" width="13.28515625" customWidth="1"/>
    <col min="1240" max="1240" width="12.140625" bestFit="1" customWidth="1"/>
    <col min="1241" max="1241" width="12.7109375" bestFit="1" customWidth="1"/>
    <col min="1242" max="1242" width="11" customWidth="1"/>
    <col min="1243" max="1243" width="16.7109375" customWidth="1"/>
    <col min="1244" max="1244" width="17" customWidth="1"/>
    <col min="1245" max="1245" width="10.42578125" bestFit="1" customWidth="1"/>
    <col min="1289" max="1289" width="3.85546875" customWidth="1"/>
    <col min="1290" max="1290" width="15.28515625" bestFit="1" customWidth="1"/>
    <col min="1291" max="1291" width="12.28515625" customWidth="1"/>
    <col min="1292" max="1292" width="16.28515625" bestFit="1" customWidth="1"/>
    <col min="1293" max="1293" width="6.42578125" bestFit="1" customWidth="1"/>
    <col min="1294" max="1294" width="9.28515625" bestFit="1" customWidth="1"/>
    <col min="1295" max="1295" width="7.5703125" bestFit="1" customWidth="1"/>
    <col min="1296" max="1296" width="13.28515625" bestFit="1" customWidth="1"/>
    <col min="1297" max="1297" width="9.28515625" bestFit="1" customWidth="1"/>
    <col min="1298" max="1298" width="11.5703125" bestFit="1" customWidth="1"/>
    <col min="1299" max="1299" width="13.28515625" bestFit="1" customWidth="1"/>
    <col min="1300" max="1300" width="7.140625" bestFit="1" customWidth="1"/>
    <col min="1301" max="1301" width="12" bestFit="1" customWidth="1"/>
    <col min="1302" max="1302" width="13.28515625" bestFit="1" customWidth="1"/>
    <col min="1303" max="1303" width="7" bestFit="1" customWidth="1"/>
    <col min="1304" max="1304" width="12.7109375" bestFit="1" customWidth="1"/>
    <col min="1305" max="1305" width="11.5703125" bestFit="1" customWidth="1"/>
    <col min="1306" max="1306" width="10.5703125" bestFit="1" customWidth="1"/>
    <col min="1307" max="1308" width="15.7109375" bestFit="1" customWidth="1"/>
    <col min="1309" max="1309" width="11.5703125" bestFit="1" customWidth="1"/>
    <col min="1310" max="1310" width="7.7109375" bestFit="1" customWidth="1"/>
    <col min="1311" max="1311" width="15.140625" bestFit="1" customWidth="1"/>
    <col min="1312" max="1312" width="11.5703125" bestFit="1" customWidth="1"/>
    <col min="1313" max="1313" width="13.28515625" bestFit="1" customWidth="1"/>
    <col min="1314" max="1314" width="10.42578125" bestFit="1" customWidth="1"/>
    <col min="1315" max="1315" width="13.28515625" bestFit="1" customWidth="1"/>
    <col min="1316" max="1316" width="12.140625" bestFit="1" customWidth="1"/>
    <col min="1317" max="1317" width="14.42578125" bestFit="1" customWidth="1"/>
    <col min="1318" max="1318" width="13.28515625" bestFit="1" customWidth="1"/>
    <col min="1319" max="1319" width="11.5703125" bestFit="1" customWidth="1"/>
    <col min="1320" max="1320" width="7.7109375" bestFit="1" customWidth="1"/>
    <col min="1321" max="1322" width="14.42578125" bestFit="1" customWidth="1"/>
    <col min="1323" max="1323" width="11.5703125" bestFit="1" customWidth="1"/>
    <col min="1324" max="1324" width="7.7109375" bestFit="1" customWidth="1"/>
    <col min="1325" max="1325" width="13.5703125" customWidth="1"/>
    <col min="1326" max="1326" width="15.28515625" customWidth="1"/>
    <col min="1327" max="1327" width="14.5703125" customWidth="1"/>
    <col min="1328" max="1328" width="13.28515625" bestFit="1" customWidth="1"/>
    <col min="1329" max="1329" width="7.7109375" bestFit="1" customWidth="1"/>
    <col min="1330" max="1330" width="12.7109375" bestFit="1" customWidth="1"/>
    <col min="1331" max="1331" width="11.7109375" bestFit="1" customWidth="1"/>
    <col min="1332" max="1332" width="11.5703125" bestFit="1" customWidth="1"/>
    <col min="1333" max="1333" width="5.28515625" bestFit="1" customWidth="1"/>
    <col min="1334" max="1334" width="13.28515625" bestFit="1" customWidth="1"/>
    <col min="1335" max="1335" width="13.5703125" bestFit="1" customWidth="1"/>
    <col min="1336" max="1336" width="10.5703125" bestFit="1" customWidth="1"/>
    <col min="1337" max="1337" width="13.28515625" bestFit="1" customWidth="1"/>
    <col min="1338" max="1338" width="11.5703125" bestFit="1" customWidth="1"/>
    <col min="1339" max="1339" width="10.5703125" bestFit="1" customWidth="1"/>
    <col min="1340" max="1340" width="16.140625" bestFit="1" customWidth="1"/>
    <col min="1341" max="1342" width="11.28515625" bestFit="1" customWidth="1"/>
    <col min="1343" max="1343" width="13.28515625" bestFit="1" customWidth="1"/>
    <col min="1344" max="1344" width="7.7109375" bestFit="1" customWidth="1"/>
    <col min="1345" max="1348" width="9.140625" hidden="1" customWidth="1"/>
    <col min="1349" max="1349" width="10.42578125" bestFit="1" customWidth="1"/>
    <col min="1350" max="1350" width="10.5703125" bestFit="1" customWidth="1"/>
    <col min="1351" max="1351" width="10.42578125" bestFit="1" customWidth="1"/>
    <col min="1352" max="1352" width="10.5703125" bestFit="1" customWidth="1"/>
    <col min="1353" max="1353" width="9.5703125" bestFit="1" customWidth="1"/>
    <col min="1354" max="1354" width="11.5703125" bestFit="1" customWidth="1"/>
    <col min="1355" max="1355" width="10.42578125" bestFit="1" customWidth="1"/>
    <col min="1356" max="1356" width="10.85546875" customWidth="1"/>
    <col min="1357" max="1358" width="9.85546875" bestFit="1" customWidth="1"/>
    <col min="1359" max="1359" width="13.5703125" bestFit="1" customWidth="1"/>
    <col min="1360" max="1360" width="7.7109375" bestFit="1" customWidth="1"/>
    <col min="1361" max="1361" width="13.28515625" bestFit="1" customWidth="1"/>
    <col min="1362" max="1362" width="11.5703125" bestFit="1" customWidth="1"/>
    <col min="1363" max="1363" width="10.42578125" bestFit="1" customWidth="1"/>
    <col min="1364" max="1364" width="7.7109375" bestFit="1" customWidth="1"/>
    <col min="1365" max="1365" width="11.5703125" bestFit="1" customWidth="1"/>
    <col min="1366" max="1366" width="10.85546875" bestFit="1" customWidth="1"/>
    <col min="1367" max="1367" width="13.28515625" bestFit="1" customWidth="1"/>
    <col min="1368" max="1368" width="10.85546875" bestFit="1" customWidth="1"/>
    <col min="1369" max="1370" width="7.5703125" bestFit="1" customWidth="1"/>
    <col min="1371" max="1372" width="10.42578125" bestFit="1" customWidth="1"/>
    <col min="1373" max="1373" width="11.5703125" bestFit="1" customWidth="1"/>
    <col min="1374" max="1374" width="5.28515625" bestFit="1" customWidth="1"/>
    <col min="1375" max="1375" width="10.28515625" bestFit="1" customWidth="1"/>
    <col min="1376" max="1376" width="10.42578125" bestFit="1" customWidth="1"/>
    <col min="1377" max="1377" width="11.5703125" bestFit="1" customWidth="1"/>
    <col min="1378" max="1378" width="5.28515625" bestFit="1" customWidth="1"/>
    <col min="1379" max="1381" width="11.5703125" bestFit="1" customWidth="1"/>
    <col min="1382" max="1382" width="5.28515625" bestFit="1" customWidth="1"/>
    <col min="1383" max="1384" width="10.42578125" bestFit="1" customWidth="1"/>
    <col min="1385" max="1385" width="11.5703125" bestFit="1" customWidth="1"/>
    <col min="1386" max="1386" width="5.28515625" bestFit="1" customWidth="1"/>
    <col min="1387" max="1387" width="14.28515625" bestFit="1" customWidth="1"/>
    <col min="1388" max="1388" width="13" bestFit="1" customWidth="1"/>
    <col min="1389" max="1389" width="11.5703125" bestFit="1" customWidth="1"/>
    <col min="1390" max="1390" width="8.85546875" bestFit="1" customWidth="1"/>
    <col min="1391" max="1391" width="14.42578125" bestFit="1" customWidth="1"/>
    <col min="1392" max="1392" width="10.42578125" bestFit="1" customWidth="1"/>
    <col min="1393" max="1393" width="12.28515625" bestFit="1" customWidth="1"/>
    <col min="1394" max="1394" width="13.85546875" bestFit="1" customWidth="1"/>
    <col min="1395" max="1395" width="11.28515625" customWidth="1"/>
    <col min="1396" max="1396" width="11.5703125" customWidth="1"/>
    <col min="1397" max="1397" width="13.42578125" bestFit="1" customWidth="1"/>
    <col min="1398" max="1398" width="10.42578125" customWidth="1"/>
    <col min="1399" max="1399" width="13.85546875" bestFit="1" customWidth="1"/>
    <col min="1400" max="1400" width="15.42578125" bestFit="1" customWidth="1"/>
    <col min="1401" max="1401" width="12.28515625" bestFit="1" customWidth="1"/>
    <col min="1402" max="1402" width="12.7109375" customWidth="1"/>
    <col min="1403" max="1403" width="10.7109375" bestFit="1" customWidth="1"/>
    <col min="1404" max="1404" width="9.85546875" customWidth="1"/>
    <col min="1405" max="1406" width="10.140625" bestFit="1" customWidth="1"/>
    <col min="1407" max="1407" width="7.5703125" bestFit="1" customWidth="1"/>
    <col min="1408" max="1408" width="9.42578125" bestFit="1" customWidth="1"/>
    <col min="1409" max="1409" width="14.5703125" bestFit="1" customWidth="1"/>
    <col min="1410" max="1410" width="14.85546875" customWidth="1"/>
    <col min="1411" max="1411" width="15.140625" bestFit="1" customWidth="1"/>
    <col min="1412" max="1412" width="12.140625" bestFit="1" customWidth="1"/>
    <col min="1413" max="1413" width="14.85546875" bestFit="1" customWidth="1"/>
    <col min="1414" max="1414" width="12.28515625" bestFit="1" customWidth="1"/>
    <col min="1415" max="1423" width="9.140625" hidden="1" customWidth="1"/>
    <col min="1424" max="1424" width="5.28515625" bestFit="1" customWidth="1"/>
    <col min="1425" max="1430" width="11.5703125" bestFit="1" customWidth="1"/>
    <col min="1431" max="1431" width="11.28515625" bestFit="1" customWidth="1"/>
    <col min="1432" max="1432" width="10.140625" bestFit="1" customWidth="1"/>
    <col min="1433" max="1433" width="11.5703125" bestFit="1" customWidth="1"/>
    <col min="1434" max="1434" width="16.140625" customWidth="1"/>
    <col min="1435" max="1435" width="13.42578125" customWidth="1"/>
    <col min="1436" max="1436" width="10.140625" bestFit="1" customWidth="1"/>
    <col min="1437" max="1437" width="12.85546875" bestFit="1" customWidth="1"/>
    <col min="1438" max="1438" width="12.28515625" bestFit="1" customWidth="1"/>
    <col min="1439" max="1439" width="11.28515625" bestFit="1" customWidth="1"/>
    <col min="1440" max="1440" width="11.5703125" bestFit="1" customWidth="1"/>
    <col min="1441" max="1441" width="10.85546875" bestFit="1" customWidth="1"/>
    <col min="1442" max="1442" width="11.28515625" bestFit="1" customWidth="1"/>
    <col min="1443" max="1443" width="10.140625" bestFit="1" customWidth="1"/>
    <col min="1444" max="1444" width="13.28515625" bestFit="1" customWidth="1"/>
    <col min="1445" max="1446" width="12.7109375" bestFit="1" customWidth="1"/>
    <col min="1447" max="1447" width="11" bestFit="1" customWidth="1"/>
    <col min="1448" max="1448" width="11.28515625" bestFit="1" customWidth="1"/>
    <col min="1449" max="1449" width="11.5703125" bestFit="1" customWidth="1"/>
    <col min="1450" max="1450" width="12.28515625" bestFit="1" customWidth="1"/>
    <col min="1451" max="1451" width="15.140625" bestFit="1" customWidth="1"/>
    <col min="1452" max="1452" width="14.42578125" bestFit="1" customWidth="1"/>
    <col min="1453" max="1453" width="12.28515625" bestFit="1" customWidth="1"/>
    <col min="1454" max="1454" width="15.140625" bestFit="1" customWidth="1"/>
    <col min="1455" max="1455" width="14.42578125" bestFit="1" customWidth="1"/>
    <col min="1456" max="1456" width="12.28515625" bestFit="1" customWidth="1"/>
    <col min="1457" max="1457" width="14.42578125" bestFit="1" customWidth="1"/>
    <col min="1458" max="1458" width="11.28515625" bestFit="1" customWidth="1"/>
    <col min="1459" max="1459" width="12.28515625" bestFit="1" customWidth="1"/>
    <col min="1460" max="1460" width="13" bestFit="1" customWidth="1"/>
    <col min="1461" max="1461" width="15.140625" bestFit="1" customWidth="1"/>
    <col min="1462" max="1462" width="12.28515625" bestFit="1" customWidth="1"/>
    <col min="1463" max="1463" width="13.85546875" bestFit="1" customWidth="1"/>
    <col min="1464" max="1464" width="11.28515625" bestFit="1" customWidth="1"/>
    <col min="1465" max="1465" width="12.28515625" bestFit="1" customWidth="1"/>
    <col min="1466" max="1466" width="13.85546875" bestFit="1" customWidth="1"/>
    <col min="1467" max="1468" width="15.140625" bestFit="1" customWidth="1"/>
    <col min="1469" max="1469" width="12.28515625" bestFit="1" customWidth="1"/>
    <col min="1470" max="1470" width="5.7109375" bestFit="1" customWidth="1"/>
    <col min="1471" max="1471" width="8.5703125" bestFit="1" customWidth="1"/>
    <col min="1472" max="1472" width="5.5703125" bestFit="1" customWidth="1"/>
    <col min="1473" max="1473" width="14.42578125" bestFit="1" customWidth="1"/>
    <col min="1474" max="1474" width="11.28515625" bestFit="1" customWidth="1"/>
    <col min="1475" max="1476" width="12.28515625" bestFit="1" customWidth="1"/>
    <col min="1477" max="1477" width="11.28515625" bestFit="1" customWidth="1"/>
    <col min="1478" max="1478" width="13.85546875" bestFit="1" customWidth="1"/>
    <col min="1479" max="1479" width="12" bestFit="1" customWidth="1"/>
    <col min="1480" max="1480" width="13.85546875" bestFit="1" customWidth="1"/>
    <col min="1481" max="1482" width="14.42578125" customWidth="1"/>
    <col min="1483" max="1483" width="10.140625" bestFit="1" customWidth="1"/>
    <col min="1484" max="1484" width="12.28515625" bestFit="1" customWidth="1"/>
    <col min="1485" max="1485" width="7.42578125" bestFit="1" customWidth="1"/>
    <col min="1486" max="1486" width="8.5703125" bestFit="1" customWidth="1"/>
    <col min="1487" max="1487" width="11.5703125" bestFit="1" customWidth="1"/>
    <col min="1488" max="1488" width="13.28515625" bestFit="1" customWidth="1"/>
    <col min="1489" max="1489" width="13.28515625" customWidth="1"/>
    <col min="1490" max="1490" width="13.140625" customWidth="1"/>
    <col min="1491" max="1491" width="12.7109375" bestFit="1" customWidth="1"/>
    <col min="1492" max="1492" width="13.28515625" bestFit="1" customWidth="1"/>
    <col min="1493" max="1495" width="13.28515625" customWidth="1"/>
    <col min="1496" max="1496" width="12.140625" bestFit="1" customWidth="1"/>
    <col min="1497" max="1497" width="12.7109375" bestFit="1" customWidth="1"/>
    <col min="1498" max="1498" width="11" customWidth="1"/>
    <col min="1499" max="1499" width="16.7109375" customWidth="1"/>
    <col min="1500" max="1500" width="17" customWidth="1"/>
    <col min="1501" max="1501" width="10.42578125" bestFit="1" customWidth="1"/>
    <col min="1545" max="1545" width="3.85546875" customWidth="1"/>
    <col min="1546" max="1546" width="15.28515625" bestFit="1" customWidth="1"/>
    <col min="1547" max="1547" width="12.28515625" customWidth="1"/>
    <col min="1548" max="1548" width="16.28515625" bestFit="1" customWidth="1"/>
    <col min="1549" max="1549" width="6.42578125" bestFit="1" customWidth="1"/>
    <col min="1550" max="1550" width="9.28515625" bestFit="1" customWidth="1"/>
    <col min="1551" max="1551" width="7.5703125" bestFit="1" customWidth="1"/>
    <col min="1552" max="1552" width="13.28515625" bestFit="1" customWidth="1"/>
    <col min="1553" max="1553" width="9.28515625" bestFit="1" customWidth="1"/>
    <col min="1554" max="1554" width="11.5703125" bestFit="1" customWidth="1"/>
    <col min="1555" max="1555" width="13.28515625" bestFit="1" customWidth="1"/>
    <col min="1556" max="1556" width="7.140625" bestFit="1" customWidth="1"/>
    <col min="1557" max="1557" width="12" bestFit="1" customWidth="1"/>
    <col min="1558" max="1558" width="13.28515625" bestFit="1" customWidth="1"/>
    <col min="1559" max="1559" width="7" bestFit="1" customWidth="1"/>
    <col min="1560" max="1560" width="12.7109375" bestFit="1" customWidth="1"/>
    <col min="1561" max="1561" width="11.5703125" bestFit="1" customWidth="1"/>
    <col min="1562" max="1562" width="10.5703125" bestFit="1" customWidth="1"/>
    <col min="1563" max="1564" width="15.7109375" bestFit="1" customWidth="1"/>
    <col min="1565" max="1565" width="11.5703125" bestFit="1" customWidth="1"/>
    <col min="1566" max="1566" width="7.7109375" bestFit="1" customWidth="1"/>
    <col min="1567" max="1567" width="15.140625" bestFit="1" customWidth="1"/>
    <col min="1568" max="1568" width="11.5703125" bestFit="1" customWidth="1"/>
    <col min="1569" max="1569" width="13.28515625" bestFit="1" customWidth="1"/>
    <col min="1570" max="1570" width="10.42578125" bestFit="1" customWidth="1"/>
    <col min="1571" max="1571" width="13.28515625" bestFit="1" customWidth="1"/>
    <col min="1572" max="1572" width="12.140625" bestFit="1" customWidth="1"/>
    <col min="1573" max="1573" width="14.42578125" bestFit="1" customWidth="1"/>
    <col min="1574" max="1574" width="13.28515625" bestFit="1" customWidth="1"/>
    <col min="1575" max="1575" width="11.5703125" bestFit="1" customWidth="1"/>
    <col min="1576" max="1576" width="7.7109375" bestFit="1" customWidth="1"/>
    <col min="1577" max="1578" width="14.42578125" bestFit="1" customWidth="1"/>
    <col min="1579" max="1579" width="11.5703125" bestFit="1" customWidth="1"/>
    <col min="1580" max="1580" width="7.7109375" bestFit="1" customWidth="1"/>
    <col min="1581" max="1581" width="13.5703125" customWidth="1"/>
    <col min="1582" max="1582" width="15.28515625" customWidth="1"/>
    <col min="1583" max="1583" width="14.5703125" customWidth="1"/>
    <col min="1584" max="1584" width="13.28515625" bestFit="1" customWidth="1"/>
    <col min="1585" max="1585" width="7.7109375" bestFit="1" customWidth="1"/>
    <col min="1586" max="1586" width="12.7109375" bestFit="1" customWidth="1"/>
    <col min="1587" max="1587" width="11.7109375" bestFit="1" customWidth="1"/>
    <col min="1588" max="1588" width="11.5703125" bestFit="1" customWidth="1"/>
    <col min="1589" max="1589" width="5.28515625" bestFit="1" customWidth="1"/>
    <col min="1590" max="1590" width="13.28515625" bestFit="1" customWidth="1"/>
    <col min="1591" max="1591" width="13.5703125" bestFit="1" customWidth="1"/>
    <col min="1592" max="1592" width="10.5703125" bestFit="1" customWidth="1"/>
    <col min="1593" max="1593" width="13.28515625" bestFit="1" customWidth="1"/>
    <col min="1594" max="1594" width="11.5703125" bestFit="1" customWidth="1"/>
    <col min="1595" max="1595" width="10.5703125" bestFit="1" customWidth="1"/>
    <col min="1596" max="1596" width="16.140625" bestFit="1" customWidth="1"/>
    <col min="1597" max="1598" width="11.28515625" bestFit="1" customWidth="1"/>
    <col min="1599" max="1599" width="13.28515625" bestFit="1" customWidth="1"/>
    <col min="1600" max="1600" width="7.7109375" bestFit="1" customWidth="1"/>
    <col min="1601" max="1604" width="9.140625" hidden="1" customWidth="1"/>
    <col min="1605" max="1605" width="10.42578125" bestFit="1" customWidth="1"/>
    <col min="1606" max="1606" width="10.5703125" bestFit="1" customWidth="1"/>
    <col min="1607" max="1607" width="10.42578125" bestFit="1" customWidth="1"/>
    <col min="1608" max="1608" width="10.5703125" bestFit="1" customWidth="1"/>
    <col min="1609" max="1609" width="9.5703125" bestFit="1" customWidth="1"/>
    <col min="1610" max="1610" width="11.5703125" bestFit="1" customWidth="1"/>
    <col min="1611" max="1611" width="10.42578125" bestFit="1" customWidth="1"/>
    <col min="1612" max="1612" width="10.85546875" customWidth="1"/>
    <col min="1613" max="1614" width="9.85546875" bestFit="1" customWidth="1"/>
    <col min="1615" max="1615" width="13.5703125" bestFit="1" customWidth="1"/>
    <col min="1616" max="1616" width="7.7109375" bestFit="1" customWidth="1"/>
    <col min="1617" max="1617" width="13.28515625" bestFit="1" customWidth="1"/>
    <col min="1618" max="1618" width="11.5703125" bestFit="1" customWidth="1"/>
    <col min="1619" max="1619" width="10.42578125" bestFit="1" customWidth="1"/>
    <col min="1620" max="1620" width="7.7109375" bestFit="1" customWidth="1"/>
    <col min="1621" max="1621" width="11.5703125" bestFit="1" customWidth="1"/>
    <col min="1622" max="1622" width="10.85546875" bestFit="1" customWidth="1"/>
    <col min="1623" max="1623" width="13.28515625" bestFit="1" customWidth="1"/>
    <col min="1624" max="1624" width="10.85546875" bestFit="1" customWidth="1"/>
    <col min="1625" max="1626" width="7.5703125" bestFit="1" customWidth="1"/>
    <col min="1627" max="1628" width="10.42578125" bestFit="1" customWidth="1"/>
    <col min="1629" max="1629" width="11.5703125" bestFit="1" customWidth="1"/>
    <col min="1630" max="1630" width="5.28515625" bestFit="1" customWidth="1"/>
    <col min="1631" max="1631" width="10.28515625" bestFit="1" customWidth="1"/>
    <col min="1632" max="1632" width="10.42578125" bestFit="1" customWidth="1"/>
    <col min="1633" max="1633" width="11.5703125" bestFit="1" customWidth="1"/>
    <col min="1634" max="1634" width="5.28515625" bestFit="1" customWidth="1"/>
    <col min="1635" max="1637" width="11.5703125" bestFit="1" customWidth="1"/>
    <col min="1638" max="1638" width="5.28515625" bestFit="1" customWidth="1"/>
    <col min="1639" max="1640" width="10.42578125" bestFit="1" customWidth="1"/>
    <col min="1641" max="1641" width="11.5703125" bestFit="1" customWidth="1"/>
    <col min="1642" max="1642" width="5.28515625" bestFit="1" customWidth="1"/>
    <col min="1643" max="1643" width="14.28515625" bestFit="1" customWidth="1"/>
    <col min="1644" max="1644" width="13" bestFit="1" customWidth="1"/>
    <col min="1645" max="1645" width="11.5703125" bestFit="1" customWidth="1"/>
    <col min="1646" max="1646" width="8.85546875" bestFit="1" customWidth="1"/>
    <col min="1647" max="1647" width="14.42578125" bestFit="1" customWidth="1"/>
    <col min="1648" max="1648" width="10.42578125" bestFit="1" customWidth="1"/>
    <col min="1649" max="1649" width="12.28515625" bestFit="1" customWidth="1"/>
    <col min="1650" max="1650" width="13.85546875" bestFit="1" customWidth="1"/>
    <col min="1651" max="1651" width="11.28515625" customWidth="1"/>
    <col min="1652" max="1652" width="11.5703125" customWidth="1"/>
    <col min="1653" max="1653" width="13.42578125" bestFit="1" customWidth="1"/>
    <col min="1654" max="1654" width="10.42578125" customWidth="1"/>
    <col min="1655" max="1655" width="13.85546875" bestFit="1" customWidth="1"/>
    <col min="1656" max="1656" width="15.42578125" bestFit="1" customWidth="1"/>
    <col min="1657" max="1657" width="12.28515625" bestFit="1" customWidth="1"/>
    <col min="1658" max="1658" width="12.7109375" customWidth="1"/>
    <col min="1659" max="1659" width="10.7109375" bestFit="1" customWidth="1"/>
    <col min="1660" max="1660" width="9.85546875" customWidth="1"/>
    <col min="1661" max="1662" width="10.140625" bestFit="1" customWidth="1"/>
    <col min="1663" max="1663" width="7.5703125" bestFit="1" customWidth="1"/>
    <col min="1664" max="1664" width="9.42578125" bestFit="1" customWidth="1"/>
    <col min="1665" max="1665" width="14.5703125" bestFit="1" customWidth="1"/>
    <col min="1666" max="1666" width="14.85546875" customWidth="1"/>
    <col min="1667" max="1667" width="15.140625" bestFit="1" customWidth="1"/>
    <col min="1668" max="1668" width="12.140625" bestFit="1" customWidth="1"/>
    <col min="1669" max="1669" width="14.85546875" bestFit="1" customWidth="1"/>
    <col min="1670" max="1670" width="12.28515625" bestFit="1" customWidth="1"/>
    <col min="1671" max="1679" width="9.140625" hidden="1" customWidth="1"/>
    <col min="1680" max="1680" width="5.28515625" bestFit="1" customWidth="1"/>
    <col min="1681" max="1686" width="11.5703125" bestFit="1" customWidth="1"/>
    <col min="1687" max="1687" width="11.28515625" bestFit="1" customWidth="1"/>
    <col min="1688" max="1688" width="10.140625" bestFit="1" customWidth="1"/>
    <col min="1689" max="1689" width="11.5703125" bestFit="1" customWidth="1"/>
    <col min="1690" max="1690" width="16.140625" customWidth="1"/>
    <col min="1691" max="1691" width="13.42578125" customWidth="1"/>
    <col min="1692" max="1692" width="10.140625" bestFit="1" customWidth="1"/>
    <col min="1693" max="1693" width="12.85546875" bestFit="1" customWidth="1"/>
    <col min="1694" max="1694" width="12.28515625" bestFit="1" customWidth="1"/>
    <col min="1695" max="1695" width="11.28515625" bestFit="1" customWidth="1"/>
    <col min="1696" max="1696" width="11.5703125" bestFit="1" customWidth="1"/>
    <col min="1697" max="1697" width="10.85546875" bestFit="1" customWidth="1"/>
    <col min="1698" max="1698" width="11.28515625" bestFit="1" customWidth="1"/>
    <col min="1699" max="1699" width="10.140625" bestFit="1" customWidth="1"/>
    <col min="1700" max="1700" width="13.28515625" bestFit="1" customWidth="1"/>
    <col min="1701" max="1702" width="12.7109375" bestFit="1" customWidth="1"/>
    <col min="1703" max="1703" width="11" bestFit="1" customWidth="1"/>
    <col min="1704" max="1704" width="11.28515625" bestFit="1" customWidth="1"/>
    <col min="1705" max="1705" width="11.5703125" bestFit="1" customWidth="1"/>
    <col min="1706" max="1706" width="12.28515625" bestFit="1" customWidth="1"/>
    <col min="1707" max="1707" width="15.140625" bestFit="1" customWidth="1"/>
    <col min="1708" max="1708" width="14.42578125" bestFit="1" customWidth="1"/>
    <col min="1709" max="1709" width="12.28515625" bestFit="1" customWidth="1"/>
    <col min="1710" max="1710" width="15.140625" bestFit="1" customWidth="1"/>
    <col min="1711" max="1711" width="14.42578125" bestFit="1" customWidth="1"/>
    <col min="1712" max="1712" width="12.28515625" bestFit="1" customWidth="1"/>
    <col min="1713" max="1713" width="14.42578125" bestFit="1" customWidth="1"/>
    <col min="1714" max="1714" width="11.28515625" bestFit="1" customWidth="1"/>
    <col min="1715" max="1715" width="12.28515625" bestFit="1" customWidth="1"/>
    <col min="1716" max="1716" width="13" bestFit="1" customWidth="1"/>
    <col min="1717" max="1717" width="15.140625" bestFit="1" customWidth="1"/>
    <col min="1718" max="1718" width="12.28515625" bestFit="1" customWidth="1"/>
    <col min="1719" max="1719" width="13.85546875" bestFit="1" customWidth="1"/>
    <col min="1720" max="1720" width="11.28515625" bestFit="1" customWidth="1"/>
    <col min="1721" max="1721" width="12.28515625" bestFit="1" customWidth="1"/>
    <col min="1722" max="1722" width="13.85546875" bestFit="1" customWidth="1"/>
    <col min="1723" max="1724" width="15.140625" bestFit="1" customWidth="1"/>
    <col min="1725" max="1725" width="12.28515625" bestFit="1" customWidth="1"/>
    <col min="1726" max="1726" width="5.7109375" bestFit="1" customWidth="1"/>
    <col min="1727" max="1727" width="8.5703125" bestFit="1" customWidth="1"/>
    <col min="1728" max="1728" width="5.5703125" bestFit="1" customWidth="1"/>
    <col min="1729" max="1729" width="14.42578125" bestFit="1" customWidth="1"/>
    <col min="1730" max="1730" width="11.28515625" bestFit="1" customWidth="1"/>
    <col min="1731" max="1732" width="12.28515625" bestFit="1" customWidth="1"/>
    <col min="1733" max="1733" width="11.28515625" bestFit="1" customWidth="1"/>
    <col min="1734" max="1734" width="13.85546875" bestFit="1" customWidth="1"/>
    <col min="1735" max="1735" width="12" bestFit="1" customWidth="1"/>
    <col min="1736" max="1736" width="13.85546875" bestFit="1" customWidth="1"/>
    <col min="1737" max="1738" width="14.42578125" customWidth="1"/>
    <col min="1739" max="1739" width="10.140625" bestFit="1" customWidth="1"/>
    <col min="1740" max="1740" width="12.28515625" bestFit="1" customWidth="1"/>
    <col min="1741" max="1741" width="7.42578125" bestFit="1" customWidth="1"/>
    <col min="1742" max="1742" width="8.5703125" bestFit="1" customWidth="1"/>
    <col min="1743" max="1743" width="11.5703125" bestFit="1" customWidth="1"/>
    <col min="1744" max="1744" width="13.28515625" bestFit="1" customWidth="1"/>
    <col min="1745" max="1745" width="13.28515625" customWidth="1"/>
    <col min="1746" max="1746" width="13.140625" customWidth="1"/>
    <col min="1747" max="1747" width="12.7109375" bestFit="1" customWidth="1"/>
    <col min="1748" max="1748" width="13.28515625" bestFit="1" customWidth="1"/>
    <col min="1749" max="1751" width="13.28515625" customWidth="1"/>
    <col min="1752" max="1752" width="12.140625" bestFit="1" customWidth="1"/>
    <col min="1753" max="1753" width="12.7109375" bestFit="1" customWidth="1"/>
    <col min="1754" max="1754" width="11" customWidth="1"/>
    <col min="1755" max="1755" width="16.7109375" customWidth="1"/>
    <col min="1756" max="1756" width="17" customWidth="1"/>
    <col min="1757" max="1757" width="10.42578125" bestFit="1" customWidth="1"/>
    <col min="1801" max="1801" width="3.85546875" customWidth="1"/>
    <col min="1802" max="1802" width="15.28515625" bestFit="1" customWidth="1"/>
    <col min="1803" max="1803" width="12.28515625" customWidth="1"/>
    <col min="1804" max="1804" width="16.28515625" bestFit="1" customWidth="1"/>
    <col min="1805" max="1805" width="6.42578125" bestFit="1" customWidth="1"/>
    <col min="1806" max="1806" width="9.28515625" bestFit="1" customWidth="1"/>
    <col min="1807" max="1807" width="7.5703125" bestFit="1" customWidth="1"/>
    <col min="1808" max="1808" width="13.28515625" bestFit="1" customWidth="1"/>
    <col min="1809" max="1809" width="9.28515625" bestFit="1" customWidth="1"/>
    <col min="1810" max="1810" width="11.5703125" bestFit="1" customWidth="1"/>
    <col min="1811" max="1811" width="13.28515625" bestFit="1" customWidth="1"/>
    <col min="1812" max="1812" width="7.140625" bestFit="1" customWidth="1"/>
    <col min="1813" max="1813" width="12" bestFit="1" customWidth="1"/>
    <col min="1814" max="1814" width="13.28515625" bestFit="1" customWidth="1"/>
    <col min="1815" max="1815" width="7" bestFit="1" customWidth="1"/>
    <col min="1816" max="1816" width="12.7109375" bestFit="1" customWidth="1"/>
    <col min="1817" max="1817" width="11.5703125" bestFit="1" customWidth="1"/>
    <col min="1818" max="1818" width="10.5703125" bestFit="1" customWidth="1"/>
    <col min="1819" max="1820" width="15.7109375" bestFit="1" customWidth="1"/>
    <col min="1821" max="1821" width="11.5703125" bestFit="1" customWidth="1"/>
    <col min="1822" max="1822" width="7.7109375" bestFit="1" customWidth="1"/>
    <col min="1823" max="1823" width="15.140625" bestFit="1" customWidth="1"/>
    <col min="1824" max="1824" width="11.5703125" bestFit="1" customWidth="1"/>
    <col min="1825" max="1825" width="13.28515625" bestFit="1" customWidth="1"/>
    <col min="1826" max="1826" width="10.42578125" bestFit="1" customWidth="1"/>
    <col min="1827" max="1827" width="13.28515625" bestFit="1" customWidth="1"/>
    <col min="1828" max="1828" width="12.140625" bestFit="1" customWidth="1"/>
    <col min="1829" max="1829" width="14.42578125" bestFit="1" customWidth="1"/>
    <col min="1830" max="1830" width="13.28515625" bestFit="1" customWidth="1"/>
    <col min="1831" max="1831" width="11.5703125" bestFit="1" customWidth="1"/>
    <col min="1832" max="1832" width="7.7109375" bestFit="1" customWidth="1"/>
    <col min="1833" max="1834" width="14.42578125" bestFit="1" customWidth="1"/>
    <col min="1835" max="1835" width="11.5703125" bestFit="1" customWidth="1"/>
    <col min="1836" max="1836" width="7.7109375" bestFit="1" customWidth="1"/>
    <col min="1837" max="1837" width="13.5703125" customWidth="1"/>
    <col min="1838" max="1838" width="15.28515625" customWidth="1"/>
    <col min="1839" max="1839" width="14.5703125" customWidth="1"/>
    <col min="1840" max="1840" width="13.28515625" bestFit="1" customWidth="1"/>
    <col min="1841" max="1841" width="7.7109375" bestFit="1" customWidth="1"/>
    <col min="1842" max="1842" width="12.7109375" bestFit="1" customWidth="1"/>
    <col min="1843" max="1843" width="11.7109375" bestFit="1" customWidth="1"/>
    <col min="1844" max="1844" width="11.5703125" bestFit="1" customWidth="1"/>
    <col min="1845" max="1845" width="5.28515625" bestFit="1" customWidth="1"/>
    <col min="1846" max="1846" width="13.28515625" bestFit="1" customWidth="1"/>
    <col min="1847" max="1847" width="13.5703125" bestFit="1" customWidth="1"/>
    <col min="1848" max="1848" width="10.5703125" bestFit="1" customWidth="1"/>
    <col min="1849" max="1849" width="13.28515625" bestFit="1" customWidth="1"/>
    <col min="1850" max="1850" width="11.5703125" bestFit="1" customWidth="1"/>
    <col min="1851" max="1851" width="10.5703125" bestFit="1" customWidth="1"/>
    <col min="1852" max="1852" width="16.140625" bestFit="1" customWidth="1"/>
    <col min="1853" max="1854" width="11.28515625" bestFit="1" customWidth="1"/>
    <col min="1855" max="1855" width="13.28515625" bestFit="1" customWidth="1"/>
    <col min="1856" max="1856" width="7.7109375" bestFit="1" customWidth="1"/>
    <col min="1857" max="1860" width="9.140625" hidden="1" customWidth="1"/>
    <col min="1861" max="1861" width="10.42578125" bestFit="1" customWidth="1"/>
    <col min="1862" max="1862" width="10.5703125" bestFit="1" customWidth="1"/>
    <col min="1863" max="1863" width="10.42578125" bestFit="1" customWidth="1"/>
    <col min="1864" max="1864" width="10.5703125" bestFit="1" customWidth="1"/>
    <col min="1865" max="1865" width="9.5703125" bestFit="1" customWidth="1"/>
    <col min="1866" max="1866" width="11.5703125" bestFit="1" customWidth="1"/>
    <col min="1867" max="1867" width="10.42578125" bestFit="1" customWidth="1"/>
    <col min="1868" max="1868" width="10.85546875" customWidth="1"/>
    <col min="1869" max="1870" width="9.85546875" bestFit="1" customWidth="1"/>
    <col min="1871" max="1871" width="13.5703125" bestFit="1" customWidth="1"/>
    <col min="1872" max="1872" width="7.7109375" bestFit="1" customWidth="1"/>
    <col min="1873" max="1873" width="13.28515625" bestFit="1" customWidth="1"/>
    <col min="1874" max="1874" width="11.5703125" bestFit="1" customWidth="1"/>
    <col min="1875" max="1875" width="10.42578125" bestFit="1" customWidth="1"/>
    <col min="1876" max="1876" width="7.7109375" bestFit="1" customWidth="1"/>
    <col min="1877" max="1877" width="11.5703125" bestFit="1" customWidth="1"/>
    <col min="1878" max="1878" width="10.85546875" bestFit="1" customWidth="1"/>
    <col min="1879" max="1879" width="13.28515625" bestFit="1" customWidth="1"/>
    <col min="1880" max="1880" width="10.85546875" bestFit="1" customWidth="1"/>
    <col min="1881" max="1882" width="7.5703125" bestFit="1" customWidth="1"/>
    <col min="1883" max="1884" width="10.42578125" bestFit="1" customWidth="1"/>
    <col min="1885" max="1885" width="11.5703125" bestFit="1" customWidth="1"/>
    <col min="1886" max="1886" width="5.28515625" bestFit="1" customWidth="1"/>
    <col min="1887" max="1887" width="10.28515625" bestFit="1" customWidth="1"/>
    <col min="1888" max="1888" width="10.42578125" bestFit="1" customWidth="1"/>
    <col min="1889" max="1889" width="11.5703125" bestFit="1" customWidth="1"/>
    <col min="1890" max="1890" width="5.28515625" bestFit="1" customWidth="1"/>
    <col min="1891" max="1893" width="11.5703125" bestFit="1" customWidth="1"/>
    <col min="1894" max="1894" width="5.28515625" bestFit="1" customWidth="1"/>
    <col min="1895" max="1896" width="10.42578125" bestFit="1" customWidth="1"/>
    <col min="1897" max="1897" width="11.5703125" bestFit="1" customWidth="1"/>
    <col min="1898" max="1898" width="5.28515625" bestFit="1" customWidth="1"/>
    <col min="1899" max="1899" width="14.28515625" bestFit="1" customWidth="1"/>
    <col min="1900" max="1900" width="13" bestFit="1" customWidth="1"/>
    <col min="1901" max="1901" width="11.5703125" bestFit="1" customWidth="1"/>
    <col min="1902" max="1902" width="8.85546875" bestFit="1" customWidth="1"/>
    <col min="1903" max="1903" width="14.42578125" bestFit="1" customWidth="1"/>
    <col min="1904" max="1904" width="10.42578125" bestFit="1" customWidth="1"/>
    <col min="1905" max="1905" width="12.28515625" bestFit="1" customWidth="1"/>
    <col min="1906" max="1906" width="13.85546875" bestFit="1" customWidth="1"/>
    <col min="1907" max="1907" width="11.28515625" customWidth="1"/>
    <col min="1908" max="1908" width="11.5703125" customWidth="1"/>
    <col min="1909" max="1909" width="13.42578125" bestFit="1" customWidth="1"/>
    <col min="1910" max="1910" width="10.42578125" customWidth="1"/>
    <col min="1911" max="1911" width="13.85546875" bestFit="1" customWidth="1"/>
    <col min="1912" max="1912" width="15.42578125" bestFit="1" customWidth="1"/>
    <col min="1913" max="1913" width="12.28515625" bestFit="1" customWidth="1"/>
    <col min="1914" max="1914" width="12.7109375" customWidth="1"/>
    <col min="1915" max="1915" width="10.7109375" bestFit="1" customWidth="1"/>
    <col min="1916" max="1916" width="9.85546875" customWidth="1"/>
    <col min="1917" max="1918" width="10.140625" bestFit="1" customWidth="1"/>
    <col min="1919" max="1919" width="7.5703125" bestFit="1" customWidth="1"/>
    <col min="1920" max="1920" width="9.42578125" bestFit="1" customWidth="1"/>
    <col min="1921" max="1921" width="14.5703125" bestFit="1" customWidth="1"/>
    <col min="1922" max="1922" width="14.85546875" customWidth="1"/>
    <col min="1923" max="1923" width="15.140625" bestFit="1" customWidth="1"/>
    <col min="1924" max="1924" width="12.140625" bestFit="1" customWidth="1"/>
    <col min="1925" max="1925" width="14.85546875" bestFit="1" customWidth="1"/>
    <col min="1926" max="1926" width="12.28515625" bestFit="1" customWidth="1"/>
    <col min="1927" max="1935" width="9.140625" hidden="1" customWidth="1"/>
    <col min="1936" max="1936" width="5.28515625" bestFit="1" customWidth="1"/>
    <col min="1937" max="1942" width="11.5703125" bestFit="1" customWidth="1"/>
    <col min="1943" max="1943" width="11.28515625" bestFit="1" customWidth="1"/>
    <col min="1944" max="1944" width="10.140625" bestFit="1" customWidth="1"/>
    <col min="1945" max="1945" width="11.5703125" bestFit="1" customWidth="1"/>
    <col min="1946" max="1946" width="16.140625" customWidth="1"/>
    <col min="1947" max="1947" width="13.42578125" customWidth="1"/>
    <col min="1948" max="1948" width="10.140625" bestFit="1" customWidth="1"/>
    <col min="1949" max="1949" width="12.85546875" bestFit="1" customWidth="1"/>
    <col min="1950" max="1950" width="12.28515625" bestFit="1" customWidth="1"/>
    <col min="1951" max="1951" width="11.28515625" bestFit="1" customWidth="1"/>
    <col min="1952" max="1952" width="11.5703125" bestFit="1" customWidth="1"/>
    <col min="1953" max="1953" width="10.85546875" bestFit="1" customWidth="1"/>
    <col min="1954" max="1954" width="11.28515625" bestFit="1" customWidth="1"/>
    <col min="1955" max="1955" width="10.140625" bestFit="1" customWidth="1"/>
    <col min="1956" max="1956" width="13.28515625" bestFit="1" customWidth="1"/>
    <col min="1957" max="1958" width="12.7109375" bestFit="1" customWidth="1"/>
    <col min="1959" max="1959" width="11" bestFit="1" customWidth="1"/>
    <col min="1960" max="1960" width="11.28515625" bestFit="1" customWidth="1"/>
    <col min="1961" max="1961" width="11.5703125" bestFit="1" customWidth="1"/>
    <col min="1962" max="1962" width="12.28515625" bestFit="1" customWidth="1"/>
    <col min="1963" max="1963" width="15.140625" bestFit="1" customWidth="1"/>
    <col min="1964" max="1964" width="14.42578125" bestFit="1" customWidth="1"/>
    <col min="1965" max="1965" width="12.28515625" bestFit="1" customWidth="1"/>
    <col min="1966" max="1966" width="15.140625" bestFit="1" customWidth="1"/>
    <col min="1967" max="1967" width="14.42578125" bestFit="1" customWidth="1"/>
    <col min="1968" max="1968" width="12.28515625" bestFit="1" customWidth="1"/>
    <col min="1969" max="1969" width="14.42578125" bestFit="1" customWidth="1"/>
    <col min="1970" max="1970" width="11.28515625" bestFit="1" customWidth="1"/>
    <col min="1971" max="1971" width="12.28515625" bestFit="1" customWidth="1"/>
    <col min="1972" max="1972" width="13" bestFit="1" customWidth="1"/>
    <col min="1973" max="1973" width="15.140625" bestFit="1" customWidth="1"/>
    <col min="1974" max="1974" width="12.28515625" bestFit="1" customWidth="1"/>
    <col min="1975" max="1975" width="13.85546875" bestFit="1" customWidth="1"/>
    <col min="1976" max="1976" width="11.28515625" bestFit="1" customWidth="1"/>
    <col min="1977" max="1977" width="12.28515625" bestFit="1" customWidth="1"/>
    <col min="1978" max="1978" width="13.85546875" bestFit="1" customWidth="1"/>
    <col min="1979" max="1980" width="15.140625" bestFit="1" customWidth="1"/>
    <col min="1981" max="1981" width="12.28515625" bestFit="1" customWidth="1"/>
    <col min="1982" max="1982" width="5.7109375" bestFit="1" customWidth="1"/>
    <col min="1983" max="1983" width="8.5703125" bestFit="1" customWidth="1"/>
    <col min="1984" max="1984" width="5.5703125" bestFit="1" customWidth="1"/>
    <col min="1985" max="1985" width="14.42578125" bestFit="1" customWidth="1"/>
    <col min="1986" max="1986" width="11.28515625" bestFit="1" customWidth="1"/>
    <col min="1987" max="1988" width="12.28515625" bestFit="1" customWidth="1"/>
    <col min="1989" max="1989" width="11.28515625" bestFit="1" customWidth="1"/>
    <col min="1990" max="1990" width="13.85546875" bestFit="1" customWidth="1"/>
    <col min="1991" max="1991" width="12" bestFit="1" customWidth="1"/>
    <col min="1992" max="1992" width="13.85546875" bestFit="1" customWidth="1"/>
    <col min="1993" max="1994" width="14.42578125" customWidth="1"/>
    <col min="1995" max="1995" width="10.140625" bestFit="1" customWidth="1"/>
    <col min="1996" max="1996" width="12.28515625" bestFit="1" customWidth="1"/>
    <col min="1997" max="1997" width="7.42578125" bestFit="1" customWidth="1"/>
    <col min="1998" max="1998" width="8.5703125" bestFit="1" customWidth="1"/>
    <col min="1999" max="1999" width="11.5703125" bestFit="1" customWidth="1"/>
    <col min="2000" max="2000" width="13.28515625" bestFit="1" customWidth="1"/>
    <col min="2001" max="2001" width="13.28515625" customWidth="1"/>
    <col min="2002" max="2002" width="13.140625" customWidth="1"/>
    <col min="2003" max="2003" width="12.7109375" bestFit="1" customWidth="1"/>
    <col min="2004" max="2004" width="13.28515625" bestFit="1" customWidth="1"/>
    <col min="2005" max="2007" width="13.28515625" customWidth="1"/>
    <col min="2008" max="2008" width="12.140625" bestFit="1" customWidth="1"/>
    <col min="2009" max="2009" width="12.7109375" bestFit="1" customWidth="1"/>
    <col min="2010" max="2010" width="11" customWidth="1"/>
    <col min="2011" max="2011" width="16.7109375" customWidth="1"/>
    <col min="2012" max="2012" width="17" customWidth="1"/>
    <col min="2013" max="2013" width="10.42578125" bestFit="1" customWidth="1"/>
    <col min="2057" max="2057" width="3.85546875" customWidth="1"/>
    <col min="2058" max="2058" width="15.28515625" bestFit="1" customWidth="1"/>
    <col min="2059" max="2059" width="12.28515625" customWidth="1"/>
    <col min="2060" max="2060" width="16.28515625" bestFit="1" customWidth="1"/>
    <col min="2061" max="2061" width="6.42578125" bestFit="1" customWidth="1"/>
    <col min="2062" max="2062" width="9.28515625" bestFit="1" customWidth="1"/>
    <col min="2063" max="2063" width="7.5703125" bestFit="1" customWidth="1"/>
    <col min="2064" max="2064" width="13.28515625" bestFit="1" customWidth="1"/>
    <col min="2065" max="2065" width="9.28515625" bestFit="1" customWidth="1"/>
    <col min="2066" max="2066" width="11.5703125" bestFit="1" customWidth="1"/>
    <col min="2067" max="2067" width="13.28515625" bestFit="1" customWidth="1"/>
    <col min="2068" max="2068" width="7.140625" bestFit="1" customWidth="1"/>
    <col min="2069" max="2069" width="12" bestFit="1" customWidth="1"/>
    <col min="2070" max="2070" width="13.28515625" bestFit="1" customWidth="1"/>
    <col min="2071" max="2071" width="7" bestFit="1" customWidth="1"/>
    <col min="2072" max="2072" width="12.7109375" bestFit="1" customWidth="1"/>
    <col min="2073" max="2073" width="11.5703125" bestFit="1" customWidth="1"/>
    <col min="2074" max="2074" width="10.5703125" bestFit="1" customWidth="1"/>
    <col min="2075" max="2076" width="15.7109375" bestFit="1" customWidth="1"/>
    <col min="2077" max="2077" width="11.5703125" bestFit="1" customWidth="1"/>
    <col min="2078" max="2078" width="7.7109375" bestFit="1" customWidth="1"/>
    <col min="2079" max="2079" width="15.140625" bestFit="1" customWidth="1"/>
    <col min="2080" max="2080" width="11.5703125" bestFit="1" customWidth="1"/>
    <col min="2081" max="2081" width="13.28515625" bestFit="1" customWidth="1"/>
    <col min="2082" max="2082" width="10.42578125" bestFit="1" customWidth="1"/>
    <col min="2083" max="2083" width="13.28515625" bestFit="1" customWidth="1"/>
    <col min="2084" max="2084" width="12.140625" bestFit="1" customWidth="1"/>
    <col min="2085" max="2085" width="14.42578125" bestFit="1" customWidth="1"/>
    <col min="2086" max="2086" width="13.28515625" bestFit="1" customWidth="1"/>
    <col min="2087" max="2087" width="11.5703125" bestFit="1" customWidth="1"/>
    <col min="2088" max="2088" width="7.7109375" bestFit="1" customWidth="1"/>
    <col min="2089" max="2090" width="14.42578125" bestFit="1" customWidth="1"/>
    <col min="2091" max="2091" width="11.5703125" bestFit="1" customWidth="1"/>
    <col min="2092" max="2092" width="7.7109375" bestFit="1" customWidth="1"/>
    <col min="2093" max="2093" width="13.5703125" customWidth="1"/>
    <col min="2094" max="2094" width="15.28515625" customWidth="1"/>
    <col min="2095" max="2095" width="14.5703125" customWidth="1"/>
    <col min="2096" max="2096" width="13.28515625" bestFit="1" customWidth="1"/>
    <col min="2097" max="2097" width="7.7109375" bestFit="1" customWidth="1"/>
    <col min="2098" max="2098" width="12.7109375" bestFit="1" customWidth="1"/>
    <col min="2099" max="2099" width="11.7109375" bestFit="1" customWidth="1"/>
    <col min="2100" max="2100" width="11.5703125" bestFit="1" customWidth="1"/>
    <col min="2101" max="2101" width="5.28515625" bestFit="1" customWidth="1"/>
    <col min="2102" max="2102" width="13.28515625" bestFit="1" customWidth="1"/>
    <col min="2103" max="2103" width="13.5703125" bestFit="1" customWidth="1"/>
    <col min="2104" max="2104" width="10.5703125" bestFit="1" customWidth="1"/>
    <col min="2105" max="2105" width="13.28515625" bestFit="1" customWidth="1"/>
    <col min="2106" max="2106" width="11.5703125" bestFit="1" customWidth="1"/>
    <col min="2107" max="2107" width="10.5703125" bestFit="1" customWidth="1"/>
    <col min="2108" max="2108" width="16.140625" bestFit="1" customWidth="1"/>
    <col min="2109" max="2110" width="11.28515625" bestFit="1" customWidth="1"/>
    <col min="2111" max="2111" width="13.28515625" bestFit="1" customWidth="1"/>
    <col min="2112" max="2112" width="7.7109375" bestFit="1" customWidth="1"/>
    <col min="2113" max="2116" width="9.140625" hidden="1" customWidth="1"/>
    <col min="2117" max="2117" width="10.42578125" bestFit="1" customWidth="1"/>
    <col min="2118" max="2118" width="10.5703125" bestFit="1" customWidth="1"/>
    <col min="2119" max="2119" width="10.42578125" bestFit="1" customWidth="1"/>
    <col min="2120" max="2120" width="10.5703125" bestFit="1" customWidth="1"/>
    <col min="2121" max="2121" width="9.5703125" bestFit="1" customWidth="1"/>
    <col min="2122" max="2122" width="11.5703125" bestFit="1" customWidth="1"/>
    <col min="2123" max="2123" width="10.42578125" bestFit="1" customWidth="1"/>
    <col min="2124" max="2124" width="10.85546875" customWidth="1"/>
    <col min="2125" max="2126" width="9.85546875" bestFit="1" customWidth="1"/>
    <col min="2127" max="2127" width="13.5703125" bestFit="1" customWidth="1"/>
    <col min="2128" max="2128" width="7.7109375" bestFit="1" customWidth="1"/>
    <col min="2129" max="2129" width="13.28515625" bestFit="1" customWidth="1"/>
    <col min="2130" max="2130" width="11.5703125" bestFit="1" customWidth="1"/>
    <col min="2131" max="2131" width="10.42578125" bestFit="1" customWidth="1"/>
    <col min="2132" max="2132" width="7.7109375" bestFit="1" customWidth="1"/>
    <col min="2133" max="2133" width="11.5703125" bestFit="1" customWidth="1"/>
    <col min="2134" max="2134" width="10.85546875" bestFit="1" customWidth="1"/>
    <col min="2135" max="2135" width="13.28515625" bestFit="1" customWidth="1"/>
    <col min="2136" max="2136" width="10.85546875" bestFit="1" customWidth="1"/>
    <col min="2137" max="2138" width="7.5703125" bestFit="1" customWidth="1"/>
    <col min="2139" max="2140" width="10.42578125" bestFit="1" customWidth="1"/>
    <col min="2141" max="2141" width="11.5703125" bestFit="1" customWidth="1"/>
    <col min="2142" max="2142" width="5.28515625" bestFit="1" customWidth="1"/>
    <col min="2143" max="2143" width="10.28515625" bestFit="1" customWidth="1"/>
    <col min="2144" max="2144" width="10.42578125" bestFit="1" customWidth="1"/>
    <col min="2145" max="2145" width="11.5703125" bestFit="1" customWidth="1"/>
    <col min="2146" max="2146" width="5.28515625" bestFit="1" customWidth="1"/>
    <col min="2147" max="2149" width="11.5703125" bestFit="1" customWidth="1"/>
    <col min="2150" max="2150" width="5.28515625" bestFit="1" customWidth="1"/>
    <col min="2151" max="2152" width="10.42578125" bestFit="1" customWidth="1"/>
    <col min="2153" max="2153" width="11.5703125" bestFit="1" customWidth="1"/>
    <col min="2154" max="2154" width="5.28515625" bestFit="1" customWidth="1"/>
    <col min="2155" max="2155" width="14.28515625" bestFit="1" customWidth="1"/>
    <col min="2156" max="2156" width="13" bestFit="1" customWidth="1"/>
    <col min="2157" max="2157" width="11.5703125" bestFit="1" customWidth="1"/>
    <col min="2158" max="2158" width="8.85546875" bestFit="1" customWidth="1"/>
    <col min="2159" max="2159" width="14.42578125" bestFit="1" customWidth="1"/>
    <col min="2160" max="2160" width="10.42578125" bestFit="1" customWidth="1"/>
    <col min="2161" max="2161" width="12.28515625" bestFit="1" customWidth="1"/>
    <col min="2162" max="2162" width="13.85546875" bestFit="1" customWidth="1"/>
    <col min="2163" max="2163" width="11.28515625" customWidth="1"/>
    <col min="2164" max="2164" width="11.5703125" customWidth="1"/>
    <col min="2165" max="2165" width="13.42578125" bestFit="1" customWidth="1"/>
    <col min="2166" max="2166" width="10.42578125" customWidth="1"/>
    <col min="2167" max="2167" width="13.85546875" bestFit="1" customWidth="1"/>
    <col min="2168" max="2168" width="15.42578125" bestFit="1" customWidth="1"/>
    <col min="2169" max="2169" width="12.28515625" bestFit="1" customWidth="1"/>
    <col min="2170" max="2170" width="12.7109375" customWidth="1"/>
    <col min="2171" max="2171" width="10.7109375" bestFit="1" customWidth="1"/>
    <col min="2172" max="2172" width="9.85546875" customWidth="1"/>
    <col min="2173" max="2174" width="10.140625" bestFit="1" customWidth="1"/>
    <col min="2175" max="2175" width="7.5703125" bestFit="1" customWidth="1"/>
    <col min="2176" max="2176" width="9.42578125" bestFit="1" customWidth="1"/>
    <col min="2177" max="2177" width="14.5703125" bestFit="1" customWidth="1"/>
    <col min="2178" max="2178" width="14.85546875" customWidth="1"/>
    <col min="2179" max="2179" width="15.140625" bestFit="1" customWidth="1"/>
    <col min="2180" max="2180" width="12.140625" bestFit="1" customWidth="1"/>
    <col min="2181" max="2181" width="14.85546875" bestFit="1" customWidth="1"/>
    <col min="2182" max="2182" width="12.28515625" bestFit="1" customWidth="1"/>
    <col min="2183" max="2191" width="9.140625" hidden="1" customWidth="1"/>
    <col min="2192" max="2192" width="5.28515625" bestFit="1" customWidth="1"/>
    <col min="2193" max="2198" width="11.5703125" bestFit="1" customWidth="1"/>
    <col min="2199" max="2199" width="11.28515625" bestFit="1" customWidth="1"/>
    <col min="2200" max="2200" width="10.140625" bestFit="1" customWidth="1"/>
    <col min="2201" max="2201" width="11.5703125" bestFit="1" customWidth="1"/>
    <col min="2202" max="2202" width="16.140625" customWidth="1"/>
    <col min="2203" max="2203" width="13.42578125" customWidth="1"/>
    <col min="2204" max="2204" width="10.140625" bestFit="1" customWidth="1"/>
    <col min="2205" max="2205" width="12.85546875" bestFit="1" customWidth="1"/>
    <col min="2206" max="2206" width="12.28515625" bestFit="1" customWidth="1"/>
    <col min="2207" max="2207" width="11.28515625" bestFit="1" customWidth="1"/>
    <col min="2208" max="2208" width="11.5703125" bestFit="1" customWidth="1"/>
    <col min="2209" max="2209" width="10.85546875" bestFit="1" customWidth="1"/>
    <col min="2210" max="2210" width="11.28515625" bestFit="1" customWidth="1"/>
    <col min="2211" max="2211" width="10.140625" bestFit="1" customWidth="1"/>
    <col min="2212" max="2212" width="13.28515625" bestFit="1" customWidth="1"/>
    <col min="2213" max="2214" width="12.7109375" bestFit="1" customWidth="1"/>
    <col min="2215" max="2215" width="11" bestFit="1" customWidth="1"/>
    <col min="2216" max="2216" width="11.28515625" bestFit="1" customWidth="1"/>
    <col min="2217" max="2217" width="11.5703125" bestFit="1" customWidth="1"/>
    <col min="2218" max="2218" width="12.28515625" bestFit="1" customWidth="1"/>
    <col min="2219" max="2219" width="15.140625" bestFit="1" customWidth="1"/>
    <col min="2220" max="2220" width="14.42578125" bestFit="1" customWidth="1"/>
    <col min="2221" max="2221" width="12.28515625" bestFit="1" customWidth="1"/>
    <col min="2222" max="2222" width="15.140625" bestFit="1" customWidth="1"/>
    <col min="2223" max="2223" width="14.42578125" bestFit="1" customWidth="1"/>
    <col min="2224" max="2224" width="12.28515625" bestFit="1" customWidth="1"/>
    <col min="2225" max="2225" width="14.42578125" bestFit="1" customWidth="1"/>
    <col min="2226" max="2226" width="11.28515625" bestFit="1" customWidth="1"/>
    <col min="2227" max="2227" width="12.28515625" bestFit="1" customWidth="1"/>
    <col min="2228" max="2228" width="13" bestFit="1" customWidth="1"/>
    <col min="2229" max="2229" width="15.140625" bestFit="1" customWidth="1"/>
    <col min="2230" max="2230" width="12.28515625" bestFit="1" customWidth="1"/>
    <col min="2231" max="2231" width="13.85546875" bestFit="1" customWidth="1"/>
    <col min="2232" max="2232" width="11.28515625" bestFit="1" customWidth="1"/>
    <col min="2233" max="2233" width="12.28515625" bestFit="1" customWidth="1"/>
    <col min="2234" max="2234" width="13.85546875" bestFit="1" customWidth="1"/>
    <col min="2235" max="2236" width="15.140625" bestFit="1" customWidth="1"/>
    <col min="2237" max="2237" width="12.28515625" bestFit="1" customWidth="1"/>
    <col min="2238" max="2238" width="5.7109375" bestFit="1" customWidth="1"/>
    <col min="2239" max="2239" width="8.5703125" bestFit="1" customWidth="1"/>
    <col min="2240" max="2240" width="5.5703125" bestFit="1" customWidth="1"/>
    <col min="2241" max="2241" width="14.42578125" bestFit="1" customWidth="1"/>
    <col min="2242" max="2242" width="11.28515625" bestFit="1" customWidth="1"/>
    <col min="2243" max="2244" width="12.28515625" bestFit="1" customWidth="1"/>
    <col min="2245" max="2245" width="11.28515625" bestFit="1" customWidth="1"/>
    <col min="2246" max="2246" width="13.85546875" bestFit="1" customWidth="1"/>
    <col min="2247" max="2247" width="12" bestFit="1" customWidth="1"/>
    <col min="2248" max="2248" width="13.85546875" bestFit="1" customWidth="1"/>
    <col min="2249" max="2250" width="14.42578125" customWidth="1"/>
    <col min="2251" max="2251" width="10.140625" bestFit="1" customWidth="1"/>
    <col min="2252" max="2252" width="12.28515625" bestFit="1" customWidth="1"/>
    <col min="2253" max="2253" width="7.42578125" bestFit="1" customWidth="1"/>
    <col min="2254" max="2254" width="8.5703125" bestFit="1" customWidth="1"/>
    <col min="2255" max="2255" width="11.5703125" bestFit="1" customWidth="1"/>
    <col min="2256" max="2256" width="13.28515625" bestFit="1" customWidth="1"/>
    <col min="2257" max="2257" width="13.28515625" customWidth="1"/>
    <col min="2258" max="2258" width="13.140625" customWidth="1"/>
    <col min="2259" max="2259" width="12.7109375" bestFit="1" customWidth="1"/>
    <col min="2260" max="2260" width="13.28515625" bestFit="1" customWidth="1"/>
    <col min="2261" max="2263" width="13.28515625" customWidth="1"/>
    <col min="2264" max="2264" width="12.140625" bestFit="1" customWidth="1"/>
    <col min="2265" max="2265" width="12.7109375" bestFit="1" customWidth="1"/>
    <col min="2266" max="2266" width="11" customWidth="1"/>
    <col min="2267" max="2267" width="16.7109375" customWidth="1"/>
    <col min="2268" max="2268" width="17" customWidth="1"/>
    <col min="2269" max="2269" width="10.42578125" bestFit="1" customWidth="1"/>
    <col min="2313" max="2313" width="3.85546875" customWidth="1"/>
    <col min="2314" max="2314" width="15.28515625" bestFit="1" customWidth="1"/>
    <col min="2315" max="2315" width="12.28515625" customWidth="1"/>
    <col min="2316" max="2316" width="16.28515625" bestFit="1" customWidth="1"/>
    <col min="2317" max="2317" width="6.42578125" bestFit="1" customWidth="1"/>
    <col min="2318" max="2318" width="9.28515625" bestFit="1" customWidth="1"/>
    <col min="2319" max="2319" width="7.5703125" bestFit="1" customWidth="1"/>
    <col min="2320" max="2320" width="13.28515625" bestFit="1" customWidth="1"/>
    <col min="2321" max="2321" width="9.28515625" bestFit="1" customWidth="1"/>
    <col min="2322" max="2322" width="11.5703125" bestFit="1" customWidth="1"/>
    <col min="2323" max="2323" width="13.28515625" bestFit="1" customWidth="1"/>
    <col min="2324" max="2324" width="7.140625" bestFit="1" customWidth="1"/>
    <col min="2325" max="2325" width="12" bestFit="1" customWidth="1"/>
    <col min="2326" max="2326" width="13.28515625" bestFit="1" customWidth="1"/>
    <col min="2327" max="2327" width="7" bestFit="1" customWidth="1"/>
    <col min="2328" max="2328" width="12.7109375" bestFit="1" customWidth="1"/>
    <col min="2329" max="2329" width="11.5703125" bestFit="1" customWidth="1"/>
    <col min="2330" max="2330" width="10.5703125" bestFit="1" customWidth="1"/>
    <col min="2331" max="2332" width="15.7109375" bestFit="1" customWidth="1"/>
    <col min="2333" max="2333" width="11.5703125" bestFit="1" customWidth="1"/>
    <col min="2334" max="2334" width="7.7109375" bestFit="1" customWidth="1"/>
    <col min="2335" max="2335" width="15.140625" bestFit="1" customWidth="1"/>
    <col min="2336" max="2336" width="11.5703125" bestFit="1" customWidth="1"/>
    <col min="2337" max="2337" width="13.28515625" bestFit="1" customWidth="1"/>
    <col min="2338" max="2338" width="10.42578125" bestFit="1" customWidth="1"/>
    <col min="2339" max="2339" width="13.28515625" bestFit="1" customWidth="1"/>
    <col min="2340" max="2340" width="12.140625" bestFit="1" customWidth="1"/>
    <col min="2341" max="2341" width="14.42578125" bestFit="1" customWidth="1"/>
    <col min="2342" max="2342" width="13.28515625" bestFit="1" customWidth="1"/>
    <col min="2343" max="2343" width="11.5703125" bestFit="1" customWidth="1"/>
    <col min="2344" max="2344" width="7.7109375" bestFit="1" customWidth="1"/>
    <col min="2345" max="2346" width="14.42578125" bestFit="1" customWidth="1"/>
    <col min="2347" max="2347" width="11.5703125" bestFit="1" customWidth="1"/>
    <col min="2348" max="2348" width="7.7109375" bestFit="1" customWidth="1"/>
    <col min="2349" max="2349" width="13.5703125" customWidth="1"/>
    <col min="2350" max="2350" width="15.28515625" customWidth="1"/>
    <col min="2351" max="2351" width="14.5703125" customWidth="1"/>
    <col min="2352" max="2352" width="13.28515625" bestFit="1" customWidth="1"/>
    <col min="2353" max="2353" width="7.7109375" bestFit="1" customWidth="1"/>
    <col min="2354" max="2354" width="12.7109375" bestFit="1" customWidth="1"/>
    <col min="2355" max="2355" width="11.7109375" bestFit="1" customWidth="1"/>
    <col min="2356" max="2356" width="11.5703125" bestFit="1" customWidth="1"/>
    <col min="2357" max="2357" width="5.28515625" bestFit="1" customWidth="1"/>
    <col min="2358" max="2358" width="13.28515625" bestFit="1" customWidth="1"/>
    <col min="2359" max="2359" width="13.5703125" bestFit="1" customWidth="1"/>
    <col min="2360" max="2360" width="10.5703125" bestFit="1" customWidth="1"/>
    <col min="2361" max="2361" width="13.28515625" bestFit="1" customWidth="1"/>
    <col min="2362" max="2362" width="11.5703125" bestFit="1" customWidth="1"/>
    <col min="2363" max="2363" width="10.5703125" bestFit="1" customWidth="1"/>
    <col min="2364" max="2364" width="16.140625" bestFit="1" customWidth="1"/>
    <col min="2365" max="2366" width="11.28515625" bestFit="1" customWidth="1"/>
    <col min="2367" max="2367" width="13.28515625" bestFit="1" customWidth="1"/>
    <col min="2368" max="2368" width="7.7109375" bestFit="1" customWidth="1"/>
    <col min="2369" max="2372" width="9.140625" hidden="1" customWidth="1"/>
    <col min="2373" max="2373" width="10.42578125" bestFit="1" customWidth="1"/>
    <col min="2374" max="2374" width="10.5703125" bestFit="1" customWidth="1"/>
    <col min="2375" max="2375" width="10.42578125" bestFit="1" customWidth="1"/>
    <col min="2376" max="2376" width="10.5703125" bestFit="1" customWidth="1"/>
    <col min="2377" max="2377" width="9.5703125" bestFit="1" customWidth="1"/>
    <col min="2378" max="2378" width="11.5703125" bestFit="1" customWidth="1"/>
    <col min="2379" max="2379" width="10.42578125" bestFit="1" customWidth="1"/>
    <col min="2380" max="2380" width="10.85546875" customWidth="1"/>
    <col min="2381" max="2382" width="9.85546875" bestFit="1" customWidth="1"/>
    <col min="2383" max="2383" width="13.5703125" bestFit="1" customWidth="1"/>
    <col min="2384" max="2384" width="7.7109375" bestFit="1" customWidth="1"/>
    <col min="2385" max="2385" width="13.28515625" bestFit="1" customWidth="1"/>
    <col min="2386" max="2386" width="11.5703125" bestFit="1" customWidth="1"/>
    <col min="2387" max="2387" width="10.42578125" bestFit="1" customWidth="1"/>
    <col min="2388" max="2388" width="7.7109375" bestFit="1" customWidth="1"/>
    <col min="2389" max="2389" width="11.5703125" bestFit="1" customWidth="1"/>
    <col min="2390" max="2390" width="10.85546875" bestFit="1" customWidth="1"/>
    <col min="2391" max="2391" width="13.28515625" bestFit="1" customWidth="1"/>
    <col min="2392" max="2392" width="10.85546875" bestFit="1" customWidth="1"/>
    <col min="2393" max="2394" width="7.5703125" bestFit="1" customWidth="1"/>
    <col min="2395" max="2396" width="10.42578125" bestFit="1" customWidth="1"/>
    <col min="2397" max="2397" width="11.5703125" bestFit="1" customWidth="1"/>
    <col min="2398" max="2398" width="5.28515625" bestFit="1" customWidth="1"/>
    <col min="2399" max="2399" width="10.28515625" bestFit="1" customWidth="1"/>
    <col min="2400" max="2400" width="10.42578125" bestFit="1" customWidth="1"/>
    <col min="2401" max="2401" width="11.5703125" bestFit="1" customWidth="1"/>
    <col min="2402" max="2402" width="5.28515625" bestFit="1" customWidth="1"/>
    <col min="2403" max="2405" width="11.5703125" bestFit="1" customWidth="1"/>
    <col min="2406" max="2406" width="5.28515625" bestFit="1" customWidth="1"/>
    <col min="2407" max="2408" width="10.42578125" bestFit="1" customWidth="1"/>
    <col min="2409" max="2409" width="11.5703125" bestFit="1" customWidth="1"/>
    <col min="2410" max="2410" width="5.28515625" bestFit="1" customWidth="1"/>
    <col min="2411" max="2411" width="14.28515625" bestFit="1" customWidth="1"/>
    <col min="2412" max="2412" width="13" bestFit="1" customWidth="1"/>
    <col min="2413" max="2413" width="11.5703125" bestFit="1" customWidth="1"/>
    <col min="2414" max="2414" width="8.85546875" bestFit="1" customWidth="1"/>
    <col min="2415" max="2415" width="14.42578125" bestFit="1" customWidth="1"/>
    <col min="2416" max="2416" width="10.42578125" bestFit="1" customWidth="1"/>
    <col min="2417" max="2417" width="12.28515625" bestFit="1" customWidth="1"/>
    <col min="2418" max="2418" width="13.85546875" bestFit="1" customWidth="1"/>
    <col min="2419" max="2419" width="11.28515625" customWidth="1"/>
    <col min="2420" max="2420" width="11.5703125" customWidth="1"/>
    <col min="2421" max="2421" width="13.42578125" bestFit="1" customWidth="1"/>
    <col min="2422" max="2422" width="10.42578125" customWidth="1"/>
    <col min="2423" max="2423" width="13.85546875" bestFit="1" customWidth="1"/>
    <col min="2424" max="2424" width="15.42578125" bestFit="1" customWidth="1"/>
    <col min="2425" max="2425" width="12.28515625" bestFit="1" customWidth="1"/>
    <col min="2426" max="2426" width="12.7109375" customWidth="1"/>
    <col min="2427" max="2427" width="10.7109375" bestFit="1" customWidth="1"/>
    <col min="2428" max="2428" width="9.85546875" customWidth="1"/>
    <col min="2429" max="2430" width="10.140625" bestFit="1" customWidth="1"/>
    <col min="2431" max="2431" width="7.5703125" bestFit="1" customWidth="1"/>
    <col min="2432" max="2432" width="9.42578125" bestFit="1" customWidth="1"/>
    <col min="2433" max="2433" width="14.5703125" bestFit="1" customWidth="1"/>
    <col min="2434" max="2434" width="14.85546875" customWidth="1"/>
    <col min="2435" max="2435" width="15.140625" bestFit="1" customWidth="1"/>
    <col min="2436" max="2436" width="12.140625" bestFit="1" customWidth="1"/>
    <col min="2437" max="2437" width="14.85546875" bestFit="1" customWidth="1"/>
    <col min="2438" max="2438" width="12.28515625" bestFit="1" customWidth="1"/>
    <col min="2439" max="2447" width="9.140625" hidden="1" customWidth="1"/>
    <col min="2448" max="2448" width="5.28515625" bestFit="1" customWidth="1"/>
    <col min="2449" max="2454" width="11.5703125" bestFit="1" customWidth="1"/>
    <col min="2455" max="2455" width="11.28515625" bestFit="1" customWidth="1"/>
    <col min="2456" max="2456" width="10.140625" bestFit="1" customWidth="1"/>
    <col min="2457" max="2457" width="11.5703125" bestFit="1" customWidth="1"/>
    <col min="2458" max="2458" width="16.140625" customWidth="1"/>
    <col min="2459" max="2459" width="13.42578125" customWidth="1"/>
    <col min="2460" max="2460" width="10.140625" bestFit="1" customWidth="1"/>
    <col min="2461" max="2461" width="12.85546875" bestFit="1" customWidth="1"/>
    <col min="2462" max="2462" width="12.28515625" bestFit="1" customWidth="1"/>
    <col min="2463" max="2463" width="11.28515625" bestFit="1" customWidth="1"/>
    <col min="2464" max="2464" width="11.5703125" bestFit="1" customWidth="1"/>
    <col min="2465" max="2465" width="10.85546875" bestFit="1" customWidth="1"/>
    <col min="2466" max="2466" width="11.28515625" bestFit="1" customWidth="1"/>
    <col min="2467" max="2467" width="10.140625" bestFit="1" customWidth="1"/>
    <col min="2468" max="2468" width="13.28515625" bestFit="1" customWidth="1"/>
    <col min="2469" max="2470" width="12.7109375" bestFit="1" customWidth="1"/>
    <col min="2471" max="2471" width="11" bestFit="1" customWidth="1"/>
    <col min="2472" max="2472" width="11.28515625" bestFit="1" customWidth="1"/>
    <col min="2473" max="2473" width="11.5703125" bestFit="1" customWidth="1"/>
    <col min="2474" max="2474" width="12.28515625" bestFit="1" customWidth="1"/>
    <col min="2475" max="2475" width="15.140625" bestFit="1" customWidth="1"/>
    <col min="2476" max="2476" width="14.42578125" bestFit="1" customWidth="1"/>
    <col min="2477" max="2477" width="12.28515625" bestFit="1" customWidth="1"/>
    <col min="2478" max="2478" width="15.140625" bestFit="1" customWidth="1"/>
    <col min="2479" max="2479" width="14.42578125" bestFit="1" customWidth="1"/>
    <col min="2480" max="2480" width="12.28515625" bestFit="1" customWidth="1"/>
    <col min="2481" max="2481" width="14.42578125" bestFit="1" customWidth="1"/>
    <col min="2482" max="2482" width="11.28515625" bestFit="1" customWidth="1"/>
    <col min="2483" max="2483" width="12.28515625" bestFit="1" customWidth="1"/>
    <col min="2484" max="2484" width="13" bestFit="1" customWidth="1"/>
    <col min="2485" max="2485" width="15.140625" bestFit="1" customWidth="1"/>
    <col min="2486" max="2486" width="12.28515625" bestFit="1" customWidth="1"/>
    <col min="2487" max="2487" width="13.85546875" bestFit="1" customWidth="1"/>
    <col min="2488" max="2488" width="11.28515625" bestFit="1" customWidth="1"/>
    <col min="2489" max="2489" width="12.28515625" bestFit="1" customWidth="1"/>
    <col min="2490" max="2490" width="13.85546875" bestFit="1" customWidth="1"/>
    <col min="2491" max="2492" width="15.140625" bestFit="1" customWidth="1"/>
    <col min="2493" max="2493" width="12.28515625" bestFit="1" customWidth="1"/>
    <col min="2494" max="2494" width="5.7109375" bestFit="1" customWidth="1"/>
    <col min="2495" max="2495" width="8.5703125" bestFit="1" customWidth="1"/>
    <col min="2496" max="2496" width="5.5703125" bestFit="1" customWidth="1"/>
    <col min="2497" max="2497" width="14.42578125" bestFit="1" customWidth="1"/>
    <col min="2498" max="2498" width="11.28515625" bestFit="1" customWidth="1"/>
    <col min="2499" max="2500" width="12.28515625" bestFit="1" customWidth="1"/>
    <col min="2501" max="2501" width="11.28515625" bestFit="1" customWidth="1"/>
    <col min="2502" max="2502" width="13.85546875" bestFit="1" customWidth="1"/>
    <col min="2503" max="2503" width="12" bestFit="1" customWidth="1"/>
    <col min="2504" max="2504" width="13.85546875" bestFit="1" customWidth="1"/>
    <col min="2505" max="2506" width="14.42578125" customWidth="1"/>
    <col min="2507" max="2507" width="10.140625" bestFit="1" customWidth="1"/>
    <col min="2508" max="2508" width="12.28515625" bestFit="1" customWidth="1"/>
    <col min="2509" max="2509" width="7.42578125" bestFit="1" customWidth="1"/>
    <col min="2510" max="2510" width="8.5703125" bestFit="1" customWidth="1"/>
    <col min="2511" max="2511" width="11.5703125" bestFit="1" customWidth="1"/>
    <col min="2512" max="2512" width="13.28515625" bestFit="1" customWidth="1"/>
    <col min="2513" max="2513" width="13.28515625" customWidth="1"/>
    <col min="2514" max="2514" width="13.140625" customWidth="1"/>
    <col min="2515" max="2515" width="12.7109375" bestFit="1" customWidth="1"/>
    <col min="2516" max="2516" width="13.28515625" bestFit="1" customWidth="1"/>
    <col min="2517" max="2519" width="13.28515625" customWidth="1"/>
    <col min="2520" max="2520" width="12.140625" bestFit="1" customWidth="1"/>
    <col min="2521" max="2521" width="12.7109375" bestFit="1" customWidth="1"/>
    <col min="2522" max="2522" width="11" customWidth="1"/>
    <col min="2523" max="2523" width="16.7109375" customWidth="1"/>
    <col min="2524" max="2524" width="17" customWidth="1"/>
    <col min="2525" max="2525" width="10.42578125" bestFit="1" customWidth="1"/>
    <col min="2569" max="2569" width="3.85546875" customWidth="1"/>
    <col min="2570" max="2570" width="15.28515625" bestFit="1" customWidth="1"/>
    <col min="2571" max="2571" width="12.28515625" customWidth="1"/>
    <col min="2572" max="2572" width="16.28515625" bestFit="1" customWidth="1"/>
    <col min="2573" max="2573" width="6.42578125" bestFit="1" customWidth="1"/>
    <col min="2574" max="2574" width="9.28515625" bestFit="1" customWidth="1"/>
    <col min="2575" max="2575" width="7.5703125" bestFit="1" customWidth="1"/>
    <col min="2576" max="2576" width="13.28515625" bestFit="1" customWidth="1"/>
    <col min="2577" max="2577" width="9.28515625" bestFit="1" customWidth="1"/>
    <col min="2578" max="2578" width="11.5703125" bestFit="1" customWidth="1"/>
    <col min="2579" max="2579" width="13.28515625" bestFit="1" customWidth="1"/>
    <col min="2580" max="2580" width="7.140625" bestFit="1" customWidth="1"/>
    <col min="2581" max="2581" width="12" bestFit="1" customWidth="1"/>
    <col min="2582" max="2582" width="13.28515625" bestFit="1" customWidth="1"/>
    <col min="2583" max="2583" width="7" bestFit="1" customWidth="1"/>
    <col min="2584" max="2584" width="12.7109375" bestFit="1" customWidth="1"/>
    <col min="2585" max="2585" width="11.5703125" bestFit="1" customWidth="1"/>
    <col min="2586" max="2586" width="10.5703125" bestFit="1" customWidth="1"/>
    <col min="2587" max="2588" width="15.7109375" bestFit="1" customWidth="1"/>
    <col min="2589" max="2589" width="11.5703125" bestFit="1" customWidth="1"/>
    <col min="2590" max="2590" width="7.7109375" bestFit="1" customWidth="1"/>
    <col min="2591" max="2591" width="15.140625" bestFit="1" customWidth="1"/>
    <col min="2592" max="2592" width="11.5703125" bestFit="1" customWidth="1"/>
    <col min="2593" max="2593" width="13.28515625" bestFit="1" customWidth="1"/>
    <col min="2594" max="2594" width="10.42578125" bestFit="1" customWidth="1"/>
    <col min="2595" max="2595" width="13.28515625" bestFit="1" customWidth="1"/>
    <col min="2596" max="2596" width="12.140625" bestFit="1" customWidth="1"/>
    <col min="2597" max="2597" width="14.42578125" bestFit="1" customWidth="1"/>
    <col min="2598" max="2598" width="13.28515625" bestFit="1" customWidth="1"/>
    <col min="2599" max="2599" width="11.5703125" bestFit="1" customWidth="1"/>
    <col min="2600" max="2600" width="7.7109375" bestFit="1" customWidth="1"/>
    <col min="2601" max="2602" width="14.42578125" bestFit="1" customWidth="1"/>
    <col min="2603" max="2603" width="11.5703125" bestFit="1" customWidth="1"/>
    <col min="2604" max="2604" width="7.7109375" bestFit="1" customWidth="1"/>
    <col min="2605" max="2605" width="13.5703125" customWidth="1"/>
    <col min="2606" max="2606" width="15.28515625" customWidth="1"/>
    <col min="2607" max="2607" width="14.5703125" customWidth="1"/>
    <col min="2608" max="2608" width="13.28515625" bestFit="1" customWidth="1"/>
    <col min="2609" max="2609" width="7.7109375" bestFit="1" customWidth="1"/>
    <col min="2610" max="2610" width="12.7109375" bestFit="1" customWidth="1"/>
    <col min="2611" max="2611" width="11.7109375" bestFit="1" customWidth="1"/>
    <col min="2612" max="2612" width="11.5703125" bestFit="1" customWidth="1"/>
    <col min="2613" max="2613" width="5.28515625" bestFit="1" customWidth="1"/>
    <col min="2614" max="2614" width="13.28515625" bestFit="1" customWidth="1"/>
    <col min="2615" max="2615" width="13.5703125" bestFit="1" customWidth="1"/>
    <col min="2616" max="2616" width="10.5703125" bestFit="1" customWidth="1"/>
    <col min="2617" max="2617" width="13.28515625" bestFit="1" customWidth="1"/>
    <col min="2618" max="2618" width="11.5703125" bestFit="1" customWidth="1"/>
    <col min="2619" max="2619" width="10.5703125" bestFit="1" customWidth="1"/>
    <col min="2620" max="2620" width="16.140625" bestFit="1" customWidth="1"/>
    <col min="2621" max="2622" width="11.28515625" bestFit="1" customWidth="1"/>
    <col min="2623" max="2623" width="13.28515625" bestFit="1" customWidth="1"/>
    <col min="2624" max="2624" width="7.7109375" bestFit="1" customWidth="1"/>
    <col min="2625" max="2628" width="9.140625" hidden="1" customWidth="1"/>
    <col min="2629" max="2629" width="10.42578125" bestFit="1" customWidth="1"/>
    <col min="2630" max="2630" width="10.5703125" bestFit="1" customWidth="1"/>
    <col min="2631" max="2631" width="10.42578125" bestFit="1" customWidth="1"/>
    <col min="2632" max="2632" width="10.5703125" bestFit="1" customWidth="1"/>
    <col min="2633" max="2633" width="9.5703125" bestFit="1" customWidth="1"/>
    <col min="2634" max="2634" width="11.5703125" bestFit="1" customWidth="1"/>
    <col min="2635" max="2635" width="10.42578125" bestFit="1" customWidth="1"/>
    <col min="2636" max="2636" width="10.85546875" customWidth="1"/>
    <col min="2637" max="2638" width="9.85546875" bestFit="1" customWidth="1"/>
    <col min="2639" max="2639" width="13.5703125" bestFit="1" customWidth="1"/>
    <col min="2640" max="2640" width="7.7109375" bestFit="1" customWidth="1"/>
    <col min="2641" max="2641" width="13.28515625" bestFit="1" customWidth="1"/>
    <col min="2642" max="2642" width="11.5703125" bestFit="1" customWidth="1"/>
    <col min="2643" max="2643" width="10.42578125" bestFit="1" customWidth="1"/>
    <col min="2644" max="2644" width="7.7109375" bestFit="1" customWidth="1"/>
    <col min="2645" max="2645" width="11.5703125" bestFit="1" customWidth="1"/>
    <col min="2646" max="2646" width="10.85546875" bestFit="1" customWidth="1"/>
    <col min="2647" max="2647" width="13.28515625" bestFit="1" customWidth="1"/>
    <col min="2648" max="2648" width="10.85546875" bestFit="1" customWidth="1"/>
    <col min="2649" max="2650" width="7.5703125" bestFit="1" customWidth="1"/>
    <col min="2651" max="2652" width="10.42578125" bestFit="1" customWidth="1"/>
    <col min="2653" max="2653" width="11.5703125" bestFit="1" customWidth="1"/>
    <col min="2654" max="2654" width="5.28515625" bestFit="1" customWidth="1"/>
    <col min="2655" max="2655" width="10.28515625" bestFit="1" customWidth="1"/>
    <col min="2656" max="2656" width="10.42578125" bestFit="1" customWidth="1"/>
    <col min="2657" max="2657" width="11.5703125" bestFit="1" customWidth="1"/>
    <col min="2658" max="2658" width="5.28515625" bestFit="1" customWidth="1"/>
    <col min="2659" max="2661" width="11.5703125" bestFit="1" customWidth="1"/>
    <col min="2662" max="2662" width="5.28515625" bestFit="1" customWidth="1"/>
    <col min="2663" max="2664" width="10.42578125" bestFit="1" customWidth="1"/>
    <col min="2665" max="2665" width="11.5703125" bestFit="1" customWidth="1"/>
    <col min="2666" max="2666" width="5.28515625" bestFit="1" customWidth="1"/>
    <col min="2667" max="2667" width="14.28515625" bestFit="1" customWidth="1"/>
    <col min="2668" max="2668" width="13" bestFit="1" customWidth="1"/>
    <col min="2669" max="2669" width="11.5703125" bestFit="1" customWidth="1"/>
    <col min="2670" max="2670" width="8.85546875" bestFit="1" customWidth="1"/>
    <col min="2671" max="2671" width="14.42578125" bestFit="1" customWidth="1"/>
    <col min="2672" max="2672" width="10.42578125" bestFit="1" customWidth="1"/>
    <col min="2673" max="2673" width="12.28515625" bestFit="1" customWidth="1"/>
    <col min="2674" max="2674" width="13.85546875" bestFit="1" customWidth="1"/>
    <col min="2675" max="2675" width="11.28515625" customWidth="1"/>
    <col min="2676" max="2676" width="11.5703125" customWidth="1"/>
    <col min="2677" max="2677" width="13.42578125" bestFit="1" customWidth="1"/>
    <col min="2678" max="2678" width="10.42578125" customWidth="1"/>
    <col min="2679" max="2679" width="13.85546875" bestFit="1" customWidth="1"/>
    <col min="2680" max="2680" width="15.42578125" bestFit="1" customWidth="1"/>
    <col min="2681" max="2681" width="12.28515625" bestFit="1" customWidth="1"/>
    <col min="2682" max="2682" width="12.7109375" customWidth="1"/>
    <col min="2683" max="2683" width="10.7109375" bestFit="1" customWidth="1"/>
    <col min="2684" max="2684" width="9.85546875" customWidth="1"/>
    <col min="2685" max="2686" width="10.140625" bestFit="1" customWidth="1"/>
    <col min="2687" max="2687" width="7.5703125" bestFit="1" customWidth="1"/>
    <col min="2688" max="2688" width="9.42578125" bestFit="1" customWidth="1"/>
    <col min="2689" max="2689" width="14.5703125" bestFit="1" customWidth="1"/>
    <col min="2690" max="2690" width="14.85546875" customWidth="1"/>
    <col min="2691" max="2691" width="15.140625" bestFit="1" customWidth="1"/>
    <col min="2692" max="2692" width="12.140625" bestFit="1" customWidth="1"/>
    <col min="2693" max="2693" width="14.85546875" bestFit="1" customWidth="1"/>
    <col min="2694" max="2694" width="12.28515625" bestFit="1" customWidth="1"/>
    <col min="2695" max="2703" width="9.140625" hidden="1" customWidth="1"/>
    <col min="2704" max="2704" width="5.28515625" bestFit="1" customWidth="1"/>
    <col min="2705" max="2710" width="11.5703125" bestFit="1" customWidth="1"/>
    <col min="2711" max="2711" width="11.28515625" bestFit="1" customWidth="1"/>
    <col min="2712" max="2712" width="10.140625" bestFit="1" customWidth="1"/>
    <col min="2713" max="2713" width="11.5703125" bestFit="1" customWidth="1"/>
    <col min="2714" max="2714" width="16.140625" customWidth="1"/>
    <col min="2715" max="2715" width="13.42578125" customWidth="1"/>
    <col min="2716" max="2716" width="10.140625" bestFit="1" customWidth="1"/>
    <col min="2717" max="2717" width="12.85546875" bestFit="1" customWidth="1"/>
    <col min="2718" max="2718" width="12.28515625" bestFit="1" customWidth="1"/>
    <col min="2719" max="2719" width="11.28515625" bestFit="1" customWidth="1"/>
    <col min="2720" max="2720" width="11.5703125" bestFit="1" customWidth="1"/>
    <col min="2721" max="2721" width="10.85546875" bestFit="1" customWidth="1"/>
    <col min="2722" max="2722" width="11.28515625" bestFit="1" customWidth="1"/>
    <col min="2723" max="2723" width="10.140625" bestFit="1" customWidth="1"/>
    <col min="2724" max="2724" width="13.28515625" bestFit="1" customWidth="1"/>
    <col min="2725" max="2726" width="12.7109375" bestFit="1" customWidth="1"/>
    <col min="2727" max="2727" width="11" bestFit="1" customWidth="1"/>
    <col min="2728" max="2728" width="11.28515625" bestFit="1" customWidth="1"/>
    <col min="2729" max="2729" width="11.5703125" bestFit="1" customWidth="1"/>
    <col min="2730" max="2730" width="12.28515625" bestFit="1" customWidth="1"/>
    <col min="2731" max="2731" width="15.140625" bestFit="1" customWidth="1"/>
    <col min="2732" max="2732" width="14.42578125" bestFit="1" customWidth="1"/>
    <col min="2733" max="2733" width="12.28515625" bestFit="1" customWidth="1"/>
    <col min="2734" max="2734" width="15.140625" bestFit="1" customWidth="1"/>
    <col min="2735" max="2735" width="14.42578125" bestFit="1" customWidth="1"/>
    <col min="2736" max="2736" width="12.28515625" bestFit="1" customWidth="1"/>
    <col min="2737" max="2737" width="14.42578125" bestFit="1" customWidth="1"/>
    <col min="2738" max="2738" width="11.28515625" bestFit="1" customWidth="1"/>
    <col min="2739" max="2739" width="12.28515625" bestFit="1" customWidth="1"/>
    <col min="2740" max="2740" width="13" bestFit="1" customWidth="1"/>
    <col min="2741" max="2741" width="15.140625" bestFit="1" customWidth="1"/>
    <col min="2742" max="2742" width="12.28515625" bestFit="1" customWidth="1"/>
    <col min="2743" max="2743" width="13.85546875" bestFit="1" customWidth="1"/>
    <col min="2744" max="2744" width="11.28515625" bestFit="1" customWidth="1"/>
    <col min="2745" max="2745" width="12.28515625" bestFit="1" customWidth="1"/>
    <col min="2746" max="2746" width="13.85546875" bestFit="1" customWidth="1"/>
    <col min="2747" max="2748" width="15.140625" bestFit="1" customWidth="1"/>
    <col min="2749" max="2749" width="12.28515625" bestFit="1" customWidth="1"/>
    <col min="2750" max="2750" width="5.7109375" bestFit="1" customWidth="1"/>
    <col min="2751" max="2751" width="8.5703125" bestFit="1" customWidth="1"/>
    <col min="2752" max="2752" width="5.5703125" bestFit="1" customWidth="1"/>
    <col min="2753" max="2753" width="14.42578125" bestFit="1" customWidth="1"/>
    <col min="2754" max="2754" width="11.28515625" bestFit="1" customWidth="1"/>
    <col min="2755" max="2756" width="12.28515625" bestFit="1" customWidth="1"/>
    <col min="2757" max="2757" width="11.28515625" bestFit="1" customWidth="1"/>
    <col min="2758" max="2758" width="13.85546875" bestFit="1" customWidth="1"/>
    <col min="2759" max="2759" width="12" bestFit="1" customWidth="1"/>
    <col min="2760" max="2760" width="13.85546875" bestFit="1" customWidth="1"/>
    <col min="2761" max="2762" width="14.42578125" customWidth="1"/>
    <col min="2763" max="2763" width="10.140625" bestFit="1" customWidth="1"/>
    <col min="2764" max="2764" width="12.28515625" bestFit="1" customWidth="1"/>
    <col min="2765" max="2765" width="7.42578125" bestFit="1" customWidth="1"/>
    <col min="2766" max="2766" width="8.5703125" bestFit="1" customWidth="1"/>
    <col min="2767" max="2767" width="11.5703125" bestFit="1" customWidth="1"/>
    <col min="2768" max="2768" width="13.28515625" bestFit="1" customWidth="1"/>
    <col min="2769" max="2769" width="13.28515625" customWidth="1"/>
    <col min="2770" max="2770" width="13.140625" customWidth="1"/>
    <col min="2771" max="2771" width="12.7109375" bestFit="1" customWidth="1"/>
    <col min="2772" max="2772" width="13.28515625" bestFit="1" customWidth="1"/>
    <col min="2773" max="2775" width="13.28515625" customWidth="1"/>
    <col min="2776" max="2776" width="12.140625" bestFit="1" customWidth="1"/>
    <col min="2777" max="2777" width="12.7109375" bestFit="1" customWidth="1"/>
    <col min="2778" max="2778" width="11" customWidth="1"/>
    <col min="2779" max="2779" width="16.7109375" customWidth="1"/>
    <col min="2780" max="2780" width="17" customWidth="1"/>
    <col min="2781" max="2781" width="10.42578125" bestFit="1" customWidth="1"/>
    <col min="2825" max="2825" width="3.85546875" customWidth="1"/>
    <col min="2826" max="2826" width="15.28515625" bestFit="1" customWidth="1"/>
    <col min="2827" max="2827" width="12.28515625" customWidth="1"/>
    <col min="2828" max="2828" width="16.28515625" bestFit="1" customWidth="1"/>
    <col min="2829" max="2829" width="6.42578125" bestFit="1" customWidth="1"/>
    <col min="2830" max="2830" width="9.28515625" bestFit="1" customWidth="1"/>
    <col min="2831" max="2831" width="7.5703125" bestFit="1" customWidth="1"/>
    <col min="2832" max="2832" width="13.28515625" bestFit="1" customWidth="1"/>
    <col min="2833" max="2833" width="9.28515625" bestFit="1" customWidth="1"/>
    <col min="2834" max="2834" width="11.5703125" bestFit="1" customWidth="1"/>
    <col min="2835" max="2835" width="13.28515625" bestFit="1" customWidth="1"/>
    <col min="2836" max="2836" width="7.140625" bestFit="1" customWidth="1"/>
    <col min="2837" max="2837" width="12" bestFit="1" customWidth="1"/>
    <col min="2838" max="2838" width="13.28515625" bestFit="1" customWidth="1"/>
    <col min="2839" max="2839" width="7" bestFit="1" customWidth="1"/>
    <col min="2840" max="2840" width="12.7109375" bestFit="1" customWidth="1"/>
    <col min="2841" max="2841" width="11.5703125" bestFit="1" customWidth="1"/>
    <col min="2842" max="2842" width="10.5703125" bestFit="1" customWidth="1"/>
    <col min="2843" max="2844" width="15.7109375" bestFit="1" customWidth="1"/>
    <col min="2845" max="2845" width="11.5703125" bestFit="1" customWidth="1"/>
    <col min="2846" max="2846" width="7.7109375" bestFit="1" customWidth="1"/>
    <col min="2847" max="2847" width="15.140625" bestFit="1" customWidth="1"/>
    <col min="2848" max="2848" width="11.5703125" bestFit="1" customWidth="1"/>
    <col min="2849" max="2849" width="13.28515625" bestFit="1" customWidth="1"/>
    <col min="2850" max="2850" width="10.42578125" bestFit="1" customWidth="1"/>
    <col min="2851" max="2851" width="13.28515625" bestFit="1" customWidth="1"/>
    <col min="2852" max="2852" width="12.140625" bestFit="1" customWidth="1"/>
    <col min="2853" max="2853" width="14.42578125" bestFit="1" customWidth="1"/>
    <col min="2854" max="2854" width="13.28515625" bestFit="1" customWidth="1"/>
    <col min="2855" max="2855" width="11.5703125" bestFit="1" customWidth="1"/>
    <col min="2856" max="2856" width="7.7109375" bestFit="1" customWidth="1"/>
    <col min="2857" max="2858" width="14.42578125" bestFit="1" customWidth="1"/>
    <col min="2859" max="2859" width="11.5703125" bestFit="1" customWidth="1"/>
    <col min="2860" max="2860" width="7.7109375" bestFit="1" customWidth="1"/>
    <col min="2861" max="2861" width="13.5703125" customWidth="1"/>
    <col min="2862" max="2862" width="15.28515625" customWidth="1"/>
    <col min="2863" max="2863" width="14.5703125" customWidth="1"/>
    <col min="2864" max="2864" width="13.28515625" bestFit="1" customWidth="1"/>
    <col min="2865" max="2865" width="7.7109375" bestFit="1" customWidth="1"/>
    <col min="2866" max="2866" width="12.7109375" bestFit="1" customWidth="1"/>
    <col min="2867" max="2867" width="11.7109375" bestFit="1" customWidth="1"/>
    <col min="2868" max="2868" width="11.5703125" bestFit="1" customWidth="1"/>
    <col min="2869" max="2869" width="5.28515625" bestFit="1" customWidth="1"/>
    <col min="2870" max="2870" width="13.28515625" bestFit="1" customWidth="1"/>
    <col min="2871" max="2871" width="13.5703125" bestFit="1" customWidth="1"/>
    <col min="2872" max="2872" width="10.5703125" bestFit="1" customWidth="1"/>
    <col min="2873" max="2873" width="13.28515625" bestFit="1" customWidth="1"/>
    <col min="2874" max="2874" width="11.5703125" bestFit="1" customWidth="1"/>
    <col min="2875" max="2875" width="10.5703125" bestFit="1" customWidth="1"/>
    <col min="2876" max="2876" width="16.140625" bestFit="1" customWidth="1"/>
    <col min="2877" max="2878" width="11.28515625" bestFit="1" customWidth="1"/>
    <col min="2879" max="2879" width="13.28515625" bestFit="1" customWidth="1"/>
    <col min="2880" max="2880" width="7.7109375" bestFit="1" customWidth="1"/>
    <col min="2881" max="2884" width="9.140625" hidden="1" customWidth="1"/>
    <col min="2885" max="2885" width="10.42578125" bestFit="1" customWidth="1"/>
    <col min="2886" max="2886" width="10.5703125" bestFit="1" customWidth="1"/>
    <col min="2887" max="2887" width="10.42578125" bestFit="1" customWidth="1"/>
    <col min="2888" max="2888" width="10.5703125" bestFit="1" customWidth="1"/>
    <col min="2889" max="2889" width="9.5703125" bestFit="1" customWidth="1"/>
    <col min="2890" max="2890" width="11.5703125" bestFit="1" customWidth="1"/>
    <col min="2891" max="2891" width="10.42578125" bestFit="1" customWidth="1"/>
    <col min="2892" max="2892" width="10.85546875" customWidth="1"/>
    <col min="2893" max="2894" width="9.85546875" bestFit="1" customWidth="1"/>
    <col min="2895" max="2895" width="13.5703125" bestFit="1" customWidth="1"/>
    <col min="2896" max="2896" width="7.7109375" bestFit="1" customWidth="1"/>
    <col min="2897" max="2897" width="13.28515625" bestFit="1" customWidth="1"/>
    <col min="2898" max="2898" width="11.5703125" bestFit="1" customWidth="1"/>
    <col min="2899" max="2899" width="10.42578125" bestFit="1" customWidth="1"/>
    <col min="2900" max="2900" width="7.7109375" bestFit="1" customWidth="1"/>
    <col min="2901" max="2901" width="11.5703125" bestFit="1" customWidth="1"/>
    <col min="2902" max="2902" width="10.85546875" bestFit="1" customWidth="1"/>
    <col min="2903" max="2903" width="13.28515625" bestFit="1" customWidth="1"/>
    <col min="2904" max="2904" width="10.85546875" bestFit="1" customWidth="1"/>
    <col min="2905" max="2906" width="7.5703125" bestFit="1" customWidth="1"/>
    <col min="2907" max="2908" width="10.42578125" bestFit="1" customWidth="1"/>
    <col min="2909" max="2909" width="11.5703125" bestFit="1" customWidth="1"/>
    <col min="2910" max="2910" width="5.28515625" bestFit="1" customWidth="1"/>
    <col min="2911" max="2911" width="10.28515625" bestFit="1" customWidth="1"/>
    <col min="2912" max="2912" width="10.42578125" bestFit="1" customWidth="1"/>
    <col min="2913" max="2913" width="11.5703125" bestFit="1" customWidth="1"/>
    <col min="2914" max="2914" width="5.28515625" bestFit="1" customWidth="1"/>
    <col min="2915" max="2917" width="11.5703125" bestFit="1" customWidth="1"/>
    <col min="2918" max="2918" width="5.28515625" bestFit="1" customWidth="1"/>
    <col min="2919" max="2920" width="10.42578125" bestFit="1" customWidth="1"/>
    <col min="2921" max="2921" width="11.5703125" bestFit="1" customWidth="1"/>
    <col min="2922" max="2922" width="5.28515625" bestFit="1" customWidth="1"/>
    <col min="2923" max="2923" width="14.28515625" bestFit="1" customWidth="1"/>
    <col min="2924" max="2924" width="13" bestFit="1" customWidth="1"/>
    <col min="2925" max="2925" width="11.5703125" bestFit="1" customWidth="1"/>
    <col min="2926" max="2926" width="8.85546875" bestFit="1" customWidth="1"/>
    <col min="2927" max="2927" width="14.42578125" bestFit="1" customWidth="1"/>
    <col min="2928" max="2928" width="10.42578125" bestFit="1" customWidth="1"/>
    <col min="2929" max="2929" width="12.28515625" bestFit="1" customWidth="1"/>
    <col min="2930" max="2930" width="13.85546875" bestFit="1" customWidth="1"/>
    <col min="2931" max="2931" width="11.28515625" customWidth="1"/>
    <col min="2932" max="2932" width="11.5703125" customWidth="1"/>
    <col min="2933" max="2933" width="13.42578125" bestFit="1" customWidth="1"/>
    <col min="2934" max="2934" width="10.42578125" customWidth="1"/>
    <col min="2935" max="2935" width="13.85546875" bestFit="1" customWidth="1"/>
    <col min="2936" max="2936" width="15.42578125" bestFit="1" customWidth="1"/>
    <col min="2937" max="2937" width="12.28515625" bestFit="1" customWidth="1"/>
    <col min="2938" max="2938" width="12.7109375" customWidth="1"/>
    <col min="2939" max="2939" width="10.7109375" bestFit="1" customWidth="1"/>
    <col min="2940" max="2940" width="9.85546875" customWidth="1"/>
    <col min="2941" max="2942" width="10.140625" bestFit="1" customWidth="1"/>
    <col min="2943" max="2943" width="7.5703125" bestFit="1" customWidth="1"/>
    <col min="2944" max="2944" width="9.42578125" bestFit="1" customWidth="1"/>
    <col min="2945" max="2945" width="14.5703125" bestFit="1" customWidth="1"/>
    <col min="2946" max="2946" width="14.85546875" customWidth="1"/>
    <col min="2947" max="2947" width="15.140625" bestFit="1" customWidth="1"/>
    <col min="2948" max="2948" width="12.140625" bestFit="1" customWidth="1"/>
    <col min="2949" max="2949" width="14.85546875" bestFit="1" customWidth="1"/>
    <col min="2950" max="2950" width="12.28515625" bestFit="1" customWidth="1"/>
    <col min="2951" max="2959" width="9.140625" hidden="1" customWidth="1"/>
    <col min="2960" max="2960" width="5.28515625" bestFit="1" customWidth="1"/>
    <col min="2961" max="2966" width="11.5703125" bestFit="1" customWidth="1"/>
    <col min="2967" max="2967" width="11.28515625" bestFit="1" customWidth="1"/>
    <col min="2968" max="2968" width="10.140625" bestFit="1" customWidth="1"/>
    <col min="2969" max="2969" width="11.5703125" bestFit="1" customWidth="1"/>
    <col min="2970" max="2970" width="16.140625" customWidth="1"/>
    <col min="2971" max="2971" width="13.42578125" customWidth="1"/>
    <col min="2972" max="2972" width="10.140625" bestFit="1" customWidth="1"/>
    <col min="2973" max="2973" width="12.85546875" bestFit="1" customWidth="1"/>
    <col min="2974" max="2974" width="12.28515625" bestFit="1" customWidth="1"/>
    <col min="2975" max="2975" width="11.28515625" bestFit="1" customWidth="1"/>
    <col min="2976" max="2976" width="11.5703125" bestFit="1" customWidth="1"/>
    <col min="2977" max="2977" width="10.85546875" bestFit="1" customWidth="1"/>
    <col min="2978" max="2978" width="11.28515625" bestFit="1" customWidth="1"/>
    <col min="2979" max="2979" width="10.140625" bestFit="1" customWidth="1"/>
    <col min="2980" max="2980" width="13.28515625" bestFit="1" customWidth="1"/>
    <col min="2981" max="2982" width="12.7109375" bestFit="1" customWidth="1"/>
    <col min="2983" max="2983" width="11" bestFit="1" customWidth="1"/>
    <col min="2984" max="2984" width="11.28515625" bestFit="1" customWidth="1"/>
    <col min="2985" max="2985" width="11.5703125" bestFit="1" customWidth="1"/>
    <col min="2986" max="2986" width="12.28515625" bestFit="1" customWidth="1"/>
    <col min="2987" max="2987" width="15.140625" bestFit="1" customWidth="1"/>
    <col min="2988" max="2988" width="14.42578125" bestFit="1" customWidth="1"/>
    <col min="2989" max="2989" width="12.28515625" bestFit="1" customWidth="1"/>
    <col min="2990" max="2990" width="15.140625" bestFit="1" customWidth="1"/>
    <col min="2991" max="2991" width="14.42578125" bestFit="1" customWidth="1"/>
    <col min="2992" max="2992" width="12.28515625" bestFit="1" customWidth="1"/>
    <col min="2993" max="2993" width="14.42578125" bestFit="1" customWidth="1"/>
    <col min="2994" max="2994" width="11.28515625" bestFit="1" customWidth="1"/>
    <col min="2995" max="2995" width="12.28515625" bestFit="1" customWidth="1"/>
    <col min="2996" max="2996" width="13" bestFit="1" customWidth="1"/>
    <col min="2997" max="2997" width="15.140625" bestFit="1" customWidth="1"/>
    <col min="2998" max="2998" width="12.28515625" bestFit="1" customWidth="1"/>
    <col min="2999" max="2999" width="13.85546875" bestFit="1" customWidth="1"/>
    <col min="3000" max="3000" width="11.28515625" bestFit="1" customWidth="1"/>
    <col min="3001" max="3001" width="12.28515625" bestFit="1" customWidth="1"/>
    <col min="3002" max="3002" width="13.85546875" bestFit="1" customWidth="1"/>
    <col min="3003" max="3004" width="15.140625" bestFit="1" customWidth="1"/>
    <col min="3005" max="3005" width="12.28515625" bestFit="1" customWidth="1"/>
    <col min="3006" max="3006" width="5.7109375" bestFit="1" customWidth="1"/>
    <col min="3007" max="3007" width="8.5703125" bestFit="1" customWidth="1"/>
    <col min="3008" max="3008" width="5.5703125" bestFit="1" customWidth="1"/>
    <col min="3009" max="3009" width="14.42578125" bestFit="1" customWidth="1"/>
    <col min="3010" max="3010" width="11.28515625" bestFit="1" customWidth="1"/>
    <col min="3011" max="3012" width="12.28515625" bestFit="1" customWidth="1"/>
    <col min="3013" max="3013" width="11.28515625" bestFit="1" customWidth="1"/>
    <col min="3014" max="3014" width="13.85546875" bestFit="1" customWidth="1"/>
    <col min="3015" max="3015" width="12" bestFit="1" customWidth="1"/>
    <col min="3016" max="3016" width="13.85546875" bestFit="1" customWidth="1"/>
    <col min="3017" max="3018" width="14.42578125" customWidth="1"/>
    <col min="3019" max="3019" width="10.140625" bestFit="1" customWidth="1"/>
    <col min="3020" max="3020" width="12.28515625" bestFit="1" customWidth="1"/>
    <col min="3021" max="3021" width="7.42578125" bestFit="1" customWidth="1"/>
    <col min="3022" max="3022" width="8.5703125" bestFit="1" customWidth="1"/>
    <col min="3023" max="3023" width="11.5703125" bestFit="1" customWidth="1"/>
    <col min="3024" max="3024" width="13.28515625" bestFit="1" customWidth="1"/>
    <col min="3025" max="3025" width="13.28515625" customWidth="1"/>
    <col min="3026" max="3026" width="13.140625" customWidth="1"/>
    <col min="3027" max="3027" width="12.7109375" bestFit="1" customWidth="1"/>
    <col min="3028" max="3028" width="13.28515625" bestFit="1" customWidth="1"/>
    <col min="3029" max="3031" width="13.28515625" customWidth="1"/>
    <col min="3032" max="3032" width="12.140625" bestFit="1" customWidth="1"/>
    <col min="3033" max="3033" width="12.7109375" bestFit="1" customWidth="1"/>
    <col min="3034" max="3034" width="11" customWidth="1"/>
    <col min="3035" max="3035" width="16.7109375" customWidth="1"/>
    <col min="3036" max="3036" width="17" customWidth="1"/>
    <col min="3037" max="3037" width="10.42578125" bestFit="1" customWidth="1"/>
    <col min="3081" max="3081" width="3.85546875" customWidth="1"/>
    <col min="3082" max="3082" width="15.28515625" bestFit="1" customWidth="1"/>
    <col min="3083" max="3083" width="12.28515625" customWidth="1"/>
    <col min="3084" max="3084" width="16.28515625" bestFit="1" customWidth="1"/>
    <col min="3085" max="3085" width="6.42578125" bestFit="1" customWidth="1"/>
    <col min="3086" max="3086" width="9.28515625" bestFit="1" customWidth="1"/>
    <col min="3087" max="3087" width="7.5703125" bestFit="1" customWidth="1"/>
    <col min="3088" max="3088" width="13.28515625" bestFit="1" customWidth="1"/>
    <col min="3089" max="3089" width="9.28515625" bestFit="1" customWidth="1"/>
    <col min="3090" max="3090" width="11.5703125" bestFit="1" customWidth="1"/>
    <col min="3091" max="3091" width="13.28515625" bestFit="1" customWidth="1"/>
    <col min="3092" max="3092" width="7.140625" bestFit="1" customWidth="1"/>
    <col min="3093" max="3093" width="12" bestFit="1" customWidth="1"/>
    <col min="3094" max="3094" width="13.28515625" bestFit="1" customWidth="1"/>
    <col min="3095" max="3095" width="7" bestFit="1" customWidth="1"/>
    <col min="3096" max="3096" width="12.7109375" bestFit="1" customWidth="1"/>
    <col min="3097" max="3097" width="11.5703125" bestFit="1" customWidth="1"/>
    <col min="3098" max="3098" width="10.5703125" bestFit="1" customWidth="1"/>
    <col min="3099" max="3100" width="15.7109375" bestFit="1" customWidth="1"/>
    <col min="3101" max="3101" width="11.5703125" bestFit="1" customWidth="1"/>
    <col min="3102" max="3102" width="7.7109375" bestFit="1" customWidth="1"/>
    <col min="3103" max="3103" width="15.140625" bestFit="1" customWidth="1"/>
    <col min="3104" max="3104" width="11.5703125" bestFit="1" customWidth="1"/>
    <col min="3105" max="3105" width="13.28515625" bestFit="1" customWidth="1"/>
    <col min="3106" max="3106" width="10.42578125" bestFit="1" customWidth="1"/>
    <col min="3107" max="3107" width="13.28515625" bestFit="1" customWidth="1"/>
    <col min="3108" max="3108" width="12.140625" bestFit="1" customWidth="1"/>
    <col min="3109" max="3109" width="14.42578125" bestFit="1" customWidth="1"/>
    <col min="3110" max="3110" width="13.28515625" bestFit="1" customWidth="1"/>
    <col min="3111" max="3111" width="11.5703125" bestFit="1" customWidth="1"/>
    <col min="3112" max="3112" width="7.7109375" bestFit="1" customWidth="1"/>
    <col min="3113" max="3114" width="14.42578125" bestFit="1" customWidth="1"/>
    <col min="3115" max="3115" width="11.5703125" bestFit="1" customWidth="1"/>
    <col min="3116" max="3116" width="7.7109375" bestFit="1" customWidth="1"/>
    <col min="3117" max="3117" width="13.5703125" customWidth="1"/>
    <col min="3118" max="3118" width="15.28515625" customWidth="1"/>
    <col min="3119" max="3119" width="14.5703125" customWidth="1"/>
    <col min="3120" max="3120" width="13.28515625" bestFit="1" customWidth="1"/>
    <col min="3121" max="3121" width="7.7109375" bestFit="1" customWidth="1"/>
    <col min="3122" max="3122" width="12.7109375" bestFit="1" customWidth="1"/>
    <col min="3123" max="3123" width="11.7109375" bestFit="1" customWidth="1"/>
    <col min="3124" max="3124" width="11.5703125" bestFit="1" customWidth="1"/>
    <col min="3125" max="3125" width="5.28515625" bestFit="1" customWidth="1"/>
    <col min="3126" max="3126" width="13.28515625" bestFit="1" customWidth="1"/>
    <col min="3127" max="3127" width="13.5703125" bestFit="1" customWidth="1"/>
    <col min="3128" max="3128" width="10.5703125" bestFit="1" customWidth="1"/>
    <col min="3129" max="3129" width="13.28515625" bestFit="1" customWidth="1"/>
    <col min="3130" max="3130" width="11.5703125" bestFit="1" customWidth="1"/>
    <col min="3131" max="3131" width="10.5703125" bestFit="1" customWidth="1"/>
    <col min="3132" max="3132" width="16.140625" bestFit="1" customWidth="1"/>
    <col min="3133" max="3134" width="11.28515625" bestFit="1" customWidth="1"/>
    <col min="3135" max="3135" width="13.28515625" bestFit="1" customWidth="1"/>
    <col min="3136" max="3136" width="7.7109375" bestFit="1" customWidth="1"/>
    <col min="3137" max="3140" width="9.140625" hidden="1" customWidth="1"/>
    <col min="3141" max="3141" width="10.42578125" bestFit="1" customWidth="1"/>
    <col min="3142" max="3142" width="10.5703125" bestFit="1" customWidth="1"/>
    <col min="3143" max="3143" width="10.42578125" bestFit="1" customWidth="1"/>
    <col min="3144" max="3144" width="10.5703125" bestFit="1" customWidth="1"/>
    <col min="3145" max="3145" width="9.5703125" bestFit="1" customWidth="1"/>
    <col min="3146" max="3146" width="11.5703125" bestFit="1" customWidth="1"/>
    <col min="3147" max="3147" width="10.42578125" bestFit="1" customWidth="1"/>
    <col min="3148" max="3148" width="10.85546875" customWidth="1"/>
    <col min="3149" max="3150" width="9.85546875" bestFit="1" customWidth="1"/>
    <col min="3151" max="3151" width="13.5703125" bestFit="1" customWidth="1"/>
    <col min="3152" max="3152" width="7.7109375" bestFit="1" customWidth="1"/>
    <col min="3153" max="3153" width="13.28515625" bestFit="1" customWidth="1"/>
    <col min="3154" max="3154" width="11.5703125" bestFit="1" customWidth="1"/>
    <col min="3155" max="3155" width="10.42578125" bestFit="1" customWidth="1"/>
    <col min="3156" max="3156" width="7.7109375" bestFit="1" customWidth="1"/>
    <col min="3157" max="3157" width="11.5703125" bestFit="1" customWidth="1"/>
    <col min="3158" max="3158" width="10.85546875" bestFit="1" customWidth="1"/>
    <col min="3159" max="3159" width="13.28515625" bestFit="1" customWidth="1"/>
    <col min="3160" max="3160" width="10.85546875" bestFit="1" customWidth="1"/>
    <col min="3161" max="3162" width="7.5703125" bestFit="1" customWidth="1"/>
    <col min="3163" max="3164" width="10.42578125" bestFit="1" customWidth="1"/>
    <col min="3165" max="3165" width="11.5703125" bestFit="1" customWidth="1"/>
    <col min="3166" max="3166" width="5.28515625" bestFit="1" customWidth="1"/>
    <col min="3167" max="3167" width="10.28515625" bestFit="1" customWidth="1"/>
    <col min="3168" max="3168" width="10.42578125" bestFit="1" customWidth="1"/>
    <col min="3169" max="3169" width="11.5703125" bestFit="1" customWidth="1"/>
    <col min="3170" max="3170" width="5.28515625" bestFit="1" customWidth="1"/>
    <col min="3171" max="3173" width="11.5703125" bestFit="1" customWidth="1"/>
    <col min="3174" max="3174" width="5.28515625" bestFit="1" customWidth="1"/>
    <col min="3175" max="3176" width="10.42578125" bestFit="1" customWidth="1"/>
    <col min="3177" max="3177" width="11.5703125" bestFit="1" customWidth="1"/>
    <col min="3178" max="3178" width="5.28515625" bestFit="1" customWidth="1"/>
    <col min="3179" max="3179" width="14.28515625" bestFit="1" customWidth="1"/>
    <col min="3180" max="3180" width="13" bestFit="1" customWidth="1"/>
    <col min="3181" max="3181" width="11.5703125" bestFit="1" customWidth="1"/>
    <col min="3182" max="3182" width="8.85546875" bestFit="1" customWidth="1"/>
    <col min="3183" max="3183" width="14.42578125" bestFit="1" customWidth="1"/>
    <col min="3184" max="3184" width="10.42578125" bestFit="1" customWidth="1"/>
    <col min="3185" max="3185" width="12.28515625" bestFit="1" customWidth="1"/>
    <col min="3186" max="3186" width="13.85546875" bestFit="1" customWidth="1"/>
    <col min="3187" max="3187" width="11.28515625" customWidth="1"/>
    <col min="3188" max="3188" width="11.5703125" customWidth="1"/>
    <col min="3189" max="3189" width="13.42578125" bestFit="1" customWidth="1"/>
    <col min="3190" max="3190" width="10.42578125" customWidth="1"/>
    <col min="3191" max="3191" width="13.85546875" bestFit="1" customWidth="1"/>
    <col min="3192" max="3192" width="15.42578125" bestFit="1" customWidth="1"/>
    <col min="3193" max="3193" width="12.28515625" bestFit="1" customWidth="1"/>
    <col min="3194" max="3194" width="12.7109375" customWidth="1"/>
    <col min="3195" max="3195" width="10.7109375" bestFit="1" customWidth="1"/>
    <col min="3196" max="3196" width="9.85546875" customWidth="1"/>
    <col min="3197" max="3198" width="10.140625" bestFit="1" customWidth="1"/>
    <col min="3199" max="3199" width="7.5703125" bestFit="1" customWidth="1"/>
    <col min="3200" max="3200" width="9.42578125" bestFit="1" customWidth="1"/>
    <col min="3201" max="3201" width="14.5703125" bestFit="1" customWidth="1"/>
    <col min="3202" max="3202" width="14.85546875" customWidth="1"/>
    <col min="3203" max="3203" width="15.140625" bestFit="1" customWidth="1"/>
    <col min="3204" max="3204" width="12.140625" bestFit="1" customWidth="1"/>
    <col min="3205" max="3205" width="14.85546875" bestFit="1" customWidth="1"/>
    <col min="3206" max="3206" width="12.28515625" bestFit="1" customWidth="1"/>
    <col min="3207" max="3215" width="9.140625" hidden="1" customWidth="1"/>
    <col min="3216" max="3216" width="5.28515625" bestFit="1" customWidth="1"/>
    <col min="3217" max="3222" width="11.5703125" bestFit="1" customWidth="1"/>
    <col min="3223" max="3223" width="11.28515625" bestFit="1" customWidth="1"/>
    <col min="3224" max="3224" width="10.140625" bestFit="1" customWidth="1"/>
    <col min="3225" max="3225" width="11.5703125" bestFit="1" customWidth="1"/>
    <col min="3226" max="3226" width="16.140625" customWidth="1"/>
    <col min="3227" max="3227" width="13.42578125" customWidth="1"/>
    <col min="3228" max="3228" width="10.140625" bestFit="1" customWidth="1"/>
    <col min="3229" max="3229" width="12.85546875" bestFit="1" customWidth="1"/>
    <col min="3230" max="3230" width="12.28515625" bestFit="1" customWidth="1"/>
    <col min="3231" max="3231" width="11.28515625" bestFit="1" customWidth="1"/>
    <col min="3232" max="3232" width="11.5703125" bestFit="1" customWidth="1"/>
    <col min="3233" max="3233" width="10.85546875" bestFit="1" customWidth="1"/>
    <col min="3234" max="3234" width="11.28515625" bestFit="1" customWidth="1"/>
    <col min="3235" max="3235" width="10.140625" bestFit="1" customWidth="1"/>
    <col min="3236" max="3236" width="13.28515625" bestFit="1" customWidth="1"/>
    <col min="3237" max="3238" width="12.7109375" bestFit="1" customWidth="1"/>
    <col min="3239" max="3239" width="11" bestFit="1" customWidth="1"/>
    <col min="3240" max="3240" width="11.28515625" bestFit="1" customWidth="1"/>
    <col min="3241" max="3241" width="11.5703125" bestFit="1" customWidth="1"/>
    <col min="3242" max="3242" width="12.28515625" bestFit="1" customWidth="1"/>
    <col min="3243" max="3243" width="15.140625" bestFit="1" customWidth="1"/>
    <col min="3244" max="3244" width="14.42578125" bestFit="1" customWidth="1"/>
    <col min="3245" max="3245" width="12.28515625" bestFit="1" customWidth="1"/>
    <col min="3246" max="3246" width="15.140625" bestFit="1" customWidth="1"/>
    <col min="3247" max="3247" width="14.42578125" bestFit="1" customWidth="1"/>
    <col min="3248" max="3248" width="12.28515625" bestFit="1" customWidth="1"/>
    <col min="3249" max="3249" width="14.42578125" bestFit="1" customWidth="1"/>
    <col min="3250" max="3250" width="11.28515625" bestFit="1" customWidth="1"/>
    <col min="3251" max="3251" width="12.28515625" bestFit="1" customWidth="1"/>
    <col min="3252" max="3252" width="13" bestFit="1" customWidth="1"/>
    <col min="3253" max="3253" width="15.140625" bestFit="1" customWidth="1"/>
    <col min="3254" max="3254" width="12.28515625" bestFit="1" customWidth="1"/>
    <col min="3255" max="3255" width="13.85546875" bestFit="1" customWidth="1"/>
    <col min="3256" max="3256" width="11.28515625" bestFit="1" customWidth="1"/>
    <col min="3257" max="3257" width="12.28515625" bestFit="1" customWidth="1"/>
    <col min="3258" max="3258" width="13.85546875" bestFit="1" customWidth="1"/>
    <col min="3259" max="3260" width="15.140625" bestFit="1" customWidth="1"/>
    <col min="3261" max="3261" width="12.28515625" bestFit="1" customWidth="1"/>
    <col min="3262" max="3262" width="5.7109375" bestFit="1" customWidth="1"/>
    <col min="3263" max="3263" width="8.5703125" bestFit="1" customWidth="1"/>
    <col min="3264" max="3264" width="5.5703125" bestFit="1" customWidth="1"/>
    <col min="3265" max="3265" width="14.42578125" bestFit="1" customWidth="1"/>
    <col min="3266" max="3266" width="11.28515625" bestFit="1" customWidth="1"/>
    <col min="3267" max="3268" width="12.28515625" bestFit="1" customWidth="1"/>
    <col min="3269" max="3269" width="11.28515625" bestFit="1" customWidth="1"/>
    <col min="3270" max="3270" width="13.85546875" bestFit="1" customWidth="1"/>
    <col min="3271" max="3271" width="12" bestFit="1" customWidth="1"/>
    <col min="3272" max="3272" width="13.85546875" bestFit="1" customWidth="1"/>
    <col min="3273" max="3274" width="14.42578125" customWidth="1"/>
    <col min="3275" max="3275" width="10.140625" bestFit="1" customWidth="1"/>
    <col min="3276" max="3276" width="12.28515625" bestFit="1" customWidth="1"/>
    <col min="3277" max="3277" width="7.42578125" bestFit="1" customWidth="1"/>
    <col min="3278" max="3278" width="8.5703125" bestFit="1" customWidth="1"/>
    <col min="3279" max="3279" width="11.5703125" bestFit="1" customWidth="1"/>
    <col min="3280" max="3280" width="13.28515625" bestFit="1" customWidth="1"/>
    <col min="3281" max="3281" width="13.28515625" customWidth="1"/>
    <col min="3282" max="3282" width="13.140625" customWidth="1"/>
    <col min="3283" max="3283" width="12.7109375" bestFit="1" customWidth="1"/>
    <col min="3284" max="3284" width="13.28515625" bestFit="1" customWidth="1"/>
    <col min="3285" max="3287" width="13.28515625" customWidth="1"/>
    <col min="3288" max="3288" width="12.140625" bestFit="1" customWidth="1"/>
    <col min="3289" max="3289" width="12.7109375" bestFit="1" customWidth="1"/>
    <col min="3290" max="3290" width="11" customWidth="1"/>
    <col min="3291" max="3291" width="16.7109375" customWidth="1"/>
    <col min="3292" max="3292" width="17" customWidth="1"/>
    <col min="3293" max="3293" width="10.42578125" bestFit="1" customWidth="1"/>
    <col min="3337" max="3337" width="3.85546875" customWidth="1"/>
    <col min="3338" max="3338" width="15.28515625" bestFit="1" customWidth="1"/>
    <col min="3339" max="3339" width="12.28515625" customWidth="1"/>
    <col min="3340" max="3340" width="16.28515625" bestFit="1" customWidth="1"/>
    <col min="3341" max="3341" width="6.42578125" bestFit="1" customWidth="1"/>
    <col min="3342" max="3342" width="9.28515625" bestFit="1" customWidth="1"/>
    <col min="3343" max="3343" width="7.5703125" bestFit="1" customWidth="1"/>
    <col min="3344" max="3344" width="13.28515625" bestFit="1" customWidth="1"/>
    <col min="3345" max="3345" width="9.28515625" bestFit="1" customWidth="1"/>
    <col min="3346" max="3346" width="11.5703125" bestFit="1" customWidth="1"/>
    <col min="3347" max="3347" width="13.28515625" bestFit="1" customWidth="1"/>
    <col min="3348" max="3348" width="7.140625" bestFit="1" customWidth="1"/>
    <col min="3349" max="3349" width="12" bestFit="1" customWidth="1"/>
    <col min="3350" max="3350" width="13.28515625" bestFit="1" customWidth="1"/>
    <col min="3351" max="3351" width="7" bestFit="1" customWidth="1"/>
    <col min="3352" max="3352" width="12.7109375" bestFit="1" customWidth="1"/>
    <col min="3353" max="3353" width="11.5703125" bestFit="1" customWidth="1"/>
    <col min="3354" max="3354" width="10.5703125" bestFit="1" customWidth="1"/>
    <col min="3355" max="3356" width="15.7109375" bestFit="1" customWidth="1"/>
    <col min="3357" max="3357" width="11.5703125" bestFit="1" customWidth="1"/>
    <col min="3358" max="3358" width="7.7109375" bestFit="1" customWidth="1"/>
    <col min="3359" max="3359" width="15.140625" bestFit="1" customWidth="1"/>
    <col min="3360" max="3360" width="11.5703125" bestFit="1" customWidth="1"/>
    <col min="3361" max="3361" width="13.28515625" bestFit="1" customWidth="1"/>
    <col min="3362" max="3362" width="10.42578125" bestFit="1" customWidth="1"/>
    <col min="3363" max="3363" width="13.28515625" bestFit="1" customWidth="1"/>
    <col min="3364" max="3364" width="12.140625" bestFit="1" customWidth="1"/>
    <col min="3365" max="3365" width="14.42578125" bestFit="1" customWidth="1"/>
    <col min="3366" max="3366" width="13.28515625" bestFit="1" customWidth="1"/>
    <col min="3367" max="3367" width="11.5703125" bestFit="1" customWidth="1"/>
    <col min="3368" max="3368" width="7.7109375" bestFit="1" customWidth="1"/>
    <col min="3369" max="3370" width="14.42578125" bestFit="1" customWidth="1"/>
    <col min="3371" max="3371" width="11.5703125" bestFit="1" customWidth="1"/>
    <col min="3372" max="3372" width="7.7109375" bestFit="1" customWidth="1"/>
    <col min="3373" max="3373" width="13.5703125" customWidth="1"/>
    <col min="3374" max="3374" width="15.28515625" customWidth="1"/>
    <col min="3375" max="3375" width="14.5703125" customWidth="1"/>
    <col min="3376" max="3376" width="13.28515625" bestFit="1" customWidth="1"/>
    <col min="3377" max="3377" width="7.7109375" bestFit="1" customWidth="1"/>
    <col min="3378" max="3378" width="12.7109375" bestFit="1" customWidth="1"/>
    <col min="3379" max="3379" width="11.7109375" bestFit="1" customWidth="1"/>
    <col min="3380" max="3380" width="11.5703125" bestFit="1" customWidth="1"/>
    <col min="3381" max="3381" width="5.28515625" bestFit="1" customWidth="1"/>
    <col min="3382" max="3382" width="13.28515625" bestFit="1" customWidth="1"/>
    <col min="3383" max="3383" width="13.5703125" bestFit="1" customWidth="1"/>
    <col min="3384" max="3384" width="10.5703125" bestFit="1" customWidth="1"/>
    <col min="3385" max="3385" width="13.28515625" bestFit="1" customWidth="1"/>
    <col min="3386" max="3386" width="11.5703125" bestFit="1" customWidth="1"/>
    <col min="3387" max="3387" width="10.5703125" bestFit="1" customWidth="1"/>
    <col min="3388" max="3388" width="16.140625" bestFit="1" customWidth="1"/>
    <col min="3389" max="3390" width="11.28515625" bestFit="1" customWidth="1"/>
    <col min="3391" max="3391" width="13.28515625" bestFit="1" customWidth="1"/>
    <col min="3392" max="3392" width="7.7109375" bestFit="1" customWidth="1"/>
    <col min="3393" max="3396" width="9.140625" hidden="1" customWidth="1"/>
    <col min="3397" max="3397" width="10.42578125" bestFit="1" customWidth="1"/>
    <col min="3398" max="3398" width="10.5703125" bestFit="1" customWidth="1"/>
    <col min="3399" max="3399" width="10.42578125" bestFit="1" customWidth="1"/>
    <col min="3400" max="3400" width="10.5703125" bestFit="1" customWidth="1"/>
    <col min="3401" max="3401" width="9.5703125" bestFit="1" customWidth="1"/>
    <col min="3402" max="3402" width="11.5703125" bestFit="1" customWidth="1"/>
    <col min="3403" max="3403" width="10.42578125" bestFit="1" customWidth="1"/>
    <col min="3404" max="3404" width="10.85546875" customWidth="1"/>
    <col min="3405" max="3406" width="9.85546875" bestFit="1" customWidth="1"/>
    <col min="3407" max="3407" width="13.5703125" bestFit="1" customWidth="1"/>
    <col min="3408" max="3408" width="7.7109375" bestFit="1" customWidth="1"/>
    <col min="3409" max="3409" width="13.28515625" bestFit="1" customWidth="1"/>
    <col min="3410" max="3410" width="11.5703125" bestFit="1" customWidth="1"/>
    <col min="3411" max="3411" width="10.42578125" bestFit="1" customWidth="1"/>
    <col min="3412" max="3412" width="7.7109375" bestFit="1" customWidth="1"/>
    <col min="3413" max="3413" width="11.5703125" bestFit="1" customWidth="1"/>
    <col min="3414" max="3414" width="10.85546875" bestFit="1" customWidth="1"/>
    <col min="3415" max="3415" width="13.28515625" bestFit="1" customWidth="1"/>
    <col min="3416" max="3416" width="10.85546875" bestFit="1" customWidth="1"/>
    <col min="3417" max="3418" width="7.5703125" bestFit="1" customWidth="1"/>
    <col min="3419" max="3420" width="10.42578125" bestFit="1" customWidth="1"/>
    <col min="3421" max="3421" width="11.5703125" bestFit="1" customWidth="1"/>
    <col min="3422" max="3422" width="5.28515625" bestFit="1" customWidth="1"/>
    <col min="3423" max="3423" width="10.28515625" bestFit="1" customWidth="1"/>
    <col min="3424" max="3424" width="10.42578125" bestFit="1" customWidth="1"/>
    <col min="3425" max="3425" width="11.5703125" bestFit="1" customWidth="1"/>
    <col min="3426" max="3426" width="5.28515625" bestFit="1" customWidth="1"/>
    <col min="3427" max="3429" width="11.5703125" bestFit="1" customWidth="1"/>
    <col min="3430" max="3430" width="5.28515625" bestFit="1" customWidth="1"/>
    <col min="3431" max="3432" width="10.42578125" bestFit="1" customWidth="1"/>
    <col min="3433" max="3433" width="11.5703125" bestFit="1" customWidth="1"/>
    <col min="3434" max="3434" width="5.28515625" bestFit="1" customWidth="1"/>
    <col min="3435" max="3435" width="14.28515625" bestFit="1" customWidth="1"/>
    <col min="3436" max="3436" width="13" bestFit="1" customWidth="1"/>
    <col min="3437" max="3437" width="11.5703125" bestFit="1" customWidth="1"/>
    <col min="3438" max="3438" width="8.85546875" bestFit="1" customWidth="1"/>
    <col min="3439" max="3439" width="14.42578125" bestFit="1" customWidth="1"/>
    <col min="3440" max="3440" width="10.42578125" bestFit="1" customWidth="1"/>
    <col min="3441" max="3441" width="12.28515625" bestFit="1" customWidth="1"/>
    <col min="3442" max="3442" width="13.85546875" bestFit="1" customWidth="1"/>
    <col min="3443" max="3443" width="11.28515625" customWidth="1"/>
    <col min="3444" max="3444" width="11.5703125" customWidth="1"/>
    <col min="3445" max="3445" width="13.42578125" bestFit="1" customWidth="1"/>
    <col min="3446" max="3446" width="10.42578125" customWidth="1"/>
    <col min="3447" max="3447" width="13.85546875" bestFit="1" customWidth="1"/>
    <col min="3448" max="3448" width="15.42578125" bestFit="1" customWidth="1"/>
    <col min="3449" max="3449" width="12.28515625" bestFit="1" customWidth="1"/>
    <col min="3450" max="3450" width="12.7109375" customWidth="1"/>
    <col min="3451" max="3451" width="10.7109375" bestFit="1" customWidth="1"/>
    <col min="3452" max="3452" width="9.85546875" customWidth="1"/>
    <col min="3453" max="3454" width="10.140625" bestFit="1" customWidth="1"/>
    <col min="3455" max="3455" width="7.5703125" bestFit="1" customWidth="1"/>
    <col min="3456" max="3456" width="9.42578125" bestFit="1" customWidth="1"/>
    <col min="3457" max="3457" width="14.5703125" bestFit="1" customWidth="1"/>
    <col min="3458" max="3458" width="14.85546875" customWidth="1"/>
    <col min="3459" max="3459" width="15.140625" bestFit="1" customWidth="1"/>
    <col min="3460" max="3460" width="12.140625" bestFit="1" customWidth="1"/>
    <col min="3461" max="3461" width="14.85546875" bestFit="1" customWidth="1"/>
    <col min="3462" max="3462" width="12.28515625" bestFit="1" customWidth="1"/>
    <col min="3463" max="3471" width="9.140625" hidden="1" customWidth="1"/>
    <col min="3472" max="3472" width="5.28515625" bestFit="1" customWidth="1"/>
    <col min="3473" max="3478" width="11.5703125" bestFit="1" customWidth="1"/>
    <col min="3479" max="3479" width="11.28515625" bestFit="1" customWidth="1"/>
    <col min="3480" max="3480" width="10.140625" bestFit="1" customWidth="1"/>
    <col min="3481" max="3481" width="11.5703125" bestFit="1" customWidth="1"/>
    <col min="3482" max="3482" width="16.140625" customWidth="1"/>
    <col min="3483" max="3483" width="13.42578125" customWidth="1"/>
    <col min="3484" max="3484" width="10.140625" bestFit="1" customWidth="1"/>
    <col min="3485" max="3485" width="12.85546875" bestFit="1" customWidth="1"/>
    <col min="3486" max="3486" width="12.28515625" bestFit="1" customWidth="1"/>
    <col min="3487" max="3487" width="11.28515625" bestFit="1" customWidth="1"/>
    <col min="3488" max="3488" width="11.5703125" bestFit="1" customWidth="1"/>
    <col min="3489" max="3489" width="10.85546875" bestFit="1" customWidth="1"/>
    <col min="3490" max="3490" width="11.28515625" bestFit="1" customWidth="1"/>
    <col min="3491" max="3491" width="10.140625" bestFit="1" customWidth="1"/>
    <col min="3492" max="3492" width="13.28515625" bestFit="1" customWidth="1"/>
    <col min="3493" max="3494" width="12.7109375" bestFit="1" customWidth="1"/>
    <col min="3495" max="3495" width="11" bestFit="1" customWidth="1"/>
    <col min="3496" max="3496" width="11.28515625" bestFit="1" customWidth="1"/>
    <col min="3497" max="3497" width="11.5703125" bestFit="1" customWidth="1"/>
    <col min="3498" max="3498" width="12.28515625" bestFit="1" customWidth="1"/>
    <col min="3499" max="3499" width="15.140625" bestFit="1" customWidth="1"/>
    <col min="3500" max="3500" width="14.42578125" bestFit="1" customWidth="1"/>
    <col min="3501" max="3501" width="12.28515625" bestFit="1" customWidth="1"/>
    <col min="3502" max="3502" width="15.140625" bestFit="1" customWidth="1"/>
    <col min="3503" max="3503" width="14.42578125" bestFit="1" customWidth="1"/>
    <col min="3504" max="3504" width="12.28515625" bestFit="1" customWidth="1"/>
    <col min="3505" max="3505" width="14.42578125" bestFit="1" customWidth="1"/>
    <col min="3506" max="3506" width="11.28515625" bestFit="1" customWidth="1"/>
    <col min="3507" max="3507" width="12.28515625" bestFit="1" customWidth="1"/>
    <col min="3508" max="3508" width="13" bestFit="1" customWidth="1"/>
    <col min="3509" max="3509" width="15.140625" bestFit="1" customWidth="1"/>
    <col min="3510" max="3510" width="12.28515625" bestFit="1" customWidth="1"/>
    <col min="3511" max="3511" width="13.85546875" bestFit="1" customWidth="1"/>
    <col min="3512" max="3512" width="11.28515625" bestFit="1" customWidth="1"/>
    <col min="3513" max="3513" width="12.28515625" bestFit="1" customWidth="1"/>
    <col min="3514" max="3514" width="13.85546875" bestFit="1" customWidth="1"/>
    <col min="3515" max="3516" width="15.140625" bestFit="1" customWidth="1"/>
    <col min="3517" max="3517" width="12.28515625" bestFit="1" customWidth="1"/>
    <col min="3518" max="3518" width="5.7109375" bestFit="1" customWidth="1"/>
    <col min="3519" max="3519" width="8.5703125" bestFit="1" customWidth="1"/>
    <col min="3520" max="3520" width="5.5703125" bestFit="1" customWidth="1"/>
    <col min="3521" max="3521" width="14.42578125" bestFit="1" customWidth="1"/>
    <col min="3522" max="3522" width="11.28515625" bestFit="1" customWidth="1"/>
    <col min="3523" max="3524" width="12.28515625" bestFit="1" customWidth="1"/>
    <col min="3525" max="3525" width="11.28515625" bestFit="1" customWidth="1"/>
    <col min="3526" max="3526" width="13.85546875" bestFit="1" customWidth="1"/>
    <col min="3527" max="3527" width="12" bestFit="1" customWidth="1"/>
    <col min="3528" max="3528" width="13.85546875" bestFit="1" customWidth="1"/>
    <col min="3529" max="3530" width="14.42578125" customWidth="1"/>
    <col min="3531" max="3531" width="10.140625" bestFit="1" customWidth="1"/>
    <col min="3532" max="3532" width="12.28515625" bestFit="1" customWidth="1"/>
    <col min="3533" max="3533" width="7.42578125" bestFit="1" customWidth="1"/>
    <col min="3534" max="3534" width="8.5703125" bestFit="1" customWidth="1"/>
    <col min="3535" max="3535" width="11.5703125" bestFit="1" customWidth="1"/>
    <col min="3536" max="3536" width="13.28515625" bestFit="1" customWidth="1"/>
    <col min="3537" max="3537" width="13.28515625" customWidth="1"/>
    <col min="3538" max="3538" width="13.140625" customWidth="1"/>
    <col min="3539" max="3539" width="12.7109375" bestFit="1" customWidth="1"/>
    <col min="3540" max="3540" width="13.28515625" bestFit="1" customWidth="1"/>
    <col min="3541" max="3543" width="13.28515625" customWidth="1"/>
    <col min="3544" max="3544" width="12.140625" bestFit="1" customWidth="1"/>
    <col min="3545" max="3545" width="12.7109375" bestFit="1" customWidth="1"/>
    <col min="3546" max="3546" width="11" customWidth="1"/>
    <col min="3547" max="3547" width="16.7109375" customWidth="1"/>
    <col min="3548" max="3548" width="17" customWidth="1"/>
    <col min="3549" max="3549" width="10.42578125" bestFit="1" customWidth="1"/>
    <col min="3593" max="3593" width="3.85546875" customWidth="1"/>
    <col min="3594" max="3594" width="15.28515625" bestFit="1" customWidth="1"/>
    <col min="3595" max="3595" width="12.28515625" customWidth="1"/>
    <col min="3596" max="3596" width="16.28515625" bestFit="1" customWidth="1"/>
    <col min="3597" max="3597" width="6.42578125" bestFit="1" customWidth="1"/>
    <col min="3598" max="3598" width="9.28515625" bestFit="1" customWidth="1"/>
    <col min="3599" max="3599" width="7.5703125" bestFit="1" customWidth="1"/>
    <col min="3600" max="3600" width="13.28515625" bestFit="1" customWidth="1"/>
    <col min="3601" max="3601" width="9.28515625" bestFit="1" customWidth="1"/>
    <col min="3602" max="3602" width="11.5703125" bestFit="1" customWidth="1"/>
    <col min="3603" max="3603" width="13.28515625" bestFit="1" customWidth="1"/>
    <col min="3604" max="3604" width="7.140625" bestFit="1" customWidth="1"/>
    <col min="3605" max="3605" width="12" bestFit="1" customWidth="1"/>
    <col min="3606" max="3606" width="13.28515625" bestFit="1" customWidth="1"/>
    <col min="3607" max="3607" width="7" bestFit="1" customWidth="1"/>
    <col min="3608" max="3608" width="12.7109375" bestFit="1" customWidth="1"/>
    <col min="3609" max="3609" width="11.5703125" bestFit="1" customWidth="1"/>
    <col min="3610" max="3610" width="10.5703125" bestFit="1" customWidth="1"/>
    <col min="3611" max="3612" width="15.7109375" bestFit="1" customWidth="1"/>
    <col min="3613" max="3613" width="11.5703125" bestFit="1" customWidth="1"/>
    <col min="3614" max="3614" width="7.7109375" bestFit="1" customWidth="1"/>
    <col min="3615" max="3615" width="15.140625" bestFit="1" customWidth="1"/>
    <col min="3616" max="3616" width="11.5703125" bestFit="1" customWidth="1"/>
    <col min="3617" max="3617" width="13.28515625" bestFit="1" customWidth="1"/>
    <col min="3618" max="3618" width="10.42578125" bestFit="1" customWidth="1"/>
    <col min="3619" max="3619" width="13.28515625" bestFit="1" customWidth="1"/>
    <col min="3620" max="3620" width="12.140625" bestFit="1" customWidth="1"/>
    <col min="3621" max="3621" width="14.42578125" bestFit="1" customWidth="1"/>
    <col min="3622" max="3622" width="13.28515625" bestFit="1" customWidth="1"/>
    <col min="3623" max="3623" width="11.5703125" bestFit="1" customWidth="1"/>
    <col min="3624" max="3624" width="7.7109375" bestFit="1" customWidth="1"/>
    <col min="3625" max="3626" width="14.42578125" bestFit="1" customWidth="1"/>
    <col min="3627" max="3627" width="11.5703125" bestFit="1" customWidth="1"/>
    <col min="3628" max="3628" width="7.7109375" bestFit="1" customWidth="1"/>
    <col min="3629" max="3629" width="13.5703125" customWidth="1"/>
    <col min="3630" max="3630" width="15.28515625" customWidth="1"/>
    <col min="3631" max="3631" width="14.5703125" customWidth="1"/>
    <col min="3632" max="3632" width="13.28515625" bestFit="1" customWidth="1"/>
    <col min="3633" max="3633" width="7.7109375" bestFit="1" customWidth="1"/>
    <col min="3634" max="3634" width="12.7109375" bestFit="1" customWidth="1"/>
    <col min="3635" max="3635" width="11.7109375" bestFit="1" customWidth="1"/>
    <col min="3636" max="3636" width="11.5703125" bestFit="1" customWidth="1"/>
    <col min="3637" max="3637" width="5.28515625" bestFit="1" customWidth="1"/>
    <col min="3638" max="3638" width="13.28515625" bestFit="1" customWidth="1"/>
    <col min="3639" max="3639" width="13.5703125" bestFit="1" customWidth="1"/>
    <col min="3640" max="3640" width="10.5703125" bestFit="1" customWidth="1"/>
    <col min="3641" max="3641" width="13.28515625" bestFit="1" customWidth="1"/>
    <col min="3642" max="3642" width="11.5703125" bestFit="1" customWidth="1"/>
    <col min="3643" max="3643" width="10.5703125" bestFit="1" customWidth="1"/>
    <col min="3644" max="3644" width="16.140625" bestFit="1" customWidth="1"/>
    <col min="3645" max="3646" width="11.28515625" bestFit="1" customWidth="1"/>
    <col min="3647" max="3647" width="13.28515625" bestFit="1" customWidth="1"/>
    <col min="3648" max="3648" width="7.7109375" bestFit="1" customWidth="1"/>
    <col min="3649" max="3652" width="9.140625" hidden="1" customWidth="1"/>
    <col min="3653" max="3653" width="10.42578125" bestFit="1" customWidth="1"/>
    <col min="3654" max="3654" width="10.5703125" bestFit="1" customWidth="1"/>
    <col min="3655" max="3655" width="10.42578125" bestFit="1" customWidth="1"/>
    <col min="3656" max="3656" width="10.5703125" bestFit="1" customWidth="1"/>
    <col min="3657" max="3657" width="9.5703125" bestFit="1" customWidth="1"/>
    <col min="3658" max="3658" width="11.5703125" bestFit="1" customWidth="1"/>
    <col min="3659" max="3659" width="10.42578125" bestFit="1" customWidth="1"/>
    <col min="3660" max="3660" width="10.85546875" customWidth="1"/>
    <col min="3661" max="3662" width="9.85546875" bestFit="1" customWidth="1"/>
    <col min="3663" max="3663" width="13.5703125" bestFit="1" customWidth="1"/>
    <col min="3664" max="3664" width="7.7109375" bestFit="1" customWidth="1"/>
    <col min="3665" max="3665" width="13.28515625" bestFit="1" customWidth="1"/>
    <col min="3666" max="3666" width="11.5703125" bestFit="1" customWidth="1"/>
    <col min="3667" max="3667" width="10.42578125" bestFit="1" customWidth="1"/>
    <col min="3668" max="3668" width="7.7109375" bestFit="1" customWidth="1"/>
    <col min="3669" max="3669" width="11.5703125" bestFit="1" customWidth="1"/>
    <col min="3670" max="3670" width="10.85546875" bestFit="1" customWidth="1"/>
    <col min="3671" max="3671" width="13.28515625" bestFit="1" customWidth="1"/>
    <col min="3672" max="3672" width="10.85546875" bestFit="1" customWidth="1"/>
    <col min="3673" max="3674" width="7.5703125" bestFit="1" customWidth="1"/>
    <col min="3675" max="3676" width="10.42578125" bestFit="1" customWidth="1"/>
    <col min="3677" max="3677" width="11.5703125" bestFit="1" customWidth="1"/>
    <col min="3678" max="3678" width="5.28515625" bestFit="1" customWidth="1"/>
    <col min="3679" max="3679" width="10.28515625" bestFit="1" customWidth="1"/>
    <col min="3680" max="3680" width="10.42578125" bestFit="1" customWidth="1"/>
    <col min="3681" max="3681" width="11.5703125" bestFit="1" customWidth="1"/>
    <col min="3682" max="3682" width="5.28515625" bestFit="1" customWidth="1"/>
    <col min="3683" max="3685" width="11.5703125" bestFit="1" customWidth="1"/>
    <col min="3686" max="3686" width="5.28515625" bestFit="1" customWidth="1"/>
    <col min="3687" max="3688" width="10.42578125" bestFit="1" customWidth="1"/>
    <col min="3689" max="3689" width="11.5703125" bestFit="1" customWidth="1"/>
    <col min="3690" max="3690" width="5.28515625" bestFit="1" customWidth="1"/>
    <col min="3691" max="3691" width="14.28515625" bestFit="1" customWidth="1"/>
    <col min="3692" max="3692" width="13" bestFit="1" customWidth="1"/>
    <col min="3693" max="3693" width="11.5703125" bestFit="1" customWidth="1"/>
    <col min="3694" max="3694" width="8.85546875" bestFit="1" customWidth="1"/>
    <col min="3695" max="3695" width="14.42578125" bestFit="1" customWidth="1"/>
    <col min="3696" max="3696" width="10.42578125" bestFit="1" customWidth="1"/>
    <col min="3697" max="3697" width="12.28515625" bestFit="1" customWidth="1"/>
    <col min="3698" max="3698" width="13.85546875" bestFit="1" customWidth="1"/>
    <col min="3699" max="3699" width="11.28515625" customWidth="1"/>
    <col min="3700" max="3700" width="11.5703125" customWidth="1"/>
    <col min="3701" max="3701" width="13.42578125" bestFit="1" customWidth="1"/>
    <col min="3702" max="3702" width="10.42578125" customWidth="1"/>
    <col min="3703" max="3703" width="13.85546875" bestFit="1" customWidth="1"/>
    <col min="3704" max="3704" width="15.42578125" bestFit="1" customWidth="1"/>
    <col min="3705" max="3705" width="12.28515625" bestFit="1" customWidth="1"/>
    <col min="3706" max="3706" width="12.7109375" customWidth="1"/>
    <col min="3707" max="3707" width="10.7109375" bestFit="1" customWidth="1"/>
    <col min="3708" max="3708" width="9.85546875" customWidth="1"/>
    <col min="3709" max="3710" width="10.140625" bestFit="1" customWidth="1"/>
    <col min="3711" max="3711" width="7.5703125" bestFit="1" customWidth="1"/>
    <col min="3712" max="3712" width="9.42578125" bestFit="1" customWidth="1"/>
    <col min="3713" max="3713" width="14.5703125" bestFit="1" customWidth="1"/>
    <col min="3714" max="3714" width="14.85546875" customWidth="1"/>
    <col min="3715" max="3715" width="15.140625" bestFit="1" customWidth="1"/>
    <col min="3716" max="3716" width="12.140625" bestFit="1" customWidth="1"/>
    <col min="3717" max="3717" width="14.85546875" bestFit="1" customWidth="1"/>
    <col min="3718" max="3718" width="12.28515625" bestFit="1" customWidth="1"/>
    <col min="3719" max="3727" width="9.140625" hidden="1" customWidth="1"/>
    <col min="3728" max="3728" width="5.28515625" bestFit="1" customWidth="1"/>
    <col min="3729" max="3734" width="11.5703125" bestFit="1" customWidth="1"/>
    <col min="3735" max="3735" width="11.28515625" bestFit="1" customWidth="1"/>
    <col min="3736" max="3736" width="10.140625" bestFit="1" customWidth="1"/>
    <col min="3737" max="3737" width="11.5703125" bestFit="1" customWidth="1"/>
    <col min="3738" max="3738" width="16.140625" customWidth="1"/>
    <col min="3739" max="3739" width="13.42578125" customWidth="1"/>
    <col min="3740" max="3740" width="10.140625" bestFit="1" customWidth="1"/>
    <col min="3741" max="3741" width="12.85546875" bestFit="1" customWidth="1"/>
    <col min="3742" max="3742" width="12.28515625" bestFit="1" customWidth="1"/>
    <col min="3743" max="3743" width="11.28515625" bestFit="1" customWidth="1"/>
    <col min="3744" max="3744" width="11.5703125" bestFit="1" customWidth="1"/>
    <col min="3745" max="3745" width="10.85546875" bestFit="1" customWidth="1"/>
    <col min="3746" max="3746" width="11.28515625" bestFit="1" customWidth="1"/>
    <col min="3747" max="3747" width="10.140625" bestFit="1" customWidth="1"/>
    <col min="3748" max="3748" width="13.28515625" bestFit="1" customWidth="1"/>
    <col min="3749" max="3750" width="12.7109375" bestFit="1" customWidth="1"/>
    <col min="3751" max="3751" width="11" bestFit="1" customWidth="1"/>
    <col min="3752" max="3752" width="11.28515625" bestFit="1" customWidth="1"/>
    <col min="3753" max="3753" width="11.5703125" bestFit="1" customWidth="1"/>
    <col min="3754" max="3754" width="12.28515625" bestFit="1" customWidth="1"/>
    <col min="3755" max="3755" width="15.140625" bestFit="1" customWidth="1"/>
    <col min="3756" max="3756" width="14.42578125" bestFit="1" customWidth="1"/>
    <col min="3757" max="3757" width="12.28515625" bestFit="1" customWidth="1"/>
    <col min="3758" max="3758" width="15.140625" bestFit="1" customWidth="1"/>
    <col min="3759" max="3759" width="14.42578125" bestFit="1" customWidth="1"/>
    <col min="3760" max="3760" width="12.28515625" bestFit="1" customWidth="1"/>
    <col min="3761" max="3761" width="14.42578125" bestFit="1" customWidth="1"/>
    <col min="3762" max="3762" width="11.28515625" bestFit="1" customWidth="1"/>
    <col min="3763" max="3763" width="12.28515625" bestFit="1" customWidth="1"/>
    <col min="3764" max="3764" width="13" bestFit="1" customWidth="1"/>
    <col min="3765" max="3765" width="15.140625" bestFit="1" customWidth="1"/>
    <col min="3766" max="3766" width="12.28515625" bestFit="1" customWidth="1"/>
    <col min="3767" max="3767" width="13.85546875" bestFit="1" customWidth="1"/>
    <col min="3768" max="3768" width="11.28515625" bestFit="1" customWidth="1"/>
    <col min="3769" max="3769" width="12.28515625" bestFit="1" customWidth="1"/>
    <col min="3770" max="3770" width="13.85546875" bestFit="1" customWidth="1"/>
    <col min="3771" max="3772" width="15.140625" bestFit="1" customWidth="1"/>
    <col min="3773" max="3773" width="12.28515625" bestFit="1" customWidth="1"/>
    <col min="3774" max="3774" width="5.7109375" bestFit="1" customWidth="1"/>
    <col min="3775" max="3775" width="8.5703125" bestFit="1" customWidth="1"/>
    <col min="3776" max="3776" width="5.5703125" bestFit="1" customWidth="1"/>
    <col min="3777" max="3777" width="14.42578125" bestFit="1" customWidth="1"/>
    <col min="3778" max="3778" width="11.28515625" bestFit="1" customWidth="1"/>
    <col min="3779" max="3780" width="12.28515625" bestFit="1" customWidth="1"/>
    <col min="3781" max="3781" width="11.28515625" bestFit="1" customWidth="1"/>
    <col min="3782" max="3782" width="13.85546875" bestFit="1" customWidth="1"/>
    <col min="3783" max="3783" width="12" bestFit="1" customWidth="1"/>
    <col min="3784" max="3784" width="13.85546875" bestFit="1" customWidth="1"/>
    <col min="3785" max="3786" width="14.42578125" customWidth="1"/>
    <col min="3787" max="3787" width="10.140625" bestFit="1" customWidth="1"/>
    <col min="3788" max="3788" width="12.28515625" bestFit="1" customWidth="1"/>
    <col min="3789" max="3789" width="7.42578125" bestFit="1" customWidth="1"/>
    <col min="3790" max="3790" width="8.5703125" bestFit="1" customWidth="1"/>
    <col min="3791" max="3791" width="11.5703125" bestFit="1" customWidth="1"/>
    <col min="3792" max="3792" width="13.28515625" bestFit="1" customWidth="1"/>
    <col min="3793" max="3793" width="13.28515625" customWidth="1"/>
    <col min="3794" max="3794" width="13.140625" customWidth="1"/>
    <col min="3795" max="3795" width="12.7109375" bestFit="1" customWidth="1"/>
    <col min="3796" max="3796" width="13.28515625" bestFit="1" customWidth="1"/>
    <col min="3797" max="3799" width="13.28515625" customWidth="1"/>
    <col min="3800" max="3800" width="12.140625" bestFit="1" customWidth="1"/>
    <col min="3801" max="3801" width="12.7109375" bestFit="1" customWidth="1"/>
    <col min="3802" max="3802" width="11" customWidth="1"/>
    <col min="3803" max="3803" width="16.7109375" customWidth="1"/>
    <col min="3804" max="3804" width="17" customWidth="1"/>
    <col min="3805" max="3805" width="10.42578125" bestFit="1" customWidth="1"/>
    <col min="3849" max="3849" width="3.85546875" customWidth="1"/>
    <col min="3850" max="3850" width="15.28515625" bestFit="1" customWidth="1"/>
    <col min="3851" max="3851" width="12.28515625" customWidth="1"/>
    <col min="3852" max="3852" width="16.28515625" bestFit="1" customWidth="1"/>
    <col min="3853" max="3853" width="6.42578125" bestFit="1" customWidth="1"/>
    <col min="3854" max="3854" width="9.28515625" bestFit="1" customWidth="1"/>
    <col min="3855" max="3855" width="7.5703125" bestFit="1" customWidth="1"/>
    <col min="3856" max="3856" width="13.28515625" bestFit="1" customWidth="1"/>
    <col min="3857" max="3857" width="9.28515625" bestFit="1" customWidth="1"/>
    <col min="3858" max="3858" width="11.5703125" bestFit="1" customWidth="1"/>
    <col min="3859" max="3859" width="13.28515625" bestFit="1" customWidth="1"/>
    <col min="3860" max="3860" width="7.140625" bestFit="1" customWidth="1"/>
    <col min="3861" max="3861" width="12" bestFit="1" customWidth="1"/>
    <col min="3862" max="3862" width="13.28515625" bestFit="1" customWidth="1"/>
    <col min="3863" max="3863" width="7" bestFit="1" customWidth="1"/>
    <col min="3864" max="3864" width="12.7109375" bestFit="1" customWidth="1"/>
    <col min="3865" max="3865" width="11.5703125" bestFit="1" customWidth="1"/>
    <col min="3866" max="3866" width="10.5703125" bestFit="1" customWidth="1"/>
    <col min="3867" max="3868" width="15.7109375" bestFit="1" customWidth="1"/>
    <col min="3869" max="3869" width="11.5703125" bestFit="1" customWidth="1"/>
    <col min="3870" max="3870" width="7.7109375" bestFit="1" customWidth="1"/>
    <col min="3871" max="3871" width="15.140625" bestFit="1" customWidth="1"/>
    <col min="3872" max="3872" width="11.5703125" bestFit="1" customWidth="1"/>
    <col min="3873" max="3873" width="13.28515625" bestFit="1" customWidth="1"/>
    <col min="3874" max="3874" width="10.42578125" bestFit="1" customWidth="1"/>
    <col min="3875" max="3875" width="13.28515625" bestFit="1" customWidth="1"/>
    <col min="3876" max="3876" width="12.140625" bestFit="1" customWidth="1"/>
    <col min="3877" max="3877" width="14.42578125" bestFit="1" customWidth="1"/>
    <col min="3878" max="3878" width="13.28515625" bestFit="1" customWidth="1"/>
    <col min="3879" max="3879" width="11.5703125" bestFit="1" customWidth="1"/>
    <col min="3880" max="3880" width="7.7109375" bestFit="1" customWidth="1"/>
    <col min="3881" max="3882" width="14.42578125" bestFit="1" customWidth="1"/>
    <col min="3883" max="3883" width="11.5703125" bestFit="1" customWidth="1"/>
    <col min="3884" max="3884" width="7.7109375" bestFit="1" customWidth="1"/>
    <col min="3885" max="3885" width="13.5703125" customWidth="1"/>
    <col min="3886" max="3886" width="15.28515625" customWidth="1"/>
    <col min="3887" max="3887" width="14.5703125" customWidth="1"/>
    <col min="3888" max="3888" width="13.28515625" bestFit="1" customWidth="1"/>
    <col min="3889" max="3889" width="7.7109375" bestFit="1" customWidth="1"/>
    <col min="3890" max="3890" width="12.7109375" bestFit="1" customWidth="1"/>
    <col min="3891" max="3891" width="11.7109375" bestFit="1" customWidth="1"/>
    <col min="3892" max="3892" width="11.5703125" bestFit="1" customWidth="1"/>
    <col min="3893" max="3893" width="5.28515625" bestFit="1" customWidth="1"/>
    <col min="3894" max="3894" width="13.28515625" bestFit="1" customWidth="1"/>
    <col min="3895" max="3895" width="13.5703125" bestFit="1" customWidth="1"/>
    <col min="3896" max="3896" width="10.5703125" bestFit="1" customWidth="1"/>
    <col min="3897" max="3897" width="13.28515625" bestFit="1" customWidth="1"/>
    <col min="3898" max="3898" width="11.5703125" bestFit="1" customWidth="1"/>
    <col min="3899" max="3899" width="10.5703125" bestFit="1" customWidth="1"/>
    <col min="3900" max="3900" width="16.140625" bestFit="1" customWidth="1"/>
    <col min="3901" max="3902" width="11.28515625" bestFit="1" customWidth="1"/>
    <col min="3903" max="3903" width="13.28515625" bestFit="1" customWidth="1"/>
    <col min="3904" max="3904" width="7.7109375" bestFit="1" customWidth="1"/>
    <col min="3905" max="3908" width="9.140625" hidden="1" customWidth="1"/>
    <col min="3909" max="3909" width="10.42578125" bestFit="1" customWidth="1"/>
    <col min="3910" max="3910" width="10.5703125" bestFit="1" customWidth="1"/>
    <col min="3911" max="3911" width="10.42578125" bestFit="1" customWidth="1"/>
    <col min="3912" max="3912" width="10.5703125" bestFit="1" customWidth="1"/>
    <col min="3913" max="3913" width="9.5703125" bestFit="1" customWidth="1"/>
    <col min="3914" max="3914" width="11.5703125" bestFit="1" customWidth="1"/>
    <col min="3915" max="3915" width="10.42578125" bestFit="1" customWidth="1"/>
    <col min="3916" max="3916" width="10.85546875" customWidth="1"/>
    <col min="3917" max="3918" width="9.85546875" bestFit="1" customWidth="1"/>
    <col min="3919" max="3919" width="13.5703125" bestFit="1" customWidth="1"/>
    <col min="3920" max="3920" width="7.7109375" bestFit="1" customWidth="1"/>
    <col min="3921" max="3921" width="13.28515625" bestFit="1" customWidth="1"/>
    <col min="3922" max="3922" width="11.5703125" bestFit="1" customWidth="1"/>
    <col min="3923" max="3923" width="10.42578125" bestFit="1" customWidth="1"/>
    <col min="3924" max="3924" width="7.7109375" bestFit="1" customWidth="1"/>
    <col min="3925" max="3925" width="11.5703125" bestFit="1" customWidth="1"/>
    <col min="3926" max="3926" width="10.85546875" bestFit="1" customWidth="1"/>
    <col min="3927" max="3927" width="13.28515625" bestFit="1" customWidth="1"/>
    <col min="3928" max="3928" width="10.85546875" bestFit="1" customWidth="1"/>
    <col min="3929" max="3930" width="7.5703125" bestFit="1" customWidth="1"/>
    <col min="3931" max="3932" width="10.42578125" bestFit="1" customWidth="1"/>
    <col min="3933" max="3933" width="11.5703125" bestFit="1" customWidth="1"/>
    <col min="3934" max="3934" width="5.28515625" bestFit="1" customWidth="1"/>
    <col min="3935" max="3935" width="10.28515625" bestFit="1" customWidth="1"/>
    <col min="3936" max="3936" width="10.42578125" bestFit="1" customWidth="1"/>
    <col min="3937" max="3937" width="11.5703125" bestFit="1" customWidth="1"/>
    <col min="3938" max="3938" width="5.28515625" bestFit="1" customWidth="1"/>
    <col min="3939" max="3941" width="11.5703125" bestFit="1" customWidth="1"/>
    <col min="3942" max="3942" width="5.28515625" bestFit="1" customWidth="1"/>
    <col min="3943" max="3944" width="10.42578125" bestFit="1" customWidth="1"/>
    <col min="3945" max="3945" width="11.5703125" bestFit="1" customWidth="1"/>
    <col min="3946" max="3946" width="5.28515625" bestFit="1" customWidth="1"/>
    <col min="3947" max="3947" width="14.28515625" bestFit="1" customWidth="1"/>
    <col min="3948" max="3948" width="13" bestFit="1" customWidth="1"/>
    <col min="3949" max="3949" width="11.5703125" bestFit="1" customWidth="1"/>
    <col min="3950" max="3950" width="8.85546875" bestFit="1" customWidth="1"/>
    <col min="3951" max="3951" width="14.42578125" bestFit="1" customWidth="1"/>
    <col min="3952" max="3952" width="10.42578125" bestFit="1" customWidth="1"/>
    <col min="3953" max="3953" width="12.28515625" bestFit="1" customWidth="1"/>
    <col min="3954" max="3954" width="13.85546875" bestFit="1" customWidth="1"/>
    <col min="3955" max="3955" width="11.28515625" customWidth="1"/>
    <col min="3956" max="3956" width="11.5703125" customWidth="1"/>
    <col min="3957" max="3957" width="13.42578125" bestFit="1" customWidth="1"/>
    <col min="3958" max="3958" width="10.42578125" customWidth="1"/>
    <col min="3959" max="3959" width="13.85546875" bestFit="1" customWidth="1"/>
    <col min="3960" max="3960" width="15.42578125" bestFit="1" customWidth="1"/>
    <col min="3961" max="3961" width="12.28515625" bestFit="1" customWidth="1"/>
    <col min="3962" max="3962" width="12.7109375" customWidth="1"/>
    <col min="3963" max="3963" width="10.7109375" bestFit="1" customWidth="1"/>
    <col min="3964" max="3964" width="9.85546875" customWidth="1"/>
    <col min="3965" max="3966" width="10.140625" bestFit="1" customWidth="1"/>
    <col min="3967" max="3967" width="7.5703125" bestFit="1" customWidth="1"/>
    <col min="3968" max="3968" width="9.42578125" bestFit="1" customWidth="1"/>
    <col min="3969" max="3969" width="14.5703125" bestFit="1" customWidth="1"/>
    <col min="3970" max="3970" width="14.85546875" customWidth="1"/>
    <col min="3971" max="3971" width="15.140625" bestFit="1" customWidth="1"/>
    <col min="3972" max="3972" width="12.140625" bestFit="1" customWidth="1"/>
    <col min="3973" max="3973" width="14.85546875" bestFit="1" customWidth="1"/>
    <col min="3974" max="3974" width="12.28515625" bestFit="1" customWidth="1"/>
    <col min="3975" max="3983" width="9.140625" hidden="1" customWidth="1"/>
    <col min="3984" max="3984" width="5.28515625" bestFit="1" customWidth="1"/>
    <col min="3985" max="3990" width="11.5703125" bestFit="1" customWidth="1"/>
    <col min="3991" max="3991" width="11.28515625" bestFit="1" customWidth="1"/>
    <col min="3992" max="3992" width="10.140625" bestFit="1" customWidth="1"/>
    <col min="3993" max="3993" width="11.5703125" bestFit="1" customWidth="1"/>
    <col min="3994" max="3994" width="16.140625" customWidth="1"/>
    <col min="3995" max="3995" width="13.42578125" customWidth="1"/>
    <col min="3996" max="3996" width="10.140625" bestFit="1" customWidth="1"/>
    <col min="3997" max="3997" width="12.85546875" bestFit="1" customWidth="1"/>
    <col min="3998" max="3998" width="12.28515625" bestFit="1" customWidth="1"/>
    <col min="3999" max="3999" width="11.28515625" bestFit="1" customWidth="1"/>
    <col min="4000" max="4000" width="11.5703125" bestFit="1" customWidth="1"/>
    <col min="4001" max="4001" width="10.85546875" bestFit="1" customWidth="1"/>
    <col min="4002" max="4002" width="11.28515625" bestFit="1" customWidth="1"/>
    <col min="4003" max="4003" width="10.140625" bestFit="1" customWidth="1"/>
    <col min="4004" max="4004" width="13.28515625" bestFit="1" customWidth="1"/>
    <col min="4005" max="4006" width="12.7109375" bestFit="1" customWidth="1"/>
    <col min="4007" max="4007" width="11" bestFit="1" customWidth="1"/>
    <col min="4008" max="4008" width="11.28515625" bestFit="1" customWidth="1"/>
    <col min="4009" max="4009" width="11.5703125" bestFit="1" customWidth="1"/>
    <col min="4010" max="4010" width="12.28515625" bestFit="1" customWidth="1"/>
    <col min="4011" max="4011" width="15.140625" bestFit="1" customWidth="1"/>
    <col min="4012" max="4012" width="14.42578125" bestFit="1" customWidth="1"/>
    <col min="4013" max="4013" width="12.28515625" bestFit="1" customWidth="1"/>
    <col min="4014" max="4014" width="15.140625" bestFit="1" customWidth="1"/>
    <col min="4015" max="4015" width="14.42578125" bestFit="1" customWidth="1"/>
    <col min="4016" max="4016" width="12.28515625" bestFit="1" customWidth="1"/>
    <col min="4017" max="4017" width="14.42578125" bestFit="1" customWidth="1"/>
    <col min="4018" max="4018" width="11.28515625" bestFit="1" customWidth="1"/>
    <col min="4019" max="4019" width="12.28515625" bestFit="1" customWidth="1"/>
    <col min="4020" max="4020" width="13" bestFit="1" customWidth="1"/>
    <col min="4021" max="4021" width="15.140625" bestFit="1" customWidth="1"/>
    <col min="4022" max="4022" width="12.28515625" bestFit="1" customWidth="1"/>
    <col min="4023" max="4023" width="13.85546875" bestFit="1" customWidth="1"/>
    <col min="4024" max="4024" width="11.28515625" bestFit="1" customWidth="1"/>
    <col min="4025" max="4025" width="12.28515625" bestFit="1" customWidth="1"/>
    <col min="4026" max="4026" width="13.85546875" bestFit="1" customWidth="1"/>
    <col min="4027" max="4028" width="15.140625" bestFit="1" customWidth="1"/>
    <col min="4029" max="4029" width="12.28515625" bestFit="1" customWidth="1"/>
    <col min="4030" max="4030" width="5.7109375" bestFit="1" customWidth="1"/>
    <col min="4031" max="4031" width="8.5703125" bestFit="1" customWidth="1"/>
    <col min="4032" max="4032" width="5.5703125" bestFit="1" customWidth="1"/>
    <col min="4033" max="4033" width="14.42578125" bestFit="1" customWidth="1"/>
    <col min="4034" max="4034" width="11.28515625" bestFit="1" customWidth="1"/>
    <col min="4035" max="4036" width="12.28515625" bestFit="1" customWidth="1"/>
    <col min="4037" max="4037" width="11.28515625" bestFit="1" customWidth="1"/>
    <col min="4038" max="4038" width="13.85546875" bestFit="1" customWidth="1"/>
    <col min="4039" max="4039" width="12" bestFit="1" customWidth="1"/>
    <col min="4040" max="4040" width="13.85546875" bestFit="1" customWidth="1"/>
    <col min="4041" max="4042" width="14.42578125" customWidth="1"/>
    <col min="4043" max="4043" width="10.140625" bestFit="1" customWidth="1"/>
    <col min="4044" max="4044" width="12.28515625" bestFit="1" customWidth="1"/>
    <col min="4045" max="4045" width="7.42578125" bestFit="1" customWidth="1"/>
    <col min="4046" max="4046" width="8.5703125" bestFit="1" customWidth="1"/>
    <col min="4047" max="4047" width="11.5703125" bestFit="1" customWidth="1"/>
    <col min="4048" max="4048" width="13.28515625" bestFit="1" customWidth="1"/>
    <col min="4049" max="4049" width="13.28515625" customWidth="1"/>
    <col min="4050" max="4050" width="13.140625" customWidth="1"/>
    <col min="4051" max="4051" width="12.7109375" bestFit="1" customWidth="1"/>
    <col min="4052" max="4052" width="13.28515625" bestFit="1" customWidth="1"/>
    <col min="4053" max="4055" width="13.28515625" customWidth="1"/>
    <col min="4056" max="4056" width="12.140625" bestFit="1" customWidth="1"/>
    <col min="4057" max="4057" width="12.7109375" bestFit="1" customWidth="1"/>
    <col min="4058" max="4058" width="11" customWidth="1"/>
    <col min="4059" max="4059" width="16.7109375" customWidth="1"/>
    <col min="4060" max="4060" width="17" customWidth="1"/>
    <col min="4061" max="4061" width="10.42578125" bestFit="1" customWidth="1"/>
    <col min="4105" max="4105" width="3.85546875" customWidth="1"/>
    <col min="4106" max="4106" width="15.28515625" bestFit="1" customWidth="1"/>
    <col min="4107" max="4107" width="12.28515625" customWidth="1"/>
    <col min="4108" max="4108" width="16.28515625" bestFit="1" customWidth="1"/>
    <col min="4109" max="4109" width="6.42578125" bestFit="1" customWidth="1"/>
    <col min="4110" max="4110" width="9.28515625" bestFit="1" customWidth="1"/>
    <col min="4111" max="4111" width="7.5703125" bestFit="1" customWidth="1"/>
    <col min="4112" max="4112" width="13.28515625" bestFit="1" customWidth="1"/>
    <col min="4113" max="4113" width="9.28515625" bestFit="1" customWidth="1"/>
    <col min="4114" max="4114" width="11.5703125" bestFit="1" customWidth="1"/>
    <col min="4115" max="4115" width="13.28515625" bestFit="1" customWidth="1"/>
    <col min="4116" max="4116" width="7.140625" bestFit="1" customWidth="1"/>
    <col min="4117" max="4117" width="12" bestFit="1" customWidth="1"/>
    <col min="4118" max="4118" width="13.28515625" bestFit="1" customWidth="1"/>
    <col min="4119" max="4119" width="7" bestFit="1" customWidth="1"/>
    <col min="4120" max="4120" width="12.7109375" bestFit="1" customWidth="1"/>
    <col min="4121" max="4121" width="11.5703125" bestFit="1" customWidth="1"/>
    <col min="4122" max="4122" width="10.5703125" bestFit="1" customWidth="1"/>
    <col min="4123" max="4124" width="15.7109375" bestFit="1" customWidth="1"/>
    <col min="4125" max="4125" width="11.5703125" bestFit="1" customWidth="1"/>
    <col min="4126" max="4126" width="7.7109375" bestFit="1" customWidth="1"/>
    <col min="4127" max="4127" width="15.140625" bestFit="1" customWidth="1"/>
    <col min="4128" max="4128" width="11.5703125" bestFit="1" customWidth="1"/>
    <col min="4129" max="4129" width="13.28515625" bestFit="1" customWidth="1"/>
    <col min="4130" max="4130" width="10.42578125" bestFit="1" customWidth="1"/>
    <col min="4131" max="4131" width="13.28515625" bestFit="1" customWidth="1"/>
    <col min="4132" max="4132" width="12.140625" bestFit="1" customWidth="1"/>
    <col min="4133" max="4133" width="14.42578125" bestFit="1" customWidth="1"/>
    <col min="4134" max="4134" width="13.28515625" bestFit="1" customWidth="1"/>
    <col min="4135" max="4135" width="11.5703125" bestFit="1" customWidth="1"/>
    <col min="4136" max="4136" width="7.7109375" bestFit="1" customWidth="1"/>
    <col min="4137" max="4138" width="14.42578125" bestFit="1" customWidth="1"/>
    <col min="4139" max="4139" width="11.5703125" bestFit="1" customWidth="1"/>
    <col min="4140" max="4140" width="7.7109375" bestFit="1" customWidth="1"/>
    <col min="4141" max="4141" width="13.5703125" customWidth="1"/>
    <col min="4142" max="4142" width="15.28515625" customWidth="1"/>
    <col min="4143" max="4143" width="14.5703125" customWidth="1"/>
    <col min="4144" max="4144" width="13.28515625" bestFit="1" customWidth="1"/>
    <col min="4145" max="4145" width="7.7109375" bestFit="1" customWidth="1"/>
    <col min="4146" max="4146" width="12.7109375" bestFit="1" customWidth="1"/>
    <col min="4147" max="4147" width="11.7109375" bestFit="1" customWidth="1"/>
    <col min="4148" max="4148" width="11.5703125" bestFit="1" customWidth="1"/>
    <col min="4149" max="4149" width="5.28515625" bestFit="1" customWidth="1"/>
    <col min="4150" max="4150" width="13.28515625" bestFit="1" customWidth="1"/>
    <col min="4151" max="4151" width="13.5703125" bestFit="1" customWidth="1"/>
    <col min="4152" max="4152" width="10.5703125" bestFit="1" customWidth="1"/>
    <col min="4153" max="4153" width="13.28515625" bestFit="1" customWidth="1"/>
    <col min="4154" max="4154" width="11.5703125" bestFit="1" customWidth="1"/>
    <col min="4155" max="4155" width="10.5703125" bestFit="1" customWidth="1"/>
    <col min="4156" max="4156" width="16.140625" bestFit="1" customWidth="1"/>
    <col min="4157" max="4158" width="11.28515625" bestFit="1" customWidth="1"/>
    <col min="4159" max="4159" width="13.28515625" bestFit="1" customWidth="1"/>
    <col min="4160" max="4160" width="7.7109375" bestFit="1" customWidth="1"/>
    <col min="4161" max="4164" width="9.140625" hidden="1" customWidth="1"/>
    <col min="4165" max="4165" width="10.42578125" bestFit="1" customWidth="1"/>
    <col min="4166" max="4166" width="10.5703125" bestFit="1" customWidth="1"/>
    <col min="4167" max="4167" width="10.42578125" bestFit="1" customWidth="1"/>
    <col min="4168" max="4168" width="10.5703125" bestFit="1" customWidth="1"/>
    <col min="4169" max="4169" width="9.5703125" bestFit="1" customWidth="1"/>
    <col min="4170" max="4170" width="11.5703125" bestFit="1" customWidth="1"/>
    <col min="4171" max="4171" width="10.42578125" bestFit="1" customWidth="1"/>
    <col min="4172" max="4172" width="10.85546875" customWidth="1"/>
    <col min="4173" max="4174" width="9.85546875" bestFit="1" customWidth="1"/>
    <col min="4175" max="4175" width="13.5703125" bestFit="1" customWidth="1"/>
    <col min="4176" max="4176" width="7.7109375" bestFit="1" customWidth="1"/>
    <col min="4177" max="4177" width="13.28515625" bestFit="1" customWidth="1"/>
    <col min="4178" max="4178" width="11.5703125" bestFit="1" customWidth="1"/>
    <col min="4179" max="4179" width="10.42578125" bestFit="1" customWidth="1"/>
    <col min="4180" max="4180" width="7.7109375" bestFit="1" customWidth="1"/>
    <col min="4181" max="4181" width="11.5703125" bestFit="1" customWidth="1"/>
    <col min="4182" max="4182" width="10.85546875" bestFit="1" customWidth="1"/>
    <col min="4183" max="4183" width="13.28515625" bestFit="1" customWidth="1"/>
    <col min="4184" max="4184" width="10.85546875" bestFit="1" customWidth="1"/>
    <col min="4185" max="4186" width="7.5703125" bestFit="1" customWidth="1"/>
    <col min="4187" max="4188" width="10.42578125" bestFit="1" customWidth="1"/>
    <col min="4189" max="4189" width="11.5703125" bestFit="1" customWidth="1"/>
    <col min="4190" max="4190" width="5.28515625" bestFit="1" customWidth="1"/>
    <col min="4191" max="4191" width="10.28515625" bestFit="1" customWidth="1"/>
    <col min="4192" max="4192" width="10.42578125" bestFit="1" customWidth="1"/>
    <col min="4193" max="4193" width="11.5703125" bestFit="1" customWidth="1"/>
    <col min="4194" max="4194" width="5.28515625" bestFit="1" customWidth="1"/>
    <col min="4195" max="4197" width="11.5703125" bestFit="1" customWidth="1"/>
    <col min="4198" max="4198" width="5.28515625" bestFit="1" customWidth="1"/>
    <col min="4199" max="4200" width="10.42578125" bestFit="1" customWidth="1"/>
    <col min="4201" max="4201" width="11.5703125" bestFit="1" customWidth="1"/>
    <col min="4202" max="4202" width="5.28515625" bestFit="1" customWidth="1"/>
    <col min="4203" max="4203" width="14.28515625" bestFit="1" customWidth="1"/>
    <col min="4204" max="4204" width="13" bestFit="1" customWidth="1"/>
    <col min="4205" max="4205" width="11.5703125" bestFit="1" customWidth="1"/>
    <col min="4206" max="4206" width="8.85546875" bestFit="1" customWidth="1"/>
    <col min="4207" max="4207" width="14.42578125" bestFit="1" customWidth="1"/>
    <col min="4208" max="4208" width="10.42578125" bestFit="1" customWidth="1"/>
    <col min="4209" max="4209" width="12.28515625" bestFit="1" customWidth="1"/>
    <col min="4210" max="4210" width="13.85546875" bestFit="1" customWidth="1"/>
    <col min="4211" max="4211" width="11.28515625" customWidth="1"/>
    <col min="4212" max="4212" width="11.5703125" customWidth="1"/>
    <col min="4213" max="4213" width="13.42578125" bestFit="1" customWidth="1"/>
    <col min="4214" max="4214" width="10.42578125" customWidth="1"/>
    <col min="4215" max="4215" width="13.85546875" bestFit="1" customWidth="1"/>
    <col min="4216" max="4216" width="15.42578125" bestFit="1" customWidth="1"/>
    <col min="4217" max="4217" width="12.28515625" bestFit="1" customWidth="1"/>
    <col min="4218" max="4218" width="12.7109375" customWidth="1"/>
    <col min="4219" max="4219" width="10.7109375" bestFit="1" customWidth="1"/>
    <col min="4220" max="4220" width="9.85546875" customWidth="1"/>
    <col min="4221" max="4222" width="10.140625" bestFit="1" customWidth="1"/>
    <col min="4223" max="4223" width="7.5703125" bestFit="1" customWidth="1"/>
    <col min="4224" max="4224" width="9.42578125" bestFit="1" customWidth="1"/>
    <col min="4225" max="4225" width="14.5703125" bestFit="1" customWidth="1"/>
    <col min="4226" max="4226" width="14.85546875" customWidth="1"/>
    <col min="4227" max="4227" width="15.140625" bestFit="1" customWidth="1"/>
    <col min="4228" max="4228" width="12.140625" bestFit="1" customWidth="1"/>
    <col min="4229" max="4229" width="14.85546875" bestFit="1" customWidth="1"/>
    <col min="4230" max="4230" width="12.28515625" bestFit="1" customWidth="1"/>
    <col min="4231" max="4239" width="9.140625" hidden="1" customWidth="1"/>
    <col min="4240" max="4240" width="5.28515625" bestFit="1" customWidth="1"/>
    <col min="4241" max="4246" width="11.5703125" bestFit="1" customWidth="1"/>
    <col min="4247" max="4247" width="11.28515625" bestFit="1" customWidth="1"/>
    <col min="4248" max="4248" width="10.140625" bestFit="1" customWidth="1"/>
    <col min="4249" max="4249" width="11.5703125" bestFit="1" customWidth="1"/>
    <col min="4250" max="4250" width="16.140625" customWidth="1"/>
    <col min="4251" max="4251" width="13.42578125" customWidth="1"/>
    <col min="4252" max="4252" width="10.140625" bestFit="1" customWidth="1"/>
    <col min="4253" max="4253" width="12.85546875" bestFit="1" customWidth="1"/>
    <col min="4254" max="4254" width="12.28515625" bestFit="1" customWidth="1"/>
    <col min="4255" max="4255" width="11.28515625" bestFit="1" customWidth="1"/>
    <col min="4256" max="4256" width="11.5703125" bestFit="1" customWidth="1"/>
    <col min="4257" max="4257" width="10.85546875" bestFit="1" customWidth="1"/>
    <col min="4258" max="4258" width="11.28515625" bestFit="1" customWidth="1"/>
    <col min="4259" max="4259" width="10.140625" bestFit="1" customWidth="1"/>
    <col min="4260" max="4260" width="13.28515625" bestFit="1" customWidth="1"/>
    <col min="4261" max="4262" width="12.7109375" bestFit="1" customWidth="1"/>
    <col min="4263" max="4263" width="11" bestFit="1" customWidth="1"/>
    <col min="4264" max="4264" width="11.28515625" bestFit="1" customWidth="1"/>
    <col min="4265" max="4265" width="11.5703125" bestFit="1" customWidth="1"/>
    <col min="4266" max="4266" width="12.28515625" bestFit="1" customWidth="1"/>
    <col min="4267" max="4267" width="15.140625" bestFit="1" customWidth="1"/>
    <col min="4268" max="4268" width="14.42578125" bestFit="1" customWidth="1"/>
    <col min="4269" max="4269" width="12.28515625" bestFit="1" customWidth="1"/>
    <col min="4270" max="4270" width="15.140625" bestFit="1" customWidth="1"/>
    <col min="4271" max="4271" width="14.42578125" bestFit="1" customWidth="1"/>
    <col min="4272" max="4272" width="12.28515625" bestFit="1" customWidth="1"/>
    <col min="4273" max="4273" width="14.42578125" bestFit="1" customWidth="1"/>
    <col min="4274" max="4274" width="11.28515625" bestFit="1" customWidth="1"/>
    <col min="4275" max="4275" width="12.28515625" bestFit="1" customWidth="1"/>
    <col min="4276" max="4276" width="13" bestFit="1" customWidth="1"/>
    <col min="4277" max="4277" width="15.140625" bestFit="1" customWidth="1"/>
    <col min="4278" max="4278" width="12.28515625" bestFit="1" customWidth="1"/>
    <col min="4279" max="4279" width="13.85546875" bestFit="1" customWidth="1"/>
    <col min="4280" max="4280" width="11.28515625" bestFit="1" customWidth="1"/>
    <col min="4281" max="4281" width="12.28515625" bestFit="1" customWidth="1"/>
    <col min="4282" max="4282" width="13.85546875" bestFit="1" customWidth="1"/>
    <col min="4283" max="4284" width="15.140625" bestFit="1" customWidth="1"/>
    <col min="4285" max="4285" width="12.28515625" bestFit="1" customWidth="1"/>
    <col min="4286" max="4286" width="5.7109375" bestFit="1" customWidth="1"/>
    <col min="4287" max="4287" width="8.5703125" bestFit="1" customWidth="1"/>
    <col min="4288" max="4288" width="5.5703125" bestFit="1" customWidth="1"/>
    <col min="4289" max="4289" width="14.42578125" bestFit="1" customWidth="1"/>
    <col min="4290" max="4290" width="11.28515625" bestFit="1" customWidth="1"/>
    <col min="4291" max="4292" width="12.28515625" bestFit="1" customWidth="1"/>
    <col min="4293" max="4293" width="11.28515625" bestFit="1" customWidth="1"/>
    <col min="4294" max="4294" width="13.85546875" bestFit="1" customWidth="1"/>
    <col min="4295" max="4295" width="12" bestFit="1" customWidth="1"/>
    <col min="4296" max="4296" width="13.85546875" bestFit="1" customWidth="1"/>
    <col min="4297" max="4298" width="14.42578125" customWidth="1"/>
    <col min="4299" max="4299" width="10.140625" bestFit="1" customWidth="1"/>
    <col min="4300" max="4300" width="12.28515625" bestFit="1" customWidth="1"/>
    <col min="4301" max="4301" width="7.42578125" bestFit="1" customWidth="1"/>
    <col min="4302" max="4302" width="8.5703125" bestFit="1" customWidth="1"/>
    <col min="4303" max="4303" width="11.5703125" bestFit="1" customWidth="1"/>
    <col min="4304" max="4304" width="13.28515625" bestFit="1" customWidth="1"/>
    <col min="4305" max="4305" width="13.28515625" customWidth="1"/>
    <col min="4306" max="4306" width="13.140625" customWidth="1"/>
    <col min="4307" max="4307" width="12.7109375" bestFit="1" customWidth="1"/>
    <col min="4308" max="4308" width="13.28515625" bestFit="1" customWidth="1"/>
    <col min="4309" max="4311" width="13.28515625" customWidth="1"/>
    <col min="4312" max="4312" width="12.140625" bestFit="1" customWidth="1"/>
    <col min="4313" max="4313" width="12.7109375" bestFit="1" customWidth="1"/>
    <col min="4314" max="4314" width="11" customWidth="1"/>
    <col min="4315" max="4315" width="16.7109375" customWidth="1"/>
    <col min="4316" max="4316" width="17" customWidth="1"/>
    <col min="4317" max="4317" width="10.42578125" bestFit="1" customWidth="1"/>
    <col min="4361" max="4361" width="3.85546875" customWidth="1"/>
    <col min="4362" max="4362" width="15.28515625" bestFit="1" customWidth="1"/>
    <col min="4363" max="4363" width="12.28515625" customWidth="1"/>
    <col min="4364" max="4364" width="16.28515625" bestFit="1" customWidth="1"/>
    <col min="4365" max="4365" width="6.42578125" bestFit="1" customWidth="1"/>
    <col min="4366" max="4366" width="9.28515625" bestFit="1" customWidth="1"/>
    <col min="4367" max="4367" width="7.5703125" bestFit="1" customWidth="1"/>
    <col min="4368" max="4368" width="13.28515625" bestFit="1" customWidth="1"/>
    <col min="4369" max="4369" width="9.28515625" bestFit="1" customWidth="1"/>
    <col min="4370" max="4370" width="11.5703125" bestFit="1" customWidth="1"/>
    <col min="4371" max="4371" width="13.28515625" bestFit="1" customWidth="1"/>
    <col min="4372" max="4372" width="7.140625" bestFit="1" customWidth="1"/>
    <col min="4373" max="4373" width="12" bestFit="1" customWidth="1"/>
    <col min="4374" max="4374" width="13.28515625" bestFit="1" customWidth="1"/>
    <col min="4375" max="4375" width="7" bestFit="1" customWidth="1"/>
    <col min="4376" max="4376" width="12.7109375" bestFit="1" customWidth="1"/>
    <col min="4377" max="4377" width="11.5703125" bestFit="1" customWidth="1"/>
    <col min="4378" max="4378" width="10.5703125" bestFit="1" customWidth="1"/>
    <col min="4379" max="4380" width="15.7109375" bestFit="1" customWidth="1"/>
    <col min="4381" max="4381" width="11.5703125" bestFit="1" customWidth="1"/>
    <col min="4382" max="4382" width="7.7109375" bestFit="1" customWidth="1"/>
    <col min="4383" max="4383" width="15.140625" bestFit="1" customWidth="1"/>
    <col min="4384" max="4384" width="11.5703125" bestFit="1" customWidth="1"/>
    <col min="4385" max="4385" width="13.28515625" bestFit="1" customWidth="1"/>
    <col min="4386" max="4386" width="10.42578125" bestFit="1" customWidth="1"/>
    <col min="4387" max="4387" width="13.28515625" bestFit="1" customWidth="1"/>
    <col min="4388" max="4388" width="12.140625" bestFit="1" customWidth="1"/>
    <col min="4389" max="4389" width="14.42578125" bestFit="1" customWidth="1"/>
    <col min="4390" max="4390" width="13.28515625" bestFit="1" customWidth="1"/>
    <col min="4391" max="4391" width="11.5703125" bestFit="1" customWidth="1"/>
    <col min="4392" max="4392" width="7.7109375" bestFit="1" customWidth="1"/>
    <col min="4393" max="4394" width="14.42578125" bestFit="1" customWidth="1"/>
    <col min="4395" max="4395" width="11.5703125" bestFit="1" customWidth="1"/>
    <col min="4396" max="4396" width="7.7109375" bestFit="1" customWidth="1"/>
    <col min="4397" max="4397" width="13.5703125" customWidth="1"/>
    <col min="4398" max="4398" width="15.28515625" customWidth="1"/>
    <col min="4399" max="4399" width="14.5703125" customWidth="1"/>
    <col min="4400" max="4400" width="13.28515625" bestFit="1" customWidth="1"/>
    <col min="4401" max="4401" width="7.7109375" bestFit="1" customWidth="1"/>
    <col min="4402" max="4402" width="12.7109375" bestFit="1" customWidth="1"/>
    <col min="4403" max="4403" width="11.7109375" bestFit="1" customWidth="1"/>
    <col min="4404" max="4404" width="11.5703125" bestFit="1" customWidth="1"/>
    <col min="4405" max="4405" width="5.28515625" bestFit="1" customWidth="1"/>
    <col min="4406" max="4406" width="13.28515625" bestFit="1" customWidth="1"/>
    <col min="4407" max="4407" width="13.5703125" bestFit="1" customWidth="1"/>
    <col min="4408" max="4408" width="10.5703125" bestFit="1" customWidth="1"/>
    <col min="4409" max="4409" width="13.28515625" bestFit="1" customWidth="1"/>
    <col min="4410" max="4410" width="11.5703125" bestFit="1" customWidth="1"/>
    <col min="4411" max="4411" width="10.5703125" bestFit="1" customWidth="1"/>
    <col min="4412" max="4412" width="16.140625" bestFit="1" customWidth="1"/>
    <col min="4413" max="4414" width="11.28515625" bestFit="1" customWidth="1"/>
    <col min="4415" max="4415" width="13.28515625" bestFit="1" customWidth="1"/>
    <col min="4416" max="4416" width="7.7109375" bestFit="1" customWidth="1"/>
    <col min="4417" max="4420" width="9.140625" hidden="1" customWidth="1"/>
    <col min="4421" max="4421" width="10.42578125" bestFit="1" customWidth="1"/>
    <col min="4422" max="4422" width="10.5703125" bestFit="1" customWidth="1"/>
    <col min="4423" max="4423" width="10.42578125" bestFit="1" customWidth="1"/>
    <col min="4424" max="4424" width="10.5703125" bestFit="1" customWidth="1"/>
    <col min="4425" max="4425" width="9.5703125" bestFit="1" customWidth="1"/>
    <col min="4426" max="4426" width="11.5703125" bestFit="1" customWidth="1"/>
    <col min="4427" max="4427" width="10.42578125" bestFit="1" customWidth="1"/>
    <col min="4428" max="4428" width="10.85546875" customWidth="1"/>
    <col min="4429" max="4430" width="9.85546875" bestFit="1" customWidth="1"/>
    <col min="4431" max="4431" width="13.5703125" bestFit="1" customWidth="1"/>
    <col min="4432" max="4432" width="7.7109375" bestFit="1" customWidth="1"/>
    <col min="4433" max="4433" width="13.28515625" bestFit="1" customWidth="1"/>
    <col min="4434" max="4434" width="11.5703125" bestFit="1" customWidth="1"/>
    <col min="4435" max="4435" width="10.42578125" bestFit="1" customWidth="1"/>
    <col min="4436" max="4436" width="7.7109375" bestFit="1" customWidth="1"/>
    <col min="4437" max="4437" width="11.5703125" bestFit="1" customWidth="1"/>
    <col min="4438" max="4438" width="10.85546875" bestFit="1" customWidth="1"/>
    <col min="4439" max="4439" width="13.28515625" bestFit="1" customWidth="1"/>
    <col min="4440" max="4440" width="10.85546875" bestFit="1" customWidth="1"/>
    <col min="4441" max="4442" width="7.5703125" bestFit="1" customWidth="1"/>
    <col min="4443" max="4444" width="10.42578125" bestFit="1" customWidth="1"/>
    <col min="4445" max="4445" width="11.5703125" bestFit="1" customWidth="1"/>
    <col min="4446" max="4446" width="5.28515625" bestFit="1" customWidth="1"/>
    <col min="4447" max="4447" width="10.28515625" bestFit="1" customWidth="1"/>
    <col min="4448" max="4448" width="10.42578125" bestFit="1" customWidth="1"/>
    <col min="4449" max="4449" width="11.5703125" bestFit="1" customWidth="1"/>
    <col min="4450" max="4450" width="5.28515625" bestFit="1" customWidth="1"/>
    <col min="4451" max="4453" width="11.5703125" bestFit="1" customWidth="1"/>
    <col min="4454" max="4454" width="5.28515625" bestFit="1" customWidth="1"/>
    <col min="4455" max="4456" width="10.42578125" bestFit="1" customWidth="1"/>
    <col min="4457" max="4457" width="11.5703125" bestFit="1" customWidth="1"/>
    <col min="4458" max="4458" width="5.28515625" bestFit="1" customWidth="1"/>
    <col min="4459" max="4459" width="14.28515625" bestFit="1" customWidth="1"/>
    <col min="4460" max="4460" width="13" bestFit="1" customWidth="1"/>
    <col min="4461" max="4461" width="11.5703125" bestFit="1" customWidth="1"/>
    <col min="4462" max="4462" width="8.85546875" bestFit="1" customWidth="1"/>
    <col min="4463" max="4463" width="14.42578125" bestFit="1" customWidth="1"/>
    <col min="4464" max="4464" width="10.42578125" bestFit="1" customWidth="1"/>
    <col min="4465" max="4465" width="12.28515625" bestFit="1" customWidth="1"/>
    <col min="4466" max="4466" width="13.85546875" bestFit="1" customWidth="1"/>
    <col min="4467" max="4467" width="11.28515625" customWidth="1"/>
    <col min="4468" max="4468" width="11.5703125" customWidth="1"/>
    <col min="4469" max="4469" width="13.42578125" bestFit="1" customWidth="1"/>
    <col min="4470" max="4470" width="10.42578125" customWidth="1"/>
    <col min="4471" max="4471" width="13.85546875" bestFit="1" customWidth="1"/>
    <col min="4472" max="4472" width="15.42578125" bestFit="1" customWidth="1"/>
    <col min="4473" max="4473" width="12.28515625" bestFit="1" customWidth="1"/>
    <col min="4474" max="4474" width="12.7109375" customWidth="1"/>
    <col min="4475" max="4475" width="10.7109375" bestFit="1" customWidth="1"/>
    <col min="4476" max="4476" width="9.85546875" customWidth="1"/>
    <col min="4477" max="4478" width="10.140625" bestFit="1" customWidth="1"/>
    <col min="4479" max="4479" width="7.5703125" bestFit="1" customWidth="1"/>
    <col min="4480" max="4480" width="9.42578125" bestFit="1" customWidth="1"/>
    <col min="4481" max="4481" width="14.5703125" bestFit="1" customWidth="1"/>
    <col min="4482" max="4482" width="14.85546875" customWidth="1"/>
    <col min="4483" max="4483" width="15.140625" bestFit="1" customWidth="1"/>
    <col min="4484" max="4484" width="12.140625" bestFit="1" customWidth="1"/>
    <col min="4485" max="4485" width="14.85546875" bestFit="1" customWidth="1"/>
    <col min="4486" max="4486" width="12.28515625" bestFit="1" customWidth="1"/>
    <col min="4487" max="4495" width="9.140625" hidden="1" customWidth="1"/>
    <col min="4496" max="4496" width="5.28515625" bestFit="1" customWidth="1"/>
    <col min="4497" max="4502" width="11.5703125" bestFit="1" customWidth="1"/>
    <col min="4503" max="4503" width="11.28515625" bestFit="1" customWidth="1"/>
    <col min="4504" max="4504" width="10.140625" bestFit="1" customWidth="1"/>
    <col min="4505" max="4505" width="11.5703125" bestFit="1" customWidth="1"/>
    <col min="4506" max="4506" width="16.140625" customWidth="1"/>
    <col min="4507" max="4507" width="13.42578125" customWidth="1"/>
    <col min="4508" max="4508" width="10.140625" bestFit="1" customWidth="1"/>
    <col min="4509" max="4509" width="12.85546875" bestFit="1" customWidth="1"/>
    <col min="4510" max="4510" width="12.28515625" bestFit="1" customWidth="1"/>
    <col min="4511" max="4511" width="11.28515625" bestFit="1" customWidth="1"/>
    <col min="4512" max="4512" width="11.5703125" bestFit="1" customWidth="1"/>
    <col min="4513" max="4513" width="10.85546875" bestFit="1" customWidth="1"/>
    <col min="4514" max="4514" width="11.28515625" bestFit="1" customWidth="1"/>
    <col min="4515" max="4515" width="10.140625" bestFit="1" customWidth="1"/>
    <col min="4516" max="4516" width="13.28515625" bestFit="1" customWidth="1"/>
    <col min="4517" max="4518" width="12.7109375" bestFit="1" customWidth="1"/>
    <col min="4519" max="4519" width="11" bestFit="1" customWidth="1"/>
    <col min="4520" max="4520" width="11.28515625" bestFit="1" customWidth="1"/>
    <col min="4521" max="4521" width="11.5703125" bestFit="1" customWidth="1"/>
    <col min="4522" max="4522" width="12.28515625" bestFit="1" customWidth="1"/>
    <col min="4523" max="4523" width="15.140625" bestFit="1" customWidth="1"/>
    <col min="4524" max="4524" width="14.42578125" bestFit="1" customWidth="1"/>
    <col min="4525" max="4525" width="12.28515625" bestFit="1" customWidth="1"/>
    <col min="4526" max="4526" width="15.140625" bestFit="1" customWidth="1"/>
    <col min="4527" max="4527" width="14.42578125" bestFit="1" customWidth="1"/>
    <col min="4528" max="4528" width="12.28515625" bestFit="1" customWidth="1"/>
    <col min="4529" max="4529" width="14.42578125" bestFit="1" customWidth="1"/>
    <col min="4530" max="4530" width="11.28515625" bestFit="1" customWidth="1"/>
    <col min="4531" max="4531" width="12.28515625" bestFit="1" customWidth="1"/>
    <col min="4532" max="4532" width="13" bestFit="1" customWidth="1"/>
    <col min="4533" max="4533" width="15.140625" bestFit="1" customWidth="1"/>
    <col min="4534" max="4534" width="12.28515625" bestFit="1" customWidth="1"/>
    <col min="4535" max="4535" width="13.85546875" bestFit="1" customWidth="1"/>
    <col min="4536" max="4536" width="11.28515625" bestFit="1" customWidth="1"/>
    <col min="4537" max="4537" width="12.28515625" bestFit="1" customWidth="1"/>
    <col min="4538" max="4538" width="13.85546875" bestFit="1" customWidth="1"/>
    <col min="4539" max="4540" width="15.140625" bestFit="1" customWidth="1"/>
    <col min="4541" max="4541" width="12.28515625" bestFit="1" customWidth="1"/>
    <col min="4542" max="4542" width="5.7109375" bestFit="1" customWidth="1"/>
    <col min="4543" max="4543" width="8.5703125" bestFit="1" customWidth="1"/>
    <col min="4544" max="4544" width="5.5703125" bestFit="1" customWidth="1"/>
    <col min="4545" max="4545" width="14.42578125" bestFit="1" customWidth="1"/>
    <col min="4546" max="4546" width="11.28515625" bestFit="1" customWidth="1"/>
    <col min="4547" max="4548" width="12.28515625" bestFit="1" customWidth="1"/>
    <col min="4549" max="4549" width="11.28515625" bestFit="1" customWidth="1"/>
    <col min="4550" max="4550" width="13.85546875" bestFit="1" customWidth="1"/>
    <col min="4551" max="4551" width="12" bestFit="1" customWidth="1"/>
    <col min="4552" max="4552" width="13.85546875" bestFit="1" customWidth="1"/>
    <col min="4553" max="4554" width="14.42578125" customWidth="1"/>
    <col min="4555" max="4555" width="10.140625" bestFit="1" customWidth="1"/>
    <col min="4556" max="4556" width="12.28515625" bestFit="1" customWidth="1"/>
    <col min="4557" max="4557" width="7.42578125" bestFit="1" customWidth="1"/>
    <col min="4558" max="4558" width="8.5703125" bestFit="1" customWidth="1"/>
    <col min="4559" max="4559" width="11.5703125" bestFit="1" customWidth="1"/>
    <col min="4560" max="4560" width="13.28515625" bestFit="1" customWidth="1"/>
    <col min="4561" max="4561" width="13.28515625" customWidth="1"/>
    <col min="4562" max="4562" width="13.140625" customWidth="1"/>
    <col min="4563" max="4563" width="12.7109375" bestFit="1" customWidth="1"/>
    <col min="4564" max="4564" width="13.28515625" bestFit="1" customWidth="1"/>
    <col min="4565" max="4567" width="13.28515625" customWidth="1"/>
    <col min="4568" max="4568" width="12.140625" bestFit="1" customWidth="1"/>
    <col min="4569" max="4569" width="12.7109375" bestFit="1" customWidth="1"/>
    <col min="4570" max="4570" width="11" customWidth="1"/>
    <col min="4571" max="4571" width="16.7109375" customWidth="1"/>
    <col min="4572" max="4572" width="17" customWidth="1"/>
    <col min="4573" max="4573" width="10.42578125" bestFit="1" customWidth="1"/>
    <col min="4617" max="4617" width="3.85546875" customWidth="1"/>
    <col min="4618" max="4618" width="15.28515625" bestFit="1" customWidth="1"/>
    <col min="4619" max="4619" width="12.28515625" customWidth="1"/>
    <col min="4620" max="4620" width="16.28515625" bestFit="1" customWidth="1"/>
    <col min="4621" max="4621" width="6.42578125" bestFit="1" customWidth="1"/>
    <col min="4622" max="4622" width="9.28515625" bestFit="1" customWidth="1"/>
    <col min="4623" max="4623" width="7.5703125" bestFit="1" customWidth="1"/>
    <col min="4624" max="4624" width="13.28515625" bestFit="1" customWidth="1"/>
    <col min="4625" max="4625" width="9.28515625" bestFit="1" customWidth="1"/>
    <col min="4626" max="4626" width="11.5703125" bestFit="1" customWidth="1"/>
    <col min="4627" max="4627" width="13.28515625" bestFit="1" customWidth="1"/>
    <col min="4628" max="4628" width="7.140625" bestFit="1" customWidth="1"/>
    <col min="4629" max="4629" width="12" bestFit="1" customWidth="1"/>
    <col min="4630" max="4630" width="13.28515625" bestFit="1" customWidth="1"/>
    <col min="4631" max="4631" width="7" bestFit="1" customWidth="1"/>
    <col min="4632" max="4632" width="12.7109375" bestFit="1" customWidth="1"/>
    <col min="4633" max="4633" width="11.5703125" bestFit="1" customWidth="1"/>
    <col min="4634" max="4634" width="10.5703125" bestFit="1" customWidth="1"/>
    <col min="4635" max="4636" width="15.7109375" bestFit="1" customWidth="1"/>
    <col min="4637" max="4637" width="11.5703125" bestFit="1" customWidth="1"/>
    <col min="4638" max="4638" width="7.7109375" bestFit="1" customWidth="1"/>
    <col min="4639" max="4639" width="15.140625" bestFit="1" customWidth="1"/>
    <col min="4640" max="4640" width="11.5703125" bestFit="1" customWidth="1"/>
    <col min="4641" max="4641" width="13.28515625" bestFit="1" customWidth="1"/>
    <col min="4642" max="4642" width="10.42578125" bestFit="1" customWidth="1"/>
    <col min="4643" max="4643" width="13.28515625" bestFit="1" customWidth="1"/>
    <col min="4644" max="4644" width="12.140625" bestFit="1" customWidth="1"/>
    <col min="4645" max="4645" width="14.42578125" bestFit="1" customWidth="1"/>
    <col min="4646" max="4646" width="13.28515625" bestFit="1" customWidth="1"/>
    <col min="4647" max="4647" width="11.5703125" bestFit="1" customWidth="1"/>
    <col min="4648" max="4648" width="7.7109375" bestFit="1" customWidth="1"/>
    <col min="4649" max="4650" width="14.42578125" bestFit="1" customWidth="1"/>
    <col min="4651" max="4651" width="11.5703125" bestFit="1" customWidth="1"/>
    <col min="4652" max="4652" width="7.7109375" bestFit="1" customWidth="1"/>
    <col min="4653" max="4653" width="13.5703125" customWidth="1"/>
    <col min="4654" max="4654" width="15.28515625" customWidth="1"/>
    <col min="4655" max="4655" width="14.5703125" customWidth="1"/>
    <col min="4656" max="4656" width="13.28515625" bestFit="1" customWidth="1"/>
    <col min="4657" max="4657" width="7.7109375" bestFit="1" customWidth="1"/>
    <col min="4658" max="4658" width="12.7109375" bestFit="1" customWidth="1"/>
    <col min="4659" max="4659" width="11.7109375" bestFit="1" customWidth="1"/>
    <col min="4660" max="4660" width="11.5703125" bestFit="1" customWidth="1"/>
    <col min="4661" max="4661" width="5.28515625" bestFit="1" customWidth="1"/>
    <col min="4662" max="4662" width="13.28515625" bestFit="1" customWidth="1"/>
    <col min="4663" max="4663" width="13.5703125" bestFit="1" customWidth="1"/>
    <col min="4664" max="4664" width="10.5703125" bestFit="1" customWidth="1"/>
    <col min="4665" max="4665" width="13.28515625" bestFit="1" customWidth="1"/>
    <col min="4666" max="4666" width="11.5703125" bestFit="1" customWidth="1"/>
    <col min="4667" max="4667" width="10.5703125" bestFit="1" customWidth="1"/>
    <col min="4668" max="4668" width="16.140625" bestFit="1" customWidth="1"/>
    <col min="4669" max="4670" width="11.28515625" bestFit="1" customWidth="1"/>
    <col min="4671" max="4671" width="13.28515625" bestFit="1" customWidth="1"/>
    <col min="4672" max="4672" width="7.7109375" bestFit="1" customWidth="1"/>
    <col min="4673" max="4676" width="9.140625" hidden="1" customWidth="1"/>
    <col min="4677" max="4677" width="10.42578125" bestFit="1" customWidth="1"/>
    <col min="4678" max="4678" width="10.5703125" bestFit="1" customWidth="1"/>
    <col min="4679" max="4679" width="10.42578125" bestFit="1" customWidth="1"/>
    <col min="4680" max="4680" width="10.5703125" bestFit="1" customWidth="1"/>
    <col min="4681" max="4681" width="9.5703125" bestFit="1" customWidth="1"/>
    <col min="4682" max="4682" width="11.5703125" bestFit="1" customWidth="1"/>
    <col min="4683" max="4683" width="10.42578125" bestFit="1" customWidth="1"/>
    <col min="4684" max="4684" width="10.85546875" customWidth="1"/>
    <col min="4685" max="4686" width="9.85546875" bestFit="1" customWidth="1"/>
    <col min="4687" max="4687" width="13.5703125" bestFit="1" customWidth="1"/>
    <col min="4688" max="4688" width="7.7109375" bestFit="1" customWidth="1"/>
    <col min="4689" max="4689" width="13.28515625" bestFit="1" customWidth="1"/>
    <col min="4690" max="4690" width="11.5703125" bestFit="1" customWidth="1"/>
    <col min="4691" max="4691" width="10.42578125" bestFit="1" customWidth="1"/>
    <col min="4692" max="4692" width="7.7109375" bestFit="1" customWidth="1"/>
    <col min="4693" max="4693" width="11.5703125" bestFit="1" customWidth="1"/>
    <col min="4694" max="4694" width="10.85546875" bestFit="1" customWidth="1"/>
    <col min="4695" max="4695" width="13.28515625" bestFit="1" customWidth="1"/>
    <col min="4696" max="4696" width="10.85546875" bestFit="1" customWidth="1"/>
    <col min="4697" max="4698" width="7.5703125" bestFit="1" customWidth="1"/>
    <col min="4699" max="4700" width="10.42578125" bestFit="1" customWidth="1"/>
    <col min="4701" max="4701" width="11.5703125" bestFit="1" customWidth="1"/>
    <col min="4702" max="4702" width="5.28515625" bestFit="1" customWidth="1"/>
    <col min="4703" max="4703" width="10.28515625" bestFit="1" customWidth="1"/>
    <col min="4704" max="4704" width="10.42578125" bestFit="1" customWidth="1"/>
    <col min="4705" max="4705" width="11.5703125" bestFit="1" customWidth="1"/>
    <col min="4706" max="4706" width="5.28515625" bestFit="1" customWidth="1"/>
    <col min="4707" max="4709" width="11.5703125" bestFit="1" customWidth="1"/>
    <col min="4710" max="4710" width="5.28515625" bestFit="1" customWidth="1"/>
    <col min="4711" max="4712" width="10.42578125" bestFit="1" customWidth="1"/>
    <col min="4713" max="4713" width="11.5703125" bestFit="1" customWidth="1"/>
    <col min="4714" max="4714" width="5.28515625" bestFit="1" customWidth="1"/>
    <col min="4715" max="4715" width="14.28515625" bestFit="1" customWidth="1"/>
    <col min="4716" max="4716" width="13" bestFit="1" customWidth="1"/>
    <col min="4717" max="4717" width="11.5703125" bestFit="1" customWidth="1"/>
    <col min="4718" max="4718" width="8.85546875" bestFit="1" customWidth="1"/>
    <col min="4719" max="4719" width="14.42578125" bestFit="1" customWidth="1"/>
    <col min="4720" max="4720" width="10.42578125" bestFit="1" customWidth="1"/>
    <col min="4721" max="4721" width="12.28515625" bestFit="1" customWidth="1"/>
    <col min="4722" max="4722" width="13.85546875" bestFit="1" customWidth="1"/>
    <col min="4723" max="4723" width="11.28515625" customWidth="1"/>
    <col min="4724" max="4724" width="11.5703125" customWidth="1"/>
    <col min="4725" max="4725" width="13.42578125" bestFit="1" customWidth="1"/>
    <col min="4726" max="4726" width="10.42578125" customWidth="1"/>
    <col min="4727" max="4727" width="13.85546875" bestFit="1" customWidth="1"/>
    <col min="4728" max="4728" width="15.42578125" bestFit="1" customWidth="1"/>
    <col min="4729" max="4729" width="12.28515625" bestFit="1" customWidth="1"/>
    <col min="4730" max="4730" width="12.7109375" customWidth="1"/>
    <col min="4731" max="4731" width="10.7109375" bestFit="1" customWidth="1"/>
    <col min="4732" max="4732" width="9.85546875" customWidth="1"/>
    <col min="4733" max="4734" width="10.140625" bestFit="1" customWidth="1"/>
    <col min="4735" max="4735" width="7.5703125" bestFit="1" customWidth="1"/>
    <col min="4736" max="4736" width="9.42578125" bestFit="1" customWidth="1"/>
    <col min="4737" max="4737" width="14.5703125" bestFit="1" customWidth="1"/>
    <col min="4738" max="4738" width="14.85546875" customWidth="1"/>
    <col min="4739" max="4739" width="15.140625" bestFit="1" customWidth="1"/>
    <col min="4740" max="4740" width="12.140625" bestFit="1" customWidth="1"/>
    <col min="4741" max="4741" width="14.85546875" bestFit="1" customWidth="1"/>
    <col min="4742" max="4742" width="12.28515625" bestFit="1" customWidth="1"/>
    <col min="4743" max="4751" width="9.140625" hidden="1" customWidth="1"/>
    <col min="4752" max="4752" width="5.28515625" bestFit="1" customWidth="1"/>
    <col min="4753" max="4758" width="11.5703125" bestFit="1" customWidth="1"/>
    <col min="4759" max="4759" width="11.28515625" bestFit="1" customWidth="1"/>
    <col min="4760" max="4760" width="10.140625" bestFit="1" customWidth="1"/>
    <col min="4761" max="4761" width="11.5703125" bestFit="1" customWidth="1"/>
    <col min="4762" max="4762" width="16.140625" customWidth="1"/>
    <col min="4763" max="4763" width="13.42578125" customWidth="1"/>
    <col min="4764" max="4764" width="10.140625" bestFit="1" customWidth="1"/>
    <col min="4765" max="4765" width="12.85546875" bestFit="1" customWidth="1"/>
    <col min="4766" max="4766" width="12.28515625" bestFit="1" customWidth="1"/>
    <col min="4767" max="4767" width="11.28515625" bestFit="1" customWidth="1"/>
    <col min="4768" max="4768" width="11.5703125" bestFit="1" customWidth="1"/>
    <col min="4769" max="4769" width="10.85546875" bestFit="1" customWidth="1"/>
    <col min="4770" max="4770" width="11.28515625" bestFit="1" customWidth="1"/>
    <col min="4771" max="4771" width="10.140625" bestFit="1" customWidth="1"/>
    <col min="4772" max="4772" width="13.28515625" bestFit="1" customWidth="1"/>
    <col min="4773" max="4774" width="12.7109375" bestFit="1" customWidth="1"/>
    <col min="4775" max="4775" width="11" bestFit="1" customWidth="1"/>
    <col min="4776" max="4776" width="11.28515625" bestFit="1" customWidth="1"/>
    <col min="4777" max="4777" width="11.5703125" bestFit="1" customWidth="1"/>
    <col min="4778" max="4778" width="12.28515625" bestFit="1" customWidth="1"/>
    <col min="4779" max="4779" width="15.140625" bestFit="1" customWidth="1"/>
    <col min="4780" max="4780" width="14.42578125" bestFit="1" customWidth="1"/>
    <col min="4781" max="4781" width="12.28515625" bestFit="1" customWidth="1"/>
    <col min="4782" max="4782" width="15.140625" bestFit="1" customWidth="1"/>
    <col min="4783" max="4783" width="14.42578125" bestFit="1" customWidth="1"/>
    <col min="4784" max="4784" width="12.28515625" bestFit="1" customWidth="1"/>
    <col min="4785" max="4785" width="14.42578125" bestFit="1" customWidth="1"/>
    <col min="4786" max="4786" width="11.28515625" bestFit="1" customWidth="1"/>
    <col min="4787" max="4787" width="12.28515625" bestFit="1" customWidth="1"/>
    <col min="4788" max="4788" width="13" bestFit="1" customWidth="1"/>
    <col min="4789" max="4789" width="15.140625" bestFit="1" customWidth="1"/>
    <col min="4790" max="4790" width="12.28515625" bestFit="1" customWidth="1"/>
    <col min="4791" max="4791" width="13.85546875" bestFit="1" customWidth="1"/>
    <col min="4792" max="4792" width="11.28515625" bestFit="1" customWidth="1"/>
    <col min="4793" max="4793" width="12.28515625" bestFit="1" customWidth="1"/>
    <col min="4794" max="4794" width="13.85546875" bestFit="1" customWidth="1"/>
    <col min="4795" max="4796" width="15.140625" bestFit="1" customWidth="1"/>
    <col min="4797" max="4797" width="12.28515625" bestFit="1" customWidth="1"/>
    <col min="4798" max="4798" width="5.7109375" bestFit="1" customWidth="1"/>
    <col min="4799" max="4799" width="8.5703125" bestFit="1" customWidth="1"/>
    <col min="4800" max="4800" width="5.5703125" bestFit="1" customWidth="1"/>
    <col min="4801" max="4801" width="14.42578125" bestFit="1" customWidth="1"/>
    <col min="4802" max="4802" width="11.28515625" bestFit="1" customWidth="1"/>
    <col min="4803" max="4804" width="12.28515625" bestFit="1" customWidth="1"/>
    <col min="4805" max="4805" width="11.28515625" bestFit="1" customWidth="1"/>
    <col min="4806" max="4806" width="13.85546875" bestFit="1" customWidth="1"/>
    <col min="4807" max="4807" width="12" bestFit="1" customWidth="1"/>
    <col min="4808" max="4808" width="13.85546875" bestFit="1" customWidth="1"/>
    <col min="4809" max="4810" width="14.42578125" customWidth="1"/>
    <col min="4811" max="4811" width="10.140625" bestFit="1" customWidth="1"/>
    <col min="4812" max="4812" width="12.28515625" bestFit="1" customWidth="1"/>
    <col min="4813" max="4813" width="7.42578125" bestFit="1" customWidth="1"/>
    <col min="4814" max="4814" width="8.5703125" bestFit="1" customWidth="1"/>
    <col min="4815" max="4815" width="11.5703125" bestFit="1" customWidth="1"/>
    <col min="4816" max="4816" width="13.28515625" bestFit="1" customWidth="1"/>
    <col min="4817" max="4817" width="13.28515625" customWidth="1"/>
    <col min="4818" max="4818" width="13.140625" customWidth="1"/>
    <col min="4819" max="4819" width="12.7109375" bestFit="1" customWidth="1"/>
    <col min="4820" max="4820" width="13.28515625" bestFit="1" customWidth="1"/>
    <col min="4821" max="4823" width="13.28515625" customWidth="1"/>
    <col min="4824" max="4824" width="12.140625" bestFit="1" customWidth="1"/>
    <col min="4825" max="4825" width="12.7109375" bestFit="1" customWidth="1"/>
    <col min="4826" max="4826" width="11" customWidth="1"/>
    <col min="4827" max="4827" width="16.7109375" customWidth="1"/>
    <col min="4828" max="4828" width="17" customWidth="1"/>
    <col min="4829" max="4829" width="10.42578125" bestFit="1" customWidth="1"/>
    <col min="4873" max="4873" width="3.85546875" customWidth="1"/>
    <col min="4874" max="4874" width="15.28515625" bestFit="1" customWidth="1"/>
    <col min="4875" max="4875" width="12.28515625" customWidth="1"/>
    <col min="4876" max="4876" width="16.28515625" bestFit="1" customWidth="1"/>
    <col min="4877" max="4877" width="6.42578125" bestFit="1" customWidth="1"/>
    <col min="4878" max="4878" width="9.28515625" bestFit="1" customWidth="1"/>
    <col min="4879" max="4879" width="7.5703125" bestFit="1" customWidth="1"/>
    <col min="4880" max="4880" width="13.28515625" bestFit="1" customWidth="1"/>
    <col min="4881" max="4881" width="9.28515625" bestFit="1" customWidth="1"/>
    <col min="4882" max="4882" width="11.5703125" bestFit="1" customWidth="1"/>
    <col min="4883" max="4883" width="13.28515625" bestFit="1" customWidth="1"/>
    <col min="4884" max="4884" width="7.140625" bestFit="1" customWidth="1"/>
    <col min="4885" max="4885" width="12" bestFit="1" customWidth="1"/>
    <col min="4886" max="4886" width="13.28515625" bestFit="1" customWidth="1"/>
    <col min="4887" max="4887" width="7" bestFit="1" customWidth="1"/>
    <col min="4888" max="4888" width="12.7109375" bestFit="1" customWidth="1"/>
    <col min="4889" max="4889" width="11.5703125" bestFit="1" customWidth="1"/>
    <col min="4890" max="4890" width="10.5703125" bestFit="1" customWidth="1"/>
    <col min="4891" max="4892" width="15.7109375" bestFit="1" customWidth="1"/>
    <col min="4893" max="4893" width="11.5703125" bestFit="1" customWidth="1"/>
    <col min="4894" max="4894" width="7.7109375" bestFit="1" customWidth="1"/>
    <col min="4895" max="4895" width="15.140625" bestFit="1" customWidth="1"/>
    <col min="4896" max="4896" width="11.5703125" bestFit="1" customWidth="1"/>
    <col min="4897" max="4897" width="13.28515625" bestFit="1" customWidth="1"/>
    <col min="4898" max="4898" width="10.42578125" bestFit="1" customWidth="1"/>
    <col min="4899" max="4899" width="13.28515625" bestFit="1" customWidth="1"/>
    <col min="4900" max="4900" width="12.140625" bestFit="1" customWidth="1"/>
    <col min="4901" max="4901" width="14.42578125" bestFit="1" customWidth="1"/>
    <col min="4902" max="4902" width="13.28515625" bestFit="1" customWidth="1"/>
    <col min="4903" max="4903" width="11.5703125" bestFit="1" customWidth="1"/>
    <col min="4904" max="4904" width="7.7109375" bestFit="1" customWidth="1"/>
    <col min="4905" max="4906" width="14.42578125" bestFit="1" customWidth="1"/>
    <col min="4907" max="4907" width="11.5703125" bestFit="1" customWidth="1"/>
    <col min="4908" max="4908" width="7.7109375" bestFit="1" customWidth="1"/>
    <col min="4909" max="4909" width="13.5703125" customWidth="1"/>
    <col min="4910" max="4910" width="15.28515625" customWidth="1"/>
    <col min="4911" max="4911" width="14.5703125" customWidth="1"/>
    <col min="4912" max="4912" width="13.28515625" bestFit="1" customWidth="1"/>
    <col min="4913" max="4913" width="7.7109375" bestFit="1" customWidth="1"/>
    <col min="4914" max="4914" width="12.7109375" bestFit="1" customWidth="1"/>
    <col min="4915" max="4915" width="11.7109375" bestFit="1" customWidth="1"/>
    <col min="4916" max="4916" width="11.5703125" bestFit="1" customWidth="1"/>
    <col min="4917" max="4917" width="5.28515625" bestFit="1" customWidth="1"/>
    <col min="4918" max="4918" width="13.28515625" bestFit="1" customWidth="1"/>
    <col min="4919" max="4919" width="13.5703125" bestFit="1" customWidth="1"/>
    <col min="4920" max="4920" width="10.5703125" bestFit="1" customWidth="1"/>
    <col min="4921" max="4921" width="13.28515625" bestFit="1" customWidth="1"/>
    <col min="4922" max="4922" width="11.5703125" bestFit="1" customWidth="1"/>
    <col min="4923" max="4923" width="10.5703125" bestFit="1" customWidth="1"/>
    <col min="4924" max="4924" width="16.140625" bestFit="1" customWidth="1"/>
    <col min="4925" max="4926" width="11.28515625" bestFit="1" customWidth="1"/>
    <col min="4927" max="4927" width="13.28515625" bestFit="1" customWidth="1"/>
    <col min="4928" max="4928" width="7.7109375" bestFit="1" customWidth="1"/>
    <col min="4929" max="4932" width="9.140625" hidden="1" customWidth="1"/>
    <col min="4933" max="4933" width="10.42578125" bestFit="1" customWidth="1"/>
    <col min="4934" max="4934" width="10.5703125" bestFit="1" customWidth="1"/>
    <col min="4935" max="4935" width="10.42578125" bestFit="1" customWidth="1"/>
    <col min="4936" max="4936" width="10.5703125" bestFit="1" customWidth="1"/>
    <col min="4937" max="4937" width="9.5703125" bestFit="1" customWidth="1"/>
    <col min="4938" max="4938" width="11.5703125" bestFit="1" customWidth="1"/>
    <col min="4939" max="4939" width="10.42578125" bestFit="1" customWidth="1"/>
    <col min="4940" max="4940" width="10.85546875" customWidth="1"/>
    <col min="4941" max="4942" width="9.85546875" bestFit="1" customWidth="1"/>
    <col min="4943" max="4943" width="13.5703125" bestFit="1" customWidth="1"/>
    <col min="4944" max="4944" width="7.7109375" bestFit="1" customWidth="1"/>
    <col min="4945" max="4945" width="13.28515625" bestFit="1" customWidth="1"/>
    <col min="4946" max="4946" width="11.5703125" bestFit="1" customWidth="1"/>
    <col min="4947" max="4947" width="10.42578125" bestFit="1" customWidth="1"/>
    <col min="4948" max="4948" width="7.7109375" bestFit="1" customWidth="1"/>
    <col min="4949" max="4949" width="11.5703125" bestFit="1" customWidth="1"/>
    <col min="4950" max="4950" width="10.85546875" bestFit="1" customWidth="1"/>
    <col min="4951" max="4951" width="13.28515625" bestFit="1" customWidth="1"/>
    <col min="4952" max="4952" width="10.85546875" bestFit="1" customWidth="1"/>
    <col min="4953" max="4954" width="7.5703125" bestFit="1" customWidth="1"/>
    <col min="4955" max="4956" width="10.42578125" bestFit="1" customWidth="1"/>
    <col min="4957" max="4957" width="11.5703125" bestFit="1" customWidth="1"/>
    <col min="4958" max="4958" width="5.28515625" bestFit="1" customWidth="1"/>
    <col min="4959" max="4959" width="10.28515625" bestFit="1" customWidth="1"/>
    <col min="4960" max="4960" width="10.42578125" bestFit="1" customWidth="1"/>
    <col min="4961" max="4961" width="11.5703125" bestFit="1" customWidth="1"/>
    <col min="4962" max="4962" width="5.28515625" bestFit="1" customWidth="1"/>
    <col min="4963" max="4965" width="11.5703125" bestFit="1" customWidth="1"/>
    <col min="4966" max="4966" width="5.28515625" bestFit="1" customWidth="1"/>
    <col min="4967" max="4968" width="10.42578125" bestFit="1" customWidth="1"/>
    <col min="4969" max="4969" width="11.5703125" bestFit="1" customWidth="1"/>
    <col min="4970" max="4970" width="5.28515625" bestFit="1" customWidth="1"/>
    <col min="4971" max="4971" width="14.28515625" bestFit="1" customWidth="1"/>
    <col min="4972" max="4972" width="13" bestFit="1" customWidth="1"/>
    <col min="4973" max="4973" width="11.5703125" bestFit="1" customWidth="1"/>
    <col min="4974" max="4974" width="8.85546875" bestFit="1" customWidth="1"/>
    <col min="4975" max="4975" width="14.42578125" bestFit="1" customWidth="1"/>
    <col min="4976" max="4976" width="10.42578125" bestFit="1" customWidth="1"/>
    <col min="4977" max="4977" width="12.28515625" bestFit="1" customWidth="1"/>
    <col min="4978" max="4978" width="13.85546875" bestFit="1" customWidth="1"/>
    <col min="4979" max="4979" width="11.28515625" customWidth="1"/>
    <col min="4980" max="4980" width="11.5703125" customWidth="1"/>
    <col min="4981" max="4981" width="13.42578125" bestFit="1" customWidth="1"/>
    <col min="4982" max="4982" width="10.42578125" customWidth="1"/>
    <col min="4983" max="4983" width="13.85546875" bestFit="1" customWidth="1"/>
    <col min="4984" max="4984" width="15.42578125" bestFit="1" customWidth="1"/>
    <col min="4985" max="4985" width="12.28515625" bestFit="1" customWidth="1"/>
    <col min="4986" max="4986" width="12.7109375" customWidth="1"/>
    <col min="4987" max="4987" width="10.7109375" bestFit="1" customWidth="1"/>
    <col min="4988" max="4988" width="9.85546875" customWidth="1"/>
    <col min="4989" max="4990" width="10.140625" bestFit="1" customWidth="1"/>
    <col min="4991" max="4991" width="7.5703125" bestFit="1" customWidth="1"/>
    <col min="4992" max="4992" width="9.42578125" bestFit="1" customWidth="1"/>
    <col min="4993" max="4993" width="14.5703125" bestFit="1" customWidth="1"/>
    <col min="4994" max="4994" width="14.85546875" customWidth="1"/>
    <col min="4995" max="4995" width="15.140625" bestFit="1" customWidth="1"/>
    <col min="4996" max="4996" width="12.140625" bestFit="1" customWidth="1"/>
    <col min="4997" max="4997" width="14.85546875" bestFit="1" customWidth="1"/>
    <col min="4998" max="4998" width="12.28515625" bestFit="1" customWidth="1"/>
    <col min="4999" max="5007" width="9.140625" hidden="1" customWidth="1"/>
    <col min="5008" max="5008" width="5.28515625" bestFit="1" customWidth="1"/>
    <col min="5009" max="5014" width="11.5703125" bestFit="1" customWidth="1"/>
    <col min="5015" max="5015" width="11.28515625" bestFit="1" customWidth="1"/>
    <col min="5016" max="5016" width="10.140625" bestFit="1" customWidth="1"/>
    <col min="5017" max="5017" width="11.5703125" bestFit="1" customWidth="1"/>
    <col min="5018" max="5018" width="16.140625" customWidth="1"/>
    <col min="5019" max="5019" width="13.42578125" customWidth="1"/>
    <col min="5020" max="5020" width="10.140625" bestFit="1" customWidth="1"/>
    <col min="5021" max="5021" width="12.85546875" bestFit="1" customWidth="1"/>
    <col min="5022" max="5022" width="12.28515625" bestFit="1" customWidth="1"/>
    <col min="5023" max="5023" width="11.28515625" bestFit="1" customWidth="1"/>
    <col min="5024" max="5024" width="11.5703125" bestFit="1" customWidth="1"/>
    <col min="5025" max="5025" width="10.85546875" bestFit="1" customWidth="1"/>
    <col min="5026" max="5026" width="11.28515625" bestFit="1" customWidth="1"/>
    <col min="5027" max="5027" width="10.140625" bestFit="1" customWidth="1"/>
    <col min="5028" max="5028" width="13.28515625" bestFit="1" customWidth="1"/>
    <col min="5029" max="5030" width="12.7109375" bestFit="1" customWidth="1"/>
    <col min="5031" max="5031" width="11" bestFit="1" customWidth="1"/>
    <col min="5032" max="5032" width="11.28515625" bestFit="1" customWidth="1"/>
    <col min="5033" max="5033" width="11.5703125" bestFit="1" customWidth="1"/>
    <col min="5034" max="5034" width="12.28515625" bestFit="1" customWidth="1"/>
    <col min="5035" max="5035" width="15.140625" bestFit="1" customWidth="1"/>
    <col min="5036" max="5036" width="14.42578125" bestFit="1" customWidth="1"/>
    <col min="5037" max="5037" width="12.28515625" bestFit="1" customWidth="1"/>
    <col min="5038" max="5038" width="15.140625" bestFit="1" customWidth="1"/>
    <col min="5039" max="5039" width="14.42578125" bestFit="1" customWidth="1"/>
    <col min="5040" max="5040" width="12.28515625" bestFit="1" customWidth="1"/>
    <col min="5041" max="5041" width="14.42578125" bestFit="1" customWidth="1"/>
    <col min="5042" max="5042" width="11.28515625" bestFit="1" customWidth="1"/>
    <col min="5043" max="5043" width="12.28515625" bestFit="1" customWidth="1"/>
    <col min="5044" max="5044" width="13" bestFit="1" customWidth="1"/>
    <col min="5045" max="5045" width="15.140625" bestFit="1" customWidth="1"/>
    <col min="5046" max="5046" width="12.28515625" bestFit="1" customWidth="1"/>
    <col min="5047" max="5047" width="13.85546875" bestFit="1" customWidth="1"/>
    <col min="5048" max="5048" width="11.28515625" bestFit="1" customWidth="1"/>
    <col min="5049" max="5049" width="12.28515625" bestFit="1" customWidth="1"/>
    <col min="5050" max="5050" width="13.85546875" bestFit="1" customWidth="1"/>
    <col min="5051" max="5052" width="15.140625" bestFit="1" customWidth="1"/>
    <col min="5053" max="5053" width="12.28515625" bestFit="1" customWidth="1"/>
    <col min="5054" max="5054" width="5.7109375" bestFit="1" customWidth="1"/>
    <col min="5055" max="5055" width="8.5703125" bestFit="1" customWidth="1"/>
    <col min="5056" max="5056" width="5.5703125" bestFit="1" customWidth="1"/>
    <col min="5057" max="5057" width="14.42578125" bestFit="1" customWidth="1"/>
    <col min="5058" max="5058" width="11.28515625" bestFit="1" customWidth="1"/>
    <col min="5059" max="5060" width="12.28515625" bestFit="1" customWidth="1"/>
    <col min="5061" max="5061" width="11.28515625" bestFit="1" customWidth="1"/>
    <col min="5062" max="5062" width="13.85546875" bestFit="1" customWidth="1"/>
    <col min="5063" max="5063" width="12" bestFit="1" customWidth="1"/>
    <col min="5064" max="5064" width="13.85546875" bestFit="1" customWidth="1"/>
    <col min="5065" max="5066" width="14.42578125" customWidth="1"/>
    <col min="5067" max="5067" width="10.140625" bestFit="1" customWidth="1"/>
    <col min="5068" max="5068" width="12.28515625" bestFit="1" customWidth="1"/>
    <col min="5069" max="5069" width="7.42578125" bestFit="1" customWidth="1"/>
    <col min="5070" max="5070" width="8.5703125" bestFit="1" customWidth="1"/>
    <col min="5071" max="5071" width="11.5703125" bestFit="1" customWidth="1"/>
    <col min="5072" max="5072" width="13.28515625" bestFit="1" customWidth="1"/>
    <col min="5073" max="5073" width="13.28515625" customWidth="1"/>
    <col min="5074" max="5074" width="13.140625" customWidth="1"/>
    <col min="5075" max="5075" width="12.7109375" bestFit="1" customWidth="1"/>
    <col min="5076" max="5076" width="13.28515625" bestFit="1" customWidth="1"/>
    <col min="5077" max="5079" width="13.28515625" customWidth="1"/>
    <col min="5080" max="5080" width="12.140625" bestFit="1" customWidth="1"/>
    <col min="5081" max="5081" width="12.7109375" bestFit="1" customWidth="1"/>
    <col min="5082" max="5082" width="11" customWidth="1"/>
    <col min="5083" max="5083" width="16.7109375" customWidth="1"/>
    <col min="5084" max="5084" width="17" customWidth="1"/>
    <col min="5085" max="5085" width="10.42578125" bestFit="1" customWidth="1"/>
    <col min="5129" max="5129" width="3.85546875" customWidth="1"/>
    <col min="5130" max="5130" width="15.28515625" bestFit="1" customWidth="1"/>
    <col min="5131" max="5131" width="12.28515625" customWidth="1"/>
    <col min="5132" max="5132" width="16.28515625" bestFit="1" customWidth="1"/>
    <col min="5133" max="5133" width="6.42578125" bestFit="1" customWidth="1"/>
    <col min="5134" max="5134" width="9.28515625" bestFit="1" customWidth="1"/>
    <col min="5135" max="5135" width="7.5703125" bestFit="1" customWidth="1"/>
    <col min="5136" max="5136" width="13.28515625" bestFit="1" customWidth="1"/>
    <col min="5137" max="5137" width="9.28515625" bestFit="1" customWidth="1"/>
    <col min="5138" max="5138" width="11.5703125" bestFit="1" customWidth="1"/>
    <col min="5139" max="5139" width="13.28515625" bestFit="1" customWidth="1"/>
    <col min="5140" max="5140" width="7.140625" bestFit="1" customWidth="1"/>
    <col min="5141" max="5141" width="12" bestFit="1" customWidth="1"/>
    <col min="5142" max="5142" width="13.28515625" bestFit="1" customWidth="1"/>
    <col min="5143" max="5143" width="7" bestFit="1" customWidth="1"/>
    <col min="5144" max="5144" width="12.7109375" bestFit="1" customWidth="1"/>
    <col min="5145" max="5145" width="11.5703125" bestFit="1" customWidth="1"/>
    <col min="5146" max="5146" width="10.5703125" bestFit="1" customWidth="1"/>
    <col min="5147" max="5148" width="15.7109375" bestFit="1" customWidth="1"/>
    <col min="5149" max="5149" width="11.5703125" bestFit="1" customWidth="1"/>
    <col min="5150" max="5150" width="7.7109375" bestFit="1" customWidth="1"/>
    <col min="5151" max="5151" width="15.140625" bestFit="1" customWidth="1"/>
    <col min="5152" max="5152" width="11.5703125" bestFit="1" customWidth="1"/>
    <col min="5153" max="5153" width="13.28515625" bestFit="1" customWidth="1"/>
    <col min="5154" max="5154" width="10.42578125" bestFit="1" customWidth="1"/>
    <col min="5155" max="5155" width="13.28515625" bestFit="1" customWidth="1"/>
    <col min="5156" max="5156" width="12.140625" bestFit="1" customWidth="1"/>
    <col min="5157" max="5157" width="14.42578125" bestFit="1" customWidth="1"/>
    <col min="5158" max="5158" width="13.28515625" bestFit="1" customWidth="1"/>
    <col min="5159" max="5159" width="11.5703125" bestFit="1" customWidth="1"/>
    <col min="5160" max="5160" width="7.7109375" bestFit="1" customWidth="1"/>
    <col min="5161" max="5162" width="14.42578125" bestFit="1" customWidth="1"/>
    <col min="5163" max="5163" width="11.5703125" bestFit="1" customWidth="1"/>
    <col min="5164" max="5164" width="7.7109375" bestFit="1" customWidth="1"/>
    <col min="5165" max="5165" width="13.5703125" customWidth="1"/>
    <col min="5166" max="5166" width="15.28515625" customWidth="1"/>
    <col min="5167" max="5167" width="14.5703125" customWidth="1"/>
    <col min="5168" max="5168" width="13.28515625" bestFit="1" customWidth="1"/>
    <col min="5169" max="5169" width="7.7109375" bestFit="1" customWidth="1"/>
    <col min="5170" max="5170" width="12.7109375" bestFit="1" customWidth="1"/>
    <col min="5171" max="5171" width="11.7109375" bestFit="1" customWidth="1"/>
    <col min="5172" max="5172" width="11.5703125" bestFit="1" customWidth="1"/>
    <col min="5173" max="5173" width="5.28515625" bestFit="1" customWidth="1"/>
    <col min="5174" max="5174" width="13.28515625" bestFit="1" customWidth="1"/>
    <col min="5175" max="5175" width="13.5703125" bestFit="1" customWidth="1"/>
    <col min="5176" max="5176" width="10.5703125" bestFit="1" customWidth="1"/>
    <col min="5177" max="5177" width="13.28515625" bestFit="1" customWidth="1"/>
    <col min="5178" max="5178" width="11.5703125" bestFit="1" customWidth="1"/>
    <col min="5179" max="5179" width="10.5703125" bestFit="1" customWidth="1"/>
    <col min="5180" max="5180" width="16.140625" bestFit="1" customWidth="1"/>
    <col min="5181" max="5182" width="11.28515625" bestFit="1" customWidth="1"/>
    <col min="5183" max="5183" width="13.28515625" bestFit="1" customWidth="1"/>
    <col min="5184" max="5184" width="7.7109375" bestFit="1" customWidth="1"/>
    <col min="5185" max="5188" width="9.140625" hidden="1" customWidth="1"/>
    <col min="5189" max="5189" width="10.42578125" bestFit="1" customWidth="1"/>
    <col min="5190" max="5190" width="10.5703125" bestFit="1" customWidth="1"/>
    <col min="5191" max="5191" width="10.42578125" bestFit="1" customWidth="1"/>
    <col min="5192" max="5192" width="10.5703125" bestFit="1" customWidth="1"/>
    <col min="5193" max="5193" width="9.5703125" bestFit="1" customWidth="1"/>
    <col min="5194" max="5194" width="11.5703125" bestFit="1" customWidth="1"/>
    <col min="5195" max="5195" width="10.42578125" bestFit="1" customWidth="1"/>
    <col min="5196" max="5196" width="10.85546875" customWidth="1"/>
    <col min="5197" max="5198" width="9.85546875" bestFit="1" customWidth="1"/>
    <col min="5199" max="5199" width="13.5703125" bestFit="1" customWidth="1"/>
    <col min="5200" max="5200" width="7.7109375" bestFit="1" customWidth="1"/>
    <col min="5201" max="5201" width="13.28515625" bestFit="1" customWidth="1"/>
    <col min="5202" max="5202" width="11.5703125" bestFit="1" customWidth="1"/>
    <col min="5203" max="5203" width="10.42578125" bestFit="1" customWidth="1"/>
    <col min="5204" max="5204" width="7.7109375" bestFit="1" customWidth="1"/>
    <col min="5205" max="5205" width="11.5703125" bestFit="1" customWidth="1"/>
    <col min="5206" max="5206" width="10.85546875" bestFit="1" customWidth="1"/>
    <col min="5207" max="5207" width="13.28515625" bestFit="1" customWidth="1"/>
    <col min="5208" max="5208" width="10.85546875" bestFit="1" customWidth="1"/>
    <col min="5209" max="5210" width="7.5703125" bestFit="1" customWidth="1"/>
    <col min="5211" max="5212" width="10.42578125" bestFit="1" customWidth="1"/>
    <col min="5213" max="5213" width="11.5703125" bestFit="1" customWidth="1"/>
    <col min="5214" max="5214" width="5.28515625" bestFit="1" customWidth="1"/>
    <col min="5215" max="5215" width="10.28515625" bestFit="1" customWidth="1"/>
    <col min="5216" max="5216" width="10.42578125" bestFit="1" customWidth="1"/>
    <col min="5217" max="5217" width="11.5703125" bestFit="1" customWidth="1"/>
    <col min="5218" max="5218" width="5.28515625" bestFit="1" customWidth="1"/>
    <col min="5219" max="5221" width="11.5703125" bestFit="1" customWidth="1"/>
    <col min="5222" max="5222" width="5.28515625" bestFit="1" customWidth="1"/>
    <col min="5223" max="5224" width="10.42578125" bestFit="1" customWidth="1"/>
    <col min="5225" max="5225" width="11.5703125" bestFit="1" customWidth="1"/>
    <col min="5226" max="5226" width="5.28515625" bestFit="1" customWidth="1"/>
    <col min="5227" max="5227" width="14.28515625" bestFit="1" customWidth="1"/>
    <col min="5228" max="5228" width="13" bestFit="1" customWidth="1"/>
    <col min="5229" max="5229" width="11.5703125" bestFit="1" customWidth="1"/>
    <col min="5230" max="5230" width="8.85546875" bestFit="1" customWidth="1"/>
    <col min="5231" max="5231" width="14.42578125" bestFit="1" customWidth="1"/>
    <col min="5232" max="5232" width="10.42578125" bestFit="1" customWidth="1"/>
    <col min="5233" max="5233" width="12.28515625" bestFit="1" customWidth="1"/>
    <col min="5234" max="5234" width="13.85546875" bestFit="1" customWidth="1"/>
    <col min="5235" max="5235" width="11.28515625" customWidth="1"/>
    <col min="5236" max="5236" width="11.5703125" customWidth="1"/>
    <col min="5237" max="5237" width="13.42578125" bestFit="1" customWidth="1"/>
    <col min="5238" max="5238" width="10.42578125" customWidth="1"/>
    <col min="5239" max="5239" width="13.85546875" bestFit="1" customWidth="1"/>
    <col min="5240" max="5240" width="15.42578125" bestFit="1" customWidth="1"/>
    <col min="5241" max="5241" width="12.28515625" bestFit="1" customWidth="1"/>
    <col min="5242" max="5242" width="12.7109375" customWidth="1"/>
    <col min="5243" max="5243" width="10.7109375" bestFit="1" customWidth="1"/>
    <col min="5244" max="5244" width="9.85546875" customWidth="1"/>
    <col min="5245" max="5246" width="10.140625" bestFit="1" customWidth="1"/>
    <col min="5247" max="5247" width="7.5703125" bestFit="1" customWidth="1"/>
    <col min="5248" max="5248" width="9.42578125" bestFit="1" customWidth="1"/>
    <col min="5249" max="5249" width="14.5703125" bestFit="1" customWidth="1"/>
    <col min="5250" max="5250" width="14.85546875" customWidth="1"/>
    <col min="5251" max="5251" width="15.140625" bestFit="1" customWidth="1"/>
    <col min="5252" max="5252" width="12.140625" bestFit="1" customWidth="1"/>
    <col min="5253" max="5253" width="14.85546875" bestFit="1" customWidth="1"/>
    <col min="5254" max="5254" width="12.28515625" bestFit="1" customWidth="1"/>
    <col min="5255" max="5263" width="9.140625" hidden="1" customWidth="1"/>
    <col min="5264" max="5264" width="5.28515625" bestFit="1" customWidth="1"/>
    <col min="5265" max="5270" width="11.5703125" bestFit="1" customWidth="1"/>
    <col min="5271" max="5271" width="11.28515625" bestFit="1" customWidth="1"/>
    <col min="5272" max="5272" width="10.140625" bestFit="1" customWidth="1"/>
    <col min="5273" max="5273" width="11.5703125" bestFit="1" customWidth="1"/>
    <col min="5274" max="5274" width="16.140625" customWidth="1"/>
    <col min="5275" max="5275" width="13.42578125" customWidth="1"/>
    <col min="5276" max="5276" width="10.140625" bestFit="1" customWidth="1"/>
    <col min="5277" max="5277" width="12.85546875" bestFit="1" customWidth="1"/>
    <col min="5278" max="5278" width="12.28515625" bestFit="1" customWidth="1"/>
    <col min="5279" max="5279" width="11.28515625" bestFit="1" customWidth="1"/>
    <col min="5280" max="5280" width="11.5703125" bestFit="1" customWidth="1"/>
    <col min="5281" max="5281" width="10.85546875" bestFit="1" customWidth="1"/>
    <col min="5282" max="5282" width="11.28515625" bestFit="1" customWidth="1"/>
    <col min="5283" max="5283" width="10.140625" bestFit="1" customWidth="1"/>
    <col min="5284" max="5284" width="13.28515625" bestFit="1" customWidth="1"/>
    <col min="5285" max="5286" width="12.7109375" bestFit="1" customWidth="1"/>
    <col min="5287" max="5287" width="11" bestFit="1" customWidth="1"/>
    <col min="5288" max="5288" width="11.28515625" bestFit="1" customWidth="1"/>
    <col min="5289" max="5289" width="11.5703125" bestFit="1" customWidth="1"/>
    <col min="5290" max="5290" width="12.28515625" bestFit="1" customWidth="1"/>
    <col min="5291" max="5291" width="15.140625" bestFit="1" customWidth="1"/>
    <col min="5292" max="5292" width="14.42578125" bestFit="1" customWidth="1"/>
    <col min="5293" max="5293" width="12.28515625" bestFit="1" customWidth="1"/>
    <col min="5294" max="5294" width="15.140625" bestFit="1" customWidth="1"/>
    <col min="5295" max="5295" width="14.42578125" bestFit="1" customWidth="1"/>
    <col min="5296" max="5296" width="12.28515625" bestFit="1" customWidth="1"/>
    <col min="5297" max="5297" width="14.42578125" bestFit="1" customWidth="1"/>
    <col min="5298" max="5298" width="11.28515625" bestFit="1" customWidth="1"/>
    <col min="5299" max="5299" width="12.28515625" bestFit="1" customWidth="1"/>
    <col min="5300" max="5300" width="13" bestFit="1" customWidth="1"/>
    <col min="5301" max="5301" width="15.140625" bestFit="1" customWidth="1"/>
    <col min="5302" max="5302" width="12.28515625" bestFit="1" customWidth="1"/>
    <col min="5303" max="5303" width="13.85546875" bestFit="1" customWidth="1"/>
    <col min="5304" max="5304" width="11.28515625" bestFit="1" customWidth="1"/>
    <col min="5305" max="5305" width="12.28515625" bestFit="1" customWidth="1"/>
    <col min="5306" max="5306" width="13.85546875" bestFit="1" customWidth="1"/>
    <col min="5307" max="5308" width="15.140625" bestFit="1" customWidth="1"/>
    <col min="5309" max="5309" width="12.28515625" bestFit="1" customWidth="1"/>
    <col min="5310" max="5310" width="5.7109375" bestFit="1" customWidth="1"/>
    <col min="5311" max="5311" width="8.5703125" bestFit="1" customWidth="1"/>
    <col min="5312" max="5312" width="5.5703125" bestFit="1" customWidth="1"/>
    <col min="5313" max="5313" width="14.42578125" bestFit="1" customWidth="1"/>
    <col min="5314" max="5314" width="11.28515625" bestFit="1" customWidth="1"/>
    <col min="5315" max="5316" width="12.28515625" bestFit="1" customWidth="1"/>
    <col min="5317" max="5317" width="11.28515625" bestFit="1" customWidth="1"/>
    <col min="5318" max="5318" width="13.85546875" bestFit="1" customWidth="1"/>
    <col min="5319" max="5319" width="12" bestFit="1" customWidth="1"/>
    <col min="5320" max="5320" width="13.85546875" bestFit="1" customWidth="1"/>
    <col min="5321" max="5322" width="14.42578125" customWidth="1"/>
    <col min="5323" max="5323" width="10.140625" bestFit="1" customWidth="1"/>
    <col min="5324" max="5324" width="12.28515625" bestFit="1" customWidth="1"/>
    <col min="5325" max="5325" width="7.42578125" bestFit="1" customWidth="1"/>
    <col min="5326" max="5326" width="8.5703125" bestFit="1" customWidth="1"/>
    <col min="5327" max="5327" width="11.5703125" bestFit="1" customWidth="1"/>
    <col min="5328" max="5328" width="13.28515625" bestFit="1" customWidth="1"/>
    <col min="5329" max="5329" width="13.28515625" customWidth="1"/>
    <col min="5330" max="5330" width="13.140625" customWidth="1"/>
    <col min="5331" max="5331" width="12.7109375" bestFit="1" customWidth="1"/>
    <col min="5332" max="5332" width="13.28515625" bestFit="1" customWidth="1"/>
    <col min="5333" max="5335" width="13.28515625" customWidth="1"/>
    <col min="5336" max="5336" width="12.140625" bestFit="1" customWidth="1"/>
    <col min="5337" max="5337" width="12.7109375" bestFit="1" customWidth="1"/>
    <col min="5338" max="5338" width="11" customWidth="1"/>
    <col min="5339" max="5339" width="16.7109375" customWidth="1"/>
    <col min="5340" max="5340" width="17" customWidth="1"/>
    <col min="5341" max="5341" width="10.42578125" bestFit="1" customWidth="1"/>
    <col min="5385" max="5385" width="3.85546875" customWidth="1"/>
    <col min="5386" max="5386" width="15.28515625" bestFit="1" customWidth="1"/>
    <col min="5387" max="5387" width="12.28515625" customWidth="1"/>
    <col min="5388" max="5388" width="16.28515625" bestFit="1" customWidth="1"/>
    <col min="5389" max="5389" width="6.42578125" bestFit="1" customWidth="1"/>
    <col min="5390" max="5390" width="9.28515625" bestFit="1" customWidth="1"/>
    <col min="5391" max="5391" width="7.5703125" bestFit="1" customWidth="1"/>
    <col min="5392" max="5392" width="13.28515625" bestFit="1" customWidth="1"/>
    <col min="5393" max="5393" width="9.28515625" bestFit="1" customWidth="1"/>
    <col min="5394" max="5394" width="11.5703125" bestFit="1" customWidth="1"/>
    <col min="5395" max="5395" width="13.28515625" bestFit="1" customWidth="1"/>
    <col min="5396" max="5396" width="7.140625" bestFit="1" customWidth="1"/>
    <col min="5397" max="5397" width="12" bestFit="1" customWidth="1"/>
    <col min="5398" max="5398" width="13.28515625" bestFit="1" customWidth="1"/>
    <col min="5399" max="5399" width="7" bestFit="1" customWidth="1"/>
    <col min="5400" max="5400" width="12.7109375" bestFit="1" customWidth="1"/>
    <col min="5401" max="5401" width="11.5703125" bestFit="1" customWidth="1"/>
    <col min="5402" max="5402" width="10.5703125" bestFit="1" customWidth="1"/>
    <col min="5403" max="5404" width="15.7109375" bestFit="1" customWidth="1"/>
    <col min="5405" max="5405" width="11.5703125" bestFit="1" customWidth="1"/>
    <col min="5406" max="5406" width="7.7109375" bestFit="1" customWidth="1"/>
    <col min="5407" max="5407" width="15.140625" bestFit="1" customWidth="1"/>
    <col min="5408" max="5408" width="11.5703125" bestFit="1" customWidth="1"/>
    <col min="5409" max="5409" width="13.28515625" bestFit="1" customWidth="1"/>
    <col min="5410" max="5410" width="10.42578125" bestFit="1" customWidth="1"/>
    <col min="5411" max="5411" width="13.28515625" bestFit="1" customWidth="1"/>
    <col min="5412" max="5412" width="12.140625" bestFit="1" customWidth="1"/>
    <col min="5413" max="5413" width="14.42578125" bestFit="1" customWidth="1"/>
    <col min="5414" max="5414" width="13.28515625" bestFit="1" customWidth="1"/>
    <col min="5415" max="5415" width="11.5703125" bestFit="1" customWidth="1"/>
    <col min="5416" max="5416" width="7.7109375" bestFit="1" customWidth="1"/>
    <col min="5417" max="5418" width="14.42578125" bestFit="1" customWidth="1"/>
    <col min="5419" max="5419" width="11.5703125" bestFit="1" customWidth="1"/>
    <col min="5420" max="5420" width="7.7109375" bestFit="1" customWidth="1"/>
    <col min="5421" max="5421" width="13.5703125" customWidth="1"/>
    <col min="5422" max="5422" width="15.28515625" customWidth="1"/>
    <col min="5423" max="5423" width="14.5703125" customWidth="1"/>
    <col min="5424" max="5424" width="13.28515625" bestFit="1" customWidth="1"/>
    <col min="5425" max="5425" width="7.7109375" bestFit="1" customWidth="1"/>
    <col min="5426" max="5426" width="12.7109375" bestFit="1" customWidth="1"/>
    <col min="5427" max="5427" width="11.7109375" bestFit="1" customWidth="1"/>
    <col min="5428" max="5428" width="11.5703125" bestFit="1" customWidth="1"/>
    <col min="5429" max="5429" width="5.28515625" bestFit="1" customWidth="1"/>
    <col min="5430" max="5430" width="13.28515625" bestFit="1" customWidth="1"/>
    <col min="5431" max="5431" width="13.5703125" bestFit="1" customWidth="1"/>
    <col min="5432" max="5432" width="10.5703125" bestFit="1" customWidth="1"/>
    <col min="5433" max="5433" width="13.28515625" bestFit="1" customWidth="1"/>
    <col min="5434" max="5434" width="11.5703125" bestFit="1" customWidth="1"/>
    <col min="5435" max="5435" width="10.5703125" bestFit="1" customWidth="1"/>
    <col min="5436" max="5436" width="16.140625" bestFit="1" customWidth="1"/>
    <col min="5437" max="5438" width="11.28515625" bestFit="1" customWidth="1"/>
    <col min="5439" max="5439" width="13.28515625" bestFit="1" customWidth="1"/>
    <col min="5440" max="5440" width="7.7109375" bestFit="1" customWidth="1"/>
    <col min="5441" max="5444" width="9.140625" hidden="1" customWidth="1"/>
    <col min="5445" max="5445" width="10.42578125" bestFit="1" customWidth="1"/>
    <col min="5446" max="5446" width="10.5703125" bestFit="1" customWidth="1"/>
    <col min="5447" max="5447" width="10.42578125" bestFit="1" customWidth="1"/>
    <col min="5448" max="5448" width="10.5703125" bestFit="1" customWidth="1"/>
    <col min="5449" max="5449" width="9.5703125" bestFit="1" customWidth="1"/>
    <col min="5450" max="5450" width="11.5703125" bestFit="1" customWidth="1"/>
    <col min="5451" max="5451" width="10.42578125" bestFit="1" customWidth="1"/>
    <col min="5452" max="5452" width="10.85546875" customWidth="1"/>
    <col min="5453" max="5454" width="9.85546875" bestFit="1" customWidth="1"/>
    <col min="5455" max="5455" width="13.5703125" bestFit="1" customWidth="1"/>
    <col min="5456" max="5456" width="7.7109375" bestFit="1" customWidth="1"/>
    <col min="5457" max="5457" width="13.28515625" bestFit="1" customWidth="1"/>
    <col min="5458" max="5458" width="11.5703125" bestFit="1" customWidth="1"/>
    <col min="5459" max="5459" width="10.42578125" bestFit="1" customWidth="1"/>
    <col min="5460" max="5460" width="7.7109375" bestFit="1" customWidth="1"/>
    <col min="5461" max="5461" width="11.5703125" bestFit="1" customWidth="1"/>
    <col min="5462" max="5462" width="10.85546875" bestFit="1" customWidth="1"/>
    <col min="5463" max="5463" width="13.28515625" bestFit="1" customWidth="1"/>
    <col min="5464" max="5464" width="10.85546875" bestFit="1" customWidth="1"/>
    <col min="5465" max="5466" width="7.5703125" bestFit="1" customWidth="1"/>
    <col min="5467" max="5468" width="10.42578125" bestFit="1" customWidth="1"/>
    <col min="5469" max="5469" width="11.5703125" bestFit="1" customWidth="1"/>
    <col min="5470" max="5470" width="5.28515625" bestFit="1" customWidth="1"/>
    <col min="5471" max="5471" width="10.28515625" bestFit="1" customWidth="1"/>
    <col min="5472" max="5472" width="10.42578125" bestFit="1" customWidth="1"/>
    <col min="5473" max="5473" width="11.5703125" bestFit="1" customWidth="1"/>
    <col min="5474" max="5474" width="5.28515625" bestFit="1" customWidth="1"/>
    <col min="5475" max="5477" width="11.5703125" bestFit="1" customWidth="1"/>
    <col min="5478" max="5478" width="5.28515625" bestFit="1" customWidth="1"/>
    <col min="5479" max="5480" width="10.42578125" bestFit="1" customWidth="1"/>
    <col min="5481" max="5481" width="11.5703125" bestFit="1" customWidth="1"/>
    <col min="5482" max="5482" width="5.28515625" bestFit="1" customWidth="1"/>
    <col min="5483" max="5483" width="14.28515625" bestFit="1" customWidth="1"/>
    <col min="5484" max="5484" width="13" bestFit="1" customWidth="1"/>
    <col min="5485" max="5485" width="11.5703125" bestFit="1" customWidth="1"/>
    <col min="5486" max="5486" width="8.85546875" bestFit="1" customWidth="1"/>
    <col min="5487" max="5487" width="14.42578125" bestFit="1" customWidth="1"/>
    <col min="5488" max="5488" width="10.42578125" bestFit="1" customWidth="1"/>
    <col min="5489" max="5489" width="12.28515625" bestFit="1" customWidth="1"/>
    <col min="5490" max="5490" width="13.85546875" bestFit="1" customWidth="1"/>
    <col min="5491" max="5491" width="11.28515625" customWidth="1"/>
    <col min="5492" max="5492" width="11.5703125" customWidth="1"/>
    <col min="5493" max="5493" width="13.42578125" bestFit="1" customWidth="1"/>
    <col min="5494" max="5494" width="10.42578125" customWidth="1"/>
    <col min="5495" max="5495" width="13.85546875" bestFit="1" customWidth="1"/>
    <col min="5496" max="5496" width="15.42578125" bestFit="1" customWidth="1"/>
    <col min="5497" max="5497" width="12.28515625" bestFit="1" customWidth="1"/>
    <col min="5498" max="5498" width="12.7109375" customWidth="1"/>
    <col min="5499" max="5499" width="10.7109375" bestFit="1" customWidth="1"/>
    <col min="5500" max="5500" width="9.85546875" customWidth="1"/>
    <col min="5501" max="5502" width="10.140625" bestFit="1" customWidth="1"/>
    <col min="5503" max="5503" width="7.5703125" bestFit="1" customWidth="1"/>
    <col min="5504" max="5504" width="9.42578125" bestFit="1" customWidth="1"/>
    <col min="5505" max="5505" width="14.5703125" bestFit="1" customWidth="1"/>
    <col min="5506" max="5506" width="14.85546875" customWidth="1"/>
    <col min="5507" max="5507" width="15.140625" bestFit="1" customWidth="1"/>
    <col min="5508" max="5508" width="12.140625" bestFit="1" customWidth="1"/>
    <col min="5509" max="5509" width="14.85546875" bestFit="1" customWidth="1"/>
    <col min="5510" max="5510" width="12.28515625" bestFit="1" customWidth="1"/>
    <col min="5511" max="5519" width="9.140625" hidden="1" customWidth="1"/>
    <col min="5520" max="5520" width="5.28515625" bestFit="1" customWidth="1"/>
    <col min="5521" max="5526" width="11.5703125" bestFit="1" customWidth="1"/>
    <col min="5527" max="5527" width="11.28515625" bestFit="1" customWidth="1"/>
    <col min="5528" max="5528" width="10.140625" bestFit="1" customWidth="1"/>
    <col min="5529" max="5529" width="11.5703125" bestFit="1" customWidth="1"/>
    <col min="5530" max="5530" width="16.140625" customWidth="1"/>
    <col min="5531" max="5531" width="13.42578125" customWidth="1"/>
    <col min="5532" max="5532" width="10.140625" bestFit="1" customWidth="1"/>
    <col min="5533" max="5533" width="12.85546875" bestFit="1" customWidth="1"/>
    <col min="5534" max="5534" width="12.28515625" bestFit="1" customWidth="1"/>
    <col min="5535" max="5535" width="11.28515625" bestFit="1" customWidth="1"/>
    <col min="5536" max="5536" width="11.5703125" bestFit="1" customWidth="1"/>
    <col min="5537" max="5537" width="10.85546875" bestFit="1" customWidth="1"/>
    <col min="5538" max="5538" width="11.28515625" bestFit="1" customWidth="1"/>
    <col min="5539" max="5539" width="10.140625" bestFit="1" customWidth="1"/>
    <col min="5540" max="5540" width="13.28515625" bestFit="1" customWidth="1"/>
    <col min="5541" max="5542" width="12.7109375" bestFit="1" customWidth="1"/>
    <col min="5543" max="5543" width="11" bestFit="1" customWidth="1"/>
    <col min="5544" max="5544" width="11.28515625" bestFit="1" customWidth="1"/>
    <col min="5545" max="5545" width="11.5703125" bestFit="1" customWidth="1"/>
    <col min="5546" max="5546" width="12.28515625" bestFit="1" customWidth="1"/>
    <col min="5547" max="5547" width="15.140625" bestFit="1" customWidth="1"/>
    <col min="5548" max="5548" width="14.42578125" bestFit="1" customWidth="1"/>
    <col min="5549" max="5549" width="12.28515625" bestFit="1" customWidth="1"/>
    <col min="5550" max="5550" width="15.140625" bestFit="1" customWidth="1"/>
    <col min="5551" max="5551" width="14.42578125" bestFit="1" customWidth="1"/>
    <col min="5552" max="5552" width="12.28515625" bestFit="1" customWidth="1"/>
    <col min="5553" max="5553" width="14.42578125" bestFit="1" customWidth="1"/>
    <col min="5554" max="5554" width="11.28515625" bestFit="1" customWidth="1"/>
    <col min="5555" max="5555" width="12.28515625" bestFit="1" customWidth="1"/>
    <col min="5556" max="5556" width="13" bestFit="1" customWidth="1"/>
    <col min="5557" max="5557" width="15.140625" bestFit="1" customWidth="1"/>
    <col min="5558" max="5558" width="12.28515625" bestFit="1" customWidth="1"/>
    <col min="5559" max="5559" width="13.85546875" bestFit="1" customWidth="1"/>
    <col min="5560" max="5560" width="11.28515625" bestFit="1" customWidth="1"/>
    <col min="5561" max="5561" width="12.28515625" bestFit="1" customWidth="1"/>
    <col min="5562" max="5562" width="13.85546875" bestFit="1" customWidth="1"/>
    <col min="5563" max="5564" width="15.140625" bestFit="1" customWidth="1"/>
    <col min="5565" max="5565" width="12.28515625" bestFit="1" customWidth="1"/>
    <col min="5566" max="5566" width="5.7109375" bestFit="1" customWidth="1"/>
    <col min="5567" max="5567" width="8.5703125" bestFit="1" customWidth="1"/>
    <col min="5568" max="5568" width="5.5703125" bestFit="1" customWidth="1"/>
    <col min="5569" max="5569" width="14.42578125" bestFit="1" customWidth="1"/>
    <col min="5570" max="5570" width="11.28515625" bestFit="1" customWidth="1"/>
    <col min="5571" max="5572" width="12.28515625" bestFit="1" customWidth="1"/>
    <col min="5573" max="5573" width="11.28515625" bestFit="1" customWidth="1"/>
    <col min="5574" max="5574" width="13.85546875" bestFit="1" customWidth="1"/>
    <col min="5575" max="5575" width="12" bestFit="1" customWidth="1"/>
    <col min="5576" max="5576" width="13.85546875" bestFit="1" customWidth="1"/>
    <col min="5577" max="5578" width="14.42578125" customWidth="1"/>
    <col min="5579" max="5579" width="10.140625" bestFit="1" customWidth="1"/>
    <col min="5580" max="5580" width="12.28515625" bestFit="1" customWidth="1"/>
    <col min="5581" max="5581" width="7.42578125" bestFit="1" customWidth="1"/>
    <col min="5582" max="5582" width="8.5703125" bestFit="1" customWidth="1"/>
    <col min="5583" max="5583" width="11.5703125" bestFit="1" customWidth="1"/>
    <col min="5584" max="5584" width="13.28515625" bestFit="1" customWidth="1"/>
    <col min="5585" max="5585" width="13.28515625" customWidth="1"/>
    <col min="5586" max="5586" width="13.140625" customWidth="1"/>
    <col min="5587" max="5587" width="12.7109375" bestFit="1" customWidth="1"/>
    <col min="5588" max="5588" width="13.28515625" bestFit="1" customWidth="1"/>
    <col min="5589" max="5591" width="13.28515625" customWidth="1"/>
    <col min="5592" max="5592" width="12.140625" bestFit="1" customWidth="1"/>
    <col min="5593" max="5593" width="12.7109375" bestFit="1" customWidth="1"/>
    <col min="5594" max="5594" width="11" customWidth="1"/>
    <col min="5595" max="5595" width="16.7109375" customWidth="1"/>
    <col min="5596" max="5596" width="17" customWidth="1"/>
    <col min="5597" max="5597" width="10.42578125" bestFit="1" customWidth="1"/>
    <col min="5641" max="5641" width="3.85546875" customWidth="1"/>
    <col min="5642" max="5642" width="15.28515625" bestFit="1" customWidth="1"/>
    <col min="5643" max="5643" width="12.28515625" customWidth="1"/>
    <col min="5644" max="5644" width="16.28515625" bestFit="1" customWidth="1"/>
    <col min="5645" max="5645" width="6.42578125" bestFit="1" customWidth="1"/>
    <col min="5646" max="5646" width="9.28515625" bestFit="1" customWidth="1"/>
    <col min="5647" max="5647" width="7.5703125" bestFit="1" customWidth="1"/>
    <col min="5648" max="5648" width="13.28515625" bestFit="1" customWidth="1"/>
    <col min="5649" max="5649" width="9.28515625" bestFit="1" customWidth="1"/>
    <col min="5650" max="5650" width="11.5703125" bestFit="1" customWidth="1"/>
    <col min="5651" max="5651" width="13.28515625" bestFit="1" customWidth="1"/>
    <col min="5652" max="5652" width="7.140625" bestFit="1" customWidth="1"/>
    <col min="5653" max="5653" width="12" bestFit="1" customWidth="1"/>
    <col min="5654" max="5654" width="13.28515625" bestFit="1" customWidth="1"/>
    <col min="5655" max="5655" width="7" bestFit="1" customWidth="1"/>
    <col min="5656" max="5656" width="12.7109375" bestFit="1" customWidth="1"/>
    <col min="5657" max="5657" width="11.5703125" bestFit="1" customWidth="1"/>
    <col min="5658" max="5658" width="10.5703125" bestFit="1" customWidth="1"/>
    <col min="5659" max="5660" width="15.7109375" bestFit="1" customWidth="1"/>
    <col min="5661" max="5661" width="11.5703125" bestFit="1" customWidth="1"/>
    <col min="5662" max="5662" width="7.7109375" bestFit="1" customWidth="1"/>
    <col min="5663" max="5663" width="15.140625" bestFit="1" customWidth="1"/>
    <col min="5664" max="5664" width="11.5703125" bestFit="1" customWidth="1"/>
    <col min="5665" max="5665" width="13.28515625" bestFit="1" customWidth="1"/>
    <col min="5666" max="5666" width="10.42578125" bestFit="1" customWidth="1"/>
    <col min="5667" max="5667" width="13.28515625" bestFit="1" customWidth="1"/>
    <col min="5668" max="5668" width="12.140625" bestFit="1" customWidth="1"/>
    <col min="5669" max="5669" width="14.42578125" bestFit="1" customWidth="1"/>
    <col min="5670" max="5670" width="13.28515625" bestFit="1" customWidth="1"/>
    <col min="5671" max="5671" width="11.5703125" bestFit="1" customWidth="1"/>
    <col min="5672" max="5672" width="7.7109375" bestFit="1" customWidth="1"/>
    <col min="5673" max="5674" width="14.42578125" bestFit="1" customWidth="1"/>
    <col min="5675" max="5675" width="11.5703125" bestFit="1" customWidth="1"/>
    <col min="5676" max="5676" width="7.7109375" bestFit="1" customWidth="1"/>
    <col min="5677" max="5677" width="13.5703125" customWidth="1"/>
    <col min="5678" max="5678" width="15.28515625" customWidth="1"/>
    <col min="5679" max="5679" width="14.5703125" customWidth="1"/>
    <col min="5680" max="5680" width="13.28515625" bestFit="1" customWidth="1"/>
    <col min="5681" max="5681" width="7.7109375" bestFit="1" customWidth="1"/>
    <col min="5682" max="5682" width="12.7109375" bestFit="1" customWidth="1"/>
    <col min="5683" max="5683" width="11.7109375" bestFit="1" customWidth="1"/>
    <col min="5684" max="5684" width="11.5703125" bestFit="1" customWidth="1"/>
    <col min="5685" max="5685" width="5.28515625" bestFit="1" customWidth="1"/>
    <col min="5686" max="5686" width="13.28515625" bestFit="1" customWidth="1"/>
    <col min="5687" max="5687" width="13.5703125" bestFit="1" customWidth="1"/>
    <col min="5688" max="5688" width="10.5703125" bestFit="1" customWidth="1"/>
    <col min="5689" max="5689" width="13.28515625" bestFit="1" customWidth="1"/>
    <col min="5690" max="5690" width="11.5703125" bestFit="1" customWidth="1"/>
    <col min="5691" max="5691" width="10.5703125" bestFit="1" customWidth="1"/>
    <col min="5692" max="5692" width="16.140625" bestFit="1" customWidth="1"/>
    <col min="5693" max="5694" width="11.28515625" bestFit="1" customWidth="1"/>
    <col min="5695" max="5695" width="13.28515625" bestFit="1" customWidth="1"/>
    <col min="5696" max="5696" width="7.7109375" bestFit="1" customWidth="1"/>
    <col min="5697" max="5700" width="9.140625" hidden="1" customWidth="1"/>
    <col min="5701" max="5701" width="10.42578125" bestFit="1" customWidth="1"/>
    <col min="5702" max="5702" width="10.5703125" bestFit="1" customWidth="1"/>
    <col min="5703" max="5703" width="10.42578125" bestFit="1" customWidth="1"/>
    <col min="5704" max="5704" width="10.5703125" bestFit="1" customWidth="1"/>
    <col min="5705" max="5705" width="9.5703125" bestFit="1" customWidth="1"/>
    <col min="5706" max="5706" width="11.5703125" bestFit="1" customWidth="1"/>
    <col min="5707" max="5707" width="10.42578125" bestFit="1" customWidth="1"/>
    <col min="5708" max="5708" width="10.85546875" customWidth="1"/>
    <col min="5709" max="5710" width="9.85546875" bestFit="1" customWidth="1"/>
    <col min="5711" max="5711" width="13.5703125" bestFit="1" customWidth="1"/>
    <col min="5712" max="5712" width="7.7109375" bestFit="1" customWidth="1"/>
    <col min="5713" max="5713" width="13.28515625" bestFit="1" customWidth="1"/>
    <col min="5714" max="5714" width="11.5703125" bestFit="1" customWidth="1"/>
    <col min="5715" max="5715" width="10.42578125" bestFit="1" customWidth="1"/>
    <col min="5716" max="5716" width="7.7109375" bestFit="1" customWidth="1"/>
    <col min="5717" max="5717" width="11.5703125" bestFit="1" customWidth="1"/>
    <col min="5718" max="5718" width="10.85546875" bestFit="1" customWidth="1"/>
    <col min="5719" max="5719" width="13.28515625" bestFit="1" customWidth="1"/>
    <col min="5720" max="5720" width="10.85546875" bestFit="1" customWidth="1"/>
    <col min="5721" max="5722" width="7.5703125" bestFit="1" customWidth="1"/>
    <col min="5723" max="5724" width="10.42578125" bestFit="1" customWidth="1"/>
    <col min="5725" max="5725" width="11.5703125" bestFit="1" customWidth="1"/>
    <col min="5726" max="5726" width="5.28515625" bestFit="1" customWidth="1"/>
    <col min="5727" max="5727" width="10.28515625" bestFit="1" customWidth="1"/>
    <col min="5728" max="5728" width="10.42578125" bestFit="1" customWidth="1"/>
    <col min="5729" max="5729" width="11.5703125" bestFit="1" customWidth="1"/>
    <col min="5730" max="5730" width="5.28515625" bestFit="1" customWidth="1"/>
    <col min="5731" max="5733" width="11.5703125" bestFit="1" customWidth="1"/>
    <col min="5734" max="5734" width="5.28515625" bestFit="1" customWidth="1"/>
    <col min="5735" max="5736" width="10.42578125" bestFit="1" customWidth="1"/>
    <col min="5737" max="5737" width="11.5703125" bestFit="1" customWidth="1"/>
    <col min="5738" max="5738" width="5.28515625" bestFit="1" customWidth="1"/>
    <col min="5739" max="5739" width="14.28515625" bestFit="1" customWidth="1"/>
    <col min="5740" max="5740" width="13" bestFit="1" customWidth="1"/>
    <col min="5741" max="5741" width="11.5703125" bestFit="1" customWidth="1"/>
    <col min="5742" max="5742" width="8.85546875" bestFit="1" customWidth="1"/>
    <col min="5743" max="5743" width="14.42578125" bestFit="1" customWidth="1"/>
    <col min="5744" max="5744" width="10.42578125" bestFit="1" customWidth="1"/>
    <col min="5745" max="5745" width="12.28515625" bestFit="1" customWidth="1"/>
    <col min="5746" max="5746" width="13.85546875" bestFit="1" customWidth="1"/>
    <col min="5747" max="5747" width="11.28515625" customWidth="1"/>
    <col min="5748" max="5748" width="11.5703125" customWidth="1"/>
    <col min="5749" max="5749" width="13.42578125" bestFit="1" customWidth="1"/>
    <col min="5750" max="5750" width="10.42578125" customWidth="1"/>
    <col min="5751" max="5751" width="13.85546875" bestFit="1" customWidth="1"/>
    <col min="5752" max="5752" width="15.42578125" bestFit="1" customWidth="1"/>
    <col min="5753" max="5753" width="12.28515625" bestFit="1" customWidth="1"/>
    <col min="5754" max="5754" width="12.7109375" customWidth="1"/>
    <col min="5755" max="5755" width="10.7109375" bestFit="1" customWidth="1"/>
    <col min="5756" max="5756" width="9.85546875" customWidth="1"/>
    <col min="5757" max="5758" width="10.140625" bestFit="1" customWidth="1"/>
    <col min="5759" max="5759" width="7.5703125" bestFit="1" customWidth="1"/>
    <col min="5760" max="5760" width="9.42578125" bestFit="1" customWidth="1"/>
    <col min="5761" max="5761" width="14.5703125" bestFit="1" customWidth="1"/>
    <col min="5762" max="5762" width="14.85546875" customWidth="1"/>
    <col min="5763" max="5763" width="15.140625" bestFit="1" customWidth="1"/>
    <col min="5764" max="5764" width="12.140625" bestFit="1" customWidth="1"/>
    <col min="5765" max="5765" width="14.85546875" bestFit="1" customWidth="1"/>
    <col min="5766" max="5766" width="12.28515625" bestFit="1" customWidth="1"/>
    <col min="5767" max="5775" width="9.140625" hidden="1" customWidth="1"/>
    <col min="5776" max="5776" width="5.28515625" bestFit="1" customWidth="1"/>
    <col min="5777" max="5782" width="11.5703125" bestFit="1" customWidth="1"/>
    <col min="5783" max="5783" width="11.28515625" bestFit="1" customWidth="1"/>
    <col min="5784" max="5784" width="10.140625" bestFit="1" customWidth="1"/>
    <col min="5785" max="5785" width="11.5703125" bestFit="1" customWidth="1"/>
    <col min="5786" max="5786" width="16.140625" customWidth="1"/>
    <col min="5787" max="5787" width="13.42578125" customWidth="1"/>
    <col min="5788" max="5788" width="10.140625" bestFit="1" customWidth="1"/>
    <col min="5789" max="5789" width="12.85546875" bestFit="1" customWidth="1"/>
    <col min="5790" max="5790" width="12.28515625" bestFit="1" customWidth="1"/>
    <col min="5791" max="5791" width="11.28515625" bestFit="1" customWidth="1"/>
    <col min="5792" max="5792" width="11.5703125" bestFit="1" customWidth="1"/>
    <col min="5793" max="5793" width="10.85546875" bestFit="1" customWidth="1"/>
    <col min="5794" max="5794" width="11.28515625" bestFit="1" customWidth="1"/>
    <col min="5795" max="5795" width="10.140625" bestFit="1" customWidth="1"/>
    <col min="5796" max="5796" width="13.28515625" bestFit="1" customWidth="1"/>
    <col min="5797" max="5798" width="12.7109375" bestFit="1" customWidth="1"/>
    <col min="5799" max="5799" width="11" bestFit="1" customWidth="1"/>
    <col min="5800" max="5800" width="11.28515625" bestFit="1" customWidth="1"/>
    <col min="5801" max="5801" width="11.5703125" bestFit="1" customWidth="1"/>
    <col min="5802" max="5802" width="12.28515625" bestFit="1" customWidth="1"/>
    <col min="5803" max="5803" width="15.140625" bestFit="1" customWidth="1"/>
    <col min="5804" max="5804" width="14.42578125" bestFit="1" customWidth="1"/>
    <col min="5805" max="5805" width="12.28515625" bestFit="1" customWidth="1"/>
    <col min="5806" max="5806" width="15.140625" bestFit="1" customWidth="1"/>
    <col min="5807" max="5807" width="14.42578125" bestFit="1" customWidth="1"/>
    <col min="5808" max="5808" width="12.28515625" bestFit="1" customWidth="1"/>
    <col min="5809" max="5809" width="14.42578125" bestFit="1" customWidth="1"/>
    <col min="5810" max="5810" width="11.28515625" bestFit="1" customWidth="1"/>
    <col min="5811" max="5811" width="12.28515625" bestFit="1" customWidth="1"/>
    <col min="5812" max="5812" width="13" bestFit="1" customWidth="1"/>
    <col min="5813" max="5813" width="15.140625" bestFit="1" customWidth="1"/>
    <col min="5814" max="5814" width="12.28515625" bestFit="1" customWidth="1"/>
    <col min="5815" max="5815" width="13.85546875" bestFit="1" customWidth="1"/>
    <col min="5816" max="5816" width="11.28515625" bestFit="1" customWidth="1"/>
    <col min="5817" max="5817" width="12.28515625" bestFit="1" customWidth="1"/>
    <col min="5818" max="5818" width="13.85546875" bestFit="1" customWidth="1"/>
    <col min="5819" max="5820" width="15.140625" bestFit="1" customWidth="1"/>
    <col min="5821" max="5821" width="12.28515625" bestFit="1" customWidth="1"/>
    <col min="5822" max="5822" width="5.7109375" bestFit="1" customWidth="1"/>
    <col min="5823" max="5823" width="8.5703125" bestFit="1" customWidth="1"/>
    <col min="5824" max="5824" width="5.5703125" bestFit="1" customWidth="1"/>
    <col min="5825" max="5825" width="14.42578125" bestFit="1" customWidth="1"/>
    <col min="5826" max="5826" width="11.28515625" bestFit="1" customWidth="1"/>
    <col min="5827" max="5828" width="12.28515625" bestFit="1" customWidth="1"/>
    <col min="5829" max="5829" width="11.28515625" bestFit="1" customWidth="1"/>
    <col min="5830" max="5830" width="13.85546875" bestFit="1" customWidth="1"/>
    <col min="5831" max="5831" width="12" bestFit="1" customWidth="1"/>
    <col min="5832" max="5832" width="13.85546875" bestFit="1" customWidth="1"/>
    <col min="5833" max="5834" width="14.42578125" customWidth="1"/>
    <col min="5835" max="5835" width="10.140625" bestFit="1" customWidth="1"/>
    <col min="5836" max="5836" width="12.28515625" bestFit="1" customWidth="1"/>
    <col min="5837" max="5837" width="7.42578125" bestFit="1" customWidth="1"/>
    <col min="5838" max="5838" width="8.5703125" bestFit="1" customWidth="1"/>
    <col min="5839" max="5839" width="11.5703125" bestFit="1" customWidth="1"/>
    <col min="5840" max="5840" width="13.28515625" bestFit="1" customWidth="1"/>
    <col min="5841" max="5841" width="13.28515625" customWidth="1"/>
    <col min="5842" max="5842" width="13.140625" customWidth="1"/>
    <col min="5843" max="5843" width="12.7109375" bestFit="1" customWidth="1"/>
    <col min="5844" max="5844" width="13.28515625" bestFit="1" customWidth="1"/>
    <col min="5845" max="5847" width="13.28515625" customWidth="1"/>
    <col min="5848" max="5848" width="12.140625" bestFit="1" customWidth="1"/>
    <col min="5849" max="5849" width="12.7109375" bestFit="1" customWidth="1"/>
    <col min="5850" max="5850" width="11" customWidth="1"/>
    <col min="5851" max="5851" width="16.7109375" customWidth="1"/>
    <col min="5852" max="5852" width="17" customWidth="1"/>
    <col min="5853" max="5853" width="10.42578125" bestFit="1" customWidth="1"/>
    <col min="5897" max="5897" width="3.85546875" customWidth="1"/>
    <col min="5898" max="5898" width="15.28515625" bestFit="1" customWidth="1"/>
    <col min="5899" max="5899" width="12.28515625" customWidth="1"/>
    <col min="5900" max="5900" width="16.28515625" bestFit="1" customWidth="1"/>
    <col min="5901" max="5901" width="6.42578125" bestFit="1" customWidth="1"/>
    <col min="5902" max="5902" width="9.28515625" bestFit="1" customWidth="1"/>
    <col min="5903" max="5903" width="7.5703125" bestFit="1" customWidth="1"/>
    <col min="5904" max="5904" width="13.28515625" bestFit="1" customWidth="1"/>
    <col min="5905" max="5905" width="9.28515625" bestFit="1" customWidth="1"/>
    <col min="5906" max="5906" width="11.5703125" bestFit="1" customWidth="1"/>
    <col min="5907" max="5907" width="13.28515625" bestFit="1" customWidth="1"/>
    <col min="5908" max="5908" width="7.140625" bestFit="1" customWidth="1"/>
    <col min="5909" max="5909" width="12" bestFit="1" customWidth="1"/>
    <col min="5910" max="5910" width="13.28515625" bestFit="1" customWidth="1"/>
    <col min="5911" max="5911" width="7" bestFit="1" customWidth="1"/>
    <col min="5912" max="5912" width="12.7109375" bestFit="1" customWidth="1"/>
    <col min="5913" max="5913" width="11.5703125" bestFit="1" customWidth="1"/>
    <col min="5914" max="5914" width="10.5703125" bestFit="1" customWidth="1"/>
    <col min="5915" max="5916" width="15.7109375" bestFit="1" customWidth="1"/>
    <col min="5917" max="5917" width="11.5703125" bestFit="1" customWidth="1"/>
    <col min="5918" max="5918" width="7.7109375" bestFit="1" customWidth="1"/>
    <col min="5919" max="5919" width="15.140625" bestFit="1" customWidth="1"/>
    <col min="5920" max="5920" width="11.5703125" bestFit="1" customWidth="1"/>
    <col min="5921" max="5921" width="13.28515625" bestFit="1" customWidth="1"/>
    <col min="5922" max="5922" width="10.42578125" bestFit="1" customWidth="1"/>
    <col min="5923" max="5923" width="13.28515625" bestFit="1" customWidth="1"/>
    <col min="5924" max="5924" width="12.140625" bestFit="1" customWidth="1"/>
    <col min="5925" max="5925" width="14.42578125" bestFit="1" customWidth="1"/>
    <col min="5926" max="5926" width="13.28515625" bestFit="1" customWidth="1"/>
    <col min="5927" max="5927" width="11.5703125" bestFit="1" customWidth="1"/>
    <col min="5928" max="5928" width="7.7109375" bestFit="1" customWidth="1"/>
    <col min="5929" max="5930" width="14.42578125" bestFit="1" customWidth="1"/>
    <col min="5931" max="5931" width="11.5703125" bestFit="1" customWidth="1"/>
    <col min="5932" max="5932" width="7.7109375" bestFit="1" customWidth="1"/>
    <col min="5933" max="5933" width="13.5703125" customWidth="1"/>
    <col min="5934" max="5934" width="15.28515625" customWidth="1"/>
    <col min="5935" max="5935" width="14.5703125" customWidth="1"/>
    <col min="5936" max="5936" width="13.28515625" bestFit="1" customWidth="1"/>
    <col min="5937" max="5937" width="7.7109375" bestFit="1" customWidth="1"/>
    <col min="5938" max="5938" width="12.7109375" bestFit="1" customWidth="1"/>
    <col min="5939" max="5939" width="11.7109375" bestFit="1" customWidth="1"/>
    <col min="5940" max="5940" width="11.5703125" bestFit="1" customWidth="1"/>
    <col min="5941" max="5941" width="5.28515625" bestFit="1" customWidth="1"/>
    <col min="5942" max="5942" width="13.28515625" bestFit="1" customWidth="1"/>
    <col min="5943" max="5943" width="13.5703125" bestFit="1" customWidth="1"/>
    <col min="5944" max="5944" width="10.5703125" bestFit="1" customWidth="1"/>
    <col min="5945" max="5945" width="13.28515625" bestFit="1" customWidth="1"/>
    <col min="5946" max="5946" width="11.5703125" bestFit="1" customWidth="1"/>
    <col min="5947" max="5947" width="10.5703125" bestFit="1" customWidth="1"/>
    <col min="5948" max="5948" width="16.140625" bestFit="1" customWidth="1"/>
    <col min="5949" max="5950" width="11.28515625" bestFit="1" customWidth="1"/>
    <col min="5951" max="5951" width="13.28515625" bestFit="1" customWidth="1"/>
    <col min="5952" max="5952" width="7.7109375" bestFit="1" customWidth="1"/>
    <col min="5953" max="5956" width="9.140625" hidden="1" customWidth="1"/>
    <col min="5957" max="5957" width="10.42578125" bestFit="1" customWidth="1"/>
    <col min="5958" max="5958" width="10.5703125" bestFit="1" customWidth="1"/>
    <col min="5959" max="5959" width="10.42578125" bestFit="1" customWidth="1"/>
    <col min="5960" max="5960" width="10.5703125" bestFit="1" customWidth="1"/>
    <col min="5961" max="5961" width="9.5703125" bestFit="1" customWidth="1"/>
    <col min="5962" max="5962" width="11.5703125" bestFit="1" customWidth="1"/>
    <col min="5963" max="5963" width="10.42578125" bestFit="1" customWidth="1"/>
    <col min="5964" max="5964" width="10.85546875" customWidth="1"/>
    <col min="5965" max="5966" width="9.85546875" bestFit="1" customWidth="1"/>
    <col min="5967" max="5967" width="13.5703125" bestFit="1" customWidth="1"/>
    <col min="5968" max="5968" width="7.7109375" bestFit="1" customWidth="1"/>
    <col min="5969" max="5969" width="13.28515625" bestFit="1" customWidth="1"/>
    <col min="5970" max="5970" width="11.5703125" bestFit="1" customWidth="1"/>
    <col min="5971" max="5971" width="10.42578125" bestFit="1" customWidth="1"/>
    <col min="5972" max="5972" width="7.7109375" bestFit="1" customWidth="1"/>
    <col min="5973" max="5973" width="11.5703125" bestFit="1" customWidth="1"/>
    <col min="5974" max="5974" width="10.85546875" bestFit="1" customWidth="1"/>
    <col min="5975" max="5975" width="13.28515625" bestFit="1" customWidth="1"/>
    <col min="5976" max="5976" width="10.85546875" bestFit="1" customWidth="1"/>
    <col min="5977" max="5978" width="7.5703125" bestFit="1" customWidth="1"/>
    <col min="5979" max="5980" width="10.42578125" bestFit="1" customWidth="1"/>
    <col min="5981" max="5981" width="11.5703125" bestFit="1" customWidth="1"/>
    <col min="5982" max="5982" width="5.28515625" bestFit="1" customWidth="1"/>
    <col min="5983" max="5983" width="10.28515625" bestFit="1" customWidth="1"/>
    <col min="5984" max="5984" width="10.42578125" bestFit="1" customWidth="1"/>
    <col min="5985" max="5985" width="11.5703125" bestFit="1" customWidth="1"/>
    <col min="5986" max="5986" width="5.28515625" bestFit="1" customWidth="1"/>
    <col min="5987" max="5989" width="11.5703125" bestFit="1" customWidth="1"/>
    <col min="5990" max="5990" width="5.28515625" bestFit="1" customWidth="1"/>
    <col min="5991" max="5992" width="10.42578125" bestFit="1" customWidth="1"/>
    <col min="5993" max="5993" width="11.5703125" bestFit="1" customWidth="1"/>
    <col min="5994" max="5994" width="5.28515625" bestFit="1" customWidth="1"/>
    <col min="5995" max="5995" width="14.28515625" bestFit="1" customWidth="1"/>
    <col min="5996" max="5996" width="13" bestFit="1" customWidth="1"/>
    <col min="5997" max="5997" width="11.5703125" bestFit="1" customWidth="1"/>
    <col min="5998" max="5998" width="8.85546875" bestFit="1" customWidth="1"/>
    <col min="5999" max="5999" width="14.42578125" bestFit="1" customWidth="1"/>
    <col min="6000" max="6000" width="10.42578125" bestFit="1" customWidth="1"/>
    <col min="6001" max="6001" width="12.28515625" bestFit="1" customWidth="1"/>
    <col min="6002" max="6002" width="13.85546875" bestFit="1" customWidth="1"/>
    <col min="6003" max="6003" width="11.28515625" customWidth="1"/>
    <col min="6004" max="6004" width="11.5703125" customWidth="1"/>
    <col min="6005" max="6005" width="13.42578125" bestFit="1" customWidth="1"/>
    <col min="6006" max="6006" width="10.42578125" customWidth="1"/>
    <col min="6007" max="6007" width="13.85546875" bestFit="1" customWidth="1"/>
    <col min="6008" max="6008" width="15.42578125" bestFit="1" customWidth="1"/>
    <col min="6009" max="6009" width="12.28515625" bestFit="1" customWidth="1"/>
    <col min="6010" max="6010" width="12.7109375" customWidth="1"/>
    <col min="6011" max="6011" width="10.7109375" bestFit="1" customWidth="1"/>
    <col min="6012" max="6012" width="9.85546875" customWidth="1"/>
    <col min="6013" max="6014" width="10.140625" bestFit="1" customWidth="1"/>
    <col min="6015" max="6015" width="7.5703125" bestFit="1" customWidth="1"/>
    <col min="6016" max="6016" width="9.42578125" bestFit="1" customWidth="1"/>
    <col min="6017" max="6017" width="14.5703125" bestFit="1" customWidth="1"/>
    <col min="6018" max="6018" width="14.85546875" customWidth="1"/>
    <col min="6019" max="6019" width="15.140625" bestFit="1" customWidth="1"/>
    <col min="6020" max="6020" width="12.140625" bestFit="1" customWidth="1"/>
    <col min="6021" max="6021" width="14.85546875" bestFit="1" customWidth="1"/>
    <col min="6022" max="6022" width="12.28515625" bestFit="1" customWidth="1"/>
    <col min="6023" max="6031" width="9.140625" hidden="1" customWidth="1"/>
    <col min="6032" max="6032" width="5.28515625" bestFit="1" customWidth="1"/>
    <col min="6033" max="6038" width="11.5703125" bestFit="1" customWidth="1"/>
    <col min="6039" max="6039" width="11.28515625" bestFit="1" customWidth="1"/>
    <col min="6040" max="6040" width="10.140625" bestFit="1" customWidth="1"/>
    <col min="6041" max="6041" width="11.5703125" bestFit="1" customWidth="1"/>
    <col min="6042" max="6042" width="16.140625" customWidth="1"/>
    <col min="6043" max="6043" width="13.42578125" customWidth="1"/>
    <col min="6044" max="6044" width="10.140625" bestFit="1" customWidth="1"/>
    <col min="6045" max="6045" width="12.85546875" bestFit="1" customWidth="1"/>
    <col min="6046" max="6046" width="12.28515625" bestFit="1" customWidth="1"/>
    <col min="6047" max="6047" width="11.28515625" bestFit="1" customWidth="1"/>
    <col min="6048" max="6048" width="11.5703125" bestFit="1" customWidth="1"/>
    <col min="6049" max="6049" width="10.85546875" bestFit="1" customWidth="1"/>
    <col min="6050" max="6050" width="11.28515625" bestFit="1" customWidth="1"/>
    <col min="6051" max="6051" width="10.140625" bestFit="1" customWidth="1"/>
    <col min="6052" max="6052" width="13.28515625" bestFit="1" customWidth="1"/>
    <col min="6053" max="6054" width="12.7109375" bestFit="1" customWidth="1"/>
    <col min="6055" max="6055" width="11" bestFit="1" customWidth="1"/>
    <col min="6056" max="6056" width="11.28515625" bestFit="1" customWidth="1"/>
    <col min="6057" max="6057" width="11.5703125" bestFit="1" customWidth="1"/>
    <col min="6058" max="6058" width="12.28515625" bestFit="1" customWidth="1"/>
    <col min="6059" max="6059" width="15.140625" bestFit="1" customWidth="1"/>
    <col min="6060" max="6060" width="14.42578125" bestFit="1" customWidth="1"/>
    <col min="6061" max="6061" width="12.28515625" bestFit="1" customWidth="1"/>
    <col min="6062" max="6062" width="15.140625" bestFit="1" customWidth="1"/>
    <col min="6063" max="6063" width="14.42578125" bestFit="1" customWidth="1"/>
    <col min="6064" max="6064" width="12.28515625" bestFit="1" customWidth="1"/>
    <col min="6065" max="6065" width="14.42578125" bestFit="1" customWidth="1"/>
    <col min="6066" max="6066" width="11.28515625" bestFit="1" customWidth="1"/>
    <col min="6067" max="6067" width="12.28515625" bestFit="1" customWidth="1"/>
    <col min="6068" max="6068" width="13" bestFit="1" customWidth="1"/>
    <col min="6069" max="6069" width="15.140625" bestFit="1" customWidth="1"/>
    <col min="6070" max="6070" width="12.28515625" bestFit="1" customWidth="1"/>
    <col min="6071" max="6071" width="13.85546875" bestFit="1" customWidth="1"/>
    <col min="6072" max="6072" width="11.28515625" bestFit="1" customWidth="1"/>
    <col min="6073" max="6073" width="12.28515625" bestFit="1" customWidth="1"/>
    <col min="6074" max="6074" width="13.85546875" bestFit="1" customWidth="1"/>
    <col min="6075" max="6076" width="15.140625" bestFit="1" customWidth="1"/>
    <col min="6077" max="6077" width="12.28515625" bestFit="1" customWidth="1"/>
    <col min="6078" max="6078" width="5.7109375" bestFit="1" customWidth="1"/>
    <col min="6079" max="6079" width="8.5703125" bestFit="1" customWidth="1"/>
    <col min="6080" max="6080" width="5.5703125" bestFit="1" customWidth="1"/>
    <col min="6081" max="6081" width="14.42578125" bestFit="1" customWidth="1"/>
    <col min="6082" max="6082" width="11.28515625" bestFit="1" customWidth="1"/>
    <col min="6083" max="6084" width="12.28515625" bestFit="1" customWidth="1"/>
    <col min="6085" max="6085" width="11.28515625" bestFit="1" customWidth="1"/>
    <col min="6086" max="6086" width="13.85546875" bestFit="1" customWidth="1"/>
    <col min="6087" max="6087" width="12" bestFit="1" customWidth="1"/>
    <col min="6088" max="6088" width="13.85546875" bestFit="1" customWidth="1"/>
    <col min="6089" max="6090" width="14.42578125" customWidth="1"/>
    <col min="6091" max="6091" width="10.140625" bestFit="1" customWidth="1"/>
    <col min="6092" max="6092" width="12.28515625" bestFit="1" customWidth="1"/>
    <col min="6093" max="6093" width="7.42578125" bestFit="1" customWidth="1"/>
    <col min="6094" max="6094" width="8.5703125" bestFit="1" customWidth="1"/>
    <col min="6095" max="6095" width="11.5703125" bestFit="1" customWidth="1"/>
    <col min="6096" max="6096" width="13.28515625" bestFit="1" customWidth="1"/>
    <col min="6097" max="6097" width="13.28515625" customWidth="1"/>
    <col min="6098" max="6098" width="13.140625" customWidth="1"/>
    <col min="6099" max="6099" width="12.7109375" bestFit="1" customWidth="1"/>
    <col min="6100" max="6100" width="13.28515625" bestFit="1" customWidth="1"/>
    <col min="6101" max="6103" width="13.28515625" customWidth="1"/>
    <col min="6104" max="6104" width="12.140625" bestFit="1" customWidth="1"/>
    <col min="6105" max="6105" width="12.7109375" bestFit="1" customWidth="1"/>
    <col min="6106" max="6106" width="11" customWidth="1"/>
    <col min="6107" max="6107" width="16.7109375" customWidth="1"/>
    <col min="6108" max="6108" width="17" customWidth="1"/>
    <col min="6109" max="6109" width="10.42578125" bestFit="1" customWidth="1"/>
    <col min="6153" max="6153" width="3.85546875" customWidth="1"/>
    <col min="6154" max="6154" width="15.28515625" bestFit="1" customWidth="1"/>
    <col min="6155" max="6155" width="12.28515625" customWidth="1"/>
    <col min="6156" max="6156" width="16.28515625" bestFit="1" customWidth="1"/>
    <col min="6157" max="6157" width="6.42578125" bestFit="1" customWidth="1"/>
    <col min="6158" max="6158" width="9.28515625" bestFit="1" customWidth="1"/>
    <col min="6159" max="6159" width="7.5703125" bestFit="1" customWidth="1"/>
    <col min="6160" max="6160" width="13.28515625" bestFit="1" customWidth="1"/>
    <col min="6161" max="6161" width="9.28515625" bestFit="1" customWidth="1"/>
    <col min="6162" max="6162" width="11.5703125" bestFit="1" customWidth="1"/>
    <col min="6163" max="6163" width="13.28515625" bestFit="1" customWidth="1"/>
    <col min="6164" max="6164" width="7.140625" bestFit="1" customWidth="1"/>
    <col min="6165" max="6165" width="12" bestFit="1" customWidth="1"/>
    <col min="6166" max="6166" width="13.28515625" bestFit="1" customWidth="1"/>
    <col min="6167" max="6167" width="7" bestFit="1" customWidth="1"/>
    <col min="6168" max="6168" width="12.7109375" bestFit="1" customWidth="1"/>
    <col min="6169" max="6169" width="11.5703125" bestFit="1" customWidth="1"/>
    <col min="6170" max="6170" width="10.5703125" bestFit="1" customWidth="1"/>
    <col min="6171" max="6172" width="15.7109375" bestFit="1" customWidth="1"/>
    <col min="6173" max="6173" width="11.5703125" bestFit="1" customWidth="1"/>
    <col min="6174" max="6174" width="7.7109375" bestFit="1" customWidth="1"/>
    <col min="6175" max="6175" width="15.140625" bestFit="1" customWidth="1"/>
    <col min="6176" max="6176" width="11.5703125" bestFit="1" customWidth="1"/>
    <col min="6177" max="6177" width="13.28515625" bestFit="1" customWidth="1"/>
    <col min="6178" max="6178" width="10.42578125" bestFit="1" customWidth="1"/>
    <col min="6179" max="6179" width="13.28515625" bestFit="1" customWidth="1"/>
    <col min="6180" max="6180" width="12.140625" bestFit="1" customWidth="1"/>
    <col min="6181" max="6181" width="14.42578125" bestFit="1" customWidth="1"/>
    <col min="6182" max="6182" width="13.28515625" bestFit="1" customWidth="1"/>
    <col min="6183" max="6183" width="11.5703125" bestFit="1" customWidth="1"/>
    <col min="6184" max="6184" width="7.7109375" bestFit="1" customWidth="1"/>
    <col min="6185" max="6186" width="14.42578125" bestFit="1" customWidth="1"/>
    <col min="6187" max="6187" width="11.5703125" bestFit="1" customWidth="1"/>
    <col min="6188" max="6188" width="7.7109375" bestFit="1" customWidth="1"/>
    <col min="6189" max="6189" width="13.5703125" customWidth="1"/>
    <col min="6190" max="6190" width="15.28515625" customWidth="1"/>
    <col min="6191" max="6191" width="14.5703125" customWidth="1"/>
    <col min="6192" max="6192" width="13.28515625" bestFit="1" customWidth="1"/>
    <col min="6193" max="6193" width="7.7109375" bestFit="1" customWidth="1"/>
    <col min="6194" max="6194" width="12.7109375" bestFit="1" customWidth="1"/>
    <col min="6195" max="6195" width="11.7109375" bestFit="1" customWidth="1"/>
    <col min="6196" max="6196" width="11.5703125" bestFit="1" customWidth="1"/>
    <col min="6197" max="6197" width="5.28515625" bestFit="1" customWidth="1"/>
    <col min="6198" max="6198" width="13.28515625" bestFit="1" customWidth="1"/>
    <col min="6199" max="6199" width="13.5703125" bestFit="1" customWidth="1"/>
    <col min="6200" max="6200" width="10.5703125" bestFit="1" customWidth="1"/>
    <col min="6201" max="6201" width="13.28515625" bestFit="1" customWidth="1"/>
    <col min="6202" max="6202" width="11.5703125" bestFit="1" customWidth="1"/>
    <col min="6203" max="6203" width="10.5703125" bestFit="1" customWidth="1"/>
    <col min="6204" max="6204" width="16.140625" bestFit="1" customWidth="1"/>
    <col min="6205" max="6206" width="11.28515625" bestFit="1" customWidth="1"/>
    <col min="6207" max="6207" width="13.28515625" bestFit="1" customWidth="1"/>
    <col min="6208" max="6208" width="7.7109375" bestFit="1" customWidth="1"/>
    <col min="6209" max="6212" width="9.140625" hidden="1" customWidth="1"/>
    <col min="6213" max="6213" width="10.42578125" bestFit="1" customWidth="1"/>
    <col min="6214" max="6214" width="10.5703125" bestFit="1" customWidth="1"/>
    <col min="6215" max="6215" width="10.42578125" bestFit="1" customWidth="1"/>
    <col min="6216" max="6216" width="10.5703125" bestFit="1" customWidth="1"/>
    <col min="6217" max="6217" width="9.5703125" bestFit="1" customWidth="1"/>
    <col min="6218" max="6218" width="11.5703125" bestFit="1" customWidth="1"/>
    <col min="6219" max="6219" width="10.42578125" bestFit="1" customWidth="1"/>
    <col min="6220" max="6220" width="10.85546875" customWidth="1"/>
    <col min="6221" max="6222" width="9.85546875" bestFit="1" customWidth="1"/>
    <col min="6223" max="6223" width="13.5703125" bestFit="1" customWidth="1"/>
    <col min="6224" max="6224" width="7.7109375" bestFit="1" customWidth="1"/>
    <col min="6225" max="6225" width="13.28515625" bestFit="1" customWidth="1"/>
    <col min="6226" max="6226" width="11.5703125" bestFit="1" customWidth="1"/>
    <col min="6227" max="6227" width="10.42578125" bestFit="1" customWidth="1"/>
    <col min="6228" max="6228" width="7.7109375" bestFit="1" customWidth="1"/>
    <col min="6229" max="6229" width="11.5703125" bestFit="1" customWidth="1"/>
    <col min="6230" max="6230" width="10.85546875" bestFit="1" customWidth="1"/>
    <col min="6231" max="6231" width="13.28515625" bestFit="1" customWidth="1"/>
    <col min="6232" max="6232" width="10.85546875" bestFit="1" customWidth="1"/>
    <col min="6233" max="6234" width="7.5703125" bestFit="1" customWidth="1"/>
    <col min="6235" max="6236" width="10.42578125" bestFit="1" customWidth="1"/>
    <col min="6237" max="6237" width="11.5703125" bestFit="1" customWidth="1"/>
    <col min="6238" max="6238" width="5.28515625" bestFit="1" customWidth="1"/>
    <col min="6239" max="6239" width="10.28515625" bestFit="1" customWidth="1"/>
    <col min="6240" max="6240" width="10.42578125" bestFit="1" customWidth="1"/>
    <col min="6241" max="6241" width="11.5703125" bestFit="1" customWidth="1"/>
    <col min="6242" max="6242" width="5.28515625" bestFit="1" customWidth="1"/>
    <col min="6243" max="6245" width="11.5703125" bestFit="1" customWidth="1"/>
    <col min="6246" max="6246" width="5.28515625" bestFit="1" customWidth="1"/>
    <col min="6247" max="6248" width="10.42578125" bestFit="1" customWidth="1"/>
    <col min="6249" max="6249" width="11.5703125" bestFit="1" customWidth="1"/>
    <col min="6250" max="6250" width="5.28515625" bestFit="1" customWidth="1"/>
    <col min="6251" max="6251" width="14.28515625" bestFit="1" customWidth="1"/>
    <col min="6252" max="6252" width="13" bestFit="1" customWidth="1"/>
    <col min="6253" max="6253" width="11.5703125" bestFit="1" customWidth="1"/>
    <col min="6254" max="6254" width="8.85546875" bestFit="1" customWidth="1"/>
    <col min="6255" max="6255" width="14.42578125" bestFit="1" customWidth="1"/>
    <col min="6256" max="6256" width="10.42578125" bestFit="1" customWidth="1"/>
    <col min="6257" max="6257" width="12.28515625" bestFit="1" customWidth="1"/>
    <col min="6258" max="6258" width="13.85546875" bestFit="1" customWidth="1"/>
    <col min="6259" max="6259" width="11.28515625" customWidth="1"/>
    <col min="6260" max="6260" width="11.5703125" customWidth="1"/>
    <col min="6261" max="6261" width="13.42578125" bestFit="1" customWidth="1"/>
    <col min="6262" max="6262" width="10.42578125" customWidth="1"/>
    <col min="6263" max="6263" width="13.85546875" bestFit="1" customWidth="1"/>
    <col min="6264" max="6264" width="15.42578125" bestFit="1" customWidth="1"/>
    <col min="6265" max="6265" width="12.28515625" bestFit="1" customWidth="1"/>
    <col min="6266" max="6266" width="12.7109375" customWidth="1"/>
    <col min="6267" max="6267" width="10.7109375" bestFit="1" customWidth="1"/>
    <col min="6268" max="6268" width="9.85546875" customWidth="1"/>
    <col min="6269" max="6270" width="10.140625" bestFit="1" customWidth="1"/>
    <col min="6271" max="6271" width="7.5703125" bestFit="1" customWidth="1"/>
    <col min="6272" max="6272" width="9.42578125" bestFit="1" customWidth="1"/>
    <col min="6273" max="6273" width="14.5703125" bestFit="1" customWidth="1"/>
    <col min="6274" max="6274" width="14.85546875" customWidth="1"/>
    <col min="6275" max="6275" width="15.140625" bestFit="1" customWidth="1"/>
    <col min="6276" max="6276" width="12.140625" bestFit="1" customWidth="1"/>
    <col min="6277" max="6277" width="14.85546875" bestFit="1" customWidth="1"/>
    <col min="6278" max="6278" width="12.28515625" bestFit="1" customWidth="1"/>
    <col min="6279" max="6287" width="9.140625" hidden="1" customWidth="1"/>
    <col min="6288" max="6288" width="5.28515625" bestFit="1" customWidth="1"/>
    <col min="6289" max="6294" width="11.5703125" bestFit="1" customWidth="1"/>
    <col min="6295" max="6295" width="11.28515625" bestFit="1" customWidth="1"/>
    <col min="6296" max="6296" width="10.140625" bestFit="1" customWidth="1"/>
    <col min="6297" max="6297" width="11.5703125" bestFit="1" customWidth="1"/>
    <col min="6298" max="6298" width="16.140625" customWidth="1"/>
    <col min="6299" max="6299" width="13.42578125" customWidth="1"/>
    <col min="6300" max="6300" width="10.140625" bestFit="1" customWidth="1"/>
    <col min="6301" max="6301" width="12.85546875" bestFit="1" customWidth="1"/>
    <col min="6302" max="6302" width="12.28515625" bestFit="1" customWidth="1"/>
    <col min="6303" max="6303" width="11.28515625" bestFit="1" customWidth="1"/>
    <col min="6304" max="6304" width="11.5703125" bestFit="1" customWidth="1"/>
    <col min="6305" max="6305" width="10.85546875" bestFit="1" customWidth="1"/>
    <col min="6306" max="6306" width="11.28515625" bestFit="1" customWidth="1"/>
    <col min="6307" max="6307" width="10.140625" bestFit="1" customWidth="1"/>
    <col min="6308" max="6308" width="13.28515625" bestFit="1" customWidth="1"/>
    <col min="6309" max="6310" width="12.7109375" bestFit="1" customWidth="1"/>
    <col min="6311" max="6311" width="11" bestFit="1" customWidth="1"/>
    <col min="6312" max="6312" width="11.28515625" bestFit="1" customWidth="1"/>
    <col min="6313" max="6313" width="11.5703125" bestFit="1" customWidth="1"/>
    <col min="6314" max="6314" width="12.28515625" bestFit="1" customWidth="1"/>
    <col min="6315" max="6315" width="15.140625" bestFit="1" customWidth="1"/>
    <col min="6316" max="6316" width="14.42578125" bestFit="1" customWidth="1"/>
    <col min="6317" max="6317" width="12.28515625" bestFit="1" customWidth="1"/>
    <col min="6318" max="6318" width="15.140625" bestFit="1" customWidth="1"/>
    <col min="6319" max="6319" width="14.42578125" bestFit="1" customWidth="1"/>
    <col min="6320" max="6320" width="12.28515625" bestFit="1" customWidth="1"/>
    <col min="6321" max="6321" width="14.42578125" bestFit="1" customWidth="1"/>
    <col min="6322" max="6322" width="11.28515625" bestFit="1" customWidth="1"/>
    <col min="6323" max="6323" width="12.28515625" bestFit="1" customWidth="1"/>
    <col min="6324" max="6324" width="13" bestFit="1" customWidth="1"/>
    <col min="6325" max="6325" width="15.140625" bestFit="1" customWidth="1"/>
    <col min="6326" max="6326" width="12.28515625" bestFit="1" customWidth="1"/>
    <col min="6327" max="6327" width="13.85546875" bestFit="1" customWidth="1"/>
    <col min="6328" max="6328" width="11.28515625" bestFit="1" customWidth="1"/>
    <col min="6329" max="6329" width="12.28515625" bestFit="1" customWidth="1"/>
    <col min="6330" max="6330" width="13.85546875" bestFit="1" customWidth="1"/>
    <col min="6331" max="6332" width="15.140625" bestFit="1" customWidth="1"/>
    <col min="6333" max="6333" width="12.28515625" bestFit="1" customWidth="1"/>
    <col min="6334" max="6334" width="5.7109375" bestFit="1" customWidth="1"/>
    <col min="6335" max="6335" width="8.5703125" bestFit="1" customWidth="1"/>
    <col min="6336" max="6336" width="5.5703125" bestFit="1" customWidth="1"/>
    <col min="6337" max="6337" width="14.42578125" bestFit="1" customWidth="1"/>
    <col min="6338" max="6338" width="11.28515625" bestFit="1" customWidth="1"/>
    <col min="6339" max="6340" width="12.28515625" bestFit="1" customWidth="1"/>
    <col min="6341" max="6341" width="11.28515625" bestFit="1" customWidth="1"/>
    <col min="6342" max="6342" width="13.85546875" bestFit="1" customWidth="1"/>
    <col min="6343" max="6343" width="12" bestFit="1" customWidth="1"/>
    <col min="6344" max="6344" width="13.85546875" bestFit="1" customWidth="1"/>
    <col min="6345" max="6346" width="14.42578125" customWidth="1"/>
    <col min="6347" max="6347" width="10.140625" bestFit="1" customWidth="1"/>
    <col min="6348" max="6348" width="12.28515625" bestFit="1" customWidth="1"/>
    <col min="6349" max="6349" width="7.42578125" bestFit="1" customWidth="1"/>
    <col min="6350" max="6350" width="8.5703125" bestFit="1" customWidth="1"/>
    <col min="6351" max="6351" width="11.5703125" bestFit="1" customWidth="1"/>
    <col min="6352" max="6352" width="13.28515625" bestFit="1" customWidth="1"/>
    <col min="6353" max="6353" width="13.28515625" customWidth="1"/>
    <col min="6354" max="6354" width="13.140625" customWidth="1"/>
    <col min="6355" max="6355" width="12.7109375" bestFit="1" customWidth="1"/>
    <col min="6356" max="6356" width="13.28515625" bestFit="1" customWidth="1"/>
    <col min="6357" max="6359" width="13.28515625" customWidth="1"/>
    <col min="6360" max="6360" width="12.140625" bestFit="1" customWidth="1"/>
    <col min="6361" max="6361" width="12.7109375" bestFit="1" customWidth="1"/>
    <col min="6362" max="6362" width="11" customWidth="1"/>
    <col min="6363" max="6363" width="16.7109375" customWidth="1"/>
    <col min="6364" max="6364" width="17" customWidth="1"/>
    <col min="6365" max="6365" width="10.42578125" bestFit="1" customWidth="1"/>
    <col min="6409" max="6409" width="3.85546875" customWidth="1"/>
    <col min="6410" max="6410" width="15.28515625" bestFit="1" customWidth="1"/>
    <col min="6411" max="6411" width="12.28515625" customWidth="1"/>
    <col min="6412" max="6412" width="16.28515625" bestFit="1" customWidth="1"/>
    <col min="6413" max="6413" width="6.42578125" bestFit="1" customWidth="1"/>
    <col min="6414" max="6414" width="9.28515625" bestFit="1" customWidth="1"/>
    <col min="6415" max="6415" width="7.5703125" bestFit="1" customWidth="1"/>
    <col min="6416" max="6416" width="13.28515625" bestFit="1" customWidth="1"/>
    <col min="6417" max="6417" width="9.28515625" bestFit="1" customWidth="1"/>
    <col min="6418" max="6418" width="11.5703125" bestFit="1" customWidth="1"/>
    <col min="6419" max="6419" width="13.28515625" bestFit="1" customWidth="1"/>
    <col min="6420" max="6420" width="7.140625" bestFit="1" customWidth="1"/>
    <col min="6421" max="6421" width="12" bestFit="1" customWidth="1"/>
    <col min="6422" max="6422" width="13.28515625" bestFit="1" customWidth="1"/>
    <col min="6423" max="6423" width="7" bestFit="1" customWidth="1"/>
    <col min="6424" max="6424" width="12.7109375" bestFit="1" customWidth="1"/>
    <col min="6425" max="6425" width="11.5703125" bestFit="1" customWidth="1"/>
    <col min="6426" max="6426" width="10.5703125" bestFit="1" customWidth="1"/>
    <col min="6427" max="6428" width="15.7109375" bestFit="1" customWidth="1"/>
    <col min="6429" max="6429" width="11.5703125" bestFit="1" customWidth="1"/>
    <col min="6430" max="6430" width="7.7109375" bestFit="1" customWidth="1"/>
    <col min="6431" max="6431" width="15.140625" bestFit="1" customWidth="1"/>
    <col min="6432" max="6432" width="11.5703125" bestFit="1" customWidth="1"/>
    <col min="6433" max="6433" width="13.28515625" bestFit="1" customWidth="1"/>
    <col min="6434" max="6434" width="10.42578125" bestFit="1" customWidth="1"/>
    <col min="6435" max="6435" width="13.28515625" bestFit="1" customWidth="1"/>
    <col min="6436" max="6436" width="12.140625" bestFit="1" customWidth="1"/>
    <col min="6437" max="6437" width="14.42578125" bestFit="1" customWidth="1"/>
    <col min="6438" max="6438" width="13.28515625" bestFit="1" customWidth="1"/>
    <col min="6439" max="6439" width="11.5703125" bestFit="1" customWidth="1"/>
    <col min="6440" max="6440" width="7.7109375" bestFit="1" customWidth="1"/>
    <col min="6441" max="6442" width="14.42578125" bestFit="1" customWidth="1"/>
    <col min="6443" max="6443" width="11.5703125" bestFit="1" customWidth="1"/>
    <col min="6444" max="6444" width="7.7109375" bestFit="1" customWidth="1"/>
    <col min="6445" max="6445" width="13.5703125" customWidth="1"/>
    <col min="6446" max="6446" width="15.28515625" customWidth="1"/>
    <col min="6447" max="6447" width="14.5703125" customWidth="1"/>
    <col min="6448" max="6448" width="13.28515625" bestFit="1" customWidth="1"/>
    <col min="6449" max="6449" width="7.7109375" bestFit="1" customWidth="1"/>
    <col min="6450" max="6450" width="12.7109375" bestFit="1" customWidth="1"/>
    <col min="6451" max="6451" width="11.7109375" bestFit="1" customWidth="1"/>
    <col min="6452" max="6452" width="11.5703125" bestFit="1" customWidth="1"/>
    <col min="6453" max="6453" width="5.28515625" bestFit="1" customWidth="1"/>
    <col min="6454" max="6454" width="13.28515625" bestFit="1" customWidth="1"/>
    <col min="6455" max="6455" width="13.5703125" bestFit="1" customWidth="1"/>
    <col min="6456" max="6456" width="10.5703125" bestFit="1" customWidth="1"/>
    <col min="6457" max="6457" width="13.28515625" bestFit="1" customWidth="1"/>
    <col min="6458" max="6458" width="11.5703125" bestFit="1" customWidth="1"/>
    <col min="6459" max="6459" width="10.5703125" bestFit="1" customWidth="1"/>
    <col min="6460" max="6460" width="16.140625" bestFit="1" customWidth="1"/>
    <col min="6461" max="6462" width="11.28515625" bestFit="1" customWidth="1"/>
    <col min="6463" max="6463" width="13.28515625" bestFit="1" customWidth="1"/>
    <col min="6464" max="6464" width="7.7109375" bestFit="1" customWidth="1"/>
    <col min="6465" max="6468" width="9.140625" hidden="1" customWidth="1"/>
    <col min="6469" max="6469" width="10.42578125" bestFit="1" customWidth="1"/>
    <col min="6470" max="6470" width="10.5703125" bestFit="1" customWidth="1"/>
    <col min="6471" max="6471" width="10.42578125" bestFit="1" customWidth="1"/>
    <col min="6472" max="6472" width="10.5703125" bestFit="1" customWidth="1"/>
    <col min="6473" max="6473" width="9.5703125" bestFit="1" customWidth="1"/>
    <col min="6474" max="6474" width="11.5703125" bestFit="1" customWidth="1"/>
    <col min="6475" max="6475" width="10.42578125" bestFit="1" customWidth="1"/>
    <col min="6476" max="6476" width="10.85546875" customWidth="1"/>
    <col min="6477" max="6478" width="9.85546875" bestFit="1" customWidth="1"/>
    <col min="6479" max="6479" width="13.5703125" bestFit="1" customWidth="1"/>
    <col min="6480" max="6480" width="7.7109375" bestFit="1" customWidth="1"/>
    <col min="6481" max="6481" width="13.28515625" bestFit="1" customWidth="1"/>
    <col min="6482" max="6482" width="11.5703125" bestFit="1" customWidth="1"/>
    <col min="6483" max="6483" width="10.42578125" bestFit="1" customWidth="1"/>
    <col min="6484" max="6484" width="7.7109375" bestFit="1" customWidth="1"/>
    <col min="6485" max="6485" width="11.5703125" bestFit="1" customWidth="1"/>
    <col min="6486" max="6486" width="10.85546875" bestFit="1" customWidth="1"/>
    <col min="6487" max="6487" width="13.28515625" bestFit="1" customWidth="1"/>
    <col min="6488" max="6488" width="10.85546875" bestFit="1" customWidth="1"/>
    <col min="6489" max="6490" width="7.5703125" bestFit="1" customWidth="1"/>
    <col min="6491" max="6492" width="10.42578125" bestFit="1" customWidth="1"/>
    <col min="6493" max="6493" width="11.5703125" bestFit="1" customWidth="1"/>
    <col min="6494" max="6494" width="5.28515625" bestFit="1" customWidth="1"/>
    <col min="6495" max="6495" width="10.28515625" bestFit="1" customWidth="1"/>
    <col min="6496" max="6496" width="10.42578125" bestFit="1" customWidth="1"/>
    <col min="6497" max="6497" width="11.5703125" bestFit="1" customWidth="1"/>
    <col min="6498" max="6498" width="5.28515625" bestFit="1" customWidth="1"/>
    <col min="6499" max="6501" width="11.5703125" bestFit="1" customWidth="1"/>
    <col min="6502" max="6502" width="5.28515625" bestFit="1" customWidth="1"/>
    <col min="6503" max="6504" width="10.42578125" bestFit="1" customWidth="1"/>
    <col min="6505" max="6505" width="11.5703125" bestFit="1" customWidth="1"/>
    <col min="6506" max="6506" width="5.28515625" bestFit="1" customWidth="1"/>
    <col min="6507" max="6507" width="14.28515625" bestFit="1" customWidth="1"/>
    <col min="6508" max="6508" width="13" bestFit="1" customWidth="1"/>
    <col min="6509" max="6509" width="11.5703125" bestFit="1" customWidth="1"/>
    <col min="6510" max="6510" width="8.85546875" bestFit="1" customWidth="1"/>
    <col min="6511" max="6511" width="14.42578125" bestFit="1" customWidth="1"/>
    <col min="6512" max="6512" width="10.42578125" bestFit="1" customWidth="1"/>
    <col min="6513" max="6513" width="12.28515625" bestFit="1" customWidth="1"/>
    <col min="6514" max="6514" width="13.85546875" bestFit="1" customWidth="1"/>
    <col min="6515" max="6515" width="11.28515625" customWidth="1"/>
    <col min="6516" max="6516" width="11.5703125" customWidth="1"/>
    <col min="6517" max="6517" width="13.42578125" bestFit="1" customWidth="1"/>
    <col min="6518" max="6518" width="10.42578125" customWidth="1"/>
    <col min="6519" max="6519" width="13.85546875" bestFit="1" customWidth="1"/>
    <col min="6520" max="6520" width="15.42578125" bestFit="1" customWidth="1"/>
    <col min="6521" max="6521" width="12.28515625" bestFit="1" customWidth="1"/>
    <col min="6522" max="6522" width="12.7109375" customWidth="1"/>
    <col min="6523" max="6523" width="10.7109375" bestFit="1" customWidth="1"/>
    <col min="6524" max="6524" width="9.85546875" customWidth="1"/>
    <col min="6525" max="6526" width="10.140625" bestFit="1" customWidth="1"/>
    <col min="6527" max="6527" width="7.5703125" bestFit="1" customWidth="1"/>
    <col min="6528" max="6528" width="9.42578125" bestFit="1" customWidth="1"/>
    <col min="6529" max="6529" width="14.5703125" bestFit="1" customWidth="1"/>
    <col min="6530" max="6530" width="14.85546875" customWidth="1"/>
    <col min="6531" max="6531" width="15.140625" bestFit="1" customWidth="1"/>
    <col min="6532" max="6532" width="12.140625" bestFit="1" customWidth="1"/>
    <col min="6533" max="6533" width="14.85546875" bestFit="1" customWidth="1"/>
    <col min="6534" max="6534" width="12.28515625" bestFit="1" customWidth="1"/>
    <col min="6535" max="6543" width="9.140625" hidden="1" customWidth="1"/>
    <col min="6544" max="6544" width="5.28515625" bestFit="1" customWidth="1"/>
    <col min="6545" max="6550" width="11.5703125" bestFit="1" customWidth="1"/>
    <col min="6551" max="6551" width="11.28515625" bestFit="1" customWidth="1"/>
    <col min="6552" max="6552" width="10.140625" bestFit="1" customWidth="1"/>
    <col min="6553" max="6553" width="11.5703125" bestFit="1" customWidth="1"/>
    <col min="6554" max="6554" width="16.140625" customWidth="1"/>
    <col min="6555" max="6555" width="13.42578125" customWidth="1"/>
    <col min="6556" max="6556" width="10.140625" bestFit="1" customWidth="1"/>
    <col min="6557" max="6557" width="12.85546875" bestFit="1" customWidth="1"/>
    <col min="6558" max="6558" width="12.28515625" bestFit="1" customWidth="1"/>
    <col min="6559" max="6559" width="11.28515625" bestFit="1" customWidth="1"/>
    <col min="6560" max="6560" width="11.5703125" bestFit="1" customWidth="1"/>
    <col min="6561" max="6561" width="10.85546875" bestFit="1" customWidth="1"/>
    <col min="6562" max="6562" width="11.28515625" bestFit="1" customWidth="1"/>
    <col min="6563" max="6563" width="10.140625" bestFit="1" customWidth="1"/>
    <col min="6564" max="6564" width="13.28515625" bestFit="1" customWidth="1"/>
    <col min="6565" max="6566" width="12.7109375" bestFit="1" customWidth="1"/>
    <col min="6567" max="6567" width="11" bestFit="1" customWidth="1"/>
    <col min="6568" max="6568" width="11.28515625" bestFit="1" customWidth="1"/>
    <col min="6569" max="6569" width="11.5703125" bestFit="1" customWidth="1"/>
    <col min="6570" max="6570" width="12.28515625" bestFit="1" customWidth="1"/>
    <col min="6571" max="6571" width="15.140625" bestFit="1" customWidth="1"/>
    <col min="6572" max="6572" width="14.42578125" bestFit="1" customWidth="1"/>
    <col min="6573" max="6573" width="12.28515625" bestFit="1" customWidth="1"/>
    <col min="6574" max="6574" width="15.140625" bestFit="1" customWidth="1"/>
    <col min="6575" max="6575" width="14.42578125" bestFit="1" customWidth="1"/>
    <col min="6576" max="6576" width="12.28515625" bestFit="1" customWidth="1"/>
    <col min="6577" max="6577" width="14.42578125" bestFit="1" customWidth="1"/>
    <col min="6578" max="6578" width="11.28515625" bestFit="1" customWidth="1"/>
    <col min="6579" max="6579" width="12.28515625" bestFit="1" customWidth="1"/>
    <col min="6580" max="6580" width="13" bestFit="1" customWidth="1"/>
    <col min="6581" max="6581" width="15.140625" bestFit="1" customWidth="1"/>
    <col min="6582" max="6582" width="12.28515625" bestFit="1" customWidth="1"/>
    <col min="6583" max="6583" width="13.85546875" bestFit="1" customWidth="1"/>
    <col min="6584" max="6584" width="11.28515625" bestFit="1" customWidth="1"/>
    <col min="6585" max="6585" width="12.28515625" bestFit="1" customWidth="1"/>
    <col min="6586" max="6586" width="13.85546875" bestFit="1" customWidth="1"/>
    <col min="6587" max="6588" width="15.140625" bestFit="1" customWidth="1"/>
    <col min="6589" max="6589" width="12.28515625" bestFit="1" customWidth="1"/>
    <col min="6590" max="6590" width="5.7109375" bestFit="1" customWidth="1"/>
    <col min="6591" max="6591" width="8.5703125" bestFit="1" customWidth="1"/>
    <col min="6592" max="6592" width="5.5703125" bestFit="1" customWidth="1"/>
    <col min="6593" max="6593" width="14.42578125" bestFit="1" customWidth="1"/>
    <col min="6594" max="6594" width="11.28515625" bestFit="1" customWidth="1"/>
    <col min="6595" max="6596" width="12.28515625" bestFit="1" customWidth="1"/>
    <col min="6597" max="6597" width="11.28515625" bestFit="1" customWidth="1"/>
    <col min="6598" max="6598" width="13.85546875" bestFit="1" customWidth="1"/>
    <col min="6599" max="6599" width="12" bestFit="1" customWidth="1"/>
    <col min="6600" max="6600" width="13.85546875" bestFit="1" customWidth="1"/>
    <col min="6601" max="6602" width="14.42578125" customWidth="1"/>
    <col min="6603" max="6603" width="10.140625" bestFit="1" customWidth="1"/>
    <col min="6604" max="6604" width="12.28515625" bestFit="1" customWidth="1"/>
    <col min="6605" max="6605" width="7.42578125" bestFit="1" customWidth="1"/>
    <col min="6606" max="6606" width="8.5703125" bestFit="1" customWidth="1"/>
    <col min="6607" max="6607" width="11.5703125" bestFit="1" customWidth="1"/>
    <col min="6608" max="6608" width="13.28515625" bestFit="1" customWidth="1"/>
    <col min="6609" max="6609" width="13.28515625" customWidth="1"/>
    <col min="6610" max="6610" width="13.140625" customWidth="1"/>
    <col min="6611" max="6611" width="12.7109375" bestFit="1" customWidth="1"/>
    <col min="6612" max="6612" width="13.28515625" bestFit="1" customWidth="1"/>
    <col min="6613" max="6615" width="13.28515625" customWidth="1"/>
    <col min="6616" max="6616" width="12.140625" bestFit="1" customWidth="1"/>
    <col min="6617" max="6617" width="12.7109375" bestFit="1" customWidth="1"/>
    <col min="6618" max="6618" width="11" customWidth="1"/>
    <col min="6619" max="6619" width="16.7109375" customWidth="1"/>
    <col min="6620" max="6620" width="17" customWidth="1"/>
    <col min="6621" max="6621" width="10.42578125" bestFit="1" customWidth="1"/>
    <col min="6665" max="6665" width="3.85546875" customWidth="1"/>
    <col min="6666" max="6666" width="15.28515625" bestFit="1" customWidth="1"/>
    <col min="6667" max="6667" width="12.28515625" customWidth="1"/>
    <col min="6668" max="6668" width="16.28515625" bestFit="1" customWidth="1"/>
    <col min="6669" max="6669" width="6.42578125" bestFit="1" customWidth="1"/>
    <col min="6670" max="6670" width="9.28515625" bestFit="1" customWidth="1"/>
    <col min="6671" max="6671" width="7.5703125" bestFit="1" customWidth="1"/>
    <col min="6672" max="6672" width="13.28515625" bestFit="1" customWidth="1"/>
    <col min="6673" max="6673" width="9.28515625" bestFit="1" customWidth="1"/>
    <col min="6674" max="6674" width="11.5703125" bestFit="1" customWidth="1"/>
    <col min="6675" max="6675" width="13.28515625" bestFit="1" customWidth="1"/>
    <col min="6676" max="6676" width="7.140625" bestFit="1" customWidth="1"/>
    <col min="6677" max="6677" width="12" bestFit="1" customWidth="1"/>
    <col min="6678" max="6678" width="13.28515625" bestFit="1" customWidth="1"/>
    <col min="6679" max="6679" width="7" bestFit="1" customWidth="1"/>
    <col min="6680" max="6680" width="12.7109375" bestFit="1" customWidth="1"/>
    <col min="6681" max="6681" width="11.5703125" bestFit="1" customWidth="1"/>
    <col min="6682" max="6682" width="10.5703125" bestFit="1" customWidth="1"/>
    <col min="6683" max="6684" width="15.7109375" bestFit="1" customWidth="1"/>
    <col min="6685" max="6685" width="11.5703125" bestFit="1" customWidth="1"/>
    <col min="6686" max="6686" width="7.7109375" bestFit="1" customWidth="1"/>
    <col min="6687" max="6687" width="15.140625" bestFit="1" customWidth="1"/>
    <col min="6688" max="6688" width="11.5703125" bestFit="1" customWidth="1"/>
    <col min="6689" max="6689" width="13.28515625" bestFit="1" customWidth="1"/>
    <col min="6690" max="6690" width="10.42578125" bestFit="1" customWidth="1"/>
    <col min="6691" max="6691" width="13.28515625" bestFit="1" customWidth="1"/>
    <col min="6692" max="6692" width="12.140625" bestFit="1" customWidth="1"/>
    <col min="6693" max="6693" width="14.42578125" bestFit="1" customWidth="1"/>
    <col min="6694" max="6694" width="13.28515625" bestFit="1" customWidth="1"/>
    <col min="6695" max="6695" width="11.5703125" bestFit="1" customWidth="1"/>
    <col min="6696" max="6696" width="7.7109375" bestFit="1" customWidth="1"/>
    <col min="6697" max="6698" width="14.42578125" bestFit="1" customWidth="1"/>
    <col min="6699" max="6699" width="11.5703125" bestFit="1" customWidth="1"/>
    <col min="6700" max="6700" width="7.7109375" bestFit="1" customWidth="1"/>
    <col min="6701" max="6701" width="13.5703125" customWidth="1"/>
    <col min="6702" max="6702" width="15.28515625" customWidth="1"/>
    <col min="6703" max="6703" width="14.5703125" customWidth="1"/>
    <col min="6704" max="6704" width="13.28515625" bestFit="1" customWidth="1"/>
    <col min="6705" max="6705" width="7.7109375" bestFit="1" customWidth="1"/>
    <col min="6706" max="6706" width="12.7109375" bestFit="1" customWidth="1"/>
    <col min="6707" max="6707" width="11.7109375" bestFit="1" customWidth="1"/>
    <col min="6708" max="6708" width="11.5703125" bestFit="1" customWidth="1"/>
    <col min="6709" max="6709" width="5.28515625" bestFit="1" customWidth="1"/>
    <col min="6710" max="6710" width="13.28515625" bestFit="1" customWidth="1"/>
    <col min="6711" max="6711" width="13.5703125" bestFit="1" customWidth="1"/>
    <col min="6712" max="6712" width="10.5703125" bestFit="1" customWidth="1"/>
    <col min="6713" max="6713" width="13.28515625" bestFit="1" customWidth="1"/>
    <col min="6714" max="6714" width="11.5703125" bestFit="1" customWidth="1"/>
    <col min="6715" max="6715" width="10.5703125" bestFit="1" customWidth="1"/>
    <col min="6716" max="6716" width="16.140625" bestFit="1" customWidth="1"/>
    <col min="6717" max="6718" width="11.28515625" bestFit="1" customWidth="1"/>
    <col min="6719" max="6719" width="13.28515625" bestFit="1" customWidth="1"/>
    <col min="6720" max="6720" width="7.7109375" bestFit="1" customWidth="1"/>
    <col min="6721" max="6724" width="9.140625" hidden="1" customWidth="1"/>
    <col min="6725" max="6725" width="10.42578125" bestFit="1" customWidth="1"/>
    <col min="6726" max="6726" width="10.5703125" bestFit="1" customWidth="1"/>
    <col min="6727" max="6727" width="10.42578125" bestFit="1" customWidth="1"/>
    <col min="6728" max="6728" width="10.5703125" bestFit="1" customWidth="1"/>
    <col min="6729" max="6729" width="9.5703125" bestFit="1" customWidth="1"/>
    <col min="6730" max="6730" width="11.5703125" bestFit="1" customWidth="1"/>
    <col min="6731" max="6731" width="10.42578125" bestFit="1" customWidth="1"/>
    <col min="6732" max="6732" width="10.85546875" customWidth="1"/>
    <col min="6733" max="6734" width="9.85546875" bestFit="1" customWidth="1"/>
    <col min="6735" max="6735" width="13.5703125" bestFit="1" customWidth="1"/>
    <col min="6736" max="6736" width="7.7109375" bestFit="1" customWidth="1"/>
    <col min="6737" max="6737" width="13.28515625" bestFit="1" customWidth="1"/>
    <col min="6738" max="6738" width="11.5703125" bestFit="1" customWidth="1"/>
    <col min="6739" max="6739" width="10.42578125" bestFit="1" customWidth="1"/>
    <col min="6740" max="6740" width="7.7109375" bestFit="1" customWidth="1"/>
    <col min="6741" max="6741" width="11.5703125" bestFit="1" customWidth="1"/>
    <col min="6742" max="6742" width="10.85546875" bestFit="1" customWidth="1"/>
    <col min="6743" max="6743" width="13.28515625" bestFit="1" customWidth="1"/>
    <col min="6744" max="6744" width="10.85546875" bestFit="1" customWidth="1"/>
    <col min="6745" max="6746" width="7.5703125" bestFit="1" customWidth="1"/>
    <col min="6747" max="6748" width="10.42578125" bestFit="1" customWidth="1"/>
    <col min="6749" max="6749" width="11.5703125" bestFit="1" customWidth="1"/>
    <col min="6750" max="6750" width="5.28515625" bestFit="1" customWidth="1"/>
    <col min="6751" max="6751" width="10.28515625" bestFit="1" customWidth="1"/>
    <col min="6752" max="6752" width="10.42578125" bestFit="1" customWidth="1"/>
    <col min="6753" max="6753" width="11.5703125" bestFit="1" customWidth="1"/>
    <col min="6754" max="6754" width="5.28515625" bestFit="1" customWidth="1"/>
    <col min="6755" max="6757" width="11.5703125" bestFit="1" customWidth="1"/>
    <col min="6758" max="6758" width="5.28515625" bestFit="1" customWidth="1"/>
    <col min="6759" max="6760" width="10.42578125" bestFit="1" customWidth="1"/>
    <col min="6761" max="6761" width="11.5703125" bestFit="1" customWidth="1"/>
    <col min="6762" max="6762" width="5.28515625" bestFit="1" customWidth="1"/>
    <col min="6763" max="6763" width="14.28515625" bestFit="1" customWidth="1"/>
    <col min="6764" max="6764" width="13" bestFit="1" customWidth="1"/>
    <col min="6765" max="6765" width="11.5703125" bestFit="1" customWidth="1"/>
    <col min="6766" max="6766" width="8.85546875" bestFit="1" customWidth="1"/>
    <col min="6767" max="6767" width="14.42578125" bestFit="1" customWidth="1"/>
    <col min="6768" max="6768" width="10.42578125" bestFit="1" customWidth="1"/>
    <col min="6769" max="6769" width="12.28515625" bestFit="1" customWidth="1"/>
    <col min="6770" max="6770" width="13.85546875" bestFit="1" customWidth="1"/>
    <col min="6771" max="6771" width="11.28515625" customWidth="1"/>
    <col min="6772" max="6772" width="11.5703125" customWidth="1"/>
    <col min="6773" max="6773" width="13.42578125" bestFit="1" customWidth="1"/>
    <col min="6774" max="6774" width="10.42578125" customWidth="1"/>
    <col min="6775" max="6775" width="13.85546875" bestFit="1" customWidth="1"/>
    <col min="6776" max="6776" width="15.42578125" bestFit="1" customWidth="1"/>
    <col min="6777" max="6777" width="12.28515625" bestFit="1" customWidth="1"/>
    <col min="6778" max="6778" width="12.7109375" customWidth="1"/>
    <col min="6779" max="6779" width="10.7109375" bestFit="1" customWidth="1"/>
    <col min="6780" max="6780" width="9.85546875" customWidth="1"/>
    <col min="6781" max="6782" width="10.140625" bestFit="1" customWidth="1"/>
    <col min="6783" max="6783" width="7.5703125" bestFit="1" customWidth="1"/>
    <col min="6784" max="6784" width="9.42578125" bestFit="1" customWidth="1"/>
    <col min="6785" max="6785" width="14.5703125" bestFit="1" customWidth="1"/>
    <col min="6786" max="6786" width="14.85546875" customWidth="1"/>
    <col min="6787" max="6787" width="15.140625" bestFit="1" customWidth="1"/>
    <col min="6788" max="6788" width="12.140625" bestFit="1" customWidth="1"/>
    <col min="6789" max="6789" width="14.85546875" bestFit="1" customWidth="1"/>
    <col min="6790" max="6790" width="12.28515625" bestFit="1" customWidth="1"/>
    <col min="6791" max="6799" width="9.140625" hidden="1" customWidth="1"/>
    <col min="6800" max="6800" width="5.28515625" bestFit="1" customWidth="1"/>
    <col min="6801" max="6806" width="11.5703125" bestFit="1" customWidth="1"/>
    <col min="6807" max="6807" width="11.28515625" bestFit="1" customWidth="1"/>
    <col min="6808" max="6808" width="10.140625" bestFit="1" customWidth="1"/>
    <col min="6809" max="6809" width="11.5703125" bestFit="1" customWidth="1"/>
    <col min="6810" max="6810" width="16.140625" customWidth="1"/>
    <col min="6811" max="6811" width="13.42578125" customWidth="1"/>
    <col min="6812" max="6812" width="10.140625" bestFit="1" customWidth="1"/>
    <col min="6813" max="6813" width="12.85546875" bestFit="1" customWidth="1"/>
    <col min="6814" max="6814" width="12.28515625" bestFit="1" customWidth="1"/>
    <col min="6815" max="6815" width="11.28515625" bestFit="1" customWidth="1"/>
    <col min="6816" max="6816" width="11.5703125" bestFit="1" customWidth="1"/>
    <col min="6817" max="6817" width="10.85546875" bestFit="1" customWidth="1"/>
    <col min="6818" max="6818" width="11.28515625" bestFit="1" customWidth="1"/>
    <col min="6819" max="6819" width="10.140625" bestFit="1" customWidth="1"/>
    <col min="6820" max="6820" width="13.28515625" bestFit="1" customWidth="1"/>
    <col min="6821" max="6822" width="12.7109375" bestFit="1" customWidth="1"/>
    <col min="6823" max="6823" width="11" bestFit="1" customWidth="1"/>
    <col min="6824" max="6824" width="11.28515625" bestFit="1" customWidth="1"/>
    <col min="6825" max="6825" width="11.5703125" bestFit="1" customWidth="1"/>
    <col min="6826" max="6826" width="12.28515625" bestFit="1" customWidth="1"/>
    <col min="6827" max="6827" width="15.140625" bestFit="1" customWidth="1"/>
    <col min="6828" max="6828" width="14.42578125" bestFit="1" customWidth="1"/>
    <col min="6829" max="6829" width="12.28515625" bestFit="1" customWidth="1"/>
    <col min="6830" max="6830" width="15.140625" bestFit="1" customWidth="1"/>
    <col min="6831" max="6831" width="14.42578125" bestFit="1" customWidth="1"/>
    <col min="6832" max="6832" width="12.28515625" bestFit="1" customWidth="1"/>
    <col min="6833" max="6833" width="14.42578125" bestFit="1" customWidth="1"/>
    <col min="6834" max="6834" width="11.28515625" bestFit="1" customWidth="1"/>
    <col min="6835" max="6835" width="12.28515625" bestFit="1" customWidth="1"/>
    <col min="6836" max="6836" width="13" bestFit="1" customWidth="1"/>
    <col min="6837" max="6837" width="15.140625" bestFit="1" customWidth="1"/>
    <col min="6838" max="6838" width="12.28515625" bestFit="1" customWidth="1"/>
    <col min="6839" max="6839" width="13.85546875" bestFit="1" customWidth="1"/>
    <col min="6840" max="6840" width="11.28515625" bestFit="1" customWidth="1"/>
    <col min="6841" max="6841" width="12.28515625" bestFit="1" customWidth="1"/>
    <col min="6842" max="6842" width="13.85546875" bestFit="1" customWidth="1"/>
    <col min="6843" max="6844" width="15.140625" bestFit="1" customWidth="1"/>
    <col min="6845" max="6845" width="12.28515625" bestFit="1" customWidth="1"/>
    <col min="6846" max="6846" width="5.7109375" bestFit="1" customWidth="1"/>
    <col min="6847" max="6847" width="8.5703125" bestFit="1" customWidth="1"/>
    <col min="6848" max="6848" width="5.5703125" bestFit="1" customWidth="1"/>
    <col min="6849" max="6849" width="14.42578125" bestFit="1" customWidth="1"/>
    <col min="6850" max="6850" width="11.28515625" bestFit="1" customWidth="1"/>
    <col min="6851" max="6852" width="12.28515625" bestFit="1" customWidth="1"/>
    <col min="6853" max="6853" width="11.28515625" bestFit="1" customWidth="1"/>
    <col min="6854" max="6854" width="13.85546875" bestFit="1" customWidth="1"/>
    <col min="6855" max="6855" width="12" bestFit="1" customWidth="1"/>
    <col min="6856" max="6856" width="13.85546875" bestFit="1" customWidth="1"/>
    <col min="6857" max="6858" width="14.42578125" customWidth="1"/>
    <col min="6859" max="6859" width="10.140625" bestFit="1" customWidth="1"/>
    <col min="6860" max="6860" width="12.28515625" bestFit="1" customWidth="1"/>
    <col min="6861" max="6861" width="7.42578125" bestFit="1" customWidth="1"/>
    <col min="6862" max="6862" width="8.5703125" bestFit="1" customWidth="1"/>
    <col min="6863" max="6863" width="11.5703125" bestFit="1" customWidth="1"/>
    <col min="6864" max="6864" width="13.28515625" bestFit="1" customWidth="1"/>
    <col min="6865" max="6865" width="13.28515625" customWidth="1"/>
    <col min="6866" max="6866" width="13.140625" customWidth="1"/>
    <col min="6867" max="6867" width="12.7109375" bestFit="1" customWidth="1"/>
    <col min="6868" max="6868" width="13.28515625" bestFit="1" customWidth="1"/>
    <col min="6869" max="6871" width="13.28515625" customWidth="1"/>
    <col min="6872" max="6872" width="12.140625" bestFit="1" customWidth="1"/>
    <col min="6873" max="6873" width="12.7109375" bestFit="1" customWidth="1"/>
    <col min="6874" max="6874" width="11" customWidth="1"/>
    <col min="6875" max="6875" width="16.7109375" customWidth="1"/>
    <col min="6876" max="6876" width="17" customWidth="1"/>
    <col min="6877" max="6877" width="10.42578125" bestFit="1" customWidth="1"/>
    <col min="6921" max="6921" width="3.85546875" customWidth="1"/>
    <col min="6922" max="6922" width="15.28515625" bestFit="1" customWidth="1"/>
    <col min="6923" max="6923" width="12.28515625" customWidth="1"/>
    <col min="6924" max="6924" width="16.28515625" bestFit="1" customWidth="1"/>
    <col min="6925" max="6925" width="6.42578125" bestFit="1" customWidth="1"/>
    <col min="6926" max="6926" width="9.28515625" bestFit="1" customWidth="1"/>
    <col min="6927" max="6927" width="7.5703125" bestFit="1" customWidth="1"/>
    <col min="6928" max="6928" width="13.28515625" bestFit="1" customWidth="1"/>
    <col min="6929" max="6929" width="9.28515625" bestFit="1" customWidth="1"/>
    <col min="6930" max="6930" width="11.5703125" bestFit="1" customWidth="1"/>
    <col min="6931" max="6931" width="13.28515625" bestFit="1" customWidth="1"/>
    <col min="6932" max="6932" width="7.140625" bestFit="1" customWidth="1"/>
    <col min="6933" max="6933" width="12" bestFit="1" customWidth="1"/>
    <col min="6934" max="6934" width="13.28515625" bestFit="1" customWidth="1"/>
    <col min="6935" max="6935" width="7" bestFit="1" customWidth="1"/>
    <col min="6936" max="6936" width="12.7109375" bestFit="1" customWidth="1"/>
    <col min="6937" max="6937" width="11.5703125" bestFit="1" customWidth="1"/>
    <col min="6938" max="6938" width="10.5703125" bestFit="1" customWidth="1"/>
    <col min="6939" max="6940" width="15.7109375" bestFit="1" customWidth="1"/>
    <col min="6941" max="6941" width="11.5703125" bestFit="1" customWidth="1"/>
    <col min="6942" max="6942" width="7.7109375" bestFit="1" customWidth="1"/>
    <col min="6943" max="6943" width="15.140625" bestFit="1" customWidth="1"/>
    <col min="6944" max="6944" width="11.5703125" bestFit="1" customWidth="1"/>
    <col min="6945" max="6945" width="13.28515625" bestFit="1" customWidth="1"/>
    <col min="6946" max="6946" width="10.42578125" bestFit="1" customWidth="1"/>
    <col min="6947" max="6947" width="13.28515625" bestFit="1" customWidth="1"/>
    <col min="6948" max="6948" width="12.140625" bestFit="1" customWidth="1"/>
    <col min="6949" max="6949" width="14.42578125" bestFit="1" customWidth="1"/>
    <col min="6950" max="6950" width="13.28515625" bestFit="1" customWidth="1"/>
    <col min="6951" max="6951" width="11.5703125" bestFit="1" customWidth="1"/>
    <col min="6952" max="6952" width="7.7109375" bestFit="1" customWidth="1"/>
    <col min="6953" max="6954" width="14.42578125" bestFit="1" customWidth="1"/>
    <col min="6955" max="6955" width="11.5703125" bestFit="1" customWidth="1"/>
    <col min="6956" max="6956" width="7.7109375" bestFit="1" customWidth="1"/>
    <col min="6957" max="6957" width="13.5703125" customWidth="1"/>
    <col min="6958" max="6958" width="15.28515625" customWidth="1"/>
    <col min="6959" max="6959" width="14.5703125" customWidth="1"/>
    <col min="6960" max="6960" width="13.28515625" bestFit="1" customWidth="1"/>
    <col min="6961" max="6961" width="7.7109375" bestFit="1" customWidth="1"/>
    <col min="6962" max="6962" width="12.7109375" bestFit="1" customWidth="1"/>
    <col min="6963" max="6963" width="11.7109375" bestFit="1" customWidth="1"/>
    <col min="6964" max="6964" width="11.5703125" bestFit="1" customWidth="1"/>
    <col min="6965" max="6965" width="5.28515625" bestFit="1" customWidth="1"/>
    <col min="6966" max="6966" width="13.28515625" bestFit="1" customWidth="1"/>
    <col min="6967" max="6967" width="13.5703125" bestFit="1" customWidth="1"/>
    <col min="6968" max="6968" width="10.5703125" bestFit="1" customWidth="1"/>
    <col min="6969" max="6969" width="13.28515625" bestFit="1" customWidth="1"/>
    <col min="6970" max="6970" width="11.5703125" bestFit="1" customWidth="1"/>
    <col min="6971" max="6971" width="10.5703125" bestFit="1" customWidth="1"/>
    <col min="6972" max="6972" width="16.140625" bestFit="1" customWidth="1"/>
    <col min="6973" max="6974" width="11.28515625" bestFit="1" customWidth="1"/>
    <col min="6975" max="6975" width="13.28515625" bestFit="1" customWidth="1"/>
    <col min="6976" max="6976" width="7.7109375" bestFit="1" customWidth="1"/>
    <col min="6977" max="6980" width="9.140625" hidden="1" customWidth="1"/>
    <col min="6981" max="6981" width="10.42578125" bestFit="1" customWidth="1"/>
    <col min="6982" max="6982" width="10.5703125" bestFit="1" customWidth="1"/>
    <col min="6983" max="6983" width="10.42578125" bestFit="1" customWidth="1"/>
    <col min="6984" max="6984" width="10.5703125" bestFit="1" customWidth="1"/>
    <col min="6985" max="6985" width="9.5703125" bestFit="1" customWidth="1"/>
    <col min="6986" max="6986" width="11.5703125" bestFit="1" customWidth="1"/>
    <col min="6987" max="6987" width="10.42578125" bestFit="1" customWidth="1"/>
    <col min="6988" max="6988" width="10.85546875" customWidth="1"/>
    <col min="6989" max="6990" width="9.85546875" bestFit="1" customWidth="1"/>
    <col min="6991" max="6991" width="13.5703125" bestFit="1" customWidth="1"/>
    <col min="6992" max="6992" width="7.7109375" bestFit="1" customWidth="1"/>
    <col min="6993" max="6993" width="13.28515625" bestFit="1" customWidth="1"/>
    <col min="6994" max="6994" width="11.5703125" bestFit="1" customWidth="1"/>
    <col min="6995" max="6995" width="10.42578125" bestFit="1" customWidth="1"/>
    <col min="6996" max="6996" width="7.7109375" bestFit="1" customWidth="1"/>
    <col min="6997" max="6997" width="11.5703125" bestFit="1" customWidth="1"/>
    <col min="6998" max="6998" width="10.85546875" bestFit="1" customWidth="1"/>
    <col min="6999" max="6999" width="13.28515625" bestFit="1" customWidth="1"/>
    <col min="7000" max="7000" width="10.85546875" bestFit="1" customWidth="1"/>
    <col min="7001" max="7002" width="7.5703125" bestFit="1" customWidth="1"/>
    <col min="7003" max="7004" width="10.42578125" bestFit="1" customWidth="1"/>
    <col min="7005" max="7005" width="11.5703125" bestFit="1" customWidth="1"/>
    <col min="7006" max="7006" width="5.28515625" bestFit="1" customWidth="1"/>
    <col min="7007" max="7007" width="10.28515625" bestFit="1" customWidth="1"/>
    <col min="7008" max="7008" width="10.42578125" bestFit="1" customWidth="1"/>
    <col min="7009" max="7009" width="11.5703125" bestFit="1" customWidth="1"/>
    <col min="7010" max="7010" width="5.28515625" bestFit="1" customWidth="1"/>
    <col min="7011" max="7013" width="11.5703125" bestFit="1" customWidth="1"/>
    <col min="7014" max="7014" width="5.28515625" bestFit="1" customWidth="1"/>
    <col min="7015" max="7016" width="10.42578125" bestFit="1" customWidth="1"/>
    <col min="7017" max="7017" width="11.5703125" bestFit="1" customWidth="1"/>
    <col min="7018" max="7018" width="5.28515625" bestFit="1" customWidth="1"/>
    <col min="7019" max="7019" width="14.28515625" bestFit="1" customWidth="1"/>
    <col min="7020" max="7020" width="13" bestFit="1" customWidth="1"/>
    <col min="7021" max="7021" width="11.5703125" bestFit="1" customWidth="1"/>
    <col min="7022" max="7022" width="8.85546875" bestFit="1" customWidth="1"/>
    <col min="7023" max="7023" width="14.42578125" bestFit="1" customWidth="1"/>
    <col min="7024" max="7024" width="10.42578125" bestFit="1" customWidth="1"/>
    <col min="7025" max="7025" width="12.28515625" bestFit="1" customWidth="1"/>
    <col min="7026" max="7026" width="13.85546875" bestFit="1" customWidth="1"/>
    <col min="7027" max="7027" width="11.28515625" customWidth="1"/>
    <col min="7028" max="7028" width="11.5703125" customWidth="1"/>
    <col min="7029" max="7029" width="13.42578125" bestFit="1" customWidth="1"/>
    <col min="7030" max="7030" width="10.42578125" customWidth="1"/>
    <col min="7031" max="7031" width="13.85546875" bestFit="1" customWidth="1"/>
    <col min="7032" max="7032" width="15.42578125" bestFit="1" customWidth="1"/>
    <col min="7033" max="7033" width="12.28515625" bestFit="1" customWidth="1"/>
    <col min="7034" max="7034" width="12.7109375" customWidth="1"/>
    <col min="7035" max="7035" width="10.7109375" bestFit="1" customWidth="1"/>
    <col min="7036" max="7036" width="9.85546875" customWidth="1"/>
    <col min="7037" max="7038" width="10.140625" bestFit="1" customWidth="1"/>
    <col min="7039" max="7039" width="7.5703125" bestFit="1" customWidth="1"/>
    <col min="7040" max="7040" width="9.42578125" bestFit="1" customWidth="1"/>
    <col min="7041" max="7041" width="14.5703125" bestFit="1" customWidth="1"/>
    <col min="7042" max="7042" width="14.85546875" customWidth="1"/>
    <col min="7043" max="7043" width="15.140625" bestFit="1" customWidth="1"/>
    <col min="7044" max="7044" width="12.140625" bestFit="1" customWidth="1"/>
    <col min="7045" max="7045" width="14.85546875" bestFit="1" customWidth="1"/>
    <col min="7046" max="7046" width="12.28515625" bestFit="1" customWidth="1"/>
    <col min="7047" max="7055" width="9.140625" hidden="1" customWidth="1"/>
    <col min="7056" max="7056" width="5.28515625" bestFit="1" customWidth="1"/>
    <col min="7057" max="7062" width="11.5703125" bestFit="1" customWidth="1"/>
    <col min="7063" max="7063" width="11.28515625" bestFit="1" customWidth="1"/>
    <col min="7064" max="7064" width="10.140625" bestFit="1" customWidth="1"/>
    <col min="7065" max="7065" width="11.5703125" bestFit="1" customWidth="1"/>
    <col min="7066" max="7066" width="16.140625" customWidth="1"/>
    <col min="7067" max="7067" width="13.42578125" customWidth="1"/>
    <col min="7068" max="7068" width="10.140625" bestFit="1" customWidth="1"/>
    <col min="7069" max="7069" width="12.85546875" bestFit="1" customWidth="1"/>
    <col min="7070" max="7070" width="12.28515625" bestFit="1" customWidth="1"/>
    <col min="7071" max="7071" width="11.28515625" bestFit="1" customWidth="1"/>
    <col min="7072" max="7072" width="11.5703125" bestFit="1" customWidth="1"/>
    <col min="7073" max="7073" width="10.85546875" bestFit="1" customWidth="1"/>
    <col min="7074" max="7074" width="11.28515625" bestFit="1" customWidth="1"/>
    <col min="7075" max="7075" width="10.140625" bestFit="1" customWidth="1"/>
    <col min="7076" max="7076" width="13.28515625" bestFit="1" customWidth="1"/>
    <col min="7077" max="7078" width="12.7109375" bestFit="1" customWidth="1"/>
    <col min="7079" max="7079" width="11" bestFit="1" customWidth="1"/>
    <col min="7080" max="7080" width="11.28515625" bestFit="1" customWidth="1"/>
    <col min="7081" max="7081" width="11.5703125" bestFit="1" customWidth="1"/>
    <col min="7082" max="7082" width="12.28515625" bestFit="1" customWidth="1"/>
    <col min="7083" max="7083" width="15.140625" bestFit="1" customWidth="1"/>
    <col min="7084" max="7084" width="14.42578125" bestFit="1" customWidth="1"/>
    <col min="7085" max="7085" width="12.28515625" bestFit="1" customWidth="1"/>
    <col min="7086" max="7086" width="15.140625" bestFit="1" customWidth="1"/>
    <col min="7087" max="7087" width="14.42578125" bestFit="1" customWidth="1"/>
    <col min="7088" max="7088" width="12.28515625" bestFit="1" customWidth="1"/>
    <col min="7089" max="7089" width="14.42578125" bestFit="1" customWidth="1"/>
    <col min="7090" max="7090" width="11.28515625" bestFit="1" customWidth="1"/>
    <col min="7091" max="7091" width="12.28515625" bestFit="1" customWidth="1"/>
    <col min="7092" max="7092" width="13" bestFit="1" customWidth="1"/>
    <col min="7093" max="7093" width="15.140625" bestFit="1" customWidth="1"/>
    <col min="7094" max="7094" width="12.28515625" bestFit="1" customWidth="1"/>
    <col min="7095" max="7095" width="13.85546875" bestFit="1" customWidth="1"/>
    <col min="7096" max="7096" width="11.28515625" bestFit="1" customWidth="1"/>
    <col min="7097" max="7097" width="12.28515625" bestFit="1" customWidth="1"/>
    <col min="7098" max="7098" width="13.85546875" bestFit="1" customWidth="1"/>
    <col min="7099" max="7100" width="15.140625" bestFit="1" customWidth="1"/>
    <col min="7101" max="7101" width="12.28515625" bestFit="1" customWidth="1"/>
    <col min="7102" max="7102" width="5.7109375" bestFit="1" customWidth="1"/>
    <col min="7103" max="7103" width="8.5703125" bestFit="1" customWidth="1"/>
    <col min="7104" max="7104" width="5.5703125" bestFit="1" customWidth="1"/>
    <col min="7105" max="7105" width="14.42578125" bestFit="1" customWidth="1"/>
    <col min="7106" max="7106" width="11.28515625" bestFit="1" customWidth="1"/>
    <col min="7107" max="7108" width="12.28515625" bestFit="1" customWidth="1"/>
    <col min="7109" max="7109" width="11.28515625" bestFit="1" customWidth="1"/>
    <col min="7110" max="7110" width="13.85546875" bestFit="1" customWidth="1"/>
    <col min="7111" max="7111" width="12" bestFit="1" customWidth="1"/>
    <col min="7112" max="7112" width="13.85546875" bestFit="1" customWidth="1"/>
    <col min="7113" max="7114" width="14.42578125" customWidth="1"/>
    <col min="7115" max="7115" width="10.140625" bestFit="1" customWidth="1"/>
    <col min="7116" max="7116" width="12.28515625" bestFit="1" customWidth="1"/>
    <col min="7117" max="7117" width="7.42578125" bestFit="1" customWidth="1"/>
    <col min="7118" max="7118" width="8.5703125" bestFit="1" customWidth="1"/>
    <col min="7119" max="7119" width="11.5703125" bestFit="1" customWidth="1"/>
    <col min="7120" max="7120" width="13.28515625" bestFit="1" customWidth="1"/>
    <col min="7121" max="7121" width="13.28515625" customWidth="1"/>
    <col min="7122" max="7122" width="13.140625" customWidth="1"/>
    <col min="7123" max="7123" width="12.7109375" bestFit="1" customWidth="1"/>
    <col min="7124" max="7124" width="13.28515625" bestFit="1" customWidth="1"/>
    <col min="7125" max="7127" width="13.28515625" customWidth="1"/>
    <col min="7128" max="7128" width="12.140625" bestFit="1" customWidth="1"/>
    <col min="7129" max="7129" width="12.7109375" bestFit="1" customWidth="1"/>
    <col min="7130" max="7130" width="11" customWidth="1"/>
    <col min="7131" max="7131" width="16.7109375" customWidth="1"/>
    <col min="7132" max="7132" width="17" customWidth="1"/>
    <col min="7133" max="7133" width="10.42578125" bestFit="1" customWidth="1"/>
    <col min="7177" max="7177" width="3.85546875" customWidth="1"/>
    <col min="7178" max="7178" width="15.28515625" bestFit="1" customWidth="1"/>
    <col min="7179" max="7179" width="12.28515625" customWidth="1"/>
    <col min="7180" max="7180" width="16.28515625" bestFit="1" customWidth="1"/>
    <col min="7181" max="7181" width="6.42578125" bestFit="1" customWidth="1"/>
    <col min="7182" max="7182" width="9.28515625" bestFit="1" customWidth="1"/>
    <col min="7183" max="7183" width="7.5703125" bestFit="1" customWidth="1"/>
    <col min="7184" max="7184" width="13.28515625" bestFit="1" customWidth="1"/>
    <col min="7185" max="7185" width="9.28515625" bestFit="1" customWidth="1"/>
    <col min="7186" max="7186" width="11.5703125" bestFit="1" customWidth="1"/>
    <col min="7187" max="7187" width="13.28515625" bestFit="1" customWidth="1"/>
    <col min="7188" max="7188" width="7.140625" bestFit="1" customWidth="1"/>
    <col min="7189" max="7189" width="12" bestFit="1" customWidth="1"/>
    <col min="7190" max="7190" width="13.28515625" bestFit="1" customWidth="1"/>
    <col min="7191" max="7191" width="7" bestFit="1" customWidth="1"/>
    <col min="7192" max="7192" width="12.7109375" bestFit="1" customWidth="1"/>
    <col min="7193" max="7193" width="11.5703125" bestFit="1" customWidth="1"/>
    <col min="7194" max="7194" width="10.5703125" bestFit="1" customWidth="1"/>
    <col min="7195" max="7196" width="15.7109375" bestFit="1" customWidth="1"/>
    <col min="7197" max="7197" width="11.5703125" bestFit="1" customWidth="1"/>
    <col min="7198" max="7198" width="7.7109375" bestFit="1" customWidth="1"/>
    <col min="7199" max="7199" width="15.140625" bestFit="1" customWidth="1"/>
    <col min="7200" max="7200" width="11.5703125" bestFit="1" customWidth="1"/>
    <col min="7201" max="7201" width="13.28515625" bestFit="1" customWidth="1"/>
    <col min="7202" max="7202" width="10.42578125" bestFit="1" customWidth="1"/>
    <col min="7203" max="7203" width="13.28515625" bestFit="1" customWidth="1"/>
    <col min="7204" max="7204" width="12.140625" bestFit="1" customWidth="1"/>
    <col min="7205" max="7205" width="14.42578125" bestFit="1" customWidth="1"/>
    <col min="7206" max="7206" width="13.28515625" bestFit="1" customWidth="1"/>
    <col min="7207" max="7207" width="11.5703125" bestFit="1" customWidth="1"/>
    <col min="7208" max="7208" width="7.7109375" bestFit="1" customWidth="1"/>
    <col min="7209" max="7210" width="14.42578125" bestFit="1" customWidth="1"/>
    <col min="7211" max="7211" width="11.5703125" bestFit="1" customWidth="1"/>
    <col min="7212" max="7212" width="7.7109375" bestFit="1" customWidth="1"/>
    <col min="7213" max="7213" width="13.5703125" customWidth="1"/>
    <col min="7214" max="7214" width="15.28515625" customWidth="1"/>
    <col min="7215" max="7215" width="14.5703125" customWidth="1"/>
    <col min="7216" max="7216" width="13.28515625" bestFit="1" customWidth="1"/>
    <col min="7217" max="7217" width="7.7109375" bestFit="1" customWidth="1"/>
    <col min="7218" max="7218" width="12.7109375" bestFit="1" customWidth="1"/>
    <col min="7219" max="7219" width="11.7109375" bestFit="1" customWidth="1"/>
    <col min="7220" max="7220" width="11.5703125" bestFit="1" customWidth="1"/>
    <col min="7221" max="7221" width="5.28515625" bestFit="1" customWidth="1"/>
    <col min="7222" max="7222" width="13.28515625" bestFit="1" customWidth="1"/>
    <col min="7223" max="7223" width="13.5703125" bestFit="1" customWidth="1"/>
    <col min="7224" max="7224" width="10.5703125" bestFit="1" customWidth="1"/>
    <col min="7225" max="7225" width="13.28515625" bestFit="1" customWidth="1"/>
    <col min="7226" max="7226" width="11.5703125" bestFit="1" customWidth="1"/>
    <col min="7227" max="7227" width="10.5703125" bestFit="1" customWidth="1"/>
    <col min="7228" max="7228" width="16.140625" bestFit="1" customWidth="1"/>
    <col min="7229" max="7230" width="11.28515625" bestFit="1" customWidth="1"/>
    <col min="7231" max="7231" width="13.28515625" bestFit="1" customWidth="1"/>
    <col min="7232" max="7232" width="7.7109375" bestFit="1" customWidth="1"/>
    <col min="7233" max="7236" width="9.140625" hidden="1" customWidth="1"/>
    <col min="7237" max="7237" width="10.42578125" bestFit="1" customWidth="1"/>
    <col min="7238" max="7238" width="10.5703125" bestFit="1" customWidth="1"/>
    <col min="7239" max="7239" width="10.42578125" bestFit="1" customWidth="1"/>
    <col min="7240" max="7240" width="10.5703125" bestFit="1" customWidth="1"/>
    <col min="7241" max="7241" width="9.5703125" bestFit="1" customWidth="1"/>
    <col min="7242" max="7242" width="11.5703125" bestFit="1" customWidth="1"/>
    <col min="7243" max="7243" width="10.42578125" bestFit="1" customWidth="1"/>
    <col min="7244" max="7244" width="10.85546875" customWidth="1"/>
    <col min="7245" max="7246" width="9.85546875" bestFit="1" customWidth="1"/>
    <col min="7247" max="7247" width="13.5703125" bestFit="1" customWidth="1"/>
    <col min="7248" max="7248" width="7.7109375" bestFit="1" customWidth="1"/>
    <col min="7249" max="7249" width="13.28515625" bestFit="1" customWidth="1"/>
    <col min="7250" max="7250" width="11.5703125" bestFit="1" customWidth="1"/>
    <col min="7251" max="7251" width="10.42578125" bestFit="1" customWidth="1"/>
    <col min="7252" max="7252" width="7.7109375" bestFit="1" customWidth="1"/>
    <col min="7253" max="7253" width="11.5703125" bestFit="1" customWidth="1"/>
    <col min="7254" max="7254" width="10.85546875" bestFit="1" customWidth="1"/>
    <col min="7255" max="7255" width="13.28515625" bestFit="1" customWidth="1"/>
    <col min="7256" max="7256" width="10.85546875" bestFit="1" customWidth="1"/>
    <col min="7257" max="7258" width="7.5703125" bestFit="1" customWidth="1"/>
    <col min="7259" max="7260" width="10.42578125" bestFit="1" customWidth="1"/>
    <col min="7261" max="7261" width="11.5703125" bestFit="1" customWidth="1"/>
    <col min="7262" max="7262" width="5.28515625" bestFit="1" customWidth="1"/>
    <col min="7263" max="7263" width="10.28515625" bestFit="1" customWidth="1"/>
    <col min="7264" max="7264" width="10.42578125" bestFit="1" customWidth="1"/>
    <col min="7265" max="7265" width="11.5703125" bestFit="1" customWidth="1"/>
    <col min="7266" max="7266" width="5.28515625" bestFit="1" customWidth="1"/>
    <col min="7267" max="7269" width="11.5703125" bestFit="1" customWidth="1"/>
    <col min="7270" max="7270" width="5.28515625" bestFit="1" customWidth="1"/>
    <col min="7271" max="7272" width="10.42578125" bestFit="1" customWidth="1"/>
    <col min="7273" max="7273" width="11.5703125" bestFit="1" customWidth="1"/>
    <col min="7274" max="7274" width="5.28515625" bestFit="1" customWidth="1"/>
    <col min="7275" max="7275" width="14.28515625" bestFit="1" customWidth="1"/>
    <col min="7276" max="7276" width="13" bestFit="1" customWidth="1"/>
    <col min="7277" max="7277" width="11.5703125" bestFit="1" customWidth="1"/>
    <col min="7278" max="7278" width="8.85546875" bestFit="1" customWidth="1"/>
    <col min="7279" max="7279" width="14.42578125" bestFit="1" customWidth="1"/>
    <col min="7280" max="7280" width="10.42578125" bestFit="1" customWidth="1"/>
    <col min="7281" max="7281" width="12.28515625" bestFit="1" customWidth="1"/>
    <col min="7282" max="7282" width="13.85546875" bestFit="1" customWidth="1"/>
    <col min="7283" max="7283" width="11.28515625" customWidth="1"/>
    <col min="7284" max="7284" width="11.5703125" customWidth="1"/>
    <col min="7285" max="7285" width="13.42578125" bestFit="1" customWidth="1"/>
    <col min="7286" max="7286" width="10.42578125" customWidth="1"/>
    <col min="7287" max="7287" width="13.85546875" bestFit="1" customWidth="1"/>
    <col min="7288" max="7288" width="15.42578125" bestFit="1" customWidth="1"/>
    <col min="7289" max="7289" width="12.28515625" bestFit="1" customWidth="1"/>
    <col min="7290" max="7290" width="12.7109375" customWidth="1"/>
    <col min="7291" max="7291" width="10.7109375" bestFit="1" customWidth="1"/>
    <col min="7292" max="7292" width="9.85546875" customWidth="1"/>
    <col min="7293" max="7294" width="10.140625" bestFit="1" customWidth="1"/>
    <col min="7295" max="7295" width="7.5703125" bestFit="1" customWidth="1"/>
    <col min="7296" max="7296" width="9.42578125" bestFit="1" customWidth="1"/>
    <col min="7297" max="7297" width="14.5703125" bestFit="1" customWidth="1"/>
    <col min="7298" max="7298" width="14.85546875" customWidth="1"/>
    <col min="7299" max="7299" width="15.140625" bestFit="1" customWidth="1"/>
    <col min="7300" max="7300" width="12.140625" bestFit="1" customWidth="1"/>
    <col min="7301" max="7301" width="14.85546875" bestFit="1" customWidth="1"/>
    <col min="7302" max="7302" width="12.28515625" bestFit="1" customWidth="1"/>
    <col min="7303" max="7311" width="9.140625" hidden="1" customWidth="1"/>
    <col min="7312" max="7312" width="5.28515625" bestFit="1" customWidth="1"/>
    <col min="7313" max="7318" width="11.5703125" bestFit="1" customWidth="1"/>
    <col min="7319" max="7319" width="11.28515625" bestFit="1" customWidth="1"/>
    <col min="7320" max="7320" width="10.140625" bestFit="1" customWidth="1"/>
    <col min="7321" max="7321" width="11.5703125" bestFit="1" customWidth="1"/>
    <col min="7322" max="7322" width="16.140625" customWidth="1"/>
    <col min="7323" max="7323" width="13.42578125" customWidth="1"/>
    <col min="7324" max="7324" width="10.140625" bestFit="1" customWidth="1"/>
    <col min="7325" max="7325" width="12.85546875" bestFit="1" customWidth="1"/>
    <col min="7326" max="7326" width="12.28515625" bestFit="1" customWidth="1"/>
    <col min="7327" max="7327" width="11.28515625" bestFit="1" customWidth="1"/>
    <col min="7328" max="7328" width="11.5703125" bestFit="1" customWidth="1"/>
    <col min="7329" max="7329" width="10.85546875" bestFit="1" customWidth="1"/>
    <col min="7330" max="7330" width="11.28515625" bestFit="1" customWidth="1"/>
    <col min="7331" max="7331" width="10.140625" bestFit="1" customWidth="1"/>
    <col min="7332" max="7332" width="13.28515625" bestFit="1" customWidth="1"/>
    <col min="7333" max="7334" width="12.7109375" bestFit="1" customWidth="1"/>
    <col min="7335" max="7335" width="11" bestFit="1" customWidth="1"/>
    <col min="7336" max="7336" width="11.28515625" bestFit="1" customWidth="1"/>
    <col min="7337" max="7337" width="11.5703125" bestFit="1" customWidth="1"/>
    <col min="7338" max="7338" width="12.28515625" bestFit="1" customWidth="1"/>
    <col min="7339" max="7339" width="15.140625" bestFit="1" customWidth="1"/>
    <col min="7340" max="7340" width="14.42578125" bestFit="1" customWidth="1"/>
    <col min="7341" max="7341" width="12.28515625" bestFit="1" customWidth="1"/>
    <col min="7342" max="7342" width="15.140625" bestFit="1" customWidth="1"/>
    <col min="7343" max="7343" width="14.42578125" bestFit="1" customWidth="1"/>
    <col min="7344" max="7344" width="12.28515625" bestFit="1" customWidth="1"/>
    <col min="7345" max="7345" width="14.42578125" bestFit="1" customWidth="1"/>
    <col min="7346" max="7346" width="11.28515625" bestFit="1" customWidth="1"/>
    <col min="7347" max="7347" width="12.28515625" bestFit="1" customWidth="1"/>
    <col min="7348" max="7348" width="13" bestFit="1" customWidth="1"/>
    <col min="7349" max="7349" width="15.140625" bestFit="1" customWidth="1"/>
    <col min="7350" max="7350" width="12.28515625" bestFit="1" customWidth="1"/>
    <col min="7351" max="7351" width="13.85546875" bestFit="1" customWidth="1"/>
    <col min="7352" max="7352" width="11.28515625" bestFit="1" customWidth="1"/>
    <col min="7353" max="7353" width="12.28515625" bestFit="1" customWidth="1"/>
    <col min="7354" max="7354" width="13.85546875" bestFit="1" customWidth="1"/>
    <col min="7355" max="7356" width="15.140625" bestFit="1" customWidth="1"/>
    <col min="7357" max="7357" width="12.28515625" bestFit="1" customWidth="1"/>
    <col min="7358" max="7358" width="5.7109375" bestFit="1" customWidth="1"/>
    <col min="7359" max="7359" width="8.5703125" bestFit="1" customWidth="1"/>
    <col min="7360" max="7360" width="5.5703125" bestFit="1" customWidth="1"/>
    <col min="7361" max="7361" width="14.42578125" bestFit="1" customWidth="1"/>
    <col min="7362" max="7362" width="11.28515625" bestFit="1" customWidth="1"/>
    <col min="7363" max="7364" width="12.28515625" bestFit="1" customWidth="1"/>
    <col min="7365" max="7365" width="11.28515625" bestFit="1" customWidth="1"/>
    <col min="7366" max="7366" width="13.85546875" bestFit="1" customWidth="1"/>
    <col min="7367" max="7367" width="12" bestFit="1" customWidth="1"/>
    <col min="7368" max="7368" width="13.85546875" bestFit="1" customWidth="1"/>
    <col min="7369" max="7370" width="14.42578125" customWidth="1"/>
    <col min="7371" max="7371" width="10.140625" bestFit="1" customWidth="1"/>
    <col min="7372" max="7372" width="12.28515625" bestFit="1" customWidth="1"/>
    <col min="7373" max="7373" width="7.42578125" bestFit="1" customWidth="1"/>
    <col min="7374" max="7374" width="8.5703125" bestFit="1" customWidth="1"/>
    <col min="7375" max="7375" width="11.5703125" bestFit="1" customWidth="1"/>
    <col min="7376" max="7376" width="13.28515625" bestFit="1" customWidth="1"/>
    <col min="7377" max="7377" width="13.28515625" customWidth="1"/>
    <col min="7378" max="7378" width="13.140625" customWidth="1"/>
    <col min="7379" max="7379" width="12.7109375" bestFit="1" customWidth="1"/>
    <col min="7380" max="7380" width="13.28515625" bestFit="1" customWidth="1"/>
    <col min="7381" max="7383" width="13.28515625" customWidth="1"/>
    <col min="7384" max="7384" width="12.140625" bestFit="1" customWidth="1"/>
    <col min="7385" max="7385" width="12.7109375" bestFit="1" customWidth="1"/>
    <col min="7386" max="7386" width="11" customWidth="1"/>
    <col min="7387" max="7387" width="16.7109375" customWidth="1"/>
    <col min="7388" max="7388" width="17" customWidth="1"/>
    <col min="7389" max="7389" width="10.42578125" bestFit="1" customWidth="1"/>
    <col min="7433" max="7433" width="3.85546875" customWidth="1"/>
    <col min="7434" max="7434" width="15.28515625" bestFit="1" customWidth="1"/>
    <col min="7435" max="7435" width="12.28515625" customWidth="1"/>
    <col min="7436" max="7436" width="16.28515625" bestFit="1" customWidth="1"/>
    <col min="7437" max="7437" width="6.42578125" bestFit="1" customWidth="1"/>
    <col min="7438" max="7438" width="9.28515625" bestFit="1" customWidth="1"/>
    <col min="7439" max="7439" width="7.5703125" bestFit="1" customWidth="1"/>
    <col min="7440" max="7440" width="13.28515625" bestFit="1" customWidth="1"/>
    <col min="7441" max="7441" width="9.28515625" bestFit="1" customWidth="1"/>
    <col min="7442" max="7442" width="11.5703125" bestFit="1" customWidth="1"/>
    <col min="7443" max="7443" width="13.28515625" bestFit="1" customWidth="1"/>
    <col min="7444" max="7444" width="7.140625" bestFit="1" customWidth="1"/>
    <col min="7445" max="7445" width="12" bestFit="1" customWidth="1"/>
    <col min="7446" max="7446" width="13.28515625" bestFit="1" customWidth="1"/>
    <col min="7447" max="7447" width="7" bestFit="1" customWidth="1"/>
    <col min="7448" max="7448" width="12.7109375" bestFit="1" customWidth="1"/>
    <col min="7449" max="7449" width="11.5703125" bestFit="1" customWidth="1"/>
    <col min="7450" max="7450" width="10.5703125" bestFit="1" customWidth="1"/>
    <col min="7451" max="7452" width="15.7109375" bestFit="1" customWidth="1"/>
    <col min="7453" max="7453" width="11.5703125" bestFit="1" customWidth="1"/>
    <col min="7454" max="7454" width="7.7109375" bestFit="1" customWidth="1"/>
    <col min="7455" max="7455" width="15.140625" bestFit="1" customWidth="1"/>
    <col min="7456" max="7456" width="11.5703125" bestFit="1" customWidth="1"/>
    <col min="7457" max="7457" width="13.28515625" bestFit="1" customWidth="1"/>
    <col min="7458" max="7458" width="10.42578125" bestFit="1" customWidth="1"/>
    <col min="7459" max="7459" width="13.28515625" bestFit="1" customWidth="1"/>
    <col min="7460" max="7460" width="12.140625" bestFit="1" customWidth="1"/>
    <col min="7461" max="7461" width="14.42578125" bestFit="1" customWidth="1"/>
    <col min="7462" max="7462" width="13.28515625" bestFit="1" customWidth="1"/>
    <col min="7463" max="7463" width="11.5703125" bestFit="1" customWidth="1"/>
    <col min="7464" max="7464" width="7.7109375" bestFit="1" customWidth="1"/>
    <col min="7465" max="7466" width="14.42578125" bestFit="1" customWidth="1"/>
    <col min="7467" max="7467" width="11.5703125" bestFit="1" customWidth="1"/>
    <col min="7468" max="7468" width="7.7109375" bestFit="1" customWidth="1"/>
    <col min="7469" max="7469" width="13.5703125" customWidth="1"/>
    <col min="7470" max="7470" width="15.28515625" customWidth="1"/>
    <col min="7471" max="7471" width="14.5703125" customWidth="1"/>
    <col min="7472" max="7472" width="13.28515625" bestFit="1" customWidth="1"/>
    <col min="7473" max="7473" width="7.7109375" bestFit="1" customWidth="1"/>
    <col min="7474" max="7474" width="12.7109375" bestFit="1" customWidth="1"/>
    <col min="7475" max="7475" width="11.7109375" bestFit="1" customWidth="1"/>
    <col min="7476" max="7476" width="11.5703125" bestFit="1" customWidth="1"/>
    <col min="7477" max="7477" width="5.28515625" bestFit="1" customWidth="1"/>
    <col min="7478" max="7478" width="13.28515625" bestFit="1" customWidth="1"/>
    <col min="7479" max="7479" width="13.5703125" bestFit="1" customWidth="1"/>
    <col min="7480" max="7480" width="10.5703125" bestFit="1" customWidth="1"/>
    <col min="7481" max="7481" width="13.28515625" bestFit="1" customWidth="1"/>
    <col min="7482" max="7482" width="11.5703125" bestFit="1" customWidth="1"/>
    <col min="7483" max="7483" width="10.5703125" bestFit="1" customWidth="1"/>
    <col min="7484" max="7484" width="16.140625" bestFit="1" customWidth="1"/>
    <col min="7485" max="7486" width="11.28515625" bestFit="1" customWidth="1"/>
    <col min="7487" max="7487" width="13.28515625" bestFit="1" customWidth="1"/>
    <col min="7488" max="7488" width="7.7109375" bestFit="1" customWidth="1"/>
    <col min="7489" max="7492" width="9.140625" hidden="1" customWidth="1"/>
    <col min="7493" max="7493" width="10.42578125" bestFit="1" customWidth="1"/>
    <col min="7494" max="7494" width="10.5703125" bestFit="1" customWidth="1"/>
    <col min="7495" max="7495" width="10.42578125" bestFit="1" customWidth="1"/>
    <col min="7496" max="7496" width="10.5703125" bestFit="1" customWidth="1"/>
    <col min="7497" max="7497" width="9.5703125" bestFit="1" customWidth="1"/>
    <col min="7498" max="7498" width="11.5703125" bestFit="1" customWidth="1"/>
    <col min="7499" max="7499" width="10.42578125" bestFit="1" customWidth="1"/>
    <col min="7500" max="7500" width="10.85546875" customWidth="1"/>
    <col min="7501" max="7502" width="9.85546875" bestFit="1" customWidth="1"/>
    <col min="7503" max="7503" width="13.5703125" bestFit="1" customWidth="1"/>
    <col min="7504" max="7504" width="7.7109375" bestFit="1" customWidth="1"/>
    <col min="7505" max="7505" width="13.28515625" bestFit="1" customWidth="1"/>
    <col min="7506" max="7506" width="11.5703125" bestFit="1" customWidth="1"/>
    <col min="7507" max="7507" width="10.42578125" bestFit="1" customWidth="1"/>
    <col min="7508" max="7508" width="7.7109375" bestFit="1" customWidth="1"/>
    <col min="7509" max="7509" width="11.5703125" bestFit="1" customWidth="1"/>
    <col min="7510" max="7510" width="10.85546875" bestFit="1" customWidth="1"/>
    <col min="7511" max="7511" width="13.28515625" bestFit="1" customWidth="1"/>
    <col min="7512" max="7512" width="10.85546875" bestFit="1" customWidth="1"/>
    <col min="7513" max="7514" width="7.5703125" bestFit="1" customWidth="1"/>
    <col min="7515" max="7516" width="10.42578125" bestFit="1" customWidth="1"/>
    <col min="7517" max="7517" width="11.5703125" bestFit="1" customWidth="1"/>
    <col min="7518" max="7518" width="5.28515625" bestFit="1" customWidth="1"/>
    <col min="7519" max="7519" width="10.28515625" bestFit="1" customWidth="1"/>
    <col min="7520" max="7520" width="10.42578125" bestFit="1" customWidth="1"/>
    <col min="7521" max="7521" width="11.5703125" bestFit="1" customWidth="1"/>
    <col min="7522" max="7522" width="5.28515625" bestFit="1" customWidth="1"/>
    <col min="7523" max="7525" width="11.5703125" bestFit="1" customWidth="1"/>
    <col min="7526" max="7526" width="5.28515625" bestFit="1" customWidth="1"/>
    <col min="7527" max="7528" width="10.42578125" bestFit="1" customWidth="1"/>
    <col min="7529" max="7529" width="11.5703125" bestFit="1" customWidth="1"/>
    <col min="7530" max="7530" width="5.28515625" bestFit="1" customWidth="1"/>
    <col min="7531" max="7531" width="14.28515625" bestFit="1" customWidth="1"/>
    <col min="7532" max="7532" width="13" bestFit="1" customWidth="1"/>
    <col min="7533" max="7533" width="11.5703125" bestFit="1" customWidth="1"/>
    <col min="7534" max="7534" width="8.85546875" bestFit="1" customWidth="1"/>
    <col min="7535" max="7535" width="14.42578125" bestFit="1" customWidth="1"/>
    <col min="7536" max="7536" width="10.42578125" bestFit="1" customWidth="1"/>
    <col min="7537" max="7537" width="12.28515625" bestFit="1" customWidth="1"/>
    <col min="7538" max="7538" width="13.85546875" bestFit="1" customWidth="1"/>
    <col min="7539" max="7539" width="11.28515625" customWidth="1"/>
    <col min="7540" max="7540" width="11.5703125" customWidth="1"/>
    <col min="7541" max="7541" width="13.42578125" bestFit="1" customWidth="1"/>
    <col min="7542" max="7542" width="10.42578125" customWidth="1"/>
    <col min="7543" max="7543" width="13.85546875" bestFit="1" customWidth="1"/>
    <col min="7544" max="7544" width="15.42578125" bestFit="1" customWidth="1"/>
    <col min="7545" max="7545" width="12.28515625" bestFit="1" customWidth="1"/>
    <col min="7546" max="7546" width="12.7109375" customWidth="1"/>
    <col min="7547" max="7547" width="10.7109375" bestFit="1" customWidth="1"/>
    <col min="7548" max="7548" width="9.85546875" customWidth="1"/>
    <col min="7549" max="7550" width="10.140625" bestFit="1" customWidth="1"/>
    <col min="7551" max="7551" width="7.5703125" bestFit="1" customWidth="1"/>
    <col min="7552" max="7552" width="9.42578125" bestFit="1" customWidth="1"/>
    <col min="7553" max="7553" width="14.5703125" bestFit="1" customWidth="1"/>
    <col min="7554" max="7554" width="14.85546875" customWidth="1"/>
    <col min="7555" max="7555" width="15.140625" bestFit="1" customWidth="1"/>
    <col min="7556" max="7556" width="12.140625" bestFit="1" customWidth="1"/>
    <col min="7557" max="7557" width="14.85546875" bestFit="1" customWidth="1"/>
    <col min="7558" max="7558" width="12.28515625" bestFit="1" customWidth="1"/>
    <col min="7559" max="7567" width="9.140625" hidden="1" customWidth="1"/>
    <col min="7568" max="7568" width="5.28515625" bestFit="1" customWidth="1"/>
    <col min="7569" max="7574" width="11.5703125" bestFit="1" customWidth="1"/>
    <col min="7575" max="7575" width="11.28515625" bestFit="1" customWidth="1"/>
    <col min="7576" max="7576" width="10.140625" bestFit="1" customWidth="1"/>
    <col min="7577" max="7577" width="11.5703125" bestFit="1" customWidth="1"/>
    <col min="7578" max="7578" width="16.140625" customWidth="1"/>
    <col min="7579" max="7579" width="13.42578125" customWidth="1"/>
    <col min="7580" max="7580" width="10.140625" bestFit="1" customWidth="1"/>
    <col min="7581" max="7581" width="12.85546875" bestFit="1" customWidth="1"/>
    <col min="7582" max="7582" width="12.28515625" bestFit="1" customWidth="1"/>
    <col min="7583" max="7583" width="11.28515625" bestFit="1" customWidth="1"/>
    <col min="7584" max="7584" width="11.5703125" bestFit="1" customWidth="1"/>
    <col min="7585" max="7585" width="10.85546875" bestFit="1" customWidth="1"/>
    <col min="7586" max="7586" width="11.28515625" bestFit="1" customWidth="1"/>
    <col min="7587" max="7587" width="10.140625" bestFit="1" customWidth="1"/>
    <col min="7588" max="7588" width="13.28515625" bestFit="1" customWidth="1"/>
    <col min="7589" max="7590" width="12.7109375" bestFit="1" customWidth="1"/>
    <col min="7591" max="7591" width="11" bestFit="1" customWidth="1"/>
    <col min="7592" max="7592" width="11.28515625" bestFit="1" customWidth="1"/>
    <col min="7593" max="7593" width="11.5703125" bestFit="1" customWidth="1"/>
    <col min="7594" max="7594" width="12.28515625" bestFit="1" customWidth="1"/>
    <col min="7595" max="7595" width="15.140625" bestFit="1" customWidth="1"/>
    <col min="7596" max="7596" width="14.42578125" bestFit="1" customWidth="1"/>
    <col min="7597" max="7597" width="12.28515625" bestFit="1" customWidth="1"/>
    <col min="7598" max="7598" width="15.140625" bestFit="1" customWidth="1"/>
    <col min="7599" max="7599" width="14.42578125" bestFit="1" customWidth="1"/>
    <col min="7600" max="7600" width="12.28515625" bestFit="1" customWidth="1"/>
    <col min="7601" max="7601" width="14.42578125" bestFit="1" customWidth="1"/>
    <col min="7602" max="7602" width="11.28515625" bestFit="1" customWidth="1"/>
    <col min="7603" max="7603" width="12.28515625" bestFit="1" customWidth="1"/>
    <col min="7604" max="7604" width="13" bestFit="1" customWidth="1"/>
    <col min="7605" max="7605" width="15.140625" bestFit="1" customWidth="1"/>
    <col min="7606" max="7606" width="12.28515625" bestFit="1" customWidth="1"/>
    <col min="7607" max="7607" width="13.85546875" bestFit="1" customWidth="1"/>
    <col min="7608" max="7608" width="11.28515625" bestFit="1" customWidth="1"/>
    <col min="7609" max="7609" width="12.28515625" bestFit="1" customWidth="1"/>
    <col min="7610" max="7610" width="13.85546875" bestFit="1" customWidth="1"/>
    <col min="7611" max="7612" width="15.140625" bestFit="1" customWidth="1"/>
    <col min="7613" max="7613" width="12.28515625" bestFit="1" customWidth="1"/>
    <col min="7614" max="7614" width="5.7109375" bestFit="1" customWidth="1"/>
    <col min="7615" max="7615" width="8.5703125" bestFit="1" customWidth="1"/>
    <col min="7616" max="7616" width="5.5703125" bestFit="1" customWidth="1"/>
    <col min="7617" max="7617" width="14.42578125" bestFit="1" customWidth="1"/>
    <col min="7618" max="7618" width="11.28515625" bestFit="1" customWidth="1"/>
    <col min="7619" max="7620" width="12.28515625" bestFit="1" customWidth="1"/>
    <col min="7621" max="7621" width="11.28515625" bestFit="1" customWidth="1"/>
    <col min="7622" max="7622" width="13.85546875" bestFit="1" customWidth="1"/>
    <col min="7623" max="7623" width="12" bestFit="1" customWidth="1"/>
    <col min="7624" max="7624" width="13.85546875" bestFit="1" customWidth="1"/>
    <col min="7625" max="7626" width="14.42578125" customWidth="1"/>
    <col min="7627" max="7627" width="10.140625" bestFit="1" customWidth="1"/>
    <col min="7628" max="7628" width="12.28515625" bestFit="1" customWidth="1"/>
    <col min="7629" max="7629" width="7.42578125" bestFit="1" customWidth="1"/>
    <col min="7630" max="7630" width="8.5703125" bestFit="1" customWidth="1"/>
    <col min="7631" max="7631" width="11.5703125" bestFit="1" customWidth="1"/>
    <col min="7632" max="7632" width="13.28515625" bestFit="1" customWidth="1"/>
    <col min="7633" max="7633" width="13.28515625" customWidth="1"/>
    <col min="7634" max="7634" width="13.140625" customWidth="1"/>
    <col min="7635" max="7635" width="12.7109375" bestFit="1" customWidth="1"/>
    <col min="7636" max="7636" width="13.28515625" bestFit="1" customWidth="1"/>
    <col min="7637" max="7639" width="13.28515625" customWidth="1"/>
    <col min="7640" max="7640" width="12.140625" bestFit="1" customWidth="1"/>
    <col min="7641" max="7641" width="12.7109375" bestFit="1" customWidth="1"/>
    <col min="7642" max="7642" width="11" customWidth="1"/>
    <col min="7643" max="7643" width="16.7109375" customWidth="1"/>
    <col min="7644" max="7644" width="17" customWidth="1"/>
    <col min="7645" max="7645" width="10.42578125" bestFit="1" customWidth="1"/>
    <col min="7689" max="7689" width="3.85546875" customWidth="1"/>
    <col min="7690" max="7690" width="15.28515625" bestFit="1" customWidth="1"/>
    <col min="7691" max="7691" width="12.28515625" customWidth="1"/>
    <col min="7692" max="7692" width="16.28515625" bestFit="1" customWidth="1"/>
    <col min="7693" max="7693" width="6.42578125" bestFit="1" customWidth="1"/>
    <col min="7694" max="7694" width="9.28515625" bestFit="1" customWidth="1"/>
    <col min="7695" max="7695" width="7.5703125" bestFit="1" customWidth="1"/>
    <col min="7696" max="7696" width="13.28515625" bestFit="1" customWidth="1"/>
    <col min="7697" max="7697" width="9.28515625" bestFit="1" customWidth="1"/>
    <col min="7698" max="7698" width="11.5703125" bestFit="1" customWidth="1"/>
    <col min="7699" max="7699" width="13.28515625" bestFit="1" customWidth="1"/>
    <col min="7700" max="7700" width="7.140625" bestFit="1" customWidth="1"/>
    <col min="7701" max="7701" width="12" bestFit="1" customWidth="1"/>
    <col min="7702" max="7702" width="13.28515625" bestFit="1" customWidth="1"/>
    <col min="7703" max="7703" width="7" bestFit="1" customWidth="1"/>
    <col min="7704" max="7704" width="12.7109375" bestFit="1" customWidth="1"/>
    <col min="7705" max="7705" width="11.5703125" bestFit="1" customWidth="1"/>
    <col min="7706" max="7706" width="10.5703125" bestFit="1" customWidth="1"/>
    <col min="7707" max="7708" width="15.7109375" bestFit="1" customWidth="1"/>
    <col min="7709" max="7709" width="11.5703125" bestFit="1" customWidth="1"/>
    <col min="7710" max="7710" width="7.7109375" bestFit="1" customWidth="1"/>
    <col min="7711" max="7711" width="15.140625" bestFit="1" customWidth="1"/>
    <col min="7712" max="7712" width="11.5703125" bestFit="1" customWidth="1"/>
    <col min="7713" max="7713" width="13.28515625" bestFit="1" customWidth="1"/>
    <col min="7714" max="7714" width="10.42578125" bestFit="1" customWidth="1"/>
    <col min="7715" max="7715" width="13.28515625" bestFit="1" customWidth="1"/>
    <col min="7716" max="7716" width="12.140625" bestFit="1" customWidth="1"/>
    <col min="7717" max="7717" width="14.42578125" bestFit="1" customWidth="1"/>
    <col min="7718" max="7718" width="13.28515625" bestFit="1" customWidth="1"/>
    <col min="7719" max="7719" width="11.5703125" bestFit="1" customWidth="1"/>
    <col min="7720" max="7720" width="7.7109375" bestFit="1" customWidth="1"/>
    <col min="7721" max="7722" width="14.42578125" bestFit="1" customWidth="1"/>
    <col min="7723" max="7723" width="11.5703125" bestFit="1" customWidth="1"/>
    <col min="7724" max="7724" width="7.7109375" bestFit="1" customWidth="1"/>
    <col min="7725" max="7725" width="13.5703125" customWidth="1"/>
    <col min="7726" max="7726" width="15.28515625" customWidth="1"/>
    <col min="7727" max="7727" width="14.5703125" customWidth="1"/>
    <col min="7728" max="7728" width="13.28515625" bestFit="1" customWidth="1"/>
    <col min="7729" max="7729" width="7.7109375" bestFit="1" customWidth="1"/>
    <col min="7730" max="7730" width="12.7109375" bestFit="1" customWidth="1"/>
    <col min="7731" max="7731" width="11.7109375" bestFit="1" customWidth="1"/>
    <col min="7732" max="7732" width="11.5703125" bestFit="1" customWidth="1"/>
    <col min="7733" max="7733" width="5.28515625" bestFit="1" customWidth="1"/>
    <col min="7734" max="7734" width="13.28515625" bestFit="1" customWidth="1"/>
    <col min="7735" max="7735" width="13.5703125" bestFit="1" customWidth="1"/>
    <col min="7736" max="7736" width="10.5703125" bestFit="1" customWidth="1"/>
    <col min="7737" max="7737" width="13.28515625" bestFit="1" customWidth="1"/>
    <col min="7738" max="7738" width="11.5703125" bestFit="1" customWidth="1"/>
    <col min="7739" max="7739" width="10.5703125" bestFit="1" customWidth="1"/>
    <col min="7740" max="7740" width="16.140625" bestFit="1" customWidth="1"/>
    <col min="7741" max="7742" width="11.28515625" bestFit="1" customWidth="1"/>
    <col min="7743" max="7743" width="13.28515625" bestFit="1" customWidth="1"/>
    <col min="7744" max="7744" width="7.7109375" bestFit="1" customWidth="1"/>
    <col min="7745" max="7748" width="9.140625" hidden="1" customWidth="1"/>
    <col min="7749" max="7749" width="10.42578125" bestFit="1" customWidth="1"/>
    <col min="7750" max="7750" width="10.5703125" bestFit="1" customWidth="1"/>
    <col min="7751" max="7751" width="10.42578125" bestFit="1" customWidth="1"/>
    <col min="7752" max="7752" width="10.5703125" bestFit="1" customWidth="1"/>
    <col min="7753" max="7753" width="9.5703125" bestFit="1" customWidth="1"/>
    <col min="7754" max="7754" width="11.5703125" bestFit="1" customWidth="1"/>
    <col min="7755" max="7755" width="10.42578125" bestFit="1" customWidth="1"/>
    <col min="7756" max="7756" width="10.85546875" customWidth="1"/>
    <col min="7757" max="7758" width="9.85546875" bestFit="1" customWidth="1"/>
    <col min="7759" max="7759" width="13.5703125" bestFit="1" customWidth="1"/>
    <col min="7760" max="7760" width="7.7109375" bestFit="1" customWidth="1"/>
    <col min="7761" max="7761" width="13.28515625" bestFit="1" customWidth="1"/>
    <col min="7762" max="7762" width="11.5703125" bestFit="1" customWidth="1"/>
    <col min="7763" max="7763" width="10.42578125" bestFit="1" customWidth="1"/>
    <col min="7764" max="7764" width="7.7109375" bestFit="1" customWidth="1"/>
    <col min="7765" max="7765" width="11.5703125" bestFit="1" customWidth="1"/>
    <col min="7766" max="7766" width="10.85546875" bestFit="1" customWidth="1"/>
    <col min="7767" max="7767" width="13.28515625" bestFit="1" customWidth="1"/>
    <col min="7768" max="7768" width="10.85546875" bestFit="1" customWidth="1"/>
    <col min="7769" max="7770" width="7.5703125" bestFit="1" customWidth="1"/>
    <col min="7771" max="7772" width="10.42578125" bestFit="1" customWidth="1"/>
    <col min="7773" max="7773" width="11.5703125" bestFit="1" customWidth="1"/>
    <col min="7774" max="7774" width="5.28515625" bestFit="1" customWidth="1"/>
    <col min="7775" max="7775" width="10.28515625" bestFit="1" customWidth="1"/>
    <col min="7776" max="7776" width="10.42578125" bestFit="1" customWidth="1"/>
    <col min="7777" max="7777" width="11.5703125" bestFit="1" customWidth="1"/>
    <col min="7778" max="7778" width="5.28515625" bestFit="1" customWidth="1"/>
    <col min="7779" max="7781" width="11.5703125" bestFit="1" customWidth="1"/>
    <col min="7782" max="7782" width="5.28515625" bestFit="1" customWidth="1"/>
    <col min="7783" max="7784" width="10.42578125" bestFit="1" customWidth="1"/>
    <col min="7785" max="7785" width="11.5703125" bestFit="1" customWidth="1"/>
    <col min="7786" max="7786" width="5.28515625" bestFit="1" customWidth="1"/>
    <col min="7787" max="7787" width="14.28515625" bestFit="1" customWidth="1"/>
    <col min="7788" max="7788" width="13" bestFit="1" customWidth="1"/>
    <col min="7789" max="7789" width="11.5703125" bestFit="1" customWidth="1"/>
    <col min="7790" max="7790" width="8.85546875" bestFit="1" customWidth="1"/>
    <col min="7791" max="7791" width="14.42578125" bestFit="1" customWidth="1"/>
    <col min="7792" max="7792" width="10.42578125" bestFit="1" customWidth="1"/>
    <col min="7793" max="7793" width="12.28515625" bestFit="1" customWidth="1"/>
    <col min="7794" max="7794" width="13.85546875" bestFit="1" customWidth="1"/>
    <col min="7795" max="7795" width="11.28515625" customWidth="1"/>
    <col min="7796" max="7796" width="11.5703125" customWidth="1"/>
    <col min="7797" max="7797" width="13.42578125" bestFit="1" customWidth="1"/>
    <col min="7798" max="7798" width="10.42578125" customWidth="1"/>
    <col min="7799" max="7799" width="13.85546875" bestFit="1" customWidth="1"/>
    <col min="7800" max="7800" width="15.42578125" bestFit="1" customWidth="1"/>
    <col min="7801" max="7801" width="12.28515625" bestFit="1" customWidth="1"/>
    <col min="7802" max="7802" width="12.7109375" customWidth="1"/>
    <col min="7803" max="7803" width="10.7109375" bestFit="1" customWidth="1"/>
    <col min="7804" max="7804" width="9.85546875" customWidth="1"/>
    <col min="7805" max="7806" width="10.140625" bestFit="1" customWidth="1"/>
    <col min="7807" max="7807" width="7.5703125" bestFit="1" customWidth="1"/>
    <col min="7808" max="7808" width="9.42578125" bestFit="1" customWidth="1"/>
    <col min="7809" max="7809" width="14.5703125" bestFit="1" customWidth="1"/>
    <col min="7810" max="7810" width="14.85546875" customWidth="1"/>
    <col min="7811" max="7811" width="15.140625" bestFit="1" customWidth="1"/>
    <col min="7812" max="7812" width="12.140625" bestFit="1" customWidth="1"/>
    <col min="7813" max="7813" width="14.85546875" bestFit="1" customWidth="1"/>
    <col min="7814" max="7814" width="12.28515625" bestFit="1" customWidth="1"/>
    <col min="7815" max="7823" width="9.140625" hidden="1" customWidth="1"/>
    <col min="7824" max="7824" width="5.28515625" bestFit="1" customWidth="1"/>
    <col min="7825" max="7830" width="11.5703125" bestFit="1" customWidth="1"/>
    <col min="7831" max="7831" width="11.28515625" bestFit="1" customWidth="1"/>
    <col min="7832" max="7832" width="10.140625" bestFit="1" customWidth="1"/>
    <col min="7833" max="7833" width="11.5703125" bestFit="1" customWidth="1"/>
    <col min="7834" max="7834" width="16.140625" customWidth="1"/>
    <col min="7835" max="7835" width="13.42578125" customWidth="1"/>
    <col min="7836" max="7836" width="10.140625" bestFit="1" customWidth="1"/>
    <col min="7837" max="7837" width="12.85546875" bestFit="1" customWidth="1"/>
    <col min="7838" max="7838" width="12.28515625" bestFit="1" customWidth="1"/>
    <col min="7839" max="7839" width="11.28515625" bestFit="1" customWidth="1"/>
    <col min="7840" max="7840" width="11.5703125" bestFit="1" customWidth="1"/>
    <col min="7841" max="7841" width="10.85546875" bestFit="1" customWidth="1"/>
    <col min="7842" max="7842" width="11.28515625" bestFit="1" customWidth="1"/>
    <col min="7843" max="7843" width="10.140625" bestFit="1" customWidth="1"/>
    <col min="7844" max="7844" width="13.28515625" bestFit="1" customWidth="1"/>
    <col min="7845" max="7846" width="12.7109375" bestFit="1" customWidth="1"/>
    <col min="7847" max="7847" width="11" bestFit="1" customWidth="1"/>
    <col min="7848" max="7848" width="11.28515625" bestFit="1" customWidth="1"/>
    <col min="7849" max="7849" width="11.5703125" bestFit="1" customWidth="1"/>
    <col min="7850" max="7850" width="12.28515625" bestFit="1" customWidth="1"/>
    <col min="7851" max="7851" width="15.140625" bestFit="1" customWidth="1"/>
    <col min="7852" max="7852" width="14.42578125" bestFit="1" customWidth="1"/>
    <col min="7853" max="7853" width="12.28515625" bestFit="1" customWidth="1"/>
    <col min="7854" max="7854" width="15.140625" bestFit="1" customWidth="1"/>
    <col min="7855" max="7855" width="14.42578125" bestFit="1" customWidth="1"/>
    <col min="7856" max="7856" width="12.28515625" bestFit="1" customWidth="1"/>
    <col min="7857" max="7857" width="14.42578125" bestFit="1" customWidth="1"/>
    <col min="7858" max="7858" width="11.28515625" bestFit="1" customWidth="1"/>
    <col min="7859" max="7859" width="12.28515625" bestFit="1" customWidth="1"/>
    <col min="7860" max="7860" width="13" bestFit="1" customWidth="1"/>
    <col min="7861" max="7861" width="15.140625" bestFit="1" customWidth="1"/>
    <col min="7862" max="7862" width="12.28515625" bestFit="1" customWidth="1"/>
    <col min="7863" max="7863" width="13.85546875" bestFit="1" customWidth="1"/>
    <col min="7864" max="7864" width="11.28515625" bestFit="1" customWidth="1"/>
    <col min="7865" max="7865" width="12.28515625" bestFit="1" customWidth="1"/>
    <col min="7866" max="7866" width="13.85546875" bestFit="1" customWidth="1"/>
    <col min="7867" max="7868" width="15.140625" bestFit="1" customWidth="1"/>
    <col min="7869" max="7869" width="12.28515625" bestFit="1" customWidth="1"/>
    <col min="7870" max="7870" width="5.7109375" bestFit="1" customWidth="1"/>
    <col min="7871" max="7871" width="8.5703125" bestFit="1" customWidth="1"/>
    <col min="7872" max="7872" width="5.5703125" bestFit="1" customWidth="1"/>
    <col min="7873" max="7873" width="14.42578125" bestFit="1" customWidth="1"/>
    <col min="7874" max="7874" width="11.28515625" bestFit="1" customWidth="1"/>
    <col min="7875" max="7876" width="12.28515625" bestFit="1" customWidth="1"/>
    <col min="7877" max="7877" width="11.28515625" bestFit="1" customWidth="1"/>
    <col min="7878" max="7878" width="13.85546875" bestFit="1" customWidth="1"/>
    <col min="7879" max="7879" width="12" bestFit="1" customWidth="1"/>
    <col min="7880" max="7880" width="13.85546875" bestFit="1" customWidth="1"/>
    <col min="7881" max="7882" width="14.42578125" customWidth="1"/>
    <col min="7883" max="7883" width="10.140625" bestFit="1" customWidth="1"/>
    <col min="7884" max="7884" width="12.28515625" bestFit="1" customWidth="1"/>
    <col min="7885" max="7885" width="7.42578125" bestFit="1" customWidth="1"/>
    <col min="7886" max="7886" width="8.5703125" bestFit="1" customWidth="1"/>
    <col min="7887" max="7887" width="11.5703125" bestFit="1" customWidth="1"/>
    <col min="7888" max="7888" width="13.28515625" bestFit="1" customWidth="1"/>
    <col min="7889" max="7889" width="13.28515625" customWidth="1"/>
    <col min="7890" max="7890" width="13.140625" customWidth="1"/>
    <col min="7891" max="7891" width="12.7109375" bestFit="1" customWidth="1"/>
    <col min="7892" max="7892" width="13.28515625" bestFit="1" customWidth="1"/>
    <col min="7893" max="7895" width="13.28515625" customWidth="1"/>
    <col min="7896" max="7896" width="12.140625" bestFit="1" customWidth="1"/>
    <col min="7897" max="7897" width="12.7109375" bestFit="1" customWidth="1"/>
    <col min="7898" max="7898" width="11" customWidth="1"/>
    <col min="7899" max="7899" width="16.7109375" customWidth="1"/>
    <col min="7900" max="7900" width="17" customWidth="1"/>
    <col min="7901" max="7901" width="10.42578125" bestFit="1" customWidth="1"/>
    <col min="7945" max="7945" width="3.85546875" customWidth="1"/>
    <col min="7946" max="7946" width="15.28515625" bestFit="1" customWidth="1"/>
    <col min="7947" max="7947" width="12.28515625" customWidth="1"/>
    <col min="7948" max="7948" width="16.28515625" bestFit="1" customWidth="1"/>
    <col min="7949" max="7949" width="6.42578125" bestFit="1" customWidth="1"/>
    <col min="7950" max="7950" width="9.28515625" bestFit="1" customWidth="1"/>
    <col min="7951" max="7951" width="7.5703125" bestFit="1" customWidth="1"/>
    <col min="7952" max="7952" width="13.28515625" bestFit="1" customWidth="1"/>
    <col min="7953" max="7953" width="9.28515625" bestFit="1" customWidth="1"/>
    <col min="7954" max="7954" width="11.5703125" bestFit="1" customWidth="1"/>
    <col min="7955" max="7955" width="13.28515625" bestFit="1" customWidth="1"/>
    <col min="7956" max="7956" width="7.140625" bestFit="1" customWidth="1"/>
    <col min="7957" max="7957" width="12" bestFit="1" customWidth="1"/>
    <col min="7958" max="7958" width="13.28515625" bestFit="1" customWidth="1"/>
    <col min="7959" max="7959" width="7" bestFit="1" customWidth="1"/>
    <col min="7960" max="7960" width="12.7109375" bestFit="1" customWidth="1"/>
    <col min="7961" max="7961" width="11.5703125" bestFit="1" customWidth="1"/>
    <col min="7962" max="7962" width="10.5703125" bestFit="1" customWidth="1"/>
    <col min="7963" max="7964" width="15.7109375" bestFit="1" customWidth="1"/>
    <col min="7965" max="7965" width="11.5703125" bestFit="1" customWidth="1"/>
    <col min="7966" max="7966" width="7.7109375" bestFit="1" customWidth="1"/>
    <col min="7967" max="7967" width="15.140625" bestFit="1" customWidth="1"/>
    <col min="7968" max="7968" width="11.5703125" bestFit="1" customWidth="1"/>
    <col min="7969" max="7969" width="13.28515625" bestFit="1" customWidth="1"/>
    <col min="7970" max="7970" width="10.42578125" bestFit="1" customWidth="1"/>
    <col min="7971" max="7971" width="13.28515625" bestFit="1" customWidth="1"/>
    <col min="7972" max="7972" width="12.140625" bestFit="1" customWidth="1"/>
    <col min="7973" max="7973" width="14.42578125" bestFit="1" customWidth="1"/>
    <col min="7974" max="7974" width="13.28515625" bestFit="1" customWidth="1"/>
    <col min="7975" max="7975" width="11.5703125" bestFit="1" customWidth="1"/>
    <col min="7976" max="7976" width="7.7109375" bestFit="1" customWidth="1"/>
    <col min="7977" max="7978" width="14.42578125" bestFit="1" customWidth="1"/>
    <col min="7979" max="7979" width="11.5703125" bestFit="1" customWidth="1"/>
    <col min="7980" max="7980" width="7.7109375" bestFit="1" customWidth="1"/>
    <col min="7981" max="7981" width="13.5703125" customWidth="1"/>
    <col min="7982" max="7982" width="15.28515625" customWidth="1"/>
    <col min="7983" max="7983" width="14.5703125" customWidth="1"/>
    <col min="7984" max="7984" width="13.28515625" bestFit="1" customWidth="1"/>
    <col min="7985" max="7985" width="7.7109375" bestFit="1" customWidth="1"/>
    <col min="7986" max="7986" width="12.7109375" bestFit="1" customWidth="1"/>
    <col min="7987" max="7987" width="11.7109375" bestFit="1" customWidth="1"/>
    <col min="7988" max="7988" width="11.5703125" bestFit="1" customWidth="1"/>
    <col min="7989" max="7989" width="5.28515625" bestFit="1" customWidth="1"/>
    <col min="7990" max="7990" width="13.28515625" bestFit="1" customWidth="1"/>
    <col min="7991" max="7991" width="13.5703125" bestFit="1" customWidth="1"/>
    <col min="7992" max="7992" width="10.5703125" bestFit="1" customWidth="1"/>
    <col min="7993" max="7993" width="13.28515625" bestFit="1" customWidth="1"/>
    <col min="7994" max="7994" width="11.5703125" bestFit="1" customWidth="1"/>
    <col min="7995" max="7995" width="10.5703125" bestFit="1" customWidth="1"/>
    <col min="7996" max="7996" width="16.140625" bestFit="1" customWidth="1"/>
    <col min="7997" max="7998" width="11.28515625" bestFit="1" customWidth="1"/>
    <col min="7999" max="7999" width="13.28515625" bestFit="1" customWidth="1"/>
    <col min="8000" max="8000" width="7.7109375" bestFit="1" customWidth="1"/>
    <col min="8001" max="8004" width="9.140625" hidden="1" customWidth="1"/>
    <col min="8005" max="8005" width="10.42578125" bestFit="1" customWidth="1"/>
    <col min="8006" max="8006" width="10.5703125" bestFit="1" customWidth="1"/>
    <col min="8007" max="8007" width="10.42578125" bestFit="1" customWidth="1"/>
    <col min="8008" max="8008" width="10.5703125" bestFit="1" customWidth="1"/>
    <col min="8009" max="8009" width="9.5703125" bestFit="1" customWidth="1"/>
    <col min="8010" max="8010" width="11.5703125" bestFit="1" customWidth="1"/>
    <col min="8011" max="8011" width="10.42578125" bestFit="1" customWidth="1"/>
    <col min="8012" max="8012" width="10.85546875" customWidth="1"/>
    <col min="8013" max="8014" width="9.85546875" bestFit="1" customWidth="1"/>
    <col min="8015" max="8015" width="13.5703125" bestFit="1" customWidth="1"/>
    <col min="8016" max="8016" width="7.7109375" bestFit="1" customWidth="1"/>
    <col min="8017" max="8017" width="13.28515625" bestFit="1" customWidth="1"/>
    <col min="8018" max="8018" width="11.5703125" bestFit="1" customWidth="1"/>
    <col min="8019" max="8019" width="10.42578125" bestFit="1" customWidth="1"/>
    <col min="8020" max="8020" width="7.7109375" bestFit="1" customWidth="1"/>
    <col min="8021" max="8021" width="11.5703125" bestFit="1" customWidth="1"/>
    <col min="8022" max="8022" width="10.85546875" bestFit="1" customWidth="1"/>
    <col min="8023" max="8023" width="13.28515625" bestFit="1" customWidth="1"/>
    <col min="8024" max="8024" width="10.85546875" bestFit="1" customWidth="1"/>
    <col min="8025" max="8026" width="7.5703125" bestFit="1" customWidth="1"/>
    <col min="8027" max="8028" width="10.42578125" bestFit="1" customWidth="1"/>
    <col min="8029" max="8029" width="11.5703125" bestFit="1" customWidth="1"/>
    <col min="8030" max="8030" width="5.28515625" bestFit="1" customWidth="1"/>
    <col min="8031" max="8031" width="10.28515625" bestFit="1" customWidth="1"/>
    <col min="8032" max="8032" width="10.42578125" bestFit="1" customWidth="1"/>
    <col min="8033" max="8033" width="11.5703125" bestFit="1" customWidth="1"/>
    <col min="8034" max="8034" width="5.28515625" bestFit="1" customWidth="1"/>
    <col min="8035" max="8037" width="11.5703125" bestFit="1" customWidth="1"/>
    <col min="8038" max="8038" width="5.28515625" bestFit="1" customWidth="1"/>
    <col min="8039" max="8040" width="10.42578125" bestFit="1" customWidth="1"/>
    <col min="8041" max="8041" width="11.5703125" bestFit="1" customWidth="1"/>
    <col min="8042" max="8042" width="5.28515625" bestFit="1" customWidth="1"/>
    <col min="8043" max="8043" width="14.28515625" bestFit="1" customWidth="1"/>
    <col min="8044" max="8044" width="13" bestFit="1" customWidth="1"/>
    <col min="8045" max="8045" width="11.5703125" bestFit="1" customWidth="1"/>
    <col min="8046" max="8046" width="8.85546875" bestFit="1" customWidth="1"/>
    <col min="8047" max="8047" width="14.42578125" bestFit="1" customWidth="1"/>
    <col min="8048" max="8048" width="10.42578125" bestFit="1" customWidth="1"/>
    <col min="8049" max="8049" width="12.28515625" bestFit="1" customWidth="1"/>
    <col min="8050" max="8050" width="13.85546875" bestFit="1" customWidth="1"/>
    <col min="8051" max="8051" width="11.28515625" customWidth="1"/>
    <col min="8052" max="8052" width="11.5703125" customWidth="1"/>
    <col min="8053" max="8053" width="13.42578125" bestFit="1" customWidth="1"/>
    <col min="8054" max="8054" width="10.42578125" customWidth="1"/>
    <col min="8055" max="8055" width="13.85546875" bestFit="1" customWidth="1"/>
    <col min="8056" max="8056" width="15.42578125" bestFit="1" customWidth="1"/>
    <col min="8057" max="8057" width="12.28515625" bestFit="1" customWidth="1"/>
    <col min="8058" max="8058" width="12.7109375" customWidth="1"/>
    <col min="8059" max="8059" width="10.7109375" bestFit="1" customWidth="1"/>
    <col min="8060" max="8060" width="9.85546875" customWidth="1"/>
    <col min="8061" max="8062" width="10.140625" bestFit="1" customWidth="1"/>
    <col min="8063" max="8063" width="7.5703125" bestFit="1" customWidth="1"/>
    <col min="8064" max="8064" width="9.42578125" bestFit="1" customWidth="1"/>
    <col min="8065" max="8065" width="14.5703125" bestFit="1" customWidth="1"/>
    <col min="8066" max="8066" width="14.85546875" customWidth="1"/>
    <col min="8067" max="8067" width="15.140625" bestFit="1" customWidth="1"/>
    <col min="8068" max="8068" width="12.140625" bestFit="1" customWidth="1"/>
    <col min="8069" max="8069" width="14.85546875" bestFit="1" customWidth="1"/>
    <col min="8070" max="8070" width="12.28515625" bestFit="1" customWidth="1"/>
    <col min="8071" max="8079" width="9.140625" hidden="1" customWidth="1"/>
    <col min="8080" max="8080" width="5.28515625" bestFit="1" customWidth="1"/>
    <col min="8081" max="8086" width="11.5703125" bestFit="1" customWidth="1"/>
    <col min="8087" max="8087" width="11.28515625" bestFit="1" customWidth="1"/>
    <col min="8088" max="8088" width="10.140625" bestFit="1" customWidth="1"/>
    <col min="8089" max="8089" width="11.5703125" bestFit="1" customWidth="1"/>
    <col min="8090" max="8090" width="16.140625" customWidth="1"/>
    <col min="8091" max="8091" width="13.42578125" customWidth="1"/>
    <col min="8092" max="8092" width="10.140625" bestFit="1" customWidth="1"/>
    <col min="8093" max="8093" width="12.85546875" bestFit="1" customWidth="1"/>
    <col min="8094" max="8094" width="12.28515625" bestFit="1" customWidth="1"/>
    <col min="8095" max="8095" width="11.28515625" bestFit="1" customWidth="1"/>
    <col min="8096" max="8096" width="11.5703125" bestFit="1" customWidth="1"/>
    <col min="8097" max="8097" width="10.85546875" bestFit="1" customWidth="1"/>
    <col min="8098" max="8098" width="11.28515625" bestFit="1" customWidth="1"/>
    <col min="8099" max="8099" width="10.140625" bestFit="1" customWidth="1"/>
    <col min="8100" max="8100" width="13.28515625" bestFit="1" customWidth="1"/>
    <col min="8101" max="8102" width="12.7109375" bestFit="1" customWidth="1"/>
    <col min="8103" max="8103" width="11" bestFit="1" customWidth="1"/>
    <col min="8104" max="8104" width="11.28515625" bestFit="1" customWidth="1"/>
    <col min="8105" max="8105" width="11.5703125" bestFit="1" customWidth="1"/>
    <col min="8106" max="8106" width="12.28515625" bestFit="1" customWidth="1"/>
    <col min="8107" max="8107" width="15.140625" bestFit="1" customWidth="1"/>
    <col min="8108" max="8108" width="14.42578125" bestFit="1" customWidth="1"/>
    <col min="8109" max="8109" width="12.28515625" bestFit="1" customWidth="1"/>
    <col min="8110" max="8110" width="15.140625" bestFit="1" customWidth="1"/>
    <col min="8111" max="8111" width="14.42578125" bestFit="1" customWidth="1"/>
    <col min="8112" max="8112" width="12.28515625" bestFit="1" customWidth="1"/>
    <col min="8113" max="8113" width="14.42578125" bestFit="1" customWidth="1"/>
    <col min="8114" max="8114" width="11.28515625" bestFit="1" customWidth="1"/>
    <col min="8115" max="8115" width="12.28515625" bestFit="1" customWidth="1"/>
    <col min="8116" max="8116" width="13" bestFit="1" customWidth="1"/>
    <col min="8117" max="8117" width="15.140625" bestFit="1" customWidth="1"/>
    <col min="8118" max="8118" width="12.28515625" bestFit="1" customWidth="1"/>
    <col min="8119" max="8119" width="13.85546875" bestFit="1" customWidth="1"/>
    <col min="8120" max="8120" width="11.28515625" bestFit="1" customWidth="1"/>
    <col min="8121" max="8121" width="12.28515625" bestFit="1" customWidth="1"/>
    <col min="8122" max="8122" width="13.85546875" bestFit="1" customWidth="1"/>
    <col min="8123" max="8124" width="15.140625" bestFit="1" customWidth="1"/>
    <col min="8125" max="8125" width="12.28515625" bestFit="1" customWidth="1"/>
    <col min="8126" max="8126" width="5.7109375" bestFit="1" customWidth="1"/>
    <col min="8127" max="8127" width="8.5703125" bestFit="1" customWidth="1"/>
    <col min="8128" max="8128" width="5.5703125" bestFit="1" customWidth="1"/>
    <col min="8129" max="8129" width="14.42578125" bestFit="1" customWidth="1"/>
    <col min="8130" max="8130" width="11.28515625" bestFit="1" customWidth="1"/>
    <col min="8131" max="8132" width="12.28515625" bestFit="1" customWidth="1"/>
    <col min="8133" max="8133" width="11.28515625" bestFit="1" customWidth="1"/>
    <col min="8134" max="8134" width="13.85546875" bestFit="1" customWidth="1"/>
    <col min="8135" max="8135" width="12" bestFit="1" customWidth="1"/>
    <col min="8136" max="8136" width="13.85546875" bestFit="1" customWidth="1"/>
    <col min="8137" max="8138" width="14.42578125" customWidth="1"/>
    <col min="8139" max="8139" width="10.140625" bestFit="1" customWidth="1"/>
    <col min="8140" max="8140" width="12.28515625" bestFit="1" customWidth="1"/>
    <col min="8141" max="8141" width="7.42578125" bestFit="1" customWidth="1"/>
    <col min="8142" max="8142" width="8.5703125" bestFit="1" customWidth="1"/>
    <col min="8143" max="8143" width="11.5703125" bestFit="1" customWidth="1"/>
    <col min="8144" max="8144" width="13.28515625" bestFit="1" customWidth="1"/>
    <col min="8145" max="8145" width="13.28515625" customWidth="1"/>
    <col min="8146" max="8146" width="13.140625" customWidth="1"/>
    <col min="8147" max="8147" width="12.7109375" bestFit="1" customWidth="1"/>
    <col min="8148" max="8148" width="13.28515625" bestFit="1" customWidth="1"/>
    <col min="8149" max="8151" width="13.28515625" customWidth="1"/>
    <col min="8152" max="8152" width="12.140625" bestFit="1" customWidth="1"/>
    <col min="8153" max="8153" width="12.7109375" bestFit="1" customWidth="1"/>
    <col min="8154" max="8154" width="11" customWidth="1"/>
    <col min="8155" max="8155" width="16.7109375" customWidth="1"/>
    <col min="8156" max="8156" width="17" customWidth="1"/>
    <col min="8157" max="8157" width="10.42578125" bestFit="1" customWidth="1"/>
    <col min="8201" max="8201" width="3.85546875" customWidth="1"/>
    <col min="8202" max="8202" width="15.28515625" bestFit="1" customWidth="1"/>
    <col min="8203" max="8203" width="12.28515625" customWidth="1"/>
    <col min="8204" max="8204" width="16.28515625" bestFit="1" customWidth="1"/>
    <col min="8205" max="8205" width="6.42578125" bestFit="1" customWidth="1"/>
    <col min="8206" max="8206" width="9.28515625" bestFit="1" customWidth="1"/>
    <col min="8207" max="8207" width="7.5703125" bestFit="1" customWidth="1"/>
    <col min="8208" max="8208" width="13.28515625" bestFit="1" customWidth="1"/>
    <col min="8209" max="8209" width="9.28515625" bestFit="1" customWidth="1"/>
    <col min="8210" max="8210" width="11.5703125" bestFit="1" customWidth="1"/>
    <col min="8211" max="8211" width="13.28515625" bestFit="1" customWidth="1"/>
    <col min="8212" max="8212" width="7.140625" bestFit="1" customWidth="1"/>
    <col min="8213" max="8213" width="12" bestFit="1" customWidth="1"/>
    <col min="8214" max="8214" width="13.28515625" bestFit="1" customWidth="1"/>
    <col min="8215" max="8215" width="7" bestFit="1" customWidth="1"/>
    <col min="8216" max="8216" width="12.7109375" bestFit="1" customWidth="1"/>
    <col min="8217" max="8217" width="11.5703125" bestFit="1" customWidth="1"/>
    <col min="8218" max="8218" width="10.5703125" bestFit="1" customWidth="1"/>
    <col min="8219" max="8220" width="15.7109375" bestFit="1" customWidth="1"/>
    <col min="8221" max="8221" width="11.5703125" bestFit="1" customWidth="1"/>
    <col min="8222" max="8222" width="7.7109375" bestFit="1" customWidth="1"/>
    <col min="8223" max="8223" width="15.140625" bestFit="1" customWidth="1"/>
    <col min="8224" max="8224" width="11.5703125" bestFit="1" customWidth="1"/>
    <col min="8225" max="8225" width="13.28515625" bestFit="1" customWidth="1"/>
    <col min="8226" max="8226" width="10.42578125" bestFit="1" customWidth="1"/>
    <col min="8227" max="8227" width="13.28515625" bestFit="1" customWidth="1"/>
    <col min="8228" max="8228" width="12.140625" bestFit="1" customWidth="1"/>
    <col min="8229" max="8229" width="14.42578125" bestFit="1" customWidth="1"/>
    <col min="8230" max="8230" width="13.28515625" bestFit="1" customWidth="1"/>
    <col min="8231" max="8231" width="11.5703125" bestFit="1" customWidth="1"/>
    <col min="8232" max="8232" width="7.7109375" bestFit="1" customWidth="1"/>
    <col min="8233" max="8234" width="14.42578125" bestFit="1" customWidth="1"/>
    <col min="8235" max="8235" width="11.5703125" bestFit="1" customWidth="1"/>
    <col min="8236" max="8236" width="7.7109375" bestFit="1" customWidth="1"/>
    <col min="8237" max="8237" width="13.5703125" customWidth="1"/>
    <col min="8238" max="8238" width="15.28515625" customWidth="1"/>
    <col min="8239" max="8239" width="14.5703125" customWidth="1"/>
    <col min="8240" max="8240" width="13.28515625" bestFit="1" customWidth="1"/>
    <col min="8241" max="8241" width="7.7109375" bestFit="1" customWidth="1"/>
    <col min="8242" max="8242" width="12.7109375" bestFit="1" customWidth="1"/>
    <col min="8243" max="8243" width="11.7109375" bestFit="1" customWidth="1"/>
    <col min="8244" max="8244" width="11.5703125" bestFit="1" customWidth="1"/>
    <col min="8245" max="8245" width="5.28515625" bestFit="1" customWidth="1"/>
    <col min="8246" max="8246" width="13.28515625" bestFit="1" customWidth="1"/>
    <col min="8247" max="8247" width="13.5703125" bestFit="1" customWidth="1"/>
    <col min="8248" max="8248" width="10.5703125" bestFit="1" customWidth="1"/>
    <col min="8249" max="8249" width="13.28515625" bestFit="1" customWidth="1"/>
    <col min="8250" max="8250" width="11.5703125" bestFit="1" customWidth="1"/>
    <col min="8251" max="8251" width="10.5703125" bestFit="1" customWidth="1"/>
    <col min="8252" max="8252" width="16.140625" bestFit="1" customWidth="1"/>
    <col min="8253" max="8254" width="11.28515625" bestFit="1" customWidth="1"/>
    <col min="8255" max="8255" width="13.28515625" bestFit="1" customWidth="1"/>
    <col min="8256" max="8256" width="7.7109375" bestFit="1" customWidth="1"/>
    <col min="8257" max="8260" width="9.140625" hidden="1" customWidth="1"/>
    <col min="8261" max="8261" width="10.42578125" bestFit="1" customWidth="1"/>
    <col min="8262" max="8262" width="10.5703125" bestFit="1" customWidth="1"/>
    <col min="8263" max="8263" width="10.42578125" bestFit="1" customWidth="1"/>
    <col min="8264" max="8264" width="10.5703125" bestFit="1" customWidth="1"/>
    <col min="8265" max="8265" width="9.5703125" bestFit="1" customWidth="1"/>
    <col min="8266" max="8266" width="11.5703125" bestFit="1" customWidth="1"/>
    <col min="8267" max="8267" width="10.42578125" bestFit="1" customWidth="1"/>
    <col min="8268" max="8268" width="10.85546875" customWidth="1"/>
    <col min="8269" max="8270" width="9.85546875" bestFit="1" customWidth="1"/>
    <col min="8271" max="8271" width="13.5703125" bestFit="1" customWidth="1"/>
    <col min="8272" max="8272" width="7.7109375" bestFit="1" customWidth="1"/>
    <col min="8273" max="8273" width="13.28515625" bestFit="1" customWidth="1"/>
    <col min="8274" max="8274" width="11.5703125" bestFit="1" customWidth="1"/>
    <col min="8275" max="8275" width="10.42578125" bestFit="1" customWidth="1"/>
    <col min="8276" max="8276" width="7.7109375" bestFit="1" customWidth="1"/>
    <col min="8277" max="8277" width="11.5703125" bestFit="1" customWidth="1"/>
    <col min="8278" max="8278" width="10.85546875" bestFit="1" customWidth="1"/>
    <col min="8279" max="8279" width="13.28515625" bestFit="1" customWidth="1"/>
    <col min="8280" max="8280" width="10.85546875" bestFit="1" customWidth="1"/>
    <col min="8281" max="8282" width="7.5703125" bestFit="1" customWidth="1"/>
    <col min="8283" max="8284" width="10.42578125" bestFit="1" customWidth="1"/>
    <col min="8285" max="8285" width="11.5703125" bestFit="1" customWidth="1"/>
    <col min="8286" max="8286" width="5.28515625" bestFit="1" customWidth="1"/>
    <col min="8287" max="8287" width="10.28515625" bestFit="1" customWidth="1"/>
    <col min="8288" max="8288" width="10.42578125" bestFit="1" customWidth="1"/>
    <col min="8289" max="8289" width="11.5703125" bestFit="1" customWidth="1"/>
    <col min="8290" max="8290" width="5.28515625" bestFit="1" customWidth="1"/>
    <col min="8291" max="8293" width="11.5703125" bestFit="1" customWidth="1"/>
    <col min="8294" max="8294" width="5.28515625" bestFit="1" customWidth="1"/>
    <col min="8295" max="8296" width="10.42578125" bestFit="1" customWidth="1"/>
    <col min="8297" max="8297" width="11.5703125" bestFit="1" customWidth="1"/>
    <col min="8298" max="8298" width="5.28515625" bestFit="1" customWidth="1"/>
    <col min="8299" max="8299" width="14.28515625" bestFit="1" customWidth="1"/>
    <col min="8300" max="8300" width="13" bestFit="1" customWidth="1"/>
    <col min="8301" max="8301" width="11.5703125" bestFit="1" customWidth="1"/>
    <col min="8302" max="8302" width="8.85546875" bestFit="1" customWidth="1"/>
    <col min="8303" max="8303" width="14.42578125" bestFit="1" customWidth="1"/>
    <col min="8304" max="8304" width="10.42578125" bestFit="1" customWidth="1"/>
    <col min="8305" max="8305" width="12.28515625" bestFit="1" customWidth="1"/>
    <col min="8306" max="8306" width="13.85546875" bestFit="1" customWidth="1"/>
    <col min="8307" max="8307" width="11.28515625" customWidth="1"/>
    <col min="8308" max="8308" width="11.5703125" customWidth="1"/>
    <col min="8309" max="8309" width="13.42578125" bestFit="1" customWidth="1"/>
    <col min="8310" max="8310" width="10.42578125" customWidth="1"/>
    <col min="8311" max="8311" width="13.85546875" bestFit="1" customWidth="1"/>
    <col min="8312" max="8312" width="15.42578125" bestFit="1" customWidth="1"/>
    <col min="8313" max="8313" width="12.28515625" bestFit="1" customWidth="1"/>
    <col min="8314" max="8314" width="12.7109375" customWidth="1"/>
    <col min="8315" max="8315" width="10.7109375" bestFit="1" customWidth="1"/>
    <col min="8316" max="8316" width="9.85546875" customWidth="1"/>
    <col min="8317" max="8318" width="10.140625" bestFit="1" customWidth="1"/>
    <col min="8319" max="8319" width="7.5703125" bestFit="1" customWidth="1"/>
    <col min="8320" max="8320" width="9.42578125" bestFit="1" customWidth="1"/>
    <col min="8321" max="8321" width="14.5703125" bestFit="1" customWidth="1"/>
    <col min="8322" max="8322" width="14.85546875" customWidth="1"/>
    <col min="8323" max="8323" width="15.140625" bestFit="1" customWidth="1"/>
    <col min="8324" max="8324" width="12.140625" bestFit="1" customWidth="1"/>
    <col min="8325" max="8325" width="14.85546875" bestFit="1" customWidth="1"/>
    <col min="8326" max="8326" width="12.28515625" bestFit="1" customWidth="1"/>
    <col min="8327" max="8335" width="9.140625" hidden="1" customWidth="1"/>
    <col min="8336" max="8336" width="5.28515625" bestFit="1" customWidth="1"/>
    <col min="8337" max="8342" width="11.5703125" bestFit="1" customWidth="1"/>
    <col min="8343" max="8343" width="11.28515625" bestFit="1" customWidth="1"/>
    <col min="8344" max="8344" width="10.140625" bestFit="1" customWidth="1"/>
    <col min="8345" max="8345" width="11.5703125" bestFit="1" customWidth="1"/>
    <col min="8346" max="8346" width="16.140625" customWidth="1"/>
    <col min="8347" max="8347" width="13.42578125" customWidth="1"/>
    <col min="8348" max="8348" width="10.140625" bestFit="1" customWidth="1"/>
    <col min="8349" max="8349" width="12.85546875" bestFit="1" customWidth="1"/>
    <col min="8350" max="8350" width="12.28515625" bestFit="1" customWidth="1"/>
    <col min="8351" max="8351" width="11.28515625" bestFit="1" customWidth="1"/>
    <col min="8352" max="8352" width="11.5703125" bestFit="1" customWidth="1"/>
    <col min="8353" max="8353" width="10.85546875" bestFit="1" customWidth="1"/>
    <col min="8354" max="8354" width="11.28515625" bestFit="1" customWidth="1"/>
    <col min="8355" max="8355" width="10.140625" bestFit="1" customWidth="1"/>
    <col min="8356" max="8356" width="13.28515625" bestFit="1" customWidth="1"/>
    <col min="8357" max="8358" width="12.7109375" bestFit="1" customWidth="1"/>
    <col min="8359" max="8359" width="11" bestFit="1" customWidth="1"/>
    <col min="8360" max="8360" width="11.28515625" bestFit="1" customWidth="1"/>
    <col min="8361" max="8361" width="11.5703125" bestFit="1" customWidth="1"/>
    <col min="8362" max="8362" width="12.28515625" bestFit="1" customWidth="1"/>
    <col min="8363" max="8363" width="15.140625" bestFit="1" customWidth="1"/>
    <col min="8364" max="8364" width="14.42578125" bestFit="1" customWidth="1"/>
    <col min="8365" max="8365" width="12.28515625" bestFit="1" customWidth="1"/>
    <col min="8366" max="8366" width="15.140625" bestFit="1" customWidth="1"/>
    <col min="8367" max="8367" width="14.42578125" bestFit="1" customWidth="1"/>
    <col min="8368" max="8368" width="12.28515625" bestFit="1" customWidth="1"/>
    <col min="8369" max="8369" width="14.42578125" bestFit="1" customWidth="1"/>
    <col min="8370" max="8370" width="11.28515625" bestFit="1" customWidth="1"/>
    <col min="8371" max="8371" width="12.28515625" bestFit="1" customWidth="1"/>
    <col min="8372" max="8372" width="13" bestFit="1" customWidth="1"/>
    <col min="8373" max="8373" width="15.140625" bestFit="1" customWidth="1"/>
    <col min="8374" max="8374" width="12.28515625" bestFit="1" customWidth="1"/>
    <col min="8375" max="8375" width="13.85546875" bestFit="1" customWidth="1"/>
    <col min="8376" max="8376" width="11.28515625" bestFit="1" customWidth="1"/>
    <col min="8377" max="8377" width="12.28515625" bestFit="1" customWidth="1"/>
    <col min="8378" max="8378" width="13.85546875" bestFit="1" customWidth="1"/>
    <col min="8379" max="8380" width="15.140625" bestFit="1" customWidth="1"/>
    <col min="8381" max="8381" width="12.28515625" bestFit="1" customWidth="1"/>
    <col min="8382" max="8382" width="5.7109375" bestFit="1" customWidth="1"/>
    <col min="8383" max="8383" width="8.5703125" bestFit="1" customWidth="1"/>
    <col min="8384" max="8384" width="5.5703125" bestFit="1" customWidth="1"/>
    <col min="8385" max="8385" width="14.42578125" bestFit="1" customWidth="1"/>
    <col min="8386" max="8386" width="11.28515625" bestFit="1" customWidth="1"/>
    <col min="8387" max="8388" width="12.28515625" bestFit="1" customWidth="1"/>
    <col min="8389" max="8389" width="11.28515625" bestFit="1" customWidth="1"/>
    <col min="8390" max="8390" width="13.85546875" bestFit="1" customWidth="1"/>
    <col min="8391" max="8391" width="12" bestFit="1" customWidth="1"/>
    <col min="8392" max="8392" width="13.85546875" bestFit="1" customWidth="1"/>
    <col min="8393" max="8394" width="14.42578125" customWidth="1"/>
    <col min="8395" max="8395" width="10.140625" bestFit="1" customWidth="1"/>
    <col min="8396" max="8396" width="12.28515625" bestFit="1" customWidth="1"/>
    <col min="8397" max="8397" width="7.42578125" bestFit="1" customWidth="1"/>
    <col min="8398" max="8398" width="8.5703125" bestFit="1" customWidth="1"/>
    <col min="8399" max="8399" width="11.5703125" bestFit="1" customWidth="1"/>
    <col min="8400" max="8400" width="13.28515625" bestFit="1" customWidth="1"/>
    <col min="8401" max="8401" width="13.28515625" customWidth="1"/>
    <col min="8402" max="8402" width="13.140625" customWidth="1"/>
    <col min="8403" max="8403" width="12.7109375" bestFit="1" customWidth="1"/>
    <col min="8404" max="8404" width="13.28515625" bestFit="1" customWidth="1"/>
    <col min="8405" max="8407" width="13.28515625" customWidth="1"/>
    <col min="8408" max="8408" width="12.140625" bestFit="1" customWidth="1"/>
    <col min="8409" max="8409" width="12.7109375" bestFit="1" customWidth="1"/>
    <col min="8410" max="8410" width="11" customWidth="1"/>
    <col min="8411" max="8411" width="16.7109375" customWidth="1"/>
    <col min="8412" max="8412" width="17" customWidth="1"/>
    <col min="8413" max="8413" width="10.42578125" bestFit="1" customWidth="1"/>
    <col min="8457" max="8457" width="3.85546875" customWidth="1"/>
    <col min="8458" max="8458" width="15.28515625" bestFit="1" customWidth="1"/>
    <col min="8459" max="8459" width="12.28515625" customWidth="1"/>
    <col min="8460" max="8460" width="16.28515625" bestFit="1" customWidth="1"/>
    <col min="8461" max="8461" width="6.42578125" bestFit="1" customWidth="1"/>
    <col min="8462" max="8462" width="9.28515625" bestFit="1" customWidth="1"/>
    <col min="8463" max="8463" width="7.5703125" bestFit="1" customWidth="1"/>
    <col min="8464" max="8464" width="13.28515625" bestFit="1" customWidth="1"/>
    <col min="8465" max="8465" width="9.28515625" bestFit="1" customWidth="1"/>
    <col min="8466" max="8466" width="11.5703125" bestFit="1" customWidth="1"/>
    <col min="8467" max="8467" width="13.28515625" bestFit="1" customWidth="1"/>
    <col min="8468" max="8468" width="7.140625" bestFit="1" customWidth="1"/>
    <col min="8469" max="8469" width="12" bestFit="1" customWidth="1"/>
    <col min="8470" max="8470" width="13.28515625" bestFit="1" customWidth="1"/>
    <col min="8471" max="8471" width="7" bestFit="1" customWidth="1"/>
    <col min="8472" max="8472" width="12.7109375" bestFit="1" customWidth="1"/>
    <col min="8473" max="8473" width="11.5703125" bestFit="1" customWidth="1"/>
    <col min="8474" max="8474" width="10.5703125" bestFit="1" customWidth="1"/>
    <col min="8475" max="8476" width="15.7109375" bestFit="1" customWidth="1"/>
    <col min="8477" max="8477" width="11.5703125" bestFit="1" customWidth="1"/>
    <col min="8478" max="8478" width="7.7109375" bestFit="1" customWidth="1"/>
    <col min="8479" max="8479" width="15.140625" bestFit="1" customWidth="1"/>
    <col min="8480" max="8480" width="11.5703125" bestFit="1" customWidth="1"/>
    <col min="8481" max="8481" width="13.28515625" bestFit="1" customWidth="1"/>
    <col min="8482" max="8482" width="10.42578125" bestFit="1" customWidth="1"/>
    <col min="8483" max="8483" width="13.28515625" bestFit="1" customWidth="1"/>
    <col min="8484" max="8484" width="12.140625" bestFit="1" customWidth="1"/>
    <col min="8485" max="8485" width="14.42578125" bestFit="1" customWidth="1"/>
    <col min="8486" max="8486" width="13.28515625" bestFit="1" customWidth="1"/>
    <col min="8487" max="8487" width="11.5703125" bestFit="1" customWidth="1"/>
    <col min="8488" max="8488" width="7.7109375" bestFit="1" customWidth="1"/>
    <col min="8489" max="8490" width="14.42578125" bestFit="1" customWidth="1"/>
    <col min="8491" max="8491" width="11.5703125" bestFit="1" customWidth="1"/>
    <col min="8492" max="8492" width="7.7109375" bestFit="1" customWidth="1"/>
    <col min="8493" max="8493" width="13.5703125" customWidth="1"/>
    <col min="8494" max="8494" width="15.28515625" customWidth="1"/>
    <col min="8495" max="8495" width="14.5703125" customWidth="1"/>
    <col min="8496" max="8496" width="13.28515625" bestFit="1" customWidth="1"/>
    <col min="8497" max="8497" width="7.7109375" bestFit="1" customWidth="1"/>
    <col min="8498" max="8498" width="12.7109375" bestFit="1" customWidth="1"/>
    <col min="8499" max="8499" width="11.7109375" bestFit="1" customWidth="1"/>
    <col min="8500" max="8500" width="11.5703125" bestFit="1" customWidth="1"/>
    <col min="8501" max="8501" width="5.28515625" bestFit="1" customWidth="1"/>
    <col min="8502" max="8502" width="13.28515625" bestFit="1" customWidth="1"/>
    <col min="8503" max="8503" width="13.5703125" bestFit="1" customWidth="1"/>
    <col min="8504" max="8504" width="10.5703125" bestFit="1" customWidth="1"/>
    <col min="8505" max="8505" width="13.28515625" bestFit="1" customWidth="1"/>
    <col min="8506" max="8506" width="11.5703125" bestFit="1" customWidth="1"/>
    <col min="8507" max="8507" width="10.5703125" bestFit="1" customWidth="1"/>
    <col min="8508" max="8508" width="16.140625" bestFit="1" customWidth="1"/>
    <col min="8509" max="8510" width="11.28515625" bestFit="1" customWidth="1"/>
    <col min="8511" max="8511" width="13.28515625" bestFit="1" customWidth="1"/>
    <col min="8512" max="8512" width="7.7109375" bestFit="1" customWidth="1"/>
    <col min="8513" max="8516" width="9.140625" hidden="1" customWidth="1"/>
    <col min="8517" max="8517" width="10.42578125" bestFit="1" customWidth="1"/>
    <col min="8518" max="8518" width="10.5703125" bestFit="1" customWidth="1"/>
    <col min="8519" max="8519" width="10.42578125" bestFit="1" customWidth="1"/>
    <col min="8520" max="8520" width="10.5703125" bestFit="1" customWidth="1"/>
    <col min="8521" max="8521" width="9.5703125" bestFit="1" customWidth="1"/>
    <col min="8522" max="8522" width="11.5703125" bestFit="1" customWidth="1"/>
    <col min="8523" max="8523" width="10.42578125" bestFit="1" customWidth="1"/>
    <col min="8524" max="8524" width="10.85546875" customWidth="1"/>
    <col min="8525" max="8526" width="9.85546875" bestFit="1" customWidth="1"/>
    <col min="8527" max="8527" width="13.5703125" bestFit="1" customWidth="1"/>
    <col min="8528" max="8528" width="7.7109375" bestFit="1" customWidth="1"/>
    <col min="8529" max="8529" width="13.28515625" bestFit="1" customWidth="1"/>
    <col min="8530" max="8530" width="11.5703125" bestFit="1" customWidth="1"/>
    <col min="8531" max="8531" width="10.42578125" bestFit="1" customWidth="1"/>
    <col min="8532" max="8532" width="7.7109375" bestFit="1" customWidth="1"/>
    <col min="8533" max="8533" width="11.5703125" bestFit="1" customWidth="1"/>
    <col min="8534" max="8534" width="10.85546875" bestFit="1" customWidth="1"/>
    <col min="8535" max="8535" width="13.28515625" bestFit="1" customWidth="1"/>
    <col min="8536" max="8536" width="10.85546875" bestFit="1" customWidth="1"/>
    <col min="8537" max="8538" width="7.5703125" bestFit="1" customWidth="1"/>
    <col min="8539" max="8540" width="10.42578125" bestFit="1" customWidth="1"/>
    <col min="8541" max="8541" width="11.5703125" bestFit="1" customWidth="1"/>
    <col min="8542" max="8542" width="5.28515625" bestFit="1" customWidth="1"/>
    <col min="8543" max="8543" width="10.28515625" bestFit="1" customWidth="1"/>
    <col min="8544" max="8544" width="10.42578125" bestFit="1" customWidth="1"/>
    <col min="8545" max="8545" width="11.5703125" bestFit="1" customWidth="1"/>
    <col min="8546" max="8546" width="5.28515625" bestFit="1" customWidth="1"/>
    <col min="8547" max="8549" width="11.5703125" bestFit="1" customWidth="1"/>
    <col min="8550" max="8550" width="5.28515625" bestFit="1" customWidth="1"/>
    <col min="8551" max="8552" width="10.42578125" bestFit="1" customWidth="1"/>
    <col min="8553" max="8553" width="11.5703125" bestFit="1" customWidth="1"/>
    <col min="8554" max="8554" width="5.28515625" bestFit="1" customWidth="1"/>
    <col min="8555" max="8555" width="14.28515625" bestFit="1" customWidth="1"/>
    <col min="8556" max="8556" width="13" bestFit="1" customWidth="1"/>
    <col min="8557" max="8557" width="11.5703125" bestFit="1" customWidth="1"/>
    <col min="8558" max="8558" width="8.85546875" bestFit="1" customWidth="1"/>
    <col min="8559" max="8559" width="14.42578125" bestFit="1" customWidth="1"/>
    <col min="8560" max="8560" width="10.42578125" bestFit="1" customWidth="1"/>
    <col min="8561" max="8561" width="12.28515625" bestFit="1" customWidth="1"/>
    <col min="8562" max="8562" width="13.85546875" bestFit="1" customWidth="1"/>
    <col min="8563" max="8563" width="11.28515625" customWidth="1"/>
    <col min="8564" max="8564" width="11.5703125" customWidth="1"/>
    <col min="8565" max="8565" width="13.42578125" bestFit="1" customWidth="1"/>
    <col min="8566" max="8566" width="10.42578125" customWidth="1"/>
    <col min="8567" max="8567" width="13.85546875" bestFit="1" customWidth="1"/>
    <col min="8568" max="8568" width="15.42578125" bestFit="1" customWidth="1"/>
    <col min="8569" max="8569" width="12.28515625" bestFit="1" customWidth="1"/>
    <col min="8570" max="8570" width="12.7109375" customWidth="1"/>
    <col min="8571" max="8571" width="10.7109375" bestFit="1" customWidth="1"/>
    <col min="8572" max="8572" width="9.85546875" customWidth="1"/>
    <col min="8573" max="8574" width="10.140625" bestFit="1" customWidth="1"/>
    <col min="8575" max="8575" width="7.5703125" bestFit="1" customWidth="1"/>
    <col min="8576" max="8576" width="9.42578125" bestFit="1" customWidth="1"/>
    <col min="8577" max="8577" width="14.5703125" bestFit="1" customWidth="1"/>
    <col min="8578" max="8578" width="14.85546875" customWidth="1"/>
    <col min="8579" max="8579" width="15.140625" bestFit="1" customWidth="1"/>
    <col min="8580" max="8580" width="12.140625" bestFit="1" customWidth="1"/>
    <col min="8581" max="8581" width="14.85546875" bestFit="1" customWidth="1"/>
    <col min="8582" max="8582" width="12.28515625" bestFit="1" customWidth="1"/>
    <col min="8583" max="8591" width="9.140625" hidden="1" customWidth="1"/>
    <col min="8592" max="8592" width="5.28515625" bestFit="1" customWidth="1"/>
    <col min="8593" max="8598" width="11.5703125" bestFit="1" customWidth="1"/>
    <col min="8599" max="8599" width="11.28515625" bestFit="1" customWidth="1"/>
    <col min="8600" max="8600" width="10.140625" bestFit="1" customWidth="1"/>
    <col min="8601" max="8601" width="11.5703125" bestFit="1" customWidth="1"/>
    <col min="8602" max="8602" width="16.140625" customWidth="1"/>
    <col min="8603" max="8603" width="13.42578125" customWidth="1"/>
    <col min="8604" max="8604" width="10.140625" bestFit="1" customWidth="1"/>
    <col min="8605" max="8605" width="12.85546875" bestFit="1" customWidth="1"/>
    <col min="8606" max="8606" width="12.28515625" bestFit="1" customWidth="1"/>
    <col min="8607" max="8607" width="11.28515625" bestFit="1" customWidth="1"/>
    <col min="8608" max="8608" width="11.5703125" bestFit="1" customWidth="1"/>
    <col min="8609" max="8609" width="10.85546875" bestFit="1" customWidth="1"/>
    <col min="8610" max="8610" width="11.28515625" bestFit="1" customWidth="1"/>
    <col min="8611" max="8611" width="10.140625" bestFit="1" customWidth="1"/>
    <col min="8612" max="8612" width="13.28515625" bestFit="1" customWidth="1"/>
    <col min="8613" max="8614" width="12.7109375" bestFit="1" customWidth="1"/>
    <col min="8615" max="8615" width="11" bestFit="1" customWidth="1"/>
    <col min="8616" max="8616" width="11.28515625" bestFit="1" customWidth="1"/>
    <col min="8617" max="8617" width="11.5703125" bestFit="1" customWidth="1"/>
    <col min="8618" max="8618" width="12.28515625" bestFit="1" customWidth="1"/>
    <col min="8619" max="8619" width="15.140625" bestFit="1" customWidth="1"/>
    <col min="8620" max="8620" width="14.42578125" bestFit="1" customWidth="1"/>
    <col min="8621" max="8621" width="12.28515625" bestFit="1" customWidth="1"/>
    <col min="8622" max="8622" width="15.140625" bestFit="1" customWidth="1"/>
    <col min="8623" max="8623" width="14.42578125" bestFit="1" customWidth="1"/>
    <col min="8624" max="8624" width="12.28515625" bestFit="1" customWidth="1"/>
    <col min="8625" max="8625" width="14.42578125" bestFit="1" customWidth="1"/>
    <col min="8626" max="8626" width="11.28515625" bestFit="1" customWidth="1"/>
    <col min="8627" max="8627" width="12.28515625" bestFit="1" customWidth="1"/>
    <col min="8628" max="8628" width="13" bestFit="1" customWidth="1"/>
    <col min="8629" max="8629" width="15.140625" bestFit="1" customWidth="1"/>
    <col min="8630" max="8630" width="12.28515625" bestFit="1" customWidth="1"/>
    <col min="8631" max="8631" width="13.85546875" bestFit="1" customWidth="1"/>
    <col min="8632" max="8632" width="11.28515625" bestFit="1" customWidth="1"/>
    <col min="8633" max="8633" width="12.28515625" bestFit="1" customWidth="1"/>
    <col min="8634" max="8634" width="13.85546875" bestFit="1" customWidth="1"/>
    <col min="8635" max="8636" width="15.140625" bestFit="1" customWidth="1"/>
    <col min="8637" max="8637" width="12.28515625" bestFit="1" customWidth="1"/>
    <col min="8638" max="8638" width="5.7109375" bestFit="1" customWidth="1"/>
    <col min="8639" max="8639" width="8.5703125" bestFit="1" customWidth="1"/>
    <col min="8640" max="8640" width="5.5703125" bestFit="1" customWidth="1"/>
    <col min="8641" max="8641" width="14.42578125" bestFit="1" customWidth="1"/>
    <col min="8642" max="8642" width="11.28515625" bestFit="1" customWidth="1"/>
    <col min="8643" max="8644" width="12.28515625" bestFit="1" customWidth="1"/>
    <col min="8645" max="8645" width="11.28515625" bestFit="1" customWidth="1"/>
    <col min="8646" max="8646" width="13.85546875" bestFit="1" customWidth="1"/>
    <col min="8647" max="8647" width="12" bestFit="1" customWidth="1"/>
    <col min="8648" max="8648" width="13.85546875" bestFit="1" customWidth="1"/>
    <col min="8649" max="8650" width="14.42578125" customWidth="1"/>
    <col min="8651" max="8651" width="10.140625" bestFit="1" customWidth="1"/>
    <col min="8652" max="8652" width="12.28515625" bestFit="1" customWidth="1"/>
    <col min="8653" max="8653" width="7.42578125" bestFit="1" customWidth="1"/>
    <col min="8654" max="8654" width="8.5703125" bestFit="1" customWidth="1"/>
    <col min="8655" max="8655" width="11.5703125" bestFit="1" customWidth="1"/>
    <col min="8656" max="8656" width="13.28515625" bestFit="1" customWidth="1"/>
    <col min="8657" max="8657" width="13.28515625" customWidth="1"/>
    <col min="8658" max="8658" width="13.140625" customWidth="1"/>
    <col min="8659" max="8659" width="12.7109375" bestFit="1" customWidth="1"/>
    <col min="8660" max="8660" width="13.28515625" bestFit="1" customWidth="1"/>
    <col min="8661" max="8663" width="13.28515625" customWidth="1"/>
    <col min="8664" max="8664" width="12.140625" bestFit="1" customWidth="1"/>
    <col min="8665" max="8665" width="12.7109375" bestFit="1" customWidth="1"/>
    <col min="8666" max="8666" width="11" customWidth="1"/>
    <col min="8667" max="8667" width="16.7109375" customWidth="1"/>
    <col min="8668" max="8668" width="17" customWidth="1"/>
    <col min="8669" max="8669" width="10.42578125" bestFit="1" customWidth="1"/>
    <col min="8713" max="8713" width="3.85546875" customWidth="1"/>
    <col min="8714" max="8714" width="15.28515625" bestFit="1" customWidth="1"/>
    <col min="8715" max="8715" width="12.28515625" customWidth="1"/>
    <col min="8716" max="8716" width="16.28515625" bestFit="1" customWidth="1"/>
    <col min="8717" max="8717" width="6.42578125" bestFit="1" customWidth="1"/>
    <col min="8718" max="8718" width="9.28515625" bestFit="1" customWidth="1"/>
    <col min="8719" max="8719" width="7.5703125" bestFit="1" customWidth="1"/>
    <col min="8720" max="8720" width="13.28515625" bestFit="1" customWidth="1"/>
    <col min="8721" max="8721" width="9.28515625" bestFit="1" customWidth="1"/>
    <col min="8722" max="8722" width="11.5703125" bestFit="1" customWidth="1"/>
    <col min="8723" max="8723" width="13.28515625" bestFit="1" customWidth="1"/>
    <col min="8724" max="8724" width="7.140625" bestFit="1" customWidth="1"/>
    <col min="8725" max="8725" width="12" bestFit="1" customWidth="1"/>
    <col min="8726" max="8726" width="13.28515625" bestFit="1" customWidth="1"/>
    <col min="8727" max="8727" width="7" bestFit="1" customWidth="1"/>
    <col min="8728" max="8728" width="12.7109375" bestFit="1" customWidth="1"/>
    <col min="8729" max="8729" width="11.5703125" bestFit="1" customWidth="1"/>
    <col min="8730" max="8730" width="10.5703125" bestFit="1" customWidth="1"/>
    <col min="8731" max="8732" width="15.7109375" bestFit="1" customWidth="1"/>
    <col min="8733" max="8733" width="11.5703125" bestFit="1" customWidth="1"/>
    <col min="8734" max="8734" width="7.7109375" bestFit="1" customWidth="1"/>
    <col min="8735" max="8735" width="15.140625" bestFit="1" customWidth="1"/>
    <col min="8736" max="8736" width="11.5703125" bestFit="1" customWidth="1"/>
    <col min="8737" max="8737" width="13.28515625" bestFit="1" customWidth="1"/>
    <col min="8738" max="8738" width="10.42578125" bestFit="1" customWidth="1"/>
    <col min="8739" max="8739" width="13.28515625" bestFit="1" customWidth="1"/>
    <col min="8740" max="8740" width="12.140625" bestFit="1" customWidth="1"/>
    <col min="8741" max="8741" width="14.42578125" bestFit="1" customWidth="1"/>
    <col min="8742" max="8742" width="13.28515625" bestFit="1" customWidth="1"/>
    <col min="8743" max="8743" width="11.5703125" bestFit="1" customWidth="1"/>
    <col min="8744" max="8744" width="7.7109375" bestFit="1" customWidth="1"/>
    <col min="8745" max="8746" width="14.42578125" bestFit="1" customWidth="1"/>
    <col min="8747" max="8747" width="11.5703125" bestFit="1" customWidth="1"/>
    <col min="8748" max="8748" width="7.7109375" bestFit="1" customWidth="1"/>
    <col min="8749" max="8749" width="13.5703125" customWidth="1"/>
    <col min="8750" max="8750" width="15.28515625" customWidth="1"/>
    <col min="8751" max="8751" width="14.5703125" customWidth="1"/>
    <col min="8752" max="8752" width="13.28515625" bestFit="1" customWidth="1"/>
    <col min="8753" max="8753" width="7.7109375" bestFit="1" customWidth="1"/>
    <col min="8754" max="8754" width="12.7109375" bestFit="1" customWidth="1"/>
    <col min="8755" max="8755" width="11.7109375" bestFit="1" customWidth="1"/>
    <col min="8756" max="8756" width="11.5703125" bestFit="1" customWidth="1"/>
    <col min="8757" max="8757" width="5.28515625" bestFit="1" customWidth="1"/>
    <col min="8758" max="8758" width="13.28515625" bestFit="1" customWidth="1"/>
    <col min="8759" max="8759" width="13.5703125" bestFit="1" customWidth="1"/>
    <col min="8760" max="8760" width="10.5703125" bestFit="1" customWidth="1"/>
    <col min="8761" max="8761" width="13.28515625" bestFit="1" customWidth="1"/>
    <col min="8762" max="8762" width="11.5703125" bestFit="1" customWidth="1"/>
    <col min="8763" max="8763" width="10.5703125" bestFit="1" customWidth="1"/>
    <col min="8764" max="8764" width="16.140625" bestFit="1" customWidth="1"/>
    <col min="8765" max="8766" width="11.28515625" bestFit="1" customWidth="1"/>
    <col min="8767" max="8767" width="13.28515625" bestFit="1" customWidth="1"/>
    <col min="8768" max="8768" width="7.7109375" bestFit="1" customWidth="1"/>
    <col min="8769" max="8772" width="9.140625" hidden="1" customWidth="1"/>
    <col min="8773" max="8773" width="10.42578125" bestFit="1" customWidth="1"/>
    <col min="8774" max="8774" width="10.5703125" bestFit="1" customWidth="1"/>
    <col min="8775" max="8775" width="10.42578125" bestFit="1" customWidth="1"/>
    <col min="8776" max="8776" width="10.5703125" bestFit="1" customWidth="1"/>
    <col min="8777" max="8777" width="9.5703125" bestFit="1" customWidth="1"/>
    <col min="8778" max="8778" width="11.5703125" bestFit="1" customWidth="1"/>
    <col min="8779" max="8779" width="10.42578125" bestFit="1" customWidth="1"/>
    <col min="8780" max="8780" width="10.85546875" customWidth="1"/>
    <col min="8781" max="8782" width="9.85546875" bestFit="1" customWidth="1"/>
    <col min="8783" max="8783" width="13.5703125" bestFit="1" customWidth="1"/>
    <col min="8784" max="8784" width="7.7109375" bestFit="1" customWidth="1"/>
    <col min="8785" max="8785" width="13.28515625" bestFit="1" customWidth="1"/>
    <col min="8786" max="8786" width="11.5703125" bestFit="1" customWidth="1"/>
    <col min="8787" max="8787" width="10.42578125" bestFit="1" customWidth="1"/>
    <col min="8788" max="8788" width="7.7109375" bestFit="1" customWidth="1"/>
    <col min="8789" max="8789" width="11.5703125" bestFit="1" customWidth="1"/>
    <col min="8790" max="8790" width="10.85546875" bestFit="1" customWidth="1"/>
    <col min="8791" max="8791" width="13.28515625" bestFit="1" customWidth="1"/>
    <col min="8792" max="8792" width="10.85546875" bestFit="1" customWidth="1"/>
    <col min="8793" max="8794" width="7.5703125" bestFit="1" customWidth="1"/>
    <col min="8795" max="8796" width="10.42578125" bestFit="1" customWidth="1"/>
    <col min="8797" max="8797" width="11.5703125" bestFit="1" customWidth="1"/>
    <col min="8798" max="8798" width="5.28515625" bestFit="1" customWidth="1"/>
    <col min="8799" max="8799" width="10.28515625" bestFit="1" customWidth="1"/>
    <col min="8800" max="8800" width="10.42578125" bestFit="1" customWidth="1"/>
    <col min="8801" max="8801" width="11.5703125" bestFit="1" customWidth="1"/>
    <col min="8802" max="8802" width="5.28515625" bestFit="1" customWidth="1"/>
    <col min="8803" max="8805" width="11.5703125" bestFit="1" customWidth="1"/>
    <col min="8806" max="8806" width="5.28515625" bestFit="1" customWidth="1"/>
    <col min="8807" max="8808" width="10.42578125" bestFit="1" customWidth="1"/>
    <col min="8809" max="8809" width="11.5703125" bestFit="1" customWidth="1"/>
    <col min="8810" max="8810" width="5.28515625" bestFit="1" customWidth="1"/>
    <col min="8811" max="8811" width="14.28515625" bestFit="1" customWidth="1"/>
    <col min="8812" max="8812" width="13" bestFit="1" customWidth="1"/>
    <col min="8813" max="8813" width="11.5703125" bestFit="1" customWidth="1"/>
    <col min="8814" max="8814" width="8.85546875" bestFit="1" customWidth="1"/>
    <col min="8815" max="8815" width="14.42578125" bestFit="1" customWidth="1"/>
    <col min="8816" max="8816" width="10.42578125" bestFit="1" customWidth="1"/>
    <col min="8817" max="8817" width="12.28515625" bestFit="1" customWidth="1"/>
    <col min="8818" max="8818" width="13.85546875" bestFit="1" customWidth="1"/>
    <col min="8819" max="8819" width="11.28515625" customWidth="1"/>
    <col min="8820" max="8820" width="11.5703125" customWidth="1"/>
    <col min="8821" max="8821" width="13.42578125" bestFit="1" customWidth="1"/>
    <col min="8822" max="8822" width="10.42578125" customWidth="1"/>
    <col min="8823" max="8823" width="13.85546875" bestFit="1" customWidth="1"/>
    <col min="8824" max="8824" width="15.42578125" bestFit="1" customWidth="1"/>
    <col min="8825" max="8825" width="12.28515625" bestFit="1" customWidth="1"/>
    <col min="8826" max="8826" width="12.7109375" customWidth="1"/>
    <col min="8827" max="8827" width="10.7109375" bestFit="1" customWidth="1"/>
    <col min="8828" max="8828" width="9.85546875" customWidth="1"/>
    <col min="8829" max="8830" width="10.140625" bestFit="1" customWidth="1"/>
    <col min="8831" max="8831" width="7.5703125" bestFit="1" customWidth="1"/>
    <col min="8832" max="8832" width="9.42578125" bestFit="1" customWidth="1"/>
    <col min="8833" max="8833" width="14.5703125" bestFit="1" customWidth="1"/>
    <col min="8834" max="8834" width="14.85546875" customWidth="1"/>
    <col min="8835" max="8835" width="15.140625" bestFit="1" customWidth="1"/>
    <col min="8836" max="8836" width="12.140625" bestFit="1" customWidth="1"/>
    <col min="8837" max="8837" width="14.85546875" bestFit="1" customWidth="1"/>
    <col min="8838" max="8838" width="12.28515625" bestFit="1" customWidth="1"/>
    <col min="8839" max="8847" width="9.140625" hidden="1" customWidth="1"/>
    <col min="8848" max="8848" width="5.28515625" bestFit="1" customWidth="1"/>
    <col min="8849" max="8854" width="11.5703125" bestFit="1" customWidth="1"/>
    <col min="8855" max="8855" width="11.28515625" bestFit="1" customWidth="1"/>
    <col min="8856" max="8856" width="10.140625" bestFit="1" customWidth="1"/>
    <col min="8857" max="8857" width="11.5703125" bestFit="1" customWidth="1"/>
    <col min="8858" max="8858" width="16.140625" customWidth="1"/>
    <col min="8859" max="8859" width="13.42578125" customWidth="1"/>
    <col min="8860" max="8860" width="10.140625" bestFit="1" customWidth="1"/>
    <col min="8861" max="8861" width="12.85546875" bestFit="1" customWidth="1"/>
    <col min="8862" max="8862" width="12.28515625" bestFit="1" customWidth="1"/>
    <col min="8863" max="8863" width="11.28515625" bestFit="1" customWidth="1"/>
    <col min="8864" max="8864" width="11.5703125" bestFit="1" customWidth="1"/>
    <col min="8865" max="8865" width="10.85546875" bestFit="1" customWidth="1"/>
    <col min="8866" max="8866" width="11.28515625" bestFit="1" customWidth="1"/>
    <col min="8867" max="8867" width="10.140625" bestFit="1" customWidth="1"/>
    <col min="8868" max="8868" width="13.28515625" bestFit="1" customWidth="1"/>
    <col min="8869" max="8870" width="12.7109375" bestFit="1" customWidth="1"/>
    <col min="8871" max="8871" width="11" bestFit="1" customWidth="1"/>
    <col min="8872" max="8872" width="11.28515625" bestFit="1" customWidth="1"/>
    <col min="8873" max="8873" width="11.5703125" bestFit="1" customWidth="1"/>
    <col min="8874" max="8874" width="12.28515625" bestFit="1" customWidth="1"/>
    <col min="8875" max="8875" width="15.140625" bestFit="1" customWidth="1"/>
    <col min="8876" max="8876" width="14.42578125" bestFit="1" customWidth="1"/>
    <col min="8877" max="8877" width="12.28515625" bestFit="1" customWidth="1"/>
    <col min="8878" max="8878" width="15.140625" bestFit="1" customWidth="1"/>
    <col min="8879" max="8879" width="14.42578125" bestFit="1" customWidth="1"/>
    <col min="8880" max="8880" width="12.28515625" bestFit="1" customWidth="1"/>
    <col min="8881" max="8881" width="14.42578125" bestFit="1" customWidth="1"/>
    <col min="8882" max="8882" width="11.28515625" bestFit="1" customWidth="1"/>
    <col min="8883" max="8883" width="12.28515625" bestFit="1" customWidth="1"/>
    <col min="8884" max="8884" width="13" bestFit="1" customWidth="1"/>
    <col min="8885" max="8885" width="15.140625" bestFit="1" customWidth="1"/>
    <col min="8886" max="8886" width="12.28515625" bestFit="1" customWidth="1"/>
    <col min="8887" max="8887" width="13.85546875" bestFit="1" customWidth="1"/>
    <col min="8888" max="8888" width="11.28515625" bestFit="1" customWidth="1"/>
    <col min="8889" max="8889" width="12.28515625" bestFit="1" customWidth="1"/>
    <col min="8890" max="8890" width="13.85546875" bestFit="1" customWidth="1"/>
    <col min="8891" max="8892" width="15.140625" bestFit="1" customWidth="1"/>
    <col min="8893" max="8893" width="12.28515625" bestFit="1" customWidth="1"/>
    <col min="8894" max="8894" width="5.7109375" bestFit="1" customWidth="1"/>
    <col min="8895" max="8895" width="8.5703125" bestFit="1" customWidth="1"/>
    <col min="8896" max="8896" width="5.5703125" bestFit="1" customWidth="1"/>
    <col min="8897" max="8897" width="14.42578125" bestFit="1" customWidth="1"/>
    <col min="8898" max="8898" width="11.28515625" bestFit="1" customWidth="1"/>
    <col min="8899" max="8900" width="12.28515625" bestFit="1" customWidth="1"/>
    <col min="8901" max="8901" width="11.28515625" bestFit="1" customWidth="1"/>
    <col min="8902" max="8902" width="13.85546875" bestFit="1" customWidth="1"/>
    <col min="8903" max="8903" width="12" bestFit="1" customWidth="1"/>
    <col min="8904" max="8904" width="13.85546875" bestFit="1" customWidth="1"/>
    <col min="8905" max="8906" width="14.42578125" customWidth="1"/>
    <col min="8907" max="8907" width="10.140625" bestFit="1" customWidth="1"/>
    <col min="8908" max="8908" width="12.28515625" bestFit="1" customWidth="1"/>
    <col min="8909" max="8909" width="7.42578125" bestFit="1" customWidth="1"/>
    <col min="8910" max="8910" width="8.5703125" bestFit="1" customWidth="1"/>
    <col min="8911" max="8911" width="11.5703125" bestFit="1" customWidth="1"/>
    <col min="8912" max="8912" width="13.28515625" bestFit="1" customWidth="1"/>
    <col min="8913" max="8913" width="13.28515625" customWidth="1"/>
    <col min="8914" max="8914" width="13.140625" customWidth="1"/>
    <col min="8915" max="8915" width="12.7109375" bestFit="1" customWidth="1"/>
    <col min="8916" max="8916" width="13.28515625" bestFit="1" customWidth="1"/>
    <col min="8917" max="8919" width="13.28515625" customWidth="1"/>
    <col min="8920" max="8920" width="12.140625" bestFit="1" customWidth="1"/>
    <col min="8921" max="8921" width="12.7109375" bestFit="1" customWidth="1"/>
    <col min="8922" max="8922" width="11" customWidth="1"/>
    <col min="8923" max="8923" width="16.7109375" customWidth="1"/>
    <col min="8924" max="8924" width="17" customWidth="1"/>
    <col min="8925" max="8925" width="10.42578125" bestFit="1" customWidth="1"/>
    <col min="8969" max="8969" width="3.85546875" customWidth="1"/>
    <col min="8970" max="8970" width="15.28515625" bestFit="1" customWidth="1"/>
    <col min="8971" max="8971" width="12.28515625" customWidth="1"/>
    <col min="8972" max="8972" width="16.28515625" bestFit="1" customWidth="1"/>
    <col min="8973" max="8973" width="6.42578125" bestFit="1" customWidth="1"/>
    <col min="8974" max="8974" width="9.28515625" bestFit="1" customWidth="1"/>
    <col min="8975" max="8975" width="7.5703125" bestFit="1" customWidth="1"/>
    <col min="8976" max="8976" width="13.28515625" bestFit="1" customWidth="1"/>
    <col min="8977" max="8977" width="9.28515625" bestFit="1" customWidth="1"/>
    <col min="8978" max="8978" width="11.5703125" bestFit="1" customWidth="1"/>
    <col min="8979" max="8979" width="13.28515625" bestFit="1" customWidth="1"/>
    <col min="8980" max="8980" width="7.140625" bestFit="1" customWidth="1"/>
    <col min="8981" max="8981" width="12" bestFit="1" customWidth="1"/>
    <col min="8982" max="8982" width="13.28515625" bestFit="1" customWidth="1"/>
    <col min="8983" max="8983" width="7" bestFit="1" customWidth="1"/>
    <col min="8984" max="8984" width="12.7109375" bestFit="1" customWidth="1"/>
    <col min="8985" max="8985" width="11.5703125" bestFit="1" customWidth="1"/>
    <col min="8986" max="8986" width="10.5703125" bestFit="1" customWidth="1"/>
    <col min="8987" max="8988" width="15.7109375" bestFit="1" customWidth="1"/>
    <col min="8989" max="8989" width="11.5703125" bestFit="1" customWidth="1"/>
    <col min="8990" max="8990" width="7.7109375" bestFit="1" customWidth="1"/>
    <col min="8991" max="8991" width="15.140625" bestFit="1" customWidth="1"/>
    <col min="8992" max="8992" width="11.5703125" bestFit="1" customWidth="1"/>
    <col min="8993" max="8993" width="13.28515625" bestFit="1" customWidth="1"/>
    <col min="8994" max="8994" width="10.42578125" bestFit="1" customWidth="1"/>
    <col min="8995" max="8995" width="13.28515625" bestFit="1" customWidth="1"/>
    <col min="8996" max="8996" width="12.140625" bestFit="1" customWidth="1"/>
    <col min="8997" max="8997" width="14.42578125" bestFit="1" customWidth="1"/>
    <col min="8998" max="8998" width="13.28515625" bestFit="1" customWidth="1"/>
    <col min="8999" max="8999" width="11.5703125" bestFit="1" customWidth="1"/>
    <col min="9000" max="9000" width="7.7109375" bestFit="1" customWidth="1"/>
    <col min="9001" max="9002" width="14.42578125" bestFit="1" customWidth="1"/>
    <col min="9003" max="9003" width="11.5703125" bestFit="1" customWidth="1"/>
    <col min="9004" max="9004" width="7.7109375" bestFit="1" customWidth="1"/>
    <col min="9005" max="9005" width="13.5703125" customWidth="1"/>
    <col min="9006" max="9006" width="15.28515625" customWidth="1"/>
    <col min="9007" max="9007" width="14.5703125" customWidth="1"/>
    <col min="9008" max="9008" width="13.28515625" bestFit="1" customWidth="1"/>
    <col min="9009" max="9009" width="7.7109375" bestFit="1" customWidth="1"/>
    <col min="9010" max="9010" width="12.7109375" bestFit="1" customWidth="1"/>
    <col min="9011" max="9011" width="11.7109375" bestFit="1" customWidth="1"/>
    <col min="9012" max="9012" width="11.5703125" bestFit="1" customWidth="1"/>
    <col min="9013" max="9013" width="5.28515625" bestFit="1" customWidth="1"/>
    <col min="9014" max="9014" width="13.28515625" bestFit="1" customWidth="1"/>
    <col min="9015" max="9015" width="13.5703125" bestFit="1" customWidth="1"/>
    <col min="9016" max="9016" width="10.5703125" bestFit="1" customWidth="1"/>
    <col min="9017" max="9017" width="13.28515625" bestFit="1" customWidth="1"/>
    <col min="9018" max="9018" width="11.5703125" bestFit="1" customWidth="1"/>
    <col min="9019" max="9019" width="10.5703125" bestFit="1" customWidth="1"/>
    <col min="9020" max="9020" width="16.140625" bestFit="1" customWidth="1"/>
    <col min="9021" max="9022" width="11.28515625" bestFit="1" customWidth="1"/>
    <col min="9023" max="9023" width="13.28515625" bestFit="1" customWidth="1"/>
    <col min="9024" max="9024" width="7.7109375" bestFit="1" customWidth="1"/>
    <col min="9025" max="9028" width="9.140625" hidden="1" customWidth="1"/>
    <col min="9029" max="9029" width="10.42578125" bestFit="1" customWidth="1"/>
    <col min="9030" max="9030" width="10.5703125" bestFit="1" customWidth="1"/>
    <col min="9031" max="9031" width="10.42578125" bestFit="1" customWidth="1"/>
    <col min="9032" max="9032" width="10.5703125" bestFit="1" customWidth="1"/>
    <col min="9033" max="9033" width="9.5703125" bestFit="1" customWidth="1"/>
    <col min="9034" max="9034" width="11.5703125" bestFit="1" customWidth="1"/>
    <col min="9035" max="9035" width="10.42578125" bestFit="1" customWidth="1"/>
    <col min="9036" max="9036" width="10.85546875" customWidth="1"/>
    <col min="9037" max="9038" width="9.85546875" bestFit="1" customWidth="1"/>
    <col min="9039" max="9039" width="13.5703125" bestFit="1" customWidth="1"/>
    <col min="9040" max="9040" width="7.7109375" bestFit="1" customWidth="1"/>
    <col min="9041" max="9041" width="13.28515625" bestFit="1" customWidth="1"/>
    <col min="9042" max="9042" width="11.5703125" bestFit="1" customWidth="1"/>
    <col min="9043" max="9043" width="10.42578125" bestFit="1" customWidth="1"/>
    <col min="9044" max="9044" width="7.7109375" bestFit="1" customWidth="1"/>
    <col min="9045" max="9045" width="11.5703125" bestFit="1" customWidth="1"/>
    <col min="9046" max="9046" width="10.85546875" bestFit="1" customWidth="1"/>
    <col min="9047" max="9047" width="13.28515625" bestFit="1" customWidth="1"/>
    <col min="9048" max="9048" width="10.85546875" bestFit="1" customWidth="1"/>
    <col min="9049" max="9050" width="7.5703125" bestFit="1" customWidth="1"/>
    <col min="9051" max="9052" width="10.42578125" bestFit="1" customWidth="1"/>
    <col min="9053" max="9053" width="11.5703125" bestFit="1" customWidth="1"/>
    <col min="9054" max="9054" width="5.28515625" bestFit="1" customWidth="1"/>
    <col min="9055" max="9055" width="10.28515625" bestFit="1" customWidth="1"/>
    <col min="9056" max="9056" width="10.42578125" bestFit="1" customWidth="1"/>
    <col min="9057" max="9057" width="11.5703125" bestFit="1" customWidth="1"/>
    <col min="9058" max="9058" width="5.28515625" bestFit="1" customWidth="1"/>
    <col min="9059" max="9061" width="11.5703125" bestFit="1" customWidth="1"/>
    <col min="9062" max="9062" width="5.28515625" bestFit="1" customWidth="1"/>
    <col min="9063" max="9064" width="10.42578125" bestFit="1" customWidth="1"/>
    <col min="9065" max="9065" width="11.5703125" bestFit="1" customWidth="1"/>
    <col min="9066" max="9066" width="5.28515625" bestFit="1" customWidth="1"/>
    <col min="9067" max="9067" width="14.28515625" bestFit="1" customWidth="1"/>
    <col min="9068" max="9068" width="13" bestFit="1" customWidth="1"/>
    <col min="9069" max="9069" width="11.5703125" bestFit="1" customWidth="1"/>
    <col min="9070" max="9070" width="8.85546875" bestFit="1" customWidth="1"/>
    <col min="9071" max="9071" width="14.42578125" bestFit="1" customWidth="1"/>
    <col min="9072" max="9072" width="10.42578125" bestFit="1" customWidth="1"/>
    <col min="9073" max="9073" width="12.28515625" bestFit="1" customWidth="1"/>
    <col min="9074" max="9074" width="13.85546875" bestFit="1" customWidth="1"/>
    <col min="9075" max="9075" width="11.28515625" customWidth="1"/>
    <col min="9076" max="9076" width="11.5703125" customWidth="1"/>
    <col min="9077" max="9077" width="13.42578125" bestFit="1" customWidth="1"/>
    <col min="9078" max="9078" width="10.42578125" customWidth="1"/>
    <col min="9079" max="9079" width="13.85546875" bestFit="1" customWidth="1"/>
    <col min="9080" max="9080" width="15.42578125" bestFit="1" customWidth="1"/>
    <col min="9081" max="9081" width="12.28515625" bestFit="1" customWidth="1"/>
    <col min="9082" max="9082" width="12.7109375" customWidth="1"/>
    <col min="9083" max="9083" width="10.7109375" bestFit="1" customWidth="1"/>
    <col min="9084" max="9084" width="9.85546875" customWidth="1"/>
    <col min="9085" max="9086" width="10.140625" bestFit="1" customWidth="1"/>
    <col min="9087" max="9087" width="7.5703125" bestFit="1" customWidth="1"/>
    <col min="9088" max="9088" width="9.42578125" bestFit="1" customWidth="1"/>
    <col min="9089" max="9089" width="14.5703125" bestFit="1" customWidth="1"/>
    <col min="9090" max="9090" width="14.85546875" customWidth="1"/>
    <col min="9091" max="9091" width="15.140625" bestFit="1" customWidth="1"/>
    <col min="9092" max="9092" width="12.140625" bestFit="1" customWidth="1"/>
    <col min="9093" max="9093" width="14.85546875" bestFit="1" customWidth="1"/>
    <col min="9094" max="9094" width="12.28515625" bestFit="1" customWidth="1"/>
    <col min="9095" max="9103" width="9.140625" hidden="1" customWidth="1"/>
    <col min="9104" max="9104" width="5.28515625" bestFit="1" customWidth="1"/>
    <col min="9105" max="9110" width="11.5703125" bestFit="1" customWidth="1"/>
    <col min="9111" max="9111" width="11.28515625" bestFit="1" customWidth="1"/>
    <col min="9112" max="9112" width="10.140625" bestFit="1" customWidth="1"/>
    <col min="9113" max="9113" width="11.5703125" bestFit="1" customWidth="1"/>
    <col min="9114" max="9114" width="16.140625" customWidth="1"/>
    <col min="9115" max="9115" width="13.42578125" customWidth="1"/>
    <col min="9116" max="9116" width="10.140625" bestFit="1" customWidth="1"/>
    <col min="9117" max="9117" width="12.85546875" bestFit="1" customWidth="1"/>
    <col min="9118" max="9118" width="12.28515625" bestFit="1" customWidth="1"/>
    <col min="9119" max="9119" width="11.28515625" bestFit="1" customWidth="1"/>
    <col min="9120" max="9120" width="11.5703125" bestFit="1" customWidth="1"/>
    <col min="9121" max="9121" width="10.85546875" bestFit="1" customWidth="1"/>
    <col min="9122" max="9122" width="11.28515625" bestFit="1" customWidth="1"/>
    <col min="9123" max="9123" width="10.140625" bestFit="1" customWidth="1"/>
    <col min="9124" max="9124" width="13.28515625" bestFit="1" customWidth="1"/>
    <col min="9125" max="9126" width="12.7109375" bestFit="1" customWidth="1"/>
    <col min="9127" max="9127" width="11" bestFit="1" customWidth="1"/>
    <col min="9128" max="9128" width="11.28515625" bestFit="1" customWidth="1"/>
    <col min="9129" max="9129" width="11.5703125" bestFit="1" customWidth="1"/>
    <col min="9130" max="9130" width="12.28515625" bestFit="1" customWidth="1"/>
    <col min="9131" max="9131" width="15.140625" bestFit="1" customWidth="1"/>
    <col min="9132" max="9132" width="14.42578125" bestFit="1" customWidth="1"/>
    <col min="9133" max="9133" width="12.28515625" bestFit="1" customWidth="1"/>
    <col min="9134" max="9134" width="15.140625" bestFit="1" customWidth="1"/>
    <col min="9135" max="9135" width="14.42578125" bestFit="1" customWidth="1"/>
    <col min="9136" max="9136" width="12.28515625" bestFit="1" customWidth="1"/>
    <col min="9137" max="9137" width="14.42578125" bestFit="1" customWidth="1"/>
    <col min="9138" max="9138" width="11.28515625" bestFit="1" customWidth="1"/>
    <col min="9139" max="9139" width="12.28515625" bestFit="1" customWidth="1"/>
    <col min="9140" max="9140" width="13" bestFit="1" customWidth="1"/>
    <col min="9141" max="9141" width="15.140625" bestFit="1" customWidth="1"/>
    <col min="9142" max="9142" width="12.28515625" bestFit="1" customWidth="1"/>
    <col min="9143" max="9143" width="13.85546875" bestFit="1" customWidth="1"/>
    <col min="9144" max="9144" width="11.28515625" bestFit="1" customWidth="1"/>
    <col min="9145" max="9145" width="12.28515625" bestFit="1" customWidth="1"/>
    <col min="9146" max="9146" width="13.85546875" bestFit="1" customWidth="1"/>
    <col min="9147" max="9148" width="15.140625" bestFit="1" customWidth="1"/>
    <col min="9149" max="9149" width="12.28515625" bestFit="1" customWidth="1"/>
    <col min="9150" max="9150" width="5.7109375" bestFit="1" customWidth="1"/>
    <col min="9151" max="9151" width="8.5703125" bestFit="1" customWidth="1"/>
    <col min="9152" max="9152" width="5.5703125" bestFit="1" customWidth="1"/>
    <col min="9153" max="9153" width="14.42578125" bestFit="1" customWidth="1"/>
    <col min="9154" max="9154" width="11.28515625" bestFit="1" customWidth="1"/>
    <col min="9155" max="9156" width="12.28515625" bestFit="1" customWidth="1"/>
    <col min="9157" max="9157" width="11.28515625" bestFit="1" customWidth="1"/>
    <col min="9158" max="9158" width="13.85546875" bestFit="1" customWidth="1"/>
    <col min="9159" max="9159" width="12" bestFit="1" customWidth="1"/>
    <col min="9160" max="9160" width="13.85546875" bestFit="1" customWidth="1"/>
    <col min="9161" max="9162" width="14.42578125" customWidth="1"/>
    <col min="9163" max="9163" width="10.140625" bestFit="1" customWidth="1"/>
    <col min="9164" max="9164" width="12.28515625" bestFit="1" customWidth="1"/>
    <col min="9165" max="9165" width="7.42578125" bestFit="1" customWidth="1"/>
    <col min="9166" max="9166" width="8.5703125" bestFit="1" customWidth="1"/>
    <col min="9167" max="9167" width="11.5703125" bestFit="1" customWidth="1"/>
    <col min="9168" max="9168" width="13.28515625" bestFit="1" customWidth="1"/>
    <col min="9169" max="9169" width="13.28515625" customWidth="1"/>
    <col min="9170" max="9170" width="13.140625" customWidth="1"/>
    <col min="9171" max="9171" width="12.7109375" bestFit="1" customWidth="1"/>
    <col min="9172" max="9172" width="13.28515625" bestFit="1" customWidth="1"/>
    <col min="9173" max="9175" width="13.28515625" customWidth="1"/>
    <col min="9176" max="9176" width="12.140625" bestFit="1" customWidth="1"/>
    <col min="9177" max="9177" width="12.7109375" bestFit="1" customWidth="1"/>
    <col min="9178" max="9178" width="11" customWidth="1"/>
    <col min="9179" max="9179" width="16.7109375" customWidth="1"/>
    <col min="9180" max="9180" width="17" customWidth="1"/>
    <col min="9181" max="9181" width="10.42578125" bestFit="1" customWidth="1"/>
    <col min="9225" max="9225" width="3.85546875" customWidth="1"/>
    <col min="9226" max="9226" width="15.28515625" bestFit="1" customWidth="1"/>
    <col min="9227" max="9227" width="12.28515625" customWidth="1"/>
    <col min="9228" max="9228" width="16.28515625" bestFit="1" customWidth="1"/>
    <col min="9229" max="9229" width="6.42578125" bestFit="1" customWidth="1"/>
    <col min="9230" max="9230" width="9.28515625" bestFit="1" customWidth="1"/>
    <col min="9231" max="9231" width="7.5703125" bestFit="1" customWidth="1"/>
    <col min="9232" max="9232" width="13.28515625" bestFit="1" customWidth="1"/>
    <col min="9233" max="9233" width="9.28515625" bestFit="1" customWidth="1"/>
    <col min="9234" max="9234" width="11.5703125" bestFit="1" customWidth="1"/>
    <col min="9235" max="9235" width="13.28515625" bestFit="1" customWidth="1"/>
    <col min="9236" max="9236" width="7.140625" bestFit="1" customWidth="1"/>
    <col min="9237" max="9237" width="12" bestFit="1" customWidth="1"/>
    <col min="9238" max="9238" width="13.28515625" bestFit="1" customWidth="1"/>
    <col min="9239" max="9239" width="7" bestFit="1" customWidth="1"/>
    <col min="9240" max="9240" width="12.7109375" bestFit="1" customWidth="1"/>
    <col min="9241" max="9241" width="11.5703125" bestFit="1" customWidth="1"/>
    <col min="9242" max="9242" width="10.5703125" bestFit="1" customWidth="1"/>
    <col min="9243" max="9244" width="15.7109375" bestFit="1" customWidth="1"/>
    <col min="9245" max="9245" width="11.5703125" bestFit="1" customWidth="1"/>
    <col min="9246" max="9246" width="7.7109375" bestFit="1" customWidth="1"/>
    <col min="9247" max="9247" width="15.140625" bestFit="1" customWidth="1"/>
    <col min="9248" max="9248" width="11.5703125" bestFit="1" customWidth="1"/>
    <col min="9249" max="9249" width="13.28515625" bestFit="1" customWidth="1"/>
    <col min="9250" max="9250" width="10.42578125" bestFit="1" customWidth="1"/>
    <col min="9251" max="9251" width="13.28515625" bestFit="1" customWidth="1"/>
    <col min="9252" max="9252" width="12.140625" bestFit="1" customWidth="1"/>
    <col min="9253" max="9253" width="14.42578125" bestFit="1" customWidth="1"/>
    <col min="9254" max="9254" width="13.28515625" bestFit="1" customWidth="1"/>
    <col min="9255" max="9255" width="11.5703125" bestFit="1" customWidth="1"/>
    <col min="9256" max="9256" width="7.7109375" bestFit="1" customWidth="1"/>
    <col min="9257" max="9258" width="14.42578125" bestFit="1" customWidth="1"/>
    <col min="9259" max="9259" width="11.5703125" bestFit="1" customWidth="1"/>
    <col min="9260" max="9260" width="7.7109375" bestFit="1" customWidth="1"/>
    <col min="9261" max="9261" width="13.5703125" customWidth="1"/>
    <col min="9262" max="9262" width="15.28515625" customWidth="1"/>
    <col min="9263" max="9263" width="14.5703125" customWidth="1"/>
    <col min="9264" max="9264" width="13.28515625" bestFit="1" customWidth="1"/>
    <col min="9265" max="9265" width="7.7109375" bestFit="1" customWidth="1"/>
    <col min="9266" max="9266" width="12.7109375" bestFit="1" customWidth="1"/>
    <col min="9267" max="9267" width="11.7109375" bestFit="1" customWidth="1"/>
    <col min="9268" max="9268" width="11.5703125" bestFit="1" customWidth="1"/>
    <col min="9269" max="9269" width="5.28515625" bestFit="1" customWidth="1"/>
    <col min="9270" max="9270" width="13.28515625" bestFit="1" customWidth="1"/>
    <col min="9271" max="9271" width="13.5703125" bestFit="1" customWidth="1"/>
    <col min="9272" max="9272" width="10.5703125" bestFit="1" customWidth="1"/>
    <col min="9273" max="9273" width="13.28515625" bestFit="1" customWidth="1"/>
    <col min="9274" max="9274" width="11.5703125" bestFit="1" customWidth="1"/>
    <col min="9275" max="9275" width="10.5703125" bestFit="1" customWidth="1"/>
    <col min="9276" max="9276" width="16.140625" bestFit="1" customWidth="1"/>
    <col min="9277" max="9278" width="11.28515625" bestFit="1" customWidth="1"/>
    <col min="9279" max="9279" width="13.28515625" bestFit="1" customWidth="1"/>
    <col min="9280" max="9280" width="7.7109375" bestFit="1" customWidth="1"/>
    <col min="9281" max="9284" width="9.140625" hidden="1" customWidth="1"/>
    <col min="9285" max="9285" width="10.42578125" bestFit="1" customWidth="1"/>
    <col min="9286" max="9286" width="10.5703125" bestFit="1" customWidth="1"/>
    <col min="9287" max="9287" width="10.42578125" bestFit="1" customWidth="1"/>
    <col min="9288" max="9288" width="10.5703125" bestFit="1" customWidth="1"/>
    <col min="9289" max="9289" width="9.5703125" bestFit="1" customWidth="1"/>
    <col min="9290" max="9290" width="11.5703125" bestFit="1" customWidth="1"/>
    <col min="9291" max="9291" width="10.42578125" bestFit="1" customWidth="1"/>
    <col min="9292" max="9292" width="10.85546875" customWidth="1"/>
    <col min="9293" max="9294" width="9.85546875" bestFit="1" customWidth="1"/>
    <col min="9295" max="9295" width="13.5703125" bestFit="1" customWidth="1"/>
    <col min="9296" max="9296" width="7.7109375" bestFit="1" customWidth="1"/>
    <col min="9297" max="9297" width="13.28515625" bestFit="1" customWidth="1"/>
    <col min="9298" max="9298" width="11.5703125" bestFit="1" customWidth="1"/>
    <col min="9299" max="9299" width="10.42578125" bestFit="1" customWidth="1"/>
    <col min="9300" max="9300" width="7.7109375" bestFit="1" customWidth="1"/>
    <col min="9301" max="9301" width="11.5703125" bestFit="1" customWidth="1"/>
    <col min="9302" max="9302" width="10.85546875" bestFit="1" customWidth="1"/>
    <col min="9303" max="9303" width="13.28515625" bestFit="1" customWidth="1"/>
    <col min="9304" max="9304" width="10.85546875" bestFit="1" customWidth="1"/>
    <col min="9305" max="9306" width="7.5703125" bestFit="1" customWidth="1"/>
    <col min="9307" max="9308" width="10.42578125" bestFit="1" customWidth="1"/>
    <col min="9309" max="9309" width="11.5703125" bestFit="1" customWidth="1"/>
    <col min="9310" max="9310" width="5.28515625" bestFit="1" customWidth="1"/>
    <col min="9311" max="9311" width="10.28515625" bestFit="1" customWidth="1"/>
    <col min="9312" max="9312" width="10.42578125" bestFit="1" customWidth="1"/>
    <col min="9313" max="9313" width="11.5703125" bestFit="1" customWidth="1"/>
    <col min="9314" max="9314" width="5.28515625" bestFit="1" customWidth="1"/>
    <col min="9315" max="9317" width="11.5703125" bestFit="1" customWidth="1"/>
    <col min="9318" max="9318" width="5.28515625" bestFit="1" customWidth="1"/>
    <col min="9319" max="9320" width="10.42578125" bestFit="1" customWidth="1"/>
    <col min="9321" max="9321" width="11.5703125" bestFit="1" customWidth="1"/>
    <col min="9322" max="9322" width="5.28515625" bestFit="1" customWidth="1"/>
    <col min="9323" max="9323" width="14.28515625" bestFit="1" customWidth="1"/>
    <col min="9324" max="9324" width="13" bestFit="1" customWidth="1"/>
    <col min="9325" max="9325" width="11.5703125" bestFit="1" customWidth="1"/>
    <col min="9326" max="9326" width="8.85546875" bestFit="1" customWidth="1"/>
    <col min="9327" max="9327" width="14.42578125" bestFit="1" customWidth="1"/>
    <col min="9328" max="9328" width="10.42578125" bestFit="1" customWidth="1"/>
    <col min="9329" max="9329" width="12.28515625" bestFit="1" customWidth="1"/>
    <col min="9330" max="9330" width="13.85546875" bestFit="1" customWidth="1"/>
    <col min="9331" max="9331" width="11.28515625" customWidth="1"/>
    <col min="9332" max="9332" width="11.5703125" customWidth="1"/>
    <col min="9333" max="9333" width="13.42578125" bestFit="1" customWidth="1"/>
    <col min="9334" max="9334" width="10.42578125" customWidth="1"/>
    <col min="9335" max="9335" width="13.85546875" bestFit="1" customWidth="1"/>
    <col min="9336" max="9336" width="15.42578125" bestFit="1" customWidth="1"/>
    <col min="9337" max="9337" width="12.28515625" bestFit="1" customWidth="1"/>
    <col min="9338" max="9338" width="12.7109375" customWidth="1"/>
    <col min="9339" max="9339" width="10.7109375" bestFit="1" customWidth="1"/>
    <col min="9340" max="9340" width="9.85546875" customWidth="1"/>
    <col min="9341" max="9342" width="10.140625" bestFit="1" customWidth="1"/>
    <col min="9343" max="9343" width="7.5703125" bestFit="1" customWidth="1"/>
    <col min="9344" max="9344" width="9.42578125" bestFit="1" customWidth="1"/>
    <col min="9345" max="9345" width="14.5703125" bestFit="1" customWidth="1"/>
    <col min="9346" max="9346" width="14.85546875" customWidth="1"/>
    <col min="9347" max="9347" width="15.140625" bestFit="1" customWidth="1"/>
    <col min="9348" max="9348" width="12.140625" bestFit="1" customWidth="1"/>
    <col min="9349" max="9349" width="14.85546875" bestFit="1" customWidth="1"/>
    <col min="9350" max="9350" width="12.28515625" bestFit="1" customWidth="1"/>
    <col min="9351" max="9359" width="9.140625" hidden="1" customWidth="1"/>
    <col min="9360" max="9360" width="5.28515625" bestFit="1" customWidth="1"/>
    <col min="9361" max="9366" width="11.5703125" bestFit="1" customWidth="1"/>
    <col min="9367" max="9367" width="11.28515625" bestFit="1" customWidth="1"/>
    <col min="9368" max="9368" width="10.140625" bestFit="1" customWidth="1"/>
    <col min="9369" max="9369" width="11.5703125" bestFit="1" customWidth="1"/>
    <col min="9370" max="9370" width="16.140625" customWidth="1"/>
    <col min="9371" max="9371" width="13.42578125" customWidth="1"/>
    <col min="9372" max="9372" width="10.140625" bestFit="1" customWidth="1"/>
    <col min="9373" max="9373" width="12.85546875" bestFit="1" customWidth="1"/>
    <col min="9374" max="9374" width="12.28515625" bestFit="1" customWidth="1"/>
    <col min="9375" max="9375" width="11.28515625" bestFit="1" customWidth="1"/>
    <col min="9376" max="9376" width="11.5703125" bestFit="1" customWidth="1"/>
    <col min="9377" max="9377" width="10.85546875" bestFit="1" customWidth="1"/>
    <col min="9378" max="9378" width="11.28515625" bestFit="1" customWidth="1"/>
    <col min="9379" max="9379" width="10.140625" bestFit="1" customWidth="1"/>
    <col min="9380" max="9380" width="13.28515625" bestFit="1" customWidth="1"/>
    <col min="9381" max="9382" width="12.7109375" bestFit="1" customWidth="1"/>
    <col min="9383" max="9383" width="11" bestFit="1" customWidth="1"/>
    <col min="9384" max="9384" width="11.28515625" bestFit="1" customWidth="1"/>
    <col min="9385" max="9385" width="11.5703125" bestFit="1" customWidth="1"/>
    <col min="9386" max="9386" width="12.28515625" bestFit="1" customWidth="1"/>
    <col min="9387" max="9387" width="15.140625" bestFit="1" customWidth="1"/>
    <col min="9388" max="9388" width="14.42578125" bestFit="1" customWidth="1"/>
    <col min="9389" max="9389" width="12.28515625" bestFit="1" customWidth="1"/>
    <col min="9390" max="9390" width="15.140625" bestFit="1" customWidth="1"/>
    <col min="9391" max="9391" width="14.42578125" bestFit="1" customWidth="1"/>
    <col min="9392" max="9392" width="12.28515625" bestFit="1" customWidth="1"/>
    <col min="9393" max="9393" width="14.42578125" bestFit="1" customWidth="1"/>
    <col min="9394" max="9394" width="11.28515625" bestFit="1" customWidth="1"/>
    <col min="9395" max="9395" width="12.28515625" bestFit="1" customWidth="1"/>
    <col min="9396" max="9396" width="13" bestFit="1" customWidth="1"/>
    <col min="9397" max="9397" width="15.140625" bestFit="1" customWidth="1"/>
    <col min="9398" max="9398" width="12.28515625" bestFit="1" customWidth="1"/>
    <col min="9399" max="9399" width="13.85546875" bestFit="1" customWidth="1"/>
    <col min="9400" max="9400" width="11.28515625" bestFit="1" customWidth="1"/>
    <col min="9401" max="9401" width="12.28515625" bestFit="1" customWidth="1"/>
    <col min="9402" max="9402" width="13.85546875" bestFit="1" customWidth="1"/>
    <col min="9403" max="9404" width="15.140625" bestFit="1" customWidth="1"/>
    <col min="9405" max="9405" width="12.28515625" bestFit="1" customWidth="1"/>
    <col min="9406" max="9406" width="5.7109375" bestFit="1" customWidth="1"/>
    <col min="9407" max="9407" width="8.5703125" bestFit="1" customWidth="1"/>
    <col min="9408" max="9408" width="5.5703125" bestFit="1" customWidth="1"/>
    <col min="9409" max="9409" width="14.42578125" bestFit="1" customWidth="1"/>
    <col min="9410" max="9410" width="11.28515625" bestFit="1" customWidth="1"/>
    <col min="9411" max="9412" width="12.28515625" bestFit="1" customWidth="1"/>
    <col min="9413" max="9413" width="11.28515625" bestFit="1" customWidth="1"/>
    <col min="9414" max="9414" width="13.85546875" bestFit="1" customWidth="1"/>
    <col min="9415" max="9415" width="12" bestFit="1" customWidth="1"/>
    <col min="9416" max="9416" width="13.85546875" bestFit="1" customWidth="1"/>
    <col min="9417" max="9418" width="14.42578125" customWidth="1"/>
    <col min="9419" max="9419" width="10.140625" bestFit="1" customWidth="1"/>
    <col min="9420" max="9420" width="12.28515625" bestFit="1" customWidth="1"/>
    <col min="9421" max="9421" width="7.42578125" bestFit="1" customWidth="1"/>
    <col min="9422" max="9422" width="8.5703125" bestFit="1" customWidth="1"/>
    <col min="9423" max="9423" width="11.5703125" bestFit="1" customWidth="1"/>
    <col min="9424" max="9424" width="13.28515625" bestFit="1" customWidth="1"/>
    <col min="9425" max="9425" width="13.28515625" customWidth="1"/>
    <col min="9426" max="9426" width="13.140625" customWidth="1"/>
    <col min="9427" max="9427" width="12.7109375" bestFit="1" customWidth="1"/>
    <col min="9428" max="9428" width="13.28515625" bestFit="1" customWidth="1"/>
    <col min="9429" max="9431" width="13.28515625" customWidth="1"/>
    <col min="9432" max="9432" width="12.140625" bestFit="1" customWidth="1"/>
    <col min="9433" max="9433" width="12.7109375" bestFit="1" customWidth="1"/>
    <col min="9434" max="9434" width="11" customWidth="1"/>
    <col min="9435" max="9435" width="16.7109375" customWidth="1"/>
    <col min="9436" max="9436" width="17" customWidth="1"/>
    <col min="9437" max="9437" width="10.42578125" bestFit="1" customWidth="1"/>
    <col min="9481" max="9481" width="3.85546875" customWidth="1"/>
    <col min="9482" max="9482" width="15.28515625" bestFit="1" customWidth="1"/>
    <col min="9483" max="9483" width="12.28515625" customWidth="1"/>
    <col min="9484" max="9484" width="16.28515625" bestFit="1" customWidth="1"/>
    <col min="9485" max="9485" width="6.42578125" bestFit="1" customWidth="1"/>
    <col min="9486" max="9486" width="9.28515625" bestFit="1" customWidth="1"/>
    <col min="9487" max="9487" width="7.5703125" bestFit="1" customWidth="1"/>
    <col min="9488" max="9488" width="13.28515625" bestFit="1" customWidth="1"/>
    <col min="9489" max="9489" width="9.28515625" bestFit="1" customWidth="1"/>
    <col min="9490" max="9490" width="11.5703125" bestFit="1" customWidth="1"/>
    <col min="9491" max="9491" width="13.28515625" bestFit="1" customWidth="1"/>
    <col min="9492" max="9492" width="7.140625" bestFit="1" customWidth="1"/>
    <col min="9493" max="9493" width="12" bestFit="1" customWidth="1"/>
    <col min="9494" max="9494" width="13.28515625" bestFit="1" customWidth="1"/>
    <col min="9495" max="9495" width="7" bestFit="1" customWidth="1"/>
    <col min="9496" max="9496" width="12.7109375" bestFit="1" customWidth="1"/>
    <col min="9497" max="9497" width="11.5703125" bestFit="1" customWidth="1"/>
    <col min="9498" max="9498" width="10.5703125" bestFit="1" customWidth="1"/>
    <col min="9499" max="9500" width="15.7109375" bestFit="1" customWidth="1"/>
    <col min="9501" max="9501" width="11.5703125" bestFit="1" customWidth="1"/>
    <col min="9502" max="9502" width="7.7109375" bestFit="1" customWidth="1"/>
    <col min="9503" max="9503" width="15.140625" bestFit="1" customWidth="1"/>
    <col min="9504" max="9504" width="11.5703125" bestFit="1" customWidth="1"/>
    <col min="9505" max="9505" width="13.28515625" bestFit="1" customWidth="1"/>
    <col min="9506" max="9506" width="10.42578125" bestFit="1" customWidth="1"/>
    <col min="9507" max="9507" width="13.28515625" bestFit="1" customWidth="1"/>
    <col min="9508" max="9508" width="12.140625" bestFit="1" customWidth="1"/>
    <col min="9509" max="9509" width="14.42578125" bestFit="1" customWidth="1"/>
    <col min="9510" max="9510" width="13.28515625" bestFit="1" customWidth="1"/>
    <col min="9511" max="9511" width="11.5703125" bestFit="1" customWidth="1"/>
    <col min="9512" max="9512" width="7.7109375" bestFit="1" customWidth="1"/>
    <col min="9513" max="9514" width="14.42578125" bestFit="1" customWidth="1"/>
    <col min="9515" max="9515" width="11.5703125" bestFit="1" customWidth="1"/>
    <col min="9516" max="9516" width="7.7109375" bestFit="1" customWidth="1"/>
    <col min="9517" max="9517" width="13.5703125" customWidth="1"/>
    <col min="9518" max="9518" width="15.28515625" customWidth="1"/>
    <col min="9519" max="9519" width="14.5703125" customWidth="1"/>
    <col min="9520" max="9520" width="13.28515625" bestFit="1" customWidth="1"/>
    <col min="9521" max="9521" width="7.7109375" bestFit="1" customWidth="1"/>
    <col min="9522" max="9522" width="12.7109375" bestFit="1" customWidth="1"/>
    <col min="9523" max="9523" width="11.7109375" bestFit="1" customWidth="1"/>
    <col min="9524" max="9524" width="11.5703125" bestFit="1" customWidth="1"/>
    <col min="9525" max="9525" width="5.28515625" bestFit="1" customWidth="1"/>
    <col min="9526" max="9526" width="13.28515625" bestFit="1" customWidth="1"/>
    <col min="9527" max="9527" width="13.5703125" bestFit="1" customWidth="1"/>
    <col min="9528" max="9528" width="10.5703125" bestFit="1" customWidth="1"/>
    <col min="9529" max="9529" width="13.28515625" bestFit="1" customWidth="1"/>
    <col min="9530" max="9530" width="11.5703125" bestFit="1" customWidth="1"/>
    <col min="9531" max="9531" width="10.5703125" bestFit="1" customWidth="1"/>
    <col min="9532" max="9532" width="16.140625" bestFit="1" customWidth="1"/>
    <col min="9533" max="9534" width="11.28515625" bestFit="1" customWidth="1"/>
    <col min="9535" max="9535" width="13.28515625" bestFit="1" customWidth="1"/>
    <col min="9536" max="9536" width="7.7109375" bestFit="1" customWidth="1"/>
    <col min="9537" max="9540" width="9.140625" hidden="1" customWidth="1"/>
    <col min="9541" max="9541" width="10.42578125" bestFit="1" customWidth="1"/>
    <col min="9542" max="9542" width="10.5703125" bestFit="1" customWidth="1"/>
    <col min="9543" max="9543" width="10.42578125" bestFit="1" customWidth="1"/>
    <col min="9544" max="9544" width="10.5703125" bestFit="1" customWidth="1"/>
    <col min="9545" max="9545" width="9.5703125" bestFit="1" customWidth="1"/>
    <col min="9546" max="9546" width="11.5703125" bestFit="1" customWidth="1"/>
    <col min="9547" max="9547" width="10.42578125" bestFit="1" customWidth="1"/>
    <col min="9548" max="9548" width="10.85546875" customWidth="1"/>
    <col min="9549" max="9550" width="9.85546875" bestFit="1" customWidth="1"/>
    <col min="9551" max="9551" width="13.5703125" bestFit="1" customWidth="1"/>
    <col min="9552" max="9552" width="7.7109375" bestFit="1" customWidth="1"/>
    <col min="9553" max="9553" width="13.28515625" bestFit="1" customWidth="1"/>
    <col min="9554" max="9554" width="11.5703125" bestFit="1" customWidth="1"/>
    <col min="9555" max="9555" width="10.42578125" bestFit="1" customWidth="1"/>
    <col min="9556" max="9556" width="7.7109375" bestFit="1" customWidth="1"/>
    <col min="9557" max="9557" width="11.5703125" bestFit="1" customWidth="1"/>
    <col min="9558" max="9558" width="10.85546875" bestFit="1" customWidth="1"/>
    <col min="9559" max="9559" width="13.28515625" bestFit="1" customWidth="1"/>
    <col min="9560" max="9560" width="10.85546875" bestFit="1" customWidth="1"/>
    <col min="9561" max="9562" width="7.5703125" bestFit="1" customWidth="1"/>
    <col min="9563" max="9564" width="10.42578125" bestFit="1" customWidth="1"/>
    <col min="9565" max="9565" width="11.5703125" bestFit="1" customWidth="1"/>
    <col min="9566" max="9566" width="5.28515625" bestFit="1" customWidth="1"/>
    <col min="9567" max="9567" width="10.28515625" bestFit="1" customWidth="1"/>
    <col min="9568" max="9568" width="10.42578125" bestFit="1" customWidth="1"/>
    <col min="9569" max="9569" width="11.5703125" bestFit="1" customWidth="1"/>
    <col min="9570" max="9570" width="5.28515625" bestFit="1" customWidth="1"/>
    <col min="9571" max="9573" width="11.5703125" bestFit="1" customWidth="1"/>
    <col min="9574" max="9574" width="5.28515625" bestFit="1" customWidth="1"/>
    <col min="9575" max="9576" width="10.42578125" bestFit="1" customWidth="1"/>
    <col min="9577" max="9577" width="11.5703125" bestFit="1" customWidth="1"/>
    <col min="9578" max="9578" width="5.28515625" bestFit="1" customWidth="1"/>
    <col min="9579" max="9579" width="14.28515625" bestFit="1" customWidth="1"/>
    <col min="9580" max="9580" width="13" bestFit="1" customWidth="1"/>
    <col min="9581" max="9581" width="11.5703125" bestFit="1" customWidth="1"/>
    <col min="9582" max="9582" width="8.85546875" bestFit="1" customWidth="1"/>
    <col min="9583" max="9583" width="14.42578125" bestFit="1" customWidth="1"/>
    <col min="9584" max="9584" width="10.42578125" bestFit="1" customWidth="1"/>
    <col min="9585" max="9585" width="12.28515625" bestFit="1" customWidth="1"/>
    <col min="9586" max="9586" width="13.85546875" bestFit="1" customWidth="1"/>
    <col min="9587" max="9587" width="11.28515625" customWidth="1"/>
    <col min="9588" max="9588" width="11.5703125" customWidth="1"/>
    <col min="9589" max="9589" width="13.42578125" bestFit="1" customWidth="1"/>
    <col min="9590" max="9590" width="10.42578125" customWidth="1"/>
    <col min="9591" max="9591" width="13.85546875" bestFit="1" customWidth="1"/>
    <col min="9592" max="9592" width="15.42578125" bestFit="1" customWidth="1"/>
    <col min="9593" max="9593" width="12.28515625" bestFit="1" customWidth="1"/>
    <col min="9594" max="9594" width="12.7109375" customWidth="1"/>
    <col min="9595" max="9595" width="10.7109375" bestFit="1" customWidth="1"/>
    <col min="9596" max="9596" width="9.85546875" customWidth="1"/>
    <col min="9597" max="9598" width="10.140625" bestFit="1" customWidth="1"/>
    <col min="9599" max="9599" width="7.5703125" bestFit="1" customWidth="1"/>
    <col min="9600" max="9600" width="9.42578125" bestFit="1" customWidth="1"/>
    <col min="9601" max="9601" width="14.5703125" bestFit="1" customWidth="1"/>
    <col min="9602" max="9602" width="14.85546875" customWidth="1"/>
    <col min="9603" max="9603" width="15.140625" bestFit="1" customWidth="1"/>
    <col min="9604" max="9604" width="12.140625" bestFit="1" customWidth="1"/>
    <col min="9605" max="9605" width="14.85546875" bestFit="1" customWidth="1"/>
    <col min="9606" max="9606" width="12.28515625" bestFit="1" customWidth="1"/>
    <col min="9607" max="9615" width="9.140625" hidden="1" customWidth="1"/>
    <col min="9616" max="9616" width="5.28515625" bestFit="1" customWidth="1"/>
    <col min="9617" max="9622" width="11.5703125" bestFit="1" customWidth="1"/>
    <col min="9623" max="9623" width="11.28515625" bestFit="1" customWidth="1"/>
    <col min="9624" max="9624" width="10.140625" bestFit="1" customWidth="1"/>
    <col min="9625" max="9625" width="11.5703125" bestFit="1" customWidth="1"/>
    <col min="9626" max="9626" width="16.140625" customWidth="1"/>
    <col min="9627" max="9627" width="13.42578125" customWidth="1"/>
    <col min="9628" max="9628" width="10.140625" bestFit="1" customWidth="1"/>
    <col min="9629" max="9629" width="12.85546875" bestFit="1" customWidth="1"/>
    <col min="9630" max="9630" width="12.28515625" bestFit="1" customWidth="1"/>
    <col min="9631" max="9631" width="11.28515625" bestFit="1" customWidth="1"/>
    <col min="9632" max="9632" width="11.5703125" bestFit="1" customWidth="1"/>
    <col min="9633" max="9633" width="10.85546875" bestFit="1" customWidth="1"/>
    <col min="9634" max="9634" width="11.28515625" bestFit="1" customWidth="1"/>
    <col min="9635" max="9635" width="10.140625" bestFit="1" customWidth="1"/>
    <col min="9636" max="9636" width="13.28515625" bestFit="1" customWidth="1"/>
    <col min="9637" max="9638" width="12.7109375" bestFit="1" customWidth="1"/>
    <col min="9639" max="9639" width="11" bestFit="1" customWidth="1"/>
    <col min="9640" max="9640" width="11.28515625" bestFit="1" customWidth="1"/>
    <col min="9641" max="9641" width="11.5703125" bestFit="1" customWidth="1"/>
    <col min="9642" max="9642" width="12.28515625" bestFit="1" customWidth="1"/>
    <col min="9643" max="9643" width="15.140625" bestFit="1" customWidth="1"/>
    <col min="9644" max="9644" width="14.42578125" bestFit="1" customWidth="1"/>
    <col min="9645" max="9645" width="12.28515625" bestFit="1" customWidth="1"/>
    <col min="9646" max="9646" width="15.140625" bestFit="1" customWidth="1"/>
    <col min="9647" max="9647" width="14.42578125" bestFit="1" customWidth="1"/>
    <col min="9648" max="9648" width="12.28515625" bestFit="1" customWidth="1"/>
    <col min="9649" max="9649" width="14.42578125" bestFit="1" customWidth="1"/>
    <col min="9650" max="9650" width="11.28515625" bestFit="1" customWidth="1"/>
    <col min="9651" max="9651" width="12.28515625" bestFit="1" customWidth="1"/>
    <col min="9652" max="9652" width="13" bestFit="1" customWidth="1"/>
    <col min="9653" max="9653" width="15.140625" bestFit="1" customWidth="1"/>
    <col min="9654" max="9654" width="12.28515625" bestFit="1" customWidth="1"/>
    <col min="9655" max="9655" width="13.85546875" bestFit="1" customWidth="1"/>
    <col min="9656" max="9656" width="11.28515625" bestFit="1" customWidth="1"/>
    <col min="9657" max="9657" width="12.28515625" bestFit="1" customWidth="1"/>
    <col min="9658" max="9658" width="13.85546875" bestFit="1" customWidth="1"/>
    <col min="9659" max="9660" width="15.140625" bestFit="1" customWidth="1"/>
    <col min="9661" max="9661" width="12.28515625" bestFit="1" customWidth="1"/>
    <col min="9662" max="9662" width="5.7109375" bestFit="1" customWidth="1"/>
    <col min="9663" max="9663" width="8.5703125" bestFit="1" customWidth="1"/>
    <col min="9664" max="9664" width="5.5703125" bestFit="1" customWidth="1"/>
    <col min="9665" max="9665" width="14.42578125" bestFit="1" customWidth="1"/>
    <col min="9666" max="9666" width="11.28515625" bestFit="1" customWidth="1"/>
    <col min="9667" max="9668" width="12.28515625" bestFit="1" customWidth="1"/>
    <col min="9669" max="9669" width="11.28515625" bestFit="1" customWidth="1"/>
    <col min="9670" max="9670" width="13.85546875" bestFit="1" customWidth="1"/>
    <col min="9671" max="9671" width="12" bestFit="1" customWidth="1"/>
    <col min="9672" max="9672" width="13.85546875" bestFit="1" customWidth="1"/>
    <col min="9673" max="9674" width="14.42578125" customWidth="1"/>
    <col min="9675" max="9675" width="10.140625" bestFit="1" customWidth="1"/>
    <col min="9676" max="9676" width="12.28515625" bestFit="1" customWidth="1"/>
    <col min="9677" max="9677" width="7.42578125" bestFit="1" customWidth="1"/>
    <col min="9678" max="9678" width="8.5703125" bestFit="1" customWidth="1"/>
    <col min="9679" max="9679" width="11.5703125" bestFit="1" customWidth="1"/>
    <col min="9680" max="9680" width="13.28515625" bestFit="1" customWidth="1"/>
    <col min="9681" max="9681" width="13.28515625" customWidth="1"/>
    <col min="9682" max="9682" width="13.140625" customWidth="1"/>
    <col min="9683" max="9683" width="12.7109375" bestFit="1" customWidth="1"/>
    <col min="9684" max="9684" width="13.28515625" bestFit="1" customWidth="1"/>
    <col min="9685" max="9687" width="13.28515625" customWidth="1"/>
    <col min="9688" max="9688" width="12.140625" bestFit="1" customWidth="1"/>
    <col min="9689" max="9689" width="12.7109375" bestFit="1" customWidth="1"/>
    <col min="9690" max="9690" width="11" customWidth="1"/>
    <col min="9691" max="9691" width="16.7109375" customWidth="1"/>
    <col min="9692" max="9692" width="17" customWidth="1"/>
    <col min="9693" max="9693" width="10.42578125" bestFit="1" customWidth="1"/>
    <col min="9737" max="9737" width="3.85546875" customWidth="1"/>
    <col min="9738" max="9738" width="15.28515625" bestFit="1" customWidth="1"/>
    <col min="9739" max="9739" width="12.28515625" customWidth="1"/>
    <col min="9740" max="9740" width="16.28515625" bestFit="1" customWidth="1"/>
    <col min="9741" max="9741" width="6.42578125" bestFit="1" customWidth="1"/>
    <col min="9742" max="9742" width="9.28515625" bestFit="1" customWidth="1"/>
    <col min="9743" max="9743" width="7.5703125" bestFit="1" customWidth="1"/>
    <col min="9744" max="9744" width="13.28515625" bestFit="1" customWidth="1"/>
    <col min="9745" max="9745" width="9.28515625" bestFit="1" customWidth="1"/>
    <col min="9746" max="9746" width="11.5703125" bestFit="1" customWidth="1"/>
    <col min="9747" max="9747" width="13.28515625" bestFit="1" customWidth="1"/>
    <col min="9748" max="9748" width="7.140625" bestFit="1" customWidth="1"/>
    <col min="9749" max="9749" width="12" bestFit="1" customWidth="1"/>
    <col min="9750" max="9750" width="13.28515625" bestFit="1" customWidth="1"/>
    <col min="9751" max="9751" width="7" bestFit="1" customWidth="1"/>
    <col min="9752" max="9752" width="12.7109375" bestFit="1" customWidth="1"/>
    <col min="9753" max="9753" width="11.5703125" bestFit="1" customWidth="1"/>
    <col min="9754" max="9754" width="10.5703125" bestFit="1" customWidth="1"/>
    <col min="9755" max="9756" width="15.7109375" bestFit="1" customWidth="1"/>
    <col min="9757" max="9757" width="11.5703125" bestFit="1" customWidth="1"/>
    <col min="9758" max="9758" width="7.7109375" bestFit="1" customWidth="1"/>
    <col min="9759" max="9759" width="15.140625" bestFit="1" customWidth="1"/>
    <col min="9760" max="9760" width="11.5703125" bestFit="1" customWidth="1"/>
    <col min="9761" max="9761" width="13.28515625" bestFit="1" customWidth="1"/>
    <col min="9762" max="9762" width="10.42578125" bestFit="1" customWidth="1"/>
    <col min="9763" max="9763" width="13.28515625" bestFit="1" customWidth="1"/>
    <col min="9764" max="9764" width="12.140625" bestFit="1" customWidth="1"/>
    <col min="9765" max="9765" width="14.42578125" bestFit="1" customWidth="1"/>
    <col min="9766" max="9766" width="13.28515625" bestFit="1" customWidth="1"/>
    <col min="9767" max="9767" width="11.5703125" bestFit="1" customWidth="1"/>
    <col min="9768" max="9768" width="7.7109375" bestFit="1" customWidth="1"/>
    <col min="9769" max="9770" width="14.42578125" bestFit="1" customWidth="1"/>
    <col min="9771" max="9771" width="11.5703125" bestFit="1" customWidth="1"/>
    <col min="9772" max="9772" width="7.7109375" bestFit="1" customWidth="1"/>
    <col min="9773" max="9773" width="13.5703125" customWidth="1"/>
    <col min="9774" max="9774" width="15.28515625" customWidth="1"/>
    <col min="9775" max="9775" width="14.5703125" customWidth="1"/>
    <col min="9776" max="9776" width="13.28515625" bestFit="1" customWidth="1"/>
    <col min="9777" max="9777" width="7.7109375" bestFit="1" customWidth="1"/>
    <col min="9778" max="9778" width="12.7109375" bestFit="1" customWidth="1"/>
    <col min="9779" max="9779" width="11.7109375" bestFit="1" customWidth="1"/>
    <col min="9780" max="9780" width="11.5703125" bestFit="1" customWidth="1"/>
    <col min="9781" max="9781" width="5.28515625" bestFit="1" customWidth="1"/>
    <col min="9782" max="9782" width="13.28515625" bestFit="1" customWidth="1"/>
    <col min="9783" max="9783" width="13.5703125" bestFit="1" customWidth="1"/>
    <col min="9784" max="9784" width="10.5703125" bestFit="1" customWidth="1"/>
    <col min="9785" max="9785" width="13.28515625" bestFit="1" customWidth="1"/>
    <col min="9786" max="9786" width="11.5703125" bestFit="1" customWidth="1"/>
    <col min="9787" max="9787" width="10.5703125" bestFit="1" customWidth="1"/>
    <col min="9788" max="9788" width="16.140625" bestFit="1" customWidth="1"/>
    <col min="9789" max="9790" width="11.28515625" bestFit="1" customWidth="1"/>
    <col min="9791" max="9791" width="13.28515625" bestFit="1" customWidth="1"/>
    <col min="9792" max="9792" width="7.7109375" bestFit="1" customWidth="1"/>
    <col min="9793" max="9796" width="9.140625" hidden="1" customWidth="1"/>
    <col min="9797" max="9797" width="10.42578125" bestFit="1" customWidth="1"/>
    <col min="9798" max="9798" width="10.5703125" bestFit="1" customWidth="1"/>
    <col min="9799" max="9799" width="10.42578125" bestFit="1" customWidth="1"/>
    <col min="9800" max="9800" width="10.5703125" bestFit="1" customWidth="1"/>
    <col min="9801" max="9801" width="9.5703125" bestFit="1" customWidth="1"/>
    <col min="9802" max="9802" width="11.5703125" bestFit="1" customWidth="1"/>
    <col min="9803" max="9803" width="10.42578125" bestFit="1" customWidth="1"/>
    <col min="9804" max="9804" width="10.85546875" customWidth="1"/>
    <col min="9805" max="9806" width="9.85546875" bestFit="1" customWidth="1"/>
    <col min="9807" max="9807" width="13.5703125" bestFit="1" customWidth="1"/>
    <col min="9808" max="9808" width="7.7109375" bestFit="1" customWidth="1"/>
    <col min="9809" max="9809" width="13.28515625" bestFit="1" customWidth="1"/>
    <col min="9810" max="9810" width="11.5703125" bestFit="1" customWidth="1"/>
    <col min="9811" max="9811" width="10.42578125" bestFit="1" customWidth="1"/>
    <col min="9812" max="9812" width="7.7109375" bestFit="1" customWidth="1"/>
    <col min="9813" max="9813" width="11.5703125" bestFit="1" customWidth="1"/>
    <col min="9814" max="9814" width="10.85546875" bestFit="1" customWidth="1"/>
    <col min="9815" max="9815" width="13.28515625" bestFit="1" customWidth="1"/>
    <col min="9816" max="9816" width="10.85546875" bestFit="1" customWidth="1"/>
    <col min="9817" max="9818" width="7.5703125" bestFit="1" customWidth="1"/>
    <col min="9819" max="9820" width="10.42578125" bestFit="1" customWidth="1"/>
    <col min="9821" max="9821" width="11.5703125" bestFit="1" customWidth="1"/>
    <col min="9822" max="9822" width="5.28515625" bestFit="1" customWidth="1"/>
    <col min="9823" max="9823" width="10.28515625" bestFit="1" customWidth="1"/>
    <col min="9824" max="9824" width="10.42578125" bestFit="1" customWidth="1"/>
    <col min="9825" max="9825" width="11.5703125" bestFit="1" customWidth="1"/>
    <col min="9826" max="9826" width="5.28515625" bestFit="1" customWidth="1"/>
    <col min="9827" max="9829" width="11.5703125" bestFit="1" customWidth="1"/>
    <col min="9830" max="9830" width="5.28515625" bestFit="1" customWidth="1"/>
    <col min="9831" max="9832" width="10.42578125" bestFit="1" customWidth="1"/>
    <col min="9833" max="9833" width="11.5703125" bestFit="1" customWidth="1"/>
    <col min="9834" max="9834" width="5.28515625" bestFit="1" customWidth="1"/>
    <col min="9835" max="9835" width="14.28515625" bestFit="1" customWidth="1"/>
    <col min="9836" max="9836" width="13" bestFit="1" customWidth="1"/>
    <col min="9837" max="9837" width="11.5703125" bestFit="1" customWidth="1"/>
    <col min="9838" max="9838" width="8.85546875" bestFit="1" customWidth="1"/>
    <col min="9839" max="9839" width="14.42578125" bestFit="1" customWidth="1"/>
    <col min="9840" max="9840" width="10.42578125" bestFit="1" customWidth="1"/>
    <col min="9841" max="9841" width="12.28515625" bestFit="1" customWidth="1"/>
    <col min="9842" max="9842" width="13.85546875" bestFit="1" customWidth="1"/>
    <col min="9843" max="9843" width="11.28515625" customWidth="1"/>
    <col min="9844" max="9844" width="11.5703125" customWidth="1"/>
    <col min="9845" max="9845" width="13.42578125" bestFit="1" customWidth="1"/>
    <col min="9846" max="9846" width="10.42578125" customWidth="1"/>
    <col min="9847" max="9847" width="13.85546875" bestFit="1" customWidth="1"/>
    <col min="9848" max="9848" width="15.42578125" bestFit="1" customWidth="1"/>
    <col min="9849" max="9849" width="12.28515625" bestFit="1" customWidth="1"/>
    <col min="9850" max="9850" width="12.7109375" customWidth="1"/>
    <col min="9851" max="9851" width="10.7109375" bestFit="1" customWidth="1"/>
    <col min="9852" max="9852" width="9.85546875" customWidth="1"/>
    <col min="9853" max="9854" width="10.140625" bestFit="1" customWidth="1"/>
    <col min="9855" max="9855" width="7.5703125" bestFit="1" customWidth="1"/>
    <col min="9856" max="9856" width="9.42578125" bestFit="1" customWidth="1"/>
    <col min="9857" max="9857" width="14.5703125" bestFit="1" customWidth="1"/>
    <col min="9858" max="9858" width="14.85546875" customWidth="1"/>
    <col min="9859" max="9859" width="15.140625" bestFit="1" customWidth="1"/>
    <col min="9860" max="9860" width="12.140625" bestFit="1" customWidth="1"/>
    <col min="9861" max="9861" width="14.85546875" bestFit="1" customWidth="1"/>
    <col min="9862" max="9862" width="12.28515625" bestFit="1" customWidth="1"/>
    <col min="9863" max="9871" width="9.140625" hidden="1" customWidth="1"/>
    <col min="9872" max="9872" width="5.28515625" bestFit="1" customWidth="1"/>
    <col min="9873" max="9878" width="11.5703125" bestFit="1" customWidth="1"/>
    <col min="9879" max="9879" width="11.28515625" bestFit="1" customWidth="1"/>
    <col min="9880" max="9880" width="10.140625" bestFit="1" customWidth="1"/>
    <col min="9881" max="9881" width="11.5703125" bestFit="1" customWidth="1"/>
    <col min="9882" max="9882" width="16.140625" customWidth="1"/>
    <col min="9883" max="9883" width="13.42578125" customWidth="1"/>
    <col min="9884" max="9884" width="10.140625" bestFit="1" customWidth="1"/>
    <col min="9885" max="9885" width="12.85546875" bestFit="1" customWidth="1"/>
    <col min="9886" max="9886" width="12.28515625" bestFit="1" customWidth="1"/>
    <col min="9887" max="9887" width="11.28515625" bestFit="1" customWidth="1"/>
    <col min="9888" max="9888" width="11.5703125" bestFit="1" customWidth="1"/>
    <col min="9889" max="9889" width="10.85546875" bestFit="1" customWidth="1"/>
    <col min="9890" max="9890" width="11.28515625" bestFit="1" customWidth="1"/>
    <col min="9891" max="9891" width="10.140625" bestFit="1" customWidth="1"/>
    <col min="9892" max="9892" width="13.28515625" bestFit="1" customWidth="1"/>
    <col min="9893" max="9894" width="12.7109375" bestFit="1" customWidth="1"/>
    <col min="9895" max="9895" width="11" bestFit="1" customWidth="1"/>
    <col min="9896" max="9896" width="11.28515625" bestFit="1" customWidth="1"/>
    <col min="9897" max="9897" width="11.5703125" bestFit="1" customWidth="1"/>
    <col min="9898" max="9898" width="12.28515625" bestFit="1" customWidth="1"/>
    <col min="9899" max="9899" width="15.140625" bestFit="1" customWidth="1"/>
    <col min="9900" max="9900" width="14.42578125" bestFit="1" customWidth="1"/>
    <col min="9901" max="9901" width="12.28515625" bestFit="1" customWidth="1"/>
    <col min="9902" max="9902" width="15.140625" bestFit="1" customWidth="1"/>
    <col min="9903" max="9903" width="14.42578125" bestFit="1" customWidth="1"/>
    <col min="9904" max="9904" width="12.28515625" bestFit="1" customWidth="1"/>
    <col min="9905" max="9905" width="14.42578125" bestFit="1" customWidth="1"/>
    <col min="9906" max="9906" width="11.28515625" bestFit="1" customWidth="1"/>
    <col min="9907" max="9907" width="12.28515625" bestFit="1" customWidth="1"/>
    <col min="9908" max="9908" width="13" bestFit="1" customWidth="1"/>
    <col min="9909" max="9909" width="15.140625" bestFit="1" customWidth="1"/>
    <col min="9910" max="9910" width="12.28515625" bestFit="1" customWidth="1"/>
    <col min="9911" max="9911" width="13.85546875" bestFit="1" customWidth="1"/>
    <col min="9912" max="9912" width="11.28515625" bestFit="1" customWidth="1"/>
    <col min="9913" max="9913" width="12.28515625" bestFit="1" customWidth="1"/>
    <col min="9914" max="9914" width="13.85546875" bestFit="1" customWidth="1"/>
    <col min="9915" max="9916" width="15.140625" bestFit="1" customWidth="1"/>
    <col min="9917" max="9917" width="12.28515625" bestFit="1" customWidth="1"/>
    <col min="9918" max="9918" width="5.7109375" bestFit="1" customWidth="1"/>
    <col min="9919" max="9919" width="8.5703125" bestFit="1" customWidth="1"/>
    <col min="9920" max="9920" width="5.5703125" bestFit="1" customWidth="1"/>
    <col min="9921" max="9921" width="14.42578125" bestFit="1" customWidth="1"/>
    <col min="9922" max="9922" width="11.28515625" bestFit="1" customWidth="1"/>
    <col min="9923" max="9924" width="12.28515625" bestFit="1" customWidth="1"/>
    <col min="9925" max="9925" width="11.28515625" bestFit="1" customWidth="1"/>
    <col min="9926" max="9926" width="13.85546875" bestFit="1" customWidth="1"/>
    <col min="9927" max="9927" width="12" bestFit="1" customWidth="1"/>
    <col min="9928" max="9928" width="13.85546875" bestFit="1" customWidth="1"/>
    <col min="9929" max="9930" width="14.42578125" customWidth="1"/>
    <col min="9931" max="9931" width="10.140625" bestFit="1" customWidth="1"/>
    <col min="9932" max="9932" width="12.28515625" bestFit="1" customWidth="1"/>
    <col min="9933" max="9933" width="7.42578125" bestFit="1" customWidth="1"/>
    <col min="9934" max="9934" width="8.5703125" bestFit="1" customWidth="1"/>
    <col min="9935" max="9935" width="11.5703125" bestFit="1" customWidth="1"/>
    <col min="9936" max="9936" width="13.28515625" bestFit="1" customWidth="1"/>
    <col min="9937" max="9937" width="13.28515625" customWidth="1"/>
    <col min="9938" max="9938" width="13.140625" customWidth="1"/>
    <col min="9939" max="9939" width="12.7109375" bestFit="1" customWidth="1"/>
    <col min="9940" max="9940" width="13.28515625" bestFit="1" customWidth="1"/>
    <col min="9941" max="9943" width="13.28515625" customWidth="1"/>
    <col min="9944" max="9944" width="12.140625" bestFit="1" customWidth="1"/>
    <col min="9945" max="9945" width="12.7109375" bestFit="1" customWidth="1"/>
    <col min="9946" max="9946" width="11" customWidth="1"/>
    <col min="9947" max="9947" width="16.7109375" customWidth="1"/>
    <col min="9948" max="9948" width="17" customWidth="1"/>
    <col min="9949" max="9949" width="10.42578125" bestFit="1" customWidth="1"/>
    <col min="9993" max="9993" width="3.85546875" customWidth="1"/>
    <col min="9994" max="9994" width="15.28515625" bestFit="1" customWidth="1"/>
    <col min="9995" max="9995" width="12.28515625" customWidth="1"/>
    <col min="9996" max="9996" width="16.28515625" bestFit="1" customWidth="1"/>
    <col min="9997" max="9997" width="6.42578125" bestFit="1" customWidth="1"/>
    <col min="9998" max="9998" width="9.28515625" bestFit="1" customWidth="1"/>
    <col min="9999" max="9999" width="7.5703125" bestFit="1" customWidth="1"/>
    <col min="10000" max="10000" width="13.28515625" bestFit="1" customWidth="1"/>
    <col min="10001" max="10001" width="9.28515625" bestFit="1" customWidth="1"/>
    <col min="10002" max="10002" width="11.5703125" bestFit="1" customWidth="1"/>
    <col min="10003" max="10003" width="13.28515625" bestFit="1" customWidth="1"/>
    <col min="10004" max="10004" width="7.140625" bestFit="1" customWidth="1"/>
    <col min="10005" max="10005" width="12" bestFit="1" customWidth="1"/>
    <col min="10006" max="10006" width="13.28515625" bestFit="1" customWidth="1"/>
    <col min="10007" max="10007" width="7" bestFit="1" customWidth="1"/>
    <col min="10008" max="10008" width="12.7109375" bestFit="1" customWidth="1"/>
    <col min="10009" max="10009" width="11.5703125" bestFit="1" customWidth="1"/>
    <col min="10010" max="10010" width="10.5703125" bestFit="1" customWidth="1"/>
    <col min="10011" max="10012" width="15.7109375" bestFit="1" customWidth="1"/>
    <col min="10013" max="10013" width="11.5703125" bestFit="1" customWidth="1"/>
    <col min="10014" max="10014" width="7.7109375" bestFit="1" customWidth="1"/>
    <col min="10015" max="10015" width="15.140625" bestFit="1" customWidth="1"/>
    <col min="10016" max="10016" width="11.5703125" bestFit="1" customWidth="1"/>
    <col min="10017" max="10017" width="13.28515625" bestFit="1" customWidth="1"/>
    <col min="10018" max="10018" width="10.42578125" bestFit="1" customWidth="1"/>
    <col min="10019" max="10019" width="13.28515625" bestFit="1" customWidth="1"/>
    <col min="10020" max="10020" width="12.140625" bestFit="1" customWidth="1"/>
    <col min="10021" max="10021" width="14.42578125" bestFit="1" customWidth="1"/>
    <col min="10022" max="10022" width="13.28515625" bestFit="1" customWidth="1"/>
    <col min="10023" max="10023" width="11.5703125" bestFit="1" customWidth="1"/>
    <col min="10024" max="10024" width="7.7109375" bestFit="1" customWidth="1"/>
    <col min="10025" max="10026" width="14.42578125" bestFit="1" customWidth="1"/>
    <col min="10027" max="10027" width="11.5703125" bestFit="1" customWidth="1"/>
    <col min="10028" max="10028" width="7.7109375" bestFit="1" customWidth="1"/>
    <col min="10029" max="10029" width="13.5703125" customWidth="1"/>
    <col min="10030" max="10030" width="15.28515625" customWidth="1"/>
    <col min="10031" max="10031" width="14.5703125" customWidth="1"/>
    <col min="10032" max="10032" width="13.28515625" bestFit="1" customWidth="1"/>
    <col min="10033" max="10033" width="7.7109375" bestFit="1" customWidth="1"/>
    <col min="10034" max="10034" width="12.7109375" bestFit="1" customWidth="1"/>
    <col min="10035" max="10035" width="11.7109375" bestFit="1" customWidth="1"/>
    <col min="10036" max="10036" width="11.5703125" bestFit="1" customWidth="1"/>
    <col min="10037" max="10037" width="5.28515625" bestFit="1" customWidth="1"/>
    <col min="10038" max="10038" width="13.28515625" bestFit="1" customWidth="1"/>
    <col min="10039" max="10039" width="13.5703125" bestFit="1" customWidth="1"/>
    <col min="10040" max="10040" width="10.5703125" bestFit="1" customWidth="1"/>
    <col min="10041" max="10041" width="13.28515625" bestFit="1" customWidth="1"/>
    <col min="10042" max="10042" width="11.5703125" bestFit="1" customWidth="1"/>
    <col min="10043" max="10043" width="10.5703125" bestFit="1" customWidth="1"/>
    <col min="10044" max="10044" width="16.140625" bestFit="1" customWidth="1"/>
    <col min="10045" max="10046" width="11.28515625" bestFit="1" customWidth="1"/>
    <col min="10047" max="10047" width="13.28515625" bestFit="1" customWidth="1"/>
    <col min="10048" max="10048" width="7.7109375" bestFit="1" customWidth="1"/>
    <col min="10049" max="10052" width="9.140625" hidden="1" customWidth="1"/>
    <col min="10053" max="10053" width="10.42578125" bestFit="1" customWidth="1"/>
    <col min="10054" max="10054" width="10.5703125" bestFit="1" customWidth="1"/>
    <col min="10055" max="10055" width="10.42578125" bestFit="1" customWidth="1"/>
    <col min="10056" max="10056" width="10.5703125" bestFit="1" customWidth="1"/>
    <col min="10057" max="10057" width="9.5703125" bestFit="1" customWidth="1"/>
    <col min="10058" max="10058" width="11.5703125" bestFit="1" customWidth="1"/>
    <col min="10059" max="10059" width="10.42578125" bestFit="1" customWidth="1"/>
    <col min="10060" max="10060" width="10.85546875" customWidth="1"/>
    <col min="10061" max="10062" width="9.85546875" bestFit="1" customWidth="1"/>
    <col min="10063" max="10063" width="13.5703125" bestFit="1" customWidth="1"/>
    <col min="10064" max="10064" width="7.7109375" bestFit="1" customWidth="1"/>
    <col min="10065" max="10065" width="13.28515625" bestFit="1" customWidth="1"/>
    <col min="10066" max="10066" width="11.5703125" bestFit="1" customWidth="1"/>
    <col min="10067" max="10067" width="10.42578125" bestFit="1" customWidth="1"/>
    <col min="10068" max="10068" width="7.7109375" bestFit="1" customWidth="1"/>
    <col min="10069" max="10069" width="11.5703125" bestFit="1" customWidth="1"/>
    <col min="10070" max="10070" width="10.85546875" bestFit="1" customWidth="1"/>
    <col min="10071" max="10071" width="13.28515625" bestFit="1" customWidth="1"/>
    <col min="10072" max="10072" width="10.85546875" bestFit="1" customWidth="1"/>
    <col min="10073" max="10074" width="7.5703125" bestFit="1" customWidth="1"/>
    <col min="10075" max="10076" width="10.42578125" bestFit="1" customWidth="1"/>
    <col min="10077" max="10077" width="11.5703125" bestFit="1" customWidth="1"/>
    <col min="10078" max="10078" width="5.28515625" bestFit="1" customWidth="1"/>
    <col min="10079" max="10079" width="10.28515625" bestFit="1" customWidth="1"/>
    <col min="10080" max="10080" width="10.42578125" bestFit="1" customWidth="1"/>
    <col min="10081" max="10081" width="11.5703125" bestFit="1" customWidth="1"/>
    <col min="10082" max="10082" width="5.28515625" bestFit="1" customWidth="1"/>
    <col min="10083" max="10085" width="11.5703125" bestFit="1" customWidth="1"/>
    <col min="10086" max="10086" width="5.28515625" bestFit="1" customWidth="1"/>
    <col min="10087" max="10088" width="10.42578125" bestFit="1" customWidth="1"/>
    <col min="10089" max="10089" width="11.5703125" bestFit="1" customWidth="1"/>
    <col min="10090" max="10090" width="5.28515625" bestFit="1" customWidth="1"/>
    <col min="10091" max="10091" width="14.28515625" bestFit="1" customWidth="1"/>
    <col min="10092" max="10092" width="13" bestFit="1" customWidth="1"/>
    <col min="10093" max="10093" width="11.5703125" bestFit="1" customWidth="1"/>
    <col min="10094" max="10094" width="8.85546875" bestFit="1" customWidth="1"/>
    <col min="10095" max="10095" width="14.42578125" bestFit="1" customWidth="1"/>
    <col min="10096" max="10096" width="10.42578125" bestFit="1" customWidth="1"/>
    <col min="10097" max="10097" width="12.28515625" bestFit="1" customWidth="1"/>
    <col min="10098" max="10098" width="13.85546875" bestFit="1" customWidth="1"/>
    <col min="10099" max="10099" width="11.28515625" customWidth="1"/>
    <col min="10100" max="10100" width="11.5703125" customWidth="1"/>
    <col min="10101" max="10101" width="13.42578125" bestFit="1" customWidth="1"/>
    <col min="10102" max="10102" width="10.42578125" customWidth="1"/>
    <col min="10103" max="10103" width="13.85546875" bestFit="1" customWidth="1"/>
    <col min="10104" max="10104" width="15.42578125" bestFit="1" customWidth="1"/>
    <col min="10105" max="10105" width="12.28515625" bestFit="1" customWidth="1"/>
    <col min="10106" max="10106" width="12.7109375" customWidth="1"/>
    <col min="10107" max="10107" width="10.7109375" bestFit="1" customWidth="1"/>
    <col min="10108" max="10108" width="9.85546875" customWidth="1"/>
    <col min="10109" max="10110" width="10.140625" bestFit="1" customWidth="1"/>
    <col min="10111" max="10111" width="7.5703125" bestFit="1" customWidth="1"/>
    <col min="10112" max="10112" width="9.42578125" bestFit="1" customWidth="1"/>
    <col min="10113" max="10113" width="14.5703125" bestFit="1" customWidth="1"/>
    <col min="10114" max="10114" width="14.85546875" customWidth="1"/>
    <col min="10115" max="10115" width="15.140625" bestFit="1" customWidth="1"/>
    <col min="10116" max="10116" width="12.140625" bestFit="1" customWidth="1"/>
    <col min="10117" max="10117" width="14.85546875" bestFit="1" customWidth="1"/>
    <col min="10118" max="10118" width="12.28515625" bestFit="1" customWidth="1"/>
    <col min="10119" max="10127" width="9.140625" hidden="1" customWidth="1"/>
    <col min="10128" max="10128" width="5.28515625" bestFit="1" customWidth="1"/>
    <col min="10129" max="10134" width="11.5703125" bestFit="1" customWidth="1"/>
    <col min="10135" max="10135" width="11.28515625" bestFit="1" customWidth="1"/>
    <col min="10136" max="10136" width="10.140625" bestFit="1" customWidth="1"/>
    <col min="10137" max="10137" width="11.5703125" bestFit="1" customWidth="1"/>
    <col min="10138" max="10138" width="16.140625" customWidth="1"/>
    <col min="10139" max="10139" width="13.42578125" customWidth="1"/>
    <col min="10140" max="10140" width="10.140625" bestFit="1" customWidth="1"/>
    <col min="10141" max="10141" width="12.85546875" bestFit="1" customWidth="1"/>
    <col min="10142" max="10142" width="12.28515625" bestFit="1" customWidth="1"/>
    <col min="10143" max="10143" width="11.28515625" bestFit="1" customWidth="1"/>
    <col min="10144" max="10144" width="11.5703125" bestFit="1" customWidth="1"/>
    <col min="10145" max="10145" width="10.85546875" bestFit="1" customWidth="1"/>
    <col min="10146" max="10146" width="11.28515625" bestFit="1" customWidth="1"/>
    <col min="10147" max="10147" width="10.140625" bestFit="1" customWidth="1"/>
    <col min="10148" max="10148" width="13.28515625" bestFit="1" customWidth="1"/>
    <col min="10149" max="10150" width="12.7109375" bestFit="1" customWidth="1"/>
    <col min="10151" max="10151" width="11" bestFit="1" customWidth="1"/>
    <col min="10152" max="10152" width="11.28515625" bestFit="1" customWidth="1"/>
    <col min="10153" max="10153" width="11.5703125" bestFit="1" customWidth="1"/>
    <col min="10154" max="10154" width="12.28515625" bestFit="1" customWidth="1"/>
    <col min="10155" max="10155" width="15.140625" bestFit="1" customWidth="1"/>
    <col min="10156" max="10156" width="14.42578125" bestFit="1" customWidth="1"/>
    <col min="10157" max="10157" width="12.28515625" bestFit="1" customWidth="1"/>
    <col min="10158" max="10158" width="15.140625" bestFit="1" customWidth="1"/>
    <col min="10159" max="10159" width="14.42578125" bestFit="1" customWidth="1"/>
    <col min="10160" max="10160" width="12.28515625" bestFit="1" customWidth="1"/>
    <col min="10161" max="10161" width="14.42578125" bestFit="1" customWidth="1"/>
    <col min="10162" max="10162" width="11.28515625" bestFit="1" customWidth="1"/>
    <col min="10163" max="10163" width="12.28515625" bestFit="1" customWidth="1"/>
    <col min="10164" max="10164" width="13" bestFit="1" customWidth="1"/>
    <col min="10165" max="10165" width="15.140625" bestFit="1" customWidth="1"/>
    <col min="10166" max="10166" width="12.28515625" bestFit="1" customWidth="1"/>
    <col min="10167" max="10167" width="13.85546875" bestFit="1" customWidth="1"/>
    <col min="10168" max="10168" width="11.28515625" bestFit="1" customWidth="1"/>
    <col min="10169" max="10169" width="12.28515625" bestFit="1" customWidth="1"/>
    <col min="10170" max="10170" width="13.85546875" bestFit="1" customWidth="1"/>
    <col min="10171" max="10172" width="15.140625" bestFit="1" customWidth="1"/>
    <col min="10173" max="10173" width="12.28515625" bestFit="1" customWidth="1"/>
    <col min="10174" max="10174" width="5.7109375" bestFit="1" customWidth="1"/>
    <col min="10175" max="10175" width="8.5703125" bestFit="1" customWidth="1"/>
    <col min="10176" max="10176" width="5.5703125" bestFit="1" customWidth="1"/>
    <col min="10177" max="10177" width="14.42578125" bestFit="1" customWidth="1"/>
    <col min="10178" max="10178" width="11.28515625" bestFit="1" customWidth="1"/>
    <col min="10179" max="10180" width="12.28515625" bestFit="1" customWidth="1"/>
    <col min="10181" max="10181" width="11.28515625" bestFit="1" customWidth="1"/>
    <col min="10182" max="10182" width="13.85546875" bestFit="1" customWidth="1"/>
    <col min="10183" max="10183" width="12" bestFit="1" customWidth="1"/>
    <col min="10184" max="10184" width="13.85546875" bestFit="1" customWidth="1"/>
    <col min="10185" max="10186" width="14.42578125" customWidth="1"/>
    <col min="10187" max="10187" width="10.140625" bestFit="1" customWidth="1"/>
    <col min="10188" max="10188" width="12.28515625" bestFit="1" customWidth="1"/>
    <col min="10189" max="10189" width="7.42578125" bestFit="1" customWidth="1"/>
    <col min="10190" max="10190" width="8.5703125" bestFit="1" customWidth="1"/>
    <col min="10191" max="10191" width="11.5703125" bestFit="1" customWidth="1"/>
    <col min="10192" max="10192" width="13.28515625" bestFit="1" customWidth="1"/>
    <col min="10193" max="10193" width="13.28515625" customWidth="1"/>
    <col min="10194" max="10194" width="13.140625" customWidth="1"/>
    <col min="10195" max="10195" width="12.7109375" bestFit="1" customWidth="1"/>
    <col min="10196" max="10196" width="13.28515625" bestFit="1" customWidth="1"/>
    <col min="10197" max="10199" width="13.28515625" customWidth="1"/>
    <col min="10200" max="10200" width="12.140625" bestFit="1" customWidth="1"/>
    <col min="10201" max="10201" width="12.7109375" bestFit="1" customWidth="1"/>
    <col min="10202" max="10202" width="11" customWidth="1"/>
    <col min="10203" max="10203" width="16.7109375" customWidth="1"/>
    <col min="10204" max="10204" width="17" customWidth="1"/>
    <col min="10205" max="10205" width="10.42578125" bestFit="1" customWidth="1"/>
    <col min="10249" max="10249" width="3.85546875" customWidth="1"/>
    <col min="10250" max="10250" width="15.28515625" bestFit="1" customWidth="1"/>
    <col min="10251" max="10251" width="12.28515625" customWidth="1"/>
    <col min="10252" max="10252" width="16.28515625" bestFit="1" customWidth="1"/>
    <col min="10253" max="10253" width="6.42578125" bestFit="1" customWidth="1"/>
    <col min="10254" max="10254" width="9.28515625" bestFit="1" customWidth="1"/>
    <col min="10255" max="10255" width="7.5703125" bestFit="1" customWidth="1"/>
    <col min="10256" max="10256" width="13.28515625" bestFit="1" customWidth="1"/>
    <col min="10257" max="10257" width="9.28515625" bestFit="1" customWidth="1"/>
    <col min="10258" max="10258" width="11.5703125" bestFit="1" customWidth="1"/>
    <col min="10259" max="10259" width="13.28515625" bestFit="1" customWidth="1"/>
    <col min="10260" max="10260" width="7.140625" bestFit="1" customWidth="1"/>
    <col min="10261" max="10261" width="12" bestFit="1" customWidth="1"/>
    <col min="10262" max="10262" width="13.28515625" bestFit="1" customWidth="1"/>
    <col min="10263" max="10263" width="7" bestFit="1" customWidth="1"/>
    <col min="10264" max="10264" width="12.7109375" bestFit="1" customWidth="1"/>
    <col min="10265" max="10265" width="11.5703125" bestFit="1" customWidth="1"/>
    <col min="10266" max="10266" width="10.5703125" bestFit="1" customWidth="1"/>
    <col min="10267" max="10268" width="15.7109375" bestFit="1" customWidth="1"/>
    <col min="10269" max="10269" width="11.5703125" bestFit="1" customWidth="1"/>
    <col min="10270" max="10270" width="7.7109375" bestFit="1" customWidth="1"/>
    <col min="10271" max="10271" width="15.140625" bestFit="1" customWidth="1"/>
    <col min="10272" max="10272" width="11.5703125" bestFit="1" customWidth="1"/>
    <col min="10273" max="10273" width="13.28515625" bestFit="1" customWidth="1"/>
    <col min="10274" max="10274" width="10.42578125" bestFit="1" customWidth="1"/>
    <col min="10275" max="10275" width="13.28515625" bestFit="1" customWidth="1"/>
    <col min="10276" max="10276" width="12.140625" bestFit="1" customWidth="1"/>
    <col min="10277" max="10277" width="14.42578125" bestFit="1" customWidth="1"/>
    <col min="10278" max="10278" width="13.28515625" bestFit="1" customWidth="1"/>
    <col min="10279" max="10279" width="11.5703125" bestFit="1" customWidth="1"/>
    <col min="10280" max="10280" width="7.7109375" bestFit="1" customWidth="1"/>
    <col min="10281" max="10282" width="14.42578125" bestFit="1" customWidth="1"/>
    <col min="10283" max="10283" width="11.5703125" bestFit="1" customWidth="1"/>
    <col min="10284" max="10284" width="7.7109375" bestFit="1" customWidth="1"/>
    <col min="10285" max="10285" width="13.5703125" customWidth="1"/>
    <col min="10286" max="10286" width="15.28515625" customWidth="1"/>
    <col min="10287" max="10287" width="14.5703125" customWidth="1"/>
    <col min="10288" max="10288" width="13.28515625" bestFit="1" customWidth="1"/>
    <col min="10289" max="10289" width="7.7109375" bestFit="1" customWidth="1"/>
    <col min="10290" max="10290" width="12.7109375" bestFit="1" customWidth="1"/>
    <col min="10291" max="10291" width="11.7109375" bestFit="1" customWidth="1"/>
    <col min="10292" max="10292" width="11.5703125" bestFit="1" customWidth="1"/>
    <col min="10293" max="10293" width="5.28515625" bestFit="1" customWidth="1"/>
    <col min="10294" max="10294" width="13.28515625" bestFit="1" customWidth="1"/>
    <col min="10295" max="10295" width="13.5703125" bestFit="1" customWidth="1"/>
    <col min="10296" max="10296" width="10.5703125" bestFit="1" customWidth="1"/>
    <col min="10297" max="10297" width="13.28515625" bestFit="1" customWidth="1"/>
    <col min="10298" max="10298" width="11.5703125" bestFit="1" customWidth="1"/>
    <col min="10299" max="10299" width="10.5703125" bestFit="1" customWidth="1"/>
    <col min="10300" max="10300" width="16.140625" bestFit="1" customWidth="1"/>
    <col min="10301" max="10302" width="11.28515625" bestFit="1" customWidth="1"/>
    <col min="10303" max="10303" width="13.28515625" bestFit="1" customWidth="1"/>
    <col min="10304" max="10304" width="7.7109375" bestFit="1" customWidth="1"/>
    <col min="10305" max="10308" width="9.140625" hidden="1" customWidth="1"/>
    <col min="10309" max="10309" width="10.42578125" bestFit="1" customWidth="1"/>
    <col min="10310" max="10310" width="10.5703125" bestFit="1" customWidth="1"/>
    <col min="10311" max="10311" width="10.42578125" bestFit="1" customWidth="1"/>
    <col min="10312" max="10312" width="10.5703125" bestFit="1" customWidth="1"/>
    <col min="10313" max="10313" width="9.5703125" bestFit="1" customWidth="1"/>
    <col min="10314" max="10314" width="11.5703125" bestFit="1" customWidth="1"/>
    <col min="10315" max="10315" width="10.42578125" bestFit="1" customWidth="1"/>
    <col min="10316" max="10316" width="10.85546875" customWidth="1"/>
    <col min="10317" max="10318" width="9.85546875" bestFit="1" customWidth="1"/>
    <col min="10319" max="10319" width="13.5703125" bestFit="1" customWidth="1"/>
    <col min="10320" max="10320" width="7.7109375" bestFit="1" customWidth="1"/>
    <col min="10321" max="10321" width="13.28515625" bestFit="1" customWidth="1"/>
    <col min="10322" max="10322" width="11.5703125" bestFit="1" customWidth="1"/>
    <col min="10323" max="10323" width="10.42578125" bestFit="1" customWidth="1"/>
    <col min="10324" max="10324" width="7.7109375" bestFit="1" customWidth="1"/>
    <col min="10325" max="10325" width="11.5703125" bestFit="1" customWidth="1"/>
    <col min="10326" max="10326" width="10.85546875" bestFit="1" customWidth="1"/>
    <col min="10327" max="10327" width="13.28515625" bestFit="1" customWidth="1"/>
    <col min="10328" max="10328" width="10.85546875" bestFit="1" customWidth="1"/>
    <col min="10329" max="10330" width="7.5703125" bestFit="1" customWidth="1"/>
    <col min="10331" max="10332" width="10.42578125" bestFit="1" customWidth="1"/>
    <col min="10333" max="10333" width="11.5703125" bestFit="1" customWidth="1"/>
    <col min="10334" max="10334" width="5.28515625" bestFit="1" customWidth="1"/>
    <col min="10335" max="10335" width="10.28515625" bestFit="1" customWidth="1"/>
    <col min="10336" max="10336" width="10.42578125" bestFit="1" customWidth="1"/>
    <col min="10337" max="10337" width="11.5703125" bestFit="1" customWidth="1"/>
    <col min="10338" max="10338" width="5.28515625" bestFit="1" customWidth="1"/>
    <col min="10339" max="10341" width="11.5703125" bestFit="1" customWidth="1"/>
    <col min="10342" max="10342" width="5.28515625" bestFit="1" customWidth="1"/>
    <col min="10343" max="10344" width="10.42578125" bestFit="1" customWidth="1"/>
    <col min="10345" max="10345" width="11.5703125" bestFit="1" customWidth="1"/>
    <col min="10346" max="10346" width="5.28515625" bestFit="1" customWidth="1"/>
    <col min="10347" max="10347" width="14.28515625" bestFit="1" customWidth="1"/>
    <col min="10348" max="10348" width="13" bestFit="1" customWidth="1"/>
    <col min="10349" max="10349" width="11.5703125" bestFit="1" customWidth="1"/>
    <col min="10350" max="10350" width="8.85546875" bestFit="1" customWidth="1"/>
    <col min="10351" max="10351" width="14.42578125" bestFit="1" customWidth="1"/>
    <col min="10352" max="10352" width="10.42578125" bestFit="1" customWidth="1"/>
    <col min="10353" max="10353" width="12.28515625" bestFit="1" customWidth="1"/>
    <col min="10354" max="10354" width="13.85546875" bestFit="1" customWidth="1"/>
    <col min="10355" max="10355" width="11.28515625" customWidth="1"/>
    <col min="10356" max="10356" width="11.5703125" customWidth="1"/>
    <col min="10357" max="10357" width="13.42578125" bestFit="1" customWidth="1"/>
    <col min="10358" max="10358" width="10.42578125" customWidth="1"/>
    <col min="10359" max="10359" width="13.85546875" bestFit="1" customWidth="1"/>
    <col min="10360" max="10360" width="15.42578125" bestFit="1" customWidth="1"/>
    <col min="10361" max="10361" width="12.28515625" bestFit="1" customWidth="1"/>
    <col min="10362" max="10362" width="12.7109375" customWidth="1"/>
    <col min="10363" max="10363" width="10.7109375" bestFit="1" customWidth="1"/>
    <col min="10364" max="10364" width="9.85546875" customWidth="1"/>
    <col min="10365" max="10366" width="10.140625" bestFit="1" customWidth="1"/>
    <col min="10367" max="10367" width="7.5703125" bestFit="1" customWidth="1"/>
    <col min="10368" max="10368" width="9.42578125" bestFit="1" customWidth="1"/>
    <col min="10369" max="10369" width="14.5703125" bestFit="1" customWidth="1"/>
    <col min="10370" max="10370" width="14.85546875" customWidth="1"/>
    <col min="10371" max="10371" width="15.140625" bestFit="1" customWidth="1"/>
    <col min="10372" max="10372" width="12.140625" bestFit="1" customWidth="1"/>
    <col min="10373" max="10373" width="14.85546875" bestFit="1" customWidth="1"/>
    <col min="10374" max="10374" width="12.28515625" bestFit="1" customWidth="1"/>
    <col min="10375" max="10383" width="9.140625" hidden="1" customWidth="1"/>
    <col min="10384" max="10384" width="5.28515625" bestFit="1" customWidth="1"/>
    <col min="10385" max="10390" width="11.5703125" bestFit="1" customWidth="1"/>
    <col min="10391" max="10391" width="11.28515625" bestFit="1" customWidth="1"/>
    <col min="10392" max="10392" width="10.140625" bestFit="1" customWidth="1"/>
    <col min="10393" max="10393" width="11.5703125" bestFit="1" customWidth="1"/>
    <col min="10394" max="10394" width="16.140625" customWidth="1"/>
    <col min="10395" max="10395" width="13.42578125" customWidth="1"/>
    <col min="10396" max="10396" width="10.140625" bestFit="1" customWidth="1"/>
    <col min="10397" max="10397" width="12.85546875" bestFit="1" customWidth="1"/>
    <col min="10398" max="10398" width="12.28515625" bestFit="1" customWidth="1"/>
    <col min="10399" max="10399" width="11.28515625" bestFit="1" customWidth="1"/>
    <col min="10400" max="10400" width="11.5703125" bestFit="1" customWidth="1"/>
    <col min="10401" max="10401" width="10.85546875" bestFit="1" customWidth="1"/>
    <col min="10402" max="10402" width="11.28515625" bestFit="1" customWidth="1"/>
    <col min="10403" max="10403" width="10.140625" bestFit="1" customWidth="1"/>
    <col min="10404" max="10404" width="13.28515625" bestFit="1" customWidth="1"/>
    <col min="10405" max="10406" width="12.7109375" bestFit="1" customWidth="1"/>
    <col min="10407" max="10407" width="11" bestFit="1" customWidth="1"/>
    <col min="10408" max="10408" width="11.28515625" bestFit="1" customWidth="1"/>
    <col min="10409" max="10409" width="11.5703125" bestFit="1" customWidth="1"/>
    <col min="10410" max="10410" width="12.28515625" bestFit="1" customWidth="1"/>
    <col min="10411" max="10411" width="15.140625" bestFit="1" customWidth="1"/>
    <col min="10412" max="10412" width="14.42578125" bestFit="1" customWidth="1"/>
    <col min="10413" max="10413" width="12.28515625" bestFit="1" customWidth="1"/>
    <col min="10414" max="10414" width="15.140625" bestFit="1" customWidth="1"/>
    <col min="10415" max="10415" width="14.42578125" bestFit="1" customWidth="1"/>
    <col min="10416" max="10416" width="12.28515625" bestFit="1" customWidth="1"/>
    <col min="10417" max="10417" width="14.42578125" bestFit="1" customWidth="1"/>
    <col min="10418" max="10418" width="11.28515625" bestFit="1" customWidth="1"/>
    <col min="10419" max="10419" width="12.28515625" bestFit="1" customWidth="1"/>
    <col min="10420" max="10420" width="13" bestFit="1" customWidth="1"/>
    <col min="10421" max="10421" width="15.140625" bestFit="1" customWidth="1"/>
    <col min="10422" max="10422" width="12.28515625" bestFit="1" customWidth="1"/>
    <col min="10423" max="10423" width="13.85546875" bestFit="1" customWidth="1"/>
    <col min="10424" max="10424" width="11.28515625" bestFit="1" customWidth="1"/>
    <col min="10425" max="10425" width="12.28515625" bestFit="1" customWidth="1"/>
    <col min="10426" max="10426" width="13.85546875" bestFit="1" customWidth="1"/>
    <col min="10427" max="10428" width="15.140625" bestFit="1" customWidth="1"/>
    <col min="10429" max="10429" width="12.28515625" bestFit="1" customWidth="1"/>
    <col min="10430" max="10430" width="5.7109375" bestFit="1" customWidth="1"/>
    <col min="10431" max="10431" width="8.5703125" bestFit="1" customWidth="1"/>
    <col min="10432" max="10432" width="5.5703125" bestFit="1" customWidth="1"/>
    <col min="10433" max="10433" width="14.42578125" bestFit="1" customWidth="1"/>
    <col min="10434" max="10434" width="11.28515625" bestFit="1" customWidth="1"/>
    <col min="10435" max="10436" width="12.28515625" bestFit="1" customWidth="1"/>
    <col min="10437" max="10437" width="11.28515625" bestFit="1" customWidth="1"/>
    <col min="10438" max="10438" width="13.85546875" bestFit="1" customWidth="1"/>
    <col min="10439" max="10439" width="12" bestFit="1" customWidth="1"/>
    <col min="10440" max="10440" width="13.85546875" bestFit="1" customWidth="1"/>
    <col min="10441" max="10442" width="14.42578125" customWidth="1"/>
    <col min="10443" max="10443" width="10.140625" bestFit="1" customWidth="1"/>
    <col min="10444" max="10444" width="12.28515625" bestFit="1" customWidth="1"/>
    <col min="10445" max="10445" width="7.42578125" bestFit="1" customWidth="1"/>
    <col min="10446" max="10446" width="8.5703125" bestFit="1" customWidth="1"/>
    <col min="10447" max="10447" width="11.5703125" bestFit="1" customWidth="1"/>
    <col min="10448" max="10448" width="13.28515625" bestFit="1" customWidth="1"/>
    <col min="10449" max="10449" width="13.28515625" customWidth="1"/>
    <col min="10450" max="10450" width="13.140625" customWidth="1"/>
    <col min="10451" max="10451" width="12.7109375" bestFit="1" customWidth="1"/>
    <col min="10452" max="10452" width="13.28515625" bestFit="1" customWidth="1"/>
    <col min="10453" max="10455" width="13.28515625" customWidth="1"/>
    <col min="10456" max="10456" width="12.140625" bestFit="1" customWidth="1"/>
    <col min="10457" max="10457" width="12.7109375" bestFit="1" customWidth="1"/>
    <col min="10458" max="10458" width="11" customWidth="1"/>
    <col min="10459" max="10459" width="16.7109375" customWidth="1"/>
    <col min="10460" max="10460" width="17" customWidth="1"/>
    <col min="10461" max="10461" width="10.42578125" bestFit="1" customWidth="1"/>
    <col min="10505" max="10505" width="3.85546875" customWidth="1"/>
    <col min="10506" max="10506" width="15.28515625" bestFit="1" customWidth="1"/>
    <col min="10507" max="10507" width="12.28515625" customWidth="1"/>
    <col min="10508" max="10508" width="16.28515625" bestFit="1" customWidth="1"/>
    <col min="10509" max="10509" width="6.42578125" bestFit="1" customWidth="1"/>
    <col min="10510" max="10510" width="9.28515625" bestFit="1" customWidth="1"/>
    <col min="10511" max="10511" width="7.5703125" bestFit="1" customWidth="1"/>
    <col min="10512" max="10512" width="13.28515625" bestFit="1" customWidth="1"/>
    <col min="10513" max="10513" width="9.28515625" bestFit="1" customWidth="1"/>
    <col min="10514" max="10514" width="11.5703125" bestFit="1" customWidth="1"/>
    <col min="10515" max="10515" width="13.28515625" bestFit="1" customWidth="1"/>
    <col min="10516" max="10516" width="7.140625" bestFit="1" customWidth="1"/>
    <col min="10517" max="10517" width="12" bestFit="1" customWidth="1"/>
    <col min="10518" max="10518" width="13.28515625" bestFit="1" customWidth="1"/>
    <col min="10519" max="10519" width="7" bestFit="1" customWidth="1"/>
    <col min="10520" max="10520" width="12.7109375" bestFit="1" customWidth="1"/>
    <col min="10521" max="10521" width="11.5703125" bestFit="1" customWidth="1"/>
    <col min="10522" max="10522" width="10.5703125" bestFit="1" customWidth="1"/>
    <col min="10523" max="10524" width="15.7109375" bestFit="1" customWidth="1"/>
    <col min="10525" max="10525" width="11.5703125" bestFit="1" customWidth="1"/>
    <col min="10526" max="10526" width="7.7109375" bestFit="1" customWidth="1"/>
    <col min="10527" max="10527" width="15.140625" bestFit="1" customWidth="1"/>
    <col min="10528" max="10528" width="11.5703125" bestFit="1" customWidth="1"/>
    <col min="10529" max="10529" width="13.28515625" bestFit="1" customWidth="1"/>
    <col min="10530" max="10530" width="10.42578125" bestFit="1" customWidth="1"/>
    <col min="10531" max="10531" width="13.28515625" bestFit="1" customWidth="1"/>
    <col min="10532" max="10532" width="12.140625" bestFit="1" customWidth="1"/>
    <col min="10533" max="10533" width="14.42578125" bestFit="1" customWidth="1"/>
    <col min="10534" max="10534" width="13.28515625" bestFit="1" customWidth="1"/>
    <col min="10535" max="10535" width="11.5703125" bestFit="1" customWidth="1"/>
    <col min="10536" max="10536" width="7.7109375" bestFit="1" customWidth="1"/>
    <col min="10537" max="10538" width="14.42578125" bestFit="1" customWidth="1"/>
    <col min="10539" max="10539" width="11.5703125" bestFit="1" customWidth="1"/>
    <col min="10540" max="10540" width="7.7109375" bestFit="1" customWidth="1"/>
    <col min="10541" max="10541" width="13.5703125" customWidth="1"/>
    <col min="10542" max="10542" width="15.28515625" customWidth="1"/>
    <col min="10543" max="10543" width="14.5703125" customWidth="1"/>
    <col min="10544" max="10544" width="13.28515625" bestFit="1" customWidth="1"/>
    <col min="10545" max="10545" width="7.7109375" bestFit="1" customWidth="1"/>
    <col min="10546" max="10546" width="12.7109375" bestFit="1" customWidth="1"/>
    <col min="10547" max="10547" width="11.7109375" bestFit="1" customWidth="1"/>
    <col min="10548" max="10548" width="11.5703125" bestFit="1" customWidth="1"/>
    <col min="10549" max="10549" width="5.28515625" bestFit="1" customWidth="1"/>
    <col min="10550" max="10550" width="13.28515625" bestFit="1" customWidth="1"/>
    <col min="10551" max="10551" width="13.5703125" bestFit="1" customWidth="1"/>
    <col min="10552" max="10552" width="10.5703125" bestFit="1" customWidth="1"/>
    <col min="10553" max="10553" width="13.28515625" bestFit="1" customWidth="1"/>
    <col min="10554" max="10554" width="11.5703125" bestFit="1" customWidth="1"/>
    <col min="10555" max="10555" width="10.5703125" bestFit="1" customWidth="1"/>
    <col min="10556" max="10556" width="16.140625" bestFit="1" customWidth="1"/>
    <col min="10557" max="10558" width="11.28515625" bestFit="1" customWidth="1"/>
    <col min="10559" max="10559" width="13.28515625" bestFit="1" customWidth="1"/>
    <col min="10560" max="10560" width="7.7109375" bestFit="1" customWidth="1"/>
    <col min="10561" max="10564" width="9.140625" hidden="1" customWidth="1"/>
    <col min="10565" max="10565" width="10.42578125" bestFit="1" customWidth="1"/>
    <col min="10566" max="10566" width="10.5703125" bestFit="1" customWidth="1"/>
    <col min="10567" max="10567" width="10.42578125" bestFit="1" customWidth="1"/>
    <col min="10568" max="10568" width="10.5703125" bestFit="1" customWidth="1"/>
    <col min="10569" max="10569" width="9.5703125" bestFit="1" customWidth="1"/>
    <col min="10570" max="10570" width="11.5703125" bestFit="1" customWidth="1"/>
    <col min="10571" max="10571" width="10.42578125" bestFit="1" customWidth="1"/>
    <col min="10572" max="10572" width="10.85546875" customWidth="1"/>
    <col min="10573" max="10574" width="9.85546875" bestFit="1" customWidth="1"/>
    <col min="10575" max="10575" width="13.5703125" bestFit="1" customWidth="1"/>
    <col min="10576" max="10576" width="7.7109375" bestFit="1" customWidth="1"/>
    <col min="10577" max="10577" width="13.28515625" bestFit="1" customWidth="1"/>
    <col min="10578" max="10578" width="11.5703125" bestFit="1" customWidth="1"/>
    <col min="10579" max="10579" width="10.42578125" bestFit="1" customWidth="1"/>
    <col min="10580" max="10580" width="7.7109375" bestFit="1" customWidth="1"/>
    <col min="10581" max="10581" width="11.5703125" bestFit="1" customWidth="1"/>
    <col min="10582" max="10582" width="10.85546875" bestFit="1" customWidth="1"/>
    <col min="10583" max="10583" width="13.28515625" bestFit="1" customWidth="1"/>
    <col min="10584" max="10584" width="10.85546875" bestFit="1" customWidth="1"/>
    <col min="10585" max="10586" width="7.5703125" bestFit="1" customWidth="1"/>
    <col min="10587" max="10588" width="10.42578125" bestFit="1" customWidth="1"/>
    <col min="10589" max="10589" width="11.5703125" bestFit="1" customWidth="1"/>
    <col min="10590" max="10590" width="5.28515625" bestFit="1" customWidth="1"/>
    <col min="10591" max="10591" width="10.28515625" bestFit="1" customWidth="1"/>
    <col min="10592" max="10592" width="10.42578125" bestFit="1" customWidth="1"/>
    <col min="10593" max="10593" width="11.5703125" bestFit="1" customWidth="1"/>
    <col min="10594" max="10594" width="5.28515625" bestFit="1" customWidth="1"/>
    <col min="10595" max="10597" width="11.5703125" bestFit="1" customWidth="1"/>
    <col min="10598" max="10598" width="5.28515625" bestFit="1" customWidth="1"/>
    <col min="10599" max="10600" width="10.42578125" bestFit="1" customWidth="1"/>
    <col min="10601" max="10601" width="11.5703125" bestFit="1" customWidth="1"/>
    <col min="10602" max="10602" width="5.28515625" bestFit="1" customWidth="1"/>
    <col min="10603" max="10603" width="14.28515625" bestFit="1" customWidth="1"/>
    <col min="10604" max="10604" width="13" bestFit="1" customWidth="1"/>
    <col min="10605" max="10605" width="11.5703125" bestFit="1" customWidth="1"/>
    <col min="10606" max="10606" width="8.85546875" bestFit="1" customWidth="1"/>
    <col min="10607" max="10607" width="14.42578125" bestFit="1" customWidth="1"/>
    <col min="10608" max="10608" width="10.42578125" bestFit="1" customWidth="1"/>
    <col min="10609" max="10609" width="12.28515625" bestFit="1" customWidth="1"/>
    <col min="10610" max="10610" width="13.85546875" bestFit="1" customWidth="1"/>
    <col min="10611" max="10611" width="11.28515625" customWidth="1"/>
    <col min="10612" max="10612" width="11.5703125" customWidth="1"/>
    <col min="10613" max="10613" width="13.42578125" bestFit="1" customWidth="1"/>
    <col min="10614" max="10614" width="10.42578125" customWidth="1"/>
    <col min="10615" max="10615" width="13.85546875" bestFit="1" customWidth="1"/>
    <col min="10616" max="10616" width="15.42578125" bestFit="1" customWidth="1"/>
    <col min="10617" max="10617" width="12.28515625" bestFit="1" customWidth="1"/>
    <col min="10618" max="10618" width="12.7109375" customWidth="1"/>
    <col min="10619" max="10619" width="10.7109375" bestFit="1" customWidth="1"/>
    <col min="10620" max="10620" width="9.85546875" customWidth="1"/>
    <col min="10621" max="10622" width="10.140625" bestFit="1" customWidth="1"/>
    <col min="10623" max="10623" width="7.5703125" bestFit="1" customWidth="1"/>
    <col min="10624" max="10624" width="9.42578125" bestFit="1" customWidth="1"/>
    <col min="10625" max="10625" width="14.5703125" bestFit="1" customWidth="1"/>
    <col min="10626" max="10626" width="14.85546875" customWidth="1"/>
    <col min="10627" max="10627" width="15.140625" bestFit="1" customWidth="1"/>
    <col min="10628" max="10628" width="12.140625" bestFit="1" customWidth="1"/>
    <col min="10629" max="10629" width="14.85546875" bestFit="1" customWidth="1"/>
    <col min="10630" max="10630" width="12.28515625" bestFit="1" customWidth="1"/>
    <col min="10631" max="10639" width="9.140625" hidden="1" customWidth="1"/>
    <col min="10640" max="10640" width="5.28515625" bestFit="1" customWidth="1"/>
    <col min="10641" max="10646" width="11.5703125" bestFit="1" customWidth="1"/>
    <col min="10647" max="10647" width="11.28515625" bestFit="1" customWidth="1"/>
    <col min="10648" max="10648" width="10.140625" bestFit="1" customWidth="1"/>
    <col min="10649" max="10649" width="11.5703125" bestFit="1" customWidth="1"/>
    <col min="10650" max="10650" width="16.140625" customWidth="1"/>
    <col min="10651" max="10651" width="13.42578125" customWidth="1"/>
    <col min="10652" max="10652" width="10.140625" bestFit="1" customWidth="1"/>
    <col min="10653" max="10653" width="12.85546875" bestFit="1" customWidth="1"/>
    <col min="10654" max="10654" width="12.28515625" bestFit="1" customWidth="1"/>
    <col min="10655" max="10655" width="11.28515625" bestFit="1" customWidth="1"/>
    <col min="10656" max="10656" width="11.5703125" bestFit="1" customWidth="1"/>
    <col min="10657" max="10657" width="10.85546875" bestFit="1" customWidth="1"/>
    <col min="10658" max="10658" width="11.28515625" bestFit="1" customWidth="1"/>
    <col min="10659" max="10659" width="10.140625" bestFit="1" customWidth="1"/>
    <col min="10660" max="10660" width="13.28515625" bestFit="1" customWidth="1"/>
    <col min="10661" max="10662" width="12.7109375" bestFit="1" customWidth="1"/>
    <col min="10663" max="10663" width="11" bestFit="1" customWidth="1"/>
    <col min="10664" max="10664" width="11.28515625" bestFit="1" customWidth="1"/>
    <col min="10665" max="10665" width="11.5703125" bestFit="1" customWidth="1"/>
    <col min="10666" max="10666" width="12.28515625" bestFit="1" customWidth="1"/>
    <col min="10667" max="10667" width="15.140625" bestFit="1" customWidth="1"/>
    <col min="10668" max="10668" width="14.42578125" bestFit="1" customWidth="1"/>
    <col min="10669" max="10669" width="12.28515625" bestFit="1" customWidth="1"/>
    <col min="10670" max="10670" width="15.140625" bestFit="1" customWidth="1"/>
    <col min="10671" max="10671" width="14.42578125" bestFit="1" customWidth="1"/>
    <col min="10672" max="10672" width="12.28515625" bestFit="1" customWidth="1"/>
    <col min="10673" max="10673" width="14.42578125" bestFit="1" customWidth="1"/>
    <col min="10674" max="10674" width="11.28515625" bestFit="1" customWidth="1"/>
    <col min="10675" max="10675" width="12.28515625" bestFit="1" customWidth="1"/>
    <col min="10676" max="10676" width="13" bestFit="1" customWidth="1"/>
    <col min="10677" max="10677" width="15.140625" bestFit="1" customWidth="1"/>
    <col min="10678" max="10678" width="12.28515625" bestFit="1" customWidth="1"/>
    <col min="10679" max="10679" width="13.85546875" bestFit="1" customWidth="1"/>
    <col min="10680" max="10680" width="11.28515625" bestFit="1" customWidth="1"/>
    <col min="10681" max="10681" width="12.28515625" bestFit="1" customWidth="1"/>
    <col min="10682" max="10682" width="13.85546875" bestFit="1" customWidth="1"/>
    <col min="10683" max="10684" width="15.140625" bestFit="1" customWidth="1"/>
    <col min="10685" max="10685" width="12.28515625" bestFit="1" customWidth="1"/>
    <col min="10686" max="10686" width="5.7109375" bestFit="1" customWidth="1"/>
    <col min="10687" max="10687" width="8.5703125" bestFit="1" customWidth="1"/>
    <col min="10688" max="10688" width="5.5703125" bestFit="1" customWidth="1"/>
    <col min="10689" max="10689" width="14.42578125" bestFit="1" customWidth="1"/>
    <col min="10690" max="10690" width="11.28515625" bestFit="1" customWidth="1"/>
    <col min="10691" max="10692" width="12.28515625" bestFit="1" customWidth="1"/>
    <col min="10693" max="10693" width="11.28515625" bestFit="1" customWidth="1"/>
    <col min="10694" max="10694" width="13.85546875" bestFit="1" customWidth="1"/>
    <col min="10695" max="10695" width="12" bestFit="1" customWidth="1"/>
    <col min="10696" max="10696" width="13.85546875" bestFit="1" customWidth="1"/>
    <col min="10697" max="10698" width="14.42578125" customWidth="1"/>
    <col min="10699" max="10699" width="10.140625" bestFit="1" customWidth="1"/>
    <col min="10700" max="10700" width="12.28515625" bestFit="1" customWidth="1"/>
    <col min="10701" max="10701" width="7.42578125" bestFit="1" customWidth="1"/>
    <col min="10702" max="10702" width="8.5703125" bestFit="1" customWidth="1"/>
    <col min="10703" max="10703" width="11.5703125" bestFit="1" customWidth="1"/>
    <col min="10704" max="10704" width="13.28515625" bestFit="1" customWidth="1"/>
    <col min="10705" max="10705" width="13.28515625" customWidth="1"/>
    <col min="10706" max="10706" width="13.140625" customWidth="1"/>
    <col min="10707" max="10707" width="12.7109375" bestFit="1" customWidth="1"/>
    <col min="10708" max="10708" width="13.28515625" bestFit="1" customWidth="1"/>
    <col min="10709" max="10711" width="13.28515625" customWidth="1"/>
    <col min="10712" max="10712" width="12.140625" bestFit="1" customWidth="1"/>
    <col min="10713" max="10713" width="12.7109375" bestFit="1" customWidth="1"/>
    <col min="10714" max="10714" width="11" customWidth="1"/>
    <col min="10715" max="10715" width="16.7109375" customWidth="1"/>
    <col min="10716" max="10716" width="17" customWidth="1"/>
    <col min="10717" max="10717" width="10.42578125" bestFit="1" customWidth="1"/>
    <col min="10761" max="10761" width="3.85546875" customWidth="1"/>
    <col min="10762" max="10762" width="15.28515625" bestFit="1" customWidth="1"/>
    <col min="10763" max="10763" width="12.28515625" customWidth="1"/>
    <col min="10764" max="10764" width="16.28515625" bestFit="1" customWidth="1"/>
    <col min="10765" max="10765" width="6.42578125" bestFit="1" customWidth="1"/>
    <col min="10766" max="10766" width="9.28515625" bestFit="1" customWidth="1"/>
    <col min="10767" max="10767" width="7.5703125" bestFit="1" customWidth="1"/>
    <col min="10768" max="10768" width="13.28515625" bestFit="1" customWidth="1"/>
    <col min="10769" max="10769" width="9.28515625" bestFit="1" customWidth="1"/>
    <col min="10770" max="10770" width="11.5703125" bestFit="1" customWidth="1"/>
    <col min="10771" max="10771" width="13.28515625" bestFit="1" customWidth="1"/>
    <col min="10772" max="10772" width="7.140625" bestFit="1" customWidth="1"/>
    <col min="10773" max="10773" width="12" bestFit="1" customWidth="1"/>
    <col min="10774" max="10774" width="13.28515625" bestFit="1" customWidth="1"/>
    <col min="10775" max="10775" width="7" bestFit="1" customWidth="1"/>
    <col min="10776" max="10776" width="12.7109375" bestFit="1" customWidth="1"/>
    <col min="10777" max="10777" width="11.5703125" bestFit="1" customWidth="1"/>
    <col min="10778" max="10778" width="10.5703125" bestFit="1" customWidth="1"/>
    <col min="10779" max="10780" width="15.7109375" bestFit="1" customWidth="1"/>
    <col min="10781" max="10781" width="11.5703125" bestFit="1" customWidth="1"/>
    <col min="10782" max="10782" width="7.7109375" bestFit="1" customWidth="1"/>
    <col min="10783" max="10783" width="15.140625" bestFit="1" customWidth="1"/>
    <col min="10784" max="10784" width="11.5703125" bestFit="1" customWidth="1"/>
    <col min="10785" max="10785" width="13.28515625" bestFit="1" customWidth="1"/>
    <col min="10786" max="10786" width="10.42578125" bestFit="1" customWidth="1"/>
    <col min="10787" max="10787" width="13.28515625" bestFit="1" customWidth="1"/>
    <col min="10788" max="10788" width="12.140625" bestFit="1" customWidth="1"/>
    <col min="10789" max="10789" width="14.42578125" bestFit="1" customWidth="1"/>
    <col min="10790" max="10790" width="13.28515625" bestFit="1" customWidth="1"/>
    <col min="10791" max="10791" width="11.5703125" bestFit="1" customWidth="1"/>
    <col min="10792" max="10792" width="7.7109375" bestFit="1" customWidth="1"/>
    <col min="10793" max="10794" width="14.42578125" bestFit="1" customWidth="1"/>
    <col min="10795" max="10795" width="11.5703125" bestFit="1" customWidth="1"/>
    <col min="10796" max="10796" width="7.7109375" bestFit="1" customWidth="1"/>
    <col min="10797" max="10797" width="13.5703125" customWidth="1"/>
    <col min="10798" max="10798" width="15.28515625" customWidth="1"/>
    <col min="10799" max="10799" width="14.5703125" customWidth="1"/>
    <col min="10800" max="10800" width="13.28515625" bestFit="1" customWidth="1"/>
    <col min="10801" max="10801" width="7.7109375" bestFit="1" customWidth="1"/>
    <col min="10802" max="10802" width="12.7109375" bestFit="1" customWidth="1"/>
    <col min="10803" max="10803" width="11.7109375" bestFit="1" customWidth="1"/>
    <col min="10804" max="10804" width="11.5703125" bestFit="1" customWidth="1"/>
    <col min="10805" max="10805" width="5.28515625" bestFit="1" customWidth="1"/>
    <col min="10806" max="10806" width="13.28515625" bestFit="1" customWidth="1"/>
    <col min="10807" max="10807" width="13.5703125" bestFit="1" customWidth="1"/>
    <col min="10808" max="10808" width="10.5703125" bestFit="1" customWidth="1"/>
    <col min="10809" max="10809" width="13.28515625" bestFit="1" customWidth="1"/>
    <col min="10810" max="10810" width="11.5703125" bestFit="1" customWidth="1"/>
    <col min="10811" max="10811" width="10.5703125" bestFit="1" customWidth="1"/>
    <col min="10812" max="10812" width="16.140625" bestFit="1" customWidth="1"/>
    <col min="10813" max="10814" width="11.28515625" bestFit="1" customWidth="1"/>
    <col min="10815" max="10815" width="13.28515625" bestFit="1" customWidth="1"/>
    <col min="10816" max="10816" width="7.7109375" bestFit="1" customWidth="1"/>
    <col min="10817" max="10820" width="9.140625" hidden="1" customWidth="1"/>
    <col min="10821" max="10821" width="10.42578125" bestFit="1" customWidth="1"/>
    <col min="10822" max="10822" width="10.5703125" bestFit="1" customWidth="1"/>
    <col min="10823" max="10823" width="10.42578125" bestFit="1" customWidth="1"/>
    <col min="10824" max="10824" width="10.5703125" bestFit="1" customWidth="1"/>
    <col min="10825" max="10825" width="9.5703125" bestFit="1" customWidth="1"/>
    <col min="10826" max="10826" width="11.5703125" bestFit="1" customWidth="1"/>
    <col min="10827" max="10827" width="10.42578125" bestFit="1" customWidth="1"/>
    <col min="10828" max="10828" width="10.85546875" customWidth="1"/>
    <col min="10829" max="10830" width="9.85546875" bestFit="1" customWidth="1"/>
    <col min="10831" max="10831" width="13.5703125" bestFit="1" customWidth="1"/>
    <col min="10832" max="10832" width="7.7109375" bestFit="1" customWidth="1"/>
    <col min="10833" max="10833" width="13.28515625" bestFit="1" customWidth="1"/>
    <col min="10834" max="10834" width="11.5703125" bestFit="1" customWidth="1"/>
    <col min="10835" max="10835" width="10.42578125" bestFit="1" customWidth="1"/>
    <col min="10836" max="10836" width="7.7109375" bestFit="1" customWidth="1"/>
    <col min="10837" max="10837" width="11.5703125" bestFit="1" customWidth="1"/>
    <col min="10838" max="10838" width="10.85546875" bestFit="1" customWidth="1"/>
    <col min="10839" max="10839" width="13.28515625" bestFit="1" customWidth="1"/>
    <col min="10840" max="10840" width="10.85546875" bestFit="1" customWidth="1"/>
    <col min="10841" max="10842" width="7.5703125" bestFit="1" customWidth="1"/>
    <col min="10843" max="10844" width="10.42578125" bestFit="1" customWidth="1"/>
    <col min="10845" max="10845" width="11.5703125" bestFit="1" customWidth="1"/>
    <col min="10846" max="10846" width="5.28515625" bestFit="1" customWidth="1"/>
    <col min="10847" max="10847" width="10.28515625" bestFit="1" customWidth="1"/>
    <col min="10848" max="10848" width="10.42578125" bestFit="1" customWidth="1"/>
    <col min="10849" max="10849" width="11.5703125" bestFit="1" customWidth="1"/>
    <col min="10850" max="10850" width="5.28515625" bestFit="1" customWidth="1"/>
    <col min="10851" max="10853" width="11.5703125" bestFit="1" customWidth="1"/>
    <col min="10854" max="10854" width="5.28515625" bestFit="1" customWidth="1"/>
    <col min="10855" max="10856" width="10.42578125" bestFit="1" customWidth="1"/>
    <col min="10857" max="10857" width="11.5703125" bestFit="1" customWidth="1"/>
    <col min="10858" max="10858" width="5.28515625" bestFit="1" customWidth="1"/>
    <col min="10859" max="10859" width="14.28515625" bestFit="1" customWidth="1"/>
    <col min="10860" max="10860" width="13" bestFit="1" customWidth="1"/>
    <col min="10861" max="10861" width="11.5703125" bestFit="1" customWidth="1"/>
    <col min="10862" max="10862" width="8.85546875" bestFit="1" customWidth="1"/>
    <col min="10863" max="10863" width="14.42578125" bestFit="1" customWidth="1"/>
    <col min="10864" max="10864" width="10.42578125" bestFit="1" customWidth="1"/>
    <col min="10865" max="10865" width="12.28515625" bestFit="1" customWidth="1"/>
    <col min="10866" max="10866" width="13.85546875" bestFit="1" customWidth="1"/>
    <col min="10867" max="10867" width="11.28515625" customWidth="1"/>
    <col min="10868" max="10868" width="11.5703125" customWidth="1"/>
    <col min="10869" max="10869" width="13.42578125" bestFit="1" customWidth="1"/>
    <col min="10870" max="10870" width="10.42578125" customWidth="1"/>
    <col min="10871" max="10871" width="13.85546875" bestFit="1" customWidth="1"/>
    <col min="10872" max="10872" width="15.42578125" bestFit="1" customWidth="1"/>
    <col min="10873" max="10873" width="12.28515625" bestFit="1" customWidth="1"/>
    <col min="10874" max="10874" width="12.7109375" customWidth="1"/>
    <col min="10875" max="10875" width="10.7109375" bestFit="1" customWidth="1"/>
    <col min="10876" max="10876" width="9.85546875" customWidth="1"/>
    <col min="10877" max="10878" width="10.140625" bestFit="1" customWidth="1"/>
    <col min="10879" max="10879" width="7.5703125" bestFit="1" customWidth="1"/>
    <col min="10880" max="10880" width="9.42578125" bestFit="1" customWidth="1"/>
    <col min="10881" max="10881" width="14.5703125" bestFit="1" customWidth="1"/>
    <col min="10882" max="10882" width="14.85546875" customWidth="1"/>
    <col min="10883" max="10883" width="15.140625" bestFit="1" customWidth="1"/>
    <col min="10884" max="10884" width="12.140625" bestFit="1" customWidth="1"/>
    <col min="10885" max="10885" width="14.85546875" bestFit="1" customWidth="1"/>
    <col min="10886" max="10886" width="12.28515625" bestFit="1" customWidth="1"/>
    <col min="10887" max="10895" width="9.140625" hidden="1" customWidth="1"/>
    <col min="10896" max="10896" width="5.28515625" bestFit="1" customWidth="1"/>
    <col min="10897" max="10902" width="11.5703125" bestFit="1" customWidth="1"/>
    <col min="10903" max="10903" width="11.28515625" bestFit="1" customWidth="1"/>
    <col min="10904" max="10904" width="10.140625" bestFit="1" customWidth="1"/>
    <col min="10905" max="10905" width="11.5703125" bestFit="1" customWidth="1"/>
    <col min="10906" max="10906" width="16.140625" customWidth="1"/>
    <col min="10907" max="10907" width="13.42578125" customWidth="1"/>
    <col min="10908" max="10908" width="10.140625" bestFit="1" customWidth="1"/>
    <col min="10909" max="10909" width="12.85546875" bestFit="1" customWidth="1"/>
    <col min="10910" max="10910" width="12.28515625" bestFit="1" customWidth="1"/>
    <col min="10911" max="10911" width="11.28515625" bestFit="1" customWidth="1"/>
    <col min="10912" max="10912" width="11.5703125" bestFit="1" customWidth="1"/>
    <col min="10913" max="10913" width="10.85546875" bestFit="1" customWidth="1"/>
    <col min="10914" max="10914" width="11.28515625" bestFit="1" customWidth="1"/>
    <col min="10915" max="10915" width="10.140625" bestFit="1" customWidth="1"/>
    <col min="10916" max="10916" width="13.28515625" bestFit="1" customWidth="1"/>
    <col min="10917" max="10918" width="12.7109375" bestFit="1" customWidth="1"/>
    <col min="10919" max="10919" width="11" bestFit="1" customWidth="1"/>
    <col min="10920" max="10920" width="11.28515625" bestFit="1" customWidth="1"/>
    <col min="10921" max="10921" width="11.5703125" bestFit="1" customWidth="1"/>
    <col min="10922" max="10922" width="12.28515625" bestFit="1" customWidth="1"/>
    <col min="10923" max="10923" width="15.140625" bestFit="1" customWidth="1"/>
    <col min="10924" max="10924" width="14.42578125" bestFit="1" customWidth="1"/>
    <col min="10925" max="10925" width="12.28515625" bestFit="1" customWidth="1"/>
    <col min="10926" max="10926" width="15.140625" bestFit="1" customWidth="1"/>
    <col min="10927" max="10927" width="14.42578125" bestFit="1" customWidth="1"/>
    <col min="10928" max="10928" width="12.28515625" bestFit="1" customWidth="1"/>
    <col min="10929" max="10929" width="14.42578125" bestFit="1" customWidth="1"/>
    <col min="10930" max="10930" width="11.28515625" bestFit="1" customWidth="1"/>
    <col min="10931" max="10931" width="12.28515625" bestFit="1" customWidth="1"/>
    <col min="10932" max="10932" width="13" bestFit="1" customWidth="1"/>
    <col min="10933" max="10933" width="15.140625" bestFit="1" customWidth="1"/>
    <col min="10934" max="10934" width="12.28515625" bestFit="1" customWidth="1"/>
    <col min="10935" max="10935" width="13.85546875" bestFit="1" customWidth="1"/>
    <col min="10936" max="10936" width="11.28515625" bestFit="1" customWidth="1"/>
    <col min="10937" max="10937" width="12.28515625" bestFit="1" customWidth="1"/>
    <col min="10938" max="10938" width="13.85546875" bestFit="1" customWidth="1"/>
    <col min="10939" max="10940" width="15.140625" bestFit="1" customWidth="1"/>
    <col min="10941" max="10941" width="12.28515625" bestFit="1" customWidth="1"/>
    <col min="10942" max="10942" width="5.7109375" bestFit="1" customWidth="1"/>
    <col min="10943" max="10943" width="8.5703125" bestFit="1" customWidth="1"/>
    <col min="10944" max="10944" width="5.5703125" bestFit="1" customWidth="1"/>
    <col min="10945" max="10945" width="14.42578125" bestFit="1" customWidth="1"/>
    <col min="10946" max="10946" width="11.28515625" bestFit="1" customWidth="1"/>
    <col min="10947" max="10948" width="12.28515625" bestFit="1" customWidth="1"/>
    <col min="10949" max="10949" width="11.28515625" bestFit="1" customWidth="1"/>
    <col min="10950" max="10950" width="13.85546875" bestFit="1" customWidth="1"/>
    <col min="10951" max="10951" width="12" bestFit="1" customWidth="1"/>
    <col min="10952" max="10952" width="13.85546875" bestFit="1" customWidth="1"/>
    <col min="10953" max="10954" width="14.42578125" customWidth="1"/>
    <col min="10955" max="10955" width="10.140625" bestFit="1" customWidth="1"/>
    <col min="10956" max="10956" width="12.28515625" bestFit="1" customWidth="1"/>
    <col min="10957" max="10957" width="7.42578125" bestFit="1" customWidth="1"/>
    <col min="10958" max="10958" width="8.5703125" bestFit="1" customWidth="1"/>
    <col min="10959" max="10959" width="11.5703125" bestFit="1" customWidth="1"/>
    <col min="10960" max="10960" width="13.28515625" bestFit="1" customWidth="1"/>
    <col min="10961" max="10961" width="13.28515625" customWidth="1"/>
    <col min="10962" max="10962" width="13.140625" customWidth="1"/>
    <col min="10963" max="10963" width="12.7109375" bestFit="1" customWidth="1"/>
    <col min="10964" max="10964" width="13.28515625" bestFit="1" customWidth="1"/>
    <col min="10965" max="10967" width="13.28515625" customWidth="1"/>
    <col min="10968" max="10968" width="12.140625" bestFit="1" customWidth="1"/>
    <col min="10969" max="10969" width="12.7109375" bestFit="1" customWidth="1"/>
    <col min="10970" max="10970" width="11" customWidth="1"/>
    <col min="10971" max="10971" width="16.7109375" customWidth="1"/>
    <col min="10972" max="10972" width="17" customWidth="1"/>
    <col min="10973" max="10973" width="10.42578125" bestFit="1" customWidth="1"/>
    <col min="11017" max="11017" width="3.85546875" customWidth="1"/>
    <col min="11018" max="11018" width="15.28515625" bestFit="1" customWidth="1"/>
    <col min="11019" max="11019" width="12.28515625" customWidth="1"/>
    <col min="11020" max="11020" width="16.28515625" bestFit="1" customWidth="1"/>
    <col min="11021" max="11021" width="6.42578125" bestFit="1" customWidth="1"/>
    <col min="11022" max="11022" width="9.28515625" bestFit="1" customWidth="1"/>
    <col min="11023" max="11023" width="7.5703125" bestFit="1" customWidth="1"/>
    <col min="11024" max="11024" width="13.28515625" bestFit="1" customWidth="1"/>
    <col min="11025" max="11025" width="9.28515625" bestFit="1" customWidth="1"/>
    <col min="11026" max="11026" width="11.5703125" bestFit="1" customWidth="1"/>
    <col min="11027" max="11027" width="13.28515625" bestFit="1" customWidth="1"/>
    <col min="11028" max="11028" width="7.140625" bestFit="1" customWidth="1"/>
    <col min="11029" max="11029" width="12" bestFit="1" customWidth="1"/>
    <col min="11030" max="11030" width="13.28515625" bestFit="1" customWidth="1"/>
    <col min="11031" max="11031" width="7" bestFit="1" customWidth="1"/>
    <col min="11032" max="11032" width="12.7109375" bestFit="1" customWidth="1"/>
    <col min="11033" max="11033" width="11.5703125" bestFit="1" customWidth="1"/>
    <col min="11034" max="11034" width="10.5703125" bestFit="1" customWidth="1"/>
    <col min="11035" max="11036" width="15.7109375" bestFit="1" customWidth="1"/>
    <col min="11037" max="11037" width="11.5703125" bestFit="1" customWidth="1"/>
    <col min="11038" max="11038" width="7.7109375" bestFit="1" customWidth="1"/>
    <col min="11039" max="11039" width="15.140625" bestFit="1" customWidth="1"/>
    <col min="11040" max="11040" width="11.5703125" bestFit="1" customWidth="1"/>
    <col min="11041" max="11041" width="13.28515625" bestFit="1" customWidth="1"/>
    <col min="11042" max="11042" width="10.42578125" bestFit="1" customWidth="1"/>
    <col min="11043" max="11043" width="13.28515625" bestFit="1" customWidth="1"/>
    <col min="11044" max="11044" width="12.140625" bestFit="1" customWidth="1"/>
    <col min="11045" max="11045" width="14.42578125" bestFit="1" customWidth="1"/>
    <col min="11046" max="11046" width="13.28515625" bestFit="1" customWidth="1"/>
    <col min="11047" max="11047" width="11.5703125" bestFit="1" customWidth="1"/>
    <col min="11048" max="11048" width="7.7109375" bestFit="1" customWidth="1"/>
    <col min="11049" max="11050" width="14.42578125" bestFit="1" customWidth="1"/>
    <col min="11051" max="11051" width="11.5703125" bestFit="1" customWidth="1"/>
    <col min="11052" max="11052" width="7.7109375" bestFit="1" customWidth="1"/>
    <col min="11053" max="11053" width="13.5703125" customWidth="1"/>
    <col min="11054" max="11054" width="15.28515625" customWidth="1"/>
    <col min="11055" max="11055" width="14.5703125" customWidth="1"/>
    <col min="11056" max="11056" width="13.28515625" bestFit="1" customWidth="1"/>
    <col min="11057" max="11057" width="7.7109375" bestFit="1" customWidth="1"/>
    <col min="11058" max="11058" width="12.7109375" bestFit="1" customWidth="1"/>
    <col min="11059" max="11059" width="11.7109375" bestFit="1" customWidth="1"/>
    <col min="11060" max="11060" width="11.5703125" bestFit="1" customWidth="1"/>
    <col min="11061" max="11061" width="5.28515625" bestFit="1" customWidth="1"/>
    <col min="11062" max="11062" width="13.28515625" bestFit="1" customWidth="1"/>
    <col min="11063" max="11063" width="13.5703125" bestFit="1" customWidth="1"/>
    <col min="11064" max="11064" width="10.5703125" bestFit="1" customWidth="1"/>
    <col min="11065" max="11065" width="13.28515625" bestFit="1" customWidth="1"/>
    <col min="11066" max="11066" width="11.5703125" bestFit="1" customWidth="1"/>
    <col min="11067" max="11067" width="10.5703125" bestFit="1" customWidth="1"/>
    <col min="11068" max="11068" width="16.140625" bestFit="1" customWidth="1"/>
    <col min="11069" max="11070" width="11.28515625" bestFit="1" customWidth="1"/>
    <col min="11071" max="11071" width="13.28515625" bestFit="1" customWidth="1"/>
    <col min="11072" max="11072" width="7.7109375" bestFit="1" customWidth="1"/>
    <col min="11073" max="11076" width="9.140625" hidden="1" customWidth="1"/>
    <col min="11077" max="11077" width="10.42578125" bestFit="1" customWidth="1"/>
    <col min="11078" max="11078" width="10.5703125" bestFit="1" customWidth="1"/>
    <col min="11079" max="11079" width="10.42578125" bestFit="1" customWidth="1"/>
    <col min="11080" max="11080" width="10.5703125" bestFit="1" customWidth="1"/>
    <col min="11081" max="11081" width="9.5703125" bestFit="1" customWidth="1"/>
    <col min="11082" max="11082" width="11.5703125" bestFit="1" customWidth="1"/>
    <col min="11083" max="11083" width="10.42578125" bestFit="1" customWidth="1"/>
    <col min="11084" max="11084" width="10.85546875" customWidth="1"/>
    <col min="11085" max="11086" width="9.85546875" bestFit="1" customWidth="1"/>
    <col min="11087" max="11087" width="13.5703125" bestFit="1" customWidth="1"/>
    <col min="11088" max="11088" width="7.7109375" bestFit="1" customWidth="1"/>
    <col min="11089" max="11089" width="13.28515625" bestFit="1" customWidth="1"/>
    <col min="11090" max="11090" width="11.5703125" bestFit="1" customWidth="1"/>
    <col min="11091" max="11091" width="10.42578125" bestFit="1" customWidth="1"/>
    <col min="11092" max="11092" width="7.7109375" bestFit="1" customWidth="1"/>
    <col min="11093" max="11093" width="11.5703125" bestFit="1" customWidth="1"/>
    <col min="11094" max="11094" width="10.85546875" bestFit="1" customWidth="1"/>
    <col min="11095" max="11095" width="13.28515625" bestFit="1" customWidth="1"/>
    <col min="11096" max="11096" width="10.85546875" bestFit="1" customWidth="1"/>
    <col min="11097" max="11098" width="7.5703125" bestFit="1" customWidth="1"/>
    <col min="11099" max="11100" width="10.42578125" bestFit="1" customWidth="1"/>
    <col min="11101" max="11101" width="11.5703125" bestFit="1" customWidth="1"/>
    <col min="11102" max="11102" width="5.28515625" bestFit="1" customWidth="1"/>
    <col min="11103" max="11103" width="10.28515625" bestFit="1" customWidth="1"/>
    <col min="11104" max="11104" width="10.42578125" bestFit="1" customWidth="1"/>
    <col min="11105" max="11105" width="11.5703125" bestFit="1" customWidth="1"/>
    <col min="11106" max="11106" width="5.28515625" bestFit="1" customWidth="1"/>
    <col min="11107" max="11109" width="11.5703125" bestFit="1" customWidth="1"/>
    <col min="11110" max="11110" width="5.28515625" bestFit="1" customWidth="1"/>
    <col min="11111" max="11112" width="10.42578125" bestFit="1" customWidth="1"/>
    <col min="11113" max="11113" width="11.5703125" bestFit="1" customWidth="1"/>
    <col min="11114" max="11114" width="5.28515625" bestFit="1" customWidth="1"/>
    <col min="11115" max="11115" width="14.28515625" bestFit="1" customWidth="1"/>
    <col min="11116" max="11116" width="13" bestFit="1" customWidth="1"/>
    <col min="11117" max="11117" width="11.5703125" bestFit="1" customWidth="1"/>
    <col min="11118" max="11118" width="8.85546875" bestFit="1" customWidth="1"/>
    <col min="11119" max="11119" width="14.42578125" bestFit="1" customWidth="1"/>
    <col min="11120" max="11120" width="10.42578125" bestFit="1" customWidth="1"/>
    <col min="11121" max="11121" width="12.28515625" bestFit="1" customWidth="1"/>
    <col min="11122" max="11122" width="13.85546875" bestFit="1" customWidth="1"/>
    <col min="11123" max="11123" width="11.28515625" customWidth="1"/>
    <col min="11124" max="11124" width="11.5703125" customWidth="1"/>
    <col min="11125" max="11125" width="13.42578125" bestFit="1" customWidth="1"/>
    <col min="11126" max="11126" width="10.42578125" customWidth="1"/>
    <col min="11127" max="11127" width="13.85546875" bestFit="1" customWidth="1"/>
    <col min="11128" max="11128" width="15.42578125" bestFit="1" customWidth="1"/>
    <col min="11129" max="11129" width="12.28515625" bestFit="1" customWidth="1"/>
    <col min="11130" max="11130" width="12.7109375" customWidth="1"/>
    <col min="11131" max="11131" width="10.7109375" bestFit="1" customWidth="1"/>
    <col min="11132" max="11132" width="9.85546875" customWidth="1"/>
    <col min="11133" max="11134" width="10.140625" bestFit="1" customWidth="1"/>
    <col min="11135" max="11135" width="7.5703125" bestFit="1" customWidth="1"/>
    <col min="11136" max="11136" width="9.42578125" bestFit="1" customWidth="1"/>
    <col min="11137" max="11137" width="14.5703125" bestFit="1" customWidth="1"/>
    <col min="11138" max="11138" width="14.85546875" customWidth="1"/>
    <col min="11139" max="11139" width="15.140625" bestFit="1" customWidth="1"/>
    <col min="11140" max="11140" width="12.140625" bestFit="1" customWidth="1"/>
    <col min="11141" max="11141" width="14.85546875" bestFit="1" customWidth="1"/>
    <col min="11142" max="11142" width="12.28515625" bestFit="1" customWidth="1"/>
    <col min="11143" max="11151" width="9.140625" hidden="1" customWidth="1"/>
    <col min="11152" max="11152" width="5.28515625" bestFit="1" customWidth="1"/>
    <col min="11153" max="11158" width="11.5703125" bestFit="1" customWidth="1"/>
    <col min="11159" max="11159" width="11.28515625" bestFit="1" customWidth="1"/>
    <col min="11160" max="11160" width="10.140625" bestFit="1" customWidth="1"/>
    <col min="11161" max="11161" width="11.5703125" bestFit="1" customWidth="1"/>
    <col min="11162" max="11162" width="16.140625" customWidth="1"/>
    <col min="11163" max="11163" width="13.42578125" customWidth="1"/>
    <col min="11164" max="11164" width="10.140625" bestFit="1" customWidth="1"/>
    <col min="11165" max="11165" width="12.85546875" bestFit="1" customWidth="1"/>
    <col min="11166" max="11166" width="12.28515625" bestFit="1" customWidth="1"/>
    <col min="11167" max="11167" width="11.28515625" bestFit="1" customWidth="1"/>
    <col min="11168" max="11168" width="11.5703125" bestFit="1" customWidth="1"/>
    <col min="11169" max="11169" width="10.85546875" bestFit="1" customWidth="1"/>
    <col min="11170" max="11170" width="11.28515625" bestFit="1" customWidth="1"/>
    <col min="11171" max="11171" width="10.140625" bestFit="1" customWidth="1"/>
    <col min="11172" max="11172" width="13.28515625" bestFit="1" customWidth="1"/>
    <col min="11173" max="11174" width="12.7109375" bestFit="1" customWidth="1"/>
    <col min="11175" max="11175" width="11" bestFit="1" customWidth="1"/>
    <col min="11176" max="11176" width="11.28515625" bestFit="1" customWidth="1"/>
    <col min="11177" max="11177" width="11.5703125" bestFit="1" customWidth="1"/>
    <col min="11178" max="11178" width="12.28515625" bestFit="1" customWidth="1"/>
    <col min="11179" max="11179" width="15.140625" bestFit="1" customWidth="1"/>
    <col min="11180" max="11180" width="14.42578125" bestFit="1" customWidth="1"/>
    <col min="11181" max="11181" width="12.28515625" bestFit="1" customWidth="1"/>
    <col min="11182" max="11182" width="15.140625" bestFit="1" customWidth="1"/>
    <col min="11183" max="11183" width="14.42578125" bestFit="1" customWidth="1"/>
    <col min="11184" max="11184" width="12.28515625" bestFit="1" customWidth="1"/>
    <col min="11185" max="11185" width="14.42578125" bestFit="1" customWidth="1"/>
    <col min="11186" max="11186" width="11.28515625" bestFit="1" customWidth="1"/>
    <col min="11187" max="11187" width="12.28515625" bestFit="1" customWidth="1"/>
    <col min="11188" max="11188" width="13" bestFit="1" customWidth="1"/>
    <col min="11189" max="11189" width="15.140625" bestFit="1" customWidth="1"/>
    <col min="11190" max="11190" width="12.28515625" bestFit="1" customWidth="1"/>
    <col min="11191" max="11191" width="13.85546875" bestFit="1" customWidth="1"/>
    <col min="11192" max="11192" width="11.28515625" bestFit="1" customWidth="1"/>
    <col min="11193" max="11193" width="12.28515625" bestFit="1" customWidth="1"/>
    <col min="11194" max="11194" width="13.85546875" bestFit="1" customWidth="1"/>
    <col min="11195" max="11196" width="15.140625" bestFit="1" customWidth="1"/>
    <col min="11197" max="11197" width="12.28515625" bestFit="1" customWidth="1"/>
    <col min="11198" max="11198" width="5.7109375" bestFit="1" customWidth="1"/>
    <col min="11199" max="11199" width="8.5703125" bestFit="1" customWidth="1"/>
    <col min="11200" max="11200" width="5.5703125" bestFit="1" customWidth="1"/>
    <col min="11201" max="11201" width="14.42578125" bestFit="1" customWidth="1"/>
    <col min="11202" max="11202" width="11.28515625" bestFit="1" customWidth="1"/>
    <col min="11203" max="11204" width="12.28515625" bestFit="1" customWidth="1"/>
    <col min="11205" max="11205" width="11.28515625" bestFit="1" customWidth="1"/>
    <col min="11206" max="11206" width="13.85546875" bestFit="1" customWidth="1"/>
    <col min="11207" max="11207" width="12" bestFit="1" customWidth="1"/>
    <col min="11208" max="11208" width="13.85546875" bestFit="1" customWidth="1"/>
    <col min="11209" max="11210" width="14.42578125" customWidth="1"/>
    <col min="11211" max="11211" width="10.140625" bestFit="1" customWidth="1"/>
    <col min="11212" max="11212" width="12.28515625" bestFit="1" customWidth="1"/>
    <col min="11213" max="11213" width="7.42578125" bestFit="1" customWidth="1"/>
    <col min="11214" max="11214" width="8.5703125" bestFit="1" customWidth="1"/>
    <col min="11215" max="11215" width="11.5703125" bestFit="1" customWidth="1"/>
    <col min="11216" max="11216" width="13.28515625" bestFit="1" customWidth="1"/>
    <col min="11217" max="11217" width="13.28515625" customWidth="1"/>
    <col min="11218" max="11218" width="13.140625" customWidth="1"/>
    <col min="11219" max="11219" width="12.7109375" bestFit="1" customWidth="1"/>
    <col min="11220" max="11220" width="13.28515625" bestFit="1" customWidth="1"/>
    <col min="11221" max="11223" width="13.28515625" customWidth="1"/>
    <col min="11224" max="11224" width="12.140625" bestFit="1" customWidth="1"/>
    <col min="11225" max="11225" width="12.7109375" bestFit="1" customWidth="1"/>
    <col min="11226" max="11226" width="11" customWidth="1"/>
    <col min="11227" max="11227" width="16.7109375" customWidth="1"/>
    <col min="11228" max="11228" width="17" customWidth="1"/>
    <col min="11229" max="11229" width="10.42578125" bestFit="1" customWidth="1"/>
    <col min="11273" max="11273" width="3.85546875" customWidth="1"/>
    <col min="11274" max="11274" width="15.28515625" bestFit="1" customWidth="1"/>
    <col min="11275" max="11275" width="12.28515625" customWidth="1"/>
    <col min="11276" max="11276" width="16.28515625" bestFit="1" customWidth="1"/>
    <col min="11277" max="11277" width="6.42578125" bestFit="1" customWidth="1"/>
    <col min="11278" max="11278" width="9.28515625" bestFit="1" customWidth="1"/>
    <col min="11279" max="11279" width="7.5703125" bestFit="1" customWidth="1"/>
    <col min="11280" max="11280" width="13.28515625" bestFit="1" customWidth="1"/>
    <col min="11281" max="11281" width="9.28515625" bestFit="1" customWidth="1"/>
    <col min="11282" max="11282" width="11.5703125" bestFit="1" customWidth="1"/>
    <col min="11283" max="11283" width="13.28515625" bestFit="1" customWidth="1"/>
    <col min="11284" max="11284" width="7.140625" bestFit="1" customWidth="1"/>
    <col min="11285" max="11285" width="12" bestFit="1" customWidth="1"/>
    <col min="11286" max="11286" width="13.28515625" bestFit="1" customWidth="1"/>
    <col min="11287" max="11287" width="7" bestFit="1" customWidth="1"/>
    <col min="11288" max="11288" width="12.7109375" bestFit="1" customWidth="1"/>
    <col min="11289" max="11289" width="11.5703125" bestFit="1" customWidth="1"/>
    <col min="11290" max="11290" width="10.5703125" bestFit="1" customWidth="1"/>
    <col min="11291" max="11292" width="15.7109375" bestFit="1" customWidth="1"/>
    <col min="11293" max="11293" width="11.5703125" bestFit="1" customWidth="1"/>
    <col min="11294" max="11294" width="7.7109375" bestFit="1" customWidth="1"/>
    <col min="11295" max="11295" width="15.140625" bestFit="1" customWidth="1"/>
    <col min="11296" max="11296" width="11.5703125" bestFit="1" customWidth="1"/>
    <col min="11297" max="11297" width="13.28515625" bestFit="1" customWidth="1"/>
    <col min="11298" max="11298" width="10.42578125" bestFit="1" customWidth="1"/>
    <col min="11299" max="11299" width="13.28515625" bestFit="1" customWidth="1"/>
    <col min="11300" max="11300" width="12.140625" bestFit="1" customWidth="1"/>
    <col min="11301" max="11301" width="14.42578125" bestFit="1" customWidth="1"/>
    <col min="11302" max="11302" width="13.28515625" bestFit="1" customWidth="1"/>
    <col min="11303" max="11303" width="11.5703125" bestFit="1" customWidth="1"/>
    <col min="11304" max="11304" width="7.7109375" bestFit="1" customWidth="1"/>
    <col min="11305" max="11306" width="14.42578125" bestFit="1" customWidth="1"/>
    <col min="11307" max="11307" width="11.5703125" bestFit="1" customWidth="1"/>
    <col min="11308" max="11308" width="7.7109375" bestFit="1" customWidth="1"/>
    <col min="11309" max="11309" width="13.5703125" customWidth="1"/>
    <col min="11310" max="11310" width="15.28515625" customWidth="1"/>
    <col min="11311" max="11311" width="14.5703125" customWidth="1"/>
    <col min="11312" max="11312" width="13.28515625" bestFit="1" customWidth="1"/>
    <col min="11313" max="11313" width="7.7109375" bestFit="1" customWidth="1"/>
    <col min="11314" max="11314" width="12.7109375" bestFit="1" customWidth="1"/>
    <col min="11315" max="11315" width="11.7109375" bestFit="1" customWidth="1"/>
    <col min="11316" max="11316" width="11.5703125" bestFit="1" customWidth="1"/>
    <col min="11317" max="11317" width="5.28515625" bestFit="1" customWidth="1"/>
    <col min="11318" max="11318" width="13.28515625" bestFit="1" customWidth="1"/>
    <col min="11319" max="11319" width="13.5703125" bestFit="1" customWidth="1"/>
    <col min="11320" max="11320" width="10.5703125" bestFit="1" customWidth="1"/>
    <col min="11321" max="11321" width="13.28515625" bestFit="1" customWidth="1"/>
    <col min="11322" max="11322" width="11.5703125" bestFit="1" customWidth="1"/>
    <col min="11323" max="11323" width="10.5703125" bestFit="1" customWidth="1"/>
    <col min="11324" max="11324" width="16.140625" bestFit="1" customWidth="1"/>
    <col min="11325" max="11326" width="11.28515625" bestFit="1" customWidth="1"/>
    <col min="11327" max="11327" width="13.28515625" bestFit="1" customWidth="1"/>
    <col min="11328" max="11328" width="7.7109375" bestFit="1" customWidth="1"/>
    <col min="11329" max="11332" width="9.140625" hidden="1" customWidth="1"/>
    <col min="11333" max="11333" width="10.42578125" bestFit="1" customWidth="1"/>
    <col min="11334" max="11334" width="10.5703125" bestFit="1" customWidth="1"/>
    <col min="11335" max="11335" width="10.42578125" bestFit="1" customWidth="1"/>
    <col min="11336" max="11336" width="10.5703125" bestFit="1" customWidth="1"/>
    <col min="11337" max="11337" width="9.5703125" bestFit="1" customWidth="1"/>
    <col min="11338" max="11338" width="11.5703125" bestFit="1" customWidth="1"/>
    <col min="11339" max="11339" width="10.42578125" bestFit="1" customWidth="1"/>
    <col min="11340" max="11340" width="10.85546875" customWidth="1"/>
    <col min="11341" max="11342" width="9.85546875" bestFit="1" customWidth="1"/>
    <col min="11343" max="11343" width="13.5703125" bestFit="1" customWidth="1"/>
    <col min="11344" max="11344" width="7.7109375" bestFit="1" customWidth="1"/>
    <col min="11345" max="11345" width="13.28515625" bestFit="1" customWidth="1"/>
    <col min="11346" max="11346" width="11.5703125" bestFit="1" customWidth="1"/>
    <col min="11347" max="11347" width="10.42578125" bestFit="1" customWidth="1"/>
    <col min="11348" max="11348" width="7.7109375" bestFit="1" customWidth="1"/>
    <col min="11349" max="11349" width="11.5703125" bestFit="1" customWidth="1"/>
    <col min="11350" max="11350" width="10.85546875" bestFit="1" customWidth="1"/>
    <col min="11351" max="11351" width="13.28515625" bestFit="1" customWidth="1"/>
    <col min="11352" max="11352" width="10.85546875" bestFit="1" customWidth="1"/>
    <col min="11353" max="11354" width="7.5703125" bestFit="1" customWidth="1"/>
    <col min="11355" max="11356" width="10.42578125" bestFit="1" customWidth="1"/>
    <col min="11357" max="11357" width="11.5703125" bestFit="1" customWidth="1"/>
    <col min="11358" max="11358" width="5.28515625" bestFit="1" customWidth="1"/>
    <col min="11359" max="11359" width="10.28515625" bestFit="1" customWidth="1"/>
    <col min="11360" max="11360" width="10.42578125" bestFit="1" customWidth="1"/>
    <col min="11361" max="11361" width="11.5703125" bestFit="1" customWidth="1"/>
    <col min="11362" max="11362" width="5.28515625" bestFit="1" customWidth="1"/>
    <col min="11363" max="11365" width="11.5703125" bestFit="1" customWidth="1"/>
    <col min="11366" max="11366" width="5.28515625" bestFit="1" customWidth="1"/>
    <col min="11367" max="11368" width="10.42578125" bestFit="1" customWidth="1"/>
    <col min="11369" max="11369" width="11.5703125" bestFit="1" customWidth="1"/>
    <col min="11370" max="11370" width="5.28515625" bestFit="1" customWidth="1"/>
    <col min="11371" max="11371" width="14.28515625" bestFit="1" customWidth="1"/>
    <col min="11372" max="11372" width="13" bestFit="1" customWidth="1"/>
    <col min="11373" max="11373" width="11.5703125" bestFit="1" customWidth="1"/>
    <col min="11374" max="11374" width="8.85546875" bestFit="1" customWidth="1"/>
    <col min="11375" max="11375" width="14.42578125" bestFit="1" customWidth="1"/>
    <col min="11376" max="11376" width="10.42578125" bestFit="1" customWidth="1"/>
    <col min="11377" max="11377" width="12.28515625" bestFit="1" customWidth="1"/>
    <col min="11378" max="11378" width="13.85546875" bestFit="1" customWidth="1"/>
    <col min="11379" max="11379" width="11.28515625" customWidth="1"/>
    <col min="11380" max="11380" width="11.5703125" customWidth="1"/>
    <col min="11381" max="11381" width="13.42578125" bestFit="1" customWidth="1"/>
    <col min="11382" max="11382" width="10.42578125" customWidth="1"/>
    <col min="11383" max="11383" width="13.85546875" bestFit="1" customWidth="1"/>
    <col min="11384" max="11384" width="15.42578125" bestFit="1" customWidth="1"/>
    <col min="11385" max="11385" width="12.28515625" bestFit="1" customWidth="1"/>
    <col min="11386" max="11386" width="12.7109375" customWidth="1"/>
    <col min="11387" max="11387" width="10.7109375" bestFit="1" customWidth="1"/>
    <col min="11388" max="11388" width="9.85546875" customWidth="1"/>
    <col min="11389" max="11390" width="10.140625" bestFit="1" customWidth="1"/>
    <col min="11391" max="11391" width="7.5703125" bestFit="1" customWidth="1"/>
    <col min="11392" max="11392" width="9.42578125" bestFit="1" customWidth="1"/>
    <col min="11393" max="11393" width="14.5703125" bestFit="1" customWidth="1"/>
    <col min="11394" max="11394" width="14.85546875" customWidth="1"/>
    <col min="11395" max="11395" width="15.140625" bestFit="1" customWidth="1"/>
    <col min="11396" max="11396" width="12.140625" bestFit="1" customWidth="1"/>
    <col min="11397" max="11397" width="14.85546875" bestFit="1" customWidth="1"/>
    <col min="11398" max="11398" width="12.28515625" bestFit="1" customWidth="1"/>
    <col min="11399" max="11407" width="9.140625" hidden="1" customWidth="1"/>
    <col min="11408" max="11408" width="5.28515625" bestFit="1" customWidth="1"/>
    <col min="11409" max="11414" width="11.5703125" bestFit="1" customWidth="1"/>
    <col min="11415" max="11415" width="11.28515625" bestFit="1" customWidth="1"/>
    <col min="11416" max="11416" width="10.140625" bestFit="1" customWidth="1"/>
    <col min="11417" max="11417" width="11.5703125" bestFit="1" customWidth="1"/>
    <col min="11418" max="11418" width="16.140625" customWidth="1"/>
    <col min="11419" max="11419" width="13.42578125" customWidth="1"/>
    <col min="11420" max="11420" width="10.140625" bestFit="1" customWidth="1"/>
    <col min="11421" max="11421" width="12.85546875" bestFit="1" customWidth="1"/>
    <col min="11422" max="11422" width="12.28515625" bestFit="1" customWidth="1"/>
    <col min="11423" max="11423" width="11.28515625" bestFit="1" customWidth="1"/>
    <col min="11424" max="11424" width="11.5703125" bestFit="1" customWidth="1"/>
    <col min="11425" max="11425" width="10.85546875" bestFit="1" customWidth="1"/>
    <col min="11426" max="11426" width="11.28515625" bestFit="1" customWidth="1"/>
    <col min="11427" max="11427" width="10.140625" bestFit="1" customWidth="1"/>
    <col min="11428" max="11428" width="13.28515625" bestFit="1" customWidth="1"/>
    <col min="11429" max="11430" width="12.7109375" bestFit="1" customWidth="1"/>
    <col min="11431" max="11431" width="11" bestFit="1" customWidth="1"/>
    <col min="11432" max="11432" width="11.28515625" bestFit="1" customWidth="1"/>
    <col min="11433" max="11433" width="11.5703125" bestFit="1" customWidth="1"/>
    <col min="11434" max="11434" width="12.28515625" bestFit="1" customWidth="1"/>
    <col min="11435" max="11435" width="15.140625" bestFit="1" customWidth="1"/>
    <col min="11436" max="11436" width="14.42578125" bestFit="1" customWidth="1"/>
    <col min="11437" max="11437" width="12.28515625" bestFit="1" customWidth="1"/>
    <col min="11438" max="11438" width="15.140625" bestFit="1" customWidth="1"/>
    <col min="11439" max="11439" width="14.42578125" bestFit="1" customWidth="1"/>
    <col min="11440" max="11440" width="12.28515625" bestFit="1" customWidth="1"/>
    <col min="11441" max="11441" width="14.42578125" bestFit="1" customWidth="1"/>
    <col min="11442" max="11442" width="11.28515625" bestFit="1" customWidth="1"/>
    <col min="11443" max="11443" width="12.28515625" bestFit="1" customWidth="1"/>
    <col min="11444" max="11444" width="13" bestFit="1" customWidth="1"/>
    <col min="11445" max="11445" width="15.140625" bestFit="1" customWidth="1"/>
    <col min="11446" max="11446" width="12.28515625" bestFit="1" customWidth="1"/>
    <col min="11447" max="11447" width="13.85546875" bestFit="1" customWidth="1"/>
    <col min="11448" max="11448" width="11.28515625" bestFit="1" customWidth="1"/>
    <col min="11449" max="11449" width="12.28515625" bestFit="1" customWidth="1"/>
    <col min="11450" max="11450" width="13.85546875" bestFit="1" customWidth="1"/>
    <col min="11451" max="11452" width="15.140625" bestFit="1" customWidth="1"/>
    <col min="11453" max="11453" width="12.28515625" bestFit="1" customWidth="1"/>
    <col min="11454" max="11454" width="5.7109375" bestFit="1" customWidth="1"/>
    <col min="11455" max="11455" width="8.5703125" bestFit="1" customWidth="1"/>
    <col min="11456" max="11456" width="5.5703125" bestFit="1" customWidth="1"/>
    <col min="11457" max="11457" width="14.42578125" bestFit="1" customWidth="1"/>
    <col min="11458" max="11458" width="11.28515625" bestFit="1" customWidth="1"/>
    <col min="11459" max="11460" width="12.28515625" bestFit="1" customWidth="1"/>
    <col min="11461" max="11461" width="11.28515625" bestFit="1" customWidth="1"/>
    <col min="11462" max="11462" width="13.85546875" bestFit="1" customWidth="1"/>
    <col min="11463" max="11463" width="12" bestFit="1" customWidth="1"/>
    <col min="11464" max="11464" width="13.85546875" bestFit="1" customWidth="1"/>
    <col min="11465" max="11466" width="14.42578125" customWidth="1"/>
    <col min="11467" max="11467" width="10.140625" bestFit="1" customWidth="1"/>
    <col min="11468" max="11468" width="12.28515625" bestFit="1" customWidth="1"/>
    <col min="11469" max="11469" width="7.42578125" bestFit="1" customWidth="1"/>
    <col min="11470" max="11470" width="8.5703125" bestFit="1" customWidth="1"/>
    <col min="11471" max="11471" width="11.5703125" bestFit="1" customWidth="1"/>
    <col min="11472" max="11472" width="13.28515625" bestFit="1" customWidth="1"/>
    <col min="11473" max="11473" width="13.28515625" customWidth="1"/>
    <col min="11474" max="11474" width="13.140625" customWidth="1"/>
    <col min="11475" max="11475" width="12.7109375" bestFit="1" customWidth="1"/>
    <col min="11476" max="11476" width="13.28515625" bestFit="1" customWidth="1"/>
    <col min="11477" max="11479" width="13.28515625" customWidth="1"/>
    <col min="11480" max="11480" width="12.140625" bestFit="1" customWidth="1"/>
    <col min="11481" max="11481" width="12.7109375" bestFit="1" customWidth="1"/>
    <col min="11482" max="11482" width="11" customWidth="1"/>
    <col min="11483" max="11483" width="16.7109375" customWidth="1"/>
    <col min="11484" max="11484" width="17" customWidth="1"/>
    <col min="11485" max="11485" width="10.42578125" bestFit="1" customWidth="1"/>
    <col min="11529" max="11529" width="3.85546875" customWidth="1"/>
    <col min="11530" max="11530" width="15.28515625" bestFit="1" customWidth="1"/>
    <col min="11531" max="11531" width="12.28515625" customWidth="1"/>
    <col min="11532" max="11532" width="16.28515625" bestFit="1" customWidth="1"/>
    <col min="11533" max="11533" width="6.42578125" bestFit="1" customWidth="1"/>
    <col min="11534" max="11534" width="9.28515625" bestFit="1" customWidth="1"/>
    <col min="11535" max="11535" width="7.5703125" bestFit="1" customWidth="1"/>
    <col min="11536" max="11536" width="13.28515625" bestFit="1" customWidth="1"/>
    <col min="11537" max="11537" width="9.28515625" bestFit="1" customWidth="1"/>
    <col min="11538" max="11538" width="11.5703125" bestFit="1" customWidth="1"/>
    <col min="11539" max="11539" width="13.28515625" bestFit="1" customWidth="1"/>
    <col min="11540" max="11540" width="7.140625" bestFit="1" customWidth="1"/>
    <col min="11541" max="11541" width="12" bestFit="1" customWidth="1"/>
    <col min="11542" max="11542" width="13.28515625" bestFit="1" customWidth="1"/>
    <col min="11543" max="11543" width="7" bestFit="1" customWidth="1"/>
    <col min="11544" max="11544" width="12.7109375" bestFit="1" customWidth="1"/>
    <col min="11545" max="11545" width="11.5703125" bestFit="1" customWidth="1"/>
    <col min="11546" max="11546" width="10.5703125" bestFit="1" customWidth="1"/>
    <col min="11547" max="11548" width="15.7109375" bestFit="1" customWidth="1"/>
    <col min="11549" max="11549" width="11.5703125" bestFit="1" customWidth="1"/>
    <col min="11550" max="11550" width="7.7109375" bestFit="1" customWidth="1"/>
    <col min="11551" max="11551" width="15.140625" bestFit="1" customWidth="1"/>
    <col min="11552" max="11552" width="11.5703125" bestFit="1" customWidth="1"/>
    <col min="11553" max="11553" width="13.28515625" bestFit="1" customWidth="1"/>
    <col min="11554" max="11554" width="10.42578125" bestFit="1" customWidth="1"/>
    <col min="11555" max="11555" width="13.28515625" bestFit="1" customWidth="1"/>
    <col min="11556" max="11556" width="12.140625" bestFit="1" customWidth="1"/>
    <col min="11557" max="11557" width="14.42578125" bestFit="1" customWidth="1"/>
    <col min="11558" max="11558" width="13.28515625" bestFit="1" customWidth="1"/>
    <col min="11559" max="11559" width="11.5703125" bestFit="1" customWidth="1"/>
    <col min="11560" max="11560" width="7.7109375" bestFit="1" customWidth="1"/>
    <col min="11561" max="11562" width="14.42578125" bestFit="1" customWidth="1"/>
    <col min="11563" max="11563" width="11.5703125" bestFit="1" customWidth="1"/>
    <col min="11564" max="11564" width="7.7109375" bestFit="1" customWidth="1"/>
    <col min="11565" max="11565" width="13.5703125" customWidth="1"/>
    <col min="11566" max="11566" width="15.28515625" customWidth="1"/>
    <col min="11567" max="11567" width="14.5703125" customWidth="1"/>
    <col min="11568" max="11568" width="13.28515625" bestFit="1" customWidth="1"/>
    <col min="11569" max="11569" width="7.7109375" bestFit="1" customWidth="1"/>
    <col min="11570" max="11570" width="12.7109375" bestFit="1" customWidth="1"/>
    <col min="11571" max="11571" width="11.7109375" bestFit="1" customWidth="1"/>
    <col min="11572" max="11572" width="11.5703125" bestFit="1" customWidth="1"/>
    <col min="11573" max="11573" width="5.28515625" bestFit="1" customWidth="1"/>
    <col min="11574" max="11574" width="13.28515625" bestFit="1" customWidth="1"/>
    <col min="11575" max="11575" width="13.5703125" bestFit="1" customWidth="1"/>
    <col min="11576" max="11576" width="10.5703125" bestFit="1" customWidth="1"/>
    <col min="11577" max="11577" width="13.28515625" bestFit="1" customWidth="1"/>
    <col min="11578" max="11578" width="11.5703125" bestFit="1" customWidth="1"/>
    <col min="11579" max="11579" width="10.5703125" bestFit="1" customWidth="1"/>
    <col min="11580" max="11580" width="16.140625" bestFit="1" customWidth="1"/>
    <col min="11581" max="11582" width="11.28515625" bestFit="1" customWidth="1"/>
    <col min="11583" max="11583" width="13.28515625" bestFit="1" customWidth="1"/>
    <col min="11584" max="11584" width="7.7109375" bestFit="1" customWidth="1"/>
    <col min="11585" max="11588" width="9.140625" hidden="1" customWidth="1"/>
    <col min="11589" max="11589" width="10.42578125" bestFit="1" customWidth="1"/>
    <col min="11590" max="11590" width="10.5703125" bestFit="1" customWidth="1"/>
    <col min="11591" max="11591" width="10.42578125" bestFit="1" customWidth="1"/>
    <col min="11592" max="11592" width="10.5703125" bestFit="1" customWidth="1"/>
    <col min="11593" max="11593" width="9.5703125" bestFit="1" customWidth="1"/>
    <col min="11594" max="11594" width="11.5703125" bestFit="1" customWidth="1"/>
    <col min="11595" max="11595" width="10.42578125" bestFit="1" customWidth="1"/>
    <col min="11596" max="11596" width="10.85546875" customWidth="1"/>
    <col min="11597" max="11598" width="9.85546875" bestFit="1" customWidth="1"/>
    <col min="11599" max="11599" width="13.5703125" bestFit="1" customWidth="1"/>
    <col min="11600" max="11600" width="7.7109375" bestFit="1" customWidth="1"/>
    <col min="11601" max="11601" width="13.28515625" bestFit="1" customWidth="1"/>
    <col min="11602" max="11602" width="11.5703125" bestFit="1" customWidth="1"/>
    <col min="11603" max="11603" width="10.42578125" bestFit="1" customWidth="1"/>
    <col min="11604" max="11604" width="7.7109375" bestFit="1" customWidth="1"/>
    <col min="11605" max="11605" width="11.5703125" bestFit="1" customWidth="1"/>
    <col min="11606" max="11606" width="10.85546875" bestFit="1" customWidth="1"/>
    <col min="11607" max="11607" width="13.28515625" bestFit="1" customWidth="1"/>
    <col min="11608" max="11608" width="10.85546875" bestFit="1" customWidth="1"/>
    <col min="11609" max="11610" width="7.5703125" bestFit="1" customWidth="1"/>
    <col min="11611" max="11612" width="10.42578125" bestFit="1" customWidth="1"/>
    <col min="11613" max="11613" width="11.5703125" bestFit="1" customWidth="1"/>
    <col min="11614" max="11614" width="5.28515625" bestFit="1" customWidth="1"/>
    <col min="11615" max="11615" width="10.28515625" bestFit="1" customWidth="1"/>
    <col min="11616" max="11616" width="10.42578125" bestFit="1" customWidth="1"/>
    <col min="11617" max="11617" width="11.5703125" bestFit="1" customWidth="1"/>
    <col min="11618" max="11618" width="5.28515625" bestFit="1" customWidth="1"/>
    <col min="11619" max="11621" width="11.5703125" bestFit="1" customWidth="1"/>
    <col min="11622" max="11622" width="5.28515625" bestFit="1" customWidth="1"/>
    <col min="11623" max="11624" width="10.42578125" bestFit="1" customWidth="1"/>
    <col min="11625" max="11625" width="11.5703125" bestFit="1" customWidth="1"/>
    <col min="11626" max="11626" width="5.28515625" bestFit="1" customWidth="1"/>
    <col min="11627" max="11627" width="14.28515625" bestFit="1" customWidth="1"/>
    <col min="11628" max="11628" width="13" bestFit="1" customWidth="1"/>
    <col min="11629" max="11629" width="11.5703125" bestFit="1" customWidth="1"/>
    <col min="11630" max="11630" width="8.85546875" bestFit="1" customWidth="1"/>
    <col min="11631" max="11631" width="14.42578125" bestFit="1" customWidth="1"/>
    <col min="11632" max="11632" width="10.42578125" bestFit="1" customWidth="1"/>
    <col min="11633" max="11633" width="12.28515625" bestFit="1" customWidth="1"/>
    <col min="11634" max="11634" width="13.85546875" bestFit="1" customWidth="1"/>
    <col min="11635" max="11635" width="11.28515625" customWidth="1"/>
    <col min="11636" max="11636" width="11.5703125" customWidth="1"/>
    <col min="11637" max="11637" width="13.42578125" bestFit="1" customWidth="1"/>
    <col min="11638" max="11638" width="10.42578125" customWidth="1"/>
    <col min="11639" max="11639" width="13.85546875" bestFit="1" customWidth="1"/>
    <col min="11640" max="11640" width="15.42578125" bestFit="1" customWidth="1"/>
    <col min="11641" max="11641" width="12.28515625" bestFit="1" customWidth="1"/>
    <col min="11642" max="11642" width="12.7109375" customWidth="1"/>
    <col min="11643" max="11643" width="10.7109375" bestFit="1" customWidth="1"/>
    <col min="11644" max="11644" width="9.85546875" customWidth="1"/>
    <col min="11645" max="11646" width="10.140625" bestFit="1" customWidth="1"/>
    <col min="11647" max="11647" width="7.5703125" bestFit="1" customWidth="1"/>
    <col min="11648" max="11648" width="9.42578125" bestFit="1" customWidth="1"/>
    <col min="11649" max="11649" width="14.5703125" bestFit="1" customWidth="1"/>
    <col min="11650" max="11650" width="14.85546875" customWidth="1"/>
    <col min="11651" max="11651" width="15.140625" bestFit="1" customWidth="1"/>
    <col min="11652" max="11652" width="12.140625" bestFit="1" customWidth="1"/>
    <col min="11653" max="11653" width="14.85546875" bestFit="1" customWidth="1"/>
    <col min="11654" max="11654" width="12.28515625" bestFit="1" customWidth="1"/>
    <col min="11655" max="11663" width="9.140625" hidden="1" customWidth="1"/>
    <col min="11664" max="11664" width="5.28515625" bestFit="1" customWidth="1"/>
    <col min="11665" max="11670" width="11.5703125" bestFit="1" customWidth="1"/>
    <col min="11671" max="11671" width="11.28515625" bestFit="1" customWidth="1"/>
    <col min="11672" max="11672" width="10.140625" bestFit="1" customWidth="1"/>
    <col min="11673" max="11673" width="11.5703125" bestFit="1" customWidth="1"/>
    <col min="11674" max="11674" width="16.140625" customWidth="1"/>
    <col min="11675" max="11675" width="13.42578125" customWidth="1"/>
    <col min="11676" max="11676" width="10.140625" bestFit="1" customWidth="1"/>
    <col min="11677" max="11677" width="12.85546875" bestFit="1" customWidth="1"/>
    <col min="11678" max="11678" width="12.28515625" bestFit="1" customWidth="1"/>
    <col min="11679" max="11679" width="11.28515625" bestFit="1" customWidth="1"/>
    <col min="11680" max="11680" width="11.5703125" bestFit="1" customWidth="1"/>
    <col min="11681" max="11681" width="10.85546875" bestFit="1" customWidth="1"/>
    <col min="11682" max="11682" width="11.28515625" bestFit="1" customWidth="1"/>
    <col min="11683" max="11683" width="10.140625" bestFit="1" customWidth="1"/>
    <col min="11684" max="11684" width="13.28515625" bestFit="1" customWidth="1"/>
    <col min="11685" max="11686" width="12.7109375" bestFit="1" customWidth="1"/>
    <col min="11687" max="11687" width="11" bestFit="1" customWidth="1"/>
    <col min="11688" max="11688" width="11.28515625" bestFit="1" customWidth="1"/>
    <col min="11689" max="11689" width="11.5703125" bestFit="1" customWidth="1"/>
    <col min="11690" max="11690" width="12.28515625" bestFit="1" customWidth="1"/>
    <col min="11691" max="11691" width="15.140625" bestFit="1" customWidth="1"/>
    <col min="11692" max="11692" width="14.42578125" bestFit="1" customWidth="1"/>
    <col min="11693" max="11693" width="12.28515625" bestFit="1" customWidth="1"/>
    <col min="11694" max="11694" width="15.140625" bestFit="1" customWidth="1"/>
    <col min="11695" max="11695" width="14.42578125" bestFit="1" customWidth="1"/>
    <col min="11696" max="11696" width="12.28515625" bestFit="1" customWidth="1"/>
    <col min="11697" max="11697" width="14.42578125" bestFit="1" customWidth="1"/>
    <col min="11698" max="11698" width="11.28515625" bestFit="1" customWidth="1"/>
    <col min="11699" max="11699" width="12.28515625" bestFit="1" customWidth="1"/>
    <col min="11700" max="11700" width="13" bestFit="1" customWidth="1"/>
    <col min="11701" max="11701" width="15.140625" bestFit="1" customWidth="1"/>
    <col min="11702" max="11702" width="12.28515625" bestFit="1" customWidth="1"/>
    <col min="11703" max="11703" width="13.85546875" bestFit="1" customWidth="1"/>
    <col min="11704" max="11704" width="11.28515625" bestFit="1" customWidth="1"/>
    <col min="11705" max="11705" width="12.28515625" bestFit="1" customWidth="1"/>
    <col min="11706" max="11706" width="13.85546875" bestFit="1" customWidth="1"/>
    <col min="11707" max="11708" width="15.140625" bestFit="1" customWidth="1"/>
    <col min="11709" max="11709" width="12.28515625" bestFit="1" customWidth="1"/>
    <col min="11710" max="11710" width="5.7109375" bestFit="1" customWidth="1"/>
    <col min="11711" max="11711" width="8.5703125" bestFit="1" customWidth="1"/>
    <col min="11712" max="11712" width="5.5703125" bestFit="1" customWidth="1"/>
    <col min="11713" max="11713" width="14.42578125" bestFit="1" customWidth="1"/>
    <col min="11714" max="11714" width="11.28515625" bestFit="1" customWidth="1"/>
    <col min="11715" max="11716" width="12.28515625" bestFit="1" customWidth="1"/>
    <col min="11717" max="11717" width="11.28515625" bestFit="1" customWidth="1"/>
    <col min="11718" max="11718" width="13.85546875" bestFit="1" customWidth="1"/>
    <col min="11719" max="11719" width="12" bestFit="1" customWidth="1"/>
    <col min="11720" max="11720" width="13.85546875" bestFit="1" customWidth="1"/>
    <col min="11721" max="11722" width="14.42578125" customWidth="1"/>
    <col min="11723" max="11723" width="10.140625" bestFit="1" customWidth="1"/>
    <col min="11724" max="11724" width="12.28515625" bestFit="1" customWidth="1"/>
    <col min="11725" max="11725" width="7.42578125" bestFit="1" customWidth="1"/>
    <col min="11726" max="11726" width="8.5703125" bestFit="1" customWidth="1"/>
    <col min="11727" max="11727" width="11.5703125" bestFit="1" customWidth="1"/>
    <col min="11728" max="11728" width="13.28515625" bestFit="1" customWidth="1"/>
    <col min="11729" max="11729" width="13.28515625" customWidth="1"/>
    <col min="11730" max="11730" width="13.140625" customWidth="1"/>
    <col min="11731" max="11731" width="12.7109375" bestFit="1" customWidth="1"/>
    <col min="11732" max="11732" width="13.28515625" bestFit="1" customWidth="1"/>
    <col min="11733" max="11735" width="13.28515625" customWidth="1"/>
    <col min="11736" max="11736" width="12.140625" bestFit="1" customWidth="1"/>
    <col min="11737" max="11737" width="12.7109375" bestFit="1" customWidth="1"/>
    <col min="11738" max="11738" width="11" customWidth="1"/>
    <col min="11739" max="11739" width="16.7109375" customWidth="1"/>
    <col min="11740" max="11740" width="17" customWidth="1"/>
    <col min="11741" max="11741" width="10.42578125" bestFit="1" customWidth="1"/>
    <col min="11785" max="11785" width="3.85546875" customWidth="1"/>
    <col min="11786" max="11786" width="15.28515625" bestFit="1" customWidth="1"/>
    <col min="11787" max="11787" width="12.28515625" customWidth="1"/>
    <col min="11788" max="11788" width="16.28515625" bestFit="1" customWidth="1"/>
    <col min="11789" max="11789" width="6.42578125" bestFit="1" customWidth="1"/>
    <col min="11790" max="11790" width="9.28515625" bestFit="1" customWidth="1"/>
    <col min="11791" max="11791" width="7.5703125" bestFit="1" customWidth="1"/>
    <col min="11792" max="11792" width="13.28515625" bestFit="1" customWidth="1"/>
    <col min="11793" max="11793" width="9.28515625" bestFit="1" customWidth="1"/>
    <col min="11794" max="11794" width="11.5703125" bestFit="1" customWidth="1"/>
    <col min="11795" max="11795" width="13.28515625" bestFit="1" customWidth="1"/>
    <col min="11796" max="11796" width="7.140625" bestFit="1" customWidth="1"/>
    <col min="11797" max="11797" width="12" bestFit="1" customWidth="1"/>
    <col min="11798" max="11798" width="13.28515625" bestFit="1" customWidth="1"/>
    <col min="11799" max="11799" width="7" bestFit="1" customWidth="1"/>
    <col min="11800" max="11800" width="12.7109375" bestFit="1" customWidth="1"/>
    <col min="11801" max="11801" width="11.5703125" bestFit="1" customWidth="1"/>
    <col min="11802" max="11802" width="10.5703125" bestFit="1" customWidth="1"/>
    <col min="11803" max="11804" width="15.7109375" bestFit="1" customWidth="1"/>
    <col min="11805" max="11805" width="11.5703125" bestFit="1" customWidth="1"/>
    <col min="11806" max="11806" width="7.7109375" bestFit="1" customWidth="1"/>
    <col min="11807" max="11807" width="15.140625" bestFit="1" customWidth="1"/>
    <col min="11808" max="11808" width="11.5703125" bestFit="1" customWidth="1"/>
    <col min="11809" max="11809" width="13.28515625" bestFit="1" customWidth="1"/>
    <col min="11810" max="11810" width="10.42578125" bestFit="1" customWidth="1"/>
    <col min="11811" max="11811" width="13.28515625" bestFit="1" customWidth="1"/>
    <col min="11812" max="11812" width="12.140625" bestFit="1" customWidth="1"/>
    <col min="11813" max="11813" width="14.42578125" bestFit="1" customWidth="1"/>
    <col min="11814" max="11814" width="13.28515625" bestFit="1" customWidth="1"/>
    <col min="11815" max="11815" width="11.5703125" bestFit="1" customWidth="1"/>
    <col min="11816" max="11816" width="7.7109375" bestFit="1" customWidth="1"/>
    <col min="11817" max="11818" width="14.42578125" bestFit="1" customWidth="1"/>
    <col min="11819" max="11819" width="11.5703125" bestFit="1" customWidth="1"/>
    <col min="11820" max="11820" width="7.7109375" bestFit="1" customWidth="1"/>
    <col min="11821" max="11821" width="13.5703125" customWidth="1"/>
    <col min="11822" max="11822" width="15.28515625" customWidth="1"/>
    <col min="11823" max="11823" width="14.5703125" customWidth="1"/>
    <col min="11824" max="11824" width="13.28515625" bestFit="1" customWidth="1"/>
    <col min="11825" max="11825" width="7.7109375" bestFit="1" customWidth="1"/>
    <col min="11826" max="11826" width="12.7109375" bestFit="1" customWidth="1"/>
    <col min="11827" max="11827" width="11.7109375" bestFit="1" customWidth="1"/>
    <col min="11828" max="11828" width="11.5703125" bestFit="1" customWidth="1"/>
    <col min="11829" max="11829" width="5.28515625" bestFit="1" customWidth="1"/>
    <col min="11830" max="11830" width="13.28515625" bestFit="1" customWidth="1"/>
    <col min="11831" max="11831" width="13.5703125" bestFit="1" customWidth="1"/>
    <col min="11832" max="11832" width="10.5703125" bestFit="1" customWidth="1"/>
    <col min="11833" max="11833" width="13.28515625" bestFit="1" customWidth="1"/>
    <col min="11834" max="11834" width="11.5703125" bestFit="1" customWidth="1"/>
    <col min="11835" max="11835" width="10.5703125" bestFit="1" customWidth="1"/>
    <col min="11836" max="11836" width="16.140625" bestFit="1" customWidth="1"/>
    <col min="11837" max="11838" width="11.28515625" bestFit="1" customWidth="1"/>
    <col min="11839" max="11839" width="13.28515625" bestFit="1" customWidth="1"/>
    <col min="11840" max="11840" width="7.7109375" bestFit="1" customWidth="1"/>
    <col min="11841" max="11844" width="9.140625" hidden="1" customWidth="1"/>
    <col min="11845" max="11845" width="10.42578125" bestFit="1" customWidth="1"/>
    <col min="11846" max="11846" width="10.5703125" bestFit="1" customWidth="1"/>
    <col min="11847" max="11847" width="10.42578125" bestFit="1" customWidth="1"/>
    <col min="11848" max="11848" width="10.5703125" bestFit="1" customWidth="1"/>
    <col min="11849" max="11849" width="9.5703125" bestFit="1" customWidth="1"/>
    <col min="11850" max="11850" width="11.5703125" bestFit="1" customWidth="1"/>
    <col min="11851" max="11851" width="10.42578125" bestFit="1" customWidth="1"/>
    <col min="11852" max="11852" width="10.85546875" customWidth="1"/>
    <col min="11853" max="11854" width="9.85546875" bestFit="1" customWidth="1"/>
    <col min="11855" max="11855" width="13.5703125" bestFit="1" customWidth="1"/>
    <col min="11856" max="11856" width="7.7109375" bestFit="1" customWidth="1"/>
    <col min="11857" max="11857" width="13.28515625" bestFit="1" customWidth="1"/>
    <col min="11858" max="11858" width="11.5703125" bestFit="1" customWidth="1"/>
    <col min="11859" max="11859" width="10.42578125" bestFit="1" customWidth="1"/>
    <col min="11860" max="11860" width="7.7109375" bestFit="1" customWidth="1"/>
    <col min="11861" max="11861" width="11.5703125" bestFit="1" customWidth="1"/>
    <col min="11862" max="11862" width="10.85546875" bestFit="1" customWidth="1"/>
    <col min="11863" max="11863" width="13.28515625" bestFit="1" customWidth="1"/>
    <col min="11864" max="11864" width="10.85546875" bestFit="1" customWidth="1"/>
    <col min="11865" max="11866" width="7.5703125" bestFit="1" customWidth="1"/>
    <col min="11867" max="11868" width="10.42578125" bestFit="1" customWidth="1"/>
    <col min="11869" max="11869" width="11.5703125" bestFit="1" customWidth="1"/>
    <col min="11870" max="11870" width="5.28515625" bestFit="1" customWidth="1"/>
    <col min="11871" max="11871" width="10.28515625" bestFit="1" customWidth="1"/>
    <col min="11872" max="11872" width="10.42578125" bestFit="1" customWidth="1"/>
    <col min="11873" max="11873" width="11.5703125" bestFit="1" customWidth="1"/>
    <col min="11874" max="11874" width="5.28515625" bestFit="1" customWidth="1"/>
    <col min="11875" max="11877" width="11.5703125" bestFit="1" customWidth="1"/>
    <col min="11878" max="11878" width="5.28515625" bestFit="1" customWidth="1"/>
    <col min="11879" max="11880" width="10.42578125" bestFit="1" customWidth="1"/>
    <col min="11881" max="11881" width="11.5703125" bestFit="1" customWidth="1"/>
    <col min="11882" max="11882" width="5.28515625" bestFit="1" customWidth="1"/>
    <col min="11883" max="11883" width="14.28515625" bestFit="1" customWidth="1"/>
    <col min="11884" max="11884" width="13" bestFit="1" customWidth="1"/>
    <col min="11885" max="11885" width="11.5703125" bestFit="1" customWidth="1"/>
    <col min="11886" max="11886" width="8.85546875" bestFit="1" customWidth="1"/>
    <col min="11887" max="11887" width="14.42578125" bestFit="1" customWidth="1"/>
    <col min="11888" max="11888" width="10.42578125" bestFit="1" customWidth="1"/>
    <col min="11889" max="11889" width="12.28515625" bestFit="1" customWidth="1"/>
    <col min="11890" max="11890" width="13.85546875" bestFit="1" customWidth="1"/>
    <col min="11891" max="11891" width="11.28515625" customWidth="1"/>
    <col min="11892" max="11892" width="11.5703125" customWidth="1"/>
    <col min="11893" max="11893" width="13.42578125" bestFit="1" customWidth="1"/>
    <col min="11894" max="11894" width="10.42578125" customWidth="1"/>
    <col min="11895" max="11895" width="13.85546875" bestFit="1" customWidth="1"/>
    <col min="11896" max="11896" width="15.42578125" bestFit="1" customWidth="1"/>
    <col min="11897" max="11897" width="12.28515625" bestFit="1" customWidth="1"/>
    <col min="11898" max="11898" width="12.7109375" customWidth="1"/>
    <col min="11899" max="11899" width="10.7109375" bestFit="1" customWidth="1"/>
    <col min="11900" max="11900" width="9.85546875" customWidth="1"/>
    <col min="11901" max="11902" width="10.140625" bestFit="1" customWidth="1"/>
    <col min="11903" max="11903" width="7.5703125" bestFit="1" customWidth="1"/>
    <col min="11904" max="11904" width="9.42578125" bestFit="1" customWidth="1"/>
    <col min="11905" max="11905" width="14.5703125" bestFit="1" customWidth="1"/>
    <col min="11906" max="11906" width="14.85546875" customWidth="1"/>
    <col min="11907" max="11907" width="15.140625" bestFit="1" customWidth="1"/>
    <col min="11908" max="11908" width="12.140625" bestFit="1" customWidth="1"/>
    <col min="11909" max="11909" width="14.85546875" bestFit="1" customWidth="1"/>
    <col min="11910" max="11910" width="12.28515625" bestFit="1" customWidth="1"/>
    <col min="11911" max="11919" width="9.140625" hidden="1" customWidth="1"/>
    <col min="11920" max="11920" width="5.28515625" bestFit="1" customWidth="1"/>
    <col min="11921" max="11926" width="11.5703125" bestFit="1" customWidth="1"/>
    <col min="11927" max="11927" width="11.28515625" bestFit="1" customWidth="1"/>
    <col min="11928" max="11928" width="10.140625" bestFit="1" customWidth="1"/>
    <col min="11929" max="11929" width="11.5703125" bestFit="1" customWidth="1"/>
    <col min="11930" max="11930" width="16.140625" customWidth="1"/>
    <col min="11931" max="11931" width="13.42578125" customWidth="1"/>
    <col min="11932" max="11932" width="10.140625" bestFit="1" customWidth="1"/>
    <col min="11933" max="11933" width="12.85546875" bestFit="1" customWidth="1"/>
    <col min="11934" max="11934" width="12.28515625" bestFit="1" customWidth="1"/>
    <col min="11935" max="11935" width="11.28515625" bestFit="1" customWidth="1"/>
    <col min="11936" max="11936" width="11.5703125" bestFit="1" customWidth="1"/>
    <col min="11937" max="11937" width="10.85546875" bestFit="1" customWidth="1"/>
    <col min="11938" max="11938" width="11.28515625" bestFit="1" customWidth="1"/>
    <col min="11939" max="11939" width="10.140625" bestFit="1" customWidth="1"/>
    <col min="11940" max="11940" width="13.28515625" bestFit="1" customWidth="1"/>
    <col min="11941" max="11942" width="12.7109375" bestFit="1" customWidth="1"/>
    <col min="11943" max="11943" width="11" bestFit="1" customWidth="1"/>
    <col min="11944" max="11944" width="11.28515625" bestFit="1" customWidth="1"/>
    <col min="11945" max="11945" width="11.5703125" bestFit="1" customWidth="1"/>
    <col min="11946" max="11946" width="12.28515625" bestFit="1" customWidth="1"/>
    <col min="11947" max="11947" width="15.140625" bestFit="1" customWidth="1"/>
    <col min="11948" max="11948" width="14.42578125" bestFit="1" customWidth="1"/>
    <col min="11949" max="11949" width="12.28515625" bestFit="1" customWidth="1"/>
    <col min="11950" max="11950" width="15.140625" bestFit="1" customWidth="1"/>
    <col min="11951" max="11951" width="14.42578125" bestFit="1" customWidth="1"/>
    <col min="11952" max="11952" width="12.28515625" bestFit="1" customWidth="1"/>
    <col min="11953" max="11953" width="14.42578125" bestFit="1" customWidth="1"/>
    <col min="11954" max="11954" width="11.28515625" bestFit="1" customWidth="1"/>
    <col min="11955" max="11955" width="12.28515625" bestFit="1" customWidth="1"/>
    <col min="11956" max="11956" width="13" bestFit="1" customWidth="1"/>
    <col min="11957" max="11957" width="15.140625" bestFit="1" customWidth="1"/>
    <col min="11958" max="11958" width="12.28515625" bestFit="1" customWidth="1"/>
    <col min="11959" max="11959" width="13.85546875" bestFit="1" customWidth="1"/>
    <col min="11960" max="11960" width="11.28515625" bestFit="1" customWidth="1"/>
    <col min="11961" max="11961" width="12.28515625" bestFit="1" customWidth="1"/>
    <col min="11962" max="11962" width="13.85546875" bestFit="1" customWidth="1"/>
    <col min="11963" max="11964" width="15.140625" bestFit="1" customWidth="1"/>
    <col min="11965" max="11965" width="12.28515625" bestFit="1" customWidth="1"/>
    <col min="11966" max="11966" width="5.7109375" bestFit="1" customWidth="1"/>
    <col min="11967" max="11967" width="8.5703125" bestFit="1" customWidth="1"/>
    <col min="11968" max="11968" width="5.5703125" bestFit="1" customWidth="1"/>
    <col min="11969" max="11969" width="14.42578125" bestFit="1" customWidth="1"/>
    <col min="11970" max="11970" width="11.28515625" bestFit="1" customWidth="1"/>
    <col min="11971" max="11972" width="12.28515625" bestFit="1" customWidth="1"/>
    <col min="11973" max="11973" width="11.28515625" bestFit="1" customWidth="1"/>
    <col min="11974" max="11974" width="13.85546875" bestFit="1" customWidth="1"/>
    <col min="11975" max="11975" width="12" bestFit="1" customWidth="1"/>
    <col min="11976" max="11976" width="13.85546875" bestFit="1" customWidth="1"/>
    <col min="11977" max="11978" width="14.42578125" customWidth="1"/>
    <col min="11979" max="11979" width="10.140625" bestFit="1" customWidth="1"/>
    <col min="11980" max="11980" width="12.28515625" bestFit="1" customWidth="1"/>
    <col min="11981" max="11981" width="7.42578125" bestFit="1" customWidth="1"/>
    <col min="11982" max="11982" width="8.5703125" bestFit="1" customWidth="1"/>
    <col min="11983" max="11983" width="11.5703125" bestFit="1" customWidth="1"/>
    <col min="11984" max="11984" width="13.28515625" bestFit="1" customWidth="1"/>
    <col min="11985" max="11985" width="13.28515625" customWidth="1"/>
    <col min="11986" max="11986" width="13.140625" customWidth="1"/>
    <col min="11987" max="11987" width="12.7109375" bestFit="1" customWidth="1"/>
    <col min="11988" max="11988" width="13.28515625" bestFit="1" customWidth="1"/>
    <col min="11989" max="11991" width="13.28515625" customWidth="1"/>
    <col min="11992" max="11992" width="12.140625" bestFit="1" customWidth="1"/>
    <col min="11993" max="11993" width="12.7109375" bestFit="1" customWidth="1"/>
    <col min="11994" max="11994" width="11" customWidth="1"/>
    <col min="11995" max="11995" width="16.7109375" customWidth="1"/>
    <col min="11996" max="11996" width="17" customWidth="1"/>
    <col min="11997" max="11997" width="10.42578125" bestFit="1" customWidth="1"/>
    <col min="12041" max="12041" width="3.85546875" customWidth="1"/>
    <col min="12042" max="12042" width="15.28515625" bestFit="1" customWidth="1"/>
    <col min="12043" max="12043" width="12.28515625" customWidth="1"/>
    <col min="12044" max="12044" width="16.28515625" bestFit="1" customWidth="1"/>
    <col min="12045" max="12045" width="6.42578125" bestFit="1" customWidth="1"/>
    <col min="12046" max="12046" width="9.28515625" bestFit="1" customWidth="1"/>
    <col min="12047" max="12047" width="7.5703125" bestFit="1" customWidth="1"/>
    <col min="12048" max="12048" width="13.28515625" bestFit="1" customWidth="1"/>
    <col min="12049" max="12049" width="9.28515625" bestFit="1" customWidth="1"/>
    <col min="12050" max="12050" width="11.5703125" bestFit="1" customWidth="1"/>
    <col min="12051" max="12051" width="13.28515625" bestFit="1" customWidth="1"/>
    <col min="12052" max="12052" width="7.140625" bestFit="1" customWidth="1"/>
    <col min="12053" max="12053" width="12" bestFit="1" customWidth="1"/>
    <col min="12054" max="12054" width="13.28515625" bestFit="1" customWidth="1"/>
    <col min="12055" max="12055" width="7" bestFit="1" customWidth="1"/>
    <col min="12056" max="12056" width="12.7109375" bestFit="1" customWidth="1"/>
    <col min="12057" max="12057" width="11.5703125" bestFit="1" customWidth="1"/>
    <col min="12058" max="12058" width="10.5703125" bestFit="1" customWidth="1"/>
    <col min="12059" max="12060" width="15.7109375" bestFit="1" customWidth="1"/>
    <col min="12061" max="12061" width="11.5703125" bestFit="1" customWidth="1"/>
    <col min="12062" max="12062" width="7.7109375" bestFit="1" customWidth="1"/>
    <col min="12063" max="12063" width="15.140625" bestFit="1" customWidth="1"/>
    <col min="12064" max="12064" width="11.5703125" bestFit="1" customWidth="1"/>
    <col min="12065" max="12065" width="13.28515625" bestFit="1" customWidth="1"/>
    <col min="12066" max="12066" width="10.42578125" bestFit="1" customWidth="1"/>
    <col min="12067" max="12067" width="13.28515625" bestFit="1" customWidth="1"/>
    <col min="12068" max="12068" width="12.140625" bestFit="1" customWidth="1"/>
    <col min="12069" max="12069" width="14.42578125" bestFit="1" customWidth="1"/>
    <col min="12070" max="12070" width="13.28515625" bestFit="1" customWidth="1"/>
    <col min="12071" max="12071" width="11.5703125" bestFit="1" customWidth="1"/>
    <col min="12072" max="12072" width="7.7109375" bestFit="1" customWidth="1"/>
    <col min="12073" max="12074" width="14.42578125" bestFit="1" customWidth="1"/>
    <col min="12075" max="12075" width="11.5703125" bestFit="1" customWidth="1"/>
    <col min="12076" max="12076" width="7.7109375" bestFit="1" customWidth="1"/>
    <col min="12077" max="12077" width="13.5703125" customWidth="1"/>
    <col min="12078" max="12078" width="15.28515625" customWidth="1"/>
    <col min="12079" max="12079" width="14.5703125" customWidth="1"/>
    <col min="12080" max="12080" width="13.28515625" bestFit="1" customWidth="1"/>
    <col min="12081" max="12081" width="7.7109375" bestFit="1" customWidth="1"/>
    <col min="12082" max="12082" width="12.7109375" bestFit="1" customWidth="1"/>
    <col min="12083" max="12083" width="11.7109375" bestFit="1" customWidth="1"/>
    <col min="12084" max="12084" width="11.5703125" bestFit="1" customWidth="1"/>
    <col min="12085" max="12085" width="5.28515625" bestFit="1" customWidth="1"/>
    <col min="12086" max="12086" width="13.28515625" bestFit="1" customWidth="1"/>
    <col min="12087" max="12087" width="13.5703125" bestFit="1" customWidth="1"/>
    <col min="12088" max="12088" width="10.5703125" bestFit="1" customWidth="1"/>
    <col min="12089" max="12089" width="13.28515625" bestFit="1" customWidth="1"/>
    <col min="12090" max="12090" width="11.5703125" bestFit="1" customWidth="1"/>
    <col min="12091" max="12091" width="10.5703125" bestFit="1" customWidth="1"/>
    <col min="12092" max="12092" width="16.140625" bestFit="1" customWidth="1"/>
    <col min="12093" max="12094" width="11.28515625" bestFit="1" customWidth="1"/>
    <col min="12095" max="12095" width="13.28515625" bestFit="1" customWidth="1"/>
    <col min="12096" max="12096" width="7.7109375" bestFit="1" customWidth="1"/>
    <col min="12097" max="12100" width="9.140625" hidden="1" customWidth="1"/>
    <col min="12101" max="12101" width="10.42578125" bestFit="1" customWidth="1"/>
    <col min="12102" max="12102" width="10.5703125" bestFit="1" customWidth="1"/>
    <col min="12103" max="12103" width="10.42578125" bestFit="1" customWidth="1"/>
    <col min="12104" max="12104" width="10.5703125" bestFit="1" customWidth="1"/>
    <col min="12105" max="12105" width="9.5703125" bestFit="1" customWidth="1"/>
    <col min="12106" max="12106" width="11.5703125" bestFit="1" customWidth="1"/>
    <col min="12107" max="12107" width="10.42578125" bestFit="1" customWidth="1"/>
    <col min="12108" max="12108" width="10.85546875" customWidth="1"/>
    <col min="12109" max="12110" width="9.85546875" bestFit="1" customWidth="1"/>
    <col min="12111" max="12111" width="13.5703125" bestFit="1" customWidth="1"/>
    <col min="12112" max="12112" width="7.7109375" bestFit="1" customWidth="1"/>
    <col min="12113" max="12113" width="13.28515625" bestFit="1" customWidth="1"/>
    <col min="12114" max="12114" width="11.5703125" bestFit="1" customWidth="1"/>
    <col min="12115" max="12115" width="10.42578125" bestFit="1" customWidth="1"/>
    <col min="12116" max="12116" width="7.7109375" bestFit="1" customWidth="1"/>
    <col min="12117" max="12117" width="11.5703125" bestFit="1" customWidth="1"/>
    <col min="12118" max="12118" width="10.85546875" bestFit="1" customWidth="1"/>
    <col min="12119" max="12119" width="13.28515625" bestFit="1" customWidth="1"/>
    <col min="12120" max="12120" width="10.85546875" bestFit="1" customWidth="1"/>
    <col min="12121" max="12122" width="7.5703125" bestFit="1" customWidth="1"/>
    <col min="12123" max="12124" width="10.42578125" bestFit="1" customWidth="1"/>
    <col min="12125" max="12125" width="11.5703125" bestFit="1" customWidth="1"/>
    <col min="12126" max="12126" width="5.28515625" bestFit="1" customWidth="1"/>
    <col min="12127" max="12127" width="10.28515625" bestFit="1" customWidth="1"/>
    <col min="12128" max="12128" width="10.42578125" bestFit="1" customWidth="1"/>
    <col min="12129" max="12129" width="11.5703125" bestFit="1" customWidth="1"/>
    <col min="12130" max="12130" width="5.28515625" bestFit="1" customWidth="1"/>
    <col min="12131" max="12133" width="11.5703125" bestFit="1" customWidth="1"/>
    <col min="12134" max="12134" width="5.28515625" bestFit="1" customWidth="1"/>
    <col min="12135" max="12136" width="10.42578125" bestFit="1" customWidth="1"/>
    <col min="12137" max="12137" width="11.5703125" bestFit="1" customWidth="1"/>
    <col min="12138" max="12138" width="5.28515625" bestFit="1" customWidth="1"/>
    <col min="12139" max="12139" width="14.28515625" bestFit="1" customWidth="1"/>
    <col min="12140" max="12140" width="13" bestFit="1" customWidth="1"/>
    <col min="12141" max="12141" width="11.5703125" bestFit="1" customWidth="1"/>
    <col min="12142" max="12142" width="8.85546875" bestFit="1" customWidth="1"/>
    <col min="12143" max="12143" width="14.42578125" bestFit="1" customWidth="1"/>
    <col min="12144" max="12144" width="10.42578125" bestFit="1" customWidth="1"/>
    <col min="12145" max="12145" width="12.28515625" bestFit="1" customWidth="1"/>
    <col min="12146" max="12146" width="13.85546875" bestFit="1" customWidth="1"/>
    <col min="12147" max="12147" width="11.28515625" customWidth="1"/>
    <col min="12148" max="12148" width="11.5703125" customWidth="1"/>
    <col min="12149" max="12149" width="13.42578125" bestFit="1" customWidth="1"/>
    <col min="12150" max="12150" width="10.42578125" customWidth="1"/>
    <col min="12151" max="12151" width="13.85546875" bestFit="1" customWidth="1"/>
    <col min="12152" max="12152" width="15.42578125" bestFit="1" customWidth="1"/>
    <col min="12153" max="12153" width="12.28515625" bestFit="1" customWidth="1"/>
    <col min="12154" max="12154" width="12.7109375" customWidth="1"/>
    <col min="12155" max="12155" width="10.7109375" bestFit="1" customWidth="1"/>
    <col min="12156" max="12156" width="9.85546875" customWidth="1"/>
    <col min="12157" max="12158" width="10.140625" bestFit="1" customWidth="1"/>
    <col min="12159" max="12159" width="7.5703125" bestFit="1" customWidth="1"/>
    <col min="12160" max="12160" width="9.42578125" bestFit="1" customWidth="1"/>
    <col min="12161" max="12161" width="14.5703125" bestFit="1" customWidth="1"/>
    <col min="12162" max="12162" width="14.85546875" customWidth="1"/>
    <col min="12163" max="12163" width="15.140625" bestFit="1" customWidth="1"/>
    <col min="12164" max="12164" width="12.140625" bestFit="1" customWidth="1"/>
    <col min="12165" max="12165" width="14.85546875" bestFit="1" customWidth="1"/>
    <col min="12166" max="12166" width="12.28515625" bestFit="1" customWidth="1"/>
    <col min="12167" max="12175" width="9.140625" hidden="1" customWidth="1"/>
    <col min="12176" max="12176" width="5.28515625" bestFit="1" customWidth="1"/>
    <col min="12177" max="12182" width="11.5703125" bestFit="1" customWidth="1"/>
    <col min="12183" max="12183" width="11.28515625" bestFit="1" customWidth="1"/>
    <col min="12184" max="12184" width="10.140625" bestFit="1" customWidth="1"/>
    <col min="12185" max="12185" width="11.5703125" bestFit="1" customWidth="1"/>
    <col min="12186" max="12186" width="16.140625" customWidth="1"/>
    <col min="12187" max="12187" width="13.42578125" customWidth="1"/>
    <col min="12188" max="12188" width="10.140625" bestFit="1" customWidth="1"/>
    <col min="12189" max="12189" width="12.85546875" bestFit="1" customWidth="1"/>
    <col min="12190" max="12190" width="12.28515625" bestFit="1" customWidth="1"/>
    <col min="12191" max="12191" width="11.28515625" bestFit="1" customWidth="1"/>
    <col min="12192" max="12192" width="11.5703125" bestFit="1" customWidth="1"/>
    <col min="12193" max="12193" width="10.85546875" bestFit="1" customWidth="1"/>
    <col min="12194" max="12194" width="11.28515625" bestFit="1" customWidth="1"/>
    <col min="12195" max="12195" width="10.140625" bestFit="1" customWidth="1"/>
    <col min="12196" max="12196" width="13.28515625" bestFit="1" customWidth="1"/>
    <col min="12197" max="12198" width="12.7109375" bestFit="1" customWidth="1"/>
    <col min="12199" max="12199" width="11" bestFit="1" customWidth="1"/>
    <col min="12200" max="12200" width="11.28515625" bestFit="1" customWidth="1"/>
    <col min="12201" max="12201" width="11.5703125" bestFit="1" customWidth="1"/>
    <col min="12202" max="12202" width="12.28515625" bestFit="1" customWidth="1"/>
    <col min="12203" max="12203" width="15.140625" bestFit="1" customWidth="1"/>
    <col min="12204" max="12204" width="14.42578125" bestFit="1" customWidth="1"/>
    <col min="12205" max="12205" width="12.28515625" bestFit="1" customWidth="1"/>
    <col min="12206" max="12206" width="15.140625" bestFit="1" customWidth="1"/>
    <col min="12207" max="12207" width="14.42578125" bestFit="1" customWidth="1"/>
    <col min="12208" max="12208" width="12.28515625" bestFit="1" customWidth="1"/>
    <col min="12209" max="12209" width="14.42578125" bestFit="1" customWidth="1"/>
    <col min="12210" max="12210" width="11.28515625" bestFit="1" customWidth="1"/>
    <col min="12211" max="12211" width="12.28515625" bestFit="1" customWidth="1"/>
    <col min="12212" max="12212" width="13" bestFit="1" customWidth="1"/>
    <col min="12213" max="12213" width="15.140625" bestFit="1" customWidth="1"/>
    <col min="12214" max="12214" width="12.28515625" bestFit="1" customWidth="1"/>
    <col min="12215" max="12215" width="13.85546875" bestFit="1" customWidth="1"/>
    <col min="12216" max="12216" width="11.28515625" bestFit="1" customWidth="1"/>
    <col min="12217" max="12217" width="12.28515625" bestFit="1" customWidth="1"/>
    <col min="12218" max="12218" width="13.85546875" bestFit="1" customWidth="1"/>
    <col min="12219" max="12220" width="15.140625" bestFit="1" customWidth="1"/>
    <col min="12221" max="12221" width="12.28515625" bestFit="1" customWidth="1"/>
    <col min="12222" max="12222" width="5.7109375" bestFit="1" customWidth="1"/>
    <col min="12223" max="12223" width="8.5703125" bestFit="1" customWidth="1"/>
    <col min="12224" max="12224" width="5.5703125" bestFit="1" customWidth="1"/>
    <col min="12225" max="12225" width="14.42578125" bestFit="1" customWidth="1"/>
    <col min="12226" max="12226" width="11.28515625" bestFit="1" customWidth="1"/>
    <col min="12227" max="12228" width="12.28515625" bestFit="1" customWidth="1"/>
    <col min="12229" max="12229" width="11.28515625" bestFit="1" customWidth="1"/>
    <col min="12230" max="12230" width="13.85546875" bestFit="1" customWidth="1"/>
    <col min="12231" max="12231" width="12" bestFit="1" customWidth="1"/>
    <col min="12232" max="12232" width="13.85546875" bestFit="1" customWidth="1"/>
    <col min="12233" max="12234" width="14.42578125" customWidth="1"/>
    <col min="12235" max="12235" width="10.140625" bestFit="1" customWidth="1"/>
    <col min="12236" max="12236" width="12.28515625" bestFit="1" customWidth="1"/>
    <col min="12237" max="12237" width="7.42578125" bestFit="1" customWidth="1"/>
    <col min="12238" max="12238" width="8.5703125" bestFit="1" customWidth="1"/>
    <col min="12239" max="12239" width="11.5703125" bestFit="1" customWidth="1"/>
    <col min="12240" max="12240" width="13.28515625" bestFit="1" customWidth="1"/>
    <col min="12241" max="12241" width="13.28515625" customWidth="1"/>
    <col min="12242" max="12242" width="13.140625" customWidth="1"/>
    <col min="12243" max="12243" width="12.7109375" bestFit="1" customWidth="1"/>
    <col min="12244" max="12244" width="13.28515625" bestFit="1" customWidth="1"/>
    <col min="12245" max="12247" width="13.28515625" customWidth="1"/>
    <col min="12248" max="12248" width="12.140625" bestFit="1" customWidth="1"/>
    <col min="12249" max="12249" width="12.7109375" bestFit="1" customWidth="1"/>
    <col min="12250" max="12250" width="11" customWidth="1"/>
    <col min="12251" max="12251" width="16.7109375" customWidth="1"/>
    <col min="12252" max="12252" width="17" customWidth="1"/>
    <col min="12253" max="12253" width="10.42578125" bestFit="1" customWidth="1"/>
    <col min="12297" max="12297" width="3.85546875" customWidth="1"/>
    <col min="12298" max="12298" width="15.28515625" bestFit="1" customWidth="1"/>
    <col min="12299" max="12299" width="12.28515625" customWidth="1"/>
    <col min="12300" max="12300" width="16.28515625" bestFit="1" customWidth="1"/>
    <col min="12301" max="12301" width="6.42578125" bestFit="1" customWidth="1"/>
    <col min="12302" max="12302" width="9.28515625" bestFit="1" customWidth="1"/>
    <col min="12303" max="12303" width="7.5703125" bestFit="1" customWidth="1"/>
    <col min="12304" max="12304" width="13.28515625" bestFit="1" customWidth="1"/>
    <col min="12305" max="12305" width="9.28515625" bestFit="1" customWidth="1"/>
    <col min="12306" max="12306" width="11.5703125" bestFit="1" customWidth="1"/>
    <col min="12307" max="12307" width="13.28515625" bestFit="1" customWidth="1"/>
    <col min="12308" max="12308" width="7.140625" bestFit="1" customWidth="1"/>
    <col min="12309" max="12309" width="12" bestFit="1" customWidth="1"/>
    <col min="12310" max="12310" width="13.28515625" bestFit="1" customWidth="1"/>
    <col min="12311" max="12311" width="7" bestFit="1" customWidth="1"/>
    <col min="12312" max="12312" width="12.7109375" bestFit="1" customWidth="1"/>
    <col min="12313" max="12313" width="11.5703125" bestFit="1" customWidth="1"/>
    <col min="12314" max="12314" width="10.5703125" bestFit="1" customWidth="1"/>
    <col min="12315" max="12316" width="15.7109375" bestFit="1" customWidth="1"/>
    <col min="12317" max="12317" width="11.5703125" bestFit="1" customWidth="1"/>
    <col min="12318" max="12318" width="7.7109375" bestFit="1" customWidth="1"/>
    <col min="12319" max="12319" width="15.140625" bestFit="1" customWidth="1"/>
    <col min="12320" max="12320" width="11.5703125" bestFit="1" customWidth="1"/>
    <col min="12321" max="12321" width="13.28515625" bestFit="1" customWidth="1"/>
    <col min="12322" max="12322" width="10.42578125" bestFit="1" customWidth="1"/>
    <col min="12323" max="12323" width="13.28515625" bestFit="1" customWidth="1"/>
    <col min="12324" max="12324" width="12.140625" bestFit="1" customWidth="1"/>
    <col min="12325" max="12325" width="14.42578125" bestFit="1" customWidth="1"/>
    <col min="12326" max="12326" width="13.28515625" bestFit="1" customWidth="1"/>
    <col min="12327" max="12327" width="11.5703125" bestFit="1" customWidth="1"/>
    <col min="12328" max="12328" width="7.7109375" bestFit="1" customWidth="1"/>
    <col min="12329" max="12330" width="14.42578125" bestFit="1" customWidth="1"/>
    <col min="12331" max="12331" width="11.5703125" bestFit="1" customWidth="1"/>
    <col min="12332" max="12332" width="7.7109375" bestFit="1" customWidth="1"/>
    <col min="12333" max="12333" width="13.5703125" customWidth="1"/>
    <col min="12334" max="12334" width="15.28515625" customWidth="1"/>
    <col min="12335" max="12335" width="14.5703125" customWidth="1"/>
    <col min="12336" max="12336" width="13.28515625" bestFit="1" customWidth="1"/>
    <col min="12337" max="12337" width="7.7109375" bestFit="1" customWidth="1"/>
    <col min="12338" max="12338" width="12.7109375" bestFit="1" customWidth="1"/>
    <col min="12339" max="12339" width="11.7109375" bestFit="1" customWidth="1"/>
    <col min="12340" max="12340" width="11.5703125" bestFit="1" customWidth="1"/>
    <col min="12341" max="12341" width="5.28515625" bestFit="1" customWidth="1"/>
    <col min="12342" max="12342" width="13.28515625" bestFit="1" customWidth="1"/>
    <col min="12343" max="12343" width="13.5703125" bestFit="1" customWidth="1"/>
    <col min="12344" max="12344" width="10.5703125" bestFit="1" customWidth="1"/>
    <col min="12345" max="12345" width="13.28515625" bestFit="1" customWidth="1"/>
    <col min="12346" max="12346" width="11.5703125" bestFit="1" customWidth="1"/>
    <col min="12347" max="12347" width="10.5703125" bestFit="1" customWidth="1"/>
    <col min="12348" max="12348" width="16.140625" bestFit="1" customWidth="1"/>
    <col min="12349" max="12350" width="11.28515625" bestFit="1" customWidth="1"/>
    <col min="12351" max="12351" width="13.28515625" bestFit="1" customWidth="1"/>
    <col min="12352" max="12352" width="7.7109375" bestFit="1" customWidth="1"/>
    <col min="12353" max="12356" width="9.140625" hidden="1" customWidth="1"/>
    <col min="12357" max="12357" width="10.42578125" bestFit="1" customWidth="1"/>
    <col min="12358" max="12358" width="10.5703125" bestFit="1" customWidth="1"/>
    <col min="12359" max="12359" width="10.42578125" bestFit="1" customWidth="1"/>
    <col min="12360" max="12360" width="10.5703125" bestFit="1" customWidth="1"/>
    <col min="12361" max="12361" width="9.5703125" bestFit="1" customWidth="1"/>
    <col min="12362" max="12362" width="11.5703125" bestFit="1" customWidth="1"/>
    <col min="12363" max="12363" width="10.42578125" bestFit="1" customWidth="1"/>
    <col min="12364" max="12364" width="10.85546875" customWidth="1"/>
    <col min="12365" max="12366" width="9.85546875" bestFit="1" customWidth="1"/>
    <col min="12367" max="12367" width="13.5703125" bestFit="1" customWidth="1"/>
    <col min="12368" max="12368" width="7.7109375" bestFit="1" customWidth="1"/>
    <col min="12369" max="12369" width="13.28515625" bestFit="1" customWidth="1"/>
    <col min="12370" max="12370" width="11.5703125" bestFit="1" customWidth="1"/>
    <col min="12371" max="12371" width="10.42578125" bestFit="1" customWidth="1"/>
    <col min="12372" max="12372" width="7.7109375" bestFit="1" customWidth="1"/>
    <col min="12373" max="12373" width="11.5703125" bestFit="1" customWidth="1"/>
    <col min="12374" max="12374" width="10.85546875" bestFit="1" customWidth="1"/>
    <col min="12375" max="12375" width="13.28515625" bestFit="1" customWidth="1"/>
    <col min="12376" max="12376" width="10.85546875" bestFit="1" customWidth="1"/>
    <col min="12377" max="12378" width="7.5703125" bestFit="1" customWidth="1"/>
    <col min="12379" max="12380" width="10.42578125" bestFit="1" customWidth="1"/>
    <col min="12381" max="12381" width="11.5703125" bestFit="1" customWidth="1"/>
    <col min="12382" max="12382" width="5.28515625" bestFit="1" customWidth="1"/>
    <col min="12383" max="12383" width="10.28515625" bestFit="1" customWidth="1"/>
    <col min="12384" max="12384" width="10.42578125" bestFit="1" customWidth="1"/>
    <col min="12385" max="12385" width="11.5703125" bestFit="1" customWidth="1"/>
    <col min="12386" max="12386" width="5.28515625" bestFit="1" customWidth="1"/>
    <col min="12387" max="12389" width="11.5703125" bestFit="1" customWidth="1"/>
    <col min="12390" max="12390" width="5.28515625" bestFit="1" customWidth="1"/>
    <col min="12391" max="12392" width="10.42578125" bestFit="1" customWidth="1"/>
    <col min="12393" max="12393" width="11.5703125" bestFit="1" customWidth="1"/>
    <col min="12394" max="12394" width="5.28515625" bestFit="1" customWidth="1"/>
    <col min="12395" max="12395" width="14.28515625" bestFit="1" customWidth="1"/>
    <col min="12396" max="12396" width="13" bestFit="1" customWidth="1"/>
    <col min="12397" max="12397" width="11.5703125" bestFit="1" customWidth="1"/>
    <col min="12398" max="12398" width="8.85546875" bestFit="1" customWidth="1"/>
    <col min="12399" max="12399" width="14.42578125" bestFit="1" customWidth="1"/>
    <col min="12400" max="12400" width="10.42578125" bestFit="1" customWidth="1"/>
    <col min="12401" max="12401" width="12.28515625" bestFit="1" customWidth="1"/>
    <col min="12402" max="12402" width="13.85546875" bestFit="1" customWidth="1"/>
    <col min="12403" max="12403" width="11.28515625" customWidth="1"/>
    <col min="12404" max="12404" width="11.5703125" customWidth="1"/>
    <col min="12405" max="12405" width="13.42578125" bestFit="1" customWidth="1"/>
    <col min="12406" max="12406" width="10.42578125" customWidth="1"/>
    <col min="12407" max="12407" width="13.85546875" bestFit="1" customWidth="1"/>
    <col min="12408" max="12408" width="15.42578125" bestFit="1" customWidth="1"/>
    <col min="12409" max="12409" width="12.28515625" bestFit="1" customWidth="1"/>
    <col min="12410" max="12410" width="12.7109375" customWidth="1"/>
    <col min="12411" max="12411" width="10.7109375" bestFit="1" customWidth="1"/>
    <col min="12412" max="12412" width="9.85546875" customWidth="1"/>
    <col min="12413" max="12414" width="10.140625" bestFit="1" customWidth="1"/>
    <col min="12415" max="12415" width="7.5703125" bestFit="1" customWidth="1"/>
    <col min="12416" max="12416" width="9.42578125" bestFit="1" customWidth="1"/>
    <col min="12417" max="12417" width="14.5703125" bestFit="1" customWidth="1"/>
    <col min="12418" max="12418" width="14.85546875" customWidth="1"/>
    <col min="12419" max="12419" width="15.140625" bestFit="1" customWidth="1"/>
    <col min="12420" max="12420" width="12.140625" bestFit="1" customWidth="1"/>
    <col min="12421" max="12421" width="14.85546875" bestFit="1" customWidth="1"/>
    <col min="12422" max="12422" width="12.28515625" bestFit="1" customWidth="1"/>
    <col min="12423" max="12431" width="9.140625" hidden="1" customWidth="1"/>
    <col min="12432" max="12432" width="5.28515625" bestFit="1" customWidth="1"/>
    <col min="12433" max="12438" width="11.5703125" bestFit="1" customWidth="1"/>
    <col min="12439" max="12439" width="11.28515625" bestFit="1" customWidth="1"/>
    <col min="12440" max="12440" width="10.140625" bestFit="1" customWidth="1"/>
    <col min="12441" max="12441" width="11.5703125" bestFit="1" customWidth="1"/>
    <col min="12442" max="12442" width="16.140625" customWidth="1"/>
    <col min="12443" max="12443" width="13.42578125" customWidth="1"/>
    <col min="12444" max="12444" width="10.140625" bestFit="1" customWidth="1"/>
    <col min="12445" max="12445" width="12.85546875" bestFit="1" customWidth="1"/>
    <col min="12446" max="12446" width="12.28515625" bestFit="1" customWidth="1"/>
    <col min="12447" max="12447" width="11.28515625" bestFit="1" customWidth="1"/>
    <col min="12448" max="12448" width="11.5703125" bestFit="1" customWidth="1"/>
    <col min="12449" max="12449" width="10.85546875" bestFit="1" customWidth="1"/>
    <col min="12450" max="12450" width="11.28515625" bestFit="1" customWidth="1"/>
    <col min="12451" max="12451" width="10.140625" bestFit="1" customWidth="1"/>
    <col min="12452" max="12452" width="13.28515625" bestFit="1" customWidth="1"/>
    <col min="12453" max="12454" width="12.7109375" bestFit="1" customWidth="1"/>
    <col min="12455" max="12455" width="11" bestFit="1" customWidth="1"/>
    <col min="12456" max="12456" width="11.28515625" bestFit="1" customWidth="1"/>
    <col min="12457" max="12457" width="11.5703125" bestFit="1" customWidth="1"/>
    <col min="12458" max="12458" width="12.28515625" bestFit="1" customWidth="1"/>
    <col min="12459" max="12459" width="15.140625" bestFit="1" customWidth="1"/>
    <col min="12460" max="12460" width="14.42578125" bestFit="1" customWidth="1"/>
    <col min="12461" max="12461" width="12.28515625" bestFit="1" customWidth="1"/>
    <col min="12462" max="12462" width="15.140625" bestFit="1" customWidth="1"/>
    <col min="12463" max="12463" width="14.42578125" bestFit="1" customWidth="1"/>
    <col min="12464" max="12464" width="12.28515625" bestFit="1" customWidth="1"/>
    <col min="12465" max="12465" width="14.42578125" bestFit="1" customWidth="1"/>
    <col min="12466" max="12466" width="11.28515625" bestFit="1" customWidth="1"/>
    <col min="12467" max="12467" width="12.28515625" bestFit="1" customWidth="1"/>
    <col min="12468" max="12468" width="13" bestFit="1" customWidth="1"/>
    <col min="12469" max="12469" width="15.140625" bestFit="1" customWidth="1"/>
    <col min="12470" max="12470" width="12.28515625" bestFit="1" customWidth="1"/>
    <col min="12471" max="12471" width="13.85546875" bestFit="1" customWidth="1"/>
    <col min="12472" max="12472" width="11.28515625" bestFit="1" customWidth="1"/>
    <col min="12473" max="12473" width="12.28515625" bestFit="1" customWidth="1"/>
    <col min="12474" max="12474" width="13.85546875" bestFit="1" customWidth="1"/>
    <col min="12475" max="12476" width="15.140625" bestFit="1" customWidth="1"/>
    <col min="12477" max="12477" width="12.28515625" bestFit="1" customWidth="1"/>
    <col min="12478" max="12478" width="5.7109375" bestFit="1" customWidth="1"/>
    <col min="12479" max="12479" width="8.5703125" bestFit="1" customWidth="1"/>
    <col min="12480" max="12480" width="5.5703125" bestFit="1" customWidth="1"/>
    <col min="12481" max="12481" width="14.42578125" bestFit="1" customWidth="1"/>
    <col min="12482" max="12482" width="11.28515625" bestFit="1" customWidth="1"/>
    <col min="12483" max="12484" width="12.28515625" bestFit="1" customWidth="1"/>
    <col min="12485" max="12485" width="11.28515625" bestFit="1" customWidth="1"/>
    <col min="12486" max="12486" width="13.85546875" bestFit="1" customWidth="1"/>
    <col min="12487" max="12487" width="12" bestFit="1" customWidth="1"/>
    <col min="12488" max="12488" width="13.85546875" bestFit="1" customWidth="1"/>
    <col min="12489" max="12490" width="14.42578125" customWidth="1"/>
    <col min="12491" max="12491" width="10.140625" bestFit="1" customWidth="1"/>
    <col min="12492" max="12492" width="12.28515625" bestFit="1" customWidth="1"/>
    <col min="12493" max="12493" width="7.42578125" bestFit="1" customWidth="1"/>
    <col min="12494" max="12494" width="8.5703125" bestFit="1" customWidth="1"/>
    <col min="12495" max="12495" width="11.5703125" bestFit="1" customWidth="1"/>
    <col min="12496" max="12496" width="13.28515625" bestFit="1" customWidth="1"/>
    <col min="12497" max="12497" width="13.28515625" customWidth="1"/>
    <col min="12498" max="12498" width="13.140625" customWidth="1"/>
    <col min="12499" max="12499" width="12.7109375" bestFit="1" customWidth="1"/>
    <col min="12500" max="12500" width="13.28515625" bestFit="1" customWidth="1"/>
    <col min="12501" max="12503" width="13.28515625" customWidth="1"/>
    <col min="12504" max="12504" width="12.140625" bestFit="1" customWidth="1"/>
    <col min="12505" max="12505" width="12.7109375" bestFit="1" customWidth="1"/>
    <col min="12506" max="12506" width="11" customWidth="1"/>
    <col min="12507" max="12507" width="16.7109375" customWidth="1"/>
    <col min="12508" max="12508" width="17" customWidth="1"/>
    <col min="12509" max="12509" width="10.42578125" bestFit="1" customWidth="1"/>
    <col min="12553" max="12553" width="3.85546875" customWidth="1"/>
    <col min="12554" max="12554" width="15.28515625" bestFit="1" customWidth="1"/>
    <col min="12555" max="12555" width="12.28515625" customWidth="1"/>
    <col min="12556" max="12556" width="16.28515625" bestFit="1" customWidth="1"/>
    <col min="12557" max="12557" width="6.42578125" bestFit="1" customWidth="1"/>
    <col min="12558" max="12558" width="9.28515625" bestFit="1" customWidth="1"/>
    <col min="12559" max="12559" width="7.5703125" bestFit="1" customWidth="1"/>
    <col min="12560" max="12560" width="13.28515625" bestFit="1" customWidth="1"/>
    <col min="12561" max="12561" width="9.28515625" bestFit="1" customWidth="1"/>
    <col min="12562" max="12562" width="11.5703125" bestFit="1" customWidth="1"/>
    <col min="12563" max="12563" width="13.28515625" bestFit="1" customWidth="1"/>
    <col min="12564" max="12564" width="7.140625" bestFit="1" customWidth="1"/>
    <col min="12565" max="12565" width="12" bestFit="1" customWidth="1"/>
    <col min="12566" max="12566" width="13.28515625" bestFit="1" customWidth="1"/>
    <col min="12567" max="12567" width="7" bestFit="1" customWidth="1"/>
    <col min="12568" max="12568" width="12.7109375" bestFit="1" customWidth="1"/>
    <col min="12569" max="12569" width="11.5703125" bestFit="1" customWidth="1"/>
    <col min="12570" max="12570" width="10.5703125" bestFit="1" customWidth="1"/>
    <col min="12571" max="12572" width="15.7109375" bestFit="1" customWidth="1"/>
    <col min="12573" max="12573" width="11.5703125" bestFit="1" customWidth="1"/>
    <col min="12574" max="12574" width="7.7109375" bestFit="1" customWidth="1"/>
    <col min="12575" max="12575" width="15.140625" bestFit="1" customWidth="1"/>
    <col min="12576" max="12576" width="11.5703125" bestFit="1" customWidth="1"/>
    <col min="12577" max="12577" width="13.28515625" bestFit="1" customWidth="1"/>
    <col min="12578" max="12578" width="10.42578125" bestFit="1" customWidth="1"/>
    <col min="12579" max="12579" width="13.28515625" bestFit="1" customWidth="1"/>
    <col min="12580" max="12580" width="12.140625" bestFit="1" customWidth="1"/>
    <col min="12581" max="12581" width="14.42578125" bestFit="1" customWidth="1"/>
    <col min="12582" max="12582" width="13.28515625" bestFit="1" customWidth="1"/>
    <col min="12583" max="12583" width="11.5703125" bestFit="1" customWidth="1"/>
    <col min="12584" max="12584" width="7.7109375" bestFit="1" customWidth="1"/>
    <col min="12585" max="12586" width="14.42578125" bestFit="1" customWidth="1"/>
    <col min="12587" max="12587" width="11.5703125" bestFit="1" customWidth="1"/>
    <col min="12588" max="12588" width="7.7109375" bestFit="1" customWidth="1"/>
    <col min="12589" max="12589" width="13.5703125" customWidth="1"/>
    <col min="12590" max="12590" width="15.28515625" customWidth="1"/>
    <col min="12591" max="12591" width="14.5703125" customWidth="1"/>
    <col min="12592" max="12592" width="13.28515625" bestFit="1" customWidth="1"/>
    <col min="12593" max="12593" width="7.7109375" bestFit="1" customWidth="1"/>
    <col min="12594" max="12594" width="12.7109375" bestFit="1" customWidth="1"/>
    <col min="12595" max="12595" width="11.7109375" bestFit="1" customWidth="1"/>
    <col min="12596" max="12596" width="11.5703125" bestFit="1" customWidth="1"/>
    <col min="12597" max="12597" width="5.28515625" bestFit="1" customWidth="1"/>
    <col min="12598" max="12598" width="13.28515625" bestFit="1" customWidth="1"/>
    <col min="12599" max="12599" width="13.5703125" bestFit="1" customWidth="1"/>
    <col min="12600" max="12600" width="10.5703125" bestFit="1" customWidth="1"/>
    <col min="12601" max="12601" width="13.28515625" bestFit="1" customWidth="1"/>
    <col min="12602" max="12602" width="11.5703125" bestFit="1" customWidth="1"/>
    <col min="12603" max="12603" width="10.5703125" bestFit="1" customWidth="1"/>
    <col min="12604" max="12604" width="16.140625" bestFit="1" customWidth="1"/>
    <col min="12605" max="12606" width="11.28515625" bestFit="1" customWidth="1"/>
    <col min="12607" max="12607" width="13.28515625" bestFit="1" customWidth="1"/>
    <col min="12608" max="12608" width="7.7109375" bestFit="1" customWidth="1"/>
    <col min="12609" max="12612" width="9.140625" hidden="1" customWidth="1"/>
    <col min="12613" max="12613" width="10.42578125" bestFit="1" customWidth="1"/>
    <col min="12614" max="12614" width="10.5703125" bestFit="1" customWidth="1"/>
    <col min="12615" max="12615" width="10.42578125" bestFit="1" customWidth="1"/>
    <col min="12616" max="12616" width="10.5703125" bestFit="1" customWidth="1"/>
    <col min="12617" max="12617" width="9.5703125" bestFit="1" customWidth="1"/>
    <col min="12618" max="12618" width="11.5703125" bestFit="1" customWidth="1"/>
    <col min="12619" max="12619" width="10.42578125" bestFit="1" customWidth="1"/>
    <col min="12620" max="12620" width="10.85546875" customWidth="1"/>
    <col min="12621" max="12622" width="9.85546875" bestFit="1" customWidth="1"/>
    <col min="12623" max="12623" width="13.5703125" bestFit="1" customWidth="1"/>
    <col min="12624" max="12624" width="7.7109375" bestFit="1" customWidth="1"/>
    <col min="12625" max="12625" width="13.28515625" bestFit="1" customWidth="1"/>
    <col min="12626" max="12626" width="11.5703125" bestFit="1" customWidth="1"/>
    <col min="12627" max="12627" width="10.42578125" bestFit="1" customWidth="1"/>
    <col min="12628" max="12628" width="7.7109375" bestFit="1" customWidth="1"/>
    <col min="12629" max="12629" width="11.5703125" bestFit="1" customWidth="1"/>
    <col min="12630" max="12630" width="10.85546875" bestFit="1" customWidth="1"/>
    <col min="12631" max="12631" width="13.28515625" bestFit="1" customWidth="1"/>
    <col min="12632" max="12632" width="10.85546875" bestFit="1" customWidth="1"/>
    <col min="12633" max="12634" width="7.5703125" bestFit="1" customWidth="1"/>
    <col min="12635" max="12636" width="10.42578125" bestFit="1" customWidth="1"/>
    <col min="12637" max="12637" width="11.5703125" bestFit="1" customWidth="1"/>
    <col min="12638" max="12638" width="5.28515625" bestFit="1" customWidth="1"/>
    <col min="12639" max="12639" width="10.28515625" bestFit="1" customWidth="1"/>
    <col min="12640" max="12640" width="10.42578125" bestFit="1" customWidth="1"/>
    <col min="12641" max="12641" width="11.5703125" bestFit="1" customWidth="1"/>
    <col min="12642" max="12642" width="5.28515625" bestFit="1" customWidth="1"/>
    <col min="12643" max="12645" width="11.5703125" bestFit="1" customWidth="1"/>
    <col min="12646" max="12646" width="5.28515625" bestFit="1" customWidth="1"/>
    <col min="12647" max="12648" width="10.42578125" bestFit="1" customWidth="1"/>
    <col min="12649" max="12649" width="11.5703125" bestFit="1" customWidth="1"/>
    <col min="12650" max="12650" width="5.28515625" bestFit="1" customWidth="1"/>
    <col min="12651" max="12651" width="14.28515625" bestFit="1" customWidth="1"/>
    <col min="12652" max="12652" width="13" bestFit="1" customWidth="1"/>
    <col min="12653" max="12653" width="11.5703125" bestFit="1" customWidth="1"/>
    <col min="12654" max="12654" width="8.85546875" bestFit="1" customWidth="1"/>
    <col min="12655" max="12655" width="14.42578125" bestFit="1" customWidth="1"/>
    <col min="12656" max="12656" width="10.42578125" bestFit="1" customWidth="1"/>
    <col min="12657" max="12657" width="12.28515625" bestFit="1" customWidth="1"/>
    <col min="12658" max="12658" width="13.85546875" bestFit="1" customWidth="1"/>
    <col min="12659" max="12659" width="11.28515625" customWidth="1"/>
    <col min="12660" max="12660" width="11.5703125" customWidth="1"/>
    <col min="12661" max="12661" width="13.42578125" bestFit="1" customWidth="1"/>
    <col min="12662" max="12662" width="10.42578125" customWidth="1"/>
    <col min="12663" max="12663" width="13.85546875" bestFit="1" customWidth="1"/>
    <col min="12664" max="12664" width="15.42578125" bestFit="1" customWidth="1"/>
    <col min="12665" max="12665" width="12.28515625" bestFit="1" customWidth="1"/>
    <col min="12666" max="12666" width="12.7109375" customWidth="1"/>
    <col min="12667" max="12667" width="10.7109375" bestFit="1" customWidth="1"/>
    <col min="12668" max="12668" width="9.85546875" customWidth="1"/>
    <col min="12669" max="12670" width="10.140625" bestFit="1" customWidth="1"/>
    <col min="12671" max="12671" width="7.5703125" bestFit="1" customWidth="1"/>
    <col min="12672" max="12672" width="9.42578125" bestFit="1" customWidth="1"/>
    <col min="12673" max="12673" width="14.5703125" bestFit="1" customWidth="1"/>
    <col min="12674" max="12674" width="14.85546875" customWidth="1"/>
    <col min="12675" max="12675" width="15.140625" bestFit="1" customWidth="1"/>
    <col min="12676" max="12676" width="12.140625" bestFit="1" customWidth="1"/>
    <col min="12677" max="12677" width="14.85546875" bestFit="1" customWidth="1"/>
    <col min="12678" max="12678" width="12.28515625" bestFit="1" customWidth="1"/>
    <col min="12679" max="12687" width="9.140625" hidden="1" customWidth="1"/>
    <col min="12688" max="12688" width="5.28515625" bestFit="1" customWidth="1"/>
    <col min="12689" max="12694" width="11.5703125" bestFit="1" customWidth="1"/>
    <col min="12695" max="12695" width="11.28515625" bestFit="1" customWidth="1"/>
    <col min="12696" max="12696" width="10.140625" bestFit="1" customWidth="1"/>
    <col min="12697" max="12697" width="11.5703125" bestFit="1" customWidth="1"/>
    <col min="12698" max="12698" width="16.140625" customWidth="1"/>
    <col min="12699" max="12699" width="13.42578125" customWidth="1"/>
    <col min="12700" max="12700" width="10.140625" bestFit="1" customWidth="1"/>
    <col min="12701" max="12701" width="12.85546875" bestFit="1" customWidth="1"/>
    <col min="12702" max="12702" width="12.28515625" bestFit="1" customWidth="1"/>
    <col min="12703" max="12703" width="11.28515625" bestFit="1" customWidth="1"/>
    <col min="12704" max="12704" width="11.5703125" bestFit="1" customWidth="1"/>
    <col min="12705" max="12705" width="10.85546875" bestFit="1" customWidth="1"/>
    <col min="12706" max="12706" width="11.28515625" bestFit="1" customWidth="1"/>
    <col min="12707" max="12707" width="10.140625" bestFit="1" customWidth="1"/>
    <col min="12708" max="12708" width="13.28515625" bestFit="1" customWidth="1"/>
    <col min="12709" max="12710" width="12.7109375" bestFit="1" customWidth="1"/>
    <col min="12711" max="12711" width="11" bestFit="1" customWidth="1"/>
    <col min="12712" max="12712" width="11.28515625" bestFit="1" customWidth="1"/>
    <col min="12713" max="12713" width="11.5703125" bestFit="1" customWidth="1"/>
    <col min="12714" max="12714" width="12.28515625" bestFit="1" customWidth="1"/>
    <col min="12715" max="12715" width="15.140625" bestFit="1" customWidth="1"/>
    <col min="12716" max="12716" width="14.42578125" bestFit="1" customWidth="1"/>
    <col min="12717" max="12717" width="12.28515625" bestFit="1" customWidth="1"/>
    <col min="12718" max="12718" width="15.140625" bestFit="1" customWidth="1"/>
    <col min="12719" max="12719" width="14.42578125" bestFit="1" customWidth="1"/>
    <col min="12720" max="12720" width="12.28515625" bestFit="1" customWidth="1"/>
    <col min="12721" max="12721" width="14.42578125" bestFit="1" customWidth="1"/>
    <col min="12722" max="12722" width="11.28515625" bestFit="1" customWidth="1"/>
    <col min="12723" max="12723" width="12.28515625" bestFit="1" customWidth="1"/>
    <col min="12724" max="12724" width="13" bestFit="1" customWidth="1"/>
    <col min="12725" max="12725" width="15.140625" bestFit="1" customWidth="1"/>
    <col min="12726" max="12726" width="12.28515625" bestFit="1" customWidth="1"/>
    <col min="12727" max="12727" width="13.85546875" bestFit="1" customWidth="1"/>
    <col min="12728" max="12728" width="11.28515625" bestFit="1" customWidth="1"/>
    <col min="12729" max="12729" width="12.28515625" bestFit="1" customWidth="1"/>
    <col min="12730" max="12730" width="13.85546875" bestFit="1" customWidth="1"/>
    <col min="12731" max="12732" width="15.140625" bestFit="1" customWidth="1"/>
    <col min="12733" max="12733" width="12.28515625" bestFit="1" customWidth="1"/>
    <col min="12734" max="12734" width="5.7109375" bestFit="1" customWidth="1"/>
    <col min="12735" max="12735" width="8.5703125" bestFit="1" customWidth="1"/>
    <col min="12736" max="12736" width="5.5703125" bestFit="1" customWidth="1"/>
    <col min="12737" max="12737" width="14.42578125" bestFit="1" customWidth="1"/>
    <col min="12738" max="12738" width="11.28515625" bestFit="1" customWidth="1"/>
    <col min="12739" max="12740" width="12.28515625" bestFit="1" customWidth="1"/>
    <col min="12741" max="12741" width="11.28515625" bestFit="1" customWidth="1"/>
    <col min="12742" max="12742" width="13.85546875" bestFit="1" customWidth="1"/>
    <col min="12743" max="12743" width="12" bestFit="1" customWidth="1"/>
    <col min="12744" max="12744" width="13.85546875" bestFit="1" customWidth="1"/>
    <col min="12745" max="12746" width="14.42578125" customWidth="1"/>
    <col min="12747" max="12747" width="10.140625" bestFit="1" customWidth="1"/>
    <col min="12748" max="12748" width="12.28515625" bestFit="1" customWidth="1"/>
    <col min="12749" max="12749" width="7.42578125" bestFit="1" customWidth="1"/>
    <col min="12750" max="12750" width="8.5703125" bestFit="1" customWidth="1"/>
    <col min="12751" max="12751" width="11.5703125" bestFit="1" customWidth="1"/>
    <col min="12752" max="12752" width="13.28515625" bestFit="1" customWidth="1"/>
    <col min="12753" max="12753" width="13.28515625" customWidth="1"/>
    <col min="12754" max="12754" width="13.140625" customWidth="1"/>
    <col min="12755" max="12755" width="12.7109375" bestFit="1" customWidth="1"/>
    <col min="12756" max="12756" width="13.28515625" bestFit="1" customWidth="1"/>
    <col min="12757" max="12759" width="13.28515625" customWidth="1"/>
    <col min="12760" max="12760" width="12.140625" bestFit="1" customWidth="1"/>
    <col min="12761" max="12761" width="12.7109375" bestFit="1" customWidth="1"/>
    <col min="12762" max="12762" width="11" customWidth="1"/>
    <col min="12763" max="12763" width="16.7109375" customWidth="1"/>
    <col min="12764" max="12764" width="17" customWidth="1"/>
    <col min="12765" max="12765" width="10.42578125" bestFit="1" customWidth="1"/>
    <col min="12809" max="12809" width="3.85546875" customWidth="1"/>
    <col min="12810" max="12810" width="15.28515625" bestFit="1" customWidth="1"/>
    <col min="12811" max="12811" width="12.28515625" customWidth="1"/>
    <col min="12812" max="12812" width="16.28515625" bestFit="1" customWidth="1"/>
    <col min="12813" max="12813" width="6.42578125" bestFit="1" customWidth="1"/>
    <col min="12814" max="12814" width="9.28515625" bestFit="1" customWidth="1"/>
    <col min="12815" max="12815" width="7.5703125" bestFit="1" customWidth="1"/>
    <col min="12816" max="12816" width="13.28515625" bestFit="1" customWidth="1"/>
    <col min="12817" max="12817" width="9.28515625" bestFit="1" customWidth="1"/>
    <col min="12818" max="12818" width="11.5703125" bestFit="1" customWidth="1"/>
    <col min="12819" max="12819" width="13.28515625" bestFit="1" customWidth="1"/>
    <col min="12820" max="12820" width="7.140625" bestFit="1" customWidth="1"/>
    <col min="12821" max="12821" width="12" bestFit="1" customWidth="1"/>
    <col min="12822" max="12822" width="13.28515625" bestFit="1" customWidth="1"/>
    <col min="12823" max="12823" width="7" bestFit="1" customWidth="1"/>
    <col min="12824" max="12824" width="12.7109375" bestFit="1" customWidth="1"/>
    <col min="12825" max="12825" width="11.5703125" bestFit="1" customWidth="1"/>
    <col min="12826" max="12826" width="10.5703125" bestFit="1" customWidth="1"/>
    <col min="12827" max="12828" width="15.7109375" bestFit="1" customWidth="1"/>
    <col min="12829" max="12829" width="11.5703125" bestFit="1" customWidth="1"/>
    <col min="12830" max="12830" width="7.7109375" bestFit="1" customWidth="1"/>
    <col min="12831" max="12831" width="15.140625" bestFit="1" customWidth="1"/>
    <col min="12832" max="12832" width="11.5703125" bestFit="1" customWidth="1"/>
    <col min="12833" max="12833" width="13.28515625" bestFit="1" customWidth="1"/>
    <col min="12834" max="12834" width="10.42578125" bestFit="1" customWidth="1"/>
    <col min="12835" max="12835" width="13.28515625" bestFit="1" customWidth="1"/>
    <col min="12836" max="12836" width="12.140625" bestFit="1" customWidth="1"/>
    <col min="12837" max="12837" width="14.42578125" bestFit="1" customWidth="1"/>
    <col min="12838" max="12838" width="13.28515625" bestFit="1" customWidth="1"/>
    <col min="12839" max="12839" width="11.5703125" bestFit="1" customWidth="1"/>
    <col min="12840" max="12840" width="7.7109375" bestFit="1" customWidth="1"/>
    <col min="12841" max="12842" width="14.42578125" bestFit="1" customWidth="1"/>
    <col min="12843" max="12843" width="11.5703125" bestFit="1" customWidth="1"/>
    <col min="12844" max="12844" width="7.7109375" bestFit="1" customWidth="1"/>
    <col min="12845" max="12845" width="13.5703125" customWidth="1"/>
    <col min="12846" max="12846" width="15.28515625" customWidth="1"/>
    <col min="12847" max="12847" width="14.5703125" customWidth="1"/>
    <col min="12848" max="12848" width="13.28515625" bestFit="1" customWidth="1"/>
    <col min="12849" max="12849" width="7.7109375" bestFit="1" customWidth="1"/>
    <col min="12850" max="12850" width="12.7109375" bestFit="1" customWidth="1"/>
    <col min="12851" max="12851" width="11.7109375" bestFit="1" customWidth="1"/>
    <col min="12852" max="12852" width="11.5703125" bestFit="1" customWidth="1"/>
    <col min="12853" max="12853" width="5.28515625" bestFit="1" customWidth="1"/>
    <col min="12854" max="12854" width="13.28515625" bestFit="1" customWidth="1"/>
    <col min="12855" max="12855" width="13.5703125" bestFit="1" customWidth="1"/>
    <col min="12856" max="12856" width="10.5703125" bestFit="1" customWidth="1"/>
    <col min="12857" max="12857" width="13.28515625" bestFit="1" customWidth="1"/>
    <col min="12858" max="12858" width="11.5703125" bestFit="1" customWidth="1"/>
    <col min="12859" max="12859" width="10.5703125" bestFit="1" customWidth="1"/>
    <col min="12860" max="12860" width="16.140625" bestFit="1" customWidth="1"/>
    <col min="12861" max="12862" width="11.28515625" bestFit="1" customWidth="1"/>
    <col min="12863" max="12863" width="13.28515625" bestFit="1" customWidth="1"/>
    <col min="12864" max="12864" width="7.7109375" bestFit="1" customWidth="1"/>
    <col min="12865" max="12868" width="9.140625" hidden="1" customWidth="1"/>
    <col min="12869" max="12869" width="10.42578125" bestFit="1" customWidth="1"/>
    <col min="12870" max="12870" width="10.5703125" bestFit="1" customWidth="1"/>
    <col min="12871" max="12871" width="10.42578125" bestFit="1" customWidth="1"/>
    <col min="12872" max="12872" width="10.5703125" bestFit="1" customWidth="1"/>
    <col min="12873" max="12873" width="9.5703125" bestFit="1" customWidth="1"/>
    <col min="12874" max="12874" width="11.5703125" bestFit="1" customWidth="1"/>
    <col min="12875" max="12875" width="10.42578125" bestFit="1" customWidth="1"/>
    <col min="12876" max="12876" width="10.85546875" customWidth="1"/>
    <col min="12877" max="12878" width="9.85546875" bestFit="1" customWidth="1"/>
    <col min="12879" max="12879" width="13.5703125" bestFit="1" customWidth="1"/>
    <col min="12880" max="12880" width="7.7109375" bestFit="1" customWidth="1"/>
    <col min="12881" max="12881" width="13.28515625" bestFit="1" customWidth="1"/>
    <col min="12882" max="12882" width="11.5703125" bestFit="1" customWidth="1"/>
    <col min="12883" max="12883" width="10.42578125" bestFit="1" customWidth="1"/>
    <col min="12884" max="12884" width="7.7109375" bestFit="1" customWidth="1"/>
    <col min="12885" max="12885" width="11.5703125" bestFit="1" customWidth="1"/>
    <col min="12886" max="12886" width="10.85546875" bestFit="1" customWidth="1"/>
    <col min="12887" max="12887" width="13.28515625" bestFit="1" customWidth="1"/>
    <col min="12888" max="12888" width="10.85546875" bestFit="1" customWidth="1"/>
    <col min="12889" max="12890" width="7.5703125" bestFit="1" customWidth="1"/>
    <col min="12891" max="12892" width="10.42578125" bestFit="1" customWidth="1"/>
    <col min="12893" max="12893" width="11.5703125" bestFit="1" customWidth="1"/>
    <col min="12894" max="12894" width="5.28515625" bestFit="1" customWidth="1"/>
    <col min="12895" max="12895" width="10.28515625" bestFit="1" customWidth="1"/>
    <col min="12896" max="12896" width="10.42578125" bestFit="1" customWidth="1"/>
    <col min="12897" max="12897" width="11.5703125" bestFit="1" customWidth="1"/>
    <col min="12898" max="12898" width="5.28515625" bestFit="1" customWidth="1"/>
    <col min="12899" max="12901" width="11.5703125" bestFit="1" customWidth="1"/>
    <col min="12902" max="12902" width="5.28515625" bestFit="1" customWidth="1"/>
    <col min="12903" max="12904" width="10.42578125" bestFit="1" customWidth="1"/>
    <col min="12905" max="12905" width="11.5703125" bestFit="1" customWidth="1"/>
    <col min="12906" max="12906" width="5.28515625" bestFit="1" customWidth="1"/>
    <col min="12907" max="12907" width="14.28515625" bestFit="1" customWidth="1"/>
    <col min="12908" max="12908" width="13" bestFit="1" customWidth="1"/>
    <col min="12909" max="12909" width="11.5703125" bestFit="1" customWidth="1"/>
    <col min="12910" max="12910" width="8.85546875" bestFit="1" customWidth="1"/>
    <col min="12911" max="12911" width="14.42578125" bestFit="1" customWidth="1"/>
    <col min="12912" max="12912" width="10.42578125" bestFit="1" customWidth="1"/>
    <col min="12913" max="12913" width="12.28515625" bestFit="1" customWidth="1"/>
    <col min="12914" max="12914" width="13.85546875" bestFit="1" customWidth="1"/>
    <col min="12915" max="12915" width="11.28515625" customWidth="1"/>
    <col min="12916" max="12916" width="11.5703125" customWidth="1"/>
    <col min="12917" max="12917" width="13.42578125" bestFit="1" customWidth="1"/>
    <col min="12918" max="12918" width="10.42578125" customWidth="1"/>
    <col min="12919" max="12919" width="13.85546875" bestFit="1" customWidth="1"/>
    <col min="12920" max="12920" width="15.42578125" bestFit="1" customWidth="1"/>
    <col min="12921" max="12921" width="12.28515625" bestFit="1" customWidth="1"/>
    <col min="12922" max="12922" width="12.7109375" customWidth="1"/>
    <col min="12923" max="12923" width="10.7109375" bestFit="1" customWidth="1"/>
    <col min="12924" max="12924" width="9.85546875" customWidth="1"/>
    <col min="12925" max="12926" width="10.140625" bestFit="1" customWidth="1"/>
    <col min="12927" max="12927" width="7.5703125" bestFit="1" customWidth="1"/>
    <col min="12928" max="12928" width="9.42578125" bestFit="1" customWidth="1"/>
    <col min="12929" max="12929" width="14.5703125" bestFit="1" customWidth="1"/>
    <col min="12930" max="12930" width="14.85546875" customWidth="1"/>
    <col min="12931" max="12931" width="15.140625" bestFit="1" customWidth="1"/>
    <col min="12932" max="12932" width="12.140625" bestFit="1" customWidth="1"/>
    <col min="12933" max="12933" width="14.85546875" bestFit="1" customWidth="1"/>
    <col min="12934" max="12934" width="12.28515625" bestFit="1" customWidth="1"/>
    <col min="12935" max="12943" width="9.140625" hidden="1" customWidth="1"/>
    <col min="12944" max="12944" width="5.28515625" bestFit="1" customWidth="1"/>
    <col min="12945" max="12950" width="11.5703125" bestFit="1" customWidth="1"/>
    <col min="12951" max="12951" width="11.28515625" bestFit="1" customWidth="1"/>
    <col min="12952" max="12952" width="10.140625" bestFit="1" customWidth="1"/>
    <col min="12953" max="12953" width="11.5703125" bestFit="1" customWidth="1"/>
    <col min="12954" max="12954" width="16.140625" customWidth="1"/>
    <col min="12955" max="12955" width="13.42578125" customWidth="1"/>
    <col min="12956" max="12956" width="10.140625" bestFit="1" customWidth="1"/>
    <col min="12957" max="12957" width="12.85546875" bestFit="1" customWidth="1"/>
    <col min="12958" max="12958" width="12.28515625" bestFit="1" customWidth="1"/>
    <col min="12959" max="12959" width="11.28515625" bestFit="1" customWidth="1"/>
    <col min="12960" max="12960" width="11.5703125" bestFit="1" customWidth="1"/>
    <col min="12961" max="12961" width="10.85546875" bestFit="1" customWidth="1"/>
    <col min="12962" max="12962" width="11.28515625" bestFit="1" customWidth="1"/>
    <col min="12963" max="12963" width="10.140625" bestFit="1" customWidth="1"/>
    <col min="12964" max="12964" width="13.28515625" bestFit="1" customWidth="1"/>
    <col min="12965" max="12966" width="12.7109375" bestFit="1" customWidth="1"/>
    <col min="12967" max="12967" width="11" bestFit="1" customWidth="1"/>
    <col min="12968" max="12968" width="11.28515625" bestFit="1" customWidth="1"/>
    <col min="12969" max="12969" width="11.5703125" bestFit="1" customWidth="1"/>
    <col min="12970" max="12970" width="12.28515625" bestFit="1" customWidth="1"/>
    <col min="12971" max="12971" width="15.140625" bestFit="1" customWidth="1"/>
    <col min="12972" max="12972" width="14.42578125" bestFit="1" customWidth="1"/>
    <col min="12973" max="12973" width="12.28515625" bestFit="1" customWidth="1"/>
    <col min="12974" max="12974" width="15.140625" bestFit="1" customWidth="1"/>
    <col min="12975" max="12975" width="14.42578125" bestFit="1" customWidth="1"/>
    <col min="12976" max="12976" width="12.28515625" bestFit="1" customWidth="1"/>
    <col min="12977" max="12977" width="14.42578125" bestFit="1" customWidth="1"/>
    <col min="12978" max="12978" width="11.28515625" bestFit="1" customWidth="1"/>
    <col min="12979" max="12979" width="12.28515625" bestFit="1" customWidth="1"/>
    <col min="12980" max="12980" width="13" bestFit="1" customWidth="1"/>
    <col min="12981" max="12981" width="15.140625" bestFit="1" customWidth="1"/>
    <col min="12982" max="12982" width="12.28515625" bestFit="1" customWidth="1"/>
    <col min="12983" max="12983" width="13.85546875" bestFit="1" customWidth="1"/>
    <col min="12984" max="12984" width="11.28515625" bestFit="1" customWidth="1"/>
    <col min="12985" max="12985" width="12.28515625" bestFit="1" customWidth="1"/>
    <col min="12986" max="12986" width="13.85546875" bestFit="1" customWidth="1"/>
    <col min="12987" max="12988" width="15.140625" bestFit="1" customWidth="1"/>
    <col min="12989" max="12989" width="12.28515625" bestFit="1" customWidth="1"/>
    <col min="12990" max="12990" width="5.7109375" bestFit="1" customWidth="1"/>
    <col min="12991" max="12991" width="8.5703125" bestFit="1" customWidth="1"/>
    <col min="12992" max="12992" width="5.5703125" bestFit="1" customWidth="1"/>
    <col min="12993" max="12993" width="14.42578125" bestFit="1" customWidth="1"/>
    <col min="12994" max="12994" width="11.28515625" bestFit="1" customWidth="1"/>
    <col min="12995" max="12996" width="12.28515625" bestFit="1" customWidth="1"/>
    <col min="12997" max="12997" width="11.28515625" bestFit="1" customWidth="1"/>
    <col min="12998" max="12998" width="13.85546875" bestFit="1" customWidth="1"/>
    <col min="12999" max="12999" width="12" bestFit="1" customWidth="1"/>
    <col min="13000" max="13000" width="13.85546875" bestFit="1" customWidth="1"/>
    <col min="13001" max="13002" width="14.42578125" customWidth="1"/>
    <col min="13003" max="13003" width="10.140625" bestFit="1" customWidth="1"/>
    <col min="13004" max="13004" width="12.28515625" bestFit="1" customWidth="1"/>
    <col min="13005" max="13005" width="7.42578125" bestFit="1" customWidth="1"/>
    <col min="13006" max="13006" width="8.5703125" bestFit="1" customWidth="1"/>
    <col min="13007" max="13007" width="11.5703125" bestFit="1" customWidth="1"/>
    <col min="13008" max="13008" width="13.28515625" bestFit="1" customWidth="1"/>
    <col min="13009" max="13009" width="13.28515625" customWidth="1"/>
    <col min="13010" max="13010" width="13.140625" customWidth="1"/>
    <col min="13011" max="13011" width="12.7109375" bestFit="1" customWidth="1"/>
    <col min="13012" max="13012" width="13.28515625" bestFit="1" customWidth="1"/>
    <col min="13013" max="13015" width="13.28515625" customWidth="1"/>
    <col min="13016" max="13016" width="12.140625" bestFit="1" customWidth="1"/>
    <col min="13017" max="13017" width="12.7109375" bestFit="1" customWidth="1"/>
    <col min="13018" max="13018" width="11" customWidth="1"/>
    <col min="13019" max="13019" width="16.7109375" customWidth="1"/>
    <col min="13020" max="13020" width="17" customWidth="1"/>
    <col min="13021" max="13021" width="10.42578125" bestFit="1" customWidth="1"/>
    <col min="13065" max="13065" width="3.85546875" customWidth="1"/>
    <col min="13066" max="13066" width="15.28515625" bestFit="1" customWidth="1"/>
    <col min="13067" max="13067" width="12.28515625" customWidth="1"/>
    <col min="13068" max="13068" width="16.28515625" bestFit="1" customWidth="1"/>
    <col min="13069" max="13069" width="6.42578125" bestFit="1" customWidth="1"/>
    <col min="13070" max="13070" width="9.28515625" bestFit="1" customWidth="1"/>
    <col min="13071" max="13071" width="7.5703125" bestFit="1" customWidth="1"/>
    <col min="13072" max="13072" width="13.28515625" bestFit="1" customWidth="1"/>
    <col min="13073" max="13073" width="9.28515625" bestFit="1" customWidth="1"/>
    <col min="13074" max="13074" width="11.5703125" bestFit="1" customWidth="1"/>
    <col min="13075" max="13075" width="13.28515625" bestFit="1" customWidth="1"/>
    <col min="13076" max="13076" width="7.140625" bestFit="1" customWidth="1"/>
    <col min="13077" max="13077" width="12" bestFit="1" customWidth="1"/>
    <col min="13078" max="13078" width="13.28515625" bestFit="1" customWidth="1"/>
    <col min="13079" max="13079" width="7" bestFit="1" customWidth="1"/>
    <col min="13080" max="13080" width="12.7109375" bestFit="1" customWidth="1"/>
    <col min="13081" max="13081" width="11.5703125" bestFit="1" customWidth="1"/>
    <col min="13082" max="13082" width="10.5703125" bestFit="1" customWidth="1"/>
    <col min="13083" max="13084" width="15.7109375" bestFit="1" customWidth="1"/>
    <col min="13085" max="13085" width="11.5703125" bestFit="1" customWidth="1"/>
    <col min="13086" max="13086" width="7.7109375" bestFit="1" customWidth="1"/>
    <col min="13087" max="13087" width="15.140625" bestFit="1" customWidth="1"/>
    <col min="13088" max="13088" width="11.5703125" bestFit="1" customWidth="1"/>
    <col min="13089" max="13089" width="13.28515625" bestFit="1" customWidth="1"/>
    <col min="13090" max="13090" width="10.42578125" bestFit="1" customWidth="1"/>
    <col min="13091" max="13091" width="13.28515625" bestFit="1" customWidth="1"/>
    <col min="13092" max="13092" width="12.140625" bestFit="1" customWidth="1"/>
    <col min="13093" max="13093" width="14.42578125" bestFit="1" customWidth="1"/>
    <col min="13094" max="13094" width="13.28515625" bestFit="1" customWidth="1"/>
    <col min="13095" max="13095" width="11.5703125" bestFit="1" customWidth="1"/>
    <col min="13096" max="13096" width="7.7109375" bestFit="1" customWidth="1"/>
    <col min="13097" max="13098" width="14.42578125" bestFit="1" customWidth="1"/>
    <col min="13099" max="13099" width="11.5703125" bestFit="1" customWidth="1"/>
    <col min="13100" max="13100" width="7.7109375" bestFit="1" customWidth="1"/>
    <col min="13101" max="13101" width="13.5703125" customWidth="1"/>
    <col min="13102" max="13102" width="15.28515625" customWidth="1"/>
    <col min="13103" max="13103" width="14.5703125" customWidth="1"/>
    <col min="13104" max="13104" width="13.28515625" bestFit="1" customWidth="1"/>
    <col min="13105" max="13105" width="7.7109375" bestFit="1" customWidth="1"/>
    <col min="13106" max="13106" width="12.7109375" bestFit="1" customWidth="1"/>
    <col min="13107" max="13107" width="11.7109375" bestFit="1" customWidth="1"/>
    <col min="13108" max="13108" width="11.5703125" bestFit="1" customWidth="1"/>
    <col min="13109" max="13109" width="5.28515625" bestFit="1" customWidth="1"/>
    <col min="13110" max="13110" width="13.28515625" bestFit="1" customWidth="1"/>
    <col min="13111" max="13111" width="13.5703125" bestFit="1" customWidth="1"/>
    <col min="13112" max="13112" width="10.5703125" bestFit="1" customWidth="1"/>
    <col min="13113" max="13113" width="13.28515625" bestFit="1" customWidth="1"/>
    <col min="13114" max="13114" width="11.5703125" bestFit="1" customWidth="1"/>
    <col min="13115" max="13115" width="10.5703125" bestFit="1" customWidth="1"/>
    <col min="13116" max="13116" width="16.140625" bestFit="1" customWidth="1"/>
    <col min="13117" max="13118" width="11.28515625" bestFit="1" customWidth="1"/>
    <col min="13119" max="13119" width="13.28515625" bestFit="1" customWidth="1"/>
    <col min="13120" max="13120" width="7.7109375" bestFit="1" customWidth="1"/>
    <col min="13121" max="13124" width="9.140625" hidden="1" customWidth="1"/>
    <col min="13125" max="13125" width="10.42578125" bestFit="1" customWidth="1"/>
    <col min="13126" max="13126" width="10.5703125" bestFit="1" customWidth="1"/>
    <col min="13127" max="13127" width="10.42578125" bestFit="1" customWidth="1"/>
    <col min="13128" max="13128" width="10.5703125" bestFit="1" customWidth="1"/>
    <col min="13129" max="13129" width="9.5703125" bestFit="1" customWidth="1"/>
    <col min="13130" max="13130" width="11.5703125" bestFit="1" customWidth="1"/>
    <col min="13131" max="13131" width="10.42578125" bestFit="1" customWidth="1"/>
    <col min="13132" max="13132" width="10.85546875" customWidth="1"/>
    <col min="13133" max="13134" width="9.85546875" bestFit="1" customWidth="1"/>
    <col min="13135" max="13135" width="13.5703125" bestFit="1" customWidth="1"/>
    <col min="13136" max="13136" width="7.7109375" bestFit="1" customWidth="1"/>
    <col min="13137" max="13137" width="13.28515625" bestFit="1" customWidth="1"/>
    <col min="13138" max="13138" width="11.5703125" bestFit="1" customWidth="1"/>
    <col min="13139" max="13139" width="10.42578125" bestFit="1" customWidth="1"/>
    <col min="13140" max="13140" width="7.7109375" bestFit="1" customWidth="1"/>
    <col min="13141" max="13141" width="11.5703125" bestFit="1" customWidth="1"/>
    <col min="13142" max="13142" width="10.85546875" bestFit="1" customWidth="1"/>
    <col min="13143" max="13143" width="13.28515625" bestFit="1" customWidth="1"/>
    <col min="13144" max="13144" width="10.85546875" bestFit="1" customWidth="1"/>
    <col min="13145" max="13146" width="7.5703125" bestFit="1" customWidth="1"/>
    <col min="13147" max="13148" width="10.42578125" bestFit="1" customWidth="1"/>
    <col min="13149" max="13149" width="11.5703125" bestFit="1" customWidth="1"/>
    <col min="13150" max="13150" width="5.28515625" bestFit="1" customWidth="1"/>
    <col min="13151" max="13151" width="10.28515625" bestFit="1" customWidth="1"/>
    <col min="13152" max="13152" width="10.42578125" bestFit="1" customWidth="1"/>
    <col min="13153" max="13153" width="11.5703125" bestFit="1" customWidth="1"/>
    <col min="13154" max="13154" width="5.28515625" bestFit="1" customWidth="1"/>
    <col min="13155" max="13157" width="11.5703125" bestFit="1" customWidth="1"/>
    <col min="13158" max="13158" width="5.28515625" bestFit="1" customWidth="1"/>
    <col min="13159" max="13160" width="10.42578125" bestFit="1" customWidth="1"/>
    <col min="13161" max="13161" width="11.5703125" bestFit="1" customWidth="1"/>
    <col min="13162" max="13162" width="5.28515625" bestFit="1" customWidth="1"/>
    <col min="13163" max="13163" width="14.28515625" bestFit="1" customWidth="1"/>
    <col min="13164" max="13164" width="13" bestFit="1" customWidth="1"/>
    <col min="13165" max="13165" width="11.5703125" bestFit="1" customWidth="1"/>
    <col min="13166" max="13166" width="8.85546875" bestFit="1" customWidth="1"/>
    <col min="13167" max="13167" width="14.42578125" bestFit="1" customWidth="1"/>
    <col min="13168" max="13168" width="10.42578125" bestFit="1" customWidth="1"/>
    <col min="13169" max="13169" width="12.28515625" bestFit="1" customWidth="1"/>
    <col min="13170" max="13170" width="13.85546875" bestFit="1" customWidth="1"/>
    <col min="13171" max="13171" width="11.28515625" customWidth="1"/>
    <col min="13172" max="13172" width="11.5703125" customWidth="1"/>
    <col min="13173" max="13173" width="13.42578125" bestFit="1" customWidth="1"/>
    <col min="13174" max="13174" width="10.42578125" customWidth="1"/>
    <col min="13175" max="13175" width="13.85546875" bestFit="1" customWidth="1"/>
    <col min="13176" max="13176" width="15.42578125" bestFit="1" customWidth="1"/>
    <col min="13177" max="13177" width="12.28515625" bestFit="1" customWidth="1"/>
    <col min="13178" max="13178" width="12.7109375" customWidth="1"/>
    <col min="13179" max="13179" width="10.7109375" bestFit="1" customWidth="1"/>
    <col min="13180" max="13180" width="9.85546875" customWidth="1"/>
    <col min="13181" max="13182" width="10.140625" bestFit="1" customWidth="1"/>
    <col min="13183" max="13183" width="7.5703125" bestFit="1" customWidth="1"/>
    <col min="13184" max="13184" width="9.42578125" bestFit="1" customWidth="1"/>
    <col min="13185" max="13185" width="14.5703125" bestFit="1" customWidth="1"/>
    <col min="13186" max="13186" width="14.85546875" customWidth="1"/>
    <col min="13187" max="13187" width="15.140625" bestFit="1" customWidth="1"/>
    <col min="13188" max="13188" width="12.140625" bestFit="1" customWidth="1"/>
    <col min="13189" max="13189" width="14.85546875" bestFit="1" customWidth="1"/>
    <col min="13190" max="13190" width="12.28515625" bestFit="1" customWidth="1"/>
    <col min="13191" max="13199" width="9.140625" hidden="1" customWidth="1"/>
    <col min="13200" max="13200" width="5.28515625" bestFit="1" customWidth="1"/>
    <col min="13201" max="13206" width="11.5703125" bestFit="1" customWidth="1"/>
    <col min="13207" max="13207" width="11.28515625" bestFit="1" customWidth="1"/>
    <col min="13208" max="13208" width="10.140625" bestFit="1" customWidth="1"/>
    <col min="13209" max="13209" width="11.5703125" bestFit="1" customWidth="1"/>
    <col min="13210" max="13210" width="16.140625" customWidth="1"/>
    <col min="13211" max="13211" width="13.42578125" customWidth="1"/>
    <col min="13212" max="13212" width="10.140625" bestFit="1" customWidth="1"/>
    <col min="13213" max="13213" width="12.85546875" bestFit="1" customWidth="1"/>
    <col min="13214" max="13214" width="12.28515625" bestFit="1" customWidth="1"/>
    <col min="13215" max="13215" width="11.28515625" bestFit="1" customWidth="1"/>
    <col min="13216" max="13216" width="11.5703125" bestFit="1" customWidth="1"/>
    <col min="13217" max="13217" width="10.85546875" bestFit="1" customWidth="1"/>
    <col min="13218" max="13218" width="11.28515625" bestFit="1" customWidth="1"/>
    <col min="13219" max="13219" width="10.140625" bestFit="1" customWidth="1"/>
    <col min="13220" max="13220" width="13.28515625" bestFit="1" customWidth="1"/>
    <col min="13221" max="13222" width="12.7109375" bestFit="1" customWidth="1"/>
    <col min="13223" max="13223" width="11" bestFit="1" customWidth="1"/>
    <col min="13224" max="13224" width="11.28515625" bestFit="1" customWidth="1"/>
    <col min="13225" max="13225" width="11.5703125" bestFit="1" customWidth="1"/>
    <col min="13226" max="13226" width="12.28515625" bestFit="1" customWidth="1"/>
    <col min="13227" max="13227" width="15.140625" bestFit="1" customWidth="1"/>
    <col min="13228" max="13228" width="14.42578125" bestFit="1" customWidth="1"/>
    <col min="13229" max="13229" width="12.28515625" bestFit="1" customWidth="1"/>
    <col min="13230" max="13230" width="15.140625" bestFit="1" customWidth="1"/>
    <col min="13231" max="13231" width="14.42578125" bestFit="1" customWidth="1"/>
    <col min="13232" max="13232" width="12.28515625" bestFit="1" customWidth="1"/>
    <col min="13233" max="13233" width="14.42578125" bestFit="1" customWidth="1"/>
    <col min="13234" max="13234" width="11.28515625" bestFit="1" customWidth="1"/>
    <col min="13235" max="13235" width="12.28515625" bestFit="1" customWidth="1"/>
    <col min="13236" max="13236" width="13" bestFit="1" customWidth="1"/>
    <col min="13237" max="13237" width="15.140625" bestFit="1" customWidth="1"/>
    <col min="13238" max="13238" width="12.28515625" bestFit="1" customWidth="1"/>
    <col min="13239" max="13239" width="13.85546875" bestFit="1" customWidth="1"/>
    <col min="13240" max="13240" width="11.28515625" bestFit="1" customWidth="1"/>
    <col min="13241" max="13241" width="12.28515625" bestFit="1" customWidth="1"/>
    <col min="13242" max="13242" width="13.85546875" bestFit="1" customWidth="1"/>
    <col min="13243" max="13244" width="15.140625" bestFit="1" customWidth="1"/>
    <col min="13245" max="13245" width="12.28515625" bestFit="1" customWidth="1"/>
    <col min="13246" max="13246" width="5.7109375" bestFit="1" customWidth="1"/>
    <col min="13247" max="13247" width="8.5703125" bestFit="1" customWidth="1"/>
    <col min="13248" max="13248" width="5.5703125" bestFit="1" customWidth="1"/>
    <col min="13249" max="13249" width="14.42578125" bestFit="1" customWidth="1"/>
    <col min="13250" max="13250" width="11.28515625" bestFit="1" customWidth="1"/>
    <col min="13251" max="13252" width="12.28515625" bestFit="1" customWidth="1"/>
    <col min="13253" max="13253" width="11.28515625" bestFit="1" customWidth="1"/>
    <col min="13254" max="13254" width="13.85546875" bestFit="1" customWidth="1"/>
    <col min="13255" max="13255" width="12" bestFit="1" customWidth="1"/>
    <col min="13256" max="13256" width="13.85546875" bestFit="1" customWidth="1"/>
    <col min="13257" max="13258" width="14.42578125" customWidth="1"/>
    <col min="13259" max="13259" width="10.140625" bestFit="1" customWidth="1"/>
    <col min="13260" max="13260" width="12.28515625" bestFit="1" customWidth="1"/>
    <col min="13261" max="13261" width="7.42578125" bestFit="1" customWidth="1"/>
    <col min="13262" max="13262" width="8.5703125" bestFit="1" customWidth="1"/>
    <col min="13263" max="13263" width="11.5703125" bestFit="1" customWidth="1"/>
    <col min="13264" max="13264" width="13.28515625" bestFit="1" customWidth="1"/>
    <col min="13265" max="13265" width="13.28515625" customWidth="1"/>
    <col min="13266" max="13266" width="13.140625" customWidth="1"/>
    <col min="13267" max="13267" width="12.7109375" bestFit="1" customWidth="1"/>
    <col min="13268" max="13268" width="13.28515625" bestFit="1" customWidth="1"/>
    <col min="13269" max="13271" width="13.28515625" customWidth="1"/>
    <col min="13272" max="13272" width="12.140625" bestFit="1" customWidth="1"/>
    <col min="13273" max="13273" width="12.7109375" bestFit="1" customWidth="1"/>
    <col min="13274" max="13274" width="11" customWidth="1"/>
    <col min="13275" max="13275" width="16.7109375" customWidth="1"/>
    <col min="13276" max="13276" width="17" customWidth="1"/>
    <col min="13277" max="13277" width="10.42578125" bestFit="1" customWidth="1"/>
    <col min="13321" max="13321" width="3.85546875" customWidth="1"/>
    <col min="13322" max="13322" width="15.28515625" bestFit="1" customWidth="1"/>
    <col min="13323" max="13323" width="12.28515625" customWidth="1"/>
    <col min="13324" max="13324" width="16.28515625" bestFit="1" customWidth="1"/>
    <col min="13325" max="13325" width="6.42578125" bestFit="1" customWidth="1"/>
    <col min="13326" max="13326" width="9.28515625" bestFit="1" customWidth="1"/>
    <col min="13327" max="13327" width="7.5703125" bestFit="1" customWidth="1"/>
    <col min="13328" max="13328" width="13.28515625" bestFit="1" customWidth="1"/>
    <col min="13329" max="13329" width="9.28515625" bestFit="1" customWidth="1"/>
    <col min="13330" max="13330" width="11.5703125" bestFit="1" customWidth="1"/>
    <col min="13331" max="13331" width="13.28515625" bestFit="1" customWidth="1"/>
    <col min="13332" max="13332" width="7.140625" bestFit="1" customWidth="1"/>
    <col min="13333" max="13333" width="12" bestFit="1" customWidth="1"/>
    <col min="13334" max="13334" width="13.28515625" bestFit="1" customWidth="1"/>
    <col min="13335" max="13335" width="7" bestFit="1" customWidth="1"/>
    <col min="13336" max="13336" width="12.7109375" bestFit="1" customWidth="1"/>
    <col min="13337" max="13337" width="11.5703125" bestFit="1" customWidth="1"/>
    <col min="13338" max="13338" width="10.5703125" bestFit="1" customWidth="1"/>
    <col min="13339" max="13340" width="15.7109375" bestFit="1" customWidth="1"/>
    <col min="13341" max="13341" width="11.5703125" bestFit="1" customWidth="1"/>
    <col min="13342" max="13342" width="7.7109375" bestFit="1" customWidth="1"/>
    <col min="13343" max="13343" width="15.140625" bestFit="1" customWidth="1"/>
    <col min="13344" max="13344" width="11.5703125" bestFit="1" customWidth="1"/>
    <col min="13345" max="13345" width="13.28515625" bestFit="1" customWidth="1"/>
    <col min="13346" max="13346" width="10.42578125" bestFit="1" customWidth="1"/>
    <col min="13347" max="13347" width="13.28515625" bestFit="1" customWidth="1"/>
    <col min="13348" max="13348" width="12.140625" bestFit="1" customWidth="1"/>
    <col min="13349" max="13349" width="14.42578125" bestFit="1" customWidth="1"/>
    <col min="13350" max="13350" width="13.28515625" bestFit="1" customWidth="1"/>
    <col min="13351" max="13351" width="11.5703125" bestFit="1" customWidth="1"/>
    <col min="13352" max="13352" width="7.7109375" bestFit="1" customWidth="1"/>
    <col min="13353" max="13354" width="14.42578125" bestFit="1" customWidth="1"/>
    <col min="13355" max="13355" width="11.5703125" bestFit="1" customWidth="1"/>
    <col min="13356" max="13356" width="7.7109375" bestFit="1" customWidth="1"/>
    <col min="13357" max="13357" width="13.5703125" customWidth="1"/>
    <col min="13358" max="13358" width="15.28515625" customWidth="1"/>
    <col min="13359" max="13359" width="14.5703125" customWidth="1"/>
    <col min="13360" max="13360" width="13.28515625" bestFit="1" customWidth="1"/>
    <col min="13361" max="13361" width="7.7109375" bestFit="1" customWidth="1"/>
    <col min="13362" max="13362" width="12.7109375" bestFit="1" customWidth="1"/>
    <col min="13363" max="13363" width="11.7109375" bestFit="1" customWidth="1"/>
    <col min="13364" max="13364" width="11.5703125" bestFit="1" customWidth="1"/>
    <col min="13365" max="13365" width="5.28515625" bestFit="1" customWidth="1"/>
    <col min="13366" max="13366" width="13.28515625" bestFit="1" customWidth="1"/>
    <col min="13367" max="13367" width="13.5703125" bestFit="1" customWidth="1"/>
    <col min="13368" max="13368" width="10.5703125" bestFit="1" customWidth="1"/>
    <col min="13369" max="13369" width="13.28515625" bestFit="1" customWidth="1"/>
    <col min="13370" max="13370" width="11.5703125" bestFit="1" customWidth="1"/>
    <col min="13371" max="13371" width="10.5703125" bestFit="1" customWidth="1"/>
    <col min="13372" max="13372" width="16.140625" bestFit="1" customWidth="1"/>
    <col min="13373" max="13374" width="11.28515625" bestFit="1" customWidth="1"/>
    <col min="13375" max="13375" width="13.28515625" bestFit="1" customWidth="1"/>
    <col min="13376" max="13376" width="7.7109375" bestFit="1" customWidth="1"/>
    <col min="13377" max="13380" width="9.140625" hidden="1" customWidth="1"/>
    <col min="13381" max="13381" width="10.42578125" bestFit="1" customWidth="1"/>
    <col min="13382" max="13382" width="10.5703125" bestFit="1" customWidth="1"/>
    <col min="13383" max="13383" width="10.42578125" bestFit="1" customWidth="1"/>
    <col min="13384" max="13384" width="10.5703125" bestFit="1" customWidth="1"/>
    <col min="13385" max="13385" width="9.5703125" bestFit="1" customWidth="1"/>
    <col min="13386" max="13386" width="11.5703125" bestFit="1" customWidth="1"/>
    <col min="13387" max="13387" width="10.42578125" bestFit="1" customWidth="1"/>
    <col min="13388" max="13388" width="10.85546875" customWidth="1"/>
    <col min="13389" max="13390" width="9.85546875" bestFit="1" customWidth="1"/>
    <col min="13391" max="13391" width="13.5703125" bestFit="1" customWidth="1"/>
    <col min="13392" max="13392" width="7.7109375" bestFit="1" customWidth="1"/>
    <col min="13393" max="13393" width="13.28515625" bestFit="1" customWidth="1"/>
    <col min="13394" max="13394" width="11.5703125" bestFit="1" customWidth="1"/>
    <col min="13395" max="13395" width="10.42578125" bestFit="1" customWidth="1"/>
    <col min="13396" max="13396" width="7.7109375" bestFit="1" customWidth="1"/>
    <col min="13397" max="13397" width="11.5703125" bestFit="1" customWidth="1"/>
    <col min="13398" max="13398" width="10.85546875" bestFit="1" customWidth="1"/>
    <col min="13399" max="13399" width="13.28515625" bestFit="1" customWidth="1"/>
    <col min="13400" max="13400" width="10.85546875" bestFit="1" customWidth="1"/>
    <col min="13401" max="13402" width="7.5703125" bestFit="1" customWidth="1"/>
    <col min="13403" max="13404" width="10.42578125" bestFit="1" customWidth="1"/>
    <col min="13405" max="13405" width="11.5703125" bestFit="1" customWidth="1"/>
    <col min="13406" max="13406" width="5.28515625" bestFit="1" customWidth="1"/>
    <col min="13407" max="13407" width="10.28515625" bestFit="1" customWidth="1"/>
    <col min="13408" max="13408" width="10.42578125" bestFit="1" customWidth="1"/>
    <col min="13409" max="13409" width="11.5703125" bestFit="1" customWidth="1"/>
    <col min="13410" max="13410" width="5.28515625" bestFit="1" customWidth="1"/>
    <col min="13411" max="13413" width="11.5703125" bestFit="1" customWidth="1"/>
    <col min="13414" max="13414" width="5.28515625" bestFit="1" customWidth="1"/>
    <col min="13415" max="13416" width="10.42578125" bestFit="1" customWidth="1"/>
    <col min="13417" max="13417" width="11.5703125" bestFit="1" customWidth="1"/>
    <col min="13418" max="13418" width="5.28515625" bestFit="1" customWidth="1"/>
    <col min="13419" max="13419" width="14.28515625" bestFit="1" customWidth="1"/>
    <col min="13420" max="13420" width="13" bestFit="1" customWidth="1"/>
    <col min="13421" max="13421" width="11.5703125" bestFit="1" customWidth="1"/>
    <col min="13422" max="13422" width="8.85546875" bestFit="1" customWidth="1"/>
    <col min="13423" max="13423" width="14.42578125" bestFit="1" customWidth="1"/>
    <col min="13424" max="13424" width="10.42578125" bestFit="1" customWidth="1"/>
    <col min="13425" max="13425" width="12.28515625" bestFit="1" customWidth="1"/>
    <col min="13426" max="13426" width="13.85546875" bestFit="1" customWidth="1"/>
    <col min="13427" max="13427" width="11.28515625" customWidth="1"/>
    <col min="13428" max="13428" width="11.5703125" customWidth="1"/>
    <col min="13429" max="13429" width="13.42578125" bestFit="1" customWidth="1"/>
    <col min="13430" max="13430" width="10.42578125" customWidth="1"/>
    <col min="13431" max="13431" width="13.85546875" bestFit="1" customWidth="1"/>
    <col min="13432" max="13432" width="15.42578125" bestFit="1" customWidth="1"/>
    <col min="13433" max="13433" width="12.28515625" bestFit="1" customWidth="1"/>
    <col min="13434" max="13434" width="12.7109375" customWidth="1"/>
    <col min="13435" max="13435" width="10.7109375" bestFit="1" customWidth="1"/>
    <col min="13436" max="13436" width="9.85546875" customWidth="1"/>
    <col min="13437" max="13438" width="10.140625" bestFit="1" customWidth="1"/>
    <col min="13439" max="13439" width="7.5703125" bestFit="1" customWidth="1"/>
    <col min="13440" max="13440" width="9.42578125" bestFit="1" customWidth="1"/>
    <col min="13441" max="13441" width="14.5703125" bestFit="1" customWidth="1"/>
    <col min="13442" max="13442" width="14.85546875" customWidth="1"/>
    <col min="13443" max="13443" width="15.140625" bestFit="1" customWidth="1"/>
    <col min="13444" max="13444" width="12.140625" bestFit="1" customWidth="1"/>
    <col min="13445" max="13445" width="14.85546875" bestFit="1" customWidth="1"/>
    <col min="13446" max="13446" width="12.28515625" bestFit="1" customWidth="1"/>
    <col min="13447" max="13455" width="9.140625" hidden="1" customWidth="1"/>
    <col min="13456" max="13456" width="5.28515625" bestFit="1" customWidth="1"/>
    <col min="13457" max="13462" width="11.5703125" bestFit="1" customWidth="1"/>
    <col min="13463" max="13463" width="11.28515625" bestFit="1" customWidth="1"/>
    <col min="13464" max="13464" width="10.140625" bestFit="1" customWidth="1"/>
    <col min="13465" max="13465" width="11.5703125" bestFit="1" customWidth="1"/>
    <col min="13466" max="13466" width="16.140625" customWidth="1"/>
    <col min="13467" max="13467" width="13.42578125" customWidth="1"/>
    <col min="13468" max="13468" width="10.140625" bestFit="1" customWidth="1"/>
    <col min="13469" max="13469" width="12.85546875" bestFit="1" customWidth="1"/>
    <col min="13470" max="13470" width="12.28515625" bestFit="1" customWidth="1"/>
    <col min="13471" max="13471" width="11.28515625" bestFit="1" customWidth="1"/>
    <col min="13472" max="13472" width="11.5703125" bestFit="1" customWidth="1"/>
    <col min="13473" max="13473" width="10.85546875" bestFit="1" customWidth="1"/>
    <col min="13474" max="13474" width="11.28515625" bestFit="1" customWidth="1"/>
    <col min="13475" max="13475" width="10.140625" bestFit="1" customWidth="1"/>
    <col min="13476" max="13476" width="13.28515625" bestFit="1" customWidth="1"/>
    <col min="13477" max="13478" width="12.7109375" bestFit="1" customWidth="1"/>
    <col min="13479" max="13479" width="11" bestFit="1" customWidth="1"/>
    <col min="13480" max="13480" width="11.28515625" bestFit="1" customWidth="1"/>
    <col min="13481" max="13481" width="11.5703125" bestFit="1" customWidth="1"/>
    <col min="13482" max="13482" width="12.28515625" bestFit="1" customWidth="1"/>
    <col min="13483" max="13483" width="15.140625" bestFit="1" customWidth="1"/>
    <col min="13484" max="13484" width="14.42578125" bestFit="1" customWidth="1"/>
    <col min="13485" max="13485" width="12.28515625" bestFit="1" customWidth="1"/>
    <col min="13486" max="13486" width="15.140625" bestFit="1" customWidth="1"/>
    <col min="13487" max="13487" width="14.42578125" bestFit="1" customWidth="1"/>
    <col min="13488" max="13488" width="12.28515625" bestFit="1" customWidth="1"/>
    <col min="13489" max="13489" width="14.42578125" bestFit="1" customWidth="1"/>
    <col min="13490" max="13490" width="11.28515625" bestFit="1" customWidth="1"/>
    <col min="13491" max="13491" width="12.28515625" bestFit="1" customWidth="1"/>
    <col min="13492" max="13492" width="13" bestFit="1" customWidth="1"/>
    <col min="13493" max="13493" width="15.140625" bestFit="1" customWidth="1"/>
    <col min="13494" max="13494" width="12.28515625" bestFit="1" customWidth="1"/>
    <col min="13495" max="13495" width="13.85546875" bestFit="1" customWidth="1"/>
    <col min="13496" max="13496" width="11.28515625" bestFit="1" customWidth="1"/>
    <col min="13497" max="13497" width="12.28515625" bestFit="1" customWidth="1"/>
    <col min="13498" max="13498" width="13.85546875" bestFit="1" customWidth="1"/>
    <col min="13499" max="13500" width="15.140625" bestFit="1" customWidth="1"/>
    <col min="13501" max="13501" width="12.28515625" bestFit="1" customWidth="1"/>
    <col min="13502" max="13502" width="5.7109375" bestFit="1" customWidth="1"/>
    <col min="13503" max="13503" width="8.5703125" bestFit="1" customWidth="1"/>
    <col min="13504" max="13504" width="5.5703125" bestFit="1" customWidth="1"/>
    <col min="13505" max="13505" width="14.42578125" bestFit="1" customWidth="1"/>
    <col min="13506" max="13506" width="11.28515625" bestFit="1" customWidth="1"/>
    <col min="13507" max="13508" width="12.28515625" bestFit="1" customWidth="1"/>
    <col min="13509" max="13509" width="11.28515625" bestFit="1" customWidth="1"/>
    <col min="13510" max="13510" width="13.85546875" bestFit="1" customWidth="1"/>
    <col min="13511" max="13511" width="12" bestFit="1" customWidth="1"/>
    <col min="13512" max="13512" width="13.85546875" bestFit="1" customWidth="1"/>
    <col min="13513" max="13514" width="14.42578125" customWidth="1"/>
    <col min="13515" max="13515" width="10.140625" bestFit="1" customWidth="1"/>
    <col min="13516" max="13516" width="12.28515625" bestFit="1" customWidth="1"/>
    <col min="13517" max="13517" width="7.42578125" bestFit="1" customWidth="1"/>
    <col min="13518" max="13518" width="8.5703125" bestFit="1" customWidth="1"/>
    <col min="13519" max="13519" width="11.5703125" bestFit="1" customWidth="1"/>
    <col min="13520" max="13520" width="13.28515625" bestFit="1" customWidth="1"/>
    <col min="13521" max="13521" width="13.28515625" customWidth="1"/>
    <col min="13522" max="13522" width="13.140625" customWidth="1"/>
    <col min="13523" max="13523" width="12.7109375" bestFit="1" customWidth="1"/>
    <col min="13524" max="13524" width="13.28515625" bestFit="1" customWidth="1"/>
    <col min="13525" max="13527" width="13.28515625" customWidth="1"/>
    <col min="13528" max="13528" width="12.140625" bestFit="1" customWidth="1"/>
    <col min="13529" max="13529" width="12.7109375" bestFit="1" customWidth="1"/>
    <col min="13530" max="13530" width="11" customWidth="1"/>
    <col min="13531" max="13531" width="16.7109375" customWidth="1"/>
    <col min="13532" max="13532" width="17" customWidth="1"/>
    <col min="13533" max="13533" width="10.42578125" bestFit="1" customWidth="1"/>
    <col min="13577" max="13577" width="3.85546875" customWidth="1"/>
    <col min="13578" max="13578" width="15.28515625" bestFit="1" customWidth="1"/>
    <col min="13579" max="13579" width="12.28515625" customWidth="1"/>
    <col min="13580" max="13580" width="16.28515625" bestFit="1" customWidth="1"/>
    <col min="13581" max="13581" width="6.42578125" bestFit="1" customWidth="1"/>
    <col min="13582" max="13582" width="9.28515625" bestFit="1" customWidth="1"/>
    <col min="13583" max="13583" width="7.5703125" bestFit="1" customWidth="1"/>
    <col min="13584" max="13584" width="13.28515625" bestFit="1" customWidth="1"/>
    <col min="13585" max="13585" width="9.28515625" bestFit="1" customWidth="1"/>
    <col min="13586" max="13586" width="11.5703125" bestFit="1" customWidth="1"/>
    <col min="13587" max="13587" width="13.28515625" bestFit="1" customWidth="1"/>
    <col min="13588" max="13588" width="7.140625" bestFit="1" customWidth="1"/>
    <col min="13589" max="13589" width="12" bestFit="1" customWidth="1"/>
    <col min="13590" max="13590" width="13.28515625" bestFit="1" customWidth="1"/>
    <col min="13591" max="13591" width="7" bestFit="1" customWidth="1"/>
    <col min="13592" max="13592" width="12.7109375" bestFit="1" customWidth="1"/>
    <col min="13593" max="13593" width="11.5703125" bestFit="1" customWidth="1"/>
    <col min="13594" max="13594" width="10.5703125" bestFit="1" customWidth="1"/>
    <col min="13595" max="13596" width="15.7109375" bestFit="1" customWidth="1"/>
    <col min="13597" max="13597" width="11.5703125" bestFit="1" customWidth="1"/>
    <col min="13598" max="13598" width="7.7109375" bestFit="1" customWidth="1"/>
    <col min="13599" max="13599" width="15.140625" bestFit="1" customWidth="1"/>
    <col min="13600" max="13600" width="11.5703125" bestFit="1" customWidth="1"/>
    <col min="13601" max="13601" width="13.28515625" bestFit="1" customWidth="1"/>
    <col min="13602" max="13602" width="10.42578125" bestFit="1" customWidth="1"/>
    <col min="13603" max="13603" width="13.28515625" bestFit="1" customWidth="1"/>
    <col min="13604" max="13604" width="12.140625" bestFit="1" customWidth="1"/>
    <col min="13605" max="13605" width="14.42578125" bestFit="1" customWidth="1"/>
    <col min="13606" max="13606" width="13.28515625" bestFit="1" customWidth="1"/>
    <col min="13607" max="13607" width="11.5703125" bestFit="1" customWidth="1"/>
    <col min="13608" max="13608" width="7.7109375" bestFit="1" customWidth="1"/>
    <col min="13609" max="13610" width="14.42578125" bestFit="1" customWidth="1"/>
    <col min="13611" max="13611" width="11.5703125" bestFit="1" customWidth="1"/>
    <col min="13612" max="13612" width="7.7109375" bestFit="1" customWidth="1"/>
    <col min="13613" max="13613" width="13.5703125" customWidth="1"/>
    <col min="13614" max="13614" width="15.28515625" customWidth="1"/>
    <col min="13615" max="13615" width="14.5703125" customWidth="1"/>
    <col min="13616" max="13616" width="13.28515625" bestFit="1" customWidth="1"/>
    <col min="13617" max="13617" width="7.7109375" bestFit="1" customWidth="1"/>
    <col min="13618" max="13618" width="12.7109375" bestFit="1" customWidth="1"/>
    <col min="13619" max="13619" width="11.7109375" bestFit="1" customWidth="1"/>
    <col min="13620" max="13620" width="11.5703125" bestFit="1" customWidth="1"/>
    <col min="13621" max="13621" width="5.28515625" bestFit="1" customWidth="1"/>
    <col min="13622" max="13622" width="13.28515625" bestFit="1" customWidth="1"/>
    <col min="13623" max="13623" width="13.5703125" bestFit="1" customWidth="1"/>
    <col min="13624" max="13624" width="10.5703125" bestFit="1" customWidth="1"/>
    <col min="13625" max="13625" width="13.28515625" bestFit="1" customWidth="1"/>
    <col min="13626" max="13626" width="11.5703125" bestFit="1" customWidth="1"/>
    <col min="13627" max="13627" width="10.5703125" bestFit="1" customWidth="1"/>
    <col min="13628" max="13628" width="16.140625" bestFit="1" customWidth="1"/>
    <col min="13629" max="13630" width="11.28515625" bestFit="1" customWidth="1"/>
    <col min="13631" max="13631" width="13.28515625" bestFit="1" customWidth="1"/>
    <col min="13632" max="13632" width="7.7109375" bestFit="1" customWidth="1"/>
    <col min="13633" max="13636" width="9.140625" hidden="1" customWidth="1"/>
    <col min="13637" max="13637" width="10.42578125" bestFit="1" customWidth="1"/>
    <col min="13638" max="13638" width="10.5703125" bestFit="1" customWidth="1"/>
    <col min="13639" max="13639" width="10.42578125" bestFit="1" customWidth="1"/>
    <col min="13640" max="13640" width="10.5703125" bestFit="1" customWidth="1"/>
    <col min="13641" max="13641" width="9.5703125" bestFit="1" customWidth="1"/>
    <col min="13642" max="13642" width="11.5703125" bestFit="1" customWidth="1"/>
    <col min="13643" max="13643" width="10.42578125" bestFit="1" customWidth="1"/>
    <col min="13644" max="13644" width="10.85546875" customWidth="1"/>
    <col min="13645" max="13646" width="9.85546875" bestFit="1" customWidth="1"/>
    <col min="13647" max="13647" width="13.5703125" bestFit="1" customWidth="1"/>
    <col min="13648" max="13648" width="7.7109375" bestFit="1" customWidth="1"/>
    <col min="13649" max="13649" width="13.28515625" bestFit="1" customWidth="1"/>
    <col min="13650" max="13650" width="11.5703125" bestFit="1" customWidth="1"/>
    <col min="13651" max="13651" width="10.42578125" bestFit="1" customWidth="1"/>
    <col min="13652" max="13652" width="7.7109375" bestFit="1" customWidth="1"/>
    <col min="13653" max="13653" width="11.5703125" bestFit="1" customWidth="1"/>
    <col min="13654" max="13654" width="10.85546875" bestFit="1" customWidth="1"/>
    <col min="13655" max="13655" width="13.28515625" bestFit="1" customWidth="1"/>
    <col min="13656" max="13656" width="10.85546875" bestFit="1" customWidth="1"/>
    <col min="13657" max="13658" width="7.5703125" bestFit="1" customWidth="1"/>
    <col min="13659" max="13660" width="10.42578125" bestFit="1" customWidth="1"/>
    <col min="13661" max="13661" width="11.5703125" bestFit="1" customWidth="1"/>
    <col min="13662" max="13662" width="5.28515625" bestFit="1" customWidth="1"/>
    <col min="13663" max="13663" width="10.28515625" bestFit="1" customWidth="1"/>
    <col min="13664" max="13664" width="10.42578125" bestFit="1" customWidth="1"/>
    <col min="13665" max="13665" width="11.5703125" bestFit="1" customWidth="1"/>
    <col min="13666" max="13666" width="5.28515625" bestFit="1" customWidth="1"/>
    <col min="13667" max="13669" width="11.5703125" bestFit="1" customWidth="1"/>
    <col min="13670" max="13670" width="5.28515625" bestFit="1" customWidth="1"/>
    <col min="13671" max="13672" width="10.42578125" bestFit="1" customWidth="1"/>
    <col min="13673" max="13673" width="11.5703125" bestFit="1" customWidth="1"/>
    <col min="13674" max="13674" width="5.28515625" bestFit="1" customWidth="1"/>
    <col min="13675" max="13675" width="14.28515625" bestFit="1" customWidth="1"/>
    <col min="13676" max="13676" width="13" bestFit="1" customWidth="1"/>
    <col min="13677" max="13677" width="11.5703125" bestFit="1" customWidth="1"/>
    <col min="13678" max="13678" width="8.85546875" bestFit="1" customWidth="1"/>
    <col min="13679" max="13679" width="14.42578125" bestFit="1" customWidth="1"/>
    <col min="13680" max="13680" width="10.42578125" bestFit="1" customWidth="1"/>
    <col min="13681" max="13681" width="12.28515625" bestFit="1" customWidth="1"/>
    <col min="13682" max="13682" width="13.85546875" bestFit="1" customWidth="1"/>
    <col min="13683" max="13683" width="11.28515625" customWidth="1"/>
    <col min="13684" max="13684" width="11.5703125" customWidth="1"/>
    <col min="13685" max="13685" width="13.42578125" bestFit="1" customWidth="1"/>
    <col min="13686" max="13686" width="10.42578125" customWidth="1"/>
    <col min="13687" max="13687" width="13.85546875" bestFit="1" customWidth="1"/>
    <col min="13688" max="13688" width="15.42578125" bestFit="1" customWidth="1"/>
    <col min="13689" max="13689" width="12.28515625" bestFit="1" customWidth="1"/>
    <col min="13690" max="13690" width="12.7109375" customWidth="1"/>
    <col min="13691" max="13691" width="10.7109375" bestFit="1" customWidth="1"/>
    <col min="13692" max="13692" width="9.85546875" customWidth="1"/>
    <col min="13693" max="13694" width="10.140625" bestFit="1" customWidth="1"/>
    <col min="13695" max="13695" width="7.5703125" bestFit="1" customWidth="1"/>
    <col min="13696" max="13696" width="9.42578125" bestFit="1" customWidth="1"/>
    <col min="13697" max="13697" width="14.5703125" bestFit="1" customWidth="1"/>
    <col min="13698" max="13698" width="14.85546875" customWidth="1"/>
    <col min="13699" max="13699" width="15.140625" bestFit="1" customWidth="1"/>
    <col min="13700" max="13700" width="12.140625" bestFit="1" customWidth="1"/>
    <col min="13701" max="13701" width="14.85546875" bestFit="1" customWidth="1"/>
    <col min="13702" max="13702" width="12.28515625" bestFit="1" customWidth="1"/>
    <col min="13703" max="13711" width="9.140625" hidden="1" customWidth="1"/>
    <col min="13712" max="13712" width="5.28515625" bestFit="1" customWidth="1"/>
    <col min="13713" max="13718" width="11.5703125" bestFit="1" customWidth="1"/>
    <col min="13719" max="13719" width="11.28515625" bestFit="1" customWidth="1"/>
    <col min="13720" max="13720" width="10.140625" bestFit="1" customWidth="1"/>
    <col min="13721" max="13721" width="11.5703125" bestFit="1" customWidth="1"/>
    <col min="13722" max="13722" width="16.140625" customWidth="1"/>
    <col min="13723" max="13723" width="13.42578125" customWidth="1"/>
    <col min="13724" max="13724" width="10.140625" bestFit="1" customWidth="1"/>
    <col min="13725" max="13725" width="12.85546875" bestFit="1" customWidth="1"/>
    <col min="13726" max="13726" width="12.28515625" bestFit="1" customWidth="1"/>
    <col min="13727" max="13727" width="11.28515625" bestFit="1" customWidth="1"/>
    <col min="13728" max="13728" width="11.5703125" bestFit="1" customWidth="1"/>
    <col min="13729" max="13729" width="10.85546875" bestFit="1" customWidth="1"/>
    <col min="13730" max="13730" width="11.28515625" bestFit="1" customWidth="1"/>
    <col min="13731" max="13731" width="10.140625" bestFit="1" customWidth="1"/>
    <col min="13732" max="13732" width="13.28515625" bestFit="1" customWidth="1"/>
    <col min="13733" max="13734" width="12.7109375" bestFit="1" customWidth="1"/>
    <col min="13735" max="13735" width="11" bestFit="1" customWidth="1"/>
    <col min="13736" max="13736" width="11.28515625" bestFit="1" customWidth="1"/>
    <col min="13737" max="13737" width="11.5703125" bestFit="1" customWidth="1"/>
    <col min="13738" max="13738" width="12.28515625" bestFit="1" customWidth="1"/>
    <col min="13739" max="13739" width="15.140625" bestFit="1" customWidth="1"/>
    <col min="13740" max="13740" width="14.42578125" bestFit="1" customWidth="1"/>
    <col min="13741" max="13741" width="12.28515625" bestFit="1" customWidth="1"/>
    <col min="13742" max="13742" width="15.140625" bestFit="1" customWidth="1"/>
    <col min="13743" max="13743" width="14.42578125" bestFit="1" customWidth="1"/>
    <col min="13744" max="13744" width="12.28515625" bestFit="1" customWidth="1"/>
    <col min="13745" max="13745" width="14.42578125" bestFit="1" customWidth="1"/>
    <col min="13746" max="13746" width="11.28515625" bestFit="1" customWidth="1"/>
    <col min="13747" max="13747" width="12.28515625" bestFit="1" customWidth="1"/>
    <col min="13748" max="13748" width="13" bestFit="1" customWidth="1"/>
    <col min="13749" max="13749" width="15.140625" bestFit="1" customWidth="1"/>
    <col min="13750" max="13750" width="12.28515625" bestFit="1" customWidth="1"/>
    <col min="13751" max="13751" width="13.85546875" bestFit="1" customWidth="1"/>
    <col min="13752" max="13752" width="11.28515625" bestFit="1" customWidth="1"/>
    <col min="13753" max="13753" width="12.28515625" bestFit="1" customWidth="1"/>
    <col min="13754" max="13754" width="13.85546875" bestFit="1" customWidth="1"/>
    <col min="13755" max="13756" width="15.140625" bestFit="1" customWidth="1"/>
    <col min="13757" max="13757" width="12.28515625" bestFit="1" customWidth="1"/>
    <col min="13758" max="13758" width="5.7109375" bestFit="1" customWidth="1"/>
    <col min="13759" max="13759" width="8.5703125" bestFit="1" customWidth="1"/>
    <col min="13760" max="13760" width="5.5703125" bestFit="1" customWidth="1"/>
    <col min="13761" max="13761" width="14.42578125" bestFit="1" customWidth="1"/>
    <col min="13762" max="13762" width="11.28515625" bestFit="1" customWidth="1"/>
    <col min="13763" max="13764" width="12.28515625" bestFit="1" customWidth="1"/>
    <col min="13765" max="13765" width="11.28515625" bestFit="1" customWidth="1"/>
    <col min="13766" max="13766" width="13.85546875" bestFit="1" customWidth="1"/>
    <col min="13767" max="13767" width="12" bestFit="1" customWidth="1"/>
    <col min="13768" max="13768" width="13.85546875" bestFit="1" customWidth="1"/>
    <col min="13769" max="13770" width="14.42578125" customWidth="1"/>
    <col min="13771" max="13771" width="10.140625" bestFit="1" customWidth="1"/>
    <col min="13772" max="13772" width="12.28515625" bestFit="1" customWidth="1"/>
    <col min="13773" max="13773" width="7.42578125" bestFit="1" customWidth="1"/>
    <col min="13774" max="13774" width="8.5703125" bestFit="1" customWidth="1"/>
    <col min="13775" max="13775" width="11.5703125" bestFit="1" customWidth="1"/>
    <col min="13776" max="13776" width="13.28515625" bestFit="1" customWidth="1"/>
    <col min="13777" max="13777" width="13.28515625" customWidth="1"/>
    <col min="13778" max="13778" width="13.140625" customWidth="1"/>
    <col min="13779" max="13779" width="12.7109375" bestFit="1" customWidth="1"/>
    <col min="13780" max="13780" width="13.28515625" bestFit="1" customWidth="1"/>
    <col min="13781" max="13783" width="13.28515625" customWidth="1"/>
    <col min="13784" max="13784" width="12.140625" bestFit="1" customWidth="1"/>
    <col min="13785" max="13785" width="12.7109375" bestFit="1" customWidth="1"/>
    <col min="13786" max="13786" width="11" customWidth="1"/>
    <col min="13787" max="13787" width="16.7109375" customWidth="1"/>
    <col min="13788" max="13788" width="17" customWidth="1"/>
    <col min="13789" max="13789" width="10.42578125" bestFit="1" customWidth="1"/>
    <col min="13833" max="13833" width="3.85546875" customWidth="1"/>
    <col min="13834" max="13834" width="15.28515625" bestFit="1" customWidth="1"/>
    <col min="13835" max="13835" width="12.28515625" customWidth="1"/>
    <col min="13836" max="13836" width="16.28515625" bestFit="1" customWidth="1"/>
    <col min="13837" max="13837" width="6.42578125" bestFit="1" customWidth="1"/>
    <col min="13838" max="13838" width="9.28515625" bestFit="1" customWidth="1"/>
    <col min="13839" max="13839" width="7.5703125" bestFit="1" customWidth="1"/>
    <col min="13840" max="13840" width="13.28515625" bestFit="1" customWidth="1"/>
    <col min="13841" max="13841" width="9.28515625" bestFit="1" customWidth="1"/>
    <col min="13842" max="13842" width="11.5703125" bestFit="1" customWidth="1"/>
    <col min="13843" max="13843" width="13.28515625" bestFit="1" customWidth="1"/>
    <col min="13844" max="13844" width="7.140625" bestFit="1" customWidth="1"/>
    <col min="13845" max="13845" width="12" bestFit="1" customWidth="1"/>
    <col min="13846" max="13846" width="13.28515625" bestFit="1" customWidth="1"/>
    <col min="13847" max="13847" width="7" bestFit="1" customWidth="1"/>
    <col min="13848" max="13848" width="12.7109375" bestFit="1" customWidth="1"/>
    <col min="13849" max="13849" width="11.5703125" bestFit="1" customWidth="1"/>
    <col min="13850" max="13850" width="10.5703125" bestFit="1" customWidth="1"/>
    <col min="13851" max="13852" width="15.7109375" bestFit="1" customWidth="1"/>
    <col min="13853" max="13853" width="11.5703125" bestFit="1" customWidth="1"/>
    <col min="13854" max="13854" width="7.7109375" bestFit="1" customWidth="1"/>
    <col min="13855" max="13855" width="15.140625" bestFit="1" customWidth="1"/>
    <col min="13856" max="13856" width="11.5703125" bestFit="1" customWidth="1"/>
    <col min="13857" max="13857" width="13.28515625" bestFit="1" customWidth="1"/>
    <col min="13858" max="13858" width="10.42578125" bestFit="1" customWidth="1"/>
    <col min="13859" max="13859" width="13.28515625" bestFit="1" customWidth="1"/>
    <col min="13860" max="13860" width="12.140625" bestFit="1" customWidth="1"/>
    <col min="13861" max="13861" width="14.42578125" bestFit="1" customWidth="1"/>
    <col min="13862" max="13862" width="13.28515625" bestFit="1" customWidth="1"/>
    <col min="13863" max="13863" width="11.5703125" bestFit="1" customWidth="1"/>
    <col min="13864" max="13864" width="7.7109375" bestFit="1" customWidth="1"/>
    <col min="13865" max="13866" width="14.42578125" bestFit="1" customWidth="1"/>
    <col min="13867" max="13867" width="11.5703125" bestFit="1" customWidth="1"/>
    <col min="13868" max="13868" width="7.7109375" bestFit="1" customWidth="1"/>
    <col min="13869" max="13869" width="13.5703125" customWidth="1"/>
    <col min="13870" max="13870" width="15.28515625" customWidth="1"/>
    <col min="13871" max="13871" width="14.5703125" customWidth="1"/>
    <col min="13872" max="13872" width="13.28515625" bestFit="1" customWidth="1"/>
    <col min="13873" max="13873" width="7.7109375" bestFit="1" customWidth="1"/>
    <col min="13874" max="13874" width="12.7109375" bestFit="1" customWidth="1"/>
    <col min="13875" max="13875" width="11.7109375" bestFit="1" customWidth="1"/>
    <col min="13876" max="13876" width="11.5703125" bestFit="1" customWidth="1"/>
    <col min="13877" max="13877" width="5.28515625" bestFit="1" customWidth="1"/>
    <col min="13878" max="13878" width="13.28515625" bestFit="1" customWidth="1"/>
    <col min="13879" max="13879" width="13.5703125" bestFit="1" customWidth="1"/>
    <col min="13880" max="13880" width="10.5703125" bestFit="1" customWidth="1"/>
    <col min="13881" max="13881" width="13.28515625" bestFit="1" customWidth="1"/>
    <col min="13882" max="13882" width="11.5703125" bestFit="1" customWidth="1"/>
    <col min="13883" max="13883" width="10.5703125" bestFit="1" customWidth="1"/>
    <col min="13884" max="13884" width="16.140625" bestFit="1" customWidth="1"/>
    <col min="13885" max="13886" width="11.28515625" bestFit="1" customWidth="1"/>
    <col min="13887" max="13887" width="13.28515625" bestFit="1" customWidth="1"/>
    <col min="13888" max="13888" width="7.7109375" bestFit="1" customWidth="1"/>
    <col min="13889" max="13892" width="9.140625" hidden="1" customWidth="1"/>
    <col min="13893" max="13893" width="10.42578125" bestFit="1" customWidth="1"/>
    <col min="13894" max="13894" width="10.5703125" bestFit="1" customWidth="1"/>
    <col min="13895" max="13895" width="10.42578125" bestFit="1" customWidth="1"/>
    <col min="13896" max="13896" width="10.5703125" bestFit="1" customWidth="1"/>
    <col min="13897" max="13897" width="9.5703125" bestFit="1" customWidth="1"/>
    <col min="13898" max="13898" width="11.5703125" bestFit="1" customWidth="1"/>
    <col min="13899" max="13899" width="10.42578125" bestFit="1" customWidth="1"/>
    <col min="13900" max="13900" width="10.85546875" customWidth="1"/>
    <col min="13901" max="13902" width="9.85546875" bestFit="1" customWidth="1"/>
    <col min="13903" max="13903" width="13.5703125" bestFit="1" customWidth="1"/>
    <col min="13904" max="13904" width="7.7109375" bestFit="1" customWidth="1"/>
    <col min="13905" max="13905" width="13.28515625" bestFit="1" customWidth="1"/>
    <col min="13906" max="13906" width="11.5703125" bestFit="1" customWidth="1"/>
    <col min="13907" max="13907" width="10.42578125" bestFit="1" customWidth="1"/>
    <col min="13908" max="13908" width="7.7109375" bestFit="1" customWidth="1"/>
    <col min="13909" max="13909" width="11.5703125" bestFit="1" customWidth="1"/>
    <col min="13910" max="13910" width="10.85546875" bestFit="1" customWidth="1"/>
    <col min="13911" max="13911" width="13.28515625" bestFit="1" customWidth="1"/>
    <col min="13912" max="13912" width="10.85546875" bestFit="1" customWidth="1"/>
    <col min="13913" max="13914" width="7.5703125" bestFit="1" customWidth="1"/>
    <col min="13915" max="13916" width="10.42578125" bestFit="1" customWidth="1"/>
    <col min="13917" max="13917" width="11.5703125" bestFit="1" customWidth="1"/>
    <col min="13918" max="13918" width="5.28515625" bestFit="1" customWidth="1"/>
    <col min="13919" max="13919" width="10.28515625" bestFit="1" customWidth="1"/>
    <col min="13920" max="13920" width="10.42578125" bestFit="1" customWidth="1"/>
    <col min="13921" max="13921" width="11.5703125" bestFit="1" customWidth="1"/>
    <col min="13922" max="13922" width="5.28515625" bestFit="1" customWidth="1"/>
    <col min="13923" max="13925" width="11.5703125" bestFit="1" customWidth="1"/>
    <col min="13926" max="13926" width="5.28515625" bestFit="1" customWidth="1"/>
    <col min="13927" max="13928" width="10.42578125" bestFit="1" customWidth="1"/>
    <col min="13929" max="13929" width="11.5703125" bestFit="1" customWidth="1"/>
    <col min="13930" max="13930" width="5.28515625" bestFit="1" customWidth="1"/>
    <col min="13931" max="13931" width="14.28515625" bestFit="1" customWidth="1"/>
    <col min="13932" max="13932" width="13" bestFit="1" customWidth="1"/>
    <col min="13933" max="13933" width="11.5703125" bestFit="1" customWidth="1"/>
    <col min="13934" max="13934" width="8.85546875" bestFit="1" customWidth="1"/>
    <col min="13935" max="13935" width="14.42578125" bestFit="1" customWidth="1"/>
    <col min="13936" max="13936" width="10.42578125" bestFit="1" customWidth="1"/>
    <col min="13937" max="13937" width="12.28515625" bestFit="1" customWidth="1"/>
    <col min="13938" max="13938" width="13.85546875" bestFit="1" customWidth="1"/>
    <col min="13939" max="13939" width="11.28515625" customWidth="1"/>
    <col min="13940" max="13940" width="11.5703125" customWidth="1"/>
    <col min="13941" max="13941" width="13.42578125" bestFit="1" customWidth="1"/>
    <col min="13942" max="13942" width="10.42578125" customWidth="1"/>
    <col min="13943" max="13943" width="13.85546875" bestFit="1" customWidth="1"/>
    <col min="13944" max="13944" width="15.42578125" bestFit="1" customWidth="1"/>
    <col min="13945" max="13945" width="12.28515625" bestFit="1" customWidth="1"/>
    <col min="13946" max="13946" width="12.7109375" customWidth="1"/>
    <col min="13947" max="13947" width="10.7109375" bestFit="1" customWidth="1"/>
    <col min="13948" max="13948" width="9.85546875" customWidth="1"/>
    <col min="13949" max="13950" width="10.140625" bestFit="1" customWidth="1"/>
    <col min="13951" max="13951" width="7.5703125" bestFit="1" customWidth="1"/>
    <col min="13952" max="13952" width="9.42578125" bestFit="1" customWidth="1"/>
    <col min="13953" max="13953" width="14.5703125" bestFit="1" customWidth="1"/>
    <col min="13954" max="13954" width="14.85546875" customWidth="1"/>
    <col min="13955" max="13955" width="15.140625" bestFit="1" customWidth="1"/>
    <col min="13956" max="13956" width="12.140625" bestFit="1" customWidth="1"/>
    <col min="13957" max="13957" width="14.85546875" bestFit="1" customWidth="1"/>
    <col min="13958" max="13958" width="12.28515625" bestFit="1" customWidth="1"/>
    <col min="13959" max="13967" width="9.140625" hidden="1" customWidth="1"/>
    <col min="13968" max="13968" width="5.28515625" bestFit="1" customWidth="1"/>
    <col min="13969" max="13974" width="11.5703125" bestFit="1" customWidth="1"/>
    <col min="13975" max="13975" width="11.28515625" bestFit="1" customWidth="1"/>
    <col min="13976" max="13976" width="10.140625" bestFit="1" customWidth="1"/>
    <col min="13977" max="13977" width="11.5703125" bestFit="1" customWidth="1"/>
    <col min="13978" max="13978" width="16.140625" customWidth="1"/>
    <col min="13979" max="13979" width="13.42578125" customWidth="1"/>
    <col min="13980" max="13980" width="10.140625" bestFit="1" customWidth="1"/>
    <col min="13981" max="13981" width="12.85546875" bestFit="1" customWidth="1"/>
    <col min="13982" max="13982" width="12.28515625" bestFit="1" customWidth="1"/>
    <col min="13983" max="13983" width="11.28515625" bestFit="1" customWidth="1"/>
    <col min="13984" max="13984" width="11.5703125" bestFit="1" customWidth="1"/>
    <col min="13985" max="13985" width="10.85546875" bestFit="1" customWidth="1"/>
    <col min="13986" max="13986" width="11.28515625" bestFit="1" customWidth="1"/>
    <col min="13987" max="13987" width="10.140625" bestFit="1" customWidth="1"/>
    <col min="13988" max="13988" width="13.28515625" bestFit="1" customWidth="1"/>
    <col min="13989" max="13990" width="12.7109375" bestFit="1" customWidth="1"/>
    <col min="13991" max="13991" width="11" bestFit="1" customWidth="1"/>
    <col min="13992" max="13992" width="11.28515625" bestFit="1" customWidth="1"/>
    <col min="13993" max="13993" width="11.5703125" bestFit="1" customWidth="1"/>
    <col min="13994" max="13994" width="12.28515625" bestFit="1" customWidth="1"/>
    <col min="13995" max="13995" width="15.140625" bestFit="1" customWidth="1"/>
    <col min="13996" max="13996" width="14.42578125" bestFit="1" customWidth="1"/>
    <col min="13997" max="13997" width="12.28515625" bestFit="1" customWidth="1"/>
    <col min="13998" max="13998" width="15.140625" bestFit="1" customWidth="1"/>
    <col min="13999" max="13999" width="14.42578125" bestFit="1" customWidth="1"/>
    <col min="14000" max="14000" width="12.28515625" bestFit="1" customWidth="1"/>
    <col min="14001" max="14001" width="14.42578125" bestFit="1" customWidth="1"/>
    <col min="14002" max="14002" width="11.28515625" bestFit="1" customWidth="1"/>
    <col min="14003" max="14003" width="12.28515625" bestFit="1" customWidth="1"/>
    <col min="14004" max="14004" width="13" bestFit="1" customWidth="1"/>
    <col min="14005" max="14005" width="15.140625" bestFit="1" customWidth="1"/>
    <col min="14006" max="14006" width="12.28515625" bestFit="1" customWidth="1"/>
    <col min="14007" max="14007" width="13.85546875" bestFit="1" customWidth="1"/>
    <col min="14008" max="14008" width="11.28515625" bestFit="1" customWidth="1"/>
    <col min="14009" max="14009" width="12.28515625" bestFit="1" customWidth="1"/>
    <col min="14010" max="14010" width="13.85546875" bestFit="1" customWidth="1"/>
    <col min="14011" max="14012" width="15.140625" bestFit="1" customWidth="1"/>
    <col min="14013" max="14013" width="12.28515625" bestFit="1" customWidth="1"/>
    <col min="14014" max="14014" width="5.7109375" bestFit="1" customWidth="1"/>
    <col min="14015" max="14015" width="8.5703125" bestFit="1" customWidth="1"/>
    <col min="14016" max="14016" width="5.5703125" bestFit="1" customWidth="1"/>
    <col min="14017" max="14017" width="14.42578125" bestFit="1" customWidth="1"/>
    <col min="14018" max="14018" width="11.28515625" bestFit="1" customWidth="1"/>
    <col min="14019" max="14020" width="12.28515625" bestFit="1" customWidth="1"/>
    <col min="14021" max="14021" width="11.28515625" bestFit="1" customWidth="1"/>
    <col min="14022" max="14022" width="13.85546875" bestFit="1" customWidth="1"/>
    <col min="14023" max="14023" width="12" bestFit="1" customWidth="1"/>
    <col min="14024" max="14024" width="13.85546875" bestFit="1" customWidth="1"/>
    <col min="14025" max="14026" width="14.42578125" customWidth="1"/>
    <col min="14027" max="14027" width="10.140625" bestFit="1" customWidth="1"/>
    <col min="14028" max="14028" width="12.28515625" bestFit="1" customWidth="1"/>
    <col min="14029" max="14029" width="7.42578125" bestFit="1" customWidth="1"/>
    <col min="14030" max="14030" width="8.5703125" bestFit="1" customWidth="1"/>
    <col min="14031" max="14031" width="11.5703125" bestFit="1" customWidth="1"/>
    <col min="14032" max="14032" width="13.28515625" bestFit="1" customWidth="1"/>
    <col min="14033" max="14033" width="13.28515625" customWidth="1"/>
    <col min="14034" max="14034" width="13.140625" customWidth="1"/>
    <col min="14035" max="14035" width="12.7109375" bestFit="1" customWidth="1"/>
    <col min="14036" max="14036" width="13.28515625" bestFit="1" customWidth="1"/>
    <col min="14037" max="14039" width="13.28515625" customWidth="1"/>
    <col min="14040" max="14040" width="12.140625" bestFit="1" customWidth="1"/>
    <col min="14041" max="14041" width="12.7109375" bestFit="1" customWidth="1"/>
    <col min="14042" max="14042" width="11" customWidth="1"/>
    <col min="14043" max="14043" width="16.7109375" customWidth="1"/>
    <col min="14044" max="14044" width="17" customWidth="1"/>
    <col min="14045" max="14045" width="10.42578125" bestFit="1" customWidth="1"/>
    <col min="14089" max="14089" width="3.85546875" customWidth="1"/>
    <col min="14090" max="14090" width="15.28515625" bestFit="1" customWidth="1"/>
    <col min="14091" max="14091" width="12.28515625" customWidth="1"/>
    <col min="14092" max="14092" width="16.28515625" bestFit="1" customWidth="1"/>
    <col min="14093" max="14093" width="6.42578125" bestFit="1" customWidth="1"/>
    <col min="14094" max="14094" width="9.28515625" bestFit="1" customWidth="1"/>
    <col min="14095" max="14095" width="7.5703125" bestFit="1" customWidth="1"/>
    <col min="14096" max="14096" width="13.28515625" bestFit="1" customWidth="1"/>
    <col min="14097" max="14097" width="9.28515625" bestFit="1" customWidth="1"/>
    <col min="14098" max="14098" width="11.5703125" bestFit="1" customWidth="1"/>
    <col min="14099" max="14099" width="13.28515625" bestFit="1" customWidth="1"/>
    <col min="14100" max="14100" width="7.140625" bestFit="1" customWidth="1"/>
    <col min="14101" max="14101" width="12" bestFit="1" customWidth="1"/>
    <col min="14102" max="14102" width="13.28515625" bestFit="1" customWidth="1"/>
    <col min="14103" max="14103" width="7" bestFit="1" customWidth="1"/>
    <col min="14104" max="14104" width="12.7109375" bestFit="1" customWidth="1"/>
    <col min="14105" max="14105" width="11.5703125" bestFit="1" customWidth="1"/>
    <col min="14106" max="14106" width="10.5703125" bestFit="1" customWidth="1"/>
    <col min="14107" max="14108" width="15.7109375" bestFit="1" customWidth="1"/>
    <col min="14109" max="14109" width="11.5703125" bestFit="1" customWidth="1"/>
    <col min="14110" max="14110" width="7.7109375" bestFit="1" customWidth="1"/>
    <col min="14111" max="14111" width="15.140625" bestFit="1" customWidth="1"/>
    <col min="14112" max="14112" width="11.5703125" bestFit="1" customWidth="1"/>
    <col min="14113" max="14113" width="13.28515625" bestFit="1" customWidth="1"/>
    <col min="14114" max="14114" width="10.42578125" bestFit="1" customWidth="1"/>
    <col min="14115" max="14115" width="13.28515625" bestFit="1" customWidth="1"/>
    <col min="14116" max="14116" width="12.140625" bestFit="1" customWidth="1"/>
    <col min="14117" max="14117" width="14.42578125" bestFit="1" customWidth="1"/>
    <col min="14118" max="14118" width="13.28515625" bestFit="1" customWidth="1"/>
    <col min="14119" max="14119" width="11.5703125" bestFit="1" customWidth="1"/>
    <col min="14120" max="14120" width="7.7109375" bestFit="1" customWidth="1"/>
    <col min="14121" max="14122" width="14.42578125" bestFit="1" customWidth="1"/>
    <col min="14123" max="14123" width="11.5703125" bestFit="1" customWidth="1"/>
    <col min="14124" max="14124" width="7.7109375" bestFit="1" customWidth="1"/>
    <col min="14125" max="14125" width="13.5703125" customWidth="1"/>
    <col min="14126" max="14126" width="15.28515625" customWidth="1"/>
    <col min="14127" max="14127" width="14.5703125" customWidth="1"/>
    <col min="14128" max="14128" width="13.28515625" bestFit="1" customWidth="1"/>
    <col min="14129" max="14129" width="7.7109375" bestFit="1" customWidth="1"/>
    <col min="14130" max="14130" width="12.7109375" bestFit="1" customWidth="1"/>
    <col min="14131" max="14131" width="11.7109375" bestFit="1" customWidth="1"/>
    <col min="14132" max="14132" width="11.5703125" bestFit="1" customWidth="1"/>
    <col min="14133" max="14133" width="5.28515625" bestFit="1" customWidth="1"/>
    <col min="14134" max="14134" width="13.28515625" bestFit="1" customWidth="1"/>
    <col min="14135" max="14135" width="13.5703125" bestFit="1" customWidth="1"/>
    <col min="14136" max="14136" width="10.5703125" bestFit="1" customWidth="1"/>
    <col min="14137" max="14137" width="13.28515625" bestFit="1" customWidth="1"/>
    <col min="14138" max="14138" width="11.5703125" bestFit="1" customWidth="1"/>
    <col min="14139" max="14139" width="10.5703125" bestFit="1" customWidth="1"/>
    <col min="14140" max="14140" width="16.140625" bestFit="1" customWidth="1"/>
    <col min="14141" max="14142" width="11.28515625" bestFit="1" customWidth="1"/>
    <col min="14143" max="14143" width="13.28515625" bestFit="1" customWidth="1"/>
    <col min="14144" max="14144" width="7.7109375" bestFit="1" customWidth="1"/>
    <col min="14145" max="14148" width="9.140625" hidden="1" customWidth="1"/>
    <col min="14149" max="14149" width="10.42578125" bestFit="1" customWidth="1"/>
    <col min="14150" max="14150" width="10.5703125" bestFit="1" customWidth="1"/>
    <col min="14151" max="14151" width="10.42578125" bestFit="1" customWidth="1"/>
    <col min="14152" max="14152" width="10.5703125" bestFit="1" customWidth="1"/>
    <col min="14153" max="14153" width="9.5703125" bestFit="1" customWidth="1"/>
    <col min="14154" max="14154" width="11.5703125" bestFit="1" customWidth="1"/>
    <col min="14155" max="14155" width="10.42578125" bestFit="1" customWidth="1"/>
    <col min="14156" max="14156" width="10.85546875" customWidth="1"/>
    <col min="14157" max="14158" width="9.85546875" bestFit="1" customWidth="1"/>
    <col min="14159" max="14159" width="13.5703125" bestFit="1" customWidth="1"/>
    <col min="14160" max="14160" width="7.7109375" bestFit="1" customWidth="1"/>
    <col min="14161" max="14161" width="13.28515625" bestFit="1" customWidth="1"/>
    <col min="14162" max="14162" width="11.5703125" bestFit="1" customWidth="1"/>
    <col min="14163" max="14163" width="10.42578125" bestFit="1" customWidth="1"/>
    <col min="14164" max="14164" width="7.7109375" bestFit="1" customWidth="1"/>
    <col min="14165" max="14165" width="11.5703125" bestFit="1" customWidth="1"/>
    <col min="14166" max="14166" width="10.85546875" bestFit="1" customWidth="1"/>
    <col min="14167" max="14167" width="13.28515625" bestFit="1" customWidth="1"/>
    <col min="14168" max="14168" width="10.85546875" bestFit="1" customWidth="1"/>
    <col min="14169" max="14170" width="7.5703125" bestFit="1" customWidth="1"/>
    <col min="14171" max="14172" width="10.42578125" bestFit="1" customWidth="1"/>
    <col min="14173" max="14173" width="11.5703125" bestFit="1" customWidth="1"/>
    <col min="14174" max="14174" width="5.28515625" bestFit="1" customWidth="1"/>
    <col min="14175" max="14175" width="10.28515625" bestFit="1" customWidth="1"/>
    <col min="14176" max="14176" width="10.42578125" bestFit="1" customWidth="1"/>
    <col min="14177" max="14177" width="11.5703125" bestFit="1" customWidth="1"/>
    <col min="14178" max="14178" width="5.28515625" bestFit="1" customWidth="1"/>
    <col min="14179" max="14181" width="11.5703125" bestFit="1" customWidth="1"/>
    <col min="14182" max="14182" width="5.28515625" bestFit="1" customWidth="1"/>
    <col min="14183" max="14184" width="10.42578125" bestFit="1" customWidth="1"/>
    <col min="14185" max="14185" width="11.5703125" bestFit="1" customWidth="1"/>
    <col min="14186" max="14186" width="5.28515625" bestFit="1" customWidth="1"/>
    <col min="14187" max="14187" width="14.28515625" bestFit="1" customWidth="1"/>
    <col min="14188" max="14188" width="13" bestFit="1" customWidth="1"/>
    <col min="14189" max="14189" width="11.5703125" bestFit="1" customWidth="1"/>
    <col min="14190" max="14190" width="8.85546875" bestFit="1" customWidth="1"/>
    <col min="14191" max="14191" width="14.42578125" bestFit="1" customWidth="1"/>
    <col min="14192" max="14192" width="10.42578125" bestFit="1" customWidth="1"/>
    <col min="14193" max="14193" width="12.28515625" bestFit="1" customWidth="1"/>
    <col min="14194" max="14194" width="13.85546875" bestFit="1" customWidth="1"/>
    <col min="14195" max="14195" width="11.28515625" customWidth="1"/>
    <col min="14196" max="14196" width="11.5703125" customWidth="1"/>
    <col min="14197" max="14197" width="13.42578125" bestFit="1" customWidth="1"/>
    <col min="14198" max="14198" width="10.42578125" customWidth="1"/>
    <col min="14199" max="14199" width="13.85546875" bestFit="1" customWidth="1"/>
    <col min="14200" max="14200" width="15.42578125" bestFit="1" customWidth="1"/>
    <col min="14201" max="14201" width="12.28515625" bestFit="1" customWidth="1"/>
    <col min="14202" max="14202" width="12.7109375" customWidth="1"/>
    <col min="14203" max="14203" width="10.7109375" bestFit="1" customWidth="1"/>
    <col min="14204" max="14204" width="9.85546875" customWidth="1"/>
    <col min="14205" max="14206" width="10.140625" bestFit="1" customWidth="1"/>
    <col min="14207" max="14207" width="7.5703125" bestFit="1" customWidth="1"/>
    <col min="14208" max="14208" width="9.42578125" bestFit="1" customWidth="1"/>
    <col min="14209" max="14209" width="14.5703125" bestFit="1" customWidth="1"/>
    <col min="14210" max="14210" width="14.85546875" customWidth="1"/>
    <col min="14211" max="14211" width="15.140625" bestFit="1" customWidth="1"/>
    <col min="14212" max="14212" width="12.140625" bestFit="1" customWidth="1"/>
    <col min="14213" max="14213" width="14.85546875" bestFit="1" customWidth="1"/>
    <col min="14214" max="14214" width="12.28515625" bestFit="1" customWidth="1"/>
    <col min="14215" max="14223" width="9.140625" hidden="1" customWidth="1"/>
    <col min="14224" max="14224" width="5.28515625" bestFit="1" customWidth="1"/>
    <col min="14225" max="14230" width="11.5703125" bestFit="1" customWidth="1"/>
    <col min="14231" max="14231" width="11.28515625" bestFit="1" customWidth="1"/>
    <col min="14232" max="14232" width="10.140625" bestFit="1" customWidth="1"/>
    <col min="14233" max="14233" width="11.5703125" bestFit="1" customWidth="1"/>
    <col min="14234" max="14234" width="16.140625" customWidth="1"/>
    <col min="14235" max="14235" width="13.42578125" customWidth="1"/>
    <col min="14236" max="14236" width="10.140625" bestFit="1" customWidth="1"/>
    <col min="14237" max="14237" width="12.85546875" bestFit="1" customWidth="1"/>
    <col min="14238" max="14238" width="12.28515625" bestFit="1" customWidth="1"/>
    <col min="14239" max="14239" width="11.28515625" bestFit="1" customWidth="1"/>
    <col min="14240" max="14240" width="11.5703125" bestFit="1" customWidth="1"/>
    <col min="14241" max="14241" width="10.85546875" bestFit="1" customWidth="1"/>
    <col min="14242" max="14242" width="11.28515625" bestFit="1" customWidth="1"/>
    <col min="14243" max="14243" width="10.140625" bestFit="1" customWidth="1"/>
    <col min="14244" max="14244" width="13.28515625" bestFit="1" customWidth="1"/>
    <col min="14245" max="14246" width="12.7109375" bestFit="1" customWidth="1"/>
    <col min="14247" max="14247" width="11" bestFit="1" customWidth="1"/>
    <col min="14248" max="14248" width="11.28515625" bestFit="1" customWidth="1"/>
    <col min="14249" max="14249" width="11.5703125" bestFit="1" customWidth="1"/>
    <col min="14250" max="14250" width="12.28515625" bestFit="1" customWidth="1"/>
    <col min="14251" max="14251" width="15.140625" bestFit="1" customWidth="1"/>
    <col min="14252" max="14252" width="14.42578125" bestFit="1" customWidth="1"/>
    <col min="14253" max="14253" width="12.28515625" bestFit="1" customWidth="1"/>
    <col min="14254" max="14254" width="15.140625" bestFit="1" customWidth="1"/>
    <col min="14255" max="14255" width="14.42578125" bestFit="1" customWidth="1"/>
    <col min="14256" max="14256" width="12.28515625" bestFit="1" customWidth="1"/>
    <col min="14257" max="14257" width="14.42578125" bestFit="1" customWidth="1"/>
    <col min="14258" max="14258" width="11.28515625" bestFit="1" customWidth="1"/>
    <col min="14259" max="14259" width="12.28515625" bestFit="1" customWidth="1"/>
    <col min="14260" max="14260" width="13" bestFit="1" customWidth="1"/>
    <col min="14261" max="14261" width="15.140625" bestFit="1" customWidth="1"/>
    <col min="14262" max="14262" width="12.28515625" bestFit="1" customWidth="1"/>
    <col min="14263" max="14263" width="13.85546875" bestFit="1" customWidth="1"/>
    <col min="14264" max="14264" width="11.28515625" bestFit="1" customWidth="1"/>
    <col min="14265" max="14265" width="12.28515625" bestFit="1" customWidth="1"/>
    <col min="14266" max="14266" width="13.85546875" bestFit="1" customWidth="1"/>
    <col min="14267" max="14268" width="15.140625" bestFit="1" customWidth="1"/>
    <col min="14269" max="14269" width="12.28515625" bestFit="1" customWidth="1"/>
    <col min="14270" max="14270" width="5.7109375" bestFit="1" customWidth="1"/>
    <col min="14271" max="14271" width="8.5703125" bestFit="1" customWidth="1"/>
    <col min="14272" max="14272" width="5.5703125" bestFit="1" customWidth="1"/>
    <col min="14273" max="14273" width="14.42578125" bestFit="1" customWidth="1"/>
    <col min="14274" max="14274" width="11.28515625" bestFit="1" customWidth="1"/>
    <col min="14275" max="14276" width="12.28515625" bestFit="1" customWidth="1"/>
    <col min="14277" max="14277" width="11.28515625" bestFit="1" customWidth="1"/>
    <col min="14278" max="14278" width="13.85546875" bestFit="1" customWidth="1"/>
    <col min="14279" max="14279" width="12" bestFit="1" customWidth="1"/>
    <col min="14280" max="14280" width="13.85546875" bestFit="1" customWidth="1"/>
    <col min="14281" max="14282" width="14.42578125" customWidth="1"/>
    <col min="14283" max="14283" width="10.140625" bestFit="1" customWidth="1"/>
    <col min="14284" max="14284" width="12.28515625" bestFit="1" customWidth="1"/>
    <col min="14285" max="14285" width="7.42578125" bestFit="1" customWidth="1"/>
    <col min="14286" max="14286" width="8.5703125" bestFit="1" customWidth="1"/>
    <col min="14287" max="14287" width="11.5703125" bestFit="1" customWidth="1"/>
    <col min="14288" max="14288" width="13.28515625" bestFit="1" customWidth="1"/>
    <col min="14289" max="14289" width="13.28515625" customWidth="1"/>
    <col min="14290" max="14290" width="13.140625" customWidth="1"/>
    <col min="14291" max="14291" width="12.7109375" bestFit="1" customWidth="1"/>
    <col min="14292" max="14292" width="13.28515625" bestFit="1" customWidth="1"/>
    <col min="14293" max="14295" width="13.28515625" customWidth="1"/>
    <col min="14296" max="14296" width="12.140625" bestFit="1" customWidth="1"/>
    <col min="14297" max="14297" width="12.7109375" bestFit="1" customWidth="1"/>
    <col min="14298" max="14298" width="11" customWidth="1"/>
    <col min="14299" max="14299" width="16.7109375" customWidth="1"/>
    <col min="14300" max="14300" width="17" customWidth="1"/>
    <col min="14301" max="14301" width="10.42578125" bestFit="1" customWidth="1"/>
    <col min="14345" max="14345" width="3.85546875" customWidth="1"/>
    <col min="14346" max="14346" width="15.28515625" bestFit="1" customWidth="1"/>
    <col min="14347" max="14347" width="12.28515625" customWidth="1"/>
    <col min="14348" max="14348" width="16.28515625" bestFit="1" customWidth="1"/>
    <col min="14349" max="14349" width="6.42578125" bestFit="1" customWidth="1"/>
    <col min="14350" max="14350" width="9.28515625" bestFit="1" customWidth="1"/>
    <col min="14351" max="14351" width="7.5703125" bestFit="1" customWidth="1"/>
    <col min="14352" max="14352" width="13.28515625" bestFit="1" customWidth="1"/>
    <col min="14353" max="14353" width="9.28515625" bestFit="1" customWidth="1"/>
    <col min="14354" max="14354" width="11.5703125" bestFit="1" customWidth="1"/>
    <col min="14355" max="14355" width="13.28515625" bestFit="1" customWidth="1"/>
    <col min="14356" max="14356" width="7.140625" bestFit="1" customWidth="1"/>
    <col min="14357" max="14357" width="12" bestFit="1" customWidth="1"/>
    <col min="14358" max="14358" width="13.28515625" bestFit="1" customWidth="1"/>
    <col min="14359" max="14359" width="7" bestFit="1" customWidth="1"/>
    <col min="14360" max="14360" width="12.7109375" bestFit="1" customWidth="1"/>
    <col min="14361" max="14361" width="11.5703125" bestFit="1" customWidth="1"/>
    <col min="14362" max="14362" width="10.5703125" bestFit="1" customWidth="1"/>
    <col min="14363" max="14364" width="15.7109375" bestFit="1" customWidth="1"/>
    <col min="14365" max="14365" width="11.5703125" bestFit="1" customWidth="1"/>
    <col min="14366" max="14366" width="7.7109375" bestFit="1" customWidth="1"/>
    <col min="14367" max="14367" width="15.140625" bestFit="1" customWidth="1"/>
    <col min="14368" max="14368" width="11.5703125" bestFit="1" customWidth="1"/>
    <col min="14369" max="14369" width="13.28515625" bestFit="1" customWidth="1"/>
    <col min="14370" max="14370" width="10.42578125" bestFit="1" customWidth="1"/>
    <col min="14371" max="14371" width="13.28515625" bestFit="1" customWidth="1"/>
    <col min="14372" max="14372" width="12.140625" bestFit="1" customWidth="1"/>
    <col min="14373" max="14373" width="14.42578125" bestFit="1" customWidth="1"/>
    <col min="14374" max="14374" width="13.28515625" bestFit="1" customWidth="1"/>
    <col min="14375" max="14375" width="11.5703125" bestFit="1" customWidth="1"/>
    <col min="14376" max="14376" width="7.7109375" bestFit="1" customWidth="1"/>
    <col min="14377" max="14378" width="14.42578125" bestFit="1" customWidth="1"/>
    <col min="14379" max="14379" width="11.5703125" bestFit="1" customWidth="1"/>
    <col min="14380" max="14380" width="7.7109375" bestFit="1" customWidth="1"/>
    <col min="14381" max="14381" width="13.5703125" customWidth="1"/>
    <col min="14382" max="14382" width="15.28515625" customWidth="1"/>
    <col min="14383" max="14383" width="14.5703125" customWidth="1"/>
    <col min="14384" max="14384" width="13.28515625" bestFit="1" customWidth="1"/>
    <col min="14385" max="14385" width="7.7109375" bestFit="1" customWidth="1"/>
    <col min="14386" max="14386" width="12.7109375" bestFit="1" customWidth="1"/>
    <col min="14387" max="14387" width="11.7109375" bestFit="1" customWidth="1"/>
    <col min="14388" max="14388" width="11.5703125" bestFit="1" customWidth="1"/>
    <col min="14389" max="14389" width="5.28515625" bestFit="1" customWidth="1"/>
    <col min="14390" max="14390" width="13.28515625" bestFit="1" customWidth="1"/>
    <col min="14391" max="14391" width="13.5703125" bestFit="1" customWidth="1"/>
    <col min="14392" max="14392" width="10.5703125" bestFit="1" customWidth="1"/>
    <col min="14393" max="14393" width="13.28515625" bestFit="1" customWidth="1"/>
    <col min="14394" max="14394" width="11.5703125" bestFit="1" customWidth="1"/>
    <col min="14395" max="14395" width="10.5703125" bestFit="1" customWidth="1"/>
    <col min="14396" max="14396" width="16.140625" bestFit="1" customWidth="1"/>
    <col min="14397" max="14398" width="11.28515625" bestFit="1" customWidth="1"/>
    <col min="14399" max="14399" width="13.28515625" bestFit="1" customWidth="1"/>
    <col min="14400" max="14400" width="7.7109375" bestFit="1" customWidth="1"/>
    <col min="14401" max="14404" width="9.140625" hidden="1" customWidth="1"/>
    <col min="14405" max="14405" width="10.42578125" bestFit="1" customWidth="1"/>
    <col min="14406" max="14406" width="10.5703125" bestFit="1" customWidth="1"/>
    <col min="14407" max="14407" width="10.42578125" bestFit="1" customWidth="1"/>
    <col min="14408" max="14408" width="10.5703125" bestFit="1" customWidth="1"/>
    <col min="14409" max="14409" width="9.5703125" bestFit="1" customWidth="1"/>
    <col min="14410" max="14410" width="11.5703125" bestFit="1" customWidth="1"/>
    <col min="14411" max="14411" width="10.42578125" bestFit="1" customWidth="1"/>
    <col min="14412" max="14412" width="10.85546875" customWidth="1"/>
    <col min="14413" max="14414" width="9.85546875" bestFit="1" customWidth="1"/>
    <col min="14415" max="14415" width="13.5703125" bestFit="1" customWidth="1"/>
    <col min="14416" max="14416" width="7.7109375" bestFit="1" customWidth="1"/>
    <col min="14417" max="14417" width="13.28515625" bestFit="1" customWidth="1"/>
    <col min="14418" max="14418" width="11.5703125" bestFit="1" customWidth="1"/>
    <col min="14419" max="14419" width="10.42578125" bestFit="1" customWidth="1"/>
    <col min="14420" max="14420" width="7.7109375" bestFit="1" customWidth="1"/>
    <col min="14421" max="14421" width="11.5703125" bestFit="1" customWidth="1"/>
    <col min="14422" max="14422" width="10.85546875" bestFit="1" customWidth="1"/>
    <col min="14423" max="14423" width="13.28515625" bestFit="1" customWidth="1"/>
    <col min="14424" max="14424" width="10.85546875" bestFit="1" customWidth="1"/>
    <col min="14425" max="14426" width="7.5703125" bestFit="1" customWidth="1"/>
    <col min="14427" max="14428" width="10.42578125" bestFit="1" customWidth="1"/>
    <col min="14429" max="14429" width="11.5703125" bestFit="1" customWidth="1"/>
    <col min="14430" max="14430" width="5.28515625" bestFit="1" customWidth="1"/>
    <col min="14431" max="14431" width="10.28515625" bestFit="1" customWidth="1"/>
    <col min="14432" max="14432" width="10.42578125" bestFit="1" customWidth="1"/>
    <col min="14433" max="14433" width="11.5703125" bestFit="1" customWidth="1"/>
    <col min="14434" max="14434" width="5.28515625" bestFit="1" customWidth="1"/>
    <col min="14435" max="14437" width="11.5703125" bestFit="1" customWidth="1"/>
    <col min="14438" max="14438" width="5.28515625" bestFit="1" customWidth="1"/>
    <col min="14439" max="14440" width="10.42578125" bestFit="1" customWidth="1"/>
    <col min="14441" max="14441" width="11.5703125" bestFit="1" customWidth="1"/>
    <col min="14442" max="14442" width="5.28515625" bestFit="1" customWidth="1"/>
    <col min="14443" max="14443" width="14.28515625" bestFit="1" customWidth="1"/>
    <col min="14444" max="14444" width="13" bestFit="1" customWidth="1"/>
    <col min="14445" max="14445" width="11.5703125" bestFit="1" customWidth="1"/>
    <col min="14446" max="14446" width="8.85546875" bestFit="1" customWidth="1"/>
    <col min="14447" max="14447" width="14.42578125" bestFit="1" customWidth="1"/>
    <col min="14448" max="14448" width="10.42578125" bestFit="1" customWidth="1"/>
    <col min="14449" max="14449" width="12.28515625" bestFit="1" customWidth="1"/>
    <col min="14450" max="14450" width="13.85546875" bestFit="1" customWidth="1"/>
    <col min="14451" max="14451" width="11.28515625" customWidth="1"/>
    <col min="14452" max="14452" width="11.5703125" customWidth="1"/>
    <col min="14453" max="14453" width="13.42578125" bestFit="1" customWidth="1"/>
    <col min="14454" max="14454" width="10.42578125" customWidth="1"/>
    <col min="14455" max="14455" width="13.85546875" bestFit="1" customWidth="1"/>
    <col min="14456" max="14456" width="15.42578125" bestFit="1" customWidth="1"/>
    <col min="14457" max="14457" width="12.28515625" bestFit="1" customWidth="1"/>
    <col min="14458" max="14458" width="12.7109375" customWidth="1"/>
    <col min="14459" max="14459" width="10.7109375" bestFit="1" customWidth="1"/>
    <col min="14460" max="14460" width="9.85546875" customWidth="1"/>
    <col min="14461" max="14462" width="10.140625" bestFit="1" customWidth="1"/>
    <col min="14463" max="14463" width="7.5703125" bestFit="1" customWidth="1"/>
    <col min="14464" max="14464" width="9.42578125" bestFit="1" customWidth="1"/>
    <col min="14465" max="14465" width="14.5703125" bestFit="1" customWidth="1"/>
    <col min="14466" max="14466" width="14.85546875" customWidth="1"/>
    <col min="14467" max="14467" width="15.140625" bestFit="1" customWidth="1"/>
    <col min="14468" max="14468" width="12.140625" bestFit="1" customWidth="1"/>
    <col min="14469" max="14469" width="14.85546875" bestFit="1" customWidth="1"/>
    <col min="14470" max="14470" width="12.28515625" bestFit="1" customWidth="1"/>
    <col min="14471" max="14479" width="9.140625" hidden="1" customWidth="1"/>
    <col min="14480" max="14480" width="5.28515625" bestFit="1" customWidth="1"/>
    <col min="14481" max="14486" width="11.5703125" bestFit="1" customWidth="1"/>
    <col min="14487" max="14487" width="11.28515625" bestFit="1" customWidth="1"/>
    <col min="14488" max="14488" width="10.140625" bestFit="1" customWidth="1"/>
    <col min="14489" max="14489" width="11.5703125" bestFit="1" customWidth="1"/>
    <col min="14490" max="14490" width="16.140625" customWidth="1"/>
    <col min="14491" max="14491" width="13.42578125" customWidth="1"/>
    <col min="14492" max="14492" width="10.140625" bestFit="1" customWidth="1"/>
    <col min="14493" max="14493" width="12.85546875" bestFit="1" customWidth="1"/>
    <col min="14494" max="14494" width="12.28515625" bestFit="1" customWidth="1"/>
    <col min="14495" max="14495" width="11.28515625" bestFit="1" customWidth="1"/>
    <col min="14496" max="14496" width="11.5703125" bestFit="1" customWidth="1"/>
    <col min="14497" max="14497" width="10.85546875" bestFit="1" customWidth="1"/>
    <col min="14498" max="14498" width="11.28515625" bestFit="1" customWidth="1"/>
    <col min="14499" max="14499" width="10.140625" bestFit="1" customWidth="1"/>
    <col min="14500" max="14500" width="13.28515625" bestFit="1" customWidth="1"/>
    <col min="14501" max="14502" width="12.7109375" bestFit="1" customWidth="1"/>
    <col min="14503" max="14503" width="11" bestFit="1" customWidth="1"/>
    <col min="14504" max="14504" width="11.28515625" bestFit="1" customWidth="1"/>
    <col min="14505" max="14505" width="11.5703125" bestFit="1" customWidth="1"/>
    <col min="14506" max="14506" width="12.28515625" bestFit="1" customWidth="1"/>
    <col min="14507" max="14507" width="15.140625" bestFit="1" customWidth="1"/>
    <col min="14508" max="14508" width="14.42578125" bestFit="1" customWidth="1"/>
    <col min="14509" max="14509" width="12.28515625" bestFit="1" customWidth="1"/>
    <col min="14510" max="14510" width="15.140625" bestFit="1" customWidth="1"/>
    <col min="14511" max="14511" width="14.42578125" bestFit="1" customWidth="1"/>
    <col min="14512" max="14512" width="12.28515625" bestFit="1" customWidth="1"/>
    <col min="14513" max="14513" width="14.42578125" bestFit="1" customWidth="1"/>
    <col min="14514" max="14514" width="11.28515625" bestFit="1" customWidth="1"/>
    <col min="14515" max="14515" width="12.28515625" bestFit="1" customWidth="1"/>
    <col min="14516" max="14516" width="13" bestFit="1" customWidth="1"/>
    <col min="14517" max="14517" width="15.140625" bestFit="1" customWidth="1"/>
    <col min="14518" max="14518" width="12.28515625" bestFit="1" customWidth="1"/>
    <col min="14519" max="14519" width="13.85546875" bestFit="1" customWidth="1"/>
    <col min="14520" max="14520" width="11.28515625" bestFit="1" customWidth="1"/>
    <col min="14521" max="14521" width="12.28515625" bestFit="1" customWidth="1"/>
    <col min="14522" max="14522" width="13.85546875" bestFit="1" customWidth="1"/>
    <col min="14523" max="14524" width="15.140625" bestFit="1" customWidth="1"/>
    <col min="14525" max="14525" width="12.28515625" bestFit="1" customWidth="1"/>
    <col min="14526" max="14526" width="5.7109375" bestFit="1" customWidth="1"/>
    <col min="14527" max="14527" width="8.5703125" bestFit="1" customWidth="1"/>
    <col min="14528" max="14528" width="5.5703125" bestFit="1" customWidth="1"/>
    <col min="14529" max="14529" width="14.42578125" bestFit="1" customWidth="1"/>
    <col min="14530" max="14530" width="11.28515625" bestFit="1" customWidth="1"/>
    <col min="14531" max="14532" width="12.28515625" bestFit="1" customWidth="1"/>
    <col min="14533" max="14533" width="11.28515625" bestFit="1" customWidth="1"/>
    <col min="14534" max="14534" width="13.85546875" bestFit="1" customWidth="1"/>
    <col min="14535" max="14535" width="12" bestFit="1" customWidth="1"/>
    <col min="14536" max="14536" width="13.85546875" bestFit="1" customWidth="1"/>
    <col min="14537" max="14538" width="14.42578125" customWidth="1"/>
    <col min="14539" max="14539" width="10.140625" bestFit="1" customWidth="1"/>
    <col min="14540" max="14540" width="12.28515625" bestFit="1" customWidth="1"/>
    <col min="14541" max="14541" width="7.42578125" bestFit="1" customWidth="1"/>
    <col min="14542" max="14542" width="8.5703125" bestFit="1" customWidth="1"/>
    <col min="14543" max="14543" width="11.5703125" bestFit="1" customWidth="1"/>
    <col min="14544" max="14544" width="13.28515625" bestFit="1" customWidth="1"/>
    <col min="14545" max="14545" width="13.28515625" customWidth="1"/>
    <col min="14546" max="14546" width="13.140625" customWidth="1"/>
    <col min="14547" max="14547" width="12.7109375" bestFit="1" customWidth="1"/>
    <col min="14548" max="14548" width="13.28515625" bestFit="1" customWidth="1"/>
    <col min="14549" max="14551" width="13.28515625" customWidth="1"/>
    <col min="14552" max="14552" width="12.140625" bestFit="1" customWidth="1"/>
    <col min="14553" max="14553" width="12.7109375" bestFit="1" customWidth="1"/>
    <col min="14554" max="14554" width="11" customWidth="1"/>
    <col min="14555" max="14555" width="16.7109375" customWidth="1"/>
    <col min="14556" max="14556" width="17" customWidth="1"/>
    <col min="14557" max="14557" width="10.42578125" bestFit="1" customWidth="1"/>
    <col min="14601" max="14601" width="3.85546875" customWidth="1"/>
    <col min="14602" max="14602" width="15.28515625" bestFit="1" customWidth="1"/>
    <col min="14603" max="14603" width="12.28515625" customWidth="1"/>
    <col min="14604" max="14604" width="16.28515625" bestFit="1" customWidth="1"/>
    <col min="14605" max="14605" width="6.42578125" bestFit="1" customWidth="1"/>
    <col min="14606" max="14606" width="9.28515625" bestFit="1" customWidth="1"/>
    <col min="14607" max="14607" width="7.5703125" bestFit="1" customWidth="1"/>
    <col min="14608" max="14608" width="13.28515625" bestFit="1" customWidth="1"/>
    <col min="14609" max="14609" width="9.28515625" bestFit="1" customWidth="1"/>
    <col min="14610" max="14610" width="11.5703125" bestFit="1" customWidth="1"/>
    <col min="14611" max="14611" width="13.28515625" bestFit="1" customWidth="1"/>
    <col min="14612" max="14612" width="7.140625" bestFit="1" customWidth="1"/>
    <col min="14613" max="14613" width="12" bestFit="1" customWidth="1"/>
    <col min="14614" max="14614" width="13.28515625" bestFit="1" customWidth="1"/>
    <col min="14615" max="14615" width="7" bestFit="1" customWidth="1"/>
    <col min="14616" max="14616" width="12.7109375" bestFit="1" customWidth="1"/>
    <col min="14617" max="14617" width="11.5703125" bestFit="1" customWidth="1"/>
    <col min="14618" max="14618" width="10.5703125" bestFit="1" customWidth="1"/>
    <col min="14619" max="14620" width="15.7109375" bestFit="1" customWidth="1"/>
    <col min="14621" max="14621" width="11.5703125" bestFit="1" customWidth="1"/>
    <col min="14622" max="14622" width="7.7109375" bestFit="1" customWidth="1"/>
    <col min="14623" max="14623" width="15.140625" bestFit="1" customWidth="1"/>
    <col min="14624" max="14624" width="11.5703125" bestFit="1" customWidth="1"/>
    <col min="14625" max="14625" width="13.28515625" bestFit="1" customWidth="1"/>
    <col min="14626" max="14626" width="10.42578125" bestFit="1" customWidth="1"/>
    <col min="14627" max="14627" width="13.28515625" bestFit="1" customWidth="1"/>
    <col min="14628" max="14628" width="12.140625" bestFit="1" customWidth="1"/>
    <col min="14629" max="14629" width="14.42578125" bestFit="1" customWidth="1"/>
    <col min="14630" max="14630" width="13.28515625" bestFit="1" customWidth="1"/>
    <col min="14631" max="14631" width="11.5703125" bestFit="1" customWidth="1"/>
    <col min="14632" max="14632" width="7.7109375" bestFit="1" customWidth="1"/>
    <col min="14633" max="14634" width="14.42578125" bestFit="1" customWidth="1"/>
    <col min="14635" max="14635" width="11.5703125" bestFit="1" customWidth="1"/>
    <col min="14636" max="14636" width="7.7109375" bestFit="1" customWidth="1"/>
    <col min="14637" max="14637" width="13.5703125" customWidth="1"/>
    <col min="14638" max="14638" width="15.28515625" customWidth="1"/>
    <col min="14639" max="14639" width="14.5703125" customWidth="1"/>
    <col min="14640" max="14640" width="13.28515625" bestFit="1" customWidth="1"/>
    <col min="14641" max="14641" width="7.7109375" bestFit="1" customWidth="1"/>
    <col min="14642" max="14642" width="12.7109375" bestFit="1" customWidth="1"/>
    <col min="14643" max="14643" width="11.7109375" bestFit="1" customWidth="1"/>
    <col min="14644" max="14644" width="11.5703125" bestFit="1" customWidth="1"/>
    <col min="14645" max="14645" width="5.28515625" bestFit="1" customWidth="1"/>
    <col min="14646" max="14646" width="13.28515625" bestFit="1" customWidth="1"/>
    <col min="14647" max="14647" width="13.5703125" bestFit="1" customWidth="1"/>
    <col min="14648" max="14648" width="10.5703125" bestFit="1" customWidth="1"/>
    <col min="14649" max="14649" width="13.28515625" bestFit="1" customWidth="1"/>
    <col min="14650" max="14650" width="11.5703125" bestFit="1" customWidth="1"/>
    <col min="14651" max="14651" width="10.5703125" bestFit="1" customWidth="1"/>
    <col min="14652" max="14652" width="16.140625" bestFit="1" customWidth="1"/>
    <col min="14653" max="14654" width="11.28515625" bestFit="1" customWidth="1"/>
    <col min="14655" max="14655" width="13.28515625" bestFit="1" customWidth="1"/>
    <col min="14656" max="14656" width="7.7109375" bestFit="1" customWidth="1"/>
    <col min="14657" max="14660" width="9.140625" hidden="1" customWidth="1"/>
    <col min="14661" max="14661" width="10.42578125" bestFit="1" customWidth="1"/>
    <col min="14662" max="14662" width="10.5703125" bestFit="1" customWidth="1"/>
    <col min="14663" max="14663" width="10.42578125" bestFit="1" customWidth="1"/>
    <col min="14664" max="14664" width="10.5703125" bestFit="1" customWidth="1"/>
    <col min="14665" max="14665" width="9.5703125" bestFit="1" customWidth="1"/>
    <col min="14666" max="14666" width="11.5703125" bestFit="1" customWidth="1"/>
    <col min="14667" max="14667" width="10.42578125" bestFit="1" customWidth="1"/>
    <col min="14668" max="14668" width="10.85546875" customWidth="1"/>
    <col min="14669" max="14670" width="9.85546875" bestFit="1" customWidth="1"/>
    <col min="14671" max="14671" width="13.5703125" bestFit="1" customWidth="1"/>
    <col min="14672" max="14672" width="7.7109375" bestFit="1" customWidth="1"/>
    <col min="14673" max="14673" width="13.28515625" bestFit="1" customWidth="1"/>
    <col min="14674" max="14674" width="11.5703125" bestFit="1" customWidth="1"/>
    <col min="14675" max="14675" width="10.42578125" bestFit="1" customWidth="1"/>
    <col min="14676" max="14676" width="7.7109375" bestFit="1" customWidth="1"/>
    <col min="14677" max="14677" width="11.5703125" bestFit="1" customWidth="1"/>
    <col min="14678" max="14678" width="10.85546875" bestFit="1" customWidth="1"/>
    <col min="14679" max="14679" width="13.28515625" bestFit="1" customWidth="1"/>
    <col min="14680" max="14680" width="10.85546875" bestFit="1" customWidth="1"/>
    <col min="14681" max="14682" width="7.5703125" bestFit="1" customWidth="1"/>
    <col min="14683" max="14684" width="10.42578125" bestFit="1" customWidth="1"/>
    <col min="14685" max="14685" width="11.5703125" bestFit="1" customWidth="1"/>
    <col min="14686" max="14686" width="5.28515625" bestFit="1" customWidth="1"/>
    <col min="14687" max="14687" width="10.28515625" bestFit="1" customWidth="1"/>
    <col min="14688" max="14688" width="10.42578125" bestFit="1" customWidth="1"/>
    <col min="14689" max="14689" width="11.5703125" bestFit="1" customWidth="1"/>
    <col min="14690" max="14690" width="5.28515625" bestFit="1" customWidth="1"/>
    <col min="14691" max="14693" width="11.5703125" bestFit="1" customWidth="1"/>
    <col min="14694" max="14694" width="5.28515625" bestFit="1" customWidth="1"/>
    <col min="14695" max="14696" width="10.42578125" bestFit="1" customWidth="1"/>
    <col min="14697" max="14697" width="11.5703125" bestFit="1" customWidth="1"/>
    <col min="14698" max="14698" width="5.28515625" bestFit="1" customWidth="1"/>
    <col min="14699" max="14699" width="14.28515625" bestFit="1" customWidth="1"/>
    <col min="14700" max="14700" width="13" bestFit="1" customWidth="1"/>
    <col min="14701" max="14701" width="11.5703125" bestFit="1" customWidth="1"/>
    <col min="14702" max="14702" width="8.85546875" bestFit="1" customWidth="1"/>
    <col min="14703" max="14703" width="14.42578125" bestFit="1" customWidth="1"/>
    <col min="14704" max="14704" width="10.42578125" bestFit="1" customWidth="1"/>
    <col min="14705" max="14705" width="12.28515625" bestFit="1" customWidth="1"/>
    <col min="14706" max="14706" width="13.85546875" bestFit="1" customWidth="1"/>
    <col min="14707" max="14707" width="11.28515625" customWidth="1"/>
    <col min="14708" max="14708" width="11.5703125" customWidth="1"/>
    <col min="14709" max="14709" width="13.42578125" bestFit="1" customWidth="1"/>
    <col min="14710" max="14710" width="10.42578125" customWidth="1"/>
    <col min="14711" max="14711" width="13.85546875" bestFit="1" customWidth="1"/>
    <col min="14712" max="14712" width="15.42578125" bestFit="1" customWidth="1"/>
    <col min="14713" max="14713" width="12.28515625" bestFit="1" customWidth="1"/>
    <col min="14714" max="14714" width="12.7109375" customWidth="1"/>
    <col min="14715" max="14715" width="10.7109375" bestFit="1" customWidth="1"/>
    <col min="14716" max="14716" width="9.85546875" customWidth="1"/>
    <col min="14717" max="14718" width="10.140625" bestFit="1" customWidth="1"/>
    <col min="14719" max="14719" width="7.5703125" bestFit="1" customWidth="1"/>
    <col min="14720" max="14720" width="9.42578125" bestFit="1" customWidth="1"/>
    <col min="14721" max="14721" width="14.5703125" bestFit="1" customWidth="1"/>
    <col min="14722" max="14722" width="14.85546875" customWidth="1"/>
    <col min="14723" max="14723" width="15.140625" bestFit="1" customWidth="1"/>
    <col min="14724" max="14724" width="12.140625" bestFit="1" customWidth="1"/>
    <col min="14725" max="14725" width="14.85546875" bestFit="1" customWidth="1"/>
    <col min="14726" max="14726" width="12.28515625" bestFit="1" customWidth="1"/>
    <col min="14727" max="14735" width="9.140625" hidden="1" customWidth="1"/>
    <col min="14736" max="14736" width="5.28515625" bestFit="1" customWidth="1"/>
    <col min="14737" max="14742" width="11.5703125" bestFit="1" customWidth="1"/>
    <col min="14743" max="14743" width="11.28515625" bestFit="1" customWidth="1"/>
    <col min="14744" max="14744" width="10.140625" bestFit="1" customWidth="1"/>
    <col min="14745" max="14745" width="11.5703125" bestFit="1" customWidth="1"/>
    <col min="14746" max="14746" width="16.140625" customWidth="1"/>
    <col min="14747" max="14747" width="13.42578125" customWidth="1"/>
    <col min="14748" max="14748" width="10.140625" bestFit="1" customWidth="1"/>
    <col min="14749" max="14749" width="12.85546875" bestFit="1" customWidth="1"/>
    <col min="14750" max="14750" width="12.28515625" bestFit="1" customWidth="1"/>
    <col min="14751" max="14751" width="11.28515625" bestFit="1" customWidth="1"/>
    <col min="14752" max="14752" width="11.5703125" bestFit="1" customWidth="1"/>
    <col min="14753" max="14753" width="10.85546875" bestFit="1" customWidth="1"/>
    <col min="14754" max="14754" width="11.28515625" bestFit="1" customWidth="1"/>
    <col min="14755" max="14755" width="10.140625" bestFit="1" customWidth="1"/>
    <col min="14756" max="14756" width="13.28515625" bestFit="1" customWidth="1"/>
    <col min="14757" max="14758" width="12.7109375" bestFit="1" customWidth="1"/>
    <col min="14759" max="14759" width="11" bestFit="1" customWidth="1"/>
    <col min="14760" max="14760" width="11.28515625" bestFit="1" customWidth="1"/>
    <col min="14761" max="14761" width="11.5703125" bestFit="1" customWidth="1"/>
    <col min="14762" max="14762" width="12.28515625" bestFit="1" customWidth="1"/>
    <col min="14763" max="14763" width="15.140625" bestFit="1" customWidth="1"/>
    <col min="14764" max="14764" width="14.42578125" bestFit="1" customWidth="1"/>
    <col min="14765" max="14765" width="12.28515625" bestFit="1" customWidth="1"/>
    <col min="14766" max="14766" width="15.140625" bestFit="1" customWidth="1"/>
    <col min="14767" max="14767" width="14.42578125" bestFit="1" customWidth="1"/>
    <col min="14768" max="14768" width="12.28515625" bestFit="1" customWidth="1"/>
    <col min="14769" max="14769" width="14.42578125" bestFit="1" customWidth="1"/>
    <col min="14770" max="14770" width="11.28515625" bestFit="1" customWidth="1"/>
    <col min="14771" max="14771" width="12.28515625" bestFit="1" customWidth="1"/>
    <col min="14772" max="14772" width="13" bestFit="1" customWidth="1"/>
    <col min="14773" max="14773" width="15.140625" bestFit="1" customWidth="1"/>
    <col min="14774" max="14774" width="12.28515625" bestFit="1" customWidth="1"/>
    <col min="14775" max="14775" width="13.85546875" bestFit="1" customWidth="1"/>
    <col min="14776" max="14776" width="11.28515625" bestFit="1" customWidth="1"/>
    <col min="14777" max="14777" width="12.28515625" bestFit="1" customWidth="1"/>
    <col min="14778" max="14778" width="13.85546875" bestFit="1" customWidth="1"/>
    <col min="14779" max="14780" width="15.140625" bestFit="1" customWidth="1"/>
    <col min="14781" max="14781" width="12.28515625" bestFit="1" customWidth="1"/>
    <col min="14782" max="14782" width="5.7109375" bestFit="1" customWidth="1"/>
    <col min="14783" max="14783" width="8.5703125" bestFit="1" customWidth="1"/>
    <col min="14784" max="14784" width="5.5703125" bestFit="1" customWidth="1"/>
    <col min="14785" max="14785" width="14.42578125" bestFit="1" customWidth="1"/>
    <col min="14786" max="14786" width="11.28515625" bestFit="1" customWidth="1"/>
    <col min="14787" max="14788" width="12.28515625" bestFit="1" customWidth="1"/>
    <col min="14789" max="14789" width="11.28515625" bestFit="1" customWidth="1"/>
    <col min="14790" max="14790" width="13.85546875" bestFit="1" customWidth="1"/>
    <col min="14791" max="14791" width="12" bestFit="1" customWidth="1"/>
    <col min="14792" max="14792" width="13.85546875" bestFit="1" customWidth="1"/>
    <col min="14793" max="14794" width="14.42578125" customWidth="1"/>
    <col min="14795" max="14795" width="10.140625" bestFit="1" customWidth="1"/>
    <col min="14796" max="14796" width="12.28515625" bestFit="1" customWidth="1"/>
    <col min="14797" max="14797" width="7.42578125" bestFit="1" customWidth="1"/>
    <col min="14798" max="14798" width="8.5703125" bestFit="1" customWidth="1"/>
    <col min="14799" max="14799" width="11.5703125" bestFit="1" customWidth="1"/>
    <col min="14800" max="14800" width="13.28515625" bestFit="1" customWidth="1"/>
    <col min="14801" max="14801" width="13.28515625" customWidth="1"/>
    <col min="14802" max="14802" width="13.140625" customWidth="1"/>
    <col min="14803" max="14803" width="12.7109375" bestFit="1" customWidth="1"/>
    <col min="14804" max="14804" width="13.28515625" bestFit="1" customWidth="1"/>
    <col min="14805" max="14807" width="13.28515625" customWidth="1"/>
    <col min="14808" max="14808" width="12.140625" bestFit="1" customWidth="1"/>
    <col min="14809" max="14809" width="12.7109375" bestFit="1" customWidth="1"/>
    <col min="14810" max="14810" width="11" customWidth="1"/>
    <col min="14811" max="14811" width="16.7109375" customWidth="1"/>
    <col min="14812" max="14812" width="17" customWidth="1"/>
    <col min="14813" max="14813" width="10.42578125" bestFit="1" customWidth="1"/>
    <col min="14857" max="14857" width="3.85546875" customWidth="1"/>
    <col min="14858" max="14858" width="15.28515625" bestFit="1" customWidth="1"/>
    <col min="14859" max="14859" width="12.28515625" customWidth="1"/>
    <col min="14860" max="14860" width="16.28515625" bestFit="1" customWidth="1"/>
    <col min="14861" max="14861" width="6.42578125" bestFit="1" customWidth="1"/>
    <col min="14862" max="14862" width="9.28515625" bestFit="1" customWidth="1"/>
    <col min="14863" max="14863" width="7.5703125" bestFit="1" customWidth="1"/>
    <col min="14864" max="14864" width="13.28515625" bestFit="1" customWidth="1"/>
    <col min="14865" max="14865" width="9.28515625" bestFit="1" customWidth="1"/>
    <col min="14866" max="14866" width="11.5703125" bestFit="1" customWidth="1"/>
    <col min="14867" max="14867" width="13.28515625" bestFit="1" customWidth="1"/>
    <col min="14868" max="14868" width="7.140625" bestFit="1" customWidth="1"/>
    <col min="14869" max="14869" width="12" bestFit="1" customWidth="1"/>
    <col min="14870" max="14870" width="13.28515625" bestFit="1" customWidth="1"/>
    <col min="14871" max="14871" width="7" bestFit="1" customWidth="1"/>
    <col min="14872" max="14872" width="12.7109375" bestFit="1" customWidth="1"/>
    <col min="14873" max="14873" width="11.5703125" bestFit="1" customWidth="1"/>
    <col min="14874" max="14874" width="10.5703125" bestFit="1" customWidth="1"/>
    <col min="14875" max="14876" width="15.7109375" bestFit="1" customWidth="1"/>
    <col min="14877" max="14877" width="11.5703125" bestFit="1" customWidth="1"/>
    <col min="14878" max="14878" width="7.7109375" bestFit="1" customWidth="1"/>
    <col min="14879" max="14879" width="15.140625" bestFit="1" customWidth="1"/>
    <col min="14880" max="14880" width="11.5703125" bestFit="1" customWidth="1"/>
    <col min="14881" max="14881" width="13.28515625" bestFit="1" customWidth="1"/>
    <col min="14882" max="14882" width="10.42578125" bestFit="1" customWidth="1"/>
    <col min="14883" max="14883" width="13.28515625" bestFit="1" customWidth="1"/>
    <col min="14884" max="14884" width="12.140625" bestFit="1" customWidth="1"/>
    <col min="14885" max="14885" width="14.42578125" bestFit="1" customWidth="1"/>
    <col min="14886" max="14886" width="13.28515625" bestFit="1" customWidth="1"/>
    <col min="14887" max="14887" width="11.5703125" bestFit="1" customWidth="1"/>
    <col min="14888" max="14888" width="7.7109375" bestFit="1" customWidth="1"/>
    <col min="14889" max="14890" width="14.42578125" bestFit="1" customWidth="1"/>
    <col min="14891" max="14891" width="11.5703125" bestFit="1" customWidth="1"/>
    <col min="14892" max="14892" width="7.7109375" bestFit="1" customWidth="1"/>
    <col min="14893" max="14893" width="13.5703125" customWidth="1"/>
    <col min="14894" max="14894" width="15.28515625" customWidth="1"/>
    <col min="14895" max="14895" width="14.5703125" customWidth="1"/>
    <col min="14896" max="14896" width="13.28515625" bestFit="1" customWidth="1"/>
    <col min="14897" max="14897" width="7.7109375" bestFit="1" customWidth="1"/>
    <col min="14898" max="14898" width="12.7109375" bestFit="1" customWidth="1"/>
    <col min="14899" max="14899" width="11.7109375" bestFit="1" customWidth="1"/>
    <col min="14900" max="14900" width="11.5703125" bestFit="1" customWidth="1"/>
    <col min="14901" max="14901" width="5.28515625" bestFit="1" customWidth="1"/>
    <col min="14902" max="14902" width="13.28515625" bestFit="1" customWidth="1"/>
    <col min="14903" max="14903" width="13.5703125" bestFit="1" customWidth="1"/>
    <col min="14904" max="14904" width="10.5703125" bestFit="1" customWidth="1"/>
    <col min="14905" max="14905" width="13.28515625" bestFit="1" customWidth="1"/>
    <col min="14906" max="14906" width="11.5703125" bestFit="1" customWidth="1"/>
    <col min="14907" max="14907" width="10.5703125" bestFit="1" customWidth="1"/>
    <col min="14908" max="14908" width="16.140625" bestFit="1" customWidth="1"/>
    <col min="14909" max="14910" width="11.28515625" bestFit="1" customWidth="1"/>
    <col min="14911" max="14911" width="13.28515625" bestFit="1" customWidth="1"/>
    <col min="14912" max="14912" width="7.7109375" bestFit="1" customWidth="1"/>
    <col min="14913" max="14916" width="9.140625" hidden="1" customWidth="1"/>
    <col min="14917" max="14917" width="10.42578125" bestFit="1" customWidth="1"/>
    <col min="14918" max="14918" width="10.5703125" bestFit="1" customWidth="1"/>
    <col min="14919" max="14919" width="10.42578125" bestFit="1" customWidth="1"/>
    <col min="14920" max="14920" width="10.5703125" bestFit="1" customWidth="1"/>
    <col min="14921" max="14921" width="9.5703125" bestFit="1" customWidth="1"/>
    <col min="14922" max="14922" width="11.5703125" bestFit="1" customWidth="1"/>
    <col min="14923" max="14923" width="10.42578125" bestFit="1" customWidth="1"/>
    <col min="14924" max="14924" width="10.85546875" customWidth="1"/>
    <col min="14925" max="14926" width="9.85546875" bestFit="1" customWidth="1"/>
    <col min="14927" max="14927" width="13.5703125" bestFit="1" customWidth="1"/>
    <col min="14928" max="14928" width="7.7109375" bestFit="1" customWidth="1"/>
    <col min="14929" max="14929" width="13.28515625" bestFit="1" customWidth="1"/>
    <col min="14930" max="14930" width="11.5703125" bestFit="1" customWidth="1"/>
    <col min="14931" max="14931" width="10.42578125" bestFit="1" customWidth="1"/>
    <col min="14932" max="14932" width="7.7109375" bestFit="1" customWidth="1"/>
    <col min="14933" max="14933" width="11.5703125" bestFit="1" customWidth="1"/>
    <col min="14934" max="14934" width="10.85546875" bestFit="1" customWidth="1"/>
    <col min="14935" max="14935" width="13.28515625" bestFit="1" customWidth="1"/>
    <col min="14936" max="14936" width="10.85546875" bestFit="1" customWidth="1"/>
    <col min="14937" max="14938" width="7.5703125" bestFit="1" customWidth="1"/>
    <col min="14939" max="14940" width="10.42578125" bestFit="1" customWidth="1"/>
    <col min="14941" max="14941" width="11.5703125" bestFit="1" customWidth="1"/>
    <col min="14942" max="14942" width="5.28515625" bestFit="1" customWidth="1"/>
    <col min="14943" max="14943" width="10.28515625" bestFit="1" customWidth="1"/>
    <col min="14944" max="14944" width="10.42578125" bestFit="1" customWidth="1"/>
    <col min="14945" max="14945" width="11.5703125" bestFit="1" customWidth="1"/>
    <col min="14946" max="14946" width="5.28515625" bestFit="1" customWidth="1"/>
    <col min="14947" max="14949" width="11.5703125" bestFit="1" customWidth="1"/>
    <col min="14950" max="14950" width="5.28515625" bestFit="1" customWidth="1"/>
    <col min="14951" max="14952" width="10.42578125" bestFit="1" customWidth="1"/>
    <col min="14953" max="14953" width="11.5703125" bestFit="1" customWidth="1"/>
    <col min="14954" max="14954" width="5.28515625" bestFit="1" customWidth="1"/>
    <col min="14955" max="14955" width="14.28515625" bestFit="1" customWidth="1"/>
    <col min="14956" max="14956" width="13" bestFit="1" customWidth="1"/>
    <col min="14957" max="14957" width="11.5703125" bestFit="1" customWidth="1"/>
    <col min="14958" max="14958" width="8.85546875" bestFit="1" customWidth="1"/>
    <col min="14959" max="14959" width="14.42578125" bestFit="1" customWidth="1"/>
    <col min="14960" max="14960" width="10.42578125" bestFit="1" customWidth="1"/>
    <col min="14961" max="14961" width="12.28515625" bestFit="1" customWidth="1"/>
    <col min="14962" max="14962" width="13.85546875" bestFit="1" customWidth="1"/>
    <col min="14963" max="14963" width="11.28515625" customWidth="1"/>
    <col min="14964" max="14964" width="11.5703125" customWidth="1"/>
    <col min="14965" max="14965" width="13.42578125" bestFit="1" customWidth="1"/>
    <col min="14966" max="14966" width="10.42578125" customWidth="1"/>
    <col min="14967" max="14967" width="13.85546875" bestFit="1" customWidth="1"/>
    <col min="14968" max="14968" width="15.42578125" bestFit="1" customWidth="1"/>
    <col min="14969" max="14969" width="12.28515625" bestFit="1" customWidth="1"/>
    <col min="14970" max="14970" width="12.7109375" customWidth="1"/>
    <col min="14971" max="14971" width="10.7109375" bestFit="1" customWidth="1"/>
    <col min="14972" max="14972" width="9.85546875" customWidth="1"/>
    <col min="14973" max="14974" width="10.140625" bestFit="1" customWidth="1"/>
    <col min="14975" max="14975" width="7.5703125" bestFit="1" customWidth="1"/>
    <col min="14976" max="14976" width="9.42578125" bestFit="1" customWidth="1"/>
    <col min="14977" max="14977" width="14.5703125" bestFit="1" customWidth="1"/>
    <col min="14978" max="14978" width="14.85546875" customWidth="1"/>
    <col min="14979" max="14979" width="15.140625" bestFit="1" customWidth="1"/>
    <col min="14980" max="14980" width="12.140625" bestFit="1" customWidth="1"/>
    <col min="14981" max="14981" width="14.85546875" bestFit="1" customWidth="1"/>
    <col min="14982" max="14982" width="12.28515625" bestFit="1" customWidth="1"/>
    <col min="14983" max="14991" width="9.140625" hidden="1" customWidth="1"/>
    <col min="14992" max="14992" width="5.28515625" bestFit="1" customWidth="1"/>
    <col min="14993" max="14998" width="11.5703125" bestFit="1" customWidth="1"/>
    <col min="14999" max="14999" width="11.28515625" bestFit="1" customWidth="1"/>
    <col min="15000" max="15000" width="10.140625" bestFit="1" customWidth="1"/>
    <col min="15001" max="15001" width="11.5703125" bestFit="1" customWidth="1"/>
    <col min="15002" max="15002" width="16.140625" customWidth="1"/>
    <col min="15003" max="15003" width="13.42578125" customWidth="1"/>
    <col min="15004" max="15004" width="10.140625" bestFit="1" customWidth="1"/>
    <col min="15005" max="15005" width="12.85546875" bestFit="1" customWidth="1"/>
    <col min="15006" max="15006" width="12.28515625" bestFit="1" customWidth="1"/>
    <col min="15007" max="15007" width="11.28515625" bestFit="1" customWidth="1"/>
    <col min="15008" max="15008" width="11.5703125" bestFit="1" customWidth="1"/>
    <col min="15009" max="15009" width="10.85546875" bestFit="1" customWidth="1"/>
    <col min="15010" max="15010" width="11.28515625" bestFit="1" customWidth="1"/>
    <col min="15011" max="15011" width="10.140625" bestFit="1" customWidth="1"/>
    <col min="15012" max="15012" width="13.28515625" bestFit="1" customWidth="1"/>
    <col min="15013" max="15014" width="12.7109375" bestFit="1" customWidth="1"/>
    <col min="15015" max="15015" width="11" bestFit="1" customWidth="1"/>
    <col min="15016" max="15016" width="11.28515625" bestFit="1" customWidth="1"/>
    <col min="15017" max="15017" width="11.5703125" bestFit="1" customWidth="1"/>
    <col min="15018" max="15018" width="12.28515625" bestFit="1" customWidth="1"/>
    <col min="15019" max="15019" width="15.140625" bestFit="1" customWidth="1"/>
    <col min="15020" max="15020" width="14.42578125" bestFit="1" customWidth="1"/>
    <col min="15021" max="15021" width="12.28515625" bestFit="1" customWidth="1"/>
    <col min="15022" max="15022" width="15.140625" bestFit="1" customWidth="1"/>
    <col min="15023" max="15023" width="14.42578125" bestFit="1" customWidth="1"/>
    <col min="15024" max="15024" width="12.28515625" bestFit="1" customWidth="1"/>
    <col min="15025" max="15025" width="14.42578125" bestFit="1" customWidth="1"/>
    <col min="15026" max="15026" width="11.28515625" bestFit="1" customWidth="1"/>
    <col min="15027" max="15027" width="12.28515625" bestFit="1" customWidth="1"/>
    <col min="15028" max="15028" width="13" bestFit="1" customWidth="1"/>
    <col min="15029" max="15029" width="15.140625" bestFit="1" customWidth="1"/>
    <col min="15030" max="15030" width="12.28515625" bestFit="1" customWidth="1"/>
    <col min="15031" max="15031" width="13.85546875" bestFit="1" customWidth="1"/>
    <col min="15032" max="15032" width="11.28515625" bestFit="1" customWidth="1"/>
    <col min="15033" max="15033" width="12.28515625" bestFit="1" customWidth="1"/>
    <col min="15034" max="15034" width="13.85546875" bestFit="1" customWidth="1"/>
    <col min="15035" max="15036" width="15.140625" bestFit="1" customWidth="1"/>
    <col min="15037" max="15037" width="12.28515625" bestFit="1" customWidth="1"/>
    <col min="15038" max="15038" width="5.7109375" bestFit="1" customWidth="1"/>
    <col min="15039" max="15039" width="8.5703125" bestFit="1" customWidth="1"/>
    <col min="15040" max="15040" width="5.5703125" bestFit="1" customWidth="1"/>
    <col min="15041" max="15041" width="14.42578125" bestFit="1" customWidth="1"/>
    <col min="15042" max="15042" width="11.28515625" bestFit="1" customWidth="1"/>
    <col min="15043" max="15044" width="12.28515625" bestFit="1" customWidth="1"/>
    <col min="15045" max="15045" width="11.28515625" bestFit="1" customWidth="1"/>
    <col min="15046" max="15046" width="13.85546875" bestFit="1" customWidth="1"/>
    <col min="15047" max="15047" width="12" bestFit="1" customWidth="1"/>
    <col min="15048" max="15048" width="13.85546875" bestFit="1" customWidth="1"/>
    <col min="15049" max="15050" width="14.42578125" customWidth="1"/>
    <col min="15051" max="15051" width="10.140625" bestFit="1" customWidth="1"/>
    <col min="15052" max="15052" width="12.28515625" bestFit="1" customWidth="1"/>
    <col min="15053" max="15053" width="7.42578125" bestFit="1" customWidth="1"/>
    <col min="15054" max="15054" width="8.5703125" bestFit="1" customWidth="1"/>
    <col min="15055" max="15055" width="11.5703125" bestFit="1" customWidth="1"/>
    <col min="15056" max="15056" width="13.28515625" bestFit="1" customWidth="1"/>
    <col min="15057" max="15057" width="13.28515625" customWidth="1"/>
    <col min="15058" max="15058" width="13.140625" customWidth="1"/>
    <col min="15059" max="15059" width="12.7109375" bestFit="1" customWidth="1"/>
    <col min="15060" max="15060" width="13.28515625" bestFit="1" customWidth="1"/>
    <col min="15061" max="15063" width="13.28515625" customWidth="1"/>
    <col min="15064" max="15064" width="12.140625" bestFit="1" customWidth="1"/>
    <col min="15065" max="15065" width="12.7109375" bestFit="1" customWidth="1"/>
    <col min="15066" max="15066" width="11" customWidth="1"/>
    <col min="15067" max="15067" width="16.7109375" customWidth="1"/>
    <col min="15068" max="15068" width="17" customWidth="1"/>
    <col min="15069" max="15069" width="10.42578125" bestFit="1" customWidth="1"/>
    <col min="15113" max="15113" width="3.85546875" customWidth="1"/>
    <col min="15114" max="15114" width="15.28515625" bestFit="1" customWidth="1"/>
    <col min="15115" max="15115" width="12.28515625" customWidth="1"/>
    <col min="15116" max="15116" width="16.28515625" bestFit="1" customWidth="1"/>
    <col min="15117" max="15117" width="6.42578125" bestFit="1" customWidth="1"/>
    <col min="15118" max="15118" width="9.28515625" bestFit="1" customWidth="1"/>
    <col min="15119" max="15119" width="7.5703125" bestFit="1" customWidth="1"/>
    <col min="15120" max="15120" width="13.28515625" bestFit="1" customWidth="1"/>
    <col min="15121" max="15121" width="9.28515625" bestFit="1" customWidth="1"/>
    <col min="15122" max="15122" width="11.5703125" bestFit="1" customWidth="1"/>
    <col min="15123" max="15123" width="13.28515625" bestFit="1" customWidth="1"/>
    <col min="15124" max="15124" width="7.140625" bestFit="1" customWidth="1"/>
    <col min="15125" max="15125" width="12" bestFit="1" customWidth="1"/>
    <col min="15126" max="15126" width="13.28515625" bestFit="1" customWidth="1"/>
    <col min="15127" max="15127" width="7" bestFit="1" customWidth="1"/>
    <col min="15128" max="15128" width="12.7109375" bestFit="1" customWidth="1"/>
    <col min="15129" max="15129" width="11.5703125" bestFit="1" customWidth="1"/>
    <col min="15130" max="15130" width="10.5703125" bestFit="1" customWidth="1"/>
    <col min="15131" max="15132" width="15.7109375" bestFit="1" customWidth="1"/>
    <col min="15133" max="15133" width="11.5703125" bestFit="1" customWidth="1"/>
    <col min="15134" max="15134" width="7.7109375" bestFit="1" customWidth="1"/>
    <col min="15135" max="15135" width="15.140625" bestFit="1" customWidth="1"/>
    <col min="15136" max="15136" width="11.5703125" bestFit="1" customWidth="1"/>
    <col min="15137" max="15137" width="13.28515625" bestFit="1" customWidth="1"/>
    <col min="15138" max="15138" width="10.42578125" bestFit="1" customWidth="1"/>
    <col min="15139" max="15139" width="13.28515625" bestFit="1" customWidth="1"/>
    <col min="15140" max="15140" width="12.140625" bestFit="1" customWidth="1"/>
    <col min="15141" max="15141" width="14.42578125" bestFit="1" customWidth="1"/>
    <col min="15142" max="15142" width="13.28515625" bestFit="1" customWidth="1"/>
    <col min="15143" max="15143" width="11.5703125" bestFit="1" customWidth="1"/>
    <col min="15144" max="15144" width="7.7109375" bestFit="1" customWidth="1"/>
    <col min="15145" max="15146" width="14.42578125" bestFit="1" customWidth="1"/>
    <col min="15147" max="15147" width="11.5703125" bestFit="1" customWidth="1"/>
    <col min="15148" max="15148" width="7.7109375" bestFit="1" customWidth="1"/>
    <col min="15149" max="15149" width="13.5703125" customWidth="1"/>
    <col min="15150" max="15150" width="15.28515625" customWidth="1"/>
    <col min="15151" max="15151" width="14.5703125" customWidth="1"/>
    <col min="15152" max="15152" width="13.28515625" bestFit="1" customWidth="1"/>
    <col min="15153" max="15153" width="7.7109375" bestFit="1" customWidth="1"/>
    <col min="15154" max="15154" width="12.7109375" bestFit="1" customWidth="1"/>
    <col min="15155" max="15155" width="11.7109375" bestFit="1" customWidth="1"/>
    <col min="15156" max="15156" width="11.5703125" bestFit="1" customWidth="1"/>
    <col min="15157" max="15157" width="5.28515625" bestFit="1" customWidth="1"/>
    <col min="15158" max="15158" width="13.28515625" bestFit="1" customWidth="1"/>
    <col min="15159" max="15159" width="13.5703125" bestFit="1" customWidth="1"/>
    <col min="15160" max="15160" width="10.5703125" bestFit="1" customWidth="1"/>
    <col min="15161" max="15161" width="13.28515625" bestFit="1" customWidth="1"/>
    <col min="15162" max="15162" width="11.5703125" bestFit="1" customWidth="1"/>
    <col min="15163" max="15163" width="10.5703125" bestFit="1" customWidth="1"/>
    <col min="15164" max="15164" width="16.140625" bestFit="1" customWidth="1"/>
    <col min="15165" max="15166" width="11.28515625" bestFit="1" customWidth="1"/>
    <col min="15167" max="15167" width="13.28515625" bestFit="1" customWidth="1"/>
    <col min="15168" max="15168" width="7.7109375" bestFit="1" customWidth="1"/>
    <col min="15169" max="15172" width="9.140625" hidden="1" customWidth="1"/>
    <col min="15173" max="15173" width="10.42578125" bestFit="1" customWidth="1"/>
    <col min="15174" max="15174" width="10.5703125" bestFit="1" customWidth="1"/>
    <col min="15175" max="15175" width="10.42578125" bestFit="1" customWidth="1"/>
    <col min="15176" max="15176" width="10.5703125" bestFit="1" customWidth="1"/>
    <col min="15177" max="15177" width="9.5703125" bestFit="1" customWidth="1"/>
    <col min="15178" max="15178" width="11.5703125" bestFit="1" customWidth="1"/>
    <col min="15179" max="15179" width="10.42578125" bestFit="1" customWidth="1"/>
    <col min="15180" max="15180" width="10.85546875" customWidth="1"/>
    <col min="15181" max="15182" width="9.85546875" bestFit="1" customWidth="1"/>
    <col min="15183" max="15183" width="13.5703125" bestFit="1" customWidth="1"/>
    <col min="15184" max="15184" width="7.7109375" bestFit="1" customWidth="1"/>
    <col min="15185" max="15185" width="13.28515625" bestFit="1" customWidth="1"/>
    <col min="15186" max="15186" width="11.5703125" bestFit="1" customWidth="1"/>
    <col min="15187" max="15187" width="10.42578125" bestFit="1" customWidth="1"/>
    <col min="15188" max="15188" width="7.7109375" bestFit="1" customWidth="1"/>
    <col min="15189" max="15189" width="11.5703125" bestFit="1" customWidth="1"/>
    <col min="15190" max="15190" width="10.85546875" bestFit="1" customWidth="1"/>
    <col min="15191" max="15191" width="13.28515625" bestFit="1" customWidth="1"/>
    <col min="15192" max="15192" width="10.85546875" bestFit="1" customWidth="1"/>
    <col min="15193" max="15194" width="7.5703125" bestFit="1" customWidth="1"/>
    <col min="15195" max="15196" width="10.42578125" bestFit="1" customWidth="1"/>
    <col min="15197" max="15197" width="11.5703125" bestFit="1" customWidth="1"/>
    <col min="15198" max="15198" width="5.28515625" bestFit="1" customWidth="1"/>
    <col min="15199" max="15199" width="10.28515625" bestFit="1" customWidth="1"/>
    <col min="15200" max="15200" width="10.42578125" bestFit="1" customWidth="1"/>
    <col min="15201" max="15201" width="11.5703125" bestFit="1" customWidth="1"/>
    <col min="15202" max="15202" width="5.28515625" bestFit="1" customWidth="1"/>
    <col min="15203" max="15205" width="11.5703125" bestFit="1" customWidth="1"/>
    <col min="15206" max="15206" width="5.28515625" bestFit="1" customWidth="1"/>
    <col min="15207" max="15208" width="10.42578125" bestFit="1" customWidth="1"/>
    <col min="15209" max="15209" width="11.5703125" bestFit="1" customWidth="1"/>
    <col min="15210" max="15210" width="5.28515625" bestFit="1" customWidth="1"/>
    <col min="15211" max="15211" width="14.28515625" bestFit="1" customWidth="1"/>
    <col min="15212" max="15212" width="13" bestFit="1" customWidth="1"/>
    <col min="15213" max="15213" width="11.5703125" bestFit="1" customWidth="1"/>
    <col min="15214" max="15214" width="8.85546875" bestFit="1" customWidth="1"/>
    <col min="15215" max="15215" width="14.42578125" bestFit="1" customWidth="1"/>
    <col min="15216" max="15216" width="10.42578125" bestFit="1" customWidth="1"/>
    <col min="15217" max="15217" width="12.28515625" bestFit="1" customWidth="1"/>
    <col min="15218" max="15218" width="13.85546875" bestFit="1" customWidth="1"/>
    <col min="15219" max="15219" width="11.28515625" customWidth="1"/>
    <col min="15220" max="15220" width="11.5703125" customWidth="1"/>
    <col min="15221" max="15221" width="13.42578125" bestFit="1" customWidth="1"/>
    <col min="15222" max="15222" width="10.42578125" customWidth="1"/>
    <col min="15223" max="15223" width="13.85546875" bestFit="1" customWidth="1"/>
    <col min="15224" max="15224" width="15.42578125" bestFit="1" customWidth="1"/>
    <col min="15225" max="15225" width="12.28515625" bestFit="1" customWidth="1"/>
    <col min="15226" max="15226" width="12.7109375" customWidth="1"/>
    <col min="15227" max="15227" width="10.7109375" bestFit="1" customWidth="1"/>
    <col min="15228" max="15228" width="9.85546875" customWidth="1"/>
    <col min="15229" max="15230" width="10.140625" bestFit="1" customWidth="1"/>
    <col min="15231" max="15231" width="7.5703125" bestFit="1" customWidth="1"/>
    <col min="15232" max="15232" width="9.42578125" bestFit="1" customWidth="1"/>
    <col min="15233" max="15233" width="14.5703125" bestFit="1" customWidth="1"/>
    <col min="15234" max="15234" width="14.85546875" customWidth="1"/>
    <col min="15235" max="15235" width="15.140625" bestFit="1" customWidth="1"/>
    <col min="15236" max="15236" width="12.140625" bestFit="1" customWidth="1"/>
    <col min="15237" max="15237" width="14.85546875" bestFit="1" customWidth="1"/>
    <col min="15238" max="15238" width="12.28515625" bestFit="1" customWidth="1"/>
    <col min="15239" max="15247" width="9.140625" hidden="1" customWidth="1"/>
    <col min="15248" max="15248" width="5.28515625" bestFit="1" customWidth="1"/>
    <col min="15249" max="15254" width="11.5703125" bestFit="1" customWidth="1"/>
    <col min="15255" max="15255" width="11.28515625" bestFit="1" customWidth="1"/>
    <col min="15256" max="15256" width="10.140625" bestFit="1" customWidth="1"/>
    <col min="15257" max="15257" width="11.5703125" bestFit="1" customWidth="1"/>
    <col min="15258" max="15258" width="16.140625" customWidth="1"/>
    <col min="15259" max="15259" width="13.42578125" customWidth="1"/>
    <col min="15260" max="15260" width="10.140625" bestFit="1" customWidth="1"/>
    <col min="15261" max="15261" width="12.85546875" bestFit="1" customWidth="1"/>
    <col min="15262" max="15262" width="12.28515625" bestFit="1" customWidth="1"/>
    <col min="15263" max="15263" width="11.28515625" bestFit="1" customWidth="1"/>
    <col min="15264" max="15264" width="11.5703125" bestFit="1" customWidth="1"/>
    <col min="15265" max="15265" width="10.85546875" bestFit="1" customWidth="1"/>
    <col min="15266" max="15266" width="11.28515625" bestFit="1" customWidth="1"/>
    <col min="15267" max="15267" width="10.140625" bestFit="1" customWidth="1"/>
    <col min="15268" max="15268" width="13.28515625" bestFit="1" customWidth="1"/>
    <col min="15269" max="15270" width="12.7109375" bestFit="1" customWidth="1"/>
    <col min="15271" max="15271" width="11" bestFit="1" customWidth="1"/>
    <col min="15272" max="15272" width="11.28515625" bestFit="1" customWidth="1"/>
    <col min="15273" max="15273" width="11.5703125" bestFit="1" customWidth="1"/>
    <col min="15274" max="15274" width="12.28515625" bestFit="1" customWidth="1"/>
    <col min="15275" max="15275" width="15.140625" bestFit="1" customWidth="1"/>
    <col min="15276" max="15276" width="14.42578125" bestFit="1" customWidth="1"/>
    <col min="15277" max="15277" width="12.28515625" bestFit="1" customWidth="1"/>
    <col min="15278" max="15278" width="15.140625" bestFit="1" customWidth="1"/>
    <col min="15279" max="15279" width="14.42578125" bestFit="1" customWidth="1"/>
    <col min="15280" max="15280" width="12.28515625" bestFit="1" customWidth="1"/>
    <col min="15281" max="15281" width="14.42578125" bestFit="1" customWidth="1"/>
    <col min="15282" max="15282" width="11.28515625" bestFit="1" customWidth="1"/>
    <col min="15283" max="15283" width="12.28515625" bestFit="1" customWidth="1"/>
    <col min="15284" max="15284" width="13" bestFit="1" customWidth="1"/>
    <col min="15285" max="15285" width="15.140625" bestFit="1" customWidth="1"/>
    <col min="15286" max="15286" width="12.28515625" bestFit="1" customWidth="1"/>
    <col min="15287" max="15287" width="13.85546875" bestFit="1" customWidth="1"/>
    <col min="15288" max="15288" width="11.28515625" bestFit="1" customWidth="1"/>
    <col min="15289" max="15289" width="12.28515625" bestFit="1" customWidth="1"/>
    <col min="15290" max="15290" width="13.85546875" bestFit="1" customWidth="1"/>
    <col min="15291" max="15292" width="15.140625" bestFit="1" customWidth="1"/>
    <col min="15293" max="15293" width="12.28515625" bestFit="1" customWidth="1"/>
    <col min="15294" max="15294" width="5.7109375" bestFit="1" customWidth="1"/>
    <col min="15295" max="15295" width="8.5703125" bestFit="1" customWidth="1"/>
    <col min="15296" max="15296" width="5.5703125" bestFit="1" customWidth="1"/>
    <col min="15297" max="15297" width="14.42578125" bestFit="1" customWidth="1"/>
    <col min="15298" max="15298" width="11.28515625" bestFit="1" customWidth="1"/>
    <col min="15299" max="15300" width="12.28515625" bestFit="1" customWidth="1"/>
    <col min="15301" max="15301" width="11.28515625" bestFit="1" customWidth="1"/>
    <col min="15302" max="15302" width="13.85546875" bestFit="1" customWidth="1"/>
    <col min="15303" max="15303" width="12" bestFit="1" customWidth="1"/>
    <col min="15304" max="15304" width="13.85546875" bestFit="1" customWidth="1"/>
    <col min="15305" max="15306" width="14.42578125" customWidth="1"/>
    <col min="15307" max="15307" width="10.140625" bestFit="1" customWidth="1"/>
    <col min="15308" max="15308" width="12.28515625" bestFit="1" customWidth="1"/>
    <col min="15309" max="15309" width="7.42578125" bestFit="1" customWidth="1"/>
    <col min="15310" max="15310" width="8.5703125" bestFit="1" customWidth="1"/>
    <col min="15311" max="15311" width="11.5703125" bestFit="1" customWidth="1"/>
    <col min="15312" max="15312" width="13.28515625" bestFit="1" customWidth="1"/>
    <col min="15313" max="15313" width="13.28515625" customWidth="1"/>
    <col min="15314" max="15314" width="13.140625" customWidth="1"/>
    <col min="15315" max="15315" width="12.7109375" bestFit="1" customWidth="1"/>
    <col min="15316" max="15316" width="13.28515625" bestFit="1" customWidth="1"/>
    <col min="15317" max="15319" width="13.28515625" customWidth="1"/>
    <col min="15320" max="15320" width="12.140625" bestFit="1" customWidth="1"/>
    <col min="15321" max="15321" width="12.7109375" bestFit="1" customWidth="1"/>
    <col min="15322" max="15322" width="11" customWidth="1"/>
    <col min="15323" max="15323" width="16.7109375" customWidth="1"/>
    <col min="15324" max="15324" width="17" customWidth="1"/>
    <col min="15325" max="15325" width="10.42578125" bestFit="1" customWidth="1"/>
    <col min="15369" max="15369" width="3.85546875" customWidth="1"/>
    <col min="15370" max="15370" width="15.28515625" bestFit="1" customWidth="1"/>
    <col min="15371" max="15371" width="12.28515625" customWidth="1"/>
    <col min="15372" max="15372" width="16.28515625" bestFit="1" customWidth="1"/>
    <col min="15373" max="15373" width="6.42578125" bestFit="1" customWidth="1"/>
    <col min="15374" max="15374" width="9.28515625" bestFit="1" customWidth="1"/>
    <col min="15375" max="15375" width="7.5703125" bestFit="1" customWidth="1"/>
    <col min="15376" max="15376" width="13.28515625" bestFit="1" customWidth="1"/>
    <col min="15377" max="15377" width="9.28515625" bestFit="1" customWidth="1"/>
    <col min="15378" max="15378" width="11.5703125" bestFit="1" customWidth="1"/>
    <col min="15379" max="15379" width="13.28515625" bestFit="1" customWidth="1"/>
    <col min="15380" max="15380" width="7.140625" bestFit="1" customWidth="1"/>
    <col min="15381" max="15381" width="12" bestFit="1" customWidth="1"/>
    <col min="15382" max="15382" width="13.28515625" bestFit="1" customWidth="1"/>
    <col min="15383" max="15383" width="7" bestFit="1" customWidth="1"/>
    <col min="15384" max="15384" width="12.7109375" bestFit="1" customWidth="1"/>
    <col min="15385" max="15385" width="11.5703125" bestFit="1" customWidth="1"/>
    <col min="15386" max="15386" width="10.5703125" bestFit="1" customWidth="1"/>
    <col min="15387" max="15388" width="15.7109375" bestFit="1" customWidth="1"/>
    <col min="15389" max="15389" width="11.5703125" bestFit="1" customWidth="1"/>
    <col min="15390" max="15390" width="7.7109375" bestFit="1" customWidth="1"/>
    <col min="15391" max="15391" width="15.140625" bestFit="1" customWidth="1"/>
    <col min="15392" max="15392" width="11.5703125" bestFit="1" customWidth="1"/>
    <col min="15393" max="15393" width="13.28515625" bestFit="1" customWidth="1"/>
    <col min="15394" max="15394" width="10.42578125" bestFit="1" customWidth="1"/>
    <col min="15395" max="15395" width="13.28515625" bestFit="1" customWidth="1"/>
    <col min="15396" max="15396" width="12.140625" bestFit="1" customWidth="1"/>
    <col min="15397" max="15397" width="14.42578125" bestFit="1" customWidth="1"/>
    <col min="15398" max="15398" width="13.28515625" bestFit="1" customWidth="1"/>
    <col min="15399" max="15399" width="11.5703125" bestFit="1" customWidth="1"/>
    <col min="15400" max="15400" width="7.7109375" bestFit="1" customWidth="1"/>
    <col min="15401" max="15402" width="14.42578125" bestFit="1" customWidth="1"/>
    <col min="15403" max="15403" width="11.5703125" bestFit="1" customWidth="1"/>
    <col min="15404" max="15404" width="7.7109375" bestFit="1" customWidth="1"/>
    <col min="15405" max="15405" width="13.5703125" customWidth="1"/>
    <col min="15406" max="15406" width="15.28515625" customWidth="1"/>
    <col min="15407" max="15407" width="14.5703125" customWidth="1"/>
    <col min="15408" max="15408" width="13.28515625" bestFit="1" customWidth="1"/>
    <col min="15409" max="15409" width="7.7109375" bestFit="1" customWidth="1"/>
    <col min="15410" max="15410" width="12.7109375" bestFit="1" customWidth="1"/>
    <col min="15411" max="15411" width="11.7109375" bestFit="1" customWidth="1"/>
    <col min="15412" max="15412" width="11.5703125" bestFit="1" customWidth="1"/>
    <col min="15413" max="15413" width="5.28515625" bestFit="1" customWidth="1"/>
    <col min="15414" max="15414" width="13.28515625" bestFit="1" customWidth="1"/>
    <col min="15415" max="15415" width="13.5703125" bestFit="1" customWidth="1"/>
    <col min="15416" max="15416" width="10.5703125" bestFit="1" customWidth="1"/>
    <col min="15417" max="15417" width="13.28515625" bestFit="1" customWidth="1"/>
    <col min="15418" max="15418" width="11.5703125" bestFit="1" customWidth="1"/>
    <col min="15419" max="15419" width="10.5703125" bestFit="1" customWidth="1"/>
    <col min="15420" max="15420" width="16.140625" bestFit="1" customWidth="1"/>
    <col min="15421" max="15422" width="11.28515625" bestFit="1" customWidth="1"/>
    <col min="15423" max="15423" width="13.28515625" bestFit="1" customWidth="1"/>
    <col min="15424" max="15424" width="7.7109375" bestFit="1" customWidth="1"/>
    <col min="15425" max="15428" width="9.140625" hidden="1" customWidth="1"/>
    <col min="15429" max="15429" width="10.42578125" bestFit="1" customWidth="1"/>
    <col min="15430" max="15430" width="10.5703125" bestFit="1" customWidth="1"/>
    <col min="15431" max="15431" width="10.42578125" bestFit="1" customWidth="1"/>
    <col min="15432" max="15432" width="10.5703125" bestFit="1" customWidth="1"/>
    <col min="15433" max="15433" width="9.5703125" bestFit="1" customWidth="1"/>
    <col min="15434" max="15434" width="11.5703125" bestFit="1" customWidth="1"/>
    <col min="15435" max="15435" width="10.42578125" bestFit="1" customWidth="1"/>
    <col min="15436" max="15436" width="10.85546875" customWidth="1"/>
    <col min="15437" max="15438" width="9.85546875" bestFit="1" customWidth="1"/>
    <col min="15439" max="15439" width="13.5703125" bestFit="1" customWidth="1"/>
    <col min="15440" max="15440" width="7.7109375" bestFit="1" customWidth="1"/>
    <col min="15441" max="15441" width="13.28515625" bestFit="1" customWidth="1"/>
    <col min="15442" max="15442" width="11.5703125" bestFit="1" customWidth="1"/>
    <col min="15443" max="15443" width="10.42578125" bestFit="1" customWidth="1"/>
    <col min="15444" max="15444" width="7.7109375" bestFit="1" customWidth="1"/>
    <col min="15445" max="15445" width="11.5703125" bestFit="1" customWidth="1"/>
    <col min="15446" max="15446" width="10.85546875" bestFit="1" customWidth="1"/>
    <col min="15447" max="15447" width="13.28515625" bestFit="1" customWidth="1"/>
    <col min="15448" max="15448" width="10.85546875" bestFit="1" customWidth="1"/>
    <col min="15449" max="15450" width="7.5703125" bestFit="1" customWidth="1"/>
    <col min="15451" max="15452" width="10.42578125" bestFit="1" customWidth="1"/>
    <col min="15453" max="15453" width="11.5703125" bestFit="1" customWidth="1"/>
    <col min="15454" max="15454" width="5.28515625" bestFit="1" customWidth="1"/>
    <col min="15455" max="15455" width="10.28515625" bestFit="1" customWidth="1"/>
    <col min="15456" max="15456" width="10.42578125" bestFit="1" customWidth="1"/>
    <col min="15457" max="15457" width="11.5703125" bestFit="1" customWidth="1"/>
    <col min="15458" max="15458" width="5.28515625" bestFit="1" customWidth="1"/>
    <col min="15459" max="15461" width="11.5703125" bestFit="1" customWidth="1"/>
    <col min="15462" max="15462" width="5.28515625" bestFit="1" customWidth="1"/>
    <col min="15463" max="15464" width="10.42578125" bestFit="1" customWidth="1"/>
    <col min="15465" max="15465" width="11.5703125" bestFit="1" customWidth="1"/>
    <col min="15466" max="15466" width="5.28515625" bestFit="1" customWidth="1"/>
    <col min="15467" max="15467" width="14.28515625" bestFit="1" customWidth="1"/>
    <col min="15468" max="15468" width="13" bestFit="1" customWidth="1"/>
    <col min="15469" max="15469" width="11.5703125" bestFit="1" customWidth="1"/>
    <col min="15470" max="15470" width="8.85546875" bestFit="1" customWidth="1"/>
    <col min="15471" max="15471" width="14.42578125" bestFit="1" customWidth="1"/>
    <col min="15472" max="15472" width="10.42578125" bestFit="1" customWidth="1"/>
    <col min="15473" max="15473" width="12.28515625" bestFit="1" customWidth="1"/>
    <col min="15474" max="15474" width="13.85546875" bestFit="1" customWidth="1"/>
    <col min="15475" max="15475" width="11.28515625" customWidth="1"/>
    <col min="15476" max="15476" width="11.5703125" customWidth="1"/>
    <col min="15477" max="15477" width="13.42578125" bestFit="1" customWidth="1"/>
    <col min="15478" max="15478" width="10.42578125" customWidth="1"/>
    <col min="15479" max="15479" width="13.85546875" bestFit="1" customWidth="1"/>
    <col min="15480" max="15480" width="15.42578125" bestFit="1" customWidth="1"/>
    <col min="15481" max="15481" width="12.28515625" bestFit="1" customWidth="1"/>
    <col min="15482" max="15482" width="12.7109375" customWidth="1"/>
    <col min="15483" max="15483" width="10.7109375" bestFit="1" customWidth="1"/>
    <col min="15484" max="15484" width="9.85546875" customWidth="1"/>
    <col min="15485" max="15486" width="10.140625" bestFit="1" customWidth="1"/>
    <col min="15487" max="15487" width="7.5703125" bestFit="1" customWidth="1"/>
    <col min="15488" max="15488" width="9.42578125" bestFit="1" customWidth="1"/>
    <col min="15489" max="15489" width="14.5703125" bestFit="1" customWidth="1"/>
    <col min="15490" max="15490" width="14.85546875" customWidth="1"/>
    <col min="15491" max="15491" width="15.140625" bestFit="1" customWidth="1"/>
    <col min="15492" max="15492" width="12.140625" bestFit="1" customWidth="1"/>
    <col min="15493" max="15493" width="14.85546875" bestFit="1" customWidth="1"/>
    <col min="15494" max="15494" width="12.28515625" bestFit="1" customWidth="1"/>
    <col min="15495" max="15503" width="9.140625" hidden="1" customWidth="1"/>
    <col min="15504" max="15504" width="5.28515625" bestFit="1" customWidth="1"/>
    <col min="15505" max="15510" width="11.5703125" bestFit="1" customWidth="1"/>
    <col min="15511" max="15511" width="11.28515625" bestFit="1" customWidth="1"/>
    <col min="15512" max="15512" width="10.140625" bestFit="1" customWidth="1"/>
    <col min="15513" max="15513" width="11.5703125" bestFit="1" customWidth="1"/>
    <col min="15514" max="15514" width="16.140625" customWidth="1"/>
    <col min="15515" max="15515" width="13.42578125" customWidth="1"/>
    <col min="15516" max="15516" width="10.140625" bestFit="1" customWidth="1"/>
    <col min="15517" max="15517" width="12.85546875" bestFit="1" customWidth="1"/>
    <col min="15518" max="15518" width="12.28515625" bestFit="1" customWidth="1"/>
    <col min="15519" max="15519" width="11.28515625" bestFit="1" customWidth="1"/>
    <col min="15520" max="15520" width="11.5703125" bestFit="1" customWidth="1"/>
    <col min="15521" max="15521" width="10.85546875" bestFit="1" customWidth="1"/>
    <col min="15522" max="15522" width="11.28515625" bestFit="1" customWidth="1"/>
    <col min="15523" max="15523" width="10.140625" bestFit="1" customWidth="1"/>
    <col min="15524" max="15524" width="13.28515625" bestFit="1" customWidth="1"/>
    <col min="15525" max="15526" width="12.7109375" bestFit="1" customWidth="1"/>
    <col min="15527" max="15527" width="11" bestFit="1" customWidth="1"/>
    <col min="15528" max="15528" width="11.28515625" bestFit="1" customWidth="1"/>
    <col min="15529" max="15529" width="11.5703125" bestFit="1" customWidth="1"/>
    <col min="15530" max="15530" width="12.28515625" bestFit="1" customWidth="1"/>
    <col min="15531" max="15531" width="15.140625" bestFit="1" customWidth="1"/>
    <col min="15532" max="15532" width="14.42578125" bestFit="1" customWidth="1"/>
    <col min="15533" max="15533" width="12.28515625" bestFit="1" customWidth="1"/>
    <col min="15534" max="15534" width="15.140625" bestFit="1" customWidth="1"/>
    <col min="15535" max="15535" width="14.42578125" bestFit="1" customWidth="1"/>
    <col min="15536" max="15536" width="12.28515625" bestFit="1" customWidth="1"/>
    <col min="15537" max="15537" width="14.42578125" bestFit="1" customWidth="1"/>
    <col min="15538" max="15538" width="11.28515625" bestFit="1" customWidth="1"/>
    <col min="15539" max="15539" width="12.28515625" bestFit="1" customWidth="1"/>
    <col min="15540" max="15540" width="13" bestFit="1" customWidth="1"/>
    <col min="15541" max="15541" width="15.140625" bestFit="1" customWidth="1"/>
    <col min="15542" max="15542" width="12.28515625" bestFit="1" customWidth="1"/>
    <col min="15543" max="15543" width="13.85546875" bestFit="1" customWidth="1"/>
    <col min="15544" max="15544" width="11.28515625" bestFit="1" customWidth="1"/>
    <col min="15545" max="15545" width="12.28515625" bestFit="1" customWidth="1"/>
    <col min="15546" max="15546" width="13.85546875" bestFit="1" customWidth="1"/>
    <col min="15547" max="15548" width="15.140625" bestFit="1" customWidth="1"/>
    <col min="15549" max="15549" width="12.28515625" bestFit="1" customWidth="1"/>
    <col min="15550" max="15550" width="5.7109375" bestFit="1" customWidth="1"/>
    <col min="15551" max="15551" width="8.5703125" bestFit="1" customWidth="1"/>
    <col min="15552" max="15552" width="5.5703125" bestFit="1" customWidth="1"/>
    <col min="15553" max="15553" width="14.42578125" bestFit="1" customWidth="1"/>
    <col min="15554" max="15554" width="11.28515625" bestFit="1" customWidth="1"/>
    <col min="15555" max="15556" width="12.28515625" bestFit="1" customWidth="1"/>
    <col min="15557" max="15557" width="11.28515625" bestFit="1" customWidth="1"/>
    <col min="15558" max="15558" width="13.85546875" bestFit="1" customWidth="1"/>
    <col min="15559" max="15559" width="12" bestFit="1" customWidth="1"/>
    <col min="15560" max="15560" width="13.85546875" bestFit="1" customWidth="1"/>
    <col min="15561" max="15562" width="14.42578125" customWidth="1"/>
    <col min="15563" max="15563" width="10.140625" bestFit="1" customWidth="1"/>
    <col min="15564" max="15564" width="12.28515625" bestFit="1" customWidth="1"/>
    <col min="15565" max="15565" width="7.42578125" bestFit="1" customWidth="1"/>
    <col min="15566" max="15566" width="8.5703125" bestFit="1" customWidth="1"/>
    <col min="15567" max="15567" width="11.5703125" bestFit="1" customWidth="1"/>
    <col min="15568" max="15568" width="13.28515625" bestFit="1" customWidth="1"/>
    <col min="15569" max="15569" width="13.28515625" customWidth="1"/>
    <col min="15570" max="15570" width="13.140625" customWidth="1"/>
    <col min="15571" max="15571" width="12.7109375" bestFit="1" customWidth="1"/>
    <col min="15572" max="15572" width="13.28515625" bestFit="1" customWidth="1"/>
    <col min="15573" max="15575" width="13.28515625" customWidth="1"/>
    <col min="15576" max="15576" width="12.140625" bestFit="1" customWidth="1"/>
    <col min="15577" max="15577" width="12.7109375" bestFit="1" customWidth="1"/>
    <col min="15578" max="15578" width="11" customWidth="1"/>
    <col min="15579" max="15579" width="16.7109375" customWidth="1"/>
    <col min="15580" max="15580" width="17" customWidth="1"/>
    <col min="15581" max="15581" width="10.42578125" bestFit="1" customWidth="1"/>
    <col min="15625" max="15625" width="3.85546875" customWidth="1"/>
    <col min="15626" max="15626" width="15.28515625" bestFit="1" customWidth="1"/>
    <col min="15627" max="15627" width="12.28515625" customWidth="1"/>
    <col min="15628" max="15628" width="16.28515625" bestFit="1" customWidth="1"/>
    <col min="15629" max="15629" width="6.42578125" bestFit="1" customWidth="1"/>
    <col min="15630" max="15630" width="9.28515625" bestFit="1" customWidth="1"/>
    <col min="15631" max="15631" width="7.5703125" bestFit="1" customWidth="1"/>
    <col min="15632" max="15632" width="13.28515625" bestFit="1" customWidth="1"/>
    <col min="15633" max="15633" width="9.28515625" bestFit="1" customWidth="1"/>
    <col min="15634" max="15634" width="11.5703125" bestFit="1" customWidth="1"/>
    <col min="15635" max="15635" width="13.28515625" bestFit="1" customWidth="1"/>
    <col min="15636" max="15636" width="7.140625" bestFit="1" customWidth="1"/>
    <col min="15637" max="15637" width="12" bestFit="1" customWidth="1"/>
    <col min="15638" max="15638" width="13.28515625" bestFit="1" customWidth="1"/>
    <col min="15639" max="15639" width="7" bestFit="1" customWidth="1"/>
    <col min="15640" max="15640" width="12.7109375" bestFit="1" customWidth="1"/>
    <col min="15641" max="15641" width="11.5703125" bestFit="1" customWidth="1"/>
    <col min="15642" max="15642" width="10.5703125" bestFit="1" customWidth="1"/>
    <col min="15643" max="15644" width="15.7109375" bestFit="1" customWidth="1"/>
    <col min="15645" max="15645" width="11.5703125" bestFit="1" customWidth="1"/>
    <col min="15646" max="15646" width="7.7109375" bestFit="1" customWidth="1"/>
    <col min="15647" max="15647" width="15.140625" bestFit="1" customWidth="1"/>
    <col min="15648" max="15648" width="11.5703125" bestFit="1" customWidth="1"/>
    <col min="15649" max="15649" width="13.28515625" bestFit="1" customWidth="1"/>
    <col min="15650" max="15650" width="10.42578125" bestFit="1" customWidth="1"/>
    <col min="15651" max="15651" width="13.28515625" bestFit="1" customWidth="1"/>
    <col min="15652" max="15652" width="12.140625" bestFit="1" customWidth="1"/>
    <col min="15653" max="15653" width="14.42578125" bestFit="1" customWidth="1"/>
    <col min="15654" max="15654" width="13.28515625" bestFit="1" customWidth="1"/>
    <col min="15655" max="15655" width="11.5703125" bestFit="1" customWidth="1"/>
    <col min="15656" max="15656" width="7.7109375" bestFit="1" customWidth="1"/>
    <col min="15657" max="15658" width="14.42578125" bestFit="1" customWidth="1"/>
    <col min="15659" max="15659" width="11.5703125" bestFit="1" customWidth="1"/>
    <col min="15660" max="15660" width="7.7109375" bestFit="1" customWidth="1"/>
    <col min="15661" max="15661" width="13.5703125" customWidth="1"/>
    <col min="15662" max="15662" width="15.28515625" customWidth="1"/>
    <col min="15663" max="15663" width="14.5703125" customWidth="1"/>
    <col min="15664" max="15664" width="13.28515625" bestFit="1" customWidth="1"/>
    <col min="15665" max="15665" width="7.7109375" bestFit="1" customWidth="1"/>
    <col min="15666" max="15666" width="12.7109375" bestFit="1" customWidth="1"/>
    <col min="15667" max="15667" width="11.7109375" bestFit="1" customWidth="1"/>
    <col min="15668" max="15668" width="11.5703125" bestFit="1" customWidth="1"/>
    <col min="15669" max="15669" width="5.28515625" bestFit="1" customWidth="1"/>
    <col min="15670" max="15670" width="13.28515625" bestFit="1" customWidth="1"/>
    <col min="15671" max="15671" width="13.5703125" bestFit="1" customWidth="1"/>
    <col min="15672" max="15672" width="10.5703125" bestFit="1" customWidth="1"/>
    <col min="15673" max="15673" width="13.28515625" bestFit="1" customWidth="1"/>
    <col min="15674" max="15674" width="11.5703125" bestFit="1" customWidth="1"/>
    <col min="15675" max="15675" width="10.5703125" bestFit="1" customWidth="1"/>
    <col min="15676" max="15676" width="16.140625" bestFit="1" customWidth="1"/>
    <col min="15677" max="15678" width="11.28515625" bestFit="1" customWidth="1"/>
    <col min="15679" max="15679" width="13.28515625" bestFit="1" customWidth="1"/>
    <col min="15680" max="15680" width="7.7109375" bestFit="1" customWidth="1"/>
    <col min="15681" max="15684" width="9.140625" hidden="1" customWidth="1"/>
    <col min="15685" max="15685" width="10.42578125" bestFit="1" customWidth="1"/>
    <col min="15686" max="15686" width="10.5703125" bestFit="1" customWidth="1"/>
    <col min="15687" max="15687" width="10.42578125" bestFit="1" customWidth="1"/>
    <col min="15688" max="15688" width="10.5703125" bestFit="1" customWidth="1"/>
    <col min="15689" max="15689" width="9.5703125" bestFit="1" customWidth="1"/>
    <col min="15690" max="15690" width="11.5703125" bestFit="1" customWidth="1"/>
    <col min="15691" max="15691" width="10.42578125" bestFit="1" customWidth="1"/>
    <col min="15692" max="15692" width="10.85546875" customWidth="1"/>
    <col min="15693" max="15694" width="9.85546875" bestFit="1" customWidth="1"/>
    <col min="15695" max="15695" width="13.5703125" bestFit="1" customWidth="1"/>
    <col min="15696" max="15696" width="7.7109375" bestFit="1" customWidth="1"/>
    <col min="15697" max="15697" width="13.28515625" bestFit="1" customWidth="1"/>
    <col min="15698" max="15698" width="11.5703125" bestFit="1" customWidth="1"/>
    <col min="15699" max="15699" width="10.42578125" bestFit="1" customWidth="1"/>
    <col min="15700" max="15700" width="7.7109375" bestFit="1" customWidth="1"/>
    <col min="15701" max="15701" width="11.5703125" bestFit="1" customWidth="1"/>
    <col min="15702" max="15702" width="10.85546875" bestFit="1" customWidth="1"/>
    <col min="15703" max="15703" width="13.28515625" bestFit="1" customWidth="1"/>
    <col min="15704" max="15704" width="10.85546875" bestFit="1" customWidth="1"/>
    <col min="15705" max="15706" width="7.5703125" bestFit="1" customWidth="1"/>
    <col min="15707" max="15708" width="10.42578125" bestFit="1" customWidth="1"/>
    <col min="15709" max="15709" width="11.5703125" bestFit="1" customWidth="1"/>
    <col min="15710" max="15710" width="5.28515625" bestFit="1" customWidth="1"/>
    <col min="15711" max="15711" width="10.28515625" bestFit="1" customWidth="1"/>
    <col min="15712" max="15712" width="10.42578125" bestFit="1" customWidth="1"/>
    <col min="15713" max="15713" width="11.5703125" bestFit="1" customWidth="1"/>
    <col min="15714" max="15714" width="5.28515625" bestFit="1" customWidth="1"/>
    <col min="15715" max="15717" width="11.5703125" bestFit="1" customWidth="1"/>
    <col min="15718" max="15718" width="5.28515625" bestFit="1" customWidth="1"/>
    <col min="15719" max="15720" width="10.42578125" bestFit="1" customWidth="1"/>
    <col min="15721" max="15721" width="11.5703125" bestFit="1" customWidth="1"/>
    <col min="15722" max="15722" width="5.28515625" bestFit="1" customWidth="1"/>
    <col min="15723" max="15723" width="14.28515625" bestFit="1" customWidth="1"/>
    <col min="15724" max="15724" width="13" bestFit="1" customWidth="1"/>
    <col min="15725" max="15725" width="11.5703125" bestFit="1" customWidth="1"/>
    <col min="15726" max="15726" width="8.85546875" bestFit="1" customWidth="1"/>
    <col min="15727" max="15727" width="14.42578125" bestFit="1" customWidth="1"/>
    <col min="15728" max="15728" width="10.42578125" bestFit="1" customWidth="1"/>
    <col min="15729" max="15729" width="12.28515625" bestFit="1" customWidth="1"/>
    <col min="15730" max="15730" width="13.85546875" bestFit="1" customWidth="1"/>
    <col min="15731" max="15731" width="11.28515625" customWidth="1"/>
    <col min="15732" max="15732" width="11.5703125" customWidth="1"/>
    <col min="15733" max="15733" width="13.42578125" bestFit="1" customWidth="1"/>
    <col min="15734" max="15734" width="10.42578125" customWidth="1"/>
    <col min="15735" max="15735" width="13.85546875" bestFit="1" customWidth="1"/>
    <col min="15736" max="15736" width="15.42578125" bestFit="1" customWidth="1"/>
    <col min="15737" max="15737" width="12.28515625" bestFit="1" customWidth="1"/>
    <col min="15738" max="15738" width="12.7109375" customWidth="1"/>
    <col min="15739" max="15739" width="10.7109375" bestFit="1" customWidth="1"/>
    <col min="15740" max="15740" width="9.85546875" customWidth="1"/>
    <col min="15741" max="15742" width="10.140625" bestFit="1" customWidth="1"/>
    <col min="15743" max="15743" width="7.5703125" bestFit="1" customWidth="1"/>
    <col min="15744" max="15744" width="9.42578125" bestFit="1" customWidth="1"/>
    <col min="15745" max="15745" width="14.5703125" bestFit="1" customWidth="1"/>
    <col min="15746" max="15746" width="14.85546875" customWidth="1"/>
    <col min="15747" max="15747" width="15.140625" bestFit="1" customWidth="1"/>
    <col min="15748" max="15748" width="12.140625" bestFit="1" customWidth="1"/>
    <col min="15749" max="15749" width="14.85546875" bestFit="1" customWidth="1"/>
    <col min="15750" max="15750" width="12.28515625" bestFit="1" customWidth="1"/>
    <col min="15751" max="15759" width="9.140625" hidden="1" customWidth="1"/>
    <col min="15760" max="15760" width="5.28515625" bestFit="1" customWidth="1"/>
    <col min="15761" max="15766" width="11.5703125" bestFit="1" customWidth="1"/>
    <col min="15767" max="15767" width="11.28515625" bestFit="1" customWidth="1"/>
    <col min="15768" max="15768" width="10.140625" bestFit="1" customWidth="1"/>
    <col min="15769" max="15769" width="11.5703125" bestFit="1" customWidth="1"/>
    <col min="15770" max="15770" width="16.140625" customWidth="1"/>
    <col min="15771" max="15771" width="13.42578125" customWidth="1"/>
    <col min="15772" max="15772" width="10.140625" bestFit="1" customWidth="1"/>
    <col min="15773" max="15773" width="12.85546875" bestFit="1" customWidth="1"/>
    <col min="15774" max="15774" width="12.28515625" bestFit="1" customWidth="1"/>
    <col min="15775" max="15775" width="11.28515625" bestFit="1" customWidth="1"/>
    <col min="15776" max="15776" width="11.5703125" bestFit="1" customWidth="1"/>
    <col min="15777" max="15777" width="10.85546875" bestFit="1" customWidth="1"/>
    <col min="15778" max="15778" width="11.28515625" bestFit="1" customWidth="1"/>
    <col min="15779" max="15779" width="10.140625" bestFit="1" customWidth="1"/>
    <col min="15780" max="15780" width="13.28515625" bestFit="1" customWidth="1"/>
    <col min="15781" max="15782" width="12.7109375" bestFit="1" customWidth="1"/>
    <col min="15783" max="15783" width="11" bestFit="1" customWidth="1"/>
    <col min="15784" max="15784" width="11.28515625" bestFit="1" customWidth="1"/>
    <col min="15785" max="15785" width="11.5703125" bestFit="1" customWidth="1"/>
    <col min="15786" max="15786" width="12.28515625" bestFit="1" customWidth="1"/>
    <col min="15787" max="15787" width="15.140625" bestFit="1" customWidth="1"/>
    <col min="15788" max="15788" width="14.42578125" bestFit="1" customWidth="1"/>
    <col min="15789" max="15789" width="12.28515625" bestFit="1" customWidth="1"/>
    <col min="15790" max="15790" width="15.140625" bestFit="1" customWidth="1"/>
    <col min="15791" max="15791" width="14.42578125" bestFit="1" customWidth="1"/>
    <col min="15792" max="15792" width="12.28515625" bestFit="1" customWidth="1"/>
    <col min="15793" max="15793" width="14.42578125" bestFit="1" customWidth="1"/>
    <col min="15794" max="15794" width="11.28515625" bestFit="1" customWidth="1"/>
    <col min="15795" max="15795" width="12.28515625" bestFit="1" customWidth="1"/>
    <col min="15796" max="15796" width="13" bestFit="1" customWidth="1"/>
    <col min="15797" max="15797" width="15.140625" bestFit="1" customWidth="1"/>
    <col min="15798" max="15798" width="12.28515625" bestFit="1" customWidth="1"/>
    <col min="15799" max="15799" width="13.85546875" bestFit="1" customWidth="1"/>
    <col min="15800" max="15800" width="11.28515625" bestFit="1" customWidth="1"/>
    <col min="15801" max="15801" width="12.28515625" bestFit="1" customWidth="1"/>
    <col min="15802" max="15802" width="13.85546875" bestFit="1" customWidth="1"/>
    <col min="15803" max="15804" width="15.140625" bestFit="1" customWidth="1"/>
    <col min="15805" max="15805" width="12.28515625" bestFit="1" customWidth="1"/>
    <col min="15806" max="15806" width="5.7109375" bestFit="1" customWidth="1"/>
    <col min="15807" max="15807" width="8.5703125" bestFit="1" customWidth="1"/>
    <col min="15808" max="15808" width="5.5703125" bestFit="1" customWidth="1"/>
    <col min="15809" max="15809" width="14.42578125" bestFit="1" customWidth="1"/>
    <col min="15810" max="15810" width="11.28515625" bestFit="1" customWidth="1"/>
    <col min="15811" max="15812" width="12.28515625" bestFit="1" customWidth="1"/>
    <col min="15813" max="15813" width="11.28515625" bestFit="1" customWidth="1"/>
    <col min="15814" max="15814" width="13.85546875" bestFit="1" customWidth="1"/>
    <col min="15815" max="15815" width="12" bestFit="1" customWidth="1"/>
    <col min="15816" max="15816" width="13.85546875" bestFit="1" customWidth="1"/>
    <col min="15817" max="15818" width="14.42578125" customWidth="1"/>
    <col min="15819" max="15819" width="10.140625" bestFit="1" customWidth="1"/>
    <col min="15820" max="15820" width="12.28515625" bestFit="1" customWidth="1"/>
    <col min="15821" max="15821" width="7.42578125" bestFit="1" customWidth="1"/>
    <col min="15822" max="15822" width="8.5703125" bestFit="1" customWidth="1"/>
    <col min="15823" max="15823" width="11.5703125" bestFit="1" customWidth="1"/>
    <col min="15824" max="15824" width="13.28515625" bestFit="1" customWidth="1"/>
    <col min="15825" max="15825" width="13.28515625" customWidth="1"/>
    <col min="15826" max="15826" width="13.140625" customWidth="1"/>
    <col min="15827" max="15827" width="12.7109375" bestFit="1" customWidth="1"/>
    <col min="15828" max="15828" width="13.28515625" bestFit="1" customWidth="1"/>
    <col min="15829" max="15831" width="13.28515625" customWidth="1"/>
    <col min="15832" max="15832" width="12.140625" bestFit="1" customWidth="1"/>
    <col min="15833" max="15833" width="12.7109375" bestFit="1" customWidth="1"/>
    <col min="15834" max="15834" width="11" customWidth="1"/>
    <col min="15835" max="15835" width="16.7109375" customWidth="1"/>
    <col min="15836" max="15836" width="17" customWidth="1"/>
    <col min="15837" max="15837" width="10.42578125" bestFit="1" customWidth="1"/>
    <col min="15881" max="15881" width="3.85546875" customWidth="1"/>
    <col min="15882" max="15882" width="15.28515625" bestFit="1" customWidth="1"/>
    <col min="15883" max="15883" width="12.28515625" customWidth="1"/>
    <col min="15884" max="15884" width="16.28515625" bestFit="1" customWidth="1"/>
    <col min="15885" max="15885" width="6.42578125" bestFit="1" customWidth="1"/>
    <col min="15886" max="15886" width="9.28515625" bestFit="1" customWidth="1"/>
    <col min="15887" max="15887" width="7.5703125" bestFit="1" customWidth="1"/>
    <col min="15888" max="15888" width="13.28515625" bestFit="1" customWidth="1"/>
    <col min="15889" max="15889" width="9.28515625" bestFit="1" customWidth="1"/>
    <col min="15890" max="15890" width="11.5703125" bestFit="1" customWidth="1"/>
    <col min="15891" max="15891" width="13.28515625" bestFit="1" customWidth="1"/>
    <col min="15892" max="15892" width="7.140625" bestFit="1" customWidth="1"/>
    <col min="15893" max="15893" width="12" bestFit="1" customWidth="1"/>
    <col min="15894" max="15894" width="13.28515625" bestFit="1" customWidth="1"/>
    <col min="15895" max="15895" width="7" bestFit="1" customWidth="1"/>
    <col min="15896" max="15896" width="12.7109375" bestFit="1" customWidth="1"/>
    <col min="15897" max="15897" width="11.5703125" bestFit="1" customWidth="1"/>
    <col min="15898" max="15898" width="10.5703125" bestFit="1" customWidth="1"/>
    <col min="15899" max="15900" width="15.7109375" bestFit="1" customWidth="1"/>
    <col min="15901" max="15901" width="11.5703125" bestFit="1" customWidth="1"/>
    <col min="15902" max="15902" width="7.7109375" bestFit="1" customWidth="1"/>
    <col min="15903" max="15903" width="15.140625" bestFit="1" customWidth="1"/>
    <col min="15904" max="15904" width="11.5703125" bestFit="1" customWidth="1"/>
    <col min="15905" max="15905" width="13.28515625" bestFit="1" customWidth="1"/>
    <col min="15906" max="15906" width="10.42578125" bestFit="1" customWidth="1"/>
    <col min="15907" max="15907" width="13.28515625" bestFit="1" customWidth="1"/>
    <col min="15908" max="15908" width="12.140625" bestFit="1" customWidth="1"/>
    <col min="15909" max="15909" width="14.42578125" bestFit="1" customWidth="1"/>
    <col min="15910" max="15910" width="13.28515625" bestFit="1" customWidth="1"/>
    <col min="15911" max="15911" width="11.5703125" bestFit="1" customWidth="1"/>
    <col min="15912" max="15912" width="7.7109375" bestFit="1" customWidth="1"/>
    <col min="15913" max="15914" width="14.42578125" bestFit="1" customWidth="1"/>
    <col min="15915" max="15915" width="11.5703125" bestFit="1" customWidth="1"/>
    <col min="15916" max="15916" width="7.7109375" bestFit="1" customWidth="1"/>
    <col min="15917" max="15917" width="13.5703125" customWidth="1"/>
    <col min="15918" max="15918" width="15.28515625" customWidth="1"/>
    <col min="15919" max="15919" width="14.5703125" customWidth="1"/>
    <col min="15920" max="15920" width="13.28515625" bestFit="1" customWidth="1"/>
    <col min="15921" max="15921" width="7.7109375" bestFit="1" customWidth="1"/>
    <col min="15922" max="15922" width="12.7109375" bestFit="1" customWidth="1"/>
    <col min="15923" max="15923" width="11.7109375" bestFit="1" customWidth="1"/>
    <col min="15924" max="15924" width="11.5703125" bestFit="1" customWidth="1"/>
    <col min="15925" max="15925" width="5.28515625" bestFit="1" customWidth="1"/>
    <col min="15926" max="15926" width="13.28515625" bestFit="1" customWidth="1"/>
    <col min="15927" max="15927" width="13.5703125" bestFit="1" customWidth="1"/>
    <col min="15928" max="15928" width="10.5703125" bestFit="1" customWidth="1"/>
    <col min="15929" max="15929" width="13.28515625" bestFit="1" customWidth="1"/>
    <col min="15930" max="15930" width="11.5703125" bestFit="1" customWidth="1"/>
    <col min="15931" max="15931" width="10.5703125" bestFit="1" customWidth="1"/>
    <col min="15932" max="15932" width="16.140625" bestFit="1" customWidth="1"/>
    <col min="15933" max="15934" width="11.28515625" bestFit="1" customWidth="1"/>
    <col min="15935" max="15935" width="13.28515625" bestFit="1" customWidth="1"/>
    <col min="15936" max="15936" width="7.7109375" bestFit="1" customWidth="1"/>
    <col min="15937" max="15940" width="9.140625" hidden="1" customWidth="1"/>
    <col min="15941" max="15941" width="10.42578125" bestFit="1" customWidth="1"/>
    <col min="15942" max="15942" width="10.5703125" bestFit="1" customWidth="1"/>
    <col min="15943" max="15943" width="10.42578125" bestFit="1" customWidth="1"/>
    <col min="15944" max="15944" width="10.5703125" bestFit="1" customWidth="1"/>
    <col min="15945" max="15945" width="9.5703125" bestFit="1" customWidth="1"/>
    <col min="15946" max="15946" width="11.5703125" bestFit="1" customWidth="1"/>
    <col min="15947" max="15947" width="10.42578125" bestFit="1" customWidth="1"/>
    <col min="15948" max="15948" width="10.85546875" customWidth="1"/>
    <col min="15949" max="15950" width="9.85546875" bestFit="1" customWidth="1"/>
    <col min="15951" max="15951" width="13.5703125" bestFit="1" customWidth="1"/>
    <col min="15952" max="15952" width="7.7109375" bestFit="1" customWidth="1"/>
    <col min="15953" max="15953" width="13.28515625" bestFit="1" customWidth="1"/>
    <col min="15954" max="15954" width="11.5703125" bestFit="1" customWidth="1"/>
    <col min="15955" max="15955" width="10.42578125" bestFit="1" customWidth="1"/>
    <col min="15956" max="15956" width="7.7109375" bestFit="1" customWidth="1"/>
    <col min="15957" max="15957" width="11.5703125" bestFit="1" customWidth="1"/>
    <col min="15958" max="15958" width="10.85546875" bestFit="1" customWidth="1"/>
    <col min="15959" max="15959" width="13.28515625" bestFit="1" customWidth="1"/>
    <col min="15960" max="15960" width="10.85546875" bestFit="1" customWidth="1"/>
    <col min="15961" max="15962" width="7.5703125" bestFit="1" customWidth="1"/>
    <col min="15963" max="15964" width="10.42578125" bestFit="1" customWidth="1"/>
    <col min="15965" max="15965" width="11.5703125" bestFit="1" customWidth="1"/>
    <col min="15966" max="15966" width="5.28515625" bestFit="1" customWidth="1"/>
    <col min="15967" max="15967" width="10.28515625" bestFit="1" customWidth="1"/>
    <col min="15968" max="15968" width="10.42578125" bestFit="1" customWidth="1"/>
    <col min="15969" max="15969" width="11.5703125" bestFit="1" customWidth="1"/>
    <col min="15970" max="15970" width="5.28515625" bestFit="1" customWidth="1"/>
    <col min="15971" max="15973" width="11.5703125" bestFit="1" customWidth="1"/>
    <col min="15974" max="15974" width="5.28515625" bestFit="1" customWidth="1"/>
    <col min="15975" max="15976" width="10.42578125" bestFit="1" customWidth="1"/>
    <col min="15977" max="15977" width="11.5703125" bestFit="1" customWidth="1"/>
    <col min="15978" max="15978" width="5.28515625" bestFit="1" customWidth="1"/>
    <col min="15979" max="15979" width="14.28515625" bestFit="1" customWidth="1"/>
    <col min="15980" max="15980" width="13" bestFit="1" customWidth="1"/>
    <col min="15981" max="15981" width="11.5703125" bestFit="1" customWidth="1"/>
    <col min="15982" max="15982" width="8.85546875" bestFit="1" customWidth="1"/>
    <col min="15983" max="15983" width="14.42578125" bestFit="1" customWidth="1"/>
    <col min="15984" max="15984" width="10.42578125" bestFit="1" customWidth="1"/>
    <col min="15985" max="15985" width="12.28515625" bestFit="1" customWidth="1"/>
    <col min="15986" max="15986" width="13.85546875" bestFit="1" customWidth="1"/>
    <col min="15987" max="15987" width="11.28515625" customWidth="1"/>
    <col min="15988" max="15988" width="11.5703125" customWidth="1"/>
    <col min="15989" max="15989" width="13.42578125" bestFit="1" customWidth="1"/>
    <col min="15990" max="15990" width="10.42578125" customWidth="1"/>
    <col min="15991" max="15991" width="13.85546875" bestFit="1" customWidth="1"/>
    <col min="15992" max="15992" width="15.42578125" bestFit="1" customWidth="1"/>
    <col min="15993" max="15993" width="12.28515625" bestFit="1" customWidth="1"/>
    <col min="15994" max="15994" width="12.7109375" customWidth="1"/>
    <col min="15995" max="15995" width="10.7109375" bestFit="1" customWidth="1"/>
    <col min="15996" max="15996" width="9.85546875" customWidth="1"/>
    <col min="15997" max="15998" width="10.140625" bestFit="1" customWidth="1"/>
    <col min="15999" max="15999" width="7.5703125" bestFit="1" customWidth="1"/>
    <col min="16000" max="16000" width="9.42578125" bestFit="1" customWidth="1"/>
    <col min="16001" max="16001" width="14.5703125" bestFit="1" customWidth="1"/>
    <col min="16002" max="16002" width="14.85546875" customWidth="1"/>
    <col min="16003" max="16003" width="15.140625" bestFit="1" customWidth="1"/>
    <col min="16004" max="16004" width="12.140625" bestFit="1" customWidth="1"/>
    <col min="16005" max="16005" width="14.85546875" bestFit="1" customWidth="1"/>
    <col min="16006" max="16006" width="12.28515625" bestFit="1" customWidth="1"/>
    <col min="16007" max="16015" width="9.140625" hidden="1" customWidth="1"/>
    <col min="16016" max="16016" width="5.28515625" bestFit="1" customWidth="1"/>
    <col min="16017" max="16022" width="11.5703125" bestFit="1" customWidth="1"/>
    <col min="16023" max="16023" width="11.28515625" bestFit="1" customWidth="1"/>
    <col min="16024" max="16024" width="10.140625" bestFit="1" customWidth="1"/>
    <col min="16025" max="16025" width="11.5703125" bestFit="1" customWidth="1"/>
    <col min="16026" max="16026" width="16.140625" customWidth="1"/>
    <col min="16027" max="16027" width="13.42578125" customWidth="1"/>
    <col min="16028" max="16028" width="10.140625" bestFit="1" customWidth="1"/>
    <col min="16029" max="16029" width="12.85546875" bestFit="1" customWidth="1"/>
    <col min="16030" max="16030" width="12.28515625" bestFit="1" customWidth="1"/>
    <col min="16031" max="16031" width="11.28515625" bestFit="1" customWidth="1"/>
    <col min="16032" max="16032" width="11.5703125" bestFit="1" customWidth="1"/>
    <col min="16033" max="16033" width="10.85546875" bestFit="1" customWidth="1"/>
    <col min="16034" max="16034" width="11.28515625" bestFit="1" customWidth="1"/>
    <col min="16035" max="16035" width="10.140625" bestFit="1" customWidth="1"/>
    <col min="16036" max="16036" width="13.28515625" bestFit="1" customWidth="1"/>
    <col min="16037" max="16038" width="12.7109375" bestFit="1" customWidth="1"/>
    <col min="16039" max="16039" width="11" bestFit="1" customWidth="1"/>
    <col min="16040" max="16040" width="11.28515625" bestFit="1" customWidth="1"/>
    <col min="16041" max="16041" width="11.5703125" bestFit="1" customWidth="1"/>
    <col min="16042" max="16042" width="12.28515625" bestFit="1" customWidth="1"/>
    <col min="16043" max="16043" width="15.140625" bestFit="1" customWidth="1"/>
    <col min="16044" max="16044" width="14.42578125" bestFit="1" customWidth="1"/>
    <col min="16045" max="16045" width="12.28515625" bestFit="1" customWidth="1"/>
    <col min="16046" max="16046" width="15.140625" bestFit="1" customWidth="1"/>
    <col min="16047" max="16047" width="14.42578125" bestFit="1" customWidth="1"/>
    <col min="16048" max="16048" width="12.28515625" bestFit="1" customWidth="1"/>
    <col min="16049" max="16049" width="14.42578125" bestFit="1" customWidth="1"/>
    <col min="16050" max="16050" width="11.28515625" bestFit="1" customWidth="1"/>
    <col min="16051" max="16051" width="12.28515625" bestFit="1" customWidth="1"/>
    <col min="16052" max="16052" width="13" bestFit="1" customWidth="1"/>
    <col min="16053" max="16053" width="15.140625" bestFit="1" customWidth="1"/>
    <col min="16054" max="16054" width="12.28515625" bestFit="1" customWidth="1"/>
    <col min="16055" max="16055" width="13.85546875" bestFit="1" customWidth="1"/>
    <col min="16056" max="16056" width="11.28515625" bestFit="1" customWidth="1"/>
    <col min="16057" max="16057" width="12.28515625" bestFit="1" customWidth="1"/>
    <col min="16058" max="16058" width="13.85546875" bestFit="1" customWidth="1"/>
    <col min="16059" max="16060" width="15.140625" bestFit="1" customWidth="1"/>
    <col min="16061" max="16061" width="12.28515625" bestFit="1" customWidth="1"/>
    <col min="16062" max="16062" width="5.7109375" bestFit="1" customWidth="1"/>
    <col min="16063" max="16063" width="8.5703125" bestFit="1" customWidth="1"/>
    <col min="16064" max="16064" width="5.5703125" bestFit="1" customWidth="1"/>
    <col min="16065" max="16065" width="14.42578125" bestFit="1" customWidth="1"/>
    <col min="16066" max="16066" width="11.28515625" bestFit="1" customWidth="1"/>
    <col min="16067" max="16068" width="12.28515625" bestFit="1" customWidth="1"/>
    <col min="16069" max="16069" width="11.28515625" bestFit="1" customWidth="1"/>
    <col min="16070" max="16070" width="13.85546875" bestFit="1" customWidth="1"/>
    <col min="16071" max="16071" width="12" bestFit="1" customWidth="1"/>
    <col min="16072" max="16072" width="13.85546875" bestFit="1" customWidth="1"/>
    <col min="16073" max="16074" width="14.42578125" customWidth="1"/>
    <col min="16075" max="16075" width="10.140625" bestFit="1" customWidth="1"/>
    <col min="16076" max="16076" width="12.28515625" bestFit="1" customWidth="1"/>
    <col min="16077" max="16077" width="7.42578125" bestFit="1" customWidth="1"/>
    <col min="16078" max="16078" width="8.5703125" bestFit="1" customWidth="1"/>
    <col min="16079" max="16079" width="11.5703125" bestFit="1" customWidth="1"/>
    <col min="16080" max="16080" width="13.28515625" bestFit="1" customWidth="1"/>
    <col min="16081" max="16081" width="13.28515625" customWidth="1"/>
    <col min="16082" max="16082" width="13.140625" customWidth="1"/>
    <col min="16083" max="16083" width="12.7109375" bestFit="1" customWidth="1"/>
    <col min="16084" max="16084" width="13.28515625" bestFit="1" customWidth="1"/>
    <col min="16085" max="16087" width="13.28515625" customWidth="1"/>
    <col min="16088" max="16088" width="12.140625" bestFit="1" customWidth="1"/>
    <col min="16089" max="16089" width="12.7109375" bestFit="1" customWidth="1"/>
    <col min="16090" max="16090" width="11" customWidth="1"/>
    <col min="16091" max="16091" width="16.7109375" customWidth="1"/>
    <col min="16092" max="16092" width="17" customWidth="1"/>
    <col min="16093" max="16093" width="10.42578125" bestFit="1" customWidth="1"/>
    <col min="16137" max="16137" width="3.85546875" customWidth="1"/>
    <col min="16138" max="16138" width="15.28515625" bestFit="1" customWidth="1"/>
    <col min="16139" max="16139" width="12.28515625" customWidth="1"/>
    <col min="16140" max="16140" width="16.28515625" bestFit="1" customWidth="1"/>
    <col min="16141" max="16141" width="6.42578125" bestFit="1" customWidth="1"/>
    <col min="16142" max="16142" width="9.28515625" bestFit="1" customWidth="1"/>
    <col min="16143" max="16143" width="7.5703125" bestFit="1" customWidth="1"/>
    <col min="16144" max="16144" width="13.28515625" bestFit="1" customWidth="1"/>
    <col min="16145" max="16145" width="9.28515625" bestFit="1" customWidth="1"/>
    <col min="16146" max="16146" width="11.5703125" bestFit="1" customWidth="1"/>
    <col min="16147" max="16147" width="13.28515625" bestFit="1" customWidth="1"/>
    <col min="16148" max="16148" width="7.140625" bestFit="1" customWidth="1"/>
    <col min="16149" max="16149" width="12" bestFit="1" customWidth="1"/>
    <col min="16150" max="16150" width="13.28515625" bestFit="1" customWidth="1"/>
    <col min="16151" max="16151" width="7" bestFit="1" customWidth="1"/>
    <col min="16152" max="16152" width="12.7109375" bestFit="1" customWidth="1"/>
    <col min="16153" max="16153" width="11.5703125" bestFit="1" customWidth="1"/>
    <col min="16154" max="16154" width="10.5703125" bestFit="1" customWidth="1"/>
    <col min="16155" max="16156" width="15.7109375" bestFit="1" customWidth="1"/>
    <col min="16157" max="16157" width="11.5703125" bestFit="1" customWidth="1"/>
    <col min="16158" max="16158" width="7.7109375" bestFit="1" customWidth="1"/>
    <col min="16159" max="16159" width="15.140625" bestFit="1" customWidth="1"/>
    <col min="16160" max="16160" width="11.5703125" bestFit="1" customWidth="1"/>
    <col min="16161" max="16161" width="13.28515625" bestFit="1" customWidth="1"/>
    <col min="16162" max="16162" width="10.42578125" bestFit="1" customWidth="1"/>
    <col min="16163" max="16163" width="13.28515625" bestFit="1" customWidth="1"/>
    <col min="16164" max="16164" width="12.140625" bestFit="1" customWidth="1"/>
    <col min="16165" max="16165" width="14.42578125" bestFit="1" customWidth="1"/>
    <col min="16166" max="16166" width="13.28515625" bestFit="1" customWidth="1"/>
    <col min="16167" max="16167" width="11.5703125" bestFit="1" customWidth="1"/>
    <col min="16168" max="16168" width="7.7109375" bestFit="1" customWidth="1"/>
    <col min="16169" max="16170" width="14.42578125" bestFit="1" customWidth="1"/>
    <col min="16171" max="16171" width="11.5703125" bestFit="1" customWidth="1"/>
    <col min="16172" max="16172" width="7.7109375" bestFit="1" customWidth="1"/>
    <col min="16173" max="16173" width="13.5703125" customWidth="1"/>
    <col min="16174" max="16174" width="15.28515625" customWidth="1"/>
    <col min="16175" max="16175" width="14.5703125" customWidth="1"/>
    <col min="16176" max="16176" width="13.28515625" bestFit="1" customWidth="1"/>
    <col min="16177" max="16177" width="7.7109375" bestFit="1" customWidth="1"/>
    <col min="16178" max="16178" width="12.7109375" bestFit="1" customWidth="1"/>
    <col min="16179" max="16179" width="11.7109375" bestFit="1" customWidth="1"/>
    <col min="16180" max="16180" width="11.5703125" bestFit="1" customWidth="1"/>
    <col min="16181" max="16181" width="5.28515625" bestFit="1" customWidth="1"/>
    <col min="16182" max="16182" width="13.28515625" bestFit="1" customWidth="1"/>
    <col min="16183" max="16183" width="13.5703125" bestFit="1" customWidth="1"/>
    <col min="16184" max="16184" width="10.5703125" bestFit="1" customWidth="1"/>
    <col min="16185" max="16185" width="13.28515625" bestFit="1" customWidth="1"/>
    <col min="16186" max="16186" width="11.5703125" bestFit="1" customWidth="1"/>
    <col min="16187" max="16187" width="10.5703125" bestFit="1" customWidth="1"/>
    <col min="16188" max="16188" width="16.140625" bestFit="1" customWidth="1"/>
    <col min="16189" max="16190" width="11.28515625" bestFit="1" customWidth="1"/>
    <col min="16191" max="16191" width="13.28515625" bestFit="1" customWidth="1"/>
    <col min="16192" max="16192" width="7.7109375" bestFit="1" customWidth="1"/>
    <col min="16193" max="16196" width="9.140625" hidden="1" customWidth="1"/>
    <col min="16197" max="16197" width="10.42578125" bestFit="1" customWidth="1"/>
    <col min="16198" max="16198" width="10.5703125" bestFit="1" customWidth="1"/>
    <col min="16199" max="16199" width="10.42578125" bestFit="1" customWidth="1"/>
    <col min="16200" max="16200" width="10.5703125" bestFit="1" customWidth="1"/>
    <col min="16201" max="16201" width="9.5703125" bestFit="1" customWidth="1"/>
    <col min="16202" max="16202" width="11.5703125" bestFit="1" customWidth="1"/>
    <col min="16203" max="16203" width="10.42578125" bestFit="1" customWidth="1"/>
    <col min="16204" max="16204" width="10.85546875" customWidth="1"/>
    <col min="16205" max="16206" width="9.85546875" bestFit="1" customWidth="1"/>
    <col min="16207" max="16207" width="13.5703125" bestFit="1" customWidth="1"/>
    <col min="16208" max="16208" width="7.7109375" bestFit="1" customWidth="1"/>
    <col min="16209" max="16209" width="13.28515625" bestFit="1" customWidth="1"/>
    <col min="16210" max="16210" width="11.5703125" bestFit="1" customWidth="1"/>
    <col min="16211" max="16211" width="10.42578125" bestFit="1" customWidth="1"/>
    <col min="16212" max="16212" width="7.7109375" bestFit="1" customWidth="1"/>
    <col min="16213" max="16213" width="11.5703125" bestFit="1" customWidth="1"/>
    <col min="16214" max="16214" width="10.85546875" bestFit="1" customWidth="1"/>
    <col min="16215" max="16215" width="13.28515625" bestFit="1" customWidth="1"/>
    <col min="16216" max="16216" width="10.85546875" bestFit="1" customWidth="1"/>
    <col min="16217" max="16218" width="7.5703125" bestFit="1" customWidth="1"/>
    <col min="16219" max="16220" width="10.42578125" bestFit="1" customWidth="1"/>
    <col min="16221" max="16221" width="11.5703125" bestFit="1" customWidth="1"/>
    <col min="16222" max="16222" width="5.28515625" bestFit="1" customWidth="1"/>
    <col min="16223" max="16223" width="10.28515625" bestFit="1" customWidth="1"/>
    <col min="16224" max="16224" width="10.42578125" bestFit="1" customWidth="1"/>
    <col min="16225" max="16225" width="11.5703125" bestFit="1" customWidth="1"/>
    <col min="16226" max="16226" width="5.28515625" bestFit="1" customWidth="1"/>
    <col min="16227" max="16229" width="11.5703125" bestFit="1" customWidth="1"/>
    <col min="16230" max="16230" width="5.28515625" bestFit="1" customWidth="1"/>
    <col min="16231" max="16232" width="10.42578125" bestFit="1" customWidth="1"/>
    <col min="16233" max="16233" width="11.5703125" bestFit="1" customWidth="1"/>
    <col min="16234" max="16234" width="5.28515625" bestFit="1" customWidth="1"/>
    <col min="16235" max="16235" width="14.28515625" bestFit="1" customWidth="1"/>
    <col min="16236" max="16236" width="13" bestFit="1" customWidth="1"/>
    <col min="16237" max="16237" width="11.5703125" bestFit="1" customWidth="1"/>
    <col min="16238" max="16238" width="8.85546875" bestFit="1" customWidth="1"/>
    <col min="16239" max="16239" width="14.42578125" bestFit="1" customWidth="1"/>
    <col min="16240" max="16240" width="10.42578125" bestFit="1" customWidth="1"/>
    <col min="16241" max="16241" width="12.28515625" bestFit="1" customWidth="1"/>
    <col min="16242" max="16242" width="13.85546875" bestFit="1" customWidth="1"/>
    <col min="16243" max="16243" width="11.28515625" customWidth="1"/>
    <col min="16244" max="16244" width="11.5703125" customWidth="1"/>
    <col min="16245" max="16245" width="13.42578125" bestFit="1" customWidth="1"/>
    <col min="16246" max="16246" width="10.42578125" customWidth="1"/>
    <col min="16247" max="16247" width="13.85546875" bestFit="1" customWidth="1"/>
    <col min="16248" max="16248" width="15.42578125" bestFit="1" customWidth="1"/>
    <col min="16249" max="16249" width="12.28515625" bestFit="1" customWidth="1"/>
    <col min="16250" max="16250" width="12.7109375" customWidth="1"/>
    <col min="16251" max="16251" width="10.7109375" bestFit="1" customWidth="1"/>
    <col min="16252" max="16252" width="9.85546875" customWidth="1"/>
    <col min="16253" max="16254" width="10.140625" bestFit="1" customWidth="1"/>
    <col min="16255" max="16255" width="7.5703125" bestFit="1" customWidth="1"/>
    <col min="16256" max="16256" width="9.42578125" bestFit="1" customWidth="1"/>
    <col min="16257" max="16257" width="14.5703125" bestFit="1" customWidth="1"/>
    <col min="16258" max="16258" width="14.85546875" customWidth="1"/>
    <col min="16259" max="16259" width="15.140625" bestFit="1" customWidth="1"/>
    <col min="16260" max="16260" width="12.140625" bestFit="1" customWidth="1"/>
    <col min="16261" max="16261" width="14.85546875" bestFit="1" customWidth="1"/>
    <col min="16262" max="16262" width="12.28515625" bestFit="1" customWidth="1"/>
    <col min="16263" max="16271" width="9.140625" hidden="1" customWidth="1"/>
    <col min="16272" max="16272" width="5.28515625" bestFit="1" customWidth="1"/>
    <col min="16273" max="16278" width="11.5703125" bestFit="1" customWidth="1"/>
    <col min="16279" max="16279" width="11.28515625" bestFit="1" customWidth="1"/>
    <col min="16280" max="16280" width="10.140625" bestFit="1" customWidth="1"/>
    <col min="16281" max="16281" width="11.5703125" bestFit="1" customWidth="1"/>
    <col min="16282" max="16282" width="16.140625" customWidth="1"/>
    <col min="16283" max="16283" width="13.42578125" customWidth="1"/>
    <col min="16284" max="16284" width="10.140625" bestFit="1" customWidth="1"/>
    <col min="16285" max="16285" width="12.85546875" bestFit="1" customWidth="1"/>
    <col min="16286" max="16286" width="12.28515625" bestFit="1" customWidth="1"/>
    <col min="16287" max="16287" width="11.28515625" bestFit="1" customWidth="1"/>
    <col min="16288" max="16288" width="11.5703125" bestFit="1" customWidth="1"/>
    <col min="16289" max="16289" width="10.85546875" bestFit="1" customWidth="1"/>
    <col min="16290" max="16290" width="11.28515625" bestFit="1" customWidth="1"/>
    <col min="16291" max="16291" width="10.140625" bestFit="1" customWidth="1"/>
    <col min="16292" max="16292" width="13.28515625" bestFit="1" customWidth="1"/>
    <col min="16293" max="16294" width="12.7109375" bestFit="1" customWidth="1"/>
    <col min="16295" max="16295" width="11" bestFit="1" customWidth="1"/>
    <col min="16296" max="16296" width="11.28515625" bestFit="1" customWidth="1"/>
    <col min="16297" max="16297" width="11.5703125" bestFit="1" customWidth="1"/>
    <col min="16298" max="16298" width="12.28515625" bestFit="1" customWidth="1"/>
    <col min="16299" max="16299" width="15.140625" bestFit="1" customWidth="1"/>
    <col min="16300" max="16300" width="14.42578125" bestFit="1" customWidth="1"/>
    <col min="16301" max="16301" width="12.28515625" bestFit="1" customWidth="1"/>
    <col min="16302" max="16302" width="15.140625" bestFit="1" customWidth="1"/>
    <col min="16303" max="16303" width="14.42578125" bestFit="1" customWidth="1"/>
    <col min="16304" max="16304" width="12.28515625" bestFit="1" customWidth="1"/>
    <col min="16305" max="16305" width="14.42578125" bestFit="1" customWidth="1"/>
    <col min="16306" max="16306" width="11.28515625" bestFit="1" customWidth="1"/>
    <col min="16307" max="16307" width="12.28515625" bestFit="1" customWidth="1"/>
    <col min="16308" max="16308" width="13" bestFit="1" customWidth="1"/>
    <col min="16309" max="16309" width="15.140625" bestFit="1" customWidth="1"/>
    <col min="16310" max="16310" width="12.28515625" bestFit="1" customWidth="1"/>
    <col min="16311" max="16311" width="13.85546875" bestFit="1" customWidth="1"/>
    <col min="16312" max="16312" width="11.28515625" bestFit="1" customWidth="1"/>
    <col min="16313" max="16313" width="12.28515625" bestFit="1" customWidth="1"/>
    <col min="16314" max="16314" width="13.85546875" bestFit="1" customWidth="1"/>
    <col min="16315" max="16316" width="15.140625" bestFit="1" customWidth="1"/>
    <col min="16317" max="16317" width="12.28515625" bestFit="1" customWidth="1"/>
    <col min="16318" max="16318" width="5.7109375" bestFit="1" customWidth="1"/>
    <col min="16319" max="16319" width="8.5703125" bestFit="1" customWidth="1"/>
    <col min="16320" max="16320" width="5.5703125" bestFit="1" customWidth="1"/>
    <col min="16321" max="16321" width="14.42578125" bestFit="1" customWidth="1"/>
    <col min="16322" max="16322" width="11.28515625" bestFit="1" customWidth="1"/>
    <col min="16323" max="16324" width="12.28515625" bestFit="1" customWidth="1"/>
    <col min="16325" max="16325" width="11.28515625" bestFit="1" customWidth="1"/>
    <col min="16326" max="16326" width="13.85546875" bestFit="1" customWidth="1"/>
    <col min="16327" max="16327" width="12" bestFit="1" customWidth="1"/>
    <col min="16328" max="16328" width="13.85546875" bestFit="1" customWidth="1"/>
    <col min="16329" max="16330" width="14.42578125" customWidth="1"/>
    <col min="16331" max="16331" width="10.140625" bestFit="1" customWidth="1"/>
    <col min="16332" max="16332" width="12.28515625" bestFit="1" customWidth="1"/>
    <col min="16333" max="16333" width="7.42578125" bestFit="1" customWidth="1"/>
    <col min="16334" max="16334" width="8.5703125" bestFit="1" customWidth="1"/>
    <col min="16335" max="16335" width="11.5703125" bestFit="1" customWidth="1"/>
    <col min="16336" max="16336" width="13.28515625" bestFit="1" customWidth="1"/>
    <col min="16337" max="16337" width="13.28515625" customWidth="1"/>
    <col min="16338" max="16338" width="13.140625" customWidth="1"/>
    <col min="16339" max="16339" width="12.7109375" bestFit="1" customWidth="1"/>
    <col min="16340" max="16340" width="13.28515625" bestFit="1" customWidth="1"/>
    <col min="16341" max="16343" width="13.28515625" customWidth="1"/>
    <col min="16344" max="16344" width="12.140625" bestFit="1" customWidth="1"/>
    <col min="16345" max="16345" width="12.7109375" bestFit="1" customWidth="1"/>
    <col min="16346" max="16346" width="11" customWidth="1"/>
    <col min="16347" max="16347" width="16.7109375" customWidth="1"/>
    <col min="16348" max="16348" width="17" customWidth="1"/>
    <col min="16349" max="16349" width="10.42578125" bestFit="1" customWidth="1"/>
  </cols>
  <sheetData>
    <row r="1" spans="1:293" x14ac:dyDescent="0.25">
      <c r="A1" s="1" t="s">
        <v>0</v>
      </c>
      <c r="CE1" s="2"/>
      <c r="ED1" s="3"/>
      <c r="EE1" s="3"/>
      <c r="EP1" s="2"/>
      <c r="FD1" s="2"/>
    </row>
    <row r="2" spans="1:293" x14ac:dyDescent="0.25">
      <c r="A2" s="1" t="s">
        <v>184</v>
      </c>
      <c r="ED2" s="3"/>
      <c r="EP2" s="2"/>
      <c r="FD2" s="2"/>
      <c r="FE2" s="3"/>
      <c r="GA2" t="s">
        <v>211</v>
      </c>
      <c r="GP2" s="447" t="s">
        <v>210</v>
      </c>
      <c r="GQ2" s="447"/>
    </row>
    <row r="3" spans="1:293" x14ac:dyDescent="0.25">
      <c r="A3" s="448" t="s">
        <v>1</v>
      </c>
      <c r="B3" s="449" t="s">
        <v>2</v>
      </c>
      <c r="C3" s="449"/>
      <c r="D3" s="449"/>
      <c r="E3" s="449"/>
      <c r="F3" s="449"/>
      <c r="G3" s="449"/>
      <c r="H3" s="420" t="s">
        <v>3</v>
      </c>
      <c r="I3" s="420"/>
      <c r="J3" s="420"/>
      <c r="K3" s="420"/>
      <c r="L3" s="420"/>
      <c r="M3" s="420"/>
      <c r="N3" s="420"/>
      <c r="O3" s="420" t="s">
        <v>4</v>
      </c>
      <c r="P3" s="420"/>
      <c r="Q3" s="420"/>
      <c r="R3" s="420"/>
      <c r="S3" s="420"/>
      <c r="T3" s="420"/>
      <c r="U3" s="420"/>
      <c r="V3" s="420"/>
      <c r="W3" s="420"/>
      <c r="X3" s="420"/>
      <c r="Y3" s="420"/>
      <c r="Z3" s="420"/>
      <c r="AA3" s="420"/>
      <c r="AB3" s="420"/>
      <c r="AC3" s="420"/>
      <c r="AD3" s="420"/>
      <c r="AE3" s="420"/>
      <c r="AF3" s="420"/>
      <c r="AG3" s="420"/>
      <c r="AH3" s="420"/>
      <c r="AI3" s="420"/>
      <c r="AJ3" s="420"/>
      <c r="AK3" s="420"/>
      <c r="AL3" s="420"/>
      <c r="AM3" s="420"/>
      <c r="AN3" s="420"/>
      <c r="AO3" s="420"/>
      <c r="AP3" s="420"/>
      <c r="AQ3" s="420"/>
      <c r="AR3" s="420"/>
      <c r="AS3" s="420"/>
      <c r="AT3" s="420"/>
      <c r="AU3" s="420"/>
      <c r="AV3" s="420"/>
      <c r="AW3" s="420"/>
      <c r="AX3" s="420"/>
      <c r="AY3" s="420"/>
      <c r="AZ3" s="420"/>
      <c r="BA3" s="420"/>
      <c r="BB3" s="420"/>
      <c r="BC3" s="420"/>
      <c r="BD3" s="420"/>
      <c r="BE3" s="433" t="s">
        <v>5</v>
      </c>
      <c r="BF3" s="445"/>
      <c r="BG3" s="434"/>
      <c r="BH3" s="403" t="s">
        <v>6</v>
      </c>
      <c r="BI3" s="417"/>
      <c r="BJ3" s="404"/>
      <c r="BK3" s="433" t="s">
        <v>7</v>
      </c>
      <c r="BL3" s="445"/>
      <c r="BM3" s="445"/>
      <c r="BN3" s="445"/>
      <c r="BO3" s="445"/>
      <c r="BP3" s="434"/>
      <c r="BQ3" s="420" t="s">
        <v>8</v>
      </c>
      <c r="BR3" s="420"/>
      <c r="BS3" s="450"/>
      <c r="BT3" s="451"/>
      <c r="BU3" s="420" t="s">
        <v>9</v>
      </c>
      <c r="BV3" s="420"/>
      <c r="BW3" s="420"/>
      <c r="BX3" s="420"/>
      <c r="BY3" s="420"/>
      <c r="BZ3" s="420"/>
      <c r="CA3" s="420"/>
      <c r="CB3" s="420"/>
      <c r="CC3" s="420"/>
      <c r="CD3" s="420"/>
      <c r="CE3" s="420"/>
      <c r="CF3" s="420"/>
      <c r="CG3" s="420"/>
      <c r="CH3" s="420"/>
      <c r="CI3" s="420"/>
      <c r="CJ3" s="420"/>
      <c r="CK3" s="420"/>
      <c r="CL3" s="420"/>
      <c r="CM3" s="420"/>
      <c r="CN3" s="420"/>
      <c r="CO3" s="420"/>
      <c r="CP3" s="420"/>
      <c r="CQ3" s="420"/>
      <c r="CR3" s="420"/>
      <c r="CS3" s="420"/>
      <c r="CT3" s="420"/>
      <c r="CU3" s="420"/>
      <c r="CV3" s="420"/>
      <c r="CW3" s="420"/>
      <c r="CX3" s="420"/>
      <c r="CY3" s="420"/>
      <c r="CZ3" s="420"/>
      <c r="DA3" s="420"/>
      <c r="DB3" s="420"/>
      <c r="DC3" s="420"/>
      <c r="DD3" s="420"/>
      <c r="DE3" s="420"/>
      <c r="DF3" s="420"/>
      <c r="DG3" s="420"/>
      <c r="DH3" s="438" t="s">
        <v>10</v>
      </c>
      <c r="DI3" s="421" t="s">
        <v>11</v>
      </c>
      <c r="DJ3" s="421"/>
      <c r="DK3" s="421"/>
      <c r="DL3" s="421"/>
      <c r="DM3" s="421"/>
      <c r="DN3" s="421"/>
      <c r="DO3" s="421"/>
      <c r="DP3" s="421"/>
      <c r="DQ3" s="408" t="s">
        <v>180</v>
      </c>
      <c r="DR3" s="409"/>
      <c r="DS3" s="408" t="s">
        <v>12</v>
      </c>
      <c r="DT3" s="409"/>
      <c r="DU3" s="440" t="s">
        <v>13</v>
      </c>
      <c r="DV3" s="441"/>
      <c r="DW3" s="441"/>
      <c r="DX3" s="441"/>
      <c r="DY3" s="441"/>
      <c r="DZ3" s="441"/>
      <c r="EA3" s="441"/>
      <c r="EB3" s="441"/>
      <c r="EC3" s="442"/>
      <c r="ED3" s="4"/>
      <c r="EE3" s="440" t="s">
        <v>14</v>
      </c>
      <c r="EF3" s="441"/>
      <c r="EG3" s="441"/>
      <c r="EH3" s="441"/>
      <c r="EI3" s="441"/>
      <c r="EJ3" s="441"/>
      <c r="EK3" s="441"/>
      <c r="EL3" s="441"/>
      <c r="EM3" s="442"/>
      <c r="EN3" s="5"/>
      <c r="EO3" s="446" t="s">
        <v>15</v>
      </c>
      <c r="EP3" s="446"/>
      <c r="EQ3" s="446"/>
      <c r="ER3" s="446"/>
      <c r="ES3" s="446"/>
      <c r="ET3" s="446"/>
      <c r="EU3" s="446"/>
      <c r="EV3" s="446"/>
      <c r="EW3" s="446"/>
      <c r="EX3" s="446"/>
      <c r="EY3" s="446"/>
      <c r="EZ3" s="446"/>
      <c r="FA3" s="446"/>
      <c r="FB3" s="446"/>
      <c r="FC3" s="446"/>
      <c r="FD3" s="446"/>
      <c r="FE3" s="446" t="s">
        <v>16</v>
      </c>
      <c r="FF3" s="446"/>
      <c r="FG3" s="446"/>
      <c r="FH3" s="446"/>
      <c r="FI3" s="446"/>
      <c r="FJ3" s="446"/>
      <c r="FK3" s="446"/>
      <c r="FL3" s="446"/>
      <c r="FM3" s="446"/>
      <c r="FN3" s="446"/>
      <c r="FO3" s="446"/>
      <c r="FP3" s="446"/>
      <c r="FQ3" s="446"/>
      <c r="FR3" s="446"/>
      <c r="FS3" s="446"/>
      <c r="FT3" s="446"/>
      <c r="FU3" s="446"/>
      <c r="FV3" s="446" t="s">
        <v>17</v>
      </c>
      <c r="FW3" s="446"/>
      <c r="FX3" s="446"/>
      <c r="FY3" s="446"/>
      <c r="FZ3" s="446"/>
      <c r="GA3" s="446"/>
      <c r="GB3" s="446"/>
      <c r="GC3" s="446"/>
      <c r="GD3" s="446"/>
      <c r="GE3" s="446"/>
      <c r="GF3" s="446"/>
      <c r="GG3" s="446"/>
      <c r="GH3" s="404" t="s">
        <v>18</v>
      </c>
      <c r="GI3" s="402"/>
      <c r="GJ3" s="402"/>
      <c r="GK3" s="402"/>
      <c r="GL3" s="402"/>
      <c r="GM3" s="402"/>
      <c r="GN3" s="403" t="s">
        <v>202</v>
      </c>
      <c r="GO3" s="417"/>
      <c r="GP3" s="404"/>
      <c r="GQ3" s="403" t="s">
        <v>209</v>
      </c>
      <c r="GR3" s="417"/>
      <c r="GS3" s="404"/>
      <c r="HH3" s="406" t="s">
        <v>256</v>
      </c>
      <c r="HI3" s="406"/>
      <c r="HJ3" s="406"/>
      <c r="HK3" s="406"/>
      <c r="HL3" s="406"/>
      <c r="HM3" s="406"/>
      <c r="HN3" s="406"/>
      <c r="HO3" s="406"/>
      <c r="HP3" s="406"/>
      <c r="HQ3" s="406"/>
      <c r="HR3" s="406"/>
      <c r="HS3" s="406"/>
      <c r="HT3" s="406"/>
      <c r="HU3" s="406"/>
      <c r="HV3" s="406"/>
      <c r="HW3" s="406"/>
      <c r="HX3" s="406"/>
      <c r="HY3" s="406"/>
      <c r="HZ3" s="406"/>
      <c r="IA3" s="406"/>
      <c r="IB3" s="406"/>
      <c r="IC3" s="406"/>
      <c r="ID3" s="406"/>
      <c r="IE3" s="406"/>
      <c r="IF3" s="406"/>
      <c r="IG3" s="406"/>
      <c r="IH3" s="406"/>
      <c r="II3" s="406"/>
      <c r="IJ3" s="406"/>
      <c r="IK3" s="406"/>
      <c r="IL3" s="406"/>
      <c r="IM3" s="406"/>
      <c r="IN3" s="406"/>
      <c r="IO3" s="406"/>
      <c r="IP3" s="406"/>
      <c r="IQ3" s="406"/>
      <c r="IR3" s="406"/>
      <c r="IS3" s="406"/>
      <c r="IT3" s="406"/>
      <c r="IU3" s="406"/>
      <c r="IV3" s="406"/>
      <c r="IW3" s="406"/>
      <c r="IX3" s="406"/>
      <c r="IY3" s="406"/>
      <c r="IZ3" s="406"/>
      <c r="JA3" s="406"/>
      <c r="JB3" s="406"/>
      <c r="JC3" s="406"/>
      <c r="JD3" s="406"/>
      <c r="JE3" s="406"/>
      <c r="JF3" s="406"/>
      <c r="JG3" s="406"/>
      <c r="JH3" s="406"/>
      <c r="JI3" s="406"/>
      <c r="JJ3" s="406"/>
      <c r="JK3" s="406"/>
      <c r="JL3" s="406"/>
      <c r="JM3" s="406"/>
      <c r="JN3" s="406"/>
      <c r="JO3" s="406"/>
      <c r="JP3" s="406"/>
      <c r="JQ3" s="406"/>
      <c r="JR3" s="406"/>
      <c r="JS3" s="406"/>
      <c r="JT3" s="406"/>
      <c r="JU3" s="406"/>
      <c r="JV3" s="406"/>
      <c r="JW3" s="406"/>
      <c r="JX3" s="406"/>
      <c r="JY3" s="406"/>
      <c r="JZ3" s="406"/>
      <c r="KA3" s="406"/>
      <c r="KB3" s="406"/>
      <c r="KC3" s="406"/>
      <c r="KD3" s="406"/>
      <c r="KE3" s="406"/>
    </row>
    <row r="4" spans="1:293" x14ac:dyDescent="0.25">
      <c r="A4" s="448"/>
      <c r="B4" s="449"/>
      <c r="C4" s="449"/>
      <c r="D4" s="449"/>
      <c r="E4" s="449"/>
      <c r="F4" s="449"/>
      <c r="G4" s="449"/>
      <c r="H4" s="420"/>
      <c r="I4" s="420"/>
      <c r="J4" s="420"/>
      <c r="K4" s="420"/>
      <c r="L4" s="420"/>
      <c r="M4" s="420"/>
      <c r="N4" s="420"/>
      <c r="O4" s="420" t="s">
        <v>20</v>
      </c>
      <c r="P4" s="420"/>
      <c r="Q4" s="420"/>
      <c r="R4" s="420"/>
      <c r="S4" s="420"/>
      <c r="T4" s="420"/>
      <c r="U4" s="420"/>
      <c r="V4" s="420"/>
      <c r="W4" s="420"/>
      <c r="X4" s="420"/>
      <c r="Y4" s="420"/>
      <c r="Z4" s="420"/>
      <c r="AA4" s="420"/>
      <c r="AB4" s="420"/>
      <c r="AC4" s="420"/>
      <c r="AD4" s="420"/>
      <c r="AE4" s="420"/>
      <c r="AF4" s="420"/>
      <c r="AG4" s="420"/>
      <c r="AH4" s="420"/>
      <c r="AI4" s="420"/>
      <c r="AJ4" s="7"/>
      <c r="AK4" s="430" t="s">
        <v>21</v>
      </c>
      <c r="AL4" s="420" t="s">
        <v>22</v>
      </c>
      <c r="AM4" s="420"/>
      <c r="AN4" s="420"/>
      <c r="AO4" s="420"/>
      <c r="AP4" s="420"/>
      <c r="AQ4" s="420"/>
      <c r="AR4" s="420"/>
      <c r="AS4" s="420"/>
      <c r="AT4" s="420"/>
      <c r="AU4" s="420"/>
      <c r="AV4" s="420"/>
      <c r="AW4" s="420"/>
      <c r="AX4" s="420"/>
      <c r="AY4" s="420"/>
      <c r="AZ4" s="420"/>
      <c r="BA4" s="420"/>
      <c r="BB4" s="420"/>
      <c r="BC4" s="420"/>
      <c r="BD4" s="430" t="s">
        <v>23</v>
      </c>
      <c r="BE4" s="420" t="s">
        <v>24</v>
      </c>
      <c r="BF4" s="420"/>
      <c r="BG4" s="420"/>
      <c r="BH4" s="7"/>
      <c r="BI4" s="7"/>
      <c r="BJ4" s="7"/>
      <c r="BK4" s="420" t="s">
        <v>25</v>
      </c>
      <c r="BL4" s="420"/>
      <c r="BM4" s="420" t="s">
        <v>26</v>
      </c>
      <c r="BN4" s="420"/>
      <c r="BO4" s="427" t="s">
        <v>27</v>
      </c>
      <c r="BP4" s="427"/>
      <c r="BQ4" s="420"/>
      <c r="BR4" s="420"/>
      <c r="BS4" s="428" t="s">
        <v>28</v>
      </c>
      <c r="BT4" s="429"/>
      <c r="BU4" s="420"/>
      <c r="BV4" s="420"/>
      <c r="BW4" s="420"/>
      <c r="BX4" s="420"/>
      <c r="BY4" s="420"/>
      <c r="BZ4" s="420"/>
      <c r="CA4" s="420"/>
      <c r="CB4" s="420"/>
      <c r="CC4" s="420"/>
      <c r="CD4" s="420"/>
      <c r="CE4" s="420"/>
      <c r="CF4" s="420"/>
      <c r="CG4" s="420"/>
      <c r="CH4" s="420"/>
      <c r="CI4" s="420"/>
      <c r="CJ4" s="420"/>
      <c r="CK4" s="420"/>
      <c r="CL4" s="420"/>
      <c r="CM4" s="420"/>
      <c r="CN4" s="420"/>
      <c r="CO4" s="420"/>
      <c r="CP4" s="420"/>
      <c r="CQ4" s="420"/>
      <c r="CR4" s="420"/>
      <c r="CS4" s="420"/>
      <c r="CT4" s="420"/>
      <c r="CU4" s="420"/>
      <c r="CV4" s="420"/>
      <c r="CW4" s="420"/>
      <c r="CX4" s="420"/>
      <c r="CY4" s="420"/>
      <c r="CZ4" s="420"/>
      <c r="DA4" s="420"/>
      <c r="DB4" s="420"/>
      <c r="DC4" s="420"/>
      <c r="DD4" s="420"/>
      <c r="DE4" s="420"/>
      <c r="DF4" s="420"/>
      <c r="DG4" s="420"/>
      <c r="DH4" s="439"/>
      <c r="DI4" s="421"/>
      <c r="DJ4" s="421"/>
      <c r="DK4" s="421"/>
      <c r="DL4" s="421"/>
      <c r="DM4" s="421"/>
      <c r="DN4" s="421"/>
      <c r="DO4" s="421"/>
      <c r="DP4" s="421"/>
      <c r="DQ4" s="410"/>
      <c r="DR4" s="411"/>
      <c r="DS4" s="410"/>
      <c r="DT4" s="411"/>
      <c r="DU4" s="435" t="s">
        <v>29</v>
      </c>
      <c r="DV4" s="436"/>
      <c r="DW4" s="437"/>
      <c r="DX4" s="435" t="s">
        <v>30</v>
      </c>
      <c r="DY4" s="436"/>
      <c r="DZ4" s="437"/>
      <c r="EA4" s="435"/>
      <c r="EB4" s="436"/>
      <c r="EC4" s="437"/>
      <c r="ED4" s="8" t="s">
        <v>31</v>
      </c>
      <c r="EE4" s="435"/>
      <c r="EF4" s="436"/>
      <c r="EG4" s="437"/>
      <c r="EH4" s="435"/>
      <c r="EI4" s="436"/>
      <c r="EJ4" s="437"/>
      <c r="EK4" s="435"/>
      <c r="EL4" s="436"/>
      <c r="EM4" s="437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403" t="s">
        <v>33</v>
      </c>
      <c r="FW4" s="417"/>
      <c r="FX4" s="417"/>
      <c r="FY4" s="417" t="s">
        <v>33</v>
      </c>
      <c r="FZ4" s="417"/>
      <c r="GA4" s="417"/>
      <c r="GB4" s="417"/>
      <c r="GC4" s="417"/>
      <c r="GD4" s="417"/>
      <c r="GE4" s="417"/>
      <c r="GF4" s="417"/>
      <c r="GG4" s="404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402" t="s">
        <v>252</v>
      </c>
      <c r="HH4" s="491" t="s">
        <v>106</v>
      </c>
      <c r="HI4" s="491"/>
      <c r="HJ4" s="491"/>
      <c r="HK4" s="491" t="s">
        <v>258</v>
      </c>
      <c r="HL4" s="491"/>
      <c r="HM4" s="491"/>
      <c r="HN4" s="507" t="s">
        <v>259</v>
      </c>
      <c r="HO4" s="508"/>
      <c r="HP4" s="508"/>
      <c r="HQ4" s="508"/>
      <c r="HR4" s="508"/>
      <c r="HS4" s="508"/>
      <c r="HT4" s="508"/>
      <c r="HU4" s="508"/>
      <c r="HV4" s="508"/>
      <c r="HW4" s="508"/>
      <c r="HX4" s="508"/>
      <c r="HY4" s="508"/>
      <c r="HZ4" s="508"/>
      <c r="IA4" s="508"/>
      <c r="IB4" s="508"/>
      <c r="IC4" s="508"/>
      <c r="ID4" s="508"/>
      <c r="IE4" s="508"/>
      <c r="IF4" s="508"/>
      <c r="IG4" s="508"/>
      <c r="IH4" s="509"/>
      <c r="II4" s="494" t="s">
        <v>283</v>
      </c>
      <c r="IJ4" s="493" t="s">
        <v>204</v>
      </c>
      <c r="IK4" s="493"/>
      <c r="IL4" s="493"/>
      <c r="IM4" s="493"/>
      <c r="IN4" s="493"/>
      <c r="IO4" s="493"/>
      <c r="IP4" s="493"/>
      <c r="IQ4" s="493"/>
      <c r="IR4" s="493"/>
      <c r="IS4" s="493"/>
      <c r="IT4" s="493"/>
      <c r="IU4" s="493"/>
      <c r="IV4" s="492" t="s">
        <v>260</v>
      </c>
      <c r="IW4" s="492"/>
      <c r="IX4" s="492"/>
      <c r="IY4" s="492"/>
      <c r="IZ4" s="492"/>
      <c r="JA4" s="492"/>
      <c r="JB4" s="492"/>
      <c r="JC4" s="492"/>
      <c r="JD4" s="492"/>
      <c r="JE4" s="492"/>
      <c r="JF4" s="492"/>
      <c r="JG4" s="492"/>
      <c r="JH4" s="492"/>
      <c r="JI4" s="492"/>
      <c r="JJ4" s="492"/>
      <c r="JK4" s="492"/>
      <c r="JL4" s="492"/>
      <c r="JM4" s="492"/>
      <c r="JN4" s="496" t="s">
        <v>261</v>
      </c>
      <c r="JO4" s="496"/>
      <c r="JP4" s="496"/>
      <c r="JQ4" s="496"/>
      <c r="JR4" s="496"/>
      <c r="JS4" s="496"/>
      <c r="JT4" s="496"/>
      <c r="JU4" s="496"/>
      <c r="JV4" s="496"/>
      <c r="JW4" s="496"/>
      <c r="JX4" s="496"/>
      <c r="JY4" s="496"/>
      <c r="JZ4" s="496"/>
      <c r="KA4" s="496"/>
      <c r="KB4" s="496"/>
      <c r="KC4" s="496"/>
      <c r="KD4" s="496"/>
      <c r="KE4" s="496"/>
      <c r="KG4" t="s">
        <v>98</v>
      </c>
    </row>
    <row r="5" spans="1:293" x14ac:dyDescent="0.25">
      <c r="A5" s="448"/>
      <c r="B5" s="452" t="s">
        <v>35</v>
      </c>
      <c r="C5" s="452"/>
      <c r="D5" s="452"/>
      <c r="E5" s="452" t="s">
        <v>36</v>
      </c>
      <c r="F5" s="452"/>
      <c r="G5" s="15" t="s">
        <v>37</v>
      </c>
      <c r="H5" s="420" t="s">
        <v>38</v>
      </c>
      <c r="I5" s="420"/>
      <c r="J5" s="420"/>
      <c r="K5" s="420"/>
      <c r="L5" s="420" t="s">
        <v>39</v>
      </c>
      <c r="M5" s="420"/>
      <c r="N5" s="420"/>
      <c r="O5" s="420" t="s">
        <v>40</v>
      </c>
      <c r="P5" s="420"/>
      <c r="Q5" s="420"/>
      <c r="R5" s="7"/>
      <c r="S5" s="420" t="s">
        <v>41</v>
      </c>
      <c r="T5" s="420"/>
      <c r="U5" s="420" t="s">
        <v>42</v>
      </c>
      <c r="V5" s="420"/>
      <c r="W5" s="420" t="s">
        <v>43</v>
      </c>
      <c r="X5" s="420"/>
      <c r="Y5" s="431" t="s">
        <v>44</v>
      </c>
      <c r="Z5" s="432"/>
      <c r="AA5" s="433" t="s">
        <v>188</v>
      </c>
      <c r="AB5" s="434"/>
      <c r="AC5" s="420" t="s">
        <v>45</v>
      </c>
      <c r="AD5" s="420"/>
      <c r="AE5" s="420"/>
      <c r="AF5" s="420"/>
      <c r="AG5" s="420" t="s">
        <v>46</v>
      </c>
      <c r="AH5" s="420"/>
      <c r="AI5" s="420"/>
      <c r="AJ5" s="420"/>
      <c r="AK5" s="430"/>
      <c r="AL5" s="421" t="s">
        <v>47</v>
      </c>
      <c r="AM5" s="421"/>
      <c r="AN5" s="421"/>
      <c r="AO5" s="421"/>
      <c r="AP5" s="421" t="s">
        <v>48</v>
      </c>
      <c r="AQ5" s="421"/>
      <c r="AR5" s="421"/>
      <c r="AS5" s="421"/>
      <c r="AT5" s="422" t="s">
        <v>49</v>
      </c>
      <c r="AU5" s="423"/>
      <c r="AV5" s="422" t="s">
        <v>50</v>
      </c>
      <c r="AW5" s="423"/>
      <c r="AX5" s="421" t="s">
        <v>51</v>
      </c>
      <c r="AY5" s="421"/>
      <c r="AZ5" s="421"/>
      <c r="BA5" s="421" t="s">
        <v>52</v>
      </c>
      <c r="BB5" s="421"/>
      <c r="BC5" s="421"/>
      <c r="BD5" s="430"/>
      <c r="BE5" s="420"/>
      <c r="BF5" s="420"/>
      <c r="BG5" s="420"/>
      <c r="BH5" s="16"/>
      <c r="BI5" s="16"/>
      <c r="BJ5" s="16"/>
      <c r="BK5" s="420"/>
      <c r="BL5" s="420"/>
      <c r="BM5" s="420"/>
      <c r="BN5" s="420"/>
      <c r="BO5" s="427"/>
      <c r="BP5" s="427"/>
      <c r="BQ5" s="420"/>
      <c r="BR5" s="420"/>
      <c r="BS5" s="443" t="s">
        <v>53</v>
      </c>
      <c r="BT5" s="444"/>
      <c r="BU5" s="420" t="s">
        <v>54</v>
      </c>
      <c r="BV5" s="420"/>
      <c r="BW5" s="420"/>
      <c r="BX5" s="420"/>
      <c r="BY5" s="433" t="s">
        <v>55</v>
      </c>
      <c r="BZ5" s="445"/>
      <c r="CA5" s="445"/>
      <c r="CB5" s="434"/>
      <c r="CC5" s="420" t="s">
        <v>56</v>
      </c>
      <c r="CD5" s="420"/>
      <c r="CE5" s="420" t="s">
        <v>57</v>
      </c>
      <c r="CF5" s="420"/>
      <c r="CG5" s="420" t="s">
        <v>58</v>
      </c>
      <c r="CH5" s="420"/>
      <c r="CI5" s="420" t="s">
        <v>59</v>
      </c>
      <c r="CJ5" s="420"/>
      <c r="CK5" s="420"/>
      <c r="CL5" s="420"/>
      <c r="CM5" s="420" t="s">
        <v>60</v>
      </c>
      <c r="CN5" s="420"/>
      <c r="CO5" s="420"/>
      <c r="CP5" s="420"/>
      <c r="CQ5" s="421" t="s">
        <v>61</v>
      </c>
      <c r="CR5" s="421"/>
      <c r="CS5" s="421"/>
      <c r="CT5" s="421"/>
      <c r="CU5" s="421" t="s">
        <v>62</v>
      </c>
      <c r="CV5" s="421"/>
      <c r="CW5" s="421"/>
      <c r="CX5" s="421"/>
      <c r="CY5" s="421" t="s">
        <v>63</v>
      </c>
      <c r="CZ5" s="421"/>
      <c r="DA5" s="421"/>
      <c r="DB5" s="421"/>
      <c r="DC5" s="421" t="s">
        <v>64</v>
      </c>
      <c r="DD5" s="421"/>
      <c r="DE5" s="421"/>
      <c r="DF5" s="421"/>
      <c r="DG5" s="17" t="s">
        <v>65</v>
      </c>
      <c r="DH5" s="17"/>
      <c r="DI5" s="421"/>
      <c r="DJ5" s="421"/>
      <c r="DK5" s="421"/>
      <c r="DL5" s="421"/>
      <c r="DM5" s="421"/>
      <c r="DN5" s="421"/>
      <c r="DO5" s="421"/>
      <c r="DP5" s="421"/>
      <c r="DQ5" s="412"/>
      <c r="DR5" s="413"/>
      <c r="DS5" s="412"/>
      <c r="DT5" s="413"/>
      <c r="DU5" s="424" t="s">
        <v>66</v>
      </c>
      <c r="DV5" s="425"/>
      <c r="DW5" s="426"/>
      <c r="DX5" s="424" t="s">
        <v>67</v>
      </c>
      <c r="DY5" s="425"/>
      <c r="DZ5" s="426"/>
      <c r="EA5" s="424" t="s">
        <v>68</v>
      </c>
      <c r="EB5" s="425"/>
      <c r="EC5" s="426"/>
      <c r="ED5" s="18"/>
      <c r="EE5" s="424" t="s">
        <v>69</v>
      </c>
      <c r="EF5" s="425"/>
      <c r="EG5" s="426"/>
      <c r="EH5" s="424" t="s">
        <v>70</v>
      </c>
      <c r="EI5" s="425"/>
      <c r="EJ5" s="426"/>
      <c r="EK5" s="424" t="s">
        <v>71</v>
      </c>
      <c r="EL5" s="425"/>
      <c r="EM5" s="426"/>
      <c r="EN5" s="19"/>
      <c r="EO5" s="403" t="s">
        <v>72</v>
      </c>
      <c r="EP5" s="417"/>
      <c r="EQ5" s="404"/>
      <c r="ER5" s="403" t="s">
        <v>73</v>
      </c>
      <c r="ES5" s="417"/>
      <c r="ET5" s="404"/>
      <c r="EU5" s="403" t="s">
        <v>74</v>
      </c>
      <c r="EV5" s="417"/>
      <c r="EW5" s="404"/>
      <c r="EX5" s="403" t="s">
        <v>75</v>
      </c>
      <c r="EY5" s="417"/>
      <c r="EZ5" s="404"/>
      <c r="FA5" s="20"/>
      <c r="FB5" s="403" t="s">
        <v>76</v>
      </c>
      <c r="FC5" s="404"/>
      <c r="FD5" s="16" t="s">
        <v>77</v>
      </c>
      <c r="FE5" s="403" t="s">
        <v>72</v>
      </c>
      <c r="FF5" s="417"/>
      <c r="FG5" s="404"/>
      <c r="FH5" s="403" t="s">
        <v>73</v>
      </c>
      <c r="FI5" s="417"/>
      <c r="FJ5" s="404"/>
      <c r="FK5" s="10" t="s">
        <v>78</v>
      </c>
      <c r="FL5" s="11"/>
      <c r="FM5" s="21"/>
      <c r="FN5" s="403" t="s">
        <v>75</v>
      </c>
      <c r="FO5" s="417"/>
      <c r="FP5" s="404"/>
      <c r="FQ5" s="403" t="s">
        <v>79</v>
      </c>
      <c r="FR5" s="417"/>
      <c r="FS5" s="404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402"/>
      <c r="HH5" s="16"/>
      <c r="HI5" s="16"/>
      <c r="HJ5" s="16"/>
      <c r="HK5" s="16"/>
      <c r="HL5" s="16"/>
      <c r="HM5" s="16"/>
      <c r="HN5" s="403" t="s">
        <v>204</v>
      </c>
      <c r="HO5" s="417"/>
      <c r="HP5" s="404"/>
      <c r="HQ5" s="403" t="s">
        <v>260</v>
      </c>
      <c r="HR5" s="417"/>
      <c r="HS5" s="404"/>
      <c r="HT5" s="403" t="s">
        <v>261</v>
      </c>
      <c r="HU5" s="417"/>
      <c r="HV5" s="404"/>
      <c r="HW5" s="403" t="s">
        <v>318</v>
      </c>
      <c r="HX5" s="417"/>
      <c r="HY5" s="404"/>
      <c r="HZ5" s="403" t="s">
        <v>346</v>
      </c>
      <c r="IA5" s="417"/>
      <c r="IB5" s="404"/>
      <c r="IC5" s="403" t="s">
        <v>357</v>
      </c>
      <c r="ID5" s="417"/>
      <c r="IE5" s="404"/>
      <c r="IF5" s="402" t="s">
        <v>65</v>
      </c>
      <c r="IG5" s="402"/>
      <c r="IH5" s="402"/>
      <c r="II5" s="495"/>
      <c r="IJ5" s="402" t="s">
        <v>262</v>
      </c>
      <c r="IK5" s="402"/>
      <c r="IL5" s="402"/>
      <c r="IM5" s="402" t="s">
        <v>263</v>
      </c>
      <c r="IN5" s="402"/>
      <c r="IO5" s="402"/>
      <c r="IP5" s="402" t="s">
        <v>264</v>
      </c>
      <c r="IQ5" s="402"/>
      <c r="IR5" s="402"/>
      <c r="IS5" s="402" t="s">
        <v>265</v>
      </c>
      <c r="IT5" s="402"/>
      <c r="IU5" s="402"/>
      <c r="IV5" s="402" t="s">
        <v>152</v>
      </c>
      <c r="IW5" s="402"/>
      <c r="IX5" s="402"/>
      <c r="IY5" s="402" t="s">
        <v>266</v>
      </c>
      <c r="IZ5" s="402"/>
      <c r="JA5" s="402"/>
      <c r="JB5" s="402" t="s">
        <v>165</v>
      </c>
      <c r="JC5" s="402"/>
      <c r="JD5" s="402"/>
      <c r="JE5" s="402" t="s">
        <v>267</v>
      </c>
      <c r="JF5" s="402"/>
      <c r="JG5" s="402"/>
      <c r="JH5" s="402" t="s">
        <v>268</v>
      </c>
      <c r="JI5" s="402"/>
      <c r="JJ5" s="402"/>
      <c r="JK5" s="402" t="s">
        <v>269</v>
      </c>
      <c r="JL5" s="402"/>
      <c r="JM5" s="402"/>
      <c r="JN5" s="402" t="s">
        <v>152</v>
      </c>
      <c r="JO5" s="402"/>
      <c r="JP5" s="402"/>
      <c r="JQ5" s="402" t="s">
        <v>266</v>
      </c>
      <c r="JR5" s="402"/>
      <c r="JS5" s="402"/>
      <c r="JT5" s="402" t="s">
        <v>165</v>
      </c>
      <c r="JU5" s="402"/>
      <c r="JV5" s="402"/>
      <c r="JW5" s="402" t="s">
        <v>267</v>
      </c>
      <c r="JX5" s="402"/>
      <c r="JY5" s="402"/>
      <c r="JZ5" s="402" t="s">
        <v>268</v>
      </c>
      <c r="KA5" s="402"/>
      <c r="KB5" s="402"/>
      <c r="KC5" s="402" t="s">
        <v>269</v>
      </c>
      <c r="KD5" s="402"/>
      <c r="KE5" s="402"/>
    </row>
    <row r="6" spans="1:293" x14ac:dyDescent="0.25">
      <c r="A6" s="448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403" t="s">
        <v>99</v>
      </c>
      <c r="FW6" s="417"/>
      <c r="FX6" s="404"/>
      <c r="FY6" s="403" t="s">
        <v>100</v>
      </c>
      <c r="FZ6" s="417"/>
      <c r="GA6" s="404"/>
      <c r="GB6" s="403" t="s">
        <v>101</v>
      </c>
      <c r="GC6" s="417"/>
      <c r="GD6" s="404"/>
      <c r="GE6" s="403" t="s">
        <v>102</v>
      </c>
      <c r="GF6" s="417"/>
      <c r="GG6" s="404"/>
      <c r="GH6" s="403" t="s">
        <v>103</v>
      </c>
      <c r="GI6" s="417"/>
      <c r="GJ6" s="404"/>
      <c r="GK6" s="403" t="s">
        <v>104</v>
      </c>
      <c r="GL6" s="417"/>
      <c r="GM6" s="404"/>
      <c r="GN6" s="33"/>
      <c r="GO6" s="33"/>
      <c r="GP6" s="33"/>
      <c r="GQ6" s="6"/>
      <c r="GR6" s="6"/>
      <c r="GS6" s="6"/>
      <c r="GT6" s="177"/>
      <c r="GU6" s="402" t="s">
        <v>105</v>
      </c>
      <c r="GV6" s="402"/>
      <c r="GW6" s="402"/>
      <c r="GX6" s="402"/>
      <c r="GY6" s="418"/>
      <c r="GZ6" s="406"/>
      <c r="HA6" s="406"/>
      <c r="HB6" s="406"/>
      <c r="HG6" s="402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7" t="s">
        <v>82</v>
      </c>
      <c r="IA6" s="207" t="s">
        <v>83</v>
      </c>
      <c r="IB6" s="207" t="s">
        <v>257</v>
      </c>
      <c r="IC6" s="207" t="s">
        <v>82</v>
      </c>
      <c r="ID6" s="207" t="s">
        <v>83</v>
      </c>
      <c r="IE6" s="207" t="s">
        <v>257</v>
      </c>
      <c r="IF6" s="207" t="s">
        <v>82</v>
      </c>
      <c r="IG6" s="207" t="s">
        <v>83</v>
      </c>
      <c r="IH6" s="207" t="s">
        <v>257</v>
      </c>
      <c r="II6" s="209"/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W6" s="207" t="s">
        <v>82</v>
      </c>
      <c r="JX6" s="207" t="s">
        <v>83</v>
      </c>
      <c r="JY6" s="207" t="s">
        <v>257</v>
      </c>
      <c r="JZ6" s="207" t="s">
        <v>82</v>
      </c>
      <c r="KA6" s="207" t="s">
        <v>83</v>
      </c>
      <c r="KB6" s="207" t="s">
        <v>257</v>
      </c>
      <c r="KC6" s="207" t="s">
        <v>82</v>
      </c>
      <c r="KD6" s="207" t="s">
        <v>83</v>
      </c>
      <c r="KE6" s="207" t="s">
        <v>257</v>
      </c>
      <c r="KG6" s="208" t="s">
        <v>78</v>
      </c>
    </row>
    <row r="7" spans="1:293" x14ac:dyDescent="0.25">
      <c r="A7" s="35">
        <v>1</v>
      </c>
      <c r="B7" s="38">
        <v>4782.78</v>
      </c>
      <c r="C7" s="38"/>
      <c r="D7" s="38"/>
      <c r="E7" s="38">
        <v>960.73</v>
      </c>
      <c r="F7" s="38"/>
      <c r="G7" s="38">
        <v>460800.00000000291</v>
      </c>
      <c r="H7" s="37"/>
      <c r="I7" s="39"/>
      <c r="J7" s="42"/>
      <c r="K7" s="37">
        <v>0</v>
      </c>
      <c r="L7" s="40">
        <v>15009300</v>
      </c>
      <c r="M7" s="40"/>
      <c r="N7" s="37"/>
      <c r="O7" s="37">
        <v>11704.1</v>
      </c>
      <c r="P7" s="37"/>
      <c r="Q7" s="37"/>
      <c r="R7" s="37"/>
      <c r="S7" s="37">
        <v>11247433.960000001</v>
      </c>
      <c r="T7" s="37"/>
      <c r="U7" s="37">
        <v>1523790.61</v>
      </c>
      <c r="V7" s="37"/>
      <c r="W7" s="37">
        <v>4192.5</v>
      </c>
      <c r="X7" s="37"/>
      <c r="Y7" s="183"/>
      <c r="Z7" s="183"/>
      <c r="AA7" s="37">
        <v>790100</v>
      </c>
      <c r="AB7" s="37">
        <v>0</v>
      </c>
      <c r="AC7" s="37">
        <v>4346.5</v>
      </c>
      <c r="AD7" s="37"/>
      <c r="AE7" s="37"/>
      <c r="AF7" s="37">
        <v>1</v>
      </c>
      <c r="AG7" s="37">
        <v>9483.7000000000007</v>
      </c>
      <c r="AH7" s="37"/>
      <c r="AI7" s="37"/>
      <c r="AJ7" s="37"/>
      <c r="AK7" s="37"/>
      <c r="AL7" s="42">
        <v>11279.7</v>
      </c>
      <c r="AM7" s="42"/>
      <c r="AN7" s="37"/>
      <c r="AO7" s="37">
        <v>1</v>
      </c>
      <c r="AP7" s="37">
        <v>8804.6</v>
      </c>
      <c r="AQ7" s="37"/>
      <c r="AR7" s="37"/>
      <c r="AS7" s="37">
        <v>1</v>
      </c>
      <c r="AT7" s="183"/>
      <c r="AU7" s="183"/>
      <c r="AV7" s="183"/>
      <c r="AW7" s="183"/>
      <c r="AX7" s="37">
        <v>500370</v>
      </c>
      <c r="AY7" s="37"/>
      <c r="AZ7" s="37"/>
      <c r="BA7" s="37">
        <v>171880</v>
      </c>
      <c r="BB7" s="37"/>
      <c r="BC7" s="37"/>
      <c r="BD7" s="37"/>
      <c r="BE7" s="43">
        <v>1977.5</v>
      </c>
      <c r="BF7" s="43">
        <v>1097</v>
      </c>
      <c r="BG7" s="37"/>
      <c r="BH7" s="44">
        <v>9266.4</v>
      </c>
      <c r="BI7" s="44">
        <v>5969.1</v>
      </c>
      <c r="BJ7" s="37"/>
      <c r="BK7" s="40">
        <v>1720970</v>
      </c>
      <c r="BL7" s="40"/>
      <c r="BM7" s="40">
        <v>896.54</v>
      </c>
      <c r="BN7" s="37">
        <v>639.99999999998636</v>
      </c>
      <c r="BO7" s="186"/>
      <c r="BP7" s="183">
        <v>0</v>
      </c>
      <c r="BQ7" s="40">
        <v>846.3</v>
      </c>
      <c r="BR7" s="37"/>
      <c r="BS7" s="37">
        <v>105954.86</v>
      </c>
      <c r="BT7" s="37"/>
      <c r="BU7" s="42">
        <v>3022874</v>
      </c>
      <c r="BV7" s="42"/>
      <c r="BW7" s="37"/>
      <c r="BX7" s="37"/>
      <c r="BY7" s="43">
        <v>370.31470000000002</v>
      </c>
      <c r="BZ7" s="43"/>
      <c r="CA7" s="37"/>
      <c r="CB7" s="37"/>
      <c r="CC7" s="37">
        <v>703660.1</v>
      </c>
      <c r="CD7" s="37"/>
      <c r="CE7" s="41">
        <v>1398349</v>
      </c>
      <c r="CF7" s="37"/>
      <c r="CG7" s="37">
        <v>72810.600000000006</v>
      </c>
      <c r="CH7" s="37"/>
      <c r="CI7" s="40">
        <v>13409.63</v>
      </c>
      <c r="CJ7" s="40"/>
      <c r="CK7" s="37"/>
      <c r="CL7" s="37"/>
      <c r="CM7" s="37">
        <v>3811.0990000000002</v>
      </c>
      <c r="CN7" s="37"/>
      <c r="CO7" s="37"/>
      <c r="CP7" s="37"/>
      <c r="CQ7" s="39">
        <v>397079.2</v>
      </c>
      <c r="CR7" s="39"/>
      <c r="CS7" s="37"/>
      <c r="CT7" s="37"/>
      <c r="CU7" s="37">
        <v>3992879</v>
      </c>
      <c r="CV7" s="41"/>
      <c r="CW7" s="38"/>
      <c r="CX7" s="37"/>
      <c r="CY7" s="37">
        <v>2113788</v>
      </c>
      <c r="CZ7" s="37"/>
      <c r="DA7" s="37"/>
      <c r="DB7" s="37"/>
      <c r="DC7" s="37"/>
      <c r="DD7" s="40"/>
      <c r="DE7" s="37">
        <v>0</v>
      </c>
      <c r="DF7" s="37">
        <v>0</v>
      </c>
      <c r="DG7" s="37">
        <v>-64196.999999999665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3833000</v>
      </c>
      <c r="DR7" s="49"/>
      <c r="DS7" s="50">
        <v>4491100</v>
      </c>
      <c r="DT7" s="49"/>
      <c r="DU7" s="51">
        <v>8151.1</v>
      </c>
      <c r="DV7" s="51">
        <v>4579.8999999999996</v>
      </c>
      <c r="DW7" s="37"/>
      <c r="DX7" s="52">
        <v>13437</v>
      </c>
      <c r="DY7" s="52">
        <v>8496</v>
      </c>
      <c r="DZ7" s="37"/>
      <c r="EA7" s="49">
        <v>30946</v>
      </c>
      <c r="EB7" s="49">
        <v>21.411000000000001</v>
      </c>
      <c r="EC7" s="37"/>
      <c r="ED7" s="53"/>
      <c r="EE7" s="49">
        <v>46465</v>
      </c>
      <c r="EF7" s="49">
        <v>30.366</v>
      </c>
      <c r="EG7" s="37"/>
      <c r="EH7" s="51">
        <v>13517</v>
      </c>
      <c r="EI7" s="51">
        <v>1.8944000000000001</v>
      </c>
      <c r="EJ7" s="37"/>
      <c r="EK7" s="37">
        <v>823.03</v>
      </c>
      <c r="EL7" s="40">
        <v>1178.8</v>
      </c>
      <c r="EM7" s="37"/>
      <c r="EN7" s="54"/>
      <c r="EO7" s="48">
        <v>13291</v>
      </c>
      <c r="EP7" s="48">
        <v>4647.3999999999996</v>
      </c>
      <c r="EQ7" s="37"/>
      <c r="ER7" s="48">
        <v>9958.6</v>
      </c>
      <c r="ES7" s="55">
        <v>4103.1000000000004</v>
      </c>
      <c r="ET7" s="49"/>
      <c r="EU7" s="48">
        <v>3940</v>
      </c>
      <c r="EV7" s="48">
        <v>1400</v>
      </c>
      <c r="EW7" s="49"/>
      <c r="EX7" s="48">
        <v>13964</v>
      </c>
      <c r="EY7" s="48">
        <v>1.6476</v>
      </c>
      <c r="EZ7" s="37"/>
      <c r="FA7" s="48">
        <v>-18407.999999999738</v>
      </c>
      <c r="FB7" s="48">
        <v>37371586</v>
      </c>
      <c r="FC7" s="49"/>
      <c r="FD7" s="48"/>
      <c r="FE7" s="153">
        <v>17393</v>
      </c>
      <c r="FF7" s="154">
        <v>6175.7</v>
      </c>
      <c r="FG7" s="37"/>
      <c r="FH7" s="48">
        <v>9386.2000000000007</v>
      </c>
      <c r="FI7" s="48">
        <v>3.6261000000000001</v>
      </c>
      <c r="FJ7" s="49"/>
      <c r="FK7" s="48"/>
      <c r="FL7" s="58"/>
      <c r="FM7" s="48">
        <v>0</v>
      </c>
      <c r="FN7" s="48">
        <v>17077</v>
      </c>
      <c r="FO7" s="48">
        <v>0.90090000000000003</v>
      </c>
      <c r="FP7" s="37"/>
      <c r="FQ7" s="48">
        <v>60269</v>
      </c>
      <c r="FR7" s="48">
        <v>14.622</v>
      </c>
      <c r="FS7" s="37"/>
      <c r="FT7" s="48"/>
      <c r="FU7" s="48"/>
      <c r="FV7" s="44">
        <v>5522200</v>
      </c>
      <c r="FW7" s="44">
        <v>1698400</v>
      </c>
      <c r="FX7" s="37"/>
      <c r="FY7" s="56">
        <v>3687.5</v>
      </c>
      <c r="FZ7" s="56">
        <v>2.1821999999999999</v>
      </c>
      <c r="GA7" s="37"/>
      <c r="GB7" s="56">
        <v>847.9</v>
      </c>
      <c r="GC7" s="56">
        <v>950.67</v>
      </c>
      <c r="GD7" s="37"/>
      <c r="GE7" s="56">
        <v>10449</v>
      </c>
      <c r="GF7" s="63">
        <v>3.6648999999999998</v>
      </c>
      <c r="GG7" s="37"/>
      <c r="GH7" s="48">
        <v>2025.9</v>
      </c>
      <c r="GI7" s="56">
        <v>1738.2</v>
      </c>
      <c r="GJ7" s="38"/>
      <c r="GK7" s="56">
        <v>1500.4</v>
      </c>
      <c r="GL7" s="44">
        <v>1133.4000000000001</v>
      </c>
      <c r="GM7" s="38"/>
      <c r="GN7" s="57">
        <v>208330</v>
      </c>
      <c r="GO7" s="57">
        <v>184590</v>
      </c>
      <c r="GP7" s="38"/>
      <c r="GQ7" s="38">
        <v>280010</v>
      </c>
      <c r="GR7" s="38">
        <v>273290</v>
      </c>
      <c r="GS7" s="38"/>
      <c r="GT7" s="178"/>
      <c r="GU7" s="144"/>
      <c r="GV7" s="59"/>
      <c r="GW7" s="60">
        <v>0</v>
      </c>
      <c r="GX7" s="61"/>
      <c r="GY7" s="140"/>
      <c r="GZ7" s="74"/>
      <c r="HA7" s="62"/>
      <c r="HB7" s="62"/>
      <c r="HC7" s="74"/>
      <c r="HD7" s="74"/>
      <c r="HE7" s="24"/>
      <c r="HG7" s="213">
        <v>31</v>
      </c>
      <c r="HH7" s="16">
        <v>15822</v>
      </c>
      <c r="HI7" s="16">
        <v>6075</v>
      </c>
      <c r="HJ7" s="16"/>
      <c r="HK7" s="16">
        <v>2.1432000000000002</v>
      </c>
      <c r="HL7" s="16">
        <v>807.23</v>
      </c>
      <c r="HM7" s="16">
        <v>0</v>
      </c>
      <c r="HN7" s="16">
        <v>4061.9</v>
      </c>
      <c r="HO7" s="16">
        <v>1772.9</v>
      </c>
      <c r="HP7" s="16"/>
      <c r="HQ7" s="16">
        <v>3246.1</v>
      </c>
      <c r="HR7" s="16">
        <v>1389.5</v>
      </c>
      <c r="HS7" s="16"/>
      <c r="HT7" s="16">
        <v>2897.7</v>
      </c>
      <c r="HU7" s="16">
        <v>1075</v>
      </c>
      <c r="HV7" s="16"/>
      <c r="HW7" s="16">
        <v>1842.6</v>
      </c>
      <c r="HX7" s="16">
        <v>802.21</v>
      </c>
      <c r="HY7" s="16"/>
      <c r="HZ7" s="16">
        <v>851470</v>
      </c>
      <c r="IA7" s="16">
        <v>387430</v>
      </c>
      <c r="IB7" s="16"/>
      <c r="IC7" s="16">
        <v>719.8</v>
      </c>
      <c r="ID7" s="16">
        <v>232.78</v>
      </c>
      <c r="IE7" s="16">
        <v>0</v>
      </c>
      <c r="IF7" s="16"/>
      <c r="IG7" s="16"/>
      <c r="IH7" s="128"/>
      <c r="II7" s="211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</row>
    <row r="8" spans="1:293" x14ac:dyDescent="0.25">
      <c r="A8" s="35">
        <f t="shared" ref="A8:A36" si="0">A7+1</f>
        <v>2</v>
      </c>
      <c r="B8" s="38">
        <v>4795</v>
      </c>
      <c r="C8" s="38">
        <f t="shared" ref="C8:C38" si="1">IF((B8-B7)&lt;=0,0,(B8-B7))</f>
        <v>12.220000000000255</v>
      </c>
      <c r="D8" s="38">
        <f t="shared" ref="D8:D38" si="2">IF((B8-B7)*32000&lt;=0,0,(B8-B7)*32000)</f>
        <v>391040.00000000815</v>
      </c>
      <c r="E8" s="38">
        <v>963.27</v>
      </c>
      <c r="F8" s="38">
        <f t="shared" ref="F8:F38" si="3">IF((E8-E7)*32000&lt;=0,0,(E8-E7)*32000)</f>
        <v>81279.999999998836</v>
      </c>
      <c r="G8" s="38">
        <f t="shared" ref="G8:G38" si="4">D8+F8</f>
        <v>472320.00000000698</v>
      </c>
      <c r="H8" s="37"/>
      <c r="I8" s="39"/>
      <c r="J8" s="42"/>
      <c r="K8" s="37">
        <f>IF(J8&lt;=0,0,(J8/SQRT(J8^2+(I8-I7)^2)))</f>
        <v>0</v>
      </c>
      <c r="L8" s="40">
        <v>15056900</v>
      </c>
      <c r="M8" s="40"/>
      <c r="N8" s="37">
        <f>IF((L8-L7)&lt;=0,0,(L8-L7)*10)</f>
        <v>476000</v>
      </c>
      <c r="O8" s="37">
        <v>11722.5</v>
      </c>
      <c r="P8" s="37"/>
      <c r="Q8" s="37">
        <f t="shared" ref="Q8:Q21" si="5">IF((O8-O7)&lt;=0,0,(O8-O7))*1000</f>
        <v>18399.999999999636</v>
      </c>
      <c r="R8" s="37">
        <f>IF(Q8&lt;=0,0,(Q8/SQRT(Q8^2+(P8-P7)^2)))</f>
        <v>1</v>
      </c>
      <c r="S8" s="37">
        <v>11247719.92</v>
      </c>
      <c r="T8" s="37">
        <f t="shared" ref="T8:T38" si="6">IF((S8-S7)&lt;=0,0,(S8-S7))</f>
        <v>285.95999999903142</v>
      </c>
      <c r="U8" s="37">
        <v>1523790.61</v>
      </c>
      <c r="V8" s="37">
        <f t="shared" ref="V8:V35" si="7">IF((U8-U7)&lt;=0,0,(U8-U7))</f>
        <v>0</v>
      </c>
      <c r="W8" s="37">
        <v>4199.2</v>
      </c>
      <c r="X8" s="37">
        <f>Q8-T8-V8-AB8</f>
        <v>18014.040000000605</v>
      </c>
      <c r="Y8" s="183"/>
      <c r="Z8" s="183"/>
      <c r="AA8" s="37">
        <v>790200</v>
      </c>
      <c r="AB8" s="37">
        <f t="shared" ref="AB8:AB38" si="8">IF((AA8-AA7)&lt;=0,0,(AA8-AA7))</f>
        <v>100</v>
      </c>
      <c r="AC8" s="37">
        <v>4352.3</v>
      </c>
      <c r="AD8" s="37"/>
      <c r="AE8" s="37">
        <f t="shared" ref="AE8:AE21" si="9">IF((AC8-AC7)&lt;=0,0,(AC8-AC7))*1000</f>
        <v>5800.0000000001819</v>
      </c>
      <c r="AF8" s="37">
        <f>IF(AE8&lt;=0,0,(AE8/SQRT(AE8^2+(AD8-AD7)^2)))</f>
        <v>1</v>
      </c>
      <c r="AG8" s="37">
        <v>9497.5</v>
      </c>
      <c r="AH8" s="37"/>
      <c r="AI8" s="37">
        <f t="shared" ref="AI8:AI38" si="10">IF((AG8-AG7)&lt;=0,0,(AG8-AG7))*1000+GX8</f>
        <v>13742.529999999273</v>
      </c>
      <c r="AJ8" s="37">
        <f t="shared" ref="AJ8:AJ38" si="11">IF(AI8&lt;=0,0,(AI8/SQRT(AI8^2+(AH8-AH7)^2)))</f>
        <v>1</v>
      </c>
      <c r="AK8" s="37">
        <f t="shared" ref="AK8:AK38" si="12">T8+V8+X8+AE8+AI8</f>
        <v>37842.529999999089</v>
      </c>
      <c r="AL8" s="42">
        <v>11291.7</v>
      </c>
      <c r="AM8" s="42"/>
      <c r="AN8" s="37">
        <f>IF((AL8-AL7)&lt;=0,0,(AL8-AL7))*1000+GX8-BL8-BN8-BP8-BR8</f>
        <v>6332.5299999998733</v>
      </c>
      <c r="AO8" s="37">
        <f>IF(AN8&lt;=0,0,(AN8/SQRT(AN8^2+(AM8-AM7)^2)))</f>
        <v>1</v>
      </c>
      <c r="AP8" s="37">
        <v>8818.7999999999993</v>
      </c>
      <c r="AQ8" s="37"/>
      <c r="AR8" s="37">
        <f t="shared" ref="AR8:AR38" si="13">IF((AP8-AP7)&lt;=0,0,(AP8-AP7))*1000</f>
        <v>14199.999999998909</v>
      </c>
      <c r="AS8" s="37">
        <f>IF(AR8&lt;=0,0,(AR8/SQRT(AR8^2+(AQ8-AQ7)^2)))</f>
        <v>1</v>
      </c>
      <c r="AT8" s="183"/>
      <c r="AU8" s="183"/>
      <c r="AV8" s="183"/>
      <c r="AW8" s="183"/>
      <c r="AX8" s="37">
        <v>500910</v>
      </c>
      <c r="AY8" s="37"/>
      <c r="AZ8" s="37">
        <f t="shared" ref="AZ8:AZ38" si="14">IF((AX8-AX7)&lt;=0,0,(AX8-AX7))</f>
        <v>540</v>
      </c>
      <c r="BA8" s="37">
        <v>172630</v>
      </c>
      <c r="BB8" s="37"/>
      <c r="BC8" s="37">
        <f t="shared" ref="BC8:BC38" si="15">IF((BA8-BA7)&lt;=0,0,(BA8-BA7))</f>
        <v>750</v>
      </c>
      <c r="BD8" s="37">
        <f>AN8+AR8+AZ8+BC8</f>
        <v>21822.529999998784</v>
      </c>
      <c r="BE8" s="43">
        <v>1979.8</v>
      </c>
      <c r="BF8" s="43">
        <v>1098.3</v>
      </c>
      <c r="BG8" s="37">
        <f t="shared" ref="BG8:BG38" si="16">IF((BE8-BE7)&lt;=0,0,(BE8-BE7))*1000</f>
        <v>2299.9999999999545</v>
      </c>
      <c r="BH8" s="44">
        <v>9275.6</v>
      </c>
      <c r="BI8" s="44">
        <v>5975.1</v>
      </c>
      <c r="BJ8" s="37">
        <f t="shared" ref="BJ8:BJ38" si="17">IF((BH8-BH7)&lt;=0,0,(BH8-BH7))*1000</f>
        <v>9200.0000000007276</v>
      </c>
      <c r="BK8" s="40">
        <v>1725220</v>
      </c>
      <c r="BL8" s="40">
        <f>IF((BK8-BK7)&lt;=0,0,(BK8-BK7))</f>
        <v>4250</v>
      </c>
      <c r="BM8" s="40">
        <v>897.2</v>
      </c>
      <c r="BN8" s="37">
        <f t="shared" ref="BN8:BN38" si="18">IF((BM8-BM7)&lt;=0,0,BM8-BM7)*1000</f>
        <v>660.00000000008185</v>
      </c>
      <c r="BO8" s="186"/>
      <c r="BP8" s="183">
        <f t="shared" ref="BP8:BP38" si="19">IF((BO8-BO7)&lt;=0,0,(BO8-BO7))*1000</f>
        <v>0</v>
      </c>
      <c r="BQ8" s="40">
        <v>847</v>
      </c>
      <c r="BR8" s="37">
        <f>IF((BQ8-BQ7)&lt;=0,0,(BQ8-BQ7))*1000</f>
        <v>700.00000000004547</v>
      </c>
      <c r="BS8" s="37">
        <v>106153.39</v>
      </c>
      <c r="BT8" s="37">
        <f t="shared" ref="BT8:BT38" si="20">IF((BS8-BS7)&lt;=0,0,(BS8-BS7))</f>
        <v>198.52999999999884</v>
      </c>
      <c r="BU8" s="42">
        <v>3032757.8</v>
      </c>
      <c r="BV8" s="42"/>
      <c r="BW8" s="37">
        <f t="shared" ref="BW8:BW38" si="21">IF((BU8-BU7)&lt;=0,0,(BU8-BU7))</f>
        <v>9883.7999999998137</v>
      </c>
      <c r="BX8" s="37">
        <f>IF(BW8&lt;=0,0,(BW8/SQRT(BW8^2+(BV8-BV7)^2)))</f>
        <v>1</v>
      </c>
      <c r="BY8" s="43">
        <v>370.83629999999999</v>
      </c>
      <c r="BZ8" s="43"/>
      <c r="CA8" s="37">
        <f t="shared" ref="CA8:CA16" si="22">IF((BY8-BY7)&lt;=0,0,(BY8-BY7)*1000)</f>
        <v>521.59999999997808</v>
      </c>
      <c r="CB8" s="37">
        <f>IF(CA8&lt;=0,0,(CA8/SQRT(CA8^2+(BZ8-BZ7)^2)))</f>
        <v>1</v>
      </c>
      <c r="CC8" s="37">
        <v>706592.1</v>
      </c>
      <c r="CD8" s="37">
        <f t="shared" ref="CD8:CD38" si="23">IF((CC8-CC7)&lt;=0,0,(CC8-CC7))</f>
        <v>2932</v>
      </c>
      <c r="CE8" s="41">
        <v>1404986</v>
      </c>
      <c r="CF8" s="37">
        <f t="shared" ref="CF8:CF38" si="24">IF((CE8-CE7)&lt;=0,0,(CE8-CE7))</f>
        <v>6637</v>
      </c>
      <c r="CG8" s="37">
        <v>72810.600000000006</v>
      </c>
      <c r="CH8" s="37">
        <f>IF((CG8-CG7)&lt;=0,0,(CG8-CG7))</f>
        <v>0</v>
      </c>
      <c r="CI8" s="40">
        <v>13425.87</v>
      </c>
      <c r="CJ8" s="40"/>
      <c r="CK8" s="37">
        <f>IF((CI8-CI7)*1000&lt;=0,0,(CI8-CI7)*1000)+GX8-CA8</f>
        <v>15660.930000001623</v>
      </c>
      <c r="CL8" s="37">
        <f t="shared" ref="CL8:CL38" si="25">IF(CK8&lt;=0,0,(CK8/SQRT(CK8^2+(CJ8-CJ7)^2)))</f>
        <v>1</v>
      </c>
      <c r="CM8" s="37">
        <v>3816.663</v>
      </c>
      <c r="CN8" s="37"/>
      <c r="CO8" s="37">
        <f t="shared" ref="CO8:CO38" si="26">IF((CM8-CM7)&lt;=0,0,(CM8-CM7))*1000+GX8</f>
        <v>5506.5299999998506</v>
      </c>
      <c r="CP8" s="37">
        <f>IF(CO8&lt;=0,0,(CO8/SQRT(CO8^2+(CN8-CN7)^2)))</f>
        <v>1</v>
      </c>
      <c r="CQ8" s="39">
        <v>403092.2</v>
      </c>
      <c r="CR8" s="45"/>
      <c r="CS8" s="37">
        <f>IF((CQ8-CQ7)&lt;=0,0,(CQ8-CQ7))+GX8</f>
        <v>5955.53</v>
      </c>
      <c r="CT8" s="37">
        <f>IF(CS8&lt;=0,0,(CS8/SQRT(CS8^2+(CR8-CR7)^2)))</f>
        <v>1</v>
      </c>
      <c r="CU8" s="37">
        <v>4013058</v>
      </c>
      <c r="CV8" s="37"/>
      <c r="CW8" s="38">
        <f t="shared" ref="CW8:CW38" si="27">IF((CU8-CU7)&lt;=0,0,(CU8-CU7))</f>
        <v>20179</v>
      </c>
      <c r="CX8" s="37">
        <f>IF(CW8&lt;=0,0,(CW8/SQRT(CW8^2+(CV8-CV7)^2)))</f>
        <v>1</v>
      </c>
      <c r="CY8" s="37">
        <v>2125340</v>
      </c>
      <c r="CZ8" s="37"/>
      <c r="DA8" s="37">
        <f t="shared" ref="DA8:DA26" si="28">IF((CY8-CY7)&lt;=0,0,(CY8-CY7))</f>
        <v>11552</v>
      </c>
      <c r="DB8" s="37">
        <f>IF(DA8&lt;=0,0,(DA8/SQRT(DA8^2+(CZ8-CZ7)^2)))</f>
        <v>1</v>
      </c>
      <c r="DC8" s="37"/>
      <c r="DD8" s="40"/>
      <c r="DE8" s="37">
        <f t="shared" ref="DE8:DE33" si="29">IF((DC8-DC7)&lt;=0,0,(DC8-DC7))</f>
        <v>0</v>
      </c>
      <c r="DF8" s="37">
        <f>IF(DE8&lt;=0,0,(DE8/SQRT(DE8^2+(DD8-DD7)^2)))</f>
        <v>0</v>
      </c>
      <c r="DG8" s="37">
        <f t="shared" ref="DG8:DG38" si="30">(DE8)-DA8-CW8-CS8-CO8-CK8-BW8</f>
        <v>-68737.790000001289</v>
      </c>
      <c r="DH8" s="37">
        <f t="shared" ref="DH8:DH38" si="31">DE8+BG8+AK8+N8</f>
        <v>516142.52999999904</v>
      </c>
      <c r="DI8" s="46"/>
      <c r="DJ8" s="46"/>
      <c r="DK8" s="47"/>
      <c r="DL8" s="47"/>
      <c r="DM8" s="37"/>
      <c r="DN8" s="37"/>
      <c r="DO8" s="37"/>
      <c r="DP8" s="37"/>
      <c r="DQ8" s="50">
        <v>3845100</v>
      </c>
      <c r="DR8" s="49">
        <f>IF((DQ8-DQ7)&lt;=0,0,(DQ8-DQ7))</f>
        <v>12100</v>
      </c>
      <c r="DS8" s="50">
        <v>4511100</v>
      </c>
      <c r="DT8" s="49">
        <f>IF((DS8-DS7)&lt;=0,0,(DS8-DS7))</f>
        <v>20000</v>
      </c>
      <c r="DU8" s="52">
        <v>8155.5</v>
      </c>
      <c r="DV8" s="52">
        <v>4582.3999999999996</v>
      </c>
      <c r="DW8" s="37">
        <f>IF((DU8-DU7)*1000&lt;=0,0,(DU8-DU7)*1000)</f>
        <v>4399.9999999996362</v>
      </c>
      <c r="DX8" s="52">
        <v>13445</v>
      </c>
      <c r="DY8" s="52">
        <v>8498.1</v>
      </c>
      <c r="DZ8" s="37">
        <f t="shared" ref="DZ8:DZ38" si="32">IF((DX8-DX7)*1000&lt;=0,0,(DX8-DX7)*1000)+GX8</f>
        <v>7942.53</v>
      </c>
      <c r="EA8" s="49">
        <v>30968</v>
      </c>
      <c r="EB8" s="49">
        <v>21.422999999999998</v>
      </c>
      <c r="EC8" s="37">
        <f t="shared" ref="EC8:EC38" si="33">IF((EA8-EA7)*1000&lt;=0,0,(EA8-EA7)*1000)+GX8+$EE$40</f>
        <v>24102.53</v>
      </c>
      <c r="ED8" s="53">
        <f t="shared" ref="ED8:ED38" si="34">DW8+DZ8+EC8</f>
        <v>36445.059999999634</v>
      </c>
      <c r="EE8" s="49">
        <v>46486</v>
      </c>
      <c r="EF8" s="49">
        <v>30.385000000000002</v>
      </c>
      <c r="EG8" s="37">
        <f t="shared" ref="EG8:EG38" si="35">IF((EE8-EE7)*1000&lt;=0,0,(EE8-EE7)*1000)+GX8+$EE$40</f>
        <v>23102.53</v>
      </c>
      <c r="EH8" s="52">
        <v>13527</v>
      </c>
      <c r="EI8" s="52">
        <v>1.8964000000000001</v>
      </c>
      <c r="EJ8" s="37">
        <f t="shared" ref="EJ8:EJ38" si="36">IF((EH8-EH7)*1000&lt;=0,0,(EH8-EH7)*1000)+GX8</f>
        <v>9942.5300000000007</v>
      </c>
      <c r="EK8" s="37">
        <v>823.45</v>
      </c>
      <c r="EL8" s="40">
        <v>1179.3</v>
      </c>
      <c r="EM8" s="37">
        <f>IF((EK8-EK7)&lt;=0,0,(EK8-EK7))*1000</f>
        <v>420.00000000007276</v>
      </c>
      <c r="EN8" s="54">
        <f>EG8+EJ8+EM8</f>
        <v>33465.06000000007</v>
      </c>
      <c r="EO8" s="48">
        <v>13298</v>
      </c>
      <c r="EP8" s="48">
        <v>4649.7</v>
      </c>
      <c r="EQ8" s="37">
        <f>IF((EO8-EO7)*1000&lt;=0,0,(EO8-EO7)*1000)+GX8-FU45+FV45</f>
        <v>6077.5299999999907</v>
      </c>
      <c r="ER8" s="48">
        <v>9971.5</v>
      </c>
      <c r="ES8" s="48">
        <v>4108.8</v>
      </c>
      <c r="ET8" s="49">
        <f t="shared" ref="ET8:ET14" si="37">IF((ER8-ER7)&lt;=0,0,(ER8-ER7))*1000</f>
        <v>12899.999999999636</v>
      </c>
      <c r="EU8" s="48">
        <v>3948.5</v>
      </c>
      <c r="EV8" s="48">
        <v>1403.1</v>
      </c>
      <c r="EW8" s="49">
        <f t="shared" ref="EW8:EW38" si="38">IF((EU8-EU7)&lt;=0,0,(EU8-EU7))*1000+GX8</f>
        <v>8442.5300000000007</v>
      </c>
      <c r="EX8" s="48">
        <v>13974</v>
      </c>
      <c r="EY8" s="48">
        <v>1.6494</v>
      </c>
      <c r="EZ8" s="37">
        <f t="shared" ref="EZ8:EZ38" si="39">IF((EX8-EX7)&lt;=0,0,(EX8-EX7))*1000+GX8</f>
        <v>9942.5300000000007</v>
      </c>
      <c r="FA8" s="48">
        <f>FC8-EQ8-ET8-EW8-EZ8</f>
        <v>-17925.589999999629</v>
      </c>
      <c r="FB8" s="48">
        <v>37391023</v>
      </c>
      <c r="FC8" s="49">
        <f>IF((FB8-FB7)&lt;=0,0,(FB8-FB7))</f>
        <v>19437</v>
      </c>
      <c r="FD8" s="48">
        <f>EQ8+ET8+EW8+EZ8+GJ8</f>
        <v>39062.589999999444</v>
      </c>
      <c r="FE8" s="48">
        <v>17400</v>
      </c>
      <c r="FF8" s="48">
        <v>6176.4</v>
      </c>
      <c r="FG8" s="37">
        <f>IF((FE8-FE7)*1000&lt;=0,0,(FE8-FE7)*1000)+FL8+GX8+FW45</f>
        <v>7719.2000000000089</v>
      </c>
      <c r="FH8" s="48">
        <v>9398.6</v>
      </c>
      <c r="FI8" s="48">
        <v>3.6309</v>
      </c>
      <c r="FJ8" s="49">
        <f t="shared" ref="FJ8:FJ38" si="40">IF((FH8-FH7)&lt;=0,0,(FH8-FH7))*1000+FL8+GX8</f>
        <v>12254.199999999637</v>
      </c>
      <c r="FK8" s="48"/>
      <c r="FL8" s="58">
        <v>-88.33</v>
      </c>
      <c r="FM8" s="48">
        <f>FT8/3</f>
        <v>57.466666666784782</v>
      </c>
      <c r="FN8" s="48">
        <v>17087</v>
      </c>
      <c r="FO8" s="48">
        <v>0.90229999999999999</v>
      </c>
      <c r="FP8" s="37">
        <f>IF((FN8-FN7)*1000&lt;=0,0,(FN8-FN7)*1000)+FL8+GX8</f>
        <v>9854.2000000000007</v>
      </c>
      <c r="FQ8" s="48">
        <v>60299</v>
      </c>
      <c r="FR8" s="48">
        <v>14.629</v>
      </c>
      <c r="FS8" s="37">
        <f t="shared" ref="FS8:FS34" si="41">IF((FQ8-FQ7)*1000&lt;=0,0,(FQ8-FQ7)*1000)</f>
        <v>30000</v>
      </c>
      <c r="FT8" s="48">
        <f>FS8-FG8-FJ8-FP8</f>
        <v>172.40000000035434</v>
      </c>
      <c r="FU8" s="48">
        <f>FG8+FJ8+FP8+GM8</f>
        <v>30727.599999999511</v>
      </c>
      <c r="FV8" s="44">
        <v>5536200</v>
      </c>
      <c r="FW8" s="44">
        <v>1702700</v>
      </c>
      <c r="FX8" s="37">
        <f t="shared" ref="FX8:FX38" si="42">IF((FV8-FV7)*1000&lt;=0,0,(FV8-FV7))</f>
        <v>14000</v>
      </c>
      <c r="FY8" s="56">
        <v>3691.8</v>
      </c>
      <c r="FZ8" s="56">
        <v>2.1837</v>
      </c>
      <c r="GA8" s="37">
        <f t="shared" ref="GA8:GA38" si="43">IF((FY8-FY7)*1000&lt;=0,0,((FY8-FY7)*1000)-GS8)</f>
        <v>4220.0000000001819</v>
      </c>
      <c r="GB8" s="56">
        <v>848.44</v>
      </c>
      <c r="GC8" s="56">
        <v>951.33</v>
      </c>
      <c r="GD8" s="37">
        <f t="shared" ref="GD8:GD38" si="44">IF((GB8-GB7)*1000&lt;=0,0,(GB8-GB7)*1000)</f>
        <v>540.00000000007731</v>
      </c>
      <c r="GE8" s="56">
        <v>10455</v>
      </c>
      <c r="GF8" s="63">
        <v>3.6692999999999998</v>
      </c>
      <c r="GG8" s="37">
        <f t="shared" ref="GG8:GG38" si="45">IF((GE8-GE7)*1000&lt;=0,0,(GE8-GE7)*1000)-GJ8-GM8</f>
        <v>3400.0000000003183</v>
      </c>
      <c r="GH8" s="48">
        <v>2027.6</v>
      </c>
      <c r="GI8" s="56">
        <v>1739.8</v>
      </c>
      <c r="GJ8" s="38">
        <f t="shared" ref="GJ8:GJ35" si="46">IF((GH8-GH7)&lt;=0,0,(GH8-GH7))*1000</f>
        <v>1699.9999999998181</v>
      </c>
      <c r="GK8" s="56">
        <v>1501.3</v>
      </c>
      <c r="GL8" s="44">
        <v>1133.8</v>
      </c>
      <c r="GM8" s="38">
        <f t="shared" ref="GM8:GM38" si="47">IF((GK8-GK7)&lt;=0,0,(GK8-GK7))*1000</f>
        <v>899.99999999986358</v>
      </c>
      <c r="GN8" s="57">
        <v>208330</v>
      </c>
      <c r="GO8" s="57">
        <v>184590</v>
      </c>
      <c r="GP8" s="38">
        <f>IF((GN8-GN7)&lt;=0,0,(GN8-GN7)+1000)</f>
        <v>0</v>
      </c>
      <c r="GQ8" s="38">
        <v>280090</v>
      </c>
      <c r="GR8" s="38">
        <v>273350</v>
      </c>
      <c r="GS8" s="38">
        <f>IF((GQ8-GQ7)&lt;=0,0,(GQ8-GQ7))</f>
        <v>80</v>
      </c>
      <c r="GT8" s="178"/>
      <c r="GU8" s="144">
        <f>DailyJul!B7-DailyJul!N7-DailyJul!V7-DailyJul!Y7-DailyJul!Z7-DailyJul!AA7-DailyJul!AB7-DailyJul!AC7-DailyJul!AD7-DailyJul!AE7-DailyJul!AK7-DailyJul!AO7-DailyJul!AS7-DailyJul!AY7-DailyJul!BD7+DailyJul!BU7-DailyJul!BG7-DailyJul!BT7-DailyJul!AF7-DailyJul!AG7</f>
        <v>4.0000007749767974E-2</v>
      </c>
      <c r="GV8" s="59">
        <v>-862.01</v>
      </c>
      <c r="GW8" s="60">
        <f t="shared" ref="GW8:GW38" si="48">GV8/15</f>
        <v>-57.467333333333336</v>
      </c>
      <c r="GX8" s="61">
        <v>-57.47</v>
      </c>
      <c r="GY8" s="140"/>
      <c r="GZ8" s="62"/>
      <c r="HA8" s="62"/>
      <c r="HB8" s="62"/>
      <c r="HC8" s="62"/>
      <c r="HD8" s="74"/>
      <c r="HE8" s="24">
        <f t="shared" ref="HE8:HE35" si="49">HC8-HA8</f>
        <v>0</v>
      </c>
      <c r="HG8" s="213">
        <v>2</v>
      </c>
      <c r="HH8" s="16">
        <v>15975</v>
      </c>
      <c r="HI8" s="16">
        <v>6132.8</v>
      </c>
      <c r="HJ8" s="16">
        <f t="shared" ref="HJ8:HJ38" si="50">IF((HH8-HH7)&lt;=0,0,(HH8-HH7)*1000)</f>
        <v>153000</v>
      </c>
      <c r="HK8" s="16">
        <v>2.1432000000000002</v>
      </c>
      <c r="HL8" s="16">
        <v>807.23</v>
      </c>
      <c r="HM8" s="16">
        <f t="shared" ref="HM8:HM14" si="51">IF((HK8-HK7)&lt;=0,0,(HK8-HK7))</f>
        <v>0</v>
      </c>
      <c r="HN8" s="16">
        <v>4100</v>
      </c>
      <c r="HO8" s="16">
        <v>1789.2</v>
      </c>
      <c r="HP8" s="16">
        <f t="shared" ref="HP8:HP38" si="52">IF((HN8-HN7)&lt;=0,0,(HN8-HN7)*1000)+IL45</f>
        <v>38334.999999999913</v>
      </c>
      <c r="HQ8" s="16">
        <v>3271.3</v>
      </c>
      <c r="HR8" s="16">
        <v>1399.8</v>
      </c>
      <c r="HS8" s="16">
        <f t="shared" ref="HS8:HS38" si="53">IF((HQ8-HQ7)&lt;=0,0,(HQ8-HQ7)*1000)+IL45</f>
        <v>25435.000000000273</v>
      </c>
      <c r="HT8" s="16">
        <v>2921.3</v>
      </c>
      <c r="HU8" s="16">
        <v>1095.0999999999999</v>
      </c>
      <c r="HV8" s="16">
        <f t="shared" ref="HV8:HV38" si="54">IF((HT8-HT7)&lt;=0,0,(HT8-HT7)*1000)+IL45</f>
        <v>23835.000000000364</v>
      </c>
      <c r="HW8" s="16">
        <v>1864.3</v>
      </c>
      <c r="HX8" s="16">
        <v>811.33</v>
      </c>
      <c r="HY8" s="16">
        <f t="shared" ref="HY8:HY38" si="55">IF((HW8-HW7)&lt;=0,0,(HW8-HW7)*1000)+IL45</f>
        <v>21935.000000000044</v>
      </c>
      <c r="HZ8" s="16">
        <v>874930</v>
      </c>
      <c r="IA8" s="16">
        <v>397670</v>
      </c>
      <c r="IB8" s="16">
        <f t="shared" ref="IB8:IB38" si="56">IF((HZ8-HZ7)&lt;=0,0,(HZ8-HZ7))</f>
        <v>23460</v>
      </c>
      <c r="IC8" s="16">
        <v>719.8</v>
      </c>
      <c r="ID8" s="16">
        <v>232.78</v>
      </c>
      <c r="IE8" s="16">
        <v>0</v>
      </c>
      <c r="IF8" s="16"/>
      <c r="IG8" s="16"/>
      <c r="IH8" s="128">
        <f t="shared" ref="IH8:IH38" si="57">DT8</f>
        <v>20000</v>
      </c>
      <c r="II8" s="211">
        <f t="shared" ref="II8:II28" si="58">HJ8+HM8-HS8-HV8-HY8-IH8-HP8-IB8-IE8</f>
        <v>-5.9662852436304092E-10</v>
      </c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G8" s="151">
        <f t="shared" ref="KG8:KG38" si="59">HJ8+HM8-HS8-HV8-HY8-IH8</f>
        <v>61794.999999999316</v>
      </c>
    </row>
    <row r="9" spans="1:293" x14ac:dyDescent="0.25">
      <c r="A9" s="35">
        <f t="shared" si="0"/>
        <v>3</v>
      </c>
      <c r="B9" s="38">
        <v>4805.2700000000004</v>
      </c>
      <c r="C9" s="38">
        <f t="shared" si="1"/>
        <v>10.270000000000437</v>
      </c>
      <c r="D9" s="38">
        <f t="shared" si="2"/>
        <v>328640.00000001397</v>
      </c>
      <c r="E9" s="37">
        <v>965.18</v>
      </c>
      <c r="F9" s="38">
        <f t="shared" si="3"/>
        <v>61119.999999998981</v>
      </c>
      <c r="G9" s="38">
        <f t="shared" si="4"/>
        <v>389760.00000001292</v>
      </c>
      <c r="H9" s="37"/>
      <c r="I9" s="39"/>
      <c r="J9" s="42"/>
      <c r="K9" s="37">
        <f>IF(J9&lt;=0,0,(J9/SQRT(J9^2+(I9-I8)^2)))</f>
        <v>0</v>
      </c>
      <c r="L9" s="40">
        <v>15095200</v>
      </c>
      <c r="M9" s="40"/>
      <c r="N9" s="37">
        <f>IF((L9-L8)&lt;=0,0,(L9-L8)*10)</f>
        <v>383000</v>
      </c>
      <c r="O9" s="37">
        <v>11740.6</v>
      </c>
      <c r="P9" s="37"/>
      <c r="Q9" s="37">
        <f t="shared" si="5"/>
        <v>18100.000000000364</v>
      </c>
      <c r="R9" s="37">
        <f>IF(Q9&lt;=0,0,(Q9/SQRT(Q9^2+(P9-P8)^2)))</f>
        <v>1</v>
      </c>
      <c r="S9" s="37">
        <v>11248003.050000001</v>
      </c>
      <c r="T9" s="37">
        <f t="shared" si="6"/>
        <v>283.13000000081956</v>
      </c>
      <c r="U9" s="37">
        <v>1523790.61</v>
      </c>
      <c r="V9" s="37">
        <f t="shared" si="7"/>
        <v>0</v>
      </c>
      <c r="W9" s="37">
        <v>4205.8999999999996</v>
      </c>
      <c r="X9" s="37">
        <f>Q9-T9-V9-AB9</f>
        <v>17716.869999999544</v>
      </c>
      <c r="Y9" s="183"/>
      <c r="Z9" s="183"/>
      <c r="AA9" s="37">
        <v>790300</v>
      </c>
      <c r="AB9" s="37">
        <f t="shared" si="8"/>
        <v>100</v>
      </c>
      <c r="AC9" s="37">
        <v>4358.1000000000004</v>
      </c>
      <c r="AD9" s="37"/>
      <c r="AE9" s="37">
        <f t="shared" si="9"/>
        <v>5800.0000000001819</v>
      </c>
      <c r="AF9" s="37">
        <f>IF(AE9&lt;=0,0,(AE9/SQRT(AE9^2+(AD9-AD8)^2)))</f>
        <v>1</v>
      </c>
      <c r="AG9" s="37">
        <v>9511</v>
      </c>
      <c r="AH9" s="37"/>
      <c r="AI9" s="37">
        <f t="shared" si="10"/>
        <v>13610.2</v>
      </c>
      <c r="AJ9" s="37">
        <f t="shared" si="11"/>
        <v>1</v>
      </c>
      <c r="AK9" s="37">
        <f t="shared" si="12"/>
        <v>37410.20000000055</v>
      </c>
      <c r="AL9" s="42">
        <v>11303.6</v>
      </c>
      <c r="AM9" s="42"/>
      <c r="AN9" s="37">
        <f t="shared" ref="AN9:AN38" si="60">IF((AL9-AL8)&lt;=0,0,(AL9-AL8))*1000+GX9-BL9-BN9-BP9-BR9</f>
        <v>6480.1999999996233</v>
      </c>
      <c r="AO9" s="37">
        <f>IF(AN9&lt;=0,0,(AN9/SQRT(AN9^2+(AM9-AM8)^2)))</f>
        <v>1</v>
      </c>
      <c r="AP9" s="37">
        <v>8833.1</v>
      </c>
      <c r="AQ9" s="37"/>
      <c r="AR9" s="37">
        <f t="shared" si="13"/>
        <v>14300.000000001091</v>
      </c>
      <c r="AS9" s="37">
        <f>IF(AR9&lt;=0,0,(AR9/SQRT(AR9^2+(AQ9-AQ8)^2)))</f>
        <v>1</v>
      </c>
      <c r="AT9" s="183"/>
      <c r="AU9" s="183"/>
      <c r="AV9" s="183"/>
      <c r="AW9" s="183"/>
      <c r="AX9" s="37">
        <v>501440</v>
      </c>
      <c r="AY9" s="37"/>
      <c r="AZ9" s="37">
        <f t="shared" si="14"/>
        <v>530</v>
      </c>
      <c r="BA9" s="37">
        <v>173370</v>
      </c>
      <c r="BB9" s="37"/>
      <c r="BC9" s="37">
        <f t="shared" si="15"/>
        <v>740</v>
      </c>
      <c r="BD9" s="37">
        <f>AN9+AR9+AZ9+BC9</f>
        <v>22050.200000000714</v>
      </c>
      <c r="BE9" s="43">
        <v>1982.4</v>
      </c>
      <c r="BF9" s="43">
        <v>1099.7</v>
      </c>
      <c r="BG9" s="37">
        <f t="shared" si="16"/>
        <v>2600.0000000001364</v>
      </c>
      <c r="BH9" s="44">
        <v>9285</v>
      </c>
      <c r="BI9" s="44">
        <v>5981.4</v>
      </c>
      <c r="BJ9" s="37">
        <f t="shared" si="17"/>
        <v>9399.9999999996362</v>
      </c>
      <c r="BK9" s="40">
        <v>1729390</v>
      </c>
      <c r="BL9" s="40">
        <f>IF((BK9-BK8)&lt;=0,0,(BK9-BK8))</f>
        <v>4170</v>
      </c>
      <c r="BM9" s="40">
        <v>897.86</v>
      </c>
      <c r="BN9" s="37">
        <f t="shared" si="18"/>
        <v>659.99999999996817</v>
      </c>
      <c r="BO9" s="186"/>
      <c r="BP9" s="183">
        <f t="shared" si="19"/>
        <v>0</v>
      </c>
      <c r="BQ9" s="40">
        <v>847.7</v>
      </c>
      <c r="BR9" s="37">
        <f t="shared" ref="BR9:BR38" si="61">IF((BQ9-BQ8)&lt;=0,0,(BQ9-BQ8))*1000</f>
        <v>700.00000000004547</v>
      </c>
      <c r="BS9" s="37">
        <v>106371.96</v>
      </c>
      <c r="BT9" s="37">
        <f t="shared" si="20"/>
        <v>218.57000000000698</v>
      </c>
      <c r="BU9" s="42">
        <v>3044109</v>
      </c>
      <c r="BV9" s="42"/>
      <c r="BW9" s="37">
        <f t="shared" si="21"/>
        <v>11351.200000000186</v>
      </c>
      <c r="BX9" s="37">
        <f>IF(BW9&lt;=0,0,(BW9/SQRT(BW9^2+(BV9-BV8)^2)))</f>
        <v>1</v>
      </c>
      <c r="BY9" s="43">
        <v>371.36880000000002</v>
      </c>
      <c r="BZ9" s="43"/>
      <c r="CA9" s="37">
        <f t="shared" si="22"/>
        <v>532.50000000002728</v>
      </c>
      <c r="CB9" s="37">
        <f t="shared" ref="CB9:CB38" si="62">IF(CA9&lt;=0,0,(CA9/SQRT(CA9^2+(BZ9-BZ8)^2)))</f>
        <v>1</v>
      </c>
      <c r="CC9" s="37">
        <v>710120.5</v>
      </c>
      <c r="CD9" s="37">
        <f t="shared" si="23"/>
        <v>3528.4000000000233</v>
      </c>
      <c r="CE9" s="41">
        <v>1412512</v>
      </c>
      <c r="CF9" s="37">
        <f t="shared" si="24"/>
        <v>7526</v>
      </c>
      <c r="CG9" s="37">
        <v>72810.600000000006</v>
      </c>
      <c r="CH9" s="37">
        <f t="shared" ref="CH9:CH38" si="63">IF((CG9-CG8)&lt;=0,0,(CG9-CG8))</f>
        <v>0</v>
      </c>
      <c r="CI9" s="40">
        <v>13442.8</v>
      </c>
      <c r="CJ9" s="40"/>
      <c r="CK9" s="37">
        <f t="shared" ref="CK9:CK38" si="64">IF((CI9-CI8)*1000&lt;=0,0,(CI9-CI8)*1000)+GX9-CA9</f>
        <v>16507.699999998447</v>
      </c>
      <c r="CL9" s="37">
        <f t="shared" si="25"/>
        <v>1</v>
      </c>
      <c r="CM9" s="37">
        <v>3822.48</v>
      </c>
      <c r="CN9" s="37"/>
      <c r="CO9" s="37">
        <f t="shared" si="26"/>
        <v>5927.2000000000071</v>
      </c>
      <c r="CP9" s="37">
        <f>IF(CO9&lt;=0,0,(CO9/SQRT(CO9^2+(CN9-CN8)^2)))</f>
        <v>1</v>
      </c>
      <c r="CQ9" s="39">
        <v>408948.8</v>
      </c>
      <c r="CR9" s="45"/>
      <c r="CS9" s="37">
        <f t="shared" ref="CS9:CS38" si="65">IF((CQ9-CQ8)&lt;=0,0,(CQ9-CQ8))+GX9</f>
        <v>5966.7999999999765</v>
      </c>
      <c r="CT9" s="37">
        <f t="shared" ref="CT9:CT38" si="66">IF(CS9&lt;=0,0,(CS9/SQRT(CS9^2+(CR9-CR8)^2)))</f>
        <v>1</v>
      </c>
      <c r="CU9" s="37">
        <v>4031868</v>
      </c>
      <c r="CV9" s="37"/>
      <c r="CW9" s="38">
        <f t="shared" si="27"/>
        <v>18810</v>
      </c>
      <c r="CX9" s="37">
        <f>IF(CW9&lt;=0,0,(CW9/SQRT(CW9^2+(CV9-CV8)^2)))</f>
        <v>1</v>
      </c>
      <c r="CY9" s="37">
        <v>2136159</v>
      </c>
      <c r="CZ9" s="37"/>
      <c r="DA9" s="37">
        <f t="shared" si="28"/>
        <v>10819</v>
      </c>
      <c r="DB9" s="37">
        <f>IF(DA9&lt;=0,0,(DA9/SQRT(DA9^2+(CZ9-CZ8)^2)))</f>
        <v>1</v>
      </c>
      <c r="DC9" s="37"/>
      <c r="DD9" s="40"/>
      <c r="DE9" s="37">
        <f t="shared" si="29"/>
        <v>0</v>
      </c>
      <c r="DF9" s="37">
        <f>IF(DE9&lt;=0,0,(DE9/SQRT(DE9^2+(DD9-DD8)^2)))</f>
        <v>0</v>
      </c>
      <c r="DG9" s="37">
        <f t="shared" si="30"/>
        <v>-69381.899999998612</v>
      </c>
      <c r="DH9" s="37">
        <f t="shared" si="31"/>
        <v>423010.20000000071</v>
      </c>
      <c r="DI9" s="46"/>
      <c r="DJ9" s="46"/>
      <c r="DK9" s="47"/>
      <c r="DL9" s="47"/>
      <c r="DM9" s="37"/>
      <c r="DN9" s="37"/>
      <c r="DO9" s="37"/>
      <c r="DP9" s="37"/>
      <c r="DQ9" s="50">
        <v>3856700</v>
      </c>
      <c r="DR9" s="49">
        <f t="shared" ref="DR9:DR38" si="67">IF((DQ9-DQ8)&lt;=0,0,(DQ9-DQ8))</f>
        <v>11600</v>
      </c>
      <c r="DS9" s="50">
        <v>4523200</v>
      </c>
      <c r="DT9" s="49">
        <f t="shared" ref="DT9:DT38" si="68">IF((DS9-DS8)&lt;=0,0,(DS9-DS8))</f>
        <v>12100</v>
      </c>
      <c r="DU9" s="52">
        <v>8159.7</v>
      </c>
      <c r="DV9" s="52">
        <v>4584.8999999999996</v>
      </c>
      <c r="DW9" s="37">
        <f>IF((DU9-DU8)*1000&lt;=0,0,(DU9-DU8)*1000)</f>
        <v>4199.9999999998181</v>
      </c>
      <c r="DX9" s="52">
        <v>13452</v>
      </c>
      <c r="DY9" s="52">
        <v>8500.4</v>
      </c>
      <c r="DZ9" s="37">
        <f t="shared" si="32"/>
        <v>7110.2</v>
      </c>
      <c r="EA9" s="49">
        <v>30989</v>
      </c>
      <c r="EB9" s="49">
        <v>21.434999999999999</v>
      </c>
      <c r="EC9" s="37">
        <f t="shared" si="33"/>
        <v>23270.2</v>
      </c>
      <c r="ED9" s="53">
        <f t="shared" si="34"/>
        <v>34580.39999999982</v>
      </c>
      <c r="EE9" s="49">
        <v>46508</v>
      </c>
      <c r="EF9" s="49">
        <v>30.408999999999999</v>
      </c>
      <c r="EG9" s="37">
        <f t="shared" si="35"/>
        <v>24270.2</v>
      </c>
      <c r="EH9" s="52">
        <v>13537</v>
      </c>
      <c r="EI9" s="52">
        <v>1.8986000000000001</v>
      </c>
      <c r="EJ9" s="37">
        <f t="shared" si="36"/>
        <v>10110.200000000001</v>
      </c>
      <c r="EK9" s="37">
        <v>824.09</v>
      </c>
      <c r="EL9" s="40">
        <v>1180.2</v>
      </c>
      <c r="EM9" s="37">
        <f t="shared" ref="EM9:EM38" si="69">IF((EK9-EK8)&lt;=0,0,(EK9-EK8))*1000</f>
        <v>639.99999999998636</v>
      </c>
      <c r="EN9" s="54">
        <f t="shared" ref="EN9:EN38" si="70">EG9+EJ9+EM9</f>
        <v>35020.399999999987</v>
      </c>
      <c r="EO9" s="48">
        <v>13305</v>
      </c>
      <c r="EP9" s="48">
        <v>4652.3</v>
      </c>
      <c r="EQ9" s="37">
        <f t="shared" ref="EQ9:EQ38" si="71">IF((EO9-EO8)*1000&lt;=0,0,(EO9-EO8)*1000)+GX9-FU46+FV46</f>
        <v>6190.1999999999844</v>
      </c>
      <c r="ER9" s="48">
        <v>9987.6</v>
      </c>
      <c r="ES9" s="48">
        <v>4115.7</v>
      </c>
      <c r="ET9" s="49">
        <f t="shared" si="37"/>
        <v>16100.000000000364</v>
      </c>
      <c r="EU9" s="48">
        <v>3957.9</v>
      </c>
      <c r="EV9" s="48">
        <v>1406.4</v>
      </c>
      <c r="EW9" s="49">
        <f t="shared" si="38"/>
        <v>9510.2000000000917</v>
      </c>
      <c r="EX9" s="48">
        <v>13985</v>
      </c>
      <c r="EY9" s="48">
        <v>1.6519999999999999</v>
      </c>
      <c r="EZ9" s="37">
        <f t="shared" si="39"/>
        <v>11110.2</v>
      </c>
      <c r="FA9" s="48">
        <f t="shared" ref="FA9:FA38" si="72">FC9-EQ9-ET9-EW9-EZ9</f>
        <v>-20381.600000000442</v>
      </c>
      <c r="FB9" s="48">
        <v>37413552</v>
      </c>
      <c r="FC9" s="49">
        <f>IF((FB9-FB8)&lt;=0,0,(FB9-FB8))</f>
        <v>22529</v>
      </c>
      <c r="FD9" s="48">
        <f t="shared" ref="FD9:FD38" si="73">EQ9+ET9+EW9+EZ9+GJ9</f>
        <v>45010.600000000581</v>
      </c>
      <c r="FE9" s="48">
        <v>17408</v>
      </c>
      <c r="FF9" s="48">
        <v>6179.3</v>
      </c>
      <c r="FG9" s="37">
        <f t="shared" ref="FG9:FG38" si="74">IF((FE9-FE8)*1000&lt;=0,0,(FE9-FE8)*1000)+FL9+GX9+FW46</f>
        <v>8723.5300000000152</v>
      </c>
      <c r="FH9" s="48">
        <v>9413.6</v>
      </c>
      <c r="FI9" s="48">
        <v>3.6368</v>
      </c>
      <c r="FJ9" s="49">
        <f t="shared" si="40"/>
        <v>14803.53</v>
      </c>
      <c r="FK9" s="48"/>
      <c r="FL9" s="58">
        <v>-306.67</v>
      </c>
      <c r="FM9" s="48">
        <f>FT9/3</f>
        <v>-110.19666666667156</v>
      </c>
      <c r="FN9" s="48">
        <v>17098</v>
      </c>
      <c r="FO9" s="48">
        <v>0.90369999999999995</v>
      </c>
      <c r="FP9" s="37">
        <f t="shared" ref="FP9:FP38" si="75">IF((FN9-FN8)*1000&lt;=0,0,(FN9-FN8)*1000)+FL9+GX9</f>
        <v>10803.53</v>
      </c>
      <c r="FQ9" s="48">
        <v>60333</v>
      </c>
      <c r="FR9" s="48">
        <v>14.64</v>
      </c>
      <c r="FS9" s="37">
        <f t="shared" si="41"/>
        <v>34000</v>
      </c>
      <c r="FT9" s="48">
        <f t="shared" ref="FT9:FT38" si="76">FS9-FG9-FJ9-FP9</f>
        <v>-330.5900000000147</v>
      </c>
      <c r="FU9" s="48">
        <f t="shared" ref="FU9:FU38" si="77">FG9+FJ9+FP9+GM9</f>
        <v>34630.589999999975</v>
      </c>
      <c r="FV9" s="44">
        <v>5543500</v>
      </c>
      <c r="FW9" s="44">
        <v>1705200</v>
      </c>
      <c r="FX9" s="37">
        <f t="shared" si="42"/>
        <v>7300</v>
      </c>
      <c r="FY9" s="56">
        <v>3694.1</v>
      </c>
      <c r="FZ9" s="56">
        <v>2.1848000000000001</v>
      </c>
      <c r="GA9" s="37">
        <f t="shared" si="43"/>
        <v>2209.9999999997272</v>
      </c>
      <c r="GB9" s="56">
        <v>848.8</v>
      </c>
      <c r="GC9" s="56">
        <v>951.81</v>
      </c>
      <c r="GD9" s="37">
        <f t="shared" si="44"/>
        <v>359.99999999989996</v>
      </c>
      <c r="GE9" s="63">
        <v>10460</v>
      </c>
      <c r="GF9" s="56">
        <v>3.673</v>
      </c>
      <c r="GG9" s="37">
        <f t="shared" si="45"/>
        <v>2599.9999999999091</v>
      </c>
      <c r="GH9" s="48">
        <v>2029.7</v>
      </c>
      <c r="GI9" s="56">
        <v>1741.8</v>
      </c>
      <c r="GJ9" s="38">
        <f t="shared" si="46"/>
        <v>2100.0000000001364</v>
      </c>
      <c r="GK9" s="56">
        <v>1501.6</v>
      </c>
      <c r="GL9" s="44">
        <v>1134</v>
      </c>
      <c r="GM9" s="38">
        <f t="shared" si="47"/>
        <v>299.99999999995453</v>
      </c>
      <c r="GN9" s="57">
        <v>208340</v>
      </c>
      <c r="GO9" s="57">
        <v>184600</v>
      </c>
      <c r="GP9" s="38">
        <f>IF((GN9-GN8)&lt;=0,0,(GN9-GN8)+1000)</f>
        <v>1010</v>
      </c>
      <c r="GQ9" s="38">
        <v>280180</v>
      </c>
      <c r="GR9" s="38">
        <v>273410</v>
      </c>
      <c r="GS9" s="38">
        <f t="shared" ref="GS9:GS38" si="78">IF((GQ9-GQ8)&lt;=0,0,(GQ9-GQ8))</f>
        <v>90</v>
      </c>
      <c r="GT9" s="178"/>
      <c r="GU9" s="144">
        <f>DailyJul!B8-DailyJul!N8-DailyJul!V8-DailyJul!Y8-DailyJul!Z8-DailyJul!AA8-DailyJul!AB8-DailyJul!AC8-DailyJul!AD8-DailyJul!AE8-DailyJul!AK8-DailyJul!AO8-DailyJul!AS8-DailyJul!AY8-DailyJul!BD8+DailyJul!BU8-DailyJul!BG8-DailyJul!BT8-DailyJul!AF8-DailyJul!AG8</f>
        <v>1.0000013440730982E-2</v>
      </c>
      <c r="GV9" s="59">
        <v>1653.01</v>
      </c>
      <c r="GW9" s="60">
        <f t="shared" si="48"/>
        <v>110.20066666666666</v>
      </c>
      <c r="GX9" s="61">
        <v>110.2</v>
      </c>
      <c r="GY9" s="140"/>
      <c r="GZ9" s="62"/>
      <c r="HA9" s="62"/>
      <c r="HB9" s="74"/>
      <c r="HC9" s="62"/>
      <c r="HD9" s="74"/>
      <c r="HE9" s="24">
        <f t="shared" si="49"/>
        <v>0</v>
      </c>
      <c r="HG9" s="213">
        <v>3</v>
      </c>
      <c r="HH9" s="16">
        <v>16098</v>
      </c>
      <c r="HI9" s="16">
        <v>6180.1</v>
      </c>
      <c r="HJ9" s="16">
        <f t="shared" si="50"/>
        <v>123000</v>
      </c>
      <c r="HK9" s="16">
        <v>2.1432000000000002</v>
      </c>
      <c r="HL9" s="16">
        <v>807.23</v>
      </c>
      <c r="HM9" s="16">
        <f t="shared" si="51"/>
        <v>0</v>
      </c>
      <c r="HN9" s="16">
        <v>4130.3</v>
      </c>
      <c r="HO9" s="16">
        <v>1802.9</v>
      </c>
      <c r="HP9" s="16">
        <f t="shared" si="52"/>
        <v>31867.500000000182</v>
      </c>
      <c r="HQ9" s="16">
        <v>3287.9</v>
      </c>
      <c r="HR9" s="16">
        <v>1407.1</v>
      </c>
      <c r="HS9" s="16">
        <f t="shared" si="53"/>
        <v>18167.499999999909</v>
      </c>
      <c r="HT9" s="16">
        <v>2942.1</v>
      </c>
      <c r="HU9" s="16">
        <v>1102.0999999999999</v>
      </c>
      <c r="HV9" s="16">
        <f t="shared" si="54"/>
        <v>22367.499999999727</v>
      </c>
      <c r="HW9" s="16">
        <v>1881.1</v>
      </c>
      <c r="HX9" s="16">
        <v>818.6</v>
      </c>
      <c r="HY9" s="16">
        <f t="shared" si="55"/>
        <v>18367.499999999956</v>
      </c>
      <c r="HZ9" s="16">
        <v>895060</v>
      </c>
      <c r="IA9" s="16">
        <v>406950</v>
      </c>
      <c r="IB9" s="16">
        <f t="shared" si="56"/>
        <v>20130</v>
      </c>
      <c r="IC9" s="16">
        <v>719.8</v>
      </c>
      <c r="ID9" s="16">
        <v>232.78</v>
      </c>
      <c r="IE9" s="16">
        <f t="shared" ref="IE9:IE38" si="79">IF((IC9-IC8)&lt;=0,0,(IC9-IC8))</f>
        <v>0</v>
      </c>
      <c r="IF9" s="16"/>
      <c r="IG9" s="16"/>
      <c r="IH9" s="128">
        <f t="shared" si="57"/>
        <v>12100</v>
      </c>
      <c r="II9" s="211">
        <f t="shared" si="58"/>
        <v>2.255546860396862E-10</v>
      </c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G9" s="151">
        <f t="shared" si="59"/>
        <v>51997.500000000407</v>
      </c>
    </row>
    <row r="10" spans="1:293" x14ac:dyDescent="0.25">
      <c r="A10" s="35">
        <f t="shared" si="0"/>
        <v>4</v>
      </c>
      <c r="B10" s="38">
        <v>4815.5</v>
      </c>
      <c r="C10" s="38">
        <f t="shared" si="1"/>
        <v>10.229999999999563</v>
      </c>
      <c r="D10" s="38">
        <f t="shared" si="2"/>
        <v>327359.99999998603</v>
      </c>
      <c r="E10" s="38">
        <v>967.16</v>
      </c>
      <c r="F10" s="38">
        <f t="shared" si="3"/>
        <v>63360.000000000582</v>
      </c>
      <c r="G10" s="38">
        <f t="shared" si="4"/>
        <v>390719.99999998661</v>
      </c>
      <c r="H10" s="37"/>
      <c r="I10" s="39"/>
      <c r="J10" s="42"/>
      <c r="K10" s="37">
        <f t="shared" ref="K10:K34" si="80">IF(J10&lt;=0,0,(J10/SQRT(J10^2+(I10-I9)^2)))</f>
        <v>0</v>
      </c>
      <c r="L10" s="40">
        <v>15133700</v>
      </c>
      <c r="M10" s="40"/>
      <c r="N10" s="37">
        <f t="shared" ref="N10:N38" si="81">IF((L10-L9)&lt;=0,0,(L10-L9)*10)</f>
        <v>385000</v>
      </c>
      <c r="O10" s="37">
        <v>11758.9</v>
      </c>
      <c r="P10" s="37"/>
      <c r="Q10" s="37">
        <f t="shared" si="5"/>
        <v>18299.999999999272</v>
      </c>
      <c r="R10" s="37">
        <f t="shared" ref="R10:R34" si="82">IF(Q10&lt;=0,0,(Q10/SQRT(Q10^2+(P10-P9)^2)))</f>
        <v>1</v>
      </c>
      <c r="S10" s="37">
        <v>11248301.68</v>
      </c>
      <c r="T10" s="37">
        <f t="shared" si="6"/>
        <v>298.62999999895692</v>
      </c>
      <c r="U10" s="37">
        <v>1523790.61</v>
      </c>
      <c r="V10" s="37">
        <f t="shared" si="7"/>
        <v>0</v>
      </c>
      <c r="W10" s="37">
        <v>4212.8</v>
      </c>
      <c r="X10" s="37">
        <f>Q10-T10-V10-AB10</f>
        <v>17901.370000000315</v>
      </c>
      <c r="Y10" s="183"/>
      <c r="Z10" s="183"/>
      <c r="AA10" s="37">
        <v>790400</v>
      </c>
      <c r="AB10" s="37">
        <f t="shared" si="8"/>
        <v>100</v>
      </c>
      <c r="AC10" s="37">
        <v>4363.6000000000004</v>
      </c>
      <c r="AD10" s="37"/>
      <c r="AE10" s="37">
        <f t="shared" si="9"/>
        <v>5500</v>
      </c>
      <c r="AF10" s="37">
        <f t="shared" ref="AF10:AF34" si="83">IF(AE10&lt;=0,0,(AE10/SQRT(AE10^2+(AD10-AD9)^2)))</f>
        <v>1</v>
      </c>
      <c r="AG10" s="37">
        <v>9523.2999999999993</v>
      </c>
      <c r="AH10" s="37"/>
      <c r="AI10" s="37">
        <f t="shared" si="10"/>
        <v>12536.139999999272</v>
      </c>
      <c r="AJ10" s="37">
        <f t="shared" si="11"/>
        <v>1</v>
      </c>
      <c r="AK10" s="37">
        <f t="shared" si="12"/>
        <v>36236.139999998544</v>
      </c>
      <c r="AL10" s="2">
        <v>11315.3</v>
      </c>
      <c r="AM10" s="42"/>
      <c r="AN10" s="37">
        <f t="shared" si="60"/>
        <v>6396.1399999990081</v>
      </c>
      <c r="AO10" s="37">
        <f t="shared" ref="AO10:AO34" si="84">IF(AN10&lt;=0,0,(AN10/SQRT(AN10^2+(AM10-AM9)^2)))</f>
        <v>1</v>
      </c>
      <c r="AP10" s="37">
        <v>8846.7999999999993</v>
      </c>
      <c r="AQ10" s="37"/>
      <c r="AR10" s="37">
        <f t="shared" si="13"/>
        <v>13699.999999998909</v>
      </c>
      <c r="AS10" s="37">
        <f t="shared" ref="AS10:AS34" si="85">IF(AR10&lt;=0,0,(AR10/SQRT(AR10^2+(AQ10-AQ9)^2)))</f>
        <v>1</v>
      </c>
      <c r="AT10" s="183"/>
      <c r="AU10" s="183"/>
      <c r="AV10" s="183"/>
      <c r="AW10" s="183"/>
      <c r="AX10" s="37">
        <v>501970</v>
      </c>
      <c r="AY10" s="37"/>
      <c r="AZ10" s="37">
        <f t="shared" si="14"/>
        <v>530</v>
      </c>
      <c r="BA10" s="37">
        <v>174090</v>
      </c>
      <c r="BB10" s="37"/>
      <c r="BC10" s="37">
        <f t="shared" si="15"/>
        <v>720</v>
      </c>
      <c r="BD10" s="37">
        <f t="shared" ref="BD10:BD34" si="86">AN10+AR10+AZ10+BC10</f>
        <v>21346.139999997918</v>
      </c>
      <c r="BE10" s="37">
        <v>1984.3</v>
      </c>
      <c r="BF10" s="37">
        <v>1101</v>
      </c>
      <c r="BG10" s="37">
        <f t="shared" si="16"/>
        <v>1899.9999999998636</v>
      </c>
      <c r="BH10" s="44">
        <v>9294.2000000000007</v>
      </c>
      <c r="BI10" s="44">
        <v>5987.7</v>
      </c>
      <c r="BJ10" s="37">
        <f t="shared" si="17"/>
        <v>9200.0000000007276</v>
      </c>
      <c r="BK10" s="40">
        <v>1733570</v>
      </c>
      <c r="BL10" s="40">
        <f t="shared" ref="BL10:BL38" si="87">IF((BK10-BK9)&lt;=0,0,(BK10-BK9))</f>
        <v>4180</v>
      </c>
      <c r="BM10" s="40">
        <v>898.52</v>
      </c>
      <c r="BN10" s="37">
        <f t="shared" si="18"/>
        <v>659.99999999996817</v>
      </c>
      <c r="BO10" s="186"/>
      <c r="BP10" s="183">
        <f t="shared" si="19"/>
        <v>0</v>
      </c>
      <c r="BQ10" s="40">
        <v>848.4</v>
      </c>
      <c r="BR10" s="37">
        <f t="shared" si="61"/>
        <v>699.99999999993179</v>
      </c>
      <c r="BS10" s="37">
        <v>106568.52</v>
      </c>
      <c r="BT10" s="37">
        <f t="shared" si="20"/>
        <v>196.55999999999767</v>
      </c>
      <c r="BU10" s="42">
        <v>3055856</v>
      </c>
      <c r="BV10" s="42"/>
      <c r="BW10" s="37">
        <f t="shared" si="21"/>
        <v>11747</v>
      </c>
      <c r="BX10" s="37">
        <f t="shared" ref="BX10:BX33" si="88">IF(BW10&lt;=0,0,(BW10/SQRT(BW10^2+(BV10-BV9)^2)))</f>
        <v>1</v>
      </c>
      <c r="BY10" s="43">
        <v>371.92759999999998</v>
      </c>
      <c r="BZ10" s="43"/>
      <c r="CA10" s="37">
        <f t="shared" si="22"/>
        <v>558.79999999996244</v>
      </c>
      <c r="CB10" s="37">
        <f t="shared" si="62"/>
        <v>1</v>
      </c>
      <c r="CC10" s="37">
        <v>713786</v>
      </c>
      <c r="CD10" s="37">
        <f t="shared" si="23"/>
        <v>3665.5</v>
      </c>
      <c r="CE10" s="37">
        <v>1420191</v>
      </c>
      <c r="CF10" s="37">
        <f t="shared" si="24"/>
        <v>7679</v>
      </c>
      <c r="CG10" s="37">
        <v>72810.600000000006</v>
      </c>
      <c r="CH10" s="37">
        <f t="shared" si="63"/>
        <v>0</v>
      </c>
      <c r="CI10" s="40">
        <v>13459.81</v>
      </c>
      <c r="CJ10" s="40"/>
      <c r="CK10" s="37">
        <f t="shared" si="64"/>
        <v>16687.340000000255</v>
      </c>
      <c r="CL10" s="37">
        <f t="shared" si="25"/>
        <v>1</v>
      </c>
      <c r="CM10" s="37">
        <v>3828.3780000000002</v>
      </c>
      <c r="CN10" s="37"/>
      <c r="CO10" s="37">
        <f t="shared" si="26"/>
        <v>6134.1400000001386</v>
      </c>
      <c r="CP10" s="37">
        <f t="shared" ref="CP10:CP34" si="89">IF(CO10&lt;=0,0,(CO10/SQRT(CO10^2+(CN10-CN9)^2)))</f>
        <v>1</v>
      </c>
      <c r="CQ10" s="39">
        <v>414984.2</v>
      </c>
      <c r="CR10" s="45"/>
      <c r="CS10" s="37">
        <f t="shared" si="65"/>
        <v>6271.5400000000236</v>
      </c>
      <c r="CT10" s="37">
        <f t="shared" si="66"/>
        <v>1</v>
      </c>
      <c r="CU10" s="37">
        <v>4051543</v>
      </c>
      <c r="CV10" s="37"/>
      <c r="CW10" s="38">
        <f t="shared" si="27"/>
        <v>19675</v>
      </c>
      <c r="CX10" s="37">
        <f t="shared" ref="CX10:CX38" si="90">IF(CW10&lt;=0,0,(CW10/SQRT(CW10^2+(CV10-CV9)^2)))</f>
        <v>1</v>
      </c>
      <c r="CY10" s="37">
        <v>2146754</v>
      </c>
      <c r="CZ10" s="37"/>
      <c r="DA10" s="37">
        <f t="shared" si="28"/>
        <v>10595</v>
      </c>
      <c r="DB10" s="37">
        <f t="shared" ref="DB10:DB34" si="91">IF(DA10&lt;=0,0,(DA10/SQRT(DA10^2+(CZ10-CZ9)^2)))</f>
        <v>1</v>
      </c>
      <c r="DC10" s="37"/>
      <c r="DD10" s="40"/>
      <c r="DE10" s="37">
        <f t="shared" si="29"/>
        <v>0</v>
      </c>
      <c r="DF10" s="37">
        <f>IF(DE10&lt;=0,0,(DE10/SQRT(DE10^2+(DD10-DD9)^2)))</f>
        <v>0</v>
      </c>
      <c r="DG10" s="37">
        <f t="shared" si="30"/>
        <v>-71110.020000000412</v>
      </c>
      <c r="DH10" s="37">
        <f t="shared" si="31"/>
        <v>423136.13999999838</v>
      </c>
      <c r="DI10" s="46"/>
      <c r="DJ10" s="46"/>
      <c r="DK10" s="47"/>
      <c r="DL10" s="47"/>
      <c r="DM10" s="37"/>
      <c r="DN10" s="37"/>
      <c r="DO10" s="37"/>
      <c r="DP10" s="37"/>
      <c r="DQ10" s="50">
        <v>3868300</v>
      </c>
      <c r="DR10" s="49">
        <f t="shared" si="67"/>
        <v>11600</v>
      </c>
      <c r="DS10" s="50">
        <v>4548800</v>
      </c>
      <c r="DT10" s="49">
        <f t="shared" si="68"/>
        <v>25600</v>
      </c>
      <c r="DU10" s="52">
        <v>8164.2</v>
      </c>
      <c r="DV10" s="52">
        <v>4587.7</v>
      </c>
      <c r="DW10" s="37">
        <f t="shared" ref="DW10:DW38" si="92">IF((DU10-DU9)*1000&lt;=0,0,(DU10-DU9)*1000)</f>
        <v>4500</v>
      </c>
      <c r="DX10" s="52">
        <v>13460</v>
      </c>
      <c r="DY10" s="52">
        <v>8502.7999999999993</v>
      </c>
      <c r="DZ10" s="37">
        <f t="shared" si="32"/>
        <v>8236.14</v>
      </c>
      <c r="EA10" s="49">
        <v>31011</v>
      </c>
      <c r="EB10" s="49">
        <v>21.448</v>
      </c>
      <c r="EC10" s="37">
        <f t="shared" si="33"/>
        <v>24396.14</v>
      </c>
      <c r="ED10" s="53">
        <f t="shared" si="34"/>
        <v>37132.28</v>
      </c>
      <c r="EE10" s="49">
        <v>46529</v>
      </c>
      <c r="EF10" s="49">
        <v>30.434000000000001</v>
      </c>
      <c r="EG10" s="37">
        <f t="shared" si="35"/>
        <v>23396.14</v>
      </c>
      <c r="EH10" s="52">
        <v>13548</v>
      </c>
      <c r="EI10" s="52">
        <v>1.9011</v>
      </c>
      <c r="EJ10" s="37">
        <f t="shared" si="36"/>
        <v>11236.14</v>
      </c>
      <c r="EK10" s="37">
        <v>824.62</v>
      </c>
      <c r="EL10" s="40">
        <v>1180.9000000000001</v>
      </c>
      <c r="EM10" s="37">
        <f t="shared" si="69"/>
        <v>529.99999999997272</v>
      </c>
      <c r="EN10" s="54">
        <f t="shared" si="70"/>
        <v>35162.27999999997</v>
      </c>
      <c r="EO10" s="48">
        <v>13312</v>
      </c>
      <c r="EP10" s="48">
        <v>4654.8</v>
      </c>
      <c r="EQ10" s="37">
        <f t="shared" si="71"/>
        <v>6356.1400000000049</v>
      </c>
      <c r="ER10" s="48">
        <v>10004</v>
      </c>
      <c r="ES10" s="48">
        <v>4122.6000000000004</v>
      </c>
      <c r="ET10" s="49">
        <f t="shared" si="37"/>
        <v>16399.999999999636</v>
      </c>
      <c r="EU10" s="48">
        <v>3967.6</v>
      </c>
      <c r="EV10" s="48">
        <v>1409.8</v>
      </c>
      <c r="EW10" s="49">
        <f t="shared" si="38"/>
        <v>9936.1399999998175</v>
      </c>
      <c r="EX10" s="48">
        <v>13998</v>
      </c>
      <c r="EY10" s="48">
        <v>1.6546000000000001</v>
      </c>
      <c r="EZ10" s="37">
        <f t="shared" si="39"/>
        <v>13236.14</v>
      </c>
      <c r="FA10" s="48">
        <f t="shared" si="72"/>
        <v>-22807.41999999946</v>
      </c>
      <c r="FB10" s="48">
        <v>37436673</v>
      </c>
      <c r="FC10" s="49">
        <f t="shared" ref="FC10:FC35" si="93">IF((FB10-FB9)&lt;=0,0,(FB10-FB9))</f>
        <v>23121</v>
      </c>
      <c r="FD10" s="48">
        <f t="shared" si="73"/>
        <v>48028.419999999373</v>
      </c>
      <c r="FE10" s="48">
        <v>17416</v>
      </c>
      <c r="FF10" s="48">
        <v>6189.2</v>
      </c>
      <c r="FG10" s="37">
        <f t="shared" si="74"/>
        <v>9256.1399999999958</v>
      </c>
      <c r="FH10" s="48">
        <v>9431.2999999999993</v>
      </c>
      <c r="FI10" s="48">
        <v>3.6436000000000002</v>
      </c>
      <c r="FJ10" s="49">
        <f t="shared" si="40"/>
        <v>18076.139999998908</v>
      </c>
      <c r="FK10" s="48"/>
      <c r="FL10" s="58">
        <v>140</v>
      </c>
      <c r="FM10" s="48">
        <f t="shared" ref="FM10:FM38" si="94">FT10/3</f>
        <v>-236.1399999996344</v>
      </c>
      <c r="FN10" s="55">
        <v>17110</v>
      </c>
      <c r="FO10" s="48">
        <v>0.90580000000000005</v>
      </c>
      <c r="FP10" s="37">
        <f t="shared" si="75"/>
        <v>12376.14</v>
      </c>
      <c r="FQ10" s="48">
        <v>60372</v>
      </c>
      <c r="FR10" s="48">
        <v>14.651999999999999</v>
      </c>
      <c r="FS10" s="37">
        <f t="shared" si="41"/>
        <v>39000</v>
      </c>
      <c r="FT10" s="48">
        <f t="shared" si="76"/>
        <v>-708.41999999890322</v>
      </c>
      <c r="FU10" s="48">
        <f t="shared" si="77"/>
        <v>39808.419999999045</v>
      </c>
      <c r="FV10" s="44">
        <v>5548600</v>
      </c>
      <c r="FW10" s="44">
        <v>1707100</v>
      </c>
      <c r="FX10" s="37">
        <f t="shared" si="42"/>
        <v>5100</v>
      </c>
      <c r="FY10" s="56">
        <v>3695.6</v>
      </c>
      <c r="FZ10" s="56">
        <v>2.1852</v>
      </c>
      <c r="GA10" s="37">
        <f t="shared" si="43"/>
        <v>1500</v>
      </c>
      <c r="GB10" s="56">
        <v>849.14</v>
      </c>
      <c r="GC10" s="56">
        <v>952.27</v>
      </c>
      <c r="GD10" s="37">
        <f t="shared" si="44"/>
        <v>340.00000000003183</v>
      </c>
      <c r="GE10" s="56">
        <v>10463</v>
      </c>
      <c r="GF10" s="56">
        <v>3.6764000000000001</v>
      </c>
      <c r="GG10" s="37">
        <f t="shared" si="45"/>
        <v>799.99999999995453</v>
      </c>
      <c r="GH10" s="153">
        <v>2031.8</v>
      </c>
      <c r="GI10" s="162">
        <v>1744</v>
      </c>
      <c r="GJ10" s="38">
        <f t="shared" si="46"/>
        <v>2099.9999999999091</v>
      </c>
      <c r="GK10" s="162">
        <v>1501.7</v>
      </c>
      <c r="GL10" s="163">
        <v>1134</v>
      </c>
      <c r="GM10" s="38">
        <f t="shared" si="47"/>
        <v>100.00000000013642</v>
      </c>
      <c r="GN10" s="57">
        <v>208340</v>
      </c>
      <c r="GO10" s="57">
        <v>184600</v>
      </c>
      <c r="GP10" s="38">
        <f>IF((GN10-GN9)&lt;=0,0,(GN10-GN9)+1000)</f>
        <v>0</v>
      </c>
      <c r="GQ10" s="38">
        <v>280180</v>
      </c>
      <c r="GR10" s="38">
        <v>273410</v>
      </c>
      <c r="GS10" s="38">
        <f t="shared" si="78"/>
        <v>0</v>
      </c>
      <c r="GT10" s="178"/>
      <c r="GU10" s="144">
        <f>DailyJul!B9-DailyJul!N9-DailyJul!V9-DailyJul!Y9-DailyJul!Z9-DailyJul!AA9-DailyJul!AB9-DailyJul!AC9-DailyJul!AD9-DailyJul!AE9-DailyJul!AK9-DailyJul!AO9-DailyJul!AS9-DailyJul!AY9-DailyJul!BD9+DailyJul!BU9-DailyJul!BG9-DailyJul!BT9-DailyJul!AF9-DailyJul!AG9</f>
        <v>-9.0512912720441818E-9</v>
      </c>
      <c r="GV10" s="59">
        <v>3542.1</v>
      </c>
      <c r="GW10" s="60">
        <f t="shared" si="48"/>
        <v>236.14</v>
      </c>
      <c r="GX10" s="61">
        <v>236.14</v>
      </c>
      <c r="GY10" s="140"/>
      <c r="GZ10" s="62"/>
      <c r="HA10" s="62"/>
      <c r="HB10" s="74"/>
      <c r="HC10" s="62"/>
      <c r="HD10" s="74"/>
      <c r="HE10" s="24">
        <f t="shared" si="49"/>
        <v>0</v>
      </c>
      <c r="HG10" s="213">
        <v>4</v>
      </c>
      <c r="HH10" s="16">
        <v>16242</v>
      </c>
      <c r="HI10" s="16">
        <v>6234.6</v>
      </c>
      <c r="HJ10" s="16">
        <f t="shared" si="50"/>
        <v>144000</v>
      </c>
      <c r="HK10" s="16">
        <v>2.1432000000000002</v>
      </c>
      <c r="HL10" s="16">
        <v>807.23</v>
      </c>
      <c r="HM10" s="16">
        <f t="shared" si="51"/>
        <v>0</v>
      </c>
      <c r="HN10" s="16">
        <v>4163.3</v>
      </c>
      <c r="HO10" s="16">
        <v>1817.5</v>
      </c>
      <c r="HP10" s="16">
        <f t="shared" si="52"/>
        <v>31490</v>
      </c>
      <c r="HQ10" s="16">
        <v>3310.2</v>
      </c>
      <c r="HR10" s="16">
        <v>1416.2</v>
      </c>
      <c r="HS10" s="16">
        <f t="shared" si="53"/>
        <v>20789.999999999727</v>
      </c>
      <c r="HT10" s="16">
        <v>2966.8</v>
      </c>
      <c r="HU10" s="16">
        <v>1110.4000000000001</v>
      </c>
      <c r="HV10" s="16">
        <f t="shared" si="54"/>
        <v>23190.000000000273</v>
      </c>
      <c r="HW10" s="16">
        <v>1900.8</v>
      </c>
      <c r="HX10" s="16">
        <v>826.83</v>
      </c>
      <c r="HY10" s="16">
        <f t="shared" si="55"/>
        <v>18190.000000000044</v>
      </c>
      <c r="HZ10" s="16">
        <v>919800</v>
      </c>
      <c r="IA10" s="16">
        <v>417700</v>
      </c>
      <c r="IB10" s="16">
        <f t="shared" si="56"/>
        <v>24740</v>
      </c>
      <c r="IC10" s="16">
        <v>719.8</v>
      </c>
      <c r="ID10" s="16">
        <v>232.78</v>
      </c>
      <c r="IE10" s="16">
        <f t="shared" si="79"/>
        <v>0</v>
      </c>
      <c r="IF10" s="16"/>
      <c r="IG10" s="16"/>
      <c r="IH10" s="128">
        <f t="shared" si="57"/>
        <v>25600</v>
      </c>
      <c r="II10" s="211">
        <f t="shared" si="58"/>
        <v>-4.3655745685100555E-11</v>
      </c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G10" s="151">
        <f t="shared" si="59"/>
        <v>56229.999999999956</v>
      </c>
    </row>
    <row r="11" spans="1:293" x14ac:dyDescent="0.25">
      <c r="A11" s="35">
        <f t="shared" si="0"/>
        <v>5</v>
      </c>
      <c r="B11" s="38">
        <v>4825.71</v>
      </c>
      <c r="C11" s="38">
        <f t="shared" si="1"/>
        <v>10.210000000000036</v>
      </c>
      <c r="D11" s="38">
        <f t="shared" si="2"/>
        <v>326720.00000000116</v>
      </c>
      <c r="E11" s="38">
        <v>969.29</v>
      </c>
      <c r="F11" s="38">
        <f t="shared" si="3"/>
        <v>68159.999999999854</v>
      </c>
      <c r="G11" s="38">
        <f t="shared" si="4"/>
        <v>394880.00000000105</v>
      </c>
      <c r="H11" s="37"/>
      <c r="I11" s="39"/>
      <c r="J11" s="42"/>
      <c r="K11" s="37">
        <f t="shared" si="80"/>
        <v>0</v>
      </c>
      <c r="L11" s="40">
        <v>15172900</v>
      </c>
      <c r="M11" s="40"/>
      <c r="N11" s="37">
        <f t="shared" si="81"/>
        <v>392000</v>
      </c>
      <c r="O11" s="37">
        <v>11777.6</v>
      </c>
      <c r="P11" s="37"/>
      <c r="Q11" s="37">
        <f t="shared" si="5"/>
        <v>18700.000000000728</v>
      </c>
      <c r="R11" s="37">
        <f t="shared" si="82"/>
        <v>1</v>
      </c>
      <c r="S11" s="37">
        <v>11248612.279999999</v>
      </c>
      <c r="T11" s="37">
        <f t="shared" si="6"/>
        <v>310.59999999962747</v>
      </c>
      <c r="U11" s="37">
        <v>1523790.61</v>
      </c>
      <c r="V11" s="37">
        <f t="shared" si="7"/>
        <v>0</v>
      </c>
      <c r="W11" s="37">
        <v>4219.8</v>
      </c>
      <c r="X11" s="37">
        <f t="shared" ref="X11:X38" si="95">Q11-T11-V11-AB11</f>
        <v>18289.4000000011</v>
      </c>
      <c r="Y11" s="183"/>
      <c r="Z11" s="183"/>
      <c r="AA11" s="37">
        <v>790500</v>
      </c>
      <c r="AB11" s="37">
        <f t="shared" si="8"/>
        <v>100</v>
      </c>
      <c r="AC11" s="37">
        <v>4369.2</v>
      </c>
      <c r="AD11" s="37"/>
      <c r="AE11" s="37">
        <f t="shared" si="9"/>
        <v>5599.9999999994543</v>
      </c>
      <c r="AF11" s="37">
        <f t="shared" si="83"/>
        <v>1</v>
      </c>
      <c r="AG11" s="37">
        <v>9535.6</v>
      </c>
      <c r="AH11" s="37"/>
      <c r="AI11" s="37">
        <f t="shared" si="10"/>
        <v>12814.950000001092</v>
      </c>
      <c r="AJ11" s="37">
        <f t="shared" si="11"/>
        <v>1</v>
      </c>
      <c r="AK11" s="37">
        <f t="shared" si="12"/>
        <v>37014.950000001278</v>
      </c>
      <c r="AL11" s="42">
        <v>11327.3</v>
      </c>
      <c r="AM11" s="2"/>
      <c r="AN11" s="37">
        <f t="shared" si="60"/>
        <v>6884.9499999998916</v>
      </c>
      <c r="AO11" s="37">
        <f t="shared" si="84"/>
        <v>1</v>
      </c>
      <c r="AP11" s="37">
        <v>8860.7000000000007</v>
      </c>
      <c r="AQ11" s="37"/>
      <c r="AR11" s="37">
        <f t="shared" si="13"/>
        <v>13900.000000001455</v>
      </c>
      <c r="AS11" s="37">
        <f t="shared" si="85"/>
        <v>1</v>
      </c>
      <c r="AT11" s="183"/>
      <c r="AU11" s="183"/>
      <c r="AV11" s="183"/>
      <c r="AW11" s="183"/>
      <c r="AX11" s="37">
        <v>502470</v>
      </c>
      <c r="AY11" s="37"/>
      <c r="AZ11" s="37">
        <f t="shared" si="14"/>
        <v>500</v>
      </c>
      <c r="BA11" s="37">
        <v>174840</v>
      </c>
      <c r="BB11" s="37"/>
      <c r="BC11" s="37">
        <f t="shared" si="15"/>
        <v>750</v>
      </c>
      <c r="BD11" s="37">
        <f t="shared" si="86"/>
        <v>22034.950000001347</v>
      </c>
      <c r="BE11" s="43">
        <v>1986.5</v>
      </c>
      <c r="BF11" s="43">
        <v>1102.5</v>
      </c>
      <c r="BG11" s="37">
        <f t="shared" si="16"/>
        <v>2200.0000000000455</v>
      </c>
      <c r="BH11" s="44">
        <v>9303.7000000000007</v>
      </c>
      <c r="BI11" s="44">
        <v>5994</v>
      </c>
      <c r="BJ11" s="37">
        <f t="shared" si="17"/>
        <v>9500</v>
      </c>
      <c r="BK11" s="40">
        <v>1737820</v>
      </c>
      <c r="BL11" s="40">
        <f t="shared" si="87"/>
        <v>4250</v>
      </c>
      <c r="BM11" s="40">
        <v>899.2</v>
      </c>
      <c r="BN11" s="37">
        <f t="shared" si="18"/>
        <v>680.00000000006366</v>
      </c>
      <c r="BO11" s="186"/>
      <c r="BP11" s="183">
        <f t="shared" si="19"/>
        <v>0</v>
      </c>
      <c r="BQ11" s="40">
        <v>849.1</v>
      </c>
      <c r="BR11" s="37">
        <f t="shared" si="61"/>
        <v>700.00000000004547</v>
      </c>
      <c r="BS11" s="37">
        <v>106770.06</v>
      </c>
      <c r="BT11" s="37">
        <f t="shared" si="20"/>
        <v>201.5399999999936</v>
      </c>
      <c r="BU11" s="42">
        <v>3066772</v>
      </c>
      <c r="BV11" s="42"/>
      <c r="BW11" s="37">
        <f t="shared" si="21"/>
        <v>10916</v>
      </c>
      <c r="BX11" s="37">
        <f t="shared" si="88"/>
        <v>1</v>
      </c>
      <c r="BY11" s="43">
        <v>372.58199999999999</v>
      </c>
      <c r="BZ11" s="43"/>
      <c r="CA11" s="37">
        <f t="shared" si="22"/>
        <v>654.40000000000964</v>
      </c>
      <c r="CB11" s="37">
        <f t="shared" si="62"/>
        <v>1</v>
      </c>
      <c r="CC11" s="37">
        <v>717292.6</v>
      </c>
      <c r="CD11" s="37">
        <f t="shared" si="23"/>
        <v>3506.5999999999767</v>
      </c>
      <c r="CE11" s="37">
        <v>1427420</v>
      </c>
      <c r="CF11" s="37">
        <f t="shared" si="24"/>
        <v>7229</v>
      </c>
      <c r="CG11" s="37">
        <v>72810.600000000006</v>
      </c>
      <c r="CH11" s="37">
        <f t="shared" si="63"/>
        <v>0</v>
      </c>
      <c r="CI11" s="40">
        <v>13477.14</v>
      </c>
      <c r="CJ11" s="40"/>
      <c r="CK11" s="37">
        <f t="shared" si="64"/>
        <v>17190.549999999919</v>
      </c>
      <c r="CL11" s="37">
        <f t="shared" si="25"/>
        <v>1</v>
      </c>
      <c r="CM11" s="37">
        <v>3834.1729999999998</v>
      </c>
      <c r="CN11" s="37"/>
      <c r="CO11" s="37">
        <f t="shared" si="26"/>
        <v>6309.9499999996178</v>
      </c>
      <c r="CP11" s="37">
        <f>IF(CO11&lt;=0,0,(CO11/SQRT(CO11^2+(CN11-CN10)^2)))</f>
        <v>1</v>
      </c>
      <c r="CQ11" s="39">
        <v>421076.3</v>
      </c>
      <c r="CR11" s="45"/>
      <c r="CS11" s="37">
        <f t="shared" si="65"/>
        <v>6607.0499999999765</v>
      </c>
      <c r="CT11" s="37">
        <f t="shared" si="66"/>
        <v>1</v>
      </c>
      <c r="CU11" s="37">
        <v>4071721</v>
      </c>
      <c r="CV11" s="37"/>
      <c r="CW11" s="38">
        <f t="shared" si="27"/>
        <v>20178</v>
      </c>
      <c r="CX11" s="37">
        <f t="shared" si="90"/>
        <v>1</v>
      </c>
      <c r="CY11" s="37">
        <v>2157949</v>
      </c>
      <c r="CZ11" s="37"/>
      <c r="DA11" s="37">
        <f t="shared" si="28"/>
        <v>11195</v>
      </c>
      <c r="DB11" s="37">
        <f t="shared" si="91"/>
        <v>1</v>
      </c>
      <c r="DC11" s="37"/>
      <c r="DD11" s="40"/>
      <c r="DE11" s="37">
        <f t="shared" si="29"/>
        <v>0</v>
      </c>
      <c r="DF11" s="37">
        <f t="shared" ref="DF11:DF33" si="96">IF(DE11&lt;=0,0,(DE11/SQRT(DE11^2+(DD11-DD10)^2)))</f>
        <v>0</v>
      </c>
      <c r="DG11" s="37">
        <f t="shared" si="30"/>
        <v>-72396.549999999508</v>
      </c>
      <c r="DH11" s="37">
        <f t="shared" si="31"/>
        <v>431214.95000000135</v>
      </c>
      <c r="DI11" s="46"/>
      <c r="DJ11" s="46"/>
      <c r="DK11" s="47"/>
      <c r="DL11" s="47"/>
      <c r="DM11" s="37"/>
      <c r="DN11" s="37"/>
      <c r="DO11" s="37"/>
      <c r="DP11" s="37"/>
      <c r="DQ11" s="50">
        <v>3880400</v>
      </c>
      <c r="DR11" s="49">
        <f t="shared" si="67"/>
        <v>12100</v>
      </c>
      <c r="DS11" s="50">
        <v>4568200</v>
      </c>
      <c r="DT11" s="49">
        <f t="shared" si="68"/>
        <v>19400</v>
      </c>
      <c r="DU11" s="52">
        <v>8168.6</v>
      </c>
      <c r="DV11" s="52">
        <v>4590.3999999999996</v>
      </c>
      <c r="DW11" s="37">
        <f t="shared" si="92"/>
        <v>4400.0000000005457</v>
      </c>
      <c r="DX11" s="52">
        <v>13468</v>
      </c>
      <c r="DY11" s="52">
        <v>8505.1</v>
      </c>
      <c r="DZ11" s="37">
        <f t="shared" si="32"/>
        <v>8514.9500000000007</v>
      </c>
      <c r="EA11" s="49">
        <v>31034</v>
      </c>
      <c r="EB11" s="49">
        <v>21.460999999999999</v>
      </c>
      <c r="EC11" s="37">
        <f t="shared" si="33"/>
        <v>25674.95</v>
      </c>
      <c r="ED11" s="53">
        <f t="shared" si="34"/>
        <v>38589.900000000547</v>
      </c>
      <c r="EE11" s="49">
        <v>46538</v>
      </c>
      <c r="EF11" s="49">
        <v>30.445</v>
      </c>
      <c r="EG11" s="37">
        <f t="shared" si="35"/>
        <v>11674.95</v>
      </c>
      <c r="EH11" s="52">
        <v>13556</v>
      </c>
      <c r="EI11" s="52">
        <v>1.9025000000000001</v>
      </c>
      <c r="EJ11" s="37">
        <f t="shared" si="36"/>
        <v>8514.9500000000007</v>
      </c>
      <c r="EK11" s="37">
        <v>825.13</v>
      </c>
      <c r="EL11" s="64">
        <v>1181.5</v>
      </c>
      <c r="EM11" s="37">
        <f t="shared" si="69"/>
        <v>509.99999999999091</v>
      </c>
      <c r="EN11" s="54">
        <f t="shared" si="70"/>
        <v>20699.899999999994</v>
      </c>
      <c r="EO11" s="48">
        <v>13319</v>
      </c>
      <c r="EP11" s="48">
        <v>4657.1000000000004</v>
      </c>
      <c r="EQ11" s="37">
        <f t="shared" si="71"/>
        <v>6664.9499999999771</v>
      </c>
      <c r="ER11" s="48">
        <v>10020</v>
      </c>
      <c r="ES11" s="48">
        <v>4129.3999999999996</v>
      </c>
      <c r="ET11" s="49">
        <f t="shared" si="37"/>
        <v>16000</v>
      </c>
      <c r="EU11" s="48">
        <v>3976.7</v>
      </c>
      <c r="EV11" s="48">
        <v>1413</v>
      </c>
      <c r="EW11" s="49">
        <f t="shared" si="38"/>
        <v>9614.9499999999098</v>
      </c>
      <c r="EX11" s="48">
        <v>14010</v>
      </c>
      <c r="EY11" s="48">
        <v>1.6973</v>
      </c>
      <c r="EZ11" s="37">
        <f t="shared" si="39"/>
        <v>12514.95</v>
      </c>
      <c r="FA11" s="48">
        <f t="shared" si="72"/>
        <v>-22214.849999999889</v>
      </c>
      <c r="FB11" s="48">
        <v>37459253</v>
      </c>
      <c r="FC11" s="49">
        <f t="shared" si="93"/>
        <v>22580</v>
      </c>
      <c r="FD11" s="48">
        <f t="shared" si="73"/>
        <v>44794.849999999889</v>
      </c>
      <c r="FE11" s="48">
        <v>17425</v>
      </c>
      <c r="FF11" s="48">
        <v>6186.5</v>
      </c>
      <c r="FG11" s="37">
        <f t="shared" si="74"/>
        <v>10348.280000000024</v>
      </c>
      <c r="FH11" s="48">
        <v>9448.5</v>
      </c>
      <c r="FI11" s="48">
        <v>3.6503000000000001</v>
      </c>
      <c r="FJ11" s="49">
        <f t="shared" si="40"/>
        <v>17698.28000000073</v>
      </c>
      <c r="FK11" s="48"/>
      <c r="FL11" s="58">
        <v>-16.670000000000002</v>
      </c>
      <c r="FM11" s="48">
        <f t="shared" si="94"/>
        <v>-514.9466666669183</v>
      </c>
      <c r="FN11" s="48">
        <v>17122</v>
      </c>
      <c r="FO11" s="48">
        <v>0.90769999999999995</v>
      </c>
      <c r="FP11" s="37">
        <f t="shared" si="75"/>
        <v>12498.28</v>
      </c>
      <c r="FQ11" s="48">
        <v>60411</v>
      </c>
      <c r="FR11" s="48">
        <v>14.664999999999999</v>
      </c>
      <c r="FS11" s="37">
        <f t="shared" si="41"/>
        <v>39000</v>
      </c>
      <c r="FT11" s="48">
        <f t="shared" si="76"/>
        <v>-1544.840000000755</v>
      </c>
      <c r="FU11" s="48">
        <f>FG11+FJ11+FP11+GM11</f>
        <v>42844.84000000071</v>
      </c>
      <c r="FV11" s="44">
        <v>5549200</v>
      </c>
      <c r="FW11" s="44">
        <v>1707500</v>
      </c>
      <c r="FX11" s="37">
        <f t="shared" si="42"/>
        <v>600</v>
      </c>
      <c r="FY11" s="56">
        <v>3695.8</v>
      </c>
      <c r="FZ11" s="56">
        <v>2.1852</v>
      </c>
      <c r="GA11" s="37">
        <f t="shared" si="43"/>
        <v>130.00000000027285</v>
      </c>
      <c r="GB11" s="56">
        <v>849.44</v>
      </c>
      <c r="GC11" s="56">
        <v>952.69</v>
      </c>
      <c r="GD11" s="37">
        <f t="shared" si="44"/>
        <v>300.00000000006821</v>
      </c>
      <c r="GE11" s="56">
        <v>10467</v>
      </c>
      <c r="GF11" s="63">
        <v>3.6779000000000002</v>
      </c>
      <c r="GG11" s="37">
        <f t="shared" si="45"/>
        <v>1700.0000000000455</v>
      </c>
      <c r="GH11" s="153">
        <v>2031.8</v>
      </c>
      <c r="GI11" s="162">
        <v>1744</v>
      </c>
      <c r="GJ11" s="38">
        <f t="shared" si="46"/>
        <v>0</v>
      </c>
      <c r="GK11" s="162">
        <v>1504</v>
      </c>
      <c r="GL11" s="163">
        <v>1134.9000000000001</v>
      </c>
      <c r="GM11" s="38">
        <f t="shared" si="47"/>
        <v>2299.9999999999545</v>
      </c>
      <c r="GN11" s="57">
        <v>208340</v>
      </c>
      <c r="GO11" s="57">
        <v>184610</v>
      </c>
      <c r="GP11" s="38">
        <f>IF((GN11-GN10)&lt;=0,0,(GN11-GN10)+1000)</f>
        <v>0</v>
      </c>
      <c r="GQ11" s="38">
        <v>280250</v>
      </c>
      <c r="GR11" s="38">
        <v>273450</v>
      </c>
      <c r="GS11" s="38">
        <f t="shared" si="78"/>
        <v>70</v>
      </c>
      <c r="GT11" s="178"/>
      <c r="GU11" s="144">
        <f>DailyJul!B10-DailyJul!N10-DailyJul!V10-DailyJul!Y10-DailyJul!Z10-DailyJul!AA10-DailyJul!AB10-DailyJul!AC10-DailyJul!AD10-DailyJul!AE10-DailyJul!AK10-DailyJul!AO10-DailyJul!AS10-DailyJul!AY10-DailyJul!BD10+DailyJul!BU10-DailyJul!BG10-DailyJul!BT10-DailyJul!AF10-DailyJul!AG10</f>
        <v>5.9999997261911631E-2</v>
      </c>
      <c r="GV11" s="59">
        <v>7724.31</v>
      </c>
      <c r="GW11" s="60">
        <f t="shared" si="48"/>
        <v>514.95400000000006</v>
      </c>
      <c r="GX11" s="61">
        <v>514.95000000000005</v>
      </c>
      <c r="GY11" s="140"/>
      <c r="GZ11" s="62"/>
      <c r="HA11" s="62"/>
      <c r="HB11" s="74"/>
      <c r="HC11" s="62"/>
      <c r="HD11" s="74"/>
      <c r="HE11" s="24">
        <f t="shared" si="49"/>
        <v>0</v>
      </c>
      <c r="HG11" s="213">
        <v>5</v>
      </c>
      <c r="HH11" s="16">
        <v>16394</v>
      </c>
      <c r="HI11" s="16">
        <v>6291.4</v>
      </c>
      <c r="HJ11" s="16">
        <f t="shared" si="50"/>
        <v>152000</v>
      </c>
      <c r="HK11" s="16">
        <v>2.1432000000000002</v>
      </c>
      <c r="HL11" s="16">
        <v>807.23</v>
      </c>
      <c r="HM11" s="16">
        <f t="shared" si="51"/>
        <v>0</v>
      </c>
      <c r="HN11" s="16">
        <v>4199.5</v>
      </c>
      <c r="HO11" s="16">
        <v>1833.4</v>
      </c>
      <c r="HP11" s="16">
        <f t="shared" si="52"/>
        <v>36182.499999999818</v>
      </c>
      <c r="HQ11" s="16">
        <v>3326.7</v>
      </c>
      <c r="HR11" s="16">
        <v>1423.3</v>
      </c>
      <c r="HS11" s="16">
        <f t="shared" si="53"/>
        <v>16482.5</v>
      </c>
      <c r="HT11" s="16">
        <v>2994.5</v>
      </c>
      <c r="HU11" s="16">
        <v>1119.4000000000001</v>
      </c>
      <c r="HV11" s="16">
        <f t="shared" si="54"/>
        <v>27682.499999999818</v>
      </c>
      <c r="HW11" s="16">
        <v>1925.7</v>
      </c>
      <c r="HX11" s="16">
        <v>836.75</v>
      </c>
      <c r="HY11" s="16">
        <f t="shared" si="55"/>
        <v>24882.500000000091</v>
      </c>
      <c r="HZ11" s="16">
        <v>947170</v>
      </c>
      <c r="IA11" s="16">
        <v>429430</v>
      </c>
      <c r="IB11" s="16">
        <f t="shared" si="56"/>
        <v>27370</v>
      </c>
      <c r="IC11" s="16">
        <v>719.8</v>
      </c>
      <c r="ID11" s="16">
        <v>232.78</v>
      </c>
      <c r="IE11" s="16">
        <f t="shared" si="79"/>
        <v>0</v>
      </c>
      <c r="IF11" s="16"/>
      <c r="IG11" s="16"/>
      <c r="IH11" s="128">
        <f t="shared" si="57"/>
        <v>19400</v>
      </c>
      <c r="II11" s="211">
        <f t="shared" si="58"/>
        <v>2.6921043172478676E-10</v>
      </c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G11" s="151">
        <f t="shared" si="59"/>
        <v>63552.500000000087</v>
      </c>
    </row>
    <row r="12" spans="1:293" x14ac:dyDescent="0.25">
      <c r="A12" s="35">
        <f t="shared" si="0"/>
        <v>6</v>
      </c>
      <c r="B12" s="38">
        <v>4835.8599999999997</v>
      </c>
      <c r="C12" s="38">
        <f t="shared" si="1"/>
        <v>10.149999999999636</v>
      </c>
      <c r="D12" s="38">
        <f t="shared" si="2"/>
        <v>324799.99999998836</v>
      </c>
      <c r="E12" s="38">
        <v>971.31</v>
      </c>
      <c r="F12" s="38">
        <f t="shared" si="3"/>
        <v>64639.999999999418</v>
      </c>
      <c r="G12" s="38">
        <f t="shared" si="4"/>
        <v>389439.99999998778</v>
      </c>
      <c r="H12" s="37"/>
      <c r="I12" s="39"/>
      <c r="J12" s="42"/>
      <c r="K12" s="37">
        <f>IF(J12&lt;=0,0,(J12/SQRT(J12^2+(I12-I11)^2)))</f>
        <v>0</v>
      </c>
      <c r="L12" s="40">
        <v>15211200</v>
      </c>
      <c r="M12" s="40"/>
      <c r="N12" s="37">
        <f t="shared" si="81"/>
        <v>383000</v>
      </c>
      <c r="O12" s="37">
        <v>11795.8</v>
      </c>
      <c r="P12" s="37"/>
      <c r="Q12" s="37">
        <f t="shared" si="5"/>
        <v>18199.999999998909</v>
      </c>
      <c r="R12" s="37">
        <f>IF(Q12&lt;=0,0,(Q12/SQRT(Q12^2+(P12-P11)^2)))</f>
        <v>1</v>
      </c>
      <c r="S12" s="37">
        <v>11248855.43</v>
      </c>
      <c r="T12" s="37">
        <f t="shared" si="6"/>
        <v>243.15000000037253</v>
      </c>
      <c r="U12" s="37">
        <v>1523790.61</v>
      </c>
      <c r="V12" s="37">
        <f t="shared" si="7"/>
        <v>0</v>
      </c>
      <c r="W12" s="37">
        <v>4226.3</v>
      </c>
      <c r="X12" s="37">
        <f t="shared" si="95"/>
        <v>17756.849999998536</v>
      </c>
      <c r="Y12" s="183"/>
      <c r="Z12" s="183"/>
      <c r="AA12" s="37">
        <v>790700</v>
      </c>
      <c r="AB12" s="37">
        <f t="shared" si="8"/>
        <v>200</v>
      </c>
      <c r="AC12" s="37">
        <v>4374.7</v>
      </c>
      <c r="AD12" s="2"/>
      <c r="AE12" s="37">
        <f t="shared" si="9"/>
        <v>5500</v>
      </c>
      <c r="AF12" s="37">
        <f>IF(AE12&lt;=0,0,(AE12/SQRT(AE12^2+(AD12-AD11)^2)))</f>
        <v>1</v>
      </c>
      <c r="AG12" s="37">
        <v>9547.9</v>
      </c>
      <c r="AH12" s="48"/>
      <c r="AI12" s="37">
        <f t="shared" si="10"/>
        <v>12866.409999999272</v>
      </c>
      <c r="AJ12" s="37">
        <f t="shared" si="11"/>
        <v>1</v>
      </c>
      <c r="AK12" s="37">
        <f t="shared" si="12"/>
        <v>36366.409999998185</v>
      </c>
      <c r="AL12" s="42">
        <v>11339.4</v>
      </c>
      <c r="AM12" s="42"/>
      <c r="AN12" s="37">
        <f t="shared" si="60"/>
        <v>7286.4100000004137</v>
      </c>
      <c r="AO12" s="37">
        <f>IF(AN12&lt;=0,0,(AN12/SQRT(AN12^2+(AM12-AM11)^2)))</f>
        <v>1</v>
      </c>
      <c r="AP12" s="37">
        <v>8874.4</v>
      </c>
      <c r="AQ12" s="37"/>
      <c r="AR12" s="37">
        <f t="shared" si="13"/>
        <v>13699.999999998909</v>
      </c>
      <c r="AS12" s="37">
        <f>IF(AR12&lt;=0,0,(AR12/SQRT(AR12^2+(AQ12-AQ11)^2)))</f>
        <v>1</v>
      </c>
      <c r="AT12" s="183"/>
      <c r="AU12" s="183"/>
      <c r="AV12" s="183"/>
      <c r="AW12" s="183"/>
      <c r="AX12" s="37">
        <v>503000</v>
      </c>
      <c r="AY12" s="37"/>
      <c r="AZ12" s="37">
        <f t="shared" si="14"/>
        <v>530</v>
      </c>
      <c r="BA12" s="37">
        <v>175570</v>
      </c>
      <c r="BB12" s="37"/>
      <c r="BC12" s="37">
        <f t="shared" si="15"/>
        <v>730</v>
      </c>
      <c r="BD12" s="37">
        <f t="shared" si="86"/>
        <v>22246.409999999323</v>
      </c>
      <c r="BE12" s="43">
        <v>1988.3</v>
      </c>
      <c r="BF12" s="43">
        <v>1103.7</v>
      </c>
      <c r="BG12" s="37">
        <f t="shared" si="16"/>
        <v>1799.9999999999545</v>
      </c>
      <c r="BH12" s="44">
        <v>9312.2999999999993</v>
      </c>
      <c r="BI12" s="44">
        <v>5999.9</v>
      </c>
      <c r="BJ12" s="37">
        <f t="shared" si="17"/>
        <v>8599.9999999985448</v>
      </c>
      <c r="BK12" s="40">
        <v>1742020</v>
      </c>
      <c r="BL12" s="40">
        <f t="shared" si="87"/>
        <v>4200</v>
      </c>
      <c r="BM12" s="40">
        <v>899.88</v>
      </c>
      <c r="BN12" s="37">
        <f t="shared" si="18"/>
        <v>679.99999999994998</v>
      </c>
      <c r="BO12" s="186"/>
      <c r="BP12" s="183">
        <f t="shared" si="19"/>
        <v>0</v>
      </c>
      <c r="BQ12" s="40">
        <v>849.6</v>
      </c>
      <c r="BR12" s="37">
        <f t="shared" si="61"/>
        <v>500</v>
      </c>
      <c r="BS12" s="37">
        <v>106969.13</v>
      </c>
      <c r="BT12" s="37">
        <f t="shared" si="20"/>
        <v>199.07000000000698</v>
      </c>
      <c r="BU12" s="42">
        <v>3077648</v>
      </c>
      <c r="BV12" s="42"/>
      <c r="BW12" s="37">
        <f t="shared" si="21"/>
        <v>10876</v>
      </c>
      <c r="BX12" s="37">
        <f>IF(BW12&lt;=0,0,(BW12/SQRT(BW12^2+(BV12-BV11)^2)))</f>
        <v>1</v>
      </c>
      <c r="BY12" s="43">
        <v>373.1977</v>
      </c>
      <c r="BZ12" s="43"/>
      <c r="CA12" s="37">
        <f t="shared" si="22"/>
        <v>615.70000000000391</v>
      </c>
      <c r="CB12" s="37">
        <f t="shared" si="62"/>
        <v>1</v>
      </c>
      <c r="CC12" s="37">
        <v>720647.4</v>
      </c>
      <c r="CD12" s="37">
        <f t="shared" si="23"/>
        <v>3354.8000000000466</v>
      </c>
      <c r="CE12" s="37">
        <v>1434472</v>
      </c>
      <c r="CF12" s="37">
        <f t="shared" si="24"/>
        <v>7052</v>
      </c>
      <c r="CG12" s="37">
        <v>72810.600000000006</v>
      </c>
      <c r="CH12" s="37">
        <f t="shared" si="63"/>
        <v>0</v>
      </c>
      <c r="CI12" s="40">
        <v>13494.08</v>
      </c>
      <c r="CJ12" s="40"/>
      <c r="CK12" s="37">
        <f t="shared" si="64"/>
        <v>16890.710000000505</v>
      </c>
      <c r="CL12" s="37">
        <f t="shared" si="25"/>
        <v>1</v>
      </c>
      <c r="CM12" s="37">
        <v>3839.9079999999999</v>
      </c>
      <c r="CN12" s="37"/>
      <c r="CO12" s="37">
        <f t="shared" si="26"/>
        <v>6301.4100000001272</v>
      </c>
      <c r="CP12" s="37">
        <f>IF(CO12&lt;=0,0,(CO12/SQRT(CO12^2+(CN12-CN11)^2)))</f>
        <v>1</v>
      </c>
      <c r="CQ12" s="39">
        <v>427267.4</v>
      </c>
      <c r="CR12" s="45"/>
      <c r="CS12" s="37">
        <f t="shared" si="65"/>
        <v>6757.5100000000348</v>
      </c>
      <c r="CT12" s="37">
        <f t="shared" si="66"/>
        <v>1</v>
      </c>
      <c r="CU12" s="37">
        <v>4091562</v>
      </c>
      <c r="CV12" s="37"/>
      <c r="CW12" s="38">
        <f t="shared" si="27"/>
        <v>19841</v>
      </c>
      <c r="CX12" s="37">
        <f>IF(CW12&lt;=0,0,(CW12/SQRT(CW12^2+(CV12-CV11)^2)))</f>
        <v>1</v>
      </c>
      <c r="CY12" s="37">
        <v>2168964</v>
      </c>
      <c r="CZ12" s="37"/>
      <c r="DA12" s="37">
        <f t="shared" si="28"/>
        <v>11015</v>
      </c>
      <c r="DB12" s="37">
        <f>IF(DA12&lt;=0,0,(DA12/SQRT(DA12^2+(CZ12-CZ11)^2)))</f>
        <v>1</v>
      </c>
      <c r="DC12" s="37"/>
      <c r="DD12" s="40"/>
      <c r="DE12" s="37">
        <f t="shared" si="29"/>
        <v>0</v>
      </c>
      <c r="DF12" s="37">
        <f>IF(DE12&lt;=0,0,(DE12/SQRT(DE12^2+(DD12-DD11)^2)))</f>
        <v>0</v>
      </c>
      <c r="DG12" s="37">
        <f t="shared" si="30"/>
        <v>-71681.630000000674</v>
      </c>
      <c r="DH12" s="37">
        <f t="shared" si="31"/>
        <v>421166.40999999817</v>
      </c>
      <c r="DI12" s="46"/>
      <c r="DJ12" s="46"/>
      <c r="DK12" s="47"/>
      <c r="DL12" s="47"/>
      <c r="DM12" s="37"/>
      <c r="DN12" s="37"/>
      <c r="DO12" s="37"/>
      <c r="DP12" s="37"/>
      <c r="DQ12" s="50">
        <v>3889700</v>
      </c>
      <c r="DR12" s="49">
        <f t="shared" si="67"/>
        <v>9300</v>
      </c>
      <c r="DS12" s="50">
        <v>4584700</v>
      </c>
      <c r="DT12" s="49">
        <f t="shared" si="68"/>
        <v>16500</v>
      </c>
      <c r="DU12" s="52">
        <v>8173.1</v>
      </c>
      <c r="DV12" s="52">
        <v>4593.1000000000004</v>
      </c>
      <c r="DW12" s="37">
        <f t="shared" si="92"/>
        <v>4500</v>
      </c>
      <c r="DX12" s="52">
        <v>13476</v>
      </c>
      <c r="DY12" s="52">
        <v>8507.5</v>
      </c>
      <c r="DZ12" s="37">
        <f t="shared" si="32"/>
        <v>8566.41</v>
      </c>
      <c r="EA12" s="49">
        <v>31058</v>
      </c>
      <c r="EB12" s="49">
        <v>21.474</v>
      </c>
      <c r="EC12" s="37">
        <f t="shared" si="33"/>
        <v>26726.41</v>
      </c>
      <c r="ED12" s="53">
        <f t="shared" si="34"/>
        <v>39792.82</v>
      </c>
      <c r="EE12" s="49">
        <v>46567</v>
      </c>
      <c r="EF12" s="49">
        <v>30.474</v>
      </c>
      <c r="EG12" s="37">
        <f t="shared" si="35"/>
        <v>31726.41</v>
      </c>
      <c r="EH12" s="52">
        <v>13568</v>
      </c>
      <c r="EI12" s="52">
        <v>1.9056</v>
      </c>
      <c r="EJ12" s="37">
        <f t="shared" si="36"/>
        <v>12566.41</v>
      </c>
      <c r="EK12" s="37">
        <v>825.84</v>
      </c>
      <c r="EL12" s="64">
        <v>1182.5</v>
      </c>
      <c r="EM12" s="37">
        <f t="shared" si="69"/>
        <v>710.00000000003638</v>
      </c>
      <c r="EN12" s="54">
        <f t="shared" si="70"/>
        <v>45002.820000000036</v>
      </c>
      <c r="EO12" s="48">
        <v>13326</v>
      </c>
      <c r="EP12" s="48">
        <v>4659.7</v>
      </c>
      <c r="EQ12" s="37">
        <f t="shared" si="71"/>
        <v>6681.4100000000089</v>
      </c>
      <c r="ER12" s="48">
        <v>10035</v>
      </c>
      <c r="ES12" s="48">
        <v>4135.8</v>
      </c>
      <c r="ET12" s="49">
        <f t="shared" si="37"/>
        <v>15000</v>
      </c>
      <c r="EU12" s="48">
        <v>3985.4</v>
      </c>
      <c r="EV12" s="48">
        <v>1416.2</v>
      </c>
      <c r="EW12" s="49">
        <f t="shared" si="38"/>
        <v>9266.4100000002727</v>
      </c>
      <c r="EX12" s="48">
        <v>14022</v>
      </c>
      <c r="EY12" s="48">
        <v>1.6597999999999999</v>
      </c>
      <c r="EZ12" s="37">
        <f t="shared" si="39"/>
        <v>12566.41</v>
      </c>
      <c r="FA12" s="48">
        <f t="shared" si="72"/>
        <v>-21779.23000000028</v>
      </c>
      <c r="FB12" s="48">
        <v>37480988</v>
      </c>
      <c r="FC12" s="49">
        <f t="shared" si="93"/>
        <v>21735</v>
      </c>
      <c r="FD12" s="48">
        <f t="shared" si="73"/>
        <v>44514.230000000287</v>
      </c>
      <c r="FE12" s="48">
        <v>17433</v>
      </c>
      <c r="FF12" s="48">
        <v>6190.1</v>
      </c>
      <c r="FG12" s="37">
        <f t="shared" si="74"/>
        <v>9156.4099999999908</v>
      </c>
      <c r="FH12" s="48">
        <v>9466.5</v>
      </c>
      <c r="FI12" s="48">
        <v>3.6574</v>
      </c>
      <c r="FJ12" s="49">
        <f t="shared" si="40"/>
        <v>18271.41</v>
      </c>
      <c r="FK12" s="48"/>
      <c r="FL12" s="58">
        <v>-295</v>
      </c>
      <c r="FM12" s="48">
        <f t="shared" si="94"/>
        <v>-566.40999999999622</v>
      </c>
      <c r="FN12" s="48">
        <v>17135</v>
      </c>
      <c r="FO12" s="48">
        <v>0.90959999999999996</v>
      </c>
      <c r="FP12" s="37">
        <f t="shared" si="75"/>
        <v>13271.41</v>
      </c>
      <c r="FQ12" s="48">
        <v>60450</v>
      </c>
      <c r="FR12" s="48">
        <v>14.677</v>
      </c>
      <c r="FS12" s="37">
        <f>IF((FQ12-FQ11)*1000&lt;=0,0,(FQ12-FQ11)*1000)</f>
        <v>39000</v>
      </c>
      <c r="FT12" s="48">
        <f t="shared" si="76"/>
        <v>-1699.2299999999886</v>
      </c>
      <c r="FU12" s="48">
        <f>FG12+FJ12+FP12+GM12</f>
        <v>42499.229999999952</v>
      </c>
      <c r="FV12" s="44">
        <v>5549700</v>
      </c>
      <c r="FW12" s="65">
        <v>1707800</v>
      </c>
      <c r="FX12" s="37">
        <f t="shared" si="42"/>
        <v>500</v>
      </c>
      <c r="FY12" s="56">
        <v>3696</v>
      </c>
      <c r="FZ12" s="56">
        <v>2.1852999999999998</v>
      </c>
      <c r="GA12" s="37">
        <f t="shared" si="43"/>
        <v>199.9999999998181</v>
      </c>
      <c r="GB12" s="56">
        <v>849.74</v>
      </c>
      <c r="GC12" s="63">
        <v>953.1</v>
      </c>
      <c r="GD12" s="37">
        <f t="shared" si="44"/>
        <v>299.99999999995453</v>
      </c>
      <c r="GE12" s="56">
        <v>10470</v>
      </c>
      <c r="GF12" s="56">
        <v>3.6802000000000001</v>
      </c>
      <c r="GG12" s="37">
        <f t="shared" si="45"/>
        <v>200.00000000004547</v>
      </c>
      <c r="GH12" s="153">
        <v>2032.8</v>
      </c>
      <c r="GI12" s="162">
        <v>1745</v>
      </c>
      <c r="GJ12" s="38">
        <f t="shared" si="46"/>
        <v>1000</v>
      </c>
      <c r="GK12" s="162">
        <v>1505.8</v>
      </c>
      <c r="GL12" s="163">
        <v>1135.5999999999999</v>
      </c>
      <c r="GM12" s="38">
        <f t="shared" si="47"/>
        <v>1799.9999999999545</v>
      </c>
      <c r="GN12" s="57">
        <v>208350</v>
      </c>
      <c r="GO12" s="57">
        <v>184610</v>
      </c>
      <c r="GP12" s="38">
        <f t="shared" ref="GP12:GP38" si="97">IF((GN12-GN11)&lt;=0,0,(GN12-GN11))</f>
        <v>10</v>
      </c>
      <c r="GQ12" s="38">
        <v>280250</v>
      </c>
      <c r="GR12" s="38">
        <v>273450</v>
      </c>
      <c r="GS12" s="38">
        <f t="shared" si="78"/>
        <v>0</v>
      </c>
      <c r="GT12" s="178"/>
      <c r="GU12" s="144">
        <f>DailyJul!B11-DailyJul!N11-DailyJul!V11-DailyJul!Y11-DailyJul!Z11-DailyJul!AA11-DailyJul!AB11-DailyJul!AC11-DailyJul!AD11-DailyJul!AE11-DailyJul!AK11-DailyJul!AO11-DailyJul!AS11-DailyJul!AY11-DailyJul!BD11+DailyJul!BU11-DailyJul!BG11-DailyJul!BT11-DailyJul!AF11-DailyJul!AG11</f>
        <v>-5.0000009010545909E-2</v>
      </c>
      <c r="GV12" s="59">
        <v>8496.1</v>
      </c>
      <c r="GW12" s="60">
        <f t="shared" si="48"/>
        <v>566.40666666666664</v>
      </c>
      <c r="GX12" s="61">
        <v>566.41</v>
      </c>
      <c r="GY12" s="140"/>
      <c r="GZ12" s="62"/>
      <c r="HA12" s="62"/>
      <c r="HB12" s="62"/>
      <c r="HC12" s="62"/>
      <c r="HD12" s="74"/>
      <c r="HE12" s="24">
        <f t="shared" si="49"/>
        <v>0</v>
      </c>
      <c r="HG12" s="213">
        <v>6</v>
      </c>
      <c r="HH12" s="16">
        <v>16545</v>
      </c>
      <c r="HI12" s="16">
        <v>6347.9</v>
      </c>
      <c r="HJ12" s="16">
        <f t="shared" si="50"/>
        <v>151000</v>
      </c>
      <c r="HK12" s="16">
        <v>2.1432000000000002</v>
      </c>
      <c r="HL12" s="16">
        <v>807.23</v>
      </c>
      <c r="HM12" s="16">
        <f t="shared" si="51"/>
        <v>0</v>
      </c>
      <c r="HN12" s="16">
        <v>4235.8</v>
      </c>
      <c r="HO12" s="16">
        <v>1849.4</v>
      </c>
      <c r="HP12" s="16">
        <f t="shared" si="52"/>
        <v>36755.000000000182</v>
      </c>
      <c r="HQ12" s="16">
        <v>3342.7</v>
      </c>
      <c r="HR12" s="16">
        <v>1430.2</v>
      </c>
      <c r="HS12" s="16">
        <f t="shared" si="53"/>
        <v>16455</v>
      </c>
      <c r="HT12" s="16">
        <v>3022.5</v>
      </c>
      <c r="HU12" s="16">
        <v>1128.5999999999999</v>
      </c>
      <c r="HV12" s="16">
        <f t="shared" si="54"/>
        <v>28455</v>
      </c>
      <c r="HW12" s="16">
        <v>1950.5</v>
      </c>
      <c r="HX12" s="16">
        <v>847.36</v>
      </c>
      <c r="HY12" s="16">
        <f t="shared" si="55"/>
        <v>25254.999999999956</v>
      </c>
      <c r="HZ12" s="16">
        <v>974750</v>
      </c>
      <c r="IA12" s="16">
        <v>441390</v>
      </c>
      <c r="IB12" s="16">
        <f t="shared" si="56"/>
        <v>27580</v>
      </c>
      <c r="IC12" s="16">
        <v>719.8</v>
      </c>
      <c r="ID12" s="16">
        <v>232.78</v>
      </c>
      <c r="IE12" s="16">
        <f t="shared" si="79"/>
        <v>0</v>
      </c>
      <c r="IF12" s="16"/>
      <c r="IG12" s="16"/>
      <c r="IH12" s="128">
        <f t="shared" si="57"/>
        <v>16500</v>
      </c>
      <c r="II12" s="211">
        <f t="shared" si="58"/>
        <v>-1.3824319466948509E-10</v>
      </c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G12" s="151">
        <f t="shared" si="59"/>
        <v>64335.000000000044</v>
      </c>
    </row>
    <row r="13" spans="1:293" x14ac:dyDescent="0.25">
      <c r="A13" s="35">
        <f t="shared" si="0"/>
        <v>7</v>
      </c>
      <c r="B13" s="38">
        <v>4845.26</v>
      </c>
      <c r="C13" s="38">
        <f t="shared" si="1"/>
        <v>9.4000000000005457</v>
      </c>
      <c r="D13" s="38">
        <f t="shared" si="2"/>
        <v>300800.00000001746</v>
      </c>
      <c r="E13" s="38">
        <v>973.13</v>
      </c>
      <c r="F13" s="38">
        <f t="shared" si="3"/>
        <v>58240.000000001601</v>
      </c>
      <c r="G13" s="38">
        <f t="shared" si="4"/>
        <v>359040.00000001909</v>
      </c>
      <c r="H13" s="37"/>
      <c r="I13" s="39"/>
      <c r="J13" s="42"/>
      <c r="K13" s="37">
        <f t="shared" si="80"/>
        <v>0</v>
      </c>
      <c r="L13" s="40">
        <v>15247000</v>
      </c>
      <c r="M13" s="40"/>
      <c r="N13" s="37">
        <f t="shared" si="81"/>
        <v>358000</v>
      </c>
      <c r="O13" s="37">
        <v>11813.6</v>
      </c>
      <c r="P13" s="37"/>
      <c r="Q13" s="37">
        <f t="shared" si="5"/>
        <v>17800.000000001091</v>
      </c>
      <c r="R13" s="37">
        <f t="shared" si="82"/>
        <v>1</v>
      </c>
      <c r="S13" s="37">
        <v>11249087.640000001</v>
      </c>
      <c r="T13" s="37">
        <f t="shared" si="6"/>
        <v>232.21000000089407</v>
      </c>
      <c r="U13" s="37">
        <v>1523790.61</v>
      </c>
      <c r="V13" s="37">
        <f t="shared" si="7"/>
        <v>0</v>
      </c>
      <c r="W13" s="37">
        <v>4232.8</v>
      </c>
      <c r="X13" s="37">
        <f t="shared" si="95"/>
        <v>17467.790000000197</v>
      </c>
      <c r="Y13" s="183"/>
      <c r="Z13" s="183"/>
      <c r="AA13" s="37">
        <v>790800</v>
      </c>
      <c r="AB13" s="37">
        <f t="shared" si="8"/>
        <v>100</v>
      </c>
      <c r="AC13" s="37">
        <v>4380</v>
      </c>
      <c r="AD13" s="37"/>
      <c r="AE13" s="37">
        <f t="shared" si="9"/>
        <v>5300.0000000001819</v>
      </c>
      <c r="AF13" s="37">
        <f t="shared" si="83"/>
        <v>1</v>
      </c>
      <c r="AG13" s="37">
        <v>9559.9</v>
      </c>
      <c r="AH13" s="48"/>
      <c r="AI13" s="37">
        <f t="shared" si="10"/>
        <v>11825.33</v>
      </c>
      <c r="AJ13" s="37">
        <f t="shared" si="11"/>
        <v>1</v>
      </c>
      <c r="AK13" s="37">
        <f t="shared" si="12"/>
        <v>34825.330000001275</v>
      </c>
      <c r="AL13" s="42">
        <v>11350.9</v>
      </c>
      <c r="AM13" s="42"/>
      <c r="AN13" s="37">
        <f t="shared" si="60"/>
        <v>6325.3300000001091</v>
      </c>
      <c r="AO13" s="37">
        <f t="shared" si="84"/>
        <v>1</v>
      </c>
      <c r="AP13" s="37">
        <v>8887.2999999999993</v>
      </c>
      <c r="AQ13" s="37"/>
      <c r="AR13" s="37">
        <f t="shared" si="13"/>
        <v>12899.999999999636</v>
      </c>
      <c r="AS13" s="37">
        <f t="shared" si="85"/>
        <v>1</v>
      </c>
      <c r="AT13" s="183"/>
      <c r="AU13" s="183"/>
      <c r="AV13" s="183"/>
      <c r="AW13" s="183"/>
      <c r="AX13" s="37">
        <v>503490</v>
      </c>
      <c r="AY13" s="37"/>
      <c r="AZ13" s="37">
        <f t="shared" si="14"/>
        <v>490</v>
      </c>
      <c r="BA13" s="37">
        <v>176270</v>
      </c>
      <c r="BB13" s="37"/>
      <c r="BC13" s="37">
        <f t="shared" si="15"/>
        <v>700</v>
      </c>
      <c r="BD13" s="37">
        <f t="shared" si="86"/>
        <v>20415.329999999747</v>
      </c>
      <c r="BE13" s="43">
        <v>1990.5</v>
      </c>
      <c r="BF13" s="43">
        <v>1105.0999999999999</v>
      </c>
      <c r="BG13" s="37">
        <f t="shared" si="16"/>
        <v>2200.0000000000455</v>
      </c>
      <c r="BH13" s="44">
        <v>9321.2999999999993</v>
      </c>
      <c r="BI13" s="44">
        <v>6006</v>
      </c>
      <c r="BJ13" s="37">
        <f t="shared" si="17"/>
        <v>9000</v>
      </c>
      <c r="BK13" s="40">
        <v>1746150</v>
      </c>
      <c r="BL13" s="40">
        <f t="shared" si="87"/>
        <v>4130</v>
      </c>
      <c r="BM13" s="40">
        <v>900.55</v>
      </c>
      <c r="BN13" s="37">
        <f t="shared" si="18"/>
        <v>669.99999999995907</v>
      </c>
      <c r="BO13" s="186"/>
      <c r="BP13" s="183">
        <f t="shared" si="19"/>
        <v>0</v>
      </c>
      <c r="BQ13" s="40">
        <v>849.8</v>
      </c>
      <c r="BR13" s="37">
        <f t="shared" si="61"/>
        <v>199.99999999993179</v>
      </c>
      <c r="BS13" s="37">
        <v>107134.38</v>
      </c>
      <c r="BT13" s="37">
        <f t="shared" si="20"/>
        <v>165.25</v>
      </c>
      <c r="BU13" s="42">
        <v>3089417</v>
      </c>
      <c r="BV13" s="42"/>
      <c r="BW13" s="37">
        <f t="shared" si="21"/>
        <v>11769</v>
      </c>
      <c r="BX13" s="37">
        <f t="shared" si="88"/>
        <v>1</v>
      </c>
      <c r="BY13" s="43">
        <v>373.74930000000001</v>
      </c>
      <c r="BZ13" s="37"/>
      <c r="CA13" s="37">
        <f t="shared" si="22"/>
        <v>551.60000000000764</v>
      </c>
      <c r="CB13" s="37">
        <f t="shared" si="62"/>
        <v>1</v>
      </c>
      <c r="CC13" s="37">
        <v>724458</v>
      </c>
      <c r="CD13" s="37">
        <f t="shared" si="23"/>
        <v>3810.5999999999767</v>
      </c>
      <c r="CE13" s="37">
        <v>1442430</v>
      </c>
      <c r="CF13" s="37">
        <f t="shared" si="24"/>
        <v>7958</v>
      </c>
      <c r="CG13" s="37">
        <v>72810.600000000006</v>
      </c>
      <c r="CH13" s="37">
        <f t="shared" si="63"/>
        <v>0</v>
      </c>
      <c r="CI13" s="40">
        <v>13510.66</v>
      </c>
      <c r="CJ13" s="40"/>
      <c r="CK13" s="37">
        <f t="shared" si="64"/>
        <v>15853.729999999921</v>
      </c>
      <c r="CL13" s="37">
        <f t="shared" si="25"/>
        <v>1</v>
      </c>
      <c r="CM13" s="37">
        <v>3845.8029999999999</v>
      </c>
      <c r="CN13" s="37"/>
      <c r="CO13" s="37">
        <f t="shared" si="26"/>
        <v>5720.3299999999817</v>
      </c>
      <c r="CP13" s="37">
        <f t="shared" si="89"/>
        <v>1</v>
      </c>
      <c r="CQ13" s="39">
        <v>433378.9</v>
      </c>
      <c r="CR13" s="45"/>
      <c r="CS13" s="37">
        <f t="shared" si="65"/>
        <v>5936.83</v>
      </c>
      <c r="CT13" s="37">
        <f t="shared" si="66"/>
        <v>1</v>
      </c>
      <c r="CU13" s="37">
        <v>4108875</v>
      </c>
      <c r="CV13" s="37"/>
      <c r="CW13" s="38">
        <f t="shared" si="27"/>
        <v>17313</v>
      </c>
      <c r="CX13" s="37">
        <f t="shared" si="90"/>
        <v>1</v>
      </c>
      <c r="CY13" s="37">
        <v>2179531</v>
      </c>
      <c r="CZ13" s="37"/>
      <c r="DA13" s="37">
        <f t="shared" si="28"/>
        <v>10567</v>
      </c>
      <c r="DB13" s="37">
        <f t="shared" si="91"/>
        <v>1</v>
      </c>
      <c r="DC13" s="37"/>
      <c r="DD13" s="40"/>
      <c r="DE13" s="37">
        <f t="shared" si="29"/>
        <v>0</v>
      </c>
      <c r="DF13" s="37">
        <f t="shared" si="96"/>
        <v>0</v>
      </c>
      <c r="DG13" s="37">
        <f t="shared" si="30"/>
        <v>-67159.889999999898</v>
      </c>
      <c r="DH13" s="37">
        <f t="shared" si="31"/>
        <v>395025.3300000013</v>
      </c>
      <c r="DI13" s="46"/>
      <c r="DJ13" s="46"/>
      <c r="DK13" s="47"/>
      <c r="DL13" s="47"/>
      <c r="DM13" s="37"/>
      <c r="DN13" s="37"/>
      <c r="DO13" s="37"/>
      <c r="DP13" s="37"/>
      <c r="DQ13" s="50">
        <v>3897700</v>
      </c>
      <c r="DR13" s="49">
        <f t="shared" si="67"/>
        <v>8000</v>
      </c>
      <c r="DS13" s="50">
        <v>4600600</v>
      </c>
      <c r="DT13" s="49">
        <f t="shared" si="68"/>
        <v>15900</v>
      </c>
      <c r="DU13" s="52">
        <v>8177.7</v>
      </c>
      <c r="DV13" s="52">
        <v>4596</v>
      </c>
      <c r="DW13" s="37">
        <f t="shared" si="92"/>
        <v>4599.9999999994543</v>
      </c>
      <c r="DX13" s="52">
        <v>13484</v>
      </c>
      <c r="DY13" s="52">
        <v>8509.9</v>
      </c>
      <c r="DZ13" s="37">
        <f t="shared" si="32"/>
        <v>7825.33</v>
      </c>
      <c r="EA13" s="49">
        <v>31081</v>
      </c>
      <c r="EB13" s="49">
        <v>21.488</v>
      </c>
      <c r="EC13" s="37">
        <f t="shared" si="33"/>
        <v>24985.33</v>
      </c>
      <c r="ED13" s="53">
        <f t="shared" si="34"/>
        <v>37410.659999999458</v>
      </c>
      <c r="EE13" s="49">
        <v>46596</v>
      </c>
      <c r="EF13" s="49">
        <v>30.497</v>
      </c>
      <c r="EG13" s="37">
        <f t="shared" si="35"/>
        <v>30985.33</v>
      </c>
      <c r="EH13" s="52">
        <v>13579</v>
      </c>
      <c r="EI13" s="52">
        <v>1.9087000000000001</v>
      </c>
      <c r="EJ13" s="37">
        <f t="shared" si="36"/>
        <v>10825.33</v>
      </c>
      <c r="EK13" s="37">
        <v>826.49</v>
      </c>
      <c r="EL13" s="40">
        <v>1183.4000000000001</v>
      </c>
      <c r="EM13" s="37">
        <f t="shared" si="69"/>
        <v>649.99999999997726</v>
      </c>
      <c r="EN13" s="54">
        <f t="shared" si="70"/>
        <v>42460.659999999982</v>
      </c>
      <c r="EO13" s="48">
        <v>13333</v>
      </c>
      <c r="EP13" s="48">
        <v>4662.3</v>
      </c>
      <c r="EQ13" s="37">
        <f t="shared" si="71"/>
        <v>5970.3300000000381</v>
      </c>
      <c r="ER13" s="48">
        <v>10048</v>
      </c>
      <c r="ES13" s="48">
        <v>4141.7</v>
      </c>
      <c r="ET13" s="49">
        <f t="shared" si="37"/>
        <v>13000</v>
      </c>
      <c r="EU13" s="48">
        <v>3994.7</v>
      </c>
      <c r="EV13" s="48">
        <v>1419.5</v>
      </c>
      <c r="EW13" s="49">
        <f t="shared" si="38"/>
        <v>9125.3299999997271</v>
      </c>
      <c r="EX13" s="48">
        <v>14033</v>
      </c>
      <c r="EY13" s="48">
        <v>1.6623000000000001</v>
      </c>
      <c r="EZ13" s="37">
        <f t="shared" si="39"/>
        <v>10825.33</v>
      </c>
      <c r="FA13" s="48">
        <f>FC13-EQ13-ET13-EW13-EZ13</f>
        <v>-18265.989999999765</v>
      </c>
      <c r="FB13" s="48">
        <v>37501643</v>
      </c>
      <c r="FC13" s="49">
        <f t="shared" si="93"/>
        <v>20655</v>
      </c>
      <c r="FD13" s="48">
        <f t="shared" si="73"/>
        <v>40520.989999999903</v>
      </c>
      <c r="FE13" s="48">
        <v>17441</v>
      </c>
      <c r="FF13" s="48">
        <v>6193.6</v>
      </c>
      <c r="FG13" s="37">
        <f t="shared" si="74"/>
        <v>8728.6599999999617</v>
      </c>
      <c r="FH13" s="48">
        <v>9483.5</v>
      </c>
      <c r="FI13" s="48">
        <v>3.6642000000000001</v>
      </c>
      <c r="FJ13" s="49">
        <f t="shared" si="40"/>
        <v>16873.660000000003</v>
      </c>
      <c r="FK13" s="48"/>
      <c r="FL13" s="58">
        <v>48.33</v>
      </c>
      <c r="FM13" s="48">
        <f t="shared" si="94"/>
        <v>174.6733333333456</v>
      </c>
      <c r="FN13" s="48">
        <v>17147</v>
      </c>
      <c r="FO13" s="48">
        <v>0.9113</v>
      </c>
      <c r="FP13" s="37">
        <f t="shared" si="75"/>
        <v>11873.66</v>
      </c>
      <c r="FQ13" s="48">
        <v>60488</v>
      </c>
      <c r="FR13" s="48">
        <v>14.689</v>
      </c>
      <c r="FS13" s="37">
        <f t="shared" si="41"/>
        <v>38000</v>
      </c>
      <c r="FT13" s="48">
        <f t="shared" si="76"/>
        <v>524.02000000003682</v>
      </c>
      <c r="FU13" s="48">
        <f>FG13+FJ13+FP13+GM13</f>
        <v>39075.980000000105</v>
      </c>
      <c r="FV13" s="44">
        <v>5550100</v>
      </c>
      <c r="FW13" s="44">
        <v>1708100</v>
      </c>
      <c r="FX13" s="37">
        <f t="shared" si="42"/>
        <v>400</v>
      </c>
      <c r="FY13" s="56">
        <v>3696.1</v>
      </c>
      <c r="FZ13" s="56">
        <v>2.1852999999999998</v>
      </c>
      <c r="GA13" s="37">
        <f t="shared" si="43"/>
        <v>89.999999999909051</v>
      </c>
      <c r="GB13" s="56">
        <v>850.02</v>
      </c>
      <c r="GC13" s="56">
        <v>953.49</v>
      </c>
      <c r="GD13" s="37">
        <f t="shared" si="44"/>
        <v>279.99999999997272</v>
      </c>
      <c r="GE13" s="56">
        <v>10474</v>
      </c>
      <c r="GF13" s="56">
        <v>3.6829999999999998</v>
      </c>
      <c r="GG13" s="37">
        <f t="shared" si="45"/>
        <v>799.99999999972715</v>
      </c>
      <c r="GH13" s="153">
        <v>2034.4</v>
      </c>
      <c r="GI13" s="162">
        <v>1746.6</v>
      </c>
      <c r="GJ13" s="38">
        <f t="shared" si="46"/>
        <v>1600.0000000001364</v>
      </c>
      <c r="GK13" s="162">
        <v>1507.4</v>
      </c>
      <c r="GL13" s="163">
        <v>1136.3</v>
      </c>
      <c r="GM13" s="38">
        <f t="shared" si="47"/>
        <v>1600.0000000001364</v>
      </c>
      <c r="GN13" s="57">
        <v>208370</v>
      </c>
      <c r="GO13" s="57">
        <v>184690</v>
      </c>
      <c r="GP13" s="38">
        <f t="shared" si="97"/>
        <v>20</v>
      </c>
      <c r="GQ13" s="38">
        <v>280260</v>
      </c>
      <c r="GR13" s="38">
        <v>273460</v>
      </c>
      <c r="GS13" s="38">
        <f t="shared" si="78"/>
        <v>10</v>
      </c>
      <c r="GT13" s="178"/>
      <c r="GU13" s="144">
        <f>DailyJul!B12-DailyJul!N12-DailyJul!V12-DailyJul!Y12-DailyJul!Z12-DailyJul!AA12-DailyJul!AB12-DailyJul!AC12-DailyJul!AD12-DailyJul!AE12-DailyJul!AK12-DailyJul!AO12-DailyJul!AS12-DailyJul!AY12-DailyJul!BD12+DailyJul!BU12-DailyJul!BG12-DailyJul!BT12-DailyJul!AF12-DailyJul!AG12</f>
        <v>-3.9999980857828632E-2</v>
      </c>
      <c r="GV13" s="59">
        <v>-2620.09</v>
      </c>
      <c r="GW13" s="60">
        <f t="shared" si="48"/>
        <v>-174.67266666666669</v>
      </c>
      <c r="GX13" s="61">
        <v>-174.67</v>
      </c>
      <c r="GY13" s="140"/>
      <c r="GZ13" s="62"/>
      <c r="HA13" s="62"/>
      <c r="HB13" s="74"/>
      <c r="HC13" s="62"/>
      <c r="HD13" s="74"/>
      <c r="HE13" s="24">
        <f t="shared" si="49"/>
        <v>0</v>
      </c>
      <c r="HG13" s="213">
        <v>7</v>
      </c>
      <c r="HH13" s="16">
        <v>16684</v>
      </c>
      <c r="HI13" s="16">
        <v>6401.1</v>
      </c>
      <c r="HJ13" s="16">
        <f t="shared" si="50"/>
        <v>139000</v>
      </c>
      <c r="HK13" s="16">
        <v>2.1432000000000002</v>
      </c>
      <c r="HL13" s="16">
        <v>807.23</v>
      </c>
      <c r="HM13" s="16">
        <f t="shared" si="51"/>
        <v>0</v>
      </c>
      <c r="HN13" s="16">
        <v>4271.3999999999996</v>
      </c>
      <c r="HO13" s="16">
        <v>1865.5</v>
      </c>
      <c r="HP13" s="16">
        <f t="shared" si="52"/>
        <v>35794.999999999454</v>
      </c>
      <c r="HQ13" s="16">
        <v>3364.6</v>
      </c>
      <c r="HR13" s="16">
        <v>1439.5</v>
      </c>
      <c r="HS13" s="16">
        <f t="shared" si="53"/>
        <v>22095.000000000091</v>
      </c>
      <c r="HT13" s="16">
        <v>3050.7</v>
      </c>
      <c r="HU13" s="16">
        <v>1137.9000000000001</v>
      </c>
      <c r="HV13" s="16">
        <f t="shared" si="54"/>
        <v>28394.999999999818</v>
      </c>
      <c r="HW13" s="16">
        <v>1975.7</v>
      </c>
      <c r="HX13" s="16">
        <v>858.03</v>
      </c>
      <c r="HY13" s="16">
        <f t="shared" si="55"/>
        <v>25395.000000000044</v>
      </c>
      <c r="HZ13" s="16">
        <v>986170</v>
      </c>
      <c r="IA13" s="16">
        <v>447490</v>
      </c>
      <c r="IB13" s="16">
        <f t="shared" si="56"/>
        <v>11420</v>
      </c>
      <c r="IC13" s="16">
        <v>719.8</v>
      </c>
      <c r="ID13" s="16">
        <v>232.78</v>
      </c>
      <c r="IE13" s="16">
        <f t="shared" si="79"/>
        <v>0</v>
      </c>
      <c r="IF13" s="16"/>
      <c r="IG13" s="16"/>
      <c r="IH13" s="128">
        <f t="shared" si="57"/>
        <v>15900</v>
      </c>
      <c r="II13" s="211">
        <f t="shared" si="58"/>
        <v>5.893525667488575E-10</v>
      </c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G13" s="151">
        <f t="shared" si="59"/>
        <v>47215.000000000044</v>
      </c>
    </row>
    <row r="14" spans="1:293" x14ac:dyDescent="0.25">
      <c r="A14" s="35">
        <f t="shared" si="0"/>
        <v>8</v>
      </c>
      <c r="B14" s="38">
        <v>4853.8</v>
      </c>
      <c r="C14" s="38">
        <f t="shared" si="1"/>
        <v>8.5399999999999636</v>
      </c>
      <c r="D14" s="38">
        <f t="shared" si="2"/>
        <v>273279.99999999884</v>
      </c>
      <c r="E14" s="38">
        <v>974.85</v>
      </c>
      <c r="F14" s="38">
        <f t="shared" si="3"/>
        <v>55040.000000000873</v>
      </c>
      <c r="G14" s="38">
        <f t="shared" si="4"/>
        <v>328319.99999999971</v>
      </c>
      <c r="H14" s="37"/>
      <c r="I14" s="39"/>
      <c r="J14" s="42"/>
      <c r="K14" s="37">
        <f>IF(J14&lt;=0,0,(J14/SQRT(J14^2+(I14-I13)^2)))</f>
        <v>0</v>
      </c>
      <c r="L14" s="40">
        <v>15278400</v>
      </c>
      <c r="M14" s="40"/>
      <c r="N14" s="37">
        <f t="shared" si="81"/>
        <v>314000</v>
      </c>
      <c r="O14" s="37">
        <v>11830.2</v>
      </c>
      <c r="P14" s="37"/>
      <c r="Q14" s="37">
        <f t="shared" si="5"/>
        <v>16600.000000000364</v>
      </c>
      <c r="R14" s="37">
        <f t="shared" si="82"/>
        <v>1</v>
      </c>
      <c r="S14" s="37">
        <v>11249389.32</v>
      </c>
      <c r="T14" s="37">
        <f t="shared" si="6"/>
        <v>301.67999999970198</v>
      </c>
      <c r="U14" s="37">
        <v>1523790.61</v>
      </c>
      <c r="V14" s="37">
        <f t="shared" si="7"/>
        <v>0</v>
      </c>
      <c r="W14" s="37">
        <v>4238.6000000000004</v>
      </c>
      <c r="X14" s="37">
        <f t="shared" si="95"/>
        <v>16198.320000000662</v>
      </c>
      <c r="Y14" s="183"/>
      <c r="Z14" s="183"/>
      <c r="AA14" s="37">
        <v>790900</v>
      </c>
      <c r="AB14" s="37">
        <f t="shared" si="8"/>
        <v>100</v>
      </c>
      <c r="AC14" s="37">
        <v>4384</v>
      </c>
      <c r="AD14" s="37"/>
      <c r="AE14" s="37">
        <f t="shared" si="9"/>
        <v>4000</v>
      </c>
      <c r="AF14" s="37">
        <f t="shared" si="83"/>
        <v>1</v>
      </c>
      <c r="AG14" s="37">
        <v>9568.5</v>
      </c>
      <c r="AH14" s="48"/>
      <c r="AI14" s="37">
        <f t="shared" si="10"/>
        <v>9020.3100000003633</v>
      </c>
      <c r="AJ14" s="37">
        <f t="shared" si="11"/>
        <v>1</v>
      </c>
      <c r="AK14" s="37">
        <f t="shared" si="12"/>
        <v>29520.310000000725</v>
      </c>
      <c r="AL14" s="42">
        <v>11362.5</v>
      </c>
      <c r="AM14" s="42"/>
      <c r="AN14" s="37">
        <f t="shared" si="60"/>
        <v>6540.3100000002041</v>
      </c>
      <c r="AO14" s="37">
        <f t="shared" si="84"/>
        <v>1</v>
      </c>
      <c r="AP14" s="37">
        <v>8897.7999999999993</v>
      </c>
      <c r="AQ14" s="37"/>
      <c r="AR14" s="37">
        <f t="shared" si="13"/>
        <v>10500</v>
      </c>
      <c r="AS14" s="37">
        <f t="shared" si="85"/>
        <v>1</v>
      </c>
      <c r="AT14" s="183"/>
      <c r="AU14" s="183"/>
      <c r="AV14" s="183"/>
      <c r="AW14" s="183"/>
      <c r="AX14" s="37">
        <v>503930</v>
      </c>
      <c r="AY14" s="37"/>
      <c r="AZ14" s="37">
        <f t="shared" si="14"/>
        <v>440</v>
      </c>
      <c r="BA14" s="37">
        <v>176910</v>
      </c>
      <c r="BB14" s="37"/>
      <c r="BC14" s="37">
        <f t="shared" si="15"/>
        <v>640</v>
      </c>
      <c r="BD14" s="37">
        <f t="shared" si="86"/>
        <v>18120.310000000205</v>
      </c>
      <c r="BE14" s="43">
        <v>1992.5</v>
      </c>
      <c r="BF14" s="43">
        <v>1106.4000000000001</v>
      </c>
      <c r="BG14" s="37">
        <f t="shared" si="16"/>
        <v>2000</v>
      </c>
      <c r="BH14" s="44">
        <v>9331.4</v>
      </c>
      <c r="BI14" s="44">
        <v>6012.9</v>
      </c>
      <c r="BJ14" s="37">
        <f t="shared" si="17"/>
        <v>10100.000000000364</v>
      </c>
      <c r="BK14" s="40">
        <v>1750180</v>
      </c>
      <c r="BL14" s="40">
        <f t="shared" si="87"/>
        <v>4030</v>
      </c>
      <c r="BM14" s="40">
        <v>901.2</v>
      </c>
      <c r="BN14" s="37">
        <f t="shared" si="18"/>
        <v>650.00000000009095</v>
      </c>
      <c r="BO14" s="186"/>
      <c r="BP14" s="183">
        <f t="shared" si="19"/>
        <v>0</v>
      </c>
      <c r="BQ14" s="40">
        <v>850.6</v>
      </c>
      <c r="BR14" s="37">
        <f t="shared" si="61"/>
        <v>800.00000000006821</v>
      </c>
      <c r="BS14" s="37">
        <v>107318.65</v>
      </c>
      <c r="BT14" s="37">
        <f t="shared" si="20"/>
        <v>184.26999999998952</v>
      </c>
      <c r="BU14" s="42">
        <v>3098194</v>
      </c>
      <c r="BV14" s="42"/>
      <c r="BW14" s="37">
        <f t="shared" si="21"/>
        <v>8777</v>
      </c>
      <c r="BX14" s="37">
        <f t="shared" si="88"/>
        <v>1</v>
      </c>
      <c r="BY14" s="147">
        <v>374.24250000000001</v>
      </c>
      <c r="BZ14" s="40"/>
      <c r="CA14" s="37">
        <f t="shared" si="22"/>
        <v>493.20000000000164</v>
      </c>
      <c r="CB14" s="37">
        <f t="shared" si="62"/>
        <v>1</v>
      </c>
      <c r="CC14" s="37">
        <v>726241.3</v>
      </c>
      <c r="CD14" s="37">
        <f t="shared" si="23"/>
        <v>1783.3000000000466</v>
      </c>
      <c r="CE14" s="37">
        <v>1449414</v>
      </c>
      <c r="CF14" s="37">
        <f t="shared" si="24"/>
        <v>6984</v>
      </c>
      <c r="CG14" s="37">
        <v>72810.600000000006</v>
      </c>
      <c r="CH14" s="37">
        <f t="shared" si="63"/>
        <v>0</v>
      </c>
      <c r="CI14" s="40">
        <v>13525.61</v>
      </c>
      <c r="CJ14" s="40"/>
      <c r="CK14" s="37">
        <f t="shared" si="64"/>
        <v>14877.110000000725</v>
      </c>
      <c r="CL14" s="37">
        <f t="shared" si="25"/>
        <v>1</v>
      </c>
      <c r="CM14" s="37">
        <v>3851.15</v>
      </c>
      <c r="CN14" s="37"/>
      <c r="CO14" s="37">
        <f t="shared" si="26"/>
        <v>5767.3100000002078</v>
      </c>
      <c r="CP14" s="37">
        <f t="shared" si="89"/>
        <v>1</v>
      </c>
      <c r="CQ14" s="39">
        <v>438765</v>
      </c>
      <c r="CR14" s="45"/>
      <c r="CS14" s="37">
        <f t="shared" si="65"/>
        <v>5806.4099999999771</v>
      </c>
      <c r="CT14" s="37">
        <f t="shared" si="66"/>
        <v>1</v>
      </c>
      <c r="CU14" s="37">
        <v>4123710</v>
      </c>
      <c r="CV14" s="37"/>
      <c r="CW14" s="38">
        <f t="shared" si="27"/>
        <v>14835</v>
      </c>
      <c r="CX14" s="37">
        <f t="shared" si="90"/>
        <v>1</v>
      </c>
      <c r="CY14" s="37">
        <v>2187066</v>
      </c>
      <c r="CZ14" s="37"/>
      <c r="DA14" s="37">
        <f t="shared" si="28"/>
        <v>7535</v>
      </c>
      <c r="DB14" s="37">
        <f t="shared" si="91"/>
        <v>1</v>
      </c>
      <c r="DC14" s="37"/>
      <c r="DD14" s="40"/>
      <c r="DE14" s="37">
        <f t="shared" si="29"/>
        <v>0</v>
      </c>
      <c r="DF14" s="37">
        <f t="shared" si="96"/>
        <v>0</v>
      </c>
      <c r="DG14" s="37">
        <f t="shared" si="30"/>
        <v>-57597.830000000904</v>
      </c>
      <c r="DH14" s="37">
        <f t="shared" si="31"/>
        <v>345520.31000000075</v>
      </c>
      <c r="DI14" s="46"/>
      <c r="DJ14" s="46"/>
      <c r="DK14" s="47"/>
      <c r="DL14" s="47"/>
      <c r="DM14" s="37"/>
      <c r="DN14" s="37"/>
      <c r="DO14" s="37"/>
      <c r="DP14" s="37"/>
      <c r="DQ14" s="50">
        <v>3908700</v>
      </c>
      <c r="DR14" s="49">
        <f t="shared" si="67"/>
        <v>11000</v>
      </c>
      <c r="DS14" s="50">
        <v>4621000</v>
      </c>
      <c r="DT14" s="49">
        <f t="shared" si="68"/>
        <v>20400</v>
      </c>
      <c r="DU14" s="52">
        <v>8181.8</v>
      </c>
      <c r="DV14" s="52">
        <v>4598.6000000000004</v>
      </c>
      <c r="DW14" s="37">
        <f t="shared" si="92"/>
        <v>4100.0000000003638</v>
      </c>
      <c r="DX14" s="52">
        <v>13492</v>
      </c>
      <c r="DY14" s="52">
        <v>8512.5</v>
      </c>
      <c r="DZ14" s="37">
        <f t="shared" si="32"/>
        <v>8420.31</v>
      </c>
      <c r="EA14" s="49">
        <v>31104</v>
      </c>
      <c r="EB14" s="49">
        <v>21.501000000000001</v>
      </c>
      <c r="EC14" s="37">
        <f t="shared" si="33"/>
        <v>25580.31</v>
      </c>
      <c r="ED14" s="53">
        <f t="shared" si="34"/>
        <v>38100.620000000366</v>
      </c>
      <c r="EE14" s="49">
        <v>46625</v>
      </c>
      <c r="EF14" s="49">
        <v>30.521000000000001</v>
      </c>
      <c r="EG14" s="37">
        <f t="shared" si="35"/>
        <v>31580.31</v>
      </c>
      <c r="EH14" s="52">
        <v>13590</v>
      </c>
      <c r="EI14" s="52">
        <v>1.9116</v>
      </c>
      <c r="EJ14" s="37">
        <f t="shared" si="36"/>
        <v>11420.31</v>
      </c>
      <c r="EK14" s="37">
        <v>826.92</v>
      </c>
      <c r="EL14" s="40">
        <v>1183.9000000000001</v>
      </c>
      <c r="EM14" s="37">
        <f t="shared" si="69"/>
        <v>429.99999999994998</v>
      </c>
      <c r="EN14" s="54">
        <f t="shared" si="70"/>
        <v>43430.619999999952</v>
      </c>
      <c r="EO14" s="48">
        <v>13337</v>
      </c>
      <c r="EP14" s="48">
        <v>4663.5</v>
      </c>
      <c r="EQ14" s="37">
        <f t="shared" si="71"/>
        <v>3535.3099999999527</v>
      </c>
      <c r="ER14" s="48">
        <v>10050</v>
      </c>
      <c r="ES14" s="48">
        <v>4142.8</v>
      </c>
      <c r="ET14" s="49">
        <f t="shared" si="37"/>
        <v>2000</v>
      </c>
      <c r="EU14" s="48">
        <v>3997.1</v>
      </c>
      <c r="EV14" s="48">
        <v>1420.5</v>
      </c>
      <c r="EW14" s="49">
        <f t="shared" si="38"/>
        <v>2820.3100000000909</v>
      </c>
      <c r="EX14" s="48">
        <v>14038</v>
      </c>
      <c r="EY14" s="48">
        <v>1.6637999999999999</v>
      </c>
      <c r="EZ14" s="37">
        <f t="shared" si="39"/>
        <v>5420.31</v>
      </c>
      <c r="FA14" s="48">
        <f t="shared" si="72"/>
        <v>-6504.9300000000439</v>
      </c>
      <c r="FB14" s="48">
        <v>37508914</v>
      </c>
      <c r="FC14" s="49">
        <f t="shared" si="93"/>
        <v>7271</v>
      </c>
      <c r="FD14" s="48">
        <f t="shared" si="73"/>
        <v>14275.930000000044</v>
      </c>
      <c r="FE14" s="48">
        <v>17450</v>
      </c>
      <c r="FF14" s="48">
        <v>6197.4</v>
      </c>
      <c r="FG14" s="37">
        <f t="shared" si="74"/>
        <v>10110.310000000047</v>
      </c>
      <c r="FH14" s="48">
        <v>9501.2000000000007</v>
      </c>
      <c r="FI14" s="48">
        <v>3.6711</v>
      </c>
      <c r="FJ14" s="49">
        <f t="shared" si="40"/>
        <v>17925.310000000729</v>
      </c>
      <c r="FK14" s="48"/>
      <c r="FL14" s="58">
        <v>-195</v>
      </c>
      <c r="FM14" s="48">
        <f t="shared" si="94"/>
        <v>-420.31000000025898</v>
      </c>
      <c r="FN14" s="48">
        <v>17160</v>
      </c>
      <c r="FO14" s="48">
        <v>0.91310000000000002</v>
      </c>
      <c r="FP14" s="37">
        <f t="shared" si="75"/>
        <v>13225.31</v>
      </c>
      <c r="FQ14" s="48">
        <v>60528</v>
      </c>
      <c r="FR14" s="48">
        <v>14.702</v>
      </c>
      <c r="FS14" s="37">
        <f t="shared" si="41"/>
        <v>40000</v>
      </c>
      <c r="FT14" s="48">
        <f t="shared" si="76"/>
        <v>-1260.930000000777</v>
      </c>
      <c r="FU14" s="48">
        <f t="shared" si="77"/>
        <v>42960.93000000059</v>
      </c>
      <c r="FV14" s="44">
        <v>5550500</v>
      </c>
      <c r="FW14" s="44">
        <v>1708400</v>
      </c>
      <c r="FX14" s="37">
        <f t="shared" si="42"/>
        <v>400</v>
      </c>
      <c r="FY14" s="56">
        <v>3696.4</v>
      </c>
      <c r="FZ14" s="56">
        <v>2.1852999999999998</v>
      </c>
      <c r="GA14" s="37">
        <f t="shared" si="43"/>
        <v>210.0000000001819</v>
      </c>
      <c r="GB14" s="56">
        <v>850.34</v>
      </c>
      <c r="GC14" s="56">
        <v>953.91</v>
      </c>
      <c r="GD14" s="37">
        <f t="shared" si="44"/>
        <v>320.00000000005002</v>
      </c>
      <c r="GE14" s="56">
        <v>10478</v>
      </c>
      <c r="GF14" s="56">
        <v>3.6856</v>
      </c>
      <c r="GG14" s="37">
        <f t="shared" si="45"/>
        <v>1800.0000000001819</v>
      </c>
      <c r="GH14" s="153">
        <v>2034.9</v>
      </c>
      <c r="GI14" s="162">
        <v>1747.1</v>
      </c>
      <c r="GJ14" s="38">
        <f t="shared" si="46"/>
        <v>500</v>
      </c>
      <c r="GK14" s="162">
        <v>1509.1</v>
      </c>
      <c r="GL14" s="163">
        <v>1137</v>
      </c>
      <c r="GM14" s="38">
        <f t="shared" si="47"/>
        <v>1699.9999999998181</v>
      </c>
      <c r="GN14" s="57">
        <v>209020</v>
      </c>
      <c r="GO14" s="57">
        <v>185400</v>
      </c>
      <c r="GP14" s="38">
        <f t="shared" si="97"/>
        <v>650</v>
      </c>
      <c r="GQ14" s="38">
        <v>280350</v>
      </c>
      <c r="GR14" s="38">
        <v>273620</v>
      </c>
      <c r="GS14" s="38">
        <f t="shared" si="78"/>
        <v>90</v>
      </c>
      <c r="GT14" s="178"/>
      <c r="GU14" s="144">
        <f>DailyJul!B13-DailyJul!N13-DailyJul!V13-DailyJul!Y13-DailyJul!Z13-DailyJul!AA13-DailyJul!AB13-DailyJul!AC13-DailyJul!AD13-DailyJul!AE13-DailyJul!AK13-DailyJul!AO13-DailyJul!AS13-DailyJul!AY13-DailyJul!BD13+DailyJul!BU13-DailyJul!BG13-DailyJul!BT13-DailyJul!AF13-DailyJul!AG13</f>
        <v>-5.000000397558324E-2</v>
      </c>
      <c r="GV14" s="59">
        <v>6304.6</v>
      </c>
      <c r="GW14" s="60">
        <f t="shared" si="48"/>
        <v>420.30666666666667</v>
      </c>
      <c r="GX14" s="61">
        <v>420.31</v>
      </c>
      <c r="GY14" s="140"/>
      <c r="GZ14" s="62"/>
      <c r="HA14" s="62"/>
      <c r="HB14" s="74"/>
      <c r="HC14" s="62"/>
      <c r="HD14" s="74"/>
      <c r="HE14" s="24">
        <f t="shared" si="49"/>
        <v>0</v>
      </c>
      <c r="HG14" s="213">
        <v>8</v>
      </c>
      <c r="HH14" s="16">
        <v>16826</v>
      </c>
      <c r="HI14" s="16">
        <v>6455.7</v>
      </c>
      <c r="HJ14" s="16">
        <f t="shared" si="50"/>
        <v>142000</v>
      </c>
      <c r="HK14" s="16">
        <v>2.1432000000000002</v>
      </c>
      <c r="HL14" s="16">
        <v>807.23</v>
      </c>
      <c r="HM14" s="16">
        <f t="shared" si="51"/>
        <v>0</v>
      </c>
      <c r="HN14" s="16">
        <v>4305.2</v>
      </c>
      <c r="HO14" s="16">
        <v>1880.8</v>
      </c>
      <c r="HP14" s="16">
        <f t="shared" si="52"/>
        <v>33607.500000000182</v>
      </c>
      <c r="HQ14" s="16">
        <v>3387.9</v>
      </c>
      <c r="HR14" s="16">
        <v>1449.3</v>
      </c>
      <c r="HS14" s="16">
        <f t="shared" si="53"/>
        <v>23107.500000000182</v>
      </c>
      <c r="HT14" s="16">
        <v>3078.6</v>
      </c>
      <c r="HU14" s="16">
        <v>1147.4000000000001</v>
      </c>
      <c r="HV14" s="16">
        <f t="shared" si="54"/>
        <v>27707.500000000091</v>
      </c>
      <c r="HW14" s="16">
        <v>2000.8</v>
      </c>
      <c r="HX14" s="16">
        <v>868.6</v>
      </c>
      <c r="HY14" s="16">
        <f t="shared" si="55"/>
        <v>24907.499999999909</v>
      </c>
      <c r="HZ14" s="16">
        <v>998440</v>
      </c>
      <c r="IA14" s="16">
        <v>453630</v>
      </c>
      <c r="IB14" s="16">
        <f t="shared" si="56"/>
        <v>12270</v>
      </c>
      <c r="IC14" s="16">
        <v>719.8</v>
      </c>
      <c r="ID14" s="16">
        <v>232.78</v>
      </c>
      <c r="IE14" s="16">
        <f t="shared" si="79"/>
        <v>0</v>
      </c>
      <c r="IF14" s="16"/>
      <c r="IG14" s="16"/>
      <c r="IH14" s="128">
        <f t="shared" si="57"/>
        <v>20400</v>
      </c>
      <c r="II14" s="211">
        <f t="shared" si="58"/>
        <v>-3.5652192309498787E-10</v>
      </c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G14" s="151">
        <f t="shared" si="59"/>
        <v>45877.499999999825</v>
      </c>
    </row>
    <row r="15" spans="1:293" x14ac:dyDescent="0.25">
      <c r="A15" s="215">
        <f t="shared" si="0"/>
        <v>9</v>
      </c>
      <c r="B15" s="38">
        <v>4861.88</v>
      </c>
      <c r="C15" s="38">
        <f t="shared" si="1"/>
        <v>8.0799999999999272</v>
      </c>
      <c r="D15" s="38">
        <f t="shared" si="2"/>
        <v>258559.99999999767</v>
      </c>
      <c r="E15" s="38">
        <v>976.71</v>
      </c>
      <c r="F15" s="38">
        <f t="shared" si="3"/>
        <v>59520.000000000437</v>
      </c>
      <c r="G15" s="38">
        <f t="shared" si="4"/>
        <v>318079.99999999814</v>
      </c>
      <c r="H15" s="37"/>
      <c r="I15" s="39"/>
      <c r="J15" s="42"/>
      <c r="K15" s="37">
        <f>IF(J15&lt;=0,0,(J15/SQRT(J15^2+(I15-I14)^2)))</f>
        <v>0</v>
      </c>
      <c r="L15" s="40">
        <v>15311200</v>
      </c>
      <c r="M15" s="40"/>
      <c r="N15" s="37">
        <f t="shared" si="81"/>
        <v>328000</v>
      </c>
      <c r="O15" s="37">
        <v>11845.7</v>
      </c>
      <c r="P15" s="2"/>
      <c r="Q15" s="37">
        <f t="shared" si="5"/>
        <v>15500</v>
      </c>
      <c r="R15" s="37">
        <f>IF(Q15&lt;=0,0,(Q15/SQRT(Q15^2+(P15-P14)^2)))</f>
        <v>1</v>
      </c>
      <c r="S15" s="37">
        <v>11249651.710000001</v>
      </c>
      <c r="T15" s="37">
        <f t="shared" si="6"/>
        <v>262.39000000059605</v>
      </c>
      <c r="U15" s="37">
        <v>1523790.61</v>
      </c>
      <c r="V15" s="37">
        <f t="shared" si="7"/>
        <v>0</v>
      </c>
      <c r="W15" s="37">
        <v>4244.6000000000004</v>
      </c>
      <c r="X15" s="37">
        <f t="shared" si="95"/>
        <v>15237.609999999404</v>
      </c>
      <c r="Y15" s="183"/>
      <c r="Z15" s="183"/>
      <c r="AA15" s="37">
        <v>790900</v>
      </c>
      <c r="AB15" s="37">
        <f t="shared" si="8"/>
        <v>0</v>
      </c>
      <c r="AC15" s="37">
        <v>4387.6000000000004</v>
      </c>
      <c r="AD15" s="37"/>
      <c r="AE15" s="37">
        <f t="shared" si="9"/>
        <v>3600.0000000003638</v>
      </c>
      <c r="AF15" s="37">
        <f>IF(AE15&lt;=0,0,(AE15/SQRT(AE15^2+(AD15-AD14)^2)))</f>
        <v>1</v>
      </c>
      <c r="AG15" s="37">
        <v>9576.1</v>
      </c>
      <c r="AH15" s="48"/>
      <c r="AI15" s="37">
        <f t="shared" si="10"/>
        <v>7479.3100000003642</v>
      </c>
      <c r="AJ15" s="37">
        <f t="shared" si="11"/>
        <v>1</v>
      </c>
      <c r="AK15" s="37">
        <f t="shared" si="12"/>
        <v>26579.310000000729</v>
      </c>
      <c r="AL15" s="2">
        <v>11373.4</v>
      </c>
      <c r="AM15" s="42"/>
      <c r="AN15" s="37">
        <f t="shared" si="60"/>
        <v>5459.3099999997721</v>
      </c>
      <c r="AO15" s="37">
        <f>IF(AN15&lt;=0,0,(AN15/SQRT(AN15^2+(AM15-AM14)^2)))</f>
        <v>1</v>
      </c>
      <c r="AP15" s="37">
        <v>8906.9</v>
      </c>
      <c r="AQ15" s="37"/>
      <c r="AR15" s="37">
        <f t="shared" si="13"/>
        <v>9100.0000000003638</v>
      </c>
      <c r="AS15" s="37">
        <f>IF(AR15&lt;=0,0,(AR15/SQRT(AR15^2+(AQ15-AQ14)^2)))</f>
        <v>1</v>
      </c>
      <c r="AT15" s="183"/>
      <c r="AU15" s="183"/>
      <c r="AV15" s="183"/>
      <c r="AW15" s="183"/>
      <c r="AX15" s="37">
        <v>504280</v>
      </c>
      <c r="AY15" s="37"/>
      <c r="AZ15" s="37">
        <f t="shared" si="14"/>
        <v>350</v>
      </c>
      <c r="BA15" s="37">
        <v>177330</v>
      </c>
      <c r="BB15" s="37"/>
      <c r="BC15" s="37">
        <f t="shared" si="15"/>
        <v>420</v>
      </c>
      <c r="BD15" s="37">
        <f t="shared" si="86"/>
        <v>15329.310000000136</v>
      </c>
      <c r="BE15" s="43">
        <v>1994.3</v>
      </c>
      <c r="BF15" s="43">
        <v>1107.7</v>
      </c>
      <c r="BG15" s="37">
        <f t="shared" si="16"/>
        <v>1799.9999999999545</v>
      </c>
      <c r="BH15" s="44">
        <v>9341.6</v>
      </c>
      <c r="BI15" s="44">
        <v>6019.9</v>
      </c>
      <c r="BJ15" s="37">
        <f t="shared" si="17"/>
        <v>10200.000000000728</v>
      </c>
      <c r="BK15" s="40">
        <v>1754100</v>
      </c>
      <c r="BL15" s="40">
        <f t="shared" si="87"/>
        <v>3920</v>
      </c>
      <c r="BM15" s="40">
        <v>901.9</v>
      </c>
      <c r="BN15" s="37">
        <f t="shared" si="18"/>
        <v>699.99999999993179</v>
      </c>
      <c r="BO15" s="186"/>
      <c r="BP15" s="183">
        <f t="shared" si="19"/>
        <v>0</v>
      </c>
      <c r="BQ15" s="40">
        <v>851.3</v>
      </c>
      <c r="BR15" s="37">
        <f t="shared" si="61"/>
        <v>699.99999999993179</v>
      </c>
      <c r="BS15" s="37">
        <v>107505.08</v>
      </c>
      <c r="BT15" s="37">
        <f t="shared" si="20"/>
        <v>186.43000000000757</v>
      </c>
      <c r="BU15" s="42">
        <v>3099134</v>
      </c>
      <c r="BV15" s="42"/>
      <c r="BW15" s="37">
        <f t="shared" si="21"/>
        <v>940</v>
      </c>
      <c r="BX15" s="37">
        <f>IF(BW15&lt;=0,0,(BW15/SQRT(BW15^2+(BV15-BV14)^2)))</f>
        <v>1</v>
      </c>
      <c r="BY15" s="43">
        <v>374.35629999999998</v>
      </c>
      <c r="BZ15" s="37"/>
      <c r="CA15" s="37">
        <f t="shared" si="22"/>
        <v>113.79999999996926</v>
      </c>
      <c r="CB15" s="37">
        <f t="shared" si="62"/>
        <v>1</v>
      </c>
      <c r="CC15" s="37">
        <v>726506.6</v>
      </c>
      <c r="CD15" s="37">
        <f t="shared" si="23"/>
        <v>265.29999999993015</v>
      </c>
      <c r="CE15" s="37">
        <v>1450073</v>
      </c>
      <c r="CF15" s="37">
        <f t="shared" si="24"/>
        <v>659</v>
      </c>
      <c r="CG15" s="37">
        <v>72810.600000000006</v>
      </c>
      <c r="CH15" s="37">
        <f t="shared" si="63"/>
        <v>0</v>
      </c>
      <c r="CI15" s="40">
        <v>13530.64</v>
      </c>
      <c r="CJ15" s="40"/>
      <c r="CK15" s="37">
        <f t="shared" si="64"/>
        <v>4795.509999998867</v>
      </c>
      <c r="CL15" s="37">
        <f t="shared" si="25"/>
        <v>1</v>
      </c>
      <c r="CM15" s="37">
        <v>3851.915</v>
      </c>
      <c r="CN15" s="37"/>
      <c r="CO15" s="37">
        <f t="shared" si="26"/>
        <v>644.30999999987262</v>
      </c>
      <c r="CP15" s="37">
        <f>IF(CO15&lt;=0,0,(CO15/SQRT(CO15^2+(CN15-CN14)^2)))</f>
        <v>1</v>
      </c>
      <c r="CQ15" s="39">
        <v>439955</v>
      </c>
      <c r="CR15" s="45"/>
      <c r="CS15" s="37">
        <f t="shared" si="65"/>
        <v>1069.31</v>
      </c>
      <c r="CT15" s="37">
        <f t="shared" si="66"/>
        <v>1</v>
      </c>
      <c r="CU15" s="37">
        <v>4124420</v>
      </c>
      <c r="CV15" s="37"/>
      <c r="CW15" s="38">
        <f t="shared" si="27"/>
        <v>710</v>
      </c>
      <c r="CX15" s="37">
        <f t="shared" si="90"/>
        <v>1</v>
      </c>
      <c r="CY15" s="37">
        <v>2187322</v>
      </c>
      <c r="CZ15" s="37"/>
      <c r="DA15" s="37">
        <f t="shared" si="28"/>
        <v>256</v>
      </c>
      <c r="DB15" s="37">
        <f>IF(DA15&lt;=0,0,(DA15/SQRT(DA15^2+(CZ15-CZ14)^2)))</f>
        <v>1</v>
      </c>
      <c r="DC15" s="37"/>
      <c r="DD15" s="40"/>
      <c r="DE15" s="37">
        <f t="shared" si="29"/>
        <v>0</v>
      </c>
      <c r="DF15" s="37">
        <f>IF(DE15&lt;=0,0,(DE15/SQRT(DE15^2+(DD15-DD14)^2)))</f>
        <v>0</v>
      </c>
      <c r="DG15" s="37">
        <f t="shared" si="30"/>
        <v>-8415.1299999987386</v>
      </c>
      <c r="DH15" s="37">
        <f t="shared" si="31"/>
        <v>356379.3100000007</v>
      </c>
      <c r="DI15" s="46"/>
      <c r="DJ15" s="46"/>
      <c r="DK15" s="47"/>
      <c r="DL15" s="47"/>
      <c r="DM15" s="37"/>
      <c r="DN15" s="37"/>
      <c r="DO15" s="37"/>
      <c r="DP15" s="37"/>
      <c r="DQ15" s="50">
        <v>3919700</v>
      </c>
      <c r="DR15" s="49">
        <f t="shared" si="67"/>
        <v>11000</v>
      </c>
      <c r="DS15" s="50">
        <v>4639800</v>
      </c>
      <c r="DT15" s="49">
        <f t="shared" si="68"/>
        <v>18800</v>
      </c>
      <c r="DU15" s="52">
        <v>8185.6</v>
      </c>
      <c r="DV15" s="52">
        <v>4600.8999999999996</v>
      </c>
      <c r="DW15" s="37">
        <f t="shared" si="92"/>
        <v>3800.0000000001819</v>
      </c>
      <c r="DX15" s="52">
        <v>13500</v>
      </c>
      <c r="DY15" s="52">
        <v>8515</v>
      </c>
      <c r="DZ15" s="37">
        <f t="shared" si="32"/>
        <v>7879.31</v>
      </c>
      <c r="EA15" s="49">
        <v>31127</v>
      </c>
      <c r="EB15" s="49">
        <v>21.513999999999999</v>
      </c>
      <c r="EC15" s="37">
        <f t="shared" si="33"/>
        <v>25039.31</v>
      </c>
      <c r="ED15" s="53">
        <f t="shared" si="34"/>
        <v>36718.620000000185</v>
      </c>
      <c r="EE15" s="49">
        <v>46653</v>
      </c>
      <c r="EF15" s="49">
        <v>30.544</v>
      </c>
      <c r="EG15" s="37">
        <f t="shared" si="35"/>
        <v>30039.31</v>
      </c>
      <c r="EH15" s="52">
        <v>13602</v>
      </c>
      <c r="EI15" s="52">
        <v>1.9151</v>
      </c>
      <c r="EJ15" s="37">
        <f t="shared" si="36"/>
        <v>11879.31</v>
      </c>
      <c r="EK15" s="37">
        <v>827.48</v>
      </c>
      <c r="EL15" s="40">
        <v>1184.7</v>
      </c>
      <c r="EM15" s="37">
        <f t="shared" si="69"/>
        <v>560.00000000005912</v>
      </c>
      <c r="EN15" s="54">
        <f t="shared" si="70"/>
        <v>42478.620000000061</v>
      </c>
      <c r="EO15" s="48">
        <v>13344</v>
      </c>
      <c r="EP15" s="48">
        <v>4666.1000000000004</v>
      </c>
      <c r="EQ15" s="37">
        <f t="shared" si="71"/>
        <v>6014.3100000000486</v>
      </c>
      <c r="ER15" s="48">
        <v>10062</v>
      </c>
      <c r="ES15" s="48">
        <v>4148.3999999999996</v>
      </c>
      <c r="ET15" s="49">
        <f>IF((ER15-ER14)&lt;=0,0,(ER15-ER14))*1000</f>
        <v>12000</v>
      </c>
      <c r="EU15" s="48">
        <v>4005.7</v>
      </c>
      <c r="EV15" s="48">
        <v>1423.5</v>
      </c>
      <c r="EW15" s="49">
        <f t="shared" si="38"/>
        <v>8479.3099999999085</v>
      </c>
      <c r="EX15" s="48">
        <v>14049</v>
      </c>
      <c r="EY15" s="48">
        <v>1.6675</v>
      </c>
      <c r="EZ15" s="37">
        <f t="shared" si="39"/>
        <v>10879.31</v>
      </c>
      <c r="FA15" s="48">
        <f t="shared" si="72"/>
        <v>-18020.929999999957</v>
      </c>
      <c r="FB15" s="48">
        <v>37528266</v>
      </c>
      <c r="FC15" s="49">
        <f>IF((FB15-FB14)&lt;=0,0,(FB15-FB14))</f>
        <v>19352</v>
      </c>
      <c r="FD15" s="48">
        <f t="shared" si="73"/>
        <v>39072.929999999775</v>
      </c>
      <c r="FE15" s="48">
        <v>17458</v>
      </c>
      <c r="FF15" s="48">
        <v>6201.1</v>
      </c>
      <c r="FG15" s="37">
        <f t="shared" si="74"/>
        <v>8955.9799999999523</v>
      </c>
      <c r="FH15" s="48">
        <v>9519.7000000000007</v>
      </c>
      <c r="FI15" s="48">
        <v>3.6783999999999999</v>
      </c>
      <c r="FJ15" s="49">
        <f t="shared" si="40"/>
        <v>18590.98</v>
      </c>
      <c r="FK15" s="48"/>
      <c r="FL15" s="58">
        <v>211.67</v>
      </c>
      <c r="FM15" s="48">
        <f>FT15/3</f>
        <v>120.68666666668287</v>
      </c>
      <c r="FN15" s="48">
        <v>17172</v>
      </c>
      <c r="FO15" s="48">
        <v>0.91469999999999996</v>
      </c>
      <c r="FP15" s="37">
        <f t="shared" si="75"/>
        <v>12090.98</v>
      </c>
      <c r="FQ15" s="48">
        <v>60568</v>
      </c>
      <c r="FR15" s="48">
        <v>14.715</v>
      </c>
      <c r="FS15" s="37">
        <f t="shared" si="41"/>
        <v>40000</v>
      </c>
      <c r="FT15" s="48">
        <f t="shared" si="76"/>
        <v>362.0600000000486</v>
      </c>
      <c r="FU15" s="48">
        <f t="shared" si="77"/>
        <v>41137.939999999951</v>
      </c>
      <c r="FV15" s="44">
        <v>5562600</v>
      </c>
      <c r="FW15" s="44">
        <v>1712200</v>
      </c>
      <c r="FX15" s="37">
        <f t="shared" si="42"/>
        <v>12100</v>
      </c>
      <c r="FY15" s="56">
        <v>3699.7</v>
      </c>
      <c r="FZ15" s="56">
        <v>2.1857000000000002</v>
      </c>
      <c r="GA15" s="37">
        <f t="shared" si="43"/>
        <v>2939.9999999997272</v>
      </c>
      <c r="GB15" s="56">
        <v>850.97</v>
      </c>
      <c r="GC15" s="56">
        <v>954.64</v>
      </c>
      <c r="GD15" s="37">
        <f t="shared" si="44"/>
        <v>629.99999999999545</v>
      </c>
      <c r="GE15" s="56">
        <v>10487</v>
      </c>
      <c r="GF15" s="56">
        <v>3.6918000000000002</v>
      </c>
      <c r="GG15" s="37">
        <f t="shared" si="45"/>
        <v>5800.0000000001819</v>
      </c>
      <c r="GH15" s="153">
        <v>2036.6</v>
      </c>
      <c r="GI15" s="162">
        <v>1748.7</v>
      </c>
      <c r="GJ15" s="38">
        <f t="shared" si="46"/>
        <v>1699.9999999998181</v>
      </c>
      <c r="GK15" s="162">
        <v>1510.6</v>
      </c>
      <c r="GL15" s="163">
        <v>1137.7</v>
      </c>
      <c r="GM15" s="38">
        <f t="shared" si="47"/>
        <v>1500</v>
      </c>
      <c r="GN15" s="57">
        <v>209750</v>
      </c>
      <c r="GO15" s="57">
        <v>186180</v>
      </c>
      <c r="GP15" s="38">
        <f t="shared" si="97"/>
        <v>730</v>
      </c>
      <c r="GQ15" s="38">
        <v>280710</v>
      </c>
      <c r="GR15" s="38">
        <v>274250</v>
      </c>
      <c r="GS15" s="38">
        <f t="shared" si="78"/>
        <v>360</v>
      </c>
      <c r="GT15" s="178"/>
      <c r="GU15" s="144">
        <f>DailyJul!B14-DailyJul!N14-DailyJul!V14-DailyJul!Y14-DailyJul!Z14-DailyJul!AA14-DailyJul!AB14-DailyJul!AC14-DailyJul!AD14-DailyJul!AE14-DailyJul!AK14-DailyJul!AO14-DailyJul!AS14-DailyJul!AY14-DailyJul!BD14+DailyJul!BU14-DailyJul!BG14-DailyJul!BT14-DailyJul!AF14-DailyJul!AG14</f>
        <v>3.9999998174607754E-2</v>
      </c>
      <c r="GV15" s="59">
        <v>-1810.31</v>
      </c>
      <c r="GW15" s="60">
        <f t="shared" si="48"/>
        <v>-120.68733333333333</v>
      </c>
      <c r="GX15" s="61">
        <v>-120.69</v>
      </c>
      <c r="GY15" s="140"/>
      <c r="GZ15" s="62"/>
      <c r="HA15" s="62"/>
      <c r="HB15" s="74"/>
      <c r="HC15" s="62"/>
      <c r="HD15" s="74"/>
      <c r="HE15" s="24">
        <f t="shared" si="49"/>
        <v>0</v>
      </c>
      <c r="HF15" s="151"/>
      <c r="HG15" s="213">
        <v>9</v>
      </c>
      <c r="HH15" s="16">
        <v>16973</v>
      </c>
      <c r="HI15" s="16">
        <v>6512.6</v>
      </c>
      <c r="HJ15" s="16">
        <f t="shared" si="50"/>
        <v>147000</v>
      </c>
      <c r="HK15" s="16">
        <v>2.1432000000000002</v>
      </c>
      <c r="HL15" s="16">
        <v>807.23</v>
      </c>
      <c r="HM15" s="16">
        <f>IF((HK15-HK14)&lt;=0,0,(HK15-HK14))</f>
        <v>0</v>
      </c>
      <c r="HN15" s="16">
        <v>4340.7</v>
      </c>
      <c r="HO15" s="16">
        <v>1896.7</v>
      </c>
      <c r="HP15" s="16">
        <f t="shared" si="52"/>
        <v>35610</v>
      </c>
      <c r="HQ15" s="16">
        <v>3410.5</v>
      </c>
      <c r="HR15" s="16">
        <v>1458.9</v>
      </c>
      <c r="HS15" s="16">
        <f t="shared" si="53"/>
        <v>22709.999999999909</v>
      </c>
      <c r="HT15" s="16">
        <v>3105.9</v>
      </c>
      <c r="HU15" s="16">
        <v>1156.8</v>
      </c>
      <c r="HV15" s="16">
        <f t="shared" si="54"/>
        <v>27410.000000000182</v>
      </c>
      <c r="HW15" s="16">
        <v>2025.1</v>
      </c>
      <c r="HX15" s="16">
        <v>878.92</v>
      </c>
      <c r="HY15" s="16">
        <f t="shared" si="55"/>
        <v>24409.999999999956</v>
      </c>
      <c r="HZ15" s="16">
        <v>1016500</v>
      </c>
      <c r="IA15" s="16">
        <v>462230</v>
      </c>
      <c r="IB15" s="16">
        <f t="shared" si="56"/>
        <v>18060</v>
      </c>
      <c r="IC15" s="16">
        <v>719.8</v>
      </c>
      <c r="ID15" s="16">
        <v>232.78</v>
      </c>
      <c r="IE15" s="16">
        <f t="shared" si="79"/>
        <v>0</v>
      </c>
      <c r="IF15" s="16"/>
      <c r="IG15" s="16"/>
      <c r="IH15" s="128">
        <f t="shared" si="57"/>
        <v>18800</v>
      </c>
      <c r="II15" s="211">
        <f t="shared" si="58"/>
        <v>-4.3655745685100555E-11</v>
      </c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G15" s="151">
        <f t="shared" si="59"/>
        <v>53669.999999999956</v>
      </c>
    </row>
    <row r="16" spans="1:293" x14ac:dyDescent="0.25">
      <c r="A16" s="35">
        <f t="shared" si="0"/>
        <v>10</v>
      </c>
      <c r="B16" s="38">
        <v>4869.09</v>
      </c>
      <c r="C16" s="38">
        <f t="shared" si="1"/>
        <v>7.2100000000000364</v>
      </c>
      <c r="D16" s="38">
        <f t="shared" si="2"/>
        <v>230720.00000000116</v>
      </c>
      <c r="E16" s="38">
        <v>978.16</v>
      </c>
      <c r="F16" s="38">
        <f t="shared" si="3"/>
        <v>46399.999999997817</v>
      </c>
      <c r="G16" s="38">
        <f t="shared" si="4"/>
        <v>277119.99999999895</v>
      </c>
      <c r="H16" s="37"/>
      <c r="I16" s="39"/>
      <c r="J16" s="42"/>
      <c r="K16" s="37">
        <f t="shared" si="80"/>
        <v>0</v>
      </c>
      <c r="L16" s="40">
        <v>15339000</v>
      </c>
      <c r="M16" s="40"/>
      <c r="N16" s="37">
        <f t="shared" si="81"/>
        <v>278000</v>
      </c>
      <c r="O16" s="37">
        <v>11864</v>
      </c>
      <c r="P16" s="48"/>
      <c r="Q16" s="37">
        <f t="shared" si="5"/>
        <v>18299.999999999272</v>
      </c>
      <c r="R16" s="37">
        <f t="shared" si="82"/>
        <v>1</v>
      </c>
      <c r="S16" s="37">
        <v>11249989.41</v>
      </c>
      <c r="T16" s="37">
        <f t="shared" si="6"/>
        <v>337.69999999925494</v>
      </c>
      <c r="U16" s="37">
        <v>1523790.61</v>
      </c>
      <c r="V16" s="37">
        <f t="shared" si="7"/>
        <v>0</v>
      </c>
      <c r="W16" s="37">
        <v>4251.3</v>
      </c>
      <c r="X16" s="37">
        <f t="shared" si="95"/>
        <v>17842.300000000017</v>
      </c>
      <c r="Y16" s="183"/>
      <c r="Z16" s="183"/>
      <c r="AA16" s="37">
        <v>791020</v>
      </c>
      <c r="AB16" s="37">
        <f t="shared" si="8"/>
        <v>120</v>
      </c>
      <c r="AC16" s="37">
        <v>4392.5</v>
      </c>
      <c r="AD16" s="37"/>
      <c r="AE16" s="37">
        <f t="shared" si="9"/>
        <v>4899.9999999996362</v>
      </c>
      <c r="AF16" s="37">
        <f t="shared" si="83"/>
        <v>1</v>
      </c>
      <c r="AG16" s="37">
        <v>9585.2999999999993</v>
      </c>
      <c r="AH16" s="37"/>
      <c r="AI16" s="37">
        <f t="shared" si="10"/>
        <v>9021.7299999989082</v>
      </c>
      <c r="AJ16" s="37">
        <f t="shared" si="11"/>
        <v>1</v>
      </c>
      <c r="AK16" s="37">
        <f t="shared" si="12"/>
        <v>32101.729999997817</v>
      </c>
      <c r="AL16" s="42">
        <v>11386</v>
      </c>
      <c r="AM16" s="42"/>
      <c r="AN16" s="37">
        <f t="shared" si="60"/>
        <v>7151.7300000002451</v>
      </c>
      <c r="AO16" s="37">
        <f t="shared" si="84"/>
        <v>1</v>
      </c>
      <c r="AP16" s="37">
        <v>8919.1</v>
      </c>
      <c r="AQ16" s="37"/>
      <c r="AR16" s="37">
        <f t="shared" si="13"/>
        <v>12200.000000000728</v>
      </c>
      <c r="AS16" s="37">
        <f t="shared" si="85"/>
        <v>1</v>
      </c>
      <c r="AT16" s="183"/>
      <c r="AU16" s="183"/>
      <c r="AV16" s="183"/>
      <c r="AW16" s="183"/>
      <c r="AX16" s="37">
        <v>504792.92</v>
      </c>
      <c r="AY16" s="37"/>
      <c r="AZ16" s="37">
        <f t="shared" si="14"/>
        <v>512.9199999999837</v>
      </c>
      <c r="BA16" s="37">
        <v>178022.28</v>
      </c>
      <c r="BB16" s="37"/>
      <c r="BC16" s="37">
        <f t="shared" si="15"/>
        <v>692.27999999999884</v>
      </c>
      <c r="BD16" s="37">
        <f t="shared" si="86"/>
        <v>20556.930000000953</v>
      </c>
      <c r="BE16" s="43">
        <v>1996.2</v>
      </c>
      <c r="BF16" s="43">
        <v>1109</v>
      </c>
      <c r="BG16" s="37">
        <f t="shared" si="16"/>
        <v>1900.0000000000909</v>
      </c>
      <c r="BH16" s="44">
        <v>9349.6</v>
      </c>
      <c r="BI16" s="44">
        <v>6025.5</v>
      </c>
      <c r="BJ16" s="37">
        <f t="shared" si="17"/>
        <v>8000</v>
      </c>
      <c r="BK16" s="40">
        <v>1758000</v>
      </c>
      <c r="BL16" s="40">
        <f t="shared" si="87"/>
        <v>3900</v>
      </c>
      <c r="BM16" s="40">
        <v>902.58</v>
      </c>
      <c r="BN16" s="37">
        <f t="shared" si="18"/>
        <v>680.00000000006366</v>
      </c>
      <c r="BO16" s="186"/>
      <c r="BP16" s="183">
        <f t="shared" si="19"/>
        <v>0</v>
      </c>
      <c r="BQ16" s="40">
        <v>851.99</v>
      </c>
      <c r="BR16" s="37">
        <f t="shared" si="61"/>
        <v>690.00000000005457</v>
      </c>
      <c r="BS16" s="37">
        <v>107698.2</v>
      </c>
      <c r="BT16" s="37">
        <f t="shared" si="20"/>
        <v>193.11999999999534</v>
      </c>
      <c r="BU16" s="42">
        <v>3103000</v>
      </c>
      <c r="BV16" s="42"/>
      <c r="BW16" s="37">
        <f t="shared" si="21"/>
        <v>3866</v>
      </c>
      <c r="BX16" s="37">
        <f t="shared" si="88"/>
        <v>1</v>
      </c>
      <c r="BY16" s="43">
        <v>374.8</v>
      </c>
      <c r="BZ16" s="37"/>
      <c r="CA16" s="37">
        <f t="shared" si="22"/>
        <v>443.70000000003529</v>
      </c>
      <c r="CB16" s="37">
        <f t="shared" si="62"/>
        <v>1</v>
      </c>
      <c r="CC16" s="37">
        <v>726510</v>
      </c>
      <c r="CD16" s="37">
        <f t="shared" si="23"/>
        <v>3.4000000000232831</v>
      </c>
      <c r="CE16" s="37">
        <v>1453900</v>
      </c>
      <c r="CF16" s="37">
        <f t="shared" si="24"/>
        <v>3827</v>
      </c>
      <c r="CG16" s="37">
        <v>72811</v>
      </c>
      <c r="CH16" s="37">
        <f t="shared" si="63"/>
        <v>0.39999999999417923</v>
      </c>
      <c r="CI16" s="40">
        <v>13543</v>
      </c>
      <c r="CJ16" s="40"/>
      <c r="CK16" s="37">
        <f t="shared" si="64"/>
        <v>11738.030000000546</v>
      </c>
      <c r="CL16" s="37">
        <f t="shared" si="25"/>
        <v>1</v>
      </c>
      <c r="CM16" s="37">
        <v>3855.2</v>
      </c>
      <c r="CN16" s="37"/>
      <c r="CO16" s="37">
        <f t="shared" si="26"/>
        <v>3106.7299999998545</v>
      </c>
      <c r="CP16" s="37">
        <f t="shared" si="89"/>
        <v>1</v>
      </c>
      <c r="CQ16" s="39">
        <v>445020</v>
      </c>
      <c r="CR16" s="45"/>
      <c r="CS16" s="37">
        <f t="shared" si="65"/>
        <v>4886.7299999999996</v>
      </c>
      <c r="CT16" s="37">
        <f t="shared" si="66"/>
        <v>1</v>
      </c>
      <c r="CU16" s="37">
        <v>4125300</v>
      </c>
      <c r="CV16" s="37"/>
      <c r="CW16" s="38">
        <f t="shared" si="27"/>
        <v>880</v>
      </c>
      <c r="CX16" s="37">
        <f t="shared" si="90"/>
        <v>1</v>
      </c>
      <c r="CY16" s="37">
        <v>2188000</v>
      </c>
      <c r="CZ16" s="37"/>
      <c r="DA16" s="37">
        <f t="shared" si="28"/>
        <v>678</v>
      </c>
      <c r="DB16" s="37">
        <f t="shared" si="91"/>
        <v>1</v>
      </c>
      <c r="DC16" s="37"/>
      <c r="DD16" s="40"/>
      <c r="DE16" s="37">
        <f t="shared" si="29"/>
        <v>0</v>
      </c>
      <c r="DF16" s="37">
        <f t="shared" si="96"/>
        <v>0</v>
      </c>
      <c r="DG16" s="37">
        <f t="shared" si="30"/>
        <v>-25155.490000000398</v>
      </c>
      <c r="DH16" s="37">
        <f t="shared" si="31"/>
        <v>312001.72999999789</v>
      </c>
      <c r="DI16" s="46"/>
      <c r="DJ16" s="46"/>
      <c r="DK16" s="47"/>
      <c r="DL16" s="47"/>
      <c r="DM16" s="37"/>
      <c r="DN16" s="37"/>
      <c r="DO16" s="37"/>
      <c r="DP16" s="37"/>
      <c r="DQ16" s="50">
        <v>3931300</v>
      </c>
      <c r="DR16" s="49">
        <f t="shared" si="67"/>
        <v>11600</v>
      </c>
      <c r="DS16" s="50">
        <v>4655700</v>
      </c>
      <c r="DT16" s="49">
        <f t="shared" si="68"/>
        <v>15900</v>
      </c>
      <c r="DU16" s="52">
        <v>8189.6</v>
      </c>
      <c r="DV16" s="52">
        <v>4603.5</v>
      </c>
      <c r="DW16" s="37">
        <f t="shared" si="92"/>
        <v>4000</v>
      </c>
      <c r="DX16" s="52">
        <v>13508</v>
      </c>
      <c r="DY16" s="52">
        <v>8517.5</v>
      </c>
      <c r="DZ16" s="37">
        <f t="shared" si="32"/>
        <v>7821.73</v>
      </c>
      <c r="EA16" s="49">
        <v>31150</v>
      </c>
      <c r="EB16" s="49">
        <v>21.527000000000001</v>
      </c>
      <c r="EC16" s="37">
        <f t="shared" si="33"/>
        <v>24981.73</v>
      </c>
      <c r="ED16" s="53">
        <f t="shared" si="34"/>
        <v>36803.46</v>
      </c>
      <c r="EE16" s="49">
        <v>46681</v>
      </c>
      <c r="EF16" s="49">
        <v>30.568000000000001</v>
      </c>
      <c r="EG16" s="37">
        <f t="shared" si="35"/>
        <v>29981.73</v>
      </c>
      <c r="EH16" s="52">
        <v>13616</v>
      </c>
      <c r="EI16" s="52">
        <v>1.9194</v>
      </c>
      <c r="EJ16" s="37">
        <f t="shared" si="36"/>
        <v>13821.73</v>
      </c>
      <c r="EK16" s="37">
        <v>828.08</v>
      </c>
      <c r="EL16" s="40">
        <v>1185.5</v>
      </c>
      <c r="EM16" s="37">
        <f t="shared" si="69"/>
        <v>600.00000000002274</v>
      </c>
      <c r="EN16" s="54">
        <f t="shared" si="70"/>
        <v>44403.460000000021</v>
      </c>
      <c r="EO16" s="48">
        <v>13351</v>
      </c>
      <c r="EP16" s="48">
        <v>4668.7</v>
      </c>
      <c r="EQ16" s="37">
        <f t="shared" si="71"/>
        <v>5961.7299999999859</v>
      </c>
      <c r="ER16" s="48">
        <v>10079</v>
      </c>
      <c r="ES16" s="48">
        <v>4155.6000000000004</v>
      </c>
      <c r="ET16" s="49">
        <f t="shared" ref="ET16:ET38" si="98">IF((ER16-ER15)&lt;=0,0,(ER16-ER15))*1000</f>
        <v>17000</v>
      </c>
      <c r="EU16" s="48">
        <v>4014.4</v>
      </c>
      <c r="EV16" s="48">
        <v>1426.6</v>
      </c>
      <c r="EW16" s="49">
        <f t="shared" si="38"/>
        <v>8521.7300000002724</v>
      </c>
      <c r="EX16" s="48">
        <v>14059</v>
      </c>
      <c r="EY16" s="48">
        <v>1.6687000000000001</v>
      </c>
      <c r="EZ16" s="37">
        <f t="shared" si="39"/>
        <v>9821.73</v>
      </c>
      <c r="FA16" s="48">
        <f t="shared" si="72"/>
        <v>-19500.190000000257</v>
      </c>
      <c r="FB16" s="48">
        <v>37550071</v>
      </c>
      <c r="FC16" s="49">
        <f t="shared" si="93"/>
        <v>21805</v>
      </c>
      <c r="FD16" s="48">
        <f t="shared" si="73"/>
        <v>43005.190000000301</v>
      </c>
      <c r="FE16" s="48">
        <v>17466</v>
      </c>
      <c r="FF16" s="48">
        <v>6204.6</v>
      </c>
      <c r="FG16" s="37">
        <f t="shared" si="74"/>
        <v>8661.7300000000141</v>
      </c>
      <c r="FH16" s="48">
        <v>9537.9</v>
      </c>
      <c r="FI16" s="48">
        <v>3.6855000000000002</v>
      </c>
      <c r="FJ16" s="49">
        <f t="shared" si="40"/>
        <v>18001.729999998908</v>
      </c>
      <c r="FK16" s="48"/>
      <c r="FL16" s="58">
        <v>-20</v>
      </c>
      <c r="FM16" s="48">
        <f t="shared" si="94"/>
        <v>178.27000000035937</v>
      </c>
      <c r="FN16" s="48">
        <v>17184</v>
      </c>
      <c r="FO16" s="48">
        <v>0.9163</v>
      </c>
      <c r="FP16" s="37">
        <f t="shared" si="75"/>
        <v>11801.73</v>
      </c>
      <c r="FQ16" s="48">
        <v>60607</v>
      </c>
      <c r="FR16" s="48">
        <v>14.727</v>
      </c>
      <c r="FS16" s="37">
        <f t="shared" si="41"/>
        <v>39000</v>
      </c>
      <c r="FT16" s="48">
        <f t="shared" si="76"/>
        <v>534.81000000107815</v>
      </c>
      <c r="FU16" s="48">
        <f t="shared" si="77"/>
        <v>39965.189999998925</v>
      </c>
      <c r="FV16" s="44">
        <v>5574600</v>
      </c>
      <c r="FW16" s="44">
        <v>1715900</v>
      </c>
      <c r="FX16" s="37">
        <f t="shared" si="42"/>
        <v>12000</v>
      </c>
      <c r="FY16" s="56">
        <v>3703.6</v>
      </c>
      <c r="FZ16" s="56">
        <v>2.1863999999999999</v>
      </c>
      <c r="GA16" s="37">
        <f t="shared" si="43"/>
        <v>3260.0000000000909</v>
      </c>
      <c r="GB16" s="56">
        <v>851.46</v>
      </c>
      <c r="GC16" s="56">
        <v>955.24</v>
      </c>
      <c r="GD16" s="37">
        <f t="shared" si="44"/>
        <v>490.00000000000909</v>
      </c>
      <c r="GE16" s="56">
        <v>10497</v>
      </c>
      <c r="GF16" s="56">
        <v>3.6993</v>
      </c>
      <c r="GG16" s="37">
        <f t="shared" si="45"/>
        <v>6799.9999999999545</v>
      </c>
      <c r="GH16" s="153">
        <v>2038.3</v>
      </c>
      <c r="GI16" s="162">
        <v>1750.3</v>
      </c>
      <c r="GJ16" s="38">
        <f t="shared" si="46"/>
        <v>1700.0000000000455</v>
      </c>
      <c r="GK16" s="162">
        <v>1512.1</v>
      </c>
      <c r="GL16" s="163">
        <v>1138.4000000000001</v>
      </c>
      <c r="GM16" s="38">
        <f t="shared" si="47"/>
        <v>1500</v>
      </c>
      <c r="GN16" s="57">
        <v>212880</v>
      </c>
      <c r="GO16" s="57">
        <v>189220</v>
      </c>
      <c r="GP16" s="38">
        <f t="shared" si="97"/>
        <v>3130</v>
      </c>
      <c r="GQ16" s="38">
        <v>281350</v>
      </c>
      <c r="GR16" s="38">
        <v>275080</v>
      </c>
      <c r="GS16" s="38">
        <f t="shared" si="78"/>
        <v>640</v>
      </c>
      <c r="GT16" s="178"/>
      <c r="GU16" s="144">
        <f>DailyJul!B15-DailyJul!N15-DailyJul!V15-DailyJul!Y15-DailyJul!Z15-DailyJul!AA15-DailyJul!AB15-DailyJul!AC15-DailyJul!AD15-DailyJul!AE15-DailyJul!AK15-DailyJul!AO15-DailyJul!AS15-DailyJul!AY15-DailyJul!BD15+DailyJul!BU15-DailyJul!BG15-DailyJul!BT15-DailyJul!AF15-DailyJul!AG15</f>
        <v>5.0000000228465069E-2</v>
      </c>
      <c r="GV16" s="59">
        <v>-2674</v>
      </c>
      <c r="GW16" s="60">
        <f t="shared" si="48"/>
        <v>-178.26666666666668</v>
      </c>
      <c r="GX16" s="61">
        <v>-178.27</v>
      </c>
      <c r="GY16" s="140"/>
      <c r="GZ16" s="62"/>
      <c r="HA16" s="62"/>
      <c r="HB16" s="74"/>
      <c r="HC16" s="62"/>
      <c r="HD16" s="74"/>
      <c r="HE16" s="24">
        <f t="shared" si="49"/>
        <v>0</v>
      </c>
      <c r="HF16" s="151"/>
      <c r="HG16" s="213">
        <v>10</v>
      </c>
      <c r="HH16" s="16">
        <v>17043</v>
      </c>
      <c r="HI16" s="16">
        <v>6512.6</v>
      </c>
      <c r="HJ16" s="16">
        <f t="shared" si="50"/>
        <v>70000</v>
      </c>
      <c r="HK16" s="16">
        <v>2.1432000000000002</v>
      </c>
      <c r="HL16" s="16">
        <v>807.23</v>
      </c>
      <c r="HM16" s="16">
        <f t="shared" ref="HM16:HM38" si="99">IF((HK16-HK15)&lt;=0,0,(HK16-HK15))</f>
        <v>0</v>
      </c>
      <c r="HN16" s="16">
        <v>4358.5</v>
      </c>
      <c r="HO16" s="16">
        <v>1906.1</v>
      </c>
      <c r="HP16" s="16">
        <f t="shared" si="52"/>
        <v>18175.000000000182</v>
      </c>
      <c r="HQ16" s="16">
        <v>3419.1</v>
      </c>
      <c r="HR16" s="16">
        <v>1463.5</v>
      </c>
      <c r="HS16" s="16">
        <f t="shared" si="53"/>
        <v>8974.9999999999091</v>
      </c>
      <c r="HT16" s="16">
        <v>3123.4</v>
      </c>
      <c r="HU16" s="16">
        <v>1163.5999999999999</v>
      </c>
      <c r="HV16" s="16">
        <f t="shared" si="54"/>
        <v>17875</v>
      </c>
      <c r="HW16" s="16">
        <v>2029.1</v>
      </c>
      <c r="HX16" s="16">
        <v>881.1</v>
      </c>
      <c r="HY16" s="16">
        <f t="shared" si="55"/>
        <v>4375</v>
      </c>
      <c r="HZ16" s="16">
        <v>1021200</v>
      </c>
      <c r="IA16" s="16">
        <v>465740</v>
      </c>
      <c r="IB16" s="16">
        <f t="shared" si="56"/>
        <v>4700</v>
      </c>
      <c r="IC16" s="16">
        <v>719.8</v>
      </c>
      <c r="ID16" s="16">
        <v>232.78</v>
      </c>
      <c r="IE16" s="16">
        <f t="shared" si="79"/>
        <v>0</v>
      </c>
      <c r="IF16" s="16"/>
      <c r="IG16" s="16"/>
      <c r="IH16" s="128">
        <f t="shared" si="57"/>
        <v>15900</v>
      </c>
      <c r="II16" s="211">
        <f t="shared" si="58"/>
        <v>-9.4587448984384537E-11</v>
      </c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G16" s="151">
        <f t="shared" si="59"/>
        <v>22875.000000000087</v>
      </c>
    </row>
    <row r="17" spans="1:293" x14ac:dyDescent="0.25">
      <c r="A17" s="35">
        <f t="shared" si="0"/>
        <v>11</v>
      </c>
      <c r="B17" s="38">
        <v>4876.8</v>
      </c>
      <c r="C17" s="38">
        <f t="shared" si="1"/>
        <v>7.7100000000000364</v>
      </c>
      <c r="D17" s="38">
        <f t="shared" si="2"/>
        <v>246720.00000000116</v>
      </c>
      <c r="E17" s="38">
        <v>979.64</v>
      </c>
      <c r="F17" s="38">
        <f t="shared" si="3"/>
        <v>47360.000000000582</v>
      </c>
      <c r="G17" s="38">
        <f t="shared" si="4"/>
        <v>294080.00000000175</v>
      </c>
      <c r="H17" s="37"/>
      <c r="I17" s="39"/>
      <c r="J17" s="42"/>
      <c r="K17" s="37">
        <f t="shared" si="80"/>
        <v>0</v>
      </c>
      <c r="L17" s="40">
        <v>15368200</v>
      </c>
      <c r="M17" s="40"/>
      <c r="N17" s="37">
        <f t="shared" si="81"/>
        <v>292000</v>
      </c>
      <c r="O17" s="37">
        <v>11882.3</v>
      </c>
      <c r="P17" s="37"/>
      <c r="Q17" s="37">
        <f t="shared" si="5"/>
        <v>18299.999999999272</v>
      </c>
      <c r="R17" s="37">
        <f t="shared" si="82"/>
        <v>1</v>
      </c>
      <c r="S17" s="37">
        <v>11250316.449999999</v>
      </c>
      <c r="T17" s="37">
        <f t="shared" si="6"/>
        <v>327.03999999910593</v>
      </c>
      <c r="U17" s="37">
        <v>1523790.61</v>
      </c>
      <c r="V17" s="37">
        <f>IF((U17-U16)&lt;=0,0,(U17-U16))</f>
        <v>0</v>
      </c>
      <c r="W17" s="37">
        <v>4257.7</v>
      </c>
      <c r="X17" s="37">
        <f t="shared" si="95"/>
        <v>17892.960000000166</v>
      </c>
      <c r="Y17" s="183"/>
      <c r="Z17" s="183"/>
      <c r="AA17" s="37">
        <v>791100</v>
      </c>
      <c r="AB17" s="37">
        <f t="shared" si="8"/>
        <v>80</v>
      </c>
      <c r="AC17" s="37">
        <v>4399.3</v>
      </c>
      <c r="AD17" s="37"/>
      <c r="AE17" s="37">
        <f t="shared" si="9"/>
        <v>6800.0000000001819</v>
      </c>
      <c r="AF17" s="37">
        <f t="shared" si="83"/>
        <v>1</v>
      </c>
      <c r="AG17" s="37">
        <v>9597.4</v>
      </c>
      <c r="AH17" s="37"/>
      <c r="AI17" s="37">
        <f t="shared" si="10"/>
        <v>12114.910000000364</v>
      </c>
      <c r="AJ17" s="37">
        <f t="shared" si="11"/>
        <v>1</v>
      </c>
      <c r="AK17" s="37">
        <f t="shared" si="12"/>
        <v>37134.909999999814</v>
      </c>
      <c r="AL17" s="2">
        <v>11397.9</v>
      </c>
      <c r="AM17" s="42"/>
      <c r="AN17" s="37">
        <f t="shared" si="60"/>
        <v>6384.9099999996224</v>
      </c>
      <c r="AO17" s="37">
        <f t="shared" si="84"/>
        <v>1</v>
      </c>
      <c r="AP17" s="37">
        <v>8927.6</v>
      </c>
      <c r="AQ17" s="37"/>
      <c r="AR17" s="37">
        <f t="shared" si="13"/>
        <v>8500</v>
      </c>
      <c r="AS17" s="37">
        <f t="shared" si="85"/>
        <v>1</v>
      </c>
      <c r="AT17" s="183"/>
      <c r="AU17" s="183"/>
      <c r="AV17" s="183"/>
      <c r="AW17" s="183"/>
      <c r="AX17" s="37">
        <v>505210</v>
      </c>
      <c r="AY17" s="37"/>
      <c r="AZ17" s="37">
        <f t="shared" si="14"/>
        <v>417.0800000000163</v>
      </c>
      <c r="BA17" s="37">
        <v>178570</v>
      </c>
      <c r="BB17" s="37"/>
      <c r="BC17" s="37">
        <f t="shared" si="15"/>
        <v>547.72000000000116</v>
      </c>
      <c r="BD17" s="37">
        <f t="shared" si="86"/>
        <v>15849.709999999639</v>
      </c>
      <c r="BE17" s="43">
        <v>1997.8</v>
      </c>
      <c r="BF17" s="43">
        <v>1110.0999999999999</v>
      </c>
      <c r="BG17" s="37">
        <f t="shared" si="16"/>
        <v>1599.9999999999091</v>
      </c>
      <c r="BH17" s="44">
        <v>9359.2999999999993</v>
      </c>
      <c r="BI17" s="44">
        <v>6032.1</v>
      </c>
      <c r="BJ17" s="37">
        <f t="shared" si="17"/>
        <v>9699.9999999989086</v>
      </c>
      <c r="BK17" s="40">
        <v>1762170</v>
      </c>
      <c r="BL17" s="40">
        <f t="shared" si="87"/>
        <v>4170</v>
      </c>
      <c r="BM17" s="40">
        <v>903.23</v>
      </c>
      <c r="BN17" s="37">
        <f t="shared" si="18"/>
        <v>649.99999999997726</v>
      </c>
      <c r="BO17" s="186"/>
      <c r="BP17" s="183">
        <f t="shared" si="19"/>
        <v>0</v>
      </c>
      <c r="BQ17" s="40">
        <v>852.7</v>
      </c>
      <c r="BR17" s="37">
        <f t="shared" si="61"/>
        <v>710.00000000003638</v>
      </c>
      <c r="BS17" s="37">
        <v>107893.36</v>
      </c>
      <c r="BT17" s="37">
        <f t="shared" si="20"/>
        <v>195.16000000000349</v>
      </c>
      <c r="BU17" s="42">
        <v>3108657</v>
      </c>
      <c r="BV17" s="42"/>
      <c r="BW17" s="37">
        <f t="shared" si="21"/>
        <v>5657</v>
      </c>
      <c r="BX17" s="37">
        <f t="shared" si="88"/>
        <v>1</v>
      </c>
      <c r="BY17" s="43">
        <v>375.56189999999998</v>
      </c>
      <c r="BZ17" s="43"/>
      <c r="CA17" s="37">
        <f>IF((BY17-BY16)&lt;=0,0,(BY17-BY16)*1000)</f>
        <v>761.89999999996871</v>
      </c>
      <c r="CB17" s="37">
        <f t="shared" si="62"/>
        <v>1</v>
      </c>
      <c r="CC17" s="37">
        <v>726787.3</v>
      </c>
      <c r="CD17" s="37">
        <f t="shared" si="23"/>
        <v>277.30000000004657</v>
      </c>
      <c r="CE17" s="37">
        <v>1458581</v>
      </c>
      <c r="CF17" s="37">
        <f t="shared" si="24"/>
        <v>4681</v>
      </c>
      <c r="CG17" s="37">
        <v>72810.600000000006</v>
      </c>
      <c r="CH17" s="37">
        <f t="shared" si="63"/>
        <v>0</v>
      </c>
      <c r="CI17" s="40">
        <v>13558.24</v>
      </c>
      <c r="CJ17" s="40"/>
      <c r="CK17" s="37">
        <f t="shared" si="64"/>
        <v>14493.009999999813</v>
      </c>
      <c r="CL17" s="37">
        <f t="shared" si="25"/>
        <v>1</v>
      </c>
      <c r="CM17" s="37">
        <v>3861.3449999999998</v>
      </c>
      <c r="CN17" s="37"/>
      <c r="CO17" s="37">
        <f t="shared" si="26"/>
        <v>6159.9099999999817</v>
      </c>
      <c r="CP17" s="37">
        <f t="shared" si="89"/>
        <v>1</v>
      </c>
      <c r="CQ17" s="39">
        <v>451774.2</v>
      </c>
      <c r="CR17" s="45"/>
      <c r="CS17" s="37">
        <f t="shared" si="65"/>
        <v>6769.1100000000115</v>
      </c>
      <c r="CT17" s="37">
        <f t="shared" si="66"/>
        <v>1</v>
      </c>
      <c r="CU17" s="37">
        <v>4126250</v>
      </c>
      <c r="CV17" s="37"/>
      <c r="CW17" s="38">
        <f t="shared" si="27"/>
        <v>950</v>
      </c>
      <c r="CX17" s="37">
        <f t="shared" si="90"/>
        <v>1</v>
      </c>
      <c r="CY17" s="37">
        <v>2188634</v>
      </c>
      <c r="CZ17" s="37"/>
      <c r="DA17" s="37">
        <f t="shared" si="28"/>
        <v>634</v>
      </c>
      <c r="DB17" s="37">
        <f t="shared" si="91"/>
        <v>1</v>
      </c>
      <c r="DC17" s="37"/>
      <c r="DD17" s="40"/>
      <c r="DE17" s="37">
        <f t="shared" si="29"/>
        <v>0</v>
      </c>
      <c r="DF17" s="37">
        <f t="shared" si="96"/>
        <v>0</v>
      </c>
      <c r="DG17" s="37">
        <f t="shared" si="30"/>
        <v>-34663.02999999981</v>
      </c>
      <c r="DH17" s="37">
        <f t="shared" si="31"/>
        <v>330734.90999999974</v>
      </c>
      <c r="DI17" s="46"/>
      <c r="DJ17" s="46"/>
      <c r="DK17" s="47"/>
      <c r="DL17" s="47"/>
      <c r="DM17" s="37"/>
      <c r="DN17" s="37"/>
      <c r="DO17" s="37"/>
      <c r="DP17" s="37"/>
      <c r="DQ17" s="50">
        <v>3942700</v>
      </c>
      <c r="DR17" s="49">
        <f t="shared" si="67"/>
        <v>11400</v>
      </c>
      <c r="DS17" s="50">
        <v>4670800</v>
      </c>
      <c r="DT17" s="49">
        <f t="shared" si="68"/>
        <v>15100</v>
      </c>
      <c r="DU17" s="36">
        <v>8193.7999999999993</v>
      </c>
      <c r="DV17" s="36">
        <v>4606.3</v>
      </c>
      <c r="DW17" s="37">
        <f t="shared" si="92"/>
        <v>4199.9999999989086</v>
      </c>
      <c r="DX17" s="52">
        <v>13516</v>
      </c>
      <c r="DY17" s="52">
        <v>8520</v>
      </c>
      <c r="DZ17" s="37">
        <f t="shared" si="32"/>
        <v>8014.91</v>
      </c>
      <c r="EA17" s="50">
        <v>31172</v>
      </c>
      <c r="EB17" s="49">
        <v>21.54</v>
      </c>
      <c r="EC17" s="37">
        <f t="shared" si="33"/>
        <v>24174.91</v>
      </c>
      <c r="ED17" s="53">
        <f t="shared" si="34"/>
        <v>36389.819999998908</v>
      </c>
      <c r="EE17" s="49">
        <v>46708</v>
      </c>
      <c r="EF17" s="49">
        <v>30.59</v>
      </c>
      <c r="EG17" s="37">
        <f t="shared" si="35"/>
        <v>29174.91</v>
      </c>
      <c r="EH17" s="52">
        <v>13628</v>
      </c>
      <c r="EI17" s="52">
        <v>1.9231</v>
      </c>
      <c r="EJ17" s="37">
        <f t="shared" si="36"/>
        <v>12014.91</v>
      </c>
      <c r="EK17" s="37">
        <v>828.64</v>
      </c>
      <c r="EL17" s="40">
        <v>1186.3</v>
      </c>
      <c r="EM17" s="37">
        <f t="shared" si="69"/>
        <v>559.99999999994543</v>
      </c>
      <c r="EN17" s="54">
        <f t="shared" si="70"/>
        <v>41749.819999999949</v>
      </c>
      <c r="EO17" s="55">
        <v>13358</v>
      </c>
      <c r="EP17" s="48">
        <v>4671</v>
      </c>
      <c r="EQ17" s="37">
        <f t="shared" si="71"/>
        <v>6124.9100000000135</v>
      </c>
      <c r="ER17" s="48">
        <v>10096</v>
      </c>
      <c r="ES17" s="48">
        <v>4163</v>
      </c>
      <c r="ET17" s="49">
        <f t="shared" si="98"/>
        <v>17000</v>
      </c>
      <c r="EU17" s="48">
        <v>4023.3</v>
      </c>
      <c r="EV17" s="48">
        <v>1429.8</v>
      </c>
      <c r="EW17" s="49">
        <f t="shared" si="38"/>
        <v>8914.9100000000908</v>
      </c>
      <c r="EX17" s="48">
        <v>14069</v>
      </c>
      <c r="EY17" s="48">
        <v>1.6700999999999999</v>
      </c>
      <c r="EZ17" s="37">
        <f t="shared" si="39"/>
        <v>10014.91</v>
      </c>
      <c r="FA17" s="48">
        <f t="shared" si="72"/>
        <v>-20017.730000000105</v>
      </c>
      <c r="FB17" s="48">
        <v>37572108</v>
      </c>
      <c r="FC17" s="49">
        <f t="shared" si="93"/>
        <v>22037</v>
      </c>
      <c r="FD17" s="48">
        <f t="shared" si="73"/>
        <v>43754.730000000149</v>
      </c>
      <c r="FE17" s="48">
        <v>17475</v>
      </c>
      <c r="FF17" s="48">
        <v>6208.4</v>
      </c>
      <c r="FG17" s="37">
        <f t="shared" si="74"/>
        <v>9541.5799999999872</v>
      </c>
      <c r="FH17" s="48">
        <v>9557.1</v>
      </c>
      <c r="FI17" s="48">
        <v>3.6930000000000001</v>
      </c>
      <c r="FJ17" s="49">
        <f t="shared" si="40"/>
        <v>18851.580000000726</v>
      </c>
      <c r="FK17" s="48"/>
      <c r="FL17" s="58">
        <v>-363.33</v>
      </c>
      <c r="FM17" s="48">
        <f t="shared" si="94"/>
        <v>-14.913333333570941</v>
      </c>
      <c r="FN17" s="48">
        <v>17197</v>
      </c>
      <c r="FO17" s="48">
        <v>0.92083999999999999</v>
      </c>
      <c r="FP17" s="37">
        <f t="shared" si="75"/>
        <v>12651.58</v>
      </c>
      <c r="FQ17" s="48">
        <v>60648</v>
      </c>
      <c r="FR17" s="48">
        <v>14.74</v>
      </c>
      <c r="FS17" s="37">
        <f t="shared" si="41"/>
        <v>41000</v>
      </c>
      <c r="FT17" s="48">
        <f t="shared" si="76"/>
        <v>-44.740000000712826</v>
      </c>
      <c r="FU17" s="48">
        <f t="shared" si="77"/>
        <v>42444.740000000806</v>
      </c>
      <c r="FV17" s="44">
        <v>5591700</v>
      </c>
      <c r="FW17" s="44">
        <v>1721200</v>
      </c>
      <c r="FX17" s="37">
        <f t="shared" si="42"/>
        <v>17100</v>
      </c>
      <c r="FY17" s="56">
        <v>3709.4</v>
      </c>
      <c r="FZ17" s="56">
        <v>2.1873999999999998</v>
      </c>
      <c r="GA17" s="37">
        <f t="shared" si="43"/>
        <v>5100.0000000001819</v>
      </c>
      <c r="GB17" s="56">
        <v>852.05</v>
      </c>
      <c r="GC17" s="56">
        <v>955.92</v>
      </c>
      <c r="GD17" s="37">
        <f t="shared" si="44"/>
        <v>589.99999999991815</v>
      </c>
      <c r="GE17" s="56">
        <v>10508</v>
      </c>
      <c r="GF17" s="56">
        <v>3.7073</v>
      </c>
      <c r="GG17" s="37">
        <f t="shared" si="45"/>
        <v>7899.9999999998636</v>
      </c>
      <c r="GH17" s="153">
        <v>2040</v>
      </c>
      <c r="GI17" s="162">
        <v>1752</v>
      </c>
      <c r="GJ17" s="38">
        <f t="shared" si="46"/>
        <v>1700.0000000000455</v>
      </c>
      <c r="GK17" s="162">
        <v>1513.5</v>
      </c>
      <c r="GL17" s="163">
        <v>1139.0999999999999</v>
      </c>
      <c r="GM17" s="38">
        <f t="shared" si="47"/>
        <v>1400.0000000000909</v>
      </c>
      <c r="GN17" s="57">
        <v>215800</v>
      </c>
      <c r="GO17" s="57">
        <v>192100</v>
      </c>
      <c r="GP17" s="38">
        <f t="shared" si="97"/>
        <v>2920</v>
      </c>
      <c r="GQ17" s="38">
        <v>282050</v>
      </c>
      <c r="GR17" s="38">
        <v>275910</v>
      </c>
      <c r="GS17" s="38">
        <f t="shared" si="78"/>
        <v>700</v>
      </c>
      <c r="GT17" s="178"/>
      <c r="GU17" s="144">
        <f>DailyJul!B16-DailyJul!N16-DailyJul!V16-DailyJul!Y16-DailyJul!Z16-DailyJul!AA16-DailyJul!AB16-DailyJul!AC16-DailyJul!AD16-DailyJul!AE16-DailyJul!AK16-DailyJul!AO16-DailyJul!AS16-DailyJul!AY16-DailyJul!BD16+DailyJul!BU16-DailyJul!BG16-DailyJul!BT16-DailyJul!AF16-DailyJul!AG16</f>
        <v>4.0000003820750862E-2</v>
      </c>
      <c r="GV17" s="59">
        <v>223.69</v>
      </c>
      <c r="GW17" s="60">
        <f t="shared" si="48"/>
        <v>14.912666666666667</v>
      </c>
      <c r="GX17" s="61">
        <v>14.91</v>
      </c>
      <c r="GY17" s="140"/>
      <c r="GZ17" s="62"/>
      <c r="HA17" s="62"/>
      <c r="HB17" s="74"/>
      <c r="HC17" s="62"/>
      <c r="HD17" s="74"/>
      <c r="HE17" s="24">
        <f t="shared" si="49"/>
        <v>0</v>
      </c>
      <c r="HF17" s="151"/>
      <c r="HG17" s="213">
        <v>11</v>
      </c>
      <c r="HH17" s="16">
        <v>17111</v>
      </c>
      <c r="HI17" s="16">
        <v>6566.6</v>
      </c>
      <c r="HJ17" s="16">
        <f t="shared" si="50"/>
        <v>68000</v>
      </c>
      <c r="HK17" s="16">
        <v>2.1432000000000002</v>
      </c>
      <c r="HL17" s="16">
        <v>807.23</v>
      </c>
      <c r="HM17" s="16">
        <f t="shared" si="99"/>
        <v>0</v>
      </c>
      <c r="HN17" s="16">
        <v>4375.3</v>
      </c>
      <c r="HO17" s="16">
        <v>1914.9</v>
      </c>
      <c r="HP17" s="16">
        <f t="shared" si="52"/>
        <v>16525.000000000182</v>
      </c>
      <c r="HQ17" s="16">
        <v>3429.5</v>
      </c>
      <c r="HR17" s="16">
        <v>1468.8</v>
      </c>
      <c r="HS17" s="16">
        <f t="shared" si="53"/>
        <v>10125.000000000091</v>
      </c>
      <c r="HT17" s="16">
        <v>3148</v>
      </c>
      <c r="HU17" s="16">
        <v>1172.3</v>
      </c>
      <c r="HV17" s="16">
        <f t="shared" si="54"/>
        <v>24324.999999999909</v>
      </c>
      <c r="HW17" s="16">
        <v>2030.1</v>
      </c>
      <c r="HX17" s="16">
        <v>882.07</v>
      </c>
      <c r="HY17" s="16">
        <f t="shared" si="55"/>
        <v>725</v>
      </c>
      <c r="HZ17" s="16">
        <v>1022400</v>
      </c>
      <c r="IA17" s="16">
        <v>467420</v>
      </c>
      <c r="IB17" s="16">
        <f t="shared" si="56"/>
        <v>1200</v>
      </c>
      <c r="IC17" s="16">
        <v>719.8</v>
      </c>
      <c r="ID17" s="16">
        <v>232.78</v>
      </c>
      <c r="IE17" s="16">
        <f t="shared" si="79"/>
        <v>0</v>
      </c>
      <c r="IF17" s="16"/>
      <c r="IG17" s="16"/>
      <c r="IH17" s="128">
        <f t="shared" si="57"/>
        <v>15100</v>
      </c>
      <c r="II17" s="211">
        <f t="shared" si="58"/>
        <v>-1.8189894035458565E-10</v>
      </c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G17" s="151">
        <f t="shared" si="59"/>
        <v>17725</v>
      </c>
    </row>
    <row r="18" spans="1:293" x14ac:dyDescent="0.25">
      <c r="A18" s="35">
        <f t="shared" si="0"/>
        <v>12</v>
      </c>
      <c r="B18" s="38">
        <v>4885.29</v>
      </c>
      <c r="C18" s="38">
        <f t="shared" si="1"/>
        <v>8.4899999999997817</v>
      </c>
      <c r="D18" s="38">
        <f t="shared" si="2"/>
        <v>271679.99999999302</v>
      </c>
      <c r="E18" s="38">
        <v>981.09</v>
      </c>
      <c r="F18" s="38">
        <f t="shared" si="3"/>
        <v>46400.000000001455</v>
      </c>
      <c r="G18" s="38">
        <f t="shared" si="4"/>
        <v>318079.99999999447</v>
      </c>
      <c r="H18" s="37"/>
      <c r="I18" s="39"/>
      <c r="J18" s="42"/>
      <c r="K18" s="37">
        <f t="shared" si="80"/>
        <v>0</v>
      </c>
      <c r="L18" s="40">
        <v>15399700</v>
      </c>
      <c r="M18" s="40"/>
      <c r="N18" s="37">
        <f t="shared" si="81"/>
        <v>315000</v>
      </c>
      <c r="O18" s="37">
        <v>11901</v>
      </c>
      <c r="P18" s="37"/>
      <c r="Q18" s="37">
        <f t="shared" si="5"/>
        <v>18700.000000000728</v>
      </c>
      <c r="R18" s="37">
        <f t="shared" si="82"/>
        <v>1</v>
      </c>
      <c r="S18" s="37">
        <v>11250669.060000001</v>
      </c>
      <c r="T18" s="37">
        <f t="shared" si="6"/>
        <v>352.6100000012666</v>
      </c>
      <c r="U18" s="37">
        <v>1523790.61</v>
      </c>
      <c r="V18" s="37">
        <f>IF((U18-U17)&lt;=0,0,(U18-U17))</f>
        <v>0</v>
      </c>
      <c r="W18" s="37">
        <v>4264.3999999999996</v>
      </c>
      <c r="X18" s="37">
        <f t="shared" si="95"/>
        <v>18247.389999999461</v>
      </c>
      <c r="Y18" s="183"/>
      <c r="Z18" s="183"/>
      <c r="AA18" s="37">
        <v>791200</v>
      </c>
      <c r="AB18" s="37">
        <f t="shared" si="8"/>
        <v>100</v>
      </c>
      <c r="AC18" s="173">
        <v>4407.5</v>
      </c>
      <c r="AD18" s="37"/>
      <c r="AE18" s="37">
        <f t="shared" si="9"/>
        <v>8199.9999999998181</v>
      </c>
      <c r="AF18" s="37">
        <f t="shared" si="83"/>
        <v>1</v>
      </c>
      <c r="AG18" s="37">
        <v>9612</v>
      </c>
      <c r="AH18" s="37"/>
      <c r="AI18" s="37">
        <f t="shared" si="10"/>
        <v>14925.050000000363</v>
      </c>
      <c r="AJ18" s="37">
        <f t="shared" si="11"/>
        <v>1</v>
      </c>
      <c r="AK18" s="37">
        <f t="shared" si="12"/>
        <v>41725.050000000905</v>
      </c>
      <c r="AL18" s="48">
        <v>11410.5</v>
      </c>
      <c r="AM18" s="66"/>
      <c r="AN18" s="37">
        <f>IF((AL18-AL17)&lt;=0,0,(AL18-AL17))*1000+GX18-BL18-BN18-BP18-BR18</f>
        <v>7435.0500000004222</v>
      </c>
      <c r="AO18" s="37">
        <f t="shared" si="84"/>
        <v>1</v>
      </c>
      <c r="AP18" s="37">
        <v>8935.4</v>
      </c>
      <c r="AQ18" s="37"/>
      <c r="AR18" s="37">
        <f t="shared" si="13"/>
        <v>7799.9999999992724</v>
      </c>
      <c r="AS18" s="37">
        <f t="shared" si="85"/>
        <v>1</v>
      </c>
      <c r="AT18" s="183"/>
      <c r="AU18" s="183"/>
      <c r="AV18" s="183"/>
      <c r="AW18" s="183"/>
      <c r="AX18" s="37">
        <v>505620</v>
      </c>
      <c r="AY18" s="37"/>
      <c r="AZ18" s="37">
        <f t="shared" si="14"/>
        <v>410</v>
      </c>
      <c r="BA18" s="40">
        <v>179150</v>
      </c>
      <c r="BB18" s="37"/>
      <c r="BC18" s="37">
        <f t="shared" si="15"/>
        <v>580</v>
      </c>
      <c r="BD18" s="37">
        <f t="shared" si="86"/>
        <v>16225.049999999694</v>
      </c>
      <c r="BE18" s="43">
        <v>1999.5</v>
      </c>
      <c r="BF18" s="43">
        <v>1111.3</v>
      </c>
      <c r="BG18" s="37">
        <f t="shared" si="16"/>
        <v>1700.0000000000455</v>
      </c>
      <c r="BH18" s="44">
        <v>9368.9</v>
      </c>
      <c r="BI18" s="44">
        <v>6038.7</v>
      </c>
      <c r="BJ18" s="37">
        <f t="shared" si="17"/>
        <v>9600.0000000003638</v>
      </c>
      <c r="BK18" s="40">
        <v>1766470</v>
      </c>
      <c r="BL18" s="40">
        <f t="shared" si="87"/>
        <v>4300</v>
      </c>
      <c r="BM18" s="40">
        <v>903.92</v>
      </c>
      <c r="BN18" s="37">
        <f t="shared" si="18"/>
        <v>689.99999999994088</v>
      </c>
      <c r="BO18" s="186"/>
      <c r="BP18" s="183">
        <f t="shared" si="19"/>
        <v>0</v>
      </c>
      <c r="BQ18" s="40">
        <v>853.2</v>
      </c>
      <c r="BR18" s="37">
        <f t="shared" si="61"/>
        <v>500</v>
      </c>
      <c r="BS18" s="37">
        <v>108090.94</v>
      </c>
      <c r="BT18" s="37">
        <f t="shared" si="20"/>
        <v>197.58000000000175</v>
      </c>
      <c r="BU18" s="42">
        <v>3118636</v>
      </c>
      <c r="BV18" s="42"/>
      <c r="BW18" s="37">
        <f t="shared" si="21"/>
        <v>9979</v>
      </c>
      <c r="BX18" s="37">
        <f t="shared" si="88"/>
        <v>1</v>
      </c>
      <c r="BY18" s="43">
        <v>376.39069999999998</v>
      </c>
      <c r="BZ18" s="43"/>
      <c r="CA18" s="37">
        <f>IF((BY18-BY17)&lt;=0,0,(BY18-BY17)*1000)</f>
        <v>828.80000000000109</v>
      </c>
      <c r="CB18" s="37">
        <f t="shared" si="62"/>
        <v>1</v>
      </c>
      <c r="CC18" s="37">
        <v>729359.1</v>
      </c>
      <c r="CD18" s="37">
        <f t="shared" si="23"/>
        <v>2571.7999999999302</v>
      </c>
      <c r="CE18" s="37">
        <v>1464714</v>
      </c>
      <c r="CF18" s="37">
        <f t="shared" si="24"/>
        <v>6133</v>
      </c>
      <c r="CG18" s="37">
        <v>72810.600000000006</v>
      </c>
      <c r="CH18" s="37">
        <f t="shared" si="63"/>
        <v>0</v>
      </c>
      <c r="CI18" s="40">
        <v>13575.63</v>
      </c>
      <c r="CJ18" s="40"/>
      <c r="CK18" s="37">
        <f t="shared" si="64"/>
        <v>16886.249999999418</v>
      </c>
      <c r="CL18" s="37">
        <f t="shared" si="25"/>
        <v>1</v>
      </c>
      <c r="CM18" s="37">
        <v>3869.7739999999999</v>
      </c>
      <c r="CN18" s="37"/>
      <c r="CO18" s="37">
        <f t="shared" si="26"/>
        <v>8754.0500000000866</v>
      </c>
      <c r="CP18" s="37">
        <f t="shared" si="89"/>
        <v>1</v>
      </c>
      <c r="CQ18" s="39">
        <v>460071.7</v>
      </c>
      <c r="CR18" s="39"/>
      <c r="CS18" s="37">
        <f t="shared" si="65"/>
        <v>8622.5499999999993</v>
      </c>
      <c r="CT18" s="37">
        <f t="shared" si="66"/>
        <v>1</v>
      </c>
      <c r="CU18" s="37">
        <v>4127077</v>
      </c>
      <c r="CV18" s="37"/>
      <c r="CW18" s="38">
        <f t="shared" si="27"/>
        <v>827</v>
      </c>
      <c r="CX18" s="37">
        <f t="shared" si="90"/>
        <v>1</v>
      </c>
      <c r="CY18" s="37">
        <v>2189205</v>
      </c>
      <c r="CZ18" s="37"/>
      <c r="DA18" s="37">
        <f t="shared" si="28"/>
        <v>571</v>
      </c>
      <c r="DB18" s="37">
        <f t="shared" si="91"/>
        <v>1</v>
      </c>
      <c r="DC18" s="37"/>
      <c r="DD18" s="40"/>
      <c r="DE18" s="37">
        <f>IF((DC18-DC17)&lt;=0,0,(DC18-DC17))</f>
        <v>0</v>
      </c>
      <c r="DF18" s="37">
        <f t="shared" si="96"/>
        <v>0</v>
      </c>
      <c r="DG18" s="37">
        <f t="shared" si="30"/>
        <v>-45639.849999999504</v>
      </c>
      <c r="DH18" s="37">
        <f t="shared" si="31"/>
        <v>358425.05000000098</v>
      </c>
      <c r="DI18" s="46"/>
      <c r="DJ18" s="46"/>
      <c r="DK18" s="46"/>
      <c r="DL18" s="47"/>
      <c r="DM18" s="37"/>
      <c r="DN18" s="37"/>
      <c r="DO18" s="37"/>
      <c r="DP18" s="37"/>
      <c r="DQ18" s="50">
        <v>3953800</v>
      </c>
      <c r="DR18" s="49">
        <f t="shared" si="67"/>
        <v>11100</v>
      </c>
      <c r="DS18" s="50">
        <v>4683800</v>
      </c>
      <c r="DT18" s="49">
        <f t="shared" si="68"/>
        <v>13000</v>
      </c>
      <c r="DU18" s="52">
        <v>8197.6</v>
      </c>
      <c r="DV18" s="52">
        <v>4608.5</v>
      </c>
      <c r="DW18" s="37">
        <f t="shared" si="92"/>
        <v>3800.0000000010914</v>
      </c>
      <c r="DX18" s="52">
        <v>13524</v>
      </c>
      <c r="DY18" s="52">
        <v>8522.6</v>
      </c>
      <c r="DZ18" s="37">
        <f t="shared" si="32"/>
        <v>8325.0499999999993</v>
      </c>
      <c r="EA18" s="49">
        <v>31195</v>
      </c>
      <c r="EB18" s="49">
        <v>21.553000000000001</v>
      </c>
      <c r="EC18" s="37">
        <f t="shared" si="33"/>
        <v>25485.05</v>
      </c>
      <c r="ED18" s="53">
        <f t="shared" si="34"/>
        <v>37610.10000000109</v>
      </c>
      <c r="EE18" s="49">
        <v>46738</v>
      </c>
      <c r="EF18" s="49">
        <v>30.614000000000001</v>
      </c>
      <c r="EG18" s="37">
        <f t="shared" si="35"/>
        <v>32485.05</v>
      </c>
      <c r="EH18" s="52">
        <v>13640</v>
      </c>
      <c r="EI18" s="44">
        <v>1.927</v>
      </c>
      <c r="EJ18" s="37">
        <f t="shared" si="36"/>
        <v>12325.05</v>
      </c>
      <c r="EK18" s="37">
        <v>829.28</v>
      </c>
      <c r="EL18" s="40">
        <v>1187.2</v>
      </c>
      <c r="EM18" s="37">
        <f t="shared" si="69"/>
        <v>639.99999999998636</v>
      </c>
      <c r="EN18" s="54">
        <f t="shared" si="70"/>
        <v>45450.099999999984</v>
      </c>
      <c r="EO18" s="48">
        <v>13365</v>
      </c>
      <c r="EP18" s="48">
        <v>4673.2</v>
      </c>
      <c r="EQ18" s="37">
        <f t="shared" si="71"/>
        <v>6460.0499999999911</v>
      </c>
      <c r="ER18" s="48">
        <v>10113</v>
      </c>
      <c r="ES18" s="48">
        <v>4170.3</v>
      </c>
      <c r="ET18" s="49">
        <f t="shared" si="98"/>
        <v>17000</v>
      </c>
      <c r="EU18" s="48">
        <v>4032</v>
      </c>
      <c r="EV18" s="48">
        <v>1432.8</v>
      </c>
      <c r="EW18" s="49">
        <f t="shared" si="38"/>
        <v>9025.0499999998174</v>
      </c>
      <c r="EX18" s="55">
        <v>14080</v>
      </c>
      <c r="EY18" s="48">
        <v>1.6718</v>
      </c>
      <c r="EZ18" s="37">
        <f t="shared" si="39"/>
        <v>11325.05</v>
      </c>
      <c r="FA18" s="48">
        <f t="shared" si="72"/>
        <v>-21333.149999999809</v>
      </c>
      <c r="FB18" s="48">
        <v>37594585</v>
      </c>
      <c r="FC18" s="49">
        <f>IF((FB18-FB17)&lt;=0,0,(FB18-FB17))</f>
        <v>22477</v>
      </c>
      <c r="FD18" s="48">
        <f t="shared" si="73"/>
        <v>46210.149999999892</v>
      </c>
      <c r="FE18" s="48">
        <v>17484</v>
      </c>
      <c r="FF18" s="48">
        <v>6209.1</v>
      </c>
      <c r="FG18" s="37">
        <f t="shared" si="74"/>
        <v>10001.720000000008</v>
      </c>
      <c r="FH18" s="48">
        <v>9576.7999999999993</v>
      </c>
      <c r="FI18" s="48">
        <v>3.7</v>
      </c>
      <c r="FJ18" s="49">
        <f t="shared" si="40"/>
        <v>19836.719999998906</v>
      </c>
      <c r="FK18" s="48"/>
      <c r="FL18" s="58">
        <v>-188.33</v>
      </c>
      <c r="FM18" s="48">
        <f>FT18/3</f>
        <v>-325.05333333297131</v>
      </c>
      <c r="FN18" s="48">
        <v>17209</v>
      </c>
      <c r="FO18" s="48">
        <v>0.91969999999999996</v>
      </c>
      <c r="FP18" s="37">
        <f t="shared" si="75"/>
        <v>12136.72</v>
      </c>
      <c r="FQ18" s="48">
        <v>60689</v>
      </c>
      <c r="FR18" s="48">
        <v>14.75</v>
      </c>
      <c r="FS18" s="37">
        <f>IF((FQ18-FQ17)*1000&lt;=0,0,(FQ18-FQ17)*1000)</f>
        <v>41000</v>
      </c>
      <c r="FT18" s="48">
        <f t="shared" si="76"/>
        <v>-975.15999999891392</v>
      </c>
      <c r="FU18" s="48">
        <f t="shared" si="77"/>
        <v>42575.159999998825</v>
      </c>
      <c r="FV18" s="44">
        <v>5612300</v>
      </c>
      <c r="FW18" s="44">
        <v>1727600</v>
      </c>
      <c r="FX18" s="37">
        <f t="shared" si="42"/>
        <v>20600</v>
      </c>
      <c r="FY18" s="56">
        <v>3715.8</v>
      </c>
      <c r="FZ18" s="56">
        <v>2.1886000000000001</v>
      </c>
      <c r="GA18" s="37">
        <f t="shared" si="43"/>
        <v>5670.0000000000909</v>
      </c>
      <c r="GB18" s="56">
        <v>852.73</v>
      </c>
      <c r="GC18" s="56">
        <v>956.72</v>
      </c>
      <c r="GD18" s="37">
        <f t="shared" si="44"/>
        <v>680.00000000006366</v>
      </c>
      <c r="GE18" s="56">
        <v>10519</v>
      </c>
      <c r="GF18" s="56">
        <v>3.7162000000000002</v>
      </c>
      <c r="GG18" s="37">
        <f t="shared" si="45"/>
        <v>8000</v>
      </c>
      <c r="GH18" s="153">
        <v>2042.4</v>
      </c>
      <c r="GI18" s="162">
        <v>1754.3</v>
      </c>
      <c r="GJ18" s="38">
        <f t="shared" si="46"/>
        <v>2400.0000000000909</v>
      </c>
      <c r="GK18" s="162">
        <v>1514.1</v>
      </c>
      <c r="GL18" s="163">
        <v>1139.3</v>
      </c>
      <c r="GM18" s="38">
        <f t="shared" si="47"/>
        <v>599.99999999990905</v>
      </c>
      <c r="GN18" s="57">
        <v>218900</v>
      </c>
      <c r="GO18" s="57">
        <v>194930</v>
      </c>
      <c r="GP18" s="38">
        <f t="shared" si="97"/>
        <v>3100</v>
      </c>
      <c r="GQ18" s="38">
        <v>282780</v>
      </c>
      <c r="GR18" s="38">
        <v>276810</v>
      </c>
      <c r="GS18" s="38">
        <f t="shared" si="78"/>
        <v>730</v>
      </c>
      <c r="GT18" s="178"/>
      <c r="GU18" s="144">
        <f>DailyJul!B17-DailyJul!N17-DailyJul!V17-DailyJul!Y17-DailyJul!Z17-DailyJul!AA17-DailyJul!AB17-DailyJul!AC17-DailyJul!AD17-DailyJul!AE17-DailyJul!AK17-DailyJul!AO17-DailyJul!AS17-DailyJul!AY17-DailyJul!BD17+DailyJul!BU17-DailyJul!BG17-DailyJul!BT17-DailyJul!AF17-DailyJul!AG17</f>
        <v>-6.0000005789333954E-2</v>
      </c>
      <c r="GV18" s="59">
        <v>4875.6899999999996</v>
      </c>
      <c r="GW18" s="60">
        <f t="shared" si="48"/>
        <v>325.04599999999999</v>
      </c>
      <c r="GX18" s="61">
        <v>325.05</v>
      </c>
      <c r="GY18" s="140"/>
      <c r="GZ18" s="62"/>
      <c r="HA18" s="62"/>
      <c r="HB18" s="74"/>
      <c r="HC18" s="62"/>
      <c r="HD18" s="74"/>
      <c r="HE18" s="24">
        <f t="shared" si="49"/>
        <v>0</v>
      </c>
      <c r="HF18" s="151"/>
      <c r="HG18" s="213">
        <v>12</v>
      </c>
      <c r="HH18" s="16">
        <v>17178</v>
      </c>
      <c r="HI18" s="16">
        <v>6592.7</v>
      </c>
      <c r="HJ18" s="16">
        <f t="shared" si="50"/>
        <v>67000</v>
      </c>
      <c r="HK18" s="16">
        <v>2.1432000000000002</v>
      </c>
      <c r="HL18" s="16">
        <v>807.23</v>
      </c>
      <c r="HM18" s="16">
        <f t="shared" si="99"/>
        <v>0</v>
      </c>
      <c r="HN18" s="16">
        <v>4391.8999999999996</v>
      </c>
      <c r="HO18" s="16">
        <v>1923.6</v>
      </c>
      <c r="HP18" s="16">
        <f t="shared" si="52"/>
        <v>17199.999999999454</v>
      </c>
      <c r="HQ18" s="16">
        <v>3441.6</v>
      </c>
      <c r="HR18" s="16">
        <v>1474.7</v>
      </c>
      <c r="HS18" s="16">
        <f t="shared" si="53"/>
        <v>12699.999999999909</v>
      </c>
      <c r="HT18" s="16">
        <v>3167.9</v>
      </c>
      <c r="HU18" s="16">
        <v>1179.7</v>
      </c>
      <c r="HV18" s="16">
        <f t="shared" si="54"/>
        <v>20500.000000000091</v>
      </c>
      <c r="HW18" s="16">
        <v>2031.7</v>
      </c>
      <c r="HX18" s="16">
        <v>883.31</v>
      </c>
      <c r="HY18" s="16">
        <f t="shared" si="55"/>
        <v>2200.0000000001364</v>
      </c>
      <c r="HZ18" s="16">
        <v>1023800</v>
      </c>
      <c r="IA18" s="16">
        <v>469380</v>
      </c>
      <c r="IB18" s="16">
        <f t="shared" si="56"/>
        <v>1400</v>
      </c>
      <c r="IC18" s="16">
        <v>719.8</v>
      </c>
      <c r="ID18" s="16">
        <v>232.78</v>
      </c>
      <c r="IE18" s="16">
        <f t="shared" si="79"/>
        <v>0</v>
      </c>
      <c r="IF18" s="16"/>
      <c r="IG18" s="16"/>
      <c r="IH18" s="128">
        <f t="shared" si="57"/>
        <v>13000</v>
      </c>
      <c r="II18" s="211">
        <f t="shared" si="58"/>
        <v>4.0745362639427185E-10</v>
      </c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G18" s="151">
        <f t="shared" si="59"/>
        <v>18599.999999999862</v>
      </c>
    </row>
    <row r="19" spans="1:293" x14ac:dyDescent="0.25">
      <c r="A19" s="35">
        <f t="shared" si="0"/>
        <v>13</v>
      </c>
      <c r="B19" s="38">
        <v>4894.21</v>
      </c>
      <c r="C19" s="38">
        <f t="shared" si="1"/>
        <v>8.9200000000000728</v>
      </c>
      <c r="D19" s="38">
        <f t="shared" si="2"/>
        <v>285440.00000000233</v>
      </c>
      <c r="E19" s="38">
        <v>982.9</v>
      </c>
      <c r="F19" s="38">
        <f t="shared" si="3"/>
        <v>57919.999999998254</v>
      </c>
      <c r="G19" s="38">
        <f t="shared" si="4"/>
        <v>343360.00000000058</v>
      </c>
      <c r="H19" s="37"/>
      <c r="I19" s="39"/>
      <c r="J19" s="42"/>
      <c r="K19" s="37">
        <f t="shared" si="80"/>
        <v>0</v>
      </c>
      <c r="L19" s="40">
        <v>15433900</v>
      </c>
      <c r="M19" s="40"/>
      <c r="N19" s="37">
        <f t="shared" si="81"/>
        <v>342000</v>
      </c>
      <c r="O19" s="37">
        <v>11919.9</v>
      </c>
      <c r="P19" s="37"/>
      <c r="Q19" s="37">
        <f t="shared" si="5"/>
        <v>18899.999999999636</v>
      </c>
      <c r="R19" s="37">
        <f t="shared" si="82"/>
        <v>1</v>
      </c>
      <c r="S19" s="37">
        <v>11250922.970000001</v>
      </c>
      <c r="T19" s="37">
        <f t="shared" si="6"/>
        <v>253.91000000014901</v>
      </c>
      <c r="U19" s="37">
        <v>1523790.61</v>
      </c>
      <c r="V19" s="37">
        <f t="shared" si="7"/>
        <v>0</v>
      </c>
      <c r="W19" s="37">
        <v>4271.2</v>
      </c>
      <c r="X19" s="37">
        <f t="shared" si="95"/>
        <v>18646.089999999487</v>
      </c>
      <c r="Y19" s="183"/>
      <c r="Z19" s="183"/>
      <c r="AA19" s="37">
        <v>791200</v>
      </c>
      <c r="AB19" s="37">
        <f t="shared" si="8"/>
        <v>0</v>
      </c>
      <c r="AC19" s="37">
        <v>4415.8999999999996</v>
      </c>
      <c r="AD19" s="37"/>
      <c r="AE19" s="37">
        <f t="shared" si="9"/>
        <v>8399.9999999996362</v>
      </c>
      <c r="AF19" s="37">
        <f t="shared" si="83"/>
        <v>1</v>
      </c>
      <c r="AG19" s="37">
        <v>9626.7000000000007</v>
      </c>
      <c r="AH19" s="67"/>
      <c r="AI19" s="37">
        <f t="shared" si="10"/>
        <v>14916.210000000727</v>
      </c>
      <c r="AJ19" s="37">
        <f t="shared" si="11"/>
        <v>1</v>
      </c>
      <c r="AK19" s="37">
        <f t="shared" si="12"/>
        <v>42216.21</v>
      </c>
      <c r="AL19" s="48">
        <v>11423.1</v>
      </c>
      <c r="AM19" s="66"/>
      <c r="AN19" s="37">
        <f t="shared" si="60"/>
        <v>7226.2100000002993</v>
      </c>
      <c r="AO19" s="37">
        <f t="shared" si="84"/>
        <v>1</v>
      </c>
      <c r="AP19" s="37">
        <v>8943.9</v>
      </c>
      <c r="AQ19" s="37"/>
      <c r="AR19" s="37">
        <f t="shared" si="13"/>
        <v>8500</v>
      </c>
      <c r="AS19" s="37">
        <f t="shared" si="85"/>
        <v>1</v>
      </c>
      <c r="AT19" s="183"/>
      <c r="AU19" s="183"/>
      <c r="AV19" s="183"/>
      <c r="AW19" s="183"/>
      <c r="AX19" s="37">
        <v>505900</v>
      </c>
      <c r="AY19" s="37"/>
      <c r="AZ19" s="37">
        <f t="shared" si="14"/>
        <v>280</v>
      </c>
      <c r="BA19" s="37">
        <v>179600</v>
      </c>
      <c r="BB19" s="37"/>
      <c r="BC19" s="37">
        <f t="shared" si="15"/>
        <v>450</v>
      </c>
      <c r="BD19" s="37">
        <f>AN19+AR19+AZ19+BC19</f>
        <v>16456.210000000297</v>
      </c>
      <c r="BE19" s="43">
        <v>2001.3</v>
      </c>
      <c r="BF19" s="43">
        <v>1112.5999999999999</v>
      </c>
      <c r="BG19" s="37">
        <f t="shared" si="16"/>
        <v>1799.9999999999545</v>
      </c>
      <c r="BH19" s="44">
        <v>9378.1</v>
      </c>
      <c r="BI19" s="44">
        <v>6045</v>
      </c>
      <c r="BJ19" s="37">
        <f t="shared" si="17"/>
        <v>9200.0000000007276</v>
      </c>
      <c r="BK19" s="40">
        <v>1770880</v>
      </c>
      <c r="BL19" s="40">
        <f t="shared" si="87"/>
        <v>4410</v>
      </c>
      <c r="BM19" s="40">
        <v>904.6</v>
      </c>
      <c r="BN19" s="37">
        <f t="shared" si="18"/>
        <v>680.00000000006366</v>
      </c>
      <c r="BO19" s="186"/>
      <c r="BP19" s="183">
        <f t="shared" si="19"/>
        <v>0</v>
      </c>
      <c r="BQ19" s="40">
        <v>853.7</v>
      </c>
      <c r="BR19" s="37">
        <f t="shared" si="61"/>
        <v>500</v>
      </c>
      <c r="BS19" s="37">
        <v>108276.19</v>
      </c>
      <c r="BT19" s="37">
        <f t="shared" si="20"/>
        <v>185.25</v>
      </c>
      <c r="BU19" s="42">
        <v>3129533</v>
      </c>
      <c r="BV19" s="42"/>
      <c r="BW19" s="37">
        <f t="shared" si="21"/>
        <v>10897</v>
      </c>
      <c r="BX19" s="37">
        <f t="shared" si="88"/>
        <v>1</v>
      </c>
      <c r="BY19" s="43">
        <v>377.28429999999997</v>
      </c>
      <c r="BZ19" s="43"/>
      <c r="CA19" s="37">
        <f>IF((BY19-BY18)&lt;=0,0,(BY19-BY18)*1000)</f>
        <v>893.59999999999218</v>
      </c>
      <c r="CB19" s="37">
        <f t="shared" si="62"/>
        <v>1</v>
      </c>
      <c r="CC19" s="37">
        <v>731985.4</v>
      </c>
      <c r="CD19" s="37">
        <f t="shared" si="23"/>
        <v>2626.3000000000466</v>
      </c>
      <c r="CE19" s="41">
        <v>1472183</v>
      </c>
      <c r="CF19" s="37">
        <f t="shared" si="24"/>
        <v>7469</v>
      </c>
      <c r="CG19" s="37">
        <v>72810.600000000006</v>
      </c>
      <c r="CH19" s="37">
        <f t="shared" si="63"/>
        <v>0</v>
      </c>
      <c r="CI19" s="40">
        <v>13593.52</v>
      </c>
      <c r="CJ19" s="40"/>
      <c r="CK19" s="37">
        <f t="shared" si="64"/>
        <v>17212.610000001245</v>
      </c>
      <c r="CL19" s="37">
        <f t="shared" si="25"/>
        <v>1</v>
      </c>
      <c r="CM19" s="37">
        <v>3878.2649999999999</v>
      </c>
      <c r="CN19" s="37"/>
      <c r="CO19" s="37">
        <f t="shared" si="26"/>
        <v>8707.2099999999846</v>
      </c>
      <c r="CP19" s="37">
        <f t="shared" si="89"/>
        <v>1</v>
      </c>
      <c r="CQ19" s="39">
        <v>468536.3</v>
      </c>
      <c r="CR19" s="39"/>
      <c r="CS19" s="37">
        <f t="shared" si="65"/>
        <v>8680.8099999999758</v>
      </c>
      <c r="CT19" s="37">
        <f t="shared" si="66"/>
        <v>1</v>
      </c>
      <c r="CU19" s="37">
        <v>4127928</v>
      </c>
      <c r="CV19" s="37"/>
      <c r="CW19" s="38">
        <f t="shared" si="27"/>
        <v>851</v>
      </c>
      <c r="CX19" s="37">
        <f t="shared" si="90"/>
        <v>1</v>
      </c>
      <c r="CY19" s="37">
        <v>2189765</v>
      </c>
      <c r="CZ19" s="37"/>
      <c r="DA19" s="37">
        <f t="shared" si="28"/>
        <v>560</v>
      </c>
      <c r="DB19" s="37">
        <f t="shared" si="91"/>
        <v>1</v>
      </c>
      <c r="DC19" s="37"/>
      <c r="DD19" s="40"/>
      <c r="DE19" s="37">
        <f t="shared" si="29"/>
        <v>0</v>
      </c>
      <c r="DF19" s="37">
        <f t="shared" si="96"/>
        <v>0</v>
      </c>
      <c r="DG19" s="37">
        <f t="shared" si="30"/>
        <v>-46908.630000001205</v>
      </c>
      <c r="DH19" s="37">
        <f t="shared" si="31"/>
        <v>386016.20999999996</v>
      </c>
      <c r="DI19" s="46"/>
      <c r="DJ19" s="46"/>
      <c r="DK19" s="47"/>
      <c r="DL19" s="47"/>
      <c r="DM19" s="37"/>
      <c r="DN19" s="37"/>
      <c r="DO19" s="37"/>
      <c r="DP19" s="37"/>
      <c r="DQ19" s="50">
        <v>3964800</v>
      </c>
      <c r="DR19" s="49">
        <f t="shared" si="67"/>
        <v>11000</v>
      </c>
      <c r="DS19" s="50">
        <v>4701700</v>
      </c>
      <c r="DT19" s="49">
        <f t="shared" si="68"/>
        <v>17900</v>
      </c>
      <c r="DU19" s="52">
        <v>8201.2999999999993</v>
      </c>
      <c r="DV19" s="52">
        <v>4610.8</v>
      </c>
      <c r="DW19" s="37">
        <f t="shared" si="92"/>
        <v>3699.9999999989086</v>
      </c>
      <c r="DX19" s="52">
        <v>13532</v>
      </c>
      <c r="DY19" s="52">
        <v>8524.9</v>
      </c>
      <c r="DZ19" s="37">
        <f t="shared" si="32"/>
        <v>8216.2099999999991</v>
      </c>
      <c r="EA19" s="49">
        <v>31218</v>
      </c>
      <c r="EB19" s="49">
        <v>21.565999999999999</v>
      </c>
      <c r="EC19" s="37">
        <f t="shared" si="33"/>
        <v>25376.21</v>
      </c>
      <c r="ED19" s="53">
        <f t="shared" si="34"/>
        <v>37292.419999998907</v>
      </c>
      <c r="EE19" s="49">
        <v>46767</v>
      </c>
      <c r="EF19" s="49">
        <v>30.638000000000002</v>
      </c>
      <c r="EG19" s="37">
        <f t="shared" si="35"/>
        <v>31376.21</v>
      </c>
      <c r="EH19" s="44">
        <v>13653</v>
      </c>
      <c r="EI19" s="68">
        <v>1.9307000000000001</v>
      </c>
      <c r="EJ19" s="37">
        <f t="shared" si="36"/>
        <v>13216.21</v>
      </c>
      <c r="EK19" s="37">
        <v>829.9</v>
      </c>
      <c r="EL19" s="40">
        <v>1188.0999999999999</v>
      </c>
      <c r="EM19" s="37">
        <f t="shared" si="69"/>
        <v>620.00000000000455</v>
      </c>
      <c r="EN19" s="54">
        <f t="shared" si="70"/>
        <v>45212.420000000006</v>
      </c>
      <c r="EO19" s="48">
        <v>13372</v>
      </c>
      <c r="EP19" s="48">
        <v>4675.8999999999996</v>
      </c>
      <c r="EQ19" s="37">
        <f t="shared" si="71"/>
        <v>6331.2100000000091</v>
      </c>
      <c r="ER19" s="48">
        <v>10129</v>
      </c>
      <c r="ES19" s="48">
        <v>4177.5</v>
      </c>
      <c r="ET19" s="49">
        <f t="shared" si="98"/>
        <v>16000</v>
      </c>
      <c r="EU19" s="48">
        <v>4040.7</v>
      </c>
      <c r="EV19" s="48">
        <v>1435.9</v>
      </c>
      <c r="EW19" s="49">
        <f t="shared" si="38"/>
        <v>8916.2099999998172</v>
      </c>
      <c r="EX19" s="48">
        <v>14094</v>
      </c>
      <c r="EY19" s="48">
        <v>1.6747000000000001</v>
      </c>
      <c r="EZ19" s="37">
        <f t="shared" si="39"/>
        <v>14216.21</v>
      </c>
      <c r="FA19" s="48">
        <f t="shared" si="72"/>
        <v>-22088.629999999826</v>
      </c>
      <c r="FB19" s="48">
        <v>37617960</v>
      </c>
      <c r="FC19" s="49">
        <f t="shared" si="93"/>
        <v>23375</v>
      </c>
      <c r="FD19" s="48">
        <f t="shared" si="73"/>
        <v>47763.629999999786</v>
      </c>
      <c r="FE19" s="48">
        <v>17493</v>
      </c>
      <c r="FF19" s="48">
        <v>6209.1</v>
      </c>
      <c r="FG19" s="37">
        <f t="shared" si="74"/>
        <v>10206.20999999999</v>
      </c>
      <c r="FH19" s="48">
        <v>9595.6</v>
      </c>
      <c r="FI19" s="48">
        <v>3.7071000000000001</v>
      </c>
      <c r="FJ19" s="49">
        <f t="shared" si="40"/>
        <v>19121.210000001091</v>
      </c>
      <c r="FK19" s="48"/>
      <c r="FL19" s="58">
        <v>105</v>
      </c>
      <c r="FM19" s="48">
        <f t="shared" si="94"/>
        <v>-216.21000000036051</v>
      </c>
      <c r="FN19" s="48">
        <v>17222</v>
      </c>
      <c r="FO19" s="48">
        <v>0.9214</v>
      </c>
      <c r="FP19" s="37">
        <f t="shared" si="75"/>
        <v>13321.21</v>
      </c>
      <c r="FQ19" s="48">
        <v>60731</v>
      </c>
      <c r="FR19" s="48">
        <v>14.76</v>
      </c>
      <c r="FS19" s="37">
        <f t="shared" si="41"/>
        <v>42000</v>
      </c>
      <c r="FT19" s="48">
        <f t="shared" si="76"/>
        <v>-648.6300000010815</v>
      </c>
      <c r="FU19" s="48">
        <f t="shared" si="77"/>
        <v>42648.630000001081</v>
      </c>
      <c r="FV19" s="44">
        <v>5633400</v>
      </c>
      <c r="FW19" s="44">
        <v>1734000</v>
      </c>
      <c r="FX19" s="37">
        <f t="shared" si="42"/>
        <v>21100</v>
      </c>
      <c r="FY19" s="56">
        <v>3722.1</v>
      </c>
      <c r="FZ19" s="63">
        <v>2.1896</v>
      </c>
      <c r="GA19" s="37">
        <f t="shared" si="43"/>
        <v>5589.9999999997272</v>
      </c>
      <c r="GB19" s="56">
        <v>853.37</v>
      </c>
      <c r="GC19" s="56">
        <v>957.48</v>
      </c>
      <c r="GD19" s="37">
        <f t="shared" si="44"/>
        <v>639.99999999998636</v>
      </c>
      <c r="GE19" s="56">
        <v>10530</v>
      </c>
      <c r="GF19" s="56">
        <v>3.7250000000000001</v>
      </c>
      <c r="GG19" s="37">
        <f t="shared" si="45"/>
        <v>8700.0000000000455</v>
      </c>
      <c r="GH19" s="153">
        <v>2044.7</v>
      </c>
      <c r="GI19" s="162">
        <v>1756.7</v>
      </c>
      <c r="GJ19" s="38">
        <f t="shared" si="46"/>
        <v>2299.9999999999545</v>
      </c>
      <c r="GK19" s="162">
        <v>1514.1</v>
      </c>
      <c r="GL19" s="163">
        <v>1139.3</v>
      </c>
      <c r="GM19" s="38">
        <f t="shared" si="47"/>
        <v>0</v>
      </c>
      <c r="GN19" s="57">
        <v>221980</v>
      </c>
      <c r="GO19" s="57">
        <v>197660</v>
      </c>
      <c r="GP19" s="38">
        <f t="shared" si="97"/>
        <v>3080</v>
      </c>
      <c r="GQ19" s="38">
        <v>283490</v>
      </c>
      <c r="GR19" s="38">
        <v>277660</v>
      </c>
      <c r="GS19" s="38">
        <f t="shared" si="78"/>
        <v>710</v>
      </c>
      <c r="GT19" s="178"/>
      <c r="GU19" s="144">
        <f>DailyJul!B18-DailyJul!N18-DailyJul!V18-DailyJul!Y18-DailyJul!Z18-DailyJul!AA18-DailyJul!AB18-DailyJul!AC18-DailyJul!AD18-DailyJul!AE18-DailyJul!AK18-DailyJul!AO18-DailyJul!AS18-DailyJul!AY18-DailyJul!BD18+DailyJul!BU18-DailyJul!BG18-DailyJul!BT18-DailyJul!AF18-DailyJul!AG18</f>
        <v>-5.0000001225271262E-2</v>
      </c>
      <c r="GV19" s="59">
        <v>3243.1</v>
      </c>
      <c r="GW19" s="60">
        <f t="shared" si="48"/>
        <v>216.20666666666665</v>
      </c>
      <c r="GX19" s="61">
        <v>216.21</v>
      </c>
      <c r="GY19" s="140"/>
      <c r="GZ19" s="62"/>
      <c r="HA19" s="62"/>
      <c r="HB19" s="74"/>
      <c r="HC19" s="62"/>
      <c r="HD19" s="74"/>
      <c r="HE19" s="24">
        <f t="shared" si="49"/>
        <v>0</v>
      </c>
      <c r="HF19" s="151"/>
      <c r="HG19" s="213">
        <v>13</v>
      </c>
      <c r="HH19" s="16">
        <v>17265</v>
      </c>
      <c r="HI19" s="16">
        <v>6624.8</v>
      </c>
      <c r="HJ19" s="16">
        <f t="shared" si="50"/>
        <v>87000</v>
      </c>
      <c r="HK19" s="16">
        <v>2.1432000000000002</v>
      </c>
      <c r="HL19" s="16">
        <v>807.23</v>
      </c>
      <c r="HM19" s="16">
        <f t="shared" si="99"/>
        <v>0</v>
      </c>
      <c r="HN19" s="16">
        <v>4414.8999999999996</v>
      </c>
      <c r="HO19" s="16">
        <v>1933.9</v>
      </c>
      <c r="HP19" s="16">
        <f t="shared" si="52"/>
        <v>22650</v>
      </c>
      <c r="HQ19" s="16">
        <v>3459.2</v>
      </c>
      <c r="HR19" s="16">
        <v>1482.6</v>
      </c>
      <c r="HS19" s="16">
        <f t="shared" si="53"/>
        <v>17249.999999999909</v>
      </c>
      <c r="HT19" s="16">
        <v>3194.8</v>
      </c>
      <c r="HU19" s="16">
        <v>1189</v>
      </c>
      <c r="HV19" s="16">
        <f t="shared" si="54"/>
        <v>26550.000000000091</v>
      </c>
      <c r="HW19" s="16">
        <v>2033.2</v>
      </c>
      <c r="HX19" s="16">
        <v>884.51</v>
      </c>
      <c r="HY19" s="16">
        <f t="shared" si="55"/>
        <v>1150</v>
      </c>
      <c r="HZ19" s="16">
        <v>1025300</v>
      </c>
      <c r="IA19" s="16">
        <v>471320</v>
      </c>
      <c r="IB19" s="16">
        <f t="shared" si="56"/>
        <v>1500</v>
      </c>
      <c r="IC19" s="16">
        <v>719.8</v>
      </c>
      <c r="ID19" s="16">
        <v>232.78</v>
      </c>
      <c r="IE19" s="16">
        <f t="shared" si="79"/>
        <v>0</v>
      </c>
      <c r="IF19" s="16"/>
      <c r="IG19" s="16"/>
      <c r="IH19" s="128">
        <f t="shared" si="57"/>
        <v>17900</v>
      </c>
      <c r="II19" s="211">
        <f t="shared" si="58"/>
        <v>0</v>
      </c>
      <c r="IJ19" s="16"/>
      <c r="IK19" s="16"/>
      <c r="IL19" s="16">
        <f t="shared" ref="IL19:IL38" si="100">IF((IJ19-IJ18)&lt;=0,0,(IJ19-IJ18))</f>
        <v>0</v>
      </c>
      <c r="IM19" s="16"/>
      <c r="IN19" s="16"/>
      <c r="IO19" s="16">
        <f t="shared" ref="IO19:IO38" si="101">IF((IM19-IM18)&lt;=0,0,(IM19-IM18)*1000)</f>
        <v>0</v>
      </c>
      <c r="IP19" s="16"/>
      <c r="IQ19" s="16"/>
      <c r="IR19" s="16">
        <f t="shared" ref="IR19:IR38" si="102">IF((IP19-IP18)&lt;=0,0,(IP19-IP18))</f>
        <v>0</v>
      </c>
      <c r="IS19" s="16"/>
      <c r="IT19" s="16"/>
      <c r="IU19" s="16">
        <f t="shared" ref="IU19:IU38" si="103">IF((IS19-IS18)&lt;=0,0,(IS19-IS18))</f>
        <v>0</v>
      </c>
      <c r="IV19" s="16"/>
      <c r="IW19" s="16"/>
      <c r="IX19" s="16">
        <f t="shared" ref="IX19:IX38" si="104">IF((IV19-IV18)&lt;=0,0,(IV19-IV18))</f>
        <v>0</v>
      </c>
      <c r="IY19" s="16"/>
      <c r="IZ19" s="16"/>
      <c r="JA19" s="16">
        <f t="shared" ref="JA19:JA38" si="105">IF((IY19-IY18)&lt;=0,0,(IY19-IY18))</f>
        <v>0</v>
      </c>
      <c r="JB19" s="16"/>
      <c r="JC19" s="16"/>
      <c r="JD19" s="16">
        <f t="shared" ref="JD19:JD38" si="106">IF((JB19-JB18)&lt;=0,0,(JB19-JB18))</f>
        <v>0</v>
      </c>
      <c r="JE19" s="16"/>
      <c r="JF19" s="16"/>
      <c r="JG19" s="16">
        <f t="shared" ref="JG19:JG38" si="107">IF((JE19-JE18)&lt;=0,0,(JE19-JE18))</f>
        <v>0</v>
      </c>
      <c r="JH19" s="16"/>
      <c r="JI19" s="16"/>
      <c r="JJ19" s="16">
        <f t="shared" ref="JJ19:JJ38" si="108">IF((JH19-JH18)&lt;=0,0,(JH19-JH18))</f>
        <v>0</v>
      </c>
      <c r="JK19" s="16"/>
      <c r="JL19" s="16"/>
      <c r="JM19" s="16">
        <f t="shared" ref="JM19:JM38" si="109">IF((JK19-JK18)&lt;=0,0,(JK19-JK18))</f>
        <v>0</v>
      </c>
      <c r="JN19" s="16"/>
      <c r="JO19" s="16"/>
      <c r="JP19" s="16">
        <f t="shared" ref="JP19:JP38" si="110">IF((JN19-JN18)&lt;=0,0,(JN19-JN18))</f>
        <v>0</v>
      </c>
      <c r="JQ19" s="16"/>
      <c r="JR19" s="16"/>
      <c r="JS19" s="16">
        <f t="shared" ref="JS19:JS38" si="111">IF((JQ19-JQ18)&lt;=0,0,(JQ19-JQ18))</f>
        <v>0</v>
      </c>
      <c r="JT19" s="16"/>
      <c r="JU19" s="16"/>
      <c r="JV19" s="16">
        <f t="shared" ref="JV19:JV38" si="112">IF((JT19-JT18)&lt;=0,0,(JT19-JT18))</f>
        <v>0</v>
      </c>
      <c r="JW19" s="16"/>
      <c r="JX19" s="16"/>
      <c r="JY19" s="16">
        <f t="shared" ref="JY19:JY38" si="113">IF((JW19-JW18)&lt;=0,0,(JW19-JW18))</f>
        <v>0</v>
      </c>
      <c r="JZ19" s="16"/>
      <c r="KA19" s="16"/>
      <c r="KB19" s="16">
        <f t="shared" ref="KB19:KB38" si="114">IF((JZ19-JZ18)&lt;=0,0,(JZ19-JZ18))</f>
        <v>0</v>
      </c>
      <c r="KC19" s="16"/>
      <c r="KD19" s="16"/>
      <c r="KE19" s="16">
        <f t="shared" ref="KE19:KE38" si="115">IF((KC19-KC18)&lt;=0,0,(KC19-KC18))</f>
        <v>0</v>
      </c>
      <c r="KG19" s="151">
        <f t="shared" si="59"/>
        <v>24150</v>
      </c>
    </row>
    <row r="20" spans="1:293" x14ac:dyDescent="0.25">
      <c r="A20" s="35">
        <f t="shared" si="0"/>
        <v>14</v>
      </c>
      <c r="B20" s="38">
        <v>4901.59</v>
      </c>
      <c r="C20" s="38">
        <f t="shared" si="1"/>
        <v>7.3800000000001091</v>
      </c>
      <c r="D20" s="38">
        <f t="shared" si="2"/>
        <v>236160.00000000349</v>
      </c>
      <c r="E20" s="38">
        <v>984.49</v>
      </c>
      <c r="F20" s="38">
        <f t="shared" si="3"/>
        <v>50880.000000001019</v>
      </c>
      <c r="G20" s="38">
        <f t="shared" si="4"/>
        <v>287040.00000000454</v>
      </c>
      <c r="H20" s="37"/>
      <c r="I20" s="39"/>
      <c r="J20" s="42"/>
      <c r="K20" s="37">
        <f t="shared" si="80"/>
        <v>0</v>
      </c>
      <c r="L20" s="40">
        <v>15462400</v>
      </c>
      <c r="M20" s="40"/>
      <c r="N20" s="37">
        <f t="shared" si="81"/>
        <v>285000</v>
      </c>
      <c r="O20" s="37">
        <v>11938.3</v>
      </c>
      <c r="P20" s="37"/>
      <c r="Q20" s="37">
        <f t="shared" si="5"/>
        <v>18399.999999999636</v>
      </c>
      <c r="R20" s="37">
        <f t="shared" si="82"/>
        <v>1</v>
      </c>
      <c r="S20" s="37">
        <v>11251146.880000001</v>
      </c>
      <c r="T20" s="37">
        <f t="shared" si="6"/>
        <v>223.91000000014901</v>
      </c>
      <c r="U20" s="37">
        <v>1523790.61</v>
      </c>
      <c r="V20" s="37">
        <f t="shared" si="7"/>
        <v>0</v>
      </c>
      <c r="W20" s="37">
        <v>4277.8</v>
      </c>
      <c r="X20" s="37">
        <f t="shared" si="95"/>
        <v>18076.089999999487</v>
      </c>
      <c r="Y20" s="183"/>
      <c r="Z20" s="183"/>
      <c r="AA20" s="37">
        <v>791300</v>
      </c>
      <c r="AB20" s="37">
        <f t="shared" si="8"/>
        <v>100</v>
      </c>
      <c r="AC20" s="37">
        <v>4424</v>
      </c>
      <c r="AD20" s="37"/>
      <c r="AE20" s="37">
        <f t="shared" si="9"/>
        <v>8100.0000000003638</v>
      </c>
      <c r="AF20" s="37">
        <f t="shared" si="83"/>
        <v>1</v>
      </c>
      <c r="AG20" s="37">
        <v>9640.2999999999993</v>
      </c>
      <c r="AH20" s="67"/>
      <c r="AI20" s="37">
        <f t="shared" si="10"/>
        <v>13540.129999998544</v>
      </c>
      <c r="AJ20" s="37">
        <f t="shared" si="11"/>
        <v>1</v>
      </c>
      <c r="AK20" s="37">
        <f t="shared" si="12"/>
        <v>39940.129999998542</v>
      </c>
      <c r="AL20" s="48">
        <v>11435.4</v>
      </c>
      <c r="AM20" s="66"/>
      <c r="AN20" s="37">
        <f t="shared" si="60"/>
        <v>7080.129999999358</v>
      </c>
      <c r="AO20" s="37">
        <f t="shared" si="84"/>
        <v>1</v>
      </c>
      <c r="AP20" s="37">
        <v>8951.6</v>
      </c>
      <c r="AQ20" s="37"/>
      <c r="AR20" s="37">
        <f t="shared" si="13"/>
        <v>7700.0000000007276</v>
      </c>
      <c r="AS20" s="37">
        <f t="shared" si="85"/>
        <v>1</v>
      </c>
      <c r="AT20" s="183"/>
      <c r="AU20" s="183"/>
      <c r="AV20" s="183"/>
      <c r="AW20" s="183"/>
      <c r="AX20" s="37">
        <v>506250</v>
      </c>
      <c r="AY20" s="37"/>
      <c r="AZ20" s="37">
        <f t="shared" si="14"/>
        <v>350</v>
      </c>
      <c r="BA20" s="37">
        <v>180130</v>
      </c>
      <c r="BB20" s="37"/>
      <c r="BC20" s="37">
        <f t="shared" si="15"/>
        <v>530</v>
      </c>
      <c r="BD20" s="37">
        <f t="shared" si="86"/>
        <v>15660.130000000085</v>
      </c>
      <c r="BE20" s="43">
        <v>2003</v>
      </c>
      <c r="BF20" s="43">
        <v>1113.7</v>
      </c>
      <c r="BG20" s="37">
        <f t="shared" si="16"/>
        <v>1700.0000000000455</v>
      </c>
      <c r="BH20" s="44">
        <v>9387.5</v>
      </c>
      <c r="BI20" s="44">
        <v>6051.4</v>
      </c>
      <c r="BJ20" s="37">
        <f t="shared" si="17"/>
        <v>9399.9999999996362</v>
      </c>
      <c r="BK20" s="40">
        <v>1775070</v>
      </c>
      <c r="BL20" s="40">
        <f t="shared" si="87"/>
        <v>4190</v>
      </c>
      <c r="BM20" s="40">
        <v>905.27</v>
      </c>
      <c r="BN20" s="37">
        <f t="shared" si="18"/>
        <v>669.99999999995907</v>
      </c>
      <c r="BO20" s="186"/>
      <c r="BP20" s="183">
        <f t="shared" si="19"/>
        <v>0</v>
      </c>
      <c r="BQ20" s="40">
        <v>854</v>
      </c>
      <c r="BR20" s="37">
        <f t="shared" si="61"/>
        <v>299.99999999995453</v>
      </c>
      <c r="BS20" s="37">
        <v>108484.27</v>
      </c>
      <c r="BT20" s="37">
        <f t="shared" si="20"/>
        <v>208.08000000000175</v>
      </c>
      <c r="BU20" s="42">
        <v>3136603</v>
      </c>
      <c r="BV20" s="42"/>
      <c r="BW20" s="37">
        <f t="shared" si="21"/>
        <v>7070</v>
      </c>
      <c r="BX20" s="37">
        <f t="shared" si="88"/>
        <v>1</v>
      </c>
      <c r="BY20" s="43">
        <v>378.16129999999998</v>
      </c>
      <c r="BZ20" s="43"/>
      <c r="CA20" s="37">
        <f>IF((BY20-BY19)&lt;=0,0,(BY20-BY19)*1000)</f>
        <v>877.00000000000955</v>
      </c>
      <c r="CB20" s="37">
        <f t="shared" si="62"/>
        <v>1</v>
      </c>
      <c r="CC20" s="37">
        <v>732330.3</v>
      </c>
      <c r="CD20" s="37">
        <f t="shared" si="23"/>
        <v>344.90000000002328</v>
      </c>
      <c r="CE20" s="41">
        <v>1478091</v>
      </c>
      <c r="CF20" s="37">
        <f t="shared" si="24"/>
        <v>5908</v>
      </c>
      <c r="CG20" s="37">
        <v>72810.600000000006</v>
      </c>
      <c r="CH20" s="37">
        <f t="shared" si="63"/>
        <v>0</v>
      </c>
      <c r="CI20" s="40">
        <v>13610.35</v>
      </c>
      <c r="CJ20" s="40"/>
      <c r="CK20" s="37">
        <f t="shared" si="64"/>
        <v>15893.129999999919</v>
      </c>
      <c r="CL20" s="37">
        <f t="shared" si="25"/>
        <v>1</v>
      </c>
      <c r="CM20" s="37">
        <v>3886.2330000000002</v>
      </c>
      <c r="CN20" s="37"/>
      <c r="CO20" s="37">
        <f t="shared" si="26"/>
        <v>7908.1300000003021</v>
      </c>
      <c r="CP20" s="37">
        <f t="shared" si="89"/>
        <v>1</v>
      </c>
      <c r="CQ20" s="39">
        <v>476648.4</v>
      </c>
      <c r="CR20" s="39"/>
      <c r="CS20" s="37">
        <f t="shared" si="65"/>
        <v>8052.230000000035</v>
      </c>
      <c r="CT20" s="37">
        <f t="shared" si="66"/>
        <v>1</v>
      </c>
      <c r="CU20" s="37">
        <v>4128764</v>
      </c>
      <c r="CV20" s="37"/>
      <c r="CW20" s="38">
        <f t="shared" si="27"/>
        <v>836</v>
      </c>
      <c r="CX20" s="37">
        <f t="shared" si="90"/>
        <v>1</v>
      </c>
      <c r="CY20" s="37">
        <v>2190319</v>
      </c>
      <c r="CZ20" s="37"/>
      <c r="DA20" s="37">
        <f t="shared" si="28"/>
        <v>554</v>
      </c>
      <c r="DB20" s="37">
        <f t="shared" si="91"/>
        <v>1</v>
      </c>
      <c r="DC20" s="37"/>
      <c r="DD20" s="40"/>
      <c r="DE20" s="37">
        <f t="shared" si="29"/>
        <v>0</v>
      </c>
      <c r="DF20" s="37">
        <f t="shared" si="96"/>
        <v>0</v>
      </c>
      <c r="DG20" s="37">
        <f t="shared" si="30"/>
        <v>-40313.49000000026</v>
      </c>
      <c r="DH20" s="37">
        <f t="shared" si="31"/>
        <v>326640.12999999861</v>
      </c>
      <c r="DI20" s="46"/>
      <c r="DJ20" s="46"/>
      <c r="DK20" s="47"/>
      <c r="DL20" s="47"/>
      <c r="DM20" s="37"/>
      <c r="DN20" s="37"/>
      <c r="DO20" s="37"/>
      <c r="DP20" s="37"/>
      <c r="DQ20" s="50">
        <v>3975100</v>
      </c>
      <c r="DR20" s="49">
        <f t="shared" si="67"/>
        <v>10300</v>
      </c>
      <c r="DS20" s="50">
        <v>4718000</v>
      </c>
      <c r="DT20" s="49">
        <f t="shared" si="68"/>
        <v>16300</v>
      </c>
      <c r="DU20" s="52">
        <v>8205.1</v>
      </c>
      <c r="DV20" s="52">
        <v>4613</v>
      </c>
      <c r="DW20" s="37">
        <f t="shared" si="92"/>
        <v>3800.0000000010914</v>
      </c>
      <c r="DX20" s="52">
        <v>13540</v>
      </c>
      <c r="DY20" s="52">
        <v>8527.2999999999993</v>
      </c>
      <c r="DZ20" s="37">
        <f t="shared" si="32"/>
        <v>7940.13</v>
      </c>
      <c r="EA20" s="49">
        <v>31239</v>
      </c>
      <c r="EB20" s="49">
        <v>21.577999999999999</v>
      </c>
      <c r="EC20" s="37">
        <f t="shared" si="33"/>
        <v>23100.13</v>
      </c>
      <c r="ED20" s="53">
        <f t="shared" si="34"/>
        <v>34840.260000001093</v>
      </c>
      <c r="EE20" s="49">
        <v>46797</v>
      </c>
      <c r="EF20" s="49">
        <v>30.661999999999999</v>
      </c>
      <c r="EG20" s="37">
        <f t="shared" si="35"/>
        <v>32100.13</v>
      </c>
      <c r="EH20" s="68">
        <v>13665</v>
      </c>
      <c r="EI20" s="52">
        <v>1.9343999999999999</v>
      </c>
      <c r="EJ20" s="37">
        <f t="shared" si="36"/>
        <v>11940.13</v>
      </c>
      <c r="EK20" s="37">
        <v>830.55</v>
      </c>
      <c r="EL20" s="40">
        <v>1189</v>
      </c>
      <c r="EM20" s="37">
        <f t="shared" si="69"/>
        <v>649.99999999997726</v>
      </c>
      <c r="EN20" s="54">
        <f t="shared" si="70"/>
        <v>44690.25999999998</v>
      </c>
      <c r="EO20" s="48">
        <v>13380</v>
      </c>
      <c r="EP20" s="48">
        <v>4678.7</v>
      </c>
      <c r="EQ20" s="37">
        <f t="shared" si="71"/>
        <v>7055.1299999999519</v>
      </c>
      <c r="ER20" s="48">
        <v>10146</v>
      </c>
      <c r="ES20" s="48">
        <v>4184.8</v>
      </c>
      <c r="ET20" s="49">
        <f t="shared" si="98"/>
        <v>17000</v>
      </c>
      <c r="EU20" s="48">
        <v>4049.2</v>
      </c>
      <c r="EV20" s="48">
        <v>1439</v>
      </c>
      <c r="EW20" s="49">
        <f t="shared" si="38"/>
        <v>8440.1299999999992</v>
      </c>
      <c r="EX20" s="48">
        <v>14105</v>
      </c>
      <c r="EY20" s="48">
        <v>1.6771</v>
      </c>
      <c r="EZ20" s="37">
        <f t="shared" si="39"/>
        <v>10940.13</v>
      </c>
      <c r="FA20" s="48">
        <f t="shared" si="72"/>
        <v>-20704.389999999948</v>
      </c>
      <c r="FB20" s="48">
        <v>37640691</v>
      </c>
      <c r="FC20" s="49">
        <f t="shared" si="93"/>
        <v>22731</v>
      </c>
      <c r="FD20" s="48">
        <f t="shared" si="73"/>
        <v>45935.389999999948</v>
      </c>
      <c r="FE20" s="48">
        <v>17502</v>
      </c>
      <c r="FF20" s="48">
        <v>6209.1</v>
      </c>
      <c r="FG20" s="37">
        <f t="shared" si="74"/>
        <v>9796.8000000000466</v>
      </c>
      <c r="FH20" s="48">
        <v>9614.7999999999993</v>
      </c>
      <c r="FI20" s="48">
        <v>3.7141999999999999</v>
      </c>
      <c r="FJ20" s="49">
        <f t="shared" si="40"/>
        <v>19111.799999998908</v>
      </c>
      <c r="FK20" s="48"/>
      <c r="FL20" s="58">
        <v>-28.33</v>
      </c>
      <c r="FM20" s="48">
        <f t="shared" si="94"/>
        <v>59.86666666701543</v>
      </c>
      <c r="FN20" s="48">
        <v>17235</v>
      </c>
      <c r="FO20" s="48">
        <v>0.92290000000000005</v>
      </c>
      <c r="FP20" s="37">
        <f t="shared" si="75"/>
        <v>12911.8</v>
      </c>
      <c r="FQ20" s="48">
        <v>60773</v>
      </c>
      <c r="FR20" s="48">
        <v>14.771000000000001</v>
      </c>
      <c r="FS20" s="37">
        <f t="shared" si="41"/>
        <v>42000</v>
      </c>
      <c r="FT20" s="48">
        <f t="shared" si="76"/>
        <v>179.60000000104628</v>
      </c>
      <c r="FU20" s="48">
        <f t="shared" si="77"/>
        <v>41920.399999999092</v>
      </c>
      <c r="FV20" s="44">
        <v>5651900</v>
      </c>
      <c r="FW20" s="44">
        <v>1739600</v>
      </c>
      <c r="FX20" s="37">
        <f t="shared" si="42"/>
        <v>18500</v>
      </c>
      <c r="FY20" s="56">
        <v>3727.9</v>
      </c>
      <c r="FZ20" s="63">
        <v>2.1903999999999999</v>
      </c>
      <c r="GA20" s="37">
        <f t="shared" si="43"/>
        <v>5020.0000000001819</v>
      </c>
      <c r="GB20" s="56">
        <v>854.01</v>
      </c>
      <c r="GC20" s="56">
        <v>958.19</v>
      </c>
      <c r="GD20" s="37">
        <f t="shared" si="44"/>
        <v>639.99999999998636</v>
      </c>
      <c r="GE20" s="56">
        <v>10541</v>
      </c>
      <c r="GF20" s="56">
        <v>3.7341000000000002</v>
      </c>
      <c r="GG20" s="37">
        <f t="shared" si="45"/>
        <v>8399.9999999998636</v>
      </c>
      <c r="GH20" s="153">
        <v>2047.2</v>
      </c>
      <c r="GI20" s="162">
        <v>1759.1</v>
      </c>
      <c r="GJ20" s="38">
        <f t="shared" si="46"/>
        <v>2500</v>
      </c>
      <c r="GK20" s="162">
        <v>1514.2</v>
      </c>
      <c r="GL20" s="163">
        <v>1139.4000000000001</v>
      </c>
      <c r="GM20" s="38">
        <f t="shared" si="47"/>
        <v>100.00000000013642</v>
      </c>
      <c r="GN20" s="57">
        <v>225300</v>
      </c>
      <c r="GO20" s="57">
        <v>200700</v>
      </c>
      <c r="GP20" s="38">
        <f t="shared" si="97"/>
        <v>3320</v>
      </c>
      <c r="GQ20" s="38">
        <v>284270</v>
      </c>
      <c r="GR20" s="38">
        <v>278550</v>
      </c>
      <c r="GS20" s="38">
        <f t="shared" si="78"/>
        <v>780</v>
      </c>
      <c r="GT20" s="178"/>
      <c r="GU20" s="144">
        <f>DailyJul!B19-DailyJul!N19-DailyJul!V19-DailyJul!Y19-DailyJul!Z19-DailyJul!AA19-DailyJul!AB19-DailyJul!AC19-DailyJul!AD19-DailyJul!AE19-DailyJul!AK19-DailyJul!AO19-DailyJul!AS19-DailyJul!AY19-DailyJul!BD19+DailyJul!BU19-DailyJul!BG19-DailyJul!BT19-DailyJul!AF19-DailyJul!AG19</f>
        <v>4.0000005850743037E-2</v>
      </c>
      <c r="GV20" s="59">
        <v>-898.01</v>
      </c>
      <c r="GW20" s="60">
        <f t="shared" si="48"/>
        <v>-59.867333333333335</v>
      </c>
      <c r="GX20" s="61">
        <v>-59.87</v>
      </c>
      <c r="GY20" s="140"/>
      <c r="GZ20" s="62"/>
      <c r="HA20" s="62"/>
      <c r="HB20" s="74"/>
      <c r="HC20" s="62"/>
      <c r="HD20" s="74"/>
      <c r="HE20" s="24">
        <f t="shared" si="49"/>
        <v>0</v>
      </c>
      <c r="HF20" s="151"/>
      <c r="HG20" s="213">
        <v>14</v>
      </c>
      <c r="HH20" s="16">
        <v>17315</v>
      </c>
      <c r="HI20" s="128">
        <v>6644.7</v>
      </c>
      <c r="HJ20" s="16">
        <f t="shared" si="50"/>
        <v>50000</v>
      </c>
      <c r="HK20" s="16">
        <v>2.1432000000000002</v>
      </c>
      <c r="HL20" s="16">
        <v>807.23</v>
      </c>
      <c r="HM20" s="16">
        <f t="shared" si="99"/>
        <v>0</v>
      </c>
      <c r="HN20" s="16">
        <v>4426.3</v>
      </c>
      <c r="HO20" s="16">
        <v>1940.2</v>
      </c>
      <c r="HP20" s="16">
        <f t="shared" si="52"/>
        <v>11325.000000000546</v>
      </c>
      <c r="HQ20" s="16">
        <v>3465.7</v>
      </c>
      <c r="HR20" s="16">
        <v>1486.3</v>
      </c>
      <c r="HS20" s="16">
        <f t="shared" si="53"/>
        <v>6425</v>
      </c>
      <c r="HT20" s="16">
        <v>3208.6</v>
      </c>
      <c r="HU20" s="16">
        <v>1194.4000000000001</v>
      </c>
      <c r="HV20" s="16">
        <f t="shared" si="54"/>
        <v>13724.999999999727</v>
      </c>
      <c r="HW20" s="16">
        <v>2034.5</v>
      </c>
      <c r="HX20" s="16">
        <v>885.57</v>
      </c>
      <c r="HY20" s="16">
        <f t="shared" si="55"/>
        <v>1224.9999999999545</v>
      </c>
      <c r="HZ20" s="16">
        <v>1026300</v>
      </c>
      <c r="IA20" s="16">
        <v>473350</v>
      </c>
      <c r="IB20" s="16">
        <f t="shared" si="56"/>
        <v>1000</v>
      </c>
      <c r="IC20" s="16">
        <v>719.8</v>
      </c>
      <c r="ID20" s="16">
        <v>232.78</v>
      </c>
      <c r="IE20" s="16">
        <f t="shared" si="79"/>
        <v>0</v>
      </c>
      <c r="IF20" s="16"/>
      <c r="IG20" s="16"/>
      <c r="IH20" s="128">
        <f t="shared" si="57"/>
        <v>16300</v>
      </c>
      <c r="II20" s="211">
        <f t="shared" si="58"/>
        <v>-2.255546860396862E-10</v>
      </c>
      <c r="IJ20" s="16"/>
      <c r="IK20" s="16"/>
      <c r="IL20" s="16">
        <f t="shared" si="100"/>
        <v>0</v>
      </c>
      <c r="IM20" s="16"/>
      <c r="IN20" s="16"/>
      <c r="IO20" s="16">
        <f t="shared" si="101"/>
        <v>0</v>
      </c>
      <c r="IP20" s="16"/>
      <c r="IQ20" s="16"/>
      <c r="IR20" s="16">
        <f t="shared" si="102"/>
        <v>0</v>
      </c>
      <c r="IS20" s="16"/>
      <c r="IT20" s="16"/>
      <c r="IU20" s="16">
        <f t="shared" si="103"/>
        <v>0</v>
      </c>
      <c r="IV20" s="16"/>
      <c r="IW20" s="16"/>
      <c r="IX20" s="16">
        <f t="shared" si="104"/>
        <v>0</v>
      </c>
      <c r="IY20" s="16"/>
      <c r="IZ20" s="16"/>
      <c r="JA20" s="16">
        <f t="shared" si="105"/>
        <v>0</v>
      </c>
      <c r="JB20" s="16"/>
      <c r="JC20" s="16"/>
      <c r="JD20" s="16">
        <f t="shared" si="106"/>
        <v>0</v>
      </c>
      <c r="JE20" s="16"/>
      <c r="JF20" s="16"/>
      <c r="JG20" s="16">
        <f t="shared" si="107"/>
        <v>0</v>
      </c>
      <c r="JH20" s="16"/>
      <c r="JI20" s="16"/>
      <c r="JJ20" s="16">
        <f t="shared" si="108"/>
        <v>0</v>
      </c>
      <c r="JK20" s="16"/>
      <c r="JL20" s="16"/>
      <c r="JM20" s="16">
        <f t="shared" si="109"/>
        <v>0</v>
      </c>
      <c r="JN20" s="16"/>
      <c r="JO20" s="16"/>
      <c r="JP20" s="16">
        <f t="shared" si="110"/>
        <v>0</v>
      </c>
      <c r="JQ20" s="16"/>
      <c r="JR20" s="16"/>
      <c r="JS20" s="16">
        <f t="shared" si="111"/>
        <v>0</v>
      </c>
      <c r="JT20" s="16"/>
      <c r="JU20" s="16"/>
      <c r="JV20" s="16">
        <f t="shared" si="112"/>
        <v>0</v>
      </c>
      <c r="JW20" s="16"/>
      <c r="JX20" s="16"/>
      <c r="JY20" s="16">
        <f t="shared" si="113"/>
        <v>0</v>
      </c>
      <c r="JZ20" s="16"/>
      <c r="KA20" s="16"/>
      <c r="KB20" s="16">
        <f t="shared" si="114"/>
        <v>0</v>
      </c>
      <c r="KC20" s="16"/>
      <c r="KD20" s="16"/>
      <c r="KE20" s="16">
        <f t="shared" si="115"/>
        <v>0</v>
      </c>
      <c r="KG20" s="151">
        <f t="shared" si="59"/>
        <v>12325.00000000032</v>
      </c>
    </row>
    <row r="21" spans="1:293" x14ac:dyDescent="0.25">
      <c r="A21" s="35">
        <f t="shared" si="0"/>
        <v>15</v>
      </c>
      <c r="B21" s="38">
        <v>4908.83</v>
      </c>
      <c r="C21" s="38">
        <f t="shared" si="1"/>
        <v>7.2399999999997817</v>
      </c>
      <c r="D21" s="38">
        <f t="shared" si="2"/>
        <v>231679.99999999302</v>
      </c>
      <c r="E21" s="38">
        <v>986.04</v>
      </c>
      <c r="F21" s="38">
        <f t="shared" si="3"/>
        <v>49599.999999998545</v>
      </c>
      <c r="G21" s="38">
        <f t="shared" si="4"/>
        <v>281279.99999999156</v>
      </c>
      <c r="H21" s="37"/>
      <c r="I21" s="39"/>
      <c r="J21" s="42"/>
      <c r="K21" s="37">
        <f t="shared" si="80"/>
        <v>0</v>
      </c>
      <c r="L21" s="40">
        <v>15490400</v>
      </c>
      <c r="M21" s="40"/>
      <c r="N21" s="37">
        <f t="shared" si="81"/>
        <v>280000</v>
      </c>
      <c r="O21" s="37">
        <v>11956.4</v>
      </c>
      <c r="P21" s="37"/>
      <c r="Q21" s="37">
        <f t="shared" si="5"/>
        <v>18100.000000000364</v>
      </c>
      <c r="R21" s="37">
        <f t="shared" si="82"/>
        <v>1</v>
      </c>
      <c r="S21" s="37">
        <v>11251469.98</v>
      </c>
      <c r="T21" s="37">
        <f t="shared" si="6"/>
        <v>323.09999999962747</v>
      </c>
      <c r="U21" s="37">
        <v>1523790.61</v>
      </c>
      <c r="V21" s="37">
        <f t="shared" si="7"/>
        <v>0</v>
      </c>
      <c r="W21" s="37">
        <v>4284</v>
      </c>
      <c r="X21" s="37">
        <f t="shared" si="95"/>
        <v>17676.900000000736</v>
      </c>
      <c r="Y21" s="183"/>
      <c r="Z21" s="183"/>
      <c r="AA21" s="37">
        <v>791400</v>
      </c>
      <c r="AB21" s="37">
        <f t="shared" si="8"/>
        <v>100</v>
      </c>
      <c r="AC21" s="37">
        <v>4432.3</v>
      </c>
      <c r="AD21" s="37"/>
      <c r="AE21" s="37">
        <f t="shared" si="9"/>
        <v>8300.0000000001819</v>
      </c>
      <c r="AF21" s="37">
        <f t="shared" si="83"/>
        <v>1</v>
      </c>
      <c r="AG21" s="37">
        <v>9654.2999999999993</v>
      </c>
      <c r="AH21" s="67"/>
      <c r="AI21" s="37">
        <f t="shared" si="10"/>
        <v>13839.82</v>
      </c>
      <c r="AJ21" s="37">
        <f t="shared" si="11"/>
        <v>1</v>
      </c>
      <c r="AK21" s="37">
        <f t="shared" si="12"/>
        <v>40139.820000000545</v>
      </c>
      <c r="AL21" s="42">
        <v>11448.3</v>
      </c>
      <c r="AM21" s="42"/>
      <c r="AN21" s="37">
        <f t="shared" si="60"/>
        <v>6889.8199999995177</v>
      </c>
      <c r="AO21" s="37">
        <f t="shared" si="84"/>
        <v>1</v>
      </c>
      <c r="AP21" s="37">
        <v>8959.7000000000007</v>
      </c>
      <c r="AQ21" s="37"/>
      <c r="AR21" s="37">
        <f t="shared" si="13"/>
        <v>8100.0000000003638</v>
      </c>
      <c r="AS21" s="37">
        <f t="shared" si="85"/>
        <v>1</v>
      </c>
      <c r="AT21" s="183"/>
      <c r="AU21" s="183"/>
      <c r="AV21" s="183"/>
      <c r="AW21" s="183"/>
      <c r="AX21" s="37">
        <v>506620</v>
      </c>
      <c r="AY21" s="37"/>
      <c r="AZ21" s="37">
        <f t="shared" si="14"/>
        <v>370</v>
      </c>
      <c r="BA21" s="37">
        <v>180800</v>
      </c>
      <c r="BB21" s="37"/>
      <c r="BC21" s="37">
        <f t="shared" si="15"/>
        <v>670</v>
      </c>
      <c r="BD21" s="37">
        <f t="shared" si="86"/>
        <v>16029.819999999881</v>
      </c>
      <c r="BE21" s="43">
        <v>2004.7</v>
      </c>
      <c r="BF21" s="43">
        <v>1114.9000000000001</v>
      </c>
      <c r="BG21" s="37">
        <f t="shared" si="16"/>
        <v>1700.0000000000455</v>
      </c>
      <c r="BH21" s="44">
        <v>9397</v>
      </c>
      <c r="BI21" s="44">
        <v>6057.8</v>
      </c>
      <c r="BJ21" s="37">
        <f t="shared" si="17"/>
        <v>9500</v>
      </c>
      <c r="BK21" s="40">
        <v>1779550</v>
      </c>
      <c r="BL21" s="40">
        <f t="shared" si="87"/>
        <v>4480</v>
      </c>
      <c r="BM21" s="40">
        <v>905.94</v>
      </c>
      <c r="BN21" s="37">
        <f t="shared" si="18"/>
        <v>670.00000000007276</v>
      </c>
      <c r="BO21" s="186"/>
      <c r="BP21" s="183">
        <f t="shared" si="19"/>
        <v>0</v>
      </c>
      <c r="BQ21" s="40">
        <v>854.7</v>
      </c>
      <c r="BR21" s="37">
        <f>IF((BQ21-BQ20)&lt;=0,0,(BQ21-BQ20))*1000</f>
        <v>700.00000000004547</v>
      </c>
      <c r="BS21" s="37">
        <v>108673.99</v>
      </c>
      <c r="BT21" s="37">
        <f t="shared" si="20"/>
        <v>189.72000000000116</v>
      </c>
      <c r="BU21" s="42">
        <v>3143925</v>
      </c>
      <c r="BV21" s="42"/>
      <c r="BW21" s="37">
        <f t="shared" si="21"/>
        <v>7322</v>
      </c>
      <c r="BX21" s="37">
        <f t="shared" si="88"/>
        <v>1</v>
      </c>
      <c r="BY21" s="43">
        <v>378.96870000000001</v>
      </c>
      <c r="BZ21" s="43"/>
      <c r="CA21" s="37">
        <f t="shared" ref="CA21:CA38" si="116">IF((BY21-BY20)&lt;=0,0,(BY21-BY20)*1000)</f>
        <v>807.40000000002965</v>
      </c>
      <c r="CB21" s="37">
        <f t="shared" si="62"/>
        <v>1</v>
      </c>
      <c r="CC21" s="37">
        <v>732895.9</v>
      </c>
      <c r="CD21" s="37">
        <f t="shared" si="23"/>
        <v>565.59999999997672</v>
      </c>
      <c r="CE21" s="41">
        <v>1484751</v>
      </c>
      <c r="CF21" s="37">
        <f t="shared" si="24"/>
        <v>6660</v>
      </c>
      <c r="CG21" s="37">
        <v>72810.600000000006</v>
      </c>
      <c r="CH21" s="37">
        <f t="shared" si="63"/>
        <v>0</v>
      </c>
      <c r="CI21" s="40">
        <v>13626.76</v>
      </c>
      <c r="CJ21" s="40"/>
      <c r="CK21" s="37">
        <f t="shared" si="64"/>
        <v>15442.419999999824</v>
      </c>
      <c r="CL21" s="37">
        <f t="shared" si="25"/>
        <v>1</v>
      </c>
      <c r="CM21" s="37">
        <v>3893.3040000000001</v>
      </c>
      <c r="CN21" s="37"/>
      <c r="CO21" s="37">
        <f t="shared" si="26"/>
        <v>6910.8199999999124</v>
      </c>
      <c r="CP21" s="37">
        <f t="shared" si="89"/>
        <v>1</v>
      </c>
      <c r="CQ21" s="39">
        <v>483964.5</v>
      </c>
      <c r="CR21" s="39"/>
      <c r="CS21" s="37">
        <f t="shared" si="65"/>
        <v>7155.9199999999764</v>
      </c>
      <c r="CT21" s="37">
        <f t="shared" si="66"/>
        <v>1</v>
      </c>
      <c r="CU21" s="37">
        <v>4129575</v>
      </c>
      <c r="CV21" s="37"/>
      <c r="CW21" s="38">
        <f t="shared" si="27"/>
        <v>811</v>
      </c>
      <c r="CX21" s="37">
        <f t="shared" si="90"/>
        <v>1</v>
      </c>
      <c r="CY21" s="37">
        <v>2190883</v>
      </c>
      <c r="CZ21" s="37"/>
      <c r="DA21" s="37">
        <f t="shared" si="28"/>
        <v>564</v>
      </c>
      <c r="DB21" s="37">
        <f t="shared" si="91"/>
        <v>1</v>
      </c>
      <c r="DC21" s="37"/>
      <c r="DD21" s="40"/>
      <c r="DE21" s="37">
        <f t="shared" si="29"/>
        <v>0</v>
      </c>
      <c r="DF21" s="37">
        <f t="shared" si="96"/>
        <v>0</v>
      </c>
      <c r="DG21" s="37">
        <f t="shared" si="30"/>
        <v>-38206.159999999712</v>
      </c>
      <c r="DH21" s="37">
        <f t="shared" si="31"/>
        <v>321839.82000000059</v>
      </c>
      <c r="DI21" s="46"/>
      <c r="DJ21" s="46"/>
      <c r="DK21" s="47"/>
      <c r="DL21" s="47"/>
      <c r="DM21" s="37"/>
      <c r="DN21" s="37"/>
      <c r="DO21" s="37"/>
      <c r="DP21" s="37"/>
      <c r="DQ21" s="50">
        <v>3987800</v>
      </c>
      <c r="DR21" s="49">
        <f t="shared" si="67"/>
        <v>12700</v>
      </c>
      <c r="DS21" s="50">
        <v>4732500</v>
      </c>
      <c r="DT21" s="49">
        <f t="shared" si="68"/>
        <v>14500</v>
      </c>
      <c r="DU21" s="52">
        <v>8207.4</v>
      </c>
      <c r="DV21" s="52">
        <v>4614.2</v>
      </c>
      <c r="DW21" s="37">
        <f t="shared" si="92"/>
        <v>2299.9999999992724</v>
      </c>
      <c r="DX21" s="52">
        <v>13543</v>
      </c>
      <c r="DY21" s="52">
        <v>8530.2999999999993</v>
      </c>
      <c r="DZ21" s="37">
        <f t="shared" si="32"/>
        <v>2839.82</v>
      </c>
      <c r="EA21" s="49">
        <v>31248</v>
      </c>
      <c r="EB21" s="49">
        <v>21.582999999999998</v>
      </c>
      <c r="EC21" s="37">
        <f t="shared" si="33"/>
        <v>10999.82</v>
      </c>
      <c r="ED21" s="53">
        <f t="shared" si="34"/>
        <v>16139.639999999272</v>
      </c>
      <c r="EE21" s="49">
        <v>46827</v>
      </c>
      <c r="EF21" s="49">
        <v>30.687000000000001</v>
      </c>
      <c r="EG21" s="37">
        <f t="shared" si="35"/>
        <v>31999.82</v>
      </c>
      <c r="EH21" s="52">
        <v>13677</v>
      </c>
      <c r="EI21" s="52">
        <v>1.9383999999999999</v>
      </c>
      <c r="EJ21" s="37">
        <f t="shared" si="36"/>
        <v>11839.82</v>
      </c>
      <c r="EK21" s="37">
        <v>831.13</v>
      </c>
      <c r="EL21" s="40">
        <v>1189.8</v>
      </c>
      <c r="EM21" s="37">
        <f t="shared" si="69"/>
        <v>580.00000000004093</v>
      </c>
      <c r="EN21" s="54">
        <f t="shared" si="70"/>
        <v>44419.640000000043</v>
      </c>
      <c r="EO21" s="48">
        <v>13387</v>
      </c>
      <c r="EP21" s="48">
        <v>4681.3999999999996</v>
      </c>
      <c r="EQ21" s="37">
        <f t="shared" si="71"/>
        <v>5954.8200000000088</v>
      </c>
      <c r="ER21" s="48">
        <v>10164</v>
      </c>
      <c r="ES21" s="48">
        <v>4192.5</v>
      </c>
      <c r="ET21" s="49">
        <f t="shared" si="98"/>
        <v>18000</v>
      </c>
      <c r="EU21" s="48">
        <v>4057.9</v>
      </c>
      <c r="EV21" s="48">
        <v>1442.1</v>
      </c>
      <c r="EW21" s="49">
        <f t="shared" si="38"/>
        <v>8539.8200000002726</v>
      </c>
      <c r="EX21" s="48">
        <v>14117</v>
      </c>
      <c r="EY21" s="48">
        <v>1.679</v>
      </c>
      <c r="EZ21" s="37">
        <f t="shared" si="39"/>
        <v>11839.82</v>
      </c>
      <c r="FA21" s="48">
        <f t="shared" si="72"/>
        <v>-21273.460000000279</v>
      </c>
      <c r="FB21" s="48">
        <v>37663752</v>
      </c>
      <c r="FC21" s="49">
        <f t="shared" si="93"/>
        <v>23061</v>
      </c>
      <c r="FD21" s="48">
        <f t="shared" si="73"/>
        <v>46134.460000000239</v>
      </c>
      <c r="FE21" s="48">
        <v>17511</v>
      </c>
      <c r="FF21" s="48">
        <v>6209.1</v>
      </c>
      <c r="FG21" s="37">
        <f t="shared" si="74"/>
        <v>9729.8199999999906</v>
      </c>
      <c r="FH21" s="48">
        <v>9631.9</v>
      </c>
      <c r="FI21" s="48">
        <v>3.7206999999999999</v>
      </c>
      <c r="FJ21" s="49">
        <f t="shared" si="40"/>
        <v>16944.820000000364</v>
      </c>
      <c r="FK21" s="48"/>
      <c r="FL21" s="58">
        <v>5</v>
      </c>
      <c r="FM21" s="48">
        <f t="shared" si="94"/>
        <v>160.17999999988146</v>
      </c>
      <c r="FN21" s="48">
        <v>17250</v>
      </c>
      <c r="FO21" s="48">
        <v>0.92430000000000001</v>
      </c>
      <c r="FP21" s="37">
        <f t="shared" si="75"/>
        <v>14844.82</v>
      </c>
      <c r="FQ21" s="48">
        <v>60815</v>
      </c>
      <c r="FR21" s="48">
        <v>14.78</v>
      </c>
      <c r="FS21" s="37">
        <f t="shared" si="41"/>
        <v>42000</v>
      </c>
      <c r="FT21" s="48">
        <f t="shared" si="76"/>
        <v>480.53999999964435</v>
      </c>
      <c r="FU21" s="48">
        <f>FG21+FJ21+FP21+GM21</f>
        <v>43319.460000000312</v>
      </c>
      <c r="FV21" s="44">
        <v>5674800</v>
      </c>
      <c r="FW21" s="44">
        <v>1746500</v>
      </c>
      <c r="FX21" s="37">
        <f t="shared" si="42"/>
        <v>22900</v>
      </c>
      <c r="FY21" s="56">
        <v>3734</v>
      </c>
      <c r="FZ21" s="56">
        <v>2.1909999999999998</v>
      </c>
      <c r="GA21" s="37">
        <f t="shared" si="43"/>
        <v>5379.9999999999091</v>
      </c>
      <c r="GB21" s="56">
        <v>854.74</v>
      </c>
      <c r="GC21" s="56">
        <v>959.03</v>
      </c>
      <c r="GD21" s="37">
        <f t="shared" si="44"/>
        <v>730.00000000001819</v>
      </c>
      <c r="GE21" s="56">
        <v>10554</v>
      </c>
      <c r="GF21" s="56">
        <v>3.7431000000000001</v>
      </c>
      <c r="GG21" s="37">
        <f t="shared" si="45"/>
        <v>9400.0000000000909</v>
      </c>
      <c r="GH21" s="153">
        <v>2049</v>
      </c>
      <c r="GI21" s="162">
        <v>1761</v>
      </c>
      <c r="GJ21" s="38">
        <f t="shared" si="46"/>
        <v>1799.9999999999545</v>
      </c>
      <c r="GK21" s="162">
        <v>1516</v>
      </c>
      <c r="GL21" s="163">
        <v>1140.2</v>
      </c>
      <c r="GM21" s="38">
        <f t="shared" si="47"/>
        <v>1799.9999999999545</v>
      </c>
      <c r="GN21" s="57">
        <v>228230</v>
      </c>
      <c r="GO21" s="57">
        <v>203360</v>
      </c>
      <c r="GP21" s="38">
        <f t="shared" si="97"/>
        <v>2930</v>
      </c>
      <c r="GQ21" s="38">
        <v>284990</v>
      </c>
      <c r="GR21" s="38">
        <v>279410</v>
      </c>
      <c r="GS21" s="38">
        <f t="shared" si="78"/>
        <v>720</v>
      </c>
      <c r="GT21" s="178"/>
      <c r="GU21" s="144">
        <f>DailyJul!B20-DailyJul!N20-DailyJul!V20-DailyJul!Y20-DailyJul!Z20-DailyJul!AA20-DailyJul!AB20-DailyJul!AC20-DailyJul!AD20-DailyJul!AE20-DailyJul!AK20-DailyJul!AO20-DailyJul!AS20-DailyJul!AY20-DailyJul!BD20+DailyJul!BU20-DailyJul!BG20-DailyJul!BT20-DailyJul!AF20-DailyJul!AG20</f>
        <v>-8.64383764564991E-9</v>
      </c>
      <c r="GV21" s="59">
        <v>-2402.6999999999998</v>
      </c>
      <c r="GW21" s="60">
        <f t="shared" si="48"/>
        <v>-160.17999999999998</v>
      </c>
      <c r="GX21" s="61">
        <v>-160.18</v>
      </c>
      <c r="GY21" s="140"/>
      <c r="GZ21" s="62"/>
      <c r="HA21" s="62"/>
      <c r="HB21" s="74"/>
      <c r="HC21" s="62"/>
      <c r="HD21" s="74"/>
      <c r="HE21" s="24">
        <f t="shared" si="49"/>
        <v>0</v>
      </c>
      <c r="HF21" s="151"/>
      <c r="HG21" s="213">
        <v>15</v>
      </c>
      <c r="HH21" s="16">
        <v>17350</v>
      </c>
      <c r="HI21" s="16">
        <v>6658.4</v>
      </c>
      <c r="HJ21" s="16">
        <f t="shared" si="50"/>
        <v>35000</v>
      </c>
      <c r="HK21" s="16">
        <v>2.1432000000000002</v>
      </c>
      <c r="HL21" s="16">
        <v>807.23</v>
      </c>
      <c r="HM21" s="16">
        <f t="shared" si="99"/>
        <v>0</v>
      </c>
      <c r="HN21" s="16">
        <v>4433.1000000000004</v>
      </c>
      <c r="HO21" s="16">
        <v>1943.4</v>
      </c>
      <c r="HP21" s="16">
        <f t="shared" si="52"/>
        <v>6950.0000000001819</v>
      </c>
      <c r="HQ21" s="16">
        <v>3466.5</v>
      </c>
      <c r="HR21" s="16">
        <v>1487.3</v>
      </c>
      <c r="HS21" s="16">
        <f t="shared" si="53"/>
        <v>950.0000000001819</v>
      </c>
      <c r="HT21" s="16">
        <v>3215.9</v>
      </c>
      <c r="HU21" s="16">
        <v>1197.4000000000001</v>
      </c>
      <c r="HV21" s="16">
        <f t="shared" si="54"/>
        <v>7450.0000000001819</v>
      </c>
      <c r="HW21" s="16">
        <v>2037.3</v>
      </c>
      <c r="HX21" s="16">
        <v>887.19</v>
      </c>
      <c r="HY21" s="16">
        <f t="shared" si="55"/>
        <v>2949.9999999999545</v>
      </c>
      <c r="HZ21" s="16">
        <v>1028500</v>
      </c>
      <c r="IA21" s="16">
        <v>475900</v>
      </c>
      <c r="IB21" s="16">
        <f t="shared" si="56"/>
        <v>2200</v>
      </c>
      <c r="IC21" s="16">
        <v>719.8</v>
      </c>
      <c r="ID21" s="16">
        <v>232.78</v>
      </c>
      <c r="IE21" s="16">
        <f t="shared" si="79"/>
        <v>0</v>
      </c>
      <c r="IF21" s="16"/>
      <c r="IG21" s="16"/>
      <c r="IH21" s="128">
        <f t="shared" si="57"/>
        <v>14500</v>
      </c>
      <c r="II21" s="211">
        <f t="shared" si="58"/>
        <v>-5.0204107537865639E-10</v>
      </c>
      <c r="IJ21" s="16"/>
      <c r="IK21" s="16"/>
      <c r="IL21" s="16">
        <f t="shared" si="100"/>
        <v>0</v>
      </c>
      <c r="IM21" s="16"/>
      <c r="IN21" s="16"/>
      <c r="IO21" s="16">
        <f t="shared" si="101"/>
        <v>0</v>
      </c>
      <c r="IP21" s="16"/>
      <c r="IQ21" s="16"/>
      <c r="IR21" s="16">
        <f t="shared" si="102"/>
        <v>0</v>
      </c>
      <c r="IS21" s="16"/>
      <c r="IT21" s="16"/>
      <c r="IU21" s="16">
        <f t="shared" si="103"/>
        <v>0</v>
      </c>
      <c r="IV21" s="16"/>
      <c r="IW21" s="16"/>
      <c r="IX21" s="16">
        <f t="shared" si="104"/>
        <v>0</v>
      </c>
      <c r="IY21" s="16"/>
      <c r="IZ21" s="16"/>
      <c r="JA21" s="16">
        <f t="shared" si="105"/>
        <v>0</v>
      </c>
      <c r="JB21" s="16"/>
      <c r="JC21" s="16"/>
      <c r="JD21" s="16">
        <f t="shared" si="106"/>
        <v>0</v>
      </c>
      <c r="JE21" s="16"/>
      <c r="JF21" s="16"/>
      <c r="JG21" s="16">
        <f t="shared" si="107"/>
        <v>0</v>
      </c>
      <c r="JH21" s="16"/>
      <c r="JI21" s="16"/>
      <c r="JJ21" s="16">
        <f t="shared" si="108"/>
        <v>0</v>
      </c>
      <c r="JK21" s="16"/>
      <c r="JL21" s="16"/>
      <c r="JM21" s="16">
        <f t="shared" si="109"/>
        <v>0</v>
      </c>
      <c r="JN21" s="16"/>
      <c r="JO21" s="16"/>
      <c r="JP21" s="16">
        <f t="shared" si="110"/>
        <v>0</v>
      </c>
      <c r="JQ21" s="16"/>
      <c r="JR21" s="16"/>
      <c r="JS21" s="16">
        <f t="shared" si="111"/>
        <v>0</v>
      </c>
      <c r="JT21" s="16"/>
      <c r="JU21" s="16"/>
      <c r="JV21" s="16">
        <f t="shared" si="112"/>
        <v>0</v>
      </c>
      <c r="JW21" s="16"/>
      <c r="JX21" s="16"/>
      <c r="JY21" s="16">
        <f t="shared" si="113"/>
        <v>0</v>
      </c>
      <c r="JZ21" s="16"/>
      <c r="KA21" s="16"/>
      <c r="KB21" s="16">
        <f t="shared" si="114"/>
        <v>0</v>
      </c>
      <c r="KC21" s="16"/>
      <c r="KD21" s="16"/>
      <c r="KE21" s="16">
        <f t="shared" si="115"/>
        <v>0</v>
      </c>
      <c r="KG21" s="151">
        <f t="shared" si="59"/>
        <v>9149.9999999996799</v>
      </c>
    </row>
    <row r="22" spans="1:293" x14ac:dyDescent="0.25">
      <c r="A22" s="35">
        <f t="shared" si="0"/>
        <v>16</v>
      </c>
      <c r="B22" s="38">
        <v>4915.72</v>
      </c>
      <c r="C22" s="38">
        <f t="shared" si="1"/>
        <v>6.8900000000003274</v>
      </c>
      <c r="D22" s="38">
        <f t="shared" si="2"/>
        <v>220480.00000001048</v>
      </c>
      <c r="E22" s="38">
        <v>987.31</v>
      </c>
      <c r="F22" s="38">
        <f t="shared" si="3"/>
        <v>40639.999999999418</v>
      </c>
      <c r="G22" s="38">
        <f t="shared" si="4"/>
        <v>261120.0000000099</v>
      </c>
      <c r="H22" s="37"/>
      <c r="I22" s="39"/>
      <c r="J22" s="42"/>
      <c r="K22" s="37">
        <f>IF(J22&lt;=0,0,(J22/SQRT(J22^2+(I22-I21)^2)))</f>
        <v>0</v>
      </c>
      <c r="L22" s="40">
        <v>15516300</v>
      </c>
      <c r="M22" s="40"/>
      <c r="N22" s="37">
        <f t="shared" si="81"/>
        <v>259000</v>
      </c>
      <c r="O22" s="37">
        <v>11974</v>
      </c>
      <c r="P22" s="37"/>
      <c r="Q22" s="37">
        <f>IF((O22-O21)&lt;=0,0,(O22-O21))*1000</f>
        <v>17600.000000000364</v>
      </c>
      <c r="R22" s="37">
        <f>IF(Q22&lt;=0,0,(Q22/SQRT(Q22^2+(P22-P21)^2)))</f>
        <v>1</v>
      </c>
      <c r="S22" s="37">
        <v>11251799.59</v>
      </c>
      <c r="T22" s="37">
        <f t="shared" si="6"/>
        <v>329.60999999940395</v>
      </c>
      <c r="U22" s="37">
        <v>1523790.61</v>
      </c>
      <c r="V22" s="37">
        <f t="shared" si="7"/>
        <v>0</v>
      </c>
      <c r="W22" s="37">
        <v>4289.8</v>
      </c>
      <c r="X22" s="37">
        <f t="shared" si="95"/>
        <v>17170.39000000096</v>
      </c>
      <c r="Y22" s="183"/>
      <c r="Z22" s="183"/>
      <c r="AA22" s="37">
        <v>791500</v>
      </c>
      <c r="AB22" s="37">
        <f t="shared" si="8"/>
        <v>100</v>
      </c>
      <c r="AC22" s="37">
        <v>4440.6000000000004</v>
      </c>
      <c r="AD22" s="37"/>
      <c r="AE22" s="37">
        <f>IF((AC22-AC21)&lt;=0,0,(AC22-AC21))*1000</f>
        <v>8300.0000000001819</v>
      </c>
      <c r="AF22" s="37">
        <f>IF(AE22&lt;=0,0,(AE22/SQRT(AE22^2+(AD22-AD21)^2)))</f>
        <v>1</v>
      </c>
      <c r="AG22" s="37">
        <v>9668.4</v>
      </c>
      <c r="AH22" s="37"/>
      <c r="AI22" s="37">
        <f t="shared" si="10"/>
        <v>14135.730000000363</v>
      </c>
      <c r="AJ22" s="37">
        <f t="shared" si="11"/>
        <v>1</v>
      </c>
      <c r="AK22" s="37">
        <f t="shared" si="12"/>
        <v>39935.730000000913</v>
      </c>
      <c r="AL22" s="42">
        <v>11460.8</v>
      </c>
      <c r="AM22" s="42"/>
      <c r="AN22" s="37">
        <f t="shared" si="60"/>
        <v>6755.7300000000996</v>
      </c>
      <c r="AO22" s="37">
        <f t="shared" si="84"/>
        <v>1</v>
      </c>
      <c r="AP22" s="37">
        <v>8967.9</v>
      </c>
      <c r="AQ22" s="37"/>
      <c r="AR22" s="37">
        <f t="shared" si="13"/>
        <v>8199.9999999989086</v>
      </c>
      <c r="AS22" s="37">
        <f t="shared" si="85"/>
        <v>1</v>
      </c>
      <c r="AT22" s="183"/>
      <c r="AU22" s="183"/>
      <c r="AV22" s="183"/>
      <c r="AW22" s="183"/>
      <c r="AX22" s="37">
        <v>507040</v>
      </c>
      <c r="AY22" s="37"/>
      <c r="AZ22" s="37">
        <f t="shared" si="14"/>
        <v>420</v>
      </c>
      <c r="BA22" s="37">
        <v>181470</v>
      </c>
      <c r="BB22" s="37"/>
      <c r="BC22" s="37">
        <f t="shared" si="15"/>
        <v>670</v>
      </c>
      <c r="BD22" s="37">
        <f t="shared" si="86"/>
        <v>16045.729999999008</v>
      </c>
      <c r="BE22" s="43">
        <v>2006.5</v>
      </c>
      <c r="BF22" s="43">
        <v>1116.2</v>
      </c>
      <c r="BG22" s="37">
        <f t="shared" si="16"/>
        <v>1799.9999999999545</v>
      </c>
      <c r="BH22" s="44">
        <v>9405.6</v>
      </c>
      <c r="BI22" s="44">
        <v>6063.7</v>
      </c>
      <c r="BJ22" s="37">
        <f t="shared" si="17"/>
        <v>8600.0000000003638</v>
      </c>
      <c r="BK22" s="40">
        <v>1783970</v>
      </c>
      <c r="BL22" s="40">
        <f t="shared" si="87"/>
        <v>4420</v>
      </c>
      <c r="BM22" s="40">
        <v>906.6</v>
      </c>
      <c r="BN22" s="37">
        <f t="shared" si="18"/>
        <v>659.99999999996817</v>
      </c>
      <c r="BO22" s="186"/>
      <c r="BP22" s="183">
        <f t="shared" si="19"/>
        <v>0</v>
      </c>
      <c r="BQ22" s="40">
        <v>855.4</v>
      </c>
      <c r="BR22" s="37">
        <f t="shared" si="61"/>
        <v>699.99999999993179</v>
      </c>
      <c r="BS22" s="37">
        <v>108869.69</v>
      </c>
      <c r="BT22" s="37">
        <f t="shared" si="20"/>
        <v>195.69999999999709</v>
      </c>
      <c r="BU22" s="42">
        <v>3152943</v>
      </c>
      <c r="BV22" s="42"/>
      <c r="BW22" s="37">
        <f t="shared" si="21"/>
        <v>9018</v>
      </c>
      <c r="BX22" s="37">
        <f t="shared" si="88"/>
        <v>1</v>
      </c>
      <c r="BY22" s="43">
        <v>379.60199999999998</v>
      </c>
      <c r="BZ22" s="43"/>
      <c r="CA22" s="37">
        <f t="shared" si="116"/>
        <v>633.29999999996289</v>
      </c>
      <c r="CB22" s="37">
        <f t="shared" si="62"/>
        <v>1</v>
      </c>
      <c r="CC22" s="37">
        <v>734589.4</v>
      </c>
      <c r="CD22" s="37">
        <f t="shared" si="23"/>
        <v>1693.5</v>
      </c>
      <c r="CE22" s="41">
        <v>1491714</v>
      </c>
      <c r="CF22" s="37">
        <f t="shared" si="24"/>
        <v>6963</v>
      </c>
      <c r="CG22" s="37">
        <v>72810.600000000006</v>
      </c>
      <c r="CH22" s="37">
        <f t="shared" si="63"/>
        <v>0</v>
      </c>
      <c r="CI22" s="40">
        <v>13643.1</v>
      </c>
      <c r="CJ22" s="40"/>
      <c r="CK22" s="37">
        <f t="shared" si="64"/>
        <v>15742.430000000182</v>
      </c>
      <c r="CL22" s="37">
        <f t="shared" si="25"/>
        <v>1</v>
      </c>
      <c r="CM22" s="37">
        <v>3899.2849999999999</v>
      </c>
      <c r="CN22" s="37"/>
      <c r="CO22" s="37">
        <f t="shared" si="26"/>
        <v>6016.7299999997667</v>
      </c>
      <c r="CP22" s="37">
        <f t="shared" si="89"/>
        <v>1</v>
      </c>
      <c r="CQ22" s="39">
        <v>490975.1</v>
      </c>
      <c r="CR22" s="39"/>
      <c r="CS22" s="37">
        <f t="shared" si="65"/>
        <v>7046.3299999999763</v>
      </c>
      <c r="CT22" s="37">
        <f t="shared" si="66"/>
        <v>1</v>
      </c>
      <c r="CU22" s="37">
        <v>4130452</v>
      </c>
      <c r="CV22" s="37"/>
      <c r="CW22" s="38">
        <f t="shared" si="27"/>
        <v>877</v>
      </c>
      <c r="CX22" s="37">
        <f t="shared" si="90"/>
        <v>1</v>
      </c>
      <c r="CY22" s="37">
        <v>2191417</v>
      </c>
      <c r="CZ22" s="37"/>
      <c r="DA22" s="37">
        <f t="shared" si="28"/>
        <v>534</v>
      </c>
      <c r="DB22" s="37">
        <f t="shared" si="91"/>
        <v>1</v>
      </c>
      <c r="DC22" s="37"/>
      <c r="DD22" s="40"/>
      <c r="DE22" s="37">
        <f t="shared" si="29"/>
        <v>0</v>
      </c>
      <c r="DF22" s="37">
        <f t="shared" si="96"/>
        <v>0</v>
      </c>
      <c r="DG22" s="37">
        <f t="shared" si="30"/>
        <v>-39234.489999999925</v>
      </c>
      <c r="DH22" s="37">
        <f t="shared" si="31"/>
        <v>300735.73000000085</v>
      </c>
      <c r="DI22" s="46"/>
      <c r="DJ22" s="46"/>
      <c r="DK22" s="47"/>
      <c r="DL22" s="47"/>
      <c r="DM22" s="37"/>
      <c r="DN22" s="37"/>
      <c r="DO22" s="37"/>
      <c r="DP22" s="37"/>
      <c r="DQ22" s="50">
        <v>3998100</v>
      </c>
      <c r="DR22" s="49">
        <f t="shared" si="67"/>
        <v>10300</v>
      </c>
      <c r="DS22" s="50">
        <v>4743000</v>
      </c>
      <c r="DT22" s="49">
        <f>IF((DS22-DS21)&lt;=0,0,(DS22-DS21))</f>
        <v>10500</v>
      </c>
      <c r="DU22" s="52">
        <v>8211.7000000000007</v>
      </c>
      <c r="DV22" s="52">
        <v>4617</v>
      </c>
      <c r="DW22" s="37">
        <f t="shared" si="92"/>
        <v>4300.0000000010914</v>
      </c>
      <c r="DX22" s="52">
        <v>13550</v>
      </c>
      <c r="DY22" s="52">
        <v>8535.5</v>
      </c>
      <c r="DZ22" s="37">
        <f t="shared" si="32"/>
        <v>7035.73</v>
      </c>
      <c r="EA22" s="49">
        <v>31271</v>
      </c>
      <c r="EB22" s="69">
        <v>21.594000000000001</v>
      </c>
      <c r="EC22" s="37">
        <f t="shared" si="33"/>
        <v>25195.73</v>
      </c>
      <c r="ED22" s="53">
        <f t="shared" si="34"/>
        <v>36531.460000001091</v>
      </c>
      <c r="EE22" s="49">
        <v>46855</v>
      </c>
      <c r="EF22" s="49">
        <v>30.709</v>
      </c>
      <c r="EG22" s="37">
        <f t="shared" si="35"/>
        <v>30195.73</v>
      </c>
      <c r="EH22" s="52">
        <v>13688</v>
      </c>
      <c r="EI22" s="52">
        <v>1.9414</v>
      </c>
      <c r="EJ22" s="37">
        <f t="shared" si="36"/>
        <v>11035.73</v>
      </c>
      <c r="EK22" s="37">
        <v>831.8</v>
      </c>
      <c r="EL22" s="40">
        <v>1190.8</v>
      </c>
      <c r="EM22" s="37">
        <f t="shared" si="69"/>
        <v>669.99999999995907</v>
      </c>
      <c r="EN22" s="54">
        <f t="shared" si="70"/>
        <v>41901.459999999955</v>
      </c>
      <c r="EO22" s="48">
        <v>13394</v>
      </c>
      <c r="EP22" s="48">
        <v>4683.7</v>
      </c>
      <c r="EQ22" s="37">
        <f t="shared" si="71"/>
        <v>6160.73</v>
      </c>
      <c r="ER22" s="48">
        <v>10180</v>
      </c>
      <c r="ES22" s="48">
        <v>4199.6000000000004</v>
      </c>
      <c r="ET22" s="49">
        <f t="shared" si="98"/>
        <v>16000</v>
      </c>
      <c r="EU22" s="48">
        <v>4066.2</v>
      </c>
      <c r="EV22" s="48">
        <v>1445</v>
      </c>
      <c r="EW22" s="49">
        <f t="shared" si="38"/>
        <v>8335.7299999997267</v>
      </c>
      <c r="EX22" s="48">
        <v>14128</v>
      </c>
      <c r="EY22" s="48">
        <v>1.6811</v>
      </c>
      <c r="EZ22" s="37">
        <f t="shared" si="39"/>
        <v>11035.73</v>
      </c>
      <c r="FA22" s="48">
        <f t="shared" si="72"/>
        <v>-19945.189999999726</v>
      </c>
      <c r="FB22" s="48">
        <v>37685339</v>
      </c>
      <c r="FC22" s="49">
        <f t="shared" si="93"/>
        <v>21587</v>
      </c>
      <c r="FD22" s="48">
        <f t="shared" si="73"/>
        <v>43432.189999999813</v>
      </c>
      <c r="FE22" s="48">
        <v>17519</v>
      </c>
      <c r="FF22" s="48">
        <v>6209.1</v>
      </c>
      <c r="FG22" s="37">
        <f t="shared" si="74"/>
        <v>9019.06</v>
      </c>
      <c r="FH22" s="48">
        <v>9650.7000000000007</v>
      </c>
      <c r="FI22" s="48">
        <v>3.7277</v>
      </c>
      <c r="FJ22" s="49">
        <f t="shared" si="40"/>
        <v>18944.060000001093</v>
      </c>
      <c r="FK22" s="48"/>
      <c r="FL22" s="58">
        <v>108.33</v>
      </c>
      <c r="FM22" s="48">
        <f t="shared" si="94"/>
        <v>-35.726666667029953</v>
      </c>
      <c r="FN22" s="48">
        <v>17263</v>
      </c>
      <c r="FO22" s="48">
        <v>0.92569999999999997</v>
      </c>
      <c r="FP22" s="37">
        <f t="shared" si="75"/>
        <v>13144.06</v>
      </c>
      <c r="FQ22" s="48">
        <v>60856</v>
      </c>
      <c r="FR22" s="48">
        <v>14.79</v>
      </c>
      <c r="FS22" s="37">
        <f t="shared" si="41"/>
        <v>41000</v>
      </c>
      <c r="FT22" s="48">
        <f t="shared" si="76"/>
        <v>-107.18000000108987</v>
      </c>
      <c r="FU22" s="48">
        <f t="shared" si="77"/>
        <v>41707.180000000997</v>
      </c>
      <c r="FV22" s="44">
        <v>5700400</v>
      </c>
      <c r="FW22" s="44">
        <v>1754300</v>
      </c>
      <c r="FX22" s="37">
        <f t="shared" si="42"/>
        <v>25600</v>
      </c>
      <c r="FY22" s="56">
        <v>3740.7</v>
      </c>
      <c r="FZ22" s="56">
        <v>2.1917</v>
      </c>
      <c r="GA22" s="37">
        <f t="shared" si="43"/>
        <v>6079.9999999998181</v>
      </c>
      <c r="GB22" s="56">
        <v>855.54</v>
      </c>
      <c r="GC22" s="56">
        <v>959.97</v>
      </c>
      <c r="GD22" s="37">
        <f t="shared" si="44"/>
        <v>799.99999999995453</v>
      </c>
      <c r="GE22" s="56">
        <v>10565</v>
      </c>
      <c r="GF22" s="56">
        <v>3.7513000000000001</v>
      </c>
      <c r="GG22" s="37">
        <f t="shared" si="45"/>
        <v>8500</v>
      </c>
      <c r="GH22" s="153">
        <v>2050.9</v>
      </c>
      <c r="GI22" s="162">
        <v>1762.9</v>
      </c>
      <c r="GJ22" s="38">
        <f t="shared" si="46"/>
        <v>1900.0000000000909</v>
      </c>
      <c r="GK22" s="162">
        <v>1516.6</v>
      </c>
      <c r="GL22" s="163">
        <v>1140.5</v>
      </c>
      <c r="GM22" s="38">
        <f t="shared" si="47"/>
        <v>599.99999999990905</v>
      </c>
      <c r="GN22" s="57">
        <v>229910</v>
      </c>
      <c r="GO22" s="57">
        <v>204900</v>
      </c>
      <c r="GP22" s="38">
        <f t="shared" si="97"/>
        <v>1680</v>
      </c>
      <c r="GQ22" s="38">
        <v>285610</v>
      </c>
      <c r="GR22" s="38">
        <v>280100</v>
      </c>
      <c r="GS22" s="38">
        <f t="shared" si="78"/>
        <v>620</v>
      </c>
      <c r="GT22" s="178"/>
      <c r="GU22" s="144">
        <f>DailyJul!B21-DailyJul!N21-DailyJul!V21-DailyJul!Y21-DailyJul!Z21-DailyJul!AA21-DailyJul!AB21-DailyJul!AC21-DailyJul!AD21-DailyJul!AE21-DailyJul!AK21-DailyJul!AO21-DailyJul!AS21-DailyJul!AY21-DailyJul!BD21+DailyJul!BU21-DailyJul!BG21-DailyJul!BT21-DailyJul!AF21-DailyJul!AG21</f>
        <v>-3.9999991829972714E-2</v>
      </c>
      <c r="GV22" s="59">
        <v>535.91</v>
      </c>
      <c r="GW22" s="60">
        <f t="shared" si="48"/>
        <v>35.727333333333334</v>
      </c>
      <c r="GX22" s="61">
        <v>35.729999999999997</v>
      </c>
      <c r="GY22" s="140"/>
      <c r="GZ22" s="62"/>
      <c r="HA22" s="62"/>
      <c r="HB22" s="74"/>
      <c r="HC22" s="62"/>
      <c r="HD22" s="74"/>
      <c r="HE22" s="24">
        <f t="shared" si="49"/>
        <v>0</v>
      </c>
      <c r="HF22" s="151"/>
      <c r="HG22" s="213">
        <v>16</v>
      </c>
      <c r="HH22" s="16">
        <v>17368</v>
      </c>
      <c r="HI22" s="16">
        <v>6665.5</v>
      </c>
      <c r="HJ22" s="16">
        <f t="shared" si="50"/>
        <v>18000</v>
      </c>
      <c r="HK22" s="16">
        <v>2.1432000000000002</v>
      </c>
      <c r="HL22" s="16">
        <v>807.23</v>
      </c>
      <c r="HM22" s="16">
        <f t="shared" si="99"/>
        <v>0</v>
      </c>
      <c r="HN22" s="16">
        <v>4437.2</v>
      </c>
      <c r="HO22" s="16">
        <v>1944.5</v>
      </c>
      <c r="HP22" s="16">
        <f t="shared" si="52"/>
        <v>4049.9999999994543</v>
      </c>
      <c r="HQ22" s="16">
        <v>3467.2</v>
      </c>
      <c r="HR22" s="16">
        <v>1482.4</v>
      </c>
      <c r="HS22" s="16">
        <f t="shared" si="53"/>
        <v>649.9999999998181</v>
      </c>
      <c r="HT22" s="16">
        <v>3216.8</v>
      </c>
      <c r="HU22" s="16">
        <v>1198.0999999999999</v>
      </c>
      <c r="HV22" s="16">
        <f t="shared" si="54"/>
        <v>850.00000000009095</v>
      </c>
      <c r="HW22" s="16">
        <v>2038.6</v>
      </c>
      <c r="HX22" s="16">
        <v>888.37</v>
      </c>
      <c r="HY22" s="16">
        <f t="shared" si="55"/>
        <v>1249.9999999999545</v>
      </c>
      <c r="HZ22" s="16">
        <v>1029200</v>
      </c>
      <c r="IA22" s="16">
        <v>477780</v>
      </c>
      <c r="IB22" s="16">
        <f t="shared" si="56"/>
        <v>700</v>
      </c>
      <c r="IC22" s="16">
        <v>719.8</v>
      </c>
      <c r="ID22" s="16">
        <v>232.78</v>
      </c>
      <c r="IE22" s="16">
        <f t="shared" si="79"/>
        <v>0</v>
      </c>
      <c r="IF22" s="16"/>
      <c r="IG22" s="16"/>
      <c r="IH22" s="128">
        <f t="shared" si="57"/>
        <v>10500</v>
      </c>
      <c r="II22" s="211">
        <f t="shared" si="58"/>
        <v>6.8212102632969618E-10</v>
      </c>
      <c r="IJ22" s="16"/>
      <c r="IK22" s="16"/>
      <c r="IL22" s="16">
        <f t="shared" si="100"/>
        <v>0</v>
      </c>
      <c r="IM22" s="16"/>
      <c r="IN22" s="16"/>
      <c r="IO22" s="16">
        <f t="shared" si="101"/>
        <v>0</v>
      </c>
      <c r="IP22" s="16"/>
      <c r="IQ22" s="16"/>
      <c r="IR22" s="16">
        <f t="shared" si="102"/>
        <v>0</v>
      </c>
      <c r="IS22" s="16"/>
      <c r="IT22" s="16"/>
      <c r="IU22" s="16">
        <f t="shared" si="103"/>
        <v>0</v>
      </c>
      <c r="IV22" s="16"/>
      <c r="IW22" s="16"/>
      <c r="IX22" s="16">
        <f t="shared" si="104"/>
        <v>0</v>
      </c>
      <c r="IY22" s="16"/>
      <c r="IZ22" s="16"/>
      <c r="JA22" s="16">
        <f t="shared" si="105"/>
        <v>0</v>
      </c>
      <c r="JB22" s="16"/>
      <c r="JC22" s="16"/>
      <c r="JD22" s="16">
        <f t="shared" si="106"/>
        <v>0</v>
      </c>
      <c r="JE22" s="16"/>
      <c r="JF22" s="16"/>
      <c r="JG22" s="16">
        <f t="shared" si="107"/>
        <v>0</v>
      </c>
      <c r="JH22" s="16"/>
      <c r="JI22" s="16"/>
      <c r="JJ22" s="16">
        <f t="shared" si="108"/>
        <v>0</v>
      </c>
      <c r="JK22" s="16"/>
      <c r="JL22" s="16"/>
      <c r="JM22" s="16">
        <f t="shared" si="109"/>
        <v>0</v>
      </c>
      <c r="JN22" s="16"/>
      <c r="JO22" s="16"/>
      <c r="JP22" s="16">
        <f t="shared" si="110"/>
        <v>0</v>
      </c>
      <c r="JQ22" s="16"/>
      <c r="JR22" s="16"/>
      <c r="JS22" s="16">
        <f t="shared" si="111"/>
        <v>0</v>
      </c>
      <c r="JT22" s="16"/>
      <c r="JU22" s="16"/>
      <c r="JV22" s="16">
        <f t="shared" si="112"/>
        <v>0</v>
      </c>
      <c r="JW22" s="16"/>
      <c r="JX22" s="16"/>
      <c r="JY22" s="16">
        <f t="shared" si="113"/>
        <v>0</v>
      </c>
      <c r="JZ22" s="16"/>
      <c r="KA22" s="16"/>
      <c r="KB22" s="16">
        <f t="shared" si="114"/>
        <v>0</v>
      </c>
      <c r="KC22" s="16"/>
      <c r="KD22" s="16"/>
      <c r="KE22" s="16">
        <f t="shared" si="115"/>
        <v>0</v>
      </c>
      <c r="KG22" s="151">
        <f t="shared" si="59"/>
        <v>4750.0000000001364</v>
      </c>
    </row>
    <row r="23" spans="1:293" x14ac:dyDescent="0.25">
      <c r="A23" s="35">
        <f t="shared" si="0"/>
        <v>17</v>
      </c>
      <c r="B23" s="38">
        <v>4923.3599999999997</v>
      </c>
      <c r="C23" s="38">
        <f t="shared" si="1"/>
        <v>7.6399999999994179</v>
      </c>
      <c r="D23" s="38">
        <f t="shared" si="2"/>
        <v>244479.99999998137</v>
      </c>
      <c r="E23" s="38">
        <v>988.8</v>
      </c>
      <c r="F23" s="38">
        <f t="shared" si="3"/>
        <v>47680.000000000291</v>
      </c>
      <c r="G23" s="38">
        <f t="shared" si="4"/>
        <v>292159.99999998166</v>
      </c>
      <c r="H23" s="37"/>
      <c r="I23" s="39"/>
      <c r="J23" s="42"/>
      <c r="K23" s="37">
        <f t="shared" ref="K23:K24" si="117">IF(J23&lt;=0,0,(J23/SQRT(J23^2+(I23-I22)^2)))</f>
        <v>0</v>
      </c>
      <c r="L23" s="40">
        <v>15545400</v>
      </c>
      <c r="M23" s="40"/>
      <c r="N23" s="37">
        <f t="shared" si="81"/>
        <v>291000</v>
      </c>
      <c r="O23" s="37">
        <v>11991.8</v>
      </c>
      <c r="P23" s="37"/>
      <c r="Q23" s="37">
        <f t="shared" ref="Q23:Q38" si="118">IF((O23-O22)&lt;=0,0,(O23-O22))*1000</f>
        <v>17799.999999999272</v>
      </c>
      <c r="R23" s="37">
        <f t="shared" ref="R23:R24" si="119">IF(Q23&lt;=0,0,(Q23/SQRT(Q23^2+(P23-P22)^2)))</f>
        <v>1</v>
      </c>
      <c r="S23" s="37">
        <v>11252127.939999999</v>
      </c>
      <c r="T23" s="37">
        <f t="shared" si="6"/>
        <v>328.34999999962747</v>
      </c>
      <c r="U23" s="37">
        <v>1523790.61</v>
      </c>
      <c r="V23" s="37">
        <f t="shared" si="7"/>
        <v>0</v>
      </c>
      <c r="W23" s="37">
        <v>4295.7</v>
      </c>
      <c r="X23" s="37">
        <f t="shared" si="95"/>
        <v>17371.649999999645</v>
      </c>
      <c r="Y23" s="183"/>
      <c r="Z23" s="183"/>
      <c r="AA23" s="37">
        <v>791600</v>
      </c>
      <c r="AB23" s="37">
        <f t="shared" si="8"/>
        <v>100</v>
      </c>
      <c r="AC23" s="37">
        <v>4449.1000000000004</v>
      </c>
      <c r="AD23" s="37"/>
      <c r="AE23" s="37">
        <f t="shared" ref="AE23:AE38" si="120">IF((AC23-AC22)&lt;=0,0,(AC23-AC22))*1000</f>
        <v>8500</v>
      </c>
      <c r="AF23" s="37">
        <f t="shared" ref="AF23:AF24" si="121">IF(AE23&lt;=0,0,(AE23/SQRT(AE23^2+(AD23-AD22)^2)))</f>
        <v>1</v>
      </c>
      <c r="AG23" s="37">
        <v>9683.1</v>
      </c>
      <c r="AH23" s="70"/>
      <c r="AI23" s="37">
        <f t="shared" si="10"/>
        <v>14906.630000000727</v>
      </c>
      <c r="AJ23" s="37">
        <f t="shared" si="11"/>
        <v>1</v>
      </c>
      <c r="AK23" s="37">
        <f t="shared" si="12"/>
        <v>41106.629999999997</v>
      </c>
      <c r="AL23" s="42">
        <v>11473</v>
      </c>
      <c r="AM23" s="42"/>
      <c r="AN23" s="37">
        <f t="shared" si="60"/>
        <v>6826.6300000007541</v>
      </c>
      <c r="AO23" s="37">
        <f t="shared" si="84"/>
        <v>1</v>
      </c>
      <c r="AP23" s="37">
        <v>8976.4</v>
      </c>
      <c r="AQ23" s="37"/>
      <c r="AR23" s="37">
        <f t="shared" si="13"/>
        <v>8500</v>
      </c>
      <c r="AS23" s="37">
        <f t="shared" si="85"/>
        <v>1</v>
      </c>
      <c r="AT23" s="183"/>
      <c r="AU23" s="183"/>
      <c r="AV23" s="183"/>
      <c r="AW23" s="183"/>
      <c r="AX23" s="37">
        <v>507470</v>
      </c>
      <c r="AY23" s="37"/>
      <c r="AZ23" s="37">
        <f t="shared" si="14"/>
        <v>430</v>
      </c>
      <c r="BA23" s="37">
        <v>182120</v>
      </c>
      <c r="BB23" s="37"/>
      <c r="BC23" s="37">
        <f t="shared" si="15"/>
        <v>650</v>
      </c>
      <c r="BD23" s="37">
        <f t="shared" si="86"/>
        <v>16406.630000000754</v>
      </c>
      <c r="BE23" s="43">
        <v>2008.5</v>
      </c>
      <c r="BF23" s="43">
        <v>1117.5</v>
      </c>
      <c r="BG23" s="37">
        <f t="shared" si="16"/>
        <v>2000</v>
      </c>
      <c r="BH23" s="44">
        <v>9415</v>
      </c>
      <c r="BI23" s="44">
        <v>6070.2</v>
      </c>
      <c r="BJ23" s="37">
        <f t="shared" si="17"/>
        <v>9399.9999999996362</v>
      </c>
      <c r="BK23" s="40">
        <v>1788270</v>
      </c>
      <c r="BL23" s="40">
        <f t="shared" si="87"/>
        <v>4300</v>
      </c>
      <c r="BM23" s="40">
        <v>907.28</v>
      </c>
      <c r="BN23" s="37">
        <f t="shared" si="18"/>
        <v>679.99999999994998</v>
      </c>
      <c r="BO23" s="186"/>
      <c r="BP23" s="183">
        <f t="shared" si="19"/>
        <v>0</v>
      </c>
      <c r="BQ23" s="40">
        <v>856</v>
      </c>
      <c r="BR23" s="37">
        <f t="shared" si="61"/>
        <v>600.00000000002274</v>
      </c>
      <c r="BS23" s="37">
        <v>109073.9</v>
      </c>
      <c r="BT23" s="37">
        <f t="shared" si="20"/>
        <v>204.20999999999185</v>
      </c>
      <c r="BU23" s="42">
        <v>3160764</v>
      </c>
      <c r="BV23" s="42"/>
      <c r="BW23" s="37">
        <f t="shared" si="21"/>
        <v>7821</v>
      </c>
      <c r="BX23" s="37">
        <f t="shared" si="88"/>
        <v>1</v>
      </c>
      <c r="BY23" s="43">
        <v>380.31880000000001</v>
      </c>
      <c r="BZ23" s="43"/>
      <c r="CA23" s="37">
        <f t="shared" si="116"/>
        <v>716.80000000003474</v>
      </c>
      <c r="CB23" s="37">
        <f t="shared" si="62"/>
        <v>1</v>
      </c>
      <c r="CC23" s="37">
        <v>734589.4</v>
      </c>
      <c r="CD23" s="37">
        <f t="shared" si="23"/>
        <v>0</v>
      </c>
      <c r="CE23" s="41">
        <v>1499109</v>
      </c>
      <c r="CF23" s="37">
        <f t="shared" si="24"/>
        <v>7395</v>
      </c>
      <c r="CG23" s="37">
        <v>72810.600000000006</v>
      </c>
      <c r="CH23" s="37">
        <f t="shared" si="63"/>
        <v>0</v>
      </c>
      <c r="CI23" s="40">
        <v>13659.13</v>
      </c>
      <c r="CJ23" s="40"/>
      <c r="CK23" s="37">
        <f t="shared" si="64"/>
        <v>15519.829999998801</v>
      </c>
      <c r="CL23" s="37">
        <f t="shared" si="25"/>
        <v>1</v>
      </c>
      <c r="CM23" s="37">
        <v>3905.393</v>
      </c>
      <c r="CN23" s="37"/>
      <c r="CO23" s="37">
        <f t="shared" si="26"/>
        <v>6314.6300000001747</v>
      </c>
      <c r="CP23" s="37">
        <f t="shared" si="89"/>
        <v>1</v>
      </c>
      <c r="CQ23" s="39">
        <v>498043.7</v>
      </c>
      <c r="CR23" s="39"/>
      <c r="CS23" s="37">
        <f t="shared" si="65"/>
        <v>7275.230000000035</v>
      </c>
      <c r="CT23" s="37">
        <f t="shared" si="66"/>
        <v>1</v>
      </c>
      <c r="CU23" s="37">
        <v>4131405</v>
      </c>
      <c r="CV23" s="37"/>
      <c r="CW23" s="38">
        <f t="shared" si="27"/>
        <v>953</v>
      </c>
      <c r="CX23" s="37">
        <f t="shared" si="90"/>
        <v>1</v>
      </c>
      <c r="CY23" s="37">
        <v>2191953</v>
      </c>
      <c r="CZ23" s="37"/>
      <c r="DA23" s="37">
        <f t="shared" si="28"/>
        <v>536</v>
      </c>
      <c r="DB23" s="37">
        <f t="shared" si="91"/>
        <v>1</v>
      </c>
      <c r="DC23" s="37"/>
      <c r="DD23" s="40"/>
      <c r="DE23" s="37">
        <f t="shared" si="29"/>
        <v>0</v>
      </c>
      <c r="DF23" s="37">
        <f t="shared" si="96"/>
        <v>0</v>
      </c>
      <c r="DG23" s="37">
        <f t="shared" si="30"/>
        <v>-38419.689999999013</v>
      </c>
      <c r="DH23" s="37">
        <f t="shared" si="31"/>
        <v>334106.63</v>
      </c>
      <c r="DI23" s="46"/>
      <c r="DJ23" s="46"/>
      <c r="DK23" s="47"/>
      <c r="DL23" s="47"/>
      <c r="DM23" s="37"/>
      <c r="DN23" s="37"/>
      <c r="DO23" s="37"/>
      <c r="DP23" s="37"/>
      <c r="DQ23" s="50">
        <v>4009100</v>
      </c>
      <c r="DR23" s="49">
        <f t="shared" si="67"/>
        <v>11000</v>
      </c>
      <c r="DS23" s="50">
        <v>4753900</v>
      </c>
      <c r="DT23" s="49">
        <f>IF((DS23-DS22)&lt;=0,0,(DS23-DS22))</f>
        <v>10900</v>
      </c>
      <c r="DU23" s="51">
        <v>8215.7999999999993</v>
      </c>
      <c r="DV23" s="51">
        <v>4619.6000000000004</v>
      </c>
      <c r="DW23" s="37">
        <f t="shared" si="92"/>
        <v>4099.9999999985448</v>
      </c>
      <c r="DX23" s="51">
        <v>13558</v>
      </c>
      <c r="DY23" s="51">
        <v>8540.5</v>
      </c>
      <c r="DZ23" s="37">
        <f t="shared" si="32"/>
        <v>8206.6299999999992</v>
      </c>
      <c r="EA23" s="49">
        <v>31294</v>
      </c>
      <c r="EB23" s="49">
        <v>21.606000000000002</v>
      </c>
      <c r="EC23" s="37">
        <f t="shared" si="33"/>
        <v>25366.63</v>
      </c>
      <c r="ED23" s="53">
        <f t="shared" si="34"/>
        <v>37673.259999998547</v>
      </c>
      <c r="EE23" s="49">
        <v>46886</v>
      </c>
      <c r="EF23" s="49">
        <v>30.731000000000002</v>
      </c>
      <c r="EG23" s="37">
        <f t="shared" si="35"/>
        <v>33366.630000000005</v>
      </c>
      <c r="EH23" s="51">
        <v>13700</v>
      </c>
      <c r="EI23" s="51">
        <v>1.9446000000000001</v>
      </c>
      <c r="EJ23" s="37">
        <f t="shared" si="36"/>
        <v>12206.63</v>
      </c>
      <c r="EK23" s="37">
        <v>832.69</v>
      </c>
      <c r="EL23" s="40">
        <v>1192.3</v>
      </c>
      <c r="EM23" s="37">
        <f t="shared" si="69"/>
        <v>890.00000000010004</v>
      </c>
      <c r="EN23" s="54">
        <f t="shared" si="70"/>
        <v>46463.260000000104</v>
      </c>
      <c r="EO23" s="48">
        <v>13400</v>
      </c>
      <c r="EP23" s="48">
        <v>4686</v>
      </c>
      <c r="EQ23" s="37">
        <f t="shared" si="71"/>
        <v>5326.6300000000047</v>
      </c>
      <c r="ER23" s="48">
        <v>10197</v>
      </c>
      <c r="ES23" s="48">
        <v>4206.8999999999996</v>
      </c>
      <c r="ET23" s="49">
        <f t="shared" si="98"/>
        <v>17000</v>
      </c>
      <c r="EU23" s="48">
        <v>4074.9</v>
      </c>
      <c r="EV23" s="48">
        <v>1448</v>
      </c>
      <c r="EW23" s="49">
        <f t="shared" si="38"/>
        <v>8906.630000000272</v>
      </c>
      <c r="EX23" s="48">
        <v>14140</v>
      </c>
      <c r="EY23" s="48">
        <v>1.6833</v>
      </c>
      <c r="EZ23" s="37">
        <f t="shared" si="39"/>
        <v>12206.63</v>
      </c>
      <c r="FA23" s="48">
        <f t="shared" si="72"/>
        <v>-20738.890000000276</v>
      </c>
      <c r="FB23" s="48">
        <v>37708040</v>
      </c>
      <c r="FC23" s="49">
        <f t="shared" si="93"/>
        <v>22701</v>
      </c>
      <c r="FD23" s="48">
        <f t="shared" si="73"/>
        <v>44939.890000000276</v>
      </c>
      <c r="FE23" s="48">
        <v>17528</v>
      </c>
      <c r="FF23" s="48">
        <v>6209.1</v>
      </c>
      <c r="FG23" s="37">
        <f t="shared" si="74"/>
        <v>9726.6299999999937</v>
      </c>
      <c r="FH23" s="48">
        <v>9669.9</v>
      </c>
      <c r="FI23" s="48">
        <v>3.7345999999999999</v>
      </c>
      <c r="FJ23" s="49">
        <f t="shared" si="40"/>
        <v>19046.62999999891</v>
      </c>
      <c r="FK23" s="48"/>
      <c r="FL23" s="58">
        <v>-360</v>
      </c>
      <c r="FM23" s="48">
        <f t="shared" si="94"/>
        <v>-206.62999999963418</v>
      </c>
      <c r="FN23" s="48">
        <v>17276</v>
      </c>
      <c r="FO23" s="48">
        <v>0.92710000000000004</v>
      </c>
      <c r="FP23" s="37">
        <f t="shared" si="75"/>
        <v>12846.63</v>
      </c>
      <c r="FQ23" s="48">
        <v>60897</v>
      </c>
      <c r="FR23" s="48">
        <v>14.798999999999999</v>
      </c>
      <c r="FS23" s="37">
        <f t="shared" si="41"/>
        <v>41000</v>
      </c>
      <c r="FT23" s="48">
        <f t="shared" si="76"/>
        <v>-619.88999999890257</v>
      </c>
      <c r="FU23" s="48">
        <f t="shared" si="77"/>
        <v>41619.889999998901</v>
      </c>
      <c r="FV23" s="44">
        <v>5727700</v>
      </c>
      <c r="FW23" s="44">
        <v>1762500</v>
      </c>
      <c r="FX23" s="37">
        <f t="shared" si="42"/>
        <v>27300</v>
      </c>
      <c r="FY23" s="56">
        <v>3748.1</v>
      </c>
      <c r="FZ23" s="56">
        <v>2.1926000000000001</v>
      </c>
      <c r="GA23" s="37">
        <f t="shared" si="43"/>
        <v>6530.0000000000909</v>
      </c>
      <c r="GB23" s="56">
        <v>856.35</v>
      </c>
      <c r="GC23" s="56">
        <v>960.93</v>
      </c>
      <c r="GD23" s="37">
        <f t="shared" si="44"/>
        <v>810.00000000005912</v>
      </c>
      <c r="GE23" s="56">
        <v>10576</v>
      </c>
      <c r="GF23" s="56">
        <v>3.7605</v>
      </c>
      <c r="GG23" s="37">
        <f t="shared" si="45"/>
        <v>9500</v>
      </c>
      <c r="GH23" s="137">
        <v>2052.4</v>
      </c>
      <c r="GI23" s="162">
        <v>1764.4</v>
      </c>
      <c r="GJ23" s="38">
        <f t="shared" si="46"/>
        <v>1500</v>
      </c>
      <c r="GK23" s="162">
        <v>1516.6</v>
      </c>
      <c r="GL23" s="163">
        <v>1140.5</v>
      </c>
      <c r="GM23" s="38">
        <f t="shared" si="47"/>
        <v>0</v>
      </c>
      <c r="GN23" s="57">
        <v>232870</v>
      </c>
      <c r="GO23" s="57">
        <v>207690</v>
      </c>
      <c r="GP23" s="38">
        <f t="shared" si="97"/>
        <v>2960</v>
      </c>
      <c r="GQ23" s="38">
        <v>286480</v>
      </c>
      <c r="GR23" s="38">
        <v>281070</v>
      </c>
      <c r="GS23" s="38">
        <f t="shared" si="78"/>
        <v>870</v>
      </c>
      <c r="GT23" s="178"/>
      <c r="GU23" s="144">
        <f>DailyJul!B22-DailyJul!N22-DailyJul!V22-DailyJul!Y22-DailyJul!Z22-DailyJul!AA22-DailyJul!AB22-DailyJul!AC22-DailyJul!AD22-DailyJul!AE22-DailyJul!AK22-DailyJul!AO22-DailyJul!AS22-DailyJul!AY22-DailyJul!BD22+DailyJul!BU22-DailyJul!BG22-DailyJul!BT22-DailyJul!AF22-DailyJul!AG22</f>
        <v>-5.0000015668047126E-2</v>
      </c>
      <c r="GV23" s="59">
        <v>3099.4</v>
      </c>
      <c r="GW23" s="60">
        <f t="shared" si="48"/>
        <v>206.62666666666667</v>
      </c>
      <c r="GX23" s="61">
        <v>206.63</v>
      </c>
      <c r="GY23" s="140"/>
      <c r="GZ23" s="62"/>
      <c r="HA23" s="62"/>
      <c r="HB23" s="74"/>
      <c r="HC23" s="62"/>
      <c r="HD23" s="74"/>
      <c r="HE23" s="24">
        <f t="shared" si="49"/>
        <v>0</v>
      </c>
      <c r="HF23" s="151"/>
      <c r="HG23" s="213">
        <v>17</v>
      </c>
      <c r="HH23" s="16">
        <v>17410</v>
      </c>
      <c r="HI23" s="16">
        <v>6682.5</v>
      </c>
      <c r="HJ23" s="16">
        <f t="shared" si="50"/>
        <v>42000</v>
      </c>
      <c r="HK23" s="16">
        <v>2.1432000000000002</v>
      </c>
      <c r="HL23" s="16">
        <v>807.23</v>
      </c>
      <c r="HM23" s="16">
        <f t="shared" si="99"/>
        <v>0</v>
      </c>
      <c r="HN23" s="16">
        <v>4451.3</v>
      </c>
      <c r="HO23" s="16">
        <v>1950.3</v>
      </c>
      <c r="HP23" s="16">
        <f t="shared" si="52"/>
        <v>14300.000000000364</v>
      </c>
      <c r="HQ23" s="16">
        <v>3474.5</v>
      </c>
      <c r="HR23" s="16">
        <v>1492</v>
      </c>
      <c r="HS23" s="16">
        <f t="shared" si="53"/>
        <v>7500.0000000001819</v>
      </c>
      <c r="HT23" s="16">
        <v>3218.6</v>
      </c>
      <c r="HU23" s="16">
        <v>1198.9000000000001</v>
      </c>
      <c r="HV23" s="16">
        <f t="shared" si="54"/>
        <v>1999.9999999997272</v>
      </c>
      <c r="HW23" s="16">
        <v>2044.6</v>
      </c>
      <c r="HX23" s="16">
        <v>891.5</v>
      </c>
      <c r="HY23" s="16">
        <f t="shared" si="55"/>
        <v>6200</v>
      </c>
      <c r="HZ23" s="16">
        <v>1030300</v>
      </c>
      <c r="IA23" s="16">
        <v>479740</v>
      </c>
      <c r="IB23" s="16">
        <f t="shared" si="56"/>
        <v>1100</v>
      </c>
      <c r="IC23" s="16">
        <v>719.8</v>
      </c>
      <c r="ID23" s="16">
        <v>232.78</v>
      </c>
      <c r="IE23" s="16">
        <f t="shared" si="79"/>
        <v>0</v>
      </c>
      <c r="IF23" s="16"/>
      <c r="IG23" s="16"/>
      <c r="IH23" s="128">
        <f t="shared" si="57"/>
        <v>10900</v>
      </c>
      <c r="II23" s="211">
        <f t="shared" si="58"/>
        <v>-2.7284841053187847E-10</v>
      </c>
      <c r="IJ23" s="16"/>
      <c r="IK23" s="16"/>
      <c r="IL23" s="16">
        <f t="shared" si="100"/>
        <v>0</v>
      </c>
      <c r="IM23" s="16"/>
      <c r="IN23" s="16"/>
      <c r="IO23" s="16">
        <f t="shared" si="101"/>
        <v>0</v>
      </c>
      <c r="IP23" s="16"/>
      <c r="IQ23" s="16"/>
      <c r="IR23" s="16">
        <f t="shared" si="102"/>
        <v>0</v>
      </c>
      <c r="IS23" s="16"/>
      <c r="IT23" s="16"/>
      <c r="IU23" s="16">
        <f t="shared" si="103"/>
        <v>0</v>
      </c>
      <c r="IV23" s="16"/>
      <c r="IW23" s="16"/>
      <c r="IX23" s="16">
        <f t="shared" si="104"/>
        <v>0</v>
      </c>
      <c r="IY23" s="16"/>
      <c r="IZ23" s="16"/>
      <c r="JA23" s="16">
        <f t="shared" si="105"/>
        <v>0</v>
      </c>
      <c r="JB23" s="16"/>
      <c r="JC23" s="16"/>
      <c r="JD23" s="16">
        <f t="shared" si="106"/>
        <v>0</v>
      </c>
      <c r="JE23" s="16"/>
      <c r="JF23" s="16"/>
      <c r="JG23" s="16">
        <f t="shared" si="107"/>
        <v>0</v>
      </c>
      <c r="JH23" s="16"/>
      <c r="JI23" s="16"/>
      <c r="JJ23" s="16">
        <f t="shared" si="108"/>
        <v>0</v>
      </c>
      <c r="JK23" s="16"/>
      <c r="JL23" s="16"/>
      <c r="JM23" s="16">
        <f t="shared" si="109"/>
        <v>0</v>
      </c>
      <c r="JN23" s="16"/>
      <c r="JO23" s="16"/>
      <c r="JP23" s="16">
        <f t="shared" si="110"/>
        <v>0</v>
      </c>
      <c r="JQ23" s="16"/>
      <c r="JR23" s="16"/>
      <c r="JS23" s="16">
        <f t="shared" si="111"/>
        <v>0</v>
      </c>
      <c r="JT23" s="16"/>
      <c r="JU23" s="16"/>
      <c r="JV23" s="16">
        <f t="shared" si="112"/>
        <v>0</v>
      </c>
      <c r="JW23" s="16"/>
      <c r="JX23" s="16"/>
      <c r="JY23" s="16">
        <f t="shared" si="113"/>
        <v>0</v>
      </c>
      <c r="JZ23" s="16"/>
      <c r="KA23" s="16"/>
      <c r="KB23" s="16">
        <f t="shared" si="114"/>
        <v>0</v>
      </c>
      <c r="KC23" s="16"/>
      <c r="KD23" s="16"/>
      <c r="KE23" s="16">
        <f t="shared" si="115"/>
        <v>0</v>
      </c>
      <c r="KG23" s="151">
        <f t="shared" si="59"/>
        <v>15400.000000000091</v>
      </c>
    </row>
    <row r="24" spans="1:293" x14ac:dyDescent="0.25">
      <c r="A24" s="35">
        <f t="shared" si="0"/>
        <v>18</v>
      </c>
      <c r="B24" s="38">
        <v>4932.96</v>
      </c>
      <c r="C24" s="38">
        <f t="shared" si="1"/>
        <v>9.6000000000003638</v>
      </c>
      <c r="D24" s="38">
        <f t="shared" si="2"/>
        <v>307200.00000001164</v>
      </c>
      <c r="E24" s="38">
        <v>990.89</v>
      </c>
      <c r="F24" s="38">
        <f t="shared" si="3"/>
        <v>66880.000000001019</v>
      </c>
      <c r="G24" s="38">
        <f t="shared" si="4"/>
        <v>374080.00000001269</v>
      </c>
      <c r="H24" s="37"/>
      <c r="I24" s="39"/>
      <c r="J24" s="42"/>
      <c r="K24" s="37">
        <f t="shared" si="117"/>
        <v>0</v>
      </c>
      <c r="L24" s="40">
        <v>15582400</v>
      </c>
      <c r="M24" s="40"/>
      <c r="N24" s="37">
        <f t="shared" si="81"/>
        <v>370000</v>
      </c>
      <c r="O24" s="37">
        <v>12009.5</v>
      </c>
      <c r="P24" s="37"/>
      <c r="Q24" s="37">
        <f t="shared" si="118"/>
        <v>17700.000000000728</v>
      </c>
      <c r="R24" s="37">
        <f t="shared" si="119"/>
        <v>1</v>
      </c>
      <c r="S24" s="37">
        <v>11252439.439999999</v>
      </c>
      <c r="T24" s="37">
        <f t="shared" si="6"/>
        <v>311.5</v>
      </c>
      <c r="U24" s="37">
        <v>1523790.61</v>
      </c>
      <c r="V24" s="37">
        <f t="shared" si="7"/>
        <v>0</v>
      </c>
      <c r="W24" s="37">
        <v>4301.5</v>
      </c>
      <c r="X24" s="37">
        <f t="shared" si="95"/>
        <v>17288.500000000728</v>
      </c>
      <c r="Y24" s="183"/>
      <c r="Z24" s="183"/>
      <c r="AA24" s="37">
        <v>791700</v>
      </c>
      <c r="AB24" s="37">
        <f t="shared" si="8"/>
        <v>100</v>
      </c>
      <c r="AC24" s="37">
        <v>4457.7</v>
      </c>
      <c r="AD24" s="37"/>
      <c r="AE24" s="37">
        <f t="shared" si="120"/>
        <v>8599.9999999994543</v>
      </c>
      <c r="AF24" s="37">
        <f t="shared" si="121"/>
        <v>1</v>
      </c>
      <c r="AG24" s="37">
        <v>9698.7999999999993</v>
      </c>
      <c r="AH24" s="37"/>
      <c r="AI24" s="37">
        <f t="shared" si="10"/>
        <v>15852.749999998909</v>
      </c>
      <c r="AJ24" s="37">
        <f t="shared" si="11"/>
        <v>1</v>
      </c>
      <c r="AK24" s="37">
        <f t="shared" si="12"/>
        <v>42052.749999999091</v>
      </c>
      <c r="AL24" s="42">
        <v>11485.3</v>
      </c>
      <c r="AM24" s="42"/>
      <c r="AN24" s="37">
        <f t="shared" si="60"/>
        <v>6862.749999999186</v>
      </c>
      <c r="AO24" s="37">
        <f t="shared" si="84"/>
        <v>1</v>
      </c>
      <c r="AP24" s="37">
        <v>8984.6</v>
      </c>
      <c r="AQ24" s="37"/>
      <c r="AR24" s="37">
        <f t="shared" si="13"/>
        <v>8200.0000000007276</v>
      </c>
      <c r="AS24" s="37">
        <f t="shared" si="85"/>
        <v>1</v>
      </c>
      <c r="AT24" s="183"/>
      <c r="AU24" s="183"/>
      <c r="AV24" s="183"/>
      <c r="AW24" s="183"/>
      <c r="AX24" s="37">
        <v>507860</v>
      </c>
      <c r="AY24" s="37"/>
      <c r="AZ24" s="37">
        <f t="shared" si="14"/>
        <v>390</v>
      </c>
      <c r="BA24" s="37">
        <v>182760</v>
      </c>
      <c r="BB24" s="37"/>
      <c r="BC24" s="37">
        <f t="shared" si="15"/>
        <v>640</v>
      </c>
      <c r="BD24" s="37">
        <f>AN24+AR24+AZ24+BC24</f>
        <v>16092.749999999913</v>
      </c>
      <c r="BE24" s="43">
        <v>2009.9</v>
      </c>
      <c r="BF24" s="43">
        <v>1118.5</v>
      </c>
      <c r="BG24" s="37">
        <f t="shared" si="16"/>
        <v>1400.0000000000909</v>
      </c>
      <c r="BH24" s="44">
        <v>9424.5</v>
      </c>
      <c r="BI24" s="44">
        <v>6076.5</v>
      </c>
      <c r="BJ24" s="37">
        <f t="shared" si="17"/>
        <v>9500</v>
      </c>
      <c r="BK24" s="40">
        <v>1792580</v>
      </c>
      <c r="BL24" s="40">
        <f t="shared" si="87"/>
        <v>4310</v>
      </c>
      <c r="BM24" s="40">
        <v>907.96</v>
      </c>
      <c r="BN24" s="37">
        <f t="shared" si="18"/>
        <v>680.00000000006366</v>
      </c>
      <c r="BO24" s="186"/>
      <c r="BP24" s="183">
        <f t="shared" si="19"/>
        <v>0</v>
      </c>
      <c r="BQ24" s="40">
        <v>856.6</v>
      </c>
      <c r="BR24" s="37">
        <f t="shared" si="61"/>
        <v>600.00000000002274</v>
      </c>
      <c r="BS24" s="37">
        <v>109263.49</v>
      </c>
      <c r="BT24" s="37">
        <f t="shared" si="20"/>
        <v>189.59000000001106</v>
      </c>
      <c r="BU24" s="42">
        <v>3171236</v>
      </c>
      <c r="BV24" s="42"/>
      <c r="BW24" s="37">
        <f t="shared" si="21"/>
        <v>10472</v>
      </c>
      <c r="BX24" s="37">
        <f t="shared" si="88"/>
        <v>1</v>
      </c>
      <c r="BY24" s="43">
        <v>381.09480000000002</v>
      </c>
      <c r="BZ24" s="37"/>
      <c r="CA24" s="37">
        <f t="shared" si="116"/>
        <v>776.00000000001046</v>
      </c>
      <c r="CB24" s="37">
        <f t="shared" si="62"/>
        <v>1</v>
      </c>
      <c r="CC24" s="37">
        <v>737031.1</v>
      </c>
      <c r="CD24" s="37">
        <f t="shared" si="23"/>
        <v>2441.6999999999534</v>
      </c>
      <c r="CE24" s="41">
        <v>1506881</v>
      </c>
      <c r="CF24" s="37">
        <f t="shared" si="24"/>
        <v>7772</v>
      </c>
      <c r="CG24" s="37">
        <v>72810.600000000006</v>
      </c>
      <c r="CH24" s="37">
        <f t="shared" si="63"/>
        <v>0</v>
      </c>
      <c r="CI24" s="40">
        <v>13675.5</v>
      </c>
      <c r="CJ24" s="40"/>
      <c r="CK24" s="37">
        <f t="shared" si="64"/>
        <v>15746.750000000789</v>
      </c>
      <c r="CL24" s="37">
        <f t="shared" si="25"/>
        <v>1</v>
      </c>
      <c r="CM24" s="37">
        <v>3911.5740000000001</v>
      </c>
      <c r="CN24" s="37"/>
      <c r="CO24" s="37">
        <f t="shared" si="26"/>
        <v>6333.75000000004</v>
      </c>
      <c r="CP24" s="37">
        <f t="shared" si="89"/>
        <v>1</v>
      </c>
      <c r="CQ24" s="39">
        <v>505058.8</v>
      </c>
      <c r="CR24" s="39"/>
      <c r="CS24" s="37">
        <f t="shared" si="65"/>
        <v>7167.8499999999767</v>
      </c>
      <c r="CT24" s="37">
        <f t="shared" si="66"/>
        <v>1</v>
      </c>
      <c r="CU24" s="37">
        <v>4132297</v>
      </c>
      <c r="CV24" s="37"/>
      <c r="CW24" s="38">
        <f t="shared" si="27"/>
        <v>892</v>
      </c>
      <c r="CX24" s="37">
        <f t="shared" si="90"/>
        <v>1</v>
      </c>
      <c r="CY24" s="37">
        <v>2192495</v>
      </c>
      <c r="CZ24" s="37"/>
      <c r="DA24" s="37">
        <f t="shared" si="28"/>
        <v>542</v>
      </c>
      <c r="DB24" s="37">
        <f t="shared" si="91"/>
        <v>1</v>
      </c>
      <c r="DC24" s="37"/>
      <c r="DD24" s="40"/>
      <c r="DE24" s="37">
        <f t="shared" si="29"/>
        <v>0</v>
      </c>
      <c r="DF24" s="37">
        <f t="shared" si="96"/>
        <v>0</v>
      </c>
      <c r="DG24" s="37">
        <f t="shared" si="30"/>
        <v>-41154.350000000806</v>
      </c>
      <c r="DH24" s="37">
        <f t="shared" si="31"/>
        <v>413452.74999999919</v>
      </c>
      <c r="DI24" s="46"/>
      <c r="DJ24" s="46"/>
      <c r="DK24" s="47"/>
      <c r="DL24" s="47"/>
      <c r="DM24" s="37"/>
      <c r="DN24" s="37"/>
      <c r="DO24" s="37"/>
      <c r="DP24" s="37"/>
      <c r="DQ24" s="50">
        <v>4021400</v>
      </c>
      <c r="DR24" s="49">
        <f t="shared" si="67"/>
        <v>12300</v>
      </c>
      <c r="DS24" s="50">
        <v>4770300</v>
      </c>
      <c r="DT24" s="49">
        <f>IF((DS24-DS23)&lt;=0,0,(DS24-DS23))</f>
        <v>16400</v>
      </c>
      <c r="DU24" s="51">
        <v>8220</v>
      </c>
      <c r="DV24" s="51">
        <v>4622.8999999999996</v>
      </c>
      <c r="DW24" s="37">
        <f t="shared" si="92"/>
        <v>4200.0000000007276</v>
      </c>
      <c r="DX24" s="52">
        <v>13566</v>
      </c>
      <c r="DY24" s="52">
        <v>8543.5</v>
      </c>
      <c r="DZ24" s="37">
        <f t="shared" si="32"/>
        <v>8152.75</v>
      </c>
      <c r="EA24" s="49">
        <v>31317</v>
      </c>
      <c r="EB24" s="49">
        <v>21.619</v>
      </c>
      <c r="EC24" s="37">
        <f t="shared" si="33"/>
        <v>25312.75</v>
      </c>
      <c r="ED24" s="53">
        <f t="shared" si="34"/>
        <v>37665.500000000728</v>
      </c>
      <c r="EE24" s="49">
        <v>46917</v>
      </c>
      <c r="EF24" s="49">
        <v>30.754000000000001</v>
      </c>
      <c r="EG24" s="37">
        <f t="shared" si="35"/>
        <v>33312.75</v>
      </c>
      <c r="EH24" s="51">
        <v>13711</v>
      </c>
      <c r="EI24" s="51">
        <v>1.9476</v>
      </c>
      <c r="EJ24" s="37">
        <f t="shared" si="36"/>
        <v>11152.75</v>
      </c>
      <c r="EK24" s="37">
        <v>833.56</v>
      </c>
      <c r="EL24" s="40">
        <v>1193.7</v>
      </c>
      <c r="EM24" s="37">
        <f t="shared" si="69"/>
        <v>869.99999999989086</v>
      </c>
      <c r="EN24" s="54">
        <f t="shared" si="70"/>
        <v>45335.499999999891</v>
      </c>
      <c r="EO24" s="48">
        <v>13407</v>
      </c>
      <c r="EP24" s="48">
        <v>4688.2</v>
      </c>
      <c r="EQ24" s="37">
        <f t="shared" si="71"/>
        <v>6267.7500000000091</v>
      </c>
      <c r="ER24" s="48">
        <v>10214</v>
      </c>
      <c r="ES24" s="48">
        <v>4213.8999999999996</v>
      </c>
      <c r="ET24" s="49">
        <f t="shared" si="98"/>
        <v>17000</v>
      </c>
      <c r="EU24" s="48">
        <v>4083.5</v>
      </c>
      <c r="EV24" s="48">
        <v>1451.1</v>
      </c>
      <c r="EW24" s="49">
        <f t="shared" si="38"/>
        <v>8752.7499999999091</v>
      </c>
      <c r="EX24" s="48">
        <v>14151</v>
      </c>
      <c r="EY24" s="48">
        <v>1.6858</v>
      </c>
      <c r="EZ24" s="37">
        <f t="shared" si="39"/>
        <v>11152.75</v>
      </c>
      <c r="FA24" s="48">
        <f t="shared" si="72"/>
        <v>-20803.24999999992</v>
      </c>
      <c r="FB24" s="48">
        <v>37730410</v>
      </c>
      <c r="FC24" s="49">
        <f t="shared" si="93"/>
        <v>22370</v>
      </c>
      <c r="FD24" s="48">
        <f t="shared" si="73"/>
        <v>44873.249999999731</v>
      </c>
      <c r="FE24" s="48">
        <v>17536</v>
      </c>
      <c r="FF24" s="48">
        <v>6209.3</v>
      </c>
      <c r="FG24" s="37">
        <f t="shared" si="74"/>
        <v>9142.7499999999909</v>
      </c>
      <c r="FH24" s="48">
        <v>9688.7000000000007</v>
      </c>
      <c r="FI24" s="48">
        <v>3.7412999999999998</v>
      </c>
      <c r="FJ24" s="49">
        <f t="shared" si="40"/>
        <v>19057.750000001091</v>
      </c>
      <c r="FK24" s="48"/>
      <c r="FL24" s="58">
        <v>105</v>
      </c>
      <c r="FM24" s="48">
        <f t="shared" si="94"/>
        <v>-152.75000000036138</v>
      </c>
      <c r="FN24" s="48">
        <v>17289</v>
      </c>
      <c r="FO24" s="48">
        <v>0.92849999999999999</v>
      </c>
      <c r="FP24" s="37">
        <f t="shared" si="75"/>
        <v>13257.75</v>
      </c>
      <c r="FQ24" s="48">
        <v>60938</v>
      </c>
      <c r="FR24" s="48">
        <v>14.808</v>
      </c>
      <c r="FS24" s="37">
        <f t="shared" si="41"/>
        <v>41000</v>
      </c>
      <c r="FT24" s="48">
        <f t="shared" si="76"/>
        <v>-458.25000000108412</v>
      </c>
      <c r="FU24" s="48">
        <f t="shared" si="77"/>
        <v>41458.250000001084</v>
      </c>
      <c r="FV24" s="44">
        <v>5753900</v>
      </c>
      <c r="FW24" s="44">
        <v>1770400</v>
      </c>
      <c r="FX24" s="37">
        <f t="shared" si="42"/>
        <v>26200</v>
      </c>
      <c r="FY24" s="56">
        <v>3754.8</v>
      </c>
      <c r="FZ24" s="56">
        <v>2.1937000000000002</v>
      </c>
      <c r="GA24" s="37">
        <f t="shared" si="43"/>
        <v>5890.0000000002728</v>
      </c>
      <c r="GB24" s="56">
        <v>857.17</v>
      </c>
      <c r="GC24" s="56">
        <v>961.9</v>
      </c>
      <c r="GD24" s="37">
        <f t="shared" si="44"/>
        <v>819.99999999993634</v>
      </c>
      <c r="GE24" s="56">
        <v>10587</v>
      </c>
      <c r="GF24" s="56">
        <v>3.7694999999999999</v>
      </c>
      <c r="GG24" s="37">
        <f t="shared" si="45"/>
        <v>9300.0000000001819</v>
      </c>
      <c r="GH24" s="158">
        <v>2054.1</v>
      </c>
      <c r="GI24" s="159">
        <v>1766</v>
      </c>
      <c r="GJ24" s="38">
        <f t="shared" si="46"/>
        <v>1699.9999999998181</v>
      </c>
      <c r="GK24" s="159">
        <v>1516.6</v>
      </c>
      <c r="GL24" s="160">
        <v>1140.5</v>
      </c>
      <c r="GM24" s="38">
        <f t="shared" si="47"/>
        <v>0</v>
      </c>
      <c r="GN24" s="57">
        <v>235710</v>
      </c>
      <c r="GO24" s="57">
        <v>210440</v>
      </c>
      <c r="GP24" s="38">
        <f t="shared" si="97"/>
        <v>2840</v>
      </c>
      <c r="GQ24" s="38">
        <v>287290</v>
      </c>
      <c r="GR24" s="38">
        <v>281990</v>
      </c>
      <c r="GS24" s="38">
        <f t="shared" si="78"/>
        <v>810</v>
      </c>
      <c r="GT24" s="178"/>
      <c r="GU24" s="144">
        <f>DailyJul!B23-DailyJul!N23-DailyJul!V23-DailyJul!Y23-DailyJul!Z23-DailyJul!AA23-DailyJul!AB23-DailyJul!AC23-DailyJul!AD23-DailyJul!AE23-DailyJul!AK23-DailyJul!AO23-DailyJul!AS23-DailyJul!AY23-DailyJul!BD23+DailyJul!BU23-DailyJul!BG23-DailyJul!BT23-DailyJul!AF23-DailyJul!AG23</f>
        <v>-4.9999989176285453E-2</v>
      </c>
      <c r="GV24" s="59">
        <v>2291.1999999999998</v>
      </c>
      <c r="GW24" s="60">
        <f t="shared" si="48"/>
        <v>152.74666666666664</v>
      </c>
      <c r="GX24" s="61">
        <v>152.75</v>
      </c>
      <c r="GY24" s="140"/>
      <c r="GZ24" s="62"/>
      <c r="HA24" s="62"/>
      <c r="HB24" s="74"/>
      <c r="HC24" s="62"/>
      <c r="HD24" s="74"/>
      <c r="HE24" s="24">
        <f t="shared" si="49"/>
        <v>0</v>
      </c>
      <c r="HF24" s="151"/>
      <c r="HG24" s="213">
        <v>18</v>
      </c>
      <c r="HH24" s="16">
        <v>17532</v>
      </c>
      <c r="HI24" s="16">
        <v>6730</v>
      </c>
      <c r="HJ24" s="16">
        <f t="shared" si="50"/>
        <v>122000</v>
      </c>
      <c r="HK24" s="16">
        <v>2.1432000000000002</v>
      </c>
      <c r="HL24" s="16">
        <v>807.23</v>
      </c>
      <c r="HM24" s="16">
        <f t="shared" si="99"/>
        <v>0</v>
      </c>
      <c r="HN24" s="16">
        <v>4487.8</v>
      </c>
      <c r="HO24" s="16">
        <v>1965.5</v>
      </c>
      <c r="HP24" s="16">
        <f t="shared" si="52"/>
        <v>36375</v>
      </c>
      <c r="HQ24" s="16">
        <v>3492.4</v>
      </c>
      <c r="HR24" s="16">
        <v>1499.7</v>
      </c>
      <c r="HS24" s="16">
        <f t="shared" si="53"/>
        <v>17775.000000000091</v>
      </c>
      <c r="HT24" s="16">
        <v>3240.4</v>
      </c>
      <c r="HU24" s="16">
        <v>1206.9000000000001</v>
      </c>
      <c r="HV24" s="16">
        <f t="shared" si="54"/>
        <v>21675.000000000182</v>
      </c>
      <c r="HW24" s="16">
        <v>2062</v>
      </c>
      <c r="HX24" s="16">
        <v>899.25</v>
      </c>
      <c r="HY24" s="16">
        <f t="shared" si="55"/>
        <v>17275.000000000091</v>
      </c>
      <c r="HZ24" s="16">
        <v>1042800</v>
      </c>
      <c r="IA24" s="16">
        <v>485860</v>
      </c>
      <c r="IB24" s="16">
        <f t="shared" si="56"/>
        <v>12500</v>
      </c>
      <c r="IC24" s="16">
        <v>719.8</v>
      </c>
      <c r="ID24" s="16">
        <v>232.78</v>
      </c>
      <c r="IE24" s="16">
        <f t="shared" si="79"/>
        <v>0</v>
      </c>
      <c r="IF24" s="16"/>
      <c r="IG24" s="16"/>
      <c r="IH24" s="128">
        <f t="shared" si="57"/>
        <v>16400</v>
      </c>
      <c r="II24" s="211">
        <f t="shared" si="58"/>
        <v>-3.4924596548080444E-10</v>
      </c>
      <c r="IJ24" s="16"/>
      <c r="IK24" s="16"/>
      <c r="IL24" s="16">
        <f t="shared" si="100"/>
        <v>0</v>
      </c>
      <c r="IM24" s="16"/>
      <c r="IN24" s="16"/>
      <c r="IO24" s="16">
        <f t="shared" si="101"/>
        <v>0</v>
      </c>
      <c r="IP24" s="16"/>
      <c r="IQ24" s="16"/>
      <c r="IR24" s="16">
        <f t="shared" si="102"/>
        <v>0</v>
      </c>
      <c r="IS24" s="16"/>
      <c r="IT24" s="16"/>
      <c r="IU24" s="16">
        <f t="shared" si="103"/>
        <v>0</v>
      </c>
      <c r="IV24" s="16"/>
      <c r="IW24" s="16"/>
      <c r="IX24" s="16">
        <f t="shared" si="104"/>
        <v>0</v>
      </c>
      <c r="IY24" s="16"/>
      <c r="IZ24" s="16"/>
      <c r="JA24" s="16">
        <f t="shared" si="105"/>
        <v>0</v>
      </c>
      <c r="JB24" s="16"/>
      <c r="JC24" s="16"/>
      <c r="JD24" s="16">
        <f t="shared" si="106"/>
        <v>0</v>
      </c>
      <c r="JE24" s="16"/>
      <c r="JF24" s="16"/>
      <c r="JG24" s="16">
        <f t="shared" si="107"/>
        <v>0</v>
      </c>
      <c r="JH24" s="16"/>
      <c r="JI24" s="16"/>
      <c r="JJ24" s="16">
        <f t="shared" si="108"/>
        <v>0</v>
      </c>
      <c r="JK24" s="16"/>
      <c r="JL24" s="16"/>
      <c r="JM24" s="16">
        <f t="shared" si="109"/>
        <v>0</v>
      </c>
      <c r="JN24" s="16"/>
      <c r="JO24" s="16"/>
      <c r="JP24" s="16">
        <f t="shared" si="110"/>
        <v>0</v>
      </c>
      <c r="JQ24" s="16"/>
      <c r="JR24" s="16"/>
      <c r="JS24" s="16">
        <f t="shared" si="111"/>
        <v>0</v>
      </c>
      <c r="JT24" s="16"/>
      <c r="JU24" s="16"/>
      <c r="JV24" s="16">
        <f t="shared" si="112"/>
        <v>0</v>
      </c>
      <c r="JW24" s="16"/>
      <c r="JX24" s="16"/>
      <c r="JY24" s="16">
        <f t="shared" si="113"/>
        <v>0</v>
      </c>
      <c r="JZ24" s="16"/>
      <c r="KA24" s="16"/>
      <c r="KB24" s="16">
        <f t="shared" si="114"/>
        <v>0</v>
      </c>
      <c r="KC24" s="16"/>
      <c r="KD24" s="16"/>
      <c r="KE24" s="16">
        <f t="shared" si="115"/>
        <v>0</v>
      </c>
      <c r="KG24" s="151">
        <f t="shared" si="59"/>
        <v>48874.999999999651</v>
      </c>
    </row>
    <row r="25" spans="1:293" x14ac:dyDescent="0.25">
      <c r="A25" s="35">
        <f t="shared" si="0"/>
        <v>19</v>
      </c>
      <c r="B25" s="38">
        <v>4942.91</v>
      </c>
      <c r="C25" s="38">
        <f t="shared" si="1"/>
        <v>9.9499999999998181</v>
      </c>
      <c r="D25" s="38">
        <f t="shared" si="2"/>
        <v>318399.99999999418</v>
      </c>
      <c r="E25" s="38">
        <v>992.98</v>
      </c>
      <c r="F25" s="38">
        <f t="shared" si="3"/>
        <v>66880.000000001019</v>
      </c>
      <c r="G25" s="38">
        <f t="shared" si="4"/>
        <v>385279.99999999523</v>
      </c>
      <c r="H25" s="37"/>
      <c r="I25" s="39"/>
      <c r="J25" s="42"/>
      <c r="K25" s="37">
        <f t="shared" si="80"/>
        <v>0</v>
      </c>
      <c r="L25" s="40">
        <v>15620600</v>
      </c>
      <c r="M25" s="40"/>
      <c r="N25" s="37">
        <f t="shared" si="81"/>
        <v>382000</v>
      </c>
      <c r="O25" s="37">
        <v>12028</v>
      </c>
      <c r="P25" s="70"/>
      <c r="Q25" s="37">
        <f t="shared" si="118"/>
        <v>18500</v>
      </c>
      <c r="R25" s="37">
        <f t="shared" si="82"/>
        <v>1</v>
      </c>
      <c r="S25" s="37">
        <v>11252697.98</v>
      </c>
      <c r="T25" s="37">
        <f t="shared" si="6"/>
        <v>258.54000000096858</v>
      </c>
      <c r="U25" s="37">
        <v>1523790.61</v>
      </c>
      <c r="V25" s="37">
        <f t="shared" si="7"/>
        <v>0</v>
      </c>
      <c r="W25" s="37">
        <v>4307.8999999999996</v>
      </c>
      <c r="X25" s="37">
        <f t="shared" si="95"/>
        <v>18241.459999999031</v>
      </c>
      <c r="Y25" s="183"/>
      <c r="Z25" s="183"/>
      <c r="AA25" s="37">
        <v>791700</v>
      </c>
      <c r="AB25" s="37">
        <f t="shared" si="8"/>
        <v>0</v>
      </c>
      <c r="AC25" s="37">
        <v>4466.2</v>
      </c>
      <c r="AD25" s="37"/>
      <c r="AE25" s="37">
        <f t="shared" si="120"/>
        <v>8500</v>
      </c>
      <c r="AF25" s="37">
        <f t="shared" si="83"/>
        <v>1</v>
      </c>
      <c r="AG25" s="37">
        <v>9713.7999999999993</v>
      </c>
      <c r="AH25" s="37"/>
      <c r="AI25" s="37">
        <f t="shared" si="10"/>
        <v>14732.37</v>
      </c>
      <c r="AJ25" s="37">
        <f t="shared" si="11"/>
        <v>1</v>
      </c>
      <c r="AK25" s="37">
        <f t="shared" si="12"/>
        <v>41732.370000000003</v>
      </c>
      <c r="AL25" s="42">
        <v>11497.6</v>
      </c>
      <c r="AM25" s="42"/>
      <c r="AN25" s="37">
        <f t="shared" si="60"/>
        <v>6382.3700000011968</v>
      </c>
      <c r="AO25" s="37">
        <f t="shared" si="84"/>
        <v>1</v>
      </c>
      <c r="AP25" s="37">
        <v>8992.1</v>
      </c>
      <c r="AQ25" s="37"/>
      <c r="AR25" s="37">
        <f t="shared" si="13"/>
        <v>7500</v>
      </c>
      <c r="AS25" s="37">
        <f t="shared" si="85"/>
        <v>1</v>
      </c>
      <c r="AT25" s="183"/>
      <c r="AU25" s="183"/>
      <c r="AV25" s="183"/>
      <c r="AW25" s="183"/>
      <c r="AX25" s="37">
        <v>508250</v>
      </c>
      <c r="AY25" s="37"/>
      <c r="AZ25" s="37">
        <f t="shared" si="14"/>
        <v>390</v>
      </c>
      <c r="BA25" s="37">
        <v>183360</v>
      </c>
      <c r="BB25" s="37"/>
      <c r="BC25" s="37">
        <f t="shared" si="15"/>
        <v>600</v>
      </c>
      <c r="BD25" s="37">
        <f t="shared" si="86"/>
        <v>14872.370000001196</v>
      </c>
      <c r="BE25" s="37">
        <v>2011.5</v>
      </c>
      <c r="BF25" s="37">
        <v>1119.7</v>
      </c>
      <c r="BG25" s="37">
        <f t="shared" si="16"/>
        <v>1599.9999999999091</v>
      </c>
      <c r="BH25" s="44">
        <v>9433.1</v>
      </c>
      <c r="BI25" s="44">
        <v>6082.4</v>
      </c>
      <c r="BJ25" s="37">
        <f t="shared" si="17"/>
        <v>8600.0000000003638</v>
      </c>
      <c r="BK25" s="40">
        <v>1796740</v>
      </c>
      <c r="BL25" s="40">
        <f t="shared" si="87"/>
        <v>4160</v>
      </c>
      <c r="BM25" s="40">
        <v>908.65</v>
      </c>
      <c r="BN25" s="37">
        <f t="shared" si="18"/>
        <v>689.99999999994088</v>
      </c>
      <c r="BO25" s="186"/>
      <c r="BP25" s="183">
        <f t="shared" si="19"/>
        <v>0</v>
      </c>
      <c r="BQ25" s="40">
        <v>857.4</v>
      </c>
      <c r="BR25" s="37">
        <f t="shared" si="61"/>
        <v>799.99999999995453</v>
      </c>
      <c r="BS25" s="37">
        <v>109439.15</v>
      </c>
      <c r="BT25" s="37">
        <f t="shared" si="20"/>
        <v>175.65999999998894</v>
      </c>
      <c r="BU25" s="42">
        <v>3181463</v>
      </c>
      <c r="BV25" s="42"/>
      <c r="BW25" s="37">
        <f t="shared" si="21"/>
        <v>10227</v>
      </c>
      <c r="BX25" s="37">
        <f t="shared" si="88"/>
        <v>1</v>
      </c>
      <c r="BY25" s="37">
        <v>381.88720000000001</v>
      </c>
      <c r="BZ25" s="37"/>
      <c r="CA25" s="37">
        <f t="shared" si="116"/>
        <v>792.39999999998645</v>
      </c>
      <c r="CB25" s="37">
        <f t="shared" si="62"/>
        <v>1</v>
      </c>
      <c r="CC25" s="37">
        <v>739910.4</v>
      </c>
      <c r="CD25" s="37">
        <f t="shared" si="23"/>
        <v>2879.3000000000466</v>
      </c>
      <c r="CE25" s="41">
        <v>1513545</v>
      </c>
      <c r="CF25" s="37">
        <f t="shared" si="24"/>
        <v>6664</v>
      </c>
      <c r="CG25" s="37">
        <v>72810.600000000006</v>
      </c>
      <c r="CH25" s="37">
        <f t="shared" si="63"/>
        <v>0</v>
      </c>
      <c r="CI25" s="40">
        <v>13691.36</v>
      </c>
      <c r="CJ25" s="40"/>
      <c r="CK25" s="37">
        <f t="shared" si="64"/>
        <v>14799.970000000596</v>
      </c>
      <c r="CL25" s="37">
        <f t="shared" si="25"/>
        <v>1</v>
      </c>
      <c r="CM25" s="37">
        <v>3917.7640000000001</v>
      </c>
      <c r="CN25" s="37"/>
      <c r="CO25" s="37">
        <f t="shared" si="26"/>
        <v>5922.3700000000545</v>
      </c>
      <c r="CP25" s="37">
        <f t="shared" si="89"/>
        <v>1</v>
      </c>
      <c r="CQ25" s="39">
        <v>511928</v>
      </c>
      <c r="CR25" s="39"/>
      <c r="CS25" s="37">
        <f t="shared" si="65"/>
        <v>6601.5700000000115</v>
      </c>
      <c r="CT25" s="37">
        <f t="shared" si="66"/>
        <v>1</v>
      </c>
      <c r="CU25" s="37">
        <v>4133309</v>
      </c>
      <c r="CV25" s="37"/>
      <c r="CW25" s="38">
        <f t="shared" si="27"/>
        <v>1012</v>
      </c>
      <c r="CX25" s="37">
        <f t="shared" si="90"/>
        <v>1</v>
      </c>
      <c r="CY25" s="37">
        <v>2193065</v>
      </c>
      <c r="CZ25" s="37"/>
      <c r="DA25" s="37">
        <f t="shared" si="28"/>
        <v>570</v>
      </c>
      <c r="DB25" s="37">
        <f t="shared" si="91"/>
        <v>1</v>
      </c>
      <c r="DC25" s="37"/>
      <c r="DD25" s="40"/>
      <c r="DE25" s="37">
        <f t="shared" si="29"/>
        <v>0</v>
      </c>
      <c r="DF25" s="37">
        <f t="shared" si="96"/>
        <v>0</v>
      </c>
      <c r="DG25" s="37">
        <f t="shared" si="30"/>
        <v>-39132.910000000658</v>
      </c>
      <c r="DH25" s="37">
        <f t="shared" si="31"/>
        <v>425332.36999999988</v>
      </c>
      <c r="DI25" s="46"/>
      <c r="DJ25" s="46"/>
      <c r="DK25" s="47"/>
      <c r="DL25" s="47"/>
      <c r="DM25" s="37"/>
      <c r="DN25" s="37"/>
      <c r="DO25" s="37"/>
      <c r="DP25" s="37"/>
      <c r="DQ25" s="50">
        <v>4032900</v>
      </c>
      <c r="DR25" s="49">
        <f t="shared" si="67"/>
        <v>11500</v>
      </c>
      <c r="DS25" s="50">
        <v>4787400</v>
      </c>
      <c r="DT25" s="49">
        <f t="shared" si="68"/>
        <v>17100</v>
      </c>
      <c r="DU25" s="51">
        <v>8224</v>
      </c>
      <c r="DV25" s="51">
        <v>4626</v>
      </c>
      <c r="DW25" s="37">
        <f t="shared" si="92"/>
        <v>4000</v>
      </c>
      <c r="DX25" s="52">
        <v>13574</v>
      </c>
      <c r="DY25" s="52">
        <v>8546</v>
      </c>
      <c r="DZ25" s="37">
        <f t="shared" si="32"/>
        <v>7732.37</v>
      </c>
      <c r="EA25" s="49">
        <v>31340</v>
      </c>
      <c r="EB25" s="49">
        <v>21.63</v>
      </c>
      <c r="EC25" s="37">
        <f t="shared" si="33"/>
        <v>24892.37</v>
      </c>
      <c r="ED25" s="53">
        <f t="shared" si="34"/>
        <v>36624.74</v>
      </c>
      <c r="EE25" s="49">
        <v>46948</v>
      </c>
      <c r="EF25" s="49">
        <v>30.776</v>
      </c>
      <c r="EG25" s="37">
        <f t="shared" si="35"/>
        <v>32892.369999999995</v>
      </c>
      <c r="EH25" s="51">
        <v>13723</v>
      </c>
      <c r="EI25" s="51">
        <v>1.9505999999999999</v>
      </c>
      <c r="EJ25" s="37">
        <f t="shared" si="36"/>
        <v>11732.37</v>
      </c>
      <c r="EK25" s="37">
        <v>834.44</v>
      </c>
      <c r="EL25" s="40">
        <v>1119.7</v>
      </c>
      <c r="EM25" s="37">
        <f t="shared" si="69"/>
        <v>880.00000000010914</v>
      </c>
      <c r="EN25" s="54">
        <f t="shared" si="70"/>
        <v>45504.740000000107</v>
      </c>
      <c r="EO25" s="48">
        <v>13413</v>
      </c>
      <c r="EP25" s="48">
        <v>4690.3999999999996</v>
      </c>
      <c r="EQ25" s="37">
        <f t="shared" si="71"/>
        <v>4842.3700000000135</v>
      </c>
      <c r="ER25" s="48">
        <v>10231</v>
      </c>
      <c r="ES25" s="48">
        <v>4221</v>
      </c>
      <c r="ET25" s="49">
        <f t="shared" si="98"/>
        <v>17000</v>
      </c>
      <c r="EU25" s="48">
        <v>4092.6</v>
      </c>
      <c r="EV25" s="48">
        <v>1454.3</v>
      </c>
      <c r="EW25" s="49">
        <f t="shared" si="38"/>
        <v>8832.3699999999099</v>
      </c>
      <c r="EX25" s="48">
        <v>14163</v>
      </c>
      <c r="EY25" s="48">
        <v>1.6879</v>
      </c>
      <c r="EZ25" s="37">
        <f t="shared" si="39"/>
        <v>11732.37</v>
      </c>
      <c r="FA25" s="48">
        <f t="shared" si="72"/>
        <v>-20026.109999999924</v>
      </c>
      <c r="FB25" s="48">
        <v>37752791</v>
      </c>
      <c r="FC25" s="49">
        <f t="shared" si="93"/>
        <v>22381</v>
      </c>
      <c r="FD25" s="48">
        <f t="shared" si="73"/>
        <v>44107.110000000204</v>
      </c>
      <c r="FE25" s="48">
        <v>17545</v>
      </c>
      <c r="FF25" s="48">
        <v>6209.3</v>
      </c>
      <c r="FG25" s="37">
        <f t="shared" si="74"/>
        <v>9325.6999999999862</v>
      </c>
      <c r="FH25" s="48">
        <v>9707.7000000000007</v>
      </c>
      <c r="FI25" s="48">
        <v>3.7479</v>
      </c>
      <c r="FJ25" s="49">
        <f t="shared" si="40"/>
        <v>18435.7</v>
      </c>
      <c r="FK25" s="48"/>
      <c r="FL25" s="58">
        <v>-296.67</v>
      </c>
      <c r="FM25" s="48">
        <f t="shared" si="94"/>
        <v>267.63333333333748</v>
      </c>
      <c r="FN25" s="48">
        <v>17301</v>
      </c>
      <c r="FO25" s="48">
        <v>0.93010000000000004</v>
      </c>
      <c r="FP25" s="37">
        <f t="shared" si="75"/>
        <v>11435.7</v>
      </c>
      <c r="FQ25" s="48">
        <v>60978</v>
      </c>
      <c r="FR25" s="48">
        <v>14.818</v>
      </c>
      <c r="FS25" s="37">
        <f t="shared" si="41"/>
        <v>40000</v>
      </c>
      <c r="FT25" s="48">
        <f t="shared" si="76"/>
        <v>802.90000000001237</v>
      </c>
      <c r="FU25" s="48">
        <f>FG25+FJ25+FP25+GM25</f>
        <v>39197.099999999991</v>
      </c>
      <c r="FV25" s="44">
        <v>5783500</v>
      </c>
      <c r="FW25" s="44">
        <v>1779200</v>
      </c>
      <c r="FX25" s="37">
        <f t="shared" si="42"/>
        <v>29600</v>
      </c>
      <c r="FY25" s="56">
        <v>3762.4</v>
      </c>
      <c r="FZ25" s="56">
        <v>2.1953999999999998</v>
      </c>
      <c r="GA25" s="37">
        <f t="shared" si="43"/>
        <v>6699.9999999999091</v>
      </c>
      <c r="GB25" s="56">
        <v>858.01</v>
      </c>
      <c r="GC25" s="56">
        <v>962.85</v>
      </c>
      <c r="GD25" s="37">
        <f t="shared" si="44"/>
        <v>840.00000000003183</v>
      </c>
      <c r="GE25" s="56">
        <v>10600</v>
      </c>
      <c r="GF25" s="56">
        <v>3.7795000000000001</v>
      </c>
      <c r="GG25" s="37">
        <f t="shared" si="45"/>
        <v>11299.999999999727</v>
      </c>
      <c r="GH25" s="158">
        <v>2055.8000000000002</v>
      </c>
      <c r="GI25" s="159">
        <v>1767.8</v>
      </c>
      <c r="GJ25" s="38">
        <f t="shared" si="46"/>
        <v>1700.0000000002728</v>
      </c>
      <c r="GK25" s="159">
        <v>1516.6</v>
      </c>
      <c r="GL25" s="160">
        <v>1140.5</v>
      </c>
      <c r="GM25" s="38">
        <f t="shared" si="47"/>
        <v>0</v>
      </c>
      <c r="GN25" s="57">
        <v>238860</v>
      </c>
      <c r="GO25" s="57">
        <v>213320</v>
      </c>
      <c r="GP25" s="38">
        <f t="shared" si="97"/>
        <v>3150</v>
      </c>
      <c r="GQ25" s="38">
        <v>288190</v>
      </c>
      <c r="GR25" s="38">
        <v>282980</v>
      </c>
      <c r="GS25" s="38">
        <f t="shared" si="78"/>
        <v>900</v>
      </c>
      <c r="GT25" s="178"/>
      <c r="GU25" s="144">
        <f>DailyJul!B24-DailyJul!N24-DailyJul!V24-DailyJul!Y24-DailyJul!Z24-DailyJul!AA24-DailyJul!AB24-DailyJul!AC24-DailyJul!AD24-DailyJul!AE24-DailyJul!AK24-DailyJul!AO24-DailyJul!AS24-DailyJul!AY24-DailyJul!BD24+DailyJul!BU24-DailyJul!BG24-DailyJul!BT24-DailyJul!AF24-DailyJul!AG24</f>
        <v>-4.0000006702030078E-2</v>
      </c>
      <c r="GV25" s="59">
        <v>-4014.49</v>
      </c>
      <c r="GW25" s="60">
        <f t="shared" si="48"/>
        <v>-267.63266666666664</v>
      </c>
      <c r="GX25" s="61">
        <v>-267.63</v>
      </c>
      <c r="GY25" s="140"/>
      <c r="GZ25" s="62"/>
      <c r="HA25" s="62"/>
      <c r="HB25" s="74"/>
      <c r="HC25" s="62"/>
      <c r="HD25" s="74"/>
      <c r="HE25" s="24">
        <f t="shared" si="49"/>
        <v>0</v>
      </c>
      <c r="HF25" s="151"/>
      <c r="HG25" s="213">
        <v>19</v>
      </c>
      <c r="HH25" s="16">
        <v>17667</v>
      </c>
      <c r="HI25" s="16">
        <v>6780.6</v>
      </c>
      <c r="HJ25" s="16">
        <f t="shared" si="50"/>
        <v>135000</v>
      </c>
      <c r="HK25" s="16">
        <v>2.1432000000000002</v>
      </c>
      <c r="HL25" s="16">
        <v>807.23</v>
      </c>
      <c r="HM25" s="16">
        <f t="shared" si="99"/>
        <v>0</v>
      </c>
      <c r="HN25" s="16">
        <v>4524.6000000000004</v>
      </c>
      <c r="HO25" s="16">
        <v>1980.8</v>
      </c>
      <c r="HP25" s="16">
        <f t="shared" si="52"/>
        <v>37400.000000000182</v>
      </c>
      <c r="HQ25" s="16">
        <v>3510.9</v>
      </c>
      <c r="HR25" s="16">
        <v>1507.5</v>
      </c>
      <c r="HS25" s="16">
        <f t="shared" si="53"/>
        <v>19100</v>
      </c>
      <c r="HT25" s="16">
        <v>3266.1</v>
      </c>
      <c r="HU25" s="16">
        <v>1215.5999999999999</v>
      </c>
      <c r="HV25" s="16">
        <f t="shared" si="54"/>
        <v>26299.999999999818</v>
      </c>
      <c r="HW25" s="16">
        <v>2082.8000000000002</v>
      </c>
      <c r="HX25" s="16">
        <v>908.06</v>
      </c>
      <c r="HY25" s="16">
        <f t="shared" si="55"/>
        <v>21400.000000000182</v>
      </c>
      <c r="HZ25" s="16">
        <v>1056500</v>
      </c>
      <c r="IA25" s="16">
        <v>492530</v>
      </c>
      <c r="IB25" s="16">
        <f t="shared" si="56"/>
        <v>13700</v>
      </c>
      <c r="IC25" s="16">
        <v>719.8</v>
      </c>
      <c r="ID25" s="16">
        <v>232.78</v>
      </c>
      <c r="IE25" s="16">
        <f t="shared" si="79"/>
        <v>0</v>
      </c>
      <c r="IF25" s="16"/>
      <c r="IG25" s="16"/>
      <c r="IH25" s="128">
        <f t="shared" si="57"/>
        <v>17100</v>
      </c>
      <c r="II25" s="211">
        <f t="shared" si="58"/>
        <v>-1.8189894035458565E-10</v>
      </c>
      <c r="IJ25" s="16"/>
      <c r="IK25" s="16"/>
      <c r="IL25" s="16">
        <f t="shared" si="100"/>
        <v>0</v>
      </c>
      <c r="IM25" s="16"/>
      <c r="IN25" s="16"/>
      <c r="IO25" s="16">
        <f t="shared" si="101"/>
        <v>0</v>
      </c>
      <c r="IP25" s="16"/>
      <c r="IQ25" s="16"/>
      <c r="IR25" s="16">
        <f t="shared" si="102"/>
        <v>0</v>
      </c>
      <c r="IS25" s="16"/>
      <c r="IT25" s="16"/>
      <c r="IU25" s="16">
        <f t="shared" si="103"/>
        <v>0</v>
      </c>
      <c r="IV25" s="16"/>
      <c r="IW25" s="16"/>
      <c r="IX25" s="16">
        <f t="shared" si="104"/>
        <v>0</v>
      </c>
      <c r="IY25" s="16"/>
      <c r="IZ25" s="16"/>
      <c r="JA25" s="16">
        <f t="shared" si="105"/>
        <v>0</v>
      </c>
      <c r="JB25" s="16"/>
      <c r="JC25" s="16"/>
      <c r="JD25" s="16">
        <f t="shared" si="106"/>
        <v>0</v>
      </c>
      <c r="JE25" s="16"/>
      <c r="JF25" s="16"/>
      <c r="JG25" s="16">
        <f t="shared" si="107"/>
        <v>0</v>
      </c>
      <c r="JH25" s="16"/>
      <c r="JI25" s="16"/>
      <c r="JJ25" s="16">
        <f t="shared" si="108"/>
        <v>0</v>
      </c>
      <c r="JK25" s="16"/>
      <c r="JL25" s="16"/>
      <c r="JM25" s="16">
        <f t="shared" si="109"/>
        <v>0</v>
      </c>
      <c r="JN25" s="16"/>
      <c r="JO25" s="16"/>
      <c r="JP25" s="16">
        <f t="shared" si="110"/>
        <v>0</v>
      </c>
      <c r="JQ25" s="16"/>
      <c r="JR25" s="16"/>
      <c r="JS25" s="16">
        <f t="shared" si="111"/>
        <v>0</v>
      </c>
      <c r="JT25" s="16"/>
      <c r="JU25" s="16"/>
      <c r="JV25" s="16">
        <f t="shared" si="112"/>
        <v>0</v>
      </c>
      <c r="JW25" s="16"/>
      <c r="JX25" s="16"/>
      <c r="JY25" s="16">
        <f t="shared" si="113"/>
        <v>0</v>
      </c>
      <c r="JZ25" s="16"/>
      <c r="KA25" s="16"/>
      <c r="KB25" s="16">
        <f t="shared" si="114"/>
        <v>0</v>
      </c>
      <c r="KC25" s="16"/>
      <c r="KD25" s="16"/>
      <c r="KE25" s="16">
        <f t="shared" si="115"/>
        <v>0</v>
      </c>
      <c r="KG25" s="151">
        <f t="shared" si="59"/>
        <v>51100</v>
      </c>
    </row>
    <row r="26" spans="1:293" x14ac:dyDescent="0.25">
      <c r="A26" s="35">
        <f t="shared" si="0"/>
        <v>20</v>
      </c>
      <c r="B26" s="38">
        <v>4952.8900000000003</v>
      </c>
      <c r="C26" s="38">
        <f t="shared" si="1"/>
        <v>9.9800000000004729</v>
      </c>
      <c r="D26" s="38">
        <f t="shared" si="2"/>
        <v>319360.00000001513</v>
      </c>
      <c r="E26" s="38">
        <v>995.07</v>
      </c>
      <c r="F26" s="38">
        <f t="shared" si="3"/>
        <v>66880.000000001019</v>
      </c>
      <c r="G26" s="38">
        <f t="shared" si="4"/>
        <v>386240.00000001618</v>
      </c>
      <c r="H26" s="37"/>
      <c r="I26" s="39"/>
      <c r="J26" s="42"/>
      <c r="K26" s="37">
        <f t="shared" si="80"/>
        <v>0</v>
      </c>
      <c r="L26" s="40">
        <v>15659000</v>
      </c>
      <c r="M26" s="40"/>
      <c r="N26" s="37">
        <f t="shared" si="81"/>
        <v>384000</v>
      </c>
      <c r="O26" s="37">
        <v>12046</v>
      </c>
      <c r="P26" s="37"/>
      <c r="Q26" s="37">
        <f t="shared" si="118"/>
        <v>18000</v>
      </c>
      <c r="R26" s="37">
        <f t="shared" si="82"/>
        <v>1</v>
      </c>
      <c r="S26" s="37">
        <v>11252994.74</v>
      </c>
      <c r="T26" s="37">
        <f t="shared" si="6"/>
        <v>296.75999999977648</v>
      </c>
      <c r="U26" s="37">
        <v>1523790.61</v>
      </c>
      <c r="V26" s="37">
        <f t="shared" si="7"/>
        <v>0</v>
      </c>
      <c r="W26" s="37">
        <v>4314.5</v>
      </c>
      <c r="X26" s="37">
        <f t="shared" si="95"/>
        <v>17603.240000000224</v>
      </c>
      <c r="Y26" s="183"/>
      <c r="Z26" s="183"/>
      <c r="AA26" s="37">
        <v>791800</v>
      </c>
      <c r="AB26" s="37">
        <f t="shared" si="8"/>
        <v>100</v>
      </c>
      <c r="AC26" s="37">
        <v>4474.8999999999996</v>
      </c>
      <c r="AD26" s="37"/>
      <c r="AE26" s="37">
        <f t="shared" si="120"/>
        <v>8699.9999999998181</v>
      </c>
      <c r="AF26" s="37">
        <f>IF(AE26&lt;=0,0,(AE26/SQRT(AE26^2+(AD26-AD25)^2)))</f>
        <v>1</v>
      </c>
      <c r="AG26" s="37">
        <v>9729.7000000000007</v>
      </c>
      <c r="AH26" s="37"/>
      <c r="AI26" s="37">
        <f t="shared" si="10"/>
        <v>16062.560000001455</v>
      </c>
      <c r="AJ26" s="37">
        <f t="shared" si="11"/>
        <v>1</v>
      </c>
      <c r="AK26" s="37">
        <f t="shared" si="12"/>
        <v>42662.560000001271</v>
      </c>
      <c r="AL26" s="42">
        <v>11509.6</v>
      </c>
      <c r="AM26" s="42"/>
      <c r="AN26" s="37">
        <f t="shared" si="60"/>
        <v>6902.5599999999586</v>
      </c>
      <c r="AO26" s="37">
        <f t="shared" si="84"/>
        <v>1</v>
      </c>
      <c r="AP26" s="37">
        <v>8999.9</v>
      </c>
      <c r="AQ26" s="37"/>
      <c r="AR26" s="37">
        <f t="shared" si="13"/>
        <v>7799.9999999992724</v>
      </c>
      <c r="AS26" s="37">
        <f t="shared" si="85"/>
        <v>1</v>
      </c>
      <c r="AT26" s="183"/>
      <c r="AU26" s="183"/>
      <c r="AV26" s="183"/>
      <c r="AW26" s="183"/>
      <c r="AX26" s="37">
        <v>508630</v>
      </c>
      <c r="AY26" s="37"/>
      <c r="AZ26" s="37">
        <f t="shared" si="14"/>
        <v>380</v>
      </c>
      <c r="BA26" s="37">
        <v>184000</v>
      </c>
      <c r="BB26" s="37"/>
      <c r="BC26" s="37">
        <f t="shared" si="15"/>
        <v>640</v>
      </c>
      <c r="BD26" s="37">
        <f t="shared" si="86"/>
        <v>15722.55999999923</v>
      </c>
      <c r="BE26" s="43">
        <v>2013</v>
      </c>
      <c r="BF26" s="43">
        <v>1120.7</v>
      </c>
      <c r="BG26" s="37">
        <f t="shared" si="16"/>
        <v>1500</v>
      </c>
      <c r="BH26" s="44">
        <v>9442.2000000000007</v>
      </c>
      <c r="BI26" s="44">
        <v>6088.6</v>
      </c>
      <c r="BJ26" s="37">
        <f t="shared" si="17"/>
        <v>9100.0000000003638</v>
      </c>
      <c r="BK26" s="40">
        <v>1800920</v>
      </c>
      <c r="BL26" s="40">
        <f t="shared" si="87"/>
        <v>4180</v>
      </c>
      <c r="BM26" s="40">
        <v>909.33</v>
      </c>
      <c r="BN26" s="37">
        <f t="shared" si="18"/>
        <v>680.00000000006366</v>
      </c>
      <c r="BO26" s="186"/>
      <c r="BP26" s="183">
        <f t="shared" si="19"/>
        <v>0</v>
      </c>
      <c r="BQ26" s="40">
        <v>857.8</v>
      </c>
      <c r="BR26" s="37">
        <f t="shared" si="61"/>
        <v>399.99999999997726</v>
      </c>
      <c r="BS26" s="37">
        <v>109613.42</v>
      </c>
      <c r="BT26" s="37">
        <f t="shared" si="20"/>
        <v>174.27000000000407</v>
      </c>
      <c r="BU26" s="42">
        <v>3188783</v>
      </c>
      <c r="BV26" s="42"/>
      <c r="BW26" s="37">
        <f t="shared" si="21"/>
        <v>7320</v>
      </c>
      <c r="BX26" s="37">
        <f t="shared" si="88"/>
        <v>1</v>
      </c>
      <c r="BY26" s="43">
        <v>382.59320000000002</v>
      </c>
      <c r="BZ26" s="37"/>
      <c r="CA26" s="37">
        <f t="shared" si="116"/>
        <v>706.00000000001728</v>
      </c>
      <c r="CB26" s="37">
        <f t="shared" si="62"/>
        <v>1</v>
      </c>
      <c r="CC26" s="37">
        <v>740176.6</v>
      </c>
      <c r="CD26" s="37">
        <f t="shared" si="23"/>
        <v>266.19999999995343</v>
      </c>
      <c r="CE26" s="41">
        <v>1519560</v>
      </c>
      <c r="CF26" s="37">
        <f t="shared" si="24"/>
        <v>6015</v>
      </c>
      <c r="CG26" s="37">
        <v>72810.600000000006</v>
      </c>
      <c r="CH26" s="37">
        <f t="shared" si="63"/>
        <v>0</v>
      </c>
      <c r="CI26" s="40">
        <v>13706.88</v>
      </c>
      <c r="CJ26" s="40"/>
      <c r="CK26" s="37">
        <f t="shared" si="64"/>
        <v>14976.559999998601</v>
      </c>
      <c r="CL26" s="37">
        <f t="shared" si="25"/>
        <v>1</v>
      </c>
      <c r="CM26" s="37">
        <v>3923.23</v>
      </c>
      <c r="CN26" s="37"/>
      <c r="CO26" s="37">
        <f t="shared" si="26"/>
        <v>5628.5599999998949</v>
      </c>
      <c r="CP26" s="37">
        <f t="shared" si="89"/>
        <v>1</v>
      </c>
      <c r="CQ26" s="39">
        <v>518724.4</v>
      </c>
      <c r="CR26" s="39"/>
      <c r="CS26" s="37">
        <f t="shared" si="65"/>
        <v>6958.9600000000237</v>
      </c>
      <c r="CT26" s="37">
        <f t="shared" si="66"/>
        <v>1</v>
      </c>
      <c r="CU26" s="37">
        <v>4134305</v>
      </c>
      <c r="CV26" s="37"/>
      <c r="CW26" s="38">
        <f t="shared" si="27"/>
        <v>996</v>
      </c>
      <c r="CX26" s="37">
        <f t="shared" si="90"/>
        <v>1</v>
      </c>
      <c r="CY26" s="37">
        <v>2193597</v>
      </c>
      <c r="CZ26" s="37"/>
      <c r="DA26" s="37">
        <f t="shared" si="28"/>
        <v>532</v>
      </c>
      <c r="DB26" s="37">
        <f t="shared" si="91"/>
        <v>1</v>
      </c>
      <c r="DC26" s="37"/>
      <c r="DD26" s="40"/>
      <c r="DE26" s="37">
        <f t="shared" si="29"/>
        <v>0</v>
      </c>
      <c r="DF26" s="37">
        <f t="shared" si="96"/>
        <v>0</v>
      </c>
      <c r="DG26" s="37">
        <f t="shared" si="30"/>
        <v>-36412.079999998517</v>
      </c>
      <c r="DH26" s="37">
        <f t="shared" si="31"/>
        <v>428162.56000000128</v>
      </c>
      <c r="DI26" s="46"/>
      <c r="DJ26" s="46"/>
      <c r="DK26" s="47"/>
      <c r="DL26" s="47"/>
      <c r="DM26" s="37"/>
      <c r="DN26" s="37"/>
      <c r="DO26" s="37"/>
      <c r="DP26" s="37"/>
      <c r="DQ26" s="50">
        <v>4043300</v>
      </c>
      <c r="DR26" s="49">
        <f t="shared" si="67"/>
        <v>10400</v>
      </c>
      <c r="DS26" s="50">
        <v>4805500</v>
      </c>
      <c r="DT26" s="49">
        <f t="shared" si="68"/>
        <v>18100</v>
      </c>
      <c r="DU26" s="51">
        <v>8228.2000000000007</v>
      </c>
      <c r="DV26" s="51">
        <v>4629.3</v>
      </c>
      <c r="DW26" s="37">
        <f t="shared" si="92"/>
        <v>4200.0000000007276</v>
      </c>
      <c r="DX26" s="52">
        <v>13582</v>
      </c>
      <c r="DY26" s="52">
        <v>8548.7999999999993</v>
      </c>
      <c r="DZ26" s="37">
        <f t="shared" si="32"/>
        <v>8162.56</v>
      </c>
      <c r="EA26" s="49">
        <v>31365</v>
      </c>
      <c r="EB26" s="49">
        <v>21.643000000000001</v>
      </c>
      <c r="EC26" s="37">
        <f t="shared" si="33"/>
        <v>27322.560000000001</v>
      </c>
      <c r="ED26" s="53">
        <f t="shared" si="34"/>
        <v>39685.12000000073</v>
      </c>
      <c r="EE26" s="49">
        <v>46979</v>
      </c>
      <c r="EF26" s="49">
        <v>30.797999999999998</v>
      </c>
      <c r="EG26" s="37">
        <f t="shared" si="35"/>
        <v>33322.559999999998</v>
      </c>
      <c r="EH26" s="51">
        <v>13733</v>
      </c>
      <c r="EI26" s="51">
        <v>1.9536</v>
      </c>
      <c r="EJ26" s="37">
        <f t="shared" si="36"/>
        <v>10162.56</v>
      </c>
      <c r="EK26" s="37">
        <v>835.35</v>
      </c>
      <c r="EL26" s="40">
        <v>1196.7</v>
      </c>
      <c r="EM26" s="37">
        <f t="shared" si="69"/>
        <v>909.99999999996817</v>
      </c>
      <c r="EN26" s="54">
        <f t="shared" si="70"/>
        <v>44395.119999999966</v>
      </c>
      <c r="EO26" s="48">
        <v>13420</v>
      </c>
      <c r="EP26" s="48">
        <v>4692.8</v>
      </c>
      <c r="EQ26" s="37">
        <f t="shared" si="71"/>
        <v>6272.560000000014</v>
      </c>
      <c r="ER26" s="48">
        <v>10241</v>
      </c>
      <c r="ES26" s="48">
        <v>4226</v>
      </c>
      <c r="ET26" s="49">
        <f t="shared" si="98"/>
        <v>10000</v>
      </c>
      <c r="EU26" s="48">
        <v>4101.8999999999996</v>
      </c>
      <c r="EV26" s="48">
        <v>1457.5</v>
      </c>
      <c r="EW26" s="49">
        <f t="shared" si="38"/>
        <v>9462.5599999997266</v>
      </c>
      <c r="EX26" s="48">
        <v>14174</v>
      </c>
      <c r="EY26" s="48">
        <v>1.6916</v>
      </c>
      <c r="EZ26" s="37">
        <f t="shared" si="39"/>
        <v>11162.56</v>
      </c>
      <c r="FA26" s="48">
        <f t="shared" si="72"/>
        <v>-18008.679999999738</v>
      </c>
      <c r="FB26" s="60">
        <v>37771680</v>
      </c>
      <c r="FC26" s="49">
        <f t="shared" si="93"/>
        <v>18889</v>
      </c>
      <c r="FD26" s="48">
        <f t="shared" si="73"/>
        <v>38797.679999999375</v>
      </c>
      <c r="FE26" s="48">
        <v>17553</v>
      </c>
      <c r="FF26" s="48">
        <v>6209.3</v>
      </c>
      <c r="FG26" s="37">
        <f t="shared" si="74"/>
        <v>9255.8899999999849</v>
      </c>
      <c r="FH26" s="48">
        <v>9727.2000000000007</v>
      </c>
      <c r="FI26" s="48">
        <v>3.7349000000000001</v>
      </c>
      <c r="FJ26" s="49">
        <f t="shared" si="40"/>
        <v>19865.890000000003</v>
      </c>
      <c r="FK26" s="48"/>
      <c r="FL26" s="58">
        <v>203.33</v>
      </c>
      <c r="FM26" s="48">
        <f t="shared" si="94"/>
        <v>-162.55666666666244</v>
      </c>
      <c r="FN26" s="48">
        <v>17313</v>
      </c>
      <c r="FO26" s="48">
        <v>0.93169999999999997</v>
      </c>
      <c r="FP26" s="37">
        <f t="shared" si="75"/>
        <v>12365.89</v>
      </c>
      <c r="FQ26" s="48">
        <v>61019</v>
      </c>
      <c r="FR26" s="48">
        <v>14.827</v>
      </c>
      <c r="FS26" s="37">
        <f t="shared" si="41"/>
        <v>41000</v>
      </c>
      <c r="FT26" s="48">
        <f t="shared" si="76"/>
        <v>-487.66999999998734</v>
      </c>
      <c r="FU26" s="48">
        <f t="shared" si="77"/>
        <v>41487.669999999984</v>
      </c>
      <c r="FV26" s="71">
        <v>5810200</v>
      </c>
      <c r="FW26" s="44">
        <v>1787400</v>
      </c>
      <c r="FX26" s="37">
        <f t="shared" si="42"/>
        <v>26700</v>
      </c>
      <c r="FY26" s="56">
        <v>3769.7</v>
      </c>
      <c r="FZ26" s="56">
        <v>2.1974</v>
      </c>
      <c r="GA26" s="37">
        <f t="shared" si="43"/>
        <v>6359.9999999997272</v>
      </c>
      <c r="GB26" s="56">
        <v>858.85</v>
      </c>
      <c r="GC26" s="56">
        <v>963.79</v>
      </c>
      <c r="GD26" s="37">
        <f t="shared" si="44"/>
        <v>840.00000000003183</v>
      </c>
      <c r="GE26" s="56">
        <v>10612</v>
      </c>
      <c r="GF26" s="56">
        <v>3.7887</v>
      </c>
      <c r="GG26" s="37">
        <f t="shared" si="45"/>
        <v>10100.000000000364</v>
      </c>
      <c r="GH26" s="158">
        <v>2057.6999999999998</v>
      </c>
      <c r="GI26" s="159">
        <v>1769.7</v>
      </c>
      <c r="GJ26" s="38">
        <f t="shared" si="46"/>
        <v>1899.9999999996362</v>
      </c>
      <c r="GK26" s="159">
        <v>1516.6</v>
      </c>
      <c r="GL26" s="160">
        <v>1140.5</v>
      </c>
      <c r="GM26" s="38">
        <f>IF((GK26-GK25)&lt;=0,0,((((GH26-GH25))*1000)+((GK26-GK25))*1000))/2</f>
        <v>0</v>
      </c>
      <c r="GN26" s="57">
        <v>241810</v>
      </c>
      <c r="GO26" s="57">
        <v>215970</v>
      </c>
      <c r="GP26" s="38">
        <f t="shared" si="97"/>
        <v>2950</v>
      </c>
      <c r="GQ26" s="38">
        <v>289130</v>
      </c>
      <c r="GR26" s="38">
        <v>284010</v>
      </c>
      <c r="GS26" s="38">
        <f t="shared" si="78"/>
        <v>940</v>
      </c>
      <c r="GT26" s="178"/>
      <c r="GU26" s="144">
        <f>DailyJul!B25-DailyJul!N25-DailyJul!V25-DailyJul!Y25-DailyJul!Z25-DailyJul!AA25-DailyJul!AB25-DailyJul!AC25-DailyJul!AD25-DailyJul!AE25-DailyJul!AK25-DailyJul!AO25-DailyJul!AS25-DailyJul!AY25-DailyJul!BD25+DailyJul!BU25-DailyJul!BG25-DailyJul!BT25-DailyJul!AF25-DailyJul!AG25</f>
        <v>1.0000016598496586E-2</v>
      </c>
      <c r="GV26" s="59">
        <v>2438.41</v>
      </c>
      <c r="GW26" s="60">
        <f t="shared" si="48"/>
        <v>162.56066666666666</v>
      </c>
      <c r="GX26" s="61">
        <v>162.56</v>
      </c>
      <c r="GY26" s="140"/>
      <c r="GZ26" s="62"/>
      <c r="HA26" s="62"/>
      <c r="HB26" s="74"/>
      <c r="HC26" s="62"/>
      <c r="HD26" s="74"/>
      <c r="HE26" s="24">
        <f t="shared" si="49"/>
        <v>0</v>
      </c>
      <c r="HF26" s="151"/>
      <c r="HG26" s="213">
        <v>20</v>
      </c>
      <c r="HH26" s="16">
        <v>17813</v>
      </c>
      <c r="HI26" s="16">
        <v>6836.2</v>
      </c>
      <c r="HJ26" s="16">
        <f t="shared" si="50"/>
        <v>146000</v>
      </c>
      <c r="HK26" s="16">
        <v>2.1432000000000002</v>
      </c>
      <c r="HL26" s="16">
        <v>807.23</v>
      </c>
      <c r="HM26" s="16">
        <f t="shared" si="99"/>
        <v>0</v>
      </c>
      <c r="HN26" s="16">
        <v>4564.3999999999996</v>
      </c>
      <c r="HO26" s="16">
        <v>1997.1</v>
      </c>
      <c r="HP26" s="16">
        <f t="shared" si="52"/>
        <v>40274.999999999272</v>
      </c>
      <c r="HQ26" s="16">
        <v>3531.3</v>
      </c>
      <c r="HR26" s="16">
        <v>1516.1</v>
      </c>
      <c r="HS26" s="16">
        <f t="shared" si="53"/>
        <v>20875.000000000091</v>
      </c>
      <c r="HT26" s="16">
        <v>3291.7</v>
      </c>
      <c r="HU26" s="16">
        <v>1224.5999999999999</v>
      </c>
      <c r="HV26" s="16">
        <f t="shared" si="54"/>
        <v>26074.999999999909</v>
      </c>
      <c r="HW26" s="16">
        <v>2105.4</v>
      </c>
      <c r="HX26" s="16">
        <v>917.65</v>
      </c>
      <c r="HY26" s="16">
        <f t="shared" si="55"/>
        <v>23074.999999999909</v>
      </c>
      <c r="HZ26" s="16">
        <v>1074100</v>
      </c>
      <c r="IA26" s="16">
        <v>500550</v>
      </c>
      <c r="IB26" s="16">
        <f t="shared" si="56"/>
        <v>17600</v>
      </c>
      <c r="IC26" s="16">
        <v>719.8</v>
      </c>
      <c r="ID26" s="16">
        <v>232.78</v>
      </c>
      <c r="IE26" s="16">
        <f t="shared" si="79"/>
        <v>0</v>
      </c>
      <c r="IF26" s="16"/>
      <c r="IG26" s="16"/>
      <c r="IH26" s="128">
        <f t="shared" si="57"/>
        <v>18100</v>
      </c>
      <c r="II26" s="211">
        <f t="shared" si="58"/>
        <v>8.149072527885437E-10</v>
      </c>
      <c r="IJ26" s="16"/>
      <c r="IK26" s="16"/>
      <c r="IL26" s="16">
        <f t="shared" si="100"/>
        <v>0</v>
      </c>
      <c r="IM26" s="16"/>
      <c r="IN26" s="16"/>
      <c r="IO26" s="16">
        <f t="shared" si="101"/>
        <v>0</v>
      </c>
      <c r="IP26" s="16"/>
      <c r="IQ26" s="16"/>
      <c r="IR26" s="16">
        <f t="shared" si="102"/>
        <v>0</v>
      </c>
      <c r="IS26" s="16"/>
      <c r="IT26" s="16"/>
      <c r="IU26" s="16">
        <f t="shared" si="103"/>
        <v>0</v>
      </c>
      <c r="IV26" s="16"/>
      <c r="IW26" s="16"/>
      <c r="IX26" s="16">
        <f t="shared" si="104"/>
        <v>0</v>
      </c>
      <c r="IY26" s="16"/>
      <c r="IZ26" s="16"/>
      <c r="JA26" s="16">
        <f t="shared" si="105"/>
        <v>0</v>
      </c>
      <c r="JB26" s="16"/>
      <c r="JC26" s="16"/>
      <c r="JD26" s="16">
        <f t="shared" si="106"/>
        <v>0</v>
      </c>
      <c r="JE26" s="16"/>
      <c r="JF26" s="16"/>
      <c r="JG26" s="16">
        <f t="shared" si="107"/>
        <v>0</v>
      </c>
      <c r="JH26" s="16"/>
      <c r="JI26" s="16"/>
      <c r="JJ26" s="16">
        <f t="shared" si="108"/>
        <v>0</v>
      </c>
      <c r="JK26" s="16"/>
      <c r="JL26" s="16"/>
      <c r="JM26" s="16">
        <f t="shared" si="109"/>
        <v>0</v>
      </c>
      <c r="JN26" s="16"/>
      <c r="JO26" s="16"/>
      <c r="JP26" s="16">
        <f t="shared" si="110"/>
        <v>0</v>
      </c>
      <c r="JQ26" s="16"/>
      <c r="JR26" s="16"/>
      <c r="JS26" s="16">
        <f t="shared" si="111"/>
        <v>0</v>
      </c>
      <c r="JT26" s="16"/>
      <c r="JU26" s="16"/>
      <c r="JV26" s="16">
        <f t="shared" si="112"/>
        <v>0</v>
      </c>
      <c r="JW26" s="16"/>
      <c r="JX26" s="16"/>
      <c r="JY26" s="16">
        <f t="shared" si="113"/>
        <v>0</v>
      </c>
      <c r="JZ26" s="16"/>
      <c r="KA26" s="16"/>
      <c r="KB26" s="16">
        <f t="shared" si="114"/>
        <v>0</v>
      </c>
      <c r="KC26" s="16"/>
      <c r="KD26" s="16"/>
      <c r="KE26" s="16">
        <f t="shared" si="115"/>
        <v>0</v>
      </c>
      <c r="KG26" s="151">
        <f t="shared" si="59"/>
        <v>57875.000000000087</v>
      </c>
    </row>
    <row r="27" spans="1:293" x14ac:dyDescent="0.25">
      <c r="A27" s="35">
        <f t="shared" si="0"/>
        <v>21</v>
      </c>
      <c r="B27" s="38">
        <v>4961.84</v>
      </c>
      <c r="C27" s="38">
        <f t="shared" si="1"/>
        <v>8.9499999999998181</v>
      </c>
      <c r="D27" s="38">
        <f t="shared" si="2"/>
        <v>286399.99999999418</v>
      </c>
      <c r="E27" s="38">
        <v>996.67</v>
      </c>
      <c r="F27" s="38">
        <f t="shared" si="3"/>
        <v>51199.99999999709</v>
      </c>
      <c r="G27" s="38">
        <f t="shared" si="4"/>
        <v>337599.99999999127</v>
      </c>
      <c r="H27" s="37"/>
      <c r="I27" s="39"/>
      <c r="J27" s="42"/>
      <c r="K27" s="37">
        <f t="shared" si="80"/>
        <v>0</v>
      </c>
      <c r="L27" s="40">
        <v>15692600</v>
      </c>
      <c r="M27" s="40"/>
      <c r="N27" s="37">
        <f t="shared" si="81"/>
        <v>336000</v>
      </c>
      <c r="O27" s="37">
        <v>12065</v>
      </c>
      <c r="P27" s="37"/>
      <c r="Q27" s="37">
        <f t="shared" si="118"/>
        <v>19000</v>
      </c>
      <c r="R27" s="37">
        <f t="shared" si="82"/>
        <v>1</v>
      </c>
      <c r="S27" s="37">
        <v>11253286.869999999</v>
      </c>
      <c r="T27" s="37">
        <f t="shared" si="6"/>
        <v>292.12999999895692</v>
      </c>
      <c r="U27" s="37">
        <v>1523790.61</v>
      </c>
      <c r="V27" s="37">
        <f t="shared" si="7"/>
        <v>0</v>
      </c>
      <c r="W27" s="37">
        <v>4320.8999999999996</v>
      </c>
      <c r="X27" s="37">
        <f t="shared" si="95"/>
        <v>18607.870000001043</v>
      </c>
      <c r="Y27" s="183"/>
      <c r="Z27" s="183"/>
      <c r="AA27" s="37">
        <v>791900</v>
      </c>
      <c r="AB27" s="37">
        <f t="shared" si="8"/>
        <v>100</v>
      </c>
      <c r="AC27" s="37">
        <v>4483.3</v>
      </c>
      <c r="AD27" s="37"/>
      <c r="AE27" s="37">
        <f t="shared" si="120"/>
        <v>8400.0000000005457</v>
      </c>
      <c r="AF27" s="37">
        <f t="shared" si="83"/>
        <v>1</v>
      </c>
      <c r="AG27" s="37">
        <v>9744.7000000000007</v>
      </c>
      <c r="AH27" s="37"/>
      <c r="AI27" s="37">
        <f t="shared" si="10"/>
        <v>14945.61</v>
      </c>
      <c r="AJ27" s="37">
        <f t="shared" si="11"/>
        <v>1</v>
      </c>
      <c r="AK27" s="37">
        <f t="shared" si="12"/>
        <v>42245.610000000546</v>
      </c>
      <c r="AL27" s="42">
        <v>11520.8</v>
      </c>
      <c r="AM27" s="42"/>
      <c r="AN27" s="37">
        <f t="shared" si="60"/>
        <v>6195.6099999989137</v>
      </c>
      <c r="AO27" s="37">
        <f t="shared" si="84"/>
        <v>1</v>
      </c>
      <c r="AP27" s="37">
        <v>9007.2999999999993</v>
      </c>
      <c r="AQ27" s="37"/>
      <c r="AR27" s="37">
        <f t="shared" si="13"/>
        <v>7399.9999999996362</v>
      </c>
      <c r="AS27" s="37">
        <f t="shared" si="85"/>
        <v>1</v>
      </c>
      <c r="AT27" s="183"/>
      <c r="AU27" s="183"/>
      <c r="AV27" s="183"/>
      <c r="AW27" s="183"/>
      <c r="AX27" s="37">
        <v>508980</v>
      </c>
      <c r="AY27" s="37"/>
      <c r="AZ27" s="37">
        <f t="shared" si="14"/>
        <v>350</v>
      </c>
      <c r="BA27" s="37">
        <v>184560</v>
      </c>
      <c r="BB27" s="37"/>
      <c r="BC27" s="37">
        <f t="shared" si="15"/>
        <v>560</v>
      </c>
      <c r="BD27" s="37">
        <f t="shared" si="86"/>
        <v>14505.609999998549</v>
      </c>
      <c r="BE27" s="43">
        <v>2014.4</v>
      </c>
      <c r="BF27" s="43">
        <v>1121.7</v>
      </c>
      <c r="BG27" s="37">
        <f t="shared" si="16"/>
        <v>1400.0000000000909</v>
      </c>
      <c r="BH27" s="44">
        <v>9451.2999999999993</v>
      </c>
      <c r="BI27" s="44">
        <v>6094.6</v>
      </c>
      <c r="BJ27" s="37">
        <f t="shared" si="17"/>
        <v>9099.9999999985448</v>
      </c>
      <c r="BK27" s="40">
        <v>1804990</v>
      </c>
      <c r="BL27" s="40">
        <f t="shared" si="87"/>
        <v>4070</v>
      </c>
      <c r="BM27" s="40">
        <v>910.01</v>
      </c>
      <c r="BN27" s="37">
        <f t="shared" si="18"/>
        <v>679.99999999994998</v>
      </c>
      <c r="BO27" s="186"/>
      <c r="BP27" s="183">
        <f t="shared" si="19"/>
        <v>0</v>
      </c>
      <c r="BQ27" s="40">
        <v>858</v>
      </c>
      <c r="BR27" s="37">
        <f t="shared" si="61"/>
        <v>200.00000000004547</v>
      </c>
      <c r="BS27" s="37">
        <v>109796.05</v>
      </c>
      <c r="BT27" s="37">
        <f t="shared" si="20"/>
        <v>182.63000000000466</v>
      </c>
      <c r="BU27" s="42">
        <v>3193274</v>
      </c>
      <c r="BV27" s="42"/>
      <c r="BW27" s="37">
        <f t="shared" si="21"/>
        <v>4491</v>
      </c>
      <c r="BX27" s="37">
        <f t="shared" si="88"/>
        <v>1</v>
      </c>
      <c r="BY27" s="43">
        <v>382.96480000000003</v>
      </c>
      <c r="BZ27" s="37"/>
      <c r="CA27" s="37">
        <f t="shared" si="116"/>
        <v>371.60000000000082</v>
      </c>
      <c r="CB27" s="37">
        <f t="shared" si="62"/>
        <v>1</v>
      </c>
      <c r="CC27" s="37">
        <v>741282.1</v>
      </c>
      <c r="CD27" s="37">
        <f t="shared" si="23"/>
        <v>1105.5</v>
      </c>
      <c r="CE27" s="41">
        <v>1522716</v>
      </c>
      <c r="CF27" s="37">
        <f t="shared" si="24"/>
        <v>3156</v>
      </c>
      <c r="CG27" s="37">
        <v>72810.600000000006</v>
      </c>
      <c r="CH27" s="37">
        <f t="shared" si="63"/>
        <v>0</v>
      </c>
      <c r="CI27" s="40">
        <v>13715.75</v>
      </c>
      <c r="CJ27" s="40"/>
      <c r="CK27" s="37">
        <f t="shared" si="64"/>
        <v>8444.0100000008006</v>
      </c>
      <c r="CL27" s="37">
        <f t="shared" si="25"/>
        <v>1</v>
      </c>
      <c r="CM27" s="37">
        <v>3925.8820000000001</v>
      </c>
      <c r="CN27" s="37"/>
      <c r="CO27" s="37">
        <f t="shared" si="26"/>
        <v>2597.6100000000438</v>
      </c>
      <c r="CP27" s="37">
        <f t="shared" si="89"/>
        <v>1</v>
      </c>
      <c r="CQ27" s="39">
        <v>521864.8</v>
      </c>
      <c r="CR27" s="39"/>
      <c r="CS27" s="37">
        <f t="shared" si="65"/>
        <v>3086.0099999999652</v>
      </c>
      <c r="CT27" s="37">
        <f t="shared" si="66"/>
        <v>1</v>
      </c>
      <c r="CU27" s="37">
        <v>4139139</v>
      </c>
      <c r="CV27" s="37"/>
      <c r="CW27" s="38">
        <f t="shared" si="27"/>
        <v>4834</v>
      </c>
      <c r="CX27" s="37">
        <f t="shared" si="90"/>
        <v>1</v>
      </c>
      <c r="CY27" s="37">
        <v>2197150</v>
      </c>
      <c r="CZ27" s="37"/>
      <c r="DA27" s="37">
        <f t="shared" ref="DA27:DA38" si="122">IF((CY27-CY26)&lt;=0,0,(CY27-CY26))/1</f>
        <v>3553</v>
      </c>
      <c r="DB27" s="37">
        <f t="shared" si="91"/>
        <v>1</v>
      </c>
      <c r="DC27" s="37"/>
      <c r="DD27" s="40"/>
      <c r="DE27" s="37">
        <f t="shared" si="29"/>
        <v>0</v>
      </c>
      <c r="DF27" s="37">
        <f t="shared" si="96"/>
        <v>0</v>
      </c>
      <c r="DG27" s="37">
        <f t="shared" si="30"/>
        <v>-27005.630000000812</v>
      </c>
      <c r="DH27" s="37">
        <f t="shared" si="31"/>
        <v>379645.61000000063</v>
      </c>
      <c r="DI27" s="46"/>
      <c r="DJ27" s="46"/>
      <c r="DK27" s="47"/>
      <c r="DL27" s="47"/>
      <c r="DM27" s="37"/>
      <c r="DN27" s="37"/>
      <c r="DO27" s="37"/>
      <c r="DP27" s="37"/>
      <c r="DQ27" s="50">
        <v>4050700</v>
      </c>
      <c r="DR27" s="49">
        <f t="shared" si="67"/>
        <v>7400</v>
      </c>
      <c r="DS27" s="50">
        <v>4827700</v>
      </c>
      <c r="DT27" s="49">
        <f t="shared" si="68"/>
        <v>22200</v>
      </c>
      <c r="DU27" s="51">
        <v>8232.2000000000007</v>
      </c>
      <c r="DV27" s="51">
        <v>4632.5</v>
      </c>
      <c r="DW27" s="37">
        <f t="shared" si="92"/>
        <v>4000</v>
      </c>
      <c r="DX27" s="52">
        <v>13589</v>
      </c>
      <c r="DY27" s="52">
        <v>8551</v>
      </c>
      <c r="DZ27" s="37">
        <f t="shared" si="32"/>
        <v>6945.61</v>
      </c>
      <c r="EA27" s="49">
        <v>31388</v>
      </c>
      <c r="EB27" s="49">
        <v>21.654</v>
      </c>
      <c r="EC27" s="37">
        <f t="shared" si="33"/>
        <v>25105.61</v>
      </c>
      <c r="ED27" s="53">
        <f t="shared" si="34"/>
        <v>36051.22</v>
      </c>
      <c r="EE27" s="49">
        <v>47010</v>
      </c>
      <c r="EF27" s="49">
        <v>30.821000000000002</v>
      </c>
      <c r="EG27" s="37">
        <f t="shared" si="35"/>
        <v>33105.61</v>
      </c>
      <c r="EH27" s="51">
        <v>13745</v>
      </c>
      <c r="EI27" s="51">
        <v>1.9567000000000001</v>
      </c>
      <c r="EJ27" s="37">
        <f t="shared" si="36"/>
        <v>11945.61</v>
      </c>
      <c r="EK27" s="37">
        <v>836.25</v>
      </c>
      <c r="EL27" s="40">
        <v>1198.2</v>
      </c>
      <c r="EM27" s="37">
        <f t="shared" si="69"/>
        <v>899.99999999997726</v>
      </c>
      <c r="EN27" s="54">
        <f t="shared" si="70"/>
        <v>45951.219999999979</v>
      </c>
      <c r="EO27" s="48">
        <v>13427</v>
      </c>
      <c r="EP27" s="48">
        <v>4695.3</v>
      </c>
      <c r="EQ27" s="37">
        <f t="shared" si="71"/>
        <v>6060.6099999999515</v>
      </c>
      <c r="ER27" s="48">
        <v>10249</v>
      </c>
      <c r="ES27" s="48">
        <v>4230.3</v>
      </c>
      <c r="ET27" s="49">
        <f t="shared" si="98"/>
        <v>8000</v>
      </c>
      <c r="EU27" s="48">
        <v>4111.5</v>
      </c>
      <c r="EV27" s="48">
        <v>1460.8</v>
      </c>
      <c r="EW27" s="49">
        <f t="shared" si="38"/>
        <v>9545.6100000003644</v>
      </c>
      <c r="EX27" s="48">
        <v>14184</v>
      </c>
      <c r="EY27" s="48">
        <v>1.6954</v>
      </c>
      <c r="EZ27" s="37">
        <f t="shared" si="39"/>
        <v>9945.61</v>
      </c>
      <c r="FA27" s="48">
        <f t="shared" si="72"/>
        <v>-15528.830000000316</v>
      </c>
      <c r="FB27" s="48">
        <v>37789703</v>
      </c>
      <c r="FC27" s="49">
        <f t="shared" si="93"/>
        <v>18023</v>
      </c>
      <c r="FD27" s="48">
        <f t="shared" si="73"/>
        <v>35351.830000000497</v>
      </c>
      <c r="FE27" s="48">
        <v>17562</v>
      </c>
      <c r="FF27" s="48">
        <v>6209.3</v>
      </c>
      <c r="FG27" s="37">
        <f t="shared" si="74"/>
        <v>8735.6100000000479</v>
      </c>
      <c r="FH27" s="48">
        <v>9748.6</v>
      </c>
      <c r="FI27" s="48">
        <v>3.7618999999999998</v>
      </c>
      <c r="FJ27" s="49">
        <f t="shared" si="40"/>
        <v>20250.609999999637</v>
      </c>
      <c r="FK27" s="48"/>
      <c r="FL27" s="58">
        <v>-1095</v>
      </c>
      <c r="FM27" s="48">
        <f t="shared" si="94"/>
        <v>54.390000000104919</v>
      </c>
      <c r="FN27" s="48">
        <v>17325</v>
      </c>
      <c r="FO27" s="48">
        <v>0.93340000000000001</v>
      </c>
      <c r="FP27" s="37">
        <f t="shared" si="75"/>
        <v>10850.61</v>
      </c>
      <c r="FQ27" s="48">
        <v>61059</v>
      </c>
      <c r="FR27" s="55">
        <v>14.837</v>
      </c>
      <c r="FS27" s="37">
        <f t="shared" si="41"/>
        <v>40000</v>
      </c>
      <c r="FT27" s="48">
        <f t="shared" si="76"/>
        <v>163.17000000031476</v>
      </c>
      <c r="FU27" s="48">
        <f t="shared" si="77"/>
        <v>40986.829999999769</v>
      </c>
      <c r="FV27" s="44">
        <v>5823900</v>
      </c>
      <c r="FW27" s="44">
        <v>1791700</v>
      </c>
      <c r="FX27" s="37">
        <f t="shared" si="42"/>
        <v>13700</v>
      </c>
      <c r="FY27" s="56">
        <v>3774.2</v>
      </c>
      <c r="FZ27" s="56">
        <v>2.1983000000000001</v>
      </c>
      <c r="GA27" s="37">
        <f t="shared" si="43"/>
        <v>3940</v>
      </c>
      <c r="GB27" s="56">
        <v>859.41</v>
      </c>
      <c r="GC27" s="56">
        <v>964.46</v>
      </c>
      <c r="GD27" s="37">
        <f t="shared" si="44"/>
        <v>559.99999999994543</v>
      </c>
      <c r="GE27" s="63">
        <v>10620</v>
      </c>
      <c r="GF27" s="56">
        <v>3.7955999999999999</v>
      </c>
      <c r="GG27" s="37">
        <f t="shared" si="45"/>
        <v>5049.9999999997272</v>
      </c>
      <c r="GH27" s="158">
        <v>2059.5</v>
      </c>
      <c r="GI27" s="159">
        <v>1771.5</v>
      </c>
      <c r="GJ27" s="38">
        <f t="shared" si="46"/>
        <v>1800.0000000001819</v>
      </c>
      <c r="GK27" s="159">
        <v>1517.1</v>
      </c>
      <c r="GL27" s="160">
        <v>1140.7</v>
      </c>
      <c r="GM27" s="38">
        <f>IF((GK27-GK26)&lt;=0,0,((((GH27-GH26))*1000)+((GK27-GK26))*1000))/2</f>
        <v>1150.0000000000909</v>
      </c>
      <c r="GN27" s="57">
        <v>243970</v>
      </c>
      <c r="GO27" s="57">
        <v>218020</v>
      </c>
      <c r="GP27" s="38">
        <f t="shared" si="97"/>
        <v>2160</v>
      </c>
      <c r="GQ27" s="38">
        <v>289690</v>
      </c>
      <c r="GR27" s="38">
        <v>284720</v>
      </c>
      <c r="GS27" s="38">
        <f t="shared" si="78"/>
        <v>560</v>
      </c>
      <c r="GT27" s="24"/>
      <c r="GU27" s="144">
        <f>DailyJul!B26-DailyJul!N26-DailyJul!V26-DailyJul!Y26-DailyJul!Z26-DailyJul!AA26-DailyJul!AB26-DailyJul!AC26-DailyJul!AD26-DailyJul!AE26-DailyJul!AK26-DailyJul!AO26-DailyJul!AS26-DailyJul!AY26-DailyJul!BD26+DailyJul!BU26-DailyJul!BG26-DailyJul!BT26-DailyJul!AF26-DailyJul!AG26</f>
        <v>-5.0000007220660336E-2</v>
      </c>
      <c r="GV27" s="59">
        <v>-815.9</v>
      </c>
      <c r="GW27" s="60">
        <f t="shared" si="48"/>
        <v>-54.393333333333331</v>
      </c>
      <c r="GX27" s="61">
        <v>-54.39</v>
      </c>
      <c r="GY27" s="140"/>
      <c r="GZ27" s="62"/>
      <c r="HA27" s="62"/>
      <c r="HB27" s="74"/>
      <c r="HC27" s="62"/>
      <c r="HD27" s="62"/>
      <c r="HE27" s="24">
        <f t="shared" si="49"/>
        <v>0</v>
      </c>
      <c r="HF27" s="3"/>
      <c r="HG27" s="213">
        <v>21</v>
      </c>
      <c r="HH27" s="16">
        <v>17952</v>
      </c>
      <c r="HI27" s="16">
        <v>6888.3</v>
      </c>
      <c r="HJ27" s="16">
        <f t="shared" si="50"/>
        <v>139000</v>
      </c>
      <c r="HK27" s="16">
        <v>2.1432000000000002</v>
      </c>
      <c r="HL27" s="16">
        <v>807.23</v>
      </c>
      <c r="HM27" s="16">
        <f t="shared" si="99"/>
        <v>0</v>
      </c>
      <c r="HN27" s="16">
        <v>4602.3</v>
      </c>
      <c r="HO27" s="16">
        <v>2012.9</v>
      </c>
      <c r="HP27" s="16">
        <f t="shared" si="52"/>
        <v>37300.000000000546</v>
      </c>
      <c r="HQ27" s="16">
        <v>3554.1</v>
      </c>
      <c r="HR27" s="16">
        <v>1525.7</v>
      </c>
      <c r="HS27" s="16">
        <f t="shared" si="53"/>
        <v>22199.999999999727</v>
      </c>
      <c r="HT27" s="16">
        <v>3319.2</v>
      </c>
      <c r="HU27" s="16">
        <v>1234</v>
      </c>
      <c r="HV27" s="16">
        <f t="shared" si="54"/>
        <v>26900</v>
      </c>
      <c r="HW27" s="16">
        <v>2129</v>
      </c>
      <c r="HX27" s="16">
        <v>927.71</v>
      </c>
      <c r="HY27" s="16">
        <f t="shared" si="55"/>
        <v>22999.999999999909</v>
      </c>
      <c r="HZ27" s="16">
        <v>1081500</v>
      </c>
      <c r="IA27" s="16">
        <v>504420</v>
      </c>
      <c r="IB27" s="16">
        <f t="shared" si="56"/>
        <v>7400</v>
      </c>
      <c r="IC27" s="16">
        <v>719.8</v>
      </c>
      <c r="ID27" s="16">
        <v>232.78</v>
      </c>
      <c r="IE27" s="16">
        <f t="shared" si="79"/>
        <v>0</v>
      </c>
      <c r="IF27" s="16"/>
      <c r="IG27" s="16"/>
      <c r="IH27" s="128">
        <f t="shared" si="57"/>
        <v>22200</v>
      </c>
      <c r="II27" s="211">
        <f t="shared" si="58"/>
        <v>-1.8189894035458565E-10</v>
      </c>
      <c r="IJ27" s="16"/>
      <c r="IK27" s="16"/>
      <c r="IL27" s="16">
        <f t="shared" si="100"/>
        <v>0</v>
      </c>
      <c r="IM27" s="16"/>
      <c r="IN27" s="16"/>
      <c r="IO27" s="16">
        <f t="shared" si="101"/>
        <v>0</v>
      </c>
      <c r="IP27" s="16"/>
      <c r="IQ27" s="16"/>
      <c r="IR27" s="16">
        <f t="shared" si="102"/>
        <v>0</v>
      </c>
      <c r="IS27" s="16"/>
      <c r="IT27" s="16"/>
      <c r="IU27" s="16">
        <f t="shared" si="103"/>
        <v>0</v>
      </c>
      <c r="IV27" s="16"/>
      <c r="IW27" s="16"/>
      <c r="IX27" s="16">
        <f t="shared" si="104"/>
        <v>0</v>
      </c>
      <c r="IY27" s="16"/>
      <c r="IZ27" s="16"/>
      <c r="JA27" s="16">
        <f t="shared" si="105"/>
        <v>0</v>
      </c>
      <c r="JB27" s="16"/>
      <c r="JC27" s="16"/>
      <c r="JD27" s="16">
        <f t="shared" si="106"/>
        <v>0</v>
      </c>
      <c r="JE27" s="16"/>
      <c r="JF27" s="16"/>
      <c r="JG27" s="16">
        <f t="shared" si="107"/>
        <v>0</v>
      </c>
      <c r="JH27" s="16"/>
      <c r="JI27" s="16"/>
      <c r="JJ27" s="16">
        <f t="shared" si="108"/>
        <v>0</v>
      </c>
      <c r="JK27" s="16"/>
      <c r="JL27" s="16"/>
      <c r="JM27" s="16">
        <f t="shared" si="109"/>
        <v>0</v>
      </c>
      <c r="JN27" s="16"/>
      <c r="JO27" s="16"/>
      <c r="JP27" s="16">
        <f t="shared" si="110"/>
        <v>0</v>
      </c>
      <c r="JQ27" s="16"/>
      <c r="JR27" s="16"/>
      <c r="JS27" s="16">
        <f t="shared" si="111"/>
        <v>0</v>
      </c>
      <c r="JT27" s="16"/>
      <c r="JU27" s="16"/>
      <c r="JV27" s="16">
        <f t="shared" si="112"/>
        <v>0</v>
      </c>
      <c r="JW27" s="16"/>
      <c r="JX27" s="16"/>
      <c r="JY27" s="16">
        <f t="shared" si="113"/>
        <v>0</v>
      </c>
      <c r="JZ27" s="16"/>
      <c r="KA27" s="16"/>
      <c r="KB27" s="16">
        <f t="shared" si="114"/>
        <v>0</v>
      </c>
      <c r="KC27" s="16"/>
      <c r="KD27" s="16"/>
      <c r="KE27" s="16">
        <f t="shared" si="115"/>
        <v>0</v>
      </c>
      <c r="KG27" s="151">
        <f t="shared" si="59"/>
        <v>44700.000000000364</v>
      </c>
    </row>
    <row r="28" spans="1:293" x14ac:dyDescent="0.25">
      <c r="A28" s="35">
        <f t="shared" si="0"/>
        <v>22</v>
      </c>
      <c r="B28" s="38">
        <v>4972.58</v>
      </c>
      <c r="C28" s="38">
        <f t="shared" si="1"/>
        <v>10.739999999999782</v>
      </c>
      <c r="D28" s="38">
        <f t="shared" si="2"/>
        <v>343679.99999999302</v>
      </c>
      <c r="E28" s="38">
        <v>998.93</v>
      </c>
      <c r="F28" s="38">
        <f t="shared" si="3"/>
        <v>72319.999999999709</v>
      </c>
      <c r="G28" s="38">
        <f t="shared" si="4"/>
        <v>415999.99999999272</v>
      </c>
      <c r="H28" s="37"/>
      <c r="I28" s="39"/>
      <c r="J28" s="42"/>
      <c r="K28" s="37">
        <f t="shared" si="80"/>
        <v>0</v>
      </c>
      <c r="L28" s="40">
        <v>15733900</v>
      </c>
      <c r="M28" s="40"/>
      <c r="N28" s="37">
        <f t="shared" si="81"/>
        <v>413000</v>
      </c>
      <c r="O28" s="37">
        <v>12083</v>
      </c>
      <c r="P28" s="37"/>
      <c r="Q28" s="37">
        <f t="shared" si="118"/>
        <v>18000</v>
      </c>
      <c r="R28" s="37">
        <f t="shared" si="82"/>
        <v>1</v>
      </c>
      <c r="S28" s="37">
        <v>11253564.869999999</v>
      </c>
      <c r="T28" s="37">
        <f t="shared" si="6"/>
        <v>278</v>
      </c>
      <c r="U28" s="37">
        <v>1523790.61</v>
      </c>
      <c r="V28" s="37">
        <f>IF((U28-U27)&lt;=0,0,(U28-U27))</f>
        <v>0</v>
      </c>
      <c r="W28" s="37">
        <v>4327.5</v>
      </c>
      <c r="X28" s="37">
        <f t="shared" si="95"/>
        <v>17622</v>
      </c>
      <c r="Y28" s="183"/>
      <c r="Z28" s="183"/>
      <c r="AA28" s="37">
        <v>792000</v>
      </c>
      <c r="AB28" s="37">
        <f t="shared" si="8"/>
        <v>100</v>
      </c>
      <c r="AC28" s="37">
        <v>4492.2</v>
      </c>
      <c r="AD28" s="37"/>
      <c r="AE28" s="37">
        <f t="shared" si="120"/>
        <v>8899.9999999996362</v>
      </c>
      <c r="AF28" s="37">
        <f t="shared" si="83"/>
        <v>1</v>
      </c>
      <c r="AG28" s="37">
        <v>9760</v>
      </c>
      <c r="AH28" s="37"/>
      <c r="AI28" s="37">
        <f t="shared" si="10"/>
        <v>15775.239999999272</v>
      </c>
      <c r="AJ28" s="37">
        <f t="shared" si="11"/>
        <v>1</v>
      </c>
      <c r="AK28" s="37">
        <f t="shared" si="12"/>
        <v>42575.239999998907</v>
      </c>
      <c r="AL28" s="42">
        <v>11531.6</v>
      </c>
      <c r="AM28" s="2"/>
      <c r="AN28" s="37">
        <f t="shared" si="60"/>
        <v>5595.240000001023</v>
      </c>
      <c r="AO28" s="37">
        <f t="shared" si="84"/>
        <v>1</v>
      </c>
      <c r="AP28" s="37">
        <v>9014.9</v>
      </c>
      <c r="AQ28" s="37"/>
      <c r="AR28" s="37">
        <f t="shared" si="13"/>
        <v>7600.0000000003638</v>
      </c>
      <c r="AS28" s="37">
        <f t="shared" si="85"/>
        <v>1</v>
      </c>
      <c r="AT28" s="183"/>
      <c r="AU28" s="183"/>
      <c r="AV28" s="183"/>
      <c r="AW28" s="183"/>
      <c r="AX28" s="37">
        <v>509310</v>
      </c>
      <c r="AY28" s="37"/>
      <c r="AZ28" s="37">
        <f t="shared" si="14"/>
        <v>330</v>
      </c>
      <c r="BA28" s="37">
        <v>185190</v>
      </c>
      <c r="BB28" s="37"/>
      <c r="BC28" s="37">
        <f t="shared" si="15"/>
        <v>630</v>
      </c>
      <c r="BD28" s="37">
        <f t="shared" si="86"/>
        <v>14155.240000001388</v>
      </c>
      <c r="BE28" s="43">
        <v>2016.1</v>
      </c>
      <c r="BF28" s="43">
        <v>1123</v>
      </c>
      <c r="BG28" s="37">
        <f t="shared" si="16"/>
        <v>1699.9999999998181</v>
      </c>
      <c r="BH28" s="44">
        <v>9461.1</v>
      </c>
      <c r="BI28" s="44">
        <v>6100.9</v>
      </c>
      <c r="BJ28" s="37">
        <f t="shared" si="17"/>
        <v>9800.0000000010914</v>
      </c>
      <c r="BK28" s="40">
        <v>1809370</v>
      </c>
      <c r="BL28" s="40">
        <f t="shared" si="87"/>
        <v>4380</v>
      </c>
      <c r="BM28" s="40">
        <v>910.71</v>
      </c>
      <c r="BN28" s="37">
        <f t="shared" si="18"/>
        <v>700.00000000004547</v>
      </c>
      <c r="BO28" s="186"/>
      <c r="BP28" s="183">
        <f t="shared" si="19"/>
        <v>0</v>
      </c>
      <c r="BQ28" s="40">
        <v>858.6</v>
      </c>
      <c r="BR28" s="37">
        <f t="shared" si="61"/>
        <v>600.00000000002274</v>
      </c>
      <c r="BS28" s="37">
        <v>109972.85</v>
      </c>
      <c r="BT28" s="37">
        <f t="shared" si="20"/>
        <v>176.80000000000291</v>
      </c>
      <c r="BU28" s="42">
        <v>3201533</v>
      </c>
      <c r="BV28" s="42"/>
      <c r="BW28" s="37">
        <f t="shared" si="21"/>
        <v>8259</v>
      </c>
      <c r="BX28" s="37">
        <f t="shared" si="88"/>
        <v>1</v>
      </c>
      <c r="BY28" s="43">
        <v>383.65280000000001</v>
      </c>
      <c r="BZ28" s="37"/>
      <c r="CA28" s="37">
        <f t="shared" si="116"/>
        <v>687.99999999998818</v>
      </c>
      <c r="CB28" s="37">
        <f t="shared" si="62"/>
        <v>1</v>
      </c>
      <c r="CC28" s="37">
        <v>742756.7</v>
      </c>
      <c r="CD28" s="37">
        <f t="shared" si="23"/>
        <v>1474.5999999999767</v>
      </c>
      <c r="CE28" s="41">
        <v>1529068</v>
      </c>
      <c r="CF28" s="37">
        <f t="shared" si="24"/>
        <v>6352</v>
      </c>
      <c r="CG28" s="37">
        <v>72810.600000000006</v>
      </c>
      <c r="CH28" s="37">
        <f t="shared" si="63"/>
        <v>0</v>
      </c>
      <c r="CI28" s="40">
        <v>13732.22</v>
      </c>
      <c r="CJ28" s="40"/>
      <c r="CK28" s="37">
        <f t="shared" si="64"/>
        <v>16257.239999999358</v>
      </c>
      <c r="CL28" s="37">
        <f t="shared" si="25"/>
        <v>1</v>
      </c>
      <c r="CM28" s="37">
        <v>3933.6320000000001</v>
      </c>
      <c r="CN28" s="37"/>
      <c r="CO28" s="37">
        <f t="shared" si="26"/>
        <v>8225.24</v>
      </c>
      <c r="CP28" s="37">
        <f t="shared" si="89"/>
        <v>1</v>
      </c>
      <c r="CQ28" s="39">
        <v>529362.6</v>
      </c>
      <c r="CR28" s="39"/>
      <c r="CS28" s="37">
        <f t="shared" si="65"/>
        <v>7973.0399999999881</v>
      </c>
      <c r="CT28" s="37">
        <f t="shared" si="66"/>
        <v>1</v>
      </c>
      <c r="CU28" s="37">
        <v>4153456</v>
      </c>
      <c r="CV28" s="37"/>
      <c r="CW28" s="38">
        <f t="shared" si="27"/>
        <v>14317</v>
      </c>
      <c r="CX28" s="37">
        <f t="shared" si="90"/>
        <v>1</v>
      </c>
      <c r="CY28" s="37">
        <v>2205450</v>
      </c>
      <c r="CZ28" s="37"/>
      <c r="DA28" s="37">
        <f t="shared" si="122"/>
        <v>8300</v>
      </c>
      <c r="DB28" s="37">
        <f>IF(DA28&lt;=0,0,(DA28/SQRT(DA28^2+(CZ28-CZ27)^2)))</f>
        <v>1</v>
      </c>
      <c r="DC28" s="37"/>
      <c r="DD28" s="40"/>
      <c r="DE28" s="37">
        <f t="shared" si="29"/>
        <v>0</v>
      </c>
      <c r="DF28" s="37">
        <f t="shared" si="96"/>
        <v>0</v>
      </c>
      <c r="DG28" s="37">
        <f t="shared" si="30"/>
        <v>-63331.519999999342</v>
      </c>
      <c r="DH28" s="37">
        <f t="shared" si="31"/>
        <v>457275.23999999871</v>
      </c>
      <c r="DI28" s="46"/>
      <c r="DJ28" s="46"/>
      <c r="DK28" s="47"/>
      <c r="DL28" s="47"/>
      <c r="DM28" s="37"/>
      <c r="DN28" s="37"/>
      <c r="DO28" s="37"/>
      <c r="DP28" s="37"/>
      <c r="DQ28" s="50">
        <v>4061700</v>
      </c>
      <c r="DR28" s="49">
        <f t="shared" si="67"/>
        <v>11000</v>
      </c>
      <c r="DS28" s="50">
        <v>4848400</v>
      </c>
      <c r="DT28" s="49">
        <f t="shared" si="68"/>
        <v>20700</v>
      </c>
      <c r="DU28" s="51">
        <v>8236.6</v>
      </c>
      <c r="DV28" s="51">
        <v>4635.8999999999996</v>
      </c>
      <c r="DW28" s="37">
        <f t="shared" si="92"/>
        <v>4399.9999999996362</v>
      </c>
      <c r="DX28" s="52">
        <v>13597</v>
      </c>
      <c r="DY28" s="52">
        <v>8553.4</v>
      </c>
      <c r="DZ28" s="37">
        <f t="shared" si="32"/>
        <v>8475.24</v>
      </c>
      <c r="EA28" s="49">
        <v>31411</v>
      </c>
      <c r="EB28" s="49">
        <v>21.666</v>
      </c>
      <c r="EC28" s="37">
        <f t="shared" si="33"/>
        <v>25635.24</v>
      </c>
      <c r="ED28" s="53">
        <f t="shared" si="34"/>
        <v>38510.479999999639</v>
      </c>
      <c r="EE28" s="49">
        <v>47039</v>
      </c>
      <c r="EF28" s="49">
        <v>30.841999999999999</v>
      </c>
      <c r="EG28" s="37">
        <f t="shared" si="35"/>
        <v>31635.24</v>
      </c>
      <c r="EH28" s="51">
        <v>13757</v>
      </c>
      <c r="EI28" s="51">
        <v>1.9599</v>
      </c>
      <c r="EJ28" s="37">
        <f t="shared" si="36"/>
        <v>12475.24</v>
      </c>
      <c r="EK28" s="37">
        <v>836.96</v>
      </c>
      <c r="EL28" s="40">
        <v>1199.3</v>
      </c>
      <c r="EM28" s="37">
        <f t="shared" si="69"/>
        <v>710.00000000003638</v>
      </c>
      <c r="EN28" s="54">
        <f t="shared" si="70"/>
        <v>44820.48000000004</v>
      </c>
      <c r="EO28" s="48">
        <v>13434</v>
      </c>
      <c r="EP28" s="48">
        <v>4697.7</v>
      </c>
      <c r="EQ28" s="37">
        <f t="shared" si="71"/>
        <v>6595.2400000000043</v>
      </c>
      <c r="ER28" s="48">
        <v>10261</v>
      </c>
      <c r="ES28" s="48">
        <v>4235.6000000000004</v>
      </c>
      <c r="ET28" s="49">
        <f t="shared" si="98"/>
        <v>12000</v>
      </c>
      <c r="EU28" s="48">
        <v>4120.8999999999996</v>
      </c>
      <c r="EV28" s="48">
        <v>1464.1</v>
      </c>
      <c r="EW28" s="49">
        <f t="shared" si="38"/>
        <v>9875.239999999636</v>
      </c>
      <c r="EX28" s="48">
        <v>14196</v>
      </c>
      <c r="EY28" s="48">
        <v>1.6984999999999999</v>
      </c>
      <c r="EZ28" s="37">
        <f t="shared" si="39"/>
        <v>12475.24</v>
      </c>
      <c r="FA28" s="48">
        <f t="shared" si="72"/>
        <v>-20398.719999999641</v>
      </c>
      <c r="FB28" s="48">
        <v>37810250</v>
      </c>
      <c r="FC28" s="49">
        <f t="shared" si="93"/>
        <v>20547</v>
      </c>
      <c r="FD28" s="48">
        <f t="shared" si="73"/>
        <v>42845.719999999725</v>
      </c>
      <c r="FE28" s="48">
        <v>17571</v>
      </c>
      <c r="FF28" s="48">
        <v>6209.3</v>
      </c>
      <c r="FG28" s="37">
        <f t="shared" si="74"/>
        <v>10961.909999999996</v>
      </c>
      <c r="FH28" s="48">
        <v>9765.9</v>
      </c>
      <c r="FI28" s="48">
        <v>3.7686999999999999</v>
      </c>
      <c r="FJ28" s="49">
        <f t="shared" si="40"/>
        <v>18381.909999999272</v>
      </c>
      <c r="FK28" s="48"/>
      <c r="FL28" s="58">
        <v>606.66999999999996</v>
      </c>
      <c r="FM28" s="48">
        <f t="shared" si="94"/>
        <v>-475.24333333308942</v>
      </c>
      <c r="FN28" s="48">
        <v>17337</v>
      </c>
      <c r="FO28" s="48">
        <v>0.93530000000000002</v>
      </c>
      <c r="FP28" s="37">
        <f t="shared" si="75"/>
        <v>13081.91</v>
      </c>
      <c r="FQ28" s="48">
        <v>61100</v>
      </c>
      <c r="FR28" s="48">
        <v>14.816000000000001</v>
      </c>
      <c r="FS28" s="37">
        <f t="shared" si="41"/>
        <v>41000</v>
      </c>
      <c r="FT28" s="48">
        <f t="shared" si="76"/>
        <v>-1425.7299999992683</v>
      </c>
      <c r="FU28" s="48">
        <f t="shared" si="77"/>
        <v>44025.729999999407</v>
      </c>
      <c r="FV28" s="44">
        <v>5841100</v>
      </c>
      <c r="FW28" s="44">
        <v>1797000</v>
      </c>
      <c r="FX28" s="37">
        <f t="shared" si="42"/>
        <v>17200</v>
      </c>
      <c r="FY28" s="56">
        <v>3778.7</v>
      </c>
      <c r="FZ28" s="56">
        <v>2.1997</v>
      </c>
      <c r="GA28" s="37">
        <f t="shared" si="43"/>
        <v>4300</v>
      </c>
      <c r="GB28" s="56">
        <v>860.06</v>
      </c>
      <c r="GC28" s="56">
        <v>965.22</v>
      </c>
      <c r="GD28" s="37">
        <f t="shared" si="44"/>
        <v>649.99999999997726</v>
      </c>
      <c r="GE28" s="56">
        <v>10628</v>
      </c>
      <c r="GF28" s="56">
        <v>3.8008000000000002</v>
      </c>
      <c r="GG28" s="37">
        <f t="shared" si="45"/>
        <v>4499.9999999997726</v>
      </c>
      <c r="GH28" s="158">
        <v>2061.4</v>
      </c>
      <c r="GI28" s="159">
        <v>1773.3</v>
      </c>
      <c r="GJ28" s="38">
        <f t="shared" si="46"/>
        <v>1900.0000000000909</v>
      </c>
      <c r="GK28" s="159">
        <v>1518.7</v>
      </c>
      <c r="GL28" s="160">
        <v>1141.4000000000001</v>
      </c>
      <c r="GM28" s="38">
        <f>IF((GK28-GK27)&lt;=0,0,(GK28-GK27))*1000</f>
        <v>1600.0000000001364</v>
      </c>
      <c r="GN28" s="57">
        <v>243970</v>
      </c>
      <c r="GO28" s="57">
        <v>218030</v>
      </c>
      <c r="GP28" s="38">
        <f t="shared" si="97"/>
        <v>0</v>
      </c>
      <c r="GQ28" s="38">
        <v>289890</v>
      </c>
      <c r="GR28" s="38">
        <v>284850</v>
      </c>
      <c r="GS28" s="38">
        <f t="shared" si="78"/>
        <v>200</v>
      </c>
      <c r="GT28" s="178"/>
      <c r="GU28" s="144">
        <f>DailyJul!B27-DailyJul!N27-DailyJul!V27-DailyJul!Y27-DailyJul!Z27-DailyJul!AA27-DailyJul!AB27-DailyJul!AC27-DailyJul!AD27-DailyJul!AE27-DailyJul!AK27-DailyJul!AO27-DailyJul!AS27-DailyJul!AY27-DailyJul!BD27+DailyJul!BU27-DailyJul!BG27-DailyJul!BT27-DailyJul!AF27-DailyJul!AG27</f>
        <v>-1.0000006412155926E-2</v>
      </c>
      <c r="GV28" s="59">
        <v>7128.59</v>
      </c>
      <c r="GW28" s="60">
        <f t="shared" si="48"/>
        <v>475.23933333333332</v>
      </c>
      <c r="GX28" s="61">
        <v>475.24</v>
      </c>
      <c r="GY28" s="140"/>
      <c r="GZ28" s="62"/>
      <c r="HA28" s="62"/>
      <c r="HB28" s="74"/>
      <c r="HC28" s="62"/>
      <c r="HD28" s="74"/>
      <c r="HE28" s="24">
        <f t="shared" si="49"/>
        <v>0</v>
      </c>
      <c r="HF28" s="151"/>
      <c r="HG28" s="213">
        <v>22</v>
      </c>
      <c r="HH28" s="16">
        <v>18113</v>
      </c>
      <c r="HI28" s="16">
        <v>6948.2</v>
      </c>
      <c r="HJ28" s="16">
        <f t="shared" si="50"/>
        <v>161000</v>
      </c>
      <c r="HK28" s="16">
        <v>2.1432000000000002</v>
      </c>
      <c r="HL28" s="16">
        <v>807.23</v>
      </c>
      <c r="HM28" s="16">
        <f t="shared" si="99"/>
        <v>0</v>
      </c>
      <c r="HN28" s="16">
        <v>4644.7</v>
      </c>
      <c r="HO28" s="16">
        <v>2029.9</v>
      </c>
      <c r="HP28" s="16">
        <f t="shared" si="52"/>
        <v>42424.999999999636</v>
      </c>
      <c r="HQ28" s="16">
        <v>3578.4</v>
      </c>
      <c r="HR28" s="16">
        <v>1535.5</v>
      </c>
      <c r="HS28" s="16">
        <f t="shared" si="53"/>
        <v>24325.000000000182</v>
      </c>
      <c r="HT28" s="16">
        <v>3346.5</v>
      </c>
      <c r="HU28" s="16">
        <v>1243.0999999999999</v>
      </c>
      <c r="HV28" s="16">
        <f t="shared" si="54"/>
        <v>27325.000000000182</v>
      </c>
      <c r="HW28" s="16">
        <v>2153.1</v>
      </c>
      <c r="HX28" s="16">
        <v>937.7</v>
      </c>
      <c r="HY28" s="16">
        <f t="shared" si="55"/>
        <v>24124.999999999909</v>
      </c>
      <c r="HZ28" s="16">
        <v>1103600</v>
      </c>
      <c r="IA28" s="16">
        <v>514080</v>
      </c>
      <c r="IB28" s="16">
        <f t="shared" si="56"/>
        <v>22100</v>
      </c>
      <c r="IC28" s="16">
        <v>719.8</v>
      </c>
      <c r="ID28" s="16">
        <v>232.78</v>
      </c>
      <c r="IE28" s="16">
        <f t="shared" si="79"/>
        <v>0</v>
      </c>
      <c r="IF28" s="16"/>
      <c r="IG28" s="16"/>
      <c r="IH28" s="128">
        <f t="shared" si="57"/>
        <v>20700</v>
      </c>
      <c r="II28" s="211">
        <f t="shared" si="58"/>
        <v>1.0186340659856796E-10</v>
      </c>
      <c r="IJ28" s="16"/>
      <c r="IK28" s="16"/>
      <c r="IL28" s="16">
        <f t="shared" si="100"/>
        <v>0</v>
      </c>
      <c r="IM28" s="16"/>
      <c r="IN28" s="16"/>
      <c r="IO28" s="16">
        <f t="shared" si="101"/>
        <v>0</v>
      </c>
      <c r="IP28" s="16"/>
      <c r="IQ28" s="16"/>
      <c r="IR28" s="16">
        <f t="shared" si="102"/>
        <v>0</v>
      </c>
      <c r="IS28" s="16"/>
      <c r="IT28" s="16"/>
      <c r="IU28" s="16">
        <f t="shared" si="103"/>
        <v>0</v>
      </c>
      <c r="IV28" s="16"/>
      <c r="IW28" s="16"/>
      <c r="IX28" s="16">
        <f t="shared" si="104"/>
        <v>0</v>
      </c>
      <c r="IY28" s="16"/>
      <c r="IZ28" s="16"/>
      <c r="JA28" s="16">
        <f t="shared" si="105"/>
        <v>0</v>
      </c>
      <c r="JB28" s="16"/>
      <c r="JC28" s="16"/>
      <c r="JD28" s="16">
        <f t="shared" si="106"/>
        <v>0</v>
      </c>
      <c r="JE28" s="16"/>
      <c r="JF28" s="16"/>
      <c r="JG28" s="16">
        <f t="shared" si="107"/>
        <v>0</v>
      </c>
      <c r="JH28" s="16"/>
      <c r="JI28" s="16"/>
      <c r="JJ28" s="16">
        <f t="shared" si="108"/>
        <v>0</v>
      </c>
      <c r="JK28" s="16"/>
      <c r="JL28" s="16"/>
      <c r="JM28" s="16">
        <f t="shared" si="109"/>
        <v>0</v>
      </c>
      <c r="JN28" s="16"/>
      <c r="JO28" s="16"/>
      <c r="JP28" s="16">
        <f t="shared" si="110"/>
        <v>0</v>
      </c>
      <c r="JQ28" s="16"/>
      <c r="JR28" s="16"/>
      <c r="JS28" s="16">
        <f t="shared" si="111"/>
        <v>0</v>
      </c>
      <c r="JT28" s="16"/>
      <c r="JU28" s="16"/>
      <c r="JV28" s="16">
        <f t="shared" si="112"/>
        <v>0</v>
      </c>
      <c r="JW28" s="16"/>
      <c r="JX28" s="16"/>
      <c r="JY28" s="16">
        <f t="shared" si="113"/>
        <v>0</v>
      </c>
      <c r="JZ28" s="16"/>
      <c r="KA28" s="16"/>
      <c r="KB28" s="16">
        <f t="shared" si="114"/>
        <v>0</v>
      </c>
      <c r="KC28" s="16"/>
      <c r="KD28" s="16"/>
      <c r="KE28" s="16">
        <f t="shared" si="115"/>
        <v>0</v>
      </c>
      <c r="KG28" s="151">
        <f t="shared" si="59"/>
        <v>64524.999999999738</v>
      </c>
    </row>
    <row r="29" spans="1:293" x14ac:dyDescent="0.25">
      <c r="A29" s="35">
        <f t="shared" si="0"/>
        <v>23</v>
      </c>
      <c r="B29" s="38">
        <v>4983.7700000000004</v>
      </c>
      <c r="C29" s="38">
        <f t="shared" si="1"/>
        <v>11.190000000000509</v>
      </c>
      <c r="D29" s="38">
        <f t="shared" si="2"/>
        <v>358080.0000000163</v>
      </c>
      <c r="E29" s="38">
        <v>1001.17</v>
      </c>
      <c r="F29" s="38">
        <f t="shared" si="3"/>
        <v>71680.000000000291</v>
      </c>
      <c r="G29" s="38">
        <f t="shared" si="4"/>
        <v>429760.00000001659</v>
      </c>
      <c r="H29" s="37"/>
      <c r="I29" s="39"/>
      <c r="J29" s="42"/>
      <c r="K29" s="37">
        <f t="shared" si="80"/>
        <v>0</v>
      </c>
      <c r="L29" s="40">
        <v>15775900</v>
      </c>
      <c r="M29" s="40"/>
      <c r="N29" s="37">
        <f t="shared" si="81"/>
        <v>420000</v>
      </c>
      <c r="O29" s="37">
        <v>12101</v>
      </c>
      <c r="P29" s="37"/>
      <c r="Q29" s="37">
        <f t="shared" si="118"/>
        <v>18000</v>
      </c>
      <c r="R29" s="37">
        <f t="shared" si="82"/>
        <v>1</v>
      </c>
      <c r="S29" s="37">
        <v>11253861.65</v>
      </c>
      <c r="T29" s="37">
        <f t="shared" si="6"/>
        <v>296.78000000119209</v>
      </c>
      <c r="U29" s="37">
        <v>1523790.61</v>
      </c>
      <c r="V29" s="37">
        <f t="shared" si="7"/>
        <v>0</v>
      </c>
      <c r="W29" s="37">
        <v>4333.7</v>
      </c>
      <c r="X29" s="37">
        <f t="shared" si="95"/>
        <v>17703.219999998808</v>
      </c>
      <c r="Y29" s="183"/>
      <c r="Z29" s="183"/>
      <c r="AA29" s="37">
        <v>792000</v>
      </c>
      <c r="AB29" s="37">
        <f t="shared" si="8"/>
        <v>0</v>
      </c>
      <c r="AC29" s="37">
        <v>4500.8</v>
      </c>
      <c r="AD29" s="37"/>
      <c r="AE29" s="37">
        <f t="shared" si="120"/>
        <v>8600.0000000003638</v>
      </c>
      <c r="AF29" s="37">
        <f t="shared" si="83"/>
        <v>1</v>
      </c>
      <c r="AG29" s="37">
        <v>9775.2000000000007</v>
      </c>
      <c r="AH29" s="37"/>
      <c r="AI29" s="37">
        <f t="shared" si="10"/>
        <v>15932.490000000727</v>
      </c>
      <c r="AJ29" s="37">
        <f t="shared" si="11"/>
        <v>1</v>
      </c>
      <c r="AK29" s="37">
        <f t="shared" si="12"/>
        <v>42532.490000001089</v>
      </c>
      <c r="AL29" s="42">
        <v>11542.3</v>
      </c>
      <c r="AM29" s="42"/>
      <c r="AN29" s="37">
        <f t="shared" si="60"/>
        <v>5872.4899999990357</v>
      </c>
      <c r="AO29" s="37">
        <f t="shared" si="84"/>
        <v>1</v>
      </c>
      <c r="AP29" s="67">
        <v>9022.9</v>
      </c>
      <c r="AQ29" s="37"/>
      <c r="AR29" s="37">
        <f t="shared" si="13"/>
        <v>8000</v>
      </c>
      <c r="AS29" s="37">
        <f t="shared" si="85"/>
        <v>1</v>
      </c>
      <c r="AT29" s="183"/>
      <c r="AU29" s="183"/>
      <c r="AV29" s="183"/>
      <c r="AW29" s="183"/>
      <c r="AX29" s="37">
        <v>509660</v>
      </c>
      <c r="AY29" s="37"/>
      <c r="AZ29" s="37">
        <f t="shared" si="14"/>
        <v>350</v>
      </c>
      <c r="BA29" s="37">
        <v>185820</v>
      </c>
      <c r="BB29" s="37"/>
      <c r="BC29" s="37">
        <f t="shared" si="15"/>
        <v>630</v>
      </c>
      <c r="BD29" s="37">
        <f t="shared" si="86"/>
        <v>14852.489999999036</v>
      </c>
      <c r="BE29" s="43">
        <v>2017.6</v>
      </c>
      <c r="BF29" s="43">
        <v>1124</v>
      </c>
      <c r="BG29" s="37">
        <f t="shared" si="16"/>
        <v>1500</v>
      </c>
      <c r="BH29" s="44">
        <v>9470.7999999999993</v>
      </c>
      <c r="BI29" s="44">
        <v>6107.3</v>
      </c>
      <c r="BJ29" s="37">
        <f t="shared" si="17"/>
        <v>9699.9999999989086</v>
      </c>
      <c r="BK29" s="40">
        <v>1813540</v>
      </c>
      <c r="BL29" s="40">
        <f t="shared" si="87"/>
        <v>4170</v>
      </c>
      <c r="BM29" s="40">
        <v>911.4</v>
      </c>
      <c r="BN29" s="37">
        <f t="shared" si="18"/>
        <v>689.99999999994088</v>
      </c>
      <c r="BO29" s="186"/>
      <c r="BP29" s="183">
        <f t="shared" si="19"/>
        <v>0</v>
      </c>
      <c r="BQ29" s="40">
        <v>859.3</v>
      </c>
      <c r="BR29" s="37">
        <f t="shared" si="61"/>
        <v>699.99999999993179</v>
      </c>
      <c r="BS29" s="37">
        <v>110161.2</v>
      </c>
      <c r="BT29" s="37">
        <f t="shared" si="20"/>
        <v>188.34999999999127</v>
      </c>
      <c r="BU29" s="42">
        <v>3209802</v>
      </c>
      <c r="BV29" s="42"/>
      <c r="BW29" s="37">
        <f t="shared" si="21"/>
        <v>8269</v>
      </c>
      <c r="BX29" s="37">
        <f t="shared" si="88"/>
        <v>1</v>
      </c>
      <c r="BY29" s="43">
        <v>384.17059999999998</v>
      </c>
      <c r="BZ29" s="43"/>
      <c r="CA29" s="37">
        <f t="shared" si="116"/>
        <v>517.79999999996562</v>
      </c>
      <c r="CB29" s="37">
        <f t="shared" si="62"/>
        <v>1</v>
      </c>
      <c r="CC29" s="37">
        <v>744840.9</v>
      </c>
      <c r="CD29" s="37">
        <f t="shared" si="23"/>
        <v>2084.2000000000698</v>
      </c>
      <c r="CE29" s="41">
        <v>1535112</v>
      </c>
      <c r="CF29" s="37">
        <f t="shared" si="24"/>
        <v>6044</v>
      </c>
      <c r="CG29" s="37">
        <v>72810.600000000006</v>
      </c>
      <c r="CH29" s="37">
        <f t="shared" si="63"/>
        <v>0</v>
      </c>
      <c r="CI29" s="40">
        <v>13748.01</v>
      </c>
      <c r="CJ29" s="40"/>
      <c r="CK29" s="37">
        <f t="shared" si="64"/>
        <v>16004.690000000908</v>
      </c>
      <c r="CL29" s="37">
        <f t="shared" si="25"/>
        <v>1</v>
      </c>
      <c r="CM29" s="37">
        <v>3941.0120000000002</v>
      </c>
      <c r="CN29" s="37"/>
      <c r="CO29" s="37">
        <f t="shared" si="26"/>
        <v>8112.4900000001089</v>
      </c>
      <c r="CP29" s="37">
        <f t="shared" si="89"/>
        <v>1</v>
      </c>
      <c r="CQ29" s="39">
        <v>536320.1</v>
      </c>
      <c r="CR29" s="39"/>
      <c r="CS29" s="37">
        <f t="shared" si="65"/>
        <v>7689.99</v>
      </c>
      <c r="CT29" s="37">
        <f t="shared" si="66"/>
        <v>1</v>
      </c>
      <c r="CU29" s="37">
        <v>4165132</v>
      </c>
      <c r="CV29" s="37"/>
      <c r="CW29" s="38">
        <f t="shared" si="27"/>
        <v>11676</v>
      </c>
      <c r="CX29" s="37">
        <f t="shared" si="90"/>
        <v>1</v>
      </c>
      <c r="CY29" s="37">
        <v>2212311</v>
      </c>
      <c r="CZ29" s="37"/>
      <c r="DA29" s="37">
        <f t="shared" si="122"/>
        <v>6861</v>
      </c>
      <c r="DB29" s="37">
        <f t="shared" si="91"/>
        <v>1</v>
      </c>
      <c r="DC29" s="37"/>
      <c r="DD29" s="40"/>
      <c r="DE29" s="37">
        <f t="shared" si="29"/>
        <v>0</v>
      </c>
      <c r="DF29" s="37">
        <f t="shared" si="96"/>
        <v>0</v>
      </c>
      <c r="DG29" s="37">
        <f t="shared" si="30"/>
        <v>-58613.170000001017</v>
      </c>
      <c r="DH29" s="37">
        <f t="shared" si="31"/>
        <v>464032.4900000011</v>
      </c>
      <c r="DI29" s="46"/>
      <c r="DJ29" s="46"/>
      <c r="DK29" s="47"/>
      <c r="DL29" s="47"/>
      <c r="DM29" s="37"/>
      <c r="DN29" s="37"/>
      <c r="DO29" s="37"/>
      <c r="DP29" s="37"/>
      <c r="DQ29" s="50">
        <v>4071600</v>
      </c>
      <c r="DR29" s="49">
        <f t="shared" si="67"/>
        <v>9900</v>
      </c>
      <c r="DS29" s="50">
        <v>4868900</v>
      </c>
      <c r="DT29" s="49">
        <f t="shared" si="68"/>
        <v>20500</v>
      </c>
      <c r="DU29" s="72">
        <v>8241</v>
      </c>
      <c r="DV29" s="51">
        <v>4639.3</v>
      </c>
      <c r="DW29" s="37">
        <f t="shared" si="92"/>
        <v>4399.9999999996362</v>
      </c>
      <c r="DX29" s="52">
        <v>13605</v>
      </c>
      <c r="DY29" s="52">
        <v>8555.7999999999993</v>
      </c>
      <c r="DZ29" s="37">
        <f t="shared" si="32"/>
        <v>8732.49</v>
      </c>
      <c r="EA29" s="49">
        <v>31431</v>
      </c>
      <c r="EB29" s="49">
        <v>21.677</v>
      </c>
      <c r="EC29" s="37">
        <f t="shared" si="33"/>
        <v>22892.49</v>
      </c>
      <c r="ED29" s="53">
        <f t="shared" si="34"/>
        <v>36024.979999999639</v>
      </c>
      <c r="EE29" s="49">
        <v>47067</v>
      </c>
      <c r="EF29" s="49">
        <v>30.863</v>
      </c>
      <c r="EG29" s="37">
        <f t="shared" si="35"/>
        <v>30892.49</v>
      </c>
      <c r="EH29" s="72">
        <v>13768</v>
      </c>
      <c r="EI29" s="51">
        <v>1.9631000000000001</v>
      </c>
      <c r="EJ29" s="37">
        <f t="shared" si="36"/>
        <v>11732.49</v>
      </c>
      <c r="EK29" s="37">
        <v>837.63</v>
      </c>
      <c r="EL29" s="40">
        <v>1200.3</v>
      </c>
      <c r="EM29" s="37">
        <f t="shared" si="69"/>
        <v>669.99999999995907</v>
      </c>
      <c r="EN29" s="54">
        <f t="shared" si="70"/>
        <v>43294.97999999996</v>
      </c>
      <c r="EO29" s="48">
        <v>13440</v>
      </c>
      <c r="EP29" s="48">
        <v>4699.8999999999996</v>
      </c>
      <c r="EQ29" s="37">
        <f t="shared" si="71"/>
        <v>5842.4900000000134</v>
      </c>
      <c r="ER29" s="48">
        <v>10279</v>
      </c>
      <c r="ES29" s="48">
        <v>4242.8999999999996</v>
      </c>
      <c r="ET29" s="49">
        <f t="shared" si="98"/>
        <v>18000</v>
      </c>
      <c r="EU29" s="48">
        <v>4130.8</v>
      </c>
      <c r="EV29" s="48">
        <v>1467.6</v>
      </c>
      <c r="EW29" s="49">
        <f t="shared" si="38"/>
        <v>10632.490000000545</v>
      </c>
      <c r="EX29" s="48">
        <v>14208</v>
      </c>
      <c r="EY29" s="55">
        <v>1.7009000000000001</v>
      </c>
      <c r="EZ29" s="37">
        <f t="shared" si="39"/>
        <v>12732.49</v>
      </c>
      <c r="FA29" s="48">
        <f t="shared" si="72"/>
        <v>-23965.470000000558</v>
      </c>
      <c r="FB29" s="48">
        <v>37833492</v>
      </c>
      <c r="FC29" s="49">
        <f t="shared" si="93"/>
        <v>23242</v>
      </c>
      <c r="FD29" s="48">
        <f t="shared" si="73"/>
        <v>48907.470000000372</v>
      </c>
      <c r="FE29" s="48">
        <v>17579</v>
      </c>
      <c r="FF29" s="48">
        <v>6211</v>
      </c>
      <c r="FG29" s="37">
        <f t="shared" si="74"/>
        <v>9992.489999999987</v>
      </c>
      <c r="FH29" s="48">
        <v>9785.9</v>
      </c>
      <c r="FI29" s="48">
        <v>3.7761</v>
      </c>
      <c r="FJ29" s="49">
        <f t="shared" si="40"/>
        <v>21102.49</v>
      </c>
      <c r="FK29" s="48"/>
      <c r="FL29" s="58">
        <v>370</v>
      </c>
      <c r="FM29" s="48">
        <f t="shared" si="94"/>
        <v>-732.48999999999739</v>
      </c>
      <c r="FN29" s="48">
        <v>17350</v>
      </c>
      <c r="FO29" s="48">
        <v>0.93720000000000003</v>
      </c>
      <c r="FP29" s="37">
        <f t="shared" si="75"/>
        <v>14102.49</v>
      </c>
      <c r="FQ29" s="48">
        <v>61143</v>
      </c>
      <c r="FR29" s="48">
        <v>14.856999999999999</v>
      </c>
      <c r="FS29" s="37">
        <f t="shared" si="41"/>
        <v>43000</v>
      </c>
      <c r="FT29" s="48">
        <f t="shared" si="76"/>
        <v>-2197.4699999999921</v>
      </c>
      <c r="FU29" s="48">
        <f t="shared" si="77"/>
        <v>46597.469999999848</v>
      </c>
      <c r="FV29" s="44">
        <v>5864500</v>
      </c>
      <c r="FW29" s="65">
        <v>1804200</v>
      </c>
      <c r="FX29" s="37">
        <f t="shared" si="42"/>
        <v>23400</v>
      </c>
      <c r="FY29" s="56">
        <v>3784.3</v>
      </c>
      <c r="FZ29" s="56">
        <v>2.2010000000000001</v>
      </c>
      <c r="GA29" s="37">
        <f t="shared" si="43"/>
        <v>5420.0000000003638</v>
      </c>
      <c r="GB29" s="56">
        <v>861.17</v>
      </c>
      <c r="GC29" s="56">
        <v>966.43</v>
      </c>
      <c r="GD29" s="37">
        <f t="shared" si="44"/>
        <v>1110.0000000000136</v>
      </c>
      <c r="GE29" s="56">
        <v>10639</v>
      </c>
      <c r="GF29" s="56">
        <v>3.8083</v>
      </c>
      <c r="GG29" s="37">
        <f t="shared" si="45"/>
        <v>7900.0000000003183</v>
      </c>
      <c r="GH29" s="158">
        <v>2063.1</v>
      </c>
      <c r="GI29" s="159">
        <v>1775.1</v>
      </c>
      <c r="GJ29" s="38">
        <f t="shared" si="46"/>
        <v>1699.9999999998181</v>
      </c>
      <c r="GK29" s="159">
        <v>1520.1</v>
      </c>
      <c r="GL29" s="160">
        <v>1142</v>
      </c>
      <c r="GM29" s="38">
        <f t="shared" si="47"/>
        <v>1399.9999999998636</v>
      </c>
      <c r="GN29" s="57">
        <v>243970</v>
      </c>
      <c r="GO29" s="57">
        <v>218030</v>
      </c>
      <c r="GP29" s="38">
        <f t="shared" si="97"/>
        <v>0</v>
      </c>
      <c r="GQ29" s="38">
        <v>290070</v>
      </c>
      <c r="GR29" s="38">
        <v>284970</v>
      </c>
      <c r="GS29" s="38">
        <f t="shared" si="78"/>
        <v>180</v>
      </c>
      <c r="GT29" s="178"/>
      <c r="GU29" s="144">
        <f>DailyJul!B28-DailyJul!N28-DailyJul!V28-DailyJul!Y28-DailyJul!Z28-DailyJul!AA28-DailyJul!AB28-DailyJul!AC28-DailyJul!AD28-DailyJul!AE28-DailyJul!AK28-DailyJul!AO28-DailyJul!AS28-DailyJul!AY28-DailyJul!BD28+DailyJul!BU28-DailyJul!BG28-DailyJul!BT28-DailyJul!AF28-DailyJul!AG28</f>
        <v>-4.9999983864836395E-2</v>
      </c>
      <c r="GV29" s="59">
        <v>10987.3</v>
      </c>
      <c r="GW29" s="60">
        <f t="shared" si="48"/>
        <v>732.48666666666657</v>
      </c>
      <c r="GX29" s="61">
        <v>732.49</v>
      </c>
      <c r="GY29" s="140"/>
      <c r="GZ29" s="62"/>
      <c r="HA29" s="62"/>
      <c r="HB29" s="74"/>
      <c r="HC29" s="62"/>
      <c r="HD29" s="74"/>
      <c r="HE29" s="24">
        <f t="shared" si="49"/>
        <v>0</v>
      </c>
      <c r="HG29" s="213">
        <v>23</v>
      </c>
      <c r="HH29" s="16">
        <v>18273</v>
      </c>
      <c r="HI29" s="16">
        <v>7007.4</v>
      </c>
      <c r="HJ29" s="16">
        <f t="shared" si="50"/>
        <v>160000</v>
      </c>
      <c r="HK29" s="16">
        <v>2.1432000000000002</v>
      </c>
      <c r="HL29" s="16">
        <v>807.23</v>
      </c>
      <c r="HM29" s="16">
        <f t="shared" si="99"/>
        <v>0</v>
      </c>
      <c r="HN29" s="16">
        <v>4686.8999999999996</v>
      </c>
      <c r="HO29" s="16">
        <v>2046.5</v>
      </c>
      <c r="HP29" s="16">
        <f t="shared" si="52"/>
        <v>42249.999999999818</v>
      </c>
      <c r="HQ29" s="16">
        <v>3600.4</v>
      </c>
      <c r="HR29" s="16">
        <v>1544.4</v>
      </c>
      <c r="HS29" s="16">
        <f t="shared" si="53"/>
        <v>22050</v>
      </c>
      <c r="HT29" s="16">
        <v>3372.3</v>
      </c>
      <c r="HU29" s="16">
        <v>1251.8</v>
      </c>
      <c r="HV29" s="16">
        <f t="shared" si="54"/>
        <v>25850.000000000182</v>
      </c>
      <c r="HW29" s="16">
        <v>2176.8000000000002</v>
      </c>
      <c r="HX29" s="16">
        <v>947.4</v>
      </c>
      <c r="HY29" s="16">
        <f t="shared" si="55"/>
        <v>23750.000000000273</v>
      </c>
      <c r="HZ29" s="16">
        <v>1129200</v>
      </c>
      <c r="IA29" s="16">
        <v>524600</v>
      </c>
      <c r="IB29" s="16">
        <f t="shared" si="56"/>
        <v>25600</v>
      </c>
      <c r="IC29" s="16">
        <v>719.8</v>
      </c>
      <c r="ID29" s="16">
        <v>232.78</v>
      </c>
      <c r="IE29" s="16">
        <f t="shared" si="79"/>
        <v>0</v>
      </c>
      <c r="IF29" s="16"/>
      <c r="IG29" s="16"/>
      <c r="IH29" s="128">
        <f t="shared" si="57"/>
        <v>20500</v>
      </c>
      <c r="II29" s="211">
        <f>HJ29+HM29-HS29-HV29-HY29-IH29-HP29-IB29-IE29</f>
        <v>-2.6921043172478676E-10</v>
      </c>
      <c r="IJ29" s="16"/>
      <c r="IK29" s="16"/>
      <c r="IL29" s="16">
        <f t="shared" si="100"/>
        <v>0</v>
      </c>
      <c r="IM29" s="16"/>
      <c r="IN29" s="16"/>
      <c r="IO29" s="16">
        <f t="shared" si="101"/>
        <v>0</v>
      </c>
      <c r="IP29" s="16"/>
      <c r="IQ29" s="16"/>
      <c r="IR29" s="16">
        <f t="shared" si="102"/>
        <v>0</v>
      </c>
      <c r="IS29" s="16"/>
      <c r="IT29" s="16"/>
      <c r="IU29" s="16">
        <f t="shared" si="103"/>
        <v>0</v>
      </c>
      <c r="IV29" s="16"/>
      <c r="IW29" s="16"/>
      <c r="IX29" s="16">
        <f t="shared" si="104"/>
        <v>0</v>
      </c>
      <c r="IY29" s="16"/>
      <c r="IZ29" s="16"/>
      <c r="JA29" s="16">
        <f t="shared" si="105"/>
        <v>0</v>
      </c>
      <c r="JB29" s="16"/>
      <c r="JC29" s="16"/>
      <c r="JD29" s="16">
        <f t="shared" si="106"/>
        <v>0</v>
      </c>
      <c r="JE29" s="16"/>
      <c r="JF29" s="16"/>
      <c r="JG29" s="16">
        <f t="shared" si="107"/>
        <v>0</v>
      </c>
      <c r="JH29" s="16"/>
      <c r="JI29" s="16"/>
      <c r="JJ29" s="16">
        <f t="shared" si="108"/>
        <v>0</v>
      </c>
      <c r="JK29" s="16"/>
      <c r="JL29" s="16"/>
      <c r="JM29" s="16">
        <f t="shared" si="109"/>
        <v>0</v>
      </c>
      <c r="JN29" s="16"/>
      <c r="JO29" s="16"/>
      <c r="JP29" s="16">
        <f t="shared" si="110"/>
        <v>0</v>
      </c>
      <c r="JQ29" s="16"/>
      <c r="JR29" s="16"/>
      <c r="JS29" s="16">
        <f t="shared" si="111"/>
        <v>0</v>
      </c>
      <c r="JT29" s="16"/>
      <c r="JU29" s="16"/>
      <c r="JV29" s="16">
        <f t="shared" si="112"/>
        <v>0</v>
      </c>
      <c r="JW29" s="16"/>
      <c r="JX29" s="16"/>
      <c r="JY29" s="16">
        <f t="shared" si="113"/>
        <v>0</v>
      </c>
      <c r="JZ29" s="16"/>
      <c r="KA29" s="16"/>
      <c r="KB29" s="16">
        <f t="shared" si="114"/>
        <v>0</v>
      </c>
      <c r="KC29" s="16"/>
      <c r="KD29" s="16"/>
      <c r="KE29" s="16">
        <f t="shared" si="115"/>
        <v>0</v>
      </c>
      <c r="KG29" s="151">
        <f t="shared" si="59"/>
        <v>67849.999999999549</v>
      </c>
    </row>
    <row r="30" spans="1:293" x14ac:dyDescent="0.25">
      <c r="A30" s="35">
        <f t="shared" si="0"/>
        <v>24</v>
      </c>
      <c r="B30" s="38">
        <v>4994.47</v>
      </c>
      <c r="C30" s="38">
        <f t="shared" si="1"/>
        <v>10.699999999999818</v>
      </c>
      <c r="D30" s="38">
        <f t="shared" si="2"/>
        <v>342399.99999999418</v>
      </c>
      <c r="E30" s="38">
        <v>1003.17</v>
      </c>
      <c r="F30" s="38">
        <f t="shared" si="3"/>
        <v>64000</v>
      </c>
      <c r="G30" s="38">
        <f t="shared" si="4"/>
        <v>406399.99999999418</v>
      </c>
      <c r="H30" s="37"/>
      <c r="I30" s="39"/>
      <c r="J30" s="42"/>
      <c r="K30" s="37">
        <f>IF(J30&lt;=0,0,(J30/SQRT(J30^2+(I30-I29)^2)))</f>
        <v>0</v>
      </c>
      <c r="L30" s="40">
        <v>15816800</v>
      </c>
      <c r="M30" s="40"/>
      <c r="N30" s="37">
        <f t="shared" si="81"/>
        <v>409000</v>
      </c>
      <c r="O30" s="37">
        <v>12120</v>
      </c>
      <c r="P30" s="37"/>
      <c r="Q30" s="37">
        <f t="shared" si="118"/>
        <v>19000</v>
      </c>
      <c r="R30" s="37">
        <f>IF(Q30&lt;=0,0,(Q30/SQRT(Q30^2+(P30-P29)^2)))</f>
        <v>1</v>
      </c>
      <c r="S30" s="37">
        <v>11254175.029999999</v>
      </c>
      <c r="T30" s="37">
        <f t="shared" si="6"/>
        <v>313.37999999895692</v>
      </c>
      <c r="U30" s="37">
        <v>1523790.61</v>
      </c>
      <c r="V30" s="37">
        <f t="shared" si="7"/>
        <v>0</v>
      </c>
      <c r="W30" s="37">
        <v>4340.3</v>
      </c>
      <c r="X30" s="37">
        <f t="shared" si="95"/>
        <v>18586.620000001043</v>
      </c>
      <c r="Y30" s="183"/>
      <c r="Z30" s="183"/>
      <c r="AA30" s="37">
        <v>792100</v>
      </c>
      <c r="AB30" s="37">
        <f t="shared" si="8"/>
        <v>100</v>
      </c>
      <c r="AC30" s="37">
        <v>4509.8</v>
      </c>
      <c r="AD30" s="37"/>
      <c r="AE30" s="37">
        <f t="shared" si="120"/>
        <v>9000</v>
      </c>
      <c r="AF30" s="37">
        <f>IF(AE30&lt;=0,0,(AE30/SQRT(AE30^2+(AD30-AD29)^2)))</f>
        <v>1</v>
      </c>
      <c r="AG30" s="37">
        <v>9791.6</v>
      </c>
      <c r="AH30" s="37"/>
      <c r="AI30" s="37">
        <f t="shared" si="10"/>
        <v>16376.729999999636</v>
      </c>
      <c r="AJ30" s="37">
        <f t="shared" si="11"/>
        <v>1</v>
      </c>
      <c r="AK30" s="37">
        <f t="shared" si="12"/>
        <v>44276.729999999632</v>
      </c>
      <c r="AL30" s="42">
        <v>11553.3</v>
      </c>
      <c r="AM30" s="42"/>
      <c r="AN30" s="37">
        <f t="shared" si="60"/>
        <v>5416.7299999999404</v>
      </c>
      <c r="AO30" s="37">
        <f>IF(AN30&lt;=0,0,(AN30/SQRT(AN30^2+(AM30-AM29)^2)))</f>
        <v>1</v>
      </c>
      <c r="AP30" s="67">
        <v>9030.6</v>
      </c>
      <c r="AQ30" s="37"/>
      <c r="AR30" s="37">
        <f t="shared" si="13"/>
        <v>7700.0000000007276</v>
      </c>
      <c r="AS30" s="37">
        <f>IF(AR30&lt;=0,0,(AR30/SQRT(AR30^2+(AQ30-AQ29)^2)))</f>
        <v>1</v>
      </c>
      <c r="AT30" s="183"/>
      <c r="AU30" s="183"/>
      <c r="AV30" s="183"/>
      <c r="AW30" s="183"/>
      <c r="AX30" s="37">
        <v>509930</v>
      </c>
      <c r="AY30" s="37"/>
      <c r="AZ30" s="37">
        <f t="shared" si="14"/>
        <v>270</v>
      </c>
      <c r="BA30" s="37">
        <v>186470</v>
      </c>
      <c r="BB30" s="37"/>
      <c r="BC30" s="37">
        <f t="shared" si="15"/>
        <v>650</v>
      </c>
      <c r="BD30" s="37">
        <f>AN30+AR30+AZ30+BC30</f>
        <v>14036.730000000669</v>
      </c>
      <c r="BE30" s="43">
        <v>2019.3</v>
      </c>
      <c r="BF30" s="43">
        <v>1125.0999999999999</v>
      </c>
      <c r="BG30" s="37">
        <f t="shared" si="16"/>
        <v>1700.0000000000455</v>
      </c>
      <c r="BH30" s="44">
        <v>9481.1</v>
      </c>
      <c r="BI30" s="44">
        <v>6114</v>
      </c>
      <c r="BJ30" s="37">
        <f t="shared" si="17"/>
        <v>10300.000000001091</v>
      </c>
      <c r="BK30" s="40">
        <v>1817790</v>
      </c>
      <c r="BL30" s="40">
        <f t="shared" si="87"/>
        <v>4250</v>
      </c>
      <c r="BM30" s="40">
        <v>912.11</v>
      </c>
      <c r="BN30" s="37">
        <f t="shared" si="18"/>
        <v>710.00000000003638</v>
      </c>
      <c r="BO30" s="186"/>
      <c r="BP30" s="183">
        <f t="shared" si="19"/>
        <v>0</v>
      </c>
      <c r="BQ30" s="40">
        <v>859.9</v>
      </c>
      <c r="BR30" s="37">
        <f t="shared" si="61"/>
        <v>600.00000000002274</v>
      </c>
      <c r="BS30" s="37">
        <v>110366.66</v>
      </c>
      <c r="BT30" s="37">
        <f t="shared" si="20"/>
        <v>205.4600000000064</v>
      </c>
      <c r="BU30" s="42">
        <v>3218903</v>
      </c>
      <c r="BV30" s="42"/>
      <c r="BW30" s="37">
        <f t="shared" si="21"/>
        <v>9101</v>
      </c>
      <c r="BX30" s="37">
        <f>IF(BW30&lt;=0,0,(BW30/SQRT(BW30^2+(BV30-BV29)^2)))</f>
        <v>1</v>
      </c>
      <c r="BY30" s="43">
        <v>384.71929999999998</v>
      </c>
      <c r="BZ30" s="37"/>
      <c r="CA30" s="37">
        <f t="shared" si="116"/>
        <v>548.69999999999663</v>
      </c>
      <c r="CB30" s="37">
        <f t="shared" si="62"/>
        <v>1</v>
      </c>
      <c r="CC30" s="37">
        <v>747315.3</v>
      </c>
      <c r="CD30" s="37">
        <f t="shared" si="23"/>
        <v>2474.4000000000233</v>
      </c>
      <c r="CE30" s="41">
        <v>1541589</v>
      </c>
      <c r="CF30" s="37">
        <f t="shared" si="24"/>
        <v>6477</v>
      </c>
      <c r="CG30" s="37">
        <v>72810.600000000006</v>
      </c>
      <c r="CH30" s="37">
        <f t="shared" si="63"/>
        <v>0</v>
      </c>
      <c r="CI30" s="40">
        <v>13764.79</v>
      </c>
      <c r="CJ30" s="40"/>
      <c r="CK30" s="37">
        <f t="shared" si="64"/>
        <v>16208.030000000657</v>
      </c>
      <c r="CL30" s="37">
        <f t="shared" si="25"/>
        <v>1</v>
      </c>
      <c r="CM30" s="37">
        <v>3948.1410000000001</v>
      </c>
      <c r="CN30" s="37"/>
      <c r="CO30" s="37">
        <f t="shared" si="26"/>
        <v>7105.729999999905</v>
      </c>
      <c r="CP30" s="37">
        <f>IF(CO30&lt;=0,0,(CO30/SQRT(CO30^2+(CN30-CN29)^2)))</f>
        <v>1</v>
      </c>
      <c r="CQ30" s="39">
        <v>542172.80000000005</v>
      </c>
      <c r="CR30" s="39"/>
      <c r="CS30" s="37">
        <f t="shared" si="65"/>
        <v>5829.4300000000694</v>
      </c>
      <c r="CT30" s="37">
        <f t="shared" si="66"/>
        <v>1</v>
      </c>
      <c r="CU30" s="37">
        <v>4176456</v>
      </c>
      <c r="CV30" s="37"/>
      <c r="CW30" s="38">
        <f t="shared" si="27"/>
        <v>11324</v>
      </c>
      <c r="CX30" s="37">
        <f>IF(CW30&lt;=0,0,(CW30/SQRT(CW30^2+(CV30-CV29)^2)))</f>
        <v>1</v>
      </c>
      <c r="CY30" s="37">
        <v>2219053</v>
      </c>
      <c r="CZ30" s="37"/>
      <c r="DA30" s="37">
        <f t="shared" si="122"/>
        <v>6742</v>
      </c>
      <c r="DB30" s="37">
        <f t="shared" si="91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0"/>
        <v>-56310.190000000628</v>
      </c>
      <c r="DH30" s="37">
        <f t="shared" si="31"/>
        <v>454976.72999999969</v>
      </c>
      <c r="DI30" s="46"/>
      <c r="DJ30" s="46"/>
      <c r="DK30" s="47"/>
      <c r="DL30" s="47"/>
      <c r="DM30" s="37"/>
      <c r="DN30" s="37"/>
      <c r="DO30" s="37"/>
      <c r="DP30" s="37"/>
      <c r="DQ30" s="50">
        <v>4080200</v>
      </c>
      <c r="DR30" s="49">
        <f t="shared" si="67"/>
        <v>8600</v>
      </c>
      <c r="DS30" s="50">
        <v>4892100</v>
      </c>
      <c r="DT30" s="49">
        <f t="shared" si="68"/>
        <v>23200</v>
      </c>
      <c r="DU30" s="51">
        <v>8244.2000000000007</v>
      </c>
      <c r="DV30" s="51">
        <v>4641.7</v>
      </c>
      <c r="DW30" s="37">
        <f t="shared" si="92"/>
        <v>3200.0000000007276</v>
      </c>
      <c r="DX30" s="52">
        <v>13610</v>
      </c>
      <c r="DY30" s="52">
        <v>8557.2999999999993</v>
      </c>
      <c r="DZ30" s="37">
        <f t="shared" si="32"/>
        <v>4976.7299999999996</v>
      </c>
      <c r="EA30" s="49">
        <v>31443</v>
      </c>
      <c r="EB30" s="49">
        <v>21.684000000000001</v>
      </c>
      <c r="EC30" s="37">
        <f t="shared" si="33"/>
        <v>14136.73</v>
      </c>
      <c r="ED30" s="53">
        <f t="shared" si="34"/>
        <v>22313.460000000727</v>
      </c>
      <c r="EE30" s="49">
        <v>47096</v>
      </c>
      <c r="EF30" s="49">
        <v>30.884</v>
      </c>
      <c r="EG30" s="37">
        <f t="shared" si="35"/>
        <v>31136.73</v>
      </c>
      <c r="EH30" s="51">
        <v>13780</v>
      </c>
      <c r="EI30" s="51">
        <v>1.9662999999999999</v>
      </c>
      <c r="EJ30" s="37">
        <f t="shared" si="36"/>
        <v>11976.73</v>
      </c>
      <c r="EK30" s="37">
        <v>838.83</v>
      </c>
      <c r="EL30" s="40">
        <v>1201.4000000000001</v>
      </c>
      <c r="EM30" s="37">
        <f t="shared" si="69"/>
        <v>1200.0000000000455</v>
      </c>
      <c r="EN30" s="54">
        <f t="shared" si="70"/>
        <v>44313.460000000043</v>
      </c>
      <c r="EO30" s="48">
        <v>13447</v>
      </c>
      <c r="EP30" s="48">
        <v>4702.2</v>
      </c>
      <c r="EQ30" s="37">
        <f t="shared" si="71"/>
        <v>6096.7300000000041</v>
      </c>
      <c r="ER30" s="48">
        <v>10295</v>
      </c>
      <c r="ES30" s="48">
        <v>4249.7</v>
      </c>
      <c r="ET30" s="49">
        <f t="shared" si="98"/>
        <v>16000</v>
      </c>
      <c r="EU30" s="73">
        <v>4140.7</v>
      </c>
      <c r="EV30" s="48">
        <v>1471</v>
      </c>
      <c r="EW30" s="49">
        <f t="shared" si="38"/>
        <v>9876.7299999996358</v>
      </c>
      <c r="EX30" s="48">
        <v>14219</v>
      </c>
      <c r="EY30" s="55">
        <v>1.7034</v>
      </c>
      <c r="EZ30" s="37">
        <f t="shared" si="39"/>
        <v>10976.73</v>
      </c>
      <c r="FA30" s="48">
        <f t="shared" si="72"/>
        <v>-20231.189999999639</v>
      </c>
      <c r="FB30" s="48">
        <v>37856211</v>
      </c>
      <c r="FC30" s="49">
        <f t="shared" si="93"/>
        <v>22719</v>
      </c>
      <c r="FD30" s="48">
        <f t="shared" si="73"/>
        <v>44750.18999999982</v>
      </c>
      <c r="FE30" s="48">
        <v>17588</v>
      </c>
      <c r="FF30" s="55">
        <v>6213.3</v>
      </c>
      <c r="FG30" s="37">
        <f t="shared" si="74"/>
        <v>9130.059999999994</v>
      </c>
      <c r="FH30" s="48">
        <v>9805.2000000000007</v>
      </c>
      <c r="FI30" s="48">
        <v>3.7833999999999999</v>
      </c>
      <c r="FJ30" s="49">
        <f t="shared" si="40"/>
        <v>18550.060000001093</v>
      </c>
      <c r="FK30" s="48"/>
      <c r="FL30" s="58">
        <v>-726.67</v>
      </c>
      <c r="FM30" s="48">
        <f t="shared" si="94"/>
        <v>23.273333332971259</v>
      </c>
      <c r="FN30" s="48">
        <v>17363</v>
      </c>
      <c r="FO30" s="48">
        <v>0.93910000000000005</v>
      </c>
      <c r="FP30" s="37">
        <f t="shared" si="75"/>
        <v>12250.06</v>
      </c>
      <c r="FQ30" s="48">
        <v>61183</v>
      </c>
      <c r="FR30" s="48">
        <v>14.868</v>
      </c>
      <c r="FS30" s="37">
        <f t="shared" si="41"/>
        <v>40000</v>
      </c>
      <c r="FT30" s="48">
        <f t="shared" si="76"/>
        <v>69.819999998913772</v>
      </c>
      <c r="FU30" s="48">
        <f t="shared" si="77"/>
        <v>41030.180000001223</v>
      </c>
      <c r="FV30" s="44">
        <v>5884100</v>
      </c>
      <c r="FW30" s="44">
        <v>1810300</v>
      </c>
      <c r="FX30" s="37">
        <f t="shared" si="42"/>
        <v>19600</v>
      </c>
      <c r="FY30" s="56">
        <v>3789.3</v>
      </c>
      <c r="FZ30" s="56">
        <v>2.2021000000000002</v>
      </c>
      <c r="GA30" s="37">
        <f t="shared" si="43"/>
        <v>4820</v>
      </c>
      <c r="GB30" s="56">
        <v>861.81</v>
      </c>
      <c r="GC30" s="56">
        <v>967.17</v>
      </c>
      <c r="GD30" s="37">
        <f t="shared" si="44"/>
        <v>639.99999999998636</v>
      </c>
      <c r="GE30" s="56">
        <v>10647</v>
      </c>
      <c r="GF30" s="56">
        <v>3.8138999999999998</v>
      </c>
      <c r="GG30" s="37">
        <f t="shared" si="45"/>
        <v>5099.9999999996817</v>
      </c>
      <c r="GH30" s="158">
        <v>2064.9</v>
      </c>
      <c r="GI30" s="159">
        <v>1776.8</v>
      </c>
      <c r="GJ30" s="38">
        <f t="shared" si="46"/>
        <v>1800.0000000001819</v>
      </c>
      <c r="GK30" s="159">
        <v>1521.2</v>
      </c>
      <c r="GL30" s="160">
        <v>1142.4000000000001</v>
      </c>
      <c r="GM30" s="38">
        <f t="shared" si="47"/>
        <v>1100.0000000001364</v>
      </c>
      <c r="GN30" s="57">
        <v>243980</v>
      </c>
      <c r="GO30" s="57">
        <v>218040</v>
      </c>
      <c r="GP30" s="38">
        <f t="shared" si="97"/>
        <v>10</v>
      </c>
      <c r="GQ30" s="38">
        <v>290250</v>
      </c>
      <c r="GR30" s="38">
        <v>285100</v>
      </c>
      <c r="GS30" s="38">
        <f t="shared" si="78"/>
        <v>180</v>
      </c>
      <c r="GT30" s="178"/>
      <c r="GU30" s="144">
        <f>DailyJul!B29-DailyJul!N29-DailyJul!V29-DailyJul!Y29-DailyJul!Z29-DailyJul!AA29-DailyJul!AB29-DailyJul!AC29-DailyJul!AD29-DailyJul!AE29-DailyJul!AK29-DailyJul!AO29-DailyJul!AS29-DailyJul!AY29-DailyJul!BD29+DailyJul!BU29-DailyJul!BG29-DailyJul!BT29-DailyJul!AF29-DailyJul!AG29</f>
        <v>-4.0000009466893971E-2</v>
      </c>
      <c r="GV30" s="59">
        <v>-349.09</v>
      </c>
      <c r="GW30" s="60">
        <f t="shared" si="48"/>
        <v>-23.272666666666666</v>
      </c>
      <c r="GX30" s="61">
        <v>-23.27</v>
      </c>
      <c r="GY30" s="140"/>
      <c r="GZ30" s="62"/>
      <c r="HA30" s="62"/>
      <c r="HB30" s="74"/>
      <c r="HC30" s="62"/>
      <c r="HD30" s="74"/>
      <c r="HE30" s="24">
        <f t="shared" si="49"/>
        <v>0</v>
      </c>
      <c r="HG30" s="213">
        <v>24</v>
      </c>
      <c r="HH30" s="16">
        <v>18431</v>
      </c>
      <c r="HI30" s="16">
        <v>7065.6</v>
      </c>
      <c r="HJ30" s="16">
        <f t="shared" si="50"/>
        <v>158000</v>
      </c>
      <c r="HK30" s="16">
        <v>2.1432000000000002</v>
      </c>
      <c r="HL30" s="16">
        <v>807.23</v>
      </c>
      <c r="HM30" s="16">
        <f t="shared" si="99"/>
        <v>0</v>
      </c>
      <c r="HN30" s="16">
        <v>4729.1000000000004</v>
      </c>
      <c r="HO30" s="16">
        <v>2063.3000000000002</v>
      </c>
      <c r="HP30" s="16">
        <f t="shared" si="52"/>
        <v>42200.000000000728</v>
      </c>
      <c r="HQ30" s="16">
        <v>3616.3</v>
      </c>
      <c r="HR30" s="16">
        <v>1551.1</v>
      </c>
      <c r="HS30" s="16">
        <f t="shared" si="53"/>
        <v>15900.000000000091</v>
      </c>
      <c r="HT30" s="16">
        <v>3398.8</v>
      </c>
      <c r="HU30" s="16">
        <v>1260.5999999999999</v>
      </c>
      <c r="HV30" s="16">
        <f t="shared" si="54"/>
        <v>26500</v>
      </c>
      <c r="HW30" s="16">
        <v>2199.1</v>
      </c>
      <c r="HX30" s="16">
        <v>956.67</v>
      </c>
      <c r="HY30" s="16">
        <f t="shared" si="55"/>
        <v>22299.999999999727</v>
      </c>
      <c r="HZ30" s="16">
        <v>1157100</v>
      </c>
      <c r="IA30" s="16">
        <v>536070</v>
      </c>
      <c r="IB30" s="16">
        <f t="shared" si="56"/>
        <v>27900</v>
      </c>
      <c r="IC30" s="16">
        <v>719.8</v>
      </c>
      <c r="ID30" s="16">
        <v>232.78</v>
      </c>
      <c r="IE30" s="16">
        <f t="shared" si="79"/>
        <v>0</v>
      </c>
      <c r="IF30" s="16"/>
      <c r="IG30" s="16"/>
      <c r="IH30" s="128">
        <f t="shared" si="57"/>
        <v>23200</v>
      </c>
      <c r="II30" s="211">
        <f>HJ30+HM30-HS30-HV30-HY30-IH30-HP30-IB30-IE30</f>
        <v>-5.3842086344957352E-10</v>
      </c>
      <c r="IJ30" s="16"/>
      <c r="IK30" s="16"/>
      <c r="IL30" s="16">
        <f t="shared" si="100"/>
        <v>0</v>
      </c>
      <c r="IM30" s="16"/>
      <c r="IN30" s="16"/>
      <c r="IO30" s="16">
        <f t="shared" si="101"/>
        <v>0</v>
      </c>
      <c r="IP30" s="16"/>
      <c r="IQ30" s="16"/>
      <c r="IR30" s="16">
        <f t="shared" si="102"/>
        <v>0</v>
      </c>
      <c r="IS30" s="16"/>
      <c r="IT30" s="16"/>
      <c r="IU30" s="16">
        <f t="shared" si="103"/>
        <v>0</v>
      </c>
      <c r="IV30" s="16"/>
      <c r="IW30" s="16"/>
      <c r="IX30" s="16">
        <f t="shared" si="104"/>
        <v>0</v>
      </c>
      <c r="IY30" s="16"/>
      <c r="IZ30" s="16"/>
      <c r="JA30" s="16">
        <f t="shared" si="105"/>
        <v>0</v>
      </c>
      <c r="JB30" s="16"/>
      <c r="JC30" s="16"/>
      <c r="JD30" s="16">
        <f t="shared" si="106"/>
        <v>0</v>
      </c>
      <c r="JE30" s="16"/>
      <c r="JF30" s="16"/>
      <c r="JG30" s="16">
        <f t="shared" si="107"/>
        <v>0</v>
      </c>
      <c r="JH30" s="16"/>
      <c r="JI30" s="16"/>
      <c r="JJ30" s="16">
        <f t="shared" si="108"/>
        <v>0</v>
      </c>
      <c r="JK30" s="16"/>
      <c r="JL30" s="16"/>
      <c r="JM30" s="16">
        <f t="shared" si="109"/>
        <v>0</v>
      </c>
      <c r="JN30" s="16"/>
      <c r="JO30" s="16"/>
      <c r="JP30" s="16">
        <f t="shared" si="110"/>
        <v>0</v>
      </c>
      <c r="JQ30" s="16"/>
      <c r="JR30" s="16"/>
      <c r="JS30" s="16">
        <f t="shared" si="111"/>
        <v>0</v>
      </c>
      <c r="JT30" s="16"/>
      <c r="JU30" s="16"/>
      <c r="JV30" s="16">
        <f t="shared" si="112"/>
        <v>0</v>
      </c>
      <c r="JW30" s="16"/>
      <c r="JX30" s="16"/>
      <c r="JY30" s="16">
        <f t="shared" si="113"/>
        <v>0</v>
      </c>
      <c r="JZ30" s="16"/>
      <c r="KA30" s="16"/>
      <c r="KB30" s="16">
        <f t="shared" si="114"/>
        <v>0</v>
      </c>
      <c r="KC30" s="16"/>
      <c r="KD30" s="16"/>
      <c r="KE30" s="16">
        <f t="shared" si="115"/>
        <v>0</v>
      </c>
      <c r="KG30" s="151">
        <f t="shared" si="59"/>
        <v>70100.000000000189</v>
      </c>
    </row>
    <row r="31" spans="1:293" x14ac:dyDescent="0.25">
      <c r="A31" s="35">
        <f t="shared" si="0"/>
        <v>25</v>
      </c>
      <c r="B31" s="38">
        <v>5005.63</v>
      </c>
      <c r="C31" s="38">
        <f t="shared" si="1"/>
        <v>11.159999999999854</v>
      </c>
      <c r="D31" s="38">
        <f t="shared" si="2"/>
        <v>357119.99999999534</v>
      </c>
      <c r="E31" s="38">
        <v>1005.25</v>
      </c>
      <c r="F31" s="38">
        <f t="shared" si="3"/>
        <v>66560.00000000131</v>
      </c>
      <c r="G31" s="38">
        <f t="shared" si="4"/>
        <v>423679.99999999662</v>
      </c>
      <c r="H31" s="37"/>
      <c r="I31" s="39"/>
      <c r="J31" s="42"/>
      <c r="K31" s="37">
        <f t="shared" si="80"/>
        <v>0</v>
      </c>
      <c r="L31" s="40">
        <v>15859500</v>
      </c>
      <c r="M31" s="40"/>
      <c r="N31" s="37">
        <f t="shared" si="81"/>
        <v>427000</v>
      </c>
      <c r="O31" s="37">
        <v>12138.7</v>
      </c>
      <c r="P31" s="37"/>
      <c r="Q31" s="37">
        <f t="shared" si="118"/>
        <v>18700.000000000728</v>
      </c>
      <c r="R31" s="37">
        <f t="shared" si="82"/>
        <v>1</v>
      </c>
      <c r="S31" s="37">
        <v>11254475.689999999</v>
      </c>
      <c r="T31" s="37">
        <f t="shared" si="6"/>
        <v>300.66000000014901</v>
      </c>
      <c r="U31" s="37">
        <v>1523790.61</v>
      </c>
      <c r="V31" s="37">
        <f t="shared" si="7"/>
        <v>0</v>
      </c>
      <c r="W31" s="37">
        <v>4346.8999999999996</v>
      </c>
      <c r="X31" s="37">
        <f t="shared" si="95"/>
        <v>18299.340000000579</v>
      </c>
      <c r="Y31" s="183"/>
      <c r="Z31" s="183"/>
      <c r="AA31" s="37">
        <v>792200</v>
      </c>
      <c r="AB31" s="37">
        <f t="shared" si="8"/>
        <v>100</v>
      </c>
      <c r="AC31" s="37">
        <v>4518.5</v>
      </c>
      <c r="AD31" s="37"/>
      <c r="AE31" s="37">
        <f t="shared" si="120"/>
        <v>8699.9999999998181</v>
      </c>
      <c r="AF31" s="37">
        <f t="shared" si="83"/>
        <v>1</v>
      </c>
      <c r="AG31" s="37">
        <v>9807.2000000000007</v>
      </c>
      <c r="AH31" s="37"/>
      <c r="AI31" s="37">
        <f t="shared" si="10"/>
        <v>15917.850000000364</v>
      </c>
      <c r="AJ31" s="37">
        <f t="shared" si="11"/>
        <v>1</v>
      </c>
      <c r="AK31" s="37">
        <f t="shared" si="12"/>
        <v>43217.850000000908</v>
      </c>
      <c r="AL31" s="42">
        <v>11564.2</v>
      </c>
      <c r="AM31" s="2"/>
      <c r="AN31" s="37">
        <f t="shared" si="60"/>
        <v>5537.8500000014556</v>
      </c>
      <c r="AO31" s="37">
        <f t="shared" si="84"/>
        <v>1</v>
      </c>
      <c r="AP31" s="37">
        <v>9038.2000000000007</v>
      </c>
      <c r="AQ31" s="37"/>
      <c r="AR31" s="37">
        <f t="shared" si="13"/>
        <v>7600.0000000003638</v>
      </c>
      <c r="AS31" s="37">
        <f t="shared" si="85"/>
        <v>1</v>
      </c>
      <c r="AT31" s="183"/>
      <c r="AU31" s="183"/>
      <c r="AV31" s="183"/>
      <c r="AW31" s="183"/>
      <c r="AX31" s="37">
        <v>510330</v>
      </c>
      <c r="AY31" s="37"/>
      <c r="AZ31" s="37">
        <f t="shared" si="14"/>
        <v>400</v>
      </c>
      <c r="BA31" s="37">
        <v>187080</v>
      </c>
      <c r="BB31" s="37"/>
      <c r="BC31" s="37">
        <f t="shared" si="15"/>
        <v>610</v>
      </c>
      <c r="BD31" s="37">
        <f t="shared" si="86"/>
        <v>14147.850000001819</v>
      </c>
      <c r="BE31" s="43">
        <v>2020.8</v>
      </c>
      <c r="BF31" s="43">
        <v>1126.0999999999999</v>
      </c>
      <c r="BG31" s="37">
        <f t="shared" si="16"/>
        <v>1500</v>
      </c>
      <c r="BH31" s="44">
        <v>9491.2999999999993</v>
      </c>
      <c r="BI31" s="44">
        <v>6120.4</v>
      </c>
      <c r="BJ31" s="37">
        <f t="shared" si="17"/>
        <v>10199.999999998909</v>
      </c>
      <c r="BK31" s="40">
        <v>1821970</v>
      </c>
      <c r="BL31" s="40">
        <f t="shared" si="87"/>
        <v>4180</v>
      </c>
      <c r="BM31" s="40">
        <v>912.81</v>
      </c>
      <c r="BN31" s="37">
        <f t="shared" si="18"/>
        <v>699.99999999993179</v>
      </c>
      <c r="BO31" s="186"/>
      <c r="BP31" s="183">
        <f t="shared" si="19"/>
        <v>0</v>
      </c>
      <c r="BQ31" s="40">
        <v>860.7</v>
      </c>
      <c r="BR31" s="37">
        <f t="shared" si="61"/>
        <v>800.00000000006821</v>
      </c>
      <c r="BS31" s="37">
        <v>110576.01</v>
      </c>
      <c r="BT31" s="37">
        <f t="shared" si="20"/>
        <v>209.34999999999127</v>
      </c>
      <c r="BU31" s="42">
        <v>3226695</v>
      </c>
      <c r="BV31" s="42"/>
      <c r="BW31" s="37">
        <f t="shared" si="21"/>
        <v>7792</v>
      </c>
      <c r="BX31" s="37">
        <f t="shared" si="88"/>
        <v>1</v>
      </c>
      <c r="BY31" s="43">
        <v>385.30309999999997</v>
      </c>
      <c r="BZ31" s="37"/>
      <c r="CA31" s="37">
        <f t="shared" si="116"/>
        <v>583.79999999999654</v>
      </c>
      <c r="CB31" s="37">
        <f t="shared" si="62"/>
        <v>1</v>
      </c>
      <c r="CC31" s="37">
        <v>749097.1</v>
      </c>
      <c r="CD31" s="37">
        <f t="shared" si="23"/>
        <v>1781.7999999999302</v>
      </c>
      <c r="CE31" s="41">
        <v>1547173</v>
      </c>
      <c r="CF31" s="37">
        <f t="shared" si="24"/>
        <v>5584</v>
      </c>
      <c r="CG31" s="37">
        <v>72810.600000000006</v>
      </c>
      <c r="CH31" s="37">
        <f t="shared" si="63"/>
        <v>0</v>
      </c>
      <c r="CI31" s="40">
        <v>13780.82</v>
      </c>
      <c r="CJ31" s="40"/>
      <c r="CK31" s="37">
        <f t="shared" si="64"/>
        <v>15764.049999998839</v>
      </c>
      <c r="CL31" s="37">
        <f t="shared" si="25"/>
        <v>1</v>
      </c>
      <c r="CM31" s="37">
        <v>3955.3679999999999</v>
      </c>
      <c r="CN31" s="37"/>
      <c r="CO31" s="37">
        <f t="shared" si="26"/>
        <v>7544.8499999998621</v>
      </c>
      <c r="CP31" s="37">
        <f t="shared" si="89"/>
        <v>1</v>
      </c>
      <c r="CQ31" s="39">
        <v>547539.30000000005</v>
      </c>
      <c r="CR31" s="39"/>
      <c r="CS31" s="37">
        <f t="shared" si="65"/>
        <v>5684.35</v>
      </c>
      <c r="CT31" s="37">
        <f t="shared" si="66"/>
        <v>1</v>
      </c>
      <c r="CU31" s="37">
        <v>4187352</v>
      </c>
      <c r="CV31" s="37"/>
      <c r="CW31" s="38">
        <f t="shared" si="27"/>
        <v>10896</v>
      </c>
      <c r="CX31" s="37">
        <f t="shared" si="90"/>
        <v>1</v>
      </c>
      <c r="CY31" s="37">
        <v>2225680</v>
      </c>
      <c r="CZ31" s="37"/>
      <c r="DA31" s="37">
        <f t="shared" si="122"/>
        <v>6627</v>
      </c>
      <c r="DB31" s="37">
        <f t="shared" si="91"/>
        <v>1</v>
      </c>
      <c r="DC31" s="37"/>
      <c r="DD31" s="40"/>
      <c r="DE31" s="37">
        <f t="shared" si="29"/>
        <v>0</v>
      </c>
      <c r="DF31" s="37">
        <f t="shared" si="96"/>
        <v>0</v>
      </c>
      <c r="DG31" s="37">
        <f t="shared" si="30"/>
        <v>-54308.249999998698</v>
      </c>
      <c r="DH31" s="37">
        <f t="shared" si="31"/>
        <v>471717.85000000091</v>
      </c>
      <c r="DI31" s="46"/>
      <c r="DJ31" s="46"/>
      <c r="DK31" s="47"/>
      <c r="DL31" s="47"/>
      <c r="DM31" s="37"/>
      <c r="DN31" s="37"/>
      <c r="DO31" s="37"/>
      <c r="DP31" s="37"/>
      <c r="DQ31" s="50">
        <v>4091400</v>
      </c>
      <c r="DR31" s="49">
        <f t="shared" si="67"/>
        <v>11200</v>
      </c>
      <c r="DS31" s="50">
        <v>4913500</v>
      </c>
      <c r="DT31" s="49">
        <f t="shared" si="68"/>
        <v>21400</v>
      </c>
      <c r="DU31" s="51">
        <v>8248.7000000000007</v>
      </c>
      <c r="DV31" s="51">
        <v>4645.1000000000004</v>
      </c>
      <c r="DW31" s="37">
        <f t="shared" si="92"/>
        <v>4500</v>
      </c>
      <c r="DX31" s="52">
        <v>13618</v>
      </c>
      <c r="DY31" s="52">
        <v>8562.2000000000007</v>
      </c>
      <c r="DZ31" s="37">
        <f t="shared" si="32"/>
        <v>8317.85</v>
      </c>
      <c r="EA31" s="49">
        <v>31462</v>
      </c>
      <c r="EB31" s="49">
        <v>21.693999999999999</v>
      </c>
      <c r="EC31" s="37">
        <f t="shared" si="33"/>
        <v>21477.85</v>
      </c>
      <c r="ED31" s="53">
        <f t="shared" si="34"/>
        <v>34295.699999999997</v>
      </c>
      <c r="EE31" s="49">
        <v>47124</v>
      </c>
      <c r="EF31" s="49">
        <v>30.905000000000001</v>
      </c>
      <c r="EG31" s="37">
        <f t="shared" si="35"/>
        <v>30477.85</v>
      </c>
      <c r="EH31" s="51">
        <v>13792</v>
      </c>
      <c r="EI31" s="51">
        <v>1.9694</v>
      </c>
      <c r="EJ31" s="37">
        <f t="shared" si="36"/>
        <v>12317.85</v>
      </c>
      <c r="EK31" s="37">
        <v>838.98</v>
      </c>
      <c r="EL31" s="40">
        <v>1202.4000000000001</v>
      </c>
      <c r="EM31" s="37">
        <f t="shared" si="69"/>
        <v>149.99999999997726</v>
      </c>
      <c r="EN31" s="54">
        <f t="shared" si="70"/>
        <v>42945.699999999975</v>
      </c>
      <c r="EO31" s="48">
        <v>13454</v>
      </c>
      <c r="EP31" s="48">
        <v>4704.5</v>
      </c>
      <c r="EQ31" s="37">
        <f t="shared" si="71"/>
        <v>6437.8500000000049</v>
      </c>
      <c r="ER31" s="48">
        <v>10312</v>
      </c>
      <c r="ES31" s="48">
        <v>4256.6000000000004</v>
      </c>
      <c r="ET31" s="49">
        <f t="shared" si="98"/>
        <v>17000</v>
      </c>
      <c r="EU31" s="48">
        <v>4149.8999999999996</v>
      </c>
      <c r="EV31" s="48">
        <v>1474.2</v>
      </c>
      <c r="EW31" s="49">
        <f t="shared" si="38"/>
        <v>9517.8499999998185</v>
      </c>
      <c r="EX31" s="48">
        <v>14230</v>
      </c>
      <c r="EY31" s="48">
        <v>1.7058</v>
      </c>
      <c r="EZ31" s="37">
        <f t="shared" si="39"/>
        <v>11317.85</v>
      </c>
      <c r="FA31" s="48">
        <f t="shared" si="72"/>
        <v>-21652.549999999825</v>
      </c>
      <c r="FB31" s="48">
        <v>37878832</v>
      </c>
      <c r="FC31" s="49">
        <f t="shared" si="93"/>
        <v>22621</v>
      </c>
      <c r="FD31" s="48">
        <f t="shared" si="73"/>
        <v>46073.549999999552</v>
      </c>
      <c r="FE31" s="48">
        <v>17597</v>
      </c>
      <c r="FF31" s="48">
        <v>6215.8</v>
      </c>
      <c r="FG31" s="37">
        <f t="shared" si="74"/>
        <v>10171.179999999997</v>
      </c>
      <c r="FH31" s="48">
        <v>9820.4</v>
      </c>
      <c r="FI31" s="48">
        <v>3.7892000000000001</v>
      </c>
      <c r="FJ31" s="49">
        <f t="shared" si="40"/>
        <v>15491.179999998909</v>
      </c>
      <c r="FK31" s="48"/>
      <c r="FL31" s="58">
        <v>-26.67</v>
      </c>
      <c r="FM31" s="48">
        <f>FT31/3</f>
        <v>-317.84666666630193</v>
      </c>
      <c r="FN31" s="48">
        <v>17373</v>
      </c>
      <c r="FO31" s="48">
        <v>0.94089999999999996</v>
      </c>
      <c r="FP31" s="37">
        <f t="shared" si="75"/>
        <v>10291.18</v>
      </c>
      <c r="FQ31" s="48">
        <v>61218</v>
      </c>
      <c r="FR31" s="48">
        <v>14.878</v>
      </c>
      <c r="FS31" s="37">
        <f t="shared" si="41"/>
        <v>35000</v>
      </c>
      <c r="FT31" s="48">
        <f t="shared" si="76"/>
        <v>-953.53999999890584</v>
      </c>
      <c r="FU31" s="48">
        <f>FG31+FJ31+FP31+GM31</f>
        <v>35953.539999998902</v>
      </c>
      <c r="FV31" s="44">
        <v>5912100</v>
      </c>
      <c r="FW31" s="44">
        <v>1818800</v>
      </c>
      <c r="FX31" s="37">
        <f t="shared" si="42"/>
        <v>28000</v>
      </c>
      <c r="FY31" s="56">
        <v>3796</v>
      </c>
      <c r="FZ31" s="56">
        <v>2.2044999999999999</v>
      </c>
      <c r="GA31" s="37">
        <f t="shared" si="43"/>
        <v>6269.9999999998181</v>
      </c>
      <c r="GB31" s="56">
        <v>862.62</v>
      </c>
      <c r="GC31" s="56">
        <v>968.09</v>
      </c>
      <c r="GD31" s="37">
        <f t="shared" si="44"/>
        <v>810.00000000005912</v>
      </c>
      <c r="GE31" s="56">
        <v>10656</v>
      </c>
      <c r="GF31" s="56">
        <v>3.8208000000000002</v>
      </c>
      <c r="GG31" s="37">
        <f t="shared" si="45"/>
        <v>7200.0000000002728</v>
      </c>
      <c r="GH31" s="158">
        <v>2066.6999999999998</v>
      </c>
      <c r="GI31" s="159">
        <v>1778.7</v>
      </c>
      <c r="GJ31" s="38">
        <f t="shared" si="46"/>
        <v>1799.9999999997272</v>
      </c>
      <c r="GK31" s="159">
        <v>1521.2</v>
      </c>
      <c r="GL31" s="160">
        <v>1142.4000000000001</v>
      </c>
      <c r="GM31" s="38">
        <f t="shared" si="47"/>
        <v>0</v>
      </c>
      <c r="GN31" s="57">
        <v>243980</v>
      </c>
      <c r="GO31" s="57">
        <v>218040</v>
      </c>
      <c r="GP31" s="38">
        <f t="shared" si="97"/>
        <v>0</v>
      </c>
      <c r="GQ31" s="38">
        <v>290680</v>
      </c>
      <c r="GR31" s="38">
        <v>285380</v>
      </c>
      <c r="GS31" s="38">
        <f t="shared" si="78"/>
        <v>430</v>
      </c>
      <c r="GT31" s="178"/>
      <c r="GU31" s="144">
        <f>DailyJul!B30-DailyJul!N30-DailyJul!V30-DailyJul!Y30-DailyJul!Z30-DailyJul!AA30-DailyJul!AB30-DailyJul!AC30-DailyJul!AD30-DailyJul!AE30-DailyJul!AK30-DailyJul!AO30-DailyJul!AS30-DailyJul!AY30-DailyJul!BD30+DailyJul!BU30-DailyJul!BG30-DailyJul!BT30-DailyJul!AF30-DailyJul!AG30</f>
        <v>-4.0000002190936357E-2</v>
      </c>
      <c r="GV31" s="59">
        <v>4767.71</v>
      </c>
      <c r="GW31" s="60">
        <f t="shared" si="48"/>
        <v>317.84733333333332</v>
      </c>
      <c r="GX31" s="61">
        <v>317.85000000000002</v>
      </c>
      <c r="GY31" s="140"/>
      <c r="GZ31" s="62"/>
      <c r="HA31" s="62"/>
      <c r="HB31" s="74"/>
      <c r="HC31" s="62"/>
      <c r="HD31" s="74"/>
      <c r="HE31" s="24">
        <f t="shared" si="49"/>
        <v>0</v>
      </c>
      <c r="HF31" s="3"/>
      <c r="HG31" s="213">
        <v>25</v>
      </c>
      <c r="HH31" s="16">
        <v>18599</v>
      </c>
      <c r="HI31" s="16">
        <v>7127.6</v>
      </c>
      <c r="HJ31" s="16">
        <f t="shared" si="50"/>
        <v>168000</v>
      </c>
      <c r="HK31" s="16">
        <v>2.1432000000000002</v>
      </c>
      <c r="HL31" s="16">
        <v>807.23</v>
      </c>
      <c r="HM31" s="16">
        <f t="shared" si="99"/>
        <v>0</v>
      </c>
      <c r="HN31" s="16">
        <v>4772.3</v>
      </c>
      <c r="HO31" s="16">
        <v>2080.3000000000002</v>
      </c>
      <c r="HP31" s="16">
        <f t="shared" si="52"/>
        <v>43349.999999999818</v>
      </c>
      <c r="HQ31" s="16">
        <v>3638.6</v>
      </c>
      <c r="HR31" s="16">
        <v>1560.2</v>
      </c>
      <c r="HS31" s="16">
        <f t="shared" si="53"/>
        <v>22449.999999999727</v>
      </c>
      <c r="HT31" s="16">
        <v>3426</v>
      </c>
      <c r="HU31" s="16">
        <v>1269.5</v>
      </c>
      <c r="HV31" s="16">
        <f t="shared" si="54"/>
        <v>27349.999999999818</v>
      </c>
      <c r="HW31" s="16">
        <v>2223.5</v>
      </c>
      <c r="HX31" s="16">
        <v>966.7</v>
      </c>
      <c r="HY31" s="16">
        <f t="shared" si="55"/>
        <v>24550.000000000091</v>
      </c>
      <c r="HZ31" s="16">
        <v>1186000</v>
      </c>
      <c r="IA31" s="16">
        <v>547940</v>
      </c>
      <c r="IB31" s="16">
        <f t="shared" si="56"/>
        <v>28900</v>
      </c>
      <c r="IC31" s="16">
        <v>719.8</v>
      </c>
      <c r="ID31" s="16">
        <v>232.78</v>
      </c>
      <c r="IE31" s="16">
        <f t="shared" si="79"/>
        <v>0</v>
      </c>
      <c r="IF31" s="16"/>
      <c r="IG31" s="16"/>
      <c r="IH31" s="128">
        <f t="shared" si="57"/>
        <v>21400</v>
      </c>
      <c r="II31" s="211">
        <f t="shared" ref="II31:II38" si="123">HJ31+HM31-HS31-HV31-HY31-IH31-HP31-IB31</f>
        <v>5.3114490583539009E-10</v>
      </c>
      <c r="IJ31" s="16"/>
      <c r="IK31" s="16"/>
      <c r="IL31" s="16">
        <f t="shared" si="100"/>
        <v>0</v>
      </c>
      <c r="IM31" s="16"/>
      <c r="IN31" s="16"/>
      <c r="IO31" s="16">
        <f t="shared" si="101"/>
        <v>0</v>
      </c>
      <c r="IP31" s="16"/>
      <c r="IQ31" s="16"/>
      <c r="IR31" s="16">
        <f t="shared" si="102"/>
        <v>0</v>
      </c>
      <c r="IS31" s="16"/>
      <c r="IT31" s="16"/>
      <c r="IU31" s="16">
        <f t="shared" si="103"/>
        <v>0</v>
      </c>
      <c r="IV31" s="16"/>
      <c r="IW31" s="16"/>
      <c r="IX31" s="16">
        <f t="shared" si="104"/>
        <v>0</v>
      </c>
      <c r="IY31" s="16"/>
      <c r="IZ31" s="16"/>
      <c r="JA31" s="16">
        <f t="shared" si="105"/>
        <v>0</v>
      </c>
      <c r="JB31" s="16"/>
      <c r="JC31" s="16"/>
      <c r="JD31" s="16">
        <f t="shared" si="106"/>
        <v>0</v>
      </c>
      <c r="JE31" s="16"/>
      <c r="JF31" s="16"/>
      <c r="JG31" s="16">
        <f t="shared" si="107"/>
        <v>0</v>
      </c>
      <c r="JH31" s="16"/>
      <c r="JI31" s="16"/>
      <c r="JJ31" s="16">
        <f t="shared" si="108"/>
        <v>0</v>
      </c>
      <c r="JK31" s="16"/>
      <c r="JL31" s="16"/>
      <c r="JM31" s="16">
        <f t="shared" si="109"/>
        <v>0</v>
      </c>
      <c r="JN31" s="16"/>
      <c r="JO31" s="16"/>
      <c r="JP31" s="16">
        <f t="shared" si="110"/>
        <v>0</v>
      </c>
      <c r="JQ31" s="16"/>
      <c r="JR31" s="16"/>
      <c r="JS31" s="16">
        <f t="shared" si="111"/>
        <v>0</v>
      </c>
      <c r="JT31" s="16"/>
      <c r="JU31" s="16"/>
      <c r="JV31" s="16">
        <f t="shared" si="112"/>
        <v>0</v>
      </c>
      <c r="JW31" s="16"/>
      <c r="JX31" s="16"/>
      <c r="JY31" s="16">
        <f t="shared" si="113"/>
        <v>0</v>
      </c>
      <c r="JZ31" s="16"/>
      <c r="KA31" s="16"/>
      <c r="KB31" s="16">
        <f t="shared" si="114"/>
        <v>0</v>
      </c>
      <c r="KC31" s="16"/>
      <c r="KD31" s="16"/>
      <c r="KE31" s="16">
        <f t="shared" si="115"/>
        <v>0</v>
      </c>
      <c r="KG31" s="151">
        <f t="shared" si="59"/>
        <v>72250.000000000349</v>
      </c>
    </row>
    <row r="32" spans="1:293" x14ac:dyDescent="0.25">
      <c r="A32" s="35">
        <f t="shared" si="0"/>
        <v>26</v>
      </c>
      <c r="B32" s="38">
        <v>5016.53</v>
      </c>
      <c r="C32" s="38">
        <f t="shared" si="1"/>
        <v>10.899999999999636</v>
      </c>
      <c r="D32" s="38">
        <f t="shared" si="2"/>
        <v>348799.99999998836</v>
      </c>
      <c r="E32" s="38">
        <v>1007.54</v>
      </c>
      <c r="F32" s="38">
        <f t="shared" si="3"/>
        <v>73279.999999998836</v>
      </c>
      <c r="G32" s="38">
        <f t="shared" si="4"/>
        <v>422079.99999998719</v>
      </c>
      <c r="H32" s="37"/>
      <c r="I32" s="39"/>
      <c r="J32" s="42"/>
      <c r="K32" s="37">
        <f t="shared" si="80"/>
        <v>0</v>
      </c>
      <c r="L32" s="40">
        <v>15902430</v>
      </c>
      <c r="M32" s="40"/>
      <c r="N32" s="37">
        <f t="shared" si="81"/>
        <v>429300</v>
      </c>
      <c r="O32" s="37">
        <f>12144.6+13</f>
        <v>12157.6</v>
      </c>
      <c r="P32" s="37"/>
      <c r="Q32" s="37">
        <f t="shared" si="118"/>
        <v>18899.999999999636</v>
      </c>
      <c r="R32" s="37">
        <f t="shared" si="82"/>
        <v>1</v>
      </c>
      <c r="S32" s="37">
        <v>11254771.75</v>
      </c>
      <c r="T32" s="37">
        <f t="shared" si="6"/>
        <v>296.06000000052154</v>
      </c>
      <c r="U32" s="37">
        <v>1523790.61</v>
      </c>
      <c r="V32" s="37">
        <f>IF((U32-U31)&lt;=0,0,(U32-U31))</f>
        <v>0</v>
      </c>
      <c r="W32" s="37">
        <v>4349.2</v>
      </c>
      <c r="X32" s="37">
        <f t="shared" si="95"/>
        <v>18503.939999999115</v>
      </c>
      <c r="Y32" s="183"/>
      <c r="Z32" s="183"/>
      <c r="AA32" s="37">
        <v>792300</v>
      </c>
      <c r="AB32" s="37">
        <f t="shared" si="8"/>
        <v>100</v>
      </c>
      <c r="AC32" s="37">
        <f>4521.3+5.4</f>
        <v>4526.7</v>
      </c>
      <c r="AD32" s="37"/>
      <c r="AE32" s="37">
        <f t="shared" si="120"/>
        <v>8199.9999999998181</v>
      </c>
      <c r="AF32" s="37">
        <f t="shared" si="83"/>
        <v>1</v>
      </c>
      <c r="AG32" s="37">
        <f>9812.2+10</f>
        <v>9822.2000000000007</v>
      </c>
      <c r="AH32" s="37"/>
      <c r="AI32" s="37">
        <f t="shared" si="10"/>
        <v>14164.41</v>
      </c>
      <c r="AJ32" s="37">
        <f t="shared" si="11"/>
        <v>1</v>
      </c>
      <c r="AK32" s="37">
        <f t="shared" si="12"/>
        <v>41164.409999999451</v>
      </c>
      <c r="AL32" s="42">
        <f>11567.9+4+5</f>
        <v>11576.9</v>
      </c>
      <c r="AM32" s="42"/>
      <c r="AN32" s="37">
        <f t="shared" si="60"/>
        <v>5924.4099999989448</v>
      </c>
      <c r="AO32" s="37">
        <f t="shared" si="84"/>
        <v>1</v>
      </c>
      <c r="AP32" s="37">
        <f>9040.7+5</f>
        <v>9045.7000000000007</v>
      </c>
      <c r="AQ32" s="37"/>
      <c r="AR32" s="37">
        <f t="shared" si="13"/>
        <v>7500</v>
      </c>
      <c r="AS32" s="37">
        <f t="shared" si="85"/>
        <v>1</v>
      </c>
      <c r="AT32" s="183"/>
      <c r="AU32" s="183"/>
      <c r="AV32" s="183"/>
      <c r="AW32" s="183"/>
      <c r="AX32" s="37">
        <f>AX31+300</f>
        <v>510630</v>
      </c>
      <c r="AY32" s="37"/>
      <c r="AZ32" s="37">
        <f t="shared" si="14"/>
        <v>300</v>
      </c>
      <c r="BA32" s="37">
        <v>187260</v>
      </c>
      <c r="BB32" s="37"/>
      <c r="BC32" s="37">
        <f t="shared" si="15"/>
        <v>180</v>
      </c>
      <c r="BD32" s="37">
        <f t="shared" si="86"/>
        <v>13904.409999998945</v>
      </c>
      <c r="BE32" s="43">
        <v>2022.3</v>
      </c>
      <c r="BF32" s="43">
        <v>1127.2</v>
      </c>
      <c r="BG32" s="37">
        <f t="shared" si="16"/>
        <v>1500</v>
      </c>
      <c r="BH32" s="44">
        <v>9501.4</v>
      </c>
      <c r="BI32" s="44">
        <v>6126.8</v>
      </c>
      <c r="BJ32" s="37">
        <f t="shared" si="17"/>
        <v>10100.000000000364</v>
      </c>
      <c r="BK32" s="40">
        <f>1823370+3000</f>
        <v>1826370</v>
      </c>
      <c r="BL32" s="40">
        <f t="shared" si="87"/>
        <v>4400</v>
      </c>
      <c r="BM32" s="40">
        <f>913.05+0.5</f>
        <v>913.55</v>
      </c>
      <c r="BN32" s="37">
        <f t="shared" si="18"/>
        <v>740.00000000000909</v>
      </c>
      <c r="BO32" s="186"/>
      <c r="BP32" s="183">
        <f t="shared" si="19"/>
        <v>0</v>
      </c>
      <c r="BQ32" s="40">
        <f>861.1+0.4</f>
        <v>861.5</v>
      </c>
      <c r="BR32" s="37">
        <f t="shared" si="61"/>
        <v>799.99999999995453</v>
      </c>
      <c r="BS32" s="37">
        <v>110787.2</v>
      </c>
      <c r="BT32" s="37">
        <f t="shared" si="20"/>
        <v>211.19000000000233</v>
      </c>
      <c r="BU32" s="42">
        <f>3228847+5000</f>
        <v>3233847</v>
      </c>
      <c r="BV32" s="42"/>
      <c r="BW32" s="37">
        <f t="shared" si="21"/>
        <v>7152</v>
      </c>
      <c r="BX32" s="37">
        <f t="shared" si="88"/>
        <v>1</v>
      </c>
      <c r="BY32" s="43">
        <f>385.5081+0.3</f>
        <v>385.80810000000002</v>
      </c>
      <c r="BZ32" s="43"/>
      <c r="CA32" s="37">
        <f t="shared" si="116"/>
        <v>505.0000000000523</v>
      </c>
      <c r="CB32" s="37">
        <f t="shared" si="62"/>
        <v>1</v>
      </c>
      <c r="CC32" s="37">
        <f>CC31+1700</f>
        <v>750797.1</v>
      </c>
      <c r="CD32" s="37">
        <f t="shared" si="23"/>
        <v>1700</v>
      </c>
      <c r="CE32" s="41">
        <f>1549319+3000</f>
        <v>1552319</v>
      </c>
      <c r="CF32" s="37">
        <f t="shared" si="24"/>
        <v>5146</v>
      </c>
      <c r="CG32" s="37">
        <v>72810.600000000006</v>
      </c>
      <c r="CH32" s="37">
        <f t="shared" si="63"/>
        <v>0</v>
      </c>
      <c r="CI32" s="40">
        <f>13786.4+10</f>
        <v>13796.4</v>
      </c>
      <c r="CJ32" s="40"/>
      <c r="CK32" s="37">
        <f t="shared" si="64"/>
        <v>14239.409999999874</v>
      </c>
      <c r="CL32" s="37">
        <f t="shared" si="25"/>
        <v>1</v>
      </c>
      <c r="CM32" s="37">
        <f>3957.876+5</f>
        <v>3962.8760000000002</v>
      </c>
      <c r="CN32" s="37"/>
      <c r="CO32" s="37">
        <f t="shared" si="26"/>
        <v>6672.4100000002654</v>
      </c>
      <c r="CP32" s="37">
        <f t="shared" si="89"/>
        <v>1</v>
      </c>
      <c r="CQ32" s="39">
        <f>549495.16+4500</f>
        <v>553995.16</v>
      </c>
      <c r="CR32" s="39"/>
      <c r="CS32" s="37">
        <f t="shared" si="65"/>
        <v>5620.2699999999859</v>
      </c>
      <c r="CT32" s="37">
        <f t="shared" si="66"/>
        <v>1</v>
      </c>
      <c r="CU32" s="37">
        <f>4193887+4500</f>
        <v>4198387</v>
      </c>
      <c r="CV32" s="37"/>
      <c r="CW32" s="38">
        <f t="shared" si="27"/>
        <v>11035</v>
      </c>
      <c r="CX32" s="37">
        <f>IF(CW32&lt;=0,0,(CW32/SQRT(CW32^2+(CV32-CV31)^2)))</f>
        <v>1</v>
      </c>
      <c r="CY32" s="37">
        <f>2229709+2000</f>
        <v>2231709</v>
      </c>
      <c r="CZ32" s="37"/>
      <c r="DA32" s="37">
        <f t="shared" si="122"/>
        <v>6029</v>
      </c>
      <c r="DB32" s="37">
        <f t="shared" si="91"/>
        <v>1</v>
      </c>
      <c r="DC32" s="37"/>
      <c r="DD32" s="40"/>
      <c r="DE32" s="37">
        <f t="shared" si="29"/>
        <v>0</v>
      </c>
      <c r="DF32" s="37">
        <f t="shared" si="96"/>
        <v>0</v>
      </c>
      <c r="DG32" s="37">
        <f t="shared" si="30"/>
        <v>-50748.090000000127</v>
      </c>
      <c r="DH32" s="37">
        <f t="shared" si="31"/>
        <v>471964.40999999945</v>
      </c>
      <c r="DI32" s="46"/>
      <c r="DJ32" s="46"/>
      <c r="DK32" s="47"/>
      <c r="DL32" s="47"/>
      <c r="DM32" s="37"/>
      <c r="DN32" s="37"/>
      <c r="DO32" s="37"/>
      <c r="DP32" s="37"/>
      <c r="DQ32" s="50">
        <v>4102100</v>
      </c>
      <c r="DR32" s="49">
        <f t="shared" si="67"/>
        <v>10700</v>
      </c>
      <c r="DS32" s="50">
        <v>4933500</v>
      </c>
      <c r="DT32" s="49">
        <f t="shared" si="68"/>
        <v>20000</v>
      </c>
      <c r="DU32" s="51">
        <v>8253.4</v>
      </c>
      <c r="DV32" s="51">
        <v>4648.6000000000004</v>
      </c>
      <c r="DW32" s="37">
        <f t="shared" si="92"/>
        <v>4699.9999999989086</v>
      </c>
      <c r="DX32" s="52">
        <v>13626</v>
      </c>
      <c r="DY32" s="52">
        <v>8567.5</v>
      </c>
      <c r="DZ32" s="37">
        <f t="shared" si="32"/>
        <v>7164.41</v>
      </c>
      <c r="EA32" s="49">
        <v>31483</v>
      </c>
      <c r="EB32" s="49">
        <v>21.704999999999998</v>
      </c>
      <c r="EC32" s="37">
        <f t="shared" si="33"/>
        <v>22324.41</v>
      </c>
      <c r="ED32" s="53">
        <f t="shared" si="34"/>
        <v>34188.819999998908</v>
      </c>
      <c r="EE32" s="49">
        <v>47152</v>
      </c>
      <c r="EF32" s="49">
        <v>30.925999999999998</v>
      </c>
      <c r="EG32" s="37">
        <f t="shared" si="35"/>
        <v>29324.41</v>
      </c>
      <c r="EH32" s="51">
        <v>13803</v>
      </c>
      <c r="EI32" s="51">
        <v>1.9723999999999999</v>
      </c>
      <c r="EJ32" s="37">
        <f t="shared" si="36"/>
        <v>10164.41</v>
      </c>
      <c r="EK32" s="37">
        <v>839.62</v>
      </c>
      <c r="EL32" s="40">
        <v>1203.4000000000001</v>
      </c>
      <c r="EM32" s="37">
        <f t="shared" si="69"/>
        <v>639.99999999998636</v>
      </c>
      <c r="EN32" s="54">
        <f t="shared" si="70"/>
        <v>40128.819999999985</v>
      </c>
      <c r="EO32" s="48">
        <v>13461</v>
      </c>
      <c r="EP32" s="48">
        <v>4707</v>
      </c>
      <c r="EQ32" s="37">
        <f t="shared" si="71"/>
        <v>5184.4099999999817</v>
      </c>
      <c r="ER32" s="48">
        <v>10330</v>
      </c>
      <c r="ES32" s="48">
        <v>4263.8</v>
      </c>
      <c r="ET32" s="49">
        <f t="shared" si="98"/>
        <v>18000</v>
      </c>
      <c r="EU32" s="48">
        <v>4159.3</v>
      </c>
      <c r="EV32" s="48">
        <v>1477.5</v>
      </c>
      <c r="EW32" s="49">
        <f t="shared" si="38"/>
        <v>8564.4100000005456</v>
      </c>
      <c r="EX32" s="48">
        <v>14242</v>
      </c>
      <c r="EY32" s="48">
        <v>1.708</v>
      </c>
      <c r="EZ32" s="37">
        <f t="shared" si="39"/>
        <v>11164.41</v>
      </c>
      <c r="FA32" s="48">
        <f t="shared" si="72"/>
        <v>-19566.230000000527</v>
      </c>
      <c r="FB32" s="48">
        <v>37902179</v>
      </c>
      <c r="FC32" s="49">
        <f t="shared" si="93"/>
        <v>23347</v>
      </c>
      <c r="FD32" s="48">
        <f t="shared" si="73"/>
        <v>44813.230000000622</v>
      </c>
      <c r="FE32" s="48">
        <v>17605</v>
      </c>
      <c r="FF32" s="48">
        <v>6218.2</v>
      </c>
      <c r="FG32" s="37">
        <f t="shared" si="74"/>
        <v>8251.0800000000181</v>
      </c>
      <c r="FH32" s="48">
        <v>9835.1</v>
      </c>
      <c r="FI32" s="48">
        <v>3.7948</v>
      </c>
      <c r="FJ32" s="49">
        <f t="shared" si="40"/>
        <v>13971.080000000728</v>
      </c>
      <c r="FK32" s="48"/>
      <c r="FL32" s="58">
        <v>106.67</v>
      </c>
      <c r="FM32" s="48">
        <f>FT32/3</f>
        <v>835.58666666641875</v>
      </c>
      <c r="FN32" s="48">
        <v>17385</v>
      </c>
      <c r="FO32" s="48">
        <v>0.94279999999999997</v>
      </c>
      <c r="FP32" s="37">
        <f t="shared" si="75"/>
        <v>11271.08</v>
      </c>
      <c r="FQ32" s="48">
        <v>61254</v>
      </c>
      <c r="FR32" s="48">
        <v>14.887</v>
      </c>
      <c r="FS32" s="37">
        <f t="shared" si="41"/>
        <v>36000</v>
      </c>
      <c r="FT32" s="48">
        <f t="shared" si="76"/>
        <v>2506.7599999992563</v>
      </c>
      <c r="FU32" s="48">
        <f t="shared" si="77"/>
        <v>33493.240000000747</v>
      </c>
      <c r="FV32" s="44">
        <v>5948500</v>
      </c>
      <c r="FW32" s="44">
        <v>1830000</v>
      </c>
      <c r="FX32" s="37">
        <f t="shared" si="42"/>
        <v>36400</v>
      </c>
      <c r="FY32" s="56">
        <v>3804.6</v>
      </c>
      <c r="FZ32" s="56">
        <v>2.2075</v>
      </c>
      <c r="GA32" s="37">
        <f t="shared" si="43"/>
        <v>8149.9999999999091</v>
      </c>
      <c r="GB32" s="56">
        <v>863.51</v>
      </c>
      <c r="GC32" s="56">
        <v>969.1</v>
      </c>
      <c r="GD32" s="37">
        <f t="shared" si="44"/>
        <v>889.99999999998636</v>
      </c>
      <c r="GE32" s="56">
        <v>10667</v>
      </c>
      <c r="GF32" s="56">
        <v>3.8287</v>
      </c>
      <c r="GG32" s="37">
        <f>IF((GE32-GE31)*1000&lt;=0,0,(GE32-GE31)*1000)-GJ32-GM32</f>
        <v>9099.9999999999091</v>
      </c>
      <c r="GH32" s="158">
        <v>2068.6</v>
      </c>
      <c r="GI32" s="159">
        <v>1780.6</v>
      </c>
      <c r="GJ32" s="38">
        <f t="shared" si="46"/>
        <v>1900.0000000000909</v>
      </c>
      <c r="GK32" s="159">
        <v>1521.2</v>
      </c>
      <c r="GL32" s="160">
        <v>1142.4000000000001</v>
      </c>
      <c r="GM32" s="38">
        <f t="shared" si="47"/>
        <v>0</v>
      </c>
      <c r="GN32" s="57">
        <v>243980</v>
      </c>
      <c r="GO32" s="57">
        <v>218040</v>
      </c>
      <c r="GP32" s="38">
        <f t="shared" si="97"/>
        <v>0</v>
      </c>
      <c r="GQ32" s="38">
        <v>291130</v>
      </c>
      <c r="GR32" s="38">
        <v>285680</v>
      </c>
      <c r="GS32" s="38">
        <f t="shared" si="78"/>
        <v>450</v>
      </c>
      <c r="GT32" s="178"/>
      <c r="GU32" s="144">
        <f>DailyJul!B31-DailyJul!N31-DailyJul!V31-DailyJul!Y31-DailyJul!Z31-DailyJul!AA31-DailyJul!AB31-DailyJul!AC31-DailyJul!AD31-DailyJul!AE31-DailyJul!AK31-DailyJul!AO31-DailyJul!AS31-DailyJul!AY31-DailyJul!BD31+DailyJul!BU31-DailyJul!BG31-DailyJul!BT31-DailyJul!AF31-DailyJul!AG31</f>
        <v>-2.0000011718366295E-2</v>
      </c>
      <c r="GV32" s="59">
        <v>-12533.87</v>
      </c>
      <c r="GW32" s="60">
        <f t="shared" si="48"/>
        <v>-835.59133333333341</v>
      </c>
      <c r="GX32" s="61">
        <v>-835.59</v>
      </c>
      <c r="GY32" s="140"/>
      <c r="GZ32" s="62"/>
      <c r="HA32" s="62"/>
      <c r="HB32" s="74"/>
      <c r="HC32" s="62"/>
      <c r="HD32" s="74"/>
      <c r="HE32" s="24">
        <f t="shared" si="49"/>
        <v>0</v>
      </c>
      <c r="HG32" s="213">
        <v>26</v>
      </c>
      <c r="HH32" s="16">
        <v>18767</v>
      </c>
      <c r="HI32" s="16">
        <v>7143.2</v>
      </c>
      <c r="HJ32" s="16">
        <f t="shared" si="50"/>
        <v>168000</v>
      </c>
      <c r="HK32" s="16">
        <v>2.1432000000000002</v>
      </c>
      <c r="HL32" s="16">
        <v>807.23</v>
      </c>
      <c r="HM32" s="16">
        <f t="shared" si="99"/>
        <v>0</v>
      </c>
      <c r="HN32" s="16">
        <v>4819.1000000000004</v>
      </c>
      <c r="HO32" s="16">
        <v>2098.6999999999998</v>
      </c>
      <c r="HP32" s="16">
        <f t="shared" si="52"/>
        <v>46750.000000000182</v>
      </c>
      <c r="HQ32" s="16">
        <v>3660.6</v>
      </c>
      <c r="HR32" s="16">
        <v>1569.1</v>
      </c>
      <c r="HS32" s="16">
        <f t="shared" si="53"/>
        <v>21950</v>
      </c>
      <c r="HT32" s="16">
        <v>3453</v>
      </c>
      <c r="HU32" s="16">
        <v>1278.5</v>
      </c>
      <c r="HV32" s="16">
        <f t="shared" si="54"/>
        <v>26950</v>
      </c>
      <c r="HW32" s="16">
        <v>2248.1</v>
      </c>
      <c r="HX32" s="16">
        <v>976.71</v>
      </c>
      <c r="HY32" s="16">
        <f t="shared" si="55"/>
        <v>24549.999999999909</v>
      </c>
      <c r="HZ32" s="16">
        <v>1213800</v>
      </c>
      <c r="IA32" s="16">
        <v>559400</v>
      </c>
      <c r="IB32" s="16">
        <f t="shared" si="56"/>
        <v>27800</v>
      </c>
      <c r="IC32" s="16">
        <v>719.8</v>
      </c>
      <c r="ID32" s="16">
        <v>232.78</v>
      </c>
      <c r="IE32" s="16">
        <f t="shared" si="79"/>
        <v>0</v>
      </c>
      <c r="IF32" s="16"/>
      <c r="IG32" s="16"/>
      <c r="IH32" s="128">
        <f t="shared" si="57"/>
        <v>20000</v>
      </c>
      <c r="II32" s="211">
        <f t="shared" si="123"/>
        <v>-9.4587448984384537E-11</v>
      </c>
      <c r="IJ32" s="16"/>
      <c r="IK32" s="16"/>
      <c r="IL32" s="16">
        <f t="shared" si="100"/>
        <v>0</v>
      </c>
      <c r="IM32" s="16"/>
      <c r="IN32" s="16"/>
      <c r="IO32" s="16">
        <f t="shared" si="101"/>
        <v>0</v>
      </c>
      <c r="IP32" s="16"/>
      <c r="IQ32" s="16"/>
      <c r="IR32" s="16">
        <f t="shared" si="102"/>
        <v>0</v>
      </c>
      <c r="IS32" s="16"/>
      <c r="IT32" s="16"/>
      <c r="IU32" s="16">
        <f t="shared" si="103"/>
        <v>0</v>
      </c>
      <c r="IV32" s="16"/>
      <c r="IW32" s="16"/>
      <c r="IX32" s="16">
        <f t="shared" si="104"/>
        <v>0</v>
      </c>
      <c r="IY32" s="16"/>
      <c r="IZ32" s="16"/>
      <c r="JA32" s="16">
        <f t="shared" si="105"/>
        <v>0</v>
      </c>
      <c r="JB32" s="16"/>
      <c r="JC32" s="16"/>
      <c r="JD32" s="16">
        <f t="shared" si="106"/>
        <v>0</v>
      </c>
      <c r="JE32" s="16"/>
      <c r="JF32" s="16"/>
      <c r="JG32" s="16">
        <f t="shared" si="107"/>
        <v>0</v>
      </c>
      <c r="JH32" s="16"/>
      <c r="JI32" s="16"/>
      <c r="JJ32" s="16">
        <f t="shared" si="108"/>
        <v>0</v>
      </c>
      <c r="JK32" s="16"/>
      <c r="JL32" s="16"/>
      <c r="JM32" s="16">
        <f t="shared" si="109"/>
        <v>0</v>
      </c>
      <c r="JN32" s="16"/>
      <c r="JO32" s="16"/>
      <c r="JP32" s="16">
        <f t="shared" si="110"/>
        <v>0</v>
      </c>
      <c r="JQ32" s="16"/>
      <c r="JR32" s="16"/>
      <c r="JS32" s="16">
        <f t="shared" si="111"/>
        <v>0</v>
      </c>
      <c r="JT32" s="16"/>
      <c r="JU32" s="16"/>
      <c r="JV32" s="16">
        <f t="shared" si="112"/>
        <v>0</v>
      </c>
      <c r="JW32" s="16"/>
      <c r="JX32" s="16"/>
      <c r="JY32" s="16">
        <f t="shared" si="113"/>
        <v>0</v>
      </c>
      <c r="JZ32" s="16"/>
      <c r="KA32" s="16"/>
      <c r="KB32" s="16">
        <f t="shared" si="114"/>
        <v>0</v>
      </c>
      <c r="KC32" s="16"/>
      <c r="KD32" s="16"/>
      <c r="KE32" s="16">
        <f t="shared" si="115"/>
        <v>0</v>
      </c>
      <c r="KG32" s="151">
        <f t="shared" si="59"/>
        <v>74550.000000000087</v>
      </c>
    </row>
    <row r="33" spans="1:293" x14ac:dyDescent="0.25">
      <c r="A33" s="35">
        <f t="shared" si="0"/>
        <v>27</v>
      </c>
      <c r="B33" s="38">
        <v>5027.6899999999996</v>
      </c>
      <c r="C33" s="38">
        <f t="shared" si="1"/>
        <v>11.159999999999854</v>
      </c>
      <c r="D33" s="38">
        <f t="shared" si="2"/>
        <v>357119.99999999534</v>
      </c>
      <c r="E33" s="38">
        <v>1009.63</v>
      </c>
      <c r="F33" s="38">
        <f t="shared" si="3"/>
        <v>66880.000000001019</v>
      </c>
      <c r="G33" s="38">
        <f t="shared" si="4"/>
        <v>423999.99999999639</v>
      </c>
      <c r="H33" s="37"/>
      <c r="I33" s="39"/>
      <c r="J33" s="42"/>
      <c r="K33" s="37">
        <f t="shared" si="80"/>
        <v>0</v>
      </c>
      <c r="L33" s="40">
        <f>L32+42200</f>
        <v>15944630</v>
      </c>
      <c r="M33" s="40"/>
      <c r="N33" s="37">
        <f t="shared" si="81"/>
        <v>422000</v>
      </c>
      <c r="O33" s="37">
        <f>O32+18.7</f>
        <v>12176.300000000001</v>
      </c>
      <c r="P33" s="37"/>
      <c r="Q33" s="37">
        <f t="shared" si="118"/>
        <v>18700.000000000728</v>
      </c>
      <c r="R33" s="37">
        <f t="shared" si="82"/>
        <v>1</v>
      </c>
      <c r="S33" s="37">
        <v>11255078.42</v>
      </c>
      <c r="T33" s="37">
        <f t="shared" si="6"/>
        <v>306.66999999992549</v>
      </c>
      <c r="U33" s="37">
        <v>1523790.61</v>
      </c>
      <c r="V33" s="37">
        <f t="shared" si="7"/>
        <v>0</v>
      </c>
      <c r="W33" s="37">
        <v>4349.2</v>
      </c>
      <c r="X33" s="37">
        <f t="shared" si="95"/>
        <v>18293.330000000802</v>
      </c>
      <c r="Y33" s="183"/>
      <c r="Z33" s="183"/>
      <c r="AA33" s="37">
        <f>AA32+100</f>
        <v>792400</v>
      </c>
      <c r="AB33" s="37">
        <f t="shared" si="8"/>
        <v>100</v>
      </c>
      <c r="AC33" s="37">
        <f>AC32+8.2</f>
        <v>4534.8999999999996</v>
      </c>
      <c r="AD33" s="37"/>
      <c r="AE33" s="37">
        <f t="shared" si="120"/>
        <v>8199.9999999998181</v>
      </c>
      <c r="AF33" s="37">
        <f t="shared" si="83"/>
        <v>1</v>
      </c>
      <c r="AG33" s="37">
        <f>AG32+14</f>
        <v>9836.2000000000007</v>
      </c>
      <c r="AH33" s="37"/>
      <c r="AI33" s="37">
        <f t="shared" si="10"/>
        <v>14785.67</v>
      </c>
      <c r="AJ33" s="37">
        <f t="shared" si="11"/>
        <v>1</v>
      </c>
      <c r="AK33" s="37">
        <f t="shared" si="12"/>
        <v>41585.670000000544</v>
      </c>
      <c r="AL33" s="42">
        <f>AL32+12</f>
        <v>11588.9</v>
      </c>
      <c r="AM33" s="42"/>
      <c r="AN33" s="37">
        <f t="shared" si="60"/>
        <v>6785.67</v>
      </c>
      <c r="AO33" s="37">
        <f t="shared" si="84"/>
        <v>1</v>
      </c>
      <c r="AP33" s="37">
        <f>AP32+7.2</f>
        <v>9052.9000000000015</v>
      </c>
      <c r="AQ33" s="37"/>
      <c r="AR33" s="37">
        <f t="shared" si="13"/>
        <v>7200.0000000007276</v>
      </c>
      <c r="AS33" s="37">
        <f t="shared" si="85"/>
        <v>1</v>
      </c>
      <c r="AT33" s="183"/>
      <c r="AU33" s="183"/>
      <c r="AV33" s="183"/>
      <c r="AW33" s="183"/>
      <c r="AX33" s="37">
        <f>AX32+300</f>
        <v>510930</v>
      </c>
      <c r="AY33" s="37"/>
      <c r="AZ33" s="37">
        <f t="shared" si="14"/>
        <v>300</v>
      </c>
      <c r="BA33" s="37">
        <f>BA32+600</f>
        <v>187860</v>
      </c>
      <c r="BB33" s="37"/>
      <c r="BC33" s="37">
        <f t="shared" si="15"/>
        <v>600</v>
      </c>
      <c r="BD33" s="37">
        <f t="shared" si="86"/>
        <v>14885.670000000728</v>
      </c>
      <c r="BE33" s="43">
        <v>2024</v>
      </c>
      <c r="BF33" s="43">
        <v>1128.4000000000001</v>
      </c>
      <c r="BG33" s="37">
        <f t="shared" si="16"/>
        <v>1700.0000000000455</v>
      </c>
      <c r="BH33" s="44">
        <v>9511.4</v>
      </c>
      <c r="BI33" s="44">
        <v>6133.1</v>
      </c>
      <c r="BJ33" s="37">
        <f t="shared" si="17"/>
        <v>10000</v>
      </c>
      <c r="BK33" s="40">
        <f>BK32+4500</f>
        <v>1830870</v>
      </c>
      <c r="BL33" s="40">
        <f t="shared" si="87"/>
        <v>4500</v>
      </c>
      <c r="BM33" s="40">
        <f>BM32+0.7</f>
        <v>914.25</v>
      </c>
      <c r="BN33" s="37">
        <f t="shared" si="18"/>
        <v>700.00000000004547</v>
      </c>
      <c r="BO33" s="186"/>
      <c r="BP33" s="183">
        <f t="shared" si="19"/>
        <v>0</v>
      </c>
      <c r="BQ33" s="40">
        <f>BQ32+0.8</f>
        <v>862.3</v>
      </c>
      <c r="BR33" s="37">
        <f t="shared" si="61"/>
        <v>799.99999999995453</v>
      </c>
      <c r="BS33" s="37">
        <f>BS32+200</f>
        <v>110987.2</v>
      </c>
      <c r="BT33" s="37">
        <f t="shared" si="20"/>
        <v>200</v>
      </c>
      <c r="BU33" s="42">
        <f>BU32+7000</f>
        <v>3240847</v>
      </c>
      <c r="BV33" s="42"/>
      <c r="BW33" s="37">
        <f t="shared" si="21"/>
        <v>7000</v>
      </c>
      <c r="BX33" s="37">
        <f t="shared" si="88"/>
        <v>1</v>
      </c>
      <c r="BY33" s="43">
        <f>BY32+0.5</f>
        <v>386.30810000000002</v>
      </c>
      <c r="BZ33" s="43"/>
      <c r="CA33" s="37">
        <f t="shared" si="116"/>
        <v>500</v>
      </c>
      <c r="CB33" s="37">
        <f t="shared" si="62"/>
        <v>1</v>
      </c>
      <c r="CC33" s="37">
        <f>CC32+1700</f>
        <v>752497.1</v>
      </c>
      <c r="CD33" s="37">
        <f t="shared" si="23"/>
        <v>1700</v>
      </c>
      <c r="CE33" s="41">
        <f>CE32+5100</f>
        <v>1557419</v>
      </c>
      <c r="CF33" s="37">
        <f t="shared" si="24"/>
        <v>5100</v>
      </c>
      <c r="CG33" s="37">
        <v>72810.600000000006</v>
      </c>
      <c r="CH33" s="37">
        <f t="shared" si="63"/>
        <v>0</v>
      </c>
      <c r="CI33" s="40">
        <f>CI32+15</f>
        <v>13811.4</v>
      </c>
      <c r="CJ33" s="40"/>
      <c r="CK33" s="37">
        <f t="shared" si="64"/>
        <v>15285.67</v>
      </c>
      <c r="CL33" s="37">
        <f t="shared" si="25"/>
        <v>1</v>
      </c>
      <c r="CM33" s="37">
        <f>CM32+7</f>
        <v>3969.8760000000002</v>
      </c>
      <c r="CN33" s="37"/>
      <c r="CO33" s="37">
        <f t="shared" si="26"/>
        <v>7785.67</v>
      </c>
      <c r="CP33" s="37">
        <f t="shared" si="89"/>
        <v>1</v>
      </c>
      <c r="CQ33" s="39">
        <f>CQ32+6000</f>
        <v>559995.16</v>
      </c>
      <c r="CR33" s="39"/>
      <c r="CS33" s="37">
        <f t="shared" si="65"/>
        <v>6785.67</v>
      </c>
      <c r="CT33" s="37">
        <f t="shared" si="66"/>
        <v>1</v>
      </c>
      <c r="CU33" s="37">
        <f>CU32+17000</f>
        <v>4215387</v>
      </c>
      <c r="CV33" s="37"/>
      <c r="CW33" s="38">
        <f t="shared" si="27"/>
        <v>17000</v>
      </c>
      <c r="CX33" s="37">
        <f t="shared" si="90"/>
        <v>1</v>
      </c>
      <c r="CY33" s="37">
        <f>CY32+10000</f>
        <v>2241709</v>
      </c>
      <c r="CZ33" s="37"/>
      <c r="DA33" s="37">
        <f t="shared" si="122"/>
        <v>10000</v>
      </c>
      <c r="DB33" s="37">
        <f t="shared" si="91"/>
        <v>1</v>
      </c>
      <c r="DC33" s="37"/>
      <c r="DD33" s="40"/>
      <c r="DE33" s="37">
        <f t="shared" si="29"/>
        <v>0</v>
      </c>
      <c r="DF33" s="37">
        <f t="shared" si="96"/>
        <v>0</v>
      </c>
      <c r="DG33" s="37">
        <f t="shared" si="30"/>
        <v>-63857.009999999995</v>
      </c>
      <c r="DH33" s="37">
        <f t="shared" si="31"/>
        <v>465285.67000000057</v>
      </c>
      <c r="DI33" s="46"/>
      <c r="DJ33" s="46"/>
      <c r="DK33" s="47"/>
      <c r="DL33" s="47"/>
      <c r="DM33" s="37"/>
      <c r="DN33" s="37"/>
      <c r="DO33" s="37"/>
      <c r="DP33" s="37"/>
      <c r="DQ33" s="50">
        <v>4112100</v>
      </c>
      <c r="DR33" s="49">
        <f t="shared" si="67"/>
        <v>10000</v>
      </c>
      <c r="DS33" s="50">
        <v>4952500</v>
      </c>
      <c r="DT33" s="49">
        <f t="shared" si="68"/>
        <v>19000</v>
      </c>
      <c r="DU33" s="51">
        <v>8258</v>
      </c>
      <c r="DV33" s="51">
        <v>4652</v>
      </c>
      <c r="DW33" s="37">
        <f t="shared" si="92"/>
        <v>4600.0000000003638</v>
      </c>
      <c r="DX33" s="52">
        <v>13634</v>
      </c>
      <c r="DY33" s="52">
        <v>8572.7000000000007</v>
      </c>
      <c r="DZ33" s="37">
        <f t="shared" si="32"/>
        <v>8785.67</v>
      </c>
      <c r="EA33" s="49">
        <v>31503</v>
      </c>
      <c r="EB33" s="49">
        <v>21.716000000000001</v>
      </c>
      <c r="EC33" s="37">
        <f t="shared" si="33"/>
        <v>22945.67</v>
      </c>
      <c r="ED33" s="53">
        <f t="shared" si="34"/>
        <v>36331.34000000036</v>
      </c>
      <c r="EE33" s="49">
        <v>47178</v>
      </c>
      <c r="EF33" s="49">
        <v>30.946999999999999</v>
      </c>
      <c r="EG33" s="37">
        <f t="shared" si="35"/>
        <v>28945.67</v>
      </c>
      <c r="EH33" s="51">
        <v>13814</v>
      </c>
      <c r="EI33" s="51">
        <v>1.9755</v>
      </c>
      <c r="EJ33" s="37">
        <f t="shared" si="36"/>
        <v>11785.67</v>
      </c>
      <c r="EK33" s="37">
        <v>840.26</v>
      </c>
      <c r="EL33" s="40">
        <v>1204.4000000000001</v>
      </c>
      <c r="EM33" s="37">
        <f t="shared" si="69"/>
        <v>639.99999999998636</v>
      </c>
      <c r="EN33" s="54">
        <f t="shared" si="70"/>
        <v>41371.339999999982</v>
      </c>
      <c r="EO33" s="48">
        <v>13468</v>
      </c>
      <c r="EP33" s="48">
        <v>4709.8</v>
      </c>
      <c r="EQ33" s="37">
        <f t="shared" si="71"/>
        <v>6840.6700000000073</v>
      </c>
      <c r="ER33" s="48">
        <v>10346</v>
      </c>
      <c r="ES33" s="48">
        <v>4270.7</v>
      </c>
      <c r="ET33" s="49">
        <f t="shared" si="98"/>
        <v>16000</v>
      </c>
      <c r="EU33" s="48">
        <v>4168.5</v>
      </c>
      <c r="EV33" s="48">
        <v>1480.7</v>
      </c>
      <c r="EW33" s="49">
        <f t="shared" si="38"/>
        <v>9985.6699999998182</v>
      </c>
      <c r="EX33" s="48">
        <v>14253</v>
      </c>
      <c r="EY33" s="48">
        <v>1.7098</v>
      </c>
      <c r="EZ33" s="37">
        <f t="shared" si="39"/>
        <v>11785.67</v>
      </c>
      <c r="FA33" s="48">
        <f t="shared" si="72"/>
        <v>-22346.009999999827</v>
      </c>
      <c r="FB33" s="48">
        <v>37924445</v>
      </c>
      <c r="FC33" s="49">
        <f t="shared" si="93"/>
        <v>22266</v>
      </c>
      <c r="FD33" s="48">
        <f t="shared" si="73"/>
        <v>46412.01</v>
      </c>
      <c r="FE33" s="48">
        <v>17614</v>
      </c>
      <c r="FF33" s="48">
        <v>6220.4</v>
      </c>
      <c r="FG33" s="37">
        <f t="shared" si="74"/>
        <v>10415.669999999993</v>
      </c>
      <c r="FH33" s="48">
        <v>9851.1</v>
      </c>
      <c r="FI33" s="48">
        <v>3.8008999999999999</v>
      </c>
      <c r="FJ33" s="49">
        <f t="shared" si="40"/>
        <v>16470.669999999998</v>
      </c>
      <c r="FK33" s="48"/>
      <c r="FL33" s="58">
        <v>-315</v>
      </c>
      <c r="FM33" s="48">
        <f t="shared" si="94"/>
        <v>-785.66999999999643</v>
      </c>
      <c r="FN33" s="48">
        <v>17396</v>
      </c>
      <c r="FO33" s="48">
        <v>0.94450000000000001</v>
      </c>
      <c r="FP33" s="37">
        <f t="shared" si="75"/>
        <v>11470.67</v>
      </c>
      <c r="FQ33" s="48">
        <v>61290</v>
      </c>
      <c r="FR33" s="48">
        <v>14.897</v>
      </c>
      <c r="FS33" s="37">
        <f t="shared" si="41"/>
        <v>36000</v>
      </c>
      <c r="FT33" s="48">
        <f t="shared" si="76"/>
        <v>-2357.0099999999893</v>
      </c>
      <c r="FU33" s="48">
        <f t="shared" si="77"/>
        <v>38357.009999999987</v>
      </c>
      <c r="FV33" s="44">
        <v>5984200</v>
      </c>
      <c r="FW33" s="44">
        <v>1840700</v>
      </c>
      <c r="FX33" s="37">
        <f t="shared" si="42"/>
        <v>35700</v>
      </c>
      <c r="FY33" s="56">
        <v>3812.8</v>
      </c>
      <c r="FZ33" s="56">
        <v>2.2088999999999999</v>
      </c>
      <c r="GA33" s="37">
        <f t="shared" si="43"/>
        <v>7760.0000000002728</v>
      </c>
      <c r="GB33" s="56">
        <v>864.5</v>
      </c>
      <c r="GC33" s="56">
        <v>970.23</v>
      </c>
      <c r="GD33" s="37">
        <f t="shared" si="44"/>
        <v>990.00000000000909</v>
      </c>
      <c r="GE33" s="56">
        <v>10678</v>
      </c>
      <c r="GF33" s="56">
        <v>3.8368000000000002</v>
      </c>
      <c r="GG33" s="37">
        <f t="shared" si="45"/>
        <v>9199.9999999998181</v>
      </c>
      <c r="GH33" s="153">
        <v>2070.4</v>
      </c>
      <c r="GI33" s="162">
        <v>1782.5</v>
      </c>
      <c r="GJ33" s="38">
        <f t="shared" si="46"/>
        <v>1800.0000000001819</v>
      </c>
      <c r="GK33" s="162">
        <v>1521.2</v>
      </c>
      <c r="GL33" s="163">
        <v>1142.4000000000001</v>
      </c>
      <c r="GM33" s="38">
        <f t="shared" si="47"/>
        <v>0</v>
      </c>
      <c r="GN33" s="57">
        <v>243980</v>
      </c>
      <c r="GO33" s="57">
        <v>218050</v>
      </c>
      <c r="GP33" s="38">
        <f t="shared" si="97"/>
        <v>0</v>
      </c>
      <c r="GQ33" s="38">
        <v>291570</v>
      </c>
      <c r="GR33" s="38">
        <v>285970</v>
      </c>
      <c r="GS33" s="38">
        <f t="shared" si="78"/>
        <v>440</v>
      </c>
      <c r="GT33" s="178"/>
      <c r="GU33" s="144">
        <f>DailyJul!B32-DailyJul!N32-DailyJul!V32-DailyJul!Y32-DailyJul!Z32-DailyJul!AA32-DailyJul!AB32-DailyJul!AC32-DailyJul!AD32-DailyJul!AE32-DailyJul!AK32-DailyJul!AO32-DailyJul!AS32-DailyJul!AY32-DailyJul!BD32+DailyJul!BU32-DailyJul!BG32-DailyJul!BT32-DailyJul!AF32-DailyJul!AG32</f>
        <v>-5.0000005343463272E-2</v>
      </c>
      <c r="GV33" s="59">
        <v>11785</v>
      </c>
      <c r="GW33" s="60">
        <f t="shared" si="48"/>
        <v>785.66666666666663</v>
      </c>
      <c r="GX33" s="61">
        <v>785.67</v>
      </c>
      <c r="GY33" s="140"/>
      <c r="GZ33" s="62"/>
      <c r="HA33" s="62"/>
      <c r="HB33" s="74"/>
      <c r="HC33" s="62"/>
      <c r="HD33" s="74"/>
      <c r="HE33" s="24">
        <f t="shared" si="49"/>
        <v>0</v>
      </c>
      <c r="HG33" s="213">
        <v>27</v>
      </c>
      <c r="HH33" s="16">
        <v>18910</v>
      </c>
      <c r="HI33" s="16">
        <v>7243.7</v>
      </c>
      <c r="HJ33" s="16">
        <f t="shared" si="50"/>
        <v>143000</v>
      </c>
      <c r="HK33" s="16">
        <v>2.1432000000000002</v>
      </c>
      <c r="HL33" s="16">
        <v>807.23</v>
      </c>
      <c r="HM33" s="16">
        <f t="shared" si="99"/>
        <v>0</v>
      </c>
      <c r="HN33" s="16">
        <v>4859</v>
      </c>
      <c r="HO33" s="16">
        <v>2114.8000000000002</v>
      </c>
      <c r="HP33" s="16">
        <f t="shared" si="52"/>
        <v>40474.999999999636</v>
      </c>
      <c r="HQ33" s="16">
        <v>3682.6</v>
      </c>
      <c r="HR33" s="16">
        <v>1578.1</v>
      </c>
      <c r="HS33" s="16">
        <f t="shared" si="53"/>
        <v>22575</v>
      </c>
      <c r="HT33" s="16">
        <v>3467</v>
      </c>
      <c r="HU33" s="16">
        <v>1283.4000000000001</v>
      </c>
      <c r="HV33" s="16">
        <f t="shared" si="54"/>
        <v>14575</v>
      </c>
      <c r="HW33" s="16">
        <v>2273.5</v>
      </c>
      <c r="HX33" s="16">
        <v>987.2</v>
      </c>
      <c r="HY33" s="16">
        <f t="shared" si="55"/>
        <v>25975.000000000091</v>
      </c>
      <c r="HZ33" s="16">
        <v>1234200</v>
      </c>
      <c r="IA33" s="16">
        <v>568320</v>
      </c>
      <c r="IB33" s="16">
        <f t="shared" si="56"/>
        <v>20400</v>
      </c>
      <c r="IC33" s="16">
        <v>719.8</v>
      </c>
      <c r="ID33" s="16">
        <v>232.78</v>
      </c>
      <c r="IE33" s="16">
        <f t="shared" si="79"/>
        <v>0</v>
      </c>
      <c r="IF33" s="16"/>
      <c r="IG33" s="16"/>
      <c r="IH33" s="128">
        <f t="shared" si="57"/>
        <v>19000</v>
      </c>
      <c r="II33" s="211">
        <f t="shared" si="123"/>
        <v>2.7648638933897018E-10</v>
      </c>
      <c r="IJ33" s="16"/>
      <c r="IK33" s="16"/>
      <c r="IL33" s="16">
        <f t="shared" si="100"/>
        <v>0</v>
      </c>
      <c r="IM33" s="16"/>
      <c r="IN33" s="16"/>
      <c r="IO33" s="16">
        <f t="shared" si="101"/>
        <v>0</v>
      </c>
      <c r="IP33" s="16"/>
      <c r="IQ33" s="16"/>
      <c r="IR33" s="16">
        <f t="shared" si="102"/>
        <v>0</v>
      </c>
      <c r="IS33" s="16"/>
      <c r="IT33" s="16"/>
      <c r="IU33" s="16">
        <f t="shared" si="103"/>
        <v>0</v>
      </c>
      <c r="IV33" s="16"/>
      <c r="IW33" s="16"/>
      <c r="IX33" s="16">
        <f t="shared" si="104"/>
        <v>0</v>
      </c>
      <c r="IY33" s="16"/>
      <c r="IZ33" s="16"/>
      <c r="JA33" s="16">
        <f t="shared" si="105"/>
        <v>0</v>
      </c>
      <c r="JB33" s="16"/>
      <c r="JC33" s="16"/>
      <c r="JD33" s="16">
        <f t="shared" si="106"/>
        <v>0</v>
      </c>
      <c r="JE33" s="16"/>
      <c r="JF33" s="16"/>
      <c r="JG33" s="16">
        <f t="shared" si="107"/>
        <v>0</v>
      </c>
      <c r="JH33" s="16"/>
      <c r="JI33" s="16"/>
      <c r="JJ33" s="16">
        <f t="shared" si="108"/>
        <v>0</v>
      </c>
      <c r="JK33" s="16"/>
      <c r="JL33" s="16"/>
      <c r="JM33" s="16">
        <f t="shared" si="109"/>
        <v>0</v>
      </c>
      <c r="JN33" s="16"/>
      <c r="JO33" s="16"/>
      <c r="JP33" s="16">
        <f t="shared" si="110"/>
        <v>0</v>
      </c>
      <c r="JQ33" s="16"/>
      <c r="JR33" s="16"/>
      <c r="JS33" s="16">
        <f t="shared" si="111"/>
        <v>0</v>
      </c>
      <c r="JT33" s="16"/>
      <c r="JU33" s="16"/>
      <c r="JV33" s="16">
        <f t="shared" si="112"/>
        <v>0</v>
      </c>
      <c r="JW33" s="16"/>
      <c r="JX33" s="16"/>
      <c r="JY33" s="16">
        <f t="shared" si="113"/>
        <v>0</v>
      </c>
      <c r="JZ33" s="16"/>
      <c r="KA33" s="16"/>
      <c r="KB33" s="16">
        <f t="shared" si="114"/>
        <v>0</v>
      </c>
      <c r="KC33" s="16"/>
      <c r="KD33" s="16"/>
      <c r="KE33" s="16">
        <f t="shared" si="115"/>
        <v>0</v>
      </c>
      <c r="KG33" s="151">
        <f t="shared" si="59"/>
        <v>60874.999999999913</v>
      </c>
    </row>
    <row r="34" spans="1:293" x14ac:dyDescent="0.25">
      <c r="A34" s="35">
        <f t="shared" si="0"/>
        <v>28</v>
      </c>
      <c r="B34" s="38">
        <v>5038.92</v>
      </c>
      <c r="C34" s="38">
        <f t="shared" si="1"/>
        <v>11.230000000000473</v>
      </c>
      <c r="D34" s="38">
        <f t="shared" si="2"/>
        <v>359360.00000001513</v>
      </c>
      <c r="E34" s="38">
        <v>1011.91</v>
      </c>
      <c r="F34" s="38">
        <f t="shared" si="3"/>
        <v>72959.999999999127</v>
      </c>
      <c r="G34" s="38">
        <f t="shared" si="4"/>
        <v>432320.00000001426</v>
      </c>
      <c r="H34" s="37"/>
      <c r="I34" s="39"/>
      <c r="J34" s="42"/>
      <c r="K34" s="37">
        <f t="shared" si="80"/>
        <v>0</v>
      </c>
      <c r="L34" s="40">
        <f>L33+42200</f>
        <v>15986830</v>
      </c>
      <c r="M34" s="40"/>
      <c r="N34" s="37">
        <f t="shared" si="81"/>
        <v>422000</v>
      </c>
      <c r="O34" s="37">
        <f>O33+18.6</f>
        <v>12194.900000000001</v>
      </c>
      <c r="P34" s="37"/>
      <c r="Q34" s="37">
        <f t="shared" si="118"/>
        <v>18600.000000000364</v>
      </c>
      <c r="R34" s="37">
        <f t="shared" si="82"/>
        <v>1</v>
      </c>
      <c r="S34" s="37">
        <v>11255353.710000001</v>
      </c>
      <c r="T34" s="37">
        <f t="shared" si="6"/>
        <v>275.29000000096858</v>
      </c>
      <c r="U34" s="37">
        <v>1523790.61</v>
      </c>
      <c r="V34" s="37">
        <f t="shared" si="7"/>
        <v>0</v>
      </c>
      <c r="W34" s="37">
        <v>4349.2</v>
      </c>
      <c r="X34" s="37">
        <f t="shared" si="95"/>
        <v>18224.709999999395</v>
      </c>
      <c r="Y34" s="183"/>
      <c r="Z34" s="183"/>
      <c r="AA34" s="37">
        <f>AA33+100</f>
        <v>792500</v>
      </c>
      <c r="AB34" s="37">
        <f t="shared" si="8"/>
        <v>100</v>
      </c>
      <c r="AC34" s="37">
        <f>AC33+8.2</f>
        <v>4543.0999999999995</v>
      </c>
      <c r="AD34" s="37"/>
      <c r="AE34" s="37">
        <f t="shared" si="120"/>
        <v>8199.9999999998181</v>
      </c>
      <c r="AF34" s="37">
        <f t="shared" si="83"/>
        <v>1</v>
      </c>
      <c r="AG34" s="37">
        <f>AG33+14</f>
        <v>9850.2000000000007</v>
      </c>
      <c r="AH34" s="37"/>
      <c r="AI34" s="37">
        <f t="shared" si="10"/>
        <v>14325.67</v>
      </c>
      <c r="AJ34" s="37">
        <f t="shared" si="11"/>
        <v>1</v>
      </c>
      <c r="AK34" s="37">
        <f t="shared" si="12"/>
        <v>41025.67000000018</v>
      </c>
      <c r="AL34" s="42">
        <f>AL33+12</f>
        <v>11600.9</v>
      </c>
      <c r="AM34" s="42"/>
      <c r="AN34" s="37">
        <f t="shared" si="60"/>
        <v>6325.67</v>
      </c>
      <c r="AO34" s="37">
        <f t="shared" si="84"/>
        <v>1</v>
      </c>
      <c r="AP34" s="37">
        <f>AP33+7.2</f>
        <v>9060.1000000000022</v>
      </c>
      <c r="AQ34" s="37"/>
      <c r="AR34" s="37">
        <f t="shared" si="13"/>
        <v>7200.0000000007276</v>
      </c>
      <c r="AS34" s="37">
        <f t="shared" si="85"/>
        <v>1</v>
      </c>
      <c r="AT34" s="183"/>
      <c r="AU34" s="183"/>
      <c r="AV34" s="183"/>
      <c r="AW34" s="183"/>
      <c r="AX34" s="37">
        <f>AX33+300</f>
        <v>511230</v>
      </c>
      <c r="AY34" s="37"/>
      <c r="AZ34" s="37">
        <f t="shared" si="14"/>
        <v>300</v>
      </c>
      <c r="BA34" s="37">
        <f>BA33+600</f>
        <v>188460</v>
      </c>
      <c r="BB34" s="37"/>
      <c r="BC34" s="37">
        <f t="shared" si="15"/>
        <v>600</v>
      </c>
      <c r="BD34" s="37">
        <f t="shared" si="86"/>
        <v>14425.670000000728</v>
      </c>
      <c r="BE34" s="43">
        <v>2025.5</v>
      </c>
      <c r="BF34" s="43">
        <v>1129.5</v>
      </c>
      <c r="BG34" s="37">
        <f t="shared" si="16"/>
        <v>1500</v>
      </c>
      <c r="BH34" s="44">
        <v>9520.9</v>
      </c>
      <c r="BI34" s="44">
        <v>6139.3</v>
      </c>
      <c r="BJ34" s="37">
        <f t="shared" si="17"/>
        <v>9500</v>
      </c>
      <c r="BK34" s="40">
        <f>BK33+4500</f>
        <v>1835370</v>
      </c>
      <c r="BL34" s="40">
        <f t="shared" si="87"/>
        <v>4500</v>
      </c>
      <c r="BM34" s="40">
        <f>BM33+0.7</f>
        <v>914.95</v>
      </c>
      <c r="BN34" s="37">
        <f t="shared" si="18"/>
        <v>700.00000000004547</v>
      </c>
      <c r="BO34" s="186"/>
      <c r="BP34" s="183">
        <f t="shared" si="19"/>
        <v>0</v>
      </c>
      <c r="BQ34" s="40">
        <f>BQ33+0.8</f>
        <v>863.09999999999991</v>
      </c>
      <c r="BR34" s="37">
        <f t="shared" si="61"/>
        <v>799.99999999995453</v>
      </c>
      <c r="BS34" s="37">
        <f>BS33+200</f>
        <v>111187.2</v>
      </c>
      <c r="BT34" s="37">
        <f t="shared" si="20"/>
        <v>200</v>
      </c>
      <c r="BU34" s="42">
        <f>BU33+7000</f>
        <v>3247847</v>
      </c>
      <c r="BV34" s="42"/>
      <c r="BW34" s="37">
        <f t="shared" si="21"/>
        <v>7000</v>
      </c>
      <c r="BX34" s="37">
        <f>IF(BW34&lt;=0,0,(BW34/SQRT(BW34^2+(BV34-BV33)^2)))</f>
        <v>1</v>
      </c>
      <c r="BY34" s="43">
        <f>BY33+0.5</f>
        <v>386.80810000000002</v>
      </c>
      <c r="BZ34" s="37"/>
      <c r="CA34" s="37">
        <f t="shared" si="116"/>
        <v>500</v>
      </c>
      <c r="CB34" s="37">
        <f t="shared" si="62"/>
        <v>1</v>
      </c>
      <c r="CC34" s="37">
        <f>CC33+1700</f>
        <v>754197.1</v>
      </c>
      <c r="CD34" s="37">
        <f t="shared" si="23"/>
        <v>1700</v>
      </c>
      <c r="CE34" s="41">
        <f>CE33+5100</f>
        <v>1562519</v>
      </c>
      <c r="CF34" s="37">
        <f t="shared" si="24"/>
        <v>5100</v>
      </c>
      <c r="CG34" s="37">
        <v>72810.600000000006</v>
      </c>
      <c r="CH34" s="37">
        <f t="shared" si="63"/>
        <v>0</v>
      </c>
      <c r="CI34" s="40">
        <f>CI33+15</f>
        <v>13826.4</v>
      </c>
      <c r="CJ34" s="40"/>
      <c r="CK34" s="37">
        <f t="shared" si="64"/>
        <v>14825.67</v>
      </c>
      <c r="CL34" s="37">
        <f t="shared" si="25"/>
        <v>1</v>
      </c>
      <c r="CM34" s="37">
        <f>CM33+7</f>
        <v>3976.8760000000002</v>
      </c>
      <c r="CN34" s="37"/>
      <c r="CO34" s="37">
        <f t="shared" si="26"/>
        <v>7325.67</v>
      </c>
      <c r="CP34" s="37">
        <f t="shared" si="89"/>
        <v>1</v>
      </c>
      <c r="CQ34" s="39">
        <f>CQ33+6000</f>
        <v>565995.16</v>
      </c>
      <c r="CR34" s="39"/>
      <c r="CS34" s="37">
        <f t="shared" si="65"/>
        <v>6325.67</v>
      </c>
      <c r="CT34" s="37">
        <f t="shared" si="66"/>
        <v>1</v>
      </c>
      <c r="CU34" s="37">
        <f>CU33+18000</f>
        <v>4233387</v>
      </c>
      <c r="CV34" s="37"/>
      <c r="CW34" s="38">
        <f t="shared" si="27"/>
        <v>18000</v>
      </c>
      <c r="CX34" s="37">
        <f t="shared" si="90"/>
        <v>1</v>
      </c>
      <c r="CY34" s="37">
        <f>CY33+11000</f>
        <v>2252709</v>
      </c>
      <c r="CZ34" s="37"/>
      <c r="DA34" s="37">
        <f t="shared" si="122"/>
        <v>11000</v>
      </c>
      <c r="DB34" s="37">
        <f t="shared" si="91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0"/>
        <v>-64477.009999999995</v>
      </c>
      <c r="DH34" s="37">
        <f t="shared" si="31"/>
        <v>464525.67000000016</v>
      </c>
      <c r="DI34" s="46"/>
      <c r="DJ34" s="46"/>
      <c r="DK34" s="47"/>
      <c r="DL34" s="47"/>
      <c r="DM34" s="37"/>
      <c r="DN34" s="37"/>
      <c r="DO34" s="37"/>
      <c r="DP34" s="37"/>
      <c r="DQ34" s="50">
        <v>4120200</v>
      </c>
      <c r="DR34" s="49">
        <f t="shared" si="67"/>
        <v>8100</v>
      </c>
      <c r="DS34" s="50">
        <v>4973800</v>
      </c>
      <c r="DT34" s="49">
        <f t="shared" si="68"/>
        <v>21300</v>
      </c>
      <c r="DU34" s="51">
        <v>8262.7000000000007</v>
      </c>
      <c r="DV34" s="51">
        <v>4655.3999999999996</v>
      </c>
      <c r="DW34" s="37">
        <f t="shared" si="92"/>
        <v>4700.0000000007276</v>
      </c>
      <c r="DX34" s="52">
        <v>13642</v>
      </c>
      <c r="DY34" s="52">
        <v>8577.7000000000007</v>
      </c>
      <c r="DZ34" s="37">
        <f t="shared" si="32"/>
        <v>8325.67</v>
      </c>
      <c r="EA34" s="49">
        <v>31522</v>
      </c>
      <c r="EB34" s="49">
        <v>21.725999999999999</v>
      </c>
      <c r="EC34" s="37">
        <f t="shared" si="33"/>
        <v>21485.67</v>
      </c>
      <c r="ED34" s="53">
        <f t="shared" si="34"/>
        <v>34511.340000000724</v>
      </c>
      <c r="EE34" s="49">
        <v>47204</v>
      </c>
      <c r="EF34" s="49">
        <v>30.968</v>
      </c>
      <c r="EG34" s="37">
        <f t="shared" si="35"/>
        <v>28485.67</v>
      </c>
      <c r="EH34" s="51">
        <v>13825</v>
      </c>
      <c r="EI34" s="51">
        <v>1.9784999999999999</v>
      </c>
      <c r="EJ34" s="37">
        <f t="shared" si="36"/>
        <v>11325.67</v>
      </c>
      <c r="EK34" s="37">
        <v>840.87</v>
      </c>
      <c r="EL34" s="40">
        <v>1205.3</v>
      </c>
      <c r="EM34" s="37">
        <f t="shared" si="69"/>
        <v>610.00000000001364</v>
      </c>
      <c r="EN34" s="54">
        <f t="shared" si="70"/>
        <v>40421.340000000011</v>
      </c>
      <c r="EO34" s="48">
        <v>13475</v>
      </c>
      <c r="EP34" s="48">
        <v>4712.5</v>
      </c>
      <c r="EQ34" s="37">
        <f t="shared" si="71"/>
        <v>6380.6700000000073</v>
      </c>
      <c r="ER34" s="48">
        <v>10363</v>
      </c>
      <c r="ES34" s="48">
        <v>4278</v>
      </c>
      <c r="ET34" s="49">
        <f t="shared" si="98"/>
        <v>17000</v>
      </c>
      <c r="EU34" s="48">
        <v>4177.7</v>
      </c>
      <c r="EV34" s="48">
        <v>1484</v>
      </c>
      <c r="EW34" s="49">
        <f t="shared" si="38"/>
        <v>9525.6699999998182</v>
      </c>
      <c r="EX34" s="48">
        <v>14264</v>
      </c>
      <c r="EY34" s="48">
        <v>1.7112000000000001</v>
      </c>
      <c r="EZ34" s="37">
        <f t="shared" si="39"/>
        <v>11325.67</v>
      </c>
      <c r="FA34" s="48">
        <f t="shared" si="72"/>
        <v>-21630.009999999827</v>
      </c>
      <c r="FB34" s="48">
        <v>37947047</v>
      </c>
      <c r="FC34" s="49">
        <f t="shared" si="93"/>
        <v>22602</v>
      </c>
      <c r="FD34" s="48">
        <f t="shared" si="73"/>
        <v>46032.009999999544</v>
      </c>
      <c r="FE34" s="48">
        <v>17622</v>
      </c>
      <c r="FF34" s="48">
        <v>6222.7</v>
      </c>
      <c r="FG34" s="37">
        <f t="shared" si="74"/>
        <v>9322.3399999999929</v>
      </c>
      <c r="FH34" s="48">
        <v>9868</v>
      </c>
      <c r="FI34" s="48">
        <v>3.8073999999999999</v>
      </c>
      <c r="FJ34" s="49">
        <f t="shared" si="40"/>
        <v>17277.339999999633</v>
      </c>
      <c r="FK34" s="48"/>
      <c r="FL34" s="58">
        <v>51.67</v>
      </c>
      <c r="FM34" s="48">
        <f t="shared" si="94"/>
        <v>-325.67333333320857</v>
      </c>
      <c r="FN34" s="48">
        <v>17407</v>
      </c>
      <c r="FO34" s="48">
        <v>0.94620000000000004</v>
      </c>
      <c r="FP34" s="37">
        <f t="shared" si="75"/>
        <v>11377.34</v>
      </c>
      <c r="FQ34" s="48">
        <v>61327</v>
      </c>
      <c r="FR34" s="48">
        <v>14.907</v>
      </c>
      <c r="FS34" s="37">
        <f t="shared" si="41"/>
        <v>37000</v>
      </c>
      <c r="FT34" s="48">
        <f t="shared" si="76"/>
        <v>-977.01999999962572</v>
      </c>
      <c r="FU34" s="48">
        <f t="shared" si="77"/>
        <v>37977.019999999626</v>
      </c>
      <c r="FV34" s="44">
        <v>6020000</v>
      </c>
      <c r="FW34" s="44">
        <v>1851400</v>
      </c>
      <c r="FX34" s="37">
        <f t="shared" si="42"/>
        <v>35800</v>
      </c>
      <c r="FY34" s="56">
        <v>3821.3</v>
      </c>
      <c r="FZ34" s="56">
        <v>2.2105999999999999</v>
      </c>
      <c r="GA34" s="37">
        <f t="shared" si="43"/>
        <v>8070</v>
      </c>
      <c r="GB34" s="56">
        <v>865.41</v>
      </c>
      <c r="GC34" s="56">
        <v>971.25</v>
      </c>
      <c r="GD34" s="37">
        <f t="shared" si="44"/>
        <v>909.99999999996817</v>
      </c>
      <c r="GE34" s="56">
        <v>10688</v>
      </c>
      <c r="GF34" s="56">
        <v>3.8445</v>
      </c>
      <c r="GG34" s="37">
        <f t="shared" si="45"/>
        <v>8200.0000000002728</v>
      </c>
      <c r="GH34" s="158">
        <v>2072.1999999999998</v>
      </c>
      <c r="GI34" s="159">
        <v>1784.2</v>
      </c>
      <c r="GJ34" s="38">
        <f t="shared" si="46"/>
        <v>1799.9999999997272</v>
      </c>
      <c r="GK34" s="56">
        <v>1521.2</v>
      </c>
      <c r="GL34" s="44">
        <v>1142.4000000000001</v>
      </c>
      <c r="GM34" s="38">
        <f t="shared" si="47"/>
        <v>0</v>
      </c>
      <c r="GN34" s="57">
        <v>243990</v>
      </c>
      <c r="GO34" s="57">
        <v>218050</v>
      </c>
      <c r="GP34" s="38">
        <f t="shared" si="97"/>
        <v>10</v>
      </c>
      <c r="GQ34" s="38">
        <v>292000</v>
      </c>
      <c r="GR34" s="38">
        <v>286260</v>
      </c>
      <c r="GS34" s="38">
        <f t="shared" si="78"/>
        <v>430</v>
      </c>
      <c r="GT34" s="178"/>
      <c r="GU34" s="144">
        <f>DailyJul!B33-DailyJul!N33-DailyJul!V33-DailyJul!Y33-DailyJul!Z33-DailyJul!AA33-DailyJul!AB33-DailyJul!AC33-DailyJul!AD33-DailyJul!AE33-DailyJul!AK33-DailyJul!AO33-DailyJul!AS33-DailyJul!AY33-DailyJul!BD33+DailyJul!BU33-DailyJul!BG33-DailyJul!BT33-DailyJul!AF33-DailyJul!AG33</f>
        <v>-5.9999986871844158E-2</v>
      </c>
      <c r="GV34" s="59">
        <v>4884.99</v>
      </c>
      <c r="GW34" s="60">
        <f t="shared" si="48"/>
        <v>325.666</v>
      </c>
      <c r="GX34" s="61">
        <v>325.67</v>
      </c>
      <c r="GY34" s="140"/>
      <c r="GZ34" s="62"/>
      <c r="HA34" s="62"/>
      <c r="HB34" s="74"/>
      <c r="HC34" s="62"/>
      <c r="HD34" s="74"/>
      <c r="HE34" s="24">
        <f t="shared" si="49"/>
        <v>0</v>
      </c>
      <c r="HG34" s="213">
        <v>28</v>
      </c>
      <c r="HH34" s="16">
        <v>19068</v>
      </c>
      <c r="HI34" s="16">
        <v>7304.5</v>
      </c>
      <c r="HJ34" s="16">
        <f t="shared" si="50"/>
        <v>158000</v>
      </c>
      <c r="HK34" s="16">
        <v>2.1432000000000002</v>
      </c>
      <c r="HL34" s="16">
        <v>807.23</v>
      </c>
      <c r="HM34" s="16">
        <f t="shared" si="99"/>
        <v>0</v>
      </c>
      <c r="HN34" s="16">
        <v>4902.6000000000004</v>
      </c>
      <c r="HO34" s="16">
        <v>2132.1999999999998</v>
      </c>
      <c r="HP34" s="16">
        <f t="shared" si="52"/>
        <v>43725.000000000364</v>
      </c>
      <c r="HQ34" s="16">
        <v>3705.5</v>
      </c>
      <c r="HR34" s="16">
        <v>1587.5</v>
      </c>
      <c r="HS34" s="16">
        <f t="shared" si="53"/>
        <v>23025.000000000091</v>
      </c>
      <c r="HT34" s="16">
        <v>3484</v>
      </c>
      <c r="HU34" s="16">
        <v>1289.8</v>
      </c>
      <c r="HV34" s="16">
        <f t="shared" si="54"/>
        <v>17125</v>
      </c>
      <c r="HW34" s="16">
        <v>2299.6999999999998</v>
      </c>
      <c r="HX34" s="16">
        <v>998.02</v>
      </c>
      <c r="HY34" s="16">
        <f t="shared" si="55"/>
        <v>26324.999999999818</v>
      </c>
      <c r="HZ34" s="16">
        <v>1260700</v>
      </c>
      <c r="IA34" s="16">
        <v>579650</v>
      </c>
      <c r="IB34" s="16">
        <f t="shared" si="56"/>
        <v>26500</v>
      </c>
      <c r="IC34" s="16">
        <v>719.8</v>
      </c>
      <c r="ID34" s="16">
        <v>232.78</v>
      </c>
      <c r="IE34" s="16">
        <f t="shared" si="79"/>
        <v>0</v>
      </c>
      <c r="IF34" s="16"/>
      <c r="IG34" s="16"/>
      <c r="IH34" s="128">
        <f t="shared" si="57"/>
        <v>21300</v>
      </c>
      <c r="II34" s="211">
        <f t="shared" si="123"/>
        <v>-2.7648638933897018E-10</v>
      </c>
      <c r="IJ34" s="16"/>
      <c r="IK34" s="16"/>
      <c r="IL34" s="16">
        <f t="shared" si="100"/>
        <v>0</v>
      </c>
      <c r="IM34" s="16"/>
      <c r="IN34" s="16"/>
      <c r="IO34" s="16">
        <f t="shared" si="101"/>
        <v>0</v>
      </c>
      <c r="IP34" s="16"/>
      <c r="IQ34" s="16"/>
      <c r="IR34" s="16">
        <f t="shared" si="102"/>
        <v>0</v>
      </c>
      <c r="IS34" s="16"/>
      <c r="IT34" s="16"/>
      <c r="IU34" s="16">
        <f t="shared" si="103"/>
        <v>0</v>
      </c>
      <c r="IV34" s="16"/>
      <c r="IW34" s="16"/>
      <c r="IX34" s="16">
        <f t="shared" si="104"/>
        <v>0</v>
      </c>
      <c r="IY34" s="16"/>
      <c r="IZ34" s="16"/>
      <c r="JA34" s="16">
        <f t="shared" si="105"/>
        <v>0</v>
      </c>
      <c r="JB34" s="16"/>
      <c r="JC34" s="16"/>
      <c r="JD34" s="16">
        <f t="shared" si="106"/>
        <v>0</v>
      </c>
      <c r="JE34" s="16"/>
      <c r="JF34" s="16"/>
      <c r="JG34" s="16">
        <f t="shared" si="107"/>
        <v>0</v>
      </c>
      <c r="JH34" s="16"/>
      <c r="JI34" s="16"/>
      <c r="JJ34" s="16">
        <f t="shared" si="108"/>
        <v>0</v>
      </c>
      <c r="JK34" s="16"/>
      <c r="JL34" s="16"/>
      <c r="JM34" s="16">
        <f t="shared" si="109"/>
        <v>0</v>
      </c>
      <c r="JN34" s="16"/>
      <c r="JO34" s="16"/>
      <c r="JP34" s="16">
        <f t="shared" si="110"/>
        <v>0</v>
      </c>
      <c r="JQ34" s="16"/>
      <c r="JR34" s="16"/>
      <c r="JS34" s="16">
        <f t="shared" si="111"/>
        <v>0</v>
      </c>
      <c r="JT34" s="16"/>
      <c r="JU34" s="16"/>
      <c r="JV34" s="16">
        <f t="shared" si="112"/>
        <v>0</v>
      </c>
      <c r="JW34" s="16"/>
      <c r="JX34" s="16"/>
      <c r="JY34" s="16">
        <f t="shared" si="113"/>
        <v>0</v>
      </c>
      <c r="JZ34" s="16"/>
      <c r="KA34" s="16"/>
      <c r="KB34" s="16">
        <f t="shared" si="114"/>
        <v>0</v>
      </c>
      <c r="KC34" s="16"/>
      <c r="KD34" s="16"/>
      <c r="KE34" s="16">
        <f t="shared" si="115"/>
        <v>0</v>
      </c>
      <c r="KG34" s="151">
        <f t="shared" si="59"/>
        <v>70225.000000000087</v>
      </c>
    </row>
    <row r="35" spans="1:293" x14ac:dyDescent="0.25">
      <c r="A35" s="35">
        <v>29</v>
      </c>
      <c r="B35" s="38">
        <v>5050.3</v>
      </c>
      <c r="C35" s="38">
        <f t="shared" si="1"/>
        <v>11.380000000000109</v>
      </c>
      <c r="D35" s="38">
        <f t="shared" si="2"/>
        <v>364160.00000000349</v>
      </c>
      <c r="E35" s="38">
        <v>1014.22</v>
      </c>
      <c r="F35" s="38">
        <f t="shared" si="3"/>
        <v>73920.000000001892</v>
      </c>
      <c r="G35" s="38">
        <f t="shared" si="4"/>
        <v>438080.00000000536</v>
      </c>
      <c r="H35" s="37"/>
      <c r="I35" s="39"/>
      <c r="J35" s="42"/>
      <c r="K35" s="37">
        <f>IF(J35&lt;=0,0,(J35/SQRT(J35^2+(I35-I34)^2)))</f>
        <v>0</v>
      </c>
      <c r="L35" s="40">
        <v>16029800</v>
      </c>
      <c r="M35" s="40"/>
      <c r="N35" s="37">
        <f t="shared" si="81"/>
        <v>429700</v>
      </c>
      <c r="O35" s="37">
        <v>12211.8</v>
      </c>
      <c r="P35" s="37"/>
      <c r="Q35" s="37">
        <f t="shared" si="118"/>
        <v>16899.999999997817</v>
      </c>
      <c r="R35" s="37">
        <f>IF(Q35&lt;=0,0,(Q35/SQRT(Q35^2+(P35-P34)^2)))</f>
        <v>1</v>
      </c>
      <c r="S35" s="37">
        <v>11255667.880000001</v>
      </c>
      <c r="T35" s="37">
        <f t="shared" si="6"/>
        <v>314.16999999992549</v>
      </c>
      <c r="U35" s="37">
        <v>1523790.61</v>
      </c>
      <c r="V35" s="37">
        <f t="shared" si="7"/>
        <v>0</v>
      </c>
      <c r="W35" s="37">
        <v>4373.2</v>
      </c>
      <c r="X35" s="37">
        <f t="shared" si="95"/>
        <v>16485.829999997892</v>
      </c>
      <c r="Y35" s="183"/>
      <c r="Z35" s="183"/>
      <c r="AA35" s="37">
        <v>792600</v>
      </c>
      <c r="AB35" s="37">
        <f t="shared" si="8"/>
        <v>100</v>
      </c>
      <c r="AC35" s="37">
        <v>4550.6000000000004</v>
      </c>
      <c r="AD35" s="37"/>
      <c r="AE35" s="37">
        <f t="shared" si="120"/>
        <v>7500.0000000009095</v>
      </c>
      <c r="AF35" s="37">
        <f>IF(AE35&lt;=0,0,(AE35/SQRT(AE35^2+(AD35-AD34)^2)))</f>
        <v>1</v>
      </c>
      <c r="AG35" s="37">
        <v>9864</v>
      </c>
      <c r="AH35" s="37"/>
      <c r="AI35" s="37">
        <f t="shared" si="10"/>
        <v>13839.249999999272</v>
      </c>
      <c r="AJ35" s="37">
        <f t="shared" si="11"/>
        <v>1</v>
      </c>
      <c r="AK35" s="37">
        <f t="shared" si="12"/>
        <v>38139.249999997999</v>
      </c>
      <c r="AL35" s="42">
        <v>11605.6</v>
      </c>
      <c r="AM35" s="42"/>
      <c r="AN35" s="37">
        <f t="shared" si="60"/>
        <v>649.25000000061391</v>
      </c>
      <c r="AO35" s="37">
        <f>IF(AN35&lt;=0,0,(AN35/SQRT(AN35^2+(AM35-AM34)^2)))</f>
        <v>1</v>
      </c>
      <c r="AP35" s="37">
        <v>9068.2000000000007</v>
      </c>
      <c r="AQ35" s="37"/>
      <c r="AR35" s="37">
        <f t="shared" si="13"/>
        <v>8099.9999999985448</v>
      </c>
      <c r="AS35" s="37">
        <f>IF(AR35&lt;=0,0,(AR35/SQRT(AR35^2+(AQ35-AQ34)^2)))</f>
        <v>1</v>
      </c>
      <c r="AT35" s="183"/>
      <c r="AU35" s="183"/>
      <c r="AV35" s="183"/>
      <c r="AW35" s="183"/>
      <c r="AX35" s="37">
        <v>511700</v>
      </c>
      <c r="AY35" s="37"/>
      <c r="AZ35" s="37">
        <f t="shared" si="14"/>
        <v>470</v>
      </c>
      <c r="BA35" s="37">
        <v>189400</v>
      </c>
      <c r="BB35" s="37"/>
      <c r="BC35" s="37">
        <f t="shared" si="15"/>
        <v>940</v>
      </c>
      <c r="BD35" s="37">
        <f>AN35+AR35+AZ35+BC35</f>
        <v>10159.24999999916</v>
      </c>
      <c r="BE35" s="43">
        <v>2027.1</v>
      </c>
      <c r="BF35" s="43">
        <v>1130.5999999999999</v>
      </c>
      <c r="BG35" s="37">
        <f t="shared" si="16"/>
        <v>1599.9999999999091</v>
      </c>
      <c r="BH35" s="44">
        <v>9530.7000000000007</v>
      </c>
      <c r="BI35" s="44">
        <v>6145.5</v>
      </c>
      <c r="BJ35" s="37">
        <f t="shared" si="17"/>
        <v>9800.0000000010914</v>
      </c>
      <c r="BK35" s="40">
        <v>1838210</v>
      </c>
      <c r="BL35" s="40">
        <f t="shared" si="87"/>
        <v>2840</v>
      </c>
      <c r="BM35" s="40">
        <v>915.6</v>
      </c>
      <c r="BN35" s="37">
        <f t="shared" si="18"/>
        <v>649.99999999997726</v>
      </c>
      <c r="BO35" s="186"/>
      <c r="BP35" s="183">
        <f t="shared" si="19"/>
        <v>0</v>
      </c>
      <c r="BQ35" s="40">
        <v>863.7</v>
      </c>
      <c r="BR35" s="37">
        <f t="shared" si="61"/>
        <v>600.00000000013642</v>
      </c>
      <c r="BS35" s="37">
        <v>111484.39</v>
      </c>
      <c r="BT35" s="37">
        <f t="shared" si="20"/>
        <v>297.19000000000233</v>
      </c>
      <c r="BU35" s="42">
        <v>3253702</v>
      </c>
      <c r="BV35" s="42"/>
      <c r="BW35" s="37">
        <f t="shared" si="21"/>
        <v>5855</v>
      </c>
      <c r="BX35" s="37">
        <f>IF(BW35&lt;=0,0,(BW35/SQRT(BW35^2+(BV35-BV34)^2)))</f>
        <v>1</v>
      </c>
      <c r="BY35" s="37">
        <v>387.97750000000002</v>
      </c>
      <c r="BZ35" s="37"/>
      <c r="CA35" s="37">
        <f t="shared" si="116"/>
        <v>1169.399999999996</v>
      </c>
      <c r="CB35" s="37">
        <f t="shared" si="62"/>
        <v>1</v>
      </c>
      <c r="CC35" s="37">
        <v>749097.1</v>
      </c>
      <c r="CD35" s="37">
        <f t="shared" si="23"/>
        <v>0</v>
      </c>
      <c r="CE35" s="41">
        <v>1573621</v>
      </c>
      <c r="CF35" s="37">
        <f t="shared" si="24"/>
        <v>11102</v>
      </c>
      <c r="CG35" s="37">
        <v>72810.600000000006</v>
      </c>
      <c r="CH35" s="37">
        <f t="shared" si="63"/>
        <v>0</v>
      </c>
      <c r="CI35" s="40">
        <v>13843.81</v>
      </c>
      <c r="CJ35" s="40"/>
      <c r="CK35" s="37">
        <f t="shared" si="64"/>
        <v>16279.849999999858</v>
      </c>
      <c r="CL35" s="37">
        <f t="shared" si="25"/>
        <v>1</v>
      </c>
      <c r="CM35" s="37">
        <v>3982.1909999999998</v>
      </c>
      <c r="CN35" s="37"/>
      <c r="CO35" s="37">
        <f t="shared" si="26"/>
        <v>5354.2499999995998</v>
      </c>
      <c r="CP35" s="37">
        <f>IF(CO35&lt;=0,0,(CO35/SQRT(CO35^2+(CN35-CN34)^2)))</f>
        <v>1</v>
      </c>
      <c r="CQ35" s="39">
        <v>570132.4</v>
      </c>
      <c r="CR35" s="39"/>
      <c r="CS35" s="37">
        <f t="shared" si="65"/>
        <v>4176.4899999999907</v>
      </c>
      <c r="CT35" s="37">
        <f t="shared" si="66"/>
        <v>1</v>
      </c>
      <c r="CU35" s="37">
        <v>4253713</v>
      </c>
      <c r="CV35" s="37"/>
      <c r="CW35" s="38">
        <f t="shared" si="27"/>
        <v>20326</v>
      </c>
      <c r="CX35" s="37">
        <f t="shared" si="90"/>
        <v>1</v>
      </c>
      <c r="CY35" s="37">
        <v>2265515</v>
      </c>
      <c r="CZ35" s="37"/>
      <c r="DA35" s="37">
        <f t="shared" si="122"/>
        <v>12806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0"/>
        <v>-64797.589999999451</v>
      </c>
      <c r="DH35" s="37">
        <f t="shared" si="31"/>
        <v>469439.2499999979</v>
      </c>
      <c r="DI35" s="46"/>
      <c r="DJ35" s="46"/>
      <c r="DK35" s="46"/>
      <c r="DL35" s="47"/>
      <c r="DM35" s="37"/>
      <c r="DN35" s="37"/>
      <c r="DO35" s="37"/>
      <c r="DP35" s="37"/>
      <c r="DQ35" s="50">
        <v>4130600</v>
      </c>
      <c r="DR35" s="49">
        <f t="shared" si="67"/>
        <v>10400</v>
      </c>
      <c r="DS35" s="50">
        <v>4997400</v>
      </c>
      <c r="DT35" s="49">
        <f t="shared" si="68"/>
        <v>23600</v>
      </c>
      <c r="DU35" s="51">
        <v>8267.2000000000007</v>
      </c>
      <c r="DV35" s="51">
        <v>4658.8</v>
      </c>
      <c r="DW35" s="37">
        <f t="shared" si="92"/>
        <v>4500</v>
      </c>
      <c r="DX35" s="52">
        <v>13650</v>
      </c>
      <c r="DY35" s="52">
        <v>8581.6</v>
      </c>
      <c r="DZ35" s="37">
        <f t="shared" si="32"/>
        <v>8039.25</v>
      </c>
      <c r="EA35" s="49">
        <v>31544</v>
      </c>
      <c r="EB35" s="49">
        <v>21.738</v>
      </c>
      <c r="EC35" s="37">
        <f t="shared" si="33"/>
        <v>24199.25</v>
      </c>
      <c r="ED35" s="53">
        <f t="shared" si="34"/>
        <v>36738.5</v>
      </c>
      <c r="EE35" s="49">
        <v>47232</v>
      </c>
      <c r="EF35" s="49">
        <v>30.989000000000001</v>
      </c>
      <c r="EG35" s="37">
        <f t="shared" si="35"/>
        <v>30199.25</v>
      </c>
      <c r="EH35" s="51">
        <v>13837</v>
      </c>
      <c r="EI35" s="51">
        <v>1.9817</v>
      </c>
      <c r="EJ35" s="37">
        <f t="shared" si="36"/>
        <v>12039.25</v>
      </c>
      <c r="EK35" s="37">
        <v>841.58</v>
      </c>
      <c r="EL35" s="40">
        <v>1206.3</v>
      </c>
      <c r="EM35" s="37">
        <f t="shared" si="69"/>
        <v>710.00000000003638</v>
      </c>
      <c r="EN35" s="54">
        <f t="shared" si="70"/>
        <v>42948.500000000036</v>
      </c>
      <c r="EO35" s="55">
        <v>13483</v>
      </c>
      <c r="EP35" s="48">
        <v>4715.1000000000004</v>
      </c>
      <c r="EQ35" s="37">
        <f t="shared" si="71"/>
        <v>6844.2500000000073</v>
      </c>
      <c r="ER35" s="48">
        <v>10381</v>
      </c>
      <c r="ES35" s="48">
        <v>4285.3</v>
      </c>
      <c r="ET35" s="49">
        <f t="shared" si="98"/>
        <v>18000</v>
      </c>
      <c r="EU35" s="48">
        <v>4187.5</v>
      </c>
      <c r="EV35" s="48">
        <v>1487.4</v>
      </c>
      <c r="EW35" s="49">
        <f t="shared" si="38"/>
        <v>9839.2500000001819</v>
      </c>
      <c r="EX35" s="48">
        <v>14275</v>
      </c>
      <c r="EY35" s="48">
        <v>1.7126999999999999</v>
      </c>
      <c r="EZ35" s="37">
        <f t="shared" si="39"/>
        <v>11039.25</v>
      </c>
      <c r="FA35" s="48">
        <f t="shared" si="72"/>
        <v>-22341.750000000189</v>
      </c>
      <c r="FB35" s="48">
        <v>37970428</v>
      </c>
      <c r="FC35" s="49">
        <f t="shared" si="93"/>
        <v>23381</v>
      </c>
      <c r="FD35" s="48">
        <f t="shared" si="73"/>
        <v>47422.750000000466</v>
      </c>
      <c r="FE35" s="48">
        <v>17630</v>
      </c>
      <c r="FF35" s="48">
        <v>6224.8</v>
      </c>
      <c r="FG35" s="37">
        <f t="shared" si="74"/>
        <v>8969.2499999999927</v>
      </c>
      <c r="FH35" s="48">
        <v>9885.6</v>
      </c>
      <c r="FI35" s="48">
        <v>3.8142</v>
      </c>
      <c r="FJ35" s="49">
        <f t="shared" si="40"/>
        <v>17374.250000000364</v>
      </c>
      <c r="FK35" s="48"/>
      <c r="FL35" s="58">
        <v>-265</v>
      </c>
      <c r="FM35" s="48">
        <f t="shared" si="94"/>
        <v>-39.250000000118838</v>
      </c>
      <c r="FN35" s="48">
        <v>17419</v>
      </c>
      <c r="FO35" s="48">
        <v>0.94799999999999995</v>
      </c>
      <c r="FP35" s="37">
        <f t="shared" si="75"/>
        <v>11774.25</v>
      </c>
      <c r="FQ35" s="48">
        <v>61365</v>
      </c>
      <c r="FR35" s="48">
        <v>14.917999999999999</v>
      </c>
      <c r="FS35" s="37">
        <f>IF((FQ35-FQ34)*1000&lt;=0,0,(FQ35-FQ34)*1000)</f>
        <v>38000</v>
      </c>
      <c r="FT35" s="48">
        <f t="shared" si="76"/>
        <v>-117.75000000035652</v>
      </c>
      <c r="FU35" s="48">
        <f t="shared" si="77"/>
        <v>38117.750000000357</v>
      </c>
      <c r="FV35" s="44">
        <v>6057000</v>
      </c>
      <c r="FW35" s="44">
        <v>1862600</v>
      </c>
      <c r="FX35" s="37">
        <f t="shared" si="42"/>
        <v>37000</v>
      </c>
      <c r="FY35" s="56">
        <v>3829.9</v>
      </c>
      <c r="FZ35" s="56">
        <v>2.2115</v>
      </c>
      <c r="GA35" s="37">
        <f t="shared" si="43"/>
        <v>8149.9999999999091</v>
      </c>
      <c r="GB35" s="56">
        <v>866.39</v>
      </c>
      <c r="GC35" s="56">
        <v>972.35</v>
      </c>
      <c r="GD35" s="37">
        <f t="shared" si="44"/>
        <v>980.00000000001819</v>
      </c>
      <c r="GE35" s="56">
        <v>10700</v>
      </c>
      <c r="GF35" s="56">
        <v>3.8525999999999998</v>
      </c>
      <c r="GG35" s="37">
        <f t="shared" si="45"/>
        <v>10299.999999999727</v>
      </c>
      <c r="GH35" s="48">
        <v>2073.9</v>
      </c>
      <c r="GI35" s="56">
        <v>1785.9</v>
      </c>
      <c r="GJ35" s="38">
        <f t="shared" si="46"/>
        <v>1700.0000000002728</v>
      </c>
      <c r="GK35" s="56">
        <v>1521.2</v>
      </c>
      <c r="GL35" s="44">
        <v>1142.4000000000001</v>
      </c>
      <c r="GM35" s="38">
        <f t="shared" si="47"/>
        <v>0</v>
      </c>
      <c r="GN35" s="57">
        <v>243990</v>
      </c>
      <c r="GO35" s="57">
        <v>218050</v>
      </c>
      <c r="GP35" s="38">
        <f t="shared" si="97"/>
        <v>0</v>
      </c>
      <c r="GQ35" s="38">
        <v>292450</v>
      </c>
      <c r="GR35" s="38">
        <v>286550</v>
      </c>
      <c r="GS35" s="38">
        <f t="shared" si="78"/>
        <v>450</v>
      </c>
      <c r="GT35" s="178"/>
      <c r="GU35" s="144">
        <f>DailyJul!B34-DailyJul!N34-DailyJul!V34-DailyJul!Y34-DailyJul!Z34-DailyJul!AA34-DailyJul!AB34-DailyJul!AC34-DailyJul!AD34-DailyJul!AE34-DailyJul!AK34-DailyJul!AO34-DailyJul!AS34-DailyJul!AY34-DailyJul!BD34+DailyJul!BU34-DailyJul!BG34-DailyJul!BT34-DailyJul!AF34-DailyJul!AG34</f>
        <v>1.0000007168855518E-2</v>
      </c>
      <c r="GV35" s="59">
        <v>588.76</v>
      </c>
      <c r="GW35" s="60">
        <f t="shared" si="48"/>
        <v>39.250666666666667</v>
      </c>
      <c r="GX35" s="61">
        <v>39.25</v>
      </c>
      <c r="GY35" s="140"/>
      <c r="GZ35" s="62"/>
      <c r="HA35" s="62"/>
      <c r="HB35" s="74"/>
      <c r="HC35" s="62"/>
      <c r="HD35" s="74"/>
      <c r="HE35" s="24">
        <f t="shared" si="49"/>
        <v>0</v>
      </c>
      <c r="HG35" s="213">
        <v>29</v>
      </c>
      <c r="HH35" s="16">
        <v>19226</v>
      </c>
      <c r="HI35" s="16">
        <v>7364</v>
      </c>
      <c r="HJ35" s="16">
        <f t="shared" si="50"/>
        <v>158000</v>
      </c>
      <c r="HK35" s="16">
        <v>2.1432000000000002</v>
      </c>
      <c r="HL35" s="16">
        <v>807.23</v>
      </c>
      <c r="HM35" s="16">
        <f t="shared" si="99"/>
        <v>0</v>
      </c>
      <c r="HN35" s="16">
        <v>4944.5</v>
      </c>
      <c r="HO35" s="16">
        <v>2148.8000000000002</v>
      </c>
      <c r="HP35" s="16">
        <f t="shared" si="52"/>
        <v>41499.999999999636</v>
      </c>
      <c r="HQ35" s="16">
        <v>3728.7</v>
      </c>
      <c r="HR35" s="16">
        <v>1596.8</v>
      </c>
      <c r="HS35" s="16">
        <f t="shared" si="53"/>
        <v>22799.999999999818</v>
      </c>
      <c r="HT35" s="16">
        <v>3504</v>
      </c>
      <c r="HU35" s="16">
        <v>1296.9000000000001</v>
      </c>
      <c r="HV35" s="16">
        <f t="shared" si="54"/>
        <v>19600</v>
      </c>
      <c r="HW35" s="16">
        <v>2324.9</v>
      </c>
      <c r="HX35" s="16">
        <v>1008.2</v>
      </c>
      <c r="HY35" s="16">
        <f t="shared" si="55"/>
        <v>24800.000000000273</v>
      </c>
      <c r="HZ35" s="16">
        <v>1286400</v>
      </c>
      <c r="IA35" s="16">
        <v>590260</v>
      </c>
      <c r="IB35" s="16">
        <f t="shared" si="56"/>
        <v>25700</v>
      </c>
      <c r="IC35" s="16">
        <v>719.8</v>
      </c>
      <c r="ID35" s="16">
        <v>232.78</v>
      </c>
      <c r="IE35" s="16">
        <f t="shared" si="79"/>
        <v>0</v>
      </c>
      <c r="IF35" s="16"/>
      <c r="IG35" s="16"/>
      <c r="IH35" s="128">
        <f t="shared" si="57"/>
        <v>23600</v>
      </c>
      <c r="II35" s="211">
        <f t="shared" si="123"/>
        <v>2.6193447411060333E-10</v>
      </c>
      <c r="IJ35" s="16"/>
      <c r="IK35" s="16"/>
      <c r="IL35" s="16">
        <f t="shared" si="100"/>
        <v>0</v>
      </c>
      <c r="IM35" s="16"/>
      <c r="IN35" s="16"/>
      <c r="IO35" s="16">
        <f t="shared" si="101"/>
        <v>0</v>
      </c>
      <c r="IP35" s="16"/>
      <c r="IQ35" s="16"/>
      <c r="IR35" s="16">
        <f t="shared" si="102"/>
        <v>0</v>
      </c>
      <c r="IS35" s="16"/>
      <c r="IT35" s="16"/>
      <c r="IU35" s="16">
        <f t="shared" si="103"/>
        <v>0</v>
      </c>
      <c r="IV35" s="16"/>
      <c r="IW35" s="16"/>
      <c r="IX35" s="16">
        <f t="shared" si="104"/>
        <v>0</v>
      </c>
      <c r="IY35" s="16"/>
      <c r="IZ35" s="16"/>
      <c r="JA35" s="16">
        <f t="shared" si="105"/>
        <v>0</v>
      </c>
      <c r="JB35" s="16"/>
      <c r="JC35" s="16"/>
      <c r="JD35" s="16">
        <f t="shared" si="106"/>
        <v>0</v>
      </c>
      <c r="JE35" s="16"/>
      <c r="JF35" s="16"/>
      <c r="JG35" s="16">
        <f t="shared" si="107"/>
        <v>0</v>
      </c>
      <c r="JH35" s="16"/>
      <c r="JI35" s="16"/>
      <c r="JJ35" s="16">
        <f t="shared" si="108"/>
        <v>0</v>
      </c>
      <c r="JK35" s="16"/>
      <c r="JL35" s="16"/>
      <c r="JM35" s="16">
        <f t="shared" si="109"/>
        <v>0</v>
      </c>
      <c r="JN35" s="16"/>
      <c r="JO35" s="16"/>
      <c r="JP35" s="16">
        <f t="shared" si="110"/>
        <v>0</v>
      </c>
      <c r="JQ35" s="16"/>
      <c r="JR35" s="16"/>
      <c r="JS35" s="16">
        <f t="shared" si="111"/>
        <v>0</v>
      </c>
      <c r="JT35" s="16"/>
      <c r="JU35" s="16"/>
      <c r="JV35" s="16">
        <f t="shared" si="112"/>
        <v>0</v>
      </c>
      <c r="JW35" s="16"/>
      <c r="JX35" s="16"/>
      <c r="JY35" s="16">
        <f t="shared" si="113"/>
        <v>0</v>
      </c>
      <c r="JZ35" s="16"/>
      <c r="KA35" s="16"/>
      <c r="KB35" s="16">
        <f t="shared" si="114"/>
        <v>0</v>
      </c>
      <c r="KC35" s="16"/>
      <c r="KD35" s="16"/>
      <c r="KE35" s="16">
        <f t="shared" si="115"/>
        <v>0</v>
      </c>
      <c r="KG35" s="151">
        <f t="shared" si="59"/>
        <v>67199.999999999898</v>
      </c>
    </row>
    <row r="36" spans="1:293" x14ac:dyDescent="0.25">
      <c r="A36" s="35">
        <f t="shared" si="0"/>
        <v>30</v>
      </c>
      <c r="B36" s="38">
        <v>5062.2700000000004</v>
      </c>
      <c r="C36" s="38">
        <f t="shared" si="1"/>
        <v>11.970000000000255</v>
      </c>
      <c r="D36" s="38">
        <f t="shared" si="2"/>
        <v>383040.00000000815</v>
      </c>
      <c r="E36" s="38">
        <v>1016.59</v>
      </c>
      <c r="F36" s="38">
        <f t="shared" si="3"/>
        <v>75840.000000000146</v>
      </c>
      <c r="G36" s="38">
        <f t="shared" si="4"/>
        <v>458880.00000000827</v>
      </c>
      <c r="H36" s="37"/>
      <c r="I36" s="39"/>
      <c r="J36" s="42"/>
      <c r="K36" s="37">
        <f>IF(J36&lt;=0,0,(J36/SQRT(J36^2+(I36-I35)^2)))</f>
        <v>0</v>
      </c>
      <c r="L36" s="40">
        <v>16074900</v>
      </c>
      <c r="M36" s="40"/>
      <c r="N36" s="37">
        <f t="shared" si="81"/>
        <v>451000</v>
      </c>
      <c r="O36" s="37">
        <v>12230</v>
      </c>
      <c r="P36" s="37"/>
      <c r="Q36" s="37">
        <f t="shared" si="118"/>
        <v>18200.000000000728</v>
      </c>
      <c r="R36" s="37">
        <f>IF(Q36&lt;=0,0,(Q36/SQRT(Q36^2+(P36-P35)^2)))</f>
        <v>1</v>
      </c>
      <c r="S36" s="37">
        <v>11255988.49</v>
      </c>
      <c r="T36" s="37">
        <f t="shared" si="6"/>
        <v>320.60999999940395</v>
      </c>
      <c r="U36" s="37">
        <v>1523790.61</v>
      </c>
      <c r="V36" s="37">
        <f>IF((U36-U35)&lt;=0,0,(U36-U35))</f>
        <v>0</v>
      </c>
      <c r="W36" s="37">
        <v>4379.8</v>
      </c>
      <c r="X36" s="37">
        <f t="shared" si="95"/>
        <v>17779.390000001324</v>
      </c>
      <c r="Y36" s="183"/>
      <c r="Z36" s="183"/>
      <c r="AA36" s="37">
        <v>792700</v>
      </c>
      <c r="AB36" s="37">
        <f t="shared" si="8"/>
        <v>100</v>
      </c>
      <c r="AC36" s="37">
        <v>4558.6000000000004</v>
      </c>
      <c r="AD36" s="37"/>
      <c r="AE36" s="37">
        <f t="shared" si="120"/>
        <v>8000</v>
      </c>
      <c r="AF36" s="37">
        <f>IF(AE36&lt;=0,0,(AE36/SQRT(AE36^2+(AD36-AD35)^2)))</f>
        <v>1</v>
      </c>
      <c r="AG36" s="37">
        <v>9878.7999999999993</v>
      </c>
      <c r="AH36" s="37"/>
      <c r="AI36" s="37">
        <f t="shared" si="10"/>
        <v>15458.449999999273</v>
      </c>
      <c r="AJ36" s="37">
        <f t="shared" si="11"/>
        <v>1</v>
      </c>
      <c r="AK36" s="37">
        <f t="shared" si="12"/>
        <v>41558.449999999997</v>
      </c>
      <c r="AL36" s="42">
        <v>11616.1</v>
      </c>
      <c r="AM36" s="42"/>
      <c r="AN36" s="37">
        <f t="shared" si="60"/>
        <v>6358.4500000000689</v>
      </c>
      <c r="AO36" s="37">
        <f>IF(AN36&lt;=0,0,(AN36/SQRT(AN36^2+(AM36-AM35)^2)))</f>
        <v>1</v>
      </c>
      <c r="AP36" s="37">
        <v>9076</v>
      </c>
      <c r="AQ36" s="37"/>
      <c r="AR36" s="37">
        <f t="shared" si="13"/>
        <v>7799.9999999992724</v>
      </c>
      <c r="AS36" s="37">
        <f>IF(AR36&lt;=0,0,(AR36/SQRT(AR36^2+(AQ36-AQ35)^2)))</f>
        <v>1</v>
      </c>
      <c r="AT36" s="183"/>
      <c r="AU36" s="183"/>
      <c r="AV36" s="183"/>
      <c r="AW36" s="183"/>
      <c r="AX36" s="37">
        <v>512110</v>
      </c>
      <c r="AY36" s="37"/>
      <c r="AZ36" s="37">
        <f t="shared" si="14"/>
        <v>410</v>
      </c>
      <c r="BA36" s="37">
        <v>189950</v>
      </c>
      <c r="BB36" s="37"/>
      <c r="BC36" s="37">
        <f t="shared" si="15"/>
        <v>550</v>
      </c>
      <c r="BD36" s="37">
        <f>AN36+AR36+AZ36+BC36</f>
        <v>15118.449999999342</v>
      </c>
      <c r="BE36" s="43">
        <v>2028.7</v>
      </c>
      <c r="BF36" s="43">
        <v>1131.7</v>
      </c>
      <c r="BG36" s="37">
        <f t="shared" si="16"/>
        <v>1600.0000000001364</v>
      </c>
      <c r="BH36" s="44">
        <v>9540.5</v>
      </c>
      <c r="BI36" s="44">
        <v>6152</v>
      </c>
      <c r="BJ36" s="37">
        <f t="shared" si="17"/>
        <v>9799.9999999992724</v>
      </c>
      <c r="BK36" s="40">
        <v>1842310</v>
      </c>
      <c r="BL36" s="40">
        <f t="shared" si="87"/>
        <v>4100</v>
      </c>
      <c r="BM36" s="40">
        <v>916.3</v>
      </c>
      <c r="BN36" s="37">
        <f t="shared" si="18"/>
        <v>699.99999999993179</v>
      </c>
      <c r="BO36" s="186"/>
      <c r="BP36" s="183">
        <f t="shared" si="19"/>
        <v>0</v>
      </c>
      <c r="BQ36" s="40">
        <v>863.4</v>
      </c>
      <c r="BR36" s="37">
        <f t="shared" si="61"/>
        <v>0</v>
      </c>
      <c r="BS36" s="37">
        <v>111708.83</v>
      </c>
      <c r="BT36" s="37">
        <f t="shared" si="20"/>
        <v>224.44000000000233</v>
      </c>
      <c r="BU36" s="42">
        <v>3261119</v>
      </c>
      <c r="BV36" s="42"/>
      <c r="BW36" s="37">
        <f t="shared" si="21"/>
        <v>7417</v>
      </c>
      <c r="BX36" s="37">
        <f>IF(BW36&lt;=0,0,(BW36/SQRT(BW36^2+(BV36-BV35)^2)))</f>
        <v>1</v>
      </c>
      <c r="BY36" s="43">
        <v>388.678</v>
      </c>
      <c r="BZ36" s="43"/>
      <c r="CA36" s="37">
        <f t="shared" si="116"/>
        <v>700.49999999997681</v>
      </c>
      <c r="CB36" s="37">
        <f t="shared" si="62"/>
        <v>1</v>
      </c>
      <c r="CC36" s="37">
        <v>749097.1</v>
      </c>
      <c r="CD36" s="37">
        <f t="shared" si="23"/>
        <v>0</v>
      </c>
      <c r="CE36" s="41">
        <v>1581039</v>
      </c>
      <c r="CF36" s="37">
        <f t="shared" si="24"/>
        <v>7418</v>
      </c>
      <c r="CG36" s="37">
        <v>72810.600000000006</v>
      </c>
      <c r="CH36" s="37">
        <f t="shared" si="63"/>
        <v>0</v>
      </c>
      <c r="CI36" s="40">
        <v>13859.22</v>
      </c>
      <c r="CJ36" s="40"/>
      <c r="CK36" s="37">
        <f t="shared" si="64"/>
        <v>15367.949999999879</v>
      </c>
      <c r="CL36" s="37">
        <f t="shared" si="25"/>
        <v>1</v>
      </c>
      <c r="CM36" s="37">
        <v>3988.038</v>
      </c>
      <c r="CN36" s="37"/>
      <c r="CO36" s="37">
        <f t="shared" si="26"/>
        <v>6505.4500000002072</v>
      </c>
      <c r="CP36" s="37">
        <f>IF(CO36&lt;=0,0,(CO36/SQRT(CO36^2+(CN36-CN35)^2)))</f>
        <v>1</v>
      </c>
      <c r="CQ36" s="39">
        <v>575635.6</v>
      </c>
      <c r="CR36" s="39"/>
      <c r="CS36" s="37">
        <f t="shared" si="65"/>
        <v>6161.6499999999533</v>
      </c>
      <c r="CT36" s="37">
        <f t="shared" si="66"/>
        <v>1</v>
      </c>
      <c r="CU36" s="37">
        <v>4273986</v>
      </c>
      <c r="CV36" s="41"/>
      <c r="CW36" s="38">
        <f t="shared" si="27"/>
        <v>20273</v>
      </c>
      <c r="CX36" s="37">
        <f t="shared" si="90"/>
        <v>1</v>
      </c>
      <c r="CY36" s="37">
        <v>2277612</v>
      </c>
      <c r="CZ36" s="37"/>
      <c r="DA36" s="37">
        <f t="shared" si="122"/>
        <v>12097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0"/>
        <v>-67822.050000000047</v>
      </c>
      <c r="DH36" s="37">
        <f t="shared" si="31"/>
        <v>494158.45000000013</v>
      </c>
      <c r="DI36" s="46"/>
      <c r="DJ36" s="46"/>
      <c r="DK36" s="47"/>
      <c r="DL36" s="47"/>
      <c r="DM36" s="37"/>
      <c r="DN36" s="37"/>
      <c r="DO36" s="37"/>
      <c r="DP36" s="37"/>
      <c r="DQ36" s="50">
        <v>4140300</v>
      </c>
      <c r="DR36" s="49">
        <f t="shared" si="67"/>
        <v>9700</v>
      </c>
      <c r="DS36" s="50">
        <v>5017900</v>
      </c>
      <c r="DT36" s="49">
        <f t="shared" si="68"/>
        <v>20500</v>
      </c>
      <c r="DU36" s="51">
        <v>8271.9</v>
      </c>
      <c r="DV36" s="51">
        <v>4662.2</v>
      </c>
      <c r="DW36" s="37">
        <f t="shared" si="92"/>
        <v>4699.9999999989086</v>
      </c>
      <c r="DX36" s="52">
        <v>13658</v>
      </c>
      <c r="DY36" s="52">
        <v>8584.7999999999993</v>
      </c>
      <c r="DZ36" s="37">
        <f t="shared" si="32"/>
        <v>8658.4500000000007</v>
      </c>
      <c r="EA36" s="49">
        <v>31567</v>
      </c>
      <c r="EB36" s="49">
        <v>21.75</v>
      </c>
      <c r="EC36" s="37">
        <f t="shared" si="33"/>
        <v>25818.45</v>
      </c>
      <c r="ED36" s="53">
        <f t="shared" si="34"/>
        <v>39176.89999999891</v>
      </c>
      <c r="EE36" s="49">
        <v>47261</v>
      </c>
      <c r="EF36" s="49">
        <v>31.010999999999999</v>
      </c>
      <c r="EG36" s="37">
        <f t="shared" si="35"/>
        <v>31818.45</v>
      </c>
      <c r="EH36" s="51">
        <v>13848</v>
      </c>
      <c r="EI36" s="51">
        <v>1.9830000000000001</v>
      </c>
      <c r="EJ36" s="37">
        <f t="shared" si="36"/>
        <v>11658.45</v>
      </c>
      <c r="EK36" s="37">
        <v>842.38</v>
      </c>
      <c r="EL36" s="40">
        <v>1207.7</v>
      </c>
      <c r="EM36" s="37">
        <f t="shared" si="69"/>
        <v>799.99999999995453</v>
      </c>
      <c r="EN36" s="54">
        <f t="shared" si="70"/>
        <v>44276.899999999958</v>
      </c>
      <c r="EO36" s="48">
        <v>13490</v>
      </c>
      <c r="EP36" s="48">
        <v>4717.3999999999996</v>
      </c>
      <c r="EQ36" s="37">
        <f t="shared" si="71"/>
        <v>6593.4500000000025</v>
      </c>
      <c r="ER36" s="48">
        <v>10397</v>
      </c>
      <c r="ES36" s="55">
        <v>4292</v>
      </c>
      <c r="ET36" s="49">
        <f t="shared" si="98"/>
        <v>16000</v>
      </c>
      <c r="EU36" s="48">
        <v>4197.3999999999996</v>
      </c>
      <c r="EV36" s="48">
        <v>1490.9</v>
      </c>
      <c r="EW36" s="49">
        <f t="shared" si="38"/>
        <v>10558.449999999637</v>
      </c>
      <c r="EX36" s="48">
        <v>14286</v>
      </c>
      <c r="EY36" s="48">
        <v>1.7138</v>
      </c>
      <c r="EZ36" s="37">
        <f t="shared" si="39"/>
        <v>11658.45</v>
      </c>
      <c r="FA36" s="48">
        <f t="shared" si="72"/>
        <v>-22453.349999999642</v>
      </c>
      <c r="FB36" s="48">
        <v>37992785</v>
      </c>
      <c r="FC36" s="49">
        <f>IF((FB36-FB35)&lt;=0,0,(FB36-FB35))</f>
        <v>22357</v>
      </c>
      <c r="FD36" s="48">
        <f t="shared" si="73"/>
        <v>46514.949999999641</v>
      </c>
      <c r="FE36" s="153">
        <v>17639</v>
      </c>
      <c r="FF36" s="48">
        <v>6226.4</v>
      </c>
      <c r="FG36" s="37">
        <f t="shared" si="74"/>
        <v>10568.449999999999</v>
      </c>
      <c r="FH36" s="48">
        <v>9903</v>
      </c>
      <c r="FI36" s="48">
        <v>3.8208000000000002</v>
      </c>
      <c r="FJ36" s="49">
        <f t="shared" si="40"/>
        <v>17903.449999999637</v>
      </c>
      <c r="FK36" s="48"/>
      <c r="FL36" s="58">
        <v>-155</v>
      </c>
      <c r="FM36" s="48">
        <f t="shared" si="94"/>
        <v>-658.44999999987829</v>
      </c>
      <c r="FN36" s="48">
        <v>17430</v>
      </c>
      <c r="FO36" s="48">
        <v>0.95</v>
      </c>
      <c r="FP36" s="37">
        <f t="shared" si="75"/>
        <v>11503.45</v>
      </c>
      <c r="FQ36" s="48">
        <v>61403</v>
      </c>
      <c r="FR36" s="48">
        <v>14.928000000000001</v>
      </c>
      <c r="FS36" s="37">
        <f>IF((FQ36-FQ35)*1000&lt;=0,0,(FQ36-FQ35)*1000)</f>
        <v>38000</v>
      </c>
      <c r="FT36" s="48">
        <f t="shared" si="76"/>
        <v>-1975.3499999996347</v>
      </c>
      <c r="FU36" s="48">
        <f t="shared" si="77"/>
        <v>39975.349999999642</v>
      </c>
      <c r="FV36" s="44">
        <v>6094100</v>
      </c>
      <c r="FW36" s="44">
        <v>1873900</v>
      </c>
      <c r="FX36" s="37">
        <f t="shared" si="42"/>
        <v>37100</v>
      </c>
      <c r="FY36" s="56">
        <v>3838.8</v>
      </c>
      <c r="FZ36" s="56">
        <v>2.2128999999999999</v>
      </c>
      <c r="GA36" s="37">
        <f t="shared" si="43"/>
        <v>8460.0000000000909</v>
      </c>
      <c r="GB36" s="56">
        <v>867.35</v>
      </c>
      <c r="GC36" s="56">
        <v>973.38</v>
      </c>
      <c r="GD36" s="37">
        <f t="shared" si="44"/>
        <v>960.00000000003638</v>
      </c>
      <c r="GE36" s="56">
        <v>10711</v>
      </c>
      <c r="GF36" s="63">
        <v>3.8607</v>
      </c>
      <c r="GG36" s="37">
        <f t="shared" si="45"/>
        <v>9295.4</v>
      </c>
      <c r="GH36" s="48">
        <v>1704.6</v>
      </c>
      <c r="GI36" s="56">
        <v>1629.9</v>
      </c>
      <c r="GJ36" s="38">
        <f>GH36</f>
        <v>1704.6</v>
      </c>
      <c r="GK36" s="56">
        <v>1521.2</v>
      </c>
      <c r="GL36" s="44">
        <v>1142.4000000000001</v>
      </c>
      <c r="GM36" s="38">
        <f t="shared" si="47"/>
        <v>0</v>
      </c>
      <c r="GN36" s="57">
        <v>243990</v>
      </c>
      <c r="GO36" s="57">
        <v>218060</v>
      </c>
      <c r="GP36" s="38">
        <f t="shared" si="97"/>
        <v>0</v>
      </c>
      <c r="GQ36" s="38">
        <v>292890</v>
      </c>
      <c r="GR36" s="38">
        <v>286840</v>
      </c>
      <c r="GS36" s="38">
        <f t="shared" si="78"/>
        <v>440</v>
      </c>
      <c r="GT36" s="178"/>
      <c r="GU36" s="144">
        <f>DailyJul!B35-DailyJul!N35-DailyJul!V35-DailyJul!Y35-DailyJul!Z35-DailyJul!AA35-DailyJul!AB35-DailyJul!AC35-DailyJul!AD35-DailyJul!AE35-DailyJul!AK35-DailyJul!AO35-DailyJul!AS35-DailyJul!AY35-DailyJul!BD35+DailyJul!BU35-DailyJul!BG35-DailyJul!BT35-DailyJul!AF35-DailyJul!AG35</f>
        <v>5.0000011280644685E-2</v>
      </c>
      <c r="GV36" s="59">
        <v>9876.7999999999993</v>
      </c>
      <c r="GW36" s="60">
        <f t="shared" si="48"/>
        <v>658.45333333333326</v>
      </c>
      <c r="GX36" s="61">
        <v>658.45</v>
      </c>
      <c r="GY36" s="140"/>
      <c r="GZ36" s="62"/>
      <c r="HA36" s="62"/>
      <c r="HB36" s="62"/>
      <c r="HC36" s="62"/>
      <c r="HD36" s="74"/>
      <c r="HE36" s="24"/>
      <c r="HG36" s="213">
        <v>30</v>
      </c>
      <c r="HH36" s="16">
        <v>19399</v>
      </c>
      <c r="HI36" s="16">
        <v>7427.7</v>
      </c>
      <c r="HJ36" s="16">
        <f t="shared" si="50"/>
        <v>173000</v>
      </c>
      <c r="HK36" s="16">
        <v>2.1432000000000002</v>
      </c>
      <c r="HL36" s="16">
        <v>807.23</v>
      </c>
      <c r="HM36" s="16">
        <f t="shared" si="99"/>
        <v>0</v>
      </c>
      <c r="HN36" s="16">
        <v>4992.7</v>
      </c>
      <c r="HO36" s="16">
        <v>2167.6</v>
      </c>
      <c r="HP36" s="16">
        <f t="shared" si="52"/>
        <v>48499.999999999818</v>
      </c>
      <c r="HQ36" s="16">
        <v>3750.9</v>
      </c>
      <c r="HR36" s="16">
        <v>1605.8</v>
      </c>
      <c r="HS36" s="16">
        <f t="shared" si="53"/>
        <v>22500.000000000273</v>
      </c>
      <c r="HT36" s="16">
        <v>3529</v>
      </c>
      <c r="HU36" s="16">
        <v>1305.3</v>
      </c>
      <c r="HV36" s="16">
        <f t="shared" si="54"/>
        <v>25300</v>
      </c>
      <c r="HW36" s="16">
        <v>2352.6</v>
      </c>
      <c r="HX36" s="16">
        <v>1019.4</v>
      </c>
      <c r="HY36" s="16">
        <f t="shared" si="55"/>
        <v>27999.999999999818</v>
      </c>
      <c r="HZ36" s="16">
        <v>1314600</v>
      </c>
      <c r="IA36" s="16">
        <v>601920</v>
      </c>
      <c r="IB36" s="16">
        <f t="shared" si="56"/>
        <v>28200</v>
      </c>
      <c r="IC36" s="16">
        <v>719.8</v>
      </c>
      <c r="ID36" s="16">
        <v>232.78</v>
      </c>
      <c r="IE36" s="16">
        <f t="shared" si="79"/>
        <v>0</v>
      </c>
      <c r="IF36" s="16"/>
      <c r="IG36" s="16"/>
      <c r="IH36" s="128">
        <f t="shared" si="57"/>
        <v>20500</v>
      </c>
      <c r="II36" s="211">
        <f t="shared" si="123"/>
        <v>9.4587448984384537E-11</v>
      </c>
      <c r="IJ36" s="16"/>
      <c r="IK36" s="16"/>
      <c r="IL36" s="16">
        <f t="shared" si="100"/>
        <v>0</v>
      </c>
      <c r="IM36" s="16"/>
      <c r="IN36" s="16"/>
      <c r="IO36" s="16">
        <f t="shared" si="101"/>
        <v>0</v>
      </c>
      <c r="IP36" s="16"/>
      <c r="IQ36" s="16"/>
      <c r="IR36" s="16">
        <f t="shared" si="102"/>
        <v>0</v>
      </c>
      <c r="IS36" s="16"/>
      <c r="IT36" s="16"/>
      <c r="IU36" s="16">
        <f t="shared" si="103"/>
        <v>0</v>
      </c>
      <c r="IV36" s="16"/>
      <c r="IW36" s="16"/>
      <c r="IX36" s="16">
        <f t="shared" si="104"/>
        <v>0</v>
      </c>
      <c r="IY36" s="16"/>
      <c r="IZ36" s="16"/>
      <c r="JA36" s="16">
        <f t="shared" si="105"/>
        <v>0</v>
      </c>
      <c r="JB36" s="16"/>
      <c r="JC36" s="16"/>
      <c r="JD36" s="16">
        <f t="shared" si="106"/>
        <v>0</v>
      </c>
      <c r="JE36" s="16"/>
      <c r="JF36" s="16"/>
      <c r="JG36" s="16">
        <f t="shared" si="107"/>
        <v>0</v>
      </c>
      <c r="JH36" s="16"/>
      <c r="JI36" s="16"/>
      <c r="JJ36" s="16">
        <f t="shared" si="108"/>
        <v>0</v>
      </c>
      <c r="JK36" s="16"/>
      <c r="JL36" s="16"/>
      <c r="JM36" s="16">
        <f t="shared" si="109"/>
        <v>0</v>
      </c>
      <c r="JN36" s="16"/>
      <c r="JO36" s="16"/>
      <c r="JP36" s="16">
        <f t="shared" si="110"/>
        <v>0</v>
      </c>
      <c r="JQ36" s="16"/>
      <c r="JR36" s="16"/>
      <c r="JS36" s="16">
        <f t="shared" si="111"/>
        <v>0</v>
      </c>
      <c r="JT36" s="16"/>
      <c r="JU36" s="16"/>
      <c r="JV36" s="16">
        <f t="shared" si="112"/>
        <v>0</v>
      </c>
      <c r="JW36" s="16"/>
      <c r="JX36" s="16"/>
      <c r="JY36" s="16">
        <f t="shared" si="113"/>
        <v>0</v>
      </c>
      <c r="JZ36" s="16"/>
      <c r="KA36" s="16"/>
      <c r="KB36" s="16">
        <f t="shared" si="114"/>
        <v>0</v>
      </c>
      <c r="KC36" s="16"/>
      <c r="KD36" s="16"/>
      <c r="KE36" s="16">
        <f t="shared" si="115"/>
        <v>0</v>
      </c>
      <c r="KG36" s="151">
        <f t="shared" si="59"/>
        <v>76699.999999999913</v>
      </c>
    </row>
    <row r="37" spans="1:293" x14ac:dyDescent="0.25">
      <c r="A37" s="35">
        <v>31</v>
      </c>
      <c r="B37" s="38">
        <v>5073.5200000000004</v>
      </c>
      <c r="C37" s="38">
        <f t="shared" si="1"/>
        <v>11.25</v>
      </c>
      <c r="D37" s="38">
        <f t="shared" si="2"/>
        <v>360000</v>
      </c>
      <c r="E37" s="38">
        <v>1018.92</v>
      </c>
      <c r="F37" s="38">
        <f t="shared" si="3"/>
        <v>74559.999999997672</v>
      </c>
      <c r="G37" s="38">
        <f t="shared" si="4"/>
        <v>434559.99999999767</v>
      </c>
      <c r="H37" s="37"/>
      <c r="I37" s="39"/>
      <c r="J37" s="42"/>
      <c r="K37" s="37">
        <f>IF(J37&lt;=0,0,(J37/SQRT(J37^2+(I37-I36)^2)))</f>
        <v>0</v>
      </c>
      <c r="L37" s="40">
        <v>16116400</v>
      </c>
      <c r="M37" s="40"/>
      <c r="N37" s="37">
        <f t="shared" si="81"/>
        <v>415000</v>
      </c>
      <c r="O37" s="37">
        <v>12247.5</v>
      </c>
      <c r="P37" s="37"/>
      <c r="Q37" s="37">
        <f t="shared" si="118"/>
        <v>17500</v>
      </c>
      <c r="R37" s="37">
        <f>IF(Q37&lt;=0,0,(Q37/SQRT(Q37^2+(P37-P36)^2)))</f>
        <v>1</v>
      </c>
      <c r="S37" s="37">
        <v>11256292.109999999</v>
      </c>
      <c r="T37" s="37">
        <f t="shared" si="6"/>
        <v>303.61999999918044</v>
      </c>
      <c r="U37" s="37">
        <v>1523790.61</v>
      </c>
      <c r="V37" s="37">
        <f>IF((U37-U36)&lt;=0,0,(U37-U36))</f>
        <v>0</v>
      </c>
      <c r="W37" s="37">
        <v>4386</v>
      </c>
      <c r="X37" s="37">
        <f t="shared" si="95"/>
        <v>17196.38000000082</v>
      </c>
      <c r="Y37" s="183"/>
      <c r="Z37" s="183"/>
      <c r="AA37" s="37">
        <v>792700</v>
      </c>
      <c r="AB37" s="37">
        <f t="shared" si="8"/>
        <v>0</v>
      </c>
      <c r="AC37" s="37">
        <v>4566.1000000000004</v>
      </c>
      <c r="AD37" s="37"/>
      <c r="AE37" s="37">
        <f t="shared" si="120"/>
        <v>7500</v>
      </c>
      <c r="AF37" s="37">
        <f>IF(AE37&lt;=0,0,(AE37/SQRT(AE37^2+(AD37-AD36)^2)))</f>
        <v>1</v>
      </c>
      <c r="AG37" s="37">
        <v>9891.9</v>
      </c>
      <c r="AH37" s="37"/>
      <c r="AI37" s="37">
        <f t="shared" si="10"/>
        <v>13451.320000000364</v>
      </c>
      <c r="AJ37" s="37">
        <f t="shared" si="11"/>
        <v>1</v>
      </c>
      <c r="AK37" s="37">
        <f t="shared" si="12"/>
        <v>38451.320000000364</v>
      </c>
      <c r="AL37" s="42">
        <v>11625.8</v>
      </c>
      <c r="AM37" s="42"/>
      <c r="AN37" s="37">
        <f t="shared" si="60"/>
        <v>4881.3199999987946</v>
      </c>
      <c r="AO37" s="37">
        <f>IF(AN37&lt;=0,0,(AN37/SQRT(AN37^2+(AM37-AM36)^2)))</f>
        <v>1</v>
      </c>
      <c r="AP37" s="37">
        <v>9083.1</v>
      </c>
      <c r="AQ37" s="37"/>
      <c r="AR37" s="37">
        <f t="shared" si="13"/>
        <v>7100.0000000003638</v>
      </c>
      <c r="AS37" s="37">
        <f>IF(AR37&lt;=0,0,(AR37/SQRT(AR37^2+(AQ37-AQ36)^2)))</f>
        <v>1</v>
      </c>
      <c r="AT37" s="183"/>
      <c r="AU37" s="183"/>
      <c r="AV37" s="183"/>
      <c r="AW37" s="183"/>
      <c r="AX37" s="37">
        <v>512510</v>
      </c>
      <c r="AY37" s="37"/>
      <c r="AZ37" s="37">
        <f t="shared" si="14"/>
        <v>400</v>
      </c>
      <c r="BA37" s="37">
        <v>190430</v>
      </c>
      <c r="BB37" s="37"/>
      <c r="BC37" s="37">
        <f t="shared" si="15"/>
        <v>480</v>
      </c>
      <c r="BD37" s="37">
        <f>AN37+AR37+AZ37+BC37</f>
        <v>12861.319999999159</v>
      </c>
      <c r="BE37" s="43">
        <v>2030.2</v>
      </c>
      <c r="BF37" s="43">
        <v>1132.8</v>
      </c>
      <c r="BG37" s="37">
        <f t="shared" si="16"/>
        <v>1500</v>
      </c>
      <c r="BH37" s="44">
        <v>9549.4</v>
      </c>
      <c r="BI37" s="44">
        <v>6158.3</v>
      </c>
      <c r="BJ37" s="37">
        <f t="shared" si="17"/>
        <v>8899.9999999996362</v>
      </c>
      <c r="BK37" s="40">
        <v>1846230</v>
      </c>
      <c r="BL37" s="40">
        <f t="shared" si="87"/>
        <v>3920</v>
      </c>
      <c r="BM37" s="40">
        <v>916.95</v>
      </c>
      <c r="BN37" s="37">
        <f t="shared" si="18"/>
        <v>650.00000000009095</v>
      </c>
      <c r="BO37" s="186"/>
      <c r="BP37" s="183">
        <f t="shared" si="19"/>
        <v>0</v>
      </c>
      <c r="BQ37" s="40">
        <v>864</v>
      </c>
      <c r="BR37" s="37">
        <f t="shared" si="61"/>
        <v>600.00000000002274</v>
      </c>
      <c r="BS37" s="37">
        <v>111904.89</v>
      </c>
      <c r="BT37" s="37">
        <f t="shared" si="20"/>
        <v>196.05999999999767</v>
      </c>
      <c r="BU37" s="42">
        <v>3269354</v>
      </c>
      <c r="BV37" s="42"/>
      <c r="BW37" s="37">
        <f t="shared" si="21"/>
        <v>8235</v>
      </c>
      <c r="BX37" s="37">
        <f>IF(BW37&lt;=0,0,(BW37/SQRT(BW37^2+(BV37-BV36)^2)))</f>
        <v>1</v>
      </c>
      <c r="BY37" s="43">
        <v>389.29329999999999</v>
      </c>
      <c r="BZ37" s="43"/>
      <c r="CA37" s="37">
        <f t="shared" si="116"/>
        <v>615.29999999999063</v>
      </c>
      <c r="CB37" s="37">
        <f t="shared" si="62"/>
        <v>1</v>
      </c>
      <c r="CC37" s="37">
        <v>749889.1</v>
      </c>
      <c r="CD37" s="37">
        <f t="shared" si="23"/>
        <v>792</v>
      </c>
      <c r="CE37" s="41">
        <v>1588218</v>
      </c>
      <c r="CF37" s="37">
        <f t="shared" si="24"/>
        <v>7179</v>
      </c>
      <c r="CG37" s="37">
        <v>72810.600000000006</v>
      </c>
      <c r="CH37" s="37">
        <f t="shared" si="63"/>
        <v>0</v>
      </c>
      <c r="CI37" s="40">
        <v>13873.84</v>
      </c>
      <c r="CJ37" s="40"/>
      <c r="CK37" s="37">
        <f t="shared" si="64"/>
        <v>14356.02000000081</v>
      </c>
      <c r="CL37" s="37">
        <f t="shared" si="25"/>
        <v>1</v>
      </c>
      <c r="CM37" s="37">
        <v>3993.42</v>
      </c>
      <c r="CN37" s="37"/>
      <c r="CO37" s="37">
        <f t="shared" si="26"/>
        <v>5733.3200000000616</v>
      </c>
      <c r="CP37" s="37">
        <f>IF(CO37&lt;=0,0,(CO37/SQRT(CO37^2+(CN37-CN36)^2)))</f>
        <v>1</v>
      </c>
      <c r="CQ37" s="39">
        <v>580714.1</v>
      </c>
      <c r="CR37" s="39"/>
      <c r="CS37" s="37">
        <f t="shared" si="65"/>
        <v>5429.82</v>
      </c>
      <c r="CT37" s="37">
        <f t="shared" si="66"/>
        <v>1</v>
      </c>
      <c r="CU37" s="37">
        <v>4291947</v>
      </c>
      <c r="CV37" s="41"/>
      <c r="CW37" s="38">
        <f t="shared" si="27"/>
        <v>17961</v>
      </c>
      <c r="CX37" s="37">
        <f t="shared" si="90"/>
        <v>1</v>
      </c>
      <c r="CY37" s="37">
        <v>2288144</v>
      </c>
      <c r="CZ37" s="37"/>
      <c r="DA37" s="37">
        <f t="shared" si="122"/>
        <v>10532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0"/>
        <v>-62247.160000000869</v>
      </c>
      <c r="DH37" s="37">
        <f t="shared" si="31"/>
        <v>454951.32000000036</v>
      </c>
      <c r="DI37" s="46"/>
      <c r="DJ37" s="46"/>
      <c r="DK37" s="47"/>
      <c r="DL37" s="47"/>
      <c r="DM37" s="37"/>
      <c r="DN37" s="37"/>
      <c r="DO37" s="37"/>
      <c r="DP37" s="37"/>
      <c r="DQ37" s="50">
        <v>4150100</v>
      </c>
      <c r="DR37" s="49">
        <f t="shared" si="67"/>
        <v>9800</v>
      </c>
      <c r="DS37" s="50">
        <v>5037200</v>
      </c>
      <c r="DT37" s="49">
        <f t="shared" si="68"/>
        <v>19300</v>
      </c>
      <c r="DU37" s="51">
        <v>8276.4</v>
      </c>
      <c r="DV37" s="51">
        <v>4665.6000000000004</v>
      </c>
      <c r="DW37" s="37">
        <f t="shared" si="92"/>
        <v>4500</v>
      </c>
      <c r="DX37" s="52">
        <v>13666</v>
      </c>
      <c r="DY37" s="52">
        <v>8587.7999999999993</v>
      </c>
      <c r="DZ37" s="37">
        <f t="shared" si="32"/>
        <v>8351.32</v>
      </c>
      <c r="EA37" s="49">
        <v>31589</v>
      </c>
      <c r="EB37" s="49">
        <v>21.760999999999999</v>
      </c>
      <c r="EC37" s="37">
        <f t="shared" si="33"/>
        <v>24511.32</v>
      </c>
      <c r="ED37" s="53">
        <f t="shared" si="34"/>
        <v>37362.639999999999</v>
      </c>
      <c r="EE37" s="49">
        <v>47290</v>
      </c>
      <c r="EF37" s="49">
        <v>31.033000000000001</v>
      </c>
      <c r="EG37" s="37">
        <f t="shared" si="35"/>
        <v>31511.32</v>
      </c>
      <c r="EH37" s="51">
        <v>13860</v>
      </c>
      <c r="EI37" s="51">
        <v>1.9883999999999999</v>
      </c>
      <c r="EJ37" s="37">
        <f t="shared" si="36"/>
        <v>12351.32</v>
      </c>
      <c r="EK37" s="37">
        <v>843.05</v>
      </c>
      <c r="EL37" s="40">
        <v>1208.8</v>
      </c>
      <c r="EM37" s="37">
        <f t="shared" si="69"/>
        <v>669.99999999995907</v>
      </c>
      <c r="EN37" s="54">
        <f t="shared" si="70"/>
        <v>44532.639999999956</v>
      </c>
      <c r="EO37" s="48">
        <v>13497.45</v>
      </c>
      <c r="EP37" s="48"/>
      <c r="EQ37" s="37">
        <f t="shared" si="71"/>
        <v>6846.3200000007437</v>
      </c>
      <c r="ER37" s="48">
        <v>10412.77</v>
      </c>
      <c r="ES37" s="55"/>
      <c r="ET37" s="49">
        <f t="shared" si="98"/>
        <v>15770.000000000437</v>
      </c>
      <c r="EU37" s="48">
        <v>4206.68</v>
      </c>
      <c r="EV37" s="48"/>
      <c r="EW37" s="49">
        <f t="shared" si="38"/>
        <v>9631.3200000006545</v>
      </c>
      <c r="EX37" s="48">
        <v>14295.73</v>
      </c>
      <c r="EY37" s="48"/>
      <c r="EZ37" s="37">
        <f t="shared" si="39"/>
        <v>10081.319999999563</v>
      </c>
      <c r="FA37" s="48">
        <f t="shared" si="72"/>
        <v>-20324.960000001396</v>
      </c>
      <c r="FB37" s="48">
        <v>38014789</v>
      </c>
      <c r="FC37" s="49">
        <f>IF((FB37-FB36)&lt;=0,0,(FB37-FB36))</f>
        <v>22004</v>
      </c>
      <c r="FD37" s="48">
        <f t="shared" si="73"/>
        <v>43825.360000001398</v>
      </c>
      <c r="FE37" s="153">
        <v>17646.7</v>
      </c>
      <c r="FF37" s="154"/>
      <c r="FG37" s="37">
        <f t="shared" si="74"/>
        <v>8881.3200000007109</v>
      </c>
      <c r="FH37" s="48">
        <v>9919.2999999999993</v>
      </c>
      <c r="FI37" s="48"/>
      <c r="FJ37" s="49">
        <f t="shared" si="40"/>
        <v>16526.319999999272</v>
      </c>
      <c r="FK37" s="48"/>
      <c r="FL37" s="58">
        <v>-125</v>
      </c>
      <c r="FM37" s="48">
        <f t="shared" si="94"/>
        <v>-351.32000000062544</v>
      </c>
      <c r="FN37" s="48">
        <v>17441.3</v>
      </c>
      <c r="FO37" s="48"/>
      <c r="FP37" s="37">
        <f t="shared" si="75"/>
        <v>11526.319999999272</v>
      </c>
      <c r="FQ37" s="48">
        <v>61438.879999999997</v>
      </c>
      <c r="FR37" s="48"/>
      <c r="FS37" s="37">
        <f>IF((FQ37-FQ36)*1000&lt;=0,0,(FQ37-FQ36)*1000)</f>
        <v>35879.999999997381</v>
      </c>
      <c r="FT37" s="48">
        <f t="shared" si="76"/>
        <v>-1053.9600000018763</v>
      </c>
      <c r="FU37" s="48">
        <f t="shared" si="77"/>
        <v>36944.959999999221</v>
      </c>
      <c r="FV37" s="44">
        <v>6125418</v>
      </c>
      <c r="FW37" s="44"/>
      <c r="FX37" s="37">
        <f t="shared" si="42"/>
        <v>31318</v>
      </c>
      <c r="FY37" s="56">
        <v>3847.0819999999999</v>
      </c>
      <c r="FZ37" s="56"/>
      <c r="GA37" s="37">
        <f t="shared" si="43"/>
        <v>8271.8999999997213</v>
      </c>
      <c r="GB37" s="56">
        <v>868.24829999999997</v>
      </c>
      <c r="GC37" s="56"/>
      <c r="GD37" s="37">
        <f t="shared" si="44"/>
        <v>898.29999999994925</v>
      </c>
      <c r="GE37" s="56">
        <v>10720.5</v>
      </c>
      <c r="GF37" s="63"/>
      <c r="GG37" s="37">
        <f t="shared" si="45"/>
        <v>7992.6000000000331</v>
      </c>
      <c r="GH37" s="48">
        <v>3201</v>
      </c>
      <c r="GI37" s="56"/>
      <c r="GJ37" s="38">
        <f>IF((GH37-GH36)&lt;=0,0,(GH37-GH36))</f>
        <v>1496.4</v>
      </c>
      <c r="GK37" s="56">
        <v>1521.211</v>
      </c>
      <c r="GL37" s="44"/>
      <c r="GM37" s="38">
        <f t="shared" si="47"/>
        <v>10.999999999967258</v>
      </c>
      <c r="GN37" s="57">
        <v>243995.3</v>
      </c>
      <c r="GO37" s="57"/>
      <c r="GP37" s="38">
        <f t="shared" si="97"/>
        <v>5.2999999999883585</v>
      </c>
      <c r="GQ37" s="38">
        <v>292900.09999999998</v>
      </c>
      <c r="GR37" s="38"/>
      <c r="GS37" s="38">
        <f t="shared" si="78"/>
        <v>10.099999999976717</v>
      </c>
      <c r="GT37" s="178"/>
      <c r="GU37" s="144">
        <f>DailyJul!B36-DailyJul!N36-DailyJul!V36-DailyJul!Y36-DailyJul!Z36-DailyJul!AA36-DailyJul!AB36-DailyJul!AC36-DailyJul!AD36-DailyJul!AE36-DailyJul!AK36-DailyJul!AO36-DailyJul!AS36-DailyJul!AY36-DailyJul!BD36+DailyJul!BU36-DailyJul!BG36-DailyJul!BT36-DailyJul!AF36-DailyJul!AG36</f>
        <v>-2.8230715543031693E-9</v>
      </c>
      <c r="GV37" s="59">
        <v>5269.8</v>
      </c>
      <c r="GW37" s="60">
        <f t="shared" si="48"/>
        <v>351.32</v>
      </c>
      <c r="GX37" s="61">
        <v>351.32</v>
      </c>
      <c r="GY37" s="140"/>
      <c r="GZ37" s="62"/>
      <c r="HA37" s="62"/>
      <c r="HB37" s="62"/>
      <c r="HC37" s="62"/>
      <c r="HD37" s="74"/>
      <c r="HE37" s="24"/>
      <c r="HG37" s="213">
        <v>31</v>
      </c>
      <c r="HH37" s="16">
        <v>19572</v>
      </c>
      <c r="HI37" s="16">
        <v>7491</v>
      </c>
      <c r="HJ37" s="16">
        <f t="shared" si="50"/>
        <v>173000</v>
      </c>
      <c r="HK37" s="16">
        <v>2.1432000000000002</v>
      </c>
      <c r="HL37" s="16">
        <v>807.23</v>
      </c>
      <c r="HM37" s="16">
        <f t="shared" si="99"/>
        <v>0</v>
      </c>
      <c r="HN37" s="16">
        <v>5037.6000000000004</v>
      </c>
      <c r="HO37" s="16">
        <v>2185.1999999999998</v>
      </c>
      <c r="HP37" s="16">
        <f t="shared" si="52"/>
        <v>45125.000000000546</v>
      </c>
      <c r="HQ37" s="16">
        <v>3777.1</v>
      </c>
      <c r="HR37" s="16">
        <v>1616.1</v>
      </c>
      <c r="HS37" s="16">
        <f t="shared" si="53"/>
        <v>26424.999999999818</v>
      </c>
      <c r="HT37" s="16">
        <v>3554.5</v>
      </c>
      <c r="HU37" s="16">
        <v>1313.9</v>
      </c>
      <c r="HV37" s="16">
        <f t="shared" si="54"/>
        <v>25725</v>
      </c>
      <c r="HW37" s="16">
        <v>2381.1</v>
      </c>
      <c r="HX37" s="16">
        <v>1030.8</v>
      </c>
      <c r="HY37" s="16">
        <f t="shared" si="55"/>
        <v>28725</v>
      </c>
      <c r="HZ37" s="16">
        <v>1342300</v>
      </c>
      <c r="IA37" s="16">
        <v>613290</v>
      </c>
      <c r="IB37" s="16">
        <f t="shared" si="56"/>
        <v>27700</v>
      </c>
      <c r="IC37" s="16">
        <v>719.8</v>
      </c>
      <c r="ID37" s="16">
        <v>232.78</v>
      </c>
      <c r="IE37" s="16">
        <f t="shared" si="79"/>
        <v>0</v>
      </c>
      <c r="IF37" s="16"/>
      <c r="IG37" s="16"/>
      <c r="IH37" s="128">
        <f t="shared" si="57"/>
        <v>19300</v>
      </c>
      <c r="II37" s="211">
        <f t="shared" si="123"/>
        <v>-3.7107383832335472E-10</v>
      </c>
      <c r="IJ37" s="16"/>
      <c r="IK37" s="16"/>
      <c r="IL37" s="16">
        <f t="shared" si="100"/>
        <v>0</v>
      </c>
      <c r="IM37" s="16"/>
      <c r="IN37" s="16"/>
      <c r="IO37" s="16">
        <f t="shared" si="101"/>
        <v>0</v>
      </c>
      <c r="IP37" s="16"/>
      <c r="IQ37" s="16"/>
      <c r="IR37" s="16">
        <f t="shared" si="102"/>
        <v>0</v>
      </c>
      <c r="IS37" s="16"/>
      <c r="IT37" s="16"/>
      <c r="IU37" s="16">
        <f t="shared" si="103"/>
        <v>0</v>
      </c>
      <c r="IV37" s="16"/>
      <c r="IW37" s="16"/>
      <c r="IX37" s="16">
        <f t="shared" si="104"/>
        <v>0</v>
      </c>
      <c r="IY37" s="16"/>
      <c r="IZ37" s="16"/>
      <c r="JA37" s="16">
        <f t="shared" si="105"/>
        <v>0</v>
      </c>
      <c r="JB37" s="16"/>
      <c r="JC37" s="16"/>
      <c r="JD37" s="16">
        <f t="shared" si="106"/>
        <v>0</v>
      </c>
      <c r="JE37" s="16"/>
      <c r="JF37" s="16"/>
      <c r="JG37" s="16">
        <f t="shared" si="107"/>
        <v>0</v>
      </c>
      <c r="JH37" s="16"/>
      <c r="JI37" s="16"/>
      <c r="JJ37" s="16">
        <f t="shared" si="108"/>
        <v>0</v>
      </c>
      <c r="JK37" s="16"/>
      <c r="JL37" s="16"/>
      <c r="JM37" s="16">
        <f t="shared" si="109"/>
        <v>0</v>
      </c>
      <c r="JN37" s="16"/>
      <c r="JO37" s="16"/>
      <c r="JP37" s="16">
        <f t="shared" si="110"/>
        <v>0</v>
      </c>
      <c r="JQ37" s="16"/>
      <c r="JR37" s="16"/>
      <c r="JS37" s="16">
        <f t="shared" si="111"/>
        <v>0</v>
      </c>
      <c r="JT37" s="16"/>
      <c r="JU37" s="16"/>
      <c r="JV37" s="16">
        <f t="shared" si="112"/>
        <v>0</v>
      </c>
      <c r="JW37" s="16"/>
      <c r="JX37" s="16"/>
      <c r="JY37" s="16">
        <f t="shared" si="113"/>
        <v>0</v>
      </c>
      <c r="JZ37" s="16"/>
      <c r="KA37" s="16"/>
      <c r="KB37" s="16">
        <f t="shared" si="114"/>
        <v>0</v>
      </c>
      <c r="KC37" s="16"/>
      <c r="KD37" s="16"/>
      <c r="KE37" s="16">
        <f t="shared" si="115"/>
        <v>0</v>
      </c>
      <c r="KG37" s="151">
        <f t="shared" si="59"/>
        <v>72825.000000000175</v>
      </c>
    </row>
    <row r="38" spans="1:293" ht="15.75" thickBot="1" x14ac:dyDescent="0.3">
      <c r="A38" s="35">
        <v>1</v>
      </c>
      <c r="B38" s="38">
        <v>5085.05</v>
      </c>
      <c r="C38" s="38">
        <f t="shared" si="1"/>
        <v>11.529999999999745</v>
      </c>
      <c r="D38" s="38">
        <f t="shared" si="2"/>
        <v>368959.99999999185</v>
      </c>
      <c r="E38" s="38">
        <v>1021.34</v>
      </c>
      <c r="F38" s="38">
        <f t="shared" si="3"/>
        <v>77440.000000002328</v>
      </c>
      <c r="G38" s="38">
        <f t="shared" si="4"/>
        <v>446399.99999999418</v>
      </c>
      <c r="H38" s="37"/>
      <c r="I38" s="39"/>
      <c r="J38" s="42"/>
      <c r="K38" s="37">
        <f>IF(J38&lt;=0,0,(J38/SQRT(J38^2+(I38-I37)^2)))</f>
        <v>0</v>
      </c>
      <c r="L38" s="40">
        <v>16162000</v>
      </c>
      <c r="M38" s="40"/>
      <c r="N38" s="37">
        <f t="shared" si="81"/>
        <v>456000</v>
      </c>
      <c r="O38" s="37">
        <v>12266</v>
      </c>
      <c r="P38" s="37"/>
      <c r="Q38" s="37">
        <f t="shared" si="118"/>
        <v>18500</v>
      </c>
      <c r="R38" s="37">
        <f>IF(Q38&lt;=0,0,(Q38/SQRT(Q38^2+(P38-P37)^2)))</f>
        <v>1</v>
      </c>
      <c r="S38" s="37">
        <v>11256658.01</v>
      </c>
      <c r="T38" s="37">
        <f t="shared" si="6"/>
        <v>365.90000000037253</v>
      </c>
      <c r="U38" s="37">
        <v>1523790.61</v>
      </c>
      <c r="V38" s="37">
        <f>IF((U38-U37)&lt;=0,0,(U38-U37))</f>
        <v>0</v>
      </c>
      <c r="W38" s="37">
        <v>4392.5</v>
      </c>
      <c r="X38" s="37">
        <f t="shared" si="95"/>
        <v>18034.099999999627</v>
      </c>
      <c r="Y38" s="183"/>
      <c r="Z38" s="183"/>
      <c r="AA38" s="37">
        <v>792800</v>
      </c>
      <c r="AB38" s="37">
        <f t="shared" si="8"/>
        <v>100</v>
      </c>
      <c r="AC38" s="37">
        <v>4574.1000000000004</v>
      </c>
      <c r="AD38" s="37"/>
      <c r="AE38" s="37">
        <f t="shared" si="120"/>
        <v>8000</v>
      </c>
      <c r="AF38" s="37">
        <f>IF(AE38&lt;=0,0,(AE38/SQRT(AE38^2+(AD38-AD37)^2)))</f>
        <v>1</v>
      </c>
      <c r="AG38" s="37">
        <v>9904.7000000000007</v>
      </c>
      <c r="AH38" s="37"/>
      <c r="AI38" s="37">
        <f t="shared" si="10"/>
        <v>12682.010000001092</v>
      </c>
      <c r="AJ38" s="37">
        <f t="shared" si="11"/>
        <v>1</v>
      </c>
      <c r="AK38" s="37">
        <f t="shared" si="12"/>
        <v>39082.010000001093</v>
      </c>
      <c r="AL38" s="42">
        <v>11636.2</v>
      </c>
      <c r="AM38" s="42"/>
      <c r="AN38" s="37">
        <f t="shared" si="60"/>
        <v>4632.0100000014781</v>
      </c>
      <c r="AO38" s="37">
        <f>IF(AN38&lt;=0,0,(AN38/SQRT(AN38^2+(AM38-AM37)^2)))</f>
        <v>1</v>
      </c>
      <c r="AP38" s="37">
        <v>9091</v>
      </c>
      <c r="AQ38" s="37"/>
      <c r="AR38" s="37">
        <f t="shared" si="13"/>
        <v>7899.9999999996362</v>
      </c>
      <c r="AS38" s="37">
        <f>IF(AR38&lt;=0,0,(AR38/SQRT(AR38^2+(AQ38-AQ37)^2)))</f>
        <v>1</v>
      </c>
      <c r="AT38" s="183"/>
      <c r="AU38" s="183"/>
      <c r="AV38" s="183"/>
      <c r="AW38" s="183"/>
      <c r="AX38" s="37">
        <v>512880</v>
      </c>
      <c r="AY38" s="37"/>
      <c r="AZ38" s="37">
        <f t="shared" si="14"/>
        <v>370</v>
      </c>
      <c r="BA38" s="37">
        <v>190980</v>
      </c>
      <c r="BB38" s="37"/>
      <c r="BC38" s="37">
        <f t="shared" si="15"/>
        <v>550</v>
      </c>
      <c r="BD38" s="37">
        <f>AN38+AR38+AZ38+BC38</f>
        <v>13452.010000001115</v>
      </c>
      <c r="BE38" s="43">
        <v>2031.8</v>
      </c>
      <c r="BF38" s="43">
        <v>1133.9000000000001</v>
      </c>
      <c r="BG38" s="37">
        <f t="shared" si="16"/>
        <v>1599.9999999999091</v>
      </c>
      <c r="BH38" s="44">
        <v>9558.2999999999993</v>
      </c>
      <c r="BI38" s="44">
        <v>6164.4</v>
      </c>
      <c r="BJ38" s="37">
        <f t="shared" si="17"/>
        <v>8899.9999999996362</v>
      </c>
      <c r="BK38" s="40">
        <v>1850480</v>
      </c>
      <c r="BL38" s="40">
        <f t="shared" si="87"/>
        <v>4250</v>
      </c>
      <c r="BM38" s="40">
        <v>917.65</v>
      </c>
      <c r="BN38" s="37">
        <f t="shared" si="18"/>
        <v>699.99999999993179</v>
      </c>
      <c r="BO38" s="186"/>
      <c r="BP38" s="183">
        <f t="shared" si="19"/>
        <v>0</v>
      </c>
      <c r="BQ38" s="40">
        <v>864.7</v>
      </c>
      <c r="BR38" s="37">
        <f t="shared" si="61"/>
        <v>700.00000000004547</v>
      </c>
      <c r="BS38" s="37">
        <v>112111.71</v>
      </c>
      <c r="BT38" s="37">
        <f t="shared" si="20"/>
        <v>206.82000000000698</v>
      </c>
      <c r="BU38" s="42">
        <v>3277141</v>
      </c>
      <c r="BV38" s="42"/>
      <c r="BW38" s="37">
        <f t="shared" si="21"/>
        <v>7787</v>
      </c>
      <c r="BX38" s="37">
        <f>IF(BW38&lt;=0,0,(BW38/SQRT(BW38^2+(BV38-BV37)^2)))</f>
        <v>1</v>
      </c>
      <c r="BY38" s="43">
        <v>389.9649</v>
      </c>
      <c r="BZ38" s="43"/>
      <c r="CA38" s="37">
        <f t="shared" si="116"/>
        <v>671.60000000001219</v>
      </c>
      <c r="CB38" s="37">
        <f t="shared" si="62"/>
        <v>1</v>
      </c>
      <c r="CC38" s="37">
        <v>749889.1</v>
      </c>
      <c r="CD38" s="37">
        <f t="shared" si="23"/>
        <v>0</v>
      </c>
      <c r="CE38" s="41">
        <v>1595257</v>
      </c>
      <c r="CF38" s="37">
        <f t="shared" si="24"/>
        <v>7039</v>
      </c>
      <c r="CG38" s="37">
        <v>72810.600000000006</v>
      </c>
      <c r="CH38" s="37">
        <f t="shared" si="63"/>
        <v>0</v>
      </c>
      <c r="CI38" s="40">
        <v>13889.25</v>
      </c>
      <c r="CJ38" s="40"/>
      <c r="CK38" s="37">
        <f t="shared" si="64"/>
        <v>14620.409999999843</v>
      </c>
      <c r="CL38" s="37">
        <f t="shared" si="25"/>
        <v>1</v>
      </c>
      <c r="CM38" s="37">
        <v>3998.6579999999999</v>
      </c>
      <c r="CN38" s="37"/>
      <c r="CO38" s="37">
        <f t="shared" si="26"/>
        <v>5120.0099999998292</v>
      </c>
      <c r="CP38" s="37">
        <f>IF(CO38&lt;=0,0,(CO38/SQRT(CO38^2+(CN38-CN37)^2)))</f>
        <v>1</v>
      </c>
      <c r="CQ38" s="39">
        <v>586154.6</v>
      </c>
      <c r="CR38" s="39"/>
      <c r="CS38" s="37">
        <f t="shared" si="65"/>
        <v>5322.51</v>
      </c>
      <c r="CT38" s="37">
        <f t="shared" si="66"/>
        <v>1</v>
      </c>
      <c r="CU38" s="37">
        <v>4312871</v>
      </c>
      <c r="CV38" s="41"/>
      <c r="CW38" s="38">
        <f t="shared" si="27"/>
        <v>20924</v>
      </c>
      <c r="CX38" s="37">
        <f t="shared" si="90"/>
        <v>1</v>
      </c>
      <c r="CY38" s="37">
        <v>2300220</v>
      </c>
      <c r="CZ38" s="37"/>
      <c r="DA38" s="37">
        <f t="shared" si="122"/>
        <v>12076</v>
      </c>
      <c r="DB38" s="37">
        <f>IF(DA38&lt;=0,0,(DA38/SQRT(DA38^2+(CZ38-CZ37)^2)))</f>
        <v>1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0"/>
        <v>-65849.929999999673</v>
      </c>
      <c r="DH38" s="37">
        <f t="shared" si="31"/>
        <v>496682.010000001</v>
      </c>
      <c r="DI38" s="46"/>
      <c r="DJ38" s="46"/>
      <c r="DK38" s="47"/>
      <c r="DL38" s="47"/>
      <c r="DM38" s="37"/>
      <c r="DN38" s="37"/>
      <c r="DO38" s="37"/>
      <c r="DP38" s="37"/>
      <c r="DQ38" s="50">
        <v>4160300</v>
      </c>
      <c r="DR38" s="49">
        <f t="shared" si="67"/>
        <v>10200</v>
      </c>
      <c r="DS38" s="50">
        <v>5059500</v>
      </c>
      <c r="DT38" s="49">
        <f t="shared" si="68"/>
        <v>22300</v>
      </c>
      <c r="DU38" s="51">
        <v>8280.7999999999993</v>
      </c>
      <c r="DV38" s="51">
        <v>4668.8999999999996</v>
      </c>
      <c r="DW38" s="37">
        <f t="shared" si="92"/>
        <v>4399.9999999996362</v>
      </c>
      <c r="DX38" s="52">
        <v>13674</v>
      </c>
      <c r="DY38" s="52">
        <v>8590.7999999999993</v>
      </c>
      <c r="DZ38" s="37">
        <f t="shared" si="32"/>
        <v>7882.01</v>
      </c>
      <c r="EA38" s="49">
        <v>31613</v>
      </c>
      <c r="EB38" s="49">
        <v>21.773</v>
      </c>
      <c r="EC38" s="37">
        <f t="shared" si="33"/>
        <v>26042.01</v>
      </c>
      <c r="ED38" s="53">
        <f t="shared" si="34"/>
        <v>38324.019999999633</v>
      </c>
      <c r="EE38" s="49">
        <v>47318</v>
      </c>
      <c r="EF38" s="49">
        <v>31.053999999999998</v>
      </c>
      <c r="EG38" s="37">
        <f t="shared" si="35"/>
        <v>30042.01</v>
      </c>
      <c r="EH38" s="51">
        <v>13872</v>
      </c>
      <c r="EI38" s="51">
        <v>1.992</v>
      </c>
      <c r="EJ38" s="37">
        <f t="shared" si="36"/>
        <v>11882.01</v>
      </c>
      <c r="EK38" s="37">
        <v>843.67</v>
      </c>
      <c r="EL38" s="40">
        <v>1209.7</v>
      </c>
      <c r="EM38" s="37">
        <f t="shared" si="69"/>
        <v>620.00000000000455</v>
      </c>
      <c r="EN38" s="54">
        <f t="shared" si="70"/>
        <v>42544.020000000004</v>
      </c>
      <c r="EO38" s="48">
        <v>13505.23</v>
      </c>
      <c r="EP38" s="48"/>
      <c r="EQ38" s="37">
        <f t="shared" si="71"/>
        <v>6712.0099999987906</v>
      </c>
      <c r="ER38" s="48">
        <v>10429.629999999999</v>
      </c>
      <c r="ES38" s="55"/>
      <c r="ET38" s="49">
        <f t="shared" si="98"/>
        <v>16859.999999998763</v>
      </c>
      <c r="EU38" s="48">
        <v>4216.5990000000002</v>
      </c>
      <c r="EV38" s="48"/>
      <c r="EW38" s="49">
        <f t="shared" si="38"/>
        <v>9801.0099999998693</v>
      </c>
      <c r="EX38" s="48">
        <v>14306.49</v>
      </c>
      <c r="EY38" s="48"/>
      <c r="EZ38" s="37">
        <f t="shared" si="39"/>
        <v>10642.010000000218</v>
      </c>
      <c r="FA38" s="48">
        <f t="shared" si="72"/>
        <v>-20899.029999997641</v>
      </c>
      <c r="FB38" s="48">
        <v>38037905</v>
      </c>
      <c r="FC38" s="49">
        <f>IF((FB38-FB37)&lt;=0,0,(FB38-FB37))</f>
        <v>23116</v>
      </c>
      <c r="FD38" s="48">
        <f t="shared" si="73"/>
        <v>45800.729999997639</v>
      </c>
      <c r="FE38" s="153">
        <v>17655.3</v>
      </c>
      <c r="FF38" s="154"/>
      <c r="FG38" s="37">
        <f t="shared" si="74"/>
        <v>9302.0099999985905</v>
      </c>
      <c r="FH38" s="48">
        <v>9936.4</v>
      </c>
      <c r="FI38" s="48"/>
      <c r="FJ38" s="49">
        <f t="shared" si="40"/>
        <v>16852.010000000362</v>
      </c>
      <c r="FK38" s="48"/>
      <c r="FL38" s="58">
        <v>-130</v>
      </c>
      <c r="FM38" s="48">
        <f t="shared" si="94"/>
        <v>117.98999999981545</v>
      </c>
      <c r="FN38" s="48">
        <v>17452.900000000001</v>
      </c>
      <c r="FO38" s="48"/>
      <c r="FP38" s="37">
        <f t="shared" si="75"/>
        <v>11352.010000002183</v>
      </c>
      <c r="FQ38" s="48">
        <v>61476.74</v>
      </c>
      <c r="FR38" s="48"/>
      <c r="FS38" s="37">
        <f>IF((FQ38-FQ37)*1000&lt;=0,0,(FQ38-FQ37)*1000)</f>
        <v>37860.000000000582</v>
      </c>
      <c r="FT38" s="48">
        <f t="shared" si="76"/>
        <v>353.96999999944637</v>
      </c>
      <c r="FU38" s="48">
        <f t="shared" si="77"/>
        <v>37508.03000000109</v>
      </c>
      <c r="FV38" s="44">
        <v>6158845</v>
      </c>
      <c r="FW38" s="44"/>
      <c r="FX38" s="37">
        <f t="shared" si="42"/>
        <v>33427</v>
      </c>
      <c r="FY38" s="56">
        <v>3855.989</v>
      </c>
      <c r="FZ38" s="56"/>
      <c r="GA38" s="37">
        <f t="shared" si="43"/>
        <v>8083.7000000001062</v>
      </c>
      <c r="GB38" s="56">
        <v>869.32039999999995</v>
      </c>
      <c r="GC38" s="56"/>
      <c r="GD38" s="37">
        <f t="shared" si="44"/>
        <v>1072.0999999999776</v>
      </c>
      <c r="GE38" s="56">
        <v>10730.59</v>
      </c>
      <c r="GF38" s="63"/>
      <c r="GG38" s="37">
        <f t="shared" si="45"/>
        <v>8302.3000000001921</v>
      </c>
      <c r="GH38" s="48">
        <v>4986.7</v>
      </c>
      <c r="GI38" s="56"/>
      <c r="GJ38" s="38">
        <f>IF((GH38-GH37)&lt;=0,0,(GH38-GH37))</f>
        <v>1785.6999999999998</v>
      </c>
      <c r="GK38" s="56">
        <v>1521.213</v>
      </c>
      <c r="GL38" s="44"/>
      <c r="GM38" s="38">
        <f t="shared" si="47"/>
        <v>1.9999999999527063</v>
      </c>
      <c r="GN38" s="57">
        <v>243998.3</v>
      </c>
      <c r="GO38" s="57"/>
      <c r="GP38" s="38">
        <f t="shared" si="97"/>
        <v>3</v>
      </c>
      <c r="GQ38" s="38">
        <v>293723.40000000002</v>
      </c>
      <c r="GR38" s="38"/>
      <c r="GS38" s="38">
        <f t="shared" si="78"/>
        <v>823.30000000004657</v>
      </c>
      <c r="GT38" s="178"/>
      <c r="GU38" s="144">
        <f>DailyJul!B37-DailyJul!N37-DailyJul!V37-DailyJul!Y37-DailyJul!Z37-DailyJul!AA37-DailyJul!AB37-DailyJul!AC37-DailyJul!AD37-DailyJul!AE37-DailyJul!AK37-DailyJul!AO37-DailyJul!AS37-DailyJul!AY37-DailyJul!BD37+DailyJul!BU37-DailyJul!BG37-DailyJul!BT37-DailyJul!AF37-DailyJul!AG37</f>
        <v>4.9999993992969394E-2</v>
      </c>
      <c r="GV38" s="59">
        <v>-1769.8</v>
      </c>
      <c r="GW38" s="60">
        <f t="shared" si="48"/>
        <v>-117.98666666666666</v>
      </c>
      <c r="GX38" s="61">
        <v>-117.99</v>
      </c>
      <c r="GY38" s="140"/>
      <c r="GZ38" s="74"/>
      <c r="HA38" s="62"/>
      <c r="HB38" s="62"/>
      <c r="HC38" s="74"/>
      <c r="HD38" s="74"/>
      <c r="HE38" s="24"/>
      <c r="HG38" s="213">
        <v>1</v>
      </c>
      <c r="HH38" s="16">
        <v>19746</v>
      </c>
      <c r="HI38" s="16">
        <v>7555.4</v>
      </c>
      <c r="HJ38" s="16">
        <f t="shared" si="50"/>
        <v>174000</v>
      </c>
      <c r="HK38" s="16">
        <v>2.1432000000000002</v>
      </c>
      <c r="HL38" s="16">
        <v>807.23</v>
      </c>
      <c r="HM38" s="16">
        <f t="shared" si="99"/>
        <v>0</v>
      </c>
      <c r="HN38" s="16">
        <v>5082.8</v>
      </c>
      <c r="HO38" s="16">
        <v>2203.3000000000002</v>
      </c>
      <c r="HP38" s="16">
        <f t="shared" si="52"/>
        <v>45124.999999999818</v>
      </c>
      <c r="HQ38" s="16">
        <v>3804.1</v>
      </c>
      <c r="HR38" s="16">
        <v>1626.7</v>
      </c>
      <c r="HS38" s="16">
        <f t="shared" si="53"/>
        <v>26925</v>
      </c>
      <c r="HT38" s="16">
        <v>3578.3</v>
      </c>
      <c r="HU38" s="16">
        <v>1322</v>
      </c>
      <c r="HV38" s="16">
        <f t="shared" si="54"/>
        <v>23725.000000000182</v>
      </c>
      <c r="HW38" s="16">
        <v>2408.1999999999998</v>
      </c>
      <c r="HX38" s="16">
        <v>1041.5999999999999</v>
      </c>
      <c r="HY38" s="16">
        <f t="shared" si="55"/>
        <v>27024.999999999909</v>
      </c>
      <c r="HZ38" s="16">
        <v>1371200</v>
      </c>
      <c r="IA38" s="16">
        <v>625070</v>
      </c>
      <c r="IB38" s="16">
        <f t="shared" si="56"/>
        <v>28900</v>
      </c>
      <c r="IC38" s="16">
        <v>719.8</v>
      </c>
      <c r="ID38" s="16">
        <v>232.78</v>
      </c>
      <c r="IE38" s="16">
        <f t="shared" si="79"/>
        <v>0</v>
      </c>
      <c r="IF38" s="16"/>
      <c r="IG38" s="16"/>
      <c r="IH38" s="128">
        <f t="shared" si="57"/>
        <v>22300</v>
      </c>
      <c r="II38" s="211">
        <f t="shared" si="123"/>
        <v>9.4587448984384537E-11</v>
      </c>
      <c r="IJ38" s="16"/>
      <c r="IK38" s="16"/>
      <c r="IL38" s="16">
        <f t="shared" si="100"/>
        <v>0</v>
      </c>
      <c r="IM38" s="16"/>
      <c r="IN38" s="16"/>
      <c r="IO38" s="16">
        <f t="shared" si="101"/>
        <v>0</v>
      </c>
      <c r="IP38" s="16"/>
      <c r="IQ38" s="16"/>
      <c r="IR38" s="16">
        <f t="shared" si="102"/>
        <v>0</v>
      </c>
      <c r="IS38" s="16"/>
      <c r="IT38" s="16"/>
      <c r="IU38" s="16">
        <f t="shared" si="103"/>
        <v>0</v>
      </c>
      <c r="IV38" s="16"/>
      <c r="IW38" s="16"/>
      <c r="IX38" s="16">
        <f t="shared" si="104"/>
        <v>0</v>
      </c>
      <c r="IY38" s="16"/>
      <c r="IZ38" s="16"/>
      <c r="JA38" s="16">
        <f t="shared" si="105"/>
        <v>0</v>
      </c>
      <c r="JB38" s="16"/>
      <c r="JC38" s="16"/>
      <c r="JD38" s="16">
        <f t="shared" si="106"/>
        <v>0</v>
      </c>
      <c r="JE38" s="16"/>
      <c r="JF38" s="16"/>
      <c r="JG38" s="16">
        <f t="shared" si="107"/>
        <v>0</v>
      </c>
      <c r="JH38" s="16"/>
      <c r="JI38" s="16"/>
      <c r="JJ38" s="16">
        <f t="shared" si="108"/>
        <v>0</v>
      </c>
      <c r="JK38" s="16"/>
      <c r="JL38" s="16"/>
      <c r="JM38" s="16">
        <f t="shared" si="109"/>
        <v>0</v>
      </c>
      <c r="JN38" s="16"/>
      <c r="JO38" s="16"/>
      <c r="JP38" s="16">
        <f t="shared" si="110"/>
        <v>0</v>
      </c>
      <c r="JQ38" s="16"/>
      <c r="JR38" s="16"/>
      <c r="JS38" s="16">
        <f t="shared" si="111"/>
        <v>0</v>
      </c>
      <c r="JT38" s="16"/>
      <c r="JU38" s="16"/>
      <c r="JV38" s="16">
        <f t="shared" si="112"/>
        <v>0</v>
      </c>
      <c r="JW38" s="16"/>
      <c r="JX38" s="16"/>
      <c r="JY38" s="16">
        <f t="shared" si="113"/>
        <v>0</v>
      </c>
      <c r="JZ38" s="16"/>
      <c r="KA38" s="16"/>
      <c r="KB38" s="16">
        <f t="shared" si="114"/>
        <v>0</v>
      </c>
      <c r="KC38" s="16"/>
      <c r="KD38" s="16"/>
      <c r="KE38" s="16">
        <f t="shared" si="115"/>
        <v>0</v>
      </c>
      <c r="KG38" s="151">
        <f t="shared" si="59"/>
        <v>74024.999999999913</v>
      </c>
    </row>
    <row r="39" spans="1:293" ht="15.75" thickBot="1" x14ac:dyDescent="0.3">
      <c r="A39" s="77" t="s">
        <v>37</v>
      </c>
      <c r="B39" s="78"/>
      <c r="C39" s="78">
        <f>SUM(C8:C38)</f>
        <v>302.27000000000044</v>
      </c>
      <c r="D39" s="78">
        <f>SUM(D8:D38)</f>
        <v>9672640.000000013</v>
      </c>
      <c r="E39" s="78"/>
      <c r="F39" s="78">
        <f>SUM(F8:F38)</f>
        <v>1939520.0000000005</v>
      </c>
      <c r="G39" s="78">
        <f>SUM(G8:G38)</f>
        <v>11612160.000000017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11527000</v>
      </c>
      <c r="O39" s="79"/>
      <c r="P39" s="79"/>
      <c r="Q39" s="78">
        <f>SUM(Q8:Q38)</f>
        <v>561899.99999999942</v>
      </c>
      <c r="R39" s="79">
        <f>AVERAGE(R8:R38)</f>
        <v>1</v>
      </c>
      <c r="S39" s="79"/>
      <c r="T39" s="78">
        <f>SUM(T8:T38)</f>
        <v>9224.0499999988824</v>
      </c>
      <c r="U39" s="79"/>
      <c r="V39" s="79">
        <f>SUM(V8:V38)</f>
        <v>0</v>
      </c>
      <c r="W39" s="79"/>
      <c r="X39" s="78">
        <f>SUM(X8:X38)</f>
        <v>549975.95000000054</v>
      </c>
      <c r="Y39" s="184"/>
      <c r="Z39" s="184"/>
      <c r="AA39" s="78"/>
      <c r="AB39" s="78"/>
      <c r="AC39" s="79"/>
      <c r="AD39" s="79"/>
      <c r="AE39" s="78">
        <f>SUM(AE8:AE38)</f>
        <v>227600.00000000038</v>
      </c>
      <c r="AF39" s="79">
        <f>AVERAGE(AF8:AF38)</f>
        <v>1</v>
      </c>
      <c r="AG39" s="79"/>
      <c r="AH39" s="79"/>
      <c r="AI39" s="78">
        <f>SUM(AI8:AI38)</f>
        <v>425597.77</v>
      </c>
      <c r="AJ39" s="79">
        <f>AVERAGE(AJ8:AJ38)</f>
        <v>1</v>
      </c>
      <c r="AK39" s="78">
        <f>SUM(AK8:AK38)</f>
        <v>1212397.7699999998</v>
      </c>
      <c r="AL39" s="79"/>
      <c r="AM39" s="79"/>
      <c r="AN39" s="78">
        <f>SUM(AN8:AN38)</f>
        <v>191777.76999999981</v>
      </c>
      <c r="AO39" s="79">
        <f>AVERAGE(AO8:AO38)</f>
        <v>1</v>
      </c>
      <c r="AP39" s="79"/>
      <c r="AQ39" s="79"/>
      <c r="AR39" s="78">
        <f>SUM(AR8:AR38)</f>
        <v>286399.99999999965</v>
      </c>
      <c r="AS39" s="79">
        <f>AVERAGE(AS8:AS38)</f>
        <v>1</v>
      </c>
      <c r="AT39" s="184"/>
      <c r="AU39" s="184"/>
      <c r="AV39" s="184"/>
      <c r="AW39" s="184"/>
      <c r="AX39" s="79"/>
      <c r="AY39" s="79"/>
      <c r="AZ39" s="78">
        <f>SUM(AZ8:AZ38)</f>
        <v>12510</v>
      </c>
      <c r="BA39" s="79"/>
      <c r="BB39" s="79"/>
      <c r="BC39" s="78">
        <f>SUM(BC8:BC38)</f>
        <v>19100</v>
      </c>
      <c r="BD39" s="78">
        <f>SUM(BD8:BD38)</f>
        <v>509787.76999999949</v>
      </c>
      <c r="BE39" s="80"/>
      <c r="BF39" s="81"/>
      <c r="BG39" s="78">
        <f>SUM(BG8:BG38)</f>
        <v>54299.999999999942</v>
      </c>
      <c r="BH39" s="78"/>
      <c r="BI39" s="78"/>
      <c r="BJ39" s="78"/>
      <c r="BK39" s="80"/>
      <c r="BL39" s="78">
        <f>SUM(BL8:BL38)</f>
        <v>129510</v>
      </c>
      <c r="BM39" s="80"/>
      <c r="BN39" s="78">
        <f>SUM(BN8:BN38)</f>
        <v>21110.000000000004</v>
      </c>
      <c r="BO39" s="187"/>
      <c r="BP39" s="188">
        <f>SUM(BP8:BP38)</f>
        <v>0</v>
      </c>
      <c r="BQ39" s="79"/>
      <c r="BR39" s="78">
        <f>SUM(BR8:BR38)</f>
        <v>18700.000000000153</v>
      </c>
      <c r="BS39" s="78"/>
      <c r="BT39" s="78"/>
      <c r="BU39" s="79"/>
      <c r="BV39" s="79"/>
      <c r="BW39" s="78">
        <f>SUM(BW8:BW38)</f>
        <v>254267</v>
      </c>
      <c r="BX39" s="79">
        <f>AVERAGE(BX8:BX38)</f>
        <v>1</v>
      </c>
      <c r="BY39" s="79"/>
      <c r="BZ39" s="79"/>
      <c r="CA39" s="78">
        <f>SUM(CA8:CA38)</f>
        <v>19650.199999999986</v>
      </c>
      <c r="CB39" s="78"/>
      <c r="CC39" s="79"/>
      <c r="CD39" s="79"/>
      <c r="CE39" s="79"/>
      <c r="CF39" s="78">
        <f>SUM(CF8:CF38)</f>
        <v>196908</v>
      </c>
      <c r="CG39" s="79"/>
      <c r="CH39" s="78">
        <f>SUM(CH8:CH38)</f>
        <v>0.39999999999417923</v>
      </c>
      <c r="CI39" s="79"/>
      <c r="CJ39" s="79"/>
      <c r="CK39" s="78">
        <f>SUM(CK8:CK38)</f>
        <v>464567.57000000082</v>
      </c>
      <c r="CL39" s="79">
        <f>AVERAGE(CL8:CL38)</f>
        <v>1</v>
      </c>
      <c r="CM39" s="79"/>
      <c r="CN39" s="79"/>
      <c r="CO39" s="78">
        <f>SUM(CO8:CO38)</f>
        <v>192156.76999999979</v>
      </c>
      <c r="CP39" s="79">
        <f>AVERAGE(CP8:CP38)</f>
        <v>1</v>
      </c>
      <c r="CQ39" s="82"/>
      <c r="CR39" s="83"/>
      <c r="CS39" s="78">
        <f>SUM(CS8:CS38)</f>
        <v>193673.17</v>
      </c>
      <c r="CT39" s="79">
        <f>AVERAGE(CT8:CT38)</f>
        <v>1</v>
      </c>
      <c r="CU39" s="79"/>
      <c r="CV39" s="79"/>
      <c r="CW39" s="78">
        <f>SUM(CW8:CW38)</f>
        <v>319992</v>
      </c>
      <c r="CX39" s="79">
        <f>AVERAGE(CX8:CX38)</f>
        <v>1</v>
      </c>
      <c r="CY39" s="79"/>
      <c r="CZ39" s="79"/>
      <c r="DA39" s="78">
        <f>SUM(DA8:DA38)</f>
        <v>186432</v>
      </c>
      <c r="DB39" s="79">
        <f>AVERAGE(DB8:DB38)</f>
        <v>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-1611088.5100000002</v>
      </c>
      <c r="DH39" s="78">
        <f>SUM(DH8:DH38)</f>
        <v>12793697.77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327300</v>
      </c>
      <c r="DS39" s="84"/>
      <c r="DT39" s="85">
        <f>SUMIF(DT7:DT38,"&gt;0")</f>
        <v>568400</v>
      </c>
      <c r="DU39" s="86"/>
      <c r="DV39" s="86"/>
      <c r="DW39" s="87">
        <f>SUMIF(DW8:DW38,"&gt;0")</f>
        <v>129699.99999999891</v>
      </c>
      <c r="DX39" s="86"/>
      <c r="DY39" s="86"/>
      <c r="DZ39" s="87">
        <f>SUMIF(DZ8:DZ38,"&gt;0")</f>
        <v>241597.77000000005</v>
      </c>
      <c r="EA39" s="86"/>
      <c r="EB39" s="86"/>
      <c r="EC39" s="87">
        <f>SUMIF(EC8:EC38,"&gt;0")</f>
        <v>738557.77</v>
      </c>
      <c r="ED39" s="88">
        <f>SUMIF(ED8:ED38,"&gt;0")</f>
        <v>1109855.5399999986</v>
      </c>
      <c r="EE39" s="86"/>
      <c r="EF39" s="86"/>
      <c r="EG39" s="87">
        <f>SUMIF(EG8:EG38,"&gt;0")</f>
        <v>924557.77</v>
      </c>
      <c r="EH39" s="86"/>
      <c r="EI39" s="86"/>
      <c r="EJ39" s="87">
        <f>SUMIF(EJ8:EJ38,"&gt;0")</f>
        <v>359597.76999999996</v>
      </c>
      <c r="EK39" s="87"/>
      <c r="EL39" s="87"/>
      <c r="EM39" s="87">
        <f>SUMIF(EM8:EM38,"&gt;0")</f>
        <v>20639.999999999985</v>
      </c>
      <c r="EN39" s="89">
        <f>SUMIF(EN8:EN38,"&gt;0")</f>
        <v>1304795.54</v>
      </c>
      <c r="EO39" s="48"/>
      <c r="EP39" s="48"/>
      <c r="EQ39" s="90">
        <f>SUMIF(EQ8:EQ38,"&gt;0")</f>
        <v>190682.76999999952</v>
      </c>
      <c r="ER39" s="90"/>
      <c r="ES39" s="90"/>
      <c r="ET39" s="90">
        <f>SUMIF(ET8:ET38,"&gt;0")</f>
        <v>471029.99999999889</v>
      </c>
      <c r="EU39" s="90"/>
      <c r="EV39" s="90"/>
      <c r="EW39" s="90">
        <f>SUMIF(EW8:EW38,"&gt;0")</f>
        <v>281196.77000000019</v>
      </c>
      <c r="EX39" s="48"/>
      <c r="EY39" s="48"/>
      <c r="EZ39" s="90">
        <f>SUMIF(EZ8:EZ38,"&gt;0")</f>
        <v>347087.76999999979</v>
      </c>
      <c r="FA39" s="90"/>
      <c r="FB39" s="90"/>
      <c r="FC39" s="90"/>
      <c r="FD39" s="90">
        <f>SUMIF(FD8:FD38,"&gt;0")</f>
        <v>1342984.0099999984</v>
      </c>
      <c r="FE39" s="48"/>
      <c r="FF39" s="48"/>
      <c r="FG39" s="90">
        <f>SUMIF(FG8:FG38,"&gt;0")</f>
        <v>292107.76999999938</v>
      </c>
      <c r="FH39" s="90"/>
      <c r="FI39" s="90"/>
      <c r="FJ39" s="90">
        <f>SUMIF(FJ8:FJ38,"&gt;0")</f>
        <v>551862.76999999885</v>
      </c>
      <c r="FK39" s="90"/>
      <c r="FL39" s="90">
        <f>SUMIF(FL8:FL38,"&gt;0")</f>
        <v>2061.67</v>
      </c>
      <c r="FM39" s="90">
        <f>SUMIF(FM8:FM38,"&gt;0")</f>
        <v>2050.0166666667174</v>
      </c>
      <c r="FN39" s="48"/>
      <c r="FO39" s="48"/>
      <c r="FP39" s="90">
        <f>SUMIF(FP8:FP38,"&gt;0")</f>
        <v>377562.77000000142</v>
      </c>
      <c r="FQ39" s="90"/>
      <c r="FR39" s="90"/>
      <c r="FS39" s="90">
        <f>SUMIF(FS8:FS38,"&gt;0")</f>
        <v>1207739.9999999981</v>
      </c>
      <c r="FT39" s="90"/>
      <c r="FU39" s="90">
        <f>SUMIF(FU8:FU38,"&gt;0")</f>
        <v>1242996.3099999996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36668.299999999988</v>
      </c>
      <c r="GQ39" s="90"/>
      <c r="GR39" s="90"/>
      <c r="GS39" s="90">
        <f>SUM(GS8:GS38)</f>
        <v>13713.400000000023</v>
      </c>
      <c r="GT39" s="178"/>
      <c r="GU39" s="90">
        <f>SUM(GU8:GU38)</f>
        <v>-0.34999998227431206</v>
      </c>
      <c r="GV39" s="90">
        <f>SUM(GV8:GV38)</f>
        <v>68966.2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H39" s="16"/>
      <c r="HI39" s="16"/>
      <c r="HJ39" s="16">
        <f>SUM(HJ7:HJ38)</f>
        <v>3924000</v>
      </c>
      <c r="HK39" s="16"/>
      <c r="HL39" s="16"/>
      <c r="HM39" s="16">
        <f>SUM(HM7:HM38)</f>
        <v>0</v>
      </c>
      <c r="HN39" s="16"/>
      <c r="HO39" s="16"/>
      <c r="HP39" s="16">
        <f>SUM(HP7:HP38)</f>
        <v>1023592.5</v>
      </c>
      <c r="HQ39" s="16"/>
      <c r="HR39" s="16"/>
      <c r="HS39" s="16">
        <f>SUM(HS7:HS38)</f>
        <v>560692.5</v>
      </c>
      <c r="HT39" s="16"/>
      <c r="HU39" s="16"/>
      <c r="HV39" s="16">
        <f>SUM(HV7:HV38)</f>
        <v>683292.50000000035</v>
      </c>
      <c r="HW39" s="16"/>
      <c r="HX39" s="16"/>
      <c r="HY39" s="16">
        <f>SUM(HY7:HY38)</f>
        <v>568292.49999999988</v>
      </c>
      <c r="HZ39" s="16"/>
      <c r="IA39" s="16"/>
      <c r="IB39" s="16">
        <f>SUM(IB7:IB38)</f>
        <v>519730</v>
      </c>
      <c r="IC39" s="16"/>
      <c r="ID39" s="16"/>
      <c r="IE39" s="16">
        <f>SUM(IE7:IE38)</f>
        <v>0</v>
      </c>
      <c r="IF39" s="16"/>
      <c r="IG39" s="16"/>
      <c r="IH39" s="16">
        <f>SUM(IH7:IH38)</f>
        <v>568400</v>
      </c>
      <c r="II39" s="211">
        <f>SUM(II8:II38)</f>
        <v>-3.6925484891980886E-10</v>
      </c>
      <c r="IJ39" s="16"/>
      <c r="IK39" s="16"/>
      <c r="IL39" s="16">
        <f>SUM(IL7:IL38)</f>
        <v>0</v>
      </c>
      <c r="IM39" s="16"/>
      <c r="IN39" s="16"/>
      <c r="IO39" s="16">
        <f>SUM(IO7:IO38)</f>
        <v>0</v>
      </c>
      <c r="IP39" s="16"/>
      <c r="IQ39" s="16"/>
      <c r="IR39" s="16">
        <f>SUM(IR7:IR38)</f>
        <v>0</v>
      </c>
      <c r="IS39" s="16"/>
      <c r="IT39" s="16"/>
      <c r="IU39" s="16">
        <f>SUM(IU7:IU38)</f>
        <v>0</v>
      </c>
      <c r="IV39" s="16"/>
      <c r="IW39" s="16"/>
      <c r="IX39" s="16">
        <f>SUM(IX7:IX38)</f>
        <v>0</v>
      </c>
      <c r="IY39" s="16"/>
      <c r="IZ39" s="16"/>
      <c r="JA39" s="16">
        <f>SUM(JA7:JA38)</f>
        <v>0</v>
      </c>
      <c r="JB39" s="16"/>
      <c r="JC39" s="16"/>
      <c r="JD39" s="16">
        <f>SUM(JD7:JD38)</f>
        <v>0</v>
      </c>
      <c r="JE39" s="16"/>
      <c r="JF39" s="16"/>
      <c r="JG39" s="16">
        <f>SUM(JG7:JG38)</f>
        <v>0</v>
      </c>
      <c r="JH39" s="16"/>
      <c r="JI39" s="16"/>
      <c r="JJ39" s="16">
        <f>SUM(JJ7:JJ38)</f>
        <v>0</v>
      </c>
      <c r="JK39" s="16"/>
      <c r="JL39" s="16"/>
      <c r="JM39" s="16">
        <f>SUM(JM7:JM38)</f>
        <v>0</v>
      </c>
      <c r="JN39" s="16"/>
      <c r="JO39" s="16"/>
      <c r="JP39" s="16">
        <f>SUM(JP7:JP38)</f>
        <v>0</v>
      </c>
      <c r="JQ39" s="16"/>
      <c r="JR39" s="16"/>
      <c r="JS39" s="16">
        <f>SUM(JS7:JS38)</f>
        <v>0</v>
      </c>
      <c r="JT39" s="16"/>
      <c r="JU39" s="16"/>
      <c r="JV39" s="16">
        <f>SUM(JV7:JV38)</f>
        <v>0</v>
      </c>
      <c r="JW39" s="16"/>
      <c r="JX39" s="16"/>
      <c r="JY39" s="16">
        <f>SUM(JY7:JY38)</f>
        <v>0</v>
      </c>
      <c r="JZ39" s="16"/>
      <c r="KA39" s="16"/>
      <c r="KB39" s="16">
        <f>SUM(KB7:KB38)</f>
        <v>0</v>
      </c>
      <c r="KC39" s="16"/>
      <c r="KD39" s="16"/>
      <c r="KE39" s="16">
        <f>SUM(KE7:KE38)</f>
        <v>0</v>
      </c>
      <c r="KG39">
        <f>SUM(KG7:KG38)</f>
        <v>1543322.5000000002</v>
      </c>
    </row>
    <row r="40" spans="1:293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74"/>
    </row>
    <row r="41" spans="1:293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419" t="s">
        <v>208</v>
      </c>
      <c r="BV41" s="419"/>
      <c r="BW41" s="419"/>
      <c r="BY41" s="406" t="s">
        <v>205</v>
      </c>
      <c r="BZ41" s="406"/>
      <c r="CA41" s="406"/>
      <c r="CC41" s="91"/>
      <c r="CE41" s="95"/>
      <c r="CF41" s="95"/>
      <c r="CG41" s="95"/>
      <c r="CH41" s="96"/>
      <c r="CI41" s="92"/>
      <c r="CJ41" s="92"/>
      <c r="CK41" s="92"/>
      <c r="CL41" s="92"/>
      <c r="CZ41" s="91"/>
      <c r="DB41" s="91"/>
      <c r="DS41" s="24"/>
      <c r="DT41" s="151"/>
      <c r="DU41" s="406" t="s">
        <v>205</v>
      </c>
      <c r="DV41" s="406"/>
      <c r="DW41" s="406"/>
      <c r="DX41" s="406" t="s">
        <v>203</v>
      </c>
      <c r="DY41" s="406"/>
      <c r="DZ41" s="406"/>
      <c r="EA41" s="406" t="s">
        <v>204</v>
      </c>
      <c r="EB41" s="406"/>
      <c r="EC41" s="406"/>
      <c r="EE41" t="s">
        <v>108</v>
      </c>
      <c r="EF41" s="3"/>
      <c r="EJ41" s="2"/>
      <c r="EK41" s="174"/>
      <c r="EL41" s="174"/>
      <c r="EN41" s="2"/>
      <c r="EO41" s="406" t="s">
        <v>155</v>
      </c>
      <c r="EP41" s="406"/>
      <c r="EQ41" s="406"/>
      <c r="ER41" s="406" t="s">
        <v>135</v>
      </c>
      <c r="ES41" s="406"/>
      <c r="ET41" s="406"/>
      <c r="EU41" s="406" t="s">
        <v>155</v>
      </c>
      <c r="EV41" s="406"/>
      <c r="EW41" s="406"/>
      <c r="EX41" s="406"/>
      <c r="EY41" s="406"/>
      <c r="EZ41" s="406"/>
      <c r="FE41" s="407" t="s">
        <v>155</v>
      </c>
      <c r="FF41" s="407"/>
      <c r="FG41" s="407"/>
      <c r="FH41" s="406" t="s">
        <v>135</v>
      </c>
      <c r="FI41" s="406"/>
      <c r="FJ41" s="406"/>
      <c r="FO41" s="407" t="s">
        <v>155</v>
      </c>
      <c r="FP41" s="407"/>
      <c r="FQ41" s="407"/>
      <c r="FX41" s="91">
        <f>SUM(FX8:FX38)</f>
        <v>636645</v>
      </c>
      <c r="GA41" s="91">
        <f>SUM(GA8:GA38)</f>
        <v>154775.60000000003</v>
      </c>
      <c r="GG41" s="91">
        <f>SUM(GG8:GG38)</f>
        <v>207140.30000000013</v>
      </c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X41" s="151"/>
    </row>
    <row r="42" spans="1:293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24">BW8</f>
        <v>9883.7999999998137</v>
      </c>
      <c r="CE42" s="96">
        <f t="shared" ref="CE42:CE45" si="125">CD42-CF43</f>
        <v>9883.3999999997905</v>
      </c>
      <c r="CF42" s="98">
        <f t="shared" ref="CF42:CF46" si="126">CD42-CE42</f>
        <v>0.40000000002328306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414" t="s">
        <v>224</v>
      </c>
      <c r="DR42" s="414"/>
      <c r="DS42" s="414"/>
      <c r="DT42" s="414"/>
      <c r="EE42" t="s">
        <v>109</v>
      </c>
      <c r="EJ42" s="3"/>
      <c r="EK42" s="174"/>
      <c r="EL42" s="174"/>
      <c r="EN42" s="2"/>
      <c r="EO42" s="151"/>
      <c r="FF42" s="416" t="s">
        <v>243</v>
      </c>
      <c r="FG42" s="416"/>
      <c r="FH42" s="416" t="s">
        <v>246</v>
      </c>
      <c r="FI42" s="416"/>
      <c r="FJ42" s="415" t="s">
        <v>247</v>
      </c>
      <c r="FK42" s="415"/>
      <c r="FL42" s="415" t="s">
        <v>245</v>
      </c>
      <c r="FM42" s="415"/>
      <c r="FN42" s="416" t="s">
        <v>37</v>
      </c>
      <c r="FO42" s="418" t="s">
        <v>310</v>
      </c>
      <c r="FP42" s="406"/>
      <c r="FQ42" s="500"/>
      <c r="FR42" s="402" t="s">
        <v>1</v>
      </c>
      <c r="FS42" s="402" t="s">
        <v>306</v>
      </c>
      <c r="FT42" s="402"/>
      <c r="FU42" s="402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3924000</v>
      </c>
      <c r="HJ42" s="16"/>
      <c r="HT42" s="151"/>
      <c r="HX42" s="151"/>
      <c r="IH42" s="16"/>
      <c r="II42" s="16" t="s">
        <v>290</v>
      </c>
      <c r="IJ42" s="16"/>
      <c r="IK42" s="16"/>
      <c r="IL42" s="16"/>
      <c r="JN42" t="s">
        <v>296</v>
      </c>
    </row>
    <row r="43" spans="1:293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24"/>
        <v>11351.200000000186</v>
      </c>
      <c r="CE43" s="96">
        <f t="shared" si="125"/>
        <v>11350.800000000163</v>
      </c>
      <c r="CF43" s="98">
        <f t="shared" si="126"/>
        <v>0.40000000002328306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408" t="s">
        <v>225</v>
      </c>
      <c r="DR43" s="409"/>
      <c r="DS43" s="408" t="s">
        <v>226</v>
      </c>
      <c r="DT43" s="409"/>
      <c r="EE43" t="s">
        <v>110</v>
      </c>
      <c r="EJ43" s="2"/>
      <c r="EK43" s="174"/>
      <c r="EL43" s="174"/>
      <c r="EN43" s="3"/>
      <c r="EO43" s="151"/>
      <c r="EZ43" s="416" t="s">
        <v>241</v>
      </c>
      <c r="FA43" s="416" t="s">
        <v>242</v>
      </c>
      <c r="FB43" s="416" t="s">
        <v>37</v>
      </c>
      <c r="FD43" s="3"/>
      <c r="FF43" s="416"/>
      <c r="FG43" s="416"/>
      <c r="FH43" s="416"/>
      <c r="FI43" s="416"/>
      <c r="FJ43" s="415"/>
      <c r="FK43" s="415"/>
      <c r="FL43" s="415"/>
      <c r="FM43" s="415"/>
      <c r="FN43" s="416"/>
      <c r="FO43" s="418"/>
      <c r="FP43" s="406"/>
      <c r="FQ43" s="500"/>
      <c r="FR43" s="402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</v>
      </c>
      <c r="HJ43" s="16"/>
      <c r="HT43" s="151"/>
      <c r="HV43" s="151"/>
      <c r="HW43" s="151"/>
      <c r="HX43" s="151"/>
      <c r="IH43" s="16"/>
      <c r="II43" s="16" t="s">
        <v>291</v>
      </c>
      <c r="IJ43" s="16"/>
      <c r="IK43" s="16"/>
      <c r="IL43" s="16"/>
      <c r="JN43">
        <f t="shared" ref="JN43:JN63" si="127">HY15-JP15</f>
        <v>24409.999999999956</v>
      </c>
    </row>
    <row r="44" spans="1:293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124"/>
        <v>11747</v>
      </c>
      <c r="CE44" s="96">
        <f t="shared" si="125"/>
        <v>11746.599999999977</v>
      </c>
      <c r="CF44" s="98">
        <f t="shared" si="126"/>
        <v>0.40000000002328306</v>
      </c>
      <c r="CG44" s="96">
        <v>4450.1999999999753</v>
      </c>
      <c r="CH44" s="96">
        <f t="shared" ref="CH44:CH46" si="128">CG44-CD10-CH10</f>
        <v>784.69999999997526</v>
      </c>
      <c r="CI44" s="92"/>
      <c r="CJ44" s="92"/>
      <c r="CK44" s="92"/>
      <c r="CL44" s="92"/>
      <c r="CQ44" s="161"/>
      <c r="CR44" s="161"/>
      <c r="CV44" s="91"/>
      <c r="DQ44" s="410"/>
      <c r="DR44" s="411"/>
      <c r="DS44" s="410"/>
      <c r="DT44" s="411"/>
      <c r="EE44" t="s">
        <v>111</v>
      </c>
      <c r="EJ44" s="2"/>
      <c r="EV44" t="s">
        <v>235</v>
      </c>
      <c r="EZ44" s="416"/>
      <c r="FA44" s="416"/>
      <c r="FB44" s="416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416"/>
      <c r="FO44" s="418"/>
      <c r="FP44" s="406"/>
      <c r="FQ44" s="500"/>
      <c r="FR44" s="16">
        <v>1</v>
      </c>
      <c r="FS44" s="16">
        <v>706.41</v>
      </c>
      <c r="FT44" s="16">
        <v>368.03</v>
      </c>
      <c r="FU44" s="16"/>
      <c r="FV44" s="16"/>
      <c r="FW44" s="16"/>
      <c r="HD44" s="74"/>
      <c r="HH44" s="16" t="s">
        <v>272</v>
      </c>
      <c r="HI44" s="16">
        <f>HS39</f>
        <v>560692.5</v>
      </c>
      <c r="HJ44" s="16"/>
      <c r="HT44" s="151"/>
      <c r="HV44" s="151"/>
      <c r="HW44" s="151"/>
      <c r="HX44" s="151"/>
      <c r="IH44" s="16"/>
      <c r="II44" s="16"/>
      <c r="IJ44" s="16" t="s">
        <v>292</v>
      </c>
      <c r="IK44" s="16"/>
      <c r="IL44" s="16" t="s">
        <v>292</v>
      </c>
      <c r="JN44">
        <f t="shared" si="127"/>
        <v>4375</v>
      </c>
    </row>
    <row r="45" spans="1:293" x14ac:dyDescent="0.25">
      <c r="A45" s="35">
        <v>30</v>
      </c>
      <c r="B45" s="138">
        <v>0.37280000000000002</v>
      </c>
      <c r="C45" s="65"/>
      <c r="D45" s="55"/>
      <c r="E45" s="16">
        <v>27808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24"/>
        <v>10916</v>
      </c>
      <c r="CE45" s="96">
        <f t="shared" si="125"/>
        <v>10915.599999999977</v>
      </c>
      <c r="CF45" s="98">
        <f t="shared" si="126"/>
        <v>0.40000000002328306</v>
      </c>
      <c r="CG45" s="96">
        <v>4316.1999999999753</v>
      </c>
      <c r="CH45" s="96">
        <f t="shared" si="128"/>
        <v>809.59999999999854</v>
      </c>
      <c r="CI45" s="92"/>
      <c r="CJ45" s="92"/>
      <c r="CK45" s="92"/>
      <c r="CL45" s="92"/>
      <c r="DQ45" s="412"/>
      <c r="DR45" s="413"/>
      <c r="DS45" s="412"/>
      <c r="DT45" s="413"/>
      <c r="EE45" t="s">
        <v>114</v>
      </c>
      <c r="EV45" t="s">
        <v>236</v>
      </c>
      <c r="EW45" s="406" t="s">
        <v>238</v>
      </c>
      <c r="EX45" s="406"/>
      <c r="EZ45" s="203">
        <f>EZ8</f>
        <v>9942.5300000000007</v>
      </c>
      <c r="FA45" s="205">
        <f>FP8</f>
        <v>9854.2000000000007</v>
      </c>
      <c r="FB45" s="201">
        <f>EZ45+FA45</f>
        <v>19796.730000000003</v>
      </c>
      <c r="FC45" s="16">
        <f>85*0.6355*24</f>
        <v>1296.42</v>
      </c>
      <c r="FD45" s="167">
        <f>FB45-$FC$45</f>
        <v>18500.310000000005</v>
      </c>
      <c r="FE45" s="16"/>
      <c r="FF45" s="199">
        <v>0.5</v>
      </c>
      <c r="FG45" s="200">
        <v>0.5</v>
      </c>
      <c r="FH45" s="16">
        <f>FF45*$FC$45</f>
        <v>648.21</v>
      </c>
      <c r="FI45" s="179">
        <f>FG45*$FC$45</f>
        <v>648.21</v>
      </c>
      <c r="FJ45" s="179">
        <f>FF45*FD45</f>
        <v>9250.1550000000025</v>
      </c>
      <c r="FK45" s="179">
        <f>FG45*FD45</f>
        <v>9250.1550000000025</v>
      </c>
      <c r="FL45" s="204">
        <f>FH45+FJ45</f>
        <v>9898.3650000000016</v>
      </c>
      <c r="FM45" s="206">
        <f>FI45+FK45</f>
        <v>9898.3650000000016</v>
      </c>
      <c r="FN45" s="202">
        <f>FL45+FM45</f>
        <v>19796.730000000003</v>
      </c>
      <c r="FQ45" s="217"/>
      <c r="FR45" s="16">
        <v>2</v>
      </c>
      <c r="FS45" s="16">
        <v>708.14</v>
      </c>
      <c r="FT45" s="16">
        <v>369.13</v>
      </c>
      <c r="FU45" s="16">
        <f t="shared" ref="FU45:FU75" si="129">(FS45-FS44)*1000</f>
        <v>1730.0000000000182</v>
      </c>
      <c r="FV45" s="16">
        <f t="shared" ref="FV45:FV75" si="130">FU45/2</f>
        <v>865.00000000000909</v>
      </c>
      <c r="FW45" s="16">
        <f t="shared" ref="FW45:FW75" si="131">FU45/2</f>
        <v>865.00000000000909</v>
      </c>
      <c r="HD45" s="74"/>
      <c r="HH45" s="16" t="s">
        <v>273</v>
      </c>
      <c r="HI45" s="16">
        <f>HV39</f>
        <v>683292.50000000035</v>
      </c>
      <c r="HJ45" s="179"/>
      <c r="HR45" s="151"/>
      <c r="HS45" s="151"/>
      <c r="HT45" s="151"/>
      <c r="HV45" s="151"/>
      <c r="HW45" s="151"/>
      <c r="IG45" s="151"/>
      <c r="IH45" s="16">
        <v>1</v>
      </c>
      <c r="II45" s="144">
        <f>DailyJul!BX7+DailyJul!BY7-DailyJul!BZ7-DailyJul!CA7-DailyJul!CB7-DailyJul!CC7-DailyJul!CD7-DailyJul!CF7-DailyJul!CE7</f>
        <v>-5.9662852436304092E-10</v>
      </c>
      <c r="IJ45" s="16">
        <v>940</v>
      </c>
      <c r="IK45" s="16">
        <f>IJ45/4</f>
        <v>235</v>
      </c>
      <c r="IL45" s="16">
        <v>235</v>
      </c>
      <c r="JN45">
        <f t="shared" si="127"/>
        <v>725</v>
      </c>
    </row>
    <row r="46" spans="1:293" x14ac:dyDescent="0.25">
      <c r="A46" s="35">
        <v>1</v>
      </c>
      <c r="B46" s="138">
        <v>0.37280000000000002</v>
      </c>
      <c r="C46" s="65"/>
      <c r="D46" s="37">
        <f>IF((B46-B45)&lt;=0,0,(B46-B45))*1000000</f>
        <v>0</v>
      </c>
      <c r="E46" s="16">
        <v>27808</v>
      </c>
      <c r="F46" s="16"/>
      <c r="G46" s="37">
        <f t="shared" ref="G46:G77" si="132">IF((E46-E45)&lt;=0,0,(E46-E45))*1000</f>
        <v>0</v>
      </c>
      <c r="H46" s="138"/>
      <c r="I46" s="65"/>
      <c r="J46" s="37">
        <f t="shared" ref="J46:J75" si="133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>
        <f t="shared" si="124"/>
        <v>10876</v>
      </c>
      <c r="CE46" s="96">
        <f>CD46-CF47</f>
        <v>10875.599999999977</v>
      </c>
      <c r="CF46" s="98">
        <f t="shared" si="126"/>
        <v>0.40000000002328306</v>
      </c>
      <c r="CG46" s="96">
        <v>3692.1999999999753</v>
      </c>
      <c r="CH46" s="96">
        <f t="shared" si="128"/>
        <v>337.3999999999287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34">EZ9</f>
        <v>11110.2</v>
      </c>
      <c r="FA46" s="205">
        <f t="shared" ref="FA46:FA75" si="135">FP9</f>
        <v>10803.53</v>
      </c>
      <c r="FB46" s="201">
        <f t="shared" ref="FB46:FB75" si="136">EZ46+FA46</f>
        <v>21913.730000000003</v>
      </c>
      <c r="FC46" s="16"/>
      <c r="FD46" s="167">
        <f t="shared" ref="FD46:FD75" si="137">FB46-$FC$45</f>
        <v>20617.310000000005</v>
      </c>
      <c r="FE46" s="16"/>
      <c r="FF46" s="199">
        <v>0.5</v>
      </c>
      <c r="FG46" s="200">
        <v>0.5</v>
      </c>
      <c r="FH46" s="16">
        <f t="shared" ref="FH46:FI75" si="138">FF46*$FC$45</f>
        <v>648.21</v>
      </c>
      <c r="FI46" s="179">
        <f t="shared" si="138"/>
        <v>648.21</v>
      </c>
      <c r="FJ46" s="179">
        <f t="shared" ref="FJ46:FJ75" si="139">FF46*FD46</f>
        <v>10308.655000000002</v>
      </c>
      <c r="FK46" s="179">
        <f t="shared" ref="FK46:FK75" si="140">FG46*FD46</f>
        <v>10308.655000000002</v>
      </c>
      <c r="FL46" s="204">
        <f t="shared" ref="FL46:FM75" si="141">FH46+FJ46</f>
        <v>10956.865000000002</v>
      </c>
      <c r="FM46" s="206">
        <f t="shared" si="141"/>
        <v>10956.865000000002</v>
      </c>
      <c r="FN46" s="202">
        <f t="shared" ref="FN46:FN75" si="142">FL46+FM46</f>
        <v>21913.730000000003</v>
      </c>
      <c r="FQ46" s="217"/>
      <c r="FR46" s="16">
        <v>3</v>
      </c>
      <c r="FS46" s="16">
        <v>709.98</v>
      </c>
      <c r="FT46" s="16">
        <v>370.3</v>
      </c>
      <c r="FU46" s="16">
        <f t="shared" si="129"/>
        <v>1840.0000000000318</v>
      </c>
      <c r="FV46" s="16">
        <f t="shared" si="130"/>
        <v>920.00000000001592</v>
      </c>
      <c r="FW46" s="16">
        <f t="shared" si="131"/>
        <v>920.00000000001592</v>
      </c>
      <c r="HH46" s="16" t="s">
        <v>274</v>
      </c>
      <c r="HI46" s="16">
        <f>HY39</f>
        <v>568292.49999999988</v>
      </c>
      <c r="HJ46" s="16"/>
      <c r="HV46" s="151"/>
      <c r="IH46" s="16">
        <v>2</v>
      </c>
      <c r="II46" s="144">
        <f>DailyJul!BX8+DailyJul!BY8-DailyJul!BZ8-DailyJul!CA8-DailyJul!CB8-DailyJul!CC8-DailyJul!CD8-DailyJul!CF8-DailyJul!CE8</f>
        <v>2.3283064365386963E-10</v>
      </c>
      <c r="IJ46" s="16">
        <v>6270</v>
      </c>
      <c r="IK46" s="16">
        <f t="shared" ref="IK46:IK75" si="143">IJ46/4</f>
        <v>1567.5</v>
      </c>
      <c r="IL46" s="16">
        <v>1567.5</v>
      </c>
      <c r="JN46">
        <f t="shared" si="127"/>
        <v>2200.0000000001364</v>
      </c>
    </row>
    <row r="47" spans="1:293" x14ac:dyDescent="0.25">
      <c r="A47" s="35">
        <v>2</v>
      </c>
      <c r="B47" s="138">
        <v>0.37280000000000002</v>
      </c>
      <c r="C47" s="65"/>
      <c r="D47" s="37">
        <f t="shared" ref="D47:D77" si="144">IF((B47-B46)&lt;=0,0,(B47-B46))*1000000</f>
        <v>0</v>
      </c>
      <c r="E47" s="16">
        <v>27808</v>
      </c>
      <c r="F47" s="16"/>
      <c r="G47" s="37">
        <f t="shared" si="132"/>
        <v>0</v>
      </c>
      <c r="H47" s="138"/>
      <c r="I47" s="65"/>
      <c r="J47" s="37">
        <f t="shared" si="133"/>
        <v>0</v>
      </c>
      <c r="BH47" s="96"/>
      <c r="BI47" s="96"/>
      <c r="BJ47" s="96"/>
      <c r="CC47" s="91"/>
      <c r="CD47" s="91">
        <f>BW13</f>
        <v>11769</v>
      </c>
      <c r="CE47" s="96">
        <f>CD13+CF13+CH13</f>
        <v>11768.599999999977</v>
      </c>
      <c r="CF47" s="98">
        <f>CD47-CE47</f>
        <v>0.40000000002328306</v>
      </c>
      <c r="CG47" s="96">
        <v>5653.1999999999753</v>
      </c>
      <c r="CH47" s="96">
        <f>CG47-CD13-CH13</f>
        <v>1842.5999999999985</v>
      </c>
      <c r="CI47" s="92"/>
      <c r="CJ47" s="92"/>
      <c r="CK47" s="92"/>
      <c r="CL47" s="92"/>
      <c r="CN47" s="91"/>
      <c r="DP47">
        <v>31</v>
      </c>
      <c r="DQ47" s="50">
        <v>8.2584</v>
      </c>
      <c r="DR47" s="49"/>
      <c r="DS47" s="50">
        <v>51.348999999999997</v>
      </c>
      <c r="DT47" s="49"/>
      <c r="EV47" t="s">
        <v>239</v>
      </c>
      <c r="EZ47" s="203">
        <f t="shared" si="134"/>
        <v>13236.14</v>
      </c>
      <c r="FA47" s="205">
        <f t="shared" si="135"/>
        <v>12376.14</v>
      </c>
      <c r="FB47" s="201">
        <f t="shared" si="136"/>
        <v>25612.28</v>
      </c>
      <c r="FC47" s="16"/>
      <c r="FD47" s="167">
        <f t="shared" si="137"/>
        <v>24315.86</v>
      </c>
      <c r="FE47" s="16"/>
      <c r="FF47" s="199">
        <v>0.5</v>
      </c>
      <c r="FG47" s="200">
        <v>0.5</v>
      </c>
      <c r="FH47" s="16">
        <f t="shared" si="138"/>
        <v>648.21</v>
      </c>
      <c r="FI47" s="179">
        <f t="shared" si="138"/>
        <v>648.21</v>
      </c>
      <c r="FJ47" s="179">
        <f t="shared" si="139"/>
        <v>12157.93</v>
      </c>
      <c r="FK47" s="179">
        <f t="shared" si="140"/>
        <v>12157.93</v>
      </c>
      <c r="FL47" s="204">
        <f t="shared" si="141"/>
        <v>12806.14</v>
      </c>
      <c r="FM47" s="206">
        <f t="shared" si="141"/>
        <v>12806.14</v>
      </c>
      <c r="FN47" s="202">
        <f t="shared" si="142"/>
        <v>25612.28</v>
      </c>
      <c r="FQ47" s="217"/>
      <c r="FR47" s="16">
        <v>4</v>
      </c>
      <c r="FS47" s="16">
        <v>711.74</v>
      </c>
      <c r="FT47" s="16">
        <v>371.44</v>
      </c>
      <c r="FU47" s="16">
        <f t="shared" si="129"/>
        <v>1759.9999999999909</v>
      </c>
      <c r="FV47" s="16">
        <f t="shared" si="130"/>
        <v>879.99999999999545</v>
      </c>
      <c r="FW47" s="16">
        <f t="shared" si="131"/>
        <v>879.99999999999545</v>
      </c>
      <c r="HH47" s="16" t="s">
        <v>319</v>
      </c>
      <c r="HI47" s="16">
        <f>HP39</f>
        <v>1023592.5</v>
      </c>
      <c r="HJ47" s="16"/>
      <c r="HT47" s="151"/>
      <c r="HV47" s="151"/>
      <c r="HW47" s="151"/>
      <c r="IH47" s="16">
        <v>3</v>
      </c>
      <c r="II47" s="144">
        <f>DailyJul!BX9+DailyJul!BY9-DailyJul!BZ9-DailyJul!CA9-DailyJul!CB9-DailyJul!CC9-DailyJul!CD9-DailyJul!CF9-DailyJul!CE9</f>
        <v>-4.3655745685100555E-11</v>
      </c>
      <c r="IJ47" s="16">
        <v>-6040</v>
      </c>
      <c r="IK47" s="16">
        <f t="shared" si="143"/>
        <v>-1510</v>
      </c>
      <c r="IL47" s="16">
        <v>-1510</v>
      </c>
      <c r="JN47">
        <f t="shared" si="127"/>
        <v>1150</v>
      </c>
    </row>
    <row r="48" spans="1:293" x14ac:dyDescent="0.25">
      <c r="A48" s="35">
        <v>3</v>
      </c>
      <c r="B48" s="138">
        <v>0.37280000000000002</v>
      </c>
      <c r="C48" s="65"/>
      <c r="D48" s="37">
        <f t="shared" si="144"/>
        <v>0</v>
      </c>
      <c r="E48" s="16">
        <v>27862</v>
      </c>
      <c r="F48" s="16"/>
      <c r="G48" s="37">
        <f t="shared" si="132"/>
        <v>54000</v>
      </c>
      <c r="H48" s="138"/>
      <c r="I48" s="65"/>
      <c r="J48" s="37">
        <f t="shared" si="133"/>
        <v>0</v>
      </c>
      <c r="AL48" s="101"/>
      <c r="AM48" s="101"/>
      <c r="AN48" s="101"/>
      <c r="AP48" s="405"/>
      <c r="AQ48" s="405"/>
      <c r="AR48" s="405"/>
      <c r="AS48" s="405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v>1</v>
      </c>
      <c r="DQ48" s="50">
        <v>8.2584</v>
      </c>
      <c r="DR48" s="49">
        <f t="shared" ref="DR48:DR78" si="145">IF((DQ48-DQ47)&lt;=0,0,(DQ48-DQ47))*10000</f>
        <v>0</v>
      </c>
      <c r="DS48" s="50">
        <v>51.348999999999997</v>
      </c>
      <c r="DT48" s="49">
        <f t="shared" ref="DT48:DT56" si="146">IF((DS48-DS47)&lt;=0,0,(DS48-DS47))*1000</f>
        <v>0</v>
      </c>
      <c r="EE48" s="406" t="s">
        <v>206</v>
      </c>
      <c r="EF48" s="406"/>
      <c r="EG48" s="406"/>
      <c r="EH48" s="406" t="s">
        <v>155</v>
      </c>
      <c r="EI48" s="406"/>
      <c r="EJ48" s="406"/>
      <c r="EK48" s="406" t="s">
        <v>207</v>
      </c>
      <c r="EL48" s="406"/>
      <c r="EM48" s="406"/>
      <c r="EV48" s="406" t="s">
        <v>240</v>
      </c>
      <c r="EW48" s="406"/>
      <c r="EX48">
        <f>85*0.6355*24</f>
        <v>1296.42</v>
      </c>
      <c r="EZ48" s="203">
        <f t="shared" si="134"/>
        <v>12514.95</v>
      </c>
      <c r="FA48" s="205">
        <f t="shared" si="135"/>
        <v>12498.28</v>
      </c>
      <c r="FB48" s="201">
        <f t="shared" si="136"/>
        <v>25013.230000000003</v>
      </c>
      <c r="FC48" s="16"/>
      <c r="FD48" s="167">
        <f t="shared" si="137"/>
        <v>23716.810000000005</v>
      </c>
      <c r="FE48" s="16"/>
      <c r="FF48" s="199">
        <v>0.5</v>
      </c>
      <c r="FG48" s="200">
        <v>0.5</v>
      </c>
      <c r="FH48" s="16">
        <f t="shared" si="138"/>
        <v>648.21</v>
      </c>
      <c r="FI48" s="179">
        <f t="shared" si="138"/>
        <v>648.21</v>
      </c>
      <c r="FJ48" s="179">
        <f t="shared" si="139"/>
        <v>11858.405000000002</v>
      </c>
      <c r="FK48" s="179">
        <f t="shared" si="140"/>
        <v>11858.405000000002</v>
      </c>
      <c r="FL48" s="204">
        <f t="shared" si="141"/>
        <v>12506.615000000002</v>
      </c>
      <c r="FM48" s="206">
        <f t="shared" si="141"/>
        <v>12506.615000000002</v>
      </c>
      <c r="FN48" s="202">
        <f t="shared" si="142"/>
        <v>25013.230000000003</v>
      </c>
      <c r="FQ48" s="217"/>
      <c r="FR48" s="16">
        <v>5</v>
      </c>
      <c r="FS48" s="16">
        <v>713.44</v>
      </c>
      <c r="FT48" s="16">
        <v>372.53</v>
      </c>
      <c r="FU48" s="16">
        <f t="shared" si="129"/>
        <v>1700.0000000000455</v>
      </c>
      <c r="FV48" s="16">
        <f t="shared" si="130"/>
        <v>850.00000000002274</v>
      </c>
      <c r="FW48" s="16">
        <f t="shared" si="131"/>
        <v>850.00000000002274</v>
      </c>
      <c r="HH48" s="16" t="s">
        <v>347</v>
      </c>
      <c r="HI48" s="16">
        <f>IB39</f>
        <v>519730</v>
      </c>
      <c r="HJ48" s="16"/>
      <c r="HT48" s="151"/>
      <c r="IH48" s="16">
        <v>4</v>
      </c>
      <c r="II48" s="144">
        <f>DailyJul!BX10+DailyJul!BY10-DailyJul!BZ10-DailyJul!CA10-DailyJul!CB10-DailyJul!CC10-DailyJul!CD10-DailyJul!CF10-DailyJul!CE10</f>
        <v>2.6193447411060333E-10</v>
      </c>
      <c r="IJ48" s="16">
        <v>-70</v>
      </c>
      <c r="IK48" s="16">
        <f t="shared" si="143"/>
        <v>-17.5</v>
      </c>
      <c r="IL48" s="16">
        <v>-17.5</v>
      </c>
      <c r="JN48">
        <f t="shared" si="127"/>
        <v>1224.9999999999545</v>
      </c>
    </row>
    <row r="49" spans="1:274" x14ac:dyDescent="0.25">
      <c r="A49" s="35">
        <v>4</v>
      </c>
      <c r="B49" s="138">
        <v>0.37280000000000002</v>
      </c>
      <c r="C49" s="65"/>
      <c r="D49" s="37">
        <f t="shared" si="144"/>
        <v>0</v>
      </c>
      <c r="E49" s="16">
        <v>27940</v>
      </c>
      <c r="F49" s="16"/>
      <c r="G49" s="37">
        <f t="shared" si="132"/>
        <v>78000</v>
      </c>
      <c r="H49" s="138"/>
      <c r="I49" s="65"/>
      <c r="J49" s="37">
        <f t="shared" si="133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v>2</v>
      </c>
      <c r="DQ49" s="50">
        <v>8.2584</v>
      </c>
      <c r="DR49" s="49">
        <f t="shared" si="145"/>
        <v>0</v>
      </c>
      <c r="DS49" s="50">
        <v>51.348999999999997</v>
      </c>
      <c r="DT49" s="49">
        <f t="shared" si="146"/>
        <v>0</v>
      </c>
      <c r="EZ49" s="203">
        <f t="shared" si="134"/>
        <v>12566.41</v>
      </c>
      <c r="FA49" s="205">
        <f t="shared" si="135"/>
        <v>13271.41</v>
      </c>
      <c r="FB49" s="201">
        <f t="shared" si="136"/>
        <v>25837.82</v>
      </c>
      <c r="FC49" s="16"/>
      <c r="FD49" s="167">
        <f t="shared" si="137"/>
        <v>24541.4</v>
      </c>
      <c r="FE49" s="16"/>
      <c r="FF49" s="199">
        <v>0.5</v>
      </c>
      <c r="FG49" s="200">
        <v>0.5</v>
      </c>
      <c r="FH49" s="16">
        <f t="shared" si="138"/>
        <v>648.21</v>
      </c>
      <c r="FI49" s="179">
        <f t="shared" si="138"/>
        <v>648.21</v>
      </c>
      <c r="FJ49" s="179">
        <f t="shared" si="139"/>
        <v>12270.7</v>
      </c>
      <c r="FK49" s="179">
        <f t="shared" si="140"/>
        <v>12270.7</v>
      </c>
      <c r="FL49" s="204">
        <f t="shared" si="141"/>
        <v>12918.91</v>
      </c>
      <c r="FM49" s="206">
        <f t="shared" si="141"/>
        <v>12918.91</v>
      </c>
      <c r="FN49" s="202">
        <f t="shared" si="142"/>
        <v>25837.82</v>
      </c>
      <c r="FQ49" s="217"/>
      <c r="FR49" s="16">
        <v>6</v>
      </c>
      <c r="FS49" s="16">
        <v>715.21</v>
      </c>
      <c r="FT49" s="16">
        <v>373.67</v>
      </c>
      <c r="FU49" s="16">
        <f t="shared" si="129"/>
        <v>1769.9999999999818</v>
      </c>
      <c r="FV49" s="16">
        <f t="shared" si="130"/>
        <v>884.99999999999091</v>
      </c>
      <c r="FW49" s="16">
        <f t="shared" si="131"/>
        <v>884.99999999999091</v>
      </c>
      <c r="HH49" s="16" t="s">
        <v>347</v>
      </c>
      <c r="HI49" s="16">
        <f>IE39</f>
        <v>0</v>
      </c>
      <c r="HJ49" s="16"/>
      <c r="HT49" s="151"/>
      <c r="IH49" s="16">
        <v>5</v>
      </c>
      <c r="II49" s="144">
        <f>DailyJul!BX11+DailyJul!BY11-DailyJul!BZ11-DailyJul!CA11-DailyJul!CB11-DailyJul!CC11-DailyJul!CD11-DailyJul!CF11-DailyJul!CE11</f>
        <v>-1.3096723705530167E-10</v>
      </c>
      <c r="IJ49" s="16">
        <v>1820</v>
      </c>
      <c r="IK49" s="16">
        <f t="shared" si="143"/>
        <v>455</v>
      </c>
      <c r="IL49" s="16">
        <v>455</v>
      </c>
      <c r="JN49">
        <f t="shared" si="127"/>
        <v>2949.9999999999545</v>
      </c>
    </row>
    <row r="50" spans="1:274" x14ac:dyDescent="0.25">
      <c r="A50" s="35">
        <v>5</v>
      </c>
      <c r="B50" s="138">
        <v>0.37280000000000002</v>
      </c>
      <c r="C50" s="65"/>
      <c r="D50" s="37">
        <f t="shared" si="144"/>
        <v>0</v>
      </c>
      <c r="E50" s="16">
        <v>28008</v>
      </c>
      <c r="F50" s="16"/>
      <c r="G50" s="37">
        <f t="shared" si="132"/>
        <v>68000</v>
      </c>
      <c r="H50" s="138"/>
      <c r="I50" s="65"/>
      <c r="J50" s="37">
        <f t="shared" si="133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v>3</v>
      </c>
      <c r="DQ50" s="50">
        <v>8.2584</v>
      </c>
      <c r="DR50" s="49">
        <f t="shared" si="145"/>
        <v>0</v>
      </c>
      <c r="DS50" s="50">
        <v>51.348999999999997</v>
      </c>
      <c r="DT50" s="49">
        <f t="shared" si="146"/>
        <v>0</v>
      </c>
      <c r="EZ50" s="203">
        <f t="shared" si="134"/>
        <v>10825.33</v>
      </c>
      <c r="FA50" s="205">
        <f t="shared" si="135"/>
        <v>11873.66</v>
      </c>
      <c r="FB50" s="201">
        <f t="shared" si="136"/>
        <v>22698.989999999998</v>
      </c>
      <c r="FC50" s="16"/>
      <c r="FD50" s="167">
        <f t="shared" si="137"/>
        <v>21402.57</v>
      </c>
      <c r="FE50" s="16"/>
      <c r="FF50" s="199">
        <v>0.5</v>
      </c>
      <c r="FG50" s="200">
        <v>0.5</v>
      </c>
      <c r="FH50" s="16">
        <f t="shared" si="138"/>
        <v>648.21</v>
      </c>
      <c r="FI50" s="179">
        <f t="shared" si="138"/>
        <v>648.21</v>
      </c>
      <c r="FJ50" s="179">
        <f t="shared" si="139"/>
        <v>10701.285</v>
      </c>
      <c r="FK50" s="179">
        <f t="shared" si="140"/>
        <v>10701.285</v>
      </c>
      <c r="FL50" s="204">
        <f t="shared" si="141"/>
        <v>11349.494999999999</v>
      </c>
      <c r="FM50" s="206">
        <f t="shared" si="141"/>
        <v>11349.494999999999</v>
      </c>
      <c r="FN50" s="202">
        <f t="shared" si="142"/>
        <v>22698.989999999998</v>
      </c>
      <c r="FQ50" s="217"/>
      <c r="FR50" s="16">
        <v>7</v>
      </c>
      <c r="FS50" s="16">
        <v>716.92</v>
      </c>
      <c r="FT50" s="16">
        <v>374.78</v>
      </c>
      <c r="FU50" s="16">
        <f t="shared" si="129"/>
        <v>1709.9999999999227</v>
      </c>
      <c r="FV50" s="16">
        <f t="shared" si="130"/>
        <v>854.99999999996135</v>
      </c>
      <c r="FW50" s="16">
        <f t="shared" si="131"/>
        <v>854.99999999996135</v>
      </c>
      <c r="FX50" s="151"/>
      <c r="FY50" s="150"/>
      <c r="FZ50" s="151"/>
      <c r="GV50" s="166"/>
      <c r="HH50" s="16" t="s">
        <v>275</v>
      </c>
      <c r="HI50" s="16">
        <f>$IH$39</f>
        <v>568400</v>
      </c>
      <c r="HJ50" s="16"/>
      <c r="IH50" s="16">
        <v>6</v>
      </c>
      <c r="II50" s="144">
        <f>DailyJul!BX12+DailyJul!BY12-DailyJul!BZ12-DailyJul!CA12-DailyJul!CB12-DailyJul!CC12-DailyJul!CD12-DailyJul!CF12-DailyJul!CE12</f>
        <v>6.0390448197722435E-10</v>
      </c>
      <c r="IJ50" s="16">
        <v>780</v>
      </c>
      <c r="IK50" s="16">
        <f t="shared" si="143"/>
        <v>195</v>
      </c>
      <c r="IL50" s="16">
        <v>195</v>
      </c>
      <c r="JN50">
        <f t="shared" si="127"/>
        <v>1249.9999999999545</v>
      </c>
    </row>
    <row r="51" spans="1:274" x14ac:dyDescent="0.25">
      <c r="A51" s="35">
        <v>6</v>
      </c>
      <c r="B51" s="138">
        <v>0.37280000000000002</v>
      </c>
      <c r="C51" s="65"/>
      <c r="D51" s="37">
        <f t="shared" si="144"/>
        <v>0</v>
      </c>
      <c r="E51" s="16">
        <v>28098</v>
      </c>
      <c r="F51" s="16"/>
      <c r="G51" s="37">
        <f t="shared" si="132"/>
        <v>90000</v>
      </c>
      <c r="H51" s="138"/>
      <c r="I51" s="65"/>
      <c r="J51" s="37">
        <f t="shared" si="133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v>4</v>
      </c>
      <c r="DQ51" s="50">
        <v>8.2584</v>
      </c>
      <c r="DR51" s="49">
        <f t="shared" si="145"/>
        <v>0</v>
      </c>
      <c r="DS51" s="50">
        <v>51.348999999999997</v>
      </c>
      <c r="DT51" s="49">
        <f t="shared" si="146"/>
        <v>0</v>
      </c>
      <c r="EZ51" s="203">
        <f t="shared" si="134"/>
        <v>5420.31</v>
      </c>
      <c r="FA51" s="205">
        <f t="shared" si="135"/>
        <v>13225.31</v>
      </c>
      <c r="FB51" s="201">
        <f t="shared" si="136"/>
        <v>18645.62</v>
      </c>
      <c r="FC51" s="16"/>
      <c r="FD51" s="167">
        <f t="shared" si="137"/>
        <v>17349.199999999997</v>
      </c>
      <c r="FE51" s="16"/>
      <c r="FF51" s="199">
        <v>0.5</v>
      </c>
      <c r="FG51" s="200">
        <v>0.5</v>
      </c>
      <c r="FH51" s="16">
        <f t="shared" si="138"/>
        <v>648.21</v>
      </c>
      <c r="FI51" s="179">
        <f t="shared" si="138"/>
        <v>648.21</v>
      </c>
      <c r="FJ51" s="179">
        <f t="shared" si="139"/>
        <v>8674.5999999999985</v>
      </c>
      <c r="FK51" s="179">
        <f t="shared" si="140"/>
        <v>8674.5999999999985</v>
      </c>
      <c r="FL51" s="204">
        <f t="shared" si="141"/>
        <v>9322.8099999999977</v>
      </c>
      <c r="FM51" s="206">
        <f t="shared" si="141"/>
        <v>9322.8099999999977</v>
      </c>
      <c r="FN51" s="202">
        <f t="shared" si="142"/>
        <v>18645.619999999995</v>
      </c>
      <c r="FQ51" s="217"/>
      <c r="FR51" s="16">
        <v>8</v>
      </c>
      <c r="FS51" s="16">
        <v>718.69</v>
      </c>
      <c r="FT51" s="16">
        <v>375.92</v>
      </c>
      <c r="FU51" s="16">
        <f t="shared" si="129"/>
        <v>1770.0000000000955</v>
      </c>
      <c r="FV51" s="16">
        <f t="shared" si="130"/>
        <v>885.00000000004775</v>
      </c>
      <c r="FW51" s="16">
        <f t="shared" si="131"/>
        <v>885.00000000004775</v>
      </c>
      <c r="GV51" s="166"/>
      <c r="IH51" s="16">
        <v>7</v>
      </c>
      <c r="II51" s="144">
        <f>DailyJul!BX13+DailyJul!BY13-DailyJul!BZ13-DailyJul!CA13-DailyJul!CB13-DailyJul!CC13-DailyJul!CD13-DailyJul!CF13-DailyJul!CE13</f>
        <v>-3.4560798667371273E-10</v>
      </c>
      <c r="IJ51" s="16">
        <v>-770</v>
      </c>
      <c r="IK51" s="16">
        <f t="shared" si="143"/>
        <v>-192.5</v>
      </c>
      <c r="IL51" s="16">
        <v>-192.5</v>
      </c>
      <c r="JN51">
        <f t="shared" si="127"/>
        <v>6200</v>
      </c>
    </row>
    <row r="52" spans="1:274" x14ac:dyDescent="0.25">
      <c r="A52" s="35">
        <v>7</v>
      </c>
      <c r="B52" s="138">
        <v>0.37280000000000002</v>
      </c>
      <c r="C52" s="65"/>
      <c r="D52" s="37">
        <f t="shared" si="144"/>
        <v>0</v>
      </c>
      <c r="E52" s="16">
        <v>28186</v>
      </c>
      <c r="F52" s="16"/>
      <c r="G52" s="37">
        <f t="shared" si="132"/>
        <v>88000</v>
      </c>
      <c r="H52" s="138"/>
      <c r="I52" s="65"/>
      <c r="J52" s="37">
        <f t="shared" si="133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v>5</v>
      </c>
      <c r="DQ52" s="50">
        <v>8.2584</v>
      </c>
      <c r="DR52" s="49">
        <f t="shared" si="145"/>
        <v>0</v>
      </c>
      <c r="DS52" s="50">
        <v>51.348999999999997</v>
      </c>
      <c r="DT52" s="49">
        <f t="shared" si="146"/>
        <v>0</v>
      </c>
      <c r="EZ52" s="203">
        <f t="shared" si="134"/>
        <v>10879.31</v>
      </c>
      <c r="FA52" s="205">
        <f t="shared" si="135"/>
        <v>12090.98</v>
      </c>
      <c r="FB52" s="201">
        <f t="shared" si="136"/>
        <v>22970.29</v>
      </c>
      <c r="FC52" s="16"/>
      <c r="FD52" s="167">
        <f t="shared" si="137"/>
        <v>21673.870000000003</v>
      </c>
      <c r="FE52" s="16"/>
      <c r="FF52" s="199">
        <v>0.5</v>
      </c>
      <c r="FG52" s="200">
        <v>0.5</v>
      </c>
      <c r="FH52" s="16">
        <f t="shared" si="138"/>
        <v>648.21</v>
      </c>
      <c r="FI52" s="179">
        <f t="shared" si="138"/>
        <v>648.21</v>
      </c>
      <c r="FJ52" s="179">
        <f t="shared" si="139"/>
        <v>10836.935000000001</v>
      </c>
      <c r="FK52" s="179">
        <f t="shared" si="140"/>
        <v>10836.935000000001</v>
      </c>
      <c r="FL52" s="204">
        <f t="shared" si="141"/>
        <v>11485.145</v>
      </c>
      <c r="FM52" s="206">
        <f t="shared" si="141"/>
        <v>11485.145</v>
      </c>
      <c r="FN52" s="202">
        <f t="shared" si="142"/>
        <v>22970.29</v>
      </c>
      <c r="FQ52" s="217"/>
      <c r="FR52" s="16">
        <v>9</v>
      </c>
      <c r="FS52" s="16">
        <v>720.42</v>
      </c>
      <c r="FT52" s="16">
        <v>377.03</v>
      </c>
      <c r="FU52" s="16">
        <f t="shared" si="129"/>
        <v>1729.9999999999045</v>
      </c>
      <c r="FV52" s="16">
        <f t="shared" si="130"/>
        <v>864.99999999995225</v>
      </c>
      <c r="FW52" s="16">
        <f t="shared" si="131"/>
        <v>864.99999999995225</v>
      </c>
      <c r="HH52" s="16" t="s">
        <v>276</v>
      </c>
      <c r="HI52" s="222">
        <f>$HI$42+$HI$43-$HI$44-$HI$45-$HI$46-$HI$47-$HI$48-$HI$50-$HI$49</f>
        <v>-4.6566128730773926E-10</v>
      </c>
      <c r="HJ52" s="179"/>
      <c r="HK52" s="16" t="s">
        <v>115</v>
      </c>
      <c r="IH52" s="16">
        <v>8</v>
      </c>
      <c r="II52" s="144">
        <f>DailyJul!BX14+DailyJul!BY14-DailyJul!BZ14-DailyJul!CA14-DailyJul!CB14-DailyJul!CC14-DailyJul!CD14-DailyJul!CF14-DailyJul!CE14</f>
        <v>-5.0931703299283981E-11</v>
      </c>
      <c r="IJ52" s="16">
        <v>440</v>
      </c>
      <c r="IK52" s="16">
        <f t="shared" si="143"/>
        <v>110</v>
      </c>
      <c r="IL52" s="16">
        <v>110</v>
      </c>
      <c r="JN52">
        <f t="shared" si="127"/>
        <v>17275.000000000091</v>
      </c>
    </row>
    <row r="53" spans="1:274" x14ac:dyDescent="0.25">
      <c r="A53" s="35">
        <v>8</v>
      </c>
      <c r="B53" s="138">
        <v>0.37280000000000002</v>
      </c>
      <c r="C53" s="65"/>
      <c r="D53" s="37">
        <f t="shared" si="144"/>
        <v>0</v>
      </c>
      <c r="E53" s="16">
        <v>28276</v>
      </c>
      <c r="F53" s="16"/>
      <c r="G53" s="37">
        <f t="shared" si="132"/>
        <v>90000</v>
      </c>
      <c r="H53" s="138"/>
      <c r="I53" s="65"/>
      <c r="J53" s="37">
        <f t="shared" si="133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49"/>
      <c r="DP53">
        <v>6</v>
      </c>
      <c r="DQ53" s="50">
        <v>8.2584</v>
      </c>
      <c r="DR53" s="49">
        <f t="shared" si="145"/>
        <v>0</v>
      </c>
      <c r="DS53" s="50">
        <v>51.348999999999997</v>
      </c>
      <c r="DT53" s="49">
        <f t="shared" si="146"/>
        <v>0</v>
      </c>
      <c r="EZ53" s="203">
        <f t="shared" si="134"/>
        <v>9821.73</v>
      </c>
      <c r="FA53" s="205">
        <f t="shared" si="135"/>
        <v>11801.73</v>
      </c>
      <c r="FB53" s="201">
        <f t="shared" si="136"/>
        <v>21623.46</v>
      </c>
      <c r="FC53" s="16"/>
      <c r="FD53" s="167">
        <f t="shared" si="137"/>
        <v>20327.04</v>
      </c>
      <c r="FE53" s="16"/>
      <c r="FF53" s="199">
        <v>0.5</v>
      </c>
      <c r="FG53" s="200">
        <v>0.5</v>
      </c>
      <c r="FH53" s="16">
        <f t="shared" si="138"/>
        <v>648.21</v>
      </c>
      <c r="FI53" s="179">
        <f t="shared" si="138"/>
        <v>648.21</v>
      </c>
      <c r="FJ53" s="179">
        <f t="shared" si="139"/>
        <v>10163.52</v>
      </c>
      <c r="FK53" s="179">
        <f t="shared" si="140"/>
        <v>10163.52</v>
      </c>
      <c r="FL53" s="204">
        <f t="shared" si="141"/>
        <v>10811.73</v>
      </c>
      <c r="FM53" s="206">
        <f t="shared" si="141"/>
        <v>10811.73</v>
      </c>
      <c r="FN53" s="202">
        <f t="shared" si="142"/>
        <v>21623.46</v>
      </c>
      <c r="FQ53" s="217"/>
      <c r="FR53" s="16">
        <v>10</v>
      </c>
      <c r="FS53" s="16">
        <v>722.14</v>
      </c>
      <c r="FT53" s="16">
        <v>378.13</v>
      </c>
      <c r="FU53" s="16">
        <f t="shared" si="129"/>
        <v>1720.0000000000273</v>
      </c>
      <c r="FV53" s="16">
        <f t="shared" si="130"/>
        <v>860.00000000001364</v>
      </c>
      <c r="FW53" s="16">
        <f t="shared" si="131"/>
        <v>860.00000000001364</v>
      </c>
      <c r="IH53" s="16">
        <v>9</v>
      </c>
      <c r="II53" s="144">
        <f>DailyJul!BX15+DailyJul!BY15-DailyJul!BZ15-DailyJul!CA15-DailyJul!CB15-DailyJul!CC15-DailyJul!CD15-DailyJul!CF15-DailyJul!CE15</f>
        <v>-8.7311491370201111E-11</v>
      </c>
      <c r="IJ53" s="16">
        <v>1500</v>
      </c>
      <c r="IK53" s="16">
        <f t="shared" si="143"/>
        <v>375</v>
      </c>
      <c r="IL53" s="16">
        <v>375</v>
      </c>
      <c r="JN53">
        <f t="shared" si="127"/>
        <v>21400.000000000182</v>
      </c>
    </row>
    <row r="54" spans="1:274" x14ac:dyDescent="0.25">
      <c r="A54" s="35">
        <v>9</v>
      </c>
      <c r="B54" s="138">
        <v>0.37280000000000002</v>
      </c>
      <c r="C54" s="65"/>
      <c r="D54" s="37">
        <f t="shared" si="144"/>
        <v>0</v>
      </c>
      <c r="E54" s="16">
        <v>28365</v>
      </c>
      <c r="F54" s="16"/>
      <c r="G54" s="37">
        <f t="shared" si="132"/>
        <v>89000</v>
      </c>
      <c r="H54" s="138"/>
      <c r="I54" s="65"/>
      <c r="J54" s="37">
        <f t="shared" si="133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v>7</v>
      </c>
      <c r="DQ54" s="50">
        <v>8.2584</v>
      </c>
      <c r="DR54" s="49">
        <f t="shared" si="145"/>
        <v>0</v>
      </c>
      <c r="DS54" s="50">
        <v>51.348999999999997</v>
      </c>
      <c r="DT54" s="49">
        <f t="shared" si="146"/>
        <v>0</v>
      </c>
      <c r="EZ54" s="203">
        <f t="shared" si="134"/>
        <v>10014.91</v>
      </c>
      <c r="FA54" s="205">
        <f t="shared" si="135"/>
        <v>12651.58</v>
      </c>
      <c r="FB54" s="201">
        <f t="shared" si="136"/>
        <v>22666.489999999998</v>
      </c>
      <c r="FC54" s="16"/>
      <c r="FD54" s="167">
        <f t="shared" si="137"/>
        <v>21370.07</v>
      </c>
      <c r="FE54" s="16"/>
      <c r="FF54" s="199">
        <v>0.5</v>
      </c>
      <c r="FG54" s="200">
        <v>0.5</v>
      </c>
      <c r="FH54" s="16">
        <f t="shared" si="138"/>
        <v>648.21</v>
      </c>
      <c r="FI54" s="179">
        <f t="shared" si="138"/>
        <v>648.21</v>
      </c>
      <c r="FJ54" s="179">
        <f t="shared" si="139"/>
        <v>10685.035</v>
      </c>
      <c r="FK54" s="179">
        <f t="shared" si="140"/>
        <v>10685.035</v>
      </c>
      <c r="FL54" s="204">
        <f t="shared" si="141"/>
        <v>11333.244999999999</v>
      </c>
      <c r="FM54" s="206">
        <f t="shared" si="141"/>
        <v>11333.244999999999</v>
      </c>
      <c r="FN54" s="202">
        <f t="shared" si="142"/>
        <v>22666.489999999998</v>
      </c>
      <c r="FQ54" s="217"/>
      <c r="FR54" s="16">
        <v>11</v>
      </c>
      <c r="FS54" s="16">
        <v>723.92</v>
      </c>
      <c r="FT54" s="16">
        <v>379.28</v>
      </c>
      <c r="FU54" s="16">
        <f t="shared" si="129"/>
        <v>1779.9999999999727</v>
      </c>
      <c r="FV54" s="16">
        <f t="shared" si="130"/>
        <v>889.99999999998636</v>
      </c>
      <c r="FW54" s="16">
        <f t="shared" si="131"/>
        <v>889.99999999998636</v>
      </c>
      <c r="FX54" s="151"/>
      <c r="IH54" s="16">
        <v>10</v>
      </c>
      <c r="II54" s="144">
        <f>DailyJul!BX16+DailyJul!BY16-DailyJul!BZ16-DailyJul!CA16-DailyJul!CB16-DailyJul!CC16-DailyJul!CD16-DailyJul!CF16-DailyJul!CE16</f>
        <v>-1.8553691916167736E-10</v>
      </c>
      <c r="IJ54" s="16">
        <v>-1100</v>
      </c>
      <c r="IK54" s="16">
        <f t="shared" si="143"/>
        <v>-275</v>
      </c>
      <c r="IL54" s="16">
        <v>-275</v>
      </c>
      <c r="JN54">
        <f t="shared" si="127"/>
        <v>23074.999999999909</v>
      </c>
    </row>
    <row r="55" spans="1:274" x14ac:dyDescent="0.25">
      <c r="A55" s="35">
        <v>10</v>
      </c>
      <c r="B55" s="138">
        <v>0.37280000000000002</v>
      </c>
      <c r="C55" s="65"/>
      <c r="D55" s="37">
        <f t="shared" si="144"/>
        <v>0</v>
      </c>
      <c r="E55" s="16">
        <v>28453</v>
      </c>
      <c r="F55" s="16"/>
      <c r="G55" s="37">
        <f t="shared" si="132"/>
        <v>88000</v>
      </c>
      <c r="H55" s="138"/>
      <c r="I55" s="65"/>
      <c r="J55" s="37">
        <f t="shared" si="133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v>8</v>
      </c>
      <c r="DQ55" s="50">
        <v>8.2584</v>
      </c>
      <c r="DR55" s="49">
        <f t="shared" si="145"/>
        <v>0</v>
      </c>
      <c r="DS55" s="50">
        <v>51.348999999999997</v>
      </c>
      <c r="DT55" s="49">
        <f t="shared" si="146"/>
        <v>0</v>
      </c>
      <c r="EZ55" s="203">
        <f t="shared" si="134"/>
        <v>11325.05</v>
      </c>
      <c r="FA55" s="205">
        <f t="shared" si="135"/>
        <v>12136.72</v>
      </c>
      <c r="FB55" s="201">
        <f t="shared" si="136"/>
        <v>23461.769999999997</v>
      </c>
      <c r="FC55" s="16"/>
      <c r="FD55" s="167">
        <f t="shared" si="137"/>
        <v>22165.35</v>
      </c>
      <c r="FE55" s="16"/>
      <c r="FF55" s="199">
        <v>0.5</v>
      </c>
      <c r="FG55" s="200">
        <v>0.5</v>
      </c>
      <c r="FH55" s="16">
        <f t="shared" si="138"/>
        <v>648.21</v>
      </c>
      <c r="FI55" s="179">
        <f t="shared" si="138"/>
        <v>648.21</v>
      </c>
      <c r="FJ55" s="179">
        <f t="shared" si="139"/>
        <v>11082.674999999999</v>
      </c>
      <c r="FK55" s="179">
        <f t="shared" si="140"/>
        <v>11082.674999999999</v>
      </c>
      <c r="FL55" s="204">
        <f t="shared" si="141"/>
        <v>11730.884999999998</v>
      </c>
      <c r="FM55" s="206">
        <f t="shared" si="141"/>
        <v>11730.884999999998</v>
      </c>
      <c r="FN55" s="202">
        <f t="shared" si="142"/>
        <v>23461.769999999997</v>
      </c>
      <c r="FQ55" s="217"/>
      <c r="FR55" s="16">
        <v>12</v>
      </c>
      <c r="FS55" s="16">
        <v>725.65</v>
      </c>
      <c r="FT55" s="16">
        <v>380.39</v>
      </c>
      <c r="FU55" s="16">
        <f t="shared" si="129"/>
        <v>1730.0000000000182</v>
      </c>
      <c r="FV55" s="16">
        <f t="shared" si="130"/>
        <v>865.00000000000909</v>
      </c>
      <c r="FW55" s="16">
        <f t="shared" si="131"/>
        <v>865.00000000000909</v>
      </c>
      <c r="FX55" s="151"/>
      <c r="IH55" s="16">
        <v>11</v>
      </c>
      <c r="II55" s="144">
        <f>DailyJul!BX17+DailyJul!BY17-DailyJul!BZ17-DailyJul!CA17-DailyJul!CB17-DailyJul!CC17-DailyJul!CD17-DailyJul!CF17-DailyJul!CE17</f>
        <v>4.1291059460490942E-10</v>
      </c>
      <c r="IJ55" s="16">
        <v>2400</v>
      </c>
      <c r="IK55" s="16">
        <f t="shared" si="143"/>
        <v>600</v>
      </c>
      <c r="IL55" s="16">
        <v>600</v>
      </c>
      <c r="JN55">
        <f t="shared" si="127"/>
        <v>22999.999999999909</v>
      </c>
    </row>
    <row r="56" spans="1:274" x14ac:dyDescent="0.25">
      <c r="A56" s="35">
        <v>11</v>
      </c>
      <c r="B56" s="138">
        <v>0.37280000000000002</v>
      </c>
      <c r="C56" s="65"/>
      <c r="D56" s="37">
        <f t="shared" si="144"/>
        <v>0</v>
      </c>
      <c r="E56" s="16">
        <v>28541</v>
      </c>
      <c r="F56" s="16"/>
      <c r="G56" s="37">
        <f t="shared" si="132"/>
        <v>88000</v>
      </c>
      <c r="H56" s="138"/>
      <c r="I56" s="65"/>
      <c r="J56" s="37">
        <f t="shared" si="133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v>9</v>
      </c>
      <c r="DQ56" s="50">
        <v>8.2584</v>
      </c>
      <c r="DR56" s="49">
        <f t="shared" si="145"/>
        <v>0</v>
      </c>
      <c r="DS56" s="50">
        <v>51.348999999999997</v>
      </c>
      <c r="DT56" s="49">
        <f t="shared" si="146"/>
        <v>0</v>
      </c>
      <c r="EZ56" s="203">
        <f t="shared" si="134"/>
        <v>14216.21</v>
      </c>
      <c r="FA56" s="205">
        <f t="shared" si="135"/>
        <v>13321.21</v>
      </c>
      <c r="FB56" s="201">
        <f t="shared" si="136"/>
        <v>27537.42</v>
      </c>
      <c r="FC56" s="16"/>
      <c r="FD56" s="167">
        <f t="shared" si="137"/>
        <v>26241</v>
      </c>
      <c r="FE56" s="16"/>
      <c r="FF56" s="199">
        <v>0.5</v>
      </c>
      <c r="FG56" s="200">
        <v>0.5</v>
      </c>
      <c r="FH56" s="16">
        <f t="shared" si="138"/>
        <v>648.21</v>
      </c>
      <c r="FI56" s="179">
        <f t="shared" si="138"/>
        <v>648.21</v>
      </c>
      <c r="FJ56" s="179">
        <f t="shared" si="139"/>
        <v>13120.5</v>
      </c>
      <c r="FK56" s="179">
        <f t="shared" si="140"/>
        <v>13120.5</v>
      </c>
      <c r="FL56" s="204">
        <f t="shared" si="141"/>
        <v>13768.71</v>
      </c>
      <c r="FM56" s="206">
        <f t="shared" si="141"/>
        <v>13768.71</v>
      </c>
      <c r="FN56" s="202">
        <f t="shared" si="142"/>
        <v>27537.42</v>
      </c>
      <c r="FQ56" s="217"/>
      <c r="FR56" s="16">
        <v>13</v>
      </c>
      <c r="FS56" s="16">
        <v>727.42</v>
      </c>
      <c r="FT56" s="16">
        <v>381.53</v>
      </c>
      <c r="FU56" s="16">
        <f t="shared" si="129"/>
        <v>1769.9999999999818</v>
      </c>
      <c r="FV56" s="16">
        <f t="shared" si="130"/>
        <v>884.99999999999091</v>
      </c>
      <c r="FW56" s="16">
        <f t="shared" si="131"/>
        <v>884.99999999999091</v>
      </c>
      <c r="IH56" s="16">
        <v>12</v>
      </c>
      <c r="II56" s="144">
        <f>DailyJul!BX18+DailyJul!BY18-DailyJul!BZ18-DailyJul!CA18-DailyJul!CB18-DailyJul!CC18-DailyJul!CD18-DailyJul!CF18-DailyJul!CE18</f>
        <v>-3.637978807091713E-12</v>
      </c>
      <c r="IJ56" s="16">
        <v>-1400</v>
      </c>
      <c r="IK56" s="16">
        <f t="shared" si="143"/>
        <v>-350</v>
      </c>
      <c r="IL56" s="16">
        <v>-350</v>
      </c>
      <c r="JN56">
        <f t="shared" si="127"/>
        <v>24124.999999999909</v>
      </c>
    </row>
    <row r="57" spans="1:274" x14ac:dyDescent="0.25">
      <c r="A57" s="35">
        <v>12</v>
      </c>
      <c r="B57" s="138">
        <v>0.37280000000000002</v>
      </c>
      <c r="C57" s="65"/>
      <c r="D57" s="37">
        <f t="shared" si="144"/>
        <v>0</v>
      </c>
      <c r="E57" s="16">
        <v>28631</v>
      </c>
      <c r="F57" s="16"/>
      <c r="G57" s="37">
        <f t="shared" si="132"/>
        <v>90000</v>
      </c>
      <c r="H57" s="138"/>
      <c r="I57" s="65"/>
      <c r="J57" s="37">
        <f t="shared" si="133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v>10</v>
      </c>
      <c r="DQ57" s="50">
        <v>8.2584</v>
      </c>
      <c r="DR57" s="49">
        <f t="shared" si="145"/>
        <v>0</v>
      </c>
      <c r="DS57" s="50">
        <v>51.348999999999997</v>
      </c>
      <c r="DT57" s="49">
        <f>IF((DS57-DS56)&lt;=0,0,(DS57-DS56))*1000</f>
        <v>0</v>
      </c>
      <c r="EZ57" s="203">
        <f t="shared" si="134"/>
        <v>10940.13</v>
      </c>
      <c r="FA57" s="205">
        <f t="shared" si="135"/>
        <v>12911.8</v>
      </c>
      <c r="FB57" s="201">
        <f t="shared" si="136"/>
        <v>23851.93</v>
      </c>
      <c r="FC57" s="16"/>
      <c r="FD57" s="167">
        <f t="shared" si="137"/>
        <v>22555.510000000002</v>
      </c>
      <c r="FE57" s="16"/>
      <c r="FF57" s="199">
        <v>0.5</v>
      </c>
      <c r="FG57" s="200">
        <v>0.5</v>
      </c>
      <c r="FH57" s="16">
        <f t="shared" si="138"/>
        <v>648.21</v>
      </c>
      <c r="FI57" s="179">
        <f t="shared" si="138"/>
        <v>648.21</v>
      </c>
      <c r="FJ57" s="179">
        <f t="shared" si="139"/>
        <v>11277.755000000001</v>
      </c>
      <c r="FK57" s="179">
        <f t="shared" si="140"/>
        <v>11277.755000000001</v>
      </c>
      <c r="FL57" s="204">
        <f t="shared" si="141"/>
        <v>11925.965</v>
      </c>
      <c r="FM57" s="206">
        <f t="shared" si="141"/>
        <v>11925.965</v>
      </c>
      <c r="FN57" s="202">
        <f t="shared" si="142"/>
        <v>23851.93</v>
      </c>
      <c r="FQ57" s="217"/>
      <c r="FR57" s="16">
        <v>14</v>
      </c>
      <c r="FS57" s="16">
        <v>729.19</v>
      </c>
      <c r="FT57" s="16">
        <v>382.66</v>
      </c>
      <c r="FU57" s="16">
        <f t="shared" si="129"/>
        <v>1770.0000000000955</v>
      </c>
      <c r="FV57" s="16">
        <f t="shared" si="130"/>
        <v>885.00000000004775</v>
      </c>
      <c r="FW57" s="16">
        <f t="shared" si="131"/>
        <v>885.00000000004775</v>
      </c>
      <c r="IH57" s="16">
        <v>13</v>
      </c>
      <c r="II57" s="144">
        <f>DailyJul!BX19+DailyJul!BY19-DailyJul!BZ19-DailyJul!CA19-DailyJul!CB19-DailyJul!CC19-DailyJul!CD19-DailyJul!CF19-DailyJul!CE19</f>
        <v>-2.255546860396862E-10</v>
      </c>
      <c r="IJ57" s="16">
        <v>-300</v>
      </c>
      <c r="IK57" s="16">
        <f t="shared" si="143"/>
        <v>-75</v>
      </c>
      <c r="IL57" s="16">
        <v>-75</v>
      </c>
      <c r="JN57">
        <f t="shared" si="127"/>
        <v>23750.000000000273</v>
      </c>
    </row>
    <row r="58" spans="1:274" x14ac:dyDescent="0.25">
      <c r="A58" s="35">
        <v>13</v>
      </c>
      <c r="B58" s="138">
        <v>0.37280000000000002</v>
      </c>
      <c r="C58" s="65"/>
      <c r="D58" s="37">
        <f t="shared" si="144"/>
        <v>0</v>
      </c>
      <c r="E58" s="16">
        <v>28720</v>
      </c>
      <c r="F58" s="16"/>
      <c r="G58" s="37">
        <f t="shared" si="132"/>
        <v>89000</v>
      </c>
      <c r="H58" s="138"/>
      <c r="I58" s="65"/>
      <c r="J58" s="37">
        <f t="shared" si="133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v>11</v>
      </c>
      <c r="DQ58" s="50">
        <v>8.2584</v>
      </c>
      <c r="DR58" s="49">
        <f t="shared" si="145"/>
        <v>0</v>
      </c>
      <c r="DS58" s="50">
        <v>51.348999999999997</v>
      </c>
      <c r="DT58" s="49">
        <f t="shared" ref="DT58:DT78" si="147">IF((DS58-DS57)&lt;=0,0,(DS58-DS57))*1000</f>
        <v>0</v>
      </c>
      <c r="EJ58" s="2"/>
      <c r="EZ58" s="203">
        <f t="shared" si="134"/>
        <v>11839.82</v>
      </c>
      <c r="FA58" s="205">
        <f t="shared" si="135"/>
        <v>14844.82</v>
      </c>
      <c r="FB58" s="201">
        <f t="shared" si="136"/>
        <v>26684.639999999999</v>
      </c>
      <c r="FC58" s="16"/>
      <c r="FD58" s="167">
        <f t="shared" si="137"/>
        <v>25388.22</v>
      </c>
      <c r="FE58" s="16"/>
      <c r="FF58" s="199">
        <v>0.5</v>
      </c>
      <c r="FG58" s="200">
        <v>0.5</v>
      </c>
      <c r="FH58" s="16">
        <f t="shared" si="138"/>
        <v>648.21</v>
      </c>
      <c r="FI58" s="179">
        <f t="shared" si="138"/>
        <v>648.21</v>
      </c>
      <c r="FJ58" s="179">
        <f t="shared" si="139"/>
        <v>12694.11</v>
      </c>
      <c r="FK58" s="179">
        <f t="shared" si="140"/>
        <v>12694.11</v>
      </c>
      <c r="FL58" s="204">
        <f t="shared" si="141"/>
        <v>13342.32</v>
      </c>
      <c r="FM58" s="206">
        <f t="shared" si="141"/>
        <v>13342.32</v>
      </c>
      <c r="FN58" s="202">
        <f t="shared" si="142"/>
        <v>26684.639999999999</v>
      </c>
      <c r="FQ58" s="217"/>
      <c r="FR58" s="16">
        <v>15</v>
      </c>
      <c r="FS58" s="16">
        <v>730.96</v>
      </c>
      <c r="FT58" s="16">
        <v>383.79</v>
      </c>
      <c r="FU58" s="16">
        <f t="shared" si="129"/>
        <v>1769.9999999999818</v>
      </c>
      <c r="FV58" s="16">
        <f t="shared" si="130"/>
        <v>884.99999999999091</v>
      </c>
      <c r="FW58" s="16">
        <f t="shared" si="131"/>
        <v>884.99999999999091</v>
      </c>
      <c r="IH58" s="16">
        <v>14</v>
      </c>
      <c r="II58" s="144">
        <f>DailyJul!BX20+DailyJul!BY20-DailyJul!BZ20-DailyJul!CA20-DailyJul!CB20-DailyJul!CC20-DailyJul!CD20-DailyJul!CF20-DailyJul!CE20</f>
        <v>-5.0204107537865639E-10</v>
      </c>
      <c r="IJ58" s="16">
        <v>600</v>
      </c>
      <c r="IK58" s="16">
        <f t="shared" si="143"/>
        <v>150</v>
      </c>
      <c r="IL58" s="16">
        <v>150</v>
      </c>
      <c r="JN58">
        <f t="shared" si="127"/>
        <v>22299.999999999727</v>
      </c>
    </row>
    <row r="59" spans="1:274" x14ac:dyDescent="0.25">
      <c r="A59" s="35">
        <v>14</v>
      </c>
      <c r="B59" s="138">
        <v>0.37280000000000002</v>
      </c>
      <c r="C59" s="65"/>
      <c r="D59" s="37">
        <f t="shared" si="144"/>
        <v>0</v>
      </c>
      <c r="E59" s="16">
        <v>28809</v>
      </c>
      <c r="F59" s="16"/>
      <c r="G59" s="37">
        <f t="shared" si="132"/>
        <v>89000</v>
      </c>
      <c r="H59" s="138"/>
      <c r="I59" s="65"/>
      <c r="J59" s="37">
        <f t="shared" si="133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v>12</v>
      </c>
      <c r="DQ59" s="50">
        <v>8.2584</v>
      </c>
      <c r="DR59" s="49">
        <f t="shared" si="145"/>
        <v>0</v>
      </c>
      <c r="DS59" s="50">
        <v>51.348999999999997</v>
      </c>
      <c r="DT59" s="49">
        <f t="shared" si="147"/>
        <v>0</v>
      </c>
      <c r="EJ59" s="2"/>
      <c r="EZ59" s="203">
        <f t="shared" si="134"/>
        <v>11035.73</v>
      </c>
      <c r="FA59" s="205">
        <f t="shared" si="135"/>
        <v>13144.06</v>
      </c>
      <c r="FB59" s="201">
        <f t="shared" si="136"/>
        <v>24179.79</v>
      </c>
      <c r="FC59" s="16"/>
      <c r="FD59" s="167">
        <f t="shared" si="137"/>
        <v>22883.370000000003</v>
      </c>
      <c r="FE59" s="16"/>
      <c r="FF59" s="199">
        <v>0.5</v>
      </c>
      <c r="FG59" s="200">
        <v>0.5</v>
      </c>
      <c r="FH59" s="16">
        <f t="shared" si="138"/>
        <v>648.21</v>
      </c>
      <c r="FI59" s="179">
        <f t="shared" si="138"/>
        <v>648.21</v>
      </c>
      <c r="FJ59" s="179">
        <f t="shared" si="139"/>
        <v>11441.685000000001</v>
      </c>
      <c r="FK59" s="179">
        <f t="shared" si="140"/>
        <v>11441.685000000001</v>
      </c>
      <c r="FL59" s="204">
        <f t="shared" si="141"/>
        <v>12089.895</v>
      </c>
      <c r="FM59" s="206">
        <f t="shared" si="141"/>
        <v>12089.895</v>
      </c>
      <c r="FN59" s="202">
        <f t="shared" si="142"/>
        <v>24179.79</v>
      </c>
      <c r="FQ59" s="217"/>
      <c r="FR59" s="16">
        <v>16</v>
      </c>
      <c r="FS59" s="16">
        <v>732.71</v>
      </c>
      <c r="FT59" s="16">
        <v>384.91</v>
      </c>
      <c r="FU59" s="16">
        <f t="shared" si="129"/>
        <v>1750</v>
      </c>
      <c r="FV59" s="16">
        <f t="shared" si="130"/>
        <v>875</v>
      </c>
      <c r="FW59" s="16">
        <f t="shared" si="131"/>
        <v>875</v>
      </c>
      <c r="IH59" s="16">
        <v>15</v>
      </c>
      <c r="II59" s="144">
        <f>DailyJul!BX21+DailyJul!BY21-DailyJul!BZ21-DailyJul!CA21-DailyJul!CB21-DailyJul!CC21-DailyJul!CD21-DailyJul!CF21-DailyJul!CE21</f>
        <v>6.8212102632969618E-10</v>
      </c>
      <c r="IJ59" s="16">
        <v>-200</v>
      </c>
      <c r="IK59" s="16">
        <f t="shared" si="143"/>
        <v>-50</v>
      </c>
      <c r="IL59" s="16">
        <v>-50</v>
      </c>
      <c r="JN59">
        <f t="shared" si="127"/>
        <v>24550.000000000091</v>
      </c>
    </row>
    <row r="60" spans="1:274" x14ac:dyDescent="0.25">
      <c r="A60" s="35">
        <v>15</v>
      </c>
      <c r="B60" s="138">
        <v>0.37280000000000002</v>
      </c>
      <c r="C60" s="65"/>
      <c r="D60" s="37">
        <f t="shared" si="144"/>
        <v>0</v>
      </c>
      <c r="E60" s="16">
        <v>28879</v>
      </c>
      <c r="F60" s="16"/>
      <c r="G60" s="37">
        <f t="shared" si="132"/>
        <v>70000</v>
      </c>
      <c r="H60" s="138"/>
      <c r="I60" s="65"/>
      <c r="J60" s="37">
        <f t="shared" si="133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v>13</v>
      </c>
      <c r="DQ60" s="50">
        <v>8.2584</v>
      </c>
      <c r="DR60" s="49">
        <f t="shared" si="145"/>
        <v>0</v>
      </c>
      <c r="DS60" s="50">
        <v>51.348999999999997</v>
      </c>
      <c r="DT60" s="49">
        <f t="shared" si="147"/>
        <v>0</v>
      </c>
      <c r="EJ60" s="2"/>
      <c r="EZ60" s="203">
        <f t="shared" si="134"/>
        <v>12206.63</v>
      </c>
      <c r="FA60" s="205">
        <f t="shared" si="135"/>
        <v>12846.63</v>
      </c>
      <c r="FB60" s="201">
        <f t="shared" si="136"/>
        <v>25053.26</v>
      </c>
      <c r="FC60" s="16"/>
      <c r="FD60" s="167">
        <f t="shared" si="137"/>
        <v>23756.839999999997</v>
      </c>
      <c r="FE60" s="16"/>
      <c r="FF60" s="199">
        <v>0.5</v>
      </c>
      <c r="FG60" s="200">
        <v>0.5</v>
      </c>
      <c r="FH60" s="16">
        <f t="shared" si="138"/>
        <v>648.21</v>
      </c>
      <c r="FI60" s="179">
        <f t="shared" si="138"/>
        <v>648.21</v>
      </c>
      <c r="FJ60" s="179">
        <f t="shared" si="139"/>
        <v>11878.419999999998</v>
      </c>
      <c r="FK60" s="179">
        <f t="shared" si="140"/>
        <v>11878.419999999998</v>
      </c>
      <c r="FL60" s="204">
        <f t="shared" si="141"/>
        <v>12526.629999999997</v>
      </c>
      <c r="FM60" s="206">
        <f t="shared" si="141"/>
        <v>12526.629999999997</v>
      </c>
      <c r="FN60" s="202">
        <f t="shared" si="142"/>
        <v>25053.259999999995</v>
      </c>
      <c r="FQ60" s="217"/>
      <c r="FR60" s="16">
        <v>17</v>
      </c>
      <c r="FS60" s="16">
        <v>734.47</v>
      </c>
      <c r="FT60" s="16">
        <v>386.03</v>
      </c>
      <c r="FU60" s="16">
        <f t="shared" si="129"/>
        <v>1759.9999999999909</v>
      </c>
      <c r="FV60" s="16">
        <f t="shared" si="130"/>
        <v>879.99999999999545</v>
      </c>
      <c r="FW60" s="16">
        <f t="shared" si="131"/>
        <v>879.99999999999545</v>
      </c>
      <c r="IH60" s="16">
        <v>16</v>
      </c>
      <c r="II60" s="144">
        <f>DailyJul!BX22+DailyJul!BY22-DailyJul!BZ22-DailyJul!CA22-DailyJul!CB22-DailyJul!CC22-DailyJul!CD22-DailyJul!CF22-DailyJul!CE22</f>
        <v>-2.7284841053187847E-10</v>
      </c>
      <c r="IJ60" s="16">
        <v>800</v>
      </c>
      <c r="IK60" s="16">
        <f t="shared" si="143"/>
        <v>200</v>
      </c>
      <c r="IL60" s="16">
        <v>200</v>
      </c>
      <c r="JN60">
        <f t="shared" si="127"/>
        <v>24549.999999999909</v>
      </c>
    </row>
    <row r="61" spans="1:274" x14ac:dyDescent="0.25">
      <c r="A61" s="35">
        <v>16</v>
      </c>
      <c r="B61" s="138">
        <v>0.37280000000000002</v>
      </c>
      <c r="C61" s="65"/>
      <c r="D61" s="37">
        <f t="shared" si="144"/>
        <v>0</v>
      </c>
      <c r="E61" s="16">
        <v>28964</v>
      </c>
      <c r="F61" s="16"/>
      <c r="G61" s="37">
        <f t="shared" si="132"/>
        <v>85000</v>
      </c>
      <c r="H61" s="138"/>
      <c r="I61" s="65"/>
      <c r="J61" s="37">
        <f t="shared" si="133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v>14</v>
      </c>
      <c r="DQ61" s="50">
        <v>8.2584</v>
      </c>
      <c r="DR61" s="49">
        <f t="shared" si="145"/>
        <v>0</v>
      </c>
      <c r="DS61" s="50">
        <v>51.348999999999997</v>
      </c>
      <c r="DT61" s="49">
        <f t="shared" si="147"/>
        <v>0</v>
      </c>
      <c r="EJ61" s="2"/>
      <c r="EZ61" s="203">
        <f t="shared" si="134"/>
        <v>11152.75</v>
      </c>
      <c r="FA61" s="205">
        <f t="shared" si="135"/>
        <v>13257.75</v>
      </c>
      <c r="FB61" s="201">
        <f t="shared" si="136"/>
        <v>24410.5</v>
      </c>
      <c r="FC61" s="16"/>
      <c r="FD61" s="167">
        <f t="shared" si="137"/>
        <v>23114.080000000002</v>
      </c>
      <c r="FE61" s="16"/>
      <c r="FF61" s="199">
        <v>0.5</v>
      </c>
      <c r="FG61" s="200">
        <v>0.5</v>
      </c>
      <c r="FH61" s="16">
        <f t="shared" si="138"/>
        <v>648.21</v>
      </c>
      <c r="FI61" s="179">
        <f t="shared" si="138"/>
        <v>648.21</v>
      </c>
      <c r="FJ61" s="179">
        <f t="shared" si="139"/>
        <v>11557.04</v>
      </c>
      <c r="FK61" s="179">
        <f t="shared" si="140"/>
        <v>11557.04</v>
      </c>
      <c r="FL61" s="204">
        <f t="shared" si="141"/>
        <v>12205.25</v>
      </c>
      <c r="FM61" s="206">
        <f t="shared" si="141"/>
        <v>12205.25</v>
      </c>
      <c r="FN61" s="202">
        <f t="shared" si="142"/>
        <v>24410.5</v>
      </c>
      <c r="FQ61" s="217"/>
      <c r="FR61" s="16">
        <v>18</v>
      </c>
      <c r="FS61" s="16">
        <v>736.24</v>
      </c>
      <c r="FT61" s="16">
        <v>387.15</v>
      </c>
      <c r="FU61" s="16">
        <f t="shared" si="129"/>
        <v>1769.9999999999818</v>
      </c>
      <c r="FV61" s="16">
        <f t="shared" si="130"/>
        <v>884.99999999999091</v>
      </c>
      <c r="FW61" s="16">
        <f t="shared" si="131"/>
        <v>884.99999999999091</v>
      </c>
      <c r="IH61" s="16">
        <v>17</v>
      </c>
      <c r="II61" s="144">
        <f>DailyJul!BX23+DailyJul!BY23-DailyJul!BZ23-DailyJul!CA23-DailyJul!CB23-DailyJul!CC23-DailyJul!CD23-DailyJul!CF23-DailyJul!CE23</f>
        <v>-3.6015990190207958E-10</v>
      </c>
      <c r="IJ61" s="16">
        <v>-500</v>
      </c>
      <c r="IK61" s="16">
        <f t="shared" si="143"/>
        <v>-125</v>
      </c>
      <c r="IL61" s="16">
        <v>-125</v>
      </c>
      <c r="JN61">
        <f t="shared" si="127"/>
        <v>25975.000000000091</v>
      </c>
    </row>
    <row r="62" spans="1:274" x14ac:dyDescent="0.25">
      <c r="A62" s="35">
        <v>17</v>
      </c>
      <c r="B62" s="138">
        <v>0.37280000000000002</v>
      </c>
      <c r="C62" s="65"/>
      <c r="D62" s="37">
        <f t="shared" si="144"/>
        <v>0</v>
      </c>
      <c r="E62" s="16">
        <v>29056</v>
      </c>
      <c r="F62" s="16"/>
      <c r="G62" s="37">
        <f t="shared" si="132"/>
        <v>92000</v>
      </c>
      <c r="H62" s="138"/>
      <c r="I62" s="65"/>
      <c r="J62" s="37">
        <f t="shared" si="133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v>15</v>
      </c>
      <c r="DQ62" s="50">
        <v>8.2584</v>
      </c>
      <c r="DR62" s="49">
        <f t="shared" si="145"/>
        <v>0</v>
      </c>
      <c r="DS62" s="50">
        <v>51.348999999999997</v>
      </c>
      <c r="DT62" s="49">
        <f t="shared" si="147"/>
        <v>0</v>
      </c>
      <c r="EJ62" s="2"/>
      <c r="EZ62" s="203">
        <f t="shared" si="134"/>
        <v>11732.37</v>
      </c>
      <c r="FA62" s="205">
        <f t="shared" si="135"/>
        <v>11435.7</v>
      </c>
      <c r="FB62" s="201">
        <f t="shared" si="136"/>
        <v>23168.07</v>
      </c>
      <c r="FC62" s="16"/>
      <c r="FD62" s="167">
        <f t="shared" si="137"/>
        <v>21871.65</v>
      </c>
      <c r="FE62" s="16"/>
      <c r="FF62" s="199">
        <v>0.5</v>
      </c>
      <c r="FG62" s="200">
        <v>0.5</v>
      </c>
      <c r="FH62" s="16">
        <f t="shared" si="138"/>
        <v>648.21</v>
      </c>
      <c r="FI62" s="179">
        <f t="shared" si="138"/>
        <v>648.21</v>
      </c>
      <c r="FJ62" s="179">
        <f t="shared" si="139"/>
        <v>10935.825000000001</v>
      </c>
      <c r="FK62" s="179">
        <f t="shared" si="140"/>
        <v>10935.825000000001</v>
      </c>
      <c r="FL62" s="204">
        <f t="shared" si="141"/>
        <v>11584.035</v>
      </c>
      <c r="FM62" s="206">
        <f t="shared" si="141"/>
        <v>11584.035</v>
      </c>
      <c r="FN62" s="202">
        <f t="shared" si="142"/>
        <v>23168.07</v>
      </c>
      <c r="FQ62" s="217"/>
      <c r="FR62" s="16">
        <v>19</v>
      </c>
      <c r="FS62" s="16">
        <v>738.02</v>
      </c>
      <c r="FT62" s="16">
        <v>388.29</v>
      </c>
      <c r="FU62" s="16">
        <f t="shared" si="129"/>
        <v>1779.9999999999727</v>
      </c>
      <c r="FV62" s="16">
        <f t="shared" si="130"/>
        <v>889.99999999998636</v>
      </c>
      <c r="FW62" s="16">
        <f t="shared" si="131"/>
        <v>889.99999999998636</v>
      </c>
      <c r="IH62" s="16">
        <v>18</v>
      </c>
      <c r="II62" s="144">
        <f>DailyJul!BX24+DailyJul!BY24-DailyJul!BZ24-DailyJul!CA24-DailyJul!CB24-DailyJul!CC24-DailyJul!CD24-DailyJul!CF24-DailyJul!CE24</f>
        <v>-1.7462298274040222E-10</v>
      </c>
      <c r="IJ62" s="16">
        <v>2400</v>
      </c>
      <c r="IK62" s="16">
        <f t="shared" si="143"/>
        <v>600</v>
      </c>
      <c r="IL62" s="16">
        <v>600</v>
      </c>
      <c r="JN62">
        <f t="shared" si="127"/>
        <v>26324.999999999818</v>
      </c>
    </row>
    <row r="63" spans="1:274" x14ac:dyDescent="0.25">
      <c r="A63" s="35">
        <v>18</v>
      </c>
      <c r="B63" s="138">
        <v>0.37280000000000002</v>
      </c>
      <c r="C63" s="65"/>
      <c r="D63" s="37">
        <f t="shared" si="144"/>
        <v>0</v>
      </c>
      <c r="E63" s="16">
        <v>29147</v>
      </c>
      <c r="F63" s="16"/>
      <c r="G63" s="37">
        <f t="shared" si="132"/>
        <v>91000</v>
      </c>
      <c r="H63" s="138"/>
      <c r="I63" s="65"/>
      <c r="J63" s="37">
        <f t="shared" si="133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v>16</v>
      </c>
      <c r="DQ63" s="50">
        <v>8.2584</v>
      </c>
      <c r="DR63" s="49">
        <f t="shared" si="145"/>
        <v>0</v>
      </c>
      <c r="DS63" s="50">
        <v>51.348999999999997</v>
      </c>
      <c r="DT63" s="49">
        <f t="shared" si="147"/>
        <v>0</v>
      </c>
      <c r="EJ63" s="2"/>
      <c r="EZ63" s="203">
        <f t="shared" si="134"/>
        <v>11162.56</v>
      </c>
      <c r="FA63" s="205">
        <f t="shared" si="135"/>
        <v>12365.89</v>
      </c>
      <c r="FB63" s="201">
        <f t="shared" si="136"/>
        <v>23528.449999999997</v>
      </c>
      <c r="FC63" s="16"/>
      <c r="FD63" s="167">
        <f t="shared" si="137"/>
        <v>22232.03</v>
      </c>
      <c r="FE63" s="16"/>
      <c r="FF63" s="199">
        <v>0.5</v>
      </c>
      <c r="FG63" s="200">
        <v>0.5</v>
      </c>
      <c r="FH63" s="16">
        <f t="shared" si="138"/>
        <v>648.21</v>
      </c>
      <c r="FI63" s="179">
        <f t="shared" si="138"/>
        <v>648.21</v>
      </c>
      <c r="FJ63" s="179">
        <f t="shared" si="139"/>
        <v>11116.014999999999</v>
      </c>
      <c r="FK63" s="179">
        <f t="shared" si="140"/>
        <v>11116.014999999999</v>
      </c>
      <c r="FL63" s="204">
        <f t="shared" si="141"/>
        <v>11764.224999999999</v>
      </c>
      <c r="FM63" s="206">
        <f t="shared" si="141"/>
        <v>11764.224999999999</v>
      </c>
      <c r="FN63" s="202">
        <f t="shared" si="142"/>
        <v>23528.449999999997</v>
      </c>
      <c r="FQ63" s="217"/>
      <c r="FR63" s="16">
        <v>20</v>
      </c>
      <c r="FS63" s="16">
        <v>739.8</v>
      </c>
      <c r="FT63" s="16">
        <v>389.42</v>
      </c>
      <c r="FU63" s="16">
        <f t="shared" si="129"/>
        <v>1779.9999999999727</v>
      </c>
      <c r="FV63" s="16">
        <f t="shared" si="130"/>
        <v>889.99999999998636</v>
      </c>
      <c r="FW63" s="16">
        <f t="shared" si="131"/>
        <v>889.99999999998636</v>
      </c>
      <c r="IH63" s="16">
        <v>19</v>
      </c>
      <c r="II63" s="144">
        <f>DailyJul!BX25+DailyJul!BY25-DailyJul!BZ25-DailyJul!CA25-DailyJul!CB25-DailyJul!CC25-DailyJul!CD25-DailyJul!CF25-DailyJul!CE25</f>
        <v>8.149072527885437E-10</v>
      </c>
      <c r="IJ63" s="16">
        <v>1900</v>
      </c>
      <c r="IK63" s="16">
        <f t="shared" si="143"/>
        <v>475</v>
      </c>
      <c r="IL63" s="16">
        <v>475</v>
      </c>
      <c r="JN63">
        <f t="shared" si="127"/>
        <v>24800.000000000273</v>
      </c>
    </row>
    <row r="64" spans="1:274" x14ac:dyDescent="0.25">
      <c r="A64" s="35">
        <v>19</v>
      </c>
      <c r="B64" s="138">
        <v>0.37280000000000002</v>
      </c>
      <c r="C64" s="65"/>
      <c r="D64" s="37">
        <f t="shared" si="144"/>
        <v>0</v>
      </c>
      <c r="E64" s="16">
        <v>29237</v>
      </c>
      <c r="F64" s="16"/>
      <c r="G64" s="37">
        <f t="shared" si="132"/>
        <v>90000</v>
      </c>
      <c r="H64" s="138"/>
      <c r="I64" s="65"/>
      <c r="J64" s="37">
        <f t="shared" si="133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v>17</v>
      </c>
      <c r="DQ64" s="50">
        <v>8.2584</v>
      </c>
      <c r="DR64" s="49">
        <f t="shared" si="145"/>
        <v>0</v>
      </c>
      <c r="DS64" s="50">
        <v>51.348999999999997</v>
      </c>
      <c r="DT64" s="49">
        <f t="shared" si="147"/>
        <v>0</v>
      </c>
      <c r="EZ64" s="203">
        <f t="shared" si="134"/>
        <v>9945.61</v>
      </c>
      <c r="FA64" s="205">
        <f t="shared" si="135"/>
        <v>10850.61</v>
      </c>
      <c r="FB64" s="201">
        <f t="shared" si="136"/>
        <v>20796.22</v>
      </c>
      <c r="FC64" s="16"/>
      <c r="FD64" s="167">
        <f t="shared" si="137"/>
        <v>19499.800000000003</v>
      </c>
      <c r="FE64" s="16"/>
      <c r="FF64" s="199">
        <v>0.5</v>
      </c>
      <c r="FG64" s="200">
        <v>0.5</v>
      </c>
      <c r="FH64" s="16">
        <f t="shared" si="138"/>
        <v>648.21</v>
      </c>
      <c r="FI64" s="179">
        <f t="shared" si="138"/>
        <v>648.21</v>
      </c>
      <c r="FJ64" s="179">
        <f t="shared" si="139"/>
        <v>9749.9000000000015</v>
      </c>
      <c r="FK64" s="179">
        <f t="shared" si="140"/>
        <v>9749.9000000000015</v>
      </c>
      <c r="FL64" s="204">
        <f t="shared" si="141"/>
        <v>10398.11</v>
      </c>
      <c r="FM64" s="206">
        <f t="shared" si="141"/>
        <v>10398.11</v>
      </c>
      <c r="FN64" s="202">
        <f t="shared" si="142"/>
        <v>20796.22</v>
      </c>
      <c r="FQ64" s="217"/>
      <c r="FR64" s="16">
        <v>21</v>
      </c>
      <c r="FS64" s="16">
        <v>741.57</v>
      </c>
      <c r="FT64" s="16">
        <v>390.55</v>
      </c>
      <c r="FU64" s="16">
        <f t="shared" si="129"/>
        <v>1770.0000000000955</v>
      </c>
      <c r="FV64" s="16">
        <f t="shared" si="130"/>
        <v>885.00000000004775</v>
      </c>
      <c r="FW64" s="16">
        <f t="shared" si="131"/>
        <v>885.00000000004775</v>
      </c>
      <c r="IH64" s="16">
        <v>20</v>
      </c>
      <c r="II64" s="144">
        <f>DailyJul!BX26+DailyJul!BY26-DailyJul!BZ26-DailyJul!CA26-DailyJul!CB26-DailyJul!CC26-DailyJul!CD26-DailyJul!CF26-DailyJul!CE26</f>
        <v>-1.8553691916167736E-10</v>
      </c>
      <c r="IJ64" s="16">
        <v>-2400</v>
      </c>
      <c r="IK64" s="16">
        <f t="shared" si="143"/>
        <v>-600</v>
      </c>
      <c r="IL64" s="16">
        <v>-600</v>
      </c>
    </row>
    <row r="65" spans="1:246" x14ac:dyDescent="0.25">
      <c r="A65" s="35">
        <v>20</v>
      </c>
      <c r="B65" s="138">
        <v>0.37280000000000002</v>
      </c>
      <c r="C65" s="65"/>
      <c r="D65" s="37">
        <f t="shared" si="144"/>
        <v>0</v>
      </c>
      <c r="E65" s="16">
        <v>29329</v>
      </c>
      <c r="F65" s="16"/>
      <c r="G65" s="37">
        <f t="shared" si="132"/>
        <v>92000</v>
      </c>
      <c r="H65" s="138"/>
      <c r="I65" s="65"/>
      <c r="J65" s="37">
        <f t="shared" si="133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v>18</v>
      </c>
      <c r="DQ65" s="50">
        <v>8.2584</v>
      </c>
      <c r="DR65" s="49">
        <f t="shared" si="145"/>
        <v>0</v>
      </c>
      <c r="DS65" s="50">
        <v>51.348999999999997</v>
      </c>
      <c r="DT65" s="49">
        <f t="shared" si="147"/>
        <v>0</v>
      </c>
      <c r="EZ65" s="203">
        <f t="shared" si="134"/>
        <v>12475.24</v>
      </c>
      <c r="FA65" s="205">
        <f t="shared" si="135"/>
        <v>13081.91</v>
      </c>
      <c r="FB65" s="201">
        <f t="shared" si="136"/>
        <v>25557.15</v>
      </c>
      <c r="FC65" s="16"/>
      <c r="FD65" s="167">
        <f t="shared" si="137"/>
        <v>24260.730000000003</v>
      </c>
      <c r="FE65" s="16"/>
      <c r="FF65" s="199">
        <v>0.5</v>
      </c>
      <c r="FG65" s="200">
        <v>0.5</v>
      </c>
      <c r="FH65" s="16">
        <f t="shared" si="138"/>
        <v>648.21</v>
      </c>
      <c r="FI65" s="179">
        <f t="shared" si="138"/>
        <v>648.21</v>
      </c>
      <c r="FJ65" s="179">
        <f t="shared" si="139"/>
        <v>12130.365000000002</v>
      </c>
      <c r="FK65" s="179">
        <f t="shared" si="140"/>
        <v>12130.365000000002</v>
      </c>
      <c r="FL65" s="204">
        <f t="shared" si="141"/>
        <v>12778.575000000001</v>
      </c>
      <c r="FM65" s="206">
        <f t="shared" si="141"/>
        <v>12778.575000000001</v>
      </c>
      <c r="FN65" s="202">
        <f t="shared" si="142"/>
        <v>25557.15</v>
      </c>
      <c r="FQ65" s="217"/>
      <c r="FR65" s="16">
        <v>22</v>
      </c>
      <c r="FS65" s="16">
        <v>743.33</v>
      </c>
      <c r="FT65" s="16">
        <v>391.66</v>
      </c>
      <c r="FU65" s="16">
        <f t="shared" si="129"/>
        <v>1759.9999999999909</v>
      </c>
      <c r="FV65" s="16">
        <f t="shared" si="130"/>
        <v>879.99999999999545</v>
      </c>
      <c r="FW65" s="16">
        <f t="shared" si="131"/>
        <v>879.99999999999545</v>
      </c>
      <c r="IH65" s="16">
        <v>21</v>
      </c>
      <c r="II65" s="144">
        <f>DailyJul!BX27+DailyJul!BY27-DailyJul!BZ27-DailyJul!CA27-DailyJul!CB27-DailyJul!CC27-DailyJul!CD27-DailyJul!CF27-DailyJul!CE27</f>
        <v>8.7311491370201111E-11</v>
      </c>
      <c r="IJ65" s="16">
        <v>100</v>
      </c>
      <c r="IK65" s="16">
        <f t="shared" si="143"/>
        <v>25</v>
      </c>
      <c r="IL65" s="16">
        <v>25</v>
      </c>
    </row>
    <row r="66" spans="1:246" x14ac:dyDescent="0.25">
      <c r="A66" s="35">
        <v>21</v>
      </c>
      <c r="B66" s="138">
        <v>0.37280000000000002</v>
      </c>
      <c r="C66" s="65"/>
      <c r="D66" s="37">
        <f t="shared" si="144"/>
        <v>0</v>
      </c>
      <c r="E66" s="16">
        <v>29421</v>
      </c>
      <c r="F66" s="16"/>
      <c r="G66" s="37">
        <f t="shared" si="132"/>
        <v>92000</v>
      </c>
      <c r="H66" s="138"/>
      <c r="I66" s="65"/>
      <c r="J66" s="37">
        <f t="shared" si="133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v>19</v>
      </c>
      <c r="DQ66" s="50">
        <v>8.2584</v>
      </c>
      <c r="DR66" s="49">
        <f t="shared" si="145"/>
        <v>0</v>
      </c>
      <c r="DS66" s="50">
        <v>51.348999999999997</v>
      </c>
      <c r="DT66" s="49">
        <f t="shared" si="147"/>
        <v>0</v>
      </c>
      <c r="EZ66" s="203">
        <f t="shared" si="134"/>
        <v>12732.49</v>
      </c>
      <c r="FA66" s="205">
        <f t="shared" si="135"/>
        <v>14102.49</v>
      </c>
      <c r="FB66" s="201">
        <f t="shared" si="136"/>
        <v>26834.98</v>
      </c>
      <c r="FC66" s="16"/>
      <c r="FD66" s="167">
        <f t="shared" si="137"/>
        <v>25538.559999999998</v>
      </c>
      <c r="FE66" s="16"/>
      <c r="FF66" s="199">
        <v>0.5</v>
      </c>
      <c r="FG66" s="200">
        <v>0.5</v>
      </c>
      <c r="FH66" s="16">
        <f t="shared" si="138"/>
        <v>648.21</v>
      </c>
      <c r="FI66" s="179">
        <f t="shared" si="138"/>
        <v>648.21</v>
      </c>
      <c r="FJ66" s="179">
        <f t="shared" si="139"/>
        <v>12769.279999999999</v>
      </c>
      <c r="FK66" s="179">
        <f t="shared" si="140"/>
        <v>12769.279999999999</v>
      </c>
      <c r="FL66" s="204">
        <f t="shared" si="141"/>
        <v>13417.489999999998</v>
      </c>
      <c r="FM66" s="206">
        <f t="shared" si="141"/>
        <v>13417.489999999998</v>
      </c>
      <c r="FN66" s="202">
        <f t="shared" si="142"/>
        <v>26834.979999999996</v>
      </c>
      <c r="FQ66" s="217"/>
      <c r="FR66" s="16">
        <v>23</v>
      </c>
      <c r="FS66" s="16">
        <v>745.11</v>
      </c>
      <c r="FT66" s="16">
        <v>392.79</v>
      </c>
      <c r="FU66" s="16">
        <f t="shared" si="129"/>
        <v>1779.9999999999727</v>
      </c>
      <c r="FV66" s="16">
        <f t="shared" si="130"/>
        <v>889.99999999998636</v>
      </c>
      <c r="FW66" s="16">
        <f t="shared" si="131"/>
        <v>889.99999999998636</v>
      </c>
      <c r="IH66" s="16">
        <v>22</v>
      </c>
      <c r="II66" s="144">
        <f>DailyJul!BX28+DailyJul!BY28-DailyJul!BZ28-DailyJul!CA28-DailyJul!CB28-DailyJul!CC28-DailyJul!CD28-DailyJul!CF28-DailyJul!CE28</f>
        <v>-2.7648638933897018E-10</v>
      </c>
      <c r="IJ66" s="16">
        <v>200</v>
      </c>
      <c r="IK66" s="16">
        <f t="shared" si="143"/>
        <v>50</v>
      </c>
      <c r="IL66" s="16">
        <v>50</v>
      </c>
    </row>
    <row r="67" spans="1:246" x14ac:dyDescent="0.25">
      <c r="A67" s="35">
        <v>22</v>
      </c>
      <c r="B67" s="138">
        <v>0.37280000000000002</v>
      </c>
      <c r="C67" s="65"/>
      <c r="D67" s="37">
        <f t="shared" si="144"/>
        <v>0</v>
      </c>
      <c r="E67" s="16">
        <v>29511</v>
      </c>
      <c r="F67" s="16"/>
      <c r="G67" s="37">
        <f t="shared" si="132"/>
        <v>90000</v>
      </c>
      <c r="H67" s="138"/>
      <c r="I67" s="65"/>
      <c r="J67" s="37">
        <f t="shared" si="133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v>20</v>
      </c>
      <c r="DQ67" s="50">
        <v>8.2584</v>
      </c>
      <c r="DR67" s="49">
        <f t="shared" si="145"/>
        <v>0</v>
      </c>
      <c r="DS67" s="50">
        <v>51.348999999999997</v>
      </c>
      <c r="DT67" s="49">
        <f t="shared" si="147"/>
        <v>0</v>
      </c>
      <c r="EZ67" s="203">
        <f t="shared" si="134"/>
        <v>10976.73</v>
      </c>
      <c r="FA67" s="205">
        <f t="shared" si="135"/>
        <v>12250.06</v>
      </c>
      <c r="FB67" s="201">
        <f t="shared" si="136"/>
        <v>23226.79</v>
      </c>
      <c r="FC67" s="16"/>
      <c r="FD67" s="167">
        <f t="shared" si="137"/>
        <v>21930.370000000003</v>
      </c>
      <c r="FE67" s="16"/>
      <c r="FF67" s="199">
        <v>0.5</v>
      </c>
      <c r="FG67" s="200">
        <v>0.5</v>
      </c>
      <c r="FH67" s="16">
        <f t="shared" si="138"/>
        <v>648.21</v>
      </c>
      <c r="FI67" s="179">
        <f t="shared" si="138"/>
        <v>648.21</v>
      </c>
      <c r="FJ67" s="179">
        <f t="shared" si="139"/>
        <v>10965.185000000001</v>
      </c>
      <c r="FK67" s="179">
        <f t="shared" si="140"/>
        <v>10965.185000000001</v>
      </c>
      <c r="FL67" s="204">
        <f t="shared" si="141"/>
        <v>11613.395</v>
      </c>
      <c r="FM67" s="206">
        <f t="shared" si="141"/>
        <v>11613.395</v>
      </c>
      <c r="FN67" s="202">
        <f t="shared" si="142"/>
        <v>23226.79</v>
      </c>
      <c r="FQ67" s="217"/>
      <c r="FR67" s="16">
        <v>24</v>
      </c>
      <c r="FS67" s="16">
        <v>746.87</v>
      </c>
      <c r="FT67" s="16">
        <v>393.91</v>
      </c>
      <c r="FU67" s="16">
        <f t="shared" si="129"/>
        <v>1759.9999999999909</v>
      </c>
      <c r="FV67" s="16">
        <f t="shared" si="130"/>
        <v>879.99999999999545</v>
      </c>
      <c r="FW67" s="16">
        <f t="shared" si="131"/>
        <v>879.99999999999545</v>
      </c>
      <c r="IH67" s="16">
        <v>23</v>
      </c>
      <c r="II67" s="144">
        <f>DailyJul!BX29+DailyJul!BY29-DailyJul!BZ29-DailyJul!CA29-DailyJul!CB29-DailyJul!CC29-DailyJul!CD29-DailyJul!CF29-DailyJul!CE29</f>
        <v>-5.3842086344957352E-10</v>
      </c>
      <c r="IJ67" s="16">
        <v>0</v>
      </c>
      <c r="IK67" s="16">
        <f t="shared" si="143"/>
        <v>0</v>
      </c>
      <c r="IL67" s="16">
        <v>0</v>
      </c>
    </row>
    <row r="68" spans="1:246" x14ac:dyDescent="0.25">
      <c r="A68" s="35">
        <v>23</v>
      </c>
      <c r="B68" s="138">
        <v>0.37280000000000002</v>
      </c>
      <c r="C68" s="65"/>
      <c r="D68" s="37">
        <f t="shared" si="144"/>
        <v>0</v>
      </c>
      <c r="E68" s="16">
        <v>29596</v>
      </c>
      <c r="F68" s="16"/>
      <c r="G68" s="37">
        <f t="shared" si="132"/>
        <v>85000</v>
      </c>
      <c r="H68" s="138"/>
      <c r="I68" s="65"/>
      <c r="J68" s="37">
        <f t="shared" si="133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v>21</v>
      </c>
      <c r="DQ68" s="50">
        <v>8.2584</v>
      </c>
      <c r="DR68" s="49">
        <f t="shared" si="145"/>
        <v>0</v>
      </c>
      <c r="DS68" s="50">
        <v>51.348999999999997</v>
      </c>
      <c r="DT68" s="49">
        <f t="shared" si="147"/>
        <v>0</v>
      </c>
      <c r="EZ68" s="203">
        <f t="shared" si="134"/>
        <v>11317.85</v>
      </c>
      <c r="FA68" s="205">
        <f t="shared" si="135"/>
        <v>10291.18</v>
      </c>
      <c r="FB68" s="201">
        <f t="shared" si="136"/>
        <v>21609.03</v>
      </c>
      <c r="FC68" s="16"/>
      <c r="FD68" s="167">
        <f t="shared" si="137"/>
        <v>20312.61</v>
      </c>
      <c r="FE68" s="16"/>
      <c r="FF68" s="199">
        <v>0.5</v>
      </c>
      <c r="FG68" s="200">
        <v>0.5</v>
      </c>
      <c r="FH68" s="16">
        <f t="shared" si="138"/>
        <v>648.21</v>
      </c>
      <c r="FI68" s="179">
        <f t="shared" si="138"/>
        <v>648.21</v>
      </c>
      <c r="FJ68" s="179">
        <f t="shared" si="139"/>
        <v>10156.305</v>
      </c>
      <c r="FK68" s="179">
        <f t="shared" si="140"/>
        <v>10156.305</v>
      </c>
      <c r="FL68" s="204">
        <f t="shared" si="141"/>
        <v>10804.514999999999</v>
      </c>
      <c r="FM68" s="206">
        <f t="shared" si="141"/>
        <v>10804.514999999999</v>
      </c>
      <c r="FN68" s="202">
        <f t="shared" si="142"/>
        <v>21609.03</v>
      </c>
      <c r="FQ68" s="217"/>
      <c r="FR68" s="16">
        <v>25</v>
      </c>
      <c r="FS68" s="16">
        <v>748.63</v>
      </c>
      <c r="FT68" s="16">
        <v>395.03</v>
      </c>
      <c r="FU68" s="16">
        <f t="shared" si="129"/>
        <v>1759.9999999999909</v>
      </c>
      <c r="FV68" s="16">
        <f t="shared" si="130"/>
        <v>879.99999999999545</v>
      </c>
      <c r="FW68" s="16">
        <f t="shared" si="131"/>
        <v>879.99999999999545</v>
      </c>
      <c r="IH68" s="16">
        <v>24</v>
      </c>
      <c r="II68" s="144">
        <f>DailyJul!BX30+DailyJul!BY30-DailyJul!BZ30-DailyJul!CA30-DailyJul!CB30-DailyJul!CC30-DailyJul!CD30-DailyJul!CF30-DailyJul!CE30</f>
        <v>5.5297277867794037E-10</v>
      </c>
      <c r="IJ68" s="16">
        <v>600</v>
      </c>
      <c r="IK68" s="16">
        <f t="shared" si="143"/>
        <v>150</v>
      </c>
      <c r="IL68" s="16">
        <v>150</v>
      </c>
    </row>
    <row r="69" spans="1:246" x14ac:dyDescent="0.25">
      <c r="A69" s="35">
        <v>24</v>
      </c>
      <c r="B69" s="138">
        <v>0.37280000000000002</v>
      </c>
      <c r="C69" s="65"/>
      <c r="D69" s="37">
        <f t="shared" si="144"/>
        <v>0</v>
      </c>
      <c r="E69" s="16">
        <v>29671</v>
      </c>
      <c r="F69" s="16"/>
      <c r="G69" s="37">
        <f t="shared" si="132"/>
        <v>75000</v>
      </c>
      <c r="H69" s="138"/>
      <c r="I69" s="65"/>
      <c r="J69" s="37">
        <f t="shared" si="133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v>22</v>
      </c>
      <c r="DQ69" s="50">
        <v>8.2584</v>
      </c>
      <c r="DR69" s="49">
        <f t="shared" si="145"/>
        <v>0</v>
      </c>
      <c r="DS69" s="50">
        <v>51.348999999999997</v>
      </c>
      <c r="DT69" s="49">
        <f t="shared" si="147"/>
        <v>0</v>
      </c>
      <c r="EZ69" s="203">
        <f t="shared" si="134"/>
        <v>11164.41</v>
      </c>
      <c r="FA69" s="205">
        <f t="shared" si="135"/>
        <v>11271.08</v>
      </c>
      <c r="FB69" s="201">
        <f t="shared" si="136"/>
        <v>22435.489999999998</v>
      </c>
      <c r="FC69" s="16"/>
      <c r="FD69" s="167">
        <f t="shared" si="137"/>
        <v>21139.07</v>
      </c>
      <c r="FE69" s="16"/>
      <c r="FF69" s="199">
        <v>0.5</v>
      </c>
      <c r="FG69" s="200">
        <v>0.5</v>
      </c>
      <c r="FH69" s="16">
        <f t="shared" si="138"/>
        <v>648.21</v>
      </c>
      <c r="FI69" s="179">
        <f t="shared" si="138"/>
        <v>648.21</v>
      </c>
      <c r="FJ69" s="179">
        <f t="shared" si="139"/>
        <v>10569.535</v>
      </c>
      <c r="FK69" s="179">
        <f t="shared" si="140"/>
        <v>10569.535</v>
      </c>
      <c r="FL69" s="204">
        <f t="shared" si="141"/>
        <v>11217.744999999999</v>
      </c>
      <c r="FM69" s="206">
        <f t="shared" si="141"/>
        <v>11217.744999999999</v>
      </c>
      <c r="FN69" s="202">
        <f t="shared" si="142"/>
        <v>22435.489999999998</v>
      </c>
      <c r="FQ69" s="217"/>
      <c r="FR69" s="16">
        <v>26</v>
      </c>
      <c r="FS69" s="16">
        <v>750.59</v>
      </c>
      <c r="FT69" s="16">
        <v>396.15</v>
      </c>
      <c r="FU69" s="16">
        <f t="shared" si="129"/>
        <v>1960.0000000000364</v>
      </c>
      <c r="FV69" s="16">
        <f t="shared" si="130"/>
        <v>980.00000000001819</v>
      </c>
      <c r="FW69" s="16">
        <f t="shared" si="131"/>
        <v>980.00000000001819</v>
      </c>
      <c r="IH69" s="16">
        <v>25</v>
      </c>
      <c r="II69" s="144">
        <f>DailyJul!BX31+DailyJul!BY31-DailyJul!BZ31-DailyJul!CA31-DailyJul!CB31-DailyJul!CC31-DailyJul!CD31-DailyJul!CF31-DailyJul!CE31</f>
        <v>-8.7311491370201111E-11</v>
      </c>
      <c r="IJ69" s="16">
        <v>-200</v>
      </c>
      <c r="IK69" s="16">
        <f t="shared" si="143"/>
        <v>-50</v>
      </c>
      <c r="IL69" s="16">
        <v>-50</v>
      </c>
    </row>
    <row r="70" spans="1:246" x14ac:dyDescent="0.25">
      <c r="A70" s="35">
        <v>25</v>
      </c>
      <c r="B70" s="138">
        <v>0.37280000000000002</v>
      </c>
      <c r="C70" s="65"/>
      <c r="D70" s="37">
        <f t="shared" si="144"/>
        <v>0</v>
      </c>
      <c r="E70" s="16">
        <v>29757</v>
      </c>
      <c r="F70" s="16"/>
      <c r="G70" s="37">
        <f t="shared" si="132"/>
        <v>86000</v>
      </c>
      <c r="H70" s="138"/>
      <c r="I70" s="65"/>
      <c r="J70" s="37">
        <f t="shared" si="133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v>23</v>
      </c>
      <c r="DQ70" s="50">
        <v>8.2584</v>
      </c>
      <c r="DR70" s="49">
        <f t="shared" si="145"/>
        <v>0</v>
      </c>
      <c r="DS70" s="50">
        <v>51.348999999999997</v>
      </c>
      <c r="DT70" s="49">
        <f t="shared" si="147"/>
        <v>0</v>
      </c>
      <c r="EZ70" s="203">
        <f t="shared" si="134"/>
        <v>11785.67</v>
      </c>
      <c r="FA70" s="205">
        <f t="shared" si="135"/>
        <v>11470.67</v>
      </c>
      <c r="FB70" s="201">
        <f t="shared" si="136"/>
        <v>23256.34</v>
      </c>
      <c r="FC70" s="16"/>
      <c r="FD70" s="167">
        <f t="shared" si="137"/>
        <v>21959.919999999998</v>
      </c>
      <c r="FE70" s="16"/>
      <c r="FF70" s="199">
        <v>0.5</v>
      </c>
      <c r="FG70" s="200">
        <v>0.5</v>
      </c>
      <c r="FH70" s="16">
        <f t="shared" si="138"/>
        <v>648.21</v>
      </c>
      <c r="FI70" s="179">
        <f t="shared" si="138"/>
        <v>648.21</v>
      </c>
      <c r="FJ70" s="179">
        <f t="shared" si="139"/>
        <v>10979.96</v>
      </c>
      <c r="FK70" s="179">
        <f t="shared" si="140"/>
        <v>10979.96</v>
      </c>
      <c r="FL70" s="204">
        <f t="shared" si="141"/>
        <v>11628.169999999998</v>
      </c>
      <c r="FM70" s="206">
        <f t="shared" si="141"/>
        <v>11628.169999999998</v>
      </c>
      <c r="FN70" s="202">
        <f t="shared" si="142"/>
        <v>23256.339999999997</v>
      </c>
      <c r="FQ70" s="217"/>
      <c r="FR70" s="16">
        <v>27</v>
      </c>
      <c r="FS70" s="16">
        <v>752.48</v>
      </c>
      <c r="FT70" s="16">
        <v>397.3</v>
      </c>
      <c r="FU70" s="16">
        <f t="shared" si="129"/>
        <v>1889.9999999999864</v>
      </c>
      <c r="FV70" s="16">
        <f t="shared" si="130"/>
        <v>944.99999999999318</v>
      </c>
      <c r="FW70" s="16">
        <f t="shared" si="131"/>
        <v>944.99999999999318</v>
      </c>
      <c r="IH70" s="16">
        <v>26</v>
      </c>
      <c r="II70" s="144">
        <f>DailyJul!BX32+DailyJul!BY32-DailyJul!BZ32-DailyJul!CA32-DailyJul!CB32-DailyJul!CC32-DailyJul!CD32-DailyJul!CF32-DailyJul!CE32</f>
        <v>2.7648638933897018E-10</v>
      </c>
      <c r="IJ70" s="16">
        <v>2300</v>
      </c>
      <c r="IK70" s="16">
        <f t="shared" si="143"/>
        <v>575</v>
      </c>
      <c r="IL70" s="16">
        <v>575</v>
      </c>
    </row>
    <row r="71" spans="1:246" x14ac:dyDescent="0.25">
      <c r="A71" s="35">
        <v>26</v>
      </c>
      <c r="B71" s="138">
        <v>0.37280000000000002</v>
      </c>
      <c r="C71" s="65"/>
      <c r="D71" s="37">
        <f t="shared" si="144"/>
        <v>0</v>
      </c>
      <c r="E71" s="16">
        <v>29844</v>
      </c>
      <c r="F71" s="16"/>
      <c r="G71" s="37">
        <f t="shared" si="132"/>
        <v>87000</v>
      </c>
      <c r="H71" s="138"/>
      <c r="I71" s="65"/>
      <c r="J71" s="37">
        <f t="shared" si="133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v>24</v>
      </c>
      <c r="DQ71" s="50">
        <v>8.2584</v>
      </c>
      <c r="DR71" s="49">
        <f t="shared" si="145"/>
        <v>0</v>
      </c>
      <c r="DS71" s="50">
        <v>51.348999999999997</v>
      </c>
      <c r="DT71" s="49">
        <f t="shared" si="147"/>
        <v>0</v>
      </c>
      <c r="EZ71" s="203">
        <f t="shared" si="134"/>
        <v>11325.67</v>
      </c>
      <c r="FA71" s="205">
        <f t="shared" si="135"/>
        <v>11377.34</v>
      </c>
      <c r="FB71" s="201">
        <f t="shared" si="136"/>
        <v>22703.010000000002</v>
      </c>
      <c r="FC71" s="16"/>
      <c r="FD71" s="167">
        <f t="shared" si="137"/>
        <v>21406.590000000004</v>
      </c>
      <c r="FE71" s="16"/>
      <c r="FF71" s="199">
        <v>0.5</v>
      </c>
      <c r="FG71" s="200">
        <v>0.5</v>
      </c>
      <c r="FH71" s="16">
        <f t="shared" si="138"/>
        <v>648.21</v>
      </c>
      <c r="FI71" s="179">
        <f t="shared" si="138"/>
        <v>648.21</v>
      </c>
      <c r="FJ71" s="179">
        <f t="shared" si="139"/>
        <v>10703.295000000002</v>
      </c>
      <c r="FK71" s="179">
        <f t="shared" si="140"/>
        <v>10703.295000000002</v>
      </c>
      <c r="FL71" s="204">
        <f t="shared" si="141"/>
        <v>11351.505000000001</v>
      </c>
      <c r="FM71" s="206">
        <f t="shared" si="141"/>
        <v>11351.505000000001</v>
      </c>
      <c r="FN71" s="202">
        <f t="shared" si="142"/>
        <v>22703.010000000002</v>
      </c>
      <c r="FQ71" s="217"/>
      <c r="FR71" s="16">
        <v>28</v>
      </c>
      <c r="FS71" s="16">
        <v>754.37</v>
      </c>
      <c r="FT71" s="16">
        <v>398.44</v>
      </c>
      <c r="FU71" s="16">
        <f t="shared" si="129"/>
        <v>1889.9999999999864</v>
      </c>
      <c r="FV71" s="16">
        <f t="shared" si="130"/>
        <v>944.99999999999318</v>
      </c>
      <c r="FW71" s="16">
        <f t="shared" si="131"/>
        <v>944.99999999999318</v>
      </c>
      <c r="IH71" s="16">
        <v>27</v>
      </c>
      <c r="II71" s="144">
        <f>DailyJul!BX33+DailyJul!BY33-DailyJul!BZ33-DailyJul!CA33-DailyJul!CB33-DailyJul!CC33-DailyJul!CD33-DailyJul!CF33-DailyJul!CE33</f>
        <v>-2.6921043172478676E-10</v>
      </c>
      <c r="IJ71" s="16">
        <v>500</v>
      </c>
      <c r="IK71" s="16">
        <f t="shared" si="143"/>
        <v>125</v>
      </c>
      <c r="IL71" s="16">
        <v>125</v>
      </c>
    </row>
    <row r="72" spans="1:246" x14ac:dyDescent="0.25">
      <c r="A72" s="35">
        <v>27</v>
      </c>
      <c r="B72" s="138">
        <v>0.37280000000000002</v>
      </c>
      <c r="C72" s="65"/>
      <c r="D72" s="37">
        <f t="shared" si="144"/>
        <v>0</v>
      </c>
      <c r="E72" s="16">
        <v>29927</v>
      </c>
      <c r="F72" s="16"/>
      <c r="G72" s="37">
        <f t="shared" si="132"/>
        <v>83000</v>
      </c>
      <c r="H72" s="138"/>
      <c r="I72" s="65"/>
      <c r="J72" s="37">
        <f t="shared" si="133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v>25</v>
      </c>
      <c r="DQ72" s="50"/>
      <c r="DR72" s="49">
        <f t="shared" si="145"/>
        <v>0</v>
      </c>
      <c r="DS72" s="50"/>
      <c r="DT72" s="49">
        <f t="shared" si="147"/>
        <v>0</v>
      </c>
      <c r="EZ72" s="203">
        <f t="shared" si="134"/>
        <v>11039.25</v>
      </c>
      <c r="FA72" s="205">
        <f t="shared" si="135"/>
        <v>11774.25</v>
      </c>
      <c r="FB72" s="201">
        <f t="shared" si="136"/>
        <v>22813.5</v>
      </c>
      <c r="FC72" s="16"/>
      <c r="FD72" s="167">
        <f t="shared" si="137"/>
        <v>21517.08</v>
      </c>
      <c r="FE72" s="16"/>
      <c r="FF72" s="199">
        <v>0.5</v>
      </c>
      <c r="FG72" s="200">
        <v>0.5</v>
      </c>
      <c r="FH72" s="16">
        <f t="shared" si="138"/>
        <v>648.21</v>
      </c>
      <c r="FI72" s="179">
        <f t="shared" si="138"/>
        <v>648.21</v>
      </c>
      <c r="FJ72" s="179">
        <f t="shared" si="139"/>
        <v>10758.54</v>
      </c>
      <c r="FK72" s="179">
        <f t="shared" si="140"/>
        <v>10758.54</v>
      </c>
      <c r="FL72" s="204">
        <f t="shared" si="141"/>
        <v>11406.75</v>
      </c>
      <c r="FM72" s="206">
        <f t="shared" si="141"/>
        <v>11406.75</v>
      </c>
      <c r="FN72" s="202">
        <f t="shared" si="142"/>
        <v>22813.5</v>
      </c>
      <c r="FQ72" s="217"/>
      <c r="FR72" s="16">
        <v>29</v>
      </c>
      <c r="FS72" s="16">
        <v>756.76</v>
      </c>
      <c r="FT72" s="16">
        <v>399.64</v>
      </c>
      <c r="FU72" s="16">
        <f t="shared" si="129"/>
        <v>2389.9999999999864</v>
      </c>
      <c r="FV72" s="16">
        <f t="shared" si="130"/>
        <v>1194.9999999999932</v>
      </c>
      <c r="FW72" s="16">
        <f t="shared" si="131"/>
        <v>1194.9999999999932</v>
      </c>
      <c r="IH72" s="16">
        <v>28</v>
      </c>
      <c r="II72" s="144">
        <f>DailyJul!BX34+DailyJul!BY34-DailyJul!BZ34-DailyJul!CA34-DailyJul!CB34-DailyJul!CC34-DailyJul!CD34-DailyJul!CF34-DailyJul!CE34</f>
        <v>2.7648638933897018E-10</v>
      </c>
      <c r="IJ72" s="16">
        <v>-1600</v>
      </c>
      <c r="IK72" s="16">
        <f t="shared" si="143"/>
        <v>-400</v>
      </c>
      <c r="IL72" s="16">
        <v>-400</v>
      </c>
    </row>
    <row r="73" spans="1:246" x14ac:dyDescent="0.25">
      <c r="A73" s="35">
        <v>28</v>
      </c>
      <c r="B73" s="138">
        <v>0.37280000000000002</v>
      </c>
      <c r="C73" s="65"/>
      <c r="D73" s="37">
        <f t="shared" si="144"/>
        <v>0</v>
      </c>
      <c r="E73" s="16">
        <v>30010</v>
      </c>
      <c r="F73" s="16"/>
      <c r="G73" s="37">
        <f t="shared" si="132"/>
        <v>83000</v>
      </c>
      <c r="H73" s="138"/>
      <c r="I73" s="65"/>
      <c r="J73" s="37">
        <f t="shared" si="133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v>26</v>
      </c>
      <c r="DQ73" s="50"/>
      <c r="DR73" s="49">
        <f t="shared" si="145"/>
        <v>0</v>
      </c>
      <c r="DS73" s="50"/>
      <c r="DT73" s="49">
        <f t="shared" si="147"/>
        <v>0</v>
      </c>
      <c r="EZ73" s="203">
        <f t="shared" si="134"/>
        <v>11658.45</v>
      </c>
      <c r="FA73" s="205">
        <f t="shared" si="135"/>
        <v>11503.45</v>
      </c>
      <c r="FB73" s="201">
        <f t="shared" si="136"/>
        <v>23161.9</v>
      </c>
      <c r="FC73" s="16"/>
      <c r="FD73" s="167">
        <f t="shared" si="137"/>
        <v>21865.480000000003</v>
      </c>
      <c r="FE73" s="16"/>
      <c r="FF73" s="199">
        <v>0.5</v>
      </c>
      <c r="FG73" s="200">
        <v>0.5</v>
      </c>
      <c r="FH73" s="16">
        <f t="shared" si="138"/>
        <v>648.21</v>
      </c>
      <c r="FI73" s="179">
        <f t="shared" si="138"/>
        <v>648.21</v>
      </c>
      <c r="FJ73" s="179">
        <f t="shared" si="139"/>
        <v>10932.740000000002</v>
      </c>
      <c r="FK73" s="179">
        <f t="shared" si="140"/>
        <v>10932.740000000002</v>
      </c>
      <c r="FL73" s="204">
        <f t="shared" si="141"/>
        <v>11580.95</v>
      </c>
      <c r="FM73" s="206">
        <f t="shared" si="141"/>
        <v>11580.95</v>
      </c>
      <c r="FN73" s="202">
        <f t="shared" si="142"/>
        <v>23161.9</v>
      </c>
      <c r="FQ73" s="217"/>
      <c r="FR73" s="16">
        <v>30</v>
      </c>
      <c r="FS73" s="16">
        <v>758.89</v>
      </c>
      <c r="FT73" s="16">
        <v>400.83</v>
      </c>
      <c r="FU73" s="16">
        <f t="shared" si="129"/>
        <v>2129.9999999999955</v>
      </c>
      <c r="FV73" s="16">
        <f t="shared" si="130"/>
        <v>1064.9999999999977</v>
      </c>
      <c r="FW73" s="16">
        <f t="shared" si="131"/>
        <v>1064.9999999999977</v>
      </c>
      <c r="IH73" s="16">
        <v>29</v>
      </c>
      <c r="II73" s="144">
        <f>DailyJul!BX35+DailyJul!BY35-DailyJul!BZ35-DailyJul!CA35-DailyJul!CB35-DailyJul!CC35-DailyJul!CD35-DailyJul!CF35-DailyJul!CE35</f>
        <v>8.0035533756017685E-11</v>
      </c>
      <c r="IJ73" s="16">
        <v>1200</v>
      </c>
      <c r="IK73" s="16">
        <f t="shared" si="143"/>
        <v>300</v>
      </c>
      <c r="IL73" s="16">
        <v>300</v>
      </c>
    </row>
    <row r="74" spans="1:246" x14ac:dyDescent="0.25">
      <c r="A74" s="35">
        <v>29</v>
      </c>
      <c r="B74" s="138">
        <v>0.37280000000000002</v>
      </c>
      <c r="C74" s="65"/>
      <c r="D74" s="37">
        <f t="shared" si="144"/>
        <v>0</v>
      </c>
      <c r="E74" s="16">
        <v>30097</v>
      </c>
      <c r="F74" s="16"/>
      <c r="G74" s="37">
        <f t="shared" si="132"/>
        <v>87000</v>
      </c>
      <c r="H74" s="138"/>
      <c r="I74" s="65"/>
      <c r="J74" s="37">
        <f t="shared" si="133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v>27</v>
      </c>
      <c r="DQ74" s="50"/>
      <c r="DR74" s="49">
        <f t="shared" si="145"/>
        <v>0</v>
      </c>
      <c r="DS74" s="50"/>
      <c r="DT74" s="49">
        <f t="shared" si="147"/>
        <v>0</v>
      </c>
      <c r="EZ74" s="203">
        <f t="shared" si="134"/>
        <v>10081.319999999563</v>
      </c>
      <c r="FA74" s="205">
        <f t="shared" si="135"/>
        <v>11526.319999999272</v>
      </c>
      <c r="FB74" s="201">
        <f t="shared" si="136"/>
        <v>21607.639999998835</v>
      </c>
      <c r="FC74" s="16"/>
      <c r="FD74" s="167">
        <f t="shared" si="137"/>
        <v>20311.219999998837</v>
      </c>
      <c r="FE74" s="16"/>
      <c r="FF74" s="199">
        <v>0.5</v>
      </c>
      <c r="FG74" s="200">
        <v>0.5</v>
      </c>
      <c r="FH74" s="16">
        <f t="shared" si="138"/>
        <v>648.21</v>
      </c>
      <c r="FI74" s="179">
        <f t="shared" si="138"/>
        <v>648.21</v>
      </c>
      <c r="FJ74" s="179">
        <f t="shared" si="139"/>
        <v>10155.609999999419</v>
      </c>
      <c r="FK74" s="179">
        <f t="shared" si="140"/>
        <v>10155.609999999419</v>
      </c>
      <c r="FL74" s="204">
        <f t="shared" si="141"/>
        <v>10803.819999999418</v>
      </c>
      <c r="FM74" s="206">
        <f t="shared" si="141"/>
        <v>10803.819999999418</v>
      </c>
      <c r="FN74" s="202">
        <f t="shared" si="142"/>
        <v>21607.639999998835</v>
      </c>
      <c r="FQ74" s="217"/>
      <c r="FR74" s="16">
        <v>31</v>
      </c>
      <c r="FS74" s="16">
        <v>760.8</v>
      </c>
      <c r="FT74" s="16"/>
      <c r="FU74" s="16">
        <f t="shared" si="129"/>
        <v>1909.9999999999682</v>
      </c>
      <c r="FV74" s="16">
        <f t="shared" si="130"/>
        <v>954.99999999998408</v>
      </c>
      <c r="FW74" s="16">
        <f t="shared" si="131"/>
        <v>954.99999999998408</v>
      </c>
      <c r="IH74" s="34">
        <v>30</v>
      </c>
      <c r="II74" s="144">
        <f>DailyJul!BX36+DailyJul!BY36-DailyJul!BZ36-DailyJul!CA36-DailyJul!CB36-DailyJul!CC36-DailyJul!CD36-DailyJul!CF36-DailyJul!CE36</f>
        <v>-3.7834979593753815E-10</v>
      </c>
      <c r="IJ74" s="16">
        <v>900</v>
      </c>
      <c r="IK74" s="16">
        <f t="shared" si="143"/>
        <v>225</v>
      </c>
      <c r="IL74" s="16">
        <v>225</v>
      </c>
    </row>
    <row r="75" spans="1:246" x14ac:dyDescent="0.25">
      <c r="A75" s="35">
        <v>30</v>
      </c>
      <c r="B75" s="138">
        <v>0.37280000000000002</v>
      </c>
      <c r="C75" s="65"/>
      <c r="D75" s="37">
        <f t="shared" si="144"/>
        <v>0</v>
      </c>
      <c r="E75" s="16">
        <v>30188</v>
      </c>
      <c r="F75" s="16"/>
      <c r="G75" s="37">
        <f t="shared" si="132"/>
        <v>91000</v>
      </c>
      <c r="H75" s="138"/>
      <c r="I75" s="65"/>
      <c r="J75" s="37">
        <f t="shared" si="133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28</v>
      </c>
      <c r="DQ75" s="50"/>
      <c r="DR75" s="49">
        <f t="shared" si="145"/>
        <v>0</v>
      </c>
      <c r="DS75" s="50"/>
      <c r="DT75" s="49">
        <f t="shared" si="147"/>
        <v>0</v>
      </c>
      <c r="EZ75" s="167">
        <f t="shared" si="134"/>
        <v>10642.010000000218</v>
      </c>
      <c r="FA75" s="167">
        <f t="shared" si="135"/>
        <v>11352.010000002183</v>
      </c>
      <c r="FB75" s="167">
        <f t="shared" si="136"/>
        <v>21994.020000002402</v>
      </c>
      <c r="FC75" s="16"/>
      <c r="FD75" s="167">
        <f t="shared" si="137"/>
        <v>20697.6000000024</v>
      </c>
      <c r="FE75" s="16"/>
      <c r="FF75" s="199">
        <v>0.5</v>
      </c>
      <c r="FG75" s="200">
        <v>0.5</v>
      </c>
      <c r="FH75" s="16">
        <f t="shared" si="138"/>
        <v>648.21</v>
      </c>
      <c r="FI75" s="179">
        <f t="shared" si="138"/>
        <v>648.21</v>
      </c>
      <c r="FJ75" s="179">
        <f t="shared" si="139"/>
        <v>10348.8000000012</v>
      </c>
      <c r="FK75" s="179">
        <f t="shared" si="140"/>
        <v>10348.8000000012</v>
      </c>
      <c r="FL75" s="204">
        <f t="shared" si="141"/>
        <v>10997.010000001199</v>
      </c>
      <c r="FM75" s="206">
        <f t="shared" si="141"/>
        <v>10997.010000001199</v>
      </c>
      <c r="FN75" s="202">
        <f t="shared" si="142"/>
        <v>21994.020000002398</v>
      </c>
      <c r="FQ75" s="217"/>
      <c r="FR75" s="16">
        <v>1</v>
      </c>
      <c r="FS75" s="16">
        <v>762.7</v>
      </c>
      <c r="FT75" s="16"/>
      <c r="FU75" s="16">
        <f t="shared" si="129"/>
        <v>1900.0000000000909</v>
      </c>
      <c r="FV75" s="16">
        <f t="shared" si="130"/>
        <v>950.00000000004547</v>
      </c>
      <c r="FW75" s="16">
        <f t="shared" si="131"/>
        <v>950.00000000004547</v>
      </c>
      <c r="IH75" s="34">
        <v>1</v>
      </c>
      <c r="II75" s="144">
        <f>DailyJul!BX37+DailyJul!BY37-DailyJul!BZ37-DailyJul!CA37-DailyJul!CB37-DailyJul!CC37-DailyJul!CD37-DailyJul!CF37-DailyJul!CE37</f>
        <v>9.4587448984384537E-11</v>
      </c>
      <c r="IJ75" s="16">
        <v>-300</v>
      </c>
      <c r="IK75" s="16">
        <f t="shared" si="143"/>
        <v>-75</v>
      </c>
      <c r="IL75" s="16">
        <v>-75</v>
      </c>
    </row>
    <row r="76" spans="1:246" x14ac:dyDescent="0.25">
      <c r="A76" s="35">
        <v>31</v>
      </c>
      <c r="B76" s="138"/>
      <c r="C76" s="65"/>
      <c r="D76" s="37">
        <f t="shared" si="144"/>
        <v>0</v>
      </c>
      <c r="E76" s="16">
        <v>30276</v>
      </c>
      <c r="F76" s="16"/>
      <c r="G76" s="37">
        <f t="shared" si="132"/>
        <v>88000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29</v>
      </c>
      <c r="DQ76" s="50"/>
      <c r="DR76" s="49">
        <f t="shared" si="145"/>
        <v>0</v>
      </c>
      <c r="DS76" s="50"/>
      <c r="DT76" s="49">
        <f t="shared" si="147"/>
        <v>0</v>
      </c>
      <c r="EZ76" s="91"/>
      <c r="IH76" s="16" t="s">
        <v>37</v>
      </c>
      <c r="II76" s="128">
        <f>SUM(II45:II75)</f>
        <v>-3.383320290595293E-10</v>
      </c>
      <c r="IJ76" s="16"/>
      <c r="IK76" s="16"/>
      <c r="IL76" s="16"/>
    </row>
    <row r="77" spans="1:246" ht="15.75" thickBot="1" x14ac:dyDescent="0.3">
      <c r="A77" s="157"/>
      <c r="B77" s="138"/>
      <c r="C77" s="65"/>
      <c r="D77" s="37">
        <f t="shared" si="144"/>
        <v>0</v>
      </c>
      <c r="E77" s="16">
        <v>30364</v>
      </c>
      <c r="F77" s="16"/>
      <c r="G77" s="37">
        <f t="shared" si="132"/>
        <v>88000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30</v>
      </c>
      <c r="DQ77" s="50"/>
      <c r="DR77" s="49">
        <f t="shared" si="145"/>
        <v>0</v>
      </c>
      <c r="DS77" s="50"/>
      <c r="DT77" s="49">
        <f t="shared" si="147"/>
        <v>0</v>
      </c>
      <c r="EZ77" s="91"/>
    </row>
    <row r="78" spans="1:246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2556000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/>
      <c r="DR78" s="49">
        <f t="shared" si="145"/>
        <v>0</v>
      </c>
      <c r="DS78" s="50"/>
      <c r="DT78" s="49">
        <f t="shared" si="147"/>
        <v>0</v>
      </c>
      <c r="EZ78" s="91"/>
    </row>
    <row r="79" spans="1:246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0</v>
      </c>
      <c r="DS79" s="84"/>
      <c r="DT79" s="85">
        <f>SUMIF(DT47:DT78,"&gt;0")</f>
        <v>0</v>
      </c>
      <c r="EZ79" s="91"/>
    </row>
    <row r="80" spans="1:246" x14ac:dyDescent="0.25">
      <c r="B80" t="s">
        <v>197</v>
      </c>
      <c r="F80" s="1" t="s">
        <v>198</v>
      </c>
      <c r="J80" s="189" t="s">
        <v>343</v>
      </c>
      <c r="K80" s="190"/>
      <c r="L80" s="191"/>
      <c r="M80" s="75"/>
      <c r="N80" s="189" t="s">
        <v>342</v>
      </c>
      <c r="O80" s="190"/>
      <c r="P80" s="191"/>
      <c r="Q80" s="75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B60</f>
        <v>0.37280000000000002</v>
      </c>
      <c r="F81" t="s">
        <v>173</v>
      </c>
      <c r="H81" s="146">
        <f>E76</f>
        <v>30276</v>
      </c>
      <c r="J81" s="192" t="s">
        <v>213</v>
      </c>
      <c r="K81" s="193"/>
      <c r="L81" s="194" t="e">
        <f>#REF!</f>
        <v>#REF!</v>
      </c>
      <c r="M81" s="24"/>
      <c r="N81" s="192" t="s">
        <v>213</v>
      </c>
      <c r="O81" s="193"/>
      <c r="P81" s="194" t="e">
        <f>#REF!</f>
        <v>#REF!</v>
      </c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f>0</f>
        <v>0</v>
      </c>
      <c r="F82" t="s">
        <v>174</v>
      </c>
      <c r="H82" s="148">
        <f>Jun!E75</f>
        <v>27808</v>
      </c>
      <c r="J82" s="192" t="s">
        <v>214</v>
      </c>
      <c r="K82" s="195"/>
      <c r="L82" s="196">
        <f>[7]Master!$AU$36</f>
        <v>0</v>
      </c>
      <c r="M82" s="24"/>
      <c r="N82" s="192" t="s">
        <v>214</v>
      </c>
      <c r="O82" s="195"/>
      <c r="P82" s="196">
        <f>[7]Master!$BN$36</f>
        <v>0</v>
      </c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(D81-D82)*1000000</f>
        <v>372800</v>
      </c>
      <c r="E83" t="s">
        <v>176</v>
      </c>
      <c r="F83" t="s">
        <v>175</v>
      </c>
      <c r="H83" s="104">
        <f>(H81-H82)*1000</f>
        <v>2468000</v>
      </c>
      <c r="I83" t="s">
        <v>176</v>
      </c>
      <c r="J83" s="192" t="s">
        <v>175</v>
      </c>
      <c r="K83" s="192"/>
      <c r="L83" s="197" t="e">
        <f>L81-L82</f>
        <v>#REF!</v>
      </c>
      <c r="M83" s="24" t="s">
        <v>215</v>
      </c>
      <c r="N83" s="192" t="s">
        <v>175</v>
      </c>
      <c r="O83" s="192"/>
      <c r="P83" s="197" t="e">
        <f>P81-P82</f>
        <v>#REF!</v>
      </c>
      <c r="Q83" s="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customSheetViews>
    <customSheetView guid="{48545DB9-4D9D-4699-ACEC-DA6E2D3586A8}" scale="85" fitToPage="1" hiddenColumns="1">
      <pane xSplit="1" ySplit="6" topLeftCell="ER7" activePane="bottomRight" state="frozen"/>
      <selection pane="bottomRight" activeCell="GX2" sqref="GX2"/>
      <pageMargins left="0.70866141732283472" right="0.70866141732283472" top="0.74803149606299213" bottom="0.74803149606299213" header="0.31496062992125984" footer="0.31496062992125984"/>
      <pageSetup scale="10" orientation="landscape" r:id="rId1"/>
    </customSheetView>
    <customSheetView guid="{32ABFE17-599B-4D0B-A1DB-D95B181877FC}" scale="85" fitToPage="1" hiddenColumns="1">
      <pane xSplit="1" ySplit="6" topLeftCell="ER61" activePane="bottomRight" state="frozen"/>
      <selection pane="bottomRight" activeCell="GX2" sqref="GX2"/>
      <pageMargins left="0.70866141732283472" right="0.70866141732283472" top="0.74803149606299213" bottom="0.74803149606299213" header="0.31496062992125984" footer="0.31496062992125984"/>
      <pageSetup scale="10" orientation="landscape" r:id="rId2"/>
    </customSheetView>
  </customSheetViews>
  <mergeCells count="156"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EE4:EG4"/>
    <mergeCell ref="EH4:EJ4"/>
    <mergeCell ref="GQ3:GS3"/>
    <mergeCell ref="AT5:AU5"/>
    <mergeCell ref="AV5:AW5"/>
    <mergeCell ref="AX5:AZ5"/>
    <mergeCell ref="S5:T5"/>
    <mergeCell ref="U5:V5"/>
    <mergeCell ref="W5:X5"/>
    <mergeCell ref="Y5:Z5"/>
    <mergeCell ref="AA5:AB5"/>
    <mergeCell ref="AC5:AF5"/>
    <mergeCell ref="CU5:CX5"/>
    <mergeCell ref="CY5:DB5"/>
    <mergeCell ref="HH3:KE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HN4:IH4"/>
    <mergeCell ref="II4:II5"/>
    <mergeCell ref="IJ4:IU4"/>
    <mergeCell ref="IV4:JM4"/>
    <mergeCell ref="JN4:KE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AG5:AJ5"/>
    <mergeCell ref="AL5:AO5"/>
    <mergeCell ref="AP5:AS5"/>
    <mergeCell ref="DC5:DF5"/>
    <mergeCell ref="DU5:DW5"/>
    <mergeCell ref="DX5:DZ5"/>
    <mergeCell ref="EA5:EC5"/>
    <mergeCell ref="BA5:BC5"/>
    <mergeCell ref="BS5:BT5"/>
    <mergeCell ref="BU5:BX5"/>
    <mergeCell ref="BY5:CB5"/>
    <mergeCell ref="CC5:CD5"/>
    <mergeCell ref="CE5:CF5"/>
    <mergeCell ref="CG5:CH5"/>
    <mergeCell ref="CI5:CL5"/>
    <mergeCell ref="CM5:CP5"/>
    <mergeCell ref="CQ5:CT5"/>
    <mergeCell ref="FN5:FP5"/>
    <mergeCell ref="FQ5:FS5"/>
    <mergeCell ref="HN5:HP5"/>
    <mergeCell ref="HQ5:HS5"/>
    <mergeCell ref="HT5:HV5"/>
    <mergeCell ref="HW5:HY5"/>
    <mergeCell ref="EE5:EG5"/>
    <mergeCell ref="EH5:EJ5"/>
    <mergeCell ref="EK5:EM5"/>
    <mergeCell ref="EO5:EQ5"/>
    <mergeCell ref="ER5:ET5"/>
    <mergeCell ref="EU5:EW5"/>
    <mergeCell ref="JB5:JD5"/>
    <mergeCell ref="JE5:JG5"/>
    <mergeCell ref="JH5:JJ5"/>
    <mergeCell ref="HZ5:IB5"/>
    <mergeCell ref="IC5:IE5"/>
    <mergeCell ref="IF5:IH5"/>
    <mergeCell ref="IJ5:IL5"/>
    <mergeCell ref="IM5:IO5"/>
    <mergeCell ref="IP5:IR5"/>
    <mergeCell ref="BU41:BW41"/>
    <mergeCell ref="BY41:CA41"/>
    <mergeCell ref="DU41:DW41"/>
    <mergeCell ref="DX41:DZ41"/>
    <mergeCell ref="EA41:EC41"/>
    <mergeCell ref="EO41:EQ41"/>
    <mergeCell ref="KC5:KE5"/>
    <mergeCell ref="FV6:FX6"/>
    <mergeCell ref="FY6:GA6"/>
    <mergeCell ref="GB6:GD6"/>
    <mergeCell ref="GE6:GG6"/>
    <mergeCell ref="GH6:GJ6"/>
    <mergeCell ref="GK6:GM6"/>
    <mergeCell ref="GU6:GX6"/>
    <mergeCell ref="GY6:HB6"/>
    <mergeCell ref="JK5:JM5"/>
    <mergeCell ref="JN5:JP5"/>
    <mergeCell ref="JQ5:JS5"/>
    <mergeCell ref="JT5:JV5"/>
    <mergeCell ref="JW5:JY5"/>
    <mergeCell ref="JZ5:KB5"/>
    <mergeCell ref="IS5:IU5"/>
    <mergeCell ref="IV5:IX5"/>
    <mergeCell ref="IY5:JA5"/>
    <mergeCell ref="ER41:ET41"/>
    <mergeCell ref="EU41:EZ41"/>
    <mergeCell ref="FE41:FG41"/>
    <mergeCell ref="FH41:FJ41"/>
    <mergeCell ref="FO41:FQ41"/>
    <mergeCell ref="DQ42:DT42"/>
    <mergeCell ref="FF42:FG43"/>
    <mergeCell ref="FH42:FI43"/>
    <mergeCell ref="FJ42:FK43"/>
    <mergeCell ref="FL42:FM43"/>
    <mergeCell ref="AP48:AS48"/>
    <mergeCell ref="EE48:EG48"/>
    <mergeCell ref="EH48:EJ48"/>
    <mergeCell ref="EK48:EM48"/>
    <mergeCell ref="EV48:EW48"/>
    <mergeCell ref="FN42:FN44"/>
    <mergeCell ref="FO42:FQ44"/>
    <mergeCell ref="FR42:FR43"/>
    <mergeCell ref="FS42:FU42"/>
    <mergeCell ref="DQ43:DR45"/>
    <mergeCell ref="DS43:DT45"/>
    <mergeCell ref="EZ43:EZ44"/>
    <mergeCell ref="FA43:FA44"/>
    <mergeCell ref="FB43:FB44"/>
    <mergeCell ref="EW45:EX45"/>
  </mergeCells>
  <pageMargins left="0.70866141732283472" right="0.70866141732283472" top="0.74803149606299213" bottom="0.74803149606299213" header="0.31496062992125984" footer="0.31496062992125984"/>
  <pageSetup scale="10" orientation="landscape" r:id="rId3"/>
  <legacy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2:CI73"/>
  <sheetViews>
    <sheetView zoomScale="85" zoomScaleNormal="85" workbookViewId="0">
      <pane xSplit="1" ySplit="6" topLeftCell="BH41" activePane="bottomRight" state="frozen"/>
      <selection pane="topRight" activeCell="B1" sqref="B1"/>
      <selection pane="bottomLeft" activeCell="A7" sqref="A7"/>
      <selection pane="bottomRight" activeCell="C63" sqref="C63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hidden="1" customWidth="1"/>
    <col min="16" max="16" width="10.7109375" hidden="1" customWidth="1"/>
    <col min="17" max="17" width="10.85546875" hidden="1" customWidth="1"/>
    <col min="18" max="18" width="10.5703125" hidden="1" customWidth="1"/>
    <col min="19" max="19" width="11.28515625" hidden="1" customWidth="1"/>
    <col min="20" max="20" width="10.85546875" hidden="1" customWidth="1"/>
    <col min="21" max="21" width="11.28515625" hidden="1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2" width="10.42578125" customWidth="1"/>
    <col min="33" max="33" width="12.7109375" customWidth="1"/>
    <col min="34" max="34" width="10.85546875" hidden="1" customWidth="1"/>
    <col min="35" max="36" width="11.285156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2.42578125" bestFit="1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2.42578125" bestFit="1" customWidth="1"/>
    <col min="46" max="46" width="11.28515625" hidden="1" customWidth="1"/>
    <col min="47" max="47" width="11.42578125" hidden="1" customWidth="1"/>
    <col min="48" max="48" width="12" hidden="1" customWidth="1"/>
    <col min="49" max="50" width="11.28515625" hidden="1" customWidth="1"/>
    <col min="51" max="51" width="12.42578125" bestFit="1" customWidth="1"/>
    <col min="52" max="52" width="11.28515625" hidden="1" customWidth="1"/>
    <col min="53" max="53" width="11.42578125" hidden="1" customWidth="1"/>
    <col min="54" max="55" width="11.28515625" hidden="1" customWidth="1"/>
    <col min="56" max="56" width="12.42578125" bestFit="1" customWidth="1"/>
    <col min="57" max="58" width="12.42578125" hidden="1" customWidth="1"/>
    <col min="59" max="59" width="12.42578125" customWidth="1"/>
    <col min="60" max="60" width="10.7109375" customWidth="1"/>
    <col min="61" max="63" width="3.7109375" customWidth="1"/>
    <col min="64" max="65" width="10.7109375" customWidth="1"/>
    <col min="66" max="66" width="3.7109375" customWidth="1"/>
    <col min="67" max="67" width="10.7109375" customWidth="1"/>
    <col min="68" max="68" width="3.7109375" customWidth="1"/>
    <col min="69" max="69" width="10.7109375" customWidth="1"/>
    <col min="70" max="70" width="3.7109375" customWidth="1"/>
    <col min="71" max="71" width="10.7109375" customWidth="1"/>
    <col min="72" max="72" width="5.28515625" customWidth="1"/>
    <col min="73" max="73" width="11.42578125" customWidth="1"/>
    <col min="74" max="74" width="58.42578125" customWidth="1"/>
    <col min="75" max="75" width="16.140625" customWidth="1"/>
    <col min="76" max="76" width="11.7109375" customWidth="1"/>
    <col min="77" max="77" width="9.140625" customWidth="1"/>
    <col min="78" max="83" width="10.5703125" customWidth="1"/>
    <col min="84" max="84" width="12.5703125" customWidth="1"/>
    <col min="85" max="89" width="9.140625" customWidth="1"/>
  </cols>
  <sheetData>
    <row r="2" spans="1:84" ht="26.25" x14ac:dyDescent="0.4">
      <c r="A2" s="499" t="s">
        <v>389</v>
      </c>
      <c r="B2" s="499"/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499"/>
      <c r="O2" s="499"/>
      <c r="P2" s="499"/>
      <c r="Q2" s="499"/>
      <c r="R2" s="499"/>
      <c r="S2" s="499"/>
      <c r="T2" s="499"/>
      <c r="U2" s="499"/>
      <c r="V2" s="499"/>
      <c r="W2" s="499"/>
      <c r="X2" s="499"/>
      <c r="Y2" s="499"/>
      <c r="Z2" s="499"/>
      <c r="AA2" s="499"/>
      <c r="AB2" s="499"/>
      <c r="AC2" s="499"/>
      <c r="AD2" s="499"/>
      <c r="AE2" s="499"/>
      <c r="AF2" s="499"/>
      <c r="AG2" s="499"/>
      <c r="AH2" s="499"/>
      <c r="AI2" s="499"/>
      <c r="AJ2" s="499"/>
      <c r="AK2" s="499"/>
      <c r="AL2" s="499"/>
      <c r="AM2" s="499"/>
      <c r="AN2" s="499"/>
      <c r="AO2" s="499"/>
      <c r="AP2" s="499"/>
      <c r="AQ2" s="499"/>
      <c r="AR2" s="499"/>
      <c r="AS2" s="499"/>
      <c r="AT2" s="499"/>
      <c r="AU2" s="499"/>
      <c r="AV2" s="499"/>
      <c r="AW2" s="499"/>
      <c r="AX2" s="499"/>
      <c r="AY2" s="499"/>
      <c r="AZ2" s="499"/>
      <c r="BA2" s="499"/>
      <c r="BB2" s="499"/>
      <c r="BC2" s="499"/>
      <c r="BD2" s="499"/>
      <c r="BE2" s="499"/>
      <c r="BF2" s="499"/>
      <c r="BG2" s="499"/>
      <c r="BH2" s="499"/>
      <c r="BI2" s="499"/>
      <c r="BJ2" s="499"/>
      <c r="BK2" s="499"/>
      <c r="BL2" s="499"/>
      <c r="BM2" s="499"/>
      <c r="BN2" s="499"/>
      <c r="BO2" s="499"/>
      <c r="BP2" s="499"/>
      <c r="BQ2" s="499"/>
      <c r="BR2" s="499"/>
      <c r="BS2" s="499"/>
      <c r="BT2" s="499"/>
      <c r="BU2" s="499"/>
    </row>
    <row r="4" spans="1:84" ht="15" customHeight="1" x14ac:dyDescent="0.25">
      <c r="A4" s="448" t="s">
        <v>1</v>
      </c>
      <c r="B4" s="455" t="s">
        <v>118</v>
      </c>
      <c r="C4" s="455" t="s">
        <v>119</v>
      </c>
      <c r="D4" s="465" t="s">
        <v>4</v>
      </c>
      <c r="E4" s="466"/>
      <c r="F4" s="466"/>
      <c r="G4" s="466"/>
      <c r="H4" s="466"/>
      <c r="I4" s="466"/>
      <c r="J4" s="466"/>
      <c r="K4" s="466"/>
      <c r="L4" s="466"/>
      <c r="M4" s="467"/>
      <c r="N4" s="468" t="s">
        <v>120</v>
      </c>
      <c r="O4" s="110"/>
      <c r="P4" s="110"/>
      <c r="Q4" s="110"/>
      <c r="R4" s="110"/>
      <c r="S4" s="110" t="s">
        <v>121</v>
      </c>
      <c r="T4" s="110"/>
      <c r="U4" s="110"/>
      <c r="V4" s="476" t="s">
        <v>121</v>
      </c>
      <c r="W4" s="460" t="s">
        <v>122</v>
      </c>
      <c r="X4" s="460"/>
      <c r="Y4" s="459" t="s">
        <v>123</v>
      </c>
      <c r="Z4" s="461" t="s">
        <v>124</v>
      </c>
      <c r="AA4" s="462" t="s">
        <v>125</v>
      </c>
      <c r="AB4" s="463" t="s">
        <v>126</v>
      </c>
      <c r="AC4" s="456" t="s">
        <v>127</v>
      </c>
      <c r="AD4" s="457" t="s">
        <v>200</v>
      </c>
      <c r="AE4" s="457" t="s">
        <v>223</v>
      </c>
      <c r="AF4" s="457" t="s">
        <v>248</v>
      </c>
      <c r="AG4" s="457" t="s">
        <v>249</v>
      </c>
      <c r="AH4" s="458" t="s">
        <v>128</v>
      </c>
      <c r="AI4" s="458"/>
      <c r="AJ4" s="458"/>
      <c r="AK4" s="454" t="s">
        <v>129</v>
      </c>
      <c r="AL4" s="454" t="s">
        <v>130</v>
      </c>
      <c r="AM4" s="454"/>
      <c r="AN4" s="454"/>
      <c r="AO4" s="454" t="s">
        <v>14</v>
      </c>
      <c r="AP4" s="459" t="s">
        <v>131</v>
      </c>
      <c r="AQ4" s="459"/>
      <c r="AR4" s="459"/>
      <c r="AS4" s="459" t="s">
        <v>17</v>
      </c>
      <c r="AT4" s="453" t="s">
        <v>132</v>
      </c>
      <c r="AU4" s="453"/>
      <c r="AV4" s="453"/>
      <c r="AW4" s="453"/>
      <c r="AX4" s="111"/>
      <c r="AY4" s="453" t="s">
        <v>15</v>
      </c>
      <c r="AZ4" s="453" t="s">
        <v>133</v>
      </c>
      <c r="BA4" s="453"/>
      <c r="BB4" s="453"/>
      <c r="BC4" s="111"/>
      <c r="BD4" s="453" t="s">
        <v>16</v>
      </c>
      <c r="BE4" s="505" t="s">
        <v>19</v>
      </c>
      <c r="BF4" s="506"/>
      <c r="BG4" s="459" t="s">
        <v>19</v>
      </c>
      <c r="BH4" s="477" t="s">
        <v>201</v>
      </c>
      <c r="BI4" s="478"/>
      <c r="BJ4" s="478"/>
      <c r="BK4" s="479"/>
      <c r="BL4" s="483" t="s">
        <v>134</v>
      </c>
      <c r="BM4" s="483"/>
      <c r="BN4" s="483"/>
      <c r="BO4" s="483"/>
      <c r="BP4" s="501" t="s">
        <v>335</v>
      </c>
      <c r="BQ4" s="501"/>
      <c r="BR4" s="501"/>
      <c r="BS4" s="502"/>
      <c r="BT4" s="455" t="s">
        <v>293</v>
      </c>
      <c r="BU4" s="455" t="s">
        <v>190</v>
      </c>
      <c r="BX4" s="455" t="s">
        <v>278</v>
      </c>
      <c r="BY4" s="455" t="s">
        <v>279</v>
      </c>
      <c r="BZ4" s="455" t="s">
        <v>204</v>
      </c>
      <c r="CA4" s="455" t="s">
        <v>260</v>
      </c>
      <c r="CB4" s="455" t="s">
        <v>261</v>
      </c>
      <c r="CC4" s="455" t="s">
        <v>318</v>
      </c>
      <c r="CD4" s="511" t="s">
        <v>346</v>
      </c>
      <c r="CE4" s="511" t="s">
        <v>357</v>
      </c>
      <c r="CF4" s="455" t="s">
        <v>280</v>
      </c>
    </row>
    <row r="5" spans="1:84" x14ac:dyDescent="0.25">
      <c r="A5" s="448"/>
      <c r="B5" s="455"/>
      <c r="C5" s="455"/>
      <c r="D5" s="471" t="s">
        <v>135</v>
      </c>
      <c r="E5" s="472"/>
      <c r="F5" s="472"/>
      <c r="G5" s="472"/>
      <c r="H5" s="472"/>
      <c r="I5" s="473"/>
      <c r="J5" s="474" t="s">
        <v>136</v>
      </c>
      <c r="K5" s="475"/>
      <c r="L5" s="474" t="s">
        <v>55</v>
      </c>
      <c r="M5" s="475"/>
      <c r="N5" s="469"/>
      <c r="O5" s="110"/>
      <c r="P5" s="110"/>
      <c r="Q5" s="110"/>
      <c r="R5" s="110"/>
      <c r="S5" s="110"/>
      <c r="T5" s="110"/>
      <c r="U5" s="110"/>
      <c r="V5" s="476"/>
      <c r="W5" s="460"/>
      <c r="X5" s="460"/>
      <c r="Y5" s="459"/>
      <c r="Z5" s="461"/>
      <c r="AA5" s="462"/>
      <c r="AB5" s="463"/>
      <c r="AC5" s="456"/>
      <c r="AD5" s="457"/>
      <c r="AE5" s="457"/>
      <c r="AF5" s="457"/>
      <c r="AG5" s="457"/>
      <c r="AH5" s="112"/>
      <c r="AI5" s="112"/>
      <c r="AJ5" s="112"/>
      <c r="AK5" s="454"/>
      <c r="AL5" s="113"/>
      <c r="AM5" s="113"/>
      <c r="AN5" s="113"/>
      <c r="AO5" s="454"/>
      <c r="AP5" s="114"/>
      <c r="AQ5" s="114"/>
      <c r="AR5" s="114"/>
      <c r="AS5" s="459"/>
      <c r="AT5" s="111"/>
      <c r="AU5" s="111"/>
      <c r="AV5" s="111"/>
      <c r="AW5" s="111"/>
      <c r="AX5" s="111"/>
      <c r="AY5" s="453"/>
      <c r="AZ5" s="111"/>
      <c r="BA5" s="111"/>
      <c r="BB5" s="111"/>
      <c r="BC5" s="111"/>
      <c r="BD5" s="453"/>
      <c r="BE5" s="218"/>
      <c r="BF5" s="218"/>
      <c r="BG5" s="459"/>
      <c r="BH5" s="480"/>
      <c r="BI5" s="481"/>
      <c r="BJ5" s="481"/>
      <c r="BK5" s="482"/>
      <c r="BL5" s="483"/>
      <c r="BM5" s="483"/>
      <c r="BN5" s="483"/>
      <c r="BO5" s="483"/>
      <c r="BP5" s="503"/>
      <c r="BQ5" s="503"/>
      <c r="BR5" s="503"/>
      <c r="BS5" s="504"/>
      <c r="BT5" s="455"/>
      <c r="BU5" s="455"/>
      <c r="BX5" s="455"/>
      <c r="BY5" s="455"/>
      <c r="BZ5" s="455"/>
      <c r="CA5" s="455"/>
      <c r="CB5" s="455"/>
      <c r="CC5" s="455"/>
      <c r="CD5" s="512"/>
      <c r="CE5" s="512"/>
      <c r="CF5" s="455"/>
    </row>
    <row r="6" spans="1:84" ht="60" x14ac:dyDescent="0.25">
      <c r="A6" s="448"/>
      <c r="B6" s="455"/>
      <c r="C6" s="455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70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76"/>
      <c r="W6" s="120" t="s">
        <v>62</v>
      </c>
      <c r="X6" s="121" t="s">
        <v>63</v>
      </c>
      <c r="Y6" s="459"/>
      <c r="Z6" s="461"/>
      <c r="AA6" s="462"/>
      <c r="AB6" s="463"/>
      <c r="AC6" s="456"/>
      <c r="AD6" s="457"/>
      <c r="AE6" s="457"/>
      <c r="AF6" s="457"/>
      <c r="AG6" s="457"/>
      <c r="AH6" s="112" t="s">
        <v>66</v>
      </c>
      <c r="AI6" s="112" t="s">
        <v>67</v>
      </c>
      <c r="AJ6" s="112" t="s">
        <v>147</v>
      </c>
      <c r="AK6" s="454"/>
      <c r="AL6" s="122" t="s">
        <v>148</v>
      </c>
      <c r="AM6" s="122" t="s">
        <v>149</v>
      </c>
      <c r="AN6" s="122" t="s">
        <v>150</v>
      </c>
      <c r="AO6" s="454"/>
      <c r="AP6" s="114" t="s">
        <v>99</v>
      </c>
      <c r="AQ6" s="114" t="s">
        <v>100</v>
      </c>
      <c r="AR6" s="114" t="s">
        <v>151</v>
      </c>
      <c r="AS6" s="459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453"/>
      <c r="AZ6" s="111" t="s">
        <v>152</v>
      </c>
      <c r="BA6" s="111" t="s">
        <v>153</v>
      </c>
      <c r="BB6" s="111" t="s">
        <v>155</v>
      </c>
      <c r="BC6" s="111" t="s">
        <v>151</v>
      </c>
      <c r="BD6" s="453"/>
      <c r="BE6" s="114" t="s">
        <v>202</v>
      </c>
      <c r="BF6" s="114" t="s">
        <v>330</v>
      </c>
      <c r="BG6" s="459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455"/>
      <c r="BU6" s="455"/>
      <c r="BX6" s="455"/>
      <c r="BY6" s="455"/>
      <c r="BZ6" s="455"/>
      <c r="CA6" s="455"/>
      <c r="CB6" s="455"/>
      <c r="CC6" s="455"/>
      <c r="CD6" s="513"/>
      <c r="CE6" s="513"/>
      <c r="CF6" s="455"/>
    </row>
    <row r="7" spans="1:84" x14ac:dyDescent="0.25">
      <c r="A7" s="124">
        <v>1</v>
      </c>
      <c r="B7" s="42">
        <f>Jul!G8</f>
        <v>472320.00000000698</v>
      </c>
      <c r="C7" s="42">
        <f>Jul!N8</f>
        <v>476000</v>
      </c>
      <c r="D7" s="42">
        <f>Jul!T8</f>
        <v>285.95999999903142</v>
      </c>
      <c r="E7" s="42">
        <f>Jul!V8</f>
        <v>0</v>
      </c>
      <c r="F7" s="42">
        <f>Jul!AB8</f>
        <v>100</v>
      </c>
      <c r="G7" s="42">
        <f>Jul!X8</f>
        <v>18014.040000000605</v>
      </c>
      <c r="H7" s="42">
        <f>Jul!AE8</f>
        <v>5800.0000000001819</v>
      </c>
      <c r="I7" s="42">
        <f>Jul!AI8</f>
        <v>13742.529999999273</v>
      </c>
      <c r="J7" s="42">
        <f>Jul!AN8</f>
        <v>6332.5299999998733</v>
      </c>
      <c r="K7" s="42">
        <f>Jul!AR8</f>
        <v>14199.999999998909</v>
      </c>
      <c r="L7" s="42">
        <f>Jul!AZ8</f>
        <v>540</v>
      </c>
      <c r="M7" s="42">
        <f>Jul!BC8</f>
        <v>750</v>
      </c>
      <c r="N7" s="125">
        <f t="shared" ref="N7" si="0">SUM(D7:M7)</f>
        <v>59765.059999997873</v>
      </c>
      <c r="O7" s="125">
        <f>Jul!CA8</f>
        <v>521.59999999997808</v>
      </c>
      <c r="P7" s="125">
        <f>Jul!CD8</f>
        <v>2932</v>
      </c>
      <c r="Q7" s="125">
        <f>Jul!CF8</f>
        <v>6637</v>
      </c>
      <c r="R7" s="125">
        <f>Jul!CH8</f>
        <v>0</v>
      </c>
      <c r="S7" s="125">
        <f>Jul!CK8</f>
        <v>15660.930000001623</v>
      </c>
      <c r="T7" s="125">
        <f>Jul!CO8</f>
        <v>5506.5299999998506</v>
      </c>
      <c r="U7" s="125">
        <f>Jul!CS8</f>
        <v>5955.53</v>
      </c>
      <c r="V7" s="126">
        <f>SUM(O7:U7)</f>
        <v>37213.590000001452</v>
      </c>
      <c r="W7" s="126">
        <f>Jul!CW8</f>
        <v>20179</v>
      </c>
      <c r="X7" s="126">
        <f>Jul!DA8</f>
        <v>11552</v>
      </c>
      <c r="Y7" s="126">
        <f t="shared" ref="Y7:Y37" si="1">W7+X7</f>
        <v>31731</v>
      </c>
      <c r="Z7" s="42">
        <f>Jul!BR8</f>
        <v>700.00000000004547</v>
      </c>
      <c r="AA7" s="126">
        <f>Jul!BG8</f>
        <v>2299.9999999999545</v>
      </c>
      <c r="AB7" s="126">
        <f>Jul!BJ8</f>
        <v>9200.0000000007276</v>
      </c>
      <c r="AC7" s="126">
        <f>Jul!BL8+Jul!BN8</f>
        <v>4910.0000000000819</v>
      </c>
      <c r="AD7" s="126">
        <f>Jul!DR8</f>
        <v>12100</v>
      </c>
      <c r="AE7" s="127">
        <f>Jul!DT8-Jul!DR48-Jul!DT48</f>
        <v>20000</v>
      </c>
      <c r="AF7" s="127">
        <f>Jul!DR48+Jul!DT48</f>
        <v>0</v>
      </c>
      <c r="AG7" s="127">
        <f>Jul!HJ8-AE7</f>
        <v>133000</v>
      </c>
      <c r="AH7" s="127">
        <f>Jul!DW8</f>
        <v>4399.9999999996362</v>
      </c>
      <c r="AI7" s="127">
        <f>Jul!DZ8</f>
        <v>7942.53</v>
      </c>
      <c r="AJ7" s="127">
        <f>Jul!EC8</f>
        <v>24102.53</v>
      </c>
      <c r="AK7" s="127">
        <f>SUM(AH7:AJ7)</f>
        <v>36445.059999999634</v>
      </c>
      <c r="AL7" s="127">
        <f>Jul!EG8</f>
        <v>23102.53</v>
      </c>
      <c r="AM7" s="127">
        <f>Jul!EJ8</f>
        <v>9942.5300000000007</v>
      </c>
      <c r="AN7" s="127">
        <f>Jul!EM8</f>
        <v>420.00000000007276</v>
      </c>
      <c r="AO7" s="127">
        <f>SUM(AL7:AN7)</f>
        <v>33465.06000000007</v>
      </c>
      <c r="AP7" s="127">
        <f>Jul!FX8</f>
        <v>14000</v>
      </c>
      <c r="AQ7" s="127">
        <f>Jul!GA8</f>
        <v>4220.0000000001819</v>
      </c>
      <c r="AR7" s="127">
        <f>Jul!GG8</f>
        <v>3400.0000000003183</v>
      </c>
      <c r="AS7" s="127">
        <f>SUM(AP7:AR7)</f>
        <v>21620.000000000502</v>
      </c>
      <c r="AT7" s="127">
        <f>Jul!EQ8</f>
        <v>6077.5299999999907</v>
      </c>
      <c r="AU7" s="127">
        <f>Jul!ET8</f>
        <v>12899.999999999636</v>
      </c>
      <c r="AV7" s="127">
        <f>Jul!EW8</f>
        <v>8442.5300000000007</v>
      </c>
      <c r="AW7" s="127">
        <f>Jul!FL45</f>
        <v>9898.3650000000016</v>
      </c>
      <c r="AX7" s="127">
        <f>Jul!GJ8</f>
        <v>1699.9999999998181</v>
      </c>
      <c r="AY7" s="127">
        <f>SUM(AT7:AX7)</f>
        <v>39018.424999999443</v>
      </c>
      <c r="AZ7" s="127">
        <f>Jul!FG8</f>
        <v>7719.2000000000089</v>
      </c>
      <c r="BA7" s="127">
        <f>Jul!FJ8</f>
        <v>12254.199999999637</v>
      </c>
      <c r="BB7" s="127">
        <f>Jul!FM45</f>
        <v>9898.3650000000016</v>
      </c>
      <c r="BC7" s="127">
        <f>Jul!GM8</f>
        <v>899.99999999986358</v>
      </c>
      <c r="BD7" s="127">
        <f>SUM(AZ7:BC7)</f>
        <v>30771.764999999512</v>
      </c>
      <c r="BE7" s="127">
        <f>Jul!GP8</f>
        <v>0</v>
      </c>
      <c r="BF7" s="127">
        <f>Jul!GS8</f>
        <v>80</v>
      </c>
      <c r="BG7" s="127">
        <f>BE7+BF7</f>
        <v>80</v>
      </c>
      <c r="BH7" s="127">
        <f>Y7</f>
        <v>31731</v>
      </c>
      <c r="BI7" s="127"/>
      <c r="BJ7" s="127"/>
      <c r="BK7" s="127"/>
      <c r="BL7" s="128"/>
      <c r="BM7" s="128">
        <f t="shared" ref="BM7:BM9" si="2">((AS7)+BG7)</f>
        <v>21700.000000000502</v>
      </c>
      <c r="BN7" s="128"/>
      <c r="BO7" s="128"/>
      <c r="BP7" s="128"/>
      <c r="BQ7" s="128"/>
      <c r="BR7" s="128"/>
      <c r="BS7" s="128"/>
      <c r="BT7" s="42">
        <f>Jul!D46</f>
        <v>0</v>
      </c>
      <c r="BU7" s="42">
        <f>Jul!G47</f>
        <v>0</v>
      </c>
      <c r="BV7" t="s">
        <v>375</v>
      </c>
      <c r="BX7" s="42">
        <f>Jul!HJ8</f>
        <v>153000</v>
      </c>
      <c r="BY7" s="42">
        <f>Jul!HM8</f>
        <v>0</v>
      </c>
      <c r="BZ7" s="42">
        <f>Jul!HP8</f>
        <v>38334.999999999913</v>
      </c>
      <c r="CA7" s="42">
        <f>Jul!HS8</f>
        <v>25435.000000000273</v>
      </c>
      <c r="CB7" s="42">
        <f>Jul!HV8</f>
        <v>23835.000000000364</v>
      </c>
      <c r="CC7" s="42">
        <f>Jul!HY8</f>
        <v>21935.000000000044</v>
      </c>
      <c r="CD7" s="42">
        <f>Jul!IB8</f>
        <v>23460</v>
      </c>
      <c r="CE7" s="42">
        <f>Jul!IE8</f>
        <v>0</v>
      </c>
      <c r="CF7" s="42">
        <f>Jul!IH8</f>
        <v>20000</v>
      </c>
    </row>
    <row r="8" spans="1:84" x14ac:dyDescent="0.25">
      <c r="A8" s="26">
        <f>A7+1</f>
        <v>2</v>
      </c>
      <c r="B8" s="42">
        <f>Jul!G9</f>
        <v>389760.00000001292</v>
      </c>
      <c r="C8" s="42">
        <f>Jul!N9</f>
        <v>383000</v>
      </c>
      <c r="D8" s="42">
        <f>Jul!T9</f>
        <v>283.13000000081956</v>
      </c>
      <c r="E8" s="42">
        <f>Jul!V9</f>
        <v>0</v>
      </c>
      <c r="F8" s="42">
        <f>Jul!AB9</f>
        <v>100</v>
      </c>
      <c r="G8" s="42">
        <f>Jul!X9</f>
        <v>17716.869999999544</v>
      </c>
      <c r="H8" s="42">
        <f>Jul!AE9</f>
        <v>5800.0000000001819</v>
      </c>
      <c r="I8" s="42">
        <f>Jul!AI9</f>
        <v>13610.2</v>
      </c>
      <c r="J8" s="42">
        <f>Jul!AN9</f>
        <v>6480.1999999996233</v>
      </c>
      <c r="K8" s="42">
        <f>Jul!AR9</f>
        <v>14300.000000001091</v>
      </c>
      <c r="L8" s="42">
        <f>Jul!AZ9</f>
        <v>530</v>
      </c>
      <c r="M8" s="42">
        <f>Jul!BC9</f>
        <v>740</v>
      </c>
      <c r="N8" s="125">
        <f t="shared" ref="N8:N34" si="3">SUM(D8:M8)</f>
        <v>59560.400000001267</v>
      </c>
      <c r="O8" s="125">
        <f>Jul!CA9</f>
        <v>532.50000000002728</v>
      </c>
      <c r="P8" s="125">
        <f>Jul!CD9</f>
        <v>3528.4000000000233</v>
      </c>
      <c r="Q8" s="125">
        <f>Jul!CF9</f>
        <v>7526</v>
      </c>
      <c r="R8" s="125">
        <f>Jul!CH9</f>
        <v>0</v>
      </c>
      <c r="S8" s="125">
        <f>Jul!CK9</f>
        <v>16507.699999998447</v>
      </c>
      <c r="T8" s="125">
        <f>Jul!CO9</f>
        <v>5927.2000000000071</v>
      </c>
      <c r="U8" s="125">
        <f>Jul!CS9</f>
        <v>5966.7999999999765</v>
      </c>
      <c r="V8" s="126">
        <f t="shared" ref="V8:V37" si="4">SUM(O8:U8)</f>
        <v>39988.599999998478</v>
      </c>
      <c r="W8" s="126">
        <f>Jul!CW9</f>
        <v>18810</v>
      </c>
      <c r="X8" s="126">
        <f>Jul!DA9</f>
        <v>10819</v>
      </c>
      <c r="Y8" s="126">
        <f t="shared" si="1"/>
        <v>29629</v>
      </c>
      <c r="Z8" s="42">
        <f>Jul!BR9</f>
        <v>700.00000000004547</v>
      </c>
      <c r="AA8" s="126">
        <f>Jul!BG9</f>
        <v>2600.0000000001364</v>
      </c>
      <c r="AB8" s="126">
        <f>Jul!BJ9</f>
        <v>9399.9999999996362</v>
      </c>
      <c r="AC8" s="126">
        <f>Jul!BL9+Jul!BN9</f>
        <v>4829.9999999999682</v>
      </c>
      <c r="AD8" s="126">
        <f>Jul!DR9</f>
        <v>11600</v>
      </c>
      <c r="AE8" s="127">
        <f>Jul!DT9-Jul!DR49-Jul!DT49</f>
        <v>12100</v>
      </c>
      <c r="AF8" s="127">
        <f>Jul!DR49+Jul!DT49</f>
        <v>0</v>
      </c>
      <c r="AG8" s="127">
        <f>Jul!HJ9-AE8</f>
        <v>110900</v>
      </c>
      <c r="AH8" s="127">
        <f>Jul!DW9</f>
        <v>4199.9999999998181</v>
      </c>
      <c r="AI8" s="127">
        <f>Jul!DZ9</f>
        <v>7110.2</v>
      </c>
      <c r="AJ8" s="127">
        <f>Jul!EC9</f>
        <v>23270.2</v>
      </c>
      <c r="AK8" s="127">
        <f t="shared" ref="AK8:AK37" si="5">SUM(AH8:AJ8)</f>
        <v>34580.39999999982</v>
      </c>
      <c r="AL8" s="127">
        <f>Jul!EG9</f>
        <v>24270.2</v>
      </c>
      <c r="AM8" s="127">
        <f>Jul!EJ9</f>
        <v>10110.200000000001</v>
      </c>
      <c r="AN8" s="127">
        <f>Jul!EM9</f>
        <v>639.99999999998636</v>
      </c>
      <c r="AO8" s="127">
        <f t="shared" ref="AO8:AO28" si="6">SUM(AL8:AN8)</f>
        <v>35020.399999999987</v>
      </c>
      <c r="AP8" s="127">
        <f>Jul!FX9</f>
        <v>7300</v>
      </c>
      <c r="AQ8" s="127">
        <f>Jul!GA9</f>
        <v>2209.9999999997272</v>
      </c>
      <c r="AR8" s="127">
        <f>Jul!GG9</f>
        <v>2599.9999999999091</v>
      </c>
      <c r="AS8" s="127">
        <f t="shared" ref="AS8:AS37" si="7">SUM(AP8:AR8)</f>
        <v>12109.999999999636</v>
      </c>
      <c r="AT8" s="127">
        <f>Jul!EQ9</f>
        <v>6190.1999999999844</v>
      </c>
      <c r="AU8" s="127">
        <f>Jul!ET9</f>
        <v>16100.000000000364</v>
      </c>
      <c r="AV8" s="127">
        <f>Jul!EW9</f>
        <v>9510.2000000000917</v>
      </c>
      <c r="AW8" s="127">
        <f>Jul!FL46</f>
        <v>10956.865000000002</v>
      </c>
      <c r="AX8" s="127">
        <f>Jul!GJ9</f>
        <v>2100.0000000001364</v>
      </c>
      <c r="AY8" s="127">
        <f t="shared" ref="AY8:AY34" si="8">SUM(AT8:AX8)</f>
        <v>44857.265000000574</v>
      </c>
      <c r="AZ8" s="127">
        <f>Jul!FG9</f>
        <v>8723.5300000000152</v>
      </c>
      <c r="BA8" s="127">
        <f>Jul!FJ9</f>
        <v>14803.53</v>
      </c>
      <c r="BB8" s="127">
        <f>Jul!FM46</f>
        <v>10956.865000000002</v>
      </c>
      <c r="BC8" s="127">
        <f>Jul!GM9</f>
        <v>299.99999999995453</v>
      </c>
      <c r="BD8" s="127">
        <f t="shared" ref="BD8:BD34" si="9">SUM(AZ8:BC8)</f>
        <v>34783.924999999974</v>
      </c>
      <c r="BE8" s="127">
        <f>Jul!GP9</f>
        <v>1010</v>
      </c>
      <c r="BF8" s="127">
        <f>Jul!GS9</f>
        <v>90</v>
      </c>
      <c r="BG8" s="127">
        <f t="shared" ref="BG8:BG37" si="10">BE8+BF8</f>
        <v>1100</v>
      </c>
      <c r="BH8" s="127">
        <f t="shared" ref="BH8:BH37" si="11">Y8</f>
        <v>29629</v>
      </c>
      <c r="BI8" s="127"/>
      <c r="BJ8" s="127"/>
      <c r="BK8" s="127"/>
      <c r="BL8" s="128"/>
      <c r="BM8" s="128">
        <f t="shared" si="2"/>
        <v>13209.999999999636</v>
      </c>
      <c r="BN8" s="128"/>
      <c r="BO8" s="128"/>
      <c r="BP8" s="128"/>
      <c r="BQ8" s="128"/>
      <c r="BR8" s="128"/>
      <c r="BS8" s="128"/>
      <c r="BT8" s="42">
        <f>Jul!D47</f>
        <v>0</v>
      </c>
      <c r="BU8" s="42">
        <f>Jul!G48</f>
        <v>54000</v>
      </c>
      <c r="BV8" t="s">
        <v>375</v>
      </c>
      <c r="BX8" s="42">
        <f>Jul!HJ9</f>
        <v>123000</v>
      </c>
      <c r="BY8" s="42">
        <f>Jul!HM9</f>
        <v>0</v>
      </c>
      <c r="BZ8" s="42">
        <f>Jul!HP9</f>
        <v>31867.500000000182</v>
      </c>
      <c r="CA8" s="42">
        <f>Jul!HS9</f>
        <v>18167.499999999909</v>
      </c>
      <c r="CB8" s="42">
        <f>Jul!HV9</f>
        <v>22367.499999999727</v>
      </c>
      <c r="CC8" s="42">
        <f>Jul!HY9</f>
        <v>18367.499999999956</v>
      </c>
      <c r="CD8" s="42">
        <f>Jul!IB9</f>
        <v>20130</v>
      </c>
      <c r="CE8" s="42">
        <f>Jul!IE9</f>
        <v>0</v>
      </c>
      <c r="CF8" s="42">
        <f>Jul!IH9</f>
        <v>12100</v>
      </c>
    </row>
    <row r="9" spans="1:84" x14ac:dyDescent="0.25">
      <c r="A9" s="26">
        <f t="shared" ref="A9:A37" si="12">A8+1</f>
        <v>3</v>
      </c>
      <c r="B9" s="42">
        <f>Jul!G10</f>
        <v>390719.99999998661</v>
      </c>
      <c r="C9" s="42">
        <f>Jul!N10</f>
        <v>385000</v>
      </c>
      <c r="D9" s="42">
        <f>Jul!T10</f>
        <v>298.62999999895692</v>
      </c>
      <c r="E9" s="42">
        <f>Jul!V10</f>
        <v>0</v>
      </c>
      <c r="F9" s="42">
        <f>Jul!AB10</f>
        <v>100</v>
      </c>
      <c r="G9" s="42">
        <f>Jul!X10</f>
        <v>17901.370000000315</v>
      </c>
      <c r="H9" s="42">
        <f>Jul!AE10</f>
        <v>5500</v>
      </c>
      <c r="I9" s="42">
        <f>Jul!AI10</f>
        <v>12536.139999999272</v>
      </c>
      <c r="J9" s="42">
        <f>Jul!AN10</f>
        <v>6396.1399999990081</v>
      </c>
      <c r="K9" s="42">
        <f>Jul!AR10</f>
        <v>13699.999999998909</v>
      </c>
      <c r="L9" s="42">
        <f>Jul!AZ10</f>
        <v>530</v>
      </c>
      <c r="M9" s="42">
        <f>Jul!BC10</f>
        <v>720</v>
      </c>
      <c r="N9" s="125">
        <f t="shared" si="3"/>
        <v>57682.279999996463</v>
      </c>
      <c r="O9" s="125">
        <f>Jul!CA10</f>
        <v>558.79999999996244</v>
      </c>
      <c r="P9" s="125">
        <f>Jul!CD10</f>
        <v>3665.5</v>
      </c>
      <c r="Q9" s="125">
        <f>Jul!CF10</f>
        <v>7679</v>
      </c>
      <c r="R9" s="125">
        <f>Jul!CH10</f>
        <v>0</v>
      </c>
      <c r="S9" s="125">
        <f>Jul!CK10</f>
        <v>16687.340000000255</v>
      </c>
      <c r="T9" s="125">
        <f>Jul!CO10</f>
        <v>6134.1400000001386</v>
      </c>
      <c r="U9" s="125">
        <f>Jul!CS10</f>
        <v>6271.5400000000236</v>
      </c>
      <c r="V9" s="126">
        <f t="shared" si="4"/>
        <v>40996.320000000378</v>
      </c>
      <c r="W9" s="126">
        <f>Jul!CW10</f>
        <v>19675</v>
      </c>
      <c r="X9" s="126">
        <f>Jul!DA10</f>
        <v>10595</v>
      </c>
      <c r="Y9" s="126">
        <f t="shared" si="1"/>
        <v>30270</v>
      </c>
      <c r="Z9" s="42">
        <f>Jul!BR10</f>
        <v>699.99999999993179</v>
      </c>
      <c r="AA9" s="126">
        <f>Jul!BG10</f>
        <v>1899.9999999998636</v>
      </c>
      <c r="AB9" s="126">
        <f>Jul!BJ10</f>
        <v>9200.0000000007276</v>
      </c>
      <c r="AC9" s="126">
        <f>Jul!BL10+Jul!BN10</f>
        <v>4839.9999999999682</v>
      </c>
      <c r="AD9" s="126">
        <f>Jul!DR10</f>
        <v>11600</v>
      </c>
      <c r="AE9" s="127">
        <f>Jul!DT10-Jul!DR50-Jul!DT50</f>
        <v>25600</v>
      </c>
      <c r="AF9" s="127">
        <f>Jul!DR50+Jul!DT50</f>
        <v>0</v>
      </c>
      <c r="AG9" s="127">
        <f>Jul!HJ10-AE9</f>
        <v>118400</v>
      </c>
      <c r="AH9" s="127">
        <f>Jul!DW10</f>
        <v>4500</v>
      </c>
      <c r="AI9" s="127">
        <f>Jul!DZ10</f>
        <v>8236.14</v>
      </c>
      <c r="AJ9" s="127">
        <f>Jul!EC10</f>
        <v>24396.14</v>
      </c>
      <c r="AK9" s="127">
        <f t="shared" si="5"/>
        <v>37132.28</v>
      </c>
      <c r="AL9" s="127">
        <f>Jul!EG10</f>
        <v>23396.14</v>
      </c>
      <c r="AM9" s="127">
        <f>Jul!EJ10</f>
        <v>11236.14</v>
      </c>
      <c r="AN9" s="127">
        <f>Jul!EM10</f>
        <v>529.99999999997272</v>
      </c>
      <c r="AO9" s="127">
        <f t="shared" si="6"/>
        <v>35162.27999999997</v>
      </c>
      <c r="AP9" s="127">
        <f>Jul!FX10</f>
        <v>5100</v>
      </c>
      <c r="AQ9" s="127">
        <f>Jul!GA10</f>
        <v>1500</v>
      </c>
      <c r="AR9" s="127">
        <f>Jul!GG10</f>
        <v>799.99999999995453</v>
      </c>
      <c r="AS9" s="127">
        <f t="shared" si="7"/>
        <v>7399.9999999999545</v>
      </c>
      <c r="AT9" s="127">
        <f>Jul!EQ10</f>
        <v>6356.1400000000049</v>
      </c>
      <c r="AU9" s="127">
        <f>Jul!ET10</f>
        <v>16399.999999999636</v>
      </c>
      <c r="AV9" s="127">
        <f>Jul!EW10</f>
        <v>9936.1399999998175</v>
      </c>
      <c r="AW9" s="127">
        <f>Jul!FL47</f>
        <v>12806.14</v>
      </c>
      <c r="AX9" s="127">
        <f>Jul!GJ10</f>
        <v>2099.9999999999091</v>
      </c>
      <c r="AY9" s="127">
        <f t="shared" si="8"/>
        <v>47598.419999999373</v>
      </c>
      <c r="AZ9" s="127">
        <f>Jul!FG10</f>
        <v>9256.1399999999958</v>
      </c>
      <c r="BA9" s="127">
        <f>Jul!FJ10</f>
        <v>18076.139999998908</v>
      </c>
      <c r="BB9" s="127">
        <f>Jul!FM47</f>
        <v>12806.14</v>
      </c>
      <c r="BC9" s="127">
        <f>Jul!GM10</f>
        <v>100.00000000013642</v>
      </c>
      <c r="BD9" s="127">
        <f t="shared" si="9"/>
        <v>40238.419999999045</v>
      </c>
      <c r="BE9" s="127">
        <f>Jul!GP10</f>
        <v>0</v>
      </c>
      <c r="BF9" s="127">
        <f>Jul!GS10</f>
        <v>0</v>
      </c>
      <c r="BG9" s="127">
        <f t="shared" si="10"/>
        <v>0</v>
      </c>
      <c r="BH9" s="127">
        <f t="shared" si="11"/>
        <v>30270</v>
      </c>
      <c r="BI9" s="127"/>
      <c r="BJ9" s="127"/>
      <c r="BK9" s="127"/>
      <c r="BL9" s="128"/>
      <c r="BM9" s="128">
        <f t="shared" si="2"/>
        <v>7399.9999999999545</v>
      </c>
      <c r="BN9" s="128"/>
      <c r="BO9" s="128"/>
      <c r="BP9" s="128"/>
      <c r="BQ9" s="128"/>
      <c r="BR9" s="128"/>
      <c r="BS9" s="128"/>
      <c r="BT9" s="42">
        <f>Jul!D48</f>
        <v>0</v>
      </c>
      <c r="BU9" s="42">
        <f>Jul!G49</f>
        <v>78000</v>
      </c>
      <c r="BV9" t="s">
        <v>375</v>
      </c>
      <c r="BX9" s="42">
        <f>Jul!HJ10</f>
        <v>144000</v>
      </c>
      <c r="BY9" s="42">
        <f>Jul!HM10</f>
        <v>0</v>
      </c>
      <c r="BZ9" s="42">
        <f>Jul!HP10</f>
        <v>31490</v>
      </c>
      <c r="CA9" s="42">
        <f>Jul!HS10</f>
        <v>20789.999999999727</v>
      </c>
      <c r="CB9" s="42">
        <f>Jul!HV10</f>
        <v>23190.000000000273</v>
      </c>
      <c r="CC9" s="42">
        <f>Jul!HY10</f>
        <v>18190.000000000044</v>
      </c>
      <c r="CD9" s="42">
        <f>Jul!IB10</f>
        <v>24740</v>
      </c>
      <c r="CE9" s="42">
        <f>Jul!IE10</f>
        <v>0</v>
      </c>
      <c r="CF9" s="42">
        <f>Jul!IH10</f>
        <v>25600</v>
      </c>
    </row>
    <row r="10" spans="1:84" x14ac:dyDescent="0.25">
      <c r="A10" s="26">
        <f t="shared" si="12"/>
        <v>4</v>
      </c>
      <c r="B10" s="42">
        <f>Jul!G11</f>
        <v>394880.00000000105</v>
      </c>
      <c r="C10" s="42">
        <f>Jul!N11</f>
        <v>392000</v>
      </c>
      <c r="D10" s="42">
        <f>Jul!T11</f>
        <v>310.59999999962747</v>
      </c>
      <c r="E10" s="42">
        <f>Jul!V11</f>
        <v>0</v>
      </c>
      <c r="F10" s="42">
        <f>Jul!AB11</f>
        <v>100</v>
      </c>
      <c r="G10" s="42">
        <f>Jul!X11</f>
        <v>18289.4000000011</v>
      </c>
      <c r="H10" s="42">
        <f>Jul!AE11</f>
        <v>5599.9999999994543</v>
      </c>
      <c r="I10" s="42">
        <f>Jul!AI11</f>
        <v>12814.950000001092</v>
      </c>
      <c r="J10" s="42">
        <f>Jul!AN11</f>
        <v>6884.9499999998916</v>
      </c>
      <c r="K10" s="42">
        <f>Jul!AR11</f>
        <v>13900.000000001455</v>
      </c>
      <c r="L10" s="42">
        <f>Jul!AZ11</f>
        <v>500</v>
      </c>
      <c r="M10" s="42">
        <f>Jul!BC11</f>
        <v>750</v>
      </c>
      <c r="N10" s="125">
        <f t="shared" si="3"/>
        <v>59149.900000002628</v>
      </c>
      <c r="O10" s="125">
        <f>Jul!CA11</f>
        <v>654.40000000000964</v>
      </c>
      <c r="P10" s="125">
        <f>Jul!CD11</f>
        <v>3506.5999999999767</v>
      </c>
      <c r="Q10" s="125">
        <f>Jul!CF11</f>
        <v>7229</v>
      </c>
      <c r="R10" s="125">
        <f>Jul!CH11</f>
        <v>0</v>
      </c>
      <c r="S10" s="125">
        <f>Jul!CK11</f>
        <v>17190.549999999919</v>
      </c>
      <c r="T10" s="125">
        <f>Jul!CO11</f>
        <v>6309.9499999996178</v>
      </c>
      <c r="U10" s="125">
        <f>Jul!CS11</f>
        <v>6607.0499999999765</v>
      </c>
      <c r="V10" s="126">
        <f t="shared" si="4"/>
        <v>41497.549999999494</v>
      </c>
      <c r="W10" s="126">
        <f>Jul!CW11</f>
        <v>20178</v>
      </c>
      <c r="X10" s="126">
        <f>Jul!DA11</f>
        <v>11195</v>
      </c>
      <c r="Y10" s="126">
        <f t="shared" si="1"/>
        <v>31373</v>
      </c>
      <c r="Z10" s="42">
        <f>Jul!BR11</f>
        <v>700.00000000004547</v>
      </c>
      <c r="AA10" s="126">
        <f>Jul!BG11</f>
        <v>2200.0000000000455</v>
      </c>
      <c r="AB10" s="126">
        <f>Jul!BJ11</f>
        <v>9500</v>
      </c>
      <c r="AC10" s="126">
        <f>Jul!BL11+Jul!BN11</f>
        <v>4930.0000000000637</v>
      </c>
      <c r="AD10" s="126">
        <f>Jul!DR11</f>
        <v>12100</v>
      </c>
      <c r="AE10" s="127">
        <f>Jul!DT11-Jul!DR51-Jul!DT51</f>
        <v>19400</v>
      </c>
      <c r="AF10" s="127">
        <f>Jul!DR51+Jul!DT51</f>
        <v>0</v>
      </c>
      <c r="AG10" s="127">
        <f>Jul!HJ11-AE10</f>
        <v>132600</v>
      </c>
      <c r="AH10" s="127">
        <f>Jul!DW11</f>
        <v>4400.0000000005457</v>
      </c>
      <c r="AI10" s="127">
        <f>Jul!DZ11</f>
        <v>8514.9500000000007</v>
      </c>
      <c r="AJ10" s="127">
        <f>Jul!EC11</f>
        <v>25674.95</v>
      </c>
      <c r="AK10" s="127">
        <f t="shared" si="5"/>
        <v>38589.900000000547</v>
      </c>
      <c r="AL10" s="127">
        <f>Jul!EG11</f>
        <v>11674.95</v>
      </c>
      <c r="AM10" s="127">
        <f>Jul!EJ11</f>
        <v>8514.9500000000007</v>
      </c>
      <c r="AN10" s="127">
        <f>Jul!EM11</f>
        <v>509.99999999999091</v>
      </c>
      <c r="AO10" s="127">
        <f t="shared" si="6"/>
        <v>20699.899999999994</v>
      </c>
      <c r="AP10" s="127">
        <f>Jul!FX11</f>
        <v>600</v>
      </c>
      <c r="AQ10" s="127">
        <f>Jul!GA11</f>
        <v>130.00000000027285</v>
      </c>
      <c r="AR10" s="127">
        <f>Jul!GG11</f>
        <v>1700.0000000000455</v>
      </c>
      <c r="AS10" s="127">
        <f t="shared" si="7"/>
        <v>2430.0000000003183</v>
      </c>
      <c r="AT10" s="127">
        <f>Jul!EQ11</f>
        <v>6664.9499999999771</v>
      </c>
      <c r="AU10" s="127">
        <f>Jul!ET11</f>
        <v>16000</v>
      </c>
      <c r="AV10" s="127">
        <f>Jul!EW11</f>
        <v>9614.9499999999098</v>
      </c>
      <c r="AW10" s="127">
        <f>Jul!FL48</f>
        <v>12506.615000000002</v>
      </c>
      <c r="AX10" s="127">
        <f>Jul!GJ11</f>
        <v>0</v>
      </c>
      <c r="AY10" s="127">
        <f t="shared" si="8"/>
        <v>44786.514999999883</v>
      </c>
      <c r="AZ10" s="127">
        <f>Jul!FG11</f>
        <v>10348.280000000024</v>
      </c>
      <c r="BA10" s="127">
        <f>Jul!FJ11</f>
        <v>17698.28000000073</v>
      </c>
      <c r="BB10" s="127">
        <f>Jul!FM48</f>
        <v>12506.615000000002</v>
      </c>
      <c r="BC10" s="127">
        <f>Jul!GM11</f>
        <v>2299.9999999999545</v>
      </c>
      <c r="BD10" s="127">
        <f t="shared" si="9"/>
        <v>42853.175000000716</v>
      </c>
      <c r="BE10" s="127">
        <f>Jul!GP11</f>
        <v>0</v>
      </c>
      <c r="BF10" s="127">
        <f>Jul!GS11</f>
        <v>70</v>
      </c>
      <c r="BG10" s="127">
        <f t="shared" si="10"/>
        <v>70</v>
      </c>
      <c r="BH10" s="127">
        <f>Y10+BG10+AS10</f>
        <v>33873.00000000032</v>
      </c>
      <c r="BI10" s="127"/>
      <c r="BJ10" s="127"/>
      <c r="BK10" s="127"/>
      <c r="BL10" s="128"/>
      <c r="BM10" s="128"/>
      <c r="BN10" s="128"/>
      <c r="BO10" s="128"/>
      <c r="BP10" s="128"/>
      <c r="BQ10" s="128"/>
      <c r="BR10" s="128"/>
      <c r="BS10" s="128"/>
      <c r="BT10" s="42">
        <f>Jul!D49</f>
        <v>0</v>
      </c>
      <c r="BU10" s="42">
        <f>Jul!G50</f>
        <v>68000</v>
      </c>
      <c r="BV10" t="s">
        <v>380</v>
      </c>
      <c r="BX10" s="42">
        <f>Jul!HJ11</f>
        <v>152000</v>
      </c>
      <c r="BY10" s="42">
        <f>Jul!HM11</f>
        <v>0</v>
      </c>
      <c r="BZ10" s="42">
        <f>Jul!HP11</f>
        <v>36182.499999999818</v>
      </c>
      <c r="CA10" s="42">
        <f>Jul!HS11</f>
        <v>16482.5</v>
      </c>
      <c r="CB10" s="42">
        <f>Jul!HV11</f>
        <v>27682.499999999818</v>
      </c>
      <c r="CC10" s="42">
        <f>Jul!HY11</f>
        <v>24882.500000000091</v>
      </c>
      <c r="CD10" s="42">
        <f>Jul!IB11</f>
        <v>27370</v>
      </c>
      <c r="CE10" s="42">
        <f>Jul!IE11</f>
        <v>0</v>
      </c>
      <c r="CF10" s="42">
        <f>Jul!IH11</f>
        <v>19400</v>
      </c>
    </row>
    <row r="11" spans="1:84" x14ac:dyDescent="0.25">
      <c r="A11" s="26">
        <f t="shared" si="12"/>
        <v>5</v>
      </c>
      <c r="B11" s="42">
        <f>Jul!G12</f>
        <v>389439.99999998778</v>
      </c>
      <c r="C11" s="42">
        <f>Jul!N12</f>
        <v>383000</v>
      </c>
      <c r="D11" s="42">
        <f>Jul!T12</f>
        <v>243.15000000037253</v>
      </c>
      <c r="E11" s="42">
        <f>Jul!V12</f>
        <v>0</v>
      </c>
      <c r="F11" s="42">
        <f>Jul!AB12</f>
        <v>200</v>
      </c>
      <c r="G11" s="42">
        <f>Jul!X12</f>
        <v>17756.849999998536</v>
      </c>
      <c r="H11" s="42">
        <f>Jul!AE12</f>
        <v>5500</v>
      </c>
      <c r="I11" s="42">
        <f>Jul!AI12</f>
        <v>12866.409999999272</v>
      </c>
      <c r="J11" s="42">
        <f>Jul!AN12</f>
        <v>7286.4100000004137</v>
      </c>
      <c r="K11" s="42">
        <f>Jul!AR12</f>
        <v>13699.999999998909</v>
      </c>
      <c r="L11" s="42">
        <f>Jul!AZ12</f>
        <v>530</v>
      </c>
      <c r="M11" s="42">
        <f>Jul!BC12</f>
        <v>730</v>
      </c>
      <c r="N11" s="125">
        <f t="shared" si="3"/>
        <v>58812.819999997504</v>
      </c>
      <c r="O11" s="125">
        <f>Jul!CA12</f>
        <v>615.70000000000391</v>
      </c>
      <c r="P11" s="125">
        <f>Jul!CD12</f>
        <v>3354.8000000000466</v>
      </c>
      <c r="Q11" s="125">
        <f>Jul!CF12</f>
        <v>7052</v>
      </c>
      <c r="R11" s="125">
        <f>Jul!CH12</f>
        <v>0</v>
      </c>
      <c r="S11" s="125">
        <f>Jul!CK12</f>
        <v>16890.710000000505</v>
      </c>
      <c r="T11" s="125">
        <f>Jul!CO12</f>
        <v>6301.4100000001272</v>
      </c>
      <c r="U11" s="125">
        <f>Jul!CS12</f>
        <v>6757.5100000000348</v>
      </c>
      <c r="V11" s="126">
        <f t="shared" si="4"/>
        <v>40972.130000000718</v>
      </c>
      <c r="W11" s="126">
        <f>Jul!CW12</f>
        <v>19841</v>
      </c>
      <c r="X11" s="126">
        <f>Jul!DA12</f>
        <v>11015</v>
      </c>
      <c r="Y11" s="126">
        <f t="shared" si="1"/>
        <v>30856</v>
      </c>
      <c r="Z11" s="42">
        <f>Jul!BR12</f>
        <v>500</v>
      </c>
      <c r="AA11" s="126">
        <f>Jul!BG12</f>
        <v>1799.9999999999545</v>
      </c>
      <c r="AB11" s="126">
        <f>Jul!BJ12</f>
        <v>8599.9999999985448</v>
      </c>
      <c r="AC11" s="126">
        <f>Jul!BL12+Jul!BN12</f>
        <v>4879.99999999995</v>
      </c>
      <c r="AD11" s="126">
        <f>Jul!DR12</f>
        <v>9300</v>
      </c>
      <c r="AE11" s="127">
        <f>Jul!DT12-Jul!DR52-Jul!DT52</f>
        <v>16500</v>
      </c>
      <c r="AF11" s="127">
        <f>Jul!DR52+Jul!DT52</f>
        <v>0</v>
      </c>
      <c r="AG11" s="127">
        <f>Jul!HJ12-AE11</f>
        <v>134500</v>
      </c>
      <c r="AH11" s="127">
        <f>Jul!DW12</f>
        <v>4500</v>
      </c>
      <c r="AI11" s="127">
        <f>Jul!DZ12</f>
        <v>8566.41</v>
      </c>
      <c r="AJ11" s="127">
        <f>Jul!EC12</f>
        <v>26726.41</v>
      </c>
      <c r="AK11" s="127">
        <f t="shared" si="5"/>
        <v>39792.82</v>
      </c>
      <c r="AL11" s="127">
        <f>Jul!EG12</f>
        <v>31726.41</v>
      </c>
      <c r="AM11" s="127">
        <f>Jul!EJ12</f>
        <v>12566.41</v>
      </c>
      <c r="AN11" s="127">
        <f>Jul!EM12</f>
        <v>710.00000000003638</v>
      </c>
      <c r="AO11" s="127">
        <f t="shared" si="6"/>
        <v>45002.820000000036</v>
      </c>
      <c r="AP11" s="127">
        <f>Jul!FX12</f>
        <v>500</v>
      </c>
      <c r="AQ11" s="127">
        <f>Jul!GA12</f>
        <v>199.9999999998181</v>
      </c>
      <c r="AR11" s="127">
        <f>Jul!GG12</f>
        <v>200.00000000004547</v>
      </c>
      <c r="AS11" s="127">
        <f t="shared" si="7"/>
        <v>899.99999999986358</v>
      </c>
      <c r="AT11" s="127">
        <f>Jul!EQ12</f>
        <v>6681.4100000000089</v>
      </c>
      <c r="AU11" s="127">
        <f>Jul!ET12</f>
        <v>15000</v>
      </c>
      <c r="AV11" s="127">
        <f>Jul!EW12</f>
        <v>9266.4100000002727</v>
      </c>
      <c r="AW11" s="127">
        <f>Jul!FL49</f>
        <v>12918.91</v>
      </c>
      <c r="AX11" s="127">
        <f>Jul!GJ12</f>
        <v>1000</v>
      </c>
      <c r="AY11" s="127">
        <f t="shared" si="8"/>
        <v>44866.730000000287</v>
      </c>
      <c r="AZ11" s="127">
        <f>Jul!FG12</f>
        <v>9156.4099999999908</v>
      </c>
      <c r="BA11" s="127">
        <f>Jul!FJ12</f>
        <v>18271.41</v>
      </c>
      <c r="BB11" s="127">
        <f>Jul!FM49</f>
        <v>12918.91</v>
      </c>
      <c r="BC11" s="127">
        <f>Jul!GM12</f>
        <v>1799.9999999999545</v>
      </c>
      <c r="BD11" s="127">
        <f t="shared" si="9"/>
        <v>42146.729999999952</v>
      </c>
      <c r="BE11" s="127">
        <f>Jul!GP12</f>
        <v>10</v>
      </c>
      <c r="BF11" s="127">
        <f>Jul!GS12</f>
        <v>0</v>
      </c>
      <c r="BG11" s="127">
        <f t="shared" si="10"/>
        <v>10</v>
      </c>
      <c r="BH11" s="127">
        <f>Y11+BG11+AS11</f>
        <v>31765.999999999862</v>
      </c>
      <c r="BI11" s="127"/>
      <c r="BJ11" s="127"/>
      <c r="BK11" s="127"/>
      <c r="BL11" s="128"/>
      <c r="BM11" s="128"/>
      <c r="BN11" s="128"/>
      <c r="BO11" s="128"/>
      <c r="BP11" s="128"/>
      <c r="BQ11" s="128"/>
      <c r="BR11" s="128"/>
      <c r="BS11" s="128"/>
      <c r="BT11" s="42">
        <f>Jul!D50</f>
        <v>0</v>
      </c>
      <c r="BU11" s="42">
        <f>Jul!G51</f>
        <v>90000</v>
      </c>
      <c r="BV11" t="s">
        <v>380</v>
      </c>
      <c r="BX11" s="42">
        <f>Jul!HJ12</f>
        <v>151000</v>
      </c>
      <c r="BY11" s="42">
        <f>Jul!HM12</f>
        <v>0</v>
      </c>
      <c r="BZ11" s="42">
        <f>Jul!HP12</f>
        <v>36755.000000000182</v>
      </c>
      <c r="CA11" s="42">
        <f>Jul!HS12</f>
        <v>16455</v>
      </c>
      <c r="CB11" s="42">
        <f>Jul!HV12</f>
        <v>28455</v>
      </c>
      <c r="CC11" s="42">
        <f>Jul!HY12</f>
        <v>25254.999999999956</v>
      </c>
      <c r="CD11" s="42">
        <f>Jul!IB12</f>
        <v>27580</v>
      </c>
      <c r="CE11" s="42">
        <f>Jul!IE12</f>
        <v>0</v>
      </c>
      <c r="CF11" s="42">
        <f>Jul!IH12</f>
        <v>16500</v>
      </c>
    </row>
    <row r="12" spans="1:84" x14ac:dyDescent="0.25">
      <c r="A12" s="26">
        <f t="shared" si="12"/>
        <v>6</v>
      </c>
      <c r="B12" s="42">
        <f>Jul!G13</f>
        <v>359040.00000001909</v>
      </c>
      <c r="C12" s="42">
        <f>Jul!N13</f>
        <v>358000</v>
      </c>
      <c r="D12" s="42">
        <f>Jul!T13</f>
        <v>232.21000000089407</v>
      </c>
      <c r="E12" s="42">
        <f>Jul!V13</f>
        <v>0</v>
      </c>
      <c r="F12" s="42">
        <f>Jul!AB13</f>
        <v>100</v>
      </c>
      <c r="G12" s="42">
        <f>Jul!X13</f>
        <v>17467.790000000197</v>
      </c>
      <c r="H12" s="42">
        <f>Jul!AE13</f>
        <v>5300.0000000001819</v>
      </c>
      <c r="I12" s="42">
        <f>Jul!AI13</f>
        <v>11825.33</v>
      </c>
      <c r="J12" s="42">
        <f>Jul!AN13</f>
        <v>6325.3300000001091</v>
      </c>
      <c r="K12" s="42">
        <f>Jul!AR13</f>
        <v>12899.999999999636</v>
      </c>
      <c r="L12" s="42">
        <f>Jul!AZ13</f>
        <v>490</v>
      </c>
      <c r="M12" s="42">
        <f>Jul!BC13</f>
        <v>700</v>
      </c>
      <c r="N12" s="125">
        <f t="shared" si="3"/>
        <v>55340.660000001022</v>
      </c>
      <c r="O12" s="125">
        <f>Jul!CA13</f>
        <v>551.60000000000764</v>
      </c>
      <c r="P12" s="125">
        <f>Jul!CD13</f>
        <v>3810.5999999999767</v>
      </c>
      <c r="Q12" s="125">
        <f>Jul!CF13</f>
        <v>7958</v>
      </c>
      <c r="R12" s="125">
        <f>Jul!CH13</f>
        <v>0</v>
      </c>
      <c r="S12" s="125">
        <f>Jul!CK13</f>
        <v>15853.729999999921</v>
      </c>
      <c r="T12" s="125">
        <f>Jul!CO13</f>
        <v>5720.3299999999817</v>
      </c>
      <c r="U12" s="125">
        <f>Jul!CS13</f>
        <v>5936.83</v>
      </c>
      <c r="V12" s="126">
        <f t="shared" si="4"/>
        <v>39831.089999999887</v>
      </c>
      <c r="W12" s="126">
        <f>Jul!CW13</f>
        <v>17313</v>
      </c>
      <c r="X12" s="126">
        <f>Jul!DA13</f>
        <v>10567</v>
      </c>
      <c r="Y12" s="126">
        <f t="shared" si="1"/>
        <v>27880</v>
      </c>
      <c r="Z12" s="42">
        <f>Jul!BR13</f>
        <v>199.99999999993179</v>
      </c>
      <c r="AA12" s="126">
        <f>Jul!BG13</f>
        <v>2200.0000000000455</v>
      </c>
      <c r="AB12" s="126">
        <f>Jul!BJ13</f>
        <v>9000</v>
      </c>
      <c r="AC12" s="126">
        <f>Jul!BL13+Jul!BN13</f>
        <v>4799.9999999999591</v>
      </c>
      <c r="AD12" s="126">
        <f>Jul!DR13</f>
        <v>8000</v>
      </c>
      <c r="AE12" s="127">
        <f>Jul!DT13-Jul!DR53-Jul!DT53</f>
        <v>15900</v>
      </c>
      <c r="AF12" s="127">
        <f>Jul!DR53+Jul!DT53</f>
        <v>0</v>
      </c>
      <c r="AG12" s="127">
        <f>Jul!HJ13-AE12</f>
        <v>123100</v>
      </c>
      <c r="AH12" s="127">
        <f>Jul!DW13</f>
        <v>4599.9999999994543</v>
      </c>
      <c r="AI12" s="127">
        <f>Jul!DZ13</f>
        <v>7825.33</v>
      </c>
      <c r="AJ12" s="127">
        <f>Jul!EC13</f>
        <v>24985.33</v>
      </c>
      <c r="AK12" s="127">
        <f t="shared" si="5"/>
        <v>37410.659999999458</v>
      </c>
      <c r="AL12" s="127">
        <f>Jul!EG13</f>
        <v>30985.33</v>
      </c>
      <c r="AM12" s="127">
        <f>Jul!EJ13</f>
        <v>10825.33</v>
      </c>
      <c r="AN12" s="127">
        <f>Jul!EM13</f>
        <v>649.99999999997726</v>
      </c>
      <c r="AO12" s="127">
        <f t="shared" si="6"/>
        <v>42460.659999999982</v>
      </c>
      <c r="AP12" s="127">
        <f>Jul!FX13</f>
        <v>400</v>
      </c>
      <c r="AQ12" s="127">
        <f>Jul!GA13</f>
        <v>89.999999999909051</v>
      </c>
      <c r="AR12" s="127">
        <f>Jul!GG13</f>
        <v>799.99999999972715</v>
      </c>
      <c r="AS12" s="127">
        <f t="shared" si="7"/>
        <v>1289.9999999996362</v>
      </c>
      <c r="AT12" s="127">
        <f>Jul!EQ13</f>
        <v>5970.3300000000381</v>
      </c>
      <c r="AU12" s="127">
        <f>Jul!ET13</f>
        <v>13000</v>
      </c>
      <c r="AV12" s="127">
        <f>Jul!EW13</f>
        <v>9125.3299999997271</v>
      </c>
      <c r="AW12" s="127">
        <f>Jul!FL50</f>
        <v>11349.494999999999</v>
      </c>
      <c r="AX12" s="127">
        <f>Jul!GJ13</f>
        <v>1600.0000000001364</v>
      </c>
      <c r="AY12" s="127">
        <f t="shared" si="8"/>
        <v>41045.154999999904</v>
      </c>
      <c r="AZ12" s="127">
        <f>Jul!FG13</f>
        <v>8728.6599999999617</v>
      </c>
      <c r="BA12" s="127">
        <f>Jul!FJ13</f>
        <v>16873.660000000003</v>
      </c>
      <c r="BB12" s="127">
        <f>Jul!FM50</f>
        <v>11349.494999999999</v>
      </c>
      <c r="BC12" s="127">
        <f>Jul!GM13</f>
        <v>1600.0000000001364</v>
      </c>
      <c r="BD12" s="127">
        <f t="shared" si="9"/>
        <v>38551.815000000097</v>
      </c>
      <c r="BE12" s="127">
        <f>Jul!GP13</f>
        <v>20</v>
      </c>
      <c r="BF12" s="127">
        <f>Jul!GS13</f>
        <v>10</v>
      </c>
      <c r="BG12" s="127">
        <f t="shared" si="10"/>
        <v>30</v>
      </c>
      <c r="BH12" s="127">
        <f>Y12+BG12+AS12</f>
        <v>29199.999999999636</v>
      </c>
      <c r="BI12" s="127"/>
      <c r="BJ12" s="127"/>
      <c r="BK12" s="127"/>
      <c r="BL12" s="128"/>
      <c r="BM12" s="128"/>
      <c r="BN12" s="128"/>
      <c r="BO12" s="128"/>
      <c r="BP12" s="128"/>
      <c r="BQ12" s="128"/>
      <c r="BR12" s="128"/>
      <c r="BS12" s="128"/>
      <c r="BT12" s="42">
        <f>Jul!D51</f>
        <v>0</v>
      </c>
      <c r="BU12" s="42">
        <f>Jul!G52</f>
        <v>88000</v>
      </c>
      <c r="BV12" t="s">
        <v>380</v>
      </c>
      <c r="BX12" s="42">
        <f>Jul!HJ13</f>
        <v>139000</v>
      </c>
      <c r="BY12" s="42">
        <f>Jul!HM13</f>
        <v>0</v>
      </c>
      <c r="BZ12" s="42">
        <f>Jul!HP13</f>
        <v>35794.999999999454</v>
      </c>
      <c r="CA12" s="42">
        <f>Jul!HS13</f>
        <v>22095.000000000091</v>
      </c>
      <c r="CB12" s="42">
        <f>Jul!HV13</f>
        <v>28394.999999999818</v>
      </c>
      <c r="CC12" s="42">
        <f>Jul!HY13</f>
        <v>25395.000000000044</v>
      </c>
      <c r="CD12" s="42">
        <f>Jul!IB13</f>
        <v>11420</v>
      </c>
      <c r="CE12" s="42">
        <f>Jul!IE13</f>
        <v>0</v>
      </c>
      <c r="CF12" s="42">
        <f>Jul!IH13</f>
        <v>15900</v>
      </c>
    </row>
    <row r="13" spans="1:84" x14ac:dyDescent="0.25">
      <c r="A13" s="26">
        <f t="shared" si="12"/>
        <v>7</v>
      </c>
      <c r="B13" s="42">
        <f>Jul!G14</f>
        <v>328319.99999999971</v>
      </c>
      <c r="C13" s="42">
        <f>Jul!N14</f>
        <v>314000</v>
      </c>
      <c r="D13" s="42">
        <f>Jul!T14</f>
        <v>301.67999999970198</v>
      </c>
      <c r="E13" s="42">
        <f>Jul!V14</f>
        <v>0</v>
      </c>
      <c r="F13" s="42">
        <f>Jul!AB14</f>
        <v>100</v>
      </c>
      <c r="G13" s="42">
        <f>Jul!X14</f>
        <v>16198.320000000662</v>
      </c>
      <c r="H13" s="42">
        <f>Jul!AE14</f>
        <v>4000</v>
      </c>
      <c r="I13" s="42">
        <f>Jul!AI14</f>
        <v>9020.3100000003633</v>
      </c>
      <c r="J13" s="42">
        <f>Jul!AN14</f>
        <v>6540.3100000002041</v>
      </c>
      <c r="K13" s="42">
        <f>Jul!AR14</f>
        <v>10500</v>
      </c>
      <c r="L13" s="42">
        <f>Jul!AZ14</f>
        <v>440</v>
      </c>
      <c r="M13" s="42">
        <f>Jul!BC14</f>
        <v>640</v>
      </c>
      <c r="N13" s="125">
        <f t="shared" si="3"/>
        <v>47740.620000000927</v>
      </c>
      <c r="O13" s="125">
        <f>Jul!CA14</f>
        <v>493.20000000000164</v>
      </c>
      <c r="P13" s="125">
        <f>Jul!CD14</f>
        <v>1783.3000000000466</v>
      </c>
      <c r="Q13" s="125">
        <f>Jul!CF14</f>
        <v>6984</v>
      </c>
      <c r="R13" s="125">
        <f>Jul!CH14</f>
        <v>0</v>
      </c>
      <c r="S13" s="125">
        <f>Jul!CK14</f>
        <v>14877.110000000725</v>
      </c>
      <c r="T13" s="125">
        <f>Jul!CO14</f>
        <v>5767.3100000002078</v>
      </c>
      <c r="U13" s="125">
        <f>Jul!CS14</f>
        <v>5806.4099999999771</v>
      </c>
      <c r="V13" s="126">
        <f t="shared" si="4"/>
        <v>35711.330000000955</v>
      </c>
      <c r="W13" s="126">
        <f>Jul!CW14</f>
        <v>14835</v>
      </c>
      <c r="X13" s="126">
        <f>Jul!DA14</f>
        <v>7535</v>
      </c>
      <c r="Y13" s="126">
        <f t="shared" si="1"/>
        <v>22370</v>
      </c>
      <c r="Z13" s="42">
        <f>Jul!BR14</f>
        <v>800.00000000006821</v>
      </c>
      <c r="AA13" s="126">
        <f>Jul!BG14</f>
        <v>2000</v>
      </c>
      <c r="AB13" s="126">
        <f>Jul!BJ14</f>
        <v>10100.000000000364</v>
      </c>
      <c r="AC13" s="126">
        <f>Jul!BL14+Jul!BN14</f>
        <v>4680.0000000000909</v>
      </c>
      <c r="AD13" s="126">
        <f>Jul!DR14</f>
        <v>11000</v>
      </c>
      <c r="AE13" s="127">
        <f>Jul!DT14-Jul!DR54-Jul!DT54</f>
        <v>20400</v>
      </c>
      <c r="AF13" s="127">
        <f>Jul!DR54+Jul!DT54</f>
        <v>0</v>
      </c>
      <c r="AG13" s="127">
        <f>Jul!HJ14-AE13</f>
        <v>121600</v>
      </c>
      <c r="AH13" s="127">
        <f>Jul!DW14</f>
        <v>4100.0000000003638</v>
      </c>
      <c r="AI13" s="127">
        <f>Jul!DZ14</f>
        <v>8420.31</v>
      </c>
      <c r="AJ13" s="127">
        <f>Jul!EC14</f>
        <v>25580.31</v>
      </c>
      <c r="AK13" s="127">
        <f t="shared" si="5"/>
        <v>38100.620000000366</v>
      </c>
      <c r="AL13" s="127">
        <f>Jul!EG14</f>
        <v>31580.31</v>
      </c>
      <c r="AM13" s="127">
        <f>Jul!EJ14</f>
        <v>11420.31</v>
      </c>
      <c r="AN13" s="127">
        <f>Jul!EM14</f>
        <v>429.99999999994998</v>
      </c>
      <c r="AO13" s="127">
        <f t="shared" si="6"/>
        <v>43430.619999999952</v>
      </c>
      <c r="AP13" s="127">
        <f>Jul!FX14</f>
        <v>400</v>
      </c>
      <c r="AQ13" s="127">
        <f>Jul!GA14</f>
        <v>210.0000000001819</v>
      </c>
      <c r="AR13" s="127">
        <f>Jul!GG14</f>
        <v>1800.0000000001819</v>
      </c>
      <c r="AS13" s="127">
        <f t="shared" si="7"/>
        <v>2410.0000000003638</v>
      </c>
      <c r="AT13" s="127">
        <f>Jul!EQ14</f>
        <v>3535.3099999999527</v>
      </c>
      <c r="AU13" s="127">
        <f>Jul!ET14</f>
        <v>2000</v>
      </c>
      <c r="AV13" s="127">
        <f>Jul!EW14</f>
        <v>2820.3100000000909</v>
      </c>
      <c r="AW13" s="127">
        <f>Jul!FL51</f>
        <v>9322.8099999999977</v>
      </c>
      <c r="AX13" s="127">
        <f>Jul!GJ14</f>
        <v>500</v>
      </c>
      <c r="AY13" s="127">
        <f t="shared" si="8"/>
        <v>18178.43000000004</v>
      </c>
      <c r="AZ13" s="127">
        <f>Jul!FG14</f>
        <v>10110.310000000047</v>
      </c>
      <c r="BA13" s="127">
        <f>Jul!FJ14</f>
        <v>17925.310000000729</v>
      </c>
      <c r="BB13" s="127">
        <f>Jul!FM51</f>
        <v>9322.8099999999977</v>
      </c>
      <c r="BC13" s="127">
        <f>Jul!GM14</f>
        <v>1699.9999999998181</v>
      </c>
      <c r="BD13" s="127">
        <f t="shared" si="9"/>
        <v>39058.43000000059</v>
      </c>
      <c r="BE13" s="127">
        <f>Jul!GP14</f>
        <v>650</v>
      </c>
      <c r="BF13" s="127">
        <f>Jul!GS14</f>
        <v>90</v>
      </c>
      <c r="BG13" s="127">
        <f t="shared" si="10"/>
        <v>740</v>
      </c>
      <c r="BH13" s="127">
        <f>Y13+BG13+AS13</f>
        <v>25520.000000000364</v>
      </c>
      <c r="BI13" s="127"/>
      <c r="BJ13" s="127"/>
      <c r="BK13" s="127"/>
      <c r="BL13" s="128"/>
      <c r="BM13" s="128"/>
      <c r="BN13" s="128"/>
      <c r="BO13" s="128"/>
      <c r="BP13" s="128"/>
      <c r="BQ13" s="128"/>
      <c r="BR13" s="128"/>
      <c r="BS13" s="128"/>
      <c r="BT13" s="42">
        <f>Jul!D52</f>
        <v>0</v>
      </c>
      <c r="BU13" s="42">
        <f>Jul!G53</f>
        <v>90000</v>
      </c>
      <c r="BV13" t="s">
        <v>380</v>
      </c>
      <c r="BX13" s="42">
        <f>Jul!HJ14</f>
        <v>142000</v>
      </c>
      <c r="BY13" s="42">
        <f>Jul!HM14</f>
        <v>0</v>
      </c>
      <c r="BZ13" s="42">
        <f>Jul!HP14</f>
        <v>33607.500000000182</v>
      </c>
      <c r="CA13" s="42">
        <f>Jul!HS14</f>
        <v>23107.500000000182</v>
      </c>
      <c r="CB13" s="42">
        <f>Jul!HV14</f>
        <v>27707.500000000091</v>
      </c>
      <c r="CC13" s="42">
        <f>Jul!HY14</f>
        <v>24907.499999999909</v>
      </c>
      <c r="CD13" s="42">
        <f>Jul!IB14</f>
        <v>12270</v>
      </c>
      <c r="CE13" s="42">
        <f>Jul!IE14</f>
        <v>0</v>
      </c>
      <c r="CF13" s="42">
        <f>Jul!IH14</f>
        <v>20400</v>
      </c>
    </row>
    <row r="14" spans="1:84" x14ac:dyDescent="0.25">
      <c r="A14" s="26">
        <f t="shared" si="12"/>
        <v>8</v>
      </c>
      <c r="B14" s="42">
        <f>Jul!G15</f>
        <v>318079.99999999814</v>
      </c>
      <c r="C14" s="42">
        <f>Jul!N15</f>
        <v>328000</v>
      </c>
      <c r="D14" s="42">
        <f>Jul!T15</f>
        <v>262.39000000059605</v>
      </c>
      <c r="E14" s="42">
        <f>Jul!V15</f>
        <v>0</v>
      </c>
      <c r="F14" s="42">
        <f>Jul!AB15</f>
        <v>0</v>
      </c>
      <c r="G14" s="42">
        <f>Jul!X15</f>
        <v>15237.609999999404</v>
      </c>
      <c r="H14" s="42">
        <f>Jul!AE15</f>
        <v>3600.0000000003638</v>
      </c>
      <c r="I14" s="42">
        <f>Jul!AI15</f>
        <v>7479.3100000003642</v>
      </c>
      <c r="J14" s="42">
        <f>Jul!AN15</f>
        <v>5459.3099999997721</v>
      </c>
      <c r="K14" s="42">
        <f>Jul!AR15</f>
        <v>9100.0000000003638</v>
      </c>
      <c r="L14" s="42">
        <f>Jul!AZ15</f>
        <v>350</v>
      </c>
      <c r="M14" s="42">
        <f>Jul!BC15</f>
        <v>420</v>
      </c>
      <c r="N14" s="125">
        <f t="shared" si="3"/>
        <v>41908.620000000868</v>
      </c>
      <c r="O14" s="125">
        <f>Jul!CA15</f>
        <v>113.79999999996926</v>
      </c>
      <c r="P14" s="125">
        <f>Jul!CD15</f>
        <v>265.29999999993015</v>
      </c>
      <c r="Q14" s="125">
        <f>Jul!CF15</f>
        <v>659</v>
      </c>
      <c r="R14" s="125">
        <f>Jul!CH15</f>
        <v>0</v>
      </c>
      <c r="S14" s="125">
        <f>Jul!CK15</f>
        <v>4795.509999998867</v>
      </c>
      <c r="T14" s="125">
        <f>Jul!CO15</f>
        <v>644.30999999987262</v>
      </c>
      <c r="U14" s="125">
        <f>Jul!CS15</f>
        <v>1069.31</v>
      </c>
      <c r="V14" s="126">
        <f t="shared" si="4"/>
        <v>7547.229999998639</v>
      </c>
      <c r="W14" s="126">
        <f>Jul!CW15</f>
        <v>710</v>
      </c>
      <c r="X14" s="126">
        <f>Jul!DA15</f>
        <v>256</v>
      </c>
      <c r="Y14" s="126">
        <f t="shared" si="1"/>
        <v>966</v>
      </c>
      <c r="Z14" s="42">
        <f>Jul!BR15</f>
        <v>699.99999999993179</v>
      </c>
      <c r="AA14" s="126">
        <f>Jul!BG15</f>
        <v>1799.9999999999545</v>
      </c>
      <c r="AB14" s="126">
        <f>Jul!BJ15</f>
        <v>10200.000000000728</v>
      </c>
      <c r="AC14" s="126">
        <f>Jul!BL15+Jul!BN15</f>
        <v>4619.9999999999318</v>
      </c>
      <c r="AD14" s="126">
        <f>Jul!DR15</f>
        <v>11000</v>
      </c>
      <c r="AE14" s="127">
        <f>Jul!DT15-Jul!DR55-Jul!DT55</f>
        <v>18800</v>
      </c>
      <c r="AF14" s="127">
        <f>Jul!DR55+Jul!DT55</f>
        <v>0</v>
      </c>
      <c r="AG14" s="127">
        <f>Jul!HJ15-AE14</f>
        <v>128200</v>
      </c>
      <c r="AH14" s="127">
        <f>Jul!DW15</f>
        <v>3800.0000000001819</v>
      </c>
      <c r="AI14" s="127">
        <f>Jul!DZ15</f>
        <v>7879.31</v>
      </c>
      <c r="AJ14" s="127">
        <f>Jul!EC15</f>
        <v>25039.31</v>
      </c>
      <c r="AK14" s="127">
        <f t="shared" si="5"/>
        <v>36718.620000000185</v>
      </c>
      <c r="AL14" s="127">
        <f>Jul!EG15</f>
        <v>30039.31</v>
      </c>
      <c r="AM14" s="127">
        <f>Jul!EJ15</f>
        <v>11879.31</v>
      </c>
      <c r="AN14" s="127">
        <f>Jul!EM15</f>
        <v>560.00000000005912</v>
      </c>
      <c r="AO14" s="127">
        <f t="shared" si="6"/>
        <v>42478.620000000061</v>
      </c>
      <c r="AP14" s="127">
        <f>Jul!FX15</f>
        <v>12100</v>
      </c>
      <c r="AQ14" s="127">
        <f>Jul!GA15</f>
        <v>2939.9999999997272</v>
      </c>
      <c r="AR14" s="127">
        <f>Jul!GG15</f>
        <v>5800.0000000001819</v>
      </c>
      <c r="AS14" s="127">
        <f t="shared" si="7"/>
        <v>20839.999999999909</v>
      </c>
      <c r="AT14" s="127">
        <f>Jul!EQ15</f>
        <v>6014.3100000000486</v>
      </c>
      <c r="AU14" s="127">
        <f>Jul!ET15</f>
        <v>12000</v>
      </c>
      <c r="AV14" s="127">
        <f>Jul!EW15</f>
        <v>8479.3099999999085</v>
      </c>
      <c r="AW14" s="127">
        <f>Jul!FL52</f>
        <v>11485.145</v>
      </c>
      <c r="AX14" s="127">
        <f>Jul!GJ15</f>
        <v>1699.9999999998181</v>
      </c>
      <c r="AY14" s="127">
        <f t="shared" si="8"/>
        <v>39678.764999999774</v>
      </c>
      <c r="AZ14" s="127">
        <f>Jul!FG15</f>
        <v>8955.9799999999523</v>
      </c>
      <c r="BA14" s="127">
        <f>Jul!FJ15</f>
        <v>18590.98</v>
      </c>
      <c r="BB14" s="127">
        <f>Jul!FM52</f>
        <v>11485.145</v>
      </c>
      <c r="BC14" s="127">
        <f>Jul!GM15</f>
        <v>1500</v>
      </c>
      <c r="BD14" s="127">
        <f t="shared" si="9"/>
        <v>40532.104999999952</v>
      </c>
      <c r="BE14" s="127">
        <f>Jul!GP15</f>
        <v>730</v>
      </c>
      <c r="BF14" s="127">
        <f>Jul!GS15</f>
        <v>360</v>
      </c>
      <c r="BG14" s="127">
        <f t="shared" si="10"/>
        <v>1090</v>
      </c>
      <c r="BH14" s="127"/>
      <c r="BI14" s="127"/>
      <c r="BJ14" s="127"/>
      <c r="BK14" s="127"/>
      <c r="BL14" s="128">
        <f t="shared" ref="BL14:BL26" si="13">AS14+Y14</f>
        <v>21805.999999999909</v>
      </c>
      <c r="BM14" s="128"/>
      <c r="BN14" s="128"/>
      <c r="BO14" s="128"/>
      <c r="BP14" s="128"/>
      <c r="BQ14" s="128">
        <f t="shared" ref="BQ14:BQ20" si="14">BG14</f>
        <v>1090</v>
      </c>
      <c r="BR14" s="128"/>
      <c r="BS14" s="128"/>
      <c r="BT14" s="42">
        <f>Jul!D53</f>
        <v>0</v>
      </c>
      <c r="BU14" s="42">
        <f>Jul!G54</f>
        <v>89000</v>
      </c>
      <c r="BV14" t="s">
        <v>381</v>
      </c>
      <c r="BX14" s="42">
        <f>Jul!HJ15</f>
        <v>147000</v>
      </c>
      <c r="BY14" s="42">
        <f>Jul!HM15</f>
        <v>0</v>
      </c>
      <c r="BZ14" s="42">
        <f>Jul!HP15</f>
        <v>35610</v>
      </c>
      <c r="CA14" s="42">
        <f>Jul!HS15</f>
        <v>22709.999999999909</v>
      </c>
      <c r="CB14" s="42">
        <f>Jul!HV15</f>
        <v>27410.000000000182</v>
      </c>
      <c r="CC14" s="42">
        <f>Jul!HY15</f>
        <v>24409.999999999956</v>
      </c>
      <c r="CD14" s="42">
        <f>Jul!IB15</f>
        <v>18060</v>
      </c>
      <c r="CE14" s="42">
        <f>Jul!IE15</f>
        <v>0</v>
      </c>
      <c r="CF14" s="42">
        <f>Jul!IH15</f>
        <v>18800</v>
      </c>
    </row>
    <row r="15" spans="1:84" x14ac:dyDescent="0.25">
      <c r="A15" s="26">
        <f t="shared" si="12"/>
        <v>9</v>
      </c>
      <c r="B15" s="42">
        <f>Jul!G16</f>
        <v>277119.99999999895</v>
      </c>
      <c r="C15" s="42">
        <f>Jul!N16</f>
        <v>278000</v>
      </c>
      <c r="D15" s="42">
        <f>Jul!T16</f>
        <v>337.69999999925494</v>
      </c>
      <c r="E15" s="42">
        <f>Jul!V16</f>
        <v>0</v>
      </c>
      <c r="F15" s="42">
        <f>Jul!AB16</f>
        <v>120</v>
      </c>
      <c r="G15" s="42">
        <f>Jul!X16</f>
        <v>17842.300000000017</v>
      </c>
      <c r="H15" s="42">
        <f>Jul!AE16</f>
        <v>4899.9999999996362</v>
      </c>
      <c r="I15" s="42">
        <f>Jul!AI16</f>
        <v>9021.7299999989082</v>
      </c>
      <c r="J15" s="42">
        <f>Jul!AN16</f>
        <v>7151.7300000002451</v>
      </c>
      <c r="K15" s="42">
        <f>Jul!AR16</f>
        <v>12200.000000000728</v>
      </c>
      <c r="L15" s="42">
        <f>Jul!AZ16</f>
        <v>512.9199999999837</v>
      </c>
      <c r="M15" s="42">
        <f>Jul!BC16</f>
        <v>692.27999999999884</v>
      </c>
      <c r="N15" s="125">
        <f t="shared" si="3"/>
        <v>52778.659999998774</v>
      </c>
      <c r="O15" s="125">
        <f>Jul!CA16</f>
        <v>443.70000000003529</v>
      </c>
      <c r="P15" s="125">
        <f>Jul!CD16</f>
        <v>3.4000000000232831</v>
      </c>
      <c r="Q15" s="125">
        <f>Jul!CF16</f>
        <v>3827</v>
      </c>
      <c r="R15" s="125">
        <f>Jul!CH16</f>
        <v>0.39999999999417923</v>
      </c>
      <c r="S15" s="125">
        <f>Jul!CK16</f>
        <v>11738.030000000546</v>
      </c>
      <c r="T15" s="125">
        <f>Jul!CO16</f>
        <v>3106.7299999998545</v>
      </c>
      <c r="U15" s="125">
        <f>Jul!CS16</f>
        <v>4886.7299999999996</v>
      </c>
      <c r="V15" s="126">
        <f t="shared" si="4"/>
        <v>24005.990000000453</v>
      </c>
      <c r="W15" s="126">
        <f>Jul!CW16</f>
        <v>880</v>
      </c>
      <c r="X15" s="126">
        <f>Jul!DA16</f>
        <v>678</v>
      </c>
      <c r="Y15" s="126">
        <f t="shared" si="1"/>
        <v>1558</v>
      </c>
      <c r="Z15" s="42">
        <f>Jul!BR16</f>
        <v>690.00000000005457</v>
      </c>
      <c r="AA15" s="126">
        <f>Jul!BG16</f>
        <v>1900.0000000000909</v>
      </c>
      <c r="AB15" s="126">
        <f>Jul!BJ16</f>
        <v>8000</v>
      </c>
      <c r="AC15" s="126">
        <f>Jul!BL16+Jul!BN16</f>
        <v>4580.0000000000637</v>
      </c>
      <c r="AD15" s="126">
        <f>Jul!DR16</f>
        <v>11600</v>
      </c>
      <c r="AE15" s="127">
        <f>Jul!DT16-Jul!DR56-Jul!DT56</f>
        <v>15900</v>
      </c>
      <c r="AF15" s="127">
        <f>Jul!DR56+Jul!DT56</f>
        <v>0</v>
      </c>
      <c r="AG15" s="127">
        <f>Jul!HJ16-AE15</f>
        <v>54100</v>
      </c>
      <c r="AH15" s="127">
        <f>Jul!DW16</f>
        <v>4000</v>
      </c>
      <c r="AI15" s="127">
        <f>Jul!DZ16</f>
        <v>7821.73</v>
      </c>
      <c r="AJ15" s="127">
        <f>Jul!EC16</f>
        <v>24981.73</v>
      </c>
      <c r="AK15" s="127">
        <f t="shared" si="5"/>
        <v>36803.46</v>
      </c>
      <c r="AL15" s="127">
        <f>Jul!EG16</f>
        <v>29981.73</v>
      </c>
      <c r="AM15" s="127">
        <f>Jul!EJ16</f>
        <v>13821.73</v>
      </c>
      <c r="AN15" s="127">
        <f>Jul!EM16</f>
        <v>600.00000000002274</v>
      </c>
      <c r="AO15" s="127">
        <f t="shared" si="6"/>
        <v>44403.460000000021</v>
      </c>
      <c r="AP15" s="127">
        <f>Jul!FX16</f>
        <v>12000</v>
      </c>
      <c r="AQ15" s="127">
        <f>Jul!GA16</f>
        <v>3260.0000000000909</v>
      </c>
      <c r="AR15" s="127">
        <f>Jul!GG16</f>
        <v>6799.9999999999545</v>
      </c>
      <c r="AS15" s="127">
        <f t="shared" si="7"/>
        <v>22060.000000000044</v>
      </c>
      <c r="AT15" s="127">
        <f>Jul!EQ16</f>
        <v>5961.7299999999859</v>
      </c>
      <c r="AU15" s="127">
        <f>Jul!ET16</f>
        <v>17000</v>
      </c>
      <c r="AV15" s="127">
        <f>Jul!EW16</f>
        <v>8521.7300000002724</v>
      </c>
      <c r="AW15" s="127">
        <f>Jul!FL53</f>
        <v>10811.73</v>
      </c>
      <c r="AX15" s="127">
        <f>Jul!GJ16</f>
        <v>1700.0000000000455</v>
      </c>
      <c r="AY15" s="127">
        <f t="shared" si="8"/>
        <v>43995.190000000301</v>
      </c>
      <c r="AZ15" s="127">
        <f>Jul!FG16</f>
        <v>8661.7300000000141</v>
      </c>
      <c r="BA15" s="127">
        <f>Jul!FJ16</f>
        <v>18001.729999998908</v>
      </c>
      <c r="BB15" s="127">
        <f>Jul!FM53</f>
        <v>10811.73</v>
      </c>
      <c r="BC15" s="127">
        <f>Jul!GM16</f>
        <v>1500</v>
      </c>
      <c r="BD15" s="127">
        <f t="shared" si="9"/>
        <v>38975.189999998925</v>
      </c>
      <c r="BE15" s="127">
        <f>Jul!GP16</f>
        <v>3130</v>
      </c>
      <c r="BF15" s="127">
        <f>Jul!GS16</f>
        <v>640</v>
      </c>
      <c r="BG15" s="127">
        <f t="shared" si="10"/>
        <v>3770</v>
      </c>
      <c r="BH15" s="127"/>
      <c r="BI15" s="127"/>
      <c r="BJ15" s="127"/>
      <c r="BK15" s="127"/>
      <c r="BL15" s="128">
        <f t="shared" si="13"/>
        <v>23618.000000000044</v>
      </c>
      <c r="BM15" s="128"/>
      <c r="BN15" s="128"/>
      <c r="BO15" s="128"/>
      <c r="BP15" s="128"/>
      <c r="BQ15" s="128">
        <f t="shared" si="14"/>
        <v>3770</v>
      </c>
      <c r="BR15" s="128"/>
      <c r="BS15" s="128"/>
      <c r="BT15" s="42">
        <f>Jul!D54</f>
        <v>0</v>
      </c>
      <c r="BU15" s="42">
        <f>Jul!G55</f>
        <v>88000</v>
      </c>
      <c r="BV15" t="s">
        <v>381</v>
      </c>
      <c r="BW15" s="151"/>
      <c r="BX15" s="42">
        <f>Jul!HJ16</f>
        <v>70000</v>
      </c>
      <c r="BY15" s="42">
        <f>Jul!HM16</f>
        <v>0</v>
      </c>
      <c r="BZ15" s="42">
        <f>Jul!HP16</f>
        <v>18175.000000000182</v>
      </c>
      <c r="CA15" s="42">
        <f>Jul!HS16</f>
        <v>8974.9999999999091</v>
      </c>
      <c r="CB15" s="42">
        <f>Jul!HV16</f>
        <v>17875</v>
      </c>
      <c r="CC15" s="42">
        <f>Jul!HY16</f>
        <v>4375</v>
      </c>
      <c r="CD15" s="42">
        <f>Jul!IB16</f>
        <v>4700</v>
      </c>
      <c r="CE15" s="42">
        <f>Jul!IE16</f>
        <v>0</v>
      </c>
      <c r="CF15" s="42">
        <f>Jul!IH16</f>
        <v>15900</v>
      </c>
    </row>
    <row r="16" spans="1:84" x14ac:dyDescent="0.25">
      <c r="A16" s="26">
        <f t="shared" si="12"/>
        <v>10</v>
      </c>
      <c r="B16" s="42">
        <f>Jul!G17</f>
        <v>294080.00000000175</v>
      </c>
      <c r="C16" s="42">
        <f>Jul!N17</f>
        <v>292000</v>
      </c>
      <c r="D16" s="42">
        <f>Jul!T17</f>
        <v>327.03999999910593</v>
      </c>
      <c r="E16" s="42">
        <f>Jul!V17</f>
        <v>0</v>
      </c>
      <c r="F16" s="42">
        <f>Jul!AB17</f>
        <v>80</v>
      </c>
      <c r="G16" s="42">
        <f>Jul!X17</f>
        <v>17892.960000000166</v>
      </c>
      <c r="H16" s="42">
        <f>Jul!AE17</f>
        <v>6800.0000000001819</v>
      </c>
      <c r="I16" s="42">
        <f>Jul!AI17</f>
        <v>12114.910000000364</v>
      </c>
      <c r="J16" s="42">
        <f>Jul!AN17</f>
        <v>6384.9099999996224</v>
      </c>
      <c r="K16" s="42">
        <f>Jul!AR17</f>
        <v>8500</v>
      </c>
      <c r="L16" s="42">
        <f>Jul!AZ17</f>
        <v>417.0800000000163</v>
      </c>
      <c r="M16" s="42">
        <f>Jul!BC17</f>
        <v>547.72000000000116</v>
      </c>
      <c r="N16" s="125">
        <f t="shared" si="3"/>
        <v>53064.619999999457</v>
      </c>
      <c r="O16" s="125">
        <f>Jul!CA17</f>
        <v>761.89999999996871</v>
      </c>
      <c r="P16" s="125">
        <f>Jul!CD17</f>
        <v>277.30000000004657</v>
      </c>
      <c r="Q16" s="125">
        <f>Jul!CF17</f>
        <v>4681</v>
      </c>
      <c r="R16" s="125">
        <f>Jul!CH17</f>
        <v>0</v>
      </c>
      <c r="S16" s="125">
        <f>Jul!CK17</f>
        <v>14493.009999999813</v>
      </c>
      <c r="T16" s="125">
        <f>Jul!CO17</f>
        <v>6159.9099999999817</v>
      </c>
      <c r="U16" s="125">
        <f>Jul!CS17</f>
        <v>6769.1100000000115</v>
      </c>
      <c r="V16" s="126">
        <f t="shared" si="4"/>
        <v>33142.229999999821</v>
      </c>
      <c r="W16" s="126">
        <f>Jul!CW17</f>
        <v>950</v>
      </c>
      <c r="X16" s="126">
        <f>Jul!DA17</f>
        <v>634</v>
      </c>
      <c r="Y16" s="126">
        <f t="shared" si="1"/>
        <v>1584</v>
      </c>
      <c r="Z16" s="42">
        <f>Jul!BR17</f>
        <v>710.00000000003638</v>
      </c>
      <c r="AA16" s="126">
        <f>Jul!BG17</f>
        <v>1599.9999999999091</v>
      </c>
      <c r="AB16" s="126">
        <f>Jul!BJ17</f>
        <v>9699.9999999989086</v>
      </c>
      <c r="AC16" s="126">
        <f>Jul!BL17+Jul!BN17+Jul!BP17</f>
        <v>4819.9999999999773</v>
      </c>
      <c r="AD16" s="126">
        <f>Jul!DR17</f>
        <v>11400</v>
      </c>
      <c r="AE16" s="127">
        <f>Jul!DT17-Jul!DR57-Jul!DT57</f>
        <v>15100</v>
      </c>
      <c r="AF16" s="127">
        <f>Jul!DR57+Jul!DT57</f>
        <v>0</v>
      </c>
      <c r="AG16" s="127">
        <f>Jul!HJ17-AE16</f>
        <v>52900</v>
      </c>
      <c r="AH16" s="127">
        <f>Jul!DW17</f>
        <v>4199.9999999989086</v>
      </c>
      <c r="AI16" s="127">
        <f>Jul!DZ17</f>
        <v>8014.91</v>
      </c>
      <c r="AJ16" s="127">
        <f>Jul!EC17</f>
        <v>24174.91</v>
      </c>
      <c r="AK16" s="127">
        <f t="shared" si="5"/>
        <v>36389.819999998908</v>
      </c>
      <c r="AL16" s="127">
        <f>Jul!EG17</f>
        <v>29174.91</v>
      </c>
      <c r="AM16" s="127">
        <f>Jul!EJ17</f>
        <v>12014.91</v>
      </c>
      <c r="AN16" s="127">
        <f>Jul!EM17</f>
        <v>559.99999999994543</v>
      </c>
      <c r="AO16" s="127">
        <f t="shared" si="6"/>
        <v>41749.819999999949</v>
      </c>
      <c r="AP16" s="127">
        <f>Jul!FX17</f>
        <v>17100</v>
      </c>
      <c r="AQ16" s="127">
        <f>Jul!GA17</f>
        <v>5100.0000000001819</v>
      </c>
      <c r="AR16" s="127">
        <f>Jul!GG17</f>
        <v>7899.9999999998636</v>
      </c>
      <c r="AS16" s="127">
        <f t="shared" si="7"/>
        <v>30100.000000000044</v>
      </c>
      <c r="AT16" s="127">
        <f>Jul!EQ17</f>
        <v>6124.9100000000135</v>
      </c>
      <c r="AU16" s="127">
        <f>Jul!ET17</f>
        <v>17000</v>
      </c>
      <c r="AV16" s="127">
        <f>Jul!EW17</f>
        <v>8914.9100000000908</v>
      </c>
      <c r="AW16" s="127">
        <f>Jul!FL54</f>
        <v>11333.244999999999</v>
      </c>
      <c r="AX16" s="127">
        <f>Jul!GJ17</f>
        <v>1700.0000000000455</v>
      </c>
      <c r="AY16" s="127">
        <f t="shared" si="8"/>
        <v>45073.065000000148</v>
      </c>
      <c r="AZ16" s="127">
        <f>Jul!FG17</f>
        <v>9541.5799999999872</v>
      </c>
      <c r="BA16" s="127">
        <f>Jul!FJ17</f>
        <v>18851.580000000726</v>
      </c>
      <c r="BB16" s="127">
        <f>Jul!FM54</f>
        <v>11333.244999999999</v>
      </c>
      <c r="BC16" s="127">
        <f>Jul!GM17</f>
        <v>1400.0000000000909</v>
      </c>
      <c r="BD16" s="127">
        <f t="shared" si="9"/>
        <v>41126.405000000799</v>
      </c>
      <c r="BE16" s="127">
        <f>Jul!GP17</f>
        <v>2920</v>
      </c>
      <c r="BF16" s="127">
        <f>Jul!GS17</f>
        <v>700</v>
      </c>
      <c r="BG16" s="127">
        <f t="shared" si="10"/>
        <v>3620</v>
      </c>
      <c r="BH16" s="127"/>
      <c r="BI16" s="127"/>
      <c r="BJ16" s="127"/>
      <c r="BK16" s="127"/>
      <c r="BL16" s="128">
        <f t="shared" si="13"/>
        <v>31684.000000000044</v>
      </c>
      <c r="BM16" s="128"/>
      <c r="BN16" s="128"/>
      <c r="BO16" s="128"/>
      <c r="BP16" s="128"/>
      <c r="BQ16" s="128">
        <f t="shared" si="14"/>
        <v>3620</v>
      </c>
      <c r="BR16" s="128"/>
      <c r="BS16" s="128"/>
      <c r="BT16" s="42">
        <f>Jul!D55</f>
        <v>0</v>
      </c>
      <c r="BU16" s="42">
        <f>Jul!G56</f>
        <v>88000</v>
      </c>
      <c r="BV16" t="s">
        <v>381</v>
      </c>
      <c r="BX16" s="42">
        <f>Jul!HJ17</f>
        <v>68000</v>
      </c>
      <c r="BY16" s="42">
        <f>Jul!HM17</f>
        <v>0</v>
      </c>
      <c r="BZ16" s="42">
        <f>Jul!HP17</f>
        <v>16525.000000000182</v>
      </c>
      <c r="CA16" s="42">
        <f>Jul!HS17</f>
        <v>10125.000000000091</v>
      </c>
      <c r="CB16" s="42">
        <f>Jul!HV17</f>
        <v>24324.999999999909</v>
      </c>
      <c r="CC16" s="42">
        <f>Jul!HY17</f>
        <v>725</v>
      </c>
      <c r="CD16" s="42">
        <f>Jul!IB17</f>
        <v>1200</v>
      </c>
      <c r="CE16" s="42">
        <f>Jul!IE17</f>
        <v>0</v>
      </c>
      <c r="CF16" s="42">
        <f>Jul!IH17</f>
        <v>15100</v>
      </c>
    </row>
    <row r="17" spans="1:84" x14ac:dyDescent="0.25">
      <c r="A17" s="26">
        <f t="shared" si="12"/>
        <v>11</v>
      </c>
      <c r="B17" s="42">
        <f>Jul!G18</f>
        <v>318079.99999999447</v>
      </c>
      <c r="C17" s="42">
        <f>Jul!N18</f>
        <v>315000</v>
      </c>
      <c r="D17" s="42">
        <f>Jul!T18</f>
        <v>352.6100000012666</v>
      </c>
      <c r="E17" s="42">
        <f>Jul!V18</f>
        <v>0</v>
      </c>
      <c r="F17" s="42">
        <f>Jul!AB18</f>
        <v>100</v>
      </c>
      <c r="G17" s="42">
        <f>Jul!X18</f>
        <v>18247.389999999461</v>
      </c>
      <c r="H17" s="42">
        <f>Jul!AE18</f>
        <v>8199.9999999998181</v>
      </c>
      <c r="I17" s="42">
        <f>Jul!AI18</f>
        <v>14925.050000000363</v>
      </c>
      <c r="J17" s="42">
        <f>Jul!AN18</f>
        <v>7435.0500000004222</v>
      </c>
      <c r="K17" s="42">
        <f>Jul!AR18</f>
        <v>7799.9999999992724</v>
      </c>
      <c r="L17" s="42">
        <f>Jul!AZ18</f>
        <v>410</v>
      </c>
      <c r="M17" s="42">
        <f>Jul!BC18</f>
        <v>580</v>
      </c>
      <c r="N17" s="125">
        <f t="shared" si="3"/>
        <v>58050.100000000602</v>
      </c>
      <c r="O17" s="125">
        <f>Jul!CA18</f>
        <v>828.80000000000109</v>
      </c>
      <c r="P17" s="125">
        <f>Jul!CD18</f>
        <v>2571.7999999999302</v>
      </c>
      <c r="Q17" s="125">
        <f>Jul!CF18</f>
        <v>6133</v>
      </c>
      <c r="R17" s="125">
        <f>Jul!CH18</f>
        <v>0</v>
      </c>
      <c r="S17" s="125">
        <f>Jul!CK18</f>
        <v>16886.249999999418</v>
      </c>
      <c r="T17" s="125">
        <f>Jul!CO18</f>
        <v>8754.0500000000866</v>
      </c>
      <c r="U17" s="125">
        <f>Jul!CS18</f>
        <v>8622.5499999999993</v>
      </c>
      <c r="V17" s="126">
        <f t="shared" si="4"/>
        <v>43796.449999999444</v>
      </c>
      <c r="W17" s="126">
        <f>Jul!CW18</f>
        <v>827</v>
      </c>
      <c r="X17" s="126">
        <f>Jul!DA18</f>
        <v>571</v>
      </c>
      <c r="Y17" s="126">
        <f t="shared" si="1"/>
        <v>1398</v>
      </c>
      <c r="Z17" s="42">
        <f>Jul!BR18</f>
        <v>500</v>
      </c>
      <c r="AA17" s="126">
        <f>Jul!BG18</f>
        <v>1700.0000000000455</v>
      </c>
      <c r="AB17" s="126">
        <f>Jul!BJ18</f>
        <v>9600.0000000003638</v>
      </c>
      <c r="AC17" s="126">
        <f>Jul!BL18+Jul!BN18+Jul!BP18</f>
        <v>4989.9999999999409</v>
      </c>
      <c r="AD17" s="126">
        <f>Jul!DR18</f>
        <v>11100</v>
      </c>
      <c r="AE17" s="127">
        <f>Jul!DT18-Jul!DR58-Jul!DT58</f>
        <v>13000</v>
      </c>
      <c r="AF17" s="127">
        <f>Jul!DR58+Jul!DT58</f>
        <v>0</v>
      </c>
      <c r="AG17" s="127">
        <f>Jul!HJ18-AE17</f>
        <v>54000</v>
      </c>
      <c r="AH17" s="127">
        <f>Jul!DW18</f>
        <v>3800.0000000010914</v>
      </c>
      <c r="AI17" s="127">
        <f>Jul!DZ18</f>
        <v>8325.0499999999993</v>
      </c>
      <c r="AJ17" s="127">
        <f>Jul!EC18</f>
        <v>25485.05</v>
      </c>
      <c r="AK17" s="127">
        <f t="shared" si="5"/>
        <v>37610.10000000109</v>
      </c>
      <c r="AL17" s="127">
        <f>Jul!EG18</f>
        <v>32485.05</v>
      </c>
      <c r="AM17" s="127">
        <f>Jul!EJ18</f>
        <v>12325.05</v>
      </c>
      <c r="AN17" s="127">
        <f>Jul!EM18</f>
        <v>639.99999999998636</v>
      </c>
      <c r="AO17" s="127">
        <f t="shared" si="6"/>
        <v>45450.099999999984</v>
      </c>
      <c r="AP17" s="127">
        <f>Jul!FX18</f>
        <v>20600</v>
      </c>
      <c r="AQ17" s="127">
        <f>Jul!GA18</f>
        <v>5670.0000000000909</v>
      </c>
      <c r="AR17" s="127">
        <f>Jul!GG18</f>
        <v>8000</v>
      </c>
      <c r="AS17" s="127">
        <f t="shared" si="7"/>
        <v>34270.000000000087</v>
      </c>
      <c r="AT17" s="127">
        <f>Jul!EQ18</f>
        <v>6460.0499999999911</v>
      </c>
      <c r="AU17" s="127">
        <f>Jul!ET18</f>
        <v>17000</v>
      </c>
      <c r="AV17" s="127">
        <f>Jul!EW18</f>
        <v>9025.0499999998174</v>
      </c>
      <c r="AW17" s="127">
        <f>Jul!FL55</f>
        <v>11730.884999999998</v>
      </c>
      <c r="AX17" s="127">
        <f>Jul!GJ18</f>
        <v>2400.0000000000909</v>
      </c>
      <c r="AY17" s="127">
        <f t="shared" si="8"/>
        <v>46615.984999999899</v>
      </c>
      <c r="AZ17" s="127">
        <f>Jul!FG18</f>
        <v>10001.720000000008</v>
      </c>
      <c r="BA17" s="127">
        <f>Jul!FJ18</f>
        <v>19836.719999998906</v>
      </c>
      <c r="BB17" s="127">
        <f>Jul!FM55</f>
        <v>11730.884999999998</v>
      </c>
      <c r="BC17" s="127">
        <f>Jul!GM18</f>
        <v>599.99999999990905</v>
      </c>
      <c r="BD17" s="127">
        <f t="shared" si="9"/>
        <v>42169.324999998818</v>
      </c>
      <c r="BE17" s="127">
        <f>Jul!GP18</f>
        <v>3100</v>
      </c>
      <c r="BF17" s="127">
        <f>Jul!GS18</f>
        <v>730</v>
      </c>
      <c r="BG17" s="127">
        <f t="shared" si="10"/>
        <v>3830</v>
      </c>
      <c r="BH17" s="127"/>
      <c r="BI17" s="127"/>
      <c r="BJ17" s="127"/>
      <c r="BK17" s="127"/>
      <c r="BL17" s="128">
        <f t="shared" si="13"/>
        <v>35668.000000000087</v>
      </c>
      <c r="BM17" s="128"/>
      <c r="BN17" s="128"/>
      <c r="BO17" s="128"/>
      <c r="BP17" s="128"/>
      <c r="BQ17" s="128">
        <f t="shared" si="14"/>
        <v>3830</v>
      </c>
      <c r="BR17" s="128"/>
      <c r="BS17" s="128"/>
      <c r="BT17" s="42">
        <f>Jul!D56</f>
        <v>0</v>
      </c>
      <c r="BU17" s="42">
        <f>Jul!G57</f>
        <v>90000</v>
      </c>
      <c r="BV17" t="s">
        <v>381</v>
      </c>
      <c r="BX17" s="42">
        <f>Jul!HJ18</f>
        <v>67000</v>
      </c>
      <c r="BY17" s="42">
        <f>Jul!HM18</f>
        <v>0</v>
      </c>
      <c r="BZ17" s="42">
        <f>Jul!HP18</f>
        <v>17199.999999999454</v>
      </c>
      <c r="CA17" s="42">
        <f>Jul!HS18</f>
        <v>12699.999999999909</v>
      </c>
      <c r="CB17" s="42">
        <f>Jul!HV18</f>
        <v>20500.000000000091</v>
      </c>
      <c r="CC17" s="42">
        <f>Jul!HY18</f>
        <v>2200.0000000001364</v>
      </c>
      <c r="CD17" s="42">
        <f>Jul!IB18</f>
        <v>1400</v>
      </c>
      <c r="CE17" s="42">
        <f>Jul!IE18</f>
        <v>0</v>
      </c>
      <c r="CF17" s="42">
        <f>Jul!IH18</f>
        <v>13000</v>
      </c>
    </row>
    <row r="18" spans="1:84" x14ac:dyDescent="0.25">
      <c r="A18" s="26">
        <f t="shared" si="12"/>
        <v>12</v>
      </c>
      <c r="B18" s="42">
        <f>Jul!G19</f>
        <v>343360.00000000058</v>
      </c>
      <c r="C18" s="42">
        <f>Jul!N19</f>
        <v>342000</v>
      </c>
      <c r="D18" s="42">
        <f>Jul!T19</f>
        <v>253.91000000014901</v>
      </c>
      <c r="E18" s="42">
        <f>Jul!V19</f>
        <v>0</v>
      </c>
      <c r="F18" s="42">
        <f>Jul!AB19</f>
        <v>0</v>
      </c>
      <c r="G18" s="42">
        <f>Jul!X19</f>
        <v>18646.089999999487</v>
      </c>
      <c r="H18" s="42">
        <f>Jul!AE19</f>
        <v>8399.9999999996362</v>
      </c>
      <c r="I18" s="42">
        <f>Jul!AI19</f>
        <v>14916.210000000727</v>
      </c>
      <c r="J18" s="42">
        <f>Jul!AN19</f>
        <v>7226.2100000002993</v>
      </c>
      <c r="K18" s="42">
        <f>Jul!AR19</f>
        <v>8500</v>
      </c>
      <c r="L18" s="42">
        <f>Jul!AZ19</f>
        <v>280</v>
      </c>
      <c r="M18" s="42">
        <f>Jul!BC19</f>
        <v>450</v>
      </c>
      <c r="N18" s="125">
        <f t="shared" si="3"/>
        <v>58672.420000000297</v>
      </c>
      <c r="O18" s="125">
        <f>Jul!CA19</f>
        <v>893.59999999999218</v>
      </c>
      <c r="P18" s="125">
        <f>Jul!CD19</f>
        <v>2626.3000000000466</v>
      </c>
      <c r="Q18" s="125">
        <f>Jul!CF19</f>
        <v>7469</v>
      </c>
      <c r="R18" s="125">
        <f>Jul!CH19</f>
        <v>0</v>
      </c>
      <c r="S18" s="125">
        <f>Jul!CK19</f>
        <v>17212.610000001245</v>
      </c>
      <c r="T18" s="125">
        <f>Jul!CO19</f>
        <v>8707.2099999999846</v>
      </c>
      <c r="U18" s="125">
        <f>Jul!CS19</f>
        <v>8680.8099999999758</v>
      </c>
      <c r="V18" s="126">
        <f t="shared" si="4"/>
        <v>45589.530000001243</v>
      </c>
      <c r="W18" s="126">
        <f>Jul!CW19</f>
        <v>851</v>
      </c>
      <c r="X18" s="126">
        <f>Jul!DA19</f>
        <v>560</v>
      </c>
      <c r="Y18" s="126">
        <f t="shared" si="1"/>
        <v>1411</v>
      </c>
      <c r="Z18" s="42">
        <f>Jul!BR19</f>
        <v>500</v>
      </c>
      <c r="AA18" s="126">
        <f>Jul!BG19</f>
        <v>1799.9999999999545</v>
      </c>
      <c r="AB18" s="126">
        <f>Jul!BJ19</f>
        <v>9200.0000000007276</v>
      </c>
      <c r="AC18" s="126">
        <f>Jul!BL19+Jul!BN19+Jul!BP19</f>
        <v>5090.0000000000637</v>
      </c>
      <c r="AD18" s="126">
        <f>Jul!DR19</f>
        <v>11000</v>
      </c>
      <c r="AE18" s="127">
        <f>Jul!DT19-Jul!DR59-Jul!DT59</f>
        <v>17900</v>
      </c>
      <c r="AF18" s="127">
        <f>Jul!DR59+Jul!DT59</f>
        <v>0</v>
      </c>
      <c r="AG18" s="127">
        <f>Jul!HJ19-AE18</f>
        <v>69100</v>
      </c>
      <c r="AH18" s="127">
        <f>Jul!DW19</f>
        <v>3699.9999999989086</v>
      </c>
      <c r="AI18" s="127">
        <f>Jul!DZ19</f>
        <v>8216.2099999999991</v>
      </c>
      <c r="AJ18" s="127">
        <f>Jul!EC19</f>
        <v>25376.21</v>
      </c>
      <c r="AK18" s="127">
        <f t="shared" si="5"/>
        <v>37292.419999998907</v>
      </c>
      <c r="AL18" s="127">
        <f>Jul!EG19</f>
        <v>31376.21</v>
      </c>
      <c r="AM18" s="127">
        <f>Jul!EJ19</f>
        <v>13216.21</v>
      </c>
      <c r="AN18" s="127">
        <f>Jul!EM19</f>
        <v>620.00000000000455</v>
      </c>
      <c r="AO18" s="127">
        <f t="shared" si="6"/>
        <v>45212.420000000006</v>
      </c>
      <c r="AP18" s="127">
        <f>Jul!FX19</f>
        <v>21100</v>
      </c>
      <c r="AQ18" s="127">
        <f>Jul!GA19</f>
        <v>5589.9999999997272</v>
      </c>
      <c r="AR18" s="127">
        <f>Jul!GG19</f>
        <v>8700.0000000000455</v>
      </c>
      <c r="AS18" s="127">
        <f t="shared" si="7"/>
        <v>35389.999999999774</v>
      </c>
      <c r="AT18" s="127">
        <f>Jul!EQ19</f>
        <v>6331.2100000000091</v>
      </c>
      <c r="AU18" s="127">
        <f>Jul!ET19</f>
        <v>16000</v>
      </c>
      <c r="AV18" s="127">
        <f>Jul!EW19</f>
        <v>8916.2099999998172</v>
      </c>
      <c r="AW18" s="127">
        <f>Jul!FL56</f>
        <v>13768.71</v>
      </c>
      <c r="AX18" s="127">
        <f>Jul!GJ19</f>
        <v>2299.9999999999545</v>
      </c>
      <c r="AY18" s="127">
        <f t="shared" si="8"/>
        <v>47316.129999999786</v>
      </c>
      <c r="AZ18" s="127">
        <f>Jul!FG19</f>
        <v>10206.20999999999</v>
      </c>
      <c r="BA18" s="127">
        <f>Jul!FJ19</f>
        <v>19121.210000001091</v>
      </c>
      <c r="BB18" s="127">
        <f>Jul!FM56</f>
        <v>13768.71</v>
      </c>
      <c r="BC18" s="127">
        <f>Jul!GM19</f>
        <v>0</v>
      </c>
      <c r="BD18" s="127">
        <f t="shared" si="9"/>
        <v>43096.130000001081</v>
      </c>
      <c r="BE18" s="127">
        <f>Jul!GP19</f>
        <v>3080</v>
      </c>
      <c r="BF18" s="127">
        <f>Jul!GS19</f>
        <v>710</v>
      </c>
      <c r="BG18" s="127">
        <f t="shared" si="10"/>
        <v>3790</v>
      </c>
      <c r="BH18" s="127"/>
      <c r="BI18" s="127"/>
      <c r="BJ18" s="127"/>
      <c r="BK18" s="127"/>
      <c r="BL18" s="128">
        <f t="shared" si="13"/>
        <v>36800.999999999774</v>
      </c>
      <c r="BM18" s="128"/>
      <c r="BN18" s="128"/>
      <c r="BO18" s="128"/>
      <c r="BP18" s="128"/>
      <c r="BQ18" s="128">
        <f t="shared" si="14"/>
        <v>3790</v>
      </c>
      <c r="BR18" s="128"/>
      <c r="BS18" s="128"/>
      <c r="BT18" s="42">
        <f>Jul!D57</f>
        <v>0</v>
      </c>
      <c r="BU18" s="42">
        <f>Jul!G58</f>
        <v>89000</v>
      </c>
      <c r="BV18" t="s">
        <v>381</v>
      </c>
      <c r="BX18" s="42">
        <f>Jul!HJ19</f>
        <v>87000</v>
      </c>
      <c r="BY18" s="42">
        <f>Jul!HM19</f>
        <v>0</v>
      </c>
      <c r="BZ18" s="42">
        <f>Jul!HP19</f>
        <v>22650</v>
      </c>
      <c r="CA18" s="42">
        <f>Jul!HS19</f>
        <v>17249.999999999909</v>
      </c>
      <c r="CB18" s="42">
        <f>Jul!HV19</f>
        <v>26550.000000000091</v>
      </c>
      <c r="CC18" s="42">
        <f>Jul!HY19</f>
        <v>1150</v>
      </c>
      <c r="CD18" s="42">
        <f>Jul!IB19</f>
        <v>1500</v>
      </c>
      <c r="CE18" s="42">
        <f>Jul!IE19</f>
        <v>0</v>
      </c>
      <c r="CF18" s="42">
        <f>Jul!IH19</f>
        <v>17900</v>
      </c>
    </row>
    <row r="19" spans="1:84" x14ac:dyDescent="0.25">
      <c r="A19" s="26">
        <f t="shared" si="12"/>
        <v>13</v>
      </c>
      <c r="B19" s="42">
        <f>Jul!G20</f>
        <v>287040.00000000454</v>
      </c>
      <c r="C19" s="42">
        <f>Jul!N20</f>
        <v>285000</v>
      </c>
      <c r="D19" s="42">
        <f>Jul!T20</f>
        <v>223.91000000014901</v>
      </c>
      <c r="E19" s="42">
        <f>Jul!V20</f>
        <v>0</v>
      </c>
      <c r="F19" s="42">
        <f>Jul!AB20</f>
        <v>100</v>
      </c>
      <c r="G19" s="42">
        <f>Jul!X20</f>
        <v>18076.089999999487</v>
      </c>
      <c r="H19" s="42">
        <f>Jul!AE20</f>
        <v>8100.0000000003638</v>
      </c>
      <c r="I19" s="42">
        <f>Jul!AI20</f>
        <v>13540.129999998544</v>
      </c>
      <c r="J19" s="42">
        <f>Jul!AN20</f>
        <v>7080.129999999358</v>
      </c>
      <c r="K19" s="42">
        <f>Jul!AR20</f>
        <v>7700.0000000007276</v>
      </c>
      <c r="L19" s="42">
        <f>Jul!AZ20</f>
        <v>350</v>
      </c>
      <c r="M19" s="42">
        <f>Jul!BC20</f>
        <v>530</v>
      </c>
      <c r="N19" s="125">
        <f t="shared" si="3"/>
        <v>55700.259999998627</v>
      </c>
      <c r="O19" s="125">
        <f>Jul!CA20</f>
        <v>877.00000000000955</v>
      </c>
      <c r="P19" s="125">
        <f>Jul!CD20</f>
        <v>344.90000000002328</v>
      </c>
      <c r="Q19" s="125">
        <f>Jul!CF20</f>
        <v>5908</v>
      </c>
      <c r="R19" s="125">
        <f>Jul!CH20</f>
        <v>0</v>
      </c>
      <c r="S19" s="125">
        <f>Jul!CK20</f>
        <v>15893.129999999919</v>
      </c>
      <c r="T19" s="125">
        <f>Jul!CO20</f>
        <v>7908.1300000003021</v>
      </c>
      <c r="U19" s="125">
        <f>Jul!CS20</f>
        <v>8052.230000000035</v>
      </c>
      <c r="V19" s="126">
        <f t="shared" si="4"/>
        <v>38983.39000000029</v>
      </c>
      <c r="W19" s="126">
        <f>Jul!CW20</f>
        <v>836</v>
      </c>
      <c r="X19" s="126">
        <f>Jul!DA20</f>
        <v>554</v>
      </c>
      <c r="Y19" s="126">
        <f t="shared" si="1"/>
        <v>1390</v>
      </c>
      <c r="Z19" s="42">
        <f>Jul!BR20</f>
        <v>299.99999999995453</v>
      </c>
      <c r="AA19" s="126">
        <f>Jul!BG20</f>
        <v>1700.0000000000455</v>
      </c>
      <c r="AB19" s="126">
        <f>Jul!BJ20</f>
        <v>9399.9999999996362</v>
      </c>
      <c r="AC19" s="126">
        <f>Jul!BL20+Jul!BN20+Jul!BP20</f>
        <v>4859.9999999999591</v>
      </c>
      <c r="AD19" s="126">
        <f>Jul!DR20</f>
        <v>10300</v>
      </c>
      <c r="AE19" s="127">
        <f>Jul!DT20-Jul!DR60-Jul!DT60</f>
        <v>16300</v>
      </c>
      <c r="AF19" s="127">
        <f>Jul!DR60+Jul!DT60</f>
        <v>0</v>
      </c>
      <c r="AG19" s="127">
        <f>Jul!HJ20-AE19</f>
        <v>33700</v>
      </c>
      <c r="AH19" s="127">
        <f>Jul!DW20</f>
        <v>3800.0000000010914</v>
      </c>
      <c r="AI19" s="127">
        <f>Jul!DZ20</f>
        <v>7940.13</v>
      </c>
      <c r="AJ19" s="127">
        <f>Jul!EC20</f>
        <v>23100.13</v>
      </c>
      <c r="AK19" s="127">
        <f t="shared" si="5"/>
        <v>34840.260000001093</v>
      </c>
      <c r="AL19" s="127">
        <f>Jul!EG20</f>
        <v>32100.13</v>
      </c>
      <c r="AM19" s="127">
        <f>Jul!EJ20</f>
        <v>11940.13</v>
      </c>
      <c r="AN19" s="127">
        <f>Jul!EM20</f>
        <v>649.99999999997726</v>
      </c>
      <c r="AO19" s="127">
        <f t="shared" si="6"/>
        <v>44690.25999999998</v>
      </c>
      <c r="AP19" s="127">
        <f>Jul!FX20</f>
        <v>18500</v>
      </c>
      <c r="AQ19" s="127">
        <f>Jul!GA20</f>
        <v>5020.0000000001819</v>
      </c>
      <c r="AR19" s="127">
        <f>Jul!GG20</f>
        <v>8399.9999999998636</v>
      </c>
      <c r="AS19" s="127">
        <f t="shared" si="7"/>
        <v>31920.000000000044</v>
      </c>
      <c r="AT19" s="127">
        <f>Jul!EQ20</f>
        <v>7055.1299999999519</v>
      </c>
      <c r="AU19" s="127">
        <f>Jul!ET20</f>
        <v>17000</v>
      </c>
      <c r="AV19" s="127">
        <f>Jul!EW20</f>
        <v>8440.1299999999992</v>
      </c>
      <c r="AW19" s="127">
        <f>Jul!FL57</f>
        <v>11925.965</v>
      </c>
      <c r="AX19" s="127">
        <f>Jul!GJ20</f>
        <v>2500</v>
      </c>
      <c r="AY19" s="127">
        <f t="shared" si="8"/>
        <v>46921.224999999948</v>
      </c>
      <c r="AZ19" s="127">
        <f>Jul!FG20</f>
        <v>9796.8000000000466</v>
      </c>
      <c r="BA19" s="127">
        <f>Jul!FJ20</f>
        <v>19111.799999998908</v>
      </c>
      <c r="BB19" s="127">
        <f>Jul!FM57</f>
        <v>11925.965</v>
      </c>
      <c r="BC19" s="127">
        <f>Jul!GM20</f>
        <v>100.00000000013642</v>
      </c>
      <c r="BD19" s="127">
        <f t="shared" si="9"/>
        <v>40934.564999999093</v>
      </c>
      <c r="BE19" s="127">
        <f>Jul!GP20</f>
        <v>3320</v>
      </c>
      <c r="BF19" s="127">
        <f>Jul!GS20</f>
        <v>780</v>
      </c>
      <c r="BG19" s="127">
        <f t="shared" si="10"/>
        <v>4100</v>
      </c>
      <c r="BH19" s="127"/>
      <c r="BI19" s="127"/>
      <c r="BJ19" s="127"/>
      <c r="BK19" s="127"/>
      <c r="BL19" s="128">
        <f t="shared" si="13"/>
        <v>33310.000000000044</v>
      </c>
      <c r="BM19" s="128"/>
      <c r="BN19" s="128"/>
      <c r="BO19" s="128"/>
      <c r="BP19" s="128"/>
      <c r="BQ19" s="128">
        <f t="shared" si="14"/>
        <v>4100</v>
      </c>
      <c r="BR19" s="128"/>
      <c r="BS19" s="128"/>
      <c r="BT19" s="42">
        <f>Jul!D58</f>
        <v>0</v>
      </c>
      <c r="BU19" s="42">
        <f>Jul!G59</f>
        <v>89000</v>
      </c>
      <c r="BV19" t="s">
        <v>381</v>
      </c>
      <c r="BW19" s="151"/>
      <c r="BX19" s="42">
        <f>Jul!HJ20</f>
        <v>50000</v>
      </c>
      <c r="BY19" s="42">
        <f>Jul!HM20</f>
        <v>0</v>
      </c>
      <c r="BZ19" s="42">
        <f>Jul!HP20</f>
        <v>11325.000000000546</v>
      </c>
      <c r="CA19" s="42">
        <f>Jul!HS20</f>
        <v>6425</v>
      </c>
      <c r="CB19" s="42">
        <f>Jul!HV20</f>
        <v>13724.999999999727</v>
      </c>
      <c r="CC19" s="42">
        <f>Jul!HY20</f>
        <v>1224.9999999999545</v>
      </c>
      <c r="CD19" s="42">
        <f>Jul!IB20</f>
        <v>1000</v>
      </c>
      <c r="CE19" s="42">
        <f>Jul!IE20</f>
        <v>0</v>
      </c>
      <c r="CF19" s="42">
        <f>Jul!IH20</f>
        <v>16300</v>
      </c>
    </row>
    <row r="20" spans="1:84" x14ac:dyDescent="0.25">
      <c r="A20" s="26">
        <f t="shared" si="12"/>
        <v>14</v>
      </c>
      <c r="B20" s="42">
        <f>Jul!G21</f>
        <v>281279.99999999156</v>
      </c>
      <c r="C20" s="42">
        <f>Jul!N21</f>
        <v>280000</v>
      </c>
      <c r="D20" s="42">
        <f>Jul!T21</f>
        <v>323.09999999962747</v>
      </c>
      <c r="E20" s="42">
        <f>Jul!V21</f>
        <v>0</v>
      </c>
      <c r="F20" s="42">
        <f>Jul!AB21</f>
        <v>100</v>
      </c>
      <c r="G20" s="42">
        <f>Jul!X21</f>
        <v>17676.900000000736</v>
      </c>
      <c r="H20" s="42">
        <f>Jul!AE21</f>
        <v>8300.0000000001819</v>
      </c>
      <c r="I20" s="42">
        <f>Jul!AI21</f>
        <v>13839.82</v>
      </c>
      <c r="J20" s="42">
        <f>Jul!AN21</f>
        <v>6889.8199999995177</v>
      </c>
      <c r="K20" s="42">
        <f>Jul!AR21</f>
        <v>8100.0000000003638</v>
      </c>
      <c r="L20" s="42">
        <f>Jul!AZ21</f>
        <v>370</v>
      </c>
      <c r="M20" s="42">
        <f>Jul!BC21</f>
        <v>670</v>
      </c>
      <c r="N20" s="125">
        <f t="shared" si="3"/>
        <v>56269.640000000429</v>
      </c>
      <c r="O20" s="125">
        <f>Jul!CA21</f>
        <v>807.40000000002965</v>
      </c>
      <c r="P20" s="125">
        <f>Jul!CD21</f>
        <v>565.59999999997672</v>
      </c>
      <c r="Q20" s="125">
        <f>Jul!CF21</f>
        <v>6660</v>
      </c>
      <c r="R20" s="125">
        <f>Jul!CH21</f>
        <v>0</v>
      </c>
      <c r="S20" s="125">
        <f>Jul!CK21</f>
        <v>15442.419999999824</v>
      </c>
      <c r="T20" s="125">
        <f>Jul!CO21</f>
        <v>6910.8199999999124</v>
      </c>
      <c r="U20" s="125">
        <f>Jul!CS21</f>
        <v>7155.9199999999764</v>
      </c>
      <c r="V20" s="126">
        <f t="shared" si="4"/>
        <v>37542.15999999972</v>
      </c>
      <c r="W20" s="126">
        <f>Jul!CW21</f>
        <v>811</v>
      </c>
      <c r="X20" s="126">
        <f>Jul!DA21</f>
        <v>564</v>
      </c>
      <c r="Y20" s="126">
        <f t="shared" si="1"/>
        <v>1375</v>
      </c>
      <c r="Z20" s="42">
        <f>Jul!BR21</f>
        <v>700.00000000004547</v>
      </c>
      <c r="AA20" s="126">
        <f>Jul!BG21</f>
        <v>1700.0000000000455</v>
      </c>
      <c r="AB20" s="126">
        <f>Jul!BJ21</f>
        <v>9500</v>
      </c>
      <c r="AC20" s="126">
        <f>Jul!BL21+Jul!BN21+Jul!BP21</f>
        <v>5150.0000000000728</v>
      </c>
      <c r="AD20" s="126">
        <f>Jul!DR21</f>
        <v>12700</v>
      </c>
      <c r="AE20" s="127">
        <f>Jul!DT21-Jul!DR61-Jul!DT61</f>
        <v>14500</v>
      </c>
      <c r="AF20" s="127">
        <f>Jul!DR61+Jul!DT61</f>
        <v>0</v>
      </c>
      <c r="AG20" s="127">
        <f>Jul!HJ21-AE20</f>
        <v>20500</v>
      </c>
      <c r="AH20" s="127">
        <f>Jul!DW21</f>
        <v>2299.9999999992724</v>
      </c>
      <c r="AI20" s="127">
        <f>Jul!DZ21</f>
        <v>2839.82</v>
      </c>
      <c r="AJ20" s="127">
        <f>Jul!EC21</f>
        <v>10999.82</v>
      </c>
      <c r="AK20" s="127">
        <f t="shared" si="5"/>
        <v>16139.639999999272</v>
      </c>
      <c r="AL20" s="127">
        <f>Jul!EG21</f>
        <v>31999.82</v>
      </c>
      <c r="AM20" s="127">
        <f>Jul!EJ21</f>
        <v>11839.82</v>
      </c>
      <c r="AN20" s="127">
        <f>Jul!EM21</f>
        <v>580.00000000004093</v>
      </c>
      <c r="AO20" s="127">
        <f t="shared" si="6"/>
        <v>44419.640000000043</v>
      </c>
      <c r="AP20" s="127">
        <f>Jul!FX21</f>
        <v>22900</v>
      </c>
      <c r="AQ20" s="127">
        <f>Jul!GA21</f>
        <v>5379.9999999999091</v>
      </c>
      <c r="AR20" s="127">
        <f>Jul!GG21</f>
        <v>9400.0000000000909</v>
      </c>
      <c r="AS20" s="127">
        <f t="shared" si="7"/>
        <v>37680</v>
      </c>
      <c r="AT20" s="127">
        <f>Jul!EQ21</f>
        <v>5954.8200000000088</v>
      </c>
      <c r="AU20" s="127">
        <f>Jul!ET21</f>
        <v>18000</v>
      </c>
      <c r="AV20" s="127">
        <f>Jul!EW21</f>
        <v>8539.8200000002726</v>
      </c>
      <c r="AW20" s="127">
        <f>Jul!FL58</f>
        <v>13342.32</v>
      </c>
      <c r="AX20" s="127">
        <f>Jul!GJ21</f>
        <v>1799.9999999999545</v>
      </c>
      <c r="AY20" s="127">
        <f t="shared" si="8"/>
        <v>47636.960000000239</v>
      </c>
      <c r="AZ20" s="127">
        <f>Jul!FG21</f>
        <v>9729.8199999999906</v>
      </c>
      <c r="BA20" s="127">
        <f>Jul!FJ21</f>
        <v>16944.820000000364</v>
      </c>
      <c r="BB20" s="127">
        <f>Jul!FM58</f>
        <v>13342.32</v>
      </c>
      <c r="BC20" s="127">
        <f>Jul!GM21</f>
        <v>1799.9999999999545</v>
      </c>
      <c r="BD20" s="127">
        <f t="shared" si="9"/>
        <v>41816.960000000312</v>
      </c>
      <c r="BE20" s="127">
        <f>Jul!GP21</f>
        <v>2930</v>
      </c>
      <c r="BF20" s="127">
        <f>Jul!GS21</f>
        <v>720</v>
      </c>
      <c r="BG20" s="127">
        <f t="shared" si="10"/>
        <v>3650</v>
      </c>
      <c r="BH20" s="127"/>
      <c r="BI20" s="127"/>
      <c r="BJ20" s="127"/>
      <c r="BK20" s="127"/>
      <c r="BL20" s="128">
        <f t="shared" si="13"/>
        <v>39055</v>
      </c>
      <c r="BM20" s="128"/>
      <c r="BN20" s="128"/>
      <c r="BO20" s="128"/>
      <c r="BP20" s="128"/>
      <c r="BQ20" s="128">
        <f t="shared" si="14"/>
        <v>3650</v>
      </c>
      <c r="BR20" s="128"/>
      <c r="BS20" s="128"/>
      <c r="BT20" s="42">
        <f>Jul!D59</f>
        <v>0</v>
      </c>
      <c r="BU20" s="42">
        <f>Jul!G60</f>
        <v>70000</v>
      </c>
      <c r="BV20" t="s">
        <v>381</v>
      </c>
      <c r="BX20" s="42">
        <f>Jul!HJ21</f>
        <v>35000</v>
      </c>
      <c r="BY20" s="42">
        <f>Jul!HM21</f>
        <v>0</v>
      </c>
      <c r="BZ20" s="42">
        <f>Jul!HP21</f>
        <v>6950.0000000001819</v>
      </c>
      <c r="CA20" s="42">
        <f>Jul!HS21</f>
        <v>950.0000000001819</v>
      </c>
      <c r="CB20" s="42">
        <f>Jul!HV21</f>
        <v>7450.0000000001819</v>
      </c>
      <c r="CC20" s="42">
        <f>Jul!HY21</f>
        <v>2949.9999999999545</v>
      </c>
      <c r="CD20" s="42">
        <f>Jul!IB21</f>
        <v>2200</v>
      </c>
      <c r="CE20" s="42">
        <f>Jul!IE21</f>
        <v>0</v>
      </c>
      <c r="CF20" s="42">
        <f>Jul!IH21</f>
        <v>14500</v>
      </c>
    </row>
    <row r="21" spans="1:84" x14ac:dyDescent="0.25">
      <c r="A21" s="26">
        <f t="shared" si="12"/>
        <v>15</v>
      </c>
      <c r="B21" s="42">
        <f>Jul!G22</f>
        <v>261120.0000000099</v>
      </c>
      <c r="C21" s="42">
        <f>Jul!N22</f>
        <v>259000</v>
      </c>
      <c r="D21" s="42">
        <f>Jul!T22</f>
        <v>329.60999999940395</v>
      </c>
      <c r="E21" s="42">
        <f>Jul!V22</f>
        <v>0</v>
      </c>
      <c r="F21" s="42">
        <f>Jul!AB22</f>
        <v>100</v>
      </c>
      <c r="G21" s="42">
        <f>Jul!X22</f>
        <v>17170.39000000096</v>
      </c>
      <c r="H21" s="42">
        <f>Jul!AE22</f>
        <v>8300.0000000001819</v>
      </c>
      <c r="I21" s="42">
        <f>Jul!AI22</f>
        <v>14135.730000000363</v>
      </c>
      <c r="J21" s="42">
        <f>Jul!AN22</f>
        <v>6755.7300000000996</v>
      </c>
      <c r="K21" s="42">
        <f>Jul!AR22</f>
        <v>8199.9999999989086</v>
      </c>
      <c r="L21" s="42">
        <f>Jul!AZ22</f>
        <v>420</v>
      </c>
      <c r="M21" s="42">
        <f>Jul!BC22</f>
        <v>670</v>
      </c>
      <c r="N21" s="125">
        <f t="shared" si="3"/>
        <v>56081.459999999919</v>
      </c>
      <c r="O21" s="125">
        <f>Jul!CA22</f>
        <v>633.29999999996289</v>
      </c>
      <c r="P21" s="125">
        <f>Jul!CD22</f>
        <v>1693.5</v>
      </c>
      <c r="Q21" s="125">
        <f>Jul!CF22</f>
        <v>6963</v>
      </c>
      <c r="R21" s="125">
        <f>Jul!CH22</f>
        <v>0</v>
      </c>
      <c r="S21" s="125">
        <f>Jul!CK22</f>
        <v>15742.430000000182</v>
      </c>
      <c r="T21" s="125">
        <f>Jul!CO22</f>
        <v>6016.7299999997667</v>
      </c>
      <c r="U21" s="125">
        <f>Jul!CS22</f>
        <v>7046.3299999999763</v>
      </c>
      <c r="V21" s="126">
        <f t="shared" si="4"/>
        <v>38095.289999999892</v>
      </c>
      <c r="W21" s="126">
        <f>Jul!CW22</f>
        <v>877</v>
      </c>
      <c r="X21" s="126">
        <f>Jul!DA22</f>
        <v>534</v>
      </c>
      <c r="Y21" s="126">
        <f t="shared" si="1"/>
        <v>1411</v>
      </c>
      <c r="Z21" s="42">
        <f>Jul!BR22</f>
        <v>699.99999999993179</v>
      </c>
      <c r="AA21" s="126">
        <f>Jul!BG22</f>
        <v>1799.9999999999545</v>
      </c>
      <c r="AB21" s="126">
        <f>Jul!BJ22</f>
        <v>8600.0000000003638</v>
      </c>
      <c r="AC21" s="126">
        <f>Jul!BL22+Jul!BN22+Jul!BP22</f>
        <v>5079.9999999999682</v>
      </c>
      <c r="AD21" s="126">
        <f>Jul!DR22</f>
        <v>10300</v>
      </c>
      <c r="AE21" s="127">
        <f>Jul!DT22-Jul!DR62-Jul!DT62</f>
        <v>10500</v>
      </c>
      <c r="AF21" s="127">
        <f>Jul!DR62+Jul!DT62</f>
        <v>0</v>
      </c>
      <c r="AG21" s="127">
        <f>Jul!HJ22-AE21</f>
        <v>7500</v>
      </c>
      <c r="AH21" s="127">
        <f>Jul!DW22</f>
        <v>4300.0000000010914</v>
      </c>
      <c r="AI21" s="127">
        <f>Jul!DZ22</f>
        <v>7035.73</v>
      </c>
      <c r="AJ21" s="127">
        <f>Jul!EC22</f>
        <v>25195.73</v>
      </c>
      <c r="AK21" s="127">
        <f t="shared" si="5"/>
        <v>36531.460000001091</v>
      </c>
      <c r="AL21" s="127">
        <f>Jul!EG22</f>
        <v>30195.73</v>
      </c>
      <c r="AM21" s="127">
        <f>Jul!EJ22</f>
        <v>11035.73</v>
      </c>
      <c r="AN21" s="127">
        <f>Jul!EM22</f>
        <v>669.99999999995907</v>
      </c>
      <c r="AO21" s="127">
        <f t="shared" si="6"/>
        <v>41901.459999999955</v>
      </c>
      <c r="AP21" s="127">
        <f>Jul!FX22</f>
        <v>25600</v>
      </c>
      <c r="AQ21" s="127">
        <f>Jul!GA22</f>
        <v>6079.9999999998181</v>
      </c>
      <c r="AR21" s="127">
        <f>Jul!GG22</f>
        <v>8500</v>
      </c>
      <c r="AS21" s="127">
        <f t="shared" si="7"/>
        <v>40179.999999999818</v>
      </c>
      <c r="AT21" s="127">
        <f>Jul!EQ22</f>
        <v>6160.73</v>
      </c>
      <c r="AU21" s="127">
        <f>Jul!ET22</f>
        <v>16000</v>
      </c>
      <c r="AV21" s="127">
        <f>Jul!EW22</f>
        <v>8335.7299999997267</v>
      </c>
      <c r="AW21" s="127">
        <f>Jul!FL59</f>
        <v>12089.895</v>
      </c>
      <c r="AX21" s="127">
        <f>Jul!GJ22</f>
        <v>1900.0000000000909</v>
      </c>
      <c r="AY21" s="127">
        <f t="shared" si="8"/>
        <v>44486.354999999821</v>
      </c>
      <c r="AZ21" s="127">
        <f>Jul!FG22</f>
        <v>9019.06</v>
      </c>
      <c r="BA21" s="127">
        <f>Jul!FJ22</f>
        <v>18944.060000001093</v>
      </c>
      <c r="BB21" s="127">
        <f>Jul!FM59</f>
        <v>12089.895</v>
      </c>
      <c r="BC21" s="127">
        <f>Jul!GM22</f>
        <v>599.99999999990905</v>
      </c>
      <c r="BD21" s="127">
        <f t="shared" si="9"/>
        <v>40653.015000001004</v>
      </c>
      <c r="BE21" s="127">
        <f>Jul!GP22</f>
        <v>1680</v>
      </c>
      <c r="BF21" s="127">
        <f>Jul!GS22</f>
        <v>620</v>
      </c>
      <c r="BG21" s="127">
        <f t="shared" si="10"/>
        <v>2300</v>
      </c>
      <c r="BH21" s="127"/>
      <c r="BI21" s="127"/>
      <c r="BJ21" s="127"/>
      <c r="BK21" s="127"/>
      <c r="BL21" s="128">
        <f t="shared" si="13"/>
        <v>41590.999999999818</v>
      </c>
      <c r="BM21" s="128"/>
      <c r="BN21" s="128"/>
      <c r="BO21" s="128"/>
      <c r="BP21" s="128"/>
      <c r="BQ21" s="128"/>
      <c r="BR21" s="128"/>
      <c r="BS21" s="128">
        <f t="shared" ref="BS21:BS26" si="15">BG21</f>
        <v>2300</v>
      </c>
      <c r="BT21" s="42">
        <f>Jul!D60</f>
        <v>0</v>
      </c>
      <c r="BU21" s="42">
        <f>Jul!G61</f>
        <v>85000</v>
      </c>
      <c r="BV21" t="s">
        <v>382</v>
      </c>
      <c r="BX21" s="42">
        <f>Jul!HJ22</f>
        <v>18000</v>
      </c>
      <c r="BY21" s="42">
        <f>Jul!HM22</f>
        <v>0</v>
      </c>
      <c r="BZ21" s="42">
        <f>Jul!HP22</f>
        <v>4049.9999999994543</v>
      </c>
      <c r="CA21" s="42">
        <f>Jul!HS22</f>
        <v>649.9999999998181</v>
      </c>
      <c r="CB21" s="42">
        <f>Jul!HV22</f>
        <v>850.00000000009095</v>
      </c>
      <c r="CC21" s="42">
        <f>Jul!HY22</f>
        <v>1249.9999999999545</v>
      </c>
      <c r="CD21" s="42">
        <f>Jul!IB22</f>
        <v>700</v>
      </c>
      <c r="CE21" s="42">
        <f>Jul!IE22</f>
        <v>0</v>
      </c>
      <c r="CF21" s="42">
        <f>Jul!IH22</f>
        <v>10500</v>
      </c>
    </row>
    <row r="22" spans="1:84" x14ac:dyDescent="0.25">
      <c r="A22" s="26">
        <f t="shared" si="12"/>
        <v>16</v>
      </c>
      <c r="B22" s="42">
        <f>Jul!G23</f>
        <v>292159.99999998166</v>
      </c>
      <c r="C22" s="42">
        <f>Jul!N23</f>
        <v>291000</v>
      </c>
      <c r="D22" s="42">
        <f>Jul!T23</f>
        <v>328.34999999962747</v>
      </c>
      <c r="E22" s="42">
        <f>Jul!V23</f>
        <v>0</v>
      </c>
      <c r="F22" s="42">
        <f>Jul!AB23</f>
        <v>100</v>
      </c>
      <c r="G22" s="42">
        <f>Jul!X23</f>
        <v>17371.649999999645</v>
      </c>
      <c r="H22" s="42">
        <f>Jul!AE23</f>
        <v>8500</v>
      </c>
      <c r="I22" s="42">
        <f>Jul!AI23</f>
        <v>14906.630000000727</v>
      </c>
      <c r="J22" s="42">
        <f>Jul!AN23</f>
        <v>6826.6300000007541</v>
      </c>
      <c r="K22" s="42">
        <f>Jul!AR23</f>
        <v>8500</v>
      </c>
      <c r="L22" s="42">
        <f>Jul!AZ23</f>
        <v>430</v>
      </c>
      <c r="M22" s="42">
        <f>Jul!BC23</f>
        <v>650</v>
      </c>
      <c r="N22" s="125">
        <f t="shared" si="3"/>
        <v>57613.260000000751</v>
      </c>
      <c r="O22" s="125">
        <f>Jul!CA23</f>
        <v>716.80000000003474</v>
      </c>
      <c r="P22" s="125">
        <f>Jul!CD23</f>
        <v>0</v>
      </c>
      <c r="Q22" s="125">
        <f>Jul!CF23</f>
        <v>7395</v>
      </c>
      <c r="R22" s="125">
        <f>Jul!CH23</f>
        <v>0</v>
      </c>
      <c r="S22" s="125">
        <f>Jul!CK23</f>
        <v>15519.829999998801</v>
      </c>
      <c r="T22" s="125">
        <f>Jul!CO23</f>
        <v>6314.6300000001747</v>
      </c>
      <c r="U22" s="125">
        <f>Jul!CS23</f>
        <v>7275.230000000035</v>
      </c>
      <c r="V22" s="126">
        <f t="shared" si="4"/>
        <v>37221.489999999045</v>
      </c>
      <c r="W22" s="126">
        <f>Jul!CW23</f>
        <v>953</v>
      </c>
      <c r="X22" s="126">
        <f>Jul!DA23</f>
        <v>536</v>
      </c>
      <c r="Y22" s="126">
        <f t="shared" si="1"/>
        <v>1489</v>
      </c>
      <c r="Z22" s="42">
        <f>Jul!BR23</f>
        <v>600.00000000002274</v>
      </c>
      <c r="AA22" s="126">
        <f>Jul!BG23</f>
        <v>2000</v>
      </c>
      <c r="AB22" s="126">
        <f>Jul!BJ23</f>
        <v>9399.9999999996362</v>
      </c>
      <c r="AC22" s="126">
        <f>Jul!BL23+Jul!BN23+Jul!BP23</f>
        <v>4979.99999999995</v>
      </c>
      <c r="AD22" s="126">
        <f>Jul!DR23</f>
        <v>11000</v>
      </c>
      <c r="AE22" s="127">
        <f>Jul!DT23-Jul!DR63-Jul!DT63</f>
        <v>10900</v>
      </c>
      <c r="AF22" s="127">
        <f>Jul!DR63+Jul!DT63</f>
        <v>0</v>
      </c>
      <c r="AG22" s="127">
        <f>Jul!HJ23-AE22</f>
        <v>31100</v>
      </c>
      <c r="AH22" s="127">
        <f>Jul!DW23</f>
        <v>4099.9999999985448</v>
      </c>
      <c r="AI22" s="127">
        <f>Jul!DZ23</f>
        <v>8206.6299999999992</v>
      </c>
      <c r="AJ22" s="127">
        <f>Jul!EC23</f>
        <v>25366.63</v>
      </c>
      <c r="AK22" s="127">
        <f t="shared" si="5"/>
        <v>37673.259999998547</v>
      </c>
      <c r="AL22" s="127">
        <f>Jul!EG23</f>
        <v>33366.630000000005</v>
      </c>
      <c r="AM22" s="127">
        <f>Jul!EJ23</f>
        <v>12206.63</v>
      </c>
      <c r="AN22" s="127">
        <f>Jul!EM23</f>
        <v>890.00000000010004</v>
      </c>
      <c r="AO22" s="127">
        <f t="shared" si="6"/>
        <v>46463.260000000104</v>
      </c>
      <c r="AP22" s="127">
        <f>Jul!FX23</f>
        <v>27300</v>
      </c>
      <c r="AQ22" s="127">
        <f>Jul!GA23</f>
        <v>6530.0000000000909</v>
      </c>
      <c r="AR22" s="127">
        <f>Jul!GG23</f>
        <v>9500</v>
      </c>
      <c r="AS22" s="127">
        <f t="shared" si="7"/>
        <v>43330.000000000087</v>
      </c>
      <c r="AT22" s="127">
        <f>Jul!EQ23</f>
        <v>5326.6300000000047</v>
      </c>
      <c r="AU22" s="127">
        <f>Jul!ET23</f>
        <v>17000</v>
      </c>
      <c r="AV22" s="127">
        <f>Jul!EW23</f>
        <v>8906.630000000272</v>
      </c>
      <c r="AW22" s="127">
        <f>Jul!FL60</f>
        <v>12526.629999999997</v>
      </c>
      <c r="AX22" s="127">
        <f>Jul!GJ23</f>
        <v>1500</v>
      </c>
      <c r="AY22" s="127">
        <f t="shared" si="8"/>
        <v>45259.890000000276</v>
      </c>
      <c r="AZ22" s="127">
        <f>Jul!FG23</f>
        <v>9726.6299999999937</v>
      </c>
      <c r="BA22" s="127">
        <f>Jul!FJ23</f>
        <v>19046.62999999891</v>
      </c>
      <c r="BB22" s="127">
        <f>Jul!FM60</f>
        <v>12526.629999999997</v>
      </c>
      <c r="BC22" s="127">
        <f>Jul!GM23</f>
        <v>0</v>
      </c>
      <c r="BD22" s="127">
        <f t="shared" si="9"/>
        <v>41299.889999998901</v>
      </c>
      <c r="BE22" s="127">
        <f>Jul!GP23</f>
        <v>2960</v>
      </c>
      <c r="BF22" s="127">
        <f>Jul!GS23</f>
        <v>870</v>
      </c>
      <c r="BG22" s="127">
        <f t="shared" si="10"/>
        <v>3830</v>
      </c>
      <c r="BH22" s="127"/>
      <c r="BI22" s="127"/>
      <c r="BJ22" s="127"/>
      <c r="BK22" s="127"/>
      <c r="BL22" s="128">
        <f t="shared" si="13"/>
        <v>44819.000000000087</v>
      </c>
      <c r="BM22" s="128"/>
      <c r="BN22" s="128"/>
      <c r="BO22" s="128"/>
      <c r="BP22" s="128"/>
      <c r="BQ22" s="128"/>
      <c r="BR22" s="128"/>
      <c r="BS22" s="128">
        <f t="shared" si="15"/>
        <v>3830</v>
      </c>
      <c r="BT22" s="42">
        <f>Jul!D61</f>
        <v>0</v>
      </c>
      <c r="BU22" s="42">
        <f>Jul!G62</f>
        <v>92000</v>
      </c>
      <c r="BV22" t="s">
        <v>382</v>
      </c>
      <c r="BW22" s="151"/>
      <c r="BX22" s="42">
        <f>Jul!HJ23</f>
        <v>42000</v>
      </c>
      <c r="BY22" s="42">
        <f>Jul!HM23</f>
        <v>0</v>
      </c>
      <c r="BZ22" s="42">
        <f>Jul!HP23</f>
        <v>14300.000000000364</v>
      </c>
      <c r="CA22" s="42">
        <f>Jul!HS23</f>
        <v>7500.0000000001819</v>
      </c>
      <c r="CB22" s="42">
        <f>Jul!HV23</f>
        <v>1999.9999999997272</v>
      </c>
      <c r="CC22" s="42">
        <f>Jul!HY23</f>
        <v>6200</v>
      </c>
      <c r="CD22" s="42">
        <f>Jul!IB23</f>
        <v>1100</v>
      </c>
      <c r="CE22" s="42">
        <f>Jul!IE23</f>
        <v>0</v>
      </c>
      <c r="CF22" s="42">
        <f>Jul!IH23</f>
        <v>10900</v>
      </c>
    </row>
    <row r="23" spans="1:84" x14ac:dyDescent="0.25">
      <c r="A23" s="26">
        <f t="shared" si="12"/>
        <v>17</v>
      </c>
      <c r="B23" s="42">
        <f>Jul!G24</f>
        <v>374080.00000001269</v>
      </c>
      <c r="C23" s="42">
        <f>Jul!N24</f>
        <v>370000</v>
      </c>
      <c r="D23" s="42">
        <f>Jul!T24</f>
        <v>311.5</v>
      </c>
      <c r="E23" s="42">
        <f>Jul!V24</f>
        <v>0</v>
      </c>
      <c r="F23" s="42">
        <f>Jul!AB24</f>
        <v>100</v>
      </c>
      <c r="G23" s="42">
        <f>Jul!X24</f>
        <v>17288.500000000728</v>
      </c>
      <c r="H23" s="42">
        <f>Jul!AE24</f>
        <v>8599.9999999994543</v>
      </c>
      <c r="I23" s="42">
        <f>Jul!AI24</f>
        <v>15852.749999998909</v>
      </c>
      <c r="J23" s="42">
        <f>Jul!AN24</f>
        <v>6862.749999999186</v>
      </c>
      <c r="K23" s="42">
        <f>Jul!AR24</f>
        <v>8200.0000000007276</v>
      </c>
      <c r="L23" s="42">
        <f>Jul!AZ24</f>
        <v>390</v>
      </c>
      <c r="M23" s="42">
        <f>Jul!BC24</f>
        <v>640</v>
      </c>
      <c r="N23" s="125">
        <f t="shared" si="3"/>
        <v>58245.499999999003</v>
      </c>
      <c r="O23" s="125">
        <f>Jul!CA24</f>
        <v>776.00000000001046</v>
      </c>
      <c r="P23" s="125">
        <f>Jul!CD24</f>
        <v>2441.6999999999534</v>
      </c>
      <c r="Q23" s="125">
        <f>Jul!CF24</f>
        <v>7772</v>
      </c>
      <c r="R23" s="125">
        <f>Jul!CH24</f>
        <v>0</v>
      </c>
      <c r="S23" s="125">
        <f>Jul!CK24</f>
        <v>15746.750000000789</v>
      </c>
      <c r="T23" s="125">
        <f>Jul!CO24</f>
        <v>6333.75000000004</v>
      </c>
      <c r="U23" s="125">
        <f>Jul!CS24</f>
        <v>7167.8499999999767</v>
      </c>
      <c r="V23" s="126">
        <f t="shared" si="4"/>
        <v>40238.050000000774</v>
      </c>
      <c r="W23" s="126">
        <f>Jul!CW24</f>
        <v>892</v>
      </c>
      <c r="X23" s="126">
        <f>Jul!DA24</f>
        <v>542</v>
      </c>
      <c r="Y23" s="126">
        <f t="shared" si="1"/>
        <v>1434</v>
      </c>
      <c r="Z23" s="42">
        <f>Jul!BR24</f>
        <v>600.00000000002274</v>
      </c>
      <c r="AA23" s="126">
        <f>Jul!BG24</f>
        <v>1400.0000000000909</v>
      </c>
      <c r="AB23" s="126">
        <f>Jul!BJ24</f>
        <v>9500</v>
      </c>
      <c r="AC23" s="126">
        <f>Jul!BL24+Jul!BN24+Jul!BP24</f>
        <v>4990.0000000000637</v>
      </c>
      <c r="AD23" s="126">
        <f>Jul!DR24</f>
        <v>12300</v>
      </c>
      <c r="AE23" s="127">
        <f>Jul!DT24-Jul!DR64-Jul!DT64</f>
        <v>16400</v>
      </c>
      <c r="AF23" s="127">
        <f>Jul!DR64+Jul!DT64</f>
        <v>0</v>
      </c>
      <c r="AG23" s="127">
        <f>Jul!HJ24-AE23</f>
        <v>105600</v>
      </c>
      <c r="AH23" s="127">
        <f>Jul!DW24</f>
        <v>4200.0000000007276</v>
      </c>
      <c r="AI23" s="127">
        <f>Jul!DZ24</f>
        <v>8152.75</v>
      </c>
      <c r="AJ23" s="127">
        <f>Jul!EC24</f>
        <v>25312.75</v>
      </c>
      <c r="AK23" s="127">
        <f t="shared" si="5"/>
        <v>37665.500000000728</v>
      </c>
      <c r="AL23" s="127">
        <f>Jul!EG24</f>
        <v>33312.75</v>
      </c>
      <c r="AM23" s="127">
        <f>Jul!EJ24</f>
        <v>11152.75</v>
      </c>
      <c r="AN23" s="127">
        <f>Jul!EM24</f>
        <v>869.99999999989086</v>
      </c>
      <c r="AO23" s="127">
        <f t="shared" si="6"/>
        <v>45335.499999999891</v>
      </c>
      <c r="AP23" s="127">
        <f>Jul!FX24</f>
        <v>26200</v>
      </c>
      <c r="AQ23" s="127">
        <f>Jul!GA24</f>
        <v>5890.0000000002728</v>
      </c>
      <c r="AR23" s="127">
        <f>Jul!GG24</f>
        <v>9300.0000000001819</v>
      </c>
      <c r="AS23" s="127">
        <f t="shared" si="7"/>
        <v>41390.000000000451</v>
      </c>
      <c r="AT23" s="127">
        <f>Jul!EQ24</f>
        <v>6267.7500000000091</v>
      </c>
      <c r="AU23" s="127">
        <f>Jul!ET24</f>
        <v>17000</v>
      </c>
      <c r="AV23" s="127">
        <f>Jul!EW24</f>
        <v>8752.7499999999091</v>
      </c>
      <c r="AW23" s="127">
        <f>Jul!FL61</f>
        <v>12205.25</v>
      </c>
      <c r="AX23" s="127">
        <f>Jul!GJ24</f>
        <v>1699.9999999998181</v>
      </c>
      <c r="AY23" s="127">
        <f t="shared" si="8"/>
        <v>45925.749999999731</v>
      </c>
      <c r="AZ23" s="127">
        <f>Jul!FG24</f>
        <v>9142.7499999999909</v>
      </c>
      <c r="BA23" s="127">
        <f>Jul!FJ24</f>
        <v>19057.750000001091</v>
      </c>
      <c r="BB23" s="127">
        <f>Jul!FM61</f>
        <v>12205.25</v>
      </c>
      <c r="BC23" s="127">
        <f>Jul!GM24</f>
        <v>0</v>
      </c>
      <c r="BD23" s="127">
        <f t="shared" si="9"/>
        <v>40405.750000001084</v>
      </c>
      <c r="BE23" s="127">
        <f>Jul!GP24</f>
        <v>2840</v>
      </c>
      <c r="BF23" s="127">
        <f>Jul!GS24</f>
        <v>810</v>
      </c>
      <c r="BG23" s="127">
        <f t="shared" si="10"/>
        <v>3650</v>
      </c>
      <c r="BH23" s="127"/>
      <c r="BI23" s="127"/>
      <c r="BJ23" s="127"/>
      <c r="BK23" s="127"/>
      <c r="BL23" s="128">
        <f t="shared" si="13"/>
        <v>42824.000000000451</v>
      </c>
      <c r="BM23" s="128"/>
      <c r="BN23" s="128"/>
      <c r="BO23" s="128"/>
      <c r="BP23" s="128"/>
      <c r="BQ23" s="128"/>
      <c r="BR23" s="128"/>
      <c r="BS23" s="128">
        <f t="shared" si="15"/>
        <v>3650</v>
      </c>
      <c r="BT23" s="42">
        <f>Jul!D62</f>
        <v>0</v>
      </c>
      <c r="BU23" s="42">
        <f>Jul!G63</f>
        <v>91000</v>
      </c>
      <c r="BV23" t="s">
        <v>382</v>
      </c>
      <c r="BX23" s="42">
        <f>Jul!HJ24</f>
        <v>122000</v>
      </c>
      <c r="BY23" s="42">
        <f>Jul!HM24</f>
        <v>0</v>
      </c>
      <c r="BZ23" s="42">
        <f>Jul!HP24</f>
        <v>36375</v>
      </c>
      <c r="CA23" s="42">
        <f>Jul!HS24</f>
        <v>17775.000000000091</v>
      </c>
      <c r="CB23" s="42">
        <f>Jul!HV24</f>
        <v>21675.000000000182</v>
      </c>
      <c r="CC23" s="42">
        <f>Jul!HY24</f>
        <v>17275.000000000091</v>
      </c>
      <c r="CD23" s="42">
        <f>Jul!IB24</f>
        <v>12500</v>
      </c>
      <c r="CE23" s="42">
        <f>Jul!IE24</f>
        <v>0</v>
      </c>
      <c r="CF23" s="42">
        <f>Jul!IH24</f>
        <v>16400</v>
      </c>
    </row>
    <row r="24" spans="1:84" x14ac:dyDescent="0.25">
      <c r="A24" s="26">
        <f t="shared" si="12"/>
        <v>18</v>
      </c>
      <c r="B24" s="42">
        <f>Jul!G25</f>
        <v>385279.99999999523</v>
      </c>
      <c r="C24" s="42">
        <f>Jul!N25</f>
        <v>382000</v>
      </c>
      <c r="D24" s="42">
        <f>Jul!T25</f>
        <v>258.54000000096858</v>
      </c>
      <c r="E24" s="42">
        <f>Jul!V25</f>
        <v>0</v>
      </c>
      <c r="F24" s="42">
        <f>Jul!AB25</f>
        <v>0</v>
      </c>
      <c r="G24" s="42">
        <f>Jul!X25</f>
        <v>18241.459999999031</v>
      </c>
      <c r="H24" s="42">
        <f>Jul!AE25</f>
        <v>8500</v>
      </c>
      <c r="I24" s="42">
        <f>Jul!AI25</f>
        <v>14732.37</v>
      </c>
      <c r="J24" s="42">
        <f>Jul!AN25</f>
        <v>6382.3700000011968</v>
      </c>
      <c r="K24" s="42">
        <f>Jul!AR25</f>
        <v>7500</v>
      </c>
      <c r="L24" s="42">
        <f>Jul!AZ25</f>
        <v>390</v>
      </c>
      <c r="M24" s="42">
        <f>Jul!BC25</f>
        <v>600</v>
      </c>
      <c r="N24" s="125">
        <f t="shared" si="3"/>
        <v>56604.740000001198</v>
      </c>
      <c r="O24" s="125">
        <f>Jul!CA25</f>
        <v>792.39999999998645</v>
      </c>
      <c r="P24" s="125">
        <f>Jul!CD25</f>
        <v>2879.3000000000466</v>
      </c>
      <c r="Q24" s="125">
        <f>Jul!CF25</f>
        <v>6664</v>
      </c>
      <c r="R24" s="125">
        <f>Jul!CH25</f>
        <v>0</v>
      </c>
      <c r="S24" s="125">
        <f>Jul!CK25</f>
        <v>14799.970000000596</v>
      </c>
      <c r="T24" s="125">
        <f>Jul!CO25</f>
        <v>5922.3700000000545</v>
      </c>
      <c r="U24" s="125">
        <f>Jul!CS25</f>
        <v>6601.5700000000115</v>
      </c>
      <c r="V24" s="126">
        <f t="shared" si="4"/>
        <v>37659.610000000699</v>
      </c>
      <c r="W24" s="126">
        <f>Jul!CW25</f>
        <v>1012</v>
      </c>
      <c r="X24" s="126">
        <f>Jul!DA25</f>
        <v>570</v>
      </c>
      <c r="Y24" s="126">
        <f t="shared" si="1"/>
        <v>1582</v>
      </c>
      <c r="Z24" s="42">
        <f>Jul!BR25</f>
        <v>799.99999999995453</v>
      </c>
      <c r="AA24" s="126">
        <f>Jul!BG25</f>
        <v>1599.9999999999091</v>
      </c>
      <c r="AB24" s="126">
        <f>Jul!BJ25</f>
        <v>8600.0000000003638</v>
      </c>
      <c r="AC24" s="126">
        <f>Jul!BL25+Jul!BN25+Jul!BP25</f>
        <v>4849.9999999999409</v>
      </c>
      <c r="AD24" s="126">
        <f>Jul!DR25</f>
        <v>11500</v>
      </c>
      <c r="AE24" s="127">
        <f>Jul!DT25-Jul!DR65-Jul!DT65</f>
        <v>17100</v>
      </c>
      <c r="AF24" s="127">
        <f>Jul!DR65+Jul!DT65</f>
        <v>0</v>
      </c>
      <c r="AG24" s="127">
        <f>Jul!HJ25-AE24</f>
        <v>117900</v>
      </c>
      <c r="AH24" s="127">
        <f>Jul!DW25</f>
        <v>4000</v>
      </c>
      <c r="AI24" s="127">
        <f>Jul!DZ25</f>
        <v>7732.37</v>
      </c>
      <c r="AJ24" s="127">
        <f>Jul!EC25</f>
        <v>24892.37</v>
      </c>
      <c r="AK24" s="127">
        <f t="shared" si="5"/>
        <v>36624.74</v>
      </c>
      <c r="AL24" s="127">
        <f>Jul!EG25</f>
        <v>32892.369999999995</v>
      </c>
      <c r="AM24" s="127">
        <f>Jul!EJ25</f>
        <v>11732.37</v>
      </c>
      <c r="AN24" s="127">
        <f>Jul!EM25</f>
        <v>880.00000000010914</v>
      </c>
      <c r="AO24" s="127">
        <f t="shared" si="6"/>
        <v>45504.740000000107</v>
      </c>
      <c r="AP24" s="127">
        <f>Jul!FX25</f>
        <v>29600</v>
      </c>
      <c r="AQ24" s="127">
        <f>Jul!GA25</f>
        <v>6699.9999999999091</v>
      </c>
      <c r="AR24" s="127">
        <f>Jul!GG25</f>
        <v>11299.999999999727</v>
      </c>
      <c r="AS24" s="127">
        <f t="shared" si="7"/>
        <v>47599.999999999636</v>
      </c>
      <c r="AT24" s="127">
        <f>Jul!EQ25</f>
        <v>4842.3700000000135</v>
      </c>
      <c r="AU24" s="127">
        <f>Jul!ET25</f>
        <v>17000</v>
      </c>
      <c r="AV24" s="127">
        <f>Jul!EW25</f>
        <v>8832.3699999999099</v>
      </c>
      <c r="AW24" s="127">
        <f>Jul!FL62</f>
        <v>11584.035</v>
      </c>
      <c r="AX24" s="127">
        <f>Jul!GJ25</f>
        <v>1700.0000000002728</v>
      </c>
      <c r="AY24" s="127">
        <f t="shared" si="8"/>
        <v>43958.775000000198</v>
      </c>
      <c r="AZ24" s="127">
        <f>Jul!FG25</f>
        <v>9325.6999999999862</v>
      </c>
      <c r="BA24" s="127">
        <f>Jul!FJ25</f>
        <v>18435.7</v>
      </c>
      <c r="BB24" s="127">
        <f>Jul!FM62</f>
        <v>11584.035</v>
      </c>
      <c r="BC24" s="127">
        <f>Jul!GM25</f>
        <v>0</v>
      </c>
      <c r="BD24" s="127">
        <f t="shared" si="9"/>
        <v>39345.434999999983</v>
      </c>
      <c r="BE24" s="127">
        <f>Jul!GP25</f>
        <v>3150</v>
      </c>
      <c r="BF24" s="127">
        <f>Jul!GS25</f>
        <v>900</v>
      </c>
      <c r="BG24" s="127">
        <f t="shared" si="10"/>
        <v>4050</v>
      </c>
      <c r="BH24" s="127"/>
      <c r="BI24" s="127"/>
      <c r="BJ24" s="127"/>
      <c r="BK24" s="127"/>
      <c r="BL24" s="128">
        <f t="shared" si="13"/>
        <v>49181.999999999636</v>
      </c>
      <c r="BM24" s="128"/>
      <c r="BN24" s="128"/>
      <c r="BO24" s="128"/>
      <c r="BP24" s="128"/>
      <c r="BQ24" s="128"/>
      <c r="BR24" s="128"/>
      <c r="BS24" s="128">
        <f t="shared" si="15"/>
        <v>4050</v>
      </c>
      <c r="BT24" s="42">
        <f>Jul!D63</f>
        <v>0</v>
      </c>
      <c r="BU24" s="42">
        <f>Jul!G64</f>
        <v>90000</v>
      </c>
      <c r="BV24" t="s">
        <v>382</v>
      </c>
      <c r="BX24" s="42">
        <f>Jul!HJ25</f>
        <v>135000</v>
      </c>
      <c r="BY24" s="42">
        <f>Jul!HM25</f>
        <v>0</v>
      </c>
      <c r="BZ24" s="42">
        <f>Jul!HP25</f>
        <v>37400.000000000182</v>
      </c>
      <c r="CA24" s="42">
        <f>Jul!HS25</f>
        <v>19100</v>
      </c>
      <c r="CB24" s="42">
        <f>Jul!HV25</f>
        <v>26299.999999999818</v>
      </c>
      <c r="CC24" s="42">
        <f>Jul!HY25</f>
        <v>21400.000000000182</v>
      </c>
      <c r="CD24" s="42">
        <f>Jul!IB25</f>
        <v>13700</v>
      </c>
      <c r="CE24" s="42">
        <f>Jul!IE25</f>
        <v>0</v>
      </c>
      <c r="CF24" s="42">
        <f>Jul!IH25</f>
        <v>17100</v>
      </c>
    </row>
    <row r="25" spans="1:84" x14ac:dyDescent="0.25">
      <c r="A25" s="26">
        <f t="shared" si="12"/>
        <v>19</v>
      </c>
      <c r="B25" s="42">
        <f>Jul!G26</f>
        <v>386240.00000001618</v>
      </c>
      <c r="C25" s="42">
        <f>Jul!N26</f>
        <v>384000</v>
      </c>
      <c r="D25" s="42">
        <f>Jul!T26</f>
        <v>296.75999999977648</v>
      </c>
      <c r="E25" s="42">
        <f>Jul!V26</f>
        <v>0</v>
      </c>
      <c r="F25" s="42">
        <f>Jul!AB26</f>
        <v>100</v>
      </c>
      <c r="G25" s="42">
        <f>Jul!X26</f>
        <v>17603.240000000224</v>
      </c>
      <c r="H25" s="42">
        <f>Jul!AE26</f>
        <v>8699.9999999998181</v>
      </c>
      <c r="I25" s="42">
        <f>Jul!AI26</f>
        <v>16062.560000001455</v>
      </c>
      <c r="J25" s="42">
        <f>Jul!AN26</f>
        <v>6902.5599999999586</v>
      </c>
      <c r="K25" s="42">
        <f>Jul!AR26</f>
        <v>7799.9999999992724</v>
      </c>
      <c r="L25" s="42">
        <f>Jul!AZ26</f>
        <v>380</v>
      </c>
      <c r="M25" s="42">
        <f>Jul!BC26</f>
        <v>640</v>
      </c>
      <c r="N25" s="125">
        <f t="shared" si="3"/>
        <v>58485.120000000505</v>
      </c>
      <c r="O25" s="125">
        <f>Jul!CA26</f>
        <v>706.00000000001728</v>
      </c>
      <c r="P25" s="125">
        <f>Jul!CD26</f>
        <v>266.19999999995343</v>
      </c>
      <c r="Q25" s="125">
        <f>Jul!CF26</f>
        <v>6015</v>
      </c>
      <c r="R25" s="125">
        <f>Jul!CH26</f>
        <v>0</v>
      </c>
      <c r="S25" s="125">
        <f>Jul!CK26</f>
        <v>14976.559999998601</v>
      </c>
      <c r="T25" s="125">
        <f>Jul!CO26</f>
        <v>5628.5599999998949</v>
      </c>
      <c r="U25" s="125">
        <f>Jul!CS26</f>
        <v>6958.9600000000237</v>
      </c>
      <c r="V25" s="126">
        <f t="shared" si="4"/>
        <v>34551.279999998493</v>
      </c>
      <c r="W25" s="126">
        <f>Jul!CW26</f>
        <v>996</v>
      </c>
      <c r="X25" s="126">
        <f>Jul!DA26</f>
        <v>532</v>
      </c>
      <c r="Y25" s="126">
        <f t="shared" si="1"/>
        <v>1528</v>
      </c>
      <c r="Z25" s="42">
        <f>Jul!BR26</f>
        <v>399.99999999997726</v>
      </c>
      <c r="AA25" s="126">
        <f>Jul!BG26</f>
        <v>1500</v>
      </c>
      <c r="AB25" s="126">
        <f>Jul!BJ26</f>
        <v>9100.0000000003638</v>
      </c>
      <c r="AC25" s="126">
        <f>Jul!BL26+Jul!BN26+Jul!BP26</f>
        <v>4860.0000000000637</v>
      </c>
      <c r="AD25" s="126">
        <f>Jul!DR26</f>
        <v>10400</v>
      </c>
      <c r="AE25" s="127">
        <f>Jul!DT26-Jul!DR66-Jul!DT66</f>
        <v>18100</v>
      </c>
      <c r="AF25" s="127">
        <f>Jul!DR66+Jul!DT66</f>
        <v>0</v>
      </c>
      <c r="AG25" s="127">
        <f>Jul!HJ26-AE25</f>
        <v>127900</v>
      </c>
      <c r="AH25" s="127">
        <f>Jul!DW26</f>
        <v>4200.0000000007276</v>
      </c>
      <c r="AI25" s="127">
        <f>Jul!DZ26</f>
        <v>8162.56</v>
      </c>
      <c r="AJ25" s="127">
        <f>Jul!EC26</f>
        <v>27322.560000000001</v>
      </c>
      <c r="AK25" s="127">
        <f t="shared" si="5"/>
        <v>39685.12000000073</v>
      </c>
      <c r="AL25" s="127">
        <f>Jul!EG26</f>
        <v>33322.559999999998</v>
      </c>
      <c r="AM25" s="127">
        <f>Jul!EJ26</f>
        <v>10162.56</v>
      </c>
      <c r="AN25" s="127">
        <f>Jul!EM26</f>
        <v>909.99999999996817</v>
      </c>
      <c r="AO25" s="127">
        <f t="shared" si="6"/>
        <v>44395.119999999966</v>
      </c>
      <c r="AP25" s="127">
        <f>Jul!FX26</f>
        <v>26700</v>
      </c>
      <c r="AQ25" s="127">
        <f>Jul!GA26</f>
        <v>6359.9999999997272</v>
      </c>
      <c r="AR25" s="127">
        <f>Jul!GG26</f>
        <v>10100.000000000364</v>
      </c>
      <c r="AS25" s="127">
        <f t="shared" si="7"/>
        <v>43160.000000000087</v>
      </c>
      <c r="AT25" s="127">
        <f>Jul!EQ26</f>
        <v>6272.560000000014</v>
      </c>
      <c r="AU25" s="127">
        <f>Jul!ET26</f>
        <v>10000</v>
      </c>
      <c r="AV25" s="127">
        <f>Jul!EW26</f>
        <v>9462.5599999997266</v>
      </c>
      <c r="AW25" s="127">
        <f>Jul!FL63</f>
        <v>11764.224999999999</v>
      </c>
      <c r="AX25" s="127">
        <f>Jul!GJ26</f>
        <v>1899.9999999996362</v>
      </c>
      <c r="AY25" s="127">
        <f t="shared" si="8"/>
        <v>39399.344999999375</v>
      </c>
      <c r="AZ25" s="127">
        <f>Jul!FG26</f>
        <v>9255.8899999999849</v>
      </c>
      <c r="BA25" s="127">
        <f>Jul!FJ26</f>
        <v>19865.890000000003</v>
      </c>
      <c r="BB25" s="127">
        <f>Jul!FM63</f>
        <v>11764.224999999999</v>
      </c>
      <c r="BC25" s="127">
        <f>Jul!GM26</f>
        <v>0</v>
      </c>
      <c r="BD25" s="127">
        <f t="shared" si="9"/>
        <v>40886.00499999999</v>
      </c>
      <c r="BE25" s="127">
        <f>Jul!GP26</f>
        <v>2950</v>
      </c>
      <c r="BF25" s="127">
        <f>Jul!GS26</f>
        <v>940</v>
      </c>
      <c r="BG25" s="127">
        <f t="shared" si="10"/>
        <v>3890</v>
      </c>
      <c r="BH25" s="127"/>
      <c r="BI25" s="127"/>
      <c r="BJ25" s="127"/>
      <c r="BK25" s="127"/>
      <c r="BL25" s="128">
        <f t="shared" si="13"/>
        <v>44688.000000000087</v>
      </c>
      <c r="BM25" s="128"/>
      <c r="BN25" s="128"/>
      <c r="BO25" s="128"/>
      <c r="BP25" s="128"/>
      <c r="BQ25" s="128"/>
      <c r="BR25" s="128"/>
      <c r="BS25" s="128">
        <f t="shared" si="15"/>
        <v>3890</v>
      </c>
      <c r="BT25" s="42">
        <f>Jul!D64</f>
        <v>0</v>
      </c>
      <c r="BU25" s="42">
        <f>Jul!G65</f>
        <v>92000</v>
      </c>
      <c r="BV25" t="s">
        <v>382</v>
      </c>
      <c r="BX25" s="42">
        <f>Jul!HJ26</f>
        <v>146000</v>
      </c>
      <c r="BY25" s="42">
        <f>Jul!HM26</f>
        <v>0</v>
      </c>
      <c r="BZ25" s="42">
        <f>Jul!HP26</f>
        <v>40274.999999999272</v>
      </c>
      <c r="CA25" s="42">
        <f>Jul!HS26</f>
        <v>20875.000000000091</v>
      </c>
      <c r="CB25" s="42">
        <f>Jul!HV26</f>
        <v>26074.999999999909</v>
      </c>
      <c r="CC25" s="42">
        <f>Jul!HY26</f>
        <v>23074.999999999909</v>
      </c>
      <c r="CD25" s="42">
        <f>Jul!IB26</f>
        <v>17600</v>
      </c>
      <c r="CE25" s="42">
        <f>Jul!IE26</f>
        <v>0</v>
      </c>
      <c r="CF25" s="42">
        <f>Jul!IH26</f>
        <v>18100</v>
      </c>
    </row>
    <row r="26" spans="1:84" x14ac:dyDescent="0.25">
      <c r="A26" s="26">
        <f t="shared" si="12"/>
        <v>20</v>
      </c>
      <c r="B26" s="42">
        <f>Jul!G27</f>
        <v>337599.99999999127</v>
      </c>
      <c r="C26" s="42">
        <f>Jul!N27</f>
        <v>336000</v>
      </c>
      <c r="D26" s="42">
        <f>Jul!T27</f>
        <v>292.12999999895692</v>
      </c>
      <c r="E26" s="42">
        <f>Jul!V27</f>
        <v>0</v>
      </c>
      <c r="F26" s="42">
        <f>Jul!AB27</f>
        <v>100</v>
      </c>
      <c r="G26" s="42">
        <f>Jul!X27</f>
        <v>18607.870000001043</v>
      </c>
      <c r="H26" s="42">
        <f>Jul!AE27</f>
        <v>8400.0000000005457</v>
      </c>
      <c r="I26" s="42">
        <f>Jul!AI27</f>
        <v>14945.61</v>
      </c>
      <c r="J26" s="42">
        <f>Jul!AN27</f>
        <v>6195.6099999989137</v>
      </c>
      <c r="K26" s="42">
        <f>Jul!AR27</f>
        <v>7399.9999999996362</v>
      </c>
      <c r="L26" s="42">
        <f>Jul!AZ27</f>
        <v>350</v>
      </c>
      <c r="M26" s="42">
        <f>Jul!BC27</f>
        <v>560</v>
      </c>
      <c r="N26" s="125">
        <f t="shared" si="3"/>
        <v>56851.219999999099</v>
      </c>
      <c r="O26" s="125">
        <f>Jul!CA27</f>
        <v>371.60000000000082</v>
      </c>
      <c r="P26" s="125">
        <f>Jul!CD27</f>
        <v>1105.5</v>
      </c>
      <c r="Q26" s="125">
        <f>Jul!CF27</f>
        <v>3156</v>
      </c>
      <c r="R26" s="125">
        <f>Jul!CH27</f>
        <v>0</v>
      </c>
      <c r="S26" s="125">
        <f>Jul!CK27</f>
        <v>8444.0100000008006</v>
      </c>
      <c r="T26" s="125">
        <f>Jul!CO27</f>
        <v>2597.6100000000438</v>
      </c>
      <c r="U26" s="125">
        <f>Jul!CS27</f>
        <v>3086.0099999999652</v>
      </c>
      <c r="V26" s="126">
        <f t="shared" si="4"/>
        <v>18760.730000000811</v>
      </c>
      <c r="W26" s="126">
        <f>Jul!CW27</f>
        <v>4834</v>
      </c>
      <c r="X26" s="126">
        <f>Jul!DA27</f>
        <v>3553</v>
      </c>
      <c r="Y26" s="126">
        <f t="shared" si="1"/>
        <v>8387</v>
      </c>
      <c r="Z26" s="42">
        <f>Jul!BR27</f>
        <v>200.00000000004547</v>
      </c>
      <c r="AA26" s="126">
        <f>Jul!BG27</f>
        <v>1400.0000000000909</v>
      </c>
      <c r="AB26" s="126">
        <f>Jul!BJ27</f>
        <v>9099.9999999985448</v>
      </c>
      <c r="AC26" s="126">
        <f>Jul!BL27+Jul!BN27+Jul!BP27</f>
        <v>4749.99999999995</v>
      </c>
      <c r="AD26" s="126">
        <f>Jul!DR27</f>
        <v>7400</v>
      </c>
      <c r="AE26" s="127">
        <f>Jul!DT27-Jul!DR67-Jul!DT67</f>
        <v>22200</v>
      </c>
      <c r="AF26" s="127">
        <f>Jul!DR67+Jul!DT67</f>
        <v>0</v>
      </c>
      <c r="AG26" s="127">
        <f>Jul!HJ27-AE26</f>
        <v>116800</v>
      </c>
      <c r="AH26" s="127">
        <f>Jul!DW27</f>
        <v>4000</v>
      </c>
      <c r="AI26" s="127">
        <f>Jul!DZ27</f>
        <v>6945.61</v>
      </c>
      <c r="AJ26" s="127">
        <f>Jul!EC27</f>
        <v>25105.61</v>
      </c>
      <c r="AK26" s="127">
        <f t="shared" si="5"/>
        <v>36051.22</v>
      </c>
      <c r="AL26" s="127">
        <f>Jul!EG27</f>
        <v>33105.61</v>
      </c>
      <c r="AM26" s="127">
        <f>Jul!EJ27</f>
        <v>11945.61</v>
      </c>
      <c r="AN26" s="127">
        <f>Jul!EM27</f>
        <v>899.99999999997726</v>
      </c>
      <c r="AO26" s="127">
        <f t="shared" si="6"/>
        <v>45951.219999999979</v>
      </c>
      <c r="AP26" s="127">
        <f>Jul!FX27</f>
        <v>13700</v>
      </c>
      <c r="AQ26" s="127">
        <f>Jul!GA27</f>
        <v>3940</v>
      </c>
      <c r="AR26" s="127">
        <f>Jul!GG27</f>
        <v>5049.9999999997272</v>
      </c>
      <c r="AS26" s="127">
        <f t="shared" si="7"/>
        <v>22689.999999999727</v>
      </c>
      <c r="AT26" s="127">
        <f>Jul!EQ27</f>
        <v>6060.6099999999515</v>
      </c>
      <c r="AU26" s="127">
        <f>Jul!ET27</f>
        <v>8000</v>
      </c>
      <c r="AV26" s="127">
        <f>Jul!EW27</f>
        <v>9545.6100000003644</v>
      </c>
      <c r="AW26" s="127">
        <f>Jul!FL64</f>
        <v>10398.11</v>
      </c>
      <c r="AX26" s="127">
        <f>Jul!GJ27</f>
        <v>1800.0000000001819</v>
      </c>
      <c r="AY26" s="127">
        <f t="shared" si="8"/>
        <v>35804.330000000497</v>
      </c>
      <c r="AZ26" s="127">
        <f>Jul!FG27</f>
        <v>8735.6100000000479</v>
      </c>
      <c r="BA26" s="127">
        <f>Jul!FJ27</f>
        <v>20250.609999999637</v>
      </c>
      <c r="BB26" s="127">
        <f>Jul!FM64</f>
        <v>10398.11</v>
      </c>
      <c r="BC26" s="127">
        <f>Jul!GM27</f>
        <v>1150.0000000000909</v>
      </c>
      <c r="BD26" s="127">
        <f t="shared" si="9"/>
        <v>40534.329999999769</v>
      </c>
      <c r="BE26" s="127">
        <f>Jul!GP27</f>
        <v>2160</v>
      </c>
      <c r="BF26" s="127">
        <f>Jul!GS27</f>
        <v>560</v>
      </c>
      <c r="BG26" s="127">
        <f t="shared" si="10"/>
        <v>2720</v>
      </c>
      <c r="BH26" s="127"/>
      <c r="BI26" s="127"/>
      <c r="BJ26" s="127"/>
      <c r="BK26" s="127"/>
      <c r="BL26" s="128">
        <f t="shared" si="13"/>
        <v>31076.999999999727</v>
      </c>
      <c r="BM26" s="128"/>
      <c r="BN26" s="128"/>
      <c r="BO26" s="128"/>
      <c r="BP26" s="128"/>
      <c r="BQ26" s="128"/>
      <c r="BR26" s="128"/>
      <c r="BS26" s="128">
        <f t="shared" si="15"/>
        <v>2720</v>
      </c>
      <c r="BT26" s="42">
        <f>Jul!D65</f>
        <v>0</v>
      </c>
      <c r="BU26" s="42">
        <f>Jul!G66</f>
        <v>92000</v>
      </c>
      <c r="BV26" t="s">
        <v>382</v>
      </c>
      <c r="BX26" s="42">
        <f>Jul!HJ27</f>
        <v>139000</v>
      </c>
      <c r="BY26" s="42">
        <f>Jul!HM27</f>
        <v>0</v>
      </c>
      <c r="BZ26" s="42">
        <f>Jul!HP27</f>
        <v>37300.000000000546</v>
      </c>
      <c r="CA26" s="42">
        <f>Jul!HS27</f>
        <v>22199.999999999727</v>
      </c>
      <c r="CB26" s="42">
        <f>Jul!HV27</f>
        <v>26900</v>
      </c>
      <c r="CC26" s="42">
        <f>Jul!HY27</f>
        <v>22999.999999999909</v>
      </c>
      <c r="CD26" s="42">
        <f>Jul!IB27</f>
        <v>7400</v>
      </c>
      <c r="CE26" s="42">
        <f>Jul!IE27</f>
        <v>0</v>
      </c>
      <c r="CF26" s="42">
        <f>Jul!IH27</f>
        <v>22200</v>
      </c>
    </row>
    <row r="27" spans="1:84" x14ac:dyDescent="0.25">
      <c r="A27" s="26">
        <f t="shared" si="12"/>
        <v>21</v>
      </c>
      <c r="B27" s="42">
        <f>Jul!G28</f>
        <v>415999.99999999272</v>
      </c>
      <c r="C27" s="42">
        <f>Jul!N28</f>
        <v>413000</v>
      </c>
      <c r="D27" s="42">
        <f>Jul!T28</f>
        <v>278</v>
      </c>
      <c r="E27" s="42">
        <f>Jul!V28</f>
        <v>0</v>
      </c>
      <c r="F27" s="42">
        <f>Jul!AB28</f>
        <v>100</v>
      </c>
      <c r="G27" s="42">
        <f>Jul!X28</f>
        <v>17622</v>
      </c>
      <c r="H27" s="42">
        <f>Jul!AE28</f>
        <v>8899.9999999996362</v>
      </c>
      <c r="I27" s="42">
        <f>Jul!AI28</f>
        <v>15775.239999999272</v>
      </c>
      <c r="J27" s="42">
        <f>Jul!AN28</f>
        <v>5595.240000001023</v>
      </c>
      <c r="K27" s="42">
        <f>Jul!AR28</f>
        <v>7600.0000000003638</v>
      </c>
      <c r="L27" s="42">
        <f>Jul!AZ28</f>
        <v>330</v>
      </c>
      <c r="M27" s="42">
        <f>Jul!BC28</f>
        <v>630</v>
      </c>
      <c r="N27" s="125">
        <f t="shared" si="3"/>
        <v>56830.480000000294</v>
      </c>
      <c r="O27" s="125">
        <f>Jul!CA28</f>
        <v>687.99999999998818</v>
      </c>
      <c r="P27" s="125">
        <f>Jul!CD28</f>
        <v>1474.5999999999767</v>
      </c>
      <c r="Q27" s="125">
        <f>Jul!CF28</f>
        <v>6352</v>
      </c>
      <c r="R27" s="125">
        <f>Jul!CH28</f>
        <v>0</v>
      </c>
      <c r="S27" s="125">
        <f>Jul!CK28</f>
        <v>16257.239999999358</v>
      </c>
      <c r="T27" s="125">
        <f>Jul!CO28</f>
        <v>8225.24</v>
      </c>
      <c r="U27" s="125">
        <f>Jul!CS28</f>
        <v>7973.0399999999881</v>
      </c>
      <c r="V27" s="126">
        <f t="shared" si="4"/>
        <v>40970.119999999311</v>
      </c>
      <c r="W27" s="126">
        <f>Jul!CW28</f>
        <v>14317</v>
      </c>
      <c r="X27" s="126">
        <f>Jul!DA28</f>
        <v>8300</v>
      </c>
      <c r="Y27" s="126">
        <f t="shared" si="1"/>
        <v>22617</v>
      </c>
      <c r="Z27" s="42">
        <f>Jul!BR28</f>
        <v>600.00000000002274</v>
      </c>
      <c r="AA27" s="126">
        <f>Jul!BG28</f>
        <v>1699.9999999998181</v>
      </c>
      <c r="AB27" s="126">
        <f>Jul!BJ28</f>
        <v>9800.0000000010914</v>
      </c>
      <c r="AC27" s="126">
        <f>Jul!BL28+Jul!BN28+Jul!BP28</f>
        <v>5080.0000000000455</v>
      </c>
      <c r="AD27" s="126">
        <f>Jul!DR28</f>
        <v>11000</v>
      </c>
      <c r="AE27" s="127">
        <f>Jul!DT28-Jul!DR68-Jul!DT68</f>
        <v>20700</v>
      </c>
      <c r="AF27" s="127">
        <f>Jul!DR68+Jul!DT68</f>
        <v>0</v>
      </c>
      <c r="AG27" s="127">
        <f>Jul!HJ28-AE27</f>
        <v>140300</v>
      </c>
      <c r="AH27" s="127">
        <f>Jul!DW28</f>
        <v>4399.9999999996362</v>
      </c>
      <c r="AI27" s="127">
        <f>Jul!DZ28</f>
        <v>8475.24</v>
      </c>
      <c r="AJ27" s="127">
        <f>Jul!EC28</f>
        <v>25635.24</v>
      </c>
      <c r="AK27" s="127">
        <f t="shared" si="5"/>
        <v>38510.479999999639</v>
      </c>
      <c r="AL27" s="127">
        <f>Jul!EG28</f>
        <v>31635.24</v>
      </c>
      <c r="AM27" s="127">
        <f>Jul!EJ28</f>
        <v>12475.24</v>
      </c>
      <c r="AN27" s="127">
        <f>Jul!EM28</f>
        <v>710.00000000003638</v>
      </c>
      <c r="AO27" s="127">
        <f t="shared" si="6"/>
        <v>44820.48000000004</v>
      </c>
      <c r="AP27" s="127">
        <f>Jul!FX28</f>
        <v>17200</v>
      </c>
      <c r="AQ27" s="127">
        <f>Jul!GA28</f>
        <v>4300</v>
      </c>
      <c r="AR27" s="127">
        <f>Jul!GG28</f>
        <v>4499.9999999997726</v>
      </c>
      <c r="AS27" s="127">
        <f t="shared" si="7"/>
        <v>25999.999999999774</v>
      </c>
      <c r="AT27" s="127">
        <f>Jul!EQ28</f>
        <v>6595.2400000000043</v>
      </c>
      <c r="AU27" s="127">
        <f>Jul!ET28</f>
        <v>12000</v>
      </c>
      <c r="AV27" s="127">
        <f>Jul!EW28</f>
        <v>9875.239999999636</v>
      </c>
      <c r="AW27" s="127">
        <f>Jul!FL65</f>
        <v>12778.575000000001</v>
      </c>
      <c r="AX27" s="127">
        <f>Jul!GJ28</f>
        <v>1900.0000000000909</v>
      </c>
      <c r="AY27" s="127">
        <f t="shared" si="8"/>
        <v>43149.054999999731</v>
      </c>
      <c r="AZ27" s="127">
        <f>Jul!FG28</f>
        <v>10961.909999999996</v>
      </c>
      <c r="BA27" s="127">
        <f>Jul!FJ28</f>
        <v>18381.909999999272</v>
      </c>
      <c r="BB27" s="127">
        <f>Jul!FM65</f>
        <v>12778.575000000001</v>
      </c>
      <c r="BC27" s="127">
        <f>Jul!GM28</f>
        <v>1600.0000000001364</v>
      </c>
      <c r="BD27" s="127">
        <f t="shared" si="9"/>
        <v>43722.394999999407</v>
      </c>
      <c r="BE27" s="127">
        <f>Jul!GP28</f>
        <v>0</v>
      </c>
      <c r="BF27" s="127">
        <f>Jul!GS28</f>
        <v>200</v>
      </c>
      <c r="BG27" s="127">
        <f t="shared" si="10"/>
        <v>200</v>
      </c>
      <c r="BH27" s="127">
        <f t="shared" ref="BH27:BH36" si="16">Y27</f>
        <v>22617</v>
      </c>
      <c r="BI27" s="127"/>
      <c r="BJ27" s="127"/>
      <c r="BK27" s="127"/>
      <c r="BL27" s="128"/>
      <c r="BM27" s="128">
        <f>AS27+BG27</f>
        <v>26199.999999999774</v>
      </c>
      <c r="BN27" s="128"/>
      <c r="BO27" s="128"/>
      <c r="BP27" s="128"/>
      <c r="BQ27" s="128"/>
      <c r="BR27" s="128"/>
      <c r="BS27" s="128"/>
      <c r="BT27" s="42">
        <f>Jul!D66</f>
        <v>0</v>
      </c>
      <c r="BU27" s="42">
        <f>Jul!G67</f>
        <v>90000</v>
      </c>
      <c r="BV27" t="s">
        <v>383</v>
      </c>
      <c r="BX27" s="42">
        <f>Jul!HJ28</f>
        <v>161000</v>
      </c>
      <c r="BY27" s="42">
        <f>Jul!HM28</f>
        <v>0</v>
      </c>
      <c r="BZ27" s="42">
        <f>Jul!HP28</f>
        <v>42424.999999999636</v>
      </c>
      <c r="CA27" s="42">
        <f>Jul!HS28</f>
        <v>24325.000000000182</v>
      </c>
      <c r="CB27" s="42">
        <f>Jul!HV28</f>
        <v>27325.000000000182</v>
      </c>
      <c r="CC27" s="42">
        <f>Jul!HY28</f>
        <v>24124.999999999909</v>
      </c>
      <c r="CD27" s="42">
        <f>Jul!IB28</f>
        <v>22100</v>
      </c>
      <c r="CE27" s="42">
        <f>Jul!IE28</f>
        <v>0</v>
      </c>
      <c r="CF27" s="42">
        <f>Jul!IH28</f>
        <v>20700</v>
      </c>
    </row>
    <row r="28" spans="1:84" x14ac:dyDescent="0.25">
      <c r="A28" s="26">
        <f t="shared" si="12"/>
        <v>22</v>
      </c>
      <c r="B28" s="42">
        <f>Jul!G29</f>
        <v>429760.00000001659</v>
      </c>
      <c r="C28" s="42">
        <f>Jul!N29</f>
        <v>420000</v>
      </c>
      <c r="D28" s="42">
        <f>Jul!T29</f>
        <v>296.78000000119209</v>
      </c>
      <c r="E28" s="42">
        <f>Jul!V29</f>
        <v>0</v>
      </c>
      <c r="F28" s="42">
        <f>Jul!AB29</f>
        <v>0</v>
      </c>
      <c r="G28" s="42">
        <f>Jul!X29</f>
        <v>17703.219999998808</v>
      </c>
      <c r="H28" s="42">
        <f>Jul!AE29</f>
        <v>8600.0000000003638</v>
      </c>
      <c r="I28" s="42">
        <f>Jul!AI29</f>
        <v>15932.490000000727</v>
      </c>
      <c r="J28" s="42">
        <f>Jul!AN29</f>
        <v>5872.4899999990357</v>
      </c>
      <c r="K28" s="42">
        <f>Jul!AR29</f>
        <v>8000</v>
      </c>
      <c r="L28" s="42">
        <f>Jul!AZ29</f>
        <v>350</v>
      </c>
      <c r="M28" s="42">
        <f>Jul!BC29</f>
        <v>630</v>
      </c>
      <c r="N28" s="125">
        <f t="shared" si="3"/>
        <v>57384.980000000127</v>
      </c>
      <c r="O28" s="125">
        <f>Jul!CA29</f>
        <v>517.79999999996562</v>
      </c>
      <c r="P28" s="125">
        <f>Jul!CD29</f>
        <v>2084.2000000000698</v>
      </c>
      <c r="Q28" s="125">
        <f>Jul!CF29</f>
        <v>6044</v>
      </c>
      <c r="R28" s="125">
        <f>Jul!CH29</f>
        <v>0</v>
      </c>
      <c r="S28" s="125">
        <f>Jul!CK29</f>
        <v>16004.690000000908</v>
      </c>
      <c r="T28" s="125">
        <f>Jul!CO29</f>
        <v>8112.4900000001089</v>
      </c>
      <c r="U28" s="125">
        <f>Jul!CS29</f>
        <v>7689.99</v>
      </c>
      <c r="V28" s="126">
        <f t="shared" si="4"/>
        <v>40453.170000001053</v>
      </c>
      <c r="W28" s="126">
        <f>Jul!CW29</f>
        <v>11676</v>
      </c>
      <c r="X28" s="126">
        <f>Jul!DA29</f>
        <v>6861</v>
      </c>
      <c r="Y28" s="126">
        <f t="shared" si="1"/>
        <v>18537</v>
      </c>
      <c r="Z28" s="42">
        <f>Jul!BR29</f>
        <v>699.99999999993179</v>
      </c>
      <c r="AA28" s="126">
        <f>Jul!BG29</f>
        <v>1500</v>
      </c>
      <c r="AB28" s="126">
        <f>Jul!BJ29</f>
        <v>9699.9999999989086</v>
      </c>
      <c r="AC28" s="126">
        <f>Jul!BL29+Jul!BN29+Jul!BP29</f>
        <v>4859.9999999999409</v>
      </c>
      <c r="AD28" s="126">
        <f>Jul!DR29</f>
        <v>9900</v>
      </c>
      <c r="AE28" s="127">
        <f>Jul!DT29-Jul!DR69-Jul!DT69</f>
        <v>20500</v>
      </c>
      <c r="AF28" s="127">
        <f>Jul!DR69+Jul!DT69</f>
        <v>0</v>
      </c>
      <c r="AG28" s="127">
        <f>Jul!HJ29-AE28</f>
        <v>139500</v>
      </c>
      <c r="AH28" s="127">
        <f>Jul!DW29</f>
        <v>4399.9999999996362</v>
      </c>
      <c r="AI28" s="127">
        <f>Jul!DZ29</f>
        <v>8732.49</v>
      </c>
      <c r="AJ28" s="127">
        <f>Jul!EC29</f>
        <v>22892.49</v>
      </c>
      <c r="AK28" s="127">
        <f t="shared" si="5"/>
        <v>36024.979999999639</v>
      </c>
      <c r="AL28" s="127">
        <f>Jul!EG29</f>
        <v>30892.49</v>
      </c>
      <c r="AM28" s="127">
        <f>Jul!EJ29</f>
        <v>11732.49</v>
      </c>
      <c r="AN28" s="127">
        <f>Jul!EM29</f>
        <v>669.99999999995907</v>
      </c>
      <c r="AO28" s="127">
        <f t="shared" si="6"/>
        <v>43294.97999999996</v>
      </c>
      <c r="AP28" s="127">
        <f>Jul!FX29</f>
        <v>23400</v>
      </c>
      <c r="AQ28" s="127">
        <f>Jul!GA29</f>
        <v>5420.0000000003638</v>
      </c>
      <c r="AR28" s="127">
        <f>Jul!GG29</f>
        <v>7900.0000000003183</v>
      </c>
      <c r="AS28" s="127">
        <f t="shared" si="7"/>
        <v>36720.000000000684</v>
      </c>
      <c r="AT28" s="127">
        <f>Jul!EQ29</f>
        <v>5842.4900000000134</v>
      </c>
      <c r="AU28" s="127">
        <f>Jul!ET29</f>
        <v>18000</v>
      </c>
      <c r="AV28" s="127">
        <f>Jul!EW29</f>
        <v>10632.490000000545</v>
      </c>
      <c r="AW28" s="127">
        <f>Jul!FL66</f>
        <v>13417.489999999998</v>
      </c>
      <c r="AX28" s="127">
        <f>Jul!GJ29</f>
        <v>1699.9999999998181</v>
      </c>
      <c r="AY28" s="127">
        <f t="shared" si="8"/>
        <v>49592.470000000372</v>
      </c>
      <c r="AZ28" s="127">
        <f>Jul!FG29</f>
        <v>9992.489999999987</v>
      </c>
      <c r="BA28" s="127">
        <f>Jul!FJ29</f>
        <v>21102.49</v>
      </c>
      <c r="BB28" s="127">
        <f>Jul!FM66</f>
        <v>13417.489999999998</v>
      </c>
      <c r="BC28" s="127">
        <f>Jul!GM29</f>
        <v>1399.9999999998636</v>
      </c>
      <c r="BD28" s="127">
        <f t="shared" si="9"/>
        <v>45912.469999999848</v>
      </c>
      <c r="BE28" s="127">
        <f>Jul!GP29</f>
        <v>0</v>
      </c>
      <c r="BF28" s="127">
        <f>Jul!GS29</f>
        <v>180</v>
      </c>
      <c r="BG28" s="127">
        <f t="shared" si="10"/>
        <v>180</v>
      </c>
      <c r="BH28" s="127">
        <f t="shared" si="16"/>
        <v>18537</v>
      </c>
      <c r="BI28" s="127"/>
      <c r="BJ28" s="127"/>
      <c r="BK28" s="127"/>
      <c r="BL28" s="128"/>
      <c r="BM28" s="128">
        <f>AS28+BG28</f>
        <v>36900.000000000684</v>
      </c>
      <c r="BN28" s="128"/>
      <c r="BO28" s="128"/>
      <c r="BP28" s="128"/>
      <c r="BQ28" s="128"/>
      <c r="BR28" s="128"/>
      <c r="BS28" s="128"/>
      <c r="BT28" s="42">
        <f>Jul!D67</f>
        <v>0</v>
      </c>
      <c r="BU28" s="42">
        <f>Jul!G68</f>
        <v>85000</v>
      </c>
      <c r="BV28" t="s">
        <v>383</v>
      </c>
      <c r="BX28" s="42">
        <f>Jul!HJ29</f>
        <v>160000</v>
      </c>
      <c r="BY28" s="42">
        <f>Jul!HM29</f>
        <v>0</v>
      </c>
      <c r="BZ28" s="42">
        <f>Jul!HP29</f>
        <v>42249.999999999818</v>
      </c>
      <c r="CA28" s="42">
        <f>Jul!HS29</f>
        <v>22050</v>
      </c>
      <c r="CB28" s="42">
        <f>Jul!HV29</f>
        <v>25850.000000000182</v>
      </c>
      <c r="CC28" s="42">
        <f>Jul!HY29</f>
        <v>23750.000000000273</v>
      </c>
      <c r="CD28" s="42">
        <f>Jul!IB29</f>
        <v>25600</v>
      </c>
      <c r="CE28" s="42">
        <f>Jul!IE29</f>
        <v>0</v>
      </c>
      <c r="CF28" s="42">
        <f>Jul!IH29</f>
        <v>20500</v>
      </c>
    </row>
    <row r="29" spans="1:84" x14ac:dyDescent="0.25">
      <c r="A29" s="26">
        <f t="shared" si="12"/>
        <v>23</v>
      </c>
      <c r="B29" s="42">
        <f>Jul!G30</f>
        <v>406399.99999999418</v>
      </c>
      <c r="C29" s="42">
        <f>Jul!N30</f>
        <v>409000</v>
      </c>
      <c r="D29" s="42">
        <f>Jul!T30</f>
        <v>313.37999999895692</v>
      </c>
      <c r="E29" s="42">
        <f>Jul!V30</f>
        <v>0</v>
      </c>
      <c r="F29" s="42">
        <f>Jul!AB30</f>
        <v>100</v>
      </c>
      <c r="G29" s="42">
        <f>Jul!X30</f>
        <v>18586.620000001043</v>
      </c>
      <c r="H29" s="42">
        <f>Jul!AE30</f>
        <v>9000</v>
      </c>
      <c r="I29" s="42">
        <f>Jul!AI30</f>
        <v>16376.729999999636</v>
      </c>
      <c r="J29" s="42">
        <f>Jul!AN30</f>
        <v>5416.7299999999404</v>
      </c>
      <c r="K29" s="42">
        <f>Jul!AR30</f>
        <v>7700.0000000007276</v>
      </c>
      <c r="L29" s="42">
        <f>Jul!AZ30</f>
        <v>270</v>
      </c>
      <c r="M29" s="42">
        <f>Jul!BC30</f>
        <v>650</v>
      </c>
      <c r="N29" s="125">
        <f t="shared" si="3"/>
        <v>58413.460000000297</v>
      </c>
      <c r="O29" s="125">
        <f>Jul!CA30</f>
        <v>548.69999999999663</v>
      </c>
      <c r="P29" s="125">
        <f>Jul!CD30</f>
        <v>2474.4000000000233</v>
      </c>
      <c r="Q29" s="125">
        <f>Jul!CF30</f>
        <v>6477</v>
      </c>
      <c r="R29" s="125">
        <f>Jul!CH30</f>
        <v>0</v>
      </c>
      <c r="S29" s="125">
        <f>Jul!CK30</f>
        <v>16208.030000000657</v>
      </c>
      <c r="T29" s="125">
        <f>Jul!CO30</f>
        <v>7105.729999999905</v>
      </c>
      <c r="U29" s="125">
        <f>Jul!CS30</f>
        <v>5829.4300000000694</v>
      </c>
      <c r="V29" s="126">
        <f t="shared" si="4"/>
        <v>38643.290000000648</v>
      </c>
      <c r="W29" s="126">
        <f>Jul!CW30</f>
        <v>11324</v>
      </c>
      <c r="X29" s="126">
        <f>Jul!DA30</f>
        <v>6742</v>
      </c>
      <c r="Y29" s="126">
        <f t="shared" si="1"/>
        <v>18066</v>
      </c>
      <c r="Z29" s="42">
        <f>Jul!BR30</f>
        <v>600.00000000002274</v>
      </c>
      <c r="AA29" s="126">
        <f>Jul!BG30</f>
        <v>1700.0000000000455</v>
      </c>
      <c r="AB29" s="126">
        <f>Jul!BJ30</f>
        <v>10300.000000001091</v>
      </c>
      <c r="AC29" s="126">
        <f>Jul!BL30+Jul!BN30+Jul!BP30</f>
        <v>4960.0000000000364</v>
      </c>
      <c r="AD29" s="126">
        <f>Jul!DR30</f>
        <v>8600</v>
      </c>
      <c r="AE29" s="127">
        <f>Jul!DT30-Jul!DR70-Jul!DT70</f>
        <v>23200</v>
      </c>
      <c r="AF29" s="127">
        <f>Jul!DR70+Jul!DT70</f>
        <v>0</v>
      </c>
      <c r="AG29" s="127">
        <f>Jul!HJ30-AE29</f>
        <v>134800</v>
      </c>
      <c r="AH29" s="127">
        <f>Jul!DW30</f>
        <v>3200.0000000007276</v>
      </c>
      <c r="AI29" s="127">
        <f>Jul!DZ30</f>
        <v>4976.7299999999996</v>
      </c>
      <c r="AJ29" s="127">
        <f>Jul!EC30</f>
        <v>14136.73</v>
      </c>
      <c r="AK29" s="127">
        <f t="shared" si="5"/>
        <v>22313.460000000727</v>
      </c>
      <c r="AL29" s="127">
        <f>Jul!EG30</f>
        <v>31136.73</v>
      </c>
      <c r="AM29" s="127">
        <f>Jul!EJ30</f>
        <v>11976.73</v>
      </c>
      <c r="AN29" s="127">
        <f>Jul!EM30</f>
        <v>1200.0000000000455</v>
      </c>
      <c r="AO29" s="127">
        <f t="shared" ref="AO29:AO37" si="17">SUM(AL29:AN29)</f>
        <v>44313.460000000043</v>
      </c>
      <c r="AP29" s="127">
        <f>Jul!FX30</f>
        <v>19600</v>
      </c>
      <c r="AQ29" s="127">
        <f>Jul!GA30</f>
        <v>4820</v>
      </c>
      <c r="AR29" s="127">
        <f>Jul!GG30</f>
        <v>5099.9999999996817</v>
      </c>
      <c r="AS29" s="127">
        <f t="shared" si="7"/>
        <v>29519.99999999968</v>
      </c>
      <c r="AT29" s="127">
        <f>Jul!EQ30</f>
        <v>6096.7300000000041</v>
      </c>
      <c r="AU29" s="127">
        <f>Jul!ET30</f>
        <v>16000</v>
      </c>
      <c r="AV29" s="127">
        <f>Jul!EW30</f>
        <v>9876.7299999996358</v>
      </c>
      <c r="AW29" s="127">
        <f>Jul!FL67</f>
        <v>11613.395</v>
      </c>
      <c r="AX29" s="127">
        <f>Jul!GJ30</f>
        <v>1800.0000000001819</v>
      </c>
      <c r="AY29" s="127">
        <f t="shared" si="8"/>
        <v>45386.854999999821</v>
      </c>
      <c r="AZ29" s="127">
        <f>Jul!FG30</f>
        <v>9130.059999999994</v>
      </c>
      <c r="BA29" s="127">
        <f>Jul!FJ30</f>
        <v>18550.060000001093</v>
      </c>
      <c r="BB29" s="127">
        <f>Jul!FM67</f>
        <v>11613.395</v>
      </c>
      <c r="BC29" s="127">
        <f>Jul!GM30</f>
        <v>1100.0000000001364</v>
      </c>
      <c r="BD29" s="127">
        <f t="shared" si="9"/>
        <v>40393.515000001229</v>
      </c>
      <c r="BE29" s="127">
        <f>Jul!GP30</f>
        <v>10</v>
      </c>
      <c r="BF29" s="127">
        <f>Jul!GS30</f>
        <v>180</v>
      </c>
      <c r="BG29" s="127">
        <f t="shared" si="10"/>
        <v>190</v>
      </c>
      <c r="BH29" s="127">
        <f t="shared" si="16"/>
        <v>18066</v>
      </c>
      <c r="BI29" s="127"/>
      <c r="BJ29" s="127"/>
      <c r="BK29" s="127"/>
      <c r="BL29" s="128"/>
      <c r="BM29" s="128">
        <f>AS29+BG29</f>
        <v>29709.99999999968</v>
      </c>
      <c r="BN29" s="128"/>
      <c r="BO29" s="128"/>
      <c r="BP29" s="128"/>
      <c r="BQ29" s="128"/>
      <c r="BR29" s="128"/>
      <c r="BS29" s="128"/>
      <c r="BT29" s="42">
        <f>Jul!D68</f>
        <v>0</v>
      </c>
      <c r="BU29" s="42">
        <f>Jul!G69</f>
        <v>75000</v>
      </c>
      <c r="BV29" t="s">
        <v>383</v>
      </c>
      <c r="BX29" s="42">
        <f>Jul!HJ30</f>
        <v>158000</v>
      </c>
      <c r="BY29" s="42">
        <f>Jul!HM30</f>
        <v>0</v>
      </c>
      <c r="BZ29" s="42">
        <f>Jul!HP30</f>
        <v>42200.000000000728</v>
      </c>
      <c r="CA29" s="42">
        <f>Jul!HS30</f>
        <v>15900.000000000091</v>
      </c>
      <c r="CB29" s="42">
        <f>Jul!HV30</f>
        <v>26500</v>
      </c>
      <c r="CC29" s="42">
        <f>Jul!HY30</f>
        <v>22299.999999999727</v>
      </c>
      <c r="CD29" s="42">
        <f>Jul!IB30</f>
        <v>27900</v>
      </c>
      <c r="CE29" s="42">
        <f>Jul!IE30</f>
        <v>0</v>
      </c>
      <c r="CF29" s="42">
        <f>Jul!IH30</f>
        <v>23200</v>
      </c>
    </row>
    <row r="30" spans="1:84" x14ac:dyDescent="0.25">
      <c r="A30" s="26">
        <f t="shared" si="12"/>
        <v>24</v>
      </c>
      <c r="B30" s="42">
        <f>Jul!G31</f>
        <v>423679.99999999662</v>
      </c>
      <c r="C30" s="42">
        <f>Jul!N31</f>
        <v>427000</v>
      </c>
      <c r="D30" s="42">
        <f>Jul!T31</f>
        <v>300.66000000014901</v>
      </c>
      <c r="E30" s="42">
        <f>Jul!V31</f>
        <v>0</v>
      </c>
      <c r="F30" s="42">
        <f>Jul!AB31</f>
        <v>100</v>
      </c>
      <c r="G30" s="42">
        <f>Jul!X31</f>
        <v>18299.340000000579</v>
      </c>
      <c r="H30" s="42">
        <f>Jul!AE31</f>
        <v>8699.9999999998181</v>
      </c>
      <c r="I30" s="42">
        <f>Jul!AI31</f>
        <v>15917.850000000364</v>
      </c>
      <c r="J30" s="42">
        <f>Jul!AN31</f>
        <v>5537.8500000014556</v>
      </c>
      <c r="K30" s="42">
        <f>Jul!AR31</f>
        <v>7600.0000000003638</v>
      </c>
      <c r="L30" s="42">
        <f>Jul!AZ31</f>
        <v>400</v>
      </c>
      <c r="M30" s="42">
        <f>Jul!BC31</f>
        <v>610</v>
      </c>
      <c r="N30" s="125">
        <f t="shared" si="3"/>
        <v>57465.700000002726</v>
      </c>
      <c r="O30" s="125">
        <f>Jul!CA31</f>
        <v>583.79999999999654</v>
      </c>
      <c r="P30" s="125">
        <f>Jul!CD31</f>
        <v>1781.7999999999302</v>
      </c>
      <c r="Q30" s="125">
        <f>Jul!CF31</f>
        <v>5584</v>
      </c>
      <c r="R30" s="125">
        <f>Jul!CH31</f>
        <v>0</v>
      </c>
      <c r="S30" s="125">
        <f>Jul!CK31</f>
        <v>15764.049999998839</v>
      </c>
      <c r="T30" s="125">
        <f>Jul!CO31</f>
        <v>7544.8499999998621</v>
      </c>
      <c r="U30" s="125">
        <f>Jul!CS31</f>
        <v>5684.35</v>
      </c>
      <c r="V30" s="126">
        <f t="shared" si="4"/>
        <v>36942.849999998623</v>
      </c>
      <c r="W30" s="126">
        <f>Jul!CW31</f>
        <v>10896</v>
      </c>
      <c r="X30" s="126">
        <f>Jul!DA31</f>
        <v>6627</v>
      </c>
      <c r="Y30" s="126">
        <f t="shared" si="1"/>
        <v>17523</v>
      </c>
      <c r="Z30" s="42">
        <f>Jul!BR31</f>
        <v>800.00000000006821</v>
      </c>
      <c r="AA30" s="126">
        <f>Jul!BG31</f>
        <v>1500</v>
      </c>
      <c r="AB30" s="126">
        <f>Jul!BJ31</f>
        <v>10199.999999998909</v>
      </c>
      <c r="AC30" s="126">
        <f>Jul!BL31+Jul!BN31+Jul!BP31</f>
        <v>4879.9999999999318</v>
      </c>
      <c r="AD30" s="126">
        <f>Jul!DR31</f>
        <v>11200</v>
      </c>
      <c r="AE30" s="127">
        <f>Jul!DT31-Jul!DR71-Jul!DT71</f>
        <v>21400</v>
      </c>
      <c r="AF30" s="127">
        <f>Jul!DR71+Jul!DT71</f>
        <v>0</v>
      </c>
      <c r="AG30" s="127">
        <f>Jul!HJ31-AE30</f>
        <v>146600</v>
      </c>
      <c r="AH30" s="127">
        <f>Jul!DW31</f>
        <v>4500</v>
      </c>
      <c r="AI30" s="127">
        <f>Jul!DZ31</f>
        <v>8317.85</v>
      </c>
      <c r="AJ30" s="127">
        <f>Jul!EC31</f>
        <v>21477.85</v>
      </c>
      <c r="AK30" s="127">
        <f t="shared" si="5"/>
        <v>34295.699999999997</v>
      </c>
      <c r="AL30" s="127">
        <f>Jul!EG31</f>
        <v>30477.85</v>
      </c>
      <c r="AM30" s="127">
        <f>Jul!EJ31</f>
        <v>12317.85</v>
      </c>
      <c r="AN30" s="127">
        <f>Jul!EM31</f>
        <v>149.99999999997726</v>
      </c>
      <c r="AO30" s="127">
        <f t="shared" si="17"/>
        <v>42945.699999999975</v>
      </c>
      <c r="AP30" s="127">
        <f>Jul!FX31</f>
        <v>28000</v>
      </c>
      <c r="AQ30" s="127">
        <f>Jul!GA31</f>
        <v>6269.9999999998181</v>
      </c>
      <c r="AR30" s="127">
        <f>Jul!GG31</f>
        <v>7200.0000000002728</v>
      </c>
      <c r="AS30" s="127">
        <f t="shared" si="7"/>
        <v>41470.000000000087</v>
      </c>
      <c r="AT30" s="127">
        <f>Jul!EQ31</f>
        <v>6437.8500000000049</v>
      </c>
      <c r="AU30" s="127">
        <f>Jul!ET31</f>
        <v>17000</v>
      </c>
      <c r="AV30" s="127">
        <f>Jul!EW31</f>
        <v>9517.8499999998185</v>
      </c>
      <c r="AW30" s="127">
        <f>Jul!FL68</f>
        <v>10804.514999999999</v>
      </c>
      <c r="AX30" s="127">
        <f>Jul!GJ31</f>
        <v>1799.9999999997272</v>
      </c>
      <c r="AY30" s="127">
        <f t="shared" si="8"/>
        <v>45560.214999999545</v>
      </c>
      <c r="AZ30" s="127">
        <f>Jul!FG31</f>
        <v>10171.179999999997</v>
      </c>
      <c r="BA30" s="127">
        <f>Jul!FJ31</f>
        <v>15491.179999998909</v>
      </c>
      <c r="BB30" s="127">
        <f>Jul!FM68</f>
        <v>10804.514999999999</v>
      </c>
      <c r="BC30" s="127">
        <f>Jul!GM31</f>
        <v>0</v>
      </c>
      <c r="BD30" s="127">
        <f t="shared" si="9"/>
        <v>36466.874999998909</v>
      </c>
      <c r="BE30" s="127">
        <f>Jul!GP31</f>
        <v>0</v>
      </c>
      <c r="BF30" s="127">
        <f>Jul!GS31</f>
        <v>430</v>
      </c>
      <c r="BG30" s="127">
        <f t="shared" si="10"/>
        <v>430</v>
      </c>
      <c r="BH30" s="127">
        <f t="shared" si="16"/>
        <v>17523</v>
      </c>
      <c r="BI30" s="127"/>
      <c r="BJ30" s="127"/>
      <c r="BK30" s="127"/>
      <c r="BL30" s="128"/>
      <c r="BM30" s="128">
        <f>(AS30+BG30)*51/100</f>
        <v>21369.000000000047</v>
      </c>
      <c r="BN30" s="128"/>
      <c r="BO30" s="128">
        <f>(AS30+BG30)*49/100</f>
        <v>20531.000000000044</v>
      </c>
      <c r="BP30" s="128"/>
      <c r="BQ30" s="128"/>
      <c r="BR30" s="128"/>
      <c r="BS30" s="128"/>
      <c r="BT30" s="42">
        <f>Jul!D69</f>
        <v>0</v>
      </c>
      <c r="BU30" s="42">
        <f>Jul!G70</f>
        <v>86000</v>
      </c>
      <c r="BV30" t="s">
        <v>384</v>
      </c>
      <c r="BX30" s="42">
        <f>Jul!HJ31</f>
        <v>168000</v>
      </c>
      <c r="BY30" s="42">
        <f>Jul!HM31</f>
        <v>0</v>
      </c>
      <c r="BZ30" s="42">
        <f>Jul!HP31</f>
        <v>43349.999999999818</v>
      </c>
      <c r="CA30" s="42">
        <f>Jul!HS31</f>
        <v>22449.999999999727</v>
      </c>
      <c r="CB30" s="42">
        <f>Jul!HV31</f>
        <v>27349.999999999818</v>
      </c>
      <c r="CC30" s="42">
        <f>Jul!HY31</f>
        <v>24550.000000000091</v>
      </c>
      <c r="CD30" s="42">
        <f>Jul!IB31</f>
        <v>28900</v>
      </c>
      <c r="CE30" s="42">
        <f>Jul!IE31</f>
        <v>0</v>
      </c>
      <c r="CF30" s="42">
        <f>Jul!IH31</f>
        <v>21400</v>
      </c>
    </row>
    <row r="31" spans="1:84" x14ac:dyDescent="0.25">
      <c r="A31" s="26">
        <f t="shared" si="12"/>
        <v>25</v>
      </c>
      <c r="B31" s="42">
        <f>Jul!G32</f>
        <v>422079.99999998719</v>
      </c>
      <c r="C31" s="42">
        <f>Jul!N32</f>
        <v>429300</v>
      </c>
      <c r="D31" s="42">
        <f>Jul!T32</f>
        <v>296.06000000052154</v>
      </c>
      <c r="E31" s="42">
        <f>Jul!V32</f>
        <v>0</v>
      </c>
      <c r="F31" s="42">
        <f>Jul!AB32</f>
        <v>100</v>
      </c>
      <c r="G31" s="42">
        <f>Jul!X32</f>
        <v>18503.939999999115</v>
      </c>
      <c r="H31" s="42">
        <f>Jul!AE32</f>
        <v>8199.9999999998181</v>
      </c>
      <c r="I31" s="42">
        <f>Jul!AI32</f>
        <v>14164.41</v>
      </c>
      <c r="J31" s="42">
        <f>Jul!AN32</f>
        <v>5924.4099999989448</v>
      </c>
      <c r="K31" s="42">
        <f>Jul!AR32</f>
        <v>7500</v>
      </c>
      <c r="L31" s="42">
        <f>Jul!AZ32</f>
        <v>300</v>
      </c>
      <c r="M31" s="42">
        <f>Jul!BC32</f>
        <v>180</v>
      </c>
      <c r="N31" s="125">
        <f t="shared" si="3"/>
        <v>55168.819999998392</v>
      </c>
      <c r="O31" s="125">
        <f>Jul!CA32</f>
        <v>505.0000000000523</v>
      </c>
      <c r="P31" s="125">
        <f>Jul!CD32</f>
        <v>1700</v>
      </c>
      <c r="Q31" s="125">
        <f>Jul!CF32</f>
        <v>5146</v>
      </c>
      <c r="R31" s="125">
        <f>Jul!CH32</f>
        <v>0</v>
      </c>
      <c r="S31" s="125">
        <f>Jul!CK32</f>
        <v>14239.409999999874</v>
      </c>
      <c r="T31" s="125">
        <f>Jul!CO32</f>
        <v>6672.4100000002654</v>
      </c>
      <c r="U31" s="125">
        <f>Jul!CS32</f>
        <v>5620.2699999999859</v>
      </c>
      <c r="V31" s="126">
        <f t="shared" si="4"/>
        <v>33883.090000000178</v>
      </c>
      <c r="W31" s="126">
        <f>Jul!CW32</f>
        <v>11035</v>
      </c>
      <c r="X31" s="126">
        <f>Jul!DA32</f>
        <v>6029</v>
      </c>
      <c r="Y31" s="126">
        <f t="shared" si="1"/>
        <v>17064</v>
      </c>
      <c r="Z31" s="42">
        <f>Jul!BR32</f>
        <v>799.99999999995453</v>
      </c>
      <c r="AA31" s="126">
        <f>Jul!BG32</f>
        <v>1500</v>
      </c>
      <c r="AB31" s="126">
        <f>Jul!BJ32</f>
        <v>10100.000000000364</v>
      </c>
      <c r="AC31" s="126">
        <f>Jul!BL32+Jul!BN32+Jul!BP32</f>
        <v>5140.0000000000091</v>
      </c>
      <c r="AD31" s="126">
        <f>Jul!DR32</f>
        <v>10700</v>
      </c>
      <c r="AE31" s="127">
        <f>Jul!DT32-Jul!DR72-Jul!DT72</f>
        <v>20000</v>
      </c>
      <c r="AF31" s="127">
        <f>Jul!DR72+Jul!DT72</f>
        <v>0</v>
      </c>
      <c r="AG31" s="127">
        <f>Jul!HJ32-AE31</f>
        <v>148000</v>
      </c>
      <c r="AH31" s="127">
        <f>Jul!DW32</f>
        <v>4699.9999999989086</v>
      </c>
      <c r="AI31" s="127">
        <f>Jul!DZ32</f>
        <v>7164.41</v>
      </c>
      <c r="AJ31" s="127">
        <f>Jul!EC32</f>
        <v>22324.41</v>
      </c>
      <c r="AK31" s="127">
        <f t="shared" si="5"/>
        <v>34188.819999998908</v>
      </c>
      <c r="AL31" s="127">
        <f>Jul!EG32</f>
        <v>29324.41</v>
      </c>
      <c r="AM31" s="127">
        <f>Jul!EJ32</f>
        <v>10164.41</v>
      </c>
      <c r="AN31" s="127">
        <f>Jul!EM32</f>
        <v>639.99999999998636</v>
      </c>
      <c r="AO31" s="127">
        <f t="shared" si="17"/>
        <v>40128.819999999985</v>
      </c>
      <c r="AP31" s="127">
        <f>Jul!FX32</f>
        <v>36400</v>
      </c>
      <c r="AQ31" s="127">
        <f>Jul!GA32</f>
        <v>8149.9999999999091</v>
      </c>
      <c r="AR31" s="127">
        <f>Jul!GG32</f>
        <v>9099.9999999999091</v>
      </c>
      <c r="AS31" s="127">
        <f t="shared" si="7"/>
        <v>53649.999999999825</v>
      </c>
      <c r="AT31" s="127">
        <f>Jul!EQ32</f>
        <v>5184.4099999999817</v>
      </c>
      <c r="AU31" s="127">
        <f>Jul!ET32</f>
        <v>18000</v>
      </c>
      <c r="AV31" s="127">
        <f>Jul!EW32</f>
        <v>8564.4100000005456</v>
      </c>
      <c r="AW31" s="127">
        <f>Jul!FL69</f>
        <v>11217.744999999999</v>
      </c>
      <c r="AX31" s="127">
        <f>Jul!GJ32</f>
        <v>1900.0000000000909</v>
      </c>
      <c r="AY31" s="127">
        <f t="shared" si="8"/>
        <v>44866.565000000614</v>
      </c>
      <c r="AZ31" s="127">
        <f>Jul!FG32</f>
        <v>8251.0800000000181</v>
      </c>
      <c r="BA31" s="127">
        <f>Jul!FJ32</f>
        <v>13971.080000000728</v>
      </c>
      <c r="BB31" s="127">
        <f>Jul!FM69</f>
        <v>11217.744999999999</v>
      </c>
      <c r="BC31" s="127">
        <f>Jul!GM32</f>
        <v>0</v>
      </c>
      <c r="BD31" s="127">
        <f t="shared" si="9"/>
        <v>33439.905000000741</v>
      </c>
      <c r="BE31" s="127">
        <f>Jul!GP32</f>
        <v>0</v>
      </c>
      <c r="BF31" s="127">
        <f>Jul!GS32</f>
        <v>450</v>
      </c>
      <c r="BG31" s="127">
        <f t="shared" si="10"/>
        <v>450</v>
      </c>
      <c r="BH31" s="127">
        <f t="shared" si="16"/>
        <v>17064</v>
      </c>
      <c r="BI31" s="127"/>
      <c r="BJ31" s="127"/>
      <c r="BK31" s="127"/>
      <c r="BL31" s="128"/>
      <c r="BM31" s="128">
        <f>(AS31+BG31)*50/100</f>
        <v>27049.999999999913</v>
      </c>
      <c r="BN31" s="128"/>
      <c r="BO31" s="128">
        <f>(AS31+BG31)*50/100</f>
        <v>27049.999999999913</v>
      </c>
      <c r="BP31" s="128"/>
      <c r="BQ31" s="128"/>
      <c r="BR31" s="128"/>
      <c r="BS31" s="128"/>
      <c r="BT31" s="42">
        <f>Jul!D70</f>
        <v>0</v>
      </c>
      <c r="BU31" s="42">
        <f>Jul!G71</f>
        <v>87000</v>
      </c>
      <c r="BV31" t="s">
        <v>385</v>
      </c>
      <c r="BX31" s="42">
        <f>Jul!HJ32</f>
        <v>168000</v>
      </c>
      <c r="BY31" s="42">
        <f>Jul!HM32</f>
        <v>0</v>
      </c>
      <c r="BZ31" s="42">
        <f>Jul!HP32</f>
        <v>46750.000000000182</v>
      </c>
      <c r="CA31" s="42">
        <f>Jul!HS32</f>
        <v>21950</v>
      </c>
      <c r="CB31" s="42">
        <f>Jul!HV32</f>
        <v>26950</v>
      </c>
      <c r="CC31" s="42">
        <f>Jul!HY32</f>
        <v>24549.999999999909</v>
      </c>
      <c r="CD31" s="42">
        <f>Jul!IB32</f>
        <v>27800</v>
      </c>
      <c r="CE31" s="42">
        <f>Jul!IE32</f>
        <v>0</v>
      </c>
      <c r="CF31" s="42">
        <f>Jul!IH32</f>
        <v>20000</v>
      </c>
    </row>
    <row r="32" spans="1:84" x14ac:dyDescent="0.25">
      <c r="A32" s="26">
        <f t="shared" si="12"/>
        <v>26</v>
      </c>
      <c r="B32" s="42">
        <f>Jul!G33</f>
        <v>423999.99999999639</v>
      </c>
      <c r="C32" s="42">
        <f>Jul!N33</f>
        <v>422000</v>
      </c>
      <c r="D32" s="42">
        <f>Jul!T33</f>
        <v>306.66999999992549</v>
      </c>
      <c r="E32" s="42">
        <f>Jul!V33</f>
        <v>0</v>
      </c>
      <c r="F32" s="42">
        <f>Jul!AB33</f>
        <v>100</v>
      </c>
      <c r="G32" s="42">
        <f>Jul!X33</f>
        <v>18293.330000000802</v>
      </c>
      <c r="H32" s="42">
        <f>Jul!AE33</f>
        <v>8199.9999999998181</v>
      </c>
      <c r="I32" s="42">
        <f>Jul!AI33</f>
        <v>14785.67</v>
      </c>
      <c r="J32" s="42">
        <f>Jul!AN33</f>
        <v>6785.67</v>
      </c>
      <c r="K32" s="42">
        <f>Jul!AR33</f>
        <v>7200.0000000007276</v>
      </c>
      <c r="L32" s="42">
        <f>Jul!AZ33</f>
        <v>300</v>
      </c>
      <c r="M32" s="42">
        <f>Jul!BC33</f>
        <v>600</v>
      </c>
      <c r="N32" s="125">
        <f t="shared" si="3"/>
        <v>56571.34000000127</v>
      </c>
      <c r="O32" s="125">
        <f>Jul!CA33</f>
        <v>500</v>
      </c>
      <c r="P32" s="125">
        <f>Jul!CD33</f>
        <v>1700</v>
      </c>
      <c r="Q32" s="125">
        <f>Jul!CF33</f>
        <v>5100</v>
      </c>
      <c r="R32" s="125">
        <f>Jul!CH33</f>
        <v>0</v>
      </c>
      <c r="S32" s="125">
        <f>Jul!CK33</f>
        <v>15285.67</v>
      </c>
      <c r="T32" s="125">
        <f>Jul!CO33</f>
        <v>7785.67</v>
      </c>
      <c r="U32" s="125">
        <f>Jul!CS33</f>
        <v>6785.67</v>
      </c>
      <c r="V32" s="126">
        <f t="shared" si="4"/>
        <v>37157.009999999995</v>
      </c>
      <c r="W32" s="126">
        <f>Jul!CW33</f>
        <v>17000</v>
      </c>
      <c r="X32" s="126">
        <f>Jul!DA33</f>
        <v>10000</v>
      </c>
      <c r="Y32" s="126">
        <f t="shared" si="1"/>
        <v>27000</v>
      </c>
      <c r="Z32" s="42">
        <f>Jul!BR33</f>
        <v>799.99999999995453</v>
      </c>
      <c r="AA32" s="126">
        <f>Jul!BG33</f>
        <v>1700.0000000000455</v>
      </c>
      <c r="AB32" s="126">
        <f>Jul!BJ33</f>
        <v>10000</v>
      </c>
      <c r="AC32" s="126">
        <f>Jul!BL33+Jul!BN33+Jul!BP33</f>
        <v>5200.0000000000455</v>
      </c>
      <c r="AD32" s="126">
        <f>Jul!DR33</f>
        <v>10000</v>
      </c>
      <c r="AE32" s="127">
        <f>Jul!DT33-Jul!DR73-Jul!DT73</f>
        <v>19000</v>
      </c>
      <c r="AF32" s="127">
        <f>Jul!DR73+Jul!DT73</f>
        <v>0</v>
      </c>
      <c r="AG32" s="127">
        <f>Jul!HJ33-AE32</f>
        <v>124000</v>
      </c>
      <c r="AH32" s="127">
        <f>Jul!DW33</f>
        <v>4600.0000000003638</v>
      </c>
      <c r="AI32" s="127">
        <f>Jul!DZ33</f>
        <v>8785.67</v>
      </c>
      <c r="AJ32" s="127">
        <f>Jul!EC33</f>
        <v>22945.67</v>
      </c>
      <c r="AK32" s="127">
        <f t="shared" si="5"/>
        <v>36331.34000000036</v>
      </c>
      <c r="AL32" s="127">
        <f>Jul!EG33</f>
        <v>28945.67</v>
      </c>
      <c r="AM32" s="127">
        <f>Jul!EJ33</f>
        <v>11785.67</v>
      </c>
      <c r="AN32" s="127">
        <f>Jul!EM33</f>
        <v>639.99999999998636</v>
      </c>
      <c r="AO32" s="127">
        <f t="shared" si="17"/>
        <v>41371.339999999982</v>
      </c>
      <c r="AP32" s="127">
        <f>Jul!FX33</f>
        <v>35700</v>
      </c>
      <c r="AQ32" s="127">
        <f>Jul!GA33</f>
        <v>7760.0000000002728</v>
      </c>
      <c r="AR32" s="127">
        <f>Jul!GG33</f>
        <v>9199.9999999998181</v>
      </c>
      <c r="AS32" s="127">
        <f t="shared" si="7"/>
        <v>52660.000000000095</v>
      </c>
      <c r="AT32" s="127">
        <f>Jul!EQ33</f>
        <v>6840.6700000000073</v>
      </c>
      <c r="AU32" s="127">
        <f>Jul!ET33</f>
        <v>16000</v>
      </c>
      <c r="AV32" s="127">
        <f>Jul!EW33</f>
        <v>9985.6699999998182</v>
      </c>
      <c r="AW32" s="127">
        <f>Jul!FL70</f>
        <v>11628.169999999998</v>
      </c>
      <c r="AX32" s="127">
        <f>Jul!GJ33</f>
        <v>1800.0000000001819</v>
      </c>
      <c r="AY32" s="127">
        <f t="shared" si="8"/>
        <v>46254.51</v>
      </c>
      <c r="AZ32" s="127">
        <f>Jul!FG33</f>
        <v>10415.669999999993</v>
      </c>
      <c r="BA32" s="127">
        <f>Jul!FJ33</f>
        <v>16470.669999999998</v>
      </c>
      <c r="BB32" s="127">
        <f>Jul!FM70</f>
        <v>11628.169999999998</v>
      </c>
      <c r="BC32" s="127">
        <f>Jul!GM33</f>
        <v>0</v>
      </c>
      <c r="BD32" s="127">
        <f t="shared" si="9"/>
        <v>38514.509999999987</v>
      </c>
      <c r="BE32" s="127">
        <f>Jul!GP33</f>
        <v>0</v>
      </c>
      <c r="BF32" s="127">
        <f>Jul!GS33</f>
        <v>440</v>
      </c>
      <c r="BG32" s="127">
        <f t="shared" si="10"/>
        <v>440</v>
      </c>
      <c r="BH32" s="127">
        <f t="shared" si="16"/>
        <v>27000</v>
      </c>
      <c r="BI32" s="127"/>
      <c r="BJ32" s="127"/>
      <c r="BK32" s="127"/>
      <c r="BL32" s="128"/>
      <c r="BM32" s="128">
        <f>(AS32+BG32)*49/100</f>
        <v>26019.000000000047</v>
      </c>
      <c r="BN32" s="128"/>
      <c r="BO32" s="128">
        <f>(AS32+BG32)*51/100</f>
        <v>27081.000000000047</v>
      </c>
      <c r="BP32" s="128"/>
      <c r="BQ32" s="128"/>
      <c r="BR32" s="128"/>
      <c r="BS32" s="128"/>
      <c r="BT32" s="42">
        <f>Jul!D71</f>
        <v>0</v>
      </c>
      <c r="BU32" s="42">
        <f>Jul!G72</f>
        <v>83000</v>
      </c>
      <c r="BV32" t="s">
        <v>386</v>
      </c>
      <c r="BX32" s="42">
        <f>Jul!HJ33</f>
        <v>143000</v>
      </c>
      <c r="BY32" s="42">
        <f>Jul!HM33</f>
        <v>0</v>
      </c>
      <c r="BZ32" s="42">
        <f>Jul!HP33</f>
        <v>40474.999999999636</v>
      </c>
      <c r="CA32" s="42">
        <f>Jul!HS33</f>
        <v>22575</v>
      </c>
      <c r="CB32" s="42">
        <f>Jul!HV33</f>
        <v>14575</v>
      </c>
      <c r="CC32" s="42">
        <f>Jul!HY33</f>
        <v>25975.000000000091</v>
      </c>
      <c r="CD32" s="42">
        <f>Jul!IB33</f>
        <v>20400</v>
      </c>
      <c r="CE32" s="42">
        <f>Jul!IE33</f>
        <v>0</v>
      </c>
      <c r="CF32" s="42">
        <f>Jul!IH33</f>
        <v>19000</v>
      </c>
    </row>
    <row r="33" spans="1:87" x14ac:dyDescent="0.25">
      <c r="A33" s="26">
        <f t="shared" si="12"/>
        <v>27</v>
      </c>
      <c r="B33" s="42">
        <f>Jul!G34</f>
        <v>432320.00000001426</v>
      </c>
      <c r="C33" s="42">
        <f>Jul!N34</f>
        <v>422000</v>
      </c>
      <c r="D33" s="42">
        <f>Jul!T34</f>
        <v>275.29000000096858</v>
      </c>
      <c r="E33" s="42">
        <f>Jul!V34</f>
        <v>0</v>
      </c>
      <c r="F33" s="42">
        <f>Jul!AB34</f>
        <v>100</v>
      </c>
      <c r="G33" s="42">
        <f>Jul!X34</f>
        <v>18224.709999999395</v>
      </c>
      <c r="H33" s="42">
        <f>Jul!AE34</f>
        <v>8199.9999999998181</v>
      </c>
      <c r="I33" s="42">
        <f>Jul!AI34</f>
        <v>14325.67</v>
      </c>
      <c r="J33" s="42">
        <f>Jul!AN34</f>
        <v>6325.67</v>
      </c>
      <c r="K33" s="42">
        <f>Jul!AR34</f>
        <v>7200.0000000007276</v>
      </c>
      <c r="L33" s="42">
        <f>Jul!AZ34</f>
        <v>300</v>
      </c>
      <c r="M33" s="42">
        <f>Jul!BC34</f>
        <v>600</v>
      </c>
      <c r="N33" s="125">
        <f t="shared" si="3"/>
        <v>55551.340000000906</v>
      </c>
      <c r="O33" s="125">
        <f>Jul!CA34</f>
        <v>500</v>
      </c>
      <c r="P33" s="125">
        <f>Jul!CD34</f>
        <v>1700</v>
      </c>
      <c r="Q33" s="125">
        <f>Jul!CF34</f>
        <v>5100</v>
      </c>
      <c r="R33" s="125">
        <f>Jul!CH34</f>
        <v>0</v>
      </c>
      <c r="S33" s="125">
        <f>Jul!CK34</f>
        <v>14825.67</v>
      </c>
      <c r="T33" s="125">
        <f>Jul!CO34</f>
        <v>7325.67</v>
      </c>
      <c r="U33" s="125">
        <f>Jul!CS34</f>
        <v>6325.67</v>
      </c>
      <c r="V33" s="126">
        <f t="shared" si="4"/>
        <v>35777.009999999995</v>
      </c>
      <c r="W33" s="126">
        <f>Jul!CW34</f>
        <v>18000</v>
      </c>
      <c r="X33" s="126">
        <f>Jul!DA34</f>
        <v>11000</v>
      </c>
      <c r="Y33" s="126">
        <f t="shared" si="1"/>
        <v>29000</v>
      </c>
      <c r="Z33" s="42">
        <f>Jul!BR34</f>
        <v>799.99999999995453</v>
      </c>
      <c r="AA33" s="126">
        <f>Jul!BG34</f>
        <v>1500</v>
      </c>
      <c r="AB33" s="126">
        <f>Jul!BJ34</f>
        <v>9500</v>
      </c>
      <c r="AC33" s="126">
        <f>Jul!BL34+Jul!BN34+Jul!BP34</f>
        <v>5200.0000000000455</v>
      </c>
      <c r="AD33" s="126">
        <f>Jul!DR34</f>
        <v>8100</v>
      </c>
      <c r="AE33" s="127">
        <f>Jul!DT34-Jul!DR74-Jul!DT74</f>
        <v>21300</v>
      </c>
      <c r="AF33" s="127">
        <f>Jul!DR74+Jul!DT74</f>
        <v>0</v>
      </c>
      <c r="AG33" s="127">
        <f>Jul!HJ34-AE33</f>
        <v>136700</v>
      </c>
      <c r="AH33" s="127">
        <f>Jul!DW34</f>
        <v>4700.0000000007276</v>
      </c>
      <c r="AI33" s="127">
        <f>Jul!DZ34</f>
        <v>8325.67</v>
      </c>
      <c r="AJ33" s="127">
        <f>Jul!EC34</f>
        <v>21485.67</v>
      </c>
      <c r="AK33" s="127">
        <f t="shared" si="5"/>
        <v>34511.340000000724</v>
      </c>
      <c r="AL33" s="127">
        <f>Jul!EG34</f>
        <v>28485.67</v>
      </c>
      <c r="AM33" s="127">
        <f>Jul!EJ34</f>
        <v>11325.67</v>
      </c>
      <c r="AN33" s="127">
        <f>Jul!EM34</f>
        <v>610.00000000001364</v>
      </c>
      <c r="AO33" s="127">
        <f t="shared" si="17"/>
        <v>40421.340000000011</v>
      </c>
      <c r="AP33" s="127">
        <f>Jul!FX34</f>
        <v>35800</v>
      </c>
      <c r="AQ33" s="127">
        <f>Jul!GA34</f>
        <v>8070</v>
      </c>
      <c r="AR33" s="127">
        <f>Jul!GG34</f>
        <v>8200.0000000002728</v>
      </c>
      <c r="AS33" s="127">
        <f t="shared" si="7"/>
        <v>52070.000000000276</v>
      </c>
      <c r="AT33" s="127">
        <f>Jul!EQ34</f>
        <v>6380.6700000000073</v>
      </c>
      <c r="AU33" s="127">
        <f>Jul!ET34</f>
        <v>17000</v>
      </c>
      <c r="AV33" s="127">
        <f>Jul!EW34</f>
        <v>9525.6699999998182</v>
      </c>
      <c r="AW33" s="127">
        <f>Jul!FL71</f>
        <v>11351.505000000001</v>
      </c>
      <c r="AX33" s="127">
        <f>Jul!GJ34+((Jul!GP34+Jul!GS34)*50/100)</f>
        <v>2019.9999999997272</v>
      </c>
      <c r="AY33" s="127">
        <f t="shared" si="8"/>
        <v>46277.84499999955</v>
      </c>
      <c r="AZ33" s="127">
        <f>Jul!FG34</f>
        <v>9322.3399999999929</v>
      </c>
      <c r="BA33" s="127">
        <f>Jul!FJ34</f>
        <v>17277.339999999633</v>
      </c>
      <c r="BB33" s="127">
        <f>Jul!FM71</f>
        <v>11351.505000000001</v>
      </c>
      <c r="BC33" s="127">
        <f>Jul!GM34+((Jul!GP34+Jul!GS34)*50/100)</f>
        <v>220</v>
      </c>
      <c r="BD33" s="127">
        <f t="shared" si="9"/>
        <v>38171.184999999627</v>
      </c>
      <c r="BE33" s="127">
        <f>Jul!GP34</f>
        <v>10</v>
      </c>
      <c r="BF33" s="127">
        <f>Jul!GS34</f>
        <v>430</v>
      </c>
      <c r="BG33" s="127">
        <f t="shared" si="10"/>
        <v>440</v>
      </c>
      <c r="BH33" s="127">
        <f t="shared" si="16"/>
        <v>29000</v>
      </c>
      <c r="BI33" s="127"/>
      <c r="BJ33" s="127"/>
      <c r="BK33" s="127"/>
      <c r="BL33" s="128"/>
      <c r="BM33" s="128">
        <f>(AS33+BG33)*51/100</f>
        <v>26780.10000000014</v>
      </c>
      <c r="BN33" s="128"/>
      <c r="BO33" s="128">
        <f>(AS33+BG33)*49/100</f>
        <v>25729.900000000136</v>
      </c>
      <c r="BP33" s="128"/>
      <c r="BQ33" s="128"/>
      <c r="BR33" s="128"/>
      <c r="BS33" s="128"/>
      <c r="BT33" s="42">
        <f>Jul!D72</f>
        <v>0</v>
      </c>
      <c r="BU33" s="42">
        <f>Jul!G73</f>
        <v>83000</v>
      </c>
      <c r="BV33" t="s">
        <v>384</v>
      </c>
      <c r="BX33" s="42">
        <f>Jul!HJ34</f>
        <v>158000</v>
      </c>
      <c r="BY33" s="42">
        <f>Jul!HM34</f>
        <v>0</v>
      </c>
      <c r="BZ33" s="42">
        <f>Jul!HP34</f>
        <v>43725.000000000364</v>
      </c>
      <c r="CA33" s="42">
        <f>Jul!HS34</f>
        <v>23025.000000000091</v>
      </c>
      <c r="CB33" s="42">
        <f>Jul!HV34</f>
        <v>17125</v>
      </c>
      <c r="CC33" s="42">
        <f>Jul!HY34</f>
        <v>26324.999999999818</v>
      </c>
      <c r="CD33" s="42">
        <f>Jul!IB34</f>
        <v>26500</v>
      </c>
      <c r="CE33" s="42">
        <f>Jul!IE34</f>
        <v>0</v>
      </c>
      <c r="CF33" s="42">
        <f>Jul!IH34</f>
        <v>21300</v>
      </c>
    </row>
    <row r="34" spans="1:87" x14ac:dyDescent="0.25">
      <c r="A34" s="26">
        <f t="shared" si="12"/>
        <v>28</v>
      </c>
      <c r="B34" s="42">
        <f>Jul!G35</f>
        <v>438080.00000000536</v>
      </c>
      <c r="C34" s="42">
        <f>Jul!N35</f>
        <v>429700</v>
      </c>
      <c r="D34" s="42">
        <f>Jul!T35</f>
        <v>314.16999999992549</v>
      </c>
      <c r="E34" s="42">
        <f>Jul!V35</f>
        <v>0</v>
      </c>
      <c r="F34" s="42">
        <f>Jul!AB35</f>
        <v>100</v>
      </c>
      <c r="G34" s="42">
        <f>Jul!X35</f>
        <v>16485.829999997892</v>
      </c>
      <c r="H34" s="42">
        <f>Jul!AE35</f>
        <v>7500.0000000009095</v>
      </c>
      <c r="I34" s="42">
        <f>Jul!AI35</f>
        <v>13839.249999999272</v>
      </c>
      <c r="J34" s="42">
        <f>Jul!AN35</f>
        <v>649.25000000061391</v>
      </c>
      <c r="K34" s="42">
        <f>Jul!AR35</f>
        <v>8099.9999999985448</v>
      </c>
      <c r="L34" s="42">
        <f>Jul!AZ35</f>
        <v>470</v>
      </c>
      <c r="M34" s="42">
        <f>Jul!BC35</f>
        <v>940</v>
      </c>
      <c r="N34" s="125">
        <f t="shared" si="3"/>
        <v>48398.499999997155</v>
      </c>
      <c r="O34" s="125">
        <f>Jul!CA35</f>
        <v>1169.399999999996</v>
      </c>
      <c r="P34" s="125">
        <f>Jul!CD35</f>
        <v>0</v>
      </c>
      <c r="Q34" s="125">
        <f>Jul!CF35</f>
        <v>11102</v>
      </c>
      <c r="R34" s="125">
        <f>Jul!CH35</f>
        <v>0</v>
      </c>
      <c r="S34" s="125">
        <f>Jul!CK35</f>
        <v>16279.849999999858</v>
      </c>
      <c r="T34" s="125">
        <f>Jul!CO35</f>
        <v>5354.2499999995998</v>
      </c>
      <c r="U34" s="125">
        <f>Jul!CS35</f>
        <v>4176.4899999999907</v>
      </c>
      <c r="V34" s="126">
        <f t="shared" si="4"/>
        <v>38081.989999999445</v>
      </c>
      <c r="W34" s="126">
        <f>Jul!CW35</f>
        <v>20326</v>
      </c>
      <c r="X34" s="126">
        <f>Jul!DA35</f>
        <v>12806</v>
      </c>
      <c r="Y34" s="126">
        <f t="shared" si="1"/>
        <v>33132</v>
      </c>
      <c r="Z34" s="42">
        <f>Jul!BR35</f>
        <v>600.00000000013642</v>
      </c>
      <c r="AA34" s="126">
        <f>Jul!BG35</f>
        <v>1599.9999999999091</v>
      </c>
      <c r="AB34" s="126">
        <f>Jul!BJ35</f>
        <v>9800.0000000010914</v>
      </c>
      <c r="AC34" s="126">
        <f>Jul!BL35+Jul!BN35+Jul!BP35</f>
        <v>3489.9999999999773</v>
      </c>
      <c r="AD34" s="126">
        <f>Jul!DR35</f>
        <v>10400</v>
      </c>
      <c r="AE34" s="127">
        <f>Jul!DT35-Jul!DR75-Jul!DT75</f>
        <v>23600</v>
      </c>
      <c r="AF34" s="127">
        <f>Jul!DR75+Jul!DT75</f>
        <v>0</v>
      </c>
      <c r="AG34" s="127">
        <f>Jul!HJ35-AE34</f>
        <v>134400</v>
      </c>
      <c r="AH34" s="127">
        <f>Jul!DW35</f>
        <v>4500</v>
      </c>
      <c r="AI34" s="127">
        <f>Jul!DZ35</f>
        <v>8039.25</v>
      </c>
      <c r="AJ34" s="127">
        <f>Jul!EC35</f>
        <v>24199.25</v>
      </c>
      <c r="AK34" s="127">
        <f t="shared" si="5"/>
        <v>36738.5</v>
      </c>
      <c r="AL34" s="127">
        <f>Jul!EG35</f>
        <v>30199.25</v>
      </c>
      <c r="AM34" s="127">
        <f>Jul!EJ35</f>
        <v>12039.25</v>
      </c>
      <c r="AN34" s="127">
        <f>Jul!EM35</f>
        <v>710.00000000003638</v>
      </c>
      <c r="AO34" s="127">
        <f t="shared" si="17"/>
        <v>42948.500000000036</v>
      </c>
      <c r="AP34" s="127">
        <f>Jul!FX35</f>
        <v>37000</v>
      </c>
      <c r="AQ34" s="127">
        <f>Jul!GA35</f>
        <v>8149.9999999999091</v>
      </c>
      <c r="AR34" s="127">
        <f>Jul!GG35</f>
        <v>10299.999999999727</v>
      </c>
      <c r="AS34" s="127">
        <f t="shared" si="7"/>
        <v>55449.999999999636</v>
      </c>
      <c r="AT34" s="127">
        <f>Jul!EQ35</f>
        <v>6844.2500000000073</v>
      </c>
      <c r="AU34" s="127">
        <f>Jul!ET35</f>
        <v>18000</v>
      </c>
      <c r="AV34" s="127">
        <f>Jul!EW35</f>
        <v>9839.2500000001819</v>
      </c>
      <c r="AW34" s="127">
        <f>Jul!FL72</f>
        <v>11406.75</v>
      </c>
      <c r="AX34" s="127">
        <f>Jul!GJ35+((Jul!GP35+Jul!GS35)*50/100)</f>
        <v>1925.0000000002728</v>
      </c>
      <c r="AY34" s="127">
        <f t="shared" si="8"/>
        <v>48015.250000000466</v>
      </c>
      <c r="AZ34" s="127">
        <f>Jul!FG35</f>
        <v>8969.2499999999927</v>
      </c>
      <c r="BA34" s="127">
        <f>Jul!FJ35</f>
        <v>17374.250000000364</v>
      </c>
      <c r="BB34" s="127">
        <f>Jul!FM72</f>
        <v>11406.75</v>
      </c>
      <c r="BC34" s="127">
        <f>Jul!GM35+((Jul!GP35+Jul!GS35)*50/100)</f>
        <v>225</v>
      </c>
      <c r="BD34" s="127">
        <f t="shared" si="9"/>
        <v>37975.250000000357</v>
      </c>
      <c r="BE34" s="127">
        <f>Jul!GP35</f>
        <v>0</v>
      </c>
      <c r="BF34" s="127">
        <f>Jul!GS35</f>
        <v>450</v>
      </c>
      <c r="BG34" s="127">
        <f t="shared" si="10"/>
        <v>450</v>
      </c>
      <c r="BH34" s="127">
        <f t="shared" si="16"/>
        <v>33132</v>
      </c>
      <c r="BI34" s="127"/>
      <c r="BJ34" s="127"/>
      <c r="BK34" s="127"/>
      <c r="BL34" s="128"/>
      <c r="BM34" s="128">
        <f>(AS34+BG34)*49/100</f>
        <v>27390.999999999822</v>
      </c>
      <c r="BN34" s="128"/>
      <c r="BO34" s="128">
        <f>(AS34+BG34)*51/100</f>
        <v>28508.999999999814</v>
      </c>
      <c r="BP34" s="128"/>
      <c r="BQ34" s="128"/>
      <c r="BR34" s="128"/>
      <c r="BS34" s="128"/>
      <c r="BT34" s="42">
        <f>Jul!D73</f>
        <v>0</v>
      </c>
      <c r="BU34" s="42">
        <f>Jul!G74</f>
        <v>87000</v>
      </c>
      <c r="BV34" t="s">
        <v>386</v>
      </c>
      <c r="BX34" s="42">
        <f>Jul!HJ35</f>
        <v>158000</v>
      </c>
      <c r="BY34" s="42">
        <f>Jul!HM35</f>
        <v>0</v>
      </c>
      <c r="BZ34" s="42">
        <f>Jul!HP35</f>
        <v>41499.999999999636</v>
      </c>
      <c r="CA34" s="42">
        <f>Jul!HS35</f>
        <v>22799.999999999818</v>
      </c>
      <c r="CB34" s="42">
        <f>Jul!HV35</f>
        <v>19600</v>
      </c>
      <c r="CC34" s="42">
        <f>Jul!HY35</f>
        <v>24800.000000000273</v>
      </c>
      <c r="CD34" s="42">
        <f>Jul!IB35</f>
        <v>25700</v>
      </c>
      <c r="CE34" s="42">
        <f>Jul!IE35</f>
        <v>0</v>
      </c>
      <c r="CF34" s="42">
        <f>Jul!IH35</f>
        <v>23600</v>
      </c>
    </row>
    <row r="35" spans="1:87" ht="15" customHeight="1" x14ac:dyDescent="0.25">
      <c r="A35" s="26">
        <f t="shared" si="12"/>
        <v>29</v>
      </c>
      <c r="B35" s="42">
        <f>Jul!G36</f>
        <v>458880.00000000827</v>
      </c>
      <c r="C35" s="42">
        <f>Jul!N36</f>
        <v>451000</v>
      </c>
      <c r="D35" s="42">
        <f>Jul!T36</f>
        <v>320.60999999940395</v>
      </c>
      <c r="E35" s="42">
        <f>Jul!V36</f>
        <v>0</v>
      </c>
      <c r="F35" s="42">
        <f>Jul!AB36</f>
        <v>100</v>
      </c>
      <c r="G35" s="42">
        <f>Jul!X36</f>
        <v>17779.390000001324</v>
      </c>
      <c r="H35" s="42">
        <f>Jul!AE36</f>
        <v>8000</v>
      </c>
      <c r="I35" s="42">
        <f>Jul!AI36</f>
        <v>15458.449999999273</v>
      </c>
      <c r="J35" s="42">
        <f>Jul!AN36</f>
        <v>6358.4500000000689</v>
      </c>
      <c r="K35" s="42">
        <f>Jul!AR36</f>
        <v>7799.9999999992724</v>
      </c>
      <c r="L35" s="42">
        <f>Jul!AZ36</f>
        <v>410</v>
      </c>
      <c r="M35" s="42">
        <f>Jul!BC36</f>
        <v>550</v>
      </c>
      <c r="N35" s="125">
        <f t="shared" ref="N35:N37" si="18">SUM(D35:M35)</f>
        <v>56776.899999999339</v>
      </c>
      <c r="O35" s="125">
        <f>Jul!CA36</f>
        <v>700.49999999997681</v>
      </c>
      <c r="P35" s="125">
        <f>Jul!CD36</f>
        <v>0</v>
      </c>
      <c r="Q35" s="125">
        <f>Jul!CF36</f>
        <v>7418</v>
      </c>
      <c r="R35" s="125">
        <f>Jul!CH36</f>
        <v>0</v>
      </c>
      <c r="S35" s="125">
        <f>Jul!CK36</f>
        <v>15367.949999999879</v>
      </c>
      <c r="T35" s="125">
        <f>Jul!CO36</f>
        <v>6505.4500000002072</v>
      </c>
      <c r="U35" s="125">
        <f>Jul!CS36</f>
        <v>6161.6499999999533</v>
      </c>
      <c r="V35" s="126">
        <f t="shared" si="4"/>
        <v>36153.550000000017</v>
      </c>
      <c r="W35" s="126">
        <f>Jul!CW36</f>
        <v>20273</v>
      </c>
      <c r="X35" s="126">
        <f>Jul!DA36</f>
        <v>12097</v>
      </c>
      <c r="Y35" s="126">
        <f t="shared" si="1"/>
        <v>32370</v>
      </c>
      <c r="Z35" s="42">
        <f>Jul!BR36</f>
        <v>0</v>
      </c>
      <c r="AA35" s="126">
        <f>Jul!BG36</f>
        <v>1600.0000000001364</v>
      </c>
      <c r="AB35" s="126">
        <f>Jul!BJ36</f>
        <v>9799.9999999992724</v>
      </c>
      <c r="AC35" s="126">
        <f>Jul!BL36+Jul!BN36+Jul!BP36</f>
        <v>4799.9999999999318</v>
      </c>
      <c r="AD35" s="126">
        <f>Jul!DR36</f>
        <v>9700</v>
      </c>
      <c r="AE35" s="127">
        <f>Jul!DT36-Jul!DR76-Jul!DT76</f>
        <v>20500</v>
      </c>
      <c r="AF35" s="127">
        <f>Jul!DR76+Jul!DT76</f>
        <v>0</v>
      </c>
      <c r="AG35" s="127">
        <f>Jul!HJ36-AE35</f>
        <v>152500</v>
      </c>
      <c r="AH35" s="127">
        <f>Jul!DW36</f>
        <v>4699.9999999989086</v>
      </c>
      <c r="AI35" s="127">
        <f>Jul!DZ36</f>
        <v>8658.4500000000007</v>
      </c>
      <c r="AJ35" s="127">
        <f>Jul!EC36</f>
        <v>25818.45</v>
      </c>
      <c r="AK35" s="127">
        <f t="shared" si="5"/>
        <v>39176.89999999891</v>
      </c>
      <c r="AL35" s="127">
        <f>Jul!EG36</f>
        <v>31818.45</v>
      </c>
      <c r="AM35" s="127">
        <f>Jul!EJ36</f>
        <v>11658.45</v>
      </c>
      <c r="AN35" s="127">
        <f>Jul!EM36</f>
        <v>799.99999999995453</v>
      </c>
      <c r="AO35" s="127">
        <f t="shared" si="17"/>
        <v>44276.899999999958</v>
      </c>
      <c r="AP35" s="127">
        <f>Jul!FX36</f>
        <v>37100</v>
      </c>
      <c r="AQ35" s="127">
        <f>Jul!GA36</f>
        <v>8460.0000000000909</v>
      </c>
      <c r="AR35" s="127">
        <f>Jul!GG36</f>
        <v>9295.4</v>
      </c>
      <c r="AS35" s="127">
        <f t="shared" si="7"/>
        <v>54855.400000000089</v>
      </c>
      <c r="AT35" s="127">
        <f>Jul!EQ36</f>
        <v>6593.4500000000025</v>
      </c>
      <c r="AU35" s="127">
        <f>Jul!ET36</f>
        <v>16000</v>
      </c>
      <c r="AV35" s="127">
        <f>Jul!EW36</f>
        <v>10558.449999999637</v>
      </c>
      <c r="AW35" s="127">
        <f>Jul!FL73</f>
        <v>11580.95</v>
      </c>
      <c r="AX35" s="127">
        <f>Jul!GJ36+((Jul!GP36+Jul!GS36)*50/100)</f>
        <v>1924.6</v>
      </c>
      <c r="AY35" s="127">
        <f t="shared" ref="AY35:AY37" si="19">SUM(AT35:AX35)</f>
        <v>46657.449999999641</v>
      </c>
      <c r="AZ35" s="127">
        <f>Jul!FG36</f>
        <v>10568.449999999999</v>
      </c>
      <c r="BA35" s="127">
        <f>Jul!FJ36</f>
        <v>17903.449999999637</v>
      </c>
      <c r="BB35" s="127">
        <f>Jul!FM73</f>
        <v>11580.95</v>
      </c>
      <c r="BC35" s="127">
        <f>Jul!GM36+((Jul!GP36+Jul!GS36)*50/100)</f>
        <v>220</v>
      </c>
      <c r="BD35" s="127">
        <f t="shared" ref="BD35:BD37" si="20">SUM(AZ35:BC35)</f>
        <v>40272.849999999642</v>
      </c>
      <c r="BE35" s="127">
        <f>Jul!GP36</f>
        <v>0</v>
      </c>
      <c r="BF35" s="127">
        <f>Jul!GS36</f>
        <v>440</v>
      </c>
      <c r="BG35" s="127">
        <f t="shared" si="10"/>
        <v>440</v>
      </c>
      <c r="BH35" s="127">
        <f t="shared" si="16"/>
        <v>32370</v>
      </c>
      <c r="BI35" s="127"/>
      <c r="BJ35" s="127"/>
      <c r="BK35" s="127"/>
      <c r="BL35" s="128"/>
      <c r="BM35" s="128">
        <f>(AS35+BG35)*49/100</f>
        <v>27094.746000000043</v>
      </c>
      <c r="BN35" s="128"/>
      <c r="BO35" s="128">
        <f>(AS35+BG35)*51/100</f>
        <v>28200.654000000046</v>
      </c>
      <c r="BP35" s="128"/>
      <c r="BQ35" s="128"/>
      <c r="BR35" s="128"/>
      <c r="BS35" s="128"/>
      <c r="BT35" s="42">
        <f>Jul!D74</f>
        <v>0</v>
      </c>
      <c r="BU35" s="42">
        <f>Jul!G75</f>
        <v>91000</v>
      </c>
      <c r="BV35" t="s">
        <v>386</v>
      </c>
      <c r="BX35" s="42">
        <f>Jul!HJ36</f>
        <v>173000</v>
      </c>
      <c r="BY35" s="42">
        <f>Jul!HM36</f>
        <v>0</v>
      </c>
      <c r="BZ35" s="42">
        <f>Jul!HP36</f>
        <v>48499.999999999818</v>
      </c>
      <c r="CA35" s="42">
        <f>Jul!HS36</f>
        <v>22500.000000000273</v>
      </c>
      <c r="CB35" s="42">
        <f>Jul!HV36</f>
        <v>25300</v>
      </c>
      <c r="CC35" s="42">
        <f>Jul!HY36</f>
        <v>27999.999999999818</v>
      </c>
      <c r="CD35" s="42">
        <f>Jul!IB36</f>
        <v>28200</v>
      </c>
      <c r="CE35" s="42">
        <f>Jul!IE36</f>
        <v>0</v>
      </c>
      <c r="CF35" s="42">
        <f>Jul!IH36</f>
        <v>20500</v>
      </c>
    </row>
    <row r="36" spans="1:87" x14ac:dyDescent="0.25">
      <c r="A36" s="26">
        <f t="shared" si="12"/>
        <v>30</v>
      </c>
      <c r="B36" s="42">
        <f>Jul!G37</f>
        <v>434559.99999999767</v>
      </c>
      <c r="C36" s="42">
        <f>Jul!N37</f>
        <v>415000</v>
      </c>
      <c r="D36" s="42">
        <f>Jul!T37</f>
        <v>303.61999999918044</v>
      </c>
      <c r="E36" s="42">
        <f>Jul!V37</f>
        <v>0</v>
      </c>
      <c r="F36" s="42">
        <f>Jul!AB37</f>
        <v>0</v>
      </c>
      <c r="G36" s="42">
        <f>Jul!X37</f>
        <v>17196.38000000082</v>
      </c>
      <c r="H36" s="42">
        <f>Jul!AE37</f>
        <v>7500</v>
      </c>
      <c r="I36" s="42">
        <f>Jul!AI37</f>
        <v>13451.320000000364</v>
      </c>
      <c r="J36" s="42">
        <f>Jul!AN37</f>
        <v>4881.3199999987946</v>
      </c>
      <c r="K36" s="42">
        <f>Jul!AR37</f>
        <v>7100.0000000003638</v>
      </c>
      <c r="L36" s="42">
        <f>Jul!AZ37</f>
        <v>400</v>
      </c>
      <c r="M36" s="42">
        <f>Jul!BC37</f>
        <v>480</v>
      </c>
      <c r="N36" s="125">
        <f t="shared" si="18"/>
        <v>51312.639999999519</v>
      </c>
      <c r="O36" s="125">
        <f>Jul!CA37</f>
        <v>615.29999999999063</v>
      </c>
      <c r="P36" s="125">
        <f>Jul!CD37</f>
        <v>792</v>
      </c>
      <c r="Q36" s="125">
        <f>Jul!CF37</f>
        <v>7179</v>
      </c>
      <c r="R36" s="125">
        <f>Jul!CH37</f>
        <v>0</v>
      </c>
      <c r="S36" s="125">
        <f>Jul!CK37</f>
        <v>14356.02000000081</v>
      </c>
      <c r="T36" s="125">
        <f>Jul!CO37</f>
        <v>5733.3200000000616</v>
      </c>
      <c r="U36" s="125">
        <f>Jul!CS37</f>
        <v>5429.82</v>
      </c>
      <c r="V36" s="126">
        <f t="shared" si="4"/>
        <v>34105.460000000865</v>
      </c>
      <c r="W36" s="126">
        <f>Jul!CW37</f>
        <v>17961</v>
      </c>
      <c r="X36" s="126">
        <f>Jul!DA37</f>
        <v>10532</v>
      </c>
      <c r="Y36" s="126">
        <f t="shared" si="1"/>
        <v>28493</v>
      </c>
      <c r="Z36" s="42">
        <f>Jul!BR37</f>
        <v>600.00000000002274</v>
      </c>
      <c r="AA36" s="126">
        <f>Jul!BG37</f>
        <v>1500</v>
      </c>
      <c r="AB36" s="126">
        <f>Jul!BJ37</f>
        <v>8899.9999999996362</v>
      </c>
      <c r="AC36" s="126">
        <f>Jul!BL37+Jul!BN37+Jul!BP37</f>
        <v>4570.0000000000909</v>
      </c>
      <c r="AD36" s="126">
        <f>Jul!DR37</f>
        <v>9800</v>
      </c>
      <c r="AE36" s="127">
        <f>Jul!DT37-Jul!DR77-Jul!DT77</f>
        <v>19300</v>
      </c>
      <c r="AF36" s="127">
        <f>Jul!DR77+Jul!DT77</f>
        <v>0</v>
      </c>
      <c r="AG36" s="127">
        <f>Jul!HJ37-AE36</f>
        <v>153700</v>
      </c>
      <c r="AH36" s="127">
        <f>Jul!DW37</f>
        <v>4500</v>
      </c>
      <c r="AI36" s="127">
        <f>Jul!DZ37</f>
        <v>8351.32</v>
      </c>
      <c r="AJ36" s="127">
        <f>Jul!EC37</f>
        <v>24511.32</v>
      </c>
      <c r="AK36" s="127">
        <f t="shared" si="5"/>
        <v>37362.639999999999</v>
      </c>
      <c r="AL36" s="127">
        <f>Jul!EG37</f>
        <v>31511.32</v>
      </c>
      <c r="AM36" s="127">
        <f>Jul!EJ37</f>
        <v>12351.32</v>
      </c>
      <c r="AN36" s="127">
        <f>Jul!EM37</f>
        <v>669.99999999995907</v>
      </c>
      <c r="AO36" s="127">
        <f t="shared" si="17"/>
        <v>44532.639999999956</v>
      </c>
      <c r="AP36" s="127">
        <f>Jul!FX37</f>
        <v>31318</v>
      </c>
      <c r="AQ36" s="127">
        <f>Jul!GA37</f>
        <v>8271.8999999997213</v>
      </c>
      <c r="AR36" s="127">
        <f>Jul!GG37</f>
        <v>7992.6000000000331</v>
      </c>
      <c r="AS36" s="127">
        <f t="shared" si="7"/>
        <v>47582.499999999753</v>
      </c>
      <c r="AT36" s="127">
        <f>Jul!EQ37</f>
        <v>6846.3200000007437</v>
      </c>
      <c r="AU36" s="127">
        <f>Jul!ET37</f>
        <v>15770.000000000437</v>
      </c>
      <c r="AV36" s="127">
        <f>Jul!EW37</f>
        <v>9631.3200000006545</v>
      </c>
      <c r="AW36" s="127">
        <f>Jul!FL74</f>
        <v>10803.819999999418</v>
      </c>
      <c r="AX36" s="127">
        <f>Jul!GJ37+((Jul!GP37+Jul!GS37)*50/100)</f>
        <v>1504.0999999999826</v>
      </c>
      <c r="AY36" s="127">
        <f t="shared" si="19"/>
        <v>44555.560000001235</v>
      </c>
      <c r="AZ36" s="127">
        <f>Jul!FG37</f>
        <v>8881.3200000007109</v>
      </c>
      <c r="BA36" s="127">
        <f>Jul!FJ37</f>
        <v>16526.319999999272</v>
      </c>
      <c r="BB36" s="127">
        <f>Jul!FM74</f>
        <v>10803.819999999418</v>
      </c>
      <c r="BC36" s="127">
        <f>Jul!GM37+((Jul!GP37+Jul!GS37)*50/100)</f>
        <v>18.699999999949796</v>
      </c>
      <c r="BD36" s="127">
        <f t="shared" si="20"/>
        <v>36230.159999999349</v>
      </c>
      <c r="BE36" s="127">
        <f>Jul!GP37</f>
        <v>5.2999999999883585</v>
      </c>
      <c r="BF36" s="127">
        <f>Jul!GS37</f>
        <v>10.099999999976717</v>
      </c>
      <c r="BG36" s="127">
        <f t="shared" si="10"/>
        <v>15.399999999965075</v>
      </c>
      <c r="BH36" s="127">
        <f t="shared" si="16"/>
        <v>28493</v>
      </c>
      <c r="BI36" s="127"/>
      <c r="BJ36" s="127"/>
      <c r="BK36" s="127"/>
      <c r="BL36" s="128"/>
      <c r="BM36" s="128">
        <f>(AS36+BG36)*48/100</f>
        <v>22846.991999999864</v>
      </c>
      <c r="BN36" s="128"/>
      <c r="BO36" s="128">
        <f>(AS36+BG36)*52/100</f>
        <v>24750.907999999854</v>
      </c>
      <c r="BP36" s="128"/>
      <c r="BQ36" s="128"/>
      <c r="BR36" s="128"/>
      <c r="BS36" s="128"/>
      <c r="BT36" s="42">
        <f>Jul!D75</f>
        <v>0</v>
      </c>
      <c r="BU36" s="42">
        <f>Jul!G76</f>
        <v>88000</v>
      </c>
      <c r="BV36" t="s">
        <v>387</v>
      </c>
      <c r="BX36" s="42">
        <f>Jul!HJ37</f>
        <v>173000</v>
      </c>
      <c r="BY36" s="42">
        <f>Jul!HM37</f>
        <v>0</v>
      </c>
      <c r="BZ36" s="42">
        <f>Jul!HP37</f>
        <v>45125.000000000546</v>
      </c>
      <c r="CA36" s="42">
        <f>Jul!HS37</f>
        <v>26424.999999999818</v>
      </c>
      <c r="CB36" s="42">
        <f>Jul!HV37</f>
        <v>25725</v>
      </c>
      <c r="CC36" s="42">
        <f>Jul!HY37</f>
        <v>28725</v>
      </c>
      <c r="CD36" s="42">
        <f>Jul!IB37</f>
        <v>27700</v>
      </c>
      <c r="CE36" s="42">
        <f>Jul!IE37</f>
        <v>0</v>
      </c>
      <c r="CF36" s="42">
        <f>Jul!IH37</f>
        <v>19300</v>
      </c>
    </row>
    <row r="37" spans="1:87" x14ac:dyDescent="0.25">
      <c r="A37" s="26">
        <f t="shared" si="12"/>
        <v>31</v>
      </c>
      <c r="B37" s="42">
        <f>Jul!G38</f>
        <v>446399.99999999418</v>
      </c>
      <c r="C37" s="42">
        <f>Jul!N38</f>
        <v>456000</v>
      </c>
      <c r="D37" s="42">
        <f>Jul!T38</f>
        <v>365.90000000037253</v>
      </c>
      <c r="E37" s="42">
        <f>Jul!V38</f>
        <v>0</v>
      </c>
      <c r="F37" s="42">
        <f>Jul!AB38</f>
        <v>100</v>
      </c>
      <c r="G37" s="42">
        <f>Jul!X38</f>
        <v>18034.099999999627</v>
      </c>
      <c r="H37" s="42">
        <f>Jul!AE38</f>
        <v>8000</v>
      </c>
      <c r="I37" s="42">
        <f>Jul!AI38</f>
        <v>12682.010000001092</v>
      </c>
      <c r="J37" s="42">
        <f>Jul!AN38</f>
        <v>4632.0100000014781</v>
      </c>
      <c r="K37" s="42">
        <f>Jul!AR38</f>
        <v>7899.9999999996362</v>
      </c>
      <c r="L37" s="42">
        <f>Jul!AZ38</f>
        <v>370</v>
      </c>
      <c r="M37" s="42">
        <f>Jul!BC38</f>
        <v>550</v>
      </c>
      <c r="N37" s="125">
        <f t="shared" si="18"/>
        <v>52634.020000002209</v>
      </c>
      <c r="O37" s="125">
        <f>Jul!CA38</f>
        <v>671.60000000001219</v>
      </c>
      <c r="P37" s="125">
        <f>Jul!CD38</f>
        <v>0</v>
      </c>
      <c r="Q37" s="125">
        <f>Jul!CF38</f>
        <v>7039</v>
      </c>
      <c r="R37" s="125">
        <f>Jul!CH38</f>
        <v>0</v>
      </c>
      <c r="S37" s="125">
        <f>Jul!CK38</f>
        <v>14620.409999999843</v>
      </c>
      <c r="T37" s="125">
        <f>Jul!CO38</f>
        <v>5120.0099999998292</v>
      </c>
      <c r="U37" s="125">
        <f>Jul!CS38</f>
        <v>5322.51</v>
      </c>
      <c r="V37" s="126">
        <f t="shared" si="4"/>
        <v>32773.529999999686</v>
      </c>
      <c r="W37" s="126">
        <f>Jul!CW38</f>
        <v>20924</v>
      </c>
      <c r="X37" s="126">
        <f>Jul!DA38</f>
        <v>12076</v>
      </c>
      <c r="Y37" s="126">
        <f t="shared" si="1"/>
        <v>33000</v>
      </c>
      <c r="Z37" s="42">
        <f>Jul!BR38</f>
        <v>700.00000000004547</v>
      </c>
      <c r="AA37" s="126">
        <f>Jul!BG38</f>
        <v>1599.9999999999091</v>
      </c>
      <c r="AB37" s="126">
        <f>Jul!BJ38</f>
        <v>8899.9999999996362</v>
      </c>
      <c r="AC37" s="126">
        <f>Jul!BL38+Jul!BN38+Jul!BP38</f>
        <v>4949.9999999999318</v>
      </c>
      <c r="AD37" s="126">
        <f>Jul!DR38</f>
        <v>10200</v>
      </c>
      <c r="AE37" s="127">
        <f>Jul!DT38-Jul!DR78-Jul!DT78</f>
        <v>22300</v>
      </c>
      <c r="AF37" s="127">
        <f>Jul!DR78+Jul!DT78</f>
        <v>0</v>
      </c>
      <c r="AG37" s="127">
        <f>Jul!HJ38-AE37</f>
        <v>151700</v>
      </c>
      <c r="AH37" s="127">
        <f>Jul!DW38</f>
        <v>4399.9999999996362</v>
      </c>
      <c r="AI37" s="127">
        <f>Jul!DZ38</f>
        <v>7882.01</v>
      </c>
      <c r="AJ37" s="127">
        <f>Jul!EC38</f>
        <v>26042.01</v>
      </c>
      <c r="AK37" s="127">
        <f t="shared" si="5"/>
        <v>38324.019999999633</v>
      </c>
      <c r="AL37" s="127">
        <f>Jul!EG38</f>
        <v>30042.01</v>
      </c>
      <c r="AM37" s="127">
        <f>Jul!EJ38</f>
        <v>11882.01</v>
      </c>
      <c r="AN37" s="127">
        <f>Jul!EM38</f>
        <v>620.00000000000455</v>
      </c>
      <c r="AO37" s="127">
        <f t="shared" si="17"/>
        <v>42544.020000000004</v>
      </c>
      <c r="AP37" s="127">
        <f>Jul!FX38</f>
        <v>33427</v>
      </c>
      <c r="AQ37" s="127">
        <f>Jul!GA38</f>
        <v>8083.7000000001062</v>
      </c>
      <c r="AR37" s="127">
        <f>Jul!GG38</f>
        <v>8302.3000000001921</v>
      </c>
      <c r="AS37" s="127">
        <f t="shared" si="7"/>
        <v>49813.000000000298</v>
      </c>
      <c r="AT37" s="127">
        <f>Jul!EQ38</f>
        <v>6712.0099999987906</v>
      </c>
      <c r="AU37" s="127">
        <f>Jul!ET38</f>
        <v>16859.999999998763</v>
      </c>
      <c r="AV37" s="127">
        <f>Jul!EW38</f>
        <v>9801.0099999998693</v>
      </c>
      <c r="AW37" s="127">
        <f>Jul!FL75</f>
        <v>10997.010000001199</v>
      </c>
      <c r="AX37" s="127">
        <f>Jul!GJ38+((Jul!GP38+Jul!GS38)*50/100)</f>
        <v>2198.8500000000231</v>
      </c>
      <c r="AY37" s="127">
        <f t="shared" si="19"/>
        <v>46568.879999998637</v>
      </c>
      <c r="AZ37" s="127">
        <f>Jul!FG38</f>
        <v>9302.0099999985905</v>
      </c>
      <c r="BA37" s="127">
        <f>Jul!FJ38</f>
        <v>16852.010000000362</v>
      </c>
      <c r="BB37" s="127">
        <f>Jul!FM75</f>
        <v>10997.010000001199</v>
      </c>
      <c r="BC37" s="127">
        <f>Jul!GM38+((Jul!GP38+Jul!GS38)*50/100)</f>
        <v>415.14999999997599</v>
      </c>
      <c r="BD37" s="127">
        <f t="shared" si="20"/>
        <v>37566.180000000124</v>
      </c>
      <c r="BE37" s="127">
        <f>Jul!GP38</f>
        <v>3</v>
      </c>
      <c r="BF37" s="127">
        <f>Jul!GS38</f>
        <v>823.30000000004657</v>
      </c>
      <c r="BG37" s="127">
        <f t="shared" si="10"/>
        <v>826.30000000004657</v>
      </c>
      <c r="BH37" s="127">
        <f t="shared" si="11"/>
        <v>33000</v>
      </c>
      <c r="BI37" s="127"/>
      <c r="BJ37" s="127"/>
      <c r="BK37" s="127"/>
      <c r="BL37" s="128"/>
      <c r="BM37" s="128">
        <f>(AS37+BG37)*48/100</f>
        <v>24306.864000000165</v>
      </c>
      <c r="BN37" s="128"/>
      <c r="BO37" s="128">
        <f>(AS37+BG37)*52/100</f>
        <v>26332.436000000176</v>
      </c>
      <c r="BP37" s="128"/>
      <c r="BQ37" s="128"/>
      <c r="BR37" s="128"/>
      <c r="BS37" s="128"/>
      <c r="BT37" s="42">
        <f>Jul!D76</f>
        <v>0</v>
      </c>
      <c r="BU37" s="42">
        <f>Jul!G77</f>
        <v>88000</v>
      </c>
      <c r="BV37" t="s">
        <v>387</v>
      </c>
      <c r="BX37" s="42">
        <f>Jul!HJ38</f>
        <v>174000</v>
      </c>
      <c r="BY37" s="42">
        <f>Jul!HM38</f>
        <v>0</v>
      </c>
      <c r="BZ37" s="42">
        <f>Jul!HS38</f>
        <v>26925</v>
      </c>
      <c r="CA37" s="42">
        <f>Jul!HV38</f>
        <v>23725.000000000182</v>
      </c>
      <c r="CB37" s="42">
        <f>Jul!HY38</f>
        <v>27024.999999999909</v>
      </c>
      <c r="CC37" s="42">
        <f>Jul!HP38</f>
        <v>45124.999999999818</v>
      </c>
      <c r="CD37" s="42">
        <f>Jul!IB38</f>
        <v>28900</v>
      </c>
      <c r="CE37" s="42"/>
      <c r="CF37" s="42">
        <f>Jul!IH38</f>
        <v>22300</v>
      </c>
    </row>
    <row r="38" spans="1:87" x14ac:dyDescent="0.25">
      <c r="A38" s="129" t="s">
        <v>37</v>
      </c>
      <c r="B38" s="130">
        <f t="shared" ref="B38:AJ38" si="21">SUM(B7:B37)</f>
        <v>11612160.000000017</v>
      </c>
      <c r="C38" s="130">
        <f t="shared" si="21"/>
        <v>11527000</v>
      </c>
      <c r="D38" s="130">
        <f t="shared" si="21"/>
        <v>9224.0499999988824</v>
      </c>
      <c r="E38" s="130">
        <f t="shared" si="21"/>
        <v>0</v>
      </c>
      <c r="F38" s="130">
        <f t="shared" si="21"/>
        <v>2700</v>
      </c>
      <c r="G38" s="130">
        <f t="shared" si="21"/>
        <v>549975.95000000054</v>
      </c>
      <c r="H38" s="130">
        <f t="shared" si="21"/>
        <v>227600.00000000038</v>
      </c>
      <c r="I38" s="130">
        <f t="shared" si="21"/>
        <v>425597.77</v>
      </c>
      <c r="J38" s="130">
        <f t="shared" si="21"/>
        <v>191777.76999999981</v>
      </c>
      <c r="K38" s="130">
        <f t="shared" si="21"/>
        <v>286399.99999999965</v>
      </c>
      <c r="L38" s="130">
        <f t="shared" si="21"/>
        <v>12510</v>
      </c>
      <c r="M38" s="130">
        <f t="shared" si="21"/>
        <v>19100</v>
      </c>
      <c r="N38" s="130">
        <f t="shared" si="21"/>
        <v>1724885.5399999993</v>
      </c>
      <c r="O38" s="130">
        <f t="shared" si="21"/>
        <v>19650.199999999986</v>
      </c>
      <c r="P38" s="130">
        <f t="shared" si="21"/>
        <v>51329</v>
      </c>
      <c r="Q38" s="130">
        <f t="shared" si="21"/>
        <v>196908</v>
      </c>
      <c r="R38" s="130">
        <f t="shared" si="21"/>
        <v>0.39999999999417923</v>
      </c>
      <c r="S38" s="130">
        <f t="shared" si="21"/>
        <v>464567.57000000082</v>
      </c>
      <c r="T38" s="130">
        <f t="shared" si="21"/>
        <v>192156.76999999979</v>
      </c>
      <c r="U38" s="130">
        <f t="shared" si="21"/>
        <v>193673.17</v>
      </c>
      <c r="V38" s="130">
        <f t="shared" si="21"/>
        <v>1118285.1100000006</v>
      </c>
      <c r="W38" s="130">
        <f t="shared" si="21"/>
        <v>319992</v>
      </c>
      <c r="X38" s="130">
        <f t="shared" si="21"/>
        <v>186432</v>
      </c>
      <c r="Y38" s="130">
        <f t="shared" si="21"/>
        <v>506424</v>
      </c>
      <c r="Z38" s="130">
        <f t="shared" si="21"/>
        <v>18700.000000000153</v>
      </c>
      <c r="AA38" s="130">
        <f t="shared" si="21"/>
        <v>54299.999999999942</v>
      </c>
      <c r="AB38" s="130">
        <f t="shared" si="21"/>
        <v>291899.99999999965</v>
      </c>
      <c r="AC38" s="130">
        <f t="shared" si="21"/>
        <v>150620.00000000003</v>
      </c>
      <c r="AD38" s="130">
        <f t="shared" si="21"/>
        <v>327300</v>
      </c>
      <c r="AE38" s="130">
        <f t="shared" si="21"/>
        <v>568400</v>
      </c>
      <c r="AF38" s="130">
        <f t="shared" si="21"/>
        <v>0</v>
      </c>
      <c r="AG38" s="130">
        <f t="shared" si="21"/>
        <v>3355600</v>
      </c>
      <c r="AH38" s="130">
        <f t="shared" si="21"/>
        <v>129699.99999999891</v>
      </c>
      <c r="AI38" s="130">
        <f t="shared" si="21"/>
        <v>241597.77000000005</v>
      </c>
      <c r="AJ38" s="130">
        <f t="shared" si="21"/>
        <v>738557.77</v>
      </c>
      <c r="AK38" s="130">
        <f t="shared" ref="AK38:BU38" si="22">SUM(AK7:AK37)</f>
        <v>1109855.5399999986</v>
      </c>
      <c r="AL38" s="130">
        <f t="shared" si="22"/>
        <v>924557.77</v>
      </c>
      <c r="AM38" s="130">
        <f t="shared" si="22"/>
        <v>359597.76999999996</v>
      </c>
      <c r="AN38" s="130">
        <f t="shared" si="22"/>
        <v>20639.999999999985</v>
      </c>
      <c r="AO38" s="130">
        <f t="shared" si="22"/>
        <v>1304795.54</v>
      </c>
      <c r="AP38" s="130">
        <f t="shared" si="22"/>
        <v>636645</v>
      </c>
      <c r="AQ38" s="130">
        <f t="shared" si="22"/>
        <v>154775.60000000003</v>
      </c>
      <c r="AR38" s="130">
        <f t="shared" si="22"/>
        <v>207140.30000000013</v>
      </c>
      <c r="AS38" s="130">
        <f t="shared" si="22"/>
        <v>998560.90000000049</v>
      </c>
      <c r="AT38" s="130">
        <f t="shared" si="22"/>
        <v>190682.76999999952</v>
      </c>
      <c r="AU38" s="130">
        <f t="shared" si="22"/>
        <v>471029.99999999889</v>
      </c>
      <c r="AV38" s="130">
        <f t="shared" si="22"/>
        <v>281196.77000000019</v>
      </c>
      <c r="AW38" s="130">
        <f t="shared" si="22"/>
        <v>362325.2700000006</v>
      </c>
      <c r="AX38" s="130">
        <f t="shared" si="22"/>
        <v>54072.55</v>
      </c>
      <c r="AY38" s="130">
        <f t="shared" si="22"/>
        <v>1359307.3599999992</v>
      </c>
      <c r="AZ38" s="130">
        <f t="shared" si="22"/>
        <v>292107.76999999938</v>
      </c>
      <c r="BA38" s="130">
        <f t="shared" si="22"/>
        <v>551862.76999999885</v>
      </c>
      <c r="BB38" s="130">
        <f t="shared" si="22"/>
        <v>362325.2700000006</v>
      </c>
      <c r="BC38" s="130">
        <f t="shared" si="22"/>
        <v>22548.849999999969</v>
      </c>
      <c r="BD38" s="130">
        <f t="shared" si="22"/>
        <v>1228844.659999999</v>
      </c>
      <c r="BE38" s="130">
        <f t="shared" si="22"/>
        <v>36668.299999999988</v>
      </c>
      <c r="BF38" s="130">
        <f t="shared" si="22"/>
        <v>13713.400000000023</v>
      </c>
      <c r="BG38" s="130">
        <f t="shared" si="22"/>
        <v>50381.700000000012</v>
      </c>
      <c r="BH38" s="130">
        <f t="shared" si="22"/>
        <v>488791.00000000017</v>
      </c>
      <c r="BI38" s="130">
        <f t="shared" si="22"/>
        <v>0</v>
      </c>
      <c r="BJ38" s="130">
        <f t="shared" si="22"/>
        <v>0</v>
      </c>
      <c r="BK38" s="130">
        <f t="shared" si="22"/>
        <v>0</v>
      </c>
      <c r="BL38" s="130">
        <f t="shared" si="22"/>
        <v>476122.99999999971</v>
      </c>
      <c r="BM38" s="130">
        <f t="shared" si="22"/>
        <v>337977.70200000028</v>
      </c>
      <c r="BN38" s="130">
        <f t="shared" si="22"/>
        <v>0</v>
      </c>
      <c r="BO38" s="130">
        <f t="shared" si="22"/>
        <v>208184.89800000004</v>
      </c>
      <c r="BP38" s="130">
        <f t="shared" si="22"/>
        <v>0</v>
      </c>
      <c r="BQ38" s="130">
        <f t="shared" si="22"/>
        <v>23850</v>
      </c>
      <c r="BR38" s="130">
        <f t="shared" si="22"/>
        <v>0</v>
      </c>
      <c r="BS38" s="130">
        <f t="shared" si="22"/>
        <v>20440</v>
      </c>
      <c r="BT38" s="130">
        <f t="shared" si="22"/>
        <v>0</v>
      </c>
      <c r="BU38" s="130">
        <f t="shared" si="22"/>
        <v>2556000</v>
      </c>
      <c r="BV38" s="164"/>
      <c r="BX38" s="130">
        <f t="shared" ref="BX38:CF38" si="23">SUM(BX7:BX37)</f>
        <v>3924000</v>
      </c>
      <c r="BY38" s="130">
        <f t="shared" si="23"/>
        <v>0</v>
      </c>
      <c r="BZ38" s="130">
        <f t="shared" si="23"/>
        <v>1005392.5000000002</v>
      </c>
      <c r="CA38" s="130">
        <f t="shared" si="23"/>
        <v>557492.50000000023</v>
      </c>
      <c r="CB38" s="130">
        <f t="shared" si="23"/>
        <v>686592.5</v>
      </c>
      <c r="CC38" s="130">
        <f t="shared" si="23"/>
        <v>586392.49999999977</v>
      </c>
      <c r="CD38" s="130">
        <f t="shared" si="23"/>
        <v>519730</v>
      </c>
      <c r="CE38" s="130">
        <f t="shared" si="23"/>
        <v>0</v>
      </c>
      <c r="CF38" s="130">
        <f t="shared" si="23"/>
        <v>568400</v>
      </c>
    </row>
    <row r="39" spans="1:87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L40" s="91"/>
      <c r="BM40" s="91"/>
      <c r="BN40" s="91"/>
      <c r="BO40" s="91"/>
      <c r="BP40" s="91"/>
      <c r="BQ40" s="221"/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AV41" s="3"/>
      <c r="BL41" s="91"/>
      <c r="BM41" s="91"/>
      <c r="BN41" s="91"/>
      <c r="BO41" s="91"/>
      <c r="BP41" s="91"/>
      <c r="BQ41" s="221"/>
      <c r="BR41" s="91"/>
      <c r="BV41" s="91"/>
      <c r="BW41" t="s">
        <v>281</v>
      </c>
      <c r="BX41" s="91">
        <f>BX38</f>
        <v>3924000</v>
      </c>
      <c r="CH41" t="s">
        <v>336</v>
      </c>
      <c r="CI41">
        <f>$Y$38</f>
        <v>506424</v>
      </c>
    </row>
    <row r="42" spans="1:87" x14ac:dyDescent="0.25">
      <c r="B42" t="s">
        <v>106</v>
      </c>
      <c r="C42" s="24">
        <f>B38</f>
        <v>11612160.000000017</v>
      </c>
      <c r="D42" s="91"/>
      <c r="N42" s="132"/>
      <c r="O42" s="132"/>
      <c r="P42" s="132"/>
      <c r="Q42" s="132"/>
      <c r="R42" s="132"/>
      <c r="S42" s="132"/>
      <c r="T42" s="132"/>
      <c r="U42" s="132"/>
      <c r="V42" s="497">
        <v>45839</v>
      </c>
      <c r="W42" s="497"/>
      <c r="X42" s="497"/>
      <c r="Y42" s="497"/>
      <c r="Z42" s="497"/>
      <c r="AA42" s="497"/>
      <c r="AB42" s="497"/>
      <c r="AC42" s="497"/>
      <c r="AD42" s="497"/>
      <c r="AK42" s="3"/>
      <c r="AL42" s="3"/>
      <c r="AM42" s="3"/>
      <c r="AN42" s="3"/>
      <c r="AO42" s="3"/>
      <c r="AP42" s="3"/>
      <c r="AQ42" s="3"/>
      <c r="AR42" s="3"/>
      <c r="AV42" s="151"/>
      <c r="BH42" s="6" t="s">
        <v>379</v>
      </c>
      <c r="BI42" s="498" t="s">
        <v>307</v>
      </c>
      <c r="BJ42" s="498"/>
      <c r="BK42" s="498"/>
      <c r="BL42" s="498"/>
      <c r="BM42" s="498"/>
      <c r="BN42" s="498"/>
      <c r="BO42" s="498"/>
      <c r="BP42" s="498"/>
      <c r="BQ42" s="221"/>
      <c r="BW42" t="s">
        <v>258</v>
      </c>
      <c r="BX42" s="91">
        <f>BY38</f>
        <v>0</v>
      </c>
      <c r="CH42" t="s">
        <v>17</v>
      </c>
      <c r="CI42">
        <f>$AS$38</f>
        <v>998560.90000000049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406" t="s">
        <v>158</v>
      </c>
      <c r="W43" s="406"/>
      <c r="X43" s="406"/>
      <c r="Y43" s="406"/>
      <c r="Z43" s="406"/>
      <c r="AA43" s="406" t="s">
        <v>159</v>
      </c>
      <c r="AB43" s="406"/>
      <c r="AC43" s="406"/>
      <c r="AD43" s="406"/>
      <c r="AK43" s="169"/>
      <c r="AL43" s="134"/>
      <c r="AM43" s="134"/>
      <c r="AN43" s="170"/>
      <c r="AO43" s="169"/>
      <c r="AP43" s="134"/>
      <c r="AQ43" s="134"/>
      <c r="AR43" s="134"/>
      <c r="BH43" s="6">
        <v>1</v>
      </c>
      <c r="BI43" s="498" t="s">
        <v>375</v>
      </c>
      <c r="BJ43" s="498"/>
      <c r="BK43" s="498"/>
      <c r="BL43" s="498"/>
      <c r="BM43" s="498"/>
      <c r="BN43" s="498"/>
      <c r="BO43" s="498"/>
      <c r="BP43" s="498"/>
      <c r="BQ43" s="221"/>
      <c r="BW43" t="s">
        <v>204</v>
      </c>
      <c r="BX43" s="91">
        <f>BZ38</f>
        <v>1005392.5000000002</v>
      </c>
      <c r="CH43" t="s">
        <v>19</v>
      </c>
      <c r="CI43">
        <f>$BG$38</f>
        <v>50381.700000000012</v>
      </c>
    </row>
    <row r="44" spans="1:87" x14ac:dyDescent="0.25">
      <c r="B44" t="s">
        <v>120</v>
      </c>
      <c r="C44" s="24">
        <f>N38</f>
        <v>1724885.5399999993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H44" s="6">
        <v>2</v>
      </c>
      <c r="BI44" s="498" t="s">
        <v>375</v>
      </c>
      <c r="BJ44" s="498"/>
      <c r="BK44" s="498"/>
      <c r="BL44" s="498"/>
      <c r="BM44" s="498"/>
      <c r="BN44" s="498"/>
      <c r="BO44" s="498"/>
      <c r="BP44" s="498"/>
      <c r="BQ44" s="221"/>
      <c r="BW44" t="s">
        <v>260</v>
      </c>
      <c r="BX44" s="91">
        <f>CA38</f>
        <v>557492.50000000023</v>
      </c>
      <c r="CI44">
        <f>SUM(CI41:CI43)</f>
        <v>1555366.6000000003</v>
      </c>
    </row>
    <row r="45" spans="1:87" x14ac:dyDescent="0.25">
      <c r="B45" t="s">
        <v>157</v>
      </c>
      <c r="C45" s="24">
        <f>V38</f>
        <v>1118285.1100000006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H45" s="6">
        <v>3</v>
      </c>
      <c r="BI45" s="498" t="s">
        <v>375</v>
      </c>
      <c r="BJ45" s="498"/>
      <c r="BK45" s="498"/>
      <c r="BL45" s="498"/>
      <c r="BM45" s="498"/>
      <c r="BN45" s="498"/>
      <c r="BO45" s="498"/>
      <c r="BP45" s="498"/>
      <c r="BQ45" s="221"/>
      <c r="BW45" t="s">
        <v>261</v>
      </c>
      <c r="BX45" s="91">
        <f>CB38</f>
        <v>686592.5</v>
      </c>
      <c r="CH45" t="s">
        <v>337</v>
      </c>
      <c r="CI45">
        <f>SUM($BH$38:$BK$38)</f>
        <v>488791.00000000017</v>
      </c>
    </row>
    <row r="46" spans="1:87" x14ac:dyDescent="0.25">
      <c r="B46" t="s">
        <v>160</v>
      </c>
      <c r="C46" s="24">
        <f>Y38</f>
        <v>506424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H46" s="6">
        <v>4</v>
      </c>
      <c r="BI46" s="498" t="s">
        <v>380</v>
      </c>
      <c r="BJ46" s="498"/>
      <c r="BK46" s="498"/>
      <c r="BL46" s="498"/>
      <c r="BM46" s="498"/>
      <c r="BN46" s="498"/>
      <c r="BO46" s="498"/>
      <c r="BP46" s="498"/>
      <c r="BQ46" s="221"/>
      <c r="BW46" t="s">
        <v>318</v>
      </c>
      <c r="BX46" s="91">
        <f>$CC$38</f>
        <v>586392.49999999977</v>
      </c>
      <c r="CH46" t="s">
        <v>333</v>
      </c>
      <c r="CI46">
        <f>SUM($BL$38:$BO$38)</f>
        <v>1022285.6000000001</v>
      </c>
    </row>
    <row r="47" spans="1:87" x14ac:dyDescent="0.25">
      <c r="B47" t="s">
        <v>128</v>
      </c>
      <c r="C47" s="24">
        <f>AK38</f>
        <v>1109855.5399999986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H47" s="6">
        <v>5</v>
      </c>
      <c r="BI47" s="498" t="s">
        <v>380</v>
      </c>
      <c r="BJ47" s="498"/>
      <c r="BK47" s="498"/>
      <c r="BL47" s="498"/>
      <c r="BM47" s="498"/>
      <c r="BN47" s="498"/>
      <c r="BO47" s="498"/>
      <c r="BP47" s="498"/>
      <c r="BQ47" s="221"/>
      <c r="BW47" t="s">
        <v>346</v>
      </c>
      <c r="BX47" s="91">
        <f>$CD$38</f>
        <v>519730</v>
      </c>
      <c r="CH47" t="s">
        <v>331</v>
      </c>
      <c r="CI47">
        <f>SUM($BP$38:$BS$38)</f>
        <v>44290</v>
      </c>
    </row>
    <row r="48" spans="1:87" x14ac:dyDescent="0.25">
      <c r="B48" t="s">
        <v>130</v>
      </c>
      <c r="C48" s="24">
        <f>AO38</f>
        <v>1304795.54</v>
      </c>
      <c r="D48" s="91"/>
      <c r="N48" s="132"/>
      <c r="O48" s="132"/>
      <c r="P48" s="132"/>
      <c r="Q48" s="132"/>
      <c r="R48" s="132"/>
      <c r="S48" s="132"/>
      <c r="T48" s="132"/>
      <c r="U48" s="132"/>
      <c r="V48" s="406" t="s">
        <v>178</v>
      </c>
      <c r="W48" s="406"/>
      <c r="X48" s="406"/>
      <c r="Y48" s="406"/>
      <c r="Z48" s="406"/>
      <c r="AA48" s="406" t="s">
        <v>161</v>
      </c>
      <c r="AB48" s="406"/>
      <c r="AC48" s="406" t="s">
        <v>162</v>
      </c>
      <c r="AD48" s="406"/>
      <c r="BH48" s="6">
        <v>6</v>
      </c>
      <c r="BI48" s="498" t="s">
        <v>380</v>
      </c>
      <c r="BJ48" s="498"/>
      <c r="BK48" s="498"/>
      <c r="BL48" s="498"/>
      <c r="BM48" s="498"/>
      <c r="BN48" s="498"/>
      <c r="BO48" s="498"/>
      <c r="BP48" s="498"/>
      <c r="BQ48" s="221"/>
      <c r="BW48" t="s">
        <v>358</v>
      </c>
      <c r="BX48" s="91">
        <f>CE38</f>
        <v>0</v>
      </c>
      <c r="CI48">
        <f>SUM(CI45:CI47)</f>
        <v>1555366.6000000003</v>
      </c>
    </row>
    <row r="49" spans="2:76" x14ac:dyDescent="0.25">
      <c r="B49" t="s">
        <v>132</v>
      </c>
      <c r="C49" s="24">
        <f>AY38</f>
        <v>1359307.3599999992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H49" s="6">
        <v>7</v>
      </c>
      <c r="BI49" s="498" t="s">
        <v>380</v>
      </c>
      <c r="BJ49" s="498"/>
      <c r="BK49" s="498"/>
      <c r="BL49" s="498"/>
      <c r="BM49" s="498"/>
      <c r="BN49" s="498"/>
      <c r="BO49" s="498"/>
      <c r="BP49" s="498"/>
      <c r="BQ49" s="221"/>
      <c r="BW49" t="s">
        <v>282</v>
      </c>
      <c r="BX49" s="91">
        <f>$CF$38</f>
        <v>568400</v>
      </c>
    </row>
    <row r="50" spans="2:76" x14ac:dyDescent="0.25">
      <c r="B50" t="s">
        <v>133</v>
      </c>
      <c r="C50" s="69">
        <f>BD38</f>
        <v>1228844.659999999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H50" s="6">
        <v>8</v>
      </c>
      <c r="BI50" s="498" t="s">
        <v>381</v>
      </c>
      <c r="BJ50" s="498"/>
      <c r="BK50" s="498"/>
      <c r="BL50" s="498"/>
      <c r="BM50" s="498"/>
      <c r="BN50" s="498"/>
      <c r="BO50" s="498"/>
      <c r="BP50" s="498"/>
      <c r="BQ50" s="221"/>
      <c r="BX50" s="91"/>
    </row>
    <row r="51" spans="2:76" x14ac:dyDescent="0.25">
      <c r="B51" t="s">
        <v>131</v>
      </c>
      <c r="C51" s="24">
        <f>AS38</f>
        <v>998560.90000000049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H51" s="6">
        <v>9</v>
      </c>
      <c r="BI51" s="498" t="s">
        <v>381</v>
      </c>
      <c r="BJ51" s="498"/>
      <c r="BK51" s="498"/>
      <c r="BL51" s="498"/>
      <c r="BM51" s="498"/>
      <c r="BN51" s="498"/>
      <c r="BO51" s="498"/>
      <c r="BP51" s="498"/>
      <c r="BQ51" s="221"/>
      <c r="BW51" t="s">
        <v>98</v>
      </c>
      <c r="BX51" s="91">
        <f>BX41+BX42-BX43-BX44-BX45-BX46-BX47-BX48-BX49</f>
        <v>0</v>
      </c>
    </row>
    <row r="52" spans="2:76" x14ac:dyDescent="0.25">
      <c r="B52" t="s">
        <v>19</v>
      </c>
      <c r="C52" s="24">
        <f>BG38</f>
        <v>50381.700000000012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H52" s="6">
        <v>10</v>
      </c>
      <c r="BI52" s="498" t="s">
        <v>381</v>
      </c>
      <c r="BJ52" s="498"/>
      <c r="BK52" s="498"/>
      <c r="BL52" s="498"/>
      <c r="BM52" s="498"/>
      <c r="BN52" s="498"/>
      <c r="BO52" s="498"/>
      <c r="BP52" s="498"/>
      <c r="BQ52" s="221"/>
    </row>
    <row r="53" spans="2:76" x14ac:dyDescent="0.25">
      <c r="B53" t="s">
        <v>163</v>
      </c>
      <c r="C53" s="24">
        <f>AA38</f>
        <v>54299.999999999942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H53" s="6">
        <v>11</v>
      </c>
      <c r="BI53" s="498" t="s">
        <v>381</v>
      </c>
      <c r="BJ53" s="498"/>
      <c r="BK53" s="498"/>
      <c r="BL53" s="498"/>
      <c r="BM53" s="498"/>
      <c r="BN53" s="498"/>
      <c r="BO53" s="498"/>
      <c r="BP53" s="498"/>
      <c r="BQ53" s="221"/>
    </row>
    <row r="54" spans="2:76" x14ac:dyDescent="0.25">
      <c r="B54" t="s">
        <v>6</v>
      </c>
      <c r="C54" s="24">
        <f>AB38</f>
        <v>291899.99999999965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H54" s="6">
        <v>12</v>
      </c>
      <c r="BI54" s="498" t="s">
        <v>381</v>
      </c>
      <c r="BJ54" s="498"/>
      <c r="BK54" s="498"/>
      <c r="BL54" s="498"/>
      <c r="BM54" s="498"/>
      <c r="BN54" s="498"/>
      <c r="BO54" s="498"/>
      <c r="BP54" s="498"/>
      <c r="BQ54" s="221"/>
    </row>
    <row r="55" spans="2:76" x14ac:dyDescent="0.25">
      <c r="B55" t="s">
        <v>164</v>
      </c>
      <c r="C55" s="24">
        <f>Z38</f>
        <v>18700.000000000153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H55" s="6">
        <v>13</v>
      </c>
      <c r="BI55" s="498" t="s">
        <v>381</v>
      </c>
      <c r="BJ55" s="498"/>
      <c r="BK55" s="498"/>
      <c r="BL55" s="498"/>
      <c r="BM55" s="498"/>
      <c r="BN55" s="498"/>
      <c r="BO55" s="498"/>
      <c r="BP55" s="498"/>
      <c r="BQ55" s="221"/>
    </row>
    <row r="56" spans="2:76" x14ac:dyDescent="0.25">
      <c r="B56" t="s">
        <v>165</v>
      </c>
      <c r="C56" s="24">
        <f>AC38</f>
        <v>150620.00000000003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H56" s="6">
        <v>14</v>
      </c>
      <c r="BI56" s="498" t="s">
        <v>381</v>
      </c>
      <c r="BJ56" s="498"/>
      <c r="BK56" s="498"/>
      <c r="BL56" s="498"/>
      <c r="BM56" s="498"/>
      <c r="BN56" s="498"/>
      <c r="BO56" s="498"/>
      <c r="BP56" s="498"/>
      <c r="BQ56" s="221"/>
    </row>
    <row r="57" spans="2:76" x14ac:dyDescent="0.25">
      <c r="B57" t="s">
        <v>181</v>
      </c>
      <c r="C57" s="24">
        <f>AD38</f>
        <v>327300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H57" s="6">
        <v>15</v>
      </c>
      <c r="BI57" s="498" t="s">
        <v>382</v>
      </c>
      <c r="BJ57" s="498"/>
      <c r="BK57" s="498"/>
      <c r="BL57" s="498"/>
      <c r="BM57" s="498"/>
      <c r="BN57" s="498"/>
      <c r="BO57" s="498"/>
      <c r="BP57" s="498"/>
      <c r="BQ57" s="221"/>
    </row>
    <row r="58" spans="2:76" x14ac:dyDescent="0.25">
      <c r="B58" t="s">
        <v>166</v>
      </c>
      <c r="C58" s="24">
        <f>AE38</f>
        <v>568400</v>
      </c>
      <c r="D58" s="91"/>
      <c r="N58" s="91"/>
      <c r="O58" s="91"/>
      <c r="P58" s="91"/>
      <c r="Q58" s="91"/>
      <c r="R58" s="91"/>
      <c r="S58" s="91"/>
      <c r="T58" s="91"/>
      <c r="U58" s="91"/>
      <c r="BH58" s="6">
        <v>16</v>
      </c>
      <c r="BI58" s="498" t="s">
        <v>382</v>
      </c>
      <c r="BJ58" s="498"/>
      <c r="BK58" s="498"/>
      <c r="BL58" s="498"/>
      <c r="BM58" s="498"/>
      <c r="BN58" s="498"/>
      <c r="BO58" s="498"/>
      <c r="BP58" s="498"/>
      <c r="BQ58" s="221"/>
    </row>
    <row r="59" spans="2:76" x14ac:dyDescent="0.25">
      <c r="B59" t="s">
        <v>250</v>
      </c>
      <c r="C59" s="24">
        <f>AF38</f>
        <v>0</v>
      </c>
      <c r="D59" s="91"/>
      <c r="N59" s="91"/>
      <c r="O59" s="91"/>
      <c r="P59" s="91"/>
      <c r="Q59" s="91"/>
      <c r="R59" s="91"/>
      <c r="S59" s="91"/>
      <c r="T59" s="91"/>
      <c r="U59" s="91"/>
      <c r="BH59" s="6">
        <v>17</v>
      </c>
      <c r="BI59" s="498" t="s">
        <v>382</v>
      </c>
      <c r="BJ59" s="498"/>
      <c r="BK59" s="498"/>
      <c r="BL59" s="498"/>
      <c r="BM59" s="498"/>
      <c r="BN59" s="498"/>
      <c r="BO59" s="498"/>
      <c r="BP59" s="498"/>
      <c r="BQ59" s="221"/>
    </row>
    <row r="60" spans="2:76" x14ac:dyDescent="0.25">
      <c r="B60" t="s">
        <v>251</v>
      </c>
      <c r="C60" s="24">
        <f>AG38</f>
        <v>3355600</v>
      </c>
      <c r="D60" s="91"/>
      <c r="N60" s="91"/>
      <c r="O60" s="91"/>
      <c r="P60" s="91"/>
      <c r="Q60" s="91"/>
      <c r="R60" s="91"/>
      <c r="S60" s="91"/>
      <c r="T60" s="91"/>
      <c r="U60" s="91"/>
      <c r="BH60" s="6">
        <v>18</v>
      </c>
      <c r="BI60" s="498" t="s">
        <v>382</v>
      </c>
      <c r="BJ60" s="498"/>
      <c r="BK60" s="498"/>
      <c r="BL60" s="498"/>
      <c r="BM60" s="498"/>
      <c r="BN60" s="498"/>
      <c r="BO60" s="498"/>
      <c r="BP60" s="498"/>
      <c r="BQ60" s="221"/>
    </row>
    <row r="61" spans="2:76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H61" s="6">
        <v>19</v>
      </c>
      <c r="BI61" s="498" t="s">
        <v>382</v>
      </c>
      <c r="BJ61" s="498"/>
      <c r="BK61" s="498"/>
      <c r="BL61" s="498"/>
      <c r="BM61" s="498"/>
      <c r="BN61" s="498"/>
      <c r="BO61" s="498"/>
      <c r="BP61" s="498"/>
      <c r="BQ61" s="221"/>
    </row>
    <row r="62" spans="2:76" x14ac:dyDescent="0.25">
      <c r="B62" t="s">
        <v>192</v>
      </c>
      <c r="C62" s="24">
        <f>BU38</f>
        <v>2556000</v>
      </c>
      <c r="D62" s="91"/>
      <c r="N62" s="3"/>
      <c r="O62" s="3"/>
      <c r="P62" s="3"/>
      <c r="Q62" s="3"/>
      <c r="R62" s="3"/>
      <c r="S62" s="3"/>
      <c r="T62" s="3"/>
      <c r="U62" s="3"/>
      <c r="BH62" s="6">
        <v>20</v>
      </c>
      <c r="BI62" s="498" t="s">
        <v>382</v>
      </c>
      <c r="BJ62" s="498"/>
      <c r="BK62" s="498"/>
      <c r="BL62" s="498"/>
      <c r="BM62" s="498"/>
      <c r="BN62" s="498"/>
      <c r="BO62" s="498"/>
      <c r="BP62" s="498"/>
      <c r="BQ62" s="221"/>
    </row>
    <row r="63" spans="2:76" x14ac:dyDescent="0.25">
      <c r="B63" t="s">
        <v>167</v>
      </c>
      <c r="C63" s="24">
        <f>C42-C44-C45-C46-C47-C48-C49-C50-C51-C52-C53-C54-C55-C56-C57-C58-C61+C62-C59-C60</f>
        <v>-0.34999998193234205</v>
      </c>
      <c r="D63" s="3"/>
      <c r="N63" s="3"/>
      <c r="O63" s="3"/>
      <c r="P63" s="3"/>
      <c r="Q63" s="3"/>
      <c r="R63" s="3"/>
      <c r="S63" s="3"/>
      <c r="T63" s="3"/>
      <c r="U63" s="3"/>
      <c r="BH63" s="6">
        <v>21</v>
      </c>
      <c r="BI63" s="498" t="s">
        <v>383</v>
      </c>
      <c r="BJ63" s="498"/>
      <c r="BK63" s="498"/>
      <c r="BL63" s="498"/>
      <c r="BM63" s="498"/>
      <c r="BN63" s="498"/>
      <c r="BO63" s="498"/>
      <c r="BP63" s="498"/>
      <c r="BQ63" s="221"/>
    </row>
    <row r="64" spans="2:76" x14ac:dyDescent="0.25">
      <c r="BH64" s="6">
        <v>22</v>
      </c>
      <c r="BI64" s="498" t="s">
        <v>383</v>
      </c>
      <c r="BJ64" s="498"/>
      <c r="BK64" s="498"/>
      <c r="BL64" s="498"/>
      <c r="BM64" s="498"/>
      <c r="BN64" s="498"/>
      <c r="BO64" s="498"/>
      <c r="BP64" s="498"/>
      <c r="BQ64" s="221"/>
    </row>
    <row r="65" spans="2:69" x14ac:dyDescent="0.25">
      <c r="BH65" s="6">
        <v>23</v>
      </c>
      <c r="BI65" s="498" t="s">
        <v>383</v>
      </c>
      <c r="BJ65" s="498"/>
      <c r="BK65" s="498"/>
      <c r="BL65" s="498"/>
      <c r="BM65" s="498"/>
      <c r="BN65" s="498"/>
      <c r="BO65" s="498"/>
      <c r="BP65" s="498"/>
      <c r="BQ65" s="221"/>
    </row>
    <row r="66" spans="2:69" x14ac:dyDescent="0.25">
      <c r="B66" s="3"/>
      <c r="C66" s="3"/>
      <c r="D66" s="151"/>
      <c r="BH66" s="6">
        <v>24</v>
      </c>
      <c r="BI66" s="498" t="s">
        <v>384</v>
      </c>
      <c r="BJ66" s="498"/>
      <c r="BK66" s="498"/>
      <c r="BL66" s="498"/>
      <c r="BM66" s="498"/>
      <c r="BN66" s="498"/>
      <c r="BO66" s="498"/>
      <c r="BP66" s="498"/>
      <c r="BQ66" s="221"/>
    </row>
    <row r="67" spans="2:69" x14ac:dyDescent="0.25">
      <c r="BH67" s="6">
        <v>25</v>
      </c>
      <c r="BI67" s="498" t="s">
        <v>385</v>
      </c>
      <c r="BJ67" s="498"/>
      <c r="BK67" s="498"/>
      <c r="BL67" s="498"/>
      <c r="BM67" s="498"/>
      <c r="BN67" s="498"/>
      <c r="BO67" s="498"/>
      <c r="BP67" s="498"/>
      <c r="BQ67" s="221"/>
    </row>
    <row r="68" spans="2:69" x14ac:dyDescent="0.25">
      <c r="BH68" s="6">
        <v>26</v>
      </c>
      <c r="BI68" s="498" t="s">
        <v>386</v>
      </c>
      <c r="BJ68" s="498"/>
      <c r="BK68" s="498"/>
      <c r="BL68" s="498"/>
      <c r="BM68" s="498"/>
      <c r="BN68" s="498"/>
      <c r="BO68" s="498"/>
      <c r="BP68" s="498"/>
      <c r="BQ68" s="221"/>
    </row>
    <row r="69" spans="2:69" x14ac:dyDescent="0.25">
      <c r="BH69" s="6">
        <v>27</v>
      </c>
      <c r="BI69" s="498" t="s">
        <v>384</v>
      </c>
      <c r="BJ69" s="498"/>
      <c r="BK69" s="498"/>
      <c r="BL69" s="498"/>
      <c r="BM69" s="498"/>
      <c r="BN69" s="498"/>
      <c r="BO69" s="498"/>
      <c r="BP69" s="498"/>
      <c r="BQ69" s="221"/>
    </row>
    <row r="70" spans="2:69" x14ac:dyDescent="0.25">
      <c r="BH70" s="6">
        <v>28</v>
      </c>
      <c r="BI70" s="498" t="s">
        <v>386</v>
      </c>
      <c r="BJ70" s="498"/>
      <c r="BK70" s="498"/>
      <c r="BL70" s="498"/>
      <c r="BM70" s="498"/>
      <c r="BN70" s="498"/>
      <c r="BO70" s="498"/>
      <c r="BP70" s="498"/>
      <c r="BQ70" s="221"/>
    </row>
    <row r="71" spans="2:69" x14ac:dyDescent="0.25">
      <c r="BH71" s="6">
        <v>29</v>
      </c>
      <c r="BI71" s="498" t="s">
        <v>386</v>
      </c>
      <c r="BJ71" s="498"/>
      <c r="BK71" s="498"/>
      <c r="BL71" s="498"/>
      <c r="BM71" s="498"/>
      <c r="BN71" s="498"/>
      <c r="BO71" s="498"/>
      <c r="BP71" s="498"/>
      <c r="BQ71" s="221"/>
    </row>
    <row r="72" spans="2:69" x14ac:dyDescent="0.25">
      <c r="BH72" s="6">
        <v>30</v>
      </c>
      <c r="BI72" s="498" t="s">
        <v>387</v>
      </c>
      <c r="BJ72" s="498"/>
      <c r="BK72" s="498"/>
      <c r="BL72" s="498"/>
      <c r="BM72" s="498"/>
      <c r="BN72" s="498"/>
      <c r="BO72" s="498"/>
      <c r="BP72" s="498"/>
      <c r="BQ72" s="221"/>
    </row>
    <row r="73" spans="2:69" x14ac:dyDescent="0.25">
      <c r="BH73" s="6">
        <v>31</v>
      </c>
      <c r="BI73" s="498" t="s">
        <v>387</v>
      </c>
      <c r="BJ73" s="498"/>
      <c r="BK73" s="498"/>
      <c r="BL73" s="498"/>
      <c r="BM73" s="498"/>
      <c r="BN73" s="498"/>
      <c r="BO73" s="498"/>
      <c r="BP73" s="498"/>
    </row>
  </sheetData>
  <customSheetViews>
    <customSheetView guid="{48545DB9-4D9D-4699-ACEC-DA6E2D3586A8}" scale="85" fitToPage="1" hiddenColumns="1">
      <pane xSplit="1" ySplit="6" topLeftCell="BH41" activePane="bottomRight" state="frozen"/>
      <selection pane="bottomRight" activeCell="C63" sqref="C63"/>
      <pageMargins left="0.11811023622047245" right="0" top="0.74803149606299213" bottom="0.35433070866141736" header="0.31496062992125984" footer="0.31496062992125984"/>
      <pageSetup paperSize="9" scale="43" orientation="landscape" r:id="rId1"/>
    </customSheetView>
    <customSheetView guid="{32ABFE17-599B-4D0B-A1DB-D95B181877FC}" scale="85" fitToPage="1" hiddenColumns="1">
      <pane xSplit="1" ySplit="6" topLeftCell="BH41" activePane="bottomRight" state="frozen"/>
      <selection pane="bottomRight" activeCell="C63" sqref="C63"/>
      <pageMargins left="0.11811023622047245" right="0" top="0.74803149606299213" bottom="0.35433070866141736" header="0.31496062992125984" footer="0.31496062992125984"/>
      <pageSetup paperSize="9" scale="43" orientation="landscape" r:id="rId2"/>
    </customSheetView>
  </customSheetViews>
  <mergeCells count="84"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P4:AR4"/>
    <mergeCell ref="AA4:AA6"/>
    <mergeCell ref="AB4:AB6"/>
    <mergeCell ref="AC4:AC6"/>
    <mergeCell ref="AD4:AD6"/>
    <mergeCell ref="AE4:AE6"/>
    <mergeCell ref="AF4:AF6"/>
    <mergeCell ref="AG4:AG6"/>
    <mergeCell ref="AH4:AJ4"/>
    <mergeCell ref="AK4:AK6"/>
    <mergeCell ref="AL4:AN4"/>
    <mergeCell ref="AO4:AO6"/>
    <mergeCell ref="BT4:BT6"/>
    <mergeCell ref="BU4:BU6"/>
    <mergeCell ref="AS4:AS6"/>
    <mergeCell ref="AT4:AW4"/>
    <mergeCell ref="AY4:AY6"/>
    <mergeCell ref="AZ4:BB4"/>
    <mergeCell ref="BD4:BD6"/>
    <mergeCell ref="BE4:BF4"/>
    <mergeCell ref="CD4:CD6"/>
    <mergeCell ref="CE4:CE6"/>
    <mergeCell ref="CF4:CF6"/>
    <mergeCell ref="D5:I5"/>
    <mergeCell ref="J5:K5"/>
    <mergeCell ref="L5:M5"/>
    <mergeCell ref="BX4:BX6"/>
    <mergeCell ref="BY4:BY6"/>
    <mergeCell ref="BZ4:BZ6"/>
    <mergeCell ref="CA4:CA6"/>
    <mergeCell ref="CB4:CB6"/>
    <mergeCell ref="CC4:CC6"/>
    <mergeCell ref="BG4:BG6"/>
    <mergeCell ref="BH4:BK5"/>
    <mergeCell ref="BL4:BO5"/>
    <mergeCell ref="BP4:BS5"/>
    <mergeCell ref="V42:AD42"/>
    <mergeCell ref="V43:Z43"/>
    <mergeCell ref="AA43:AD43"/>
    <mergeCell ref="V48:Z48"/>
    <mergeCell ref="AA48:AB48"/>
    <mergeCell ref="AC48:AD48"/>
    <mergeCell ref="BI42:BP42"/>
    <mergeCell ref="BI43:BP43"/>
    <mergeCell ref="BI44:BP44"/>
    <mergeCell ref="BI45:BP45"/>
    <mergeCell ref="BI46:BP46"/>
    <mergeCell ref="BI47:BP47"/>
    <mergeCell ref="BI48:BP48"/>
    <mergeCell ref="BI49:BP49"/>
    <mergeCell ref="BI50:BP50"/>
    <mergeCell ref="BI51:BP51"/>
    <mergeCell ref="BI52:BP52"/>
    <mergeCell ref="BI53:BP53"/>
    <mergeCell ref="BI54:BP54"/>
    <mergeCell ref="BI55:BP55"/>
    <mergeCell ref="BI56:BP56"/>
    <mergeCell ref="BI57:BP57"/>
    <mergeCell ref="BI58:BP58"/>
    <mergeCell ref="BI59:BP59"/>
    <mergeCell ref="BI60:BP60"/>
    <mergeCell ref="BI61:BP61"/>
    <mergeCell ref="BI62:BP62"/>
    <mergeCell ref="BI63:BP63"/>
    <mergeCell ref="BI64:BP64"/>
    <mergeCell ref="BI65:BP65"/>
    <mergeCell ref="BI66:BP66"/>
    <mergeCell ref="BI72:BP72"/>
    <mergeCell ref="BI73:BP73"/>
    <mergeCell ref="BI67:BP67"/>
    <mergeCell ref="BI68:BP68"/>
    <mergeCell ref="BI69:BP69"/>
    <mergeCell ref="BI70:BP70"/>
    <mergeCell ref="BI71:BP71"/>
  </mergeCells>
  <pageMargins left="0.11811023622047245" right="0" top="0.74803149606299213" bottom="0.35433070866141736" header="0.31496062992125984" footer="0.31496062992125984"/>
  <pageSetup paperSize="9" scale="43" orientation="landscape" r:id="rId3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>
    <pageSetUpPr fitToPage="1"/>
  </sheetPr>
  <dimension ref="A1:XAU88"/>
  <sheetViews>
    <sheetView zoomScaleNormal="100" workbookViewId="0">
      <pane xSplit="1" ySplit="6" topLeftCell="GF19" activePane="bottomRight" state="frozen"/>
      <selection pane="topRight" activeCell="B1" sqref="B1"/>
      <selection pane="bottomLeft" activeCell="A7" sqref="A7"/>
      <selection pane="bottomRight" activeCell="EQ33" sqref="EQ29:GQ33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5" bestFit="1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7" width="11.28515625" bestFit="1" customWidth="1"/>
    <col min="88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5" width="15.85546875" customWidth="1"/>
    <col min="96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57031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5703125" bestFit="1" customWidth="1"/>
    <col min="165" max="165" width="11" bestFit="1" customWidth="1"/>
    <col min="166" max="166" width="12.28515625" bestFit="1" customWidth="1"/>
    <col min="167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6.5703125" customWidth="1"/>
    <col min="182" max="182" width="11.5703125" bestFit="1" customWidth="1"/>
    <col min="183" max="183" width="10.42578125" customWidth="1"/>
    <col min="184" max="185" width="10.7109375" bestFit="1" customWidth="1"/>
    <col min="186" max="186" width="8.42578125" customWidth="1"/>
    <col min="187" max="187" width="13.85546875" customWidth="1"/>
    <col min="188" max="188" width="12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4" width="1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2" width="7.42578125" bestFit="1" customWidth="1"/>
    <col min="233" max="233" width="11" bestFit="1" customWidth="1"/>
    <col min="234" max="239" width="11" customWidth="1"/>
    <col min="240" max="240" width="5.5703125" bestFit="1" customWidth="1"/>
    <col min="241" max="241" width="7.28515625" bestFit="1" customWidth="1"/>
    <col min="242" max="242" width="11" bestFit="1" customWidth="1"/>
    <col min="243" max="243" width="24.140625" bestFit="1" customWidth="1"/>
    <col min="244" max="244" width="9.5703125" bestFit="1" customWidth="1"/>
    <col min="245" max="245" width="8.5703125" bestFit="1" customWidth="1"/>
    <col min="246" max="246" width="11" bestFit="1" customWidth="1"/>
    <col min="247" max="248" width="7.42578125" bestFit="1" customWidth="1"/>
    <col min="249" max="249" width="11" bestFit="1" customWidth="1"/>
    <col min="250" max="251" width="8.5703125" bestFit="1" customWidth="1"/>
    <col min="252" max="252" width="11" bestFit="1" customWidth="1"/>
    <col min="253" max="254" width="8.5703125" bestFit="1" customWidth="1"/>
    <col min="255" max="255" width="11" bestFit="1" customWidth="1"/>
    <col min="256" max="257" width="9.5703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8.5703125" bestFit="1" customWidth="1"/>
    <col min="263" max="263" width="7.42578125" bestFit="1" customWidth="1"/>
    <col min="264" max="264" width="11" bestFit="1" customWidth="1"/>
    <col min="265" max="265" width="9.5703125" bestFit="1" customWidth="1"/>
    <col min="266" max="266" width="8.5703125" bestFit="1" customWidth="1"/>
    <col min="267" max="267" width="11" bestFit="1" customWidth="1"/>
    <col min="268" max="268" width="9.5703125" bestFit="1" customWidth="1"/>
    <col min="269" max="269" width="7.42578125" bestFit="1" customWidth="1"/>
    <col min="270" max="270" width="11" bestFit="1" customWidth="1"/>
    <col min="271" max="272" width="8.5703125" bestFit="1" customWidth="1"/>
    <col min="273" max="273" width="11" bestFit="1" customWidth="1"/>
    <col min="274" max="275" width="9.5703125" bestFit="1" customWidth="1"/>
    <col min="276" max="276" width="11" bestFit="1" customWidth="1"/>
    <col min="277" max="277" width="9.5703125" bestFit="1" customWidth="1"/>
    <col min="278" max="278" width="8.5703125" bestFit="1" customWidth="1"/>
    <col min="279" max="279" width="11" bestFit="1" customWidth="1"/>
    <col min="280" max="281" width="8.5703125" bestFit="1" customWidth="1"/>
    <col min="282" max="282" width="11" bestFit="1" customWidth="1"/>
    <col min="283" max="283" width="9.5703125" bestFit="1" customWidth="1"/>
    <col min="284" max="284" width="10.5703125" bestFit="1" customWidth="1"/>
    <col min="285" max="285" width="11" bestFit="1" customWidth="1"/>
    <col min="286" max="286" width="7.42578125" bestFit="1" customWidth="1"/>
    <col min="287" max="287" width="7.28515625" bestFit="1" customWidth="1"/>
    <col min="288" max="288" width="11" bestFit="1" customWidth="1"/>
    <col min="289" max="289" width="8.5703125" bestFit="1" customWidth="1"/>
    <col min="290" max="290" width="7.42578125" bestFit="1" customWidth="1"/>
    <col min="291" max="291" width="11" bestFit="1" customWidth="1"/>
    <col min="292" max="292" width="12.140625" bestFit="1" customWidth="1"/>
    <col min="293" max="293" width="14.42578125" bestFit="1" customWidth="1"/>
    <col min="294" max="294" width="13.28515625" bestFit="1" customWidth="1"/>
    <col min="295" max="295" width="11.5703125" bestFit="1" customWidth="1"/>
    <col min="296" max="296" width="7.7109375" bestFit="1" customWidth="1"/>
    <col min="297" max="298" width="14.42578125" bestFit="1" customWidth="1"/>
    <col min="299" max="299" width="11.5703125" bestFit="1" customWidth="1"/>
    <col min="300" max="300" width="7.7109375" bestFit="1" customWidth="1"/>
    <col min="301" max="301" width="13.5703125" customWidth="1"/>
    <col min="302" max="302" width="15.28515625" customWidth="1"/>
    <col min="303" max="303" width="14.5703125" customWidth="1"/>
    <col min="304" max="304" width="13.28515625" bestFit="1" customWidth="1"/>
    <col min="305" max="305" width="7.7109375" bestFit="1" customWidth="1"/>
    <col min="306" max="306" width="12.7109375" bestFit="1" customWidth="1"/>
    <col min="307" max="307" width="11.7109375" bestFit="1" customWidth="1"/>
    <col min="308" max="308" width="11.5703125" bestFit="1" customWidth="1"/>
    <col min="309" max="309" width="5.28515625" bestFit="1" customWidth="1"/>
    <col min="310" max="310" width="13.28515625" bestFit="1" customWidth="1"/>
    <col min="311" max="311" width="13.5703125" bestFit="1" customWidth="1"/>
    <col min="312" max="312" width="10.5703125" bestFit="1" customWidth="1"/>
    <col min="313" max="313" width="13.28515625" bestFit="1" customWidth="1"/>
    <col min="314" max="314" width="11.5703125" bestFit="1" customWidth="1"/>
    <col min="315" max="315" width="10.5703125" bestFit="1" customWidth="1"/>
    <col min="316" max="316" width="16.140625" bestFit="1" customWidth="1"/>
    <col min="317" max="318" width="11.28515625" bestFit="1" customWidth="1"/>
    <col min="319" max="319" width="13.28515625" bestFit="1" customWidth="1"/>
    <col min="320" max="320" width="7.7109375" bestFit="1" customWidth="1"/>
    <col min="321" max="324" width="9.140625" hidden="1" customWidth="1"/>
    <col min="325" max="325" width="10.42578125" bestFit="1" customWidth="1"/>
    <col min="326" max="326" width="10.5703125" bestFit="1" customWidth="1"/>
    <col min="327" max="327" width="10.42578125" bestFit="1" customWidth="1"/>
    <col min="328" max="328" width="10.5703125" bestFit="1" customWidth="1"/>
    <col min="329" max="329" width="9.5703125" bestFit="1" customWidth="1"/>
    <col min="330" max="330" width="11.5703125" bestFit="1" customWidth="1"/>
    <col min="331" max="331" width="10.42578125" bestFit="1" customWidth="1"/>
    <col min="332" max="332" width="10.85546875" customWidth="1"/>
    <col min="333" max="334" width="9.85546875" bestFit="1" customWidth="1"/>
    <col min="335" max="335" width="13.5703125" bestFit="1" customWidth="1"/>
    <col min="336" max="336" width="7.7109375" bestFit="1" customWidth="1"/>
    <col min="337" max="337" width="13.28515625" bestFit="1" customWidth="1"/>
    <col min="338" max="338" width="11.5703125" bestFit="1" customWidth="1"/>
    <col min="339" max="339" width="10.42578125" bestFit="1" customWidth="1"/>
    <col min="340" max="340" width="7.7109375" bestFit="1" customWidth="1"/>
    <col min="341" max="341" width="11.5703125" bestFit="1" customWidth="1"/>
    <col min="342" max="342" width="10.85546875" bestFit="1" customWidth="1"/>
    <col min="343" max="343" width="13.28515625" bestFit="1" customWidth="1"/>
    <col min="344" max="344" width="10.85546875" bestFit="1" customWidth="1"/>
    <col min="345" max="346" width="7.5703125" bestFit="1" customWidth="1"/>
    <col min="347" max="348" width="10.42578125" bestFit="1" customWidth="1"/>
    <col min="349" max="349" width="11.5703125" bestFit="1" customWidth="1"/>
    <col min="350" max="350" width="5.28515625" bestFit="1" customWidth="1"/>
    <col min="351" max="351" width="10.28515625" bestFit="1" customWidth="1"/>
    <col min="352" max="352" width="10.42578125" bestFit="1" customWidth="1"/>
    <col min="353" max="353" width="11.5703125" bestFit="1" customWidth="1"/>
    <col min="354" max="354" width="5.28515625" bestFit="1" customWidth="1"/>
    <col min="355" max="357" width="11.5703125" bestFit="1" customWidth="1"/>
    <col min="358" max="358" width="5.28515625" bestFit="1" customWidth="1"/>
    <col min="359" max="360" width="10.42578125" bestFit="1" customWidth="1"/>
    <col min="361" max="361" width="11.5703125" bestFit="1" customWidth="1"/>
    <col min="362" max="362" width="5.28515625" bestFit="1" customWidth="1"/>
    <col min="363" max="363" width="14.28515625" bestFit="1" customWidth="1"/>
    <col min="364" max="364" width="13" bestFit="1" customWidth="1"/>
    <col min="365" max="365" width="11.5703125" bestFit="1" customWidth="1"/>
    <col min="366" max="366" width="8.85546875" bestFit="1" customWidth="1"/>
    <col min="367" max="367" width="14.42578125" bestFit="1" customWidth="1"/>
    <col min="368" max="368" width="10.42578125" bestFit="1" customWidth="1"/>
    <col min="369" max="369" width="12.28515625" bestFit="1" customWidth="1"/>
    <col min="370" max="370" width="13.85546875" bestFit="1" customWidth="1"/>
    <col min="371" max="371" width="11.28515625" customWidth="1"/>
    <col min="372" max="372" width="11.5703125" customWidth="1"/>
    <col min="373" max="373" width="13.42578125" bestFit="1" customWidth="1"/>
    <col min="374" max="374" width="10.42578125" customWidth="1"/>
    <col min="375" max="375" width="13.85546875" bestFit="1" customWidth="1"/>
    <col min="376" max="376" width="15.42578125" bestFit="1" customWidth="1"/>
    <col min="377" max="377" width="12.28515625" bestFit="1" customWidth="1"/>
    <col min="378" max="378" width="12.7109375" customWidth="1"/>
    <col min="379" max="379" width="10.7109375" bestFit="1" customWidth="1"/>
    <col min="380" max="380" width="9.85546875" customWidth="1"/>
    <col min="381" max="382" width="10.140625" bestFit="1" customWidth="1"/>
    <col min="383" max="383" width="7.5703125" bestFit="1" customWidth="1"/>
    <col min="384" max="384" width="9.42578125" bestFit="1" customWidth="1"/>
    <col min="385" max="385" width="14.5703125" bestFit="1" customWidth="1"/>
    <col min="386" max="386" width="14.85546875" customWidth="1"/>
    <col min="387" max="387" width="15.140625" bestFit="1" customWidth="1"/>
    <col min="388" max="388" width="12.140625" bestFit="1" customWidth="1"/>
    <col min="389" max="389" width="14.85546875" bestFit="1" customWidth="1"/>
    <col min="390" max="390" width="12.28515625" bestFit="1" customWidth="1"/>
    <col min="391" max="399" width="9.140625" hidden="1" customWidth="1"/>
    <col min="400" max="400" width="5.28515625" bestFit="1" customWidth="1"/>
    <col min="401" max="406" width="11.5703125" bestFit="1" customWidth="1"/>
    <col min="407" max="407" width="11.28515625" bestFit="1" customWidth="1"/>
    <col min="408" max="408" width="10.140625" bestFit="1" customWidth="1"/>
    <col min="409" max="409" width="11.5703125" bestFit="1" customWidth="1"/>
    <col min="410" max="410" width="16.140625" customWidth="1"/>
    <col min="411" max="411" width="13.42578125" customWidth="1"/>
    <col min="412" max="412" width="10.140625" bestFit="1" customWidth="1"/>
    <col min="413" max="413" width="12.85546875" bestFit="1" customWidth="1"/>
    <col min="414" max="414" width="12.28515625" bestFit="1" customWidth="1"/>
    <col min="415" max="415" width="11.28515625" bestFit="1" customWidth="1"/>
    <col min="416" max="416" width="11.5703125" bestFit="1" customWidth="1"/>
    <col min="417" max="417" width="10.85546875" bestFit="1" customWidth="1"/>
    <col min="418" max="418" width="11.28515625" bestFit="1" customWidth="1"/>
    <col min="419" max="419" width="10.140625" bestFit="1" customWidth="1"/>
    <col min="420" max="420" width="13.28515625" bestFit="1" customWidth="1"/>
    <col min="421" max="422" width="12.7109375" bestFit="1" customWidth="1"/>
    <col min="423" max="423" width="11" bestFit="1" customWidth="1"/>
    <col min="424" max="424" width="11.28515625" bestFit="1" customWidth="1"/>
    <col min="425" max="425" width="11.5703125" bestFit="1" customWidth="1"/>
    <col min="426" max="426" width="12.28515625" bestFit="1" customWidth="1"/>
    <col min="427" max="427" width="15.140625" bestFit="1" customWidth="1"/>
    <col min="428" max="428" width="14.42578125" bestFit="1" customWidth="1"/>
    <col min="429" max="429" width="12.28515625" bestFit="1" customWidth="1"/>
    <col min="430" max="430" width="15.140625" bestFit="1" customWidth="1"/>
    <col min="431" max="431" width="14.42578125" bestFit="1" customWidth="1"/>
    <col min="432" max="432" width="12.28515625" bestFit="1" customWidth="1"/>
    <col min="433" max="433" width="14.42578125" bestFit="1" customWidth="1"/>
    <col min="434" max="434" width="11.28515625" bestFit="1" customWidth="1"/>
    <col min="435" max="435" width="12.28515625" bestFit="1" customWidth="1"/>
    <col min="436" max="436" width="13" bestFit="1" customWidth="1"/>
    <col min="437" max="437" width="15.140625" bestFit="1" customWidth="1"/>
    <col min="438" max="438" width="12.28515625" bestFit="1" customWidth="1"/>
    <col min="439" max="439" width="13.85546875" bestFit="1" customWidth="1"/>
    <col min="440" max="440" width="11.28515625" bestFit="1" customWidth="1"/>
    <col min="441" max="441" width="12.28515625" bestFit="1" customWidth="1"/>
    <col min="442" max="442" width="13.85546875" bestFit="1" customWidth="1"/>
    <col min="443" max="444" width="15.140625" bestFit="1" customWidth="1"/>
    <col min="445" max="445" width="12.28515625" bestFit="1" customWidth="1"/>
    <col min="446" max="446" width="5.7109375" bestFit="1" customWidth="1"/>
    <col min="447" max="447" width="8.5703125" bestFit="1" customWidth="1"/>
    <col min="448" max="448" width="5.5703125" bestFit="1" customWidth="1"/>
    <col min="449" max="449" width="14.42578125" bestFit="1" customWidth="1"/>
    <col min="450" max="450" width="11.28515625" bestFit="1" customWidth="1"/>
    <col min="451" max="452" width="12.28515625" bestFit="1" customWidth="1"/>
    <col min="453" max="453" width="11.28515625" bestFit="1" customWidth="1"/>
    <col min="454" max="454" width="13.85546875" bestFit="1" customWidth="1"/>
    <col min="455" max="455" width="12" bestFit="1" customWidth="1"/>
    <col min="456" max="456" width="13.85546875" bestFit="1" customWidth="1"/>
    <col min="457" max="458" width="14.42578125" customWidth="1"/>
    <col min="459" max="459" width="10.140625" bestFit="1" customWidth="1"/>
    <col min="460" max="460" width="12.28515625" bestFit="1" customWidth="1"/>
    <col min="461" max="461" width="7.42578125" bestFit="1" customWidth="1"/>
    <col min="462" max="462" width="8.5703125" bestFit="1" customWidth="1"/>
    <col min="463" max="463" width="11.5703125" bestFit="1" customWidth="1"/>
    <col min="464" max="464" width="13.28515625" bestFit="1" customWidth="1"/>
    <col min="465" max="465" width="13.28515625" customWidth="1"/>
    <col min="466" max="466" width="13.140625" customWidth="1"/>
    <col min="467" max="467" width="12.7109375" bestFit="1" customWidth="1"/>
    <col min="468" max="468" width="13.28515625" bestFit="1" customWidth="1"/>
    <col min="469" max="471" width="13.28515625" customWidth="1"/>
    <col min="472" max="472" width="12.140625" bestFit="1" customWidth="1"/>
    <col min="473" max="473" width="12.7109375" bestFit="1" customWidth="1"/>
    <col min="474" max="474" width="11" customWidth="1"/>
    <col min="475" max="475" width="16.7109375" customWidth="1"/>
    <col min="476" max="476" width="17" customWidth="1"/>
    <col min="477" max="477" width="10.42578125" bestFit="1" customWidth="1"/>
    <col min="521" max="521" width="3.85546875" customWidth="1"/>
    <col min="522" max="522" width="15.28515625" bestFit="1" customWidth="1"/>
    <col min="523" max="523" width="12.28515625" customWidth="1"/>
    <col min="524" max="524" width="16.28515625" bestFit="1" customWidth="1"/>
    <col min="525" max="525" width="6.42578125" bestFit="1" customWidth="1"/>
    <col min="526" max="526" width="9.28515625" bestFit="1" customWidth="1"/>
    <col min="527" max="527" width="7.5703125" bestFit="1" customWidth="1"/>
    <col min="528" max="528" width="13.28515625" bestFit="1" customWidth="1"/>
    <col min="529" max="529" width="9.28515625" bestFit="1" customWidth="1"/>
    <col min="530" max="530" width="11.5703125" bestFit="1" customWidth="1"/>
    <col min="531" max="531" width="13.28515625" bestFit="1" customWidth="1"/>
    <col min="532" max="532" width="7.140625" bestFit="1" customWidth="1"/>
    <col min="533" max="533" width="12" bestFit="1" customWidth="1"/>
    <col min="534" max="534" width="13.28515625" bestFit="1" customWidth="1"/>
    <col min="535" max="535" width="7" bestFit="1" customWidth="1"/>
    <col min="536" max="536" width="12.7109375" bestFit="1" customWidth="1"/>
    <col min="537" max="537" width="11.5703125" bestFit="1" customWidth="1"/>
    <col min="538" max="538" width="10.5703125" bestFit="1" customWidth="1"/>
    <col min="539" max="540" width="15.7109375" bestFit="1" customWidth="1"/>
    <col min="541" max="541" width="11.5703125" bestFit="1" customWidth="1"/>
    <col min="542" max="542" width="7.7109375" bestFit="1" customWidth="1"/>
    <col min="543" max="543" width="15.140625" bestFit="1" customWidth="1"/>
    <col min="544" max="544" width="11.5703125" bestFit="1" customWidth="1"/>
    <col min="545" max="545" width="13.28515625" bestFit="1" customWidth="1"/>
    <col min="546" max="546" width="10.42578125" bestFit="1" customWidth="1"/>
    <col min="547" max="547" width="13.28515625" bestFit="1" customWidth="1"/>
    <col min="548" max="548" width="12.140625" bestFit="1" customWidth="1"/>
    <col min="549" max="549" width="14.42578125" bestFit="1" customWidth="1"/>
    <col min="550" max="550" width="13.28515625" bestFit="1" customWidth="1"/>
    <col min="551" max="551" width="11.5703125" bestFit="1" customWidth="1"/>
    <col min="552" max="552" width="7.7109375" bestFit="1" customWidth="1"/>
    <col min="553" max="554" width="14.42578125" bestFit="1" customWidth="1"/>
    <col min="555" max="555" width="11.5703125" bestFit="1" customWidth="1"/>
    <col min="556" max="556" width="7.7109375" bestFit="1" customWidth="1"/>
    <col min="557" max="557" width="13.5703125" customWidth="1"/>
    <col min="558" max="558" width="15.28515625" customWidth="1"/>
    <col min="559" max="559" width="14.5703125" customWidth="1"/>
    <col min="560" max="560" width="13.28515625" bestFit="1" customWidth="1"/>
    <col min="561" max="561" width="7.7109375" bestFit="1" customWidth="1"/>
    <col min="562" max="562" width="12.7109375" bestFit="1" customWidth="1"/>
    <col min="563" max="563" width="11.7109375" bestFit="1" customWidth="1"/>
    <col min="564" max="564" width="11.5703125" bestFit="1" customWidth="1"/>
    <col min="565" max="565" width="5.28515625" bestFit="1" customWidth="1"/>
    <col min="566" max="566" width="13.28515625" bestFit="1" customWidth="1"/>
    <col min="567" max="567" width="13.5703125" bestFit="1" customWidth="1"/>
    <col min="568" max="568" width="10.5703125" bestFit="1" customWidth="1"/>
    <col min="569" max="569" width="13.28515625" bestFit="1" customWidth="1"/>
    <col min="570" max="570" width="11.5703125" bestFit="1" customWidth="1"/>
    <col min="571" max="571" width="10.5703125" bestFit="1" customWidth="1"/>
    <col min="572" max="572" width="16.140625" bestFit="1" customWidth="1"/>
    <col min="573" max="574" width="11.28515625" bestFit="1" customWidth="1"/>
    <col min="575" max="575" width="13.28515625" bestFit="1" customWidth="1"/>
    <col min="576" max="576" width="7.7109375" bestFit="1" customWidth="1"/>
    <col min="577" max="580" width="9.140625" hidden="1" customWidth="1"/>
    <col min="581" max="581" width="10.42578125" bestFit="1" customWidth="1"/>
    <col min="582" max="582" width="10.5703125" bestFit="1" customWidth="1"/>
    <col min="583" max="583" width="10.42578125" bestFit="1" customWidth="1"/>
    <col min="584" max="584" width="10.5703125" bestFit="1" customWidth="1"/>
    <col min="585" max="585" width="9.5703125" bestFit="1" customWidth="1"/>
    <col min="586" max="586" width="11.5703125" bestFit="1" customWidth="1"/>
    <col min="587" max="587" width="10.42578125" bestFit="1" customWidth="1"/>
    <col min="588" max="588" width="10.85546875" customWidth="1"/>
    <col min="589" max="590" width="9.85546875" bestFit="1" customWidth="1"/>
    <col min="591" max="591" width="13.5703125" bestFit="1" customWidth="1"/>
    <col min="592" max="592" width="7.7109375" bestFit="1" customWidth="1"/>
    <col min="593" max="593" width="13.28515625" bestFit="1" customWidth="1"/>
    <col min="594" max="594" width="11.5703125" bestFit="1" customWidth="1"/>
    <col min="595" max="595" width="10.42578125" bestFit="1" customWidth="1"/>
    <col min="596" max="596" width="7.7109375" bestFit="1" customWidth="1"/>
    <col min="597" max="597" width="11.5703125" bestFit="1" customWidth="1"/>
    <col min="598" max="598" width="10.85546875" bestFit="1" customWidth="1"/>
    <col min="599" max="599" width="13.28515625" bestFit="1" customWidth="1"/>
    <col min="600" max="600" width="10.85546875" bestFit="1" customWidth="1"/>
    <col min="601" max="602" width="7.5703125" bestFit="1" customWidth="1"/>
    <col min="603" max="604" width="10.42578125" bestFit="1" customWidth="1"/>
    <col min="605" max="605" width="11.5703125" bestFit="1" customWidth="1"/>
    <col min="606" max="606" width="5.28515625" bestFit="1" customWidth="1"/>
    <col min="607" max="607" width="10.28515625" bestFit="1" customWidth="1"/>
    <col min="608" max="608" width="10.42578125" bestFit="1" customWidth="1"/>
    <col min="609" max="609" width="11.5703125" bestFit="1" customWidth="1"/>
    <col min="610" max="610" width="5.28515625" bestFit="1" customWidth="1"/>
    <col min="611" max="613" width="11.5703125" bestFit="1" customWidth="1"/>
    <col min="614" max="614" width="5.28515625" bestFit="1" customWidth="1"/>
    <col min="615" max="616" width="10.42578125" bestFit="1" customWidth="1"/>
    <col min="617" max="617" width="11.5703125" bestFit="1" customWidth="1"/>
    <col min="618" max="618" width="5.28515625" bestFit="1" customWidth="1"/>
    <col min="619" max="619" width="14.28515625" bestFit="1" customWidth="1"/>
    <col min="620" max="620" width="13" bestFit="1" customWidth="1"/>
    <col min="621" max="621" width="11.5703125" bestFit="1" customWidth="1"/>
    <col min="622" max="622" width="8.85546875" bestFit="1" customWidth="1"/>
    <col min="623" max="623" width="14.42578125" bestFit="1" customWidth="1"/>
    <col min="624" max="624" width="10.42578125" bestFit="1" customWidth="1"/>
    <col min="625" max="625" width="12.28515625" bestFit="1" customWidth="1"/>
    <col min="626" max="626" width="13.85546875" bestFit="1" customWidth="1"/>
    <col min="627" max="627" width="11.28515625" customWidth="1"/>
    <col min="628" max="628" width="11.5703125" customWidth="1"/>
    <col min="629" max="629" width="13.42578125" bestFit="1" customWidth="1"/>
    <col min="630" max="630" width="10.42578125" customWidth="1"/>
    <col min="631" max="631" width="13.85546875" bestFit="1" customWidth="1"/>
    <col min="632" max="632" width="15.42578125" bestFit="1" customWidth="1"/>
    <col min="633" max="633" width="12.28515625" bestFit="1" customWidth="1"/>
    <col min="634" max="634" width="12.7109375" customWidth="1"/>
    <col min="635" max="635" width="10.7109375" bestFit="1" customWidth="1"/>
    <col min="636" max="636" width="9.85546875" customWidth="1"/>
    <col min="637" max="638" width="10.140625" bestFit="1" customWidth="1"/>
    <col min="639" max="639" width="7.5703125" bestFit="1" customWidth="1"/>
    <col min="640" max="640" width="9.42578125" bestFit="1" customWidth="1"/>
    <col min="641" max="641" width="14.5703125" bestFit="1" customWidth="1"/>
    <col min="642" max="642" width="14.85546875" customWidth="1"/>
    <col min="643" max="643" width="15.140625" bestFit="1" customWidth="1"/>
    <col min="644" max="644" width="12.140625" bestFit="1" customWidth="1"/>
    <col min="645" max="645" width="14.85546875" bestFit="1" customWidth="1"/>
    <col min="646" max="646" width="12.28515625" bestFit="1" customWidth="1"/>
    <col min="647" max="655" width="9.140625" hidden="1" customWidth="1"/>
    <col min="656" max="656" width="5.28515625" bestFit="1" customWidth="1"/>
    <col min="657" max="662" width="11.5703125" bestFit="1" customWidth="1"/>
    <col min="663" max="663" width="11.28515625" bestFit="1" customWidth="1"/>
    <col min="664" max="664" width="10.140625" bestFit="1" customWidth="1"/>
    <col min="665" max="665" width="11.5703125" bestFit="1" customWidth="1"/>
    <col min="666" max="666" width="16.140625" customWidth="1"/>
    <col min="667" max="667" width="13.42578125" customWidth="1"/>
    <col min="668" max="668" width="10.140625" bestFit="1" customWidth="1"/>
    <col min="669" max="669" width="12.85546875" bestFit="1" customWidth="1"/>
    <col min="670" max="670" width="12.28515625" bestFit="1" customWidth="1"/>
    <col min="671" max="671" width="11.28515625" bestFit="1" customWidth="1"/>
    <col min="672" max="672" width="11.5703125" bestFit="1" customWidth="1"/>
    <col min="673" max="673" width="10.85546875" bestFit="1" customWidth="1"/>
    <col min="674" max="674" width="11.28515625" bestFit="1" customWidth="1"/>
    <col min="675" max="675" width="10.140625" bestFit="1" customWidth="1"/>
    <col min="676" max="676" width="13.28515625" bestFit="1" customWidth="1"/>
    <col min="677" max="678" width="12.7109375" bestFit="1" customWidth="1"/>
    <col min="679" max="679" width="11" bestFit="1" customWidth="1"/>
    <col min="680" max="680" width="11.28515625" bestFit="1" customWidth="1"/>
    <col min="681" max="681" width="11.5703125" bestFit="1" customWidth="1"/>
    <col min="682" max="682" width="12.28515625" bestFit="1" customWidth="1"/>
    <col min="683" max="683" width="15.140625" bestFit="1" customWidth="1"/>
    <col min="684" max="684" width="14.42578125" bestFit="1" customWidth="1"/>
    <col min="685" max="685" width="12.28515625" bestFit="1" customWidth="1"/>
    <col min="686" max="686" width="15.140625" bestFit="1" customWidth="1"/>
    <col min="687" max="687" width="14.42578125" bestFit="1" customWidth="1"/>
    <col min="688" max="688" width="12.28515625" bestFit="1" customWidth="1"/>
    <col min="689" max="689" width="14.42578125" bestFit="1" customWidth="1"/>
    <col min="690" max="690" width="11.28515625" bestFit="1" customWidth="1"/>
    <col min="691" max="691" width="12.28515625" bestFit="1" customWidth="1"/>
    <col min="692" max="692" width="13" bestFit="1" customWidth="1"/>
    <col min="693" max="693" width="15.140625" bestFit="1" customWidth="1"/>
    <col min="694" max="694" width="12.28515625" bestFit="1" customWidth="1"/>
    <col min="695" max="695" width="13.85546875" bestFit="1" customWidth="1"/>
    <col min="696" max="696" width="11.28515625" bestFit="1" customWidth="1"/>
    <col min="697" max="697" width="12.28515625" bestFit="1" customWidth="1"/>
    <col min="698" max="698" width="13.85546875" bestFit="1" customWidth="1"/>
    <col min="699" max="700" width="15.140625" bestFit="1" customWidth="1"/>
    <col min="701" max="701" width="12.28515625" bestFit="1" customWidth="1"/>
    <col min="702" max="702" width="5.7109375" bestFit="1" customWidth="1"/>
    <col min="703" max="703" width="8.5703125" bestFit="1" customWidth="1"/>
    <col min="704" max="704" width="5.5703125" bestFit="1" customWidth="1"/>
    <col min="705" max="705" width="14.42578125" bestFit="1" customWidth="1"/>
    <col min="706" max="706" width="11.28515625" bestFit="1" customWidth="1"/>
    <col min="707" max="708" width="12.28515625" bestFit="1" customWidth="1"/>
    <col min="709" max="709" width="11.28515625" bestFit="1" customWidth="1"/>
    <col min="710" max="710" width="13.85546875" bestFit="1" customWidth="1"/>
    <col min="711" max="711" width="12" bestFit="1" customWidth="1"/>
    <col min="712" max="712" width="13.85546875" bestFit="1" customWidth="1"/>
    <col min="713" max="714" width="14.42578125" customWidth="1"/>
    <col min="715" max="715" width="10.140625" bestFit="1" customWidth="1"/>
    <col min="716" max="716" width="12.28515625" bestFit="1" customWidth="1"/>
    <col min="717" max="717" width="7.42578125" bestFit="1" customWidth="1"/>
    <col min="718" max="718" width="8.5703125" bestFit="1" customWidth="1"/>
    <col min="719" max="719" width="11.5703125" bestFit="1" customWidth="1"/>
    <col min="720" max="720" width="13.28515625" bestFit="1" customWidth="1"/>
    <col min="721" max="721" width="13.28515625" customWidth="1"/>
    <col min="722" max="722" width="13.140625" customWidth="1"/>
    <col min="723" max="723" width="12.7109375" bestFit="1" customWidth="1"/>
    <col min="724" max="724" width="13.28515625" bestFit="1" customWidth="1"/>
    <col min="725" max="727" width="13.28515625" customWidth="1"/>
    <col min="728" max="728" width="12.140625" bestFit="1" customWidth="1"/>
    <col min="729" max="729" width="12.7109375" bestFit="1" customWidth="1"/>
    <col min="730" max="730" width="11" customWidth="1"/>
    <col min="731" max="731" width="16.7109375" customWidth="1"/>
    <col min="732" max="732" width="17" customWidth="1"/>
    <col min="733" max="733" width="10.42578125" bestFit="1" customWidth="1"/>
    <col min="777" max="777" width="3.85546875" customWidth="1"/>
    <col min="778" max="778" width="15.28515625" bestFit="1" customWidth="1"/>
    <col min="779" max="779" width="12.28515625" customWidth="1"/>
    <col min="780" max="780" width="16.28515625" bestFit="1" customWidth="1"/>
    <col min="781" max="781" width="6.42578125" bestFit="1" customWidth="1"/>
    <col min="782" max="782" width="9.28515625" bestFit="1" customWidth="1"/>
    <col min="783" max="783" width="7.5703125" bestFit="1" customWidth="1"/>
    <col min="784" max="784" width="13.28515625" bestFit="1" customWidth="1"/>
    <col min="785" max="785" width="9.28515625" bestFit="1" customWidth="1"/>
    <col min="786" max="786" width="11.5703125" bestFit="1" customWidth="1"/>
    <col min="787" max="787" width="13.28515625" bestFit="1" customWidth="1"/>
    <col min="788" max="788" width="7.140625" bestFit="1" customWidth="1"/>
    <col min="789" max="789" width="12" bestFit="1" customWidth="1"/>
    <col min="790" max="790" width="13.28515625" bestFit="1" customWidth="1"/>
    <col min="791" max="791" width="7" bestFit="1" customWidth="1"/>
    <col min="792" max="792" width="12.7109375" bestFit="1" customWidth="1"/>
    <col min="793" max="793" width="11.5703125" bestFit="1" customWidth="1"/>
    <col min="794" max="794" width="10.5703125" bestFit="1" customWidth="1"/>
    <col min="795" max="796" width="15.7109375" bestFit="1" customWidth="1"/>
    <col min="797" max="797" width="11.5703125" bestFit="1" customWidth="1"/>
    <col min="798" max="798" width="7.7109375" bestFit="1" customWidth="1"/>
    <col min="799" max="799" width="15.140625" bestFit="1" customWidth="1"/>
    <col min="800" max="800" width="11.5703125" bestFit="1" customWidth="1"/>
    <col min="801" max="801" width="13.28515625" bestFit="1" customWidth="1"/>
    <col min="802" max="802" width="10.42578125" bestFit="1" customWidth="1"/>
    <col min="803" max="803" width="13.28515625" bestFit="1" customWidth="1"/>
    <col min="804" max="804" width="12.140625" bestFit="1" customWidth="1"/>
    <col min="805" max="805" width="14.42578125" bestFit="1" customWidth="1"/>
    <col min="806" max="806" width="13.28515625" bestFit="1" customWidth="1"/>
    <col min="807" max="807" width="11.5703125" bestFit="1" customWidth="1"/>
    <col min="808" max="808" width="7.7109375" bestFit="1" customWidth="1"/>
    <col min="809" max="810" width="14.42578125" bestFit="1" customWidth="1"/>
    <col min="811" max="811" width="11.5703125" bestFit="1" customWidth="1"/>
    <col min="812" max="812" width="7.7109375" bestFit="1" customWidth="1"/>
    <col min="813" max="813" width="13.5703125" customWidth="1"/>
    <col min="814" max="814" width="15.28515625" customWidth="1"/>
    <col min="815" max="815" width="14.5703125" customWidth="1"/>
    <col min="816" max="816" width="13.28515625" bestFit="1" customWidth="1"/>
    <col min="817" max="817" width="7.7109375" bestFit="1" customWidth="1"/>
    <col min="818" max="818" width="12.7109375" bestFit="1" customWidth="1"/>
    <col min="819" max="819" width="11.7109375" bestFit="1" customWidth="1"/>
    <col min="820" max="820" width="11.5703125" bestFit="1" customWidth="1"/>
    <col min="821" max="821" width="5.28515625" bestFit="1" customWidth="1"/>
    <col min="822" max="822" width="13.28515625" bestFit="1" customWidth="1"/>
    <col min="823" max="823" width="13.5703125" bestFit="1" customWidth="1"/>
    <col min="824" max="824" width="10.5703125" bestFit="1" customWidth="1"/>
    <col min="825" max="825" width="13.28515625" bestFit="1" customWidth="1"/>
    <col min="826" max="826" width="11.5703125" bestFit="1" customWidth="1"/>
    <col min="827" max="827" width="10.5703125" bestFit="1" customWidth="1"/>
    <col min="828" max="828" width="16.140625" bestFit="1" customWidth="1"/>
    <col min="829" max="830" width="11.28515625" bestFit="1" customWidth="1"/>
    <col min="831" max="831" width="13.28515625" bestFit="1" customWidth="1"/>
    <col min="832" max="832" width="7.7109375" bestFit="1" customWidth="1"/>
    <col min="833" max="836" width="9.140625" hidden="1" customWidth="1"/>
    <col min="837" max="837" width="10.42578125" bestFit="1" customWidth="1"/>
    <col min="838" max="838" width="10.5703125" bestFit="1" customWidth="1"/>
    <col min="839" max="839" width="10.42578125" bestFit="1" customWidth="1"/>
    <col min="840" max="840" width="10.5703125" bestFit="1" customWidth="1"/>
    <col min="841" max="841" width="9.5703125" bestFit="1" customWidth="1"/>
    <col min="842" max="842" width="11.5703125" bestFit="1" customWidth="1"/>
    <col min="843" max="843" width="10.42578125" bestFit="1" customWidth="1"/>
    <col min="844" max="844" width="10.85546875" customWidth="1"/>
    <col min="845" max="846" width="9.85546875" bestFit="1" customWidth="1"/>
    <col min="847" max="847" width="13.5703125" bestFit="1" customWidth="1"/>
    <col min="848" max="848" width="7.7109375" bestFit="1" customWidth="1"/>
    <col min="849" max="849" width="13.28515625" bestFit="1" customWidth="1"/>
    <col min="850" max="850" width="11.5703125" bestFit="1" customWidth="1"/>
    <col min="851" max="851" width="10.42578125" bestFit="1" customWidth="1"/>
    <col min="852" max="852" width="7.7109375" bestFit="1" customWidth="1"/>
    <col min="853" max="853" width="11.5703125" bestFit="1" customWidth="1"/>
    <col min="854" max="854" width="10.85546875" bestFit="1" customWidth="1"/>
    <col min="855" max="855" width="13.28515625" bestFit="1" customWidth="1"/>
    <col min="856" max="856" width="10.85546875" bestFit="1" customWidth="1"/>
    <col min="857" max="858" width="7.5703125" bestFit="1" customWidth="1"/>
    <col min="859" max="860" width="10.42578125" bestFit="1" customWidth="1"/>
    <col min="861" max="861" width="11.5703125" bestFit="1" customWidth="1"/>
    <col min="862" max="862" width="5.28515625" bestFit="1" customWidth="1"/>
    <col min="863" max="863" width="10.28515625" bestFit="1" customWidth="1"/>
    <col min="864" max="864" width="10.42578125" bestFit="1" customWidth="1"/>
    <col min="865" max="865" width="11.5703125" bestFit="1" customWidth="1"/>
    <col min="866" max="866" width="5.28515625" bestFit="1" customWidth="1"/>
    <col min="867" max="869" width="11.5703125" bestFit="1" customWidth="1"/>
    <col min="870" max="870" width="5.28515625" bestFit="1" customWidth="1"/>
    <col min="871" max="872" width="10.42578125" bestFit="1" customWidth="1"/>
    <col min="873" max="873" width="11.5703125" bestFit="1" customWidth="1"/>
    <col min="874" max="874" width="5.28515625" bestFit="1" customWidth="1"/>
    <col min="875" max="875" width="14.28515625" bestFit="1" customWidth="1"/>
    <col min="876" max="876" width="13" bestFit="1" customWidth="1"/>
    <col min="877" max="877" width="11.5703125" bestFit="1" customWidth="1"/>
    <col min="878" max="878" width="8.85546875" bestFit="1" customWidth="1"/>
    <col min="879" max="879" width="14.42578125" bestFit="1" customWidth="1"/>
    <col min="880" max="880" width="10.42578125" bestFit="1" customWidth="1"/>
    <col min="881" max="881" width="12.28515625" bestFit="1" customWidth="1"/>
    <col min="882" max="882" width="13.85546875" bestFit="1" customWidth="1"/>
    <col min="883" max="883" width="11.28515625" customWidth="1"/>
    <col min="884" max="884" width="11.5703125" customWidth="1"/>
    <col min="885" max="885" width="13.42578125" bestFit="1" customWidth="1"/>
    <col min="886" max="886" width="10.42578125" customWidth="1"/>
    <col min="887" max="887" width="13.85546875" bestFit="1" customWidth="1"/>
    <col min="888" max="888" width="15.42578125" bestFit="1" customWidth="1"/>
    <col min="889" max="889" width="12.28515625" bestFit="1" customWidth="1"/>
    <col min="890" max="890" width="12.7109375" customWidth="1"/>
    <col min="891" max="891" width="10.7109375" bestFit="1" customWidth="1"/>
    <col min="892" max="892" width="9.85546875" customWidth="1"/>
    <col min="893" max="894" width="10.140625" bestFit="1" customWidth="1"/>
    <col min="895" max="895" width="7.5703125" bestFit="1" customWidth="1"/>
    <col min="896" max="896" width="9.42578125" bestFit="1" customWidth="1"/>
    <col min="897" max="897" width="14.5703125" bestFit="1" customWidth="1"/>
    <col min="898" max="898" width="14.85546875" customWidth="1"/>
    <col min="899" max="899" width="15.140625" bestFit="1" customWidth="1"/>
    <col min="900" max="900" width="12.140625" bestFit="1" customWidth="1"/>
    <col min="901" max="901" width="14.85546875" bestFit="1" customWidth="1"/>
    <col min="902" max="902" width="12.28515625" bestFit="1" customWidth="1"/>
    <col min="903" max="911" width="9.140625" hidden="1" customWidth="1"/>
    <col min="912" max="912" width="5.28515625" bestFit="1" customWidth="1"/>
    <col min="913" max="918" width="11.5703125" bestFit="1" customWidth="1"/>
    <col min="919" max="919" width="11.28515625" bestFit="1" customWidth="1"/>
    <col min="920" max="920" width="10.140625" bestFit="1" customWidth="1"/>
    <col min="921" max="921" width="11.5703125" bestFit="1" customWidth="1"/>
    <col min="922" max="922" width="16.140625" customWidth="1"/>
    <col min="923" max="923" width="13.42578125" customWidth="1"/>
    <col min="924" max="924" width="10.140625" bestFit="1" customWidth="1"/>
    <col min="925" max="925" width="12.85546875" bestFit="1" customWidth="1"/>
    <col min="926" max="926" width="12.28515625" bestFit="1" customWidth="1"/>
    <col min="927" max="927" width="11.28515625" bestFit="1" customWidth="1"/>
    <col min="928" max="928" width="11.5703125" bestFit="1" customWidth="1"/>
    <col min="929" max="929" width="10.85546875" bestFit="1" customWidth="1"/>
    <col min="930" max="930" width="11.28515625" bestFit="1" customWidth="1"/>
    <col min="931" max="931" width="10.140625" bestFit="1" customWidth="1"/>
    <col min="932" max="932" width="13.28515625" bestFit="1" customWidth="1"/>
    <col min="933" max="934" width="12.7109375" bestFit="1" customWidth="1"/>
    <col min="935" max="935" width="11" bestFit="1" customWidth="1"/>
    <col min="936" max="936" width="11.28515625" bestFit="1" customWidth="1"/>
    <col min="937" max="937" width="11.5703125" bestFit="1" customWidth="1"/>
    <col min="938" max="938" width="12.28515625" bestFit="1" customWidth="1"/>
    <col min="939" max="939" width="15.140625" bestFit="1" customWidth="1"/>
    <col min="940" max="940" width="14.42578125" bestFit="1" customWidth="1"/>
    <col min="941" max="941" width="12.28515625" bestFit="1" customWidth="1"/>
    <col min="942" max="942" width="15.140625" bestFit="1" customWidth="1"/>
    <col min="943" max="943" width="14.42578125" bestFit="1" customWidth="1"/>
    <col min="944" max="944" width="12.28515625" bestFit="1" customWidth="1"/>
    <col min="945" max="945" width="14.42578125" bestFit="1" customWidth="1"/>
    <col min="946" max="946" width="11.28515625" bestFit="1" customWidth="1"/>
    <col min="947" max="947" width="12.28515625" bestFit="1" customWidth="1"/>
    <col min="948" max="948" width="13" bestFit="1" customWidth="1"/>
    <col min="949" max="949" width="15.140625" bestFit="1" customWidth="1"/>
    <col min="950" max="950" width="12.28515625" bestFit="1" customWidth="1"/>
    <col min="951" max="951" width="13.85546875" bestFit="1" customWidth="1"/>
    <col min="952" max="952" width="11.28515625" bestFit="1" customWidth="1"/>
    <col min="953" max="953" width="12.28515625" bestFit="1" customWidth="1"/>
    <col min="954" max="954" width="13.85546875" bestFit="1" customWidth="1"/>
    <col min="955" max="956" width="15.140625" bestFit="1" customWidth="1"/>
    <col min="957" max="957" width="12.28515625" bestFit="1" customWidth="1"/>
    <col min="958" max="958" width="5.7109375" bestFit="1" customWidth="1"/>
    <col min="959" max="959" width="8.5703125" bestFit="1" customWidth="1"/>
    <col min="960" max="960" width="5.5703125" bestFit="1" customWidth="1"/>
    <col min="961" max="961" width="14.42578125" bestFit="1" customWidth="1"/>
    <col min="962" max="962" width="11.28515625" bestFit="1" customWidth="1"/>
    <col min="963" max="964" width="12.28515625" bestFit="1" customWidth="1"/>
    <col min="965" max="965" width="11.28515625" bestFit="1" customWidth="1"/>
    <col min="966" max="966" width="13.85546875" bestFit="1" customWidth="1"/>
    <col min="967" max="967" width="12" bestFit="1" customWidth="1"/>
    <col min="968" max="968" width="13.85546875" bestFit="1" customWidth="1"/>
    <col min="969" max="970" width="14.42578125" customWidth="1"/>
    <col min="971" max="971" width="10.140625" bestFit="1" customWidth="1"/>
    <col min="972" max="972" width="12.28515625" bestFit="1" customWidth="1"/>
    <col min="973" max="973" width="7.42578125" bestFit="1" customWidth="1"/>
    <col min="974" max="974" width="8.5703125" bestFit="1" customWidth="1"/>
    <col min="975" max="975" width="11.5703125" bestFit="1" customWidth="1"/>
    <col min="976" max="976" width="13.28515625" bestFit="1" customWidth="1"/>
    <col min="977" max="977" width="13.28515625" customWidth="1"/>
    <col min="978" max="978" width="13.140625" customWidth="1"/>
    <col min="979" max="979" width="12.7109375" bestFit="1" customWidth="1"/>
    <col min="980" max="980" width="13.28515625" bestFit="1" customWidth="1"/>
    <col min="981" max="983" width="13.28515625" customWidth="1"/>
    <col min="984" max="984" width="12.140625" bestFit="1" customWidth="1"/>
    <col min="985" max="985" width="12.7109375" bestFit="1" customWidth="1"/>
    <col min="986" max="986" width="11" customWidth="1"/>
    <col min="987" max="987" width="16.7109375" customWidth="1"/>
    <col min="988" max="988" width="17" customWidth="1"/>
    <col min="989" max="989" width="10.42578125" bestFit="1" customWidth="1"/>
    <col min="1033" max="1033" width="3.85546875" customWidth="1"/>
    <col min="1034" max="1034" width="15.28515625" bestFit="1" customWidth="1"/>
    <col min="1035" max="1035" width="12.28515625" customWidth="1"/>
    <col min="1036" max="1036" width="16.28515625" bestFit="1" customWidth="1"/>
    <col min="1037" max="1037" width="6.42578125" bestFit="1" customWidth="1"/>
    <col min="1038" max="1038" width="9.28515625" bestFit="1" customWidth="1"/>
    <col min="1039" max="1039" width="7.5703125" bestFit="1" customWidth="1"/>
    <col min="1040" max="1040" width="13.28515625" bestFit="1" customWidth="1"/>
    <col min="1041" max="1041" width="9.28515625" bestFit="1" customWidth="1"/>
    <col min="1042" max="1042" width="11.5703125" bestFit="1" customWidth="1"/>
    <col min="1043" max="1043" width="13.28515625" bestFit="1" customWidth="1"/>
    <col min="1044" max="1044" width="7.140625" bestFit="1" customWidth="1"/>
    <col min="1045" max="1045" width="12" bestFit="1" customWidth="1"/>
    <col min="1046" max="1046" width="13.28515625" bestFit="1" customWidth="1"/>
    <col min="1047" max="1047" width="7" bestFit="1" customWidth="1"/>
    <col min="1048" max="1048" width="12.7109375" bestFit="1" customWidth="1"/>
    <col min="1049" max="1049" width="11.5703125" bestFit="1" customWidth="1"/>
    <col min="1050" max="1050" width="10.5703125" bestFit="1" customWidth="1"/>
    <col min="1051" max="1052" width="15.7109375" bestFit="1" customWidth="1"/>
    <col min="1053" max="1053" width="11.5703125" bestFit="1" customWidth="1"/>
    <col min="1054" max="1054" width="7.7109375" bestFit="1" customWidth="1"/>
    <col min="1055" max="1055" width="15.140625" bestFit="1" customWidth="1"/>
    <col min="1056" max="1056" width="11.5703125" bestFit="1" customWidth="1"/>
    <col min="1057" max="1057" width="13.28515625" bestFit="1" customWidth="1"/>
    <col min="1058" max="1058" width="10.42578125" bestFit="1" customWidth="1"/>
    <col min="1059" max="1059" width="13.28515625" bestFit="1" customWidth="1"/>
    <col min="1060" max="1060" width="12.140625" bestFit="1" customWidth="1"/>
    <col min="1061" max="1061" width="14.42578125" bestFit="1" customWidth="1"/>
    <col min="1062" max="1062" width="13.28515625" bestFit="1" customWidth="1"/>
    <col min="1063" max="1063" width="11.5703125" bestFit="1" customWidth="1"/>
    <col min="1064" max="1064" width="7.7109375" bestFit="1" customWidth="1"/>
    <col min="1065" max="1066" width="14.42578125" bestFit="1" customWidth="1"/>
    <col min="1067" max="1067" width="11.5703125" bestFit="1" customWidth="1"/>
    <col min="1068" max="1068" width="7.7109375" bestFit="1" customWidth="1"/>
    <col min="1069" max="1069" width="13.5703125" customWidth="1"/>
    <col min="1070" max="1070" width="15.28515625" customWidth="1"/>
    <col min="1071" max="1071" width="14.5703125" customWidth="1"/>
    <col min="1072" max="1072" width="13.28515625" bestFit="1" customWidth="1"/>
    <col min="1073" max="1073" width="7.7109375" bestFit="1" customWidth="1"/>
    <col min="1074" max="1074" width="12.7109375" bestFit="1" customWidth="1"/>
    <col min="1075" max="1075" width="11.7109375" bestFit="1" customWidth="1"/>
    <col min="1076" max="1076" width="11.5703125" bestFit="1" customWidth="1"/>
    <col min="1077" max="1077" width="5.28515625" bestFit="1" customWidth="1"/>
    <col min="1078" max="1078" width="13.28515625" bestFit="1" customWidth="1"/>
    <col min="1079" max="1079" width="13.5703125" bestFit="1" customWidth="1"/>
    <col min="1080" max="1080" width="10.5703125" bestFit="1" customWidth="1"/>
    <col min="1081" max="1081" width="13.28515625" bestFit="1" customWidth="1"/>
    <col min="1082" max="1082" width="11.5703125" bestFit="1" customWidth="1"/>
    <col min="1083" max="1083" width="10.5703125" bestFit="1" customWidth="1"/>
    <col min="1084" max="1084" width="16.140625" bestFit="1" customWidth="1"/>
    <col min="1085" max="1086" width="11.28515625" bestFit="1" customWidth="1"/>
    <col min="1087" max="1087" width="13.28515625" bestFit="1" customWidth="1"/>
    <col min="1088" max="1088" width="7.7109375" bestFit="1" customWidth="1"/>
    <col min="1089" max="1092" width="9.140625" hidden="1" customWidth="1"/>
    <col min="1093" max="1093" width="10.42578125" bestFit="1" customWidth="1"/>
    <col min="1094" max="1094" width="10.5703125" bestFit="1" customWidth="1"/>
    <col min="1095" max="1095" width="10.42578125" bestFit="1" customWidth="1"/>
    <col min="1096" max="1096" width="10.5703125" bestFit="1" customWidth="1"/>
    <col min="1097" max="1097" width="9.5703125" bestFit="1" customWidth="1"/>
    <col min="1098" max="1098" width="11.5703125" bestFit="1" customWidth="1"/>
    <col min="1099" max="1099" width="10.42578125" bestFit="1" customWidth="1"/>
    <col min="1100" max="1100" width="10.85546875" customWidth="1"/>
    <col min="1101" max="1102" width="9.85546875" bestFit="1" customWidth="1"/>
    <col min="1103" max="1103" width="13.5703125" bestFit="1" customWidth="1"/>
    <col min="1104" max="1104" width="7.7109375" bestFit="1" customWidth="1"/>
    <col min="1105" max="1105" width="13.28515625" bestFit="1" customWidth="1"/>
    <col min="1106" max="1106" width="11.5703125" bestFit="1" customWidth="1"/>
    <col min="1107" max="1107" width="10.42578125" bestFit="1" customWidth="1"/>
    <col min="1108" max="1108" width="7.7109375" bestFit="1" customWidth="1"/>
    <col min="1109" max="1109" width="11.5703125" bestFit="1" customWidth="1"/>
    <col min="1110" max="1110" width="10.85546875" bestFit="1" customWidth="1"/>
    <col min="1111" max="1111" width="13.28515625" bestFit="1" customWidth="1"/>
    <col min="1112" max="1112" width="10.85546875" bestFit="1" customWidth="1"/>
    <col min="1113" max="1114" width="7.5703125" bestFit="1" customWidth="1"/>
    <col min="1115" max="1116" width="10.42578125" bestFit="1" customWidth="1"/>
    <col min="1117" max="1117" width="11.5703125" bestFit="1" customWidth="1"/>
    <col min="1118" max="1118" width="5.28515625" bestFit="1" customWidth="1"/>
    <col min="1119" max="1119" width="10.28515625" bestFit="1" customWidth="1"/>
    <col min="1120" max="1120" width="10.42578125" bestFit="1" customWidth="1"/>
    <col min="1121" max="1121" width="11.5703125" bestFit="1" customWidth="1"/>
    <col min="1122" max="1122" width="5.28515625" bestFit="1" customWidth="1"/>
    <col min="1123" max="1125" width="11.5703125" bestFit="1" customWidth="1"/>
    <col min="1126" max="1126" width="5.28515625" bestFit="1" customWidth="1"/>
    <col min="1127" max="1128" width="10.42578125" bestFit="1" customWidth="1"/>
    <col min="1129" max="1129" width="11.5703125" bestFit="1" customWidth="1"/>
    <col min="1130" max="1130" width="5.28515625" bestFit="1" customWidth="1"/>
    <col min="1131" max="1131" width="14.28515625" bestFit="1" customWidth="1"/>
    <col min="1132" max="1132" width="13" bestFit="1" customWidth="1"/>
    <col min="1133" max="1133" width="11.5703125" bestFit="1" customWidth="1"/>
    <col min="1134" max="1134" width="8.85546875" bestFit="1" customWidth="1"/>
    <col min="1135" max="1135" width="14.42578125" bestFit="1" customWidth="1"/>
    <col min="1136" max="1136" width="10.42578125" bestFit="1" customWidth="1"/>
    <col min="1137" max="1137" width="12.28515625" bestFit="1" customWidth="1"/>
    <col min="1138" max="1138" width="13.85546875" bestFit="1" customWidth="1"/>
    <col min="1139" max="1139" width="11.28515625" customWidth="1"/>
    <col min="1140" max="1140" width="11.5703125" customWidth="1"/>
    <col min="1141" max="1141" width="13.42578125" bestFit="1" customWidth="1"/>
    <col min="1142" max="1142" width="10.42578125" customWidth="1"/>
    <col min="1143" max="1143" width="13.85546875" bestFit="1" customWidth="1"/>
    <col min="1144" max="1144" width="15.42578125" bestFit="1" customWidth="1"/>
    <col min="1145" max="1145" width="12.28515625" bestFit="1" customWidth="1"/>
    <col min="1146" max="1146" width="12.7109375" customWidth="1"/>
    <col min="1147" max="1147" width="10.7109375" bestFit="1" customWidth="1"/>
    <col min="1148" max="1148" width="9.85546875" customWidth="1"/>
    <col min="1149" max="1150" width="10.140625" bestFit="1" customWidth="1"/>
    <col min="1151" max="1151" width="7.5703125" bestFit="1" customWidth="1"/>
    <col min="1152" max="1152" width="9.42578125" bestFit="1" customWidth="1"/>
    <col min="1153" max="1153" width="14.5703125" bestFit="1" customWidth="1"/>
    <col min="1154" max="1154" width="14.85546875" customWidth="1"/>
    <col min="1155" max="1155" width="15.140625" bestFit="1" customWidth="1"/>
    <col min="1156" max="1156" width="12.140625" bestFit="1" customWidth="1"/>
    <col min="1157" max="1157" width="14.85546875" bestFit="1" customWidth="1"/>
    <col min="1158" max="1158" width="12.28515625" bestFit="1" customWidth="1"/>
    <col min="1159" max="1167" width="9.140625" hidden="1" customWidth="1"/>
    <col min="1168" max="1168" width="5.28515625" bestFit="1" customWidth="1"/>
    <col min="1169" max="1174" width="11.5703125" bestFit="1" customWidth="1"/>
    <col min="1175" max="1175" width="11.28515625" bestFit="1" customWidth="1"/>
    <col min="1176" max="1176" width="10.140625" bestFit="1" customWidth="1"/>
    <col min="1177" max="1177" width="11.5703125" bestFit="1" customWidth="1"/>
    <col min="1178" max="1178" width="16.140625" customWidth="1"/>
    <col min="1179" max="1179" width="13.42578125" customWidth="1"/>
    <col min="1180" max="1180" width="10.140625" bestFit="1" customWidth="1"/>
    <col min="1181" max="1181" width="12.85546875" bestFit="1" customWidth="1"/>
    <col min="1182" max="1182" width="12.28515625" bestFit="1" customWidth="1"/>
    <col min="1183" max="1183" width="11.28515625" bestFit="1" customWidth="1"/>
    <col min="1184" max="1184" width="11.5703125" bestFit="1" customWidth="1"/>
    <col min="1185" max="1185" width="10.85546875" bestFit="1" customWidth="1"/>
    <col min="1186" max="1186" width="11.28515625" bestFit="1" customWidth="1"/>
    <col min="1187" max="1187" width="10.140625" bestFit="1" customWidth="1"/>
    <col min="1188" max="1188" width="13.28515625" bestFit="1" customWidth="1"/>
    <col min="1189" max="1190" width="12.7109375" bestFit="1" customWidth="1"/>
    <col min="1191" max="1191" width="11" bestFit="1" customWidth="1"/>
    <col min="1192" max="1192" width="11.28515625" bestFit="1" customWidth="1"/>
    <col min="1193" max="1193" width="11.5703125" bestFit="1" customWidth="1"/>
    <col min="1194" max="1194" width="12.28515625" bestFit="1" customWidth="1"/>
    <col min="1195" max="1195" width="15.140625" bestFit="1" customWidth="1"/>
    <col min="1196" max="1196" width="14.42578125" bestFit="1" customWidth="1"/>
    <col min="1197" max="1197" width="12.28515625" bestFit="1" customWidth="1"/>
    <col min="1198" max="1198" width="15.140625" bestFit="1" customWidth="1"/>
    <col min="1199" max="1199" width="14.42578125" bestFit="1" customWidth="1"/>
    <col min="1200" max="1200" width="12.28515625" bestFit="1" customWidth="1"/>
    <col min="1201" max="1201" width="14.42578125" bestFit="1" customWidth="1"/>
    <col min="1202" max="1202" width="11.28515625" bestFit="1" customWidth="1"/>
    <col min="1203" max="1203" width="12.28515625" bestFit="1" customWidth="1"/>
    <col min="1204" max="1204" width="13" bestFit="1" customWidth="1"/>
    <col min="1205" max="1205" width="15.140625" bestFit="1" customWidth="1"/>
    <col min="1206" max="1206" width="12.28515625" bestFit="1" customWidth="1"/>
    <col min="1207" max="1207" width="13.85546875" bestFit="1" customWidth="1"/>
    <col min="1208" max="1208" width="11.28515625" bestFit="1" customWidth="1"/>
    <col min="1209" max="1209" width="12.28515625" bestFit="1" customWidth="1"/>
    <col min="1210" max="1210" width="13.85546875" bestFit="1" customWidth="1"/>
    <col min="1211" max="1212" width="15.140625" bestFit="1" customWidth="1"/>
    <col min="1213" max="1213" width="12.28515625" bestFit="1" customWidth="1"/>
    <col min="1214" max="1214" width="5.7109375" bestFit="1" customWidth="1"/>
    <col min="1215" max="1215" width="8.5703125" bestFit="1" customWidth="1"/>
    <col min="1216" max="1216" width="5.5703125" bestFit="1" customWidth="1"/>
    <col min="1217" max="1217" width="14.42578125" bestFit="1" customWidth="1"/>
    <col min="1218" max="1218" width="11.28515625" bestFit="1" customWidth="1"/>
    <col min="1219" max="1220" width="12.28515625" bestFit="1" customWidth="1"/>
    <col min="1221" max="1221" width="11.28515625" bestFit="1" customWidth="1"/>
    <col min="1222" max="1222" width="13.85546875" bestFit="1" customWidth="1"/>
    <col min="1223" max="1223" width="12" bestFit="1" customWidth="1"/>
    <col min="1224" max="1224" width="13.85546875" bestFit="1" customWidth="1"/>
    <col min="1225" max="1226" width="14.42578125" customWidth="1"/>
    <col min="1227" max="1227" width="10.140625" bestFit="1" customWidth="1"/>
    <col min="1228" max="1228" width="12.28515625" bestFit="1" customWidth="1"/>
    <col min="1229" max="1229" width="7.42578125" bestFit="1" customWidth="1"/>
    <col min="1230" max="1230" width="8.5703125" bestFit="1" customWidth="1"/>
    <col min="1231" max="1231" width="11.5703125" bestFit="1" customWidth="1"/>
    <col min="1232" max="1232" width="13.28515625" bestFit="1" customWidth="1"/>
    <col min="1233" max="1233" width="13.28515625" customWidth="1"/>
    <col min="1234" max="1234" width="13.140625" customWidth="1"/>
    <col min="1235" max="1235" width="12.7109375" bestFit="1" customWidth="1"/>
    <col min="1236" max="1236" width="13.28515625" bestFit="1" customWidth="1"/>
    <col min="1237" max="1239" width="13.28515625" customWidth="1"/>
    <col min="1240" max="1240" width="12.140625" bestFit="1" customWidth="1"/>
    <col min="1241" max="1241" width="12.7109375" bestFit="1" customWidth="1"/>
    <col min="1242" max="1242" width="11" customWidth="1"/>
    <col min="1243" max="1243" width="16.7109375" customWidth="1"/>
    <col min="1244" max="1244" width="17" customWidth="1"/>
    <col min="1245" max="1245" width="10.42578125" bestFit="1" customWidth="1"/>
    <col min="1289" max="1289" width="3.85546875" customWidth="1"/>
    <col min="1290" max="1290" width="15.28515625" bestFit="1" customWidth="1"/>
    <col min="1291" max="1291" width="12.28515625" customWidth="1"/>
    <col min="1292" max="1292" width="16.28515625" bestFit="1" customWidth="1"/>
    <col min="1293" max="1293" width="6.42578125" bestFit="1" customWidth="1"/>
    <col min="1294" max="1294" width="9.28515625" bestFit="1" customWidth="1"/>
    <col min="1295" max="1295" width="7.5703125" bestFit="1" customWidth="1"/>
    <col min="1296" max="1296" width="13.28515625" bestFit="1" customWidth="1"/>
    <col min="1297" max="1297" width="9.28515625" bestFit="1" customWidth="1"/>
    <col min="1298" max="1298" width="11.5703125" bestFit="1" customWidth="1"/>
    <col min="1299" max="1299" width="13.28515625" bestFit="1" customWidth="1"/>
    <col min="1300" max="1300" width="7.140625" bestFit="1" customWidth="1"/>
    <col min="1301" max="1301" width="12" bestFit="1" customWidth="1"/>
    <col min="1302" max="1302" width="13.28515625" bestFit="1" customWidth="1"/>
    <col min="1303" max="1303" width="7" bestFit="1" customWidth="1"/>
    <col min="1304" max="1304" width="12.7109375" bestFit="1" customWidth="1"/>
    <col min="1305" max="1305" width="11.5703125" bestFit="1" customWidth="1"/>
    <col min="1306" max="1306" width="10.5703125" bestFit="1" customWidth="1"/>
    <col min="1307" max="1308" width="15.7109375" bestFit="1" customWidth="1"/>
    <col min="1309" max="1309" width="11.5703125" bestFit="1" customWidth="1"/>
    <col min="1310" max="1310" width="7.7109375" bestFit="1" customWidth="1"/>
    <col min="1311" max="1311" width="15.140625" bestFit="1" customWidth="1"/>
    <col min="1312" max="1312" width="11.5703125" bestFit="1" customWidth="1"/>
    <col min="1313" max="1313" width="13.28515625" bestFit="1" customWidth="1"/>
    <col min="1314" max="1314" width="10.42578125" bestFit="1" customWidth="1"/>
    <col min="1315" max="1315" width="13.28515625" bestFit="1" customWidth="1"/>
    <col min="1316" max="1316" width="12.140625" bestFit="1" customWidth="1"/>
    <col min="1317" max="1317" width="14.42578125" bestFit="1" customWidth="1"/>
    <col min="1318" max="1318" width="13.28515625" bestFit="1" customWidth="1"/>
    <col min="1319" max="1319" width="11.5703125" bestFit="1" customWidth="1"/>
    <col min="1320" max="1320" width="7.7109375" bestFit="1" customWidth="1"/>
    <col min="1321" max="1322" width="14.42578125" bestFit="1" customWidth="1"/>
    <col min="1323" max="1323" width="11.5703125" bestFit="1" customWidth="1"/>
    <col min="1324" max="1324" width="7.7109375" bestFit="1" customWidth="1"/>
    <col min="1325" max="1325" width="13.5703125" customWidth="1"/>
    <col min="1326" max="1326" width="15.28515625" customWidth="1"/>
    <col min="1327" max="1327" width="14.5703125" customWidth="1"/>
    <col min="1328" max="1328" width="13.28515625" bestFit="1" customWidth="1"/>
    <col min="1329" max="1329" width="7.7109375" bestFit="1" customWidth="1"/>
    <col min="1330" max="1330" width="12.7109375" bestFit="1" customWidth="1"/>
    <col min="1331" max="1331" width="11.7109375" bestFit="1" customWidth="1"/>
    <col min="1332" max="1332" width="11.5703125" bestFit="1" customWidth="1"/>
    <col min="1333" max="1333" width="5.28515625" bestFit="1" customWidth="1"/>
    <col min="1334" max="1334" width="13.28515625" bestFit="1" customWidth="1"/>
    <col min="1335" max="1335" width="13.5703125" bestFit="1" customWidth="1"/>
    <col min="1336" max="1336" width="10.5703125" bestFit="1" customWidth="1"/>
    <col min="1337" max="1337" width="13.28515625" bestFit="1" customWidth="1"/>
    <col min="1338" max="1338" width="11.5703125" bestFit="1" customWidth="1"/>
    <col min="1339" max="1339" width="10.5703125" bestFit="1" customWidth="1"/>
    <col min="1340" max="1340" width="16.140625" bestFit="1" customWidth="1"/>
    <col min="1341" max="1342" width="11.28515625" bestFit="1" customWidth="1"/>
    <col min="1343" max="1343" width="13.28515625" bestFit="1" customWidth="1"/>
    <col min="1344" max="1344" width="7.7109375" bestFit="1" customWidth="1"/>
    <col min="1345" max="1348" width="9.140625" hidden="1" customWidth="1"/>
    <col min="1349" max="1349" width="10.42578125" bestFit="1" customWidth="1"/>
    <col min="1350" max="1350" width="10.5703125" bestFit="1" customWidth="1"/>
    <col min="1351" max="1351" width="10.42578125" bestFit="1" customWidth="1"/>
    <col min="1352" max="1352" width="10.5703125" bestFit="1" customWidth="1"/>
    <col min="1353" max="1353" width="9.5703125" bestFit="1" customWidth="1"/>
    <col min="1354" max="1354" width="11.5703125" bestFit="1" customWidth="1"/>
    <col min="1355" max="1355" width="10.42578125" bestFit="1" customWidth="1"/>
    <col min="1356" max="1356" width="10.85546875" customWidth="1"/>
    <col min="1357" max="1358" width="9.85546875" bestFit="1" customWidth="1"/>
    <col min="1359" max="1359" width="13.5703125" bestFit="1" customWidth="1"/>
    <col min="1360" max="1360" width="7.7109375" bestFit="1" customWidth="1"/>
    <col min="1361" max="1361" width="13.28515625" bestFit="1" customWidth="1"/>
    <col min="1362" max="1362" width="11.5703125" bestFit="1" customWidth="1"/>
    <col min="1363" max="1363" width="10.42578125" bestFit="1" customWidth="1"/>
    <col min="1364" max="1364" width="7.7109375" bestFit="1" customWidth="1"/>
    <col min="1365" max="1365" width="11.5703125" bestFit="1" customWidth="1"/>
    <col min="1366" max="1366" width="10.85546875" bestFit="1" customWidth="1"/>
    <col min="1367" max="1367" width="13.28515625" bestFit="1" customWidth="1"/>
    <col min="1368" max="1368" width="10.85546875" bestFit="1" customWidth="1"/>
    <col min="1369" max="1370" width="7.5703125" bestFit="1" customWidth="1"/>
    <col min="1371" max="1372" width="10.42578125" bestFit="1" customWidth="1"/>
    <col min="1373" max="1373" width="11.5703125" bestFit="1" customWidth="1"/>
    <col min="1374" max="1374" width="5.28515625" bestFit="1" customWidth="1"/>
    <col min="1375" max="1375" width="10.28515625" bestFit="1" customWidth="1"/>
    <col min="1376" max="1376" width="10.42578125" bestFit="1" customWidth="1"/>
    <col min="1377" max="1377" width="11.5703125" bestFit="1" customWidth="1"/>
    <col min="1378" max="1378" width="5.28515625" bestFit="1" customWidth="1"/>
    <col min="1379" max="1381" width="11.5703125" bestFit="1" customWidth="1"/>
    <col min="1382" max="1382" width="5.28515625" bestFit="1" customWidth="1"/>
    <col min="1383" max="1384" width="10.42578125" bestFit="1" customWidth="1"/>
    <col min="1385" max="1385" width="11.5703125" bestFit="1" customWidth="1"/>
    <col min="1386" max="1386" width="5.28515625" bestFit="1" customWidth="1"/>
    <col min="1387" max="1387" width="14.28515625" bestFit="1" customWidth="1"/>
    <col min="1388" max="1388" width="13" bestFit="1" customWidth="1"/>
    <col min="1389" max="1389" width="11.5703125" bestFit="1" customWidth="1"/>
    <col min="1390" max="1390" width="8.85546875" bestFit="1" customWidth="1"/>
    <col min="1391" max="1391" width="14.42578125" bestFit="1" customWidth="1"/>
    <col min="1392" max="1392" width="10.42578125" bestFit="1" customWidth="1"/>
    <col min="1393" max="1393" width="12.28515625" bestFit="1" customWidth="1"/>
    <col min="1394" max="1394" width="13.85546875" bestFit="1" customWidth="1"/>
    <col min="1395" max="1395" width="11.28515625" customWidth="1"/>
    <col min="1396" max="1396" width="11.5703125" customWidth="1"/>
    <col min="1397" max="1397" width="13.42578125" bestFit="1" customWidth="1"/>
    <col min="1398" max="1398" width="10.42578125" customWidth="1"/>
    <col min="1399" max="1399" width="13.85546875" bestFit="1" customWidth="1"/>
    <col min="1400" max="1400" width="15.42578125" bestFit="1" customWidth="1"/>
    <col min="1401" max="1401" width="12.28515625" bestFit="1" customWidth="1"/>
    <col min="1402" max="1402" width="12.7109375" customWidth="1"/>
    <col min="1403" max="1403" width="10.7109375" bestFit="1" customWidth="1"/>
    <col min="1404" max="1404" width="9.85546875" customWidth="1"/>
    <col min="1405" max="1406" width="10.140625" bestFit="1" customWidth="1"/>
    <col min="1407" max="1407" width="7.5703125" bestFit="1" customWidth="1"/>
    <col min="1408" max="1408" width="9.42578125" bestFit="1" customWidth="1"/>
    <col min="1409" max="1409" width="14.5703125" bestFit="1" customWidth="1"/>
    <col min="1410" max="1410" width="14.85546875" customWidth="1"/>
    <col min="1411" max="1411" width="15.140625" bestFit="1" customWidth="1"/>
    <col min="1412" max="1412" width="12.140625" bestFit="1" customWidth="1"/>
    <col min="1413" max="1413" width="14.85546875" bestFit="1" customWidth="1"/>
    <col min="1414" max="1414" width="12.28515625" bestFit="1" customWidth="1"/>
    <col min="1415" max="1423" width="9.140625" hidden="1" customWidth="1"/>
    <col min="1424" max="1424" width="5.28515625" bestFit="1" customWidth="1"/>
    <col min="1425" max="1430" width="11.5703125" bestFit="1" customWidth="1"/>
    <col min="1431" max="1431" width="11.28515625" bestFit="1" customWidth="1"/>
    <col min="1432" max="1432" width="10.140625" bestFit="1" customWidth="1"/>
    <col min="1433" max="1433" width="11.5703125" bestFit="1" customWidth="1"/>
    <col min="1434" max="1434" width="16.140625" customWidth="1"/>
    <col min="1435" max="1435" width="13.42578125" customWidth="1"/>
    <col min="1436" max="1436" width="10.140625" bestFit="1" customWidth="1"/>
    <col min="1437" max="1437" width="12.85546875" bestFit="1" customWidth="1"/>
    <col min="1438" max="1438" width="12.28515625" bestFit="1" customWidth="1"/>
    <col min="1439" max="1439" width="11.28515625" bestFit="1" customWidth="1"/>
    <col min="1440" max="1440" width="11.5703125" bestFit="1" customWidth="1"/>
    <col min="1441" max="1441" width="10.85546875" bestFit="1" customWidth="1"/>
    <col min="1442" max="1442" width="11.28515625" bestFit="1" customWidth="1"/>
    <col min="1443" max="1443" width="10.140625" bestFit="1" customWidth="1"/>
    <col min="1444" max="1444" width="13.28515625" bestFit="1" customWidth="1"/>
    <col min="1445" max="1446" width="12.7109375" bestFit="1" customWidth="1"/>
    <col min="1447" max="1447" width="11" bestFit="1" customWidth="1"/>
    <col min="1448" max="1448" width="11.28515625" bestFit="1" customWidth="1"/>
    <col min="1449" max="1449" width="11.5703125" bestFit="1" customWidth="1"/>
    <col min="1450" max="1450" width="12.28515625" bestFit="1" customWidth="1"/>
    <col min="1451" max="1451" width="15.140625" bestFit="1" customWidth="1"/>
    <col min="1452" max="1452" width="14.42578125" bestFit="1" customWidth="1"/>
    <col min="1453" max="1453" width="12.28515625" bestFit="1" customWidth="1"/>
    <col min="1454" max="1454" width="15.140625" bestFit="1" customWidth="1"/>
    <col min="1455" max="1455" width="14.42578125" bestFit="1" customWidth="1"/>
    <col min="1456" max="1456" width="12.28515625" bestFit="1" customWidth="1"/>
    <col min="1457" max="1457" width="14.42578125" bestFit="1" customWidth="1"/>
    <col min="1458" max="1458" width="11.28515625" bestFit="1" customWidth="1"/>
    <col min="1459" max="1459" width="12.28515625" bestFit="1" customWidth="1"/>
    <col min="1460" max="1460" width="13" bestFit="1" customWidth="1"/>
    <col min="1461" max="1461" width="15.140625" bestFit="1" customWidth="1"/>
    <col min="1462" max="1462" width="12.28515625" bestFit="1" customWidth="1"/>
    <col min="1463" max="1463" width="13.85546875" bestFit="1" customWidth="1"/>
    <col min="1464" max="1464" width="11.28515625" bestFit="1" customWidth="1"/>
    <col min="1465" max="1465" width="12.28515625" bestFit="1" customWidth="1"/>
    <col min="1466" max="1466" width="13.85546875" bestFit="1" customWidth="1"/>
    <col min="1467" max="1468" width="15.140625" bestFit="1" customWidth="1"/>
    <col min="1469" max="1469" width="12.28515625" bestFit="1" customWidth="1"/>
    <col min="1470" max="1470" width="5.7109375" bestFit="1" customWidth="1"/>
    <col min="1471" max="1471" width="8.5703125" bestFit="1" customWidth="1"/>
    <col min="1472" max="1472" width="5.5703125" bestFit="1" customWidth="1"/>
    <col min="1473" max="1473" width="14.42578125" bestFit="1" customWidth="1"/>
    <col min="1474" max="1474" width="11.28515625" bestFit="1" customWidth="1"/>
    <col min="1475" max="1476" width="12.28515625" bestFit="1" customWidth="1"/>
    <col min="1477" max="1477" width="11.28515625" bestFit="1" customWidth="1"/>
    <col min="1478" max="1478" width="13.85546875" bestFit="1" customWidth="1"/>
    <col min="1479" max="1479" width="12" bestFit="1" customWidth="1"/>
    <col min="1480" max="1480" width="13.85546875" bestFit="1" customWidth="1"/>
    <col min="1481" max="1482" width="14.42578125" customWidth="1"/>
    <col min="1483" max="1483" width="10.140625" bestFit="1" customWidth="1"/>
    <col min="1484" max="1484" width="12.28515625" bestFit="1" customWidth="1"/>
    <col min="1485" max="1485" width="7.42578125" bestFit="1" customWidth="1"/>
    <col min="1486" max="1486" width="8.5703125" bestFit="1" customWidth="1"/>
    <col min="1487" max="1487" width="11.5703125" bestFit="1" customWidth="1"/>
    <col min="1488" max="1488" width="13.28515625" bestFit="1" customWidth="1"/>
    <col min="1489" max="1489" width="13.28515625" customWidth="1"/>
    <col min="1490" max="1490" width="13.140625" customWidth="1"/>
    <col min="1491" max="1491" width="12.7109375" bestFit="1" customWidth="1"/>
    <col min="1492" max="1492" width="13.28515625" bestFit="1" customWidth="1"/>
    <col min="1493" max="1495" width="13.28515625" customWidth="1"/>
    <col min="1496" max="1496" width="12.140625" bestFit="1" customWidth="1"/>
    <col min="1497" max="1497" width="12.7109375" bestFit="1" customWidth="1"/>
    <col min="1498" max="1498" width="11" customWidth="1"/>
    <col min="1499" max="1499" width="16.7109375" customWidth="1"/>
    <col min="1500" max="1500" width="17" customWidth="1"/>
    <col min="1501" max="1501" width="10.42578125" bestFit="1" customWidth="1"/>
    <col min="1545" max="1545" width="3.85546875" customWidth="1"/>
    <col min="1546" max="1546" width="15.28515625" bestFit="1" customWidth="1"/>
    <col min="1547" max="1547" width="12.28515625" customWidth="1"/>
    <col min="1548" max="1548" width="16.28515625" bestFit="1" customWidth="1"/>
    <col min="1549" max="1549" width="6.42578125" bestFit="1" customWidth="1"/>
    <col min="1550" max="1550" width="9.28515625" bestFit="1" customWidth="1"/>
    <col min="1551" max="1551" width="7.5703125" bestFit="1" customWidth="1"/>
    <col min="1552" max="1552" width="13.28515625" bestFit="1" customWidth="1"/>
    <col min="1553" max="1553" width="9.28515625" bestFit="1" customWidth="1"/>
    <col min="1554" max="1554" width="11.5703125" bestFit="1" customWidth="1"/>
    <col min="1555" max="1555" width="13.28515625" bestFit="1" customWidth="1"/>
    <col min="1556" max="1556" width="7.140625" bestFit="1" customWidth="1"/>
    <col min="1557" max="1557" width="12" bestFit="1" customWidth="1"/>
    <col min="1558" max="1558" width="13.28515625" bestFit="1" customWidth="1"/>
    <col min="1559" max="1559" width="7" bestFit="1" customWidth="1"/>
    <col min="1560" max="1560" width="12.7109375" bestFit="1" customWidth="1"/>
    <col min="1561" max="1561" width="11.5703125" bestFit="1" customWidth="1"/>
    <col min="1562" max="1562" width="10.5703125" bestFit="1" customWidth="1"/>
    <col min="1563" max="1564" width="15.7109375" bestFit="1" customWidth="1"/>
    <col min="1565" max="1565" width="11.5703125" bestFit="1" customWidth="1"/>
    <col min="1566" max="1566" width="7.7109375" bestFit="1" customWidth="1"/>
    <col min="1567" max="1567" width="15.140625" bestFit="1" customWidth="1"/>
    <col min="1568" max="1568" width="11.5703125" bestFit="1" customWidth="1"/>
    <col min="1569" max="1569" width="13.28515625" bestFit="1" customWidth="1"/>
    <col min="1570" max="1570" width="10.42578125" bestFit="1" customWidth="1"/>
    <col min="1571" max="1571" width="13.28515625" bestFit="1" customWidth="1"/>
    <col min="1572" max="1572" width="12.140625" bestFit="1" customWidth="1"/>
    <col min="1573" max="1573" width="14.42578125" bestFit="1" customWidth="1"/>
    <col min="1574" max="1574" width="13.28515625" bestFit="1" customWidth="1"/>
    <col min="1575" max="1575" width="11.5703125" bestFit="1" customWidth="1"/>
    <col min="1576" max="1576" width="7.7109375" bestFit="1" customWidth="1"/>
    <col min="1577" max="1578" width="14.42578125" bestFit="1" customWidth="1"/>
    <col min="1579" max="1579" width="11.5703125" bestFit="1" customWidth="1"/>
    <col min="1580" max="1580" width="7.7109375" bestFit="1" customWidth="1"/>
    <col min="1581" max="1581" width="13.5703125" customWidth="1"/>
    <col min="1582" max="1582" width="15.28515625" customWidth="1"/>
    <col min="1583" max="1583" width="14.5703125" customWidth="1"/>
    <col min="1584" max="1584" width="13.28515625" bestFit="1" customWidth="1"/>
    <col min="1585" max="1585" width="7.7109375" bestFit="1" customWidth="1"/>
    <col min="1586" max="1586" width="12.7109375" bestFit="1" customWidth="1"/>
    <col min="1587" max="1587" width="11.7109375" bestFit="1" customWidth="1"/>
    <col min="1588" max="1588" width="11.5703125" bestFit="1" customWidth="1"/>
    <col min="1589" max="1589" width="5.28515625" bestFit="1" customWidth="1"/>
    <col min="1590" max="1590" width="13.28515625" bestFit="1" customWidth="1"/>
    <col min="1591" max="1591" width="13.5703125" bestFit="1" customWidth="1"/>
    <col min="1592" max="1592" width="10.5703125" bestFit="1" customWidth="1"/>
    <col min="1593" max="1593" width="13.28515625" bestFit="1" customWidth="1"/>
    <col min="1594" max="1594" width="11.5703125" bestFit="1" customWidth="1"/>
    <col min="1595" max="1595" width="10.5703125" bestFit="1" customWidth="1"/>
    <col min="1596" max="1596" width="16.140625" bestFit="1" customWidth="1"/>
    <col min="1597" max="1598" width="11.28515625" bestFit="1" customWidth="1"/>
    <col min="1599" max="1599" width="13.28515625" bestFit="1" customWidth="1"/>
    <col min="1600" max="1600" width="7.7109375" bestFit="1" customWidth="1"/>
    <col min="1601" max="1604" width="9.140625" hidden="1" customWidth="1"/>
    <col min="1605" max="1605" width="10.42578125" bestFit="1" customWidth="1"/>
    <col min="1606" max="1606" width="10.5703125" bestFit="1" customWidth="1"/>
    <col min="1607" max="1607" width="10.42578125" bestFit="1" customWidth="1"/>
    <col min="1608" max="1608" width="10.5703125" bestFit="1" customWidth="1"/>
    <col min="1609" max="1609" width="9.5703125" bestFit="1" customWidth="1"/>
    <col min="1610" max="1610" width="11.5703125" bestFit="1" customWidth="1"/>
    <col min="1611" max="1611" width="10.42578125" bestFit="1" customWidth="1"/>
    <col min="1612" max="1612" width="10.85546875" customWidth="1"/>
    <col min="1613" max="1614" width="9.85546875" bestFit="1" customWidth="1"/>
    <col min="1615" max="1615" width="13.5703125" bestFit="1" customWidth="1"/>
    <col min="1616" max="1616" width="7.7109375" bestFit="1" customWidth="1"/>
    <col min="1617" max="1617" width="13.28515625" bestFit="1" customWidth="1"/>
    <col min="1618" max="1618" width="11.5703125" bestFit="1" customWidth="1"/>
    <col min="1619" max="1619" width="10.42578125" bestFit="1" customWidth="1"/>
    <col min="1620" max="1620" width="7.7109375" bestFit="1" customWidth="1"/>
    <col min="1621" max="1621" width="11.5703125" bestFit="1" customWidth="1"/>
    <col min="1622" max="1622" width="10.85546875" bestFit="1" customWidth="1"/>
    <col min="1623" max="1623" width="13.28515625" bestFit="1" customWidth="1"/>
    <col min="1624" max="1624" width="10.85546875" bestFit="1" customWidth="1"/>
    <col min="1625" max="1626" width="7.5703125" bestFit="1" customWidth="1"/>
    <col min="1627" max="1628" width="10.42578125" bestFit="1" customWidth="1"/>
    <col min="1629" max="1629" width="11.5703125" bestFit="1" customWidth="1"/>
    <col min="1630" max="1630" width="5.28515625" bestFit="1" customWidth="1"/>
    <col min="1631" max="1631" width="10.28515625" bestFit="1" customWidth="1"/>
    <col min="1632" max="1632" width="10.42578125" bestFit="1" customWidth="1"/>
    <col min="1633" max="1633" width="11.5703125" bestFit="1" customWidth="1"/>
    <col min="1634" max="1634" width="5.28515625" bestFit="1" customWidth="1"/>
    <col min="1635" max="1637" width="11.5703125" bestFit="1" customWidth="1"/>
    <col min="1638" max="1638" width="5.28515625" bestFit="1" customWidth="1"/>
    <col min="1639" max="1640" width="10.42578125" bestFit="1" customWidth="1"/>
    <col min="1641" max="1641" width="11.5703125" bestFit="1" customWidth="1"/>
    <col min="1642" max="1642" width="5.28515625" bestFit="1" customWidth="1"/>
    <col min="1643" max="1643" width="14.28515625" bestFit="1" customWidth="1"/>
    <col min="1644" max="1644" width="13" bestFit="1" customWidth="1"/>
    <col min="1645" max="1645" width="11.5703125" bestFit="1" customWidth="1"/>
    <col min="1646" max="1646" width="8.85546875" bestFit="1" customWidth="1"/>
    <col min="1647" max="1647" width="14.42578125" bestFit="1" customWidth="1"/>
    <col min="1648" max="1648" width="10.42578125" bestFit="1" customWidth="1"/>
    <col min="1649" max="1649" width="12.28515625" bestFit="1" customWidth="1"/>
    <col min="1650" max="1650" width="13.85546875" bestFit="1" customWidth="1"/>
    <col min="1651" max="1651" width="11.28515625" customWidth="1"/>
    <col min="1652" max="1652" width="11.5703125" customWidth="1"/>
    <col min="1653" max="1653" width="13.42578125" bestFit="1" customWidth="1"/>
    <col min="1654" max="1654" width="10.42578125" customWidth="1"/>
    <col min="1655" max="1655" width="13.85546875" bestFit="1" customWidth="1"/>
    <col min="1656" max="1656" width="15.42578125" bestFit="1" customWidth="1"/>
    <col min="1657" max="1657" width="12.28515625" bestFit="1" customWidth="1"/>
    <col min="1658" max="1658" width="12.7109375" customWidth="1"/>
    <col min="1659" max="1659" width="10.7109375" bestFit="1" customWidth="1"/>
    <col min="1660" max="1660" width="9.85546875" customWidth="1"/>
    <col min="1661" max="1662" width="10.140625" bestFit="1" customWidth="1"/>
    <col min="1663" max="1663" width="7.5703125" bestFit="1" customWidth="1"/>
    <col min="1664" max="1664" width="9.42578125" bestFit="1" customWidth="1"/>
    <col min="1665" max="1665" width="14.5703125" bestFit="1" customWidth="1"/>
    <col min="1666" max="1666" width="14.85546875" customWidth="1"/>
    <col min="1667" max="1667" width="15.140625" bestFit="1" customWidth="1"/>
    <col min="1668" max="1668" width="12.140625" bestFit="1" customWidth="1"/>
    <col min="1669" max="1669" width="14.85546875" bestFit="1" customWidth="1"/>
    <col min="1670" max="1670" width="12.28515625" bestFit="1" customWidth="1"/>
    <col min="1671" max="1679" width="9.140625" hidden="1" customWidth="1"/>
    <col min="1680" max="1680" width="5.28515625" bestFit="1" customWidth="1"/>
    <col min="1681" max="1686" width="11.5703125" bestFit="1" customWidth="1"/>
    <col min="1687" max="1687" width="11.28515625" bestFit="1" customWidth="1"/>
    <col min="1688" max="1688" width="10.140625" bestFit="1" customWidth="1"/>
    <col min="1689" max="1689" width="11.5703125" bestFit="1" customWidth="1"/>
    <col min="1690" max="1690" width="16.140625" customWidth="1"/>
    <col min="1691" max="1691" width="13.42578125" customWidth="1"/>
    <col min="1692" max="1692" width="10.140625" bestFit="1" customWidth="1"/>
    <col min="1693" max="1693" width="12.85546875" bestFit="1" customWidth="1"/>
    <col min="1694" max="1694" width="12.28515625" bestFit="1" customWidth="1"/>
    <col min="1695" max="1695" width="11.28515625" bestFit="1" customWidth="1"/>
    <col min="1696" max="1696" width="11.5703125" bestFit="1" customWidth="1"/>
    <col min="1697" max="1697" width="10.85546875" bestFit="1" customWidth="1"/>
    <col min="1698" max="1698" width="11.28515625" bestFit="1" customWidth="1"/>
    <col min="1699" max="1699" width="10.140625" bestFit="1" customWidth="1"/>
    <col min="1700" max="1700" width="13.28515625" bestFit="1" customWidth="1"/>
    <col min="1701" max="1702" width="12.7109375" bestFit="1" customWidth="1"/>
    <col min="1703" max="1703" width="11" bestFit="1" customWidth="1"/>
    <col min="1704" max="1704" width="11.28515625" bestFit="1" customWidth="1"/>
    <col min="1705" max="1705" width="11.5703125" bestFit="1" customWidth="1"/>
    <col min="1706" max="1706" width="12.28515625" bestFit="1" customWidth="1"/>
    <col min="1707" max="1707" width="15.140625" bestFit="1" customWidth="1"/>
    <col min="1708" max="1708" width="14.42578125" bestFit="1" customWidth="1"/>
    <col min="1709" max="1709" width="12.28515625" bestFit="1" customWidth="1"/>
    <col min="1710" max="1710" width="15.140625" bestFit="1" customWidth="1"/>
    <col min="1711" max="1711" width="14.42578125" bestFit="1" customWidth="1"/>
    <col min="1712" max="1712" width="12.28515625" bestFit="1" customWidth="1"/>
    <col min="1713" max="1713" width="14.42578125" bestFit="1" customWidth="1"/>
    <col min="1714" max="1714" width="11.28515625" bestFit="1" customWidth="1"/>
    <col min="1715" max="1715" width="12.28515625" bestFit="1" customWidth="1"/>
    <col min="1716" max="1716" width="13" bestFit="1" customWidth="1"/>
    <col min="1717" max="1717" width="15.140625" bestFit="1" customWidth="1"/>
    <col min="1718" max="1718" width="12.28515625" bestFit="1" customWidth="1"/>
    <col min="1719" max="1719" width="13.85546875" bestFit="1" customWidth="1"/>
    <col min="1720" max="1720" width="11.28515625" bestFit="1" customWidth="1"/>
    <col min="1721" max="1721" width="12.28515625" bestFit="1" customWidth="1"/>
    <col min="1722" max="1722" width="13.85546875" bestFit="1" customWidth="1"/>
    <col min="1723" max="1724" width="15.140625" bestFit="1" customWidth="1"/>
    <col min="1725" max="1725" width="12.28515625" bestFit="1" customWidth="1"/>
    <col min="1726" max="1726" width="5.7109375" bestFit="1" customWidth="1"/>
    <col min="1727" max="1727" width="8.5703125" bestFit="1" customWidth="1"/>
    <col min="1728" max="1728" width="5.5703125" bestFit="1" customWidth="1"/>
    <col min="1729" max="1729" width="14.42578125" bestFit="1" customWidth="1"/>
    <col min="1730" max="1730" width="11.28515625" bestFit="1" customWidth="1"/>
    <col min="1731" max="1732" width="12.28515625" bestFit="1" customWidth="1"/>
    <col min="1733" max="1733" width="11.28515625" bestFit="1" customWidth="1"/>
    <col min="1734" max="1734" width="13.85546875" bestFit="1" customWidth="1"/>
    <col min="1735" max="1735" width="12" bestFit="1" customWidth="1"/>
    <col min="1736" max="1736" width="13.85546875" bestFit="1" customWidth="1"/>
    <col min="1737" max="1738" width="14.42578125" customWidth="1"/>
    <col min="1739" max="1739" width="10.140625" bestFit="1" customWidth="1"/>
    <col min="1740" max="1740" width="12.28515625" bestFit="1" customWidth="1"/>
    <col min="1741" max="1741" width="7.42578125" bestFit="1" customWidth="1"/>
    <col min="1742" max="1742" width="8.5703125" bestFit="1" customWidth="1"/>
    <col min="1743" max="1743" width="11.5703125" bestFit="1" customWidth="1"/>
    <col min="1744" max="1744" width="13.28515625" bestFit="1" customWidth="1"/>
    <col min="1745" max="1745" width="13.28515625" customWidth="1"/>
    <col min="1746" max="1746" width="13.140625" customWidth="1"/>
    <col min="1747" max="1747" width="12.7109375" bestFit="1" customWidth="1"/>
    <col min="1748" max="1748" width="13.28515625" bestFit="1" customWidth="1"/>
    <col min="1749" max="1751" width="13.28515625" customWidth="1"/>
    <col min="1752" max="1752" width="12.140625" bestFit="1" customWidth="1"/>
    <col min="1753" max="1753" width="12.7109375" bestFit="1" customWidth="1"/>
    <col min="1754" max="1754" width="11" customWidth="1"/>
    <col min="1755" max="1755" width="16.7109375" customWidth="1"/>
    <col min="1756" max="1756" width="17" customWidth="1"/>
    <col min="1757" max="1757" width="10.42578125" bestFit="1" customWidth="1"/>
    <col min="1801" max="1801" width="3.85546875" customWidth="1"/>
    <col min="1802" max="1802" width="15.28515625" bestFit="1" customWidth="1"/>
    <col min="1803" max="1803" width="12.28515625" customWidth="1"/>
    <col min="1804" max="1804" width="16.28515625" bestFit="1" customWidth="1"/>
    <col min="1805" max="1805" width="6.42578125" bestFit="1" customWidth="1"/>
    <col min="1806" max="1806" width="9.28515625" bestFit="1" customWidth="1"/>
    <col min="1807" max="1807" width="7.5703125" bestFit="1" customWidth="1"/>
    <col min="1808" max="1808" width="13.28515625" bestFit="1" customWidth="1"/>
    <col min="1809" max="1809" width="9.28515625" bestFit="1" customWidth="1"/>
    <col min="1810" max="1810" width="11.5703125" bestFit="1" customWidth="1"/>
    <col min="1811" max="1811" width="13.28515625" bestFit="1" customWidth="1"/>
    <col min="1812" max="1812" width="7.140625" bestFit="1" customWidth="1"/>
    <col min="1813" max="1813" width="12" bestFit="1" customWidth="1"/>
    <col min="1814" max="1814" width="13.28515625" bestFit="1" customWidth="1"/>
    <col min="1815" max="1815" width="7" bestFit="1" customWidth="1"/>
    <col min="1816" max="1816" width="12.7109375" bestFit="1" customWidth="1"/>
    <col min="1817" max="1817" width="11.5703125" bestFit="1" customWidth="1"/>
    <col min="1818" max="1818" width="10.5703125" bestFit="1" customWidth="1"/>
    <col min="1819" max="1820" width="15.7109375" bestFit="1" customWidth="1"/>
    <col min="1821" max="1821" width="11.5703125" bestFit="1" customWidth="1"/>
    <col min="1822" max="1822" width="7.7109375" bestFit="1" customWidth="1"/>
    <col min="1823" max="1823" width="15.140625" bestFit="1" customWidth="1"/>
    <col min="1824" max="1824" width="11.5703125" bestFit="1" customWidth="1"/>
    <col min="1825" max="1825" width="13.28515625" bestFit="1" customWidth="1"/>
    <col min="1826" max="1826" width="10.42578125" bestFit="1" customWidth="1"/>
    <col min="1827" max="1827" width="13.28515625" bestFit="1" customWidth="1"/>
    <col min="1828" max="1828" width="12.140625" bestFit="1" customWidth="1"/>
    <col min="1829" max="1829" width="14.42578125" bestFit="1" customWidth="1"/>
    <col min="1830" max="1830" width="13.28515625" bestFit="1" customWidth="1"/>
    <col min="1831" max="1831" width="11.5703125" bestFit="1" customWidth="1"/>
    <col min="1832" max="1832" width="7.7109375" bestFit="1" customWidth="1"/>
    <col min="1833" max="1834" width="14.42578125" bestFit="1" customWidth="1"/>
    <col min="1835" max="1835" width="11.5703125" bestFit="1" customWidth="1"/>
    <col min="1836" max="1836" width="7.7109375" bestFit="1" customWidth="1"/>
    <col min="1837" max="1837" width="13.5703125" customWidth="1"/>
    <col min="1838" max="1838" width="15.28515625" customWidth="1"/>
    <col min="1839" max="1839" width="14.5703125" customWidth="1"/>
    <col min="1840" max="1840" width="13.28515625" bestFit="1" customWidth="1"/>
    <col min="1841" max="1841" width="7.7109375" bestFit="1" customWidth="1"/>
    <col min="1842" max="1842" width="12.7109375" bestFit="1" customWidth="1"/>
    <col min="1843" max="1843" width="11.7109375" bestFit="1" customWidth="1"/>
    <col min="1844" max="1844" width="11.5703125" bestFit="1" customWidth="1"/>
    <col min="1845" max="1845" width="5.28515625" bestFit="1" customWidth="1"/>
    <col min="1846" max="1846" width="13.28515625" bestFit="1" customWidth="1"/>
    <col min="1847" max="1847" width="13.5703125" bestFit="1" customWidth="1"/>
    <col min="1848" max="1848" width="10.5703125" bestFit="1" customWidth="1"/>
    <col min="1849" max="1849" width="13.28515625" bestFit="1" customWidth="1"/>
    <col min="1850" max="1850" width="11.5703125" bestFit="1" customWidth="1"/>
    <col min="1851" max="1851" width="10.5703125" bestFit="1" customWidth="1"/>
    <col min="1852" max="1852" width="16.140625" bestFit="1" customWidth="1"/>
    <col min="1853" max="1854" width="11.28515625" bestFit="1" customWidth="1"/>
    <col min="1855" max="1855" width="13.28515625" bestFit="1" customWidth="1"/>
    <col min="1856" max="1856" width="7.7109375" bestFit="1" customWidth="1"/>
    <col min="1857" max="1860" width="9.140625" hidden="1" customWidth="1"/>
    <col min="1861" max="1861" width="10.42578125" bestFit="1" customWidth="1"/>
    <col min="1862" max="1862" width="10.5703125" bestFit="1" customWidth="1"/>
    <col min="1863" max="1863" width="10.42578125" bestFit="1" customWidth="1"/>
    <col min="1864" max="1864" width="10.5703125" bestFit="1" customWidth="1"/>
    <col min="1865" max="1865" width="9.5703125" bestFit="1" customWidth="1"/>
    <col min="1866" max="1866" width="11.5703125" bestFit="1" customWidth="1"/>
    <col min="1867" max="1867" width="10.42578125" bestFit="1" customWidth="1"/>
    <col min="1868" max="1868" width="10.85546875" customWidth="1"/>
    <col min="1869" max="1870" width="9.85546875" bestFit="1" customWidth="1"/>
    <col min="1871" max="1871" width="13.5703125" bestFit="1" customWidth="1"/>
    <col min="1872" max="1872" width="7.7109375" bestFit="1" customWidth="1"/>
    <col min="1873" max="1873" width="13.28515625" bestFit="1" customWidth="1"/>
    <col min="1874" max="1874" width="11.5703125" bestFit="1" customWidth="1"/>
    <col min="1875" max="1875" width="10.42578125" bestFit="1" customWidth="1"/>
    <col min="1876" max="1876" width="7.7109375" bestFit="1" customWidth="1"/>
    <col min="1877" max="1877" width="11.5703125" bestFit="1" customWidth="1"/>
    <col min="1878" max="1878" width="10.85546875" bestFit="1" customWidth="1"/>
    <col min="1879" max="1879" width="13.28515625" bestFit="1" customWidth="1"/>
    <col min="1880" max="1880" width="10.85546875" bestFit="1" customWidth="1"/>
    <col min="1881" max="1882" width="7.5703125" bestFit="1" customWidth="1"/>
    <col min="1883" max="1884" width="10.42578125" bestFit="1" customWidth="1"/>
    <col min="1885" max="1885" width="11.5703125" bestFit="1" customWidth="1"/>
    <col min="1886" max="1886" width="5.28515625" bestFit="1" customWidth="1"/>
    <col min="1887" max="1887" width="10.28515625" bestFit="1" customWidth="1"/>
    <col min="1888" max="1888" width="10.42578125" bestFit="1" customWidth="1"/>
    <col min="1889" max="1889" width="11.5703125" bestFit="1" customWidth="1"/>
    <col min="1890" max="1890" width="5.28515625" bestFit="1" customWidth="1"/>
    <col min="1891" max="1893" width="11.5703125" bestFit="1" customWidth="1"/>
    <col min="1894" max="1894" width="5.28515625" bestFit="1" customWidth="1"/>
    <col min="1895" max="1896" width="10.42578125" bestFit="1" customWidth="1"/>
    <col min="1897" max="1897" width="11.5703125" bestFit="1" customWidth="1"/>
    <col min="1898" max="1898" width="5.28515625" bestFit="1" customWidth="1"/>
    <col min="1899" max="1899" width="14.28515625" bestFit="1" customWidth="1"/>
    <col min="1900" max="1900" width="13" bestFit="1" customWidth="1"/>
    <col min="1901" max="1901" width="11.5703125" bestFit="1" customWidth="1"/>
    <col min="1902" max="1902" width="8.85546875" bestFit="1" customWidth="1"/>
    <col min="1903" max="1903" width="14.42578125" bestFit="1" customWidth="1"/>
    <col min="1904" max="1904" width="10.42578125" bestFit="1" customWidth="1"/>
    <col min="1905" max="1905" width="12.28515625" bestFit="1" customWidth="1"/>
    <col min="1906" max="1906" width="13.85546875" bestFit="1" customWidth="1"/>
    <col min="1907" max="1907" width="11.28515625" customWidth="1"/>
    <col min="1908" max="1908" width="11.5703125" customWidth="1"/>
    <col min="1909" max="1909" width="13.42578125" bestFit="1" customWidth="1"/>
    <col min="1910" max="1910" width="10.42578125" customWidth="1"/>
    <col min="1911" max="1911" width="13.85546875" bestFit="1" customWidth="1"/>
    <col min="1912" max="1912" width="15.42578125" bestFit="1" customWidth="1"/>
    <col min="1913" max="1913" width="12.28515625" bestFit="1" customWidth="1"/>
    <col min="1914" max="1914" width="12.7109375" customWidth="1"/>
    <col min="1915" max="1915" width="10.7109375" bestFit="1" customWidth="1"/>
    <col min="1916" max="1916" width="9.85546875" customWidth="1"/>
    <col min="1917" max="1918" width="10.140625" bestFit="1" customWidth="1"/>
    <col min="1919" max="1919" width="7.5703125" bestFit="1" customWidth="1"/>
    <col min="1920" max="1920" width="9.42578125" bestFit="1" customWidth="1"/>
    <col min="1921" max="1921" width="14.5703125" bestFit="1" customWidth="1"/>
    <col min="1922" max="1922" width="14.85546875" customWidth="1"/>
    <col min="1923" max="1923" width="15.140625" bestFit="1" customWidth="1"/>
    <col min="1924" max="1924" width="12.140625" bestFit="1" customWidth="1"/>
    <col min="1925" max="1925" width="14.85546875" bestFit="1" customWidth="1"/>
    <col min="1926" max="1926" width="12.28515625" bestFit="1" customWidth="1"/>
    <col min="1927" max="1935" width="9.140625" hidden="1" customWidth="1"/>
    <col min="1936" max="1936" width="5.28515625" bestFit="1" customWidth="1"/>
    <col min="1937" max="1942" width="11.5703125" bestFit="1" customWidth="1"/>
    <col min="1943" max="1943" width="11.28515625" bestFit="1" customWidth="1"/>
    <col min="1944" max="1944" width="10.140625" bestFit="1" customWidth="1"/>
    <col min="1945" max="1945" width="11.5703125" bestFit="1" customWidth="1"/>
    <col min="1946" max="1946" width="16.140625" customWidth="1"/>
    <col min="1947" max="1947" width="13.42578125" customWidth="1"/>
    <col min="1948" max="1948" width="10.140625" bestFit="1" customWidth="1"/>
    <col min="1949" max="1949" width="12.85546875" bestFit="1" customWidth="1"/>
    <col min="1950" max="1950" width="12.28515625" bestFit="1" customWidth="1"/>
    <col min="1951" max="1951" width="11.28515625" bestFit="1" customWidth="1"/>
    <col min="1952" max="1952" width="11.5703125" bestFit="1" customWidth="1"/>
    <col min="1953" max="1953" width="10.85546875" bestFit="1" customWidth="1"/>
    <col min="1954" max="1954" width="11.28515625" bestFit="1" customWidth="1"/>
    <col min="1955" max="1955" width="10.140625" bestFit="1" customWidth="1"/>
    <col min="1956" max="1956" width="13.28515625" bestFit="1" customWidth="1"/>
    <col min="1957" max="1958" width="12.7109375" bestFit="1" customWidth="1"/>
    <col min="1959" max="1959" width="11" bestFit="1" customWidth="1"/>
    <col min="1960" max="1960" width="11.28515625" bestFit="1" customWidth="1"/>
    <col min="1961" max="1961" width="11.5703125" bestFit="1" customWidth="1"/>
    <col min="1962" max="1962" width="12.28515625" bestFit="1" customWidth="1"/>
    <col min="1963" max="1963" width="15.140625" bestFit="1" customWidth="1"/>
    <col min="1964" max="1964" width="14.42578125" bestFit="1" customWidth="1"/>
    <col min="1965" max="1965" width="12.28515625" bestFit="1" customWidth="1"/>
    <col min="1966" max="1966" width="15.140625" bestFit="1" customWidth="1"/>
    <col min="1967" max="1967" width="14.42578125" bestFit="1" customWidth="1"/>
    <col min="1968" max="1968" width="12.28515625" bestFit="1" customWidth="1"/>
    <col min="1969" max="1969" width="14.42578125" bestFit="1" customWidth="1"/>
    <col min="1970" max="1970" width="11.28515625" bestFit="1" customWidth="1"/>
    <col min="1971" max="1971" width="12.28515625" bestFit="1" customWidth="1"/>
    <col min="1972" max="1972" width="13" bestFit="1" customWidth="1"/>
    <col min="1973" max="1973" width="15.140625" bestFit="1" customWidth="1"/>
    <col min="1974" max="1974" width="12.28515625" bestFit="1" customWidth="1"/>
    <col min="1975" max="1975" width="13.85546875" bestFit="1" customWidth="1"/>
    <col min="1976" max="1976" width="11.28515625" bestFit="1" customWidth="1"/>
    <col min="1977" max="1977" width="12.28515625" bestFit="1" customWidth="1"/>
    <col min="1978" max="1978" width="13.85546875" bestFit="1" customWidth="1"/>
    <col min="1979" max="1980" width="15.140625" bestFit="1" customWidth="1"/>
    <col min="1981" max="1981" width="12.28515625" bestFit="1" customWidth="1"/>
    <col min="1982" max="1982" width="5.7109375" bestFit="1" customWidth="1"/>
    <col min="1983" max="1983" width="8.5703125" bestFit="1" customWidth="1"/>
    <col min="1984" max="1984" width="5.5703125" bestFit="1" customWidth="1"/>
    <col min="1985" max="1985" width="14.42578125" bestFit="1" customWidth="1"/>
    <col min="1986" max="1986" width="11.28515625" bestFit="1" customWidth="1"/>
    <col min="1987" max="1988" width="12.28515625" bestFit="1" customWidth="1"/>
    <col min="1989" max="1989" width="11.28515625" bestFit="1" customWidth="1"/>
    <col min="1990" max="1990" width="13.85546875" bestFit="1" customWidth="1"/>
    <col min="1991" max="1991" width="12" bestFit="1" customWidth="1"/>
    <col min="1992" max="1992" width="13.85546875" bestFit="1" customWidth="1"/>
    <col min="1993" max="1994" width="14.42578125" customWidth="1"/>
    <col min="1995" max="1995" width="10.140625" bestFit="1" customWidth="1"/>
    <col min="1996" max="1996" width="12.28515625" bestFit="1" customWidth="1"/>
    <col min="1997" max="1997" width="7.42578125" bestFit="1" customWidth="1"/>
    <col min="1998" max="1998" width="8.5703125" bestFit="1" customWidth="1"/>
    <col min="1999" max="1999" width="11.5703125" bestFit="1" customWidth="1"/>
    <col min="2000" max="2000" width="13.28515625" bestFit="1" customWidth="1"/>
    <col min="2001" max="2001" width="13.28515625" customWidth="1"/>
    <col min="2002" max="2002" width="13.140625" customWidth="1"/>
    <col min="2003" max="2003" width="12.7109375" bestFit="1" customWidth="1"/>
    <col min="2004" max="2004" width="13.28515625" bestFit="1" customWidth="1"/>
    <col min="2005" max="2007" width="13.28515625" customWidth="1"/>
    <col min="2008" max="2008" width="12.140625" bestFit="1" customWidth="1"/>
    <col min="2009" max="2009" width="12.7109375" bestFit="1" customWidth="1"/>
    <col min="2010" max="2010" width="11" customWidth="1"/>
    <col min="2011" max="2011" width="16.7109375" customWidth="1"/>
    <col min="2012" max="2012" width="17" customWidth="1"/>
    <col min="2013" max="2013" width="10.42578125" bestFit="1" customWidth="1"/>
    <col min="2057" max="2057" width="3.85546875" customWidth="1"/>
    <col min="2058" max="2058" width="15.28515625" bestFit="1" customWidth="1"/>
    <col min="2059" max="2059" width="12.28515625" customWidth="1"/>
    <col min="2060" max="2060" width="16.28515625" bestFit="1" customWidth="1"/>
    <col min="2061" max="2061" width="6.42578125" bestFit="1" customWidth="1"/>
    <col min="2062" max="2062" width="9.28515625" bestFit="1" customWidth="1"/>
    <col min="2063" max="2063" width="7.5703125" bestFit="1" customWidth="1"/>
    <col min="2064" max="2064" width="13.28515625" bestFit="1" customWidth="1"/>
    <col min="2065" max="2065" width="9.28515625" bestFit="1" customWidth="1"/>
    <col min="2066" max="2066" width="11.5703125" bestFit="1" customWidth="1"/>
    <col min="2067" max="2067" width="13.28515625" bestFit="1" customWidth="1"/>
    <col min="2068" max="2068" width="7.140625" bestFit="1" customWidth="1"/>
    <col min="2069" max="2069" width="12" bestFit="1" customWidth="1"/>
    <col min="2070" max="2070" width="13.28515625" bestFit="1" customWidth="1"/>
    <col min="2071" max="2071" width="7" bestFit="1" customWidth="1"/>
    <col min="2072" max="2072" width="12.7109375" bestFit="1" customWidth="1"/>
    <col min="2073" max="2073" width="11.5703125" bestFit="1" customWidth="1"/>
    <col min="2074" max="2074" width="10.5703125" bestFit="1" customWidth="1"/>
    <col min="2075" max="2076" width="15.7109375" bestFit="1" customWidth="1"/>
    <col min="2077" max="2077" width="11.5703125" bestFit="1" customWidth="1"/>
    <col min="2078" max="2078" width="7.7109375" bestFit="1" customWidth="1"/>
    <col min="2079" max="2079" width="15.140625" bestFit="1" customWidth="1"/>
    <col min="2080" max="2080" width="11.5703125" bestFit="1" customWidth="1"/>
    <col min="2081" max="2081" width="13.28515625" bestFit="1" customWidth="1"/>
    <col min="2082" max="2082" width="10.42578125" bestFit="1" customWidth="1"/>
    <col min="2083" max="2083" width="13.28515625" bestFit="1" customWidth="1"/>
    <col min="2084" max="2084" width="12.140625" bestFit="1" customWidth="1"/>
    <col min="2085" max="2085" width="14.42578125" bestFit="1" customWidth="1"/>
    <col min="2086" max="2086" width="13.28515625" bestFit="1" customWidth="1"/>
    <col min="2087" max="2087" width="11.5703125" bestFit="1" customWidth="1"/>
    <col min="2088" max="2088" width="7.7109375" bestFit="1" customWidth="1"/>
    <col min="2089" max="2090" width="14.42578125" bestFit="1" customWidth="1"/>
    <col min="2091" max="2091" width="11.5703125" bestFit="1" customWidth="1"/>
    <col min="2092" max="2092" width="7.7109375" bestFit="1" customWidth="1"/>
    <col min="2093" max="2093" width="13.5703125" customWidth="1"/>
    <col min="2094" max="2094" width="15.28515625" customWidth="1"/>
    <col min="2095" max="2095" width="14.5703125" customWidth="1"/>
    <col min="2096" max="2096" width="13.28515625" bestFit="1" customWidth="1"/>
    <col min="2097" max="2097" width="7.7109375" bestFit="1" customWidth="1"/>
    <col min="2098" max="2098" width="12.7109375" bestFit="1" customWidth="1"/>
    <col min="2099" max="2099" width="11.7109375" bestFit="1" customWidth="1"/>
    <col min="2100" max="2100" width="11.5703125" bestFit="1" customWidth="1"/>
    <col min="2101" max="2101" width="5.28515625" bestFit="1" customWidth="1"/>
    <col min="2102" max="2102" width="13.28515625" bestFit="1" customWidth="1"/>
    <col min="2103" max="2103" width="13.5703125" bestFit="1" customWidth="1"/>
    <col min="2104" max="2104" width="10.5703125" bestFit="1" customWidth="1"/>
    <col min="2105" max="2105" width="13.28515625" bestFit="1" customWidth="1"/>
    <col min="2106" max="2106" width="11.5703125" bestFit="1" customWidth="1"/>
    <col min="2107" max="2107" width="10.5703125" bestFit="1" customWidth="1"/>
    <col min="2108" max="2108" width="16.140625" bestFit="1" customWidth="1"/>
    <col min="2109" max="2110" width="11.28515625" bestFit="1" customWidth="1"/>
    <col min="2111" max="2111" width="13.28515625" bestFit="1" customWidth="1"/>
    <col min="2112" max="2112" width="7.7109375" bestFit="1" customWidth="1"/>
    <col min="2113" max="2116" width="9.140625" hidden="1" customWidth="1"/>
    <col min="2117" max="2117" width="10.42578125" bestFit="1" customWidth="1"/>
    <col min="2118" max="2118" width="10.5703125" bestFit="1" customWidth="1"/>
    <col min="2119" max="2119" width="10.42578125" bestFit="1" customWidth="1"/>
    <col min="2120" max="2120" width="10.5703125" bestFit="1" customWidth="1"/>
    <col min="2121" max="2121" width="9.5703125" bestFit="1" customWidth="1"/>
    <col min="2122" max="2122" width="11.5703125" bestFit="1" customWidth="1"/>
    <col min="2123" max="2123" width="10.42578125" bestFit="1" customWidth="1"/>
    <col min="2124" max="2124" width="10.85546875" customWidth="1"/>
    <col min="2125" max="2126" width="9.85546875" bestFit="1" customWidth="1"/>
    <col min="2127" max="2127" width="13.5703125" bestFit="1" customWidth="1"/>
    <col min="2128" max="2128" width="7.7109375" bestFit="1" customWidth="1"/>
    <col min="2129" max="2129" width="13.28515625" bestFit="1" customWidth="1"/>
    <col min="2130" max="2130" width="11.5703125" bestFit="1" customWidth="1"/>
    <col min="2131" max="2131" width="10.42578125" bestFit="1" customWidth="1"/>
    <col min="2132" max="2132" width="7.7109375" bestFit="1" customWidth="1"/>
    <col min="2133" max="2133" width="11.5703125" bestFit="1" customWidth="1"/>
    <col min="2134" max="2134" width="10.85546875" bestFit="1" customWidth="1"/>
    <col min="2135" max="2135" width="13.28515625" bestFit="1" customWidth="1"/>
    <col min="2136" max="2136" width="10.85546875" bestFit="1" customWidth="1"/>
    <col min="2137" max="2138" width="7.5703125" bestFit="1" customWidth="1"/>
    <col min="2139" max="2140" width="10.42578125" bestFit="1" customWidth="1"/>
    <col min="2141" max="2141" width="11.5703125" bestFit="1" customWidth="1"/>
    <col min="2142" max="2142" width="5.28515625" bestFit="1" customWidth="1"/>
    <col min="2143" max="2143" width="10.28515625" bestFit="1" customWidth="1"/>
    <col min="2144" max="2144" width="10.42578125" bestFit="1" customWidth="1"/>
    <col min="2145" max="2145" width="11.5703125" bestFit="1" customWidth="1"/>
    <col min="2146" max="2146" width="5.28515625" bestFit="1" customWidth="1"/>
    <col min="2147" max="2149" width="11.5703125" bestFit="1" customWidth="1"/>
    <col min="2150" max="2150" width="5.28515625" bestFit="1" customWidth="1"/>
    <col min="2151" max="2152" width="10.42578125" bestFit="1" customWidth="1"/>
    <col min="2153" max="2153" width="11.5703125" bestFit="1" customWidth="1"/>
    <col min="2154" max="2154" width="5.28515625" bestFit="1" customWidth="1"/>
    <col min="2155" max="2155" width="14.28515625" bestFit="1" customWidth="1"/>
    <col min="2156" max="2156" width="13" bestFit="1" customWidth="1"/>
    <col min="2157" max="2157" width="11.5703125" bestFit="1" customWidth="1"/>
    <col min="2158" max="2158" width="8.85546875" bestFit="1" customWidth="1"/>
    <col min="2159" max="2159" width="14.42578125" bestFit="1" customWidth="1"/>
    <col min="2160" max="2160" width="10.42578125" bestFit="1" customWidth="1"/>
    <col min="2161" max="2161" width="12.28515625" bestFit="1" customWidth="1"/>
    <col min="2162" max="2162" width="13.85546875" bestFit="1" customWidth="1"/>
    <col min="2163" max="2163" width="11.28515625" customWidth="1"/>
    <col min="2164" max="2164" width="11.5703125" customWidth="1"/>
    <col min="2165" max="2165" width="13.42578125" bestFit="1" customWidth="1"/>
    <col min="2166" max="2166" width="10.42578125" customWidth="1"/>
    <col min="2167" max="2167" width="13.85546875" bestFit="1" customWidth="1"/>
    <col min="2168" max="2168" width="15.42578125" bestFit="1" customWidth="1"/>
    <col min="2169" max="2169" width="12.28515625" bestFit="1" customWidth="1"/>
    <col min="2170" max="2170" width="12.7109375" customWidth="1"/>
    <col min="2171" max="2171" width="10.7109375" bestFit="1" customWidth="1"/>
    <col min="2172" max="2172" width="9.85546875" customWidth="1"/>
    <col min="2173" max="2174" width="10.140625" bestFit="1" customWidth="1"/>
    <col min="2175" max="2175" width="7.5703125" bestFit="1" customWidth="1"/>
    <col min="2176" max="2176" width="9.42578125" bestFit="1" customWidth="1"/>
    <col min="2177" max="2177" width="14.5703125" bestFit="1" customWidth="1"/>
    <col min="2178" max="2178" width="14.85546875" customWidth="1"/>
    <col min="2179" max="2179" width="15.140625" bestFit="1" customWidth="1"/>
    <col min="2180" max="2180" width="12.140625" bestFit="1" customWidth="1"/>
    <col min="2181" max="2181" width="14.85546875" bestFit="1" customWidth="1"/>
    <col min="2182" max="2182" width="12.28515625" bestFit="1" customWidth="1"/>
    <col min="2183" max="2191" width="9.140625" hidden="1" customWidth="1"/>
    <col min="2192" max="2192" width="5.28515625" bestFit="1" customWidth="1"/>
    <col min="2193" max="2198" width="11.5703125" bestFit="1" customWidth="1"/>
    <col min="2199" max="2199" width="11.28515625" bestFit="1" customWidth="1"/>
    <col min="2200" max="2200" width="10.140625" bestFit="1" customWidth="1"/>
    <col min="2201" max="2201" width="11.5703125" bestFit="1" customWidth="1"/>
    <col min="2202" max="2202" width="16.140625" customWidth="1"/>
    <col min="2203" max="2203" width="13.42578125" customWidth="1"/>
    <col min="2204" max="2204" width="10.140625" bestFit="1" customWidth="1"/>
    <col min="2205" max="2205" width="12.85546875" bestFit="1" customWidth="1"/>
    <col min="2206" max="2206" width="12.28515625" bestFit="1" customWidth="1"/>
    <col min="2207" max="2207" width="11.28515625" bestFit="1" customWidth="1"/>
    <col min="2208" max="2208" width="11.5703125" bestFit="1" customWidth="1"/>
    <col min="2209" max="2209" width="10.85546875" bestFit="1" customWidth="1"/>
    <col min="2210" max="2210" width="11.28515625" bestFit="1" customWidth="1"/>
    <col min="2211" max="2211" width="10.140625" bestFit="1" customWidth="1"/>
    <col min="2212" max="2212" width="13.28515625" bestFit="1" customWidth="1"/>
    <col min="2213" max="2214" width="12.7109375" bestFit="1" customWidth="1"/>
    <col min="2215" max="2215" width="11" bestFit="1" customWidth="1"/>
    <col min="2216" max="2216" width="11.28515625" bestFit="1" customWidth="1"/>
    <col min="2217" max="2217" width="11.5703125" bestFit="1" customWidth="1"/>
    <col min="2218" max="2218" width="12.28515625" bestFit="1" customWidth="1"/>
    <col min="2219" max="2219" width="15.140625" bestFit="1" customWidth="1"/>
    <col min="2220" max="2220" width="14.42578125" bestFit="1" customWidth="1"/>
    <col min="2221" max="2221" width="12.28515625" bestFit="1" customWidth="1"/>
    <col min="2222" max="2222" width="15.140625" bestFit="1" customWidth="1"/>
    <col min="2223" max="2223" width="14.42578125" bestFit="1" customWidth="1"/>
    <col min="2224" max="2224" width="12.28515625" bestFit="1" customWidth="1"/>
    <col min="2225" max="2225" width="14.42578125" bestFit="1" customWidth="1"/>
    <col min="2226" max="2226" width="11.28515625" bestFit="1" customWidth="1"/>
    <col min="2227" max="2227" width="12.28515625" bestFit="1" customWidth="1"/>
    <col min="2228" max="2228" width="13" bestFit="1" customWidth="1"/>
    <col min="2229" max="2229" width="15.140625" bestFit="1" customWidth="1"/>
    <col min="2230" max="2230" width="12.28515625" bestFit="1" customWidth="1"/>
    <col min="2231" max="2231" width="13.85546875" bestFit="1" customWidth="1"/>
    <col min="2232" max="2232" width="11.28515625" bestFit="1" customWidth="1"/>
    <col min="2233" max="2233" width="12.28515625" bestFit="1" customWidth="1"/>
    <col min="2234" max="2234" width="13.85546875" bestFit="1" customWidth="1"/>
    <col min="2235" max="2236" width="15.140625" bestFit="1" customWidth="1"/>
    <col min="2237" max="2237" width="12.28515625" bestFit="1" customWidth="1"/>
    <col min="2238" max="2238" width="5.7109375" bestFit="1" customWidth="1"/>
    <col min="2239" max="2239" width="8.5703125" bestFit="1" customWidth="1"/>
    <col min="2240" max="2240" width="5.5703125" bestFit="1" customWidth="1"/>
    <col min="2241" max="2241" width="14.42578125" bestFit="1" customWidth="1"/>
    <col min="2242" max="2242" width="11.28515625" bestFit="1" customWidth="1"/>
    <col min="2243" max="2244" width="12.28515625" bestFit="1" customWidth="1"/>
    <col min="2245" max="2245" width="11.28515625" bestFit="1" customWidth="1"/>
    <col min="2246" max="2246" width="13.85546875" bestFit="1" customWidth="1"/>
    <col min="2247" max="2247" width="12" bestFit="1" customWidth="1"/>
    <col min="2248" max="2248" width="13.85546875" bestFit="1" customWidth="1"/>
    <col min="2249" max="2250" width="14.42578125" customWidth="1"/>
    <col min="2251" max="2251" width="10.140625" bestFit="1" customWidth="1"/>
    <col min="2252" max="2252" width="12.28515625" bestFit="1" customWidth="1"/>
    <col min="2253" max="2253" width="7.42578125" bestFit="1" customWidth="1"/>
    <col min="2254" max="2254" width="8.5703125" bestFit="1" customWidth="1"/>
    <col min="2255" max="2255" width="11.5703125" bestFit="1" customWidth="1"/>
    <col min="2256" max="2256" width="13.28515625" bestFit="1" customWidth="1"/>
    <col min="2257" max="2257" width="13.28515625" customWidth="1"/>
    <col min="2258" max="2258" width="13.140625" customWidth="1"/>
    <col min="2259" max="2259" width="12.7109375" bestFit="1" customWidth="1"/>
    <col min="2260" max="2260" width="13.28515625" bestFit="1" customWidth="1"/>
    <col min="2261" max="2263" width="13.28515625" customWidth="1"/>
    <col min="2264" max="2264" width="12.140625" bestFit="1" customWidth="1"/>
    <col min="2265" max="2265" width="12.7109375" bestFit="1" customWidth="1"/>
    <col min="2266" max="2266" width="11" customWidth="1"/>
    <col min="2267" max="2267" width="16.7109375" customWidth="1"/>
    <col min="2268" max="2268" width="17" customWidth="1"/>
    <col min="2269" max="2269" width="10.42578125" bestFit="1" customWidth="1"/>
    <col min="2313" max="2313" width="3.85546875" customWidth="1"/>
    <col min="2314" max="2314" width="15.28515625" bestFit="1" customWidth="1"/>
    <col min="2315" max="2315" width="12.28515625" customWidth="1"/>
    <col min="2316" max="2316" width="16.28515625" bestFit="1" customWidth="1"/>
    <col min="2317" max="2317" width="6.42578125" bestFit="1" customWidth="1"/>
    <col min="2318" max="2318" width="9.28515625" bestFit="1" customWidth="1"/>
    <col min="2319" max="2319" width="7.5703125" bestFit="1" customWidth="1"/>
    <col min="2320" max="2320" width="13.28515625" bestFit="1" customWidth="1"/>
    <col min="2321" max="2321" width="9.28515625" bestFit="1" customWidth="1"/>
    <col min="2322" max="2322" width="11.5703125" bestFit="1" customWidth="1"/>
    <col min="2323" max="2323" width="13.28515625" bestFit="1" customWidth="1"/>
    <col min="2324" max="2324" width="7.140625" bestFit="1" customWidth="1"/>
    <col min="2325" max="2325" width="12" bestFit="1" customWidth="1"/>
    <col min="2326" max="2326" width="13.28515625" bestFit="1" customWidth="1"/>
    <col min="2327" max="2327" width="7" bestFit="1" customWidth="1"/>
    <col min="2328" max="2328" width="12.7109375" bestFit="1" customWidth="1"/>
    <col min="2329" max="2329" width="11.5703125" bestFit="1" customWidth="1"/>
    <col min="2330" max="2330" width="10.5703125" bestFit="1" customWidth="1"/>
    <col min="2331" max="2332" width="15.7109375" bestFit="1" customWidth="1"/>
    <col min="2333" max="2333" width="11.5703125" bestFit="1" customWidth="1"/>
    <col min="2334" max="2334" width="7.7109375" bestFit="1" customWidth="1"/>
    <col min="2335" max="2335" width="15.140625" bestFit="1" customWidth="1"/>
    <col min="2336" max="2336" width="11.5703125" bestFit="1" customWidth="1"/>
    <col min="2337" max="2337" width="13.28515625" bestFit="1" customWidth="1"/>
    <col min="2338" max="2338" width="10.42578125" bestFit="1" customWidth="1"/>
    <col min="2339" max="2339" width="13.28515625" bestFit="1" customWidth="1"/>
    <col min="2340" max="2340" width="12.140625" bestFit="1" customWidth="1"/>
    <col min="2341" max="2341" width="14.42578125" bestFit="1" customWidth="1"/>
    <col min="2342" max="2342" width="13.28515625" bestFit="1" customWidth="1"/>
    <col min="2343" max="2343" width="11.5703125" bestFit="1" customWidth="1"/>
    <col min="2344" max="2344" width="7.7109375" bestFit="1" customWidth="1"/>
    <col min="2345" max="2346" width="14.42578125" bestFit="1" customWidth="1"/>
    <col min="2347" max="2347" width="11.5703125" bestFit="1" customWidth="1"/>
    <col min="2348" max="2348" width="7.7109375" bestFit="1" customWidth="1"/>
    <col min="2349" max="2349" width="13.5703125" customWidth="1"/>
    <col min="2350" max="2350" width="15.28515625" customWidth="1"/>
    <col min="2351" max="2351" width="14.5703125" customWidth="1"/>
    <col min="2352" max="2352" width="13.28515625" bestFit="1" customWidth="1"/>
    <col min="2353" max="2353" width="7.7109375" bestFit="1" customWidth="1"/>
    <col min="2354" max="2354" width="12.7109375" bestFit="1" customWidth="1"/>
    <col min="2355" max="2355" width="11.7109375" bestFit="1" customWidth="1"/>
    <col min="2356" max="2356" width="11.5703125" bestFit="1" customWidth="1"/>
    <col min="2357" max="2357" width="5.28515625" bestFit="1" customWidth="1"/>
    <col min="2358" max="2358" width="13.28515625" bestFit="1" customWidth="1"/>
    <col min="2359" max="2359" width="13.5703125" bestFit="1" customWidth="1"/>
    <col min="2360" max="2360" width="10.5703125" bestFit="1" customWidth="1"/>
    <col min="2361" max="2361" width="13.28515625" bestFit="1" customWidth="1"/>
    <col min="2362" max="2362" width="11.5703125" bestFit="1" customWidth="1"/>
    <col min="2363" max="2363" width="10.5703125" bestFit="1" customWidth="1"/>
    <col min="2364" max="2364" width="16.140625" bestFit="1" customWidth="1"/>
    <col min="2365" max="2366" width="11.28515625" bestFit="1" customWidth="1"/>
    <col min="2367" max="2367" width="13.28515625" bestFit="1" customWidth="1"/>
    <col min="2368" max="2368" width="7.7109375" bestFit="1" customWidth="1"/>
    <col min="2369" max="2372" width="9.140625" hidden="1" customWidth="1"/>
    <col min="2373" max="2373" width="10.42578125" bestFit="1" customWidth="1"/>
    <col min="2374" max="2374" width="10.5703125" bestFit="1" customWidth="1"/>
    <col min="2375" max="2375" width="10.42578125" bestFit="1" customWidth="1"/>
    <col min="2376" max="2376" width="10.5703125" bestFit="1" customWidth="1"/>
    <col min="2377" max="2377" width="9.5703125" bestFit="1" customWidth="1"/>
    <col min="2378" max="2378" width="11.5703125" bestFit="1" customWidth="1"/>
    <col min="2379" max="2379" width="10.42578125" bestFit="1" customWidth="1"/>
    <col min="2380" max="2380" width="10.85546875" customWidth="1"/>
    <col min="2381" max="2382" width="9.85546875" bestFit="1" customWidth="1"/>
    <col min="2383" max="2383" width="13.5703125" bestFit="1" customWidth="1"/>
    <col min="2384" max="2384" width="7.7109375" bestFit="1" customWidth="1"/>
    <col min="2385" max="2385" width="13.28515625" bestFit="1" customWidth="1"/>
    <col min="2386" max="2386" width="11.5703125" bestFit="1" customWidth="1"/>
    <col min="2387" max="2387" width="10.42578125" bestFit="1" customWidth="1"/>
    <col min="2388" max="2388" width="7.7109375" bestFit="1" customWidth="1"/>
    <col min="2389" max="2389" width="11.5703125" bestFit="1" customWidth="1"/>
    <col min="2390" max="2390" width="10.85546875" bestFit="1" customWidth="1"/>
    <col min="2391" max="2391" width="13.28515625" bestFit="1" customWidth="1"/>
    <col min="2392" max="2392" width="10.85546875" bestFit="1" customWidth="1"/>
    <col min="2393" max="2394" width="7.5703125" bestFit="1" customWidth="1"/>
    <col min="2395" max="2396" width="10.42578125" bestFit="1" customWidth="1"/>
    <col min="2397" max="2397" width="11.5703125" bestFit="1" customWidth="1"/>
    <col min="2398" max="2398" width="5.28515625" bestFit="1" customWidth="1"/>
    <col min="2399" max="2399" width="10.28515625" bestFit="1" customWidth="1"/>
    <col min="2400" max="2400" width="10.42578125" bestFit="1" customWidth="1"/>
    <col min="2401" max="2401" width="11.5703125" bestFit="1" customWidth="1"/>
    <col min="2402" max="2402" width="5.28515625" bestFit="1" customWidth="1"/>
    <col min="2403" max="2405" width="11.5703125" bestFit="1" customWidth="1"/>
    <col min="2406" max="2406" width="5.28515625" bestFit="1" customWidth="1"/>
    <col min="2407" max="2408" width="10.42578125" bestFit="1" customWidth="1"/>
    <col min="2409" max="2409" width="11.5703125" bestFit="1" customWidth="1"/>
    <col min="2410" max="2410" width="5.28515625" bestFit="1" customWidth="1"/>
    <col min="2411" max="2411" width="14.28515625" bestFit="1" customWidth="1"/>
    <col min="2412" max="2412" width="13" bestFit="1" customWidth="1"/>
    <col min="2413" max="2413" width="11.5703125" bestFit="1" customWidth="1"/>
    <col min="2414" max="2414" width="8.85546875" bestFit="1" customWidth="1"/>
    <col min="2415" max="2415" width="14.42578125" bestFit="1" customWidth="1"/>
    <col min="2416" max="2416" width="10.42578125" bestFit="1" customWidth="1"/>
    <col min="2417" max="2417" width="12.28515625" bestFit="1" customWidth="1"/>
    <col min="2418" max="2418" width="13.85546875" bestFit="1" customWidth="1"/>
    <col min="2419" max="2419" width="11.28515625" customWidth="1"/>
    <col min="2420" max="2420" width="11.5703125" customWidth="1"/>
    <col min="2421" max="2421" width="13.42578125" bestFit="1" customWidth="1"/>
    <col min="2422" max="2422" width="10.42578125" customWidth="1"/>
    <col min="2423" max="2423" width="13.85546875" bestFit="1" customWidth="1"/>
    <col min="2424" max="2424" width="15.42578125" bestFit="1" customWidth="1"/>
    <col min="2425" max="2425" width="12.28515625" bestFit="1" customWidth="1"/>
    <col min="2426" max="2426" width="12.7109375" customWidth="1"/>
    <col min="2427" max="2427" width="10.7109375" bestFit="1" customWidth="1"/>
    <col min="2428" max="2428" width="9.85546875" customWidth="1"/>
    <col min="2429" max="2430" width="10.140625" bestFit="1" customWidth="1"/>
    <col min="2431" max="2431" width="7.5703125" bestFit="1" customWidth="1"/>
    <col min="2432" max="2432" width="9.42578125" bestFit="1" customWidth="1"/>
    <col min="2433" max="2433" width="14.5703125" bestFit="1" customWidth="1"/>
    <col min="2434" max="2434" width="14.85546875" customWidth="1"/>
    <col min="2435" max="2435" width="15.140625" bestFit="1" customWidth="1"/>
    <col min="2436" max="2436" width="12.140625" bestFit="1" customWidth="1"/>
    <col min="2437" max="2437" width="14.85546875" bestFit="1" customWidth="1"/>
    <col min="2438" max="2438" width="12.28515625" bestFit="1" customWidth="1"/>
    <col min="2439" max="2447" width="9.140625" hidden="1" customWidth="1"/>
    <col min="2448" max="2448" width="5.28515625" bestFit="1" customWidth="1"/>
    <col min="2449" max="2454" width="11.5703125" bestFit="1" customWidth="1"/>
    <col min="2455" max="2455" width="11.28515625" bestFit="1" customWidth="1"/>
    <col min="2456" max="2456" width="10.140625" bestFit="1" customWidth="1"/>
    <col min="2457" max="2457" width="11.5703125" bestFit="1" customWidth="1"/>
    <col min="2458" max="2458" width="16.140625" customWidth="1"/>
    <col min="2459" max="2459" width="13.42578125" customWidth="1"/>
    <col min="2460" max="2460" width="10.140625" bestFit="1" customWidth="1"/>
    <col min="2461" max="2461" width="12.85546875" bestFit="1" customWidth="1"/>
    <col min="2462" max="2462" width="12.28515625" bestFit="1" customWidth="1"/>
    <col min="2463" max="2463" width="11.28515625" bestFit="1" customWidth="1"/>
    <col min="2464" max="2464" width="11.5703125" bestFit="1" customWidth="1"/>
    <col min="2465" max="2465" width="10.85546875" bestFit="1" customWidth="1"/>
    <col min="2466" max="2466" width="11.28515625" bestFit="1" customWidth="1"/>
    <col min="2467" max="2467" width="10.140625" bestFit="1" customWidth="1"/>
    <col min="2468" max="2468" width="13.28515625" bestFit="1" customWidth="1"/>
    <col min="2469" max="2470" width="12.7109375" bestFit="1" customWidth="1"/>
    <col min="2471" max="2471" width="11" bestFit="1" customWidth="1"/>
    <col min="2472" max="2472" width="11.28515625" bestFit="1" customWidth="1"/>
    <col min="2473" max="2473" width="11.5703125" bestFit="1" customWidth="1"/>
    <col min="2474" max="2474" width="12.28515625" bestFit="1" customWidth="1"/>
    <col min="2475" max="2475" width="15.140625" bestFit="1" customWidth="1"/>
    <col min="2476" max="2476" width="14.42578125" bestFit="1" customWidth="1"/>
    <col min="2477" max="2477" width="12.28515625" bestFit="1" customWidth="1"/>
    <col min="2478" max="2478" width="15.140625" bestFit="1" customWidth="1"/>
    <col min="2479" max="2479" width="14.42578125" bestFit="1" customWidth="1"/>
    <col min="2480" max="2480" width="12.28515625" bestFit="1" customWidth="1"/>
    <col min="2481" max="2481" width="14.42578125" bestFit="1" customWidth="1"/>
    <col min="2482" max="2482" width="11.28515625" bestFit="1" customWidth="1"/>
    <col min="2483" max="2483" width="12.28515625" bestFit="1" customWidth="1"/>
    <col min="2484" max="2484" width="13" bestFit="1" customWidth="1"/>
    <col min="2485" max="2485" width="15.140625" bestFit="1" customWidth="1"/>
    <col min="2486" max="2486" width="12.28515625" bestFit="1" customWidth="1"/>
    <col min="2487" max="2487" width="13.85546875" bestFit="1" customWidth="1"/>
    <col min="2488" max="2488" width="11.28515625" bestFit="1" customWidth="1"/>
    <col min="2489" max="2489" width="12.28515625" bestFit="1" customWidth="1"/>
    <col min="2490" max="2490" width="13.85546875" bestFit="1" customWidth="1"/>
    <col min="2491" max="2492" width="15.140625" bestFit="1" customWidth="1"/>
    <col min="2493" max="2493" width="12.28515625" bestFit="1" customWidth="1"/>
    <col min="2494" max="2494" width="5.7109375" bestFit="1" customWidth="1"/>
    <col min="2495" max="2495" width="8.5703125" bestFit="1" customWidth="1"/>
    <col min="2496" max="2496" width="5.5703125" bestFit="1" customWidth="1"/>
    <col min="2497" max="2497" width="14.42578125" bestFit="1" customWidth="1"/>
    <col min="2498" max="2498" width="11.28515625" bestFit="1" customWidth="1"/>
    <col min="2499" max="2500" width="12.28515625" bestFit="1" customWidth="1"/>
    <col min="2501" max="2501" width="11.28515625" bestFit="1" customWidth="1"/>
    <col min="2502" max="2502" width="13.85546875" bestFit="1" customWidth="1"/>
    <col min="2503" max="2503" width="12" bestFit="1" customWidth="1"/>
    <col min="2504" max="2504" width="13.85546875" bestFit="1" customWidth="1"/>
    <col min="2505" max="2506" width="14.42578125" customWidth="1"/>
    <col min="2507" max="2507" width="10.140625" bestFit="1" customWidth="1"/>
    <col min="2508" max="2508" width="12.28515625" bestFit="1" customWidth="1"/>
    <col min="2509" max="2509" width="7.42578125" bestFit="1" customWidth="1"/>
    <col min="2510" max="2510" width="8.5703125" bestFit="1" customWidth="1"/>
    <col min="2511" max="2511" width="11.5703125" bestFit="1" customWidth="1"/>
    <col min="2512" max="2512" width="13.28515625" bestFit="1" customWidth="1"/>
    <col min="2513" max="2513" width="13.28515625" customWidth="1"/>
    <col min="2514" max="2514" width="13.140625" customWidth="1"/>
    <col min="2515" max="2515" width="12.7109375" bestFit="1" customWidth="1"/>
    <col min="2516" max="2516" width="13.28515625" bestFit="1" customWidth="1"/>
    <col min="2517" max="2519" width="13.28515625" customWidth="1"/>
    <col min="2520" max="2520" width="12.140625" bestFit="1" customWidth="1"/>
    <col min="2521" max="2521" width="12.7109375" bestFit="1" customWidth="1"/>
    <col min="2522" max="2522" width="11" customWidth="1"/>
    <col min="2523" max="2523" width="16.7109375" customWidth="1"/>
    <col min="2524" max="2524" width="17" customWidth="1"/>
    <col min="2525" max="2525" width="10.42578125" bestFit="1" customWidth="1"/>
    <col min="2569" max="2569" width="3.85546875" customWidth="1"/>
    <col min="2570" max="2570" width="15.28515625" bestFit="1" customWidth="1"/>
    <col min="2571" max="2571" width="12.28515625" customWidth="1"/>
    <col min="2572" max="2572" width="16.28515625" bestFit="1" customWidth="1"/>
    <col min="2573" max="2573" width="6.42578125" bestFit="1" customWidth="1"/>
    <col min="2574" max="2574" width="9.28515625" bestFit="1" customWidth="1"/>
    <col min="2575" max="2575" width="7.5703125" bestFit="1" customWidth="1"/>
    <col min="2576" max="2576" width="13.28515625" bestFit="1" customWidth="1"/>
    <col min="2577" max="2577" width="9.28515625" bestFit="1" customWidth="1"/>
    <col min="2578" max="2578" width="11.5703125" bestFit="1" customWidth="1"/>
    <col min="2579" max="2579" width="13.28515625" bestFit="1" customWidth="1"/>
    <col min="2580" max="2580" width="7.140625" bestFit="1" customWidth="1"/>
    <col min="2581" max="2581" width="12" bestFit="1" customWidth="1"/>
    <col min="2582" max="2582" width="13.28515625" bestFit="1" customWidth="1"/>
    <col min="2583" max="2583" width="7" bestFit="1" customWidth="1"/>
    <col min="2584" max="2584" width="12.7109375" bestFit="1" customWidth="1"/>
    <col min="2585" max="2585" width="11.5703125" bestFit="1" customWidth="1"/>
    <col min="2586" max="2586" width="10.5703125" bestFit="1" customWidth="1"/>
    <col min="2587" max="2588" width="15.7109375" bestFit="1" customWidth="1"/>
    <col min="2589" max="2589" width="11.5703125" bestFit="1" customWidth="1"/>
    <col min="2590" max="2590" width="7.7109375" bestFit="1" customWidth="1"/>
    <col min="2591" max="2591" width="15.140625" bestFit="1" customWidth="1"/>
    <col min="2592" max="2592" width="11.5703125" bestFit="1" customWidth="1"/>
    <col min="2593" max="2593" width="13.28515625" bestFit="1" customWidth="1"/>
    <col min="2594" max="2594" width="10.42578125" bestFit="1" customWidth="1"/>
    <col min="2595" max="2595" width="13.28515625" bestFit="1" customWidth="1"/>
    <col min="2596" max="2596" width="12.140625" bestFit="1" customWidth="1"/>
    <col min="2597" max="2597" width="14.42578125" bestFit="1" customWidth="1"/>
    <col min="2598" max="2598" width="13.28515625" bestFit="1" customWidth="1"/>
    <col min="2599" max="2599" width="11.5703125" bestFit="1" customWidth="1"/>
    <col min="2600" max="2600" width="7.7109375" bestFit="1" customWidth="1"/>
    <col min="2601" max="2602" width="14.42578125" bestFit="1" customWidth="1"/>
    <col min="2603" max="2603" width="11.5703125" bestFit="1" customWidth="1"/>
    <col min="2604" max="2604" width="7.7109375" bestFit="1" customWidth="1"/>
    <col min="2605" max="2605" width="13.5703125" customWidth="1"/>
    <col min="2606" max="2606" width="15.28515625" customWidth="1"/>
    <col min="2607" max="2607" width="14.5703125" customWidth="1"/>
    <col min="2608" max="2608" width="13.28515625" bestFit="1" customWidth="1"/>
    <col min="2609" max="2609" width="7.7109375" bestFit="1" customWidth="1"/>
    <col min="2610" max="2610" width="12.7109375" bestFit="1" customWidth="1"/>
    <col min="2611" max="2611" width="11.7109375" bestFit="1" customWidth="1"/>
    <col min="2612" max="2612" width="11.5703125" bestFit="1" customWidth="1"/>
    <col min="2613" max="2613" width="5.28515625" bestFit="1" customWidth="1"/>
    <col min="2614" max="2614" width="13.28515625" bestFit="1" customWidth="1"/>
    <col min="2615" max="2615" width="13.5703125" bestFit="1" customWidth="1"/>
    <col min="2616" max="2616" width="10.5703125" bestFit="1" customWidth="1"/>
    <col min="2617" max="2617" width="13.28515625" bestFit="1" customWidth="1"/>
    <col min="2618" max="2618" width="11.5703125" bestFit="1" customWidth="1"/>
    <col min="2619" max="2619" width="10.5703125" bestFit="1" customWidth="1"/>
    <col min="2620" max="2620" width="16.140625" bestFit="1" customWidth="1"/>
    <col min="2621" max="2622" width="11.28515625" bestFit="1" customWidth="1"/>
    <col min="2623" max="2623" width="13.28515625" bestFit="1" customWidth="1"/>
    <col min="2624" max="2624" width="7.7109375" bestFit="1" customWidth="1"/>
    <col min="2625" max="2628" width="9.140625" hidden="1" customWidth="1"/>
    <col min="2629" max="2629" width="10.42578125" bestFit="1" customWidth="1"/>
    <col min="2630" max="2630" width="10.5703125" bestFit="1" customWidth="1"/>
    <col min="2631" max="2631" width="10.42578125" bestFit="1" customWidth="1"/>
    <col min="2632" max="2632" width="10.5703125" bestFit="1" customWidth="1"/>
    <col min="2633" max="2633" width="9.5703125" bestFit="1" customWidth="1"/>
    <col min="2634" max="2634" width="11.5703125" bestFit="1" customWidth="1"/>
    <col min="2635" max="2635" width="10.42578125" bestFit="1" customWidth="1"/>
    <col min="2636" max="2636" width="10.85546875" customWidth="1"/>
    <col min="2637" max="2638" width="9.85546875" bestFit="1" customWidth="1"/>
    <col min="2639" max="2639" width="13.5703125" bestFit="1" customWidth="1"/>
    <col min="2640" max="2640" width="7.7109375" bestFit="1" customWidth="1"/>
    <col min="2641" max="2641" width="13.28515625" bestFit="1" customWidth="1"/>
    <col min="2642" max="2642" width="11.5703125" bestFit="1" customWidth="1"/>
    <col min="2643" max="2643" width="10.42578125" bestFit="1" customWidth="1"/>
    <col min="2644" max="2644" width="7.7109375" bestFit="1" customWidth="1"/>
    <col min="2645" max="2645" width="11.5703125" bestFit="1" customWidth="1"/>
    <col min="2646" max="2646" width="10.85546875" bestFit="1" customWidth="1"/>
    <col min="2647" max="2647" width="13.28515625" bestFit="1" customWidth="1"/>
    <col min="2648" max="2648" width="10.85546875" bestFit="1" customWidth="1"/>
    <col min="2649" max="2650" width="7.5703125" bestFit="1" customWidth="1"/>
    <col min="2651" max="2652" width="10.42578125" bestFit="1" customWidth="1"/>
    <col min="2653" max="2653" width="11.5703125" bestFit="1" customWidth="1"/>
    <col min="2654" max="2654" width="5.28515625" bestFit="1" customWidth="1"/>
    <col min="2655" max="2655" width="10.28515625" bestFit="1" customWidth="1"/>
    <col min="2656" max="2656" width="10.42578125" bestFit="1" customWidth="1"/>
    <col min="2657" max="2657" width="11.5703125" bestFit="1" customWidth="1"/>
    <col min="2658" max="2658" width="5.28515625" bestFit="1" customWidth="1"/>
    <col min="2659" max="2661" width="11.5703125" bestFit="1" customWidth="1"/>
    <col min="2662" max="2662" width="5.28515625" bestFit="1" customWidth="1"/>
    <col min="2663" max="2664" width="10.42578125" bestFit="1" customWidth="1"/>
    <col min="2665" max="2665" width="11.5703125" bestFit="1" customWidth="1"/>
    <col min="2666" max="2666" width="5.28515625" bestFit="1" customWidth="1"/>
    <col min="2667" max="2667" width="14.28515625" bestFit="1" customWidth="1"/>
    <col min="2668" max="2668" width="13" bestFit="1" customWidth="1"/>
    <col min="2669" max="2669" width="11.5703125" bestFit="1" customWidth="1"/>
    <col min="2670" max="2670" width="8.85546875" bestFit="1" customWidth="1"/>
    <col min="2671" max="2671" width="14.42578125" bestFit="1" customWidth="1"/>
    <col min="2672" max="2672" width="10.42578125" bestFit="1" customWidth="1"/>
    <col min="2673" max="2673" width="12.28515625" bestFit="1" customWidth="1"/>
    <col min="2674" max="2674" width="13.85546875" bestFit="1" customWidth="1"/>
    <col min="2675" max="2675" width="11.28515625" customWidth="1"/>
    <col min="2676" max="2676" width="11.5703125" customWidth="1"/>
    <col min="2677" max="2677" width="13.42578125" bestFit="1" customWidth="1"/>
    <col min="2678" max="2678" width="10.42578125" customWidth="1"/>
    <col min="2679" max="2679" width="13.85546875" bestFit="1" customWidth="1"/>
    <col min="2680" max="2680" width="15.42578125" bestFit="1" customWidth="1"/>
    <col min="2681" max="2681" width="12.28515625" bestFit="1" customWidth="1"/>
    <col min="2682" max="2682" width="12.7109375" customWidth="1"/>
    <col min="2683" max="2683" width="10.7109375" bestFit="1" customWidth="1"/>
    <col min="2684" max="2684" width="9.85546875" customWidth="1"/>
    <col min="2685" max="2686" width="10.140625" bestFit="1" customWidth="1"/>
    <col min="2687" max="2687" width="7.5703125" bestFit="1" customWidth="1"/>
    <col min="2688" max="2688" width="9.42578125" bestFit="1" customWidth="1"/>
    <col min="2689" max="2689" width="14.5703125" bestFit="1" customWidth="1"/>
    <col min="2690" max="2690" width="14.85546875" customWidth="1"/>
    <col min="2691" max="2691" width="15.140625" bestFit="1" customWidth="1"/>
    <col min="2692" max="2692" width="12.140625" bestFit="1" customWidth="1"/>
    <col min="2693" max="2693" width="14.85546875" bestFit="1" customWidth="1"/>
    <col min="2694" max="2694" width="12.28515625" bestFit="1" customWidth="1"/>
    <col min="2695" max="2703" width="9.140625" hidden="1" customWidth="1"/>
    <col min="2704" max="2704" width="5.28515625" bestFit="1" customWidth="1"/>
    <col min="2705" max="2710" width="11.5703125" bestFit="1" customWidth="1"/>
    <col min="2711" max="2711" width="11.28515625" bestFit="1" customWidth="1"/>
    <col min="2712" max="2712" width="10.140625" bestFit="1" customWidth="1"/>
    <col min="2713" max="2713" width="11.5703125" bestFit="1" customWidth="1"/>
    <col min="2714" max="2714" width="16.140625" customWidth="1"/>
    <col min="2715" max="2715" width="13.42578125" customWidth="1"/>
    <col min="2716" max="2716" width="10.140625" bestFit="1" customWidth="1"/>
    <col min="2717" max="2717" width="12.85546875" bestFit="1" customWidth="1"/>
    <col min="2718" max="2718" width="12.28515625" bestFit="1" customWidth="1"/>
    <col min="2719" max="2719" width="11.28515625" bestFit="1" customWidth="1"/>
    <col min="2720" max="2720" width="11.5703125" bestFit="1" customWidth="1"/>
    <col min="2721" max="2721" width="10.85546875" bestFit="1" customWidth="1"/>
    <col min="2722" max="2722" width="11.28515625" bestFit="1" customWidth="1"/>
    <col min="2723" max="2723" width="10.140625" bestFit="1" customWidth="1"/>
    <col min="2724" max="2724" width="13.28515625" bestFit="1" customWidth="1"/>
    <col min="2725" max="2726" width="12.7109375" bestFit="1" customWidth="1"/>
    <col min="2727" max="2727" width="11" bestFit="1" customWidth="1"/>
    <col min="2728" max="2728" width="11.28515625" bestFit="1" customWidth="1"/>
    <col min="2729" max="2729" width="11.5703125" bestFit="1" customWidth="1"/>
    <col min="2730" max="2730" width="12.28515625" bestFit="1" customWidth="1"/>
    <col min="2731" max="2731" width="15.140625" bestFit="1" customWidth="1"/>
    <col min="2732" max="2732" width="14.42578125" bestFit="1" customWidth="1"/>
    <col min="2733" max="2733" width="12.28515625" bestFit="1" customWidth="1"/>
    <col min="2734" max="2734" width="15.140625" bestFit="1" customWidth="1"/>
    <col min="2735" max="2735" width="14.42578125" bestFit="1" customWidth="1"/>
    <col min="2736" max="2736" width="12.28515625" bestFit="1" customWidth="1"/>
    <col min="2737" max="2737" width="14.42578125" bestFit="1" customWidth="1"/>
    <col min="2738" max="2738" width="11.28515625" bestFit="1" customWidth="1"/>
    <col min="2739" max="2739" width="12.28515625" bestFit="1" customWidth="1"/>
    <col min="2740" max="2740" width="13" bestFit="1" customWidth="1"/>
    <col min="2741" max="2741" width="15.140625" bestFit="1" customWidth="1"/>
    <col min="2742" max="2742" width="12.28515625" bestFit="1" customWidth="1"/>
    <col min="2743" max="2743" width="13.85546875" bestFit="1" customWidth="1"/>
    <col min="2744" max="2744" width="11.28515625" bestFit="1" customWidth="1"/>
    <col min="2745" max="2745" width="12.28515625" bestFit="1" customWidth="1"/>
    <col min="2746" max="2746" width="13.85546875" bestFit="1" customWidth="1"/>
    <col min="2747" max="2748" width="15.140625" bestFit="1" customWidth="1"/>
    <col min="2749" max="2749" width="12.28515625" bestFit="1" customWidth="1"/>
    <col min="2750" max="2750" width="5.7109375" bestFit="1" customWidth="1"/>
    <col min="2751" max="2751" width="8.5703125" bestFit="1" customWidth="1"/>
    <col min="2752" max="2752" width="5.5703125" bestFit="1" customWidth="1"/>
    <col min="2753" max="2753" width="14.42578125" bestFit="1" customWidth="1"/>
    <col min="2754" max="2754" width="11.28515625" bestFit="1" customWidth="1"/>
    <col min="2755" max="2756" width="12.28515625" bestFit="1" customWidth="1"/>
    <col min="2757" max="2757" width="11.28515625" bestFit="1" customWidth="1"/>
    <col min="2758" max="2758" width="13.85546875" bestFit="1" customWidth="1"/>
    <col min="2759" max="2759" width="12" bestFit="1" customWidth="1"/>
    <col min="2760" max="2760" width="13.85546875" bestFit="1" customWidth="1"/>
    <col min="2761" max="2762" width="14.42578125" customWidth="1"/>
    <col min="2763" max="2763" width="10.140625" bestFit="1" customWidth="1"/>
    <col min="2764" max="2764" width="12.28515625" bestFit="1" customWidth="1"/>
    <col min="2765" max="2765" width="7.42578125" bestFit="1" customWidth="1"/>
    <col min="2766" max="2766" width="8.5703125" bestFit="1" customWidth="1"/>
    <col min="2767" max="2767" width="11.5703125" bestFit="1" customWidth="1"/>
    <col min="2768" max="2768" width="13.28515625" bestFit="1" customWidth="1"/>
    <col min="2769" max="2769" width="13.28515625" customWidth="1"/>
    <col min="2770" max="2770" width="13.140625" customWidth="1"/>
    <col min="2771" max="2771" width="12.7109375" bestFit="1" customWidth="1"/>
    <col min="2772" max="2772" width="13.28515625" bestFit="1" customWidth="1"/>
    <col min="2773" max="2775" width="13.28515625" customWidth="1"/>
    <col min="2776" max="2776" width="12.140625" bestFit="1" customWidth="1"/>
    <col min="2777" max="2777" width="12.7109375" bestFit="1" customWidth="1"/>
    <col min="2778" max="2778" width="11" customWidth="1"/>
    <col min="2779" max="2779" width="16.7109375" customWidth="1"/>
    <col min="2780" max="2780" width="17" customWidth="1"/>
    <col min="2781" max="2781" width="10.42578125" bestFit="1" customWidth="1"/>
    <col min="2825" max="2825" width="3.85546875" customWidth="1"/>
    <col min="2826" max="2826" width="15.28515625" bestFit="1" customWidth="1"/>
    <col min="2827" max="2827" width="12.28515625" customWidth="1"/>
    <col min="2828" max="2828" width="16.28515625" bestFit="1" customWidth="1"/>
    <col min="2829" max="2829" width="6.42578125" bestFit="1" customWidth="1"/>
    <col min="2830" max="2830" width="9.28515625" bestFit="1" customWidth="1"/>
    <col min="2831" max="2831" width="7.5703125" bestFit="1" customWidth="1"/>
    <col min="2832" max="2832" width="13.28515625" bestFit="1" customWidth="1"/>
    <col min="2833" max="2833" width="9.28515625" bestFit="1" customWidth="1"/>
    <col min="2834" max="2834" width="11.5703125" bestFit="1" customWidth="1"/>
    <col min="2835" max="2835" width="13.28515625" bestFit="1" customWidth="1"/>
    <col min="2836" max="2836" width="7.140625" bestFit="1" customWidth="1"/>
    <col min="2837" max="2837" width="12" bestFit="1" customWidth="1"/>
    <col min="2838" max="2838" width="13.28515625" bestFit="1" customWidth="1"/>
    <col min="2839" max="2839" width="7" bestFit="1" customWidth="1"/>
    <col min="2840" max="2840" width="12.7109375" bestFit="1" customWidth="1"/>
    <col min="2841" max="2841" width="11.5703125" bestFit="1" customWidth="1"/>
    <col min="2842" max="2842" width="10.5703125" bestFit="1" customWidth="1"/>
    <col min="2843" max="2844" width="15.7109375" bestFit="1" customWidth="1"/>
    <col min="2845" max="2845" width="11.5703125" bestFit="1" customWidth="1"/>
    <col min="2846" max="2846" width="7.7109375" bestFit="1" customWidth="1"/>
    <col min="2847" max="2847" width="15.140625" bestFit="1" customWidth="1"/>
    <col min="2848" max="2848" width="11.5703125" bestFit="1" customWidth="1"/>
    <col min="2849" max="2849" width="13.28515625" bestFit="1" customWidth="1"/>
    <col min="2850" max="2850" width="10.42578125" bestFit="1" customWidth="1"/>
    <col min="2851" max="2851" width="13.28515625" bestFit="1" customWidth="1"/>
    <col min="2852" max="2852" width="12.140625" bestFit="1" customWidth="1"/>
    <col min="2853" max="2853" width="14.42578125" bestFit="1" customWidth="1"/>
    <col min="2854" max="2854" width="13.28515625" bestFit="1" customWidth="1"/>
    <col min="2855" max="2855" width="11.5703125" bestFit="1" customWidth="1"/>
    <col min="2856" max="2856" width="7.7109375" bestFit="1" customWidth="1"/>
    <col min="2857" max="2858" width="14.42578125" bestFit="1" customWidth="1"/>
    <col min="2859" max="2859" width="11.5703125" bestFit="1" customWidth="1"/>
    <col min="2860" max="2860" width="7.7109375" bestFit="1" customWidth="1"/>
    <col min="2861" max="2861" width="13.5703125" customWidth="1"/>
    <col min="2862" max="2862" width="15.28515625" customWidth="1"/>
    <col min="2863" max="2863" width="14.5703125" customWidth="1"/>
    <col min="2864" max="2864" width="13.28515625" bestFit="1" customWidth="1"/>
    <col min="2865" max="2865" width="7.7109375" bestFit="1" customWidth="1"/>
    <col min="2866" max="2866" width="12.7109375" bestFit="1" customWidth="1"/>
    <col min="2867" max="2867" width="11.7109375" bestFit="1" customWidth="1"/>
    <col min="2868" max="2868" width="11.5703125" bestFit="1" customWidth="1"/>
    <col min="2869" max="2869" width="5.28515625" bestFit="1" customWidth="1"/>
    <col min="2870" max="2870" width="13.28515625" bestFit="1" customWidth="1"/>
    <col min="2871" max="2871" width="13.5703125" bestFit="1" customWidth="1"/>
    <col min="2872" max="2872" width="10.5703125" bestFit="1" customWidth="1"/>
    <col min="2873" max="2873" width="13.28515625" bestFit="1" customWidth="1"/>
    <col min="2874" max="2874" width="11.5703125" bestFit="1" customWidth="1"/>
    <col min="2875" max="2875" width="10.5703125" bestFit="1" customWidth="1"/>
    <col min="2876" max="2876" width="16.140625" bestFit="1" customWidth="1"/>
    <col min="2877" max="2878" width="11.28515625" bestFit="1" customWidth="1"/>
    <col min="2879" max="2879" width="13.28515625" bestFit="1" customWidth="1"/>
    <col min="2880" max="2880" width="7.7109375" bestFit="1" customWidth="1"/>
    <col min="2881" max="2884" width="9.140625" hidden="1" customWidth="1"/>
    <col min="2885" max="2885" width="10.42578125" bestFit="1" customWidth="1"/>
    <col min="2886" max="2886" width="10.5703125" bestFit="1" customWidth="1"/>
    <col min="2887" max="2887" width="10.42578125" bestFit="1" customWidth="1"/>
    <col min="2888" max="2888" width="10.5703125" bestFit="1" customWidth="1"/>
    <col min="2889" max="2889" width="9.5703125" bestFit="1" customWidth="1"/>
    <col min="2890" max="2890" width="11.5703125" bestFit="1" customWidth="1"/>
    <col min="2891" max="2891" width="10.42578125" bestFit="1" customWidth="1"/>
    <col min="2892" max="2892" width="10.85546875" customWidth="1"/>
    <col min="2893" max="2894" width="9.85546875" bestFit="1" customWidth="1"/>
    <col min="2895" max="2895" width="13.5703125" bestFit="1" customWidth="1"/>
    <col min="2896" max="2896" width="7.7109375" bestFit="1" customWidth="1"/>
    <col min="2897" max="2897" width="13.28515625" bestFit="1" customWidth="1"/>
    <col min="2898" max="2898" width="11.5703125" bestFit="1" customWidth="1"/>
    <col min="2899" max="2899" width="10.42578125" bestFit="1" customWidth="1"/>
    <col min="2900" max="2900" width="7.7109375" bestFit="1" customWidth="1"/>
    <col min="2901" max="2901" width="11.5703125" bestFit="1" customWidth="1"/>
    <col min="2902" max="2902" width="10.85546875" bestFit="1" customWidth="1"/>
    <col min="2903" max="2903" width="13.28515625" bestFit="1" customWidth="1"/>
    <col min="2904" max="2904" width="10.85546875" bestFit="1" customWidth="1"/>
    <col min="2905" max="2906" width="7.5703125" bestFit="1" customWidth="1"/>
    <col min="2907" max="2908" width="10.42578125" bestFit="1" customWidth="1"/>
    <col min="2909" max="2909" width="11.5703125" bestFit="1" customWidth="1"/>
    <col min="2910" max="2910" width="5.28515625" bestFit="1" customWidth="1"/>
    <col min="2911" max="2911" width="10.28515625" bestFit="1" customWidth="1"/>
    <col min="2912" max="2912" width="10.42578125" bestFit="1" customWidth="1"/>
    <col min="2913" max="2913" width="11.5703125" bestFit="1" customWidth="1"/>
    <col min="2914" max="2914" width="5.28515625" bestFit="1" customWidth="1"/>
    <col min="2915" max="2917" width="11.5703125" bestFit="1" customWidth="1"/>
    <col min="2918" max="2918" width="5.28515625" bestFit="1" customWidth="1"/>
    <col min="2919" max="2920" width="10.42578125" bestFit="1" customWidth="1"/>
    <col min="2921" max="2921" width="11.5703125" bestFit="1" customWidth="1"/>
    <col min="2922" max="2922" width="5.28515625" bestFit="1" customWidth="1"/>
    <col min="2923" max="2923" width="14.28515625" bestFit="1" customWidth="1"/>
    <col min="2924" max="2924" width="13" bestFit="1" customWidth="1"/>
    <col min="2925" max="2925" width="11.5703125" bestFit="1" customWidth="1"/>
    <col min="2926" max="2926" width="8.85546875" bestFit="1" customWidth="1"/>
    <col min="2927" max="2927" width="14.42578125" bestFit="1" customWidth="1"/>
    <col min="2928" max="2928" width="10.42578125" bestFit="1" customWidth="1"/>
    <col min="2929" max="2929" width="12.28515625" bestFit="1" customWidth="1"/>
    <col min="2930" max="2930" width="13.85546875" bestFit="1" customWidth="1"/>
    <col min="2931" max="2931" width="11.28515625" customWidth="1"/>
    <col min="2932" max="2932" width="11.5703125" customWidth="1"/>
    <col min="2933" max="2933" width="13.42578125" bestFit="1" customWidth="1"/>
    <col min="2934" max="2934" width="10.42578125" customWidth="1"/>
    <col min="2935" max="2935" width="13.85546875" bestFit="1" customWidth="1"/>
    <col min="2936" max="2936" width="15.42578125" bestFit="1" customWidth="1"/>
    <col min="2937" max="2937" width="12.28515625" bestFit="1" customWidth="1"/>
    <col min="2938" max="2938" width="12.7109375" customWidth="1"/>
    <col min="2939" max="2939" width="10.7109375" bestFit="1" customWidth="1"/>
    <col min="2940" max="2940" width="9.85546875" customWidth="1"/>
    <col min="2941" max="2942" width="10.140625" bestFit="1" customWidth="1"/>
    <col min="2943" max="2943" width="7.5703125" bestFit="1" customWidth="1"/>
    <col min="2944" max="2944" width="9.42578125" bestFit="1" customWidth="1"/>
    <col min="2945" max="2945" width="14.5703125" bestFit="1" customWidth="1"/>
    <col min="2946" max="2946" width="14.85546875" customWidth="1"/>
    <col min="2947" max="2947" width="15.140625" bestFit="1" customWidth="1"/>
    <col min="2948" max="2948" width="12.140625" bestFit="1" customWidth="1"/>
    <col min="2949" max="2949" width="14.85546875" bestFit="1" customWidth="1"/>
    <col min="2950" max="2950" width="12.28515625" bestFit="1" customWidth="1"/>
    <col min="2951" max="2959" width="9.140625" hidden="1" customWidth="1"/>
    <col min="2960" max="2960" width="5.28515625" bestFit="1" customWidth="1"/>
    <col min="2961" max="2966" width="11.5703125" bestFit="1" customWidth="1"/>
    <col min="2967" max="2967" width="11.28515625" bestFit="1" customWidth="1"/>
    <col min="2968" max="2968" width="10.140625" bestFit="1" customWidth="1"/>
    <col min="2969" max="2969" width="11.5703125" bestFit="1" customWidth="1"/>
    <col min="2970" max="2970" width="16.140625" customWidth="1"/>
    <col min="2971" max="2971" width="13.42578125" customWidth="1"/>
    <col min="2972" max="2972" width="10.140625" bestFit="1" customWidth="1"/>
    <col min="2973" max="2973" width="12.85546875" bestFit="1" customWidth="1"/>
    <col min="2974" max="2974" width="12.28515625" bestFit="1" customWidth="1"/>
    <col min="2975" max="2975" width="11.28515625" bestFit="1" customWidth="1"/>
    <col min="2976" max="2976" width="11.5703125" bestFit="1" customWidth="1"/>
    <col min="2977" max="2977" width="10.85546875" bestFit="1" customWidth="1"/>
    <col min="2978" max="2978" width="11.28515625" bestFit="1" customWidth="1"/>
    <col min="2979" max="2979" width="10.140625" bestFit="1" customWidth="1"/>
    <col min="2980" max="2980" width="13.28515625" bestFit="1" customWidth="1"/>
    <col min="2981" max="2982" width="12.7109375" bestFit="1" customWidth="1"/>
    <col min="2983" max="2983" width="11" bestFit="1" customWidth="1"/>
    <col min="2984" max="2984" width="11.28515625" bestFit="1" customWidth="1"/>
    <col min="2985" max="2985" width="11.5703125" bestFit="1" customWidth="1"/>
    <col min="2986" max="2986" width="12.28515625" bestFit="1" customWidth="1"/>
    <col min="2987" max="2987" width="15.140625" bestFit="1" customWidth="1"/>
    <col min="2988" max="2988" width="14.42578125" bestFit="1" customWidth="1"/>
    <col min="2989" max="2989" width="12.28515625" bestFit="1" customWidth="1"/>
    <col min="2990" max="2990" width="15.140625" bestFit="1" customWidth="1"/>
    <col min="2991" max="2991" width="14.42578125" bestFit="1" customWidth="1"/>
    <col min="2992" max="2992" width="12.28515625" bestFit="1" customWidth="1"/>
    <col min="2993" max="2993" width="14.42578125" bestFit="1" customWidth="1"/>
    <col min="2994" max="2994" width="11.28515625" bestFit="1" customWidth="1"/>
    <col min="2995" max="2995" width="12.28515625" bestFit="1" customWidth="1"/>
    <col min="2996" max="2996" width="13" bestFit="1" customWidth="1"/>
    <col min="2997" max="2997" width="15.140625" bestFit="1" customWidth="1"/>
    <col min="2998" max="2998" width="12.28515625" bestFit="1" customWidth="1"/>
    <col min="2999" max="2999" width="13.85546875" bestFit="1" customWidth="1"/>
    <col min="3000" max="3000" width="11.28515625" bestFit="1" customWidth="1"/>
    <col min="3001" max="3001" width="12.28515625" bestFit="1" customWidth="1"/>
    <col min="3002" max="3002" width="13.85546875" bestFit="1" customWidth="1"/>
    <col min="3003" max="3004" width="15.140625" bestFit="1" customWidth="1"/>
    <col min="3005" max="3005" width="12.28515625" bestFit="1" customWidth="1"/>
    <col min="3006" max="3006" width="5.7109375" bestFit="1" customWidth="1"/>
    <col min="3007" max="3007" width="8.5703125" bestFit="1" customWidth="1"/>
    <col min="3008" max="3008" width="5.5703125" bestFit="1" customWidth="1"/>
    <col min="3009" max="3009" width="14.42578125" bestFit="1" customWidth="1"/>
    <col min="3010" max="3010" width="11.28515625" bestFit="1" customWidth="1"/>
    <col min="3011" max="3012" width="12.28515625" bestFit="1" customWidth="1"/>
    <col min="3013" max="3013" width="11.28515625" bestFit="1" customWidth="1"/>
    <col min="3014" max="3014" width="13.85546875" bestFit="1" customWidth="1"/>
    <col min="3015" max="3015" width="12" bestFit="1" customWidth="1"/>
    <col min="3016" max="3016" width="13.85546875" bestFit="1" customWidth="1"/>
    <col min="3017" max="3018" width="14.42578125" customWidth="1"/>
    <col min="3019" max="3019" width="10.140625" bestFit="1" customWidth="1"/>
    <col min="3020" max="3020" width="12.28515625" bestFit="1" customWidth="1"/>
    <col min="3021" max="3021" width="7.42578125" bestFit="1" customWidth="1"/>
    <col min="3022" max="3022" width="8.5703125" bestFit="1" customWidth="1"/>
    <col min="3023" max="3023" width="11.5703125" bestFit="1" customWidth="1"/>
    <col min="3024" max="3024" width="13.28515625" bestFit="1" customWidth="1"/>
    <col min="3025" max="3025" width="13.28515625" customWidth="1"/>
    <col min="3026" max="3026" width="13.140625" customWidth="1"/>
    <col min="3027" max="3027" width="12.7109375" bestFit="1" customWidth="1"/>
    <col min="3028" max="3028" width="13.28515625" bestFit="1" customWidth="1"/>
    <col min="3029" max="3031" width="13.28515625" customWidth="1"/>
    <col min="3032" max="3032" width="12.140625" bestFit="1" customWidth="1"/>
    <col min="3033" max="3033" width="12.7109375" bestFit="1" customWidth="1"/>
    <col min="3034" max="3034" width="11" customWidth="1"/>
    <col min="3035" max="3035" width="16.7109375" customWidth="1"/>
    <col min="3036" max="3036" width="17" customWidth="1"/>
    <col min="3037" max="3037" width="10.42578125" bestFit="1" customWidth="1"/>
    <col min="3081" max="3081" width="3.85546875" customWidth="1"/>
    <col min="3082" max="3082" width="15.28515625" bestFit="1" customWidth="1"/>
    <col min="3083" max="3083" width="12.28515625" customWidth="1"/>
    <col min="3084" max="3084" width="16.28515625" bestFit="1" customWidth="1"/>
    <col min="3085" max="3085" width="6.42578125" bestFit="1" customWidth="1"/>
    <col min="3086" max="3086" width="9.28515625" bestFit="1" customWidth="1"/>
    <col min="3087" max="3087" width="7.5703125" bestFit="1" customWidth="1"/>
    <col min="3088" max="3088" width="13.28515625" bestFit="1" customWidth="1"/>
    <col min="3089" max="3089" width="9.28515625" bestFit="1" customWidth="1"/>
    <col min="3090" max="3090" width="11.5703125" bestFit="1" customWidth="1"/>
    <col min="3091" max="3091" width="13.28515625" bestFit="1" customWidth="1"/>
    <col min="3092" max="3092" width="7.140625" bestFit="1" customWidth="1"/>
    <col min="3093" max="3093" width="12" bestFit="1" customWidth="1"/>
    <col min="3094" max="3094" width="13.28515625" bestFit="1" customWidth="1"/>
    <col min="3095" max="3095" width="7" bestFit="1" customWidth="1"/>
    <col min="3096" max="3096" width="12.7109375" bestFit="1" customWidth="1"/>
    <col min="3097" max="3097" width="11.5703125" bestFit="1" customWidth="1"/>
    <col min="3098" max="3098" width="10.5703125" bestFit="1" customWidth="1"/>
    <col min="3099" max="3100" width="15.7109375" bestFit="1" customWidth="1"/>
    <col min="3101" max="3101" width="11.5703125" bestFit="1" customWidth="1"/>
    <col min="3102" max="3102" width="7.7109375" bestFit="1" customWidth="1"/>
    <col min="3103" max="3103" width="15.140625" bestFit="1" customWidth="1"/>
    <col min="3104" max="3104" width="11.5703125" bestFit="1" customWidth="1"/>
    <col min="3105" max="3105" width="13.28515625" bestFit="1" customWidth="1"/>
    <col min="3106" max="3106" width="10.42578125" bestFit="1" customWidth="1"/>
    <col min="3107" max="3107" width="13.28515625" bestFit="1" customWidth="1"/>
    <col min="3108" max="3108" width="12.140625" bestFit="1" customWidth="1"/>
    <col min="3109" max="3109" width="14.42578125" bestFit="1" customWidth="1"/>
    <col min="3110" max="3110" width="13.28515625" bestFit="1" customWidth="1"/>
    <col min="3111" max="3111" width="11.5703125" bestFit="1" customWidth="1"/>
    <col min="3112" max="3112" width="7.7109375" bestFit="1" customWidth="1"/>
    <col min="3113" max="3114" width="14.42578125" bestFit="1" customWidth="1"/>
    <col min="3115" max="3115" width="11.5703125" bestFit="1" customWidth="1"/>
    <col min="3116" max="3116" width="7.7109375" bestFit="1" customWidth="1"/>
    <col min="3117" max="3117" width="13.5703125" customWidth="1"/>
    <col min="3118" max="3118" width="15.28515625" customWidth="1"/>
    <col min="3119" max="3119" width="14.5703125" customWidth="1"/>
    <col min="3120" max="3120" width="13.28515625" bestFit="1" customWidth="1"/>
    <col min="3121" max="3121" width="7.7109375" bestFit="1" customWidth="1"/>
    <col min="3122" max="3122" width="12.7109375" bestFit="1" customWidth="1"/>
    <col min="3123" max="3123" width="11.7109375" bestFit="1" customWidth="1"/>
    <col min="3124" max="3124" width="11.5703125" bestFit="1" customWidth="1"/>
    <col min="3125" max="3125" width="5.28515625" bestFit="1" customWidth="1"/>
    <col min="3126" max="3126" width="13.28515625" bestFit="1" customWidth="1"/>
    <col min="3127" max="3127" width="13.5703125" bestFit="1" customWidth="1"/>
    <col min="3128" max="3128" width="10.5703125" bestFit="1" customWidth="1"/>
    <col min="3129" max="3129" width="13.28515625" bestFit="1" customWidth="1"/>
    <col min="3130" max="3130" width="11.5703125" bestFit="1" customWidth="1"/>
    <col min="3131" max="3131" width="10.5703125" bestFit="1" customWidth="1"/>
    <col min="3132" max="3132" width="16.140625" bestFit="1" customWidth="1"/>
    <col min="3133" max="3134" width="11.28515625" bestFit="1" customWidth="1"/>
    <col min="3135" max="3135" width="13.28515625" bestFit="1" customWidth="1"/>
    <col min="3136" max="3136" width="7.7109375" bestFit="1" customWidth="1"/>
    <col min="3137" max="3140" width="9.140625" hidden="1" customWidth="1"/>
    <col min="3141" max="3141" width="10.42578125" bestFit="1" customWidth="1"/>
    <col min="3142" max="3142" width="10.5703125" bestFit="1" customWidth="1"/>
    <col min="3143" max="3143" width="10.42578125" bestFit="1" customWidth="1"/>
    <col min="3144" max="3144" width="10.5703125" bestFit="1" customWidth="1"/>
    <col min="3145" max="3145" width="9.5703125" bestFit="1" customWidth="1"/>
    <col min="3146" max="3146" width="11.5703125" bestFit="1" customWidth="1"/>
    <col min="3147" max="3147" width="10.42578125" bestFit="1" customWidth="1"/>
    <col min="3148" max="3148" width="10.85546875" customWidth="1"/>
    <col min="3149" max="3150" width="9.85546875" bestFit="1" customWidth="1"/>
    <col min="3151" max="3151" width="13.5703125" bestFit="1" customWidth="1"/>
    <col min="3152" max="3152" width="7.7109375" bestFit="1" customWidth="1"/>
    <col min="3153" max="3153" width="13.28515625" bestFit="1" customWidth="1"/>
    <col min="3154" max="3154" width="11.5703125" bestFit="1" customWidth="1"/>
    <col min="3155" max="3155" width="10.42578125" bestFit="1" customWidth="1"/>
    <col min="3156" max="3156" width="7.7109375" bestFit="1" customWidth="1"/>
    <col min="3157" max="3157" width="11.5703125" bestFit="1" customWidth="1"/>
    <col min="3158" max="3158" width="10.85546875" bestFit="1" customWidth="1"/>
    <col min="3159" max="3159" width="13.28515625" bestFit="1" customWidth="1"/>
    <col min="3160" max="3160" width="10.85546875" bestFit="1" customWidth="1"/>
    <col min="3161" max="3162" width="7.5703125" bestFit="1" customWidth="1"/>
    <col min="3163" max="3164" width="10.42578125" bestFit="1" customWidth="1"/>
    <col min="3165" max="3165" width="11.5703125" bestFit="1" customWidth="1"/>
    <col min="3166" max="3166" width="5.28515625" bestFit="1" customWidth="1"/>
    <col min="3167" max="3167" width="10.28515625" bestFit="1" customWidth="1"/>
    <col min="3168" max="3168" width="10.42578125" bestFit="1" customWidth="1"/>
    <col min="3169" max="3169" width="11.5703125" bestFit="1" customWidth="1"/>
    <col min="3170" max="3170" width="5.28515625" bestFit="1" customWidth="1"/>
    <col min="3171" max="3173" width="11.5703125" bestFit="1" customWidth="1"/>
    <col min="3174" max="3174" width="5.28515625" bestFit="1" customWidth="1"/>
    <col min="3175" max="3176" width="10.42578125" bestFit="1" customWidth="1"/>
    <col min="3177" max="3177" width="11.5703125" bestFit="1" customWidth="1"/>
    <col min="3178" max="3178" width="5.28515625" bestFit="1" customWidth="1"/>
    <col min="3179" max="3179" width="14.28515625" bestFit="1" customWidth="1"/>
    <col min="3180" max="3180" width="13" bestFit="1" customWidth="1"/>
    <col min="3181" max="3181" width="11.5703125" bestFit="1" customWidth="1"/>
    <col min="3182" max="3182" width="8.85546875" bestFit="1" customWidth="1"/>
    <col min="3183" max="3183" width="14.42578125" bestFit="1" customWidth="1"/>
    <col min="3184" max="3184" width="10.42578125" bestFit="1" customWidth="1"/>
    <col min="3185" max="3185" width="12.28515625" bestFit="1" customWidth="1"/>
    <col min="3186" max="3186" width="13.85546875" bestFit="1" customWidth="1"/>
    <col min="3187" max="3187" width="11.28515625" customWidth="1"/>
    <col min="3188" max="3188" width="11.5703125" customWidth="1"/>
    <col min="3189" max="3189" width="13.42578125" bestFit="1" customWidth="1"/>
    <col min="3190" max="3190" width="10.42578125" customWidth="1"/>
    <col min="3191" max="3191" width="13.85546875" bestFit="1" customWidth="1"/>
    <col min="3192" max="3192" width="15.42578125" bestFit="1" customWidth="1"/>
    <col min="3193" max="3193" width="12.28515625" bestFit="1" customWidth="1"/>
    <col min="3194" max="3194" width="12.7109375" customWidth="1"/>
    <col min="3195" max="3195" width="10.7109375" bestFit="1" customWidth="1"/>
    <col min="3196" max="3196" width="9.85546875" customWidth="1"/>
    <col min="3197" max="3198" width="10.140625" bestFit="1" customWidth="1"/>
    <col min="3199" max="3199" width="7.5703125" bestFit="1" customWidth="1"/>
    <col min="3200" max="3200" width="9.42578125" bestFit="1" customWidth="1"/>
    <col min="3201" max="3201" width="14.5703125" bestFit="1" customWidth="1"/>
    <col min="3202" max="3202" width="14.85546875" customWidth="1"/>
    <col min="3203" max="3203" width="15.140625" bestFit="1" customWidth="1"/>
    <col min="3204" max="3204" width="12.140625" bestFit="1" customWidth="1"/>
    <col min="3205" max="3205" width="14.85546875" bestFit="1" customWidth="1"/>
    <col min="3206" max="3206" width="12.28515625" bestFit="1" customWidth="1"/>
    <col min="3207" max="3215" width="9.140625" hidden="1" customWidth="1"/>
    <col min="3216" max="3216" width="5.28515625" bestFit="1" customWidth="1"/>
    <col min="3217" max="3222" width="11.5703125" bestFit="1" customWidth="1"/>
    <col min="3223" max="3223" width="11.28515625" bestFit="1" customWidth="1"/>
    <col min="3224" max="3224" width="10.140625" bestFit="1" customWidth="1"/>
    <col min="3225" max="3225" width="11.5703125" bestFit="1" customWidth="1"/>
    <col min="3226" max="3226" width="16.140625" customWidth="1"/>
    <col min="3227" max="3227" width="13.42578125" customWidth="1"/>
    <col min="3228" max="3228" width="10.140625" bestFit="1" customWidth="1"/>
    <col min="3229" max="3229" width="12.85546875" bestFit="1" customWidth="1"/>
    <col min="3230" max="3230" width="12.28515625" bestFit="1" customWidth="1"/>
    <col min="3231" max="3231" width="11.28515625" bestFit="1" customWidth="1"/>
    <col min="3232" max="3232" width="11.5703125" bestFit="1" customWidth="1"/>
    <col min="3233" max="3233" width="10.85546875" bestFit="1" customWidth="1"/>
    <col min="3234" max="3234" width="11.28515625" bestFit="1" customWidth="1"/>
    <col min="3235" max="3235" width="10.140625" bestFit="1" customWidth="1"/>
    <col min="3236" max="3236" width="13.28515625" bestFit="1" customWidth="1"/>
    <col min="3237" max="3238" width="12.7109375" bestFit="1" customWidth="1"/>
    <col min="3239" max="3239" width="11" bestFit="1" customWidth="1"/>
    <col min="3240" max="3240" width="11.28515625" bestFit="1" customWidth="1"/>
    <col min="3241" max="3241" width="11.5703125" bestFit="1" customWidth="1"/>
    <col min="3242" max="3242" width="12.28515625" bestFit="1" customWidth="1"/>
    <col min="3243" max="3243" width="15.140625" bestFit="1" customWidth="1"/>
    <col min="3244" max="3244" width="14.42578125" bestFit="1" customWidth="1"/>
    <col min="3245" max="3245" width="12.28515625" bestFit="1" customWidth="1"/>
    <col min="3246" max="3246" width="15.140625" bestFit="1" customWidth="1"/>
    <col min="3247" max="3247" width="14.42578125" bestFit="1" customWidth="1"/>
    <col min="3248" max="3248" width="12.28515625" bestFit="1" customWidth="1"/>
    <col min="3249" max="3249" width="14.42578125" bestFit="1" customWidth="1"/>
    <col min="3250" max="3250" width="11.28515625" bestFit="1" customWidth="1"/>
    <col min="3251" max="3251" width="12.28515625" bestFit="1" customWidth="1"/>
    <col min="3252" max="3252" width="13" bestFit="1" customWidth="1"/>
    <col min="3253" max="3253" width="15.140625" bestFit="1" customWidth="1"/>
    <col min="3254" max="3254" width="12.28515625" bestFit="1" customWidth="1"/>
    <col min="3255" max="3255" width="13.85546875" bestFit="1" customWidth="1"/>
    <col min="3256" max="3256" width="11.28515625" bestFit="1" customWidth="1"/>
    <col min="3257" max="3257" width="12.28515625" bestFit="1" customWidth="1"/>
    <col min="3258" max="3258" width="13.85546875" bestFit="1" customWidth="1"/>
    <col min="3259" max="3260" width="15.140625" bestFit="1" customWidth="1"/>
    <col min="3261" max="3261" width="12.28515625" bestFit="1" customWidth="1"/>
    <col min="3262" max="3262" width="5.7109375" bestFit="1" customWidth="1"/>
    <col min="3263" max="3263" width="8.5703125" bestFit="1" customWidth="1"/>
    <col min="3264" max="3264" width="5.5703125" bestFit="1" customWidth="1"/>
    <col min="3265" max="3265" width="14.42578125" bestFit="1" customWidth="1"/>
    <col min="3266" max="3266" width="11.28515625" bestFit="1" customWidth="1"/>
    <col min="3267" max="3268" width="12.28515625" bestFit="1" customWidth="1"/>
    <col min="3269" max="3269" width="11.28515625" bestFit="1" customWidth="1"/>
    <col min="3270" max="3270" width="13.85546875" bestFit="1" customWidth="1"/>
    <col min="3271" max="3271" width="12" bestFit="1" customWidth="1"/>
    <col min="3272" max="3272" width="13.85546875" bestFit="1" customWidth="1"/>
    <col min="3273" max="3274" width="14.42578125" customWidth="1"/>
    <col min="3275" max="3275" width="10.140625" bestFit="1" customWidth="1"/>
    <col min="3276" max="3276" width="12.28515625" bestFit="1" customWidth="1"/>
    <col min="3277" max="3277" width="7.42578125" bestFit="1" customWidth="1"/>
    <col min="3278" max="3278" width="8.5703125" bestFit="1" customWidth="1"/>
    <col min="3279" max="3279" width="11.5703125" bestFit="1" customWidth="1"/>
    <col min="3280" max="3280" width="13.28515625" bestFit="1" customWidth="1"/>
    <col min="3281" max="3281" width="13.28515625" customWidth="1"/>
    <col min="3282" max="3282" width="13.140625" customWidth="1"/>
    <col min="3283" max="3283" width="12.7109375" bestFit="1" customWidth="1"/>
    <col min="3284" max="3284" width="13.28515625" bestFit="1" customWidth="1"/>
    <col min="3285" max="3287" width="13.28515625" customWidth="1"/>
    <col min="3288" max="3288" width="12.140625" bestFit="1" customWidth="1"/>
    <col min="3289" max="3289" width="12.7109375" bestFit="1" customWidth="1"/>
    <col min="3290" max="3290" width="11" customWidth="1"/>
    <col min="3291" max="3291" width="16.7109375" customWidth="1"/>
    <col min="3292" max="3292" width="17" customWidth="1"/>
    <col min="3293" max="3293" width="10.42578125" bestFit="1" customWidth="1"/>
    <col min="3337" max="3337" width="3.85546875" customWidth="1"/>
    <col min="3338" max="3338" width="15.28515625" bestFit="1" customWidth="1"/>
    <col min="3339" max="3339" width="12.28515625" customWidth="1"/>
    <col min="3340" max="3340" width="16.28515625" bestFit="1" customWidth="1"/>
    <col min="3341" max="3341" width="6.42578125" bestFit="1" customWidth="1"/>
    <col min="3342" max="3342" width="9.28515625" bestFit="1" customWidth="1"/>
    <col min="3343" max="3343" width="7.5703125" bestFit="1" customWidth="1"/>
    <col min="3344" max="3344" width="13.28515625" bestFit="1" customWidth="1"/>
    <col min="3345" max="3345" width="9.28515625" bestFit="1" customWidth="1"/>
    <col min="3346" max="3346" width="11.5703125" bestFit="1" customWidth="1"/>
    <col min="3347" max="3347" width="13.28515625" bestFit="1" customWidth="1"/>
    <col min="3348" max="3348" width="7.140625" bestFit="1" customWidth="1"/>
    <col min="3349" max="3349" width="12" bestFit="1" customWidth="1"/>
    <col min="3350" max="3350" width="13.28515625" bestFit="1" customWidth="1"/>
    <col min="3351" max="3351" width="7" bestFit="1" customWidth="1"/>
    <col min="3352" max="3352" width="12.7109375" bestFit="1" customWidth="1"/>
    <col min="3353" max="3353" width="11.5703125" bestFit="1" customWidth="1"/>
    <col min="3354" max="3354" width="10.5703125" bestFit="1" customWidth="1"/>
    <col min="3355" max="3356" width="15.7109375" bestFit="1" customWidth="1"/>
    <col min="3357" max="3357" width="11.5703125" bestFit="1" customWidth="1"/>
    <col min="3358" max="3358" width="7.7109375" bestFit="1" customWidth="1"/>
    <col min="3359" max="3359" width="15.140625" bestFit="1" customWidth="1"/>
    <col min="3360" max="3360" width="11.5703125" bestFit="1" customWidth="1"/>
    <col min="3361" max="3361" width="13.28515625" bestFit="1" customWidth="1"/>
    <col min="3362" max="3362" width="10.42578125" bestFit="1" customWidth="1"/>
    <col min="3363" max="3363" width="13.28515625" bestFit="1" customWidth="1"/>
    <col min="3364" max="3364" width="12.140625" bestFit="1" customWidth="1"/>
    <col min="3365" max="3365" width="14.42578125" bestFit="1" customWidth="1"/>
    <col min="3366" max="3366" width="13.28515625" bestFit="1" customWidth="1"/>
    <col min="3367" max="3367" width="11.5703125" bestFit="1" customWidth="1"/>
    <col min="3368" max="3368" width="7.7109375" bestFit="1" customWidth="1"/>
    <col min="3369" max="3370" width="14.42578125" bestFit="1" customWidth="1"/>
    <col min="3371" max="3371" width="11.5703125" bestFit="1" customWidth="1"/>
    <col min="3372" max="3372" width="7.7109375" bestFit="1" customWidth="1"/>
    <col min="3373" max="3373" width="13.5703125" customWidth="1"/>
    <col min="3374" max="3374" width="15.28515625" customWidth="1"/>
    <col min="3375" max="3375" width="14.5703125" customWidth="1"/>
    <col min="3376" max="3376" width="13.28515625" bestFit="1" customWidth="1"/>
    <col min="3377" max="3377" width="7.7109375" bestFit="1" customWidth="1"/>
    <col min="3378" max="3378" width="12.7109375" bestFit="1" customWidth="1"/>
    <col min="3379" max="3379" width="11.7109375" bestFit="1" customWidth="1"/>
    <col min="3380" max="3380" width="11.5703125" bestFit="1" customWidth="1"/>
    <col min="3381" max="3381" width="5.28515625" bestFit="1" customWidth="1"/>
    <col min="3382" max="3382" width="13.28515625" bestFit="1" customWidth="1"/>
    <col min="3383" max="3383" width="13.5703125" bestFit="1" customWidth="1"/>
    <col min="3384" max="3384" width="10.5703125" bestFit="1" customWidth="1"/>
    <col min="3385" max="3385" width="13.28515625" bestFit="1" customWidth="1"/>
    <col min="3386" max="3386" width="11.5703125" bestFit="1" customWidth="1"/>
    <col min="3387" max="3387" width="10.5703125" bestFit="1" customWidth="1"/>
    <col min="3388" max="3388" width="16.140625" bestFit="1" customWidth="1"/>
    <col min="3389" max="3390" width="11.28515625" bestFit="1" customWidth="1"/>
    <col min="3391" max="3391" width="13.28515625" bestFit="1" customWidth="1"/>
    <col min="3392" max="3392" width="7.7109375" bestFit="1" customWidth="1"/>
    <col min="3393" max="3396" width="9.140625" hidden="1" customWidth="1"/>
    <col min="3397" max="3397" width="10.42578125" bestFit="1" customWidth="1"/>
    <col min="3398" max="3398" width="10.5703125" bestFit="1" customWidth="1"/>
    <col min="3399" max="3399" width="10.42578125" bestFit="1" customWidth="1"/>
    <col min="3400" max="3400" width="10.5703125" bestFit="1" customWidth="1"/>
    <col min="3401" max="3401" width="9.5703125" bestFit="1" customWidth="1"/>
    <col min="3402" max="3402" width="11.5703125" bestFit="1" customWidth="1"/>
    <col min="3403" max="3403" width="10.42578125" bestFit="1" customWidth="1"/>
    <col min="3404" max="3404" width="10.85546875" customWidth="1"/>
    <col min="3405" max="3406" width="9.85546875" bestFit="1" customWidth="1"/>
    <col min="3407" max="3407" width="13.5703125" bestFit="1" customWidth="1"/>
    <col min="3408" max="3408" width="7.7109375" bestFit="1" customWidth="1"/>
    <col min="3409" max="3409" width="13.28515625" bestFit="1" customWidth="1"/>
    <col min="3410" max="3410" width="11.5703125" bestFit="1" customWidth="1"/>
    <col min="3411" max="3411" width="10.42578125" bestFit="1" customWidth="1"/>
    <col min="3412" max="3412" width="7.7109375" bestFit="1" customWidth="1"/>
    <col min="3413" max="3413" width="11.5703125" bestFit="1" customWidth="1"/>
    <col min="3414" max="3414" width="10.85546875" bestFit="1" customWidth="1"/>
    <col min="3415" max="3415" width="13.28515625" bestFit="1" customWidth="1"/>
    <col min="3416" max="3416" width="10.85546875" bestFit="1" customWidth="1"/>
    <col min="3417" max="3418" width="7.5703125" bestFit="1" customWidth="1"/>
    <col min="3419" max="3420" width="10.42578125" bestFit="1" customWidth="1"/>
    <col min="3421" max="3421" width="11.5703125" bestFit="1" customWidth="1"/>
    <col min="3422" max="3422" width="5.28515625" bestFit="1" customWidth="1"/>
    <col min="3423" max="3423" width="10.28515625" bestFit="1" customWidth="1"/>
    <col min="3424" max="3424" width="10.42578125" bestFit="1" customWidth="1"/>
    <col min="3425" max="3425" width="11.5703125" bestFit="1" customWidth="1"/>
    <col min="3426" max="3426" width="5.28515625" bestFit="1" customWidth="1"/>
    <col min="3427" max="3429" width="11.5703125" bestFit="1" customWidth="1"/>
    <col min="3430" max="3430" width="5.28515625" bestFit="1" customWidth="1"/>
    <col min="3431" max="3432" width="10.42578125" bestFit="1" customWidth="1"/>
    <col min="3433" max="3433" width="11.5703125" bestFit="1" customWidth="1"/>
    <col min="3434" max="3434" width="5.28515625" bestFit="1" customWidth="1"/>
    <col min="3435" max="3435" width="14.28515625" bestFit="1" customWidth="1"/>
    <col min="3436" max="3436" width="13" bestFit="1" customWidth="1"/>
    <col min="3437" max="3437" width="11.5703125" bestFit="1" customWidth="1"/>
    <col min="3438" max="3438" width="8.85546875" bestFit="1" customWidth="1"/>
    <col min="3439" max="3439" width="14.42578125" bestFit="1" customWidth="1"/>
    <col min="3440" max="3440" width="10.42578125" bestFit="1" customWidth="1"/>
    <col min="3441" max="3441" width="12.28515625" bestFit="1" customWidth="1"/>
    <col min="3442" max="3442" width="13.85546875" bestFit="1" customWidth="1"/>
    <col min="3443" max="3443" width="11.28515625" customWidth="1"/>
    <col min="3444" max="3444" width="11.5703125" customWidth="1"/>
    <col min="3445" max="3445" width="13.42578125" bestFit="1" customWidth="1"/>
    <col min="3446" max="3446" width="10.42578125" customWidth="1"/>
    <col min="3447" max="3447" width="13.85546875" bestFit="1" customWidth="1"/>
    <col min="3448" max="3448" width="15.42578125" bestFit="1" customWidth="1"/>
    <col min="3449" max="3449" width="12.28515625" bestFit="1" customWidth="1"/>
    <col min="3450" max="3450" width="12.7109375" customWidth="1"/>
    <col min="3451" max="3451" width="10.7109375" bestFit="1" customWidth="1"/>
    <col min="3452" max="3452" width="9.85546875" customWidth="1"/>
    <col min="3453" max="3454" width="10.140625" bestFit="1" customWidth="1"/>
    <col min="3455" max="3455" width="7.5703125" bestFit="1" customWidth="1"/>
    <col min="3456" max="3456" width="9.42578125" bestFit="1" customWidth="1"/>
    <col min="3457" max="3457" width="14.5703125" bestFit="1" customWidth="1"/>
    <col min="3458" max="3458" width="14.85546875" customWidth="1"/>
    <col min="3459" max="3459" width="15.140625" bestFit="1" customWidth="1"/>
    <col min="3460" max="3460" width="12.140625" bestFit="1" customWidth="1"/>
    <col min="3461" max="3461" width="14.85546875" bestFit="1" customWidth="1"/>
    <col min="3462" max="3462" width="12.28515625" bestFit="1" customWidth="1"/>
    <col min="3463" max="3471" width="9.140625" hidden="1" customWidth="1"/>
    <col min="3472" max="3472" width="5.28515625" bestFit="1" customWidth="1"/>
    <col min="3473" max="3478" width="11.5703125" bestFit="1" customWidth="1"/>
    <col min="3479" max="3479" width="11.28515625" bestFit="1" customWidth="1"/>
    <col min="3480" max="3480" width="10.140625" bestFit="1" customWidth="1"/>
    <col min="3481" max="3481" width="11.5703125" bestFit="1" customWidth="1"/>
    <col min="3482" max="3482" width="16.140625" customWidth="1"/>
    <col min="3483" max="3483" width="13.42578125" customWidth="1"/>
    <col min="3484" max="3484" width="10.140625" bestFit="1" customWidth="1"/>
    <col min="3485" max="3485" width="12.85546875" bestFit="1" customWidth="1"/>
    <col min="3486" max="3486" width="12.28515625" bestFit="1" customWidth="1"/>
    <col min="3487" max="3487" width="11.28515625" bestFit="1" customWidth="1"/>
    <col min="3488" max="3488" width="11.5703125" bestFit="1" customWidth="1"/>
    <col min="3489" max="3489" width="10.85546875" bestFit="1" customWidth="1"/>
    <col min="3490" max="3490" width="11.28515625" bestFit="1" customWidth="1"/>
    <col min="3491" max="3491" width="10.140625" bestFit="1" customWidth="1"/>
    <col min="3492" max="3492" width="13.28515625" bestFit="1" customWidth="1"/>
    <col min="3493" max="3494" width="12.7109375" bestFit="1" customWidth="1"/>
    <col min="3495" max="3495" width="11" bestFit="1" customWidth="1"/>
    <col min="3496" max="3496" width="11.28515625" bestFit="1" customWidth="1"/>
    <col min="3497" max="3497" width="11.5703125" bestFit="1" customWidth="1"/>
    <col min="3498" max="3498" width="12.28515625" bestFit="1" customWidth="1"/>
    <col min="3499" max="3499" width="15.140625" bestFit="1" customWidth="1"/>
    <col min="3500" max="3500" width="14.42578125" bestFit="1" customWidth="1"/>
    <col min="3501" max="3501" width="12.28515625" bestFit="1" customWidth="1"/>
    <col min="3502" max="3502" width="15.140625" bestFit="1" customWidth="1"/>
    <col min="3503" max="3503" width="14.42578125" bestFit="1" customWidth="1"/>
    <col min="3504" max="3504" width="12.28515625" bestFit="1" customWidth="1"/>
    <col min="3505" max="3505" width="14.42578125" bestFit="1" customWidth="1"/>
    <col min="3506" max="3506" width="11.28515625" bestFit="1" customWidth="1"/>
    <col min="3507" max="3507" width="12.28515625" bestFit="1" customWidth="1"/>
    <col min="3508" max="3508" width="13" bestFit="1" customWidth="1"/>
    <col min="3509" max="3509" width="15.140625" bestFit="1" customWidth="1"/>
    <col min="3510" max="3510" width="12.28515625" bestFit="1" customWidth="1"/>
    <col min="3511" max="3511" width="13.85546875" bestFit="1" customWidth="1"/>
    <col min="3512" max="3512" width="11.28515625" bestFit="1" customWidth="1"/>
    <col min="3513" max="3513" width="12.28515625" bestFit="1" customWidth="1"/>
    <col min="3514" max="3514" width="13.85546875" bestFit="1" customWidth="1"/>
    <col min="3515" max="3516" width="15.140625" bestFit="1" customWidth="1"/>
    <col min="3517" max="3517" width="12.28515625" bestFit="1" customWidth="1"/>
    <col min="3518" max="3518" width="5.7109375" bestFit="1" customWidth="1"/>
    <col min="3519" max="3519" width="8.5703125" bestFit="1" customWidth="1"/>
    <col min="3520" max="3520" width="5.5703125" bestFit="1" customWidth="1"/>
    <col min="3521" max="3521" width="14.42578125" bestFit="1" customWidth="1"/>
    <col min="3522" max="3522" width="11.28515625" bestFit="1" customWidth="1"/>
    <col min="3523" max="3524" width="12.28515625" bestFit="1" customWidth="1"/>
    <col min="3525" max="3525" width="11.28515625" bestFit="1" customWidth="1"/>
    <col min="3526" max="3526" width="13.85546875" bestFit="1" customWidth="1"/>
    <col min="3527" max="3527" width="12" bestFit="1" customWidth="1"/>
    <col min="3528" max="3528" width="13.85546875" bestFit="1" customWidth="1"/>
    <col min="3529" max="3530" width="14.42578125" customWidth="1"/>
    <col min="3531" max="3531" width="10.140625" bestFit="1" customWidth="1"/>
    <col min="3532" max="3532" width="12.28515625" bestFit="1" customWidth="1"/>
    <col min="3533" max="3533" width="7.42578125" bestFit="1" customWidth="1"/>
    <col min="3534" max="3534" width="8.5703125" bestFit="1" customWidth="1"/>
    <col min="3535" max="3535" width="11.5703125" bestFit="1" customWidth="1"/>
    <col min="3536" max="3536" width="13.28515625" bestFit="1" customWidth="1"/>
    <col min="3537" max="3537" width="13.28515625" customWidth="1"/>
    <col min="3538" max="3538" width="13.140625" customWidth="1"/>
    <col min="3539" max="3539" width="12.7109375" bestFit="1" customWidth="1"/>
    <col min="3540" max="3540" width="13.28515625" bestFit="1" customWidth="1"/>
    <col min="3541" max="3543" width="13.28515625" customWidth="1"/>
    <col min="3544" max="3544" width="12.140625" bestFit="1" customWidth="1"/>
    <col min="3545" max="3545" width="12.7109375" bestFit="1" customWidth="1"/>
    <col min="3546" max="3546" width="11" customWidth="1"/>
    <col min="3547" max="3547" width="16.7109375" customWidth="1"/>
    <col min="3548" max="3548" width="17" customWidth="1"/>
    <col min="3549" max="3549" width="10.42578125" bestFit="1" customWidth="1"/>
    <col min="3593" max="3593" width="3.85546875" customWidth="1"/>
    <col min="3594" max="3594" width="15.28515625" bestFit="1" customWidth="1"/>
    <col min="3595" max="3595" width="12.28515625" customWidth="1"/>
    <col min="3596" max="3596" width="16.28515625" bestFit="1" customWidth="1"/>
    <col min="3597" max="3597" width="6.42578125" bestFit="1" customWidth="1"/>
    <col min="3598" max="3598" width="9.28515625" bestFit="1" customWidth="1"/>
    <col min="3599" max="3599" width="7.5703125" bestFit="1" customWidth="1"/>
    <col min="3600" max="3600" width="13.28515625" bestFit="1" customWidth="1"/>
    <col min="3601" max="3601" width="9.28515625" bestFit="1" customWidth="1"/>
    <col min="3602" max="3602" width="11.5703125" bestFit="1" customWidth="1"/>
    <col min="3603" max="3603" width="13.28515625" bestFit="1" customWidth="1"/>
    <col min="3604" max="3604" width="7.140625" bestFit="1" customWidth="1"/>
    <col min="3605" max="3605" width="12" bestFit="1" customWidth="1"/>
    <col min="3606" max="3606" width="13.28515625" bestFit="1" customWidth="1"/>
    <col min="3607" max="3607" width="7" bestFit="1" customWidth="1"/>
    <col min="3608" max="3608" width="12.7109375" bestFit="1" customWidth="1"/>
    <col min="3609" max="3609" width="11.5703125" bestFit="1" customWidth="1"/>
    <col min="3610" max="3610" width="10.5703125" bestFit="1" customWidth="1"/>
    <col min="3611" max="3612" width="15.7109375" bestFit="1" customWidth="1"/>
    <col min="3613" max="3613" width="11.5703125" bestFit="1" customWidth="1"/>
    <col min="3614" max="3614" width="7.7109375" bestFit="1" customWidth="1"/>
    <col min="3615" max="3615" width="15.140625" bestFit="1" customWidth="1"/>
    <col min="3616" max="3616" width="11.5703125" bestFit="1" customWidth="1"/>
    <col min="3617" max="3617" width="13.28515625" bestFit="1" customWidth="1"/>
    <col min="3618" max="3618" width="10.42578125" bestFit="1" customWidth="1"/>
    <col min="3619" max="3619" width="13.28515625" bestFit="1" customWidth="1"/>
    <col min="3620" max="3620" width="12.140625" bestFit="1" customWidth="1"/>
    <col min="3621" max="3621" width="14.42578125" bestFit="1" customWidth="1"/>
    <col min="3622" max="3622" width="13.28515625" bestFit="1" customWidth="1"/>
    <col min="3623" max="3623" width="11.5703125" bestFit="1" customWidth="1"/>
    <col min="3624" max="3624" width="7.7109375" bestFit="1" customWidth="1"/>
    <col min="3625" max="3626" width="14.42578125" bestFit="1" customWidth="1"/>
    <col min="3627" max="3627" width="11.5703125" bestFit="1" customWidth="1"/>
    <col min="3628" max="3628" width="7.7109375" bestFit="1" customWidth="1"/>
    <col min="3629" max="3629" width="13.5703125" customWidth="1"/>
    <col min="3630" max="3630" width="15.28515625" customWidth="1"/>
    <col min="3631" max="3631" width="14.5703125" customWidth="1"/>
    <col min="3632" max="3632" width="13.28515625" bestFit="1" customWidth="1"/>
    <col min="3633" max="3633" width="7.7109375" bestFit="1" customWidth="1"/>
    <col min="3634" max="3634" width="12.7109375" bestFit="1" customWidth="1"/>
    <col min="3635" max="3635" width="11.7109375" bestFit="1" customWidth="1"/>
    <col min="3636" max="3636" width="11.5703125" bestFit="1" customWidth="1"/>
    <col min="3637" max="3637" width="5.28515625" bestFit="1" customWidth="1"/>
    <col min="3638" max="3638" width="13.28515625" bestFit="1" customWidth="1"/>
    <col min="3639" max="3639" width="13.5703125" bestFit="1" customWidth="1"/>
    <col min="3640" max="3640" width="10.5703125" bestFit="1" customWidth="1"/>
    <col min="3641" max="3641" width="13.28515625" bestFit="1" customWidth="1"/>
    <col min="3642" max="3642" width="11.5703125" bestFit="1" customWidth="1"/>
    <col min="3643" max="3643" width="10.5703125" bestFit="1" customWidth="1"/>
    <col min="3644" max="3644" width="16.140625" bestFit="1" customWidth="1"/>
    <col min="3645" max="3646" width="11.28515625" bestFit="1" customWidth="1"/>
    <col min="3647" max="3647" width="13.28515625" bestFit="1" customWidth="1"/>
    <col min="3648" max="3648" width="7.7109375" bestFit="1" customWidth="1"/>
    <col min="3649" max="3652" width="9.140625" hidden="1" customWidth="1"/>
    <col min="3653" max="3653" width="10.42578125" bestFit="1" customWidth="1"/>
    <col min="3654" max="3654" width="10.5703125" bestFit="1" customWidth="1"/>
    <col min="3655" max="3655" width="10.42578125" bestFit="1" customWidth="1"/>
    <col min="3656" max="3656" width="10.5703125" bestFit="1" customWidth="1"/>
    <col min="3657" max="3657" width="9.5703125" bestFit="1" customWidth="1"/>
    <col min="3658" max="3658" width="11.5703125" bestFit="1" customWidth="1"/>
    <col min="3659" max="3659" width="10.42578125" bestFit="1" customWidth="1"/>
    <col min="3660" max="3660" width="10.85546875" customWidth="1"/>
    <col min="3661" max="3662" width="9.85546875" bestFit="1" customWidth="1"/>
    <col min="3663" max="3663" width="13.5703125" bestFit="1" customWidth="1"/>
    <col min="3664" max="3664" width="7.7109375" bestFit="1" customWidth="1"/>
    <col min="3665" max="3665" width="13.28515625" bestFit="1" customWidth="1"/>
    <col min="3666" max="3666" width="11.5703125" bestFit="1" customWidth="1"/>
    <col min="3667" max="3667" width="10.42578125" bestFit="1" customWidth="1"/>
    <col min="3668" max="3668" width="7.7109375" bestFit="1" customWidth="1"/>
    <col min="3669" max="3669" width="11.5703125" bestFit="1" customWidth="1"/>
    <col min="3670" max="3670" width="10.85546875" bestFit="1" customWidth="1"/>
    <col min="3671" max="3671" width="13.28515625" bestFit="1" customWidth="1"/>
    <col min="3672" max="3672" width="10.85546875" bestFit="1" customWidth="1"/>
    <col min="3673" max="3674" width="7.5703125" bestFit="1" customWidth="1"/>
    <col min="3675" max="3676" width="10.42578125" bestFit="1" customWidth="1"/>
    <col min="3677" max="3677" width="11.5703125" bestFit="1" customWidth="1"/>
    <col min="3678" max="3678" width="5.28515625" bestFit="1" customWidth="1"/>
    <col min="3679" max="3679" width="10.28515625" bestFit="1" customWidth="1"/>
    <col min="3680" max="3680" width="10.42578125" bestFit="1" customWidth="1"/>
    <col min="3681" max="3681" width="11.5703125" bestFit="1" customWidth="1"/>
    <col min="3682" max="3682" width="5.28515625" bestFit="1" customWidth="1"/>
    <col min="3683" max="3685" width="11.5703125" bestFit="1" customWidth="1"/>
    <col min="3686" max="3686" width="5.28515625" bestFit="1" customWidth="1"/>
    <col min="3687" max="3688" width="10.42578125" bestFit="1" customWidth="1"/>
    <col min="3689" max="3689" width="11.5703125" bestFit="1" customWidth="1"/>
    <col min="3690" max="3690" width="5.28515625" bestFit="1" customWidth="1"/>
    <col min="3691" max="3691" width="14.28515625" bestFit="1" customWidth="1"/>
    <col min="3692" max="3692" width="13" bestFit="1" customWidth="1"/>
    <col min="3693" max="3693" width="11.5703125" bestFit="1" customWidth="1"/>
    <col min="3694" max="3694" width="8.85546875" bestFit="1" customWidth="1"/>
    <col min="3695" max="3695" width="14.42578125" bestFit="1" customWidth="1"/>
    <col min="3696" max="3696" width="10.42578125" bestFit="1" customWidth="1"/>
    <col min="3697" max="3697" width="12.28515625" bestFit="1" customWidth="1"/>
    <col min="3698" max="3698" width="13.85546875" bestFit="1" customWidth="1"/>
    <col min="3699" max="3699" width="11.28515625" customWidth="1"/>
    <col min="3700" max="3700" width="11.5703125" customWidth="1"/>
    <col min="3701" max="3701" width="13.42578125" bestFit="1" customWidth="1"/>
    <col min="3702" max="3702" width="10.42578125" customWidth="1"/>
    <col min="3703" max="3703" width="13.85546875" bestFit="1" customWidth="1"/>
    <col min="3704" max="3704" width="15.42578125" bestFit="1" customWidth="1"/>
    <col min="3705" max="3705" width="12.28515625" bestFit="1" customWidth="1"/>
    <col min="3706" max="3706" width="12.7109375" customWidth="1"/>
    <col min="3707" max="3707" width="10.7109375" bestFit="1" customWidth="1"/>
    <col min="3708" max="3708" width="9.85546875" customWidth="1"/>
    <col min="3709" max="3710" width="10.140625" bestFit="1" customWidth="1"/>
    <col min="3711" max="3711" width="7.5703125" bestFit="1" customWidth="1"/>
    <col min="3712" max="3712" width="9.42578125" bestFit="1" customWidth="1"/>
    <col min="3713" max="3713" width="14.5703125" bestFit="1" customWidth="1"/>
    <col min="3714" max="3714" width="14.85546875" customWidth="1"/>
    <col min="3715" max="3715" width="15.140625" bestFit="1" customWidth="1"/>
    <col min="3716" max="3716" width="12.140625" bestFit="1" customWidth="1"/>
    <col min="3717" max="3717" width="14.85546875" bestFit="1" customWidth="1"/>
    <col min="3718" max="3718" width="12.28515625" bestFit="1" customWidth="1"/>
    <col min="3719" max="3727" width="9.140625" hidden="1" customWidth="1"/>
    <col min="3728" max="3728" width="5.28515625" bestFit="1" customWidth="1"/>
    <col min="3729" max="3734" width="11.5703125" bestFit="1" customWidth="1"/>
    <col min="3735" max="3735" width="11.28515625" bestFit="1" customWidth="1"/>
    <col min="3736" max="3736" width="10.140625" bestFit="1" customWidth="1"/>
    <col min="3737" max="3737" width="11.5703125" bestFit="1" customWidth="1"/>
    <col min="3738" max="3738" width="16.140625" customWidth="1"/>
    <col min="3739" max="3739" width="13.42578125" customWidth="1"/>
    <col min="3740" max="3740" width="10.140625" bestFit="1" customWidth="1"/>
    <col min="3741" max="3741" width="12.85546875" bestFit="1" customWidth="1"/>
    <col min="3742" max="3742" width="12.28515625" bestFit="1" customWidth="1"/>
    <col min="3743" max="3743" width="11.28515625" bestFit="1" customWidth="1"/>
    <col min="3744" max="3744" width="11.5703125" bestFit="1" customWidth="1"/>
    <col min="3745" max="3745" width="10.85546875" bestFit="1" customWidth="1"/>
    <col min="3746" max="3746" width="11.28515625" bestFit="1" customWidth="1"/>
    <col min="3747" max="3747" width="10.140625" bestFit="1" customWidth="1"/>
    <col min="3748" max="3748" width="13.28515625" bestFit="1" customWidth="1"/>
    <col min="3749" max="3750" width="12.7109375" bestFit="1" customWidth="1"/>
    <col min="3751" max="3751" width="11" bestFit="1" customWidth="1"/>
    <col min="3752" max="3752" width="11.28515625" bestFit="1" customWidth="1"/>
    <col min="3753" max="3753" width="11.5703125" bestFit="1" customWidth="1"/>
    <col min="3754" max="3754" width="12.28515625" bestFit="1" customWidth="1"/>
    <col min="3755" max="3755" width="15.140625" bestFit="1" customWidth="1"/>
    <col min="3756" max="3756" width="14.42578125" bestFit="1" customWidth="1"/>
    <col min="3757" max="3757" width="12.28515625" bestFit="1" customWidth="1"/>
    <col min="3758" max="3758" width="15.140625" bestFit="1" customWidth="1"/>
    <col min="3759" max="3759" width="14.42578125" bestFit="1" customWidth="1"/>
    <col min="3760" max="3760" width="12.28515625" bestFit="1" customWidth="1"/>
    <col min="3761" max="3761" width="14.42578125" bestFit="1" customWidth="1"/>
    <col min="3762" max="3762" width="11.28515625" bestFit="1" customWidth="1"/>
    <col min="3763" max="3763" width="12.28515625" bestFit="1" customWidth="1"/>
    <col min="3764" max="3764" width="13" bestFit="1" customWidth="1"/>
    <col min="3765" max="3765" width="15.140625" bestFit="1" customWidth="1"/>
    <col min="3766" max="3766" width="12.28515625" bestFit="1" customWidth="1"/>
    <col min="3767" max="3767" width="13.85546875" bestFit="1" customWidth="1"/>
    <col min="3768" max="3768" width="11.28515625" bestFit="1" customWidth="1"/>
    <col min="3769" max="3769" width="12.28515625" bestFit="1" customWidth="1"/>
    <col min="3770" max="3770" width="13.85546875" bestFit="1" customWidth="1"/>
    <col min="3771" max="3772" width="15.140625" bestFit="1" customWidth="1"/>
    <col min="3773" max="3773" width="12.28515625" bestFit="1" customWidth="1"/>
    <col min="3774" max="3774" width="5.7109375" bestFit="1" customWidth="1"/>
    <col min="3775" max="3775" width="8.5703125" bestFit="1" customWidth="1"/>
    <col min="3776" max="3776" width="5.5703125" bestFit="1" customWidth="1"/>
    <col min="3777" max="3777" width="14.42578125" bestFit="1" customWidth="1"/>
    <col min="3778" max="3778" width="11.28515625" bestFit="1" customWidth="1"/>
    <col min="3779" max="3780" width="12.28515625" bestFit="1" customWidth="1"/>
    <col min="3781" max="3781" width="11.28515625" bestFit="1" customWidth="1"/>
    <col min="3782" max="3782" width="13.85546875" bestFit="1" customWidth="1"/>
    <col min="3783" max="3783" width="12" bestFit="1" customWidth="1"/>
    <col min="3784" max="3784" width="13.85546875" bestFit="1" customWidth="1"/>
    <col min="3785" max="3786" width="14.42578125" customWidth="1"/>
    <col min="3787" max="3787" width="10.140625" bestFit="1" customWidth="1"/>
    <col min="3788" max="3788" width="12.28515625" bestFit="1" customWidth="1"/>
    <col min="3789" max="3789" width="7.42578125" bestFit="1" customWidth="1"/>
    <col min="3790" max="3790" width="8.5703125" bestFit="1" customWidth="1"/>
    <col min="3791" max="3791" width="11.5703125" bestFit="1" customWidth="1"/>
    <col min="3792" max="3792" width="13.28515625" bestFit="1" customWidth="1"/>
    <col min="3793" max="3793" width="13.28515625" customWidth="1"/>
    <col min="3794" max="3794" width="13.140625" customWidth="1"/>
    <col min="3795" max="3795" width="12.7109375" bestFit="1" customWidth="1"/>
    <col min="3796" max="3796" width="13.28515625" bestFit="1" customWidth="1"/>
    <col min="3797" max="3799" width="13.28515625" customWidth="1"/>
    <col min="3800" max="3800" width="12.140625" bestFit="1" customWidth="1"/>
    <col min="3801" max="3801" width="12.7109375" bestFit="1" customWidth="1"/>
    <col min="3802" max="3802" width="11" customWidth="1"/>
    <col min="3803" max="3803" width="16.7109375" customWidth="1"/>
    <col min="3804" max="3804" width="17" customWidth="1"/>
    <col min="3805" max="3805" width="10.42578125" bestFit="1" customWidth="1"/>
    <col min="3849" max="3849" width="3.85546875" customWidth="1"/>
    <col min="3850" max="3850" width="15.28515625" bestFit="1" customWidth="1"/>
    <col min="3851" max="3851" width="12.28515625" customWidth="1"/>
    <col min="3852" max="3852" width="16.28515625" bestFit="1" customWidth="1"/>
    <col min="3853" max="3853" width="6.42578125" bestFit="1" customWidth="1"/>
    <col min="3854" max="3854" width="9.28515625" bestFit="1" customWidth="1"/>
    <col min="3855" max="3855" width="7.5703125" bestFit="1" customWidth="1"/>
    <col min="3856" max="3856" width="13.28515625" bestFit="1" customWidth="1"/>
    <col min="3857" max="3857" width="9.28515625" bestFit="1" customWidth="1"/>
    <col min="3858" max="3858" width="11.5703125" bestFit="1" customWidth="1"/>
    <col min="3859" max="3859" width="13.28515625" bestFit="1" customWidth="1"/>
    <col min="3860" max="3860" width="7.140625" bestFit="1" customWidth="1"/>
    <col min="3861" max="3861" width="12" bestFit="1" customWidth="1"/>
    <col min="3862" max="3862" width="13.28515625" bestFit="1" customWidth="1"/>
    <col min="3863" max="3863" width="7" bestFit="1" customWidth="1"/>
    <col min="3864" max="3864" width="12.7109375" bestFit="1" customWidth="1"/>
    <col min="3865" max="3865" width="11.5703125" bestFit="1" customWidth="1"/>
    <col min="3866" max="3866" width="10.5703125" bestFit="1" customWidth="1"/>
    <col min="3867" max="3868" width="15.7109375" bestFit="1" customWidth="1"/>
    <col min="3869" max="3869" width="11.5703125" bestFit="1" customWidth="1"/>
    <col min="3870" max="3870" width="7.7109375" bestFit="1" customWidth="1"/>
    <col min="3871" max="3871" width="15.140625" bestFit="1" customWidth="1"/>
    <col min="3872" max="3872" width="11.5703125" bestFit="1" customWidth="1"/>
    <col min="3873" max="3873" width="13.28515625" bestFit="1" customWidth="1"/>
    <col min="3874" max="3874" width="10.42578125" bestFit="1" customWidth="1"/>
    <col min="3875" max="3875" width="13.28515625" bestFit="1" customWidth="1"/>
    <col min="3876" max="3876" width="12.140625" bestFit="1" customWidth="1"/>
    <col min="3877" max="3877" width="14.42578125" bestFit="1" customWidth="1"/>
    <col min="3878" max="3878" width="13.28515625" bestFit="1" customWidth="1"/>
    <col min="3879" max="3879" width="11.5703125" bestFit="1" customWidth="1"/>
    <col min="3880" max="3880" width="7.7109375" bestFit="1" customWidth="1"/>
    <col min="3881" max="3882" width="14.42578125" bestFit="1" customWidth="1"/>
    <col min="3883" max="3883" width="11.5703125" bestFit="1" customWidth="1"/>
    <col min="3884" max="3884" width="7.7109375" bestFit="1" customWidth="1"/>
    <col min="3885" max="3885" width="13.5703125" customWidth="1"/>
    <col min="3886" max="3886" width="15.28515625" customWidth="1"/>
    <col min="3887" max="3887" width="14.5703125" customWidth="1"/>
    <col min="3888" max="3888" width="13.28515625" bestFit="1" customWidth="1"/>
    <col min="3889" max="3889" width="7.7109375" bestFit="1" customWidth="1"/>
    <col min="3890" max="3890" width="12.7109375" bestFit="1" customWidth="1"/>
    <col min="3891" max="3891" width="11.7109375" bestFit="1" customWidth="1"/>
    <col min="3892" max="3892" width="11.5703125" bestFit="1" customWidth="1"/>
    <col min="3893" max="3893" width="5.28515625" bestFit="1" customWidth="1"/>
    <col min="3894" max="3894" width="13.28515625" bestFit="1" customWidth="1"/>
    <col min="3895" max="3895" width="13.5703125" bestFit="1" customWidth="1"/>
    <col min="3896" max="3896" width="10.5703125" bestFit="1" customWidth="1"/>
    <col min="3897" max="3897" width="13.28515625" bestFit="1" customWidth="1"/>
    <col min="3898" max="3898" width="11.5703125" bestFit="1" customWidth="1"/>
    <col min="3899" max="3899" width="10.5703125" bestFit="1" customWidth="1"/>
    <col min="3900" max="3900" width="16.140625" bestFit="1" customWidth="1"/>
    <col min="3901" max="3902" width="11.28515625" bestFit="1" customWidth="1"/>
    <col min="3903" max="3903" width="13.28515625" bestFit="1" customWidth="1"/>
    <col min="3904" max="3904" width="7.7109375" bestFit="1" customWidth="1"/>
    <col min="3905" max="3908" width="9.140625" hidden="1" customWidth="1"/>
    <col min="3909" max="3909" width="10.42578125" bestFit="1" customWidth="1"/>
    <col min="3910" max="3910" width="10.5703125" bestFit="1" customWidth="1"/>
    <col min="3911" max="3911" width="10.42578125" bestFit="1" customWidth="1"/>
    <col min="3912" max="3912" width="10.5703125" bestFit="1" customWidth="1"/>
    <col min="3913" max="3913" width="9.5703125" bestFit="1" customWidth="1"/>
    <col min="3914" max="3914" width="11.5703125" bestFit="1" customWidth="1"/>
    <col min="3915" max="3915" width="10.42578125" bestFit="1" customWidth="1"/>
    <col min="3916" max="3916" width="10.85546875" customWidth="1"/>
    <col min="3917" max="3918" width="9.85546875" bestFit="1" customWidth="1"/>
    <col min="3919" max="3919" width="13.5703125" bestFit="1" customWidth="1"/>
    <col min="3920" max="3920" width="7.7109375" bestFit="1" customWidth="1"/>
    <col min="3921" max="3921" width="13.28515625" bestFit="1" customWidth="1"/>
    <col min="3922" max="3922" width="11.5703125" bestFit="1" customWidth="1"/>
    <col min="3923" max="3923" width="10.42578125" bestFit="1" customWidth="1"/>
    <col min="3924" max="3924" width="7.7109375" bestFit="1" customWidth="1"/>
    <col min="3925" max="3925" width="11.5703125" bestFit="1" customWidth="1"/>
    <col min="3926" max="3926" width="10.85546875" bestFit="1" customWidth="1"/>
    <col min="3927" max="3927" width="13.28515625" bestFit="1" customWidth="1"/>
    <col min="3928" max="3928" width="10.85546875" bestFit="1" customWidth="1"/>
    <col min="3929" max="3930" width="7.5703125" bestFit="1" customWidth="1"/>
    <col min="3931" max="3932" width="10.42578125" bestFit="1" customWidth="1"/>
    <col min="3933" max="3933" width="11.5703125" bestFit="1" customWidth="1"/>
    <col min="3934" max="3934" width="5.28515625" bestFit="1" customWidth="1"/>
    <col min="3935" max="3935" width="10.28515625" bestFit="1" customWidth="1"/>
    <col min="3936" max="3936" width="10.42578125" bestFit="1" customWidth="1"/>
    <col min="3937" max="3937" width="11.5703125" bestFit="1" customWidth="1"/>
    <col min="3938" max="3938" width="5.28515625" bestFit="1" customWidth="1"/>
    <col min="3939" max="3941" width="11.5703125" bestFit="1" customWidth="1"/>
    <col min="3942" max="3942" width="5.28515625" bestFit="1" customWidth="1"/>
    <col min="3943" max="3944" width="10.42578125" bestFit="1" customWidth="1"/>
    <col min="3945" max="3945" width="11.5703125" bestFit="1" customWidth="1"/>
    <col min="3946" max="3946" width="5.28515625" bestFit="1" customWidth="1"/>
    <col min="3947" max="3947" width="14.28515625" bestFit="1" customWidth="1"/>
    <col min="3948" max="3948" width="13" bestFit="1" customWidth="1"/>
    <col min="3949" max="3949" width="11.5703125" bestFit="1" customWidth="1"/>
    <col min="3950" max="3950" width="8.85546875" bestFit="1" customWidth="1"/>
    <col min="3951" max="3951" width="14.42578125" bestFit="1" customWidth="1"/>
    <col min="3952" max="3952" width="10.42578125" bestFit="1" customWidth="1"/>
    <col min="3953" max="3953" width="12.28515625" bestFit="1" customWidth="1"/>
    <col min="3954" max="3954" width="13.85546875" bestFit="1" customWidth="1"/>
    <col min="3955" max="3955" width="11.28515625" customWidth="1"/>
    <col min="3956" max="3956" width="11.5703125" customWidth="1"/>
    <col min="3957" max="3957" width="13.42578125" bestFit="1" customWidth="1"/>
    <col min="3958" max="3958" width="10.42578125" customWidth="1"/>
    <col min="3959" max="3959" width="13.85546875" bestFit="1" customWidth="1"/>
    <col min="3960" max="3960" width="15.42578125" bestFit="1" customWidth="1"/>
    <col min="3961" max="3961" width="12.28515625" bestFit="1" customWidth="1"/>
    <col min="3962" max="3962" width="12.7109375" customWidth="1"/>
    <col min="3963" max="3963" width="10.7109375" bestFit="1" customWidth="1"/>
    <col min="3964" max="3964" width="9.85546875" customWidth="1"/>
    <col min="3965" max="3966" width="10.140625" bestFit="1" customWidth="1"/>
    <col min="3967" max="3967" width="7.5703125" bestFit="1" customWidth="1"/>
    <col min="3968" max="3968" width="9.42578125" bestFit="1" customWidth="1"/>
    <col min="3969" max="3969" width="14.5703125" bestFit="1" customWidth="1"/>
    <col min="3970" max="3970" width="14.85546875" customWidth="1"/>
    <col min="3971" max="3971" width="15.140625" bestFit="1" customWidth="1"/>
    <col min="3972" max="3972" width="12.140625" bestFit="1" customWidth="1"/>
    <col min="3973" max="3973" width="14.85546875" bestFit="1" customWidth="1"/>
    <col min="3974" max="3974" width="12.28515625" bestFit="1" customWidth="1"/>
    <col min="3975" max="3983" width="9.140625" hidden="1" customWidth="1"/>
    <col min="3984" max="3984" width="5.28515625" bestFit="1" customWidth="1"/>
    <col min="3985" max="3990" width="11.5703125" bestFit="1" customWidth="1"/>
    <col min="3991" max="3991" width="11.28515625" bestFit="1" customWidth="1"/>
    <col min="3992" max="3992" width="10.140625" bestFit="1" customWidth="1"/>
    <col min="3993" max="3993" width="11.5703125" bestFit="1" customWidth="1"/>
    <col min="3994" max="3994" width="16.140625" customWidth="1"/>
    <col min="3995" max="3995" width="13.42578125" customWidth="1"/>
    <col min="3996" max="3996" width="10.140625" bestFit="1" customWidth="1"/>
    <col min="3997" max="3997" width="12.85546875" bestFit="1" customWidth="1"/>
    <col min="3998" max="3998" width="12.28515625" bestFit="1" customWidth="1"/>
    <col min="3999" max="3999" width="11.28515625" bestFit="1" customWidth="1"/>
    <col min="4000" max="4000" width="11.5703125" bestFit="1" customWidth="1"/>
    <col min="4001" max="4001" width="10.85546875" bestFit="1" customWidth="1"/>
    <col min="4002" max="4002" width="11.28515625" bestFit="1" customWidth="1"/>
    <col min="4003" max="4003" width="10.140625" bestFit="1" customWidth="1"/>
    <col min="4004" max="4004" width="13.28515625" bestFit="1" customWidth="1"/>
    <col min="4005" max="4006" width="12.7109375" bestFit="1" customWidth="1"/>
    <col min="4007" max="4007" width="11" bestFit="1" customWidth="1"/>
    <col min="4008" max="4008" width="11.28515625" bestFit="1" customWidth="1"/>
    <col min="4009" max="4009" width="11.5703125" bestFit="1" customWidth="1"/>
    <col min="4010" max="4010" width="12.28515625" bestFit="1" customWidth="1"/>
    <col min="4011" max="4011" width="15.140625" bestFit="1" customWidth="1"/>
    <col min="4012" max="4012" width="14.42578125" bestFit="1" customWidth="1"/>
    <col min="4013" max="4013" width="12.28515625" bestFit="1" customWidth="1"/>
    <col min="4014" max="4014" width="15.140625" bestFit="1" customWidth="1"/>
    <col min="4015" max="4015" width="14.42578125" bestFit="1" customWidth="1"/>
    <col min="4016" max="4016" width="12.28515625" bestFit="1" customWidth="1"/>
    <col min="4017" max="4017" width="14.42578125" bestFit="1" customWidth="1"/>
    <col min="4018" max="4018" width="11.28515625" bestFit="1" customWidth="1"/>
    <col min="4019" max="4019" width="12.28515625" bestFit="1" customWidth="1"/>
    <col min="4020" max="4020" width="13" bestFit="1" customWidth="1"/>
    <col min="4021" max="4021" width="15.140625" bestFit="1" customWidth="1"/>
    <col min="4022" max="4022" width="12.28515625" bestFit="1" customWidth="1"/>
    <col min="4023" max="4023" width="13.85546875" bestFit="1" customWidth="1"/>
    <col min="4024" max="4024" width="11.28515625" bestFit="1" customWidth="1"/>
    <col min="4025" max="4025" width="12.28515625" bestFit="1" customWidth="1"/>
    <col min="4026" max="4026" width="13.85546875" bestFit="1" customWidth="1"/>
    <col min="4027" max="4028" width="15.140625" bestFit="1" customWidth="1"/>
    <col min="4029" max="4029" width="12.28515625" bestFit="1" customWidth="1"/>
    <col min="4030" max="4030" width="5.7109375" bestFit="1" customWidth="1"/>
    <col min="4031" max="4031" width="8.5703125" bestFit="1" customWidth="1"/>
    <col min="4032" max="4032" width="5.5703125" bestFit="1" customWidth="1"/>
    <col min="4033" max="4033" width="14.42578125" bestFit="1" customWidth="1"/>
    <col min="4034" max="4034" width="11.28515625" bestFit="1" customWidth="1"/>
    <col min="4035" max="4036" width="12.28515625" bestFit="1" customWidth="1"/>
    <col min="4037" max="4037" width="11.28515625" bestFit="1" customWidth="1"/>
    <col min="4038" max="4038" width="13.85546875" bestFit="1" customWidth="1"/>
    <col min="4039" max="4039" width="12" bestFit="1" customWidth="1"/>
    <col min="4040" max="4040" width="13.85546875" bestFit="1" customWidth="1"/>
    <col min="4041" max="4042" width="14.42578125" customWidth="1"/>
    <col min="4043" max="4043" width="10.140625" bestFit="1" customWidth="1"/>
    <col min="4044" max="4044" width="12.28515625" bestFit="1" customWidth="1"/>
    <col min="4045" max="4045" width="7.42578125" bestFit="1" customWidth="1"/>
    <col min="4046" max="4046" width="8.5703125" bestFit="1" customWidth="1"/>
    <col min="4047" max="4047" width="11.5703125" bestFit="1" customWidth="1"/>
    <col min="4048" max="4048" width="13.28515625" bestFit="1" customWidth="1"/>
    <col min="4049" max="4049" width="13.28515625" customWidth="1"/>
    <col min="4050" max="4050" width="13.140625" customWidth="1"/>
    <col min="4051" max="4051" width="12.7109375" bestFit="1" customWidth="1"/>
    <col min="4052" max="4052" width="13.28515625" bestFit="1" customWidth="1"/>
    <col min="4053" max="4055" width="13.28515625" customWidth="1"/>
    <col min="4056" max="4056" width="12.140625" bestFit="1" customWidth="1"/>
    <col min="4057" max="4057" width="12.7109375" bestFit="1" customWidth="1"/>
    <col min="4058" max="4058" width="11" customWidth="1"/>
    <col min="4059" max="4059" width="16.7109375" customWidth="1"/>
    <col min="4060" max="4060" width="17" customWidth="1"/>
    <col min="4061" max="4061" width="10.42578125" bestFit="1" customWidth="1"/>
    <col min="4105" max="4105" width="3.85546875" customWidth="1"/>
    <col min="4106" max="4106" width="15.28515625" bestFit="1" customWidth="1"/>
    <col min="4107" max="4107" width="12.28515625" customWidth="1"/>
    <col min="4108" max="4108" width="16.28515625" bestFit="1" customWidth="1"/>
    <col min="4109" max="4109" width="6.42578125" bestFit="1" customWidth="1"/>
    <col min="4110" max="4110" width="9.28515625" bestFit="1" customWidth="1"/>
    <col min="4111" max="4111" width="7.5703125" bestFit="1" customWidth="1"/>
    <col min="4112" max="4112" width="13.28515625" bestFit="1" customWidth="1"/>
    <col min="4113" max="4113" width="9.28515625" bestFit="1" customWidth="1"/>
    <col min="4114" max="4114" width="11.5703125" bestFit="1" customWidth="1"/>
    <col min="4115" max="4115" width="13.28515625" bestFit="1" customWidth="1"/>
    <col min="4116" max="4116" width="7.140625" bestFit="1" customWidth="1"/>
    <col min="4117" max="4117" width="12" bestFit="1" customWidth="1"/>
    <col min="4118" max="4118" width="13.28515625" bestFit="1" customWidth="1"/>
    <col min="4119" max="4119" width="7" bestFit="1" customWidth="1"/>
    <col min="4120" max="4120" width="12.7109375" bestFit="1" customWidth="1"/>
    <col min="4121" max="4121" width="11.5703125" bestFit="1" customWidth="1"/>
    <col min="4122" max="4122" width="10.5703125" bestFit="1" customWidth="1"/>
    <col min="4123" max="4124" width="15.7109375" bestFit="1" customWidth="1"/>
    <col min="4125" max="4125" width="11.5703125" bestFit="1" customWidth="1"/>
    <col min="4126" max="4126" width="7.7109375" bestFit="1" customWidth="1"/>
    <col min="4127" max="4127" width="15.140625" bestFit="1" customWidth="1"/>
    <col min="4128" max="4128" width="11.5703125" bestFit="1" customWidth="1"/>
    <col min="4129" max="4129" width="13.28515625" bestFit="1" customWidth="1"/>
    <col min="4130" max="4130" width="10.42578125" bestFit="1" customWidth="1"/>
    <col min="4131" max="4131" width="13.28515625" bestFit="1" customWidth="1"/>
    <col min="4132" max="4132" width="12.140625" bestFit="1" customWidth="1"/>
    <col min="4133" max="4133" width="14.42578125" bestFit="1" customWidth="1"/>
    <col min="4134" max="4134" width="13.28515625" bestFit="1" customWidth="1"/>
    <col min="4135" max="4135" width="11.5703125" bestFit="1" customWidth="1"/>
    <col min="4136" max="4136" width="7.7109375" bestFit="1" customWidth="1"/>
    <col min="4137" max="4138" width="14.42578125" bestFit="1" customWidth="1"/>
    <col min="4139" max="4139" width="11.5703125" bestFit="1" customWidth="1"/>
    <col min="4140" max="4140" width="7.7109375" bestFit="1" customWidth="1"/>
    <col min="4141" max="4141" width="13.5703125" customWidth="1"/>
    <col min="4142" max="4142" width="15.28515625" customWidth="1"/>
    <col min="4143" max="4143" width="14.5703125" customWidth="1"/>
    <col min="4144" max="4144" width="13.28515625" bestFit="1" customWidth="1"/>
    <col min="4145" max="4145" width="7.7109375" bestFit="1" customWidth="1"/>
    <col min="4146" max="4146" width="12.7109375" bestFit="1" customWidth="1"/>
    <col min="4147" max="4147" width="11.7109375" bestFit="1" customWidth="1"/>
    <col min="4148" max="4148" width="11.5703125" bestFit="1" customWidth="1"/>
    <col min="4149" max="4149" width="5.28515625" bestFit="1" customWidth="1"/>
    <col min="4150" max="4150" width="13.28515625" bestFit="1" customWidth="1"/>
    <col min="4151" max="4151" width="13.5703125" bestFit="1" customWidth="1"/>
    <col min="4152" max="4152" width="10.5703125" bestFit="1" customWidth="1"/>
    <col min="4153" max="4153" width="13.28515625" bestFit="1" customWidth="1"/>
    <col min="4154" max="4154" width="11.5703125" bestFit="1" customWidth="1"/>
    <col min="4155" max="4155" width="10.5703125" bestFit="1" customWidth="1"/>
    <col min="4156" max="4156" width="16.140625" bestFit="1" customWidth="1"/>
    <col min="4157" max="4158" width="11.28515625" bestFit="1" customWidth="1"/>
    <col min="4159" max="4159" width="13.28515625" bestFit="1" customWidth="1"/>
    <col min="4160" max="4160" width="7.7109375" bestFit="1" customWidth="1"/>
    <col min="4161" max="4164" width="9.140625" hidden="1" customWidth="1"/>
    <col min="4165" max="4165" width="10.42578125" bestFit="1" customWidth="1"/>
    <col min="4166" max="4166" width="10.5703125" bestFit="1" customWidth="1"/>
    <col min="4167" max="4167" width="10.42578125" bestFit="1" customWidth="1"/>
    <col min="4168" max="4168" width="10.5703125" bestFit="1" customWidth="1"/>
    <col min="4169" max="4169" width="9.5703125" bestFit="1" customWidth="1"/>
    <col min="4170" max="4170" width="11.5703125" bestFit="1" customWidth="1"/>
    <col min="4171" max="4171" width="10.42578125" bestFit="1" customWidth="1"/>
    <col min="4172" max="4172" width="10.85546875" customWidth="1"/>
    <col min="4173" max="4174" width="9.85546875" bestFit="1" customWidth="1"/>
    <col min="4175" max="4175" width="13.5703125" bestFit="1" customWidth="1"/>
    <col min="4176" max="4176" width="7.7109375" bestFit="1" customWidth="1"/>
    <col min="4177" max="4177" width="13.28515625" bestFit="1" customWidth="1"/>
    <col min="4178" max="4178" width="11.5703125" bestFit="1" customWidth="1"/>
    <col min="4179" max="4179" width="10.42578125" bestFit="1" customWidth="1"/>
    <col min="4180" max="4180" width="7.7109375" bestFit="1" customWidth="1"/>
    <col min="4181" max="4181" width="11.5703125" bestFit="1" customWidth="1"/>
    <col min="4182" max="4182" width="10.85546875" bestFit="1" customWidth="1"/>
    <col min="4183" max="4183" width="13.28515625" bestFit="1" customWidth="1"/>
    <col min="4184" max="4184" width="10.85546875" bestFit="1" customWidth="1"/>
    <col min="4185" max="4186" width="7.5703125" bestFit="1" customWidth="1"/>
    <col min="4187" max="4188" width="10.42578125" bestFit="1" customWidth="1"/>
    <col min="4189" max="4189" width="11.5703125" bestFit="1" customWidth="1"/>
    <col min="4190" max="4190" width="5.28515625" bestFit="1" customWidth="1"/>
    <col min="4191" max="4191" width="10.28515625" bestFit="1" customWidth="1"/>
    <col min="4192" max="4192" width="10.42578125" bestFit="1" customWidth="1"/>
    <col min="4193" max="4193" width="11.5703125" bestFit="1" customWidth="1"/>
    <col min="4194" max="4194" width="5.28515625" bestFit="1" customWidth="1"/>
    <col min="4195" max="4197" width="11.5703125" bestFit="1" customWidth="1"/>
    <col min="4198" max="4198" width="5.28515625" bestFit="1" customWidth="1"/>
    <col min="4199" max="4200" width="10.42578125" bestFit="1" customWidth="1"/>
    <col min="4201" max="4201" width="11.5703125" bestFit="1" customWidth="1"/>
    <col min="4202" max="4202" width="5.28515625" bestFit="1" customWidth="1"/>
    <col min="4203" max="4203" width="14.28515625" bestFit="1" customWidth="1"/>
    <col min="4204" max="4204" width="13" bestFit="1" customWidth="1"/>
    <col min="4205" max="4205" width="11.5703125" bestFit="1" customWidth="1"/>
    <col min="4206" max="4206" width="8.85546875" bestFit="1" customWidth="1"/>
    <col min="4207" max="4207" width="14.42578125" bestFit="1" customWidth="1"/>
    <col min="4208" max="4208" width="10.42578125" bestFit="1" customWidth="1"/>
    <col min="4209" max="4209" width="12.28515625" bestFit="1" customWidth="1"/>
    <col min="4210" max="4210" width="13.85546875" bestFit="1" customWidth="1"/>
    <col min="4211" max="4211" width="11.28515625" customWidth="1"/>
    <col min="4212" max="4212" width="11.5703125" customWidth="1"/>
    <col min="4213" max="4213" width="13.42578125" bestFit="1" customWidth="1"/>
    <col min="4214" max="4214" width="10.42578125" customWidth="1"/>
    <col min="4215" max="4215" width="13.85546875" bestFit="1" customWidth="1"/>
    <col min="4216" max="4216" width="15.42578125" bestFit="1" customWidth="1"/>
    <col min="4217" max="4217" width="12.28515625" bestFit="1" customWidth="1"/>
    <col min="4218" max="4218" width="12.7109375" customWidth="1"/>
    <col min="4219" max="4219" width="10.7109375" bestFit="1" customWidth="1"/>
    <col min="4220" max="4220" width="9.85546875" customWidth="1"/>
    <col min="4221" max="4222" width="10.140625" bestFit="1" customWidth="1"/>
    <col min="4223" max="4223" width="7.5703125" bestFit="1" customWidth="1"/>
    <col min="4224" max="4224" width="9.42578125" bestFit="1" customWidth="1"/>
    <col min="4225" max="4225" width="14.5703125" bestFit="1" customWidth="1"/>
    <col min="4226" max="4226" width="14.85546875" customWidth="1"/>
    <col min="4227" max="4227" width="15.140625" bestFit="1" customWidth="1"/>
    <col min="4228" max="4228" width="12.140625" bestFit="1" customWidth="1"/>
    <col min="4229" max="4229" width="14.85546875" bestFit="1" customWidth="1"/>
    <col min="4230" max="4230" width="12.28515625" bestFit="1" customWidth="1"/>
    <col min="4231" max="4239" width="9.140625" hidden="1" customWidth="1"/>
    <col min="4240" max="4240" width="5.28515625" bestFit="1" customWidth="1"/>
    <col min="4241" max="4246" width="11.5703125" bestFit="1" customWidth="1"/>
    <col min="4247" max="4247" width="11.28515625" bestFit="1" customWidth="1"/>
    <col min="4248" max="4248" width="10.140625" bestFit="1" customWidth="1"/>
    <col min="4249" max="4249" width="11.5703125" bestFit="1" customWidth="1"/>
    <col min="4250" max="4250" width="16.140625" customWidth="1"/>
    <col min="4251" max="4251" width="13.42578125" customWidth="1"/>
    <col min="4252" max="4252" width="10.140625" bestFit="1" customWidth="1"/>
    <col min="4253" max="4253" width="12.85546875" bestFit="1" customWidth="1"/>
    <col min="4254" max="4254" width="12.28515625" bestFit="1" customWidth="1"/>
    <col min="4255" max="4255" width="11.28515625" bestFit="1" customWidth="1"/>
    <col min="4256" max="4256" width="11.5703125" bestFit="1" customWidth="1"/>
    <col min="4257" max="4257" width="10.85546875" bestFit="1" customWidth="1"/>
    <col min="4258" max="4258" width="11.28515625" bestFit="1" customWidth="1"/>
    <col min="4259" max="4259" width="10.140625" bestFit="1" customWidth="1"/>
    <col min="4260" max="4260" width="13.28515625" bestFit="1" customWidth="1"/>
    <col min="4261" max="4262" width="12.7109375" bestFit="1" customWidth="1"/>
    <col min="4263" max="4263" width="11" bestFit="1" customWidth="1"/>
    <col min="4264" max="4264" width="11.28515625" bestFit="1" customWidth="1"/>
    <col min="4265" max="4265" width="11.5703125" bestFit="1" customWidth="1"/>
    <col min="4266" max="4266" width="12.28515625" bestFit="1" customWidth="1"/>
    <col min="4267" max="4267" width="15.140625" bestFit="1" customWidth="1"/>
    <col min="4268" max="4268" width="14.42578125" bestFit="1" customWidth="1"/>
    <col min="4269" max="4269" width="12.28515625" bestFit="1" customWidth="1"/>
    <col min="4270" max="4270" width="15.140625" bestFit="1" customWidth="1"/>
    <col min="4271" max="4271" width="14.42578125" bestFit="1" customWidth="1"/>
    <col min="4272" max="4272" width="12.28515625" bestFit="1" customWidth="1"/>
    <col min="4273" max="4273" width="14.42578125" bestFit="1" customWidth="1"/>
    <col min="4274" max="4274" width="11.28515625" bestFit="1" customWidth="1"/>
    <col min="4275" max="4275" width="12.28515625" bestFit="1" customWidth="1"/>
    <col min="4276" max="4276" width="13" bestFit="1" customWidth="1"/>
    <col min="4277" max="4277" width="15.140625" bestFit="1" customWidth="1"/>
    <col min="4278" max="4278" width="12.28515625" bestFit="1" customWidth="1"/>
    <col min="4279" max="4279" width="13.85546875" bestFit="1" customWidth="1"/>
    <col min="4280" max="4280" width="11.28515625" bestFit="1" customWidth="1"/>
    <col min="4281" max="4281" width="12.28515625" bestFit="1" customWidth="1"/>
    <col min="4282" max="4282" width="13.85546875" bestFit="1" customWidth="1"/>
    <col min="4283" max="4284" width="15.140625" bestFit="1" customWidth="1"/>
    <col min="4285" max="4285" width="12.28515625" bestFit="1" customWidth="1"/>
    <col min="4286" max="4286" width="5.7109375" bestFit="1" customWidth="1"/>
    <col min="4287" max="4287" width="8.5703125" bestFit="1" customWidth="1"/>
    <col min="4288" max="4288" width="5.5703125" bestFit="1" customWidth="1"/>
    <col min="4289" max="4289" width="14.42578125" bestFit="1" customWidth="1"/>
    <col min="4290" max="4290" width="11.28515625" bestFit="1" customWidth="1"/>
    <col min="4291" max="4292" width="12.28515625" bestFit="1" customWidth="1"/>
    <col min="4293" max="4293" width="11.28515625" bestFit="1" customWidth="1"/>
    <col min="4294" max="4294" width="13.85546875" bestFit="1" customWidth="1"/>
    <col min="4295" max="4295" width="12" bestFit="1" customWidth="1"/>
    <col min="4296" max="4296" width="13.85546875" bestFit="1" customWidth="1"/>
    <col min="4297" max="4298" width="14.42578125" customWidth="1"/>
    <col min="4299" max="4299" width="10.140625" bestFit="1" customWidth="1"/>
    <col min="4300" max="4300" width="12.28515625" bestFit="1" customWidth="1"/>
    <col min="4301" max="4301" width="7.42578125" bestFit="1" customWidth="1"/>
    <col min="4302" max="4302" width="8.5703125" bestFit="1" customWidth="1"/>
    <col min="4303" max="4303" width="11.5703125" bestFit="1" customWidth="1"/>
    <col min="4304" max="4304" width="13.28515625" bestFit="1" customWidth="1"/>
    <col min="4305" max="4305" width="13.28515625" customWidth="1"/>
    <col min="4306" max="4306" width="13.140625" customWidth="1"/>
    <col min="4307" max="4307" width="12.7109375" bestFit="1" customWidth="1"/>
    <col min="4308" max="4308" width="13.28515625" bestFit="1" customWidth="1"/>
    <col min="4309" max="4311" width="13.28515625" customWidth="1"/>
    <col min="4312" max="4312" width="12.140625" bestFit="1" customWidth="1"/>
    <col min="4313" max="4313" width="12.7109375" bestFit="1" customWidth="1"/>
    <col min="4314" max="4314" width="11" customWidth="1"/>
    <col min="4315" max="4315" width="16.7109375" customWidth="1"/>
    <col min="4316" max="4316" width="17" customWidth="1"/>
    <col min="4317" max="4317" width="10.42578125" bestFit="1" customWidth="1"/>
    <col min="4361" max="4361" width="3.85546875" customWidth="1"/>
    <col min="4362" max="4362" width="15.28515625" bestFit="1" customWidth="1"/>
    <col min="4363" max="4363" width="12.28515625" customWidth="1"/>
    <col min="4364" max="4364" width="16.28515625" bestFit="1" customWidth="1"/>
    <col min="4365" max="4365" width="6.42578125" bestFit="1" customWidth="1"/>
    <col min="4366" max="4366" width="9.28515625" bestFit="1" customWidth="1"/>
    <col min="4367" max="4367" width="7.5703125" bestFit="1" customWidth="1"/>
    <col min="4368" max="4368" width="13.28515625" bestFit="1" customWidth="1"/>
    <col min="4369" max="4369" width="9.28515625" bestFit="1" customWidth="1"/>
    <col min="4370" max="4370" width="11.5703125" bestFit="1" customWidth="1"/>
    <col min="4371" max="4371" width="13.28515625" bestFit="1" customWidth="1"/>
    <col min="4372" max="4372" width="7.140625" bestFit="1" customWidth="1"/>
    <col min="4373" max="4373" width="12" bestFit="1" customWidth="1"/>
    <col min="4374" max="4374" width="13.28515625" bestFit="1" customWidth="1"/>
    <col min="4375" max="4375" width="7" bestFit="1" customWidth="1"/>
    <col min="4376" max="4376" width="12.7109375" bestFit="1" customWidth="1"/>
    <col min="4377" max="4377" width="11.5703125" bestFit="1" customWidth="1"/>
    <col min="4378" max="4378" width="10.5703125" bestFit="1" customWidth="1"/>
    <col min="4379" max="4380" width="15.7109375" bestFit="1" customWidth="1"/>
    <col min="4381" max="4381" width="11.5703125" bestFit="1" customWidth="1"/>
    <col min="4382" max="4382" width="7.7109375" bestFit="1" customWidth="1"/>
    <col min="4383" max="4383" width="15.140625" bestFit="1" customWidth="1"/>
    <col min="4384" max="4384" width="11.5703125" bestFit="1" customWidth="1"/>
    <col min="4385" max="4385" width="13.28515625" bestFit="1" customWidth="1"/>
    <col min="4386" max="4386" width="10.42578125" bestFit="1" customWidth="1"/>
    <col min="4387" max="4387" width="13.28515625" bestFit="1" customWidth="1"/>
    <col min="4388" max="4388" width="12.140625" bestFit="1" customWidth="1"/>
    <col min="4389" max="4389" width="14.42578125" bestFit="1" customWidth="1"/>
    <col min="4390" max="4390" width="13.28515625" bestFit="1" customWidth="1"/>
    <col min="4391" max="4391" width="11.5703125" bestFit="1" customWidth="1"/>
    <col min="4392" max="4392" width="7.7109375" bestFit="1" customWidth="1"/>
    <col min="4393" max="4394" width="14.42578125" bestFit="1" customWidth="1"/>
    <col min="4395" max="4395" width="11.5703125" bestFit="1" customWidth="1"/>
    <col min="4396" max="4396" width="7.7109375" bestFit="1" customWidth="1"/>
    <col min="4397" max="4397" width="13.5703125" customWidth="1"/>
    <col min="4398" max="4398" width="15.28515625" customWidth="1"/>
    <col min="4399" max="4399" width="14.5703125" customWidth="1"/>
    <col min="4400" max="4400" width="13.28515625" bestFit="1" customWidth="1"/>
    <col min="4401" max="4401" width="7.7109375" bestFit="1" customWidth="1"/>
    <col min="4402" max="4402" width="12.7109375" bestFit="1" customWidth="1"/>
    <col min="4403" max="4403" width="11.7109375" bestFit="1" customWidth="1"/>
    <col min="4404" max="4404" width="11.5703125" bestFit="1" customWidth="1"/>
    <col min="4405" max="4405" width="5.28515625" bestFit="1" customWidth="1"/>
    <col min="4406" max="4406" width="13.28515625" bestFit="1" customWidth="1"/>
    <col min="4407" max="4407" width="13.5703125" bestFit="1" customWidth="1"/>
    <col min="4408" max="4408" width="10.5703125" bestFit="1" customWidth="1"/>
    <col min="4409" max="4409" width="13.28515625" bestFit="1" customWidth="1"/>
    <col min="4410" max="4410" width="11.5703125" bestFit="1" customWidth="1"/>
    <col min="4411" max="4411" width="10.5703125" bestFit="1" customWidth="1"/>
    <col min="4412" max="4412" width="16.140625" bestFit="1" customWidth="1"/>
    <col min="4413" max="4414" width="11.28515625" bestFit="1" customWidth="1"/>
    <col min="4415" max="4415" width="13.28515625" bestFit="1" customWidth="1"/>
    <col min="4416" max="4416" width="7.7109375" bestFit="1" customWidth="1"/>
    <col min="4417" max="4420" width="9.140625" hidden="1" customWidth="1"/>
    <col min="4421" max="4421" width="10.42578125" bestFit="1" customWidth="1"/>
    <col min="4422" max="4422" width="10.5703125" bestFit="1" customWidth="1"/>
    <col min="4423" max="4423" width="10.42578125" bestFit="1" customWidth="1"/>
    <col min="4424" max="4424" width="10.5703125" bestFit="1" customWidth="1"/>
    <col min="4425" max="4425" width="9.5703125" bestFit="1" customWidth="1"/>
    <col min="4426" max="4426" width="11.5703125" bestFit="1" customWidth="1"/>
    <col min="4427" max="4427" width="10.42578125" bestFit="1" customWidth="1"/>
    <col min="4428" max="4428" width="10.85546875" customWidth="1"/>
    <col min="4429" max="4430" width="9.85546875" bestFit="1" customWidth="1"/>
    <col min="4431" max="4431" width="13.5703125" bestFit="1" customWidth="1"/>
    <col min="4432" max="4432" width="7.7109375" bestFit="1" customWidth="1"/>
    <col min="4433" max="4433" width="13.28515625" bestFit="1" customWidth="1"/>
    <col min="4434" max="4434" width="11.5703125" bestFit="1" customWidth="1"/>
    <col min="4435" max="4435" width="10.42578125" bestFit="1" customWidth="1"/>
    <col min="4436" max="4436" width="7.7109375" bestFit="1" customWidth="1"/>
    <col min="4437" max="4437" width="11.5703125" bestFit="1" customWidth="1"/>
    <col min="4438" max="4438" width="10.85546875" bestFit="1" customWidth="1"/>
    <col min="4439" max="4439" width="13.28515625" bestFit="1" customWidth="1"/>
    <col min="4440" max="4440" width="10.85546875" bestFit="1" customWidth="1"/>
    <col min="4441" max="4442" width="7.5703125" bestFit="1" customWidth="1"/>
    <col min="4443" max="4444" width="10.42578125" bestFit="1" customWidth="1"/>
    <col min="4445" max="4445" width="11.5703125" bestFit="1" customWidth="1"/>
    <col min="4446" max="4446" width="5.28515625" bestFit="1" customWidth="1"/>
    <col min="4447" max="4447" width="10.28515625" bestFit="1" customWidth="1"/>
    <col min="4448" max="4448" width="10.42578125" bestFit="1" customWidth="1"/>
    <col min="4449" max="4449" width="11.5703125" bestFit="1" customWidth="1"/>
    <col min="4450" max="4450" width="5.28515625" bestFit="1" customWidth="1"/>
    <col min="4451" max="4453" width="11.5703125" bestFit="1" customWidth="1"/>
    <col min="4454" max="4454" width="5.28515625" bestFit="1" customWidth="1"/>
    <col min="4455" max="4456" width="10.42578125" bestFit="1" customWidth="1"/>
    <col min="4457" max="4457" width="11.5703125" bestFit="1" customWidth="1"/>
    <col min="4458" max="4458" width="5.28515625" bestFit="1" customWidth="1"/>
    <col min="4459" max="4459" width="14.28515625" bestFit="1" customWidth="1"/>
    <col min="4460" max="4460" width="13" bestFit="1" customWidth="1"/>
    <col min="4461" max="4461" width="11.5703125" bestFit="1" customWidth="1"/>
    <col min="4462" max="4462" width="8.85546875" bestFit="1" customWidth="1"/>
    <col min="4463" max="4463" width="14.42578125" bestFit="1" customWidth="1"/>
    <col min="4464" max="4464" width="10.42578125" bestFit="1" customWidth="1"/>
    <col min="4465" max="4465" width="12.28515625" bestFit="1" customWidth="1"/>
    <col min="4466" max="4466" width="13.85546875" bestFit="1" customWidth="1"/>
    <col min="4467" max="4467" width="11.28515625" customWidth="1"/>
    <col min="4468" max="4468" width="11.5703125" customWidth="1"/>
    <col min="4469" max="4469" width="13.42578125" bestFit="1" customWidth="1"/>
    <col min="4470" max="4470" width="10.42578125" customWidth="1"/>
    <col min="4471" max="4471" width="13.85546875" bestFit="1" customWidth="1"/>
    <col min="4472" max="4472" width="15.42578125" bestFit="1" customWidth="1"/>
    <col min="4473" max="4473" width="12.28515625" bestFit="1" customWidth="1"/>
    <col min="4474" max="4474" width="12.7109375" customWidth="1"/>
    <col min="4475" max="4475" width="10.7109375" bestFit="1" customWidth="1"/>
    <col min="4476" max="4476" width="9.85546875" customWidth="1"/>
    <col min="4477" max="4478" width="10.140625" bestFit="1" customWidth="1"/>
    <col min="4479" max="4479" width="7.5703125" bestFit="1" customWidth="1"/>
    <col min="4480" max="4480" width="9.42578125" bestFit="1" customWidth="1"/>
    <col min="4481" max="4481" width="14.5703125" bestFit="1" customWidth="1"/>
    <col min="4482" max="4482" width="14.85546875" customWidth="1"/>
    <col min="4483" max="4483" width="15.140625" bestFit="1" customWidth="1"/>
    <col min="4484" max="4484" width="12.140625" bestFit="1" customWidth="1"/>
    <col min="4485" max="4485" width="14.85546875" bestFit="1" customWidth="1"/>
    <col min="4486" max="4486" width="12.28515625" bestFit="1" customWidth="1"/>
    <col min="4487" max="4495" width="9.140625" hidden="1" customWidth="1"/>
    <col min="4496" max="4496" width="5.28515625" bestFit="1" customWidth="1"/>
    <col min="4497" max="4502" width="11.5703125" bestFit="1" customWidth="1"/>
    <col min="4503" max="4503" width="11.28515625" bestFit="1" customWidth="1"/>
    <col min="4504" max="4504" width="10.140625" bestFit="1" customWidth="1"/>
    <col min="4505" max="4505" width="11.5703125" bestFit="1" customWidth="1"/>
    <col min="4506" max="4506" width="16.140625" customWidth="1"/>
    <col min="4507" max="4507" width="13.42578125" customWidth="1"/>
    <col min="4508" max="4508" width="10.140625" bestFit="1" customWidth="1"/>
    <col min="4509" max="4509" width="12.85546875" bestFit="1" customWidth="1"/>
    <col min="4510" max="4510" width="12.28515625" bestFit="1" customWidth="1"/>
    <col min="4511" max="4511" width="11.28515625" bestFit="1" customWidth="1"/>
    <col min="4512" max="4512" width="11.5703125" bestFit="1" customWidth="1"/>
    <col min="4513" max="4513" width="10.85546875" bestFit="1" customWidth="1"/>
    <col min="4514" max="4514" width="11.28515625" bestFit="1" customWidth="1"/>
    <col min="4515" max="4515" width="10.140625" bestFit="1" customWidth="1"/>
    <col min="4516" max="4516" width="13.28515625" bestFit="1" customWidth="1"/>
    <col min="4517" max="4518" width="12.7109375" bestFit="1" customWidth="1"/>
    <col min="4519" max="4519" width="11" bestFit="1" customWidth="1"/>
    <col min="4520" max="4520" width="11.28515625" bestFit="1" customWidth="1"/>
    <col min="4521" max="4521" width="11.5703125" bestFit="1" customWidth="1"/>
    <col min="4522" max="4522" width="12.28515625" bestFit="1" customWidth="1"/>
    <col min="4523" max="4523" width="15.140625" bestFit="1" customWidth="1"/>
    <col min="4524" max="4524" width="14.42578125" bestFit="1" customWidth="1"/>
    <col min="4525" max="4525" width="12.28515625" bestFit="1" customWidth="1"/>
    <col min="4526" max="4526" width="15.140625" bestFit="1" customWidth="1"/>
    <col min="4527" max="4527" width="14.42578125" bestFit="1" customWidth="1"/>
    <col min="4528" max="4528" width="12.28515625" bestFit="1" customWidth="1"/>
    <col min="4529" max="4529" width="14.42578125" bestFit="1" customWidth="1"/>
    <col min="4530" max="4530" width="11.28515625" bestFit="1" customWidth="1"/>
    <col min="4531" max="4531" width="12.28515625" bestFit="1" customWidth="1"/>
    <col min="4532" max="4532" width="13" bestFit="1" customWidth="1"/>
    <col min="4533" max="4533" width="15.140625" bestFit="1" customWidth="1"/>
    <col min="4534" max="4534" width="12.28515625" bestFit="1" customWidth="1"/>
    <col min="4535" max="4535" width="13.85546875" bestFit="1" customWidth="1"/>
    <col min="4536" max="4536" width="11.28515625" bestFit="1" customWidth="1"/>
    <col min="4537" max="4537" width="12.28515625" bestFit="1" customWidth="1"/>
    <col min="4538" max="4538" width="13.85546875" bestFit="1" customWidth="1"/>
    <col min="4539" max="4540" width="15.140625" bestFit="1" customWidth="1"/>
    <col min="4541" max="4541" width="12.28515625" bestFit="1" customWidth="1"/>
    <col min="4542" max="4542" width="5.7109375" bestFit="1" customWidth="1"/>
    <col min="4543" max="4543" width="8.5703125" bestFit="1" customWidth="1"/>
    <col min="4544" max="4544" width="5.5703125" bestFit="1" customWidth="1"/>
    <col min="4545" max="4545" width="14.42578125" bestFit="1" customWidth="1"/>
    <col min="4546" max="4546" width="11.28515625" bestFit="1" customWidth="1"/>
    <col min="4547" max="4548" width="12.28515625" bestFit="1" customWidth="1"/>
    <col min="4549" max="4549" width="11.28515625" bestFit="1" customWidth="1"/>
    <col min="4550" max="4550" width="13.85546875" bestFit="1" customWidth="1"/>
    <col min="4551" max="4551" width="12" bestFit="1" customWidth="1"/>
    <col min="4552" max="4552" width="13.85546875" bestFit="1" customWidth="1"/>
    <col min="4553" max="4554" width="14.42578125" customWidth="1"/>
    <col min="4555" max="4555" width="10.140625" bestFit="1" customWidth="1"/>
    <col min="4556" max="4556" width="12.28515625" bestFit="1" customWidth="1"/>
    <col min="4557" max="4557" width="7.42578125" bestFit="1" customWidth="1"/>
    <col min="4558" max="4558" width="8.5703125" bestFit="1" customWidth="1"/>
    <col min="4559" max="4559" width="11.5703125" bestFit="1" customWidth="1"/>
    <col min="4560" max="4560" width="13.28515625" bestFit="1" customWidth="1"/>
    <col min="4561" max="4561" width="13.28515625" customWidth="1"/>
    <col min="4562" max="4562" width="13.140625" customWidth="1"/>
    <col min="4563" max="4563" width="12.7109375" bestFit="1" customWidth="1"/>
    <col min="4564" max="4564" width="13.28515625" bestFit="1" customWidth="1"/>
    <col min="4565" max="4567" width="13.28515625" customWidth="1"/>
    <col min="4568" max="4568" width="12.140625" bestFit="1" customWidth="1"/>
    <col min="4569" max="4569" width="12.7109375" bestFit="1" customWidth="1"/>
    <col min="4570" max="4570" width="11" customWidth="1"/>
    <col min="4571" max="4571" width="16.7109375" customWidth="1"/>
    <col min="4572" max="4572" width="17" customWidth="1"/>
    <col min="4573" max="4573" width="10.42578125" bestFit="1" customWidth="1"/>
    <col min="4617" max="4617" width="3.85546875" customWidth="1"/>
    <col min="4618" max="4618" width="15.28515625" bestFit="1" customWidth="1"/>
    <col min="4619" max="4619" width="12.28515625" customWidth="1"/>
    <col min="4620" max="4620" width="16.28515625" bestFit="1" customWidth="1"/>
    <col min="4621" max="4621" width="6.42578125" bestFit="1" customWidth="1"/>
    <col min="4622" max="4622" width="9.28515625" bestFit="1" customWidth="1"/>
    <col min="4623" max="4623" width="7.5703125" bestFit="1" customWidth="1"/>
    <col min="4624" max="4624" width="13.28515625" bestFit="1" customWidth="1"/>
    <col min="4625" max="4625" width="9.28515625" bestFit="1" customWidth="1"/>
    <col min="4626" max="4626" width="11.5703125" bestFit="1" customWidth="1"/>
    <col min="4627" max="4627" width="13.28515625" bestFit="1" customWidth="1"/>
    <col min="4628" max="4628" width="7.140625" bestFit="1" customWidth="1"/>
    <col min="4629" max="4629" width="12" bestFit="1" customWidth="1"/>
    <col min="4630" max="4630" width="13.28515625" bestFit="1" customWidth="1"/>
    <col min="4631" max="4631" width="7" bestFit="1" customWidth="1"/>
    <col min="4632" max="4632" width="12.7109375" bestFit="1" customWidth="1"/>
    <col min="4633" max="4633" width="11.5703125" bestFit="1" customWidth="1"/>
    <col min="4634" max="4634" width="10.5703125" bestFit="1" customWidth="1"/>
    <col min="4635" max="4636" width="15.7109375" bestFit="1" customWidth="1"/>
    <col min="4637" max="4637" width="11.5703125" bestFit="1" customWidth="1"/>
    <col min="4638" max="4638" width="7.7109375" bestFit="1" customWidth="1"/>
    <col min="4639" max="4639" width="15.140625" bestFit="1" customWidth="1"/>
    <col min="4640" max="4640" width="11.5703125" bestFit="1" customWidth="1"/>
    <col min="4641" max="4641" width="13.28515625" bestFit="1" customWidth="1"/>
    <col min="4642" max="4642" width="10.42578125" bestFit="1" customWidth="1"/>
    <col min="4643" max="4643" width="13.28515625" bestFit="1" customWidth="1"/>
    <col min="4644" max="4644" width="12.140625" bestFit="1" customWidth="1"/>
    <col min="4645" max="4645" width="14.42578125" bestFit="1" customWidth="1"/>
    <col min="4646" max="4646" width="13.28515625" bestFit="1" customWidth="1"/>
    <col min="4647" max="4647" width="11.5703125" bestFit="1" customWidth="1"/>
    <col min="4648" max="4648" width="7.7109375" bestFit="1" customWidth="1"/>
    <col min="4649" max="4650" width="14.42578125" bestFit="1" customWidth="1"/>
    <col min="4651" max="4651" width="11.5703125" bestFit="1" customWidth="1"/>
    <col min="4652" max="4652" width="7.7109375" bestFit="1" customWidth="1"/>
    <col min="4653" max="4653" width="13.5703125" customWidth="1"/>
    <col min="4654" max="4654" width="15.28515625" customWidth="1"/>
    <col min="4655" max="4655" width="14.5703125" customWidth="1"/>
    <col min="4656" max="4656" width="13.28515625" bestFit="1" customWidth="1"/>
    <col min="4657" max="4657" width="7.7109375" bestFit="1" customWidth="1"/>
    <col min="4658" max="4658" width="12.7109375" bestFit="1" customWidth="1"/>
    <col min="4659" max="4659" width="11.7109375" bestFit="1" customWidth="1"/>
    <col min="4660" max="4660" width="11.5703125" bestFit="1" customWidth="1"/>
    <col min="4661" max="4661" width="5.28515625" bestFit="1" customWidth="1"/>
    <col min="4662" max="4662" width="13.28515625" bestFit="1" customWidth="1"/>
    <col min="4663" max="4663" width="13.5703125" bestFit="1" customWidth="1"/>
    <col min="4664" max="4664" width="10.5703125" bestFit="1" customWidth="1"/>
    <col min="4665" max="4665" width="13.28515625" bestFit="1" customWidth="1"/>
    <col min="4666" max="4666" width="11.5703125" bestFit="1" customWidth="1"/>
    <col min="4667" max="4667" width="10.5703125" bestFit="1" customWidth="1"/>
    <col min="4668" max="4668" width="16.140625" bestFit="1" customWidth="1"/>
    <col min="4669" max="4670" width="11.28515625" bestFit="1" customWidth="1"/>
    <col min="4671" max="4671" width="13.28515625" bestFit="1" customWidth="1"/>
    <col min="4672" max="4672" width="7.7109375" bestFit="1" customWidth="1"/>
    <col min="4673" max="4676" width="9.140625" hidden="1" customWidth="1"/>
    <col min="4677" max="4677" width="10.42578125" bestFit="1" customWidth="1"/>
    <col min="4678" max="4678" width="10.5703125" bestFit="1" customWidth="1"/>
    <col min="4679" max="4679" width="10.42578125" bestFit="1" customWidth="1"/>
    <col min="4680" max="4680" width="10.5703125" bestFit="1" customWidth="1"/>
    <col min="4681" max="4681" width="9.5703125" bestFit="1" customWidth="1"/>
    <col min="4682" max="4682" width="11.5703125" bestFit="1" customWidth="1"/>
    <col min="4683" max="4683" width="10.42578125" bestFit="1" customWidth="1"/>
    <col min="4684" max="4684" width="10.85546875" customWidth="1"/>
    <col min="4685" max="4686" width="9.85546875" bestFit="1" customWidth="1"/>
    <col min="4687" max="4687" width="13.5703125" bestFit="1" customWidth="1"/>
    <col min="4688" max="4688" width="7.7109375" bestFit="1" customWidth="1"/>
    <col min="4689" max="4689" width="13.28515625" bestFit="1" customWidth="1"/>
    <col min="4690" max="4690" width="11.5703125" bestFit="1" customWidth="1"/>
    <col min="4691" max="4691" width="10.42578125" bestFit="1" customWidth="1"/>
    <col min="4692" max="4692" width="7.7109375" bestFit="1" customWidth="1"/>
    <col min="4693" max="4693" width="11.5703125" bestFit="1" customWidth="1"/>
    <col min="4694" max="4694" width="10.85546875" bestFit="1" customWidth="1"/>
    <col min="4695" max="4695" width="13.28515625" bestFit="1" customWidth="1"/>
    <col min="4696" max="4696" width="10.85546875" bestFit="1" customWidth="1"/>
    <col min="4697" max="4698" width="7.5703125" bestFit="1" customWidth="1"/>
    <col min="4699" max="4700" width="10.42578125" bestFit="1" customWidth="1"/>
    <col min="4701" max="4701" width="11.5703125" bestFit="1" customWidth="1"/>
    <col min="4702" max="4702" width="5.28515625" bestFit="1" customWidth="1"/>
    <col min="4703" max="4703" width="10.28515625" bestFit="1" customWidth="1"/>
    <col min="4704" max="4704" width="10.42578125" bestFit="1" customWidth="1"/>
    <col min="4705" max="4705" width="11.5703125" bestFit="1" customWidth="1"/>
    <col min="4706" max="4706" width="5.28515625" bestFit="1" customWidth="1"/>
    <col min="4707" max="4709" width="11.5703125" bestFit="1" customWidth="1"/>
    <col min="4710" max="4710" width="5.28515625" bestFit="1" customWidth="1"/>
    <col min="4711" max="4712" width="10.42578125" bestFit="1" customWidth="1"/>
    <col min="4713" max="4713" width="11.5703125" bestFit="1" customWidth="1"/>
    <col min="4714" max="4714" width="5.28515625" bestFit="1" customWidth="1"/>
    <col min="4715" max="4715" width="14.28515625" bestFit="1" customWidth="1"/>
    <col min="4716" max="4716" width="13" bestFit="1" customWidth="1"/>
    <col min="4717" max="4717" width="11.5703125" bestFit="1" customWidth="1"/>
    <col min="4718" max="4718" width="8.85546875" bestFit="1" customWidth="1"/>
    <col min="4719" max="4719" width="14.42578125" bestFit="1" customWidth="1"/>
    <col min="4720" max="4720" width="10.42578125" bestFit="1" customWidth="1"/>
    <col min="4721" max="4721" width="12.28515625" bestFit="1" customWidth="1"/>
    <col min="4722" max="4722" width="13.85546875" bestFit="1" customWidth="1"/>
    <col min="4723" max="4723" width="11.28515625" customWidth="1"/>
    <col min="4724" max="4724" width="11.5703125" customWidth="1"/>
    <col min="4725" max="4725" width="13.42578125" bestFit="1" customWidth="1"/>
    <col min="4726" max="4726" width="10.42578125" customWidth="1"/>
    <col min="4727" max="4727" width="13.85546875" bestFit="1" customWidth="1"/>
    <col min="4728" max="4728" width="15.42578125" bestFit="1" customWidth="1"/>
    <col min="4729" max="4729" width="12.28515625" bestFit="1" customWidth="1"/>
    <col min="4730" max="4730" width="12.7109375" customWidth="1"/>
    <col min="4731" max="4731" width="10.7109375" bestFit="1" customWidth="1"/>
    <col min="4732" max="4732" width="9.85546875" customWidth="1"/>
    <col min="4733" max="4734" width="10.140625" bestFit="1" customWidth="1"/>
    <col min="4735" max="4735" width="7.5703125" bestFit="1" customWidth="1"/>
    <col min="4736" max="4736" width="9.42578125" bestFit="1" customWidth="1"/>
    <col min="4737" max="4737" width="14.5703125" bestFit="1" customWidth="1"/>
    <col min="4738" max="4738" width="14.85546875" customWidth="1"/>
    <col min="4739" max="4739" width="15.140625" bestFit="1" customWidth="1"/>
    <col min="4740" max="4740" width="12.140625" bestFit="1" customWidth="1"/>
    <col min="4741" max="4741" width="14.85546875" bestFit="1" customWidth="1"/>
    <col min="4742" max="4742" width="12.28515625" bestFit="1" customWidth="1"/>
    <col min="4743" max="4751" width="9.140625" hidden="1" customWidth="1"/>
    <col min="4752" max="4752" width="5.28515625" bestFit="1" customWidth="1"/>
    <col min="4753" max="4758" width="11.5703125" bestFit="1" customWidth="1"/>
    <col min="4759" max="4759" width="11.28515625" bestFit="1" customWidth="1"/>
    <col min="4760" max="4760" width="10.140625" bestFit="1" customWidth="1"/>
    <col min="4761" max="4761" width="11.5703125" bestFit="1" customWidth="1"/>
    <col min="4762" max="4762" width="16.140625" customWidth="1"/>
    <col min="4763" max="4763" width="13.42578125" customWidth="1"/>
    <col min="4764" max="4764" width="10.140625" bestFit="1" customWidth="1"/>
    <col min="4765" max="4765" width="12.85546875" bestFit="1" customWidth="1"/>
    <col min="4766" max="4766" width="12.28515625" bestFit="1" customWidth="1"/>
    <col min="4767" max="4767" width="11.28515625" bestFit="1" customWidth="1"/>
    <col min="4768" max="4768" width="11.5703125" bestFit="1" customWidth="1"/>
    <col min="4769" max="4769" width="10.85546875" bestFit="1" customWidth="1"/>
    <col min="4770" max="4770" width="11.28515625" bestFit="1" customWidth="1"/>
    <col min="4771" max="4771" width="10.140625" bestFit="1" customWidth="1"/>
    <col min="4772" max="4772" width="13.28515625" bestFit="1" customWidth="1"/>
    <col min="4773" max="4774" width="12.7109375" bestFit="1" customWidth="1"/>
    <col min="4775" max="4775" width="11" bestFit="1" customWidth="1"/>
    <col min="4776" max="4776" width="11.28515625" bestFit="1" customWidth="1"/>
    <col min="4777" max="4777" width="11.5703125" bestFit="1" customWidth="1"/>
    <col min="4778" max="4778" width="12.28515625" bestFit="1" customWidth="1"/>
    <col min="4779" max="4779" width="15.140625" bestFit="1" customWidth="1"/>
    <col min="4780" max="4780" width="14.42578125" bestFit="1" customWidth="1"/>
    <col min="4781" max="4781" width="12.28515625" bestFit="1" customWidth="1"/>
    <col min="4782" max="4782" width="15.140625" bestFit="1" customWidth="1"/>
    <col min="4783" max="4783" width="14.42578125" bestFit="1" customWidth="1"/>
    <col min="4784" max="4784" width="12.28515625" bestFit="1" customWidth="1"/>
    <col min="4785" max="4785" width="14.42578125" bestFit="1" customWidth="1"/>
    <col min="4786" max="4786" width="11.28515625" bestFit="1" customWidth="1"/>
    <col min="4787" max="4787" width="12.28515625" bestFit="1" customWidth="1"/>
    <col min="4788" max="4788" width="13" bestFit="1" customWidth="1"/>
    <col min="4789" max="4789" width="15.140625" bestFit="1" customWidth="1"/>
    <col min="4790" max="4790" width="12.28515625" bestFit="1" customWidth="1"/>
    <col min="4791" max="4791" width="13.85546875" bestFit="1" customWidth="1"/>
    <col min="4792" max="4792" width="11.28515625" bestFit="1" customWidth="1"/>
    <col min="4793" max="4793" width="12.28515625" bestFit="1" customWidth="1"/>
    <col min="4794" max="4794" width="13.85546875" bestFit="1" customWidth="1"/>
    <col min="4795" max="4796" width="15.140625" bestFit="1" customWidth="1"/>
    <col min="4797" max="4797" width="12.28515625" bestFit="1" customWidth="1"/>
    <col min="4798" max="4798" width="5.7109375" bestFit="1" customWidth="1"/>
    <col min="4799" max="4799" width="8.5703125" bestFit="1" customWidth="1"/>
    <col min="4800" max="4800" width="5.5703125" bestFit="1" customWidth="1"/>
    <col min="4801" max="4801" width="14.42578125" bestFit="1" customWidth="1"/>
    <col min="4802" max="4802" width="11.28515625" bestFit="1" customWidth="1"/>
    <col min="4803" max="4804" width="12.28515625" bestFit="1" customWidth="1"/>
    <col min="4805" max="4805" width="11.28515625" bestFit="1" customWidth="1"/>
    <col min="4806" max="4806" width="13.85546875" bestFit="1" customWidth="1"/>
    <col min="4807" max="4807" width="12" bestFit="1" customWidth="1"/>
    <col min="4808" max="4808" width="13.85546875" bestFit="1" customWidth="1"/>
    <col min="4809" max="4810" width="14.42578125" customWidth="1"/>
    <col min="4811" max="4811" width="10.140625" bestFit="1" customWidth="1"/>
    <col min="4812" max="4812" width="12.28515625" bestFit="1" customWidth="1"/>
    <col min="4813" max="4813" width="7.42578125" bestFit="1" customWidth="1"/>
    <col min="4814" max="4814" width="8.5703125" bestFit="1" customWidth="1"/>
    <col min="4815" max="4815" width="11.5703125" bestFit="1" customWidth="1"/>
    <col min="4816" max="4816" width="13.28515625" bestFit="1" customWidth="1"/>
    <col min="4817" max="4817" width="13.28515625" customWidth="1"/>
    <col min="4818" max="4818" width="13.140625" customWidth="1"/>
    <col min="4819" max="4819" width="12.7109375" bestFit="1" customWidth="1"/>
    <col min="4820" max="4820" width="13.28515625" bestFit="1" customWidth="1"/>
    <col min="4821" max="4823" width="13.28515625" customWidth="1"/>
    <col min="4824" max="4824" width="12.140625" bestFit="1" customWidth="1"/>
    <col min="4825" max="4825" width="12.7109375" bestFit="1" customWidth="1"/>
    <col min="4826" max="4826" width="11" customWidth="1"/>
    <col min="4827" max="4827" width="16.7109375" customWidth="1"/>
    <col min="4828" max="4828" width="17" customWidth="1"/>
    <col min="4829" max="4829" width="10.42578125" bestFit="1" customWidth="1"/>
    <col min="4873" max="4873" width="3.85546875" customWidth="1"/>
    <col min="4874" max="4874" width="15.28515625" bestFit="1" customWidth="1"/>
    <col min="4875" max="4875" width="12.28515625" customWidth="1"/>
    <col min="4876" max="4876" width="16.28515625" bestFit="1" customWidth="1"/>
    <col min="4877" max="4877" width="6.42578125" bestFit="1" customWidth="1"/>
    <col min="4878" max="4878" width="9.28515625" bestFit="1" customWidth="1"/>
    <col min="4879" max="4879" width="7.5703125" bestFit="1" customWidth="1"/>
    <col min="4880" max="4880" width="13.28515625" bestFit="1" customWidth="1"/>
    <col min="4881" max="4881" width="9.28515625" bestFit="1" customWidth="1"/>
    <col min="4882" max="4882" width="11.5703125" bestFit="1" customWidth="1"/>
    <col min="4883" max="4883" width="13.28515625" bestFit="1" customWidth="1"/>
    <col min="4884" max="4884" width="7.140625" bestFit="1" customWidth="1"/>
    <col min="4885" max="4885" width="12" bestFit="1" customWidth="1"/>
    <col min="4886" max="4886" width="13.28515625" bestFit="1" customWidth="1"/>
    <col min="4887" max="4887" width="7" bestFit="1" customWidth="1"/>
    <col min="4888" max="4888" width="12.7109375" bestFit="1" customWidth="1"/>
    <col min="4889" max="4889" width="11.5703125" bestFit="1" customWidth="1"/>
    <col min="4890" max="4890" width="10.5703125" bestFit="1" customWidth="1"/>
    <col min="4891" max="4892" width="15.7109375" bestFit="1" customWidth="1"/>
    <col min="4893" max="4893" width="11.5703125" bestFit="1" customWidth="1"/>
    <col min="4894" max="4894" width="7.7109375" bestFit="1" customWidth="1"/>
    <col min="4895" max="4895" width="15.140625" bestFit="1" customWidth="1"/>
    <col min="4896" max="4896" width="11.5703125" bestFit="1" customWidth="1"/>
    <col min="4897" max="4897" width="13.28515625" bestFit="1" customWidth="1"/>
    <col min="4898" max="4898" width="10.42578125" bestFit="1" customWidth="1"/>
    <col min="4899" max="4899" width="13.28515625" bestFit="1" customWidth="1"/>
    <col min="4900" max="4900" width="12.140625" bestFit="1" customWidth="1"/>
    <col min="4901" max="4901" width="14.42578125" bestFit="1" customWidth="1"/>
    <col min="4902" max="4902" width="13.28515625" bestFit="1" customWidth="1"/>
    <col min="4903" max="4903" width="11.5703125" bestFit="1" customWidth="1"/>
    <col min="4904" max="4904" width="7.7109375" bestFit="1" customWidth="1"/>
    <col min="4905" max="4906" width="14.42578125" bestFit="1" customWidth="1"/>
    <col min="4907" max="4907" width="11.5703125" bestFit="1" customWidth="1"/>
    <col min="4908" max="4908" width="7.7109375" bestFit="1" customWidth="1"/>
    <col min="4909" max="4909" width="13.5703125" customWidth="1"/>
    <col min="4910" max="4910" width="15.28515625" customWidth="1"/>
    <col min="4911" max="4911" width="14.5703125" customWidth="1"/>
    <col min="4912" max="4912" width="13.28515625" bestFit="1" customWidth="1"/>
    <col min="4913" max="4913" width="7.7109375" bestFit="1" customWidth="1"/>
    <col min="4914" max="4914" width="12.7109375" bestFit="1" customWidth="1"/>
    <col min="4915" max="4915" width="11.7109375" bestFit="1" customWidth="1"/>
    <col min="4916" max="4916" width="11.5703125" bestFit="1" customWidth="1"/>
    <col min="4917" max="4917" width="5.28515625" bestFit="1" customWidth="1"/>
    <col min="4918" max="4918" width="13.28515625" bestFit="1" customWidth="1"/>
    <col min="4919" max="4919" width="13.5703125" bestFit="1" customWidth="1"/>
    <col min="4920" max="4920" width="10.5703125" bestFit="1" customWidth="1"/>
    <col min="4921" max="4921" width="13.28515625" bestFit="1" customWidth="1"/>
    <col min="4922" max="4922" width="11.5703125" bestFit="1" customWidth="1"/>
    <col min="4923" max="4923" width="10.5703125" bestFit="1" customWidth="1"/>
    <col min="4924" max="4924" width="16.140625" bestFit="1" customWidth="1"/>
    <col min="4925" max="4926" width="11.28515625" bestFit="1" customWidth="1"/>
    <col min="4927" max="4927" width="13.28515625" bestFit="1" customWidth="1"/>
    <col min="4928" max="4928" width="7.7109375" bestFit="1" customWidth="1"/>
    <col min="4929" max="4932" width="9.140625" hidden="1" customWidth="1"/>
    <col min="4933" max="4933" width="10.42578125" bestFit="1" customWidth="1"/>
    <col min="4934" max="4934" width="10.5703125" bestFit="1" customWidth="1"/>
    <col min="4935" max="4935" width="10.42578125" bestFit="1" customWidth="1"/>
    <col min="4936" max="4936" width="10.5703125" bestFit="1" customWidth="1"/>
    <col min="4937" max="4937" width="9.5703125" bestFit="1" customWidth="1"/>
    <col min="4938" max="4938" width="11.5703125" bestFit="1" customWidth="1"/>
    <col min="4939" max="4939" width="10.42578125" bestFit="1" customWidth="1"/>
    <col min="4940" max="4940" width="10.85546875" customWidth="1"/>
    <col min="4941" max="4942" width="9.85546875" bestFit="1" customWidth="1"/>
    <col min="4943" max="4943" width="13.5703125" bestFit="1" customWidth="1"/>
    <col min="4944" max="4944" width="7.7109375" bestFit="1" customWidth="1"/>
    <col min="4945" max="4945" width="13.28515625" bestFit="1" customWidth="1"/>
    <col min="4946" max="4946" width="11.5703125" bestFit="1" customWidth="1"/>
    <col min="4947" max="4947" width="10.42578125" bestFit="1" customWidth="1"/>
    <col min="4948" max="4948" width="7.7109375" bestFit="1" customWidth="1"/>
    <col min="4949" max="4949" width="11.5703125" bestFit="1" customWidth="1"/>
    <col min="4950" max="4950" width="10.85546875" bestFit="1" customWidth="1"/>
    <col min="4951" max="4951" width="13.28515625" bestFit="1" customWidth="1"/>
    <col min="4952" max="4952" width="10.85546875" bestFit="1" customWidth="1"/>
    <col min="4953" max="4954" width="7.5703125" bestFit="1" customWidth="1"/>
    <col min="4955" max="4956" width="10.42578125" bestFit="1" customWidth="1"/>
    <col min="4957" max="4957" width="11.5703125" bestFit="1" customWidth="1"/>
    <col min="4958" max="4958" width="5.28515625" bestFit="1" customWidth="1"/>
    <col min="4959" max="4959" width="10.28515625" bestFit="1" customWidth="1"/>
    <col min="4960" max="4960" width="10.42578125" bestFit="1" customWidth="1"/>
    <col min="4961" max="4961" width="11.5703125" bestFit="1" customWidth="1"/>
    <col min="4962" max="4962" width="5.28515625" bestFit="1" customWidth="1"/>
    <col min="4963" max="4965" width="11.5703125" bestFit="1" customWidth="1"/>
    <col min="4966" max="4966" width="5.28515625" bestFit="1" customWidth="1"/>
    <col min="4967" max="4968" width="10.42578125" bestFit="1" customWidth="1"/>
    <col min="4969" max="4969" width="11.5703125" bestFit="1" customWidth="1"/>
    <col min="4970" max="4970" width="5.28515625" bestFit="1" customWidth="1"/>
    <col min="4971" max="4971" width="14.28515625" bestFit="1" customWidth="1"/>
    <col min="4972" max="4972" width="13" bestFit="1" customWidth="1"/>
    <col min="4973" max="4973" width="11.5703125" bestFit="1" customWidth="1"/>
    <col min="4974" max="4974" width="8.85546875" bestFit="1" customWidth="1"/>
    <col min="4975" max="4975" width="14.42578125" bestFit="1" customWidth="1"/>
    <col min="4976" max="4976" width="10.42578125" bestFit="1" customWidth="1"/>
    <col min="4977" max="4977" width="12.28515625" bestFit="1" customWidth="1"/>
    <col min="4978" max="4978" width="13.85546875" bestFit="1" customWidth="1"/>
    <col min="4979" max="4979" width="11.28515625" customWidth="1"/>
    <col min="4980" max="4980" width="11.5703125" customWidth="1"/>
    <col min="4981" max="4981" width="13.42578125" bestFit="1" customWidth="1"/>
    <col min="4982" max="4982" width="10.42578125" customWidth="1"/>
    <col min="4983" max="4983" width="13.85546875" bestFit="1" customWidth="1"/>
    <col min="4984" max="4984" width="15.42578125" bestFit="1" customWidth="1"/>
    <col min="4985" max="4985" width="12.28515625" bestFit="1" customWidth="1"/>
    <col min="4986" max="4986" width="12.7109375" customWidth="1"/>
    <col min="4987" max="4987" width="10.7109375" bestFit="1" customWidth="1"/>
    <col min="4988" max="4988" width="9.85546875" customWidth="1"/>
    <col min="4989" max="4990" width="10.140625" bestFit="1" customWidth="1"/>
    <col min="4991" max="4991" width="7.5703125" bestFit="1" customWidth="1"/>
    <col min="4992" max="4992" width="9.42578125" bestFit="1" customWidth="1"/>
    <col min="4993" max="4993" width="14.5703125" bestFit="1" customWidth="1"/>
    <col min="4994" max="4994" width="14.85546875" customWidth="1"/>
    <col min="4995" max="4995" width="15.140625" bestFit="1" customWidth="1"/>
    <col min="4996" max="4996" width="12.140625" bestFit="1" customWidth="1"/>
    <col min="4997" max="4997" width="14.85546875" bestFit="1" customWidth="1"/>
    <col min="4998" max="4998" width="12.28515625" bestFit="1" customWidth="1"/>
    <col min="4999" max="5007" width="9.140625" hidden="1" customWidth="1"/>
    <col min="5008" max="5008" width="5.28515625" bestFit="1" customWidth="1"/>
    <col min="5009" max="5014" width="11.5703125" bestFit="1" customWidth="1"/>
    <col min="5015" max="5015" width="11.28515625" bestFit="1" customWidth="1"/>
    <col min="5016" max="5016" width="10.140625" bestFit="1" customWidth="1"/>
    <col min="5017" max="5017" width="11.5703125" bestFit="1" customWidth="1"/>
    <col min="5018" max="5018" width="16.140625" customWidth="1"/>
    <col min="5019" max="5019" width="13.42578125" customWidth="1"/>
    <col min="5020" max="5020" width="10.140625" bestFit="1" customWidth="1"/>
    <col min="5021" max="5021" width="12.85546875" bestFit="1" customWidth="1"/>
    <col min="5022" max="5022" width="12.28515625" bestFit="1" customWidth="1"/>
    <col min="5023" max="5023" width="11.28515625" bestFit="1" customWidth="1"/>
    <col min="5024" max="5024" width="11.5703125" bestFit="1" customWidth="1"/>
    <col min="5025" max="5025" width="10.85546875" bestFit="1" customWidth="1"/>
    <col min="5026" max="5026" width="11.28515625" bestFit="1" customWidth="1"/>
    <col min="5027" max="5027" width="10.140625" bestFit="1" customWidth="1"/>
    <col min="5028" max="5028" width="13.28515625" bestFit="1" customWidth="1"/>
    <col min="5029" max="5030" width="12.7109375" bestFit="1" customWidth="1"/>
    <col min="5031" max="5031" width="11" bestFit="1" customWidth="1"/>
    <col min="5032" max="5032" width="11.28515625" bestFit="1" customWidth="1"/>
    <col min="5033" max="5033" width="11.5703125" bestFit="1" customWidth="1"/>
    <col min="5034" max="5034" width="12.28515625" bestFit="1" customWidth="1"/>
    <col min="5035" max="5035" width="15.140625" bestFit="1" customWidth="1"/>
    <col min="5036" max="5036" width="14.42578125" bestFit="1" customWidth="1"/>
    <col min="5037" max="5037" width="12.28515625" bestFit="1" customWidth="1"/>
    <col min="5038" max="5038" width="15.140625" bestFit="1" customWidth="1"/>
    <col min="5039" max="5039" width="14.42578125" bestFit="1" customWidth="1"/>
    <col min="5040" max="5040" width="12.28515625" bestFit="1" customWidth="1"/>
    <col min="5041" max="5041" width="14.42578125" bestFit="1" customWidth="1"/>
    <col min="5042" max="5042" width="11.28515625" bestFit="1" customWidth="1"/>
    <col min="5043" max="5043" width="12.28515625" bestFit="1" customWidth="1"/>
    <col min="5044" max="5044" width="13" bestFit="1" customWidth="1"/>
    <col min="5045" max="5045" width="15.140625" bestFit="1" customWidth="1"/>
    <col min="5046" max="5046" width="12.28515625" bestFit="1" customWidth="1"/>
    <col min="5047" max="5047" width="13.85546875" bestFit="1" customWidth="1"/>
    <col min="5048" max="5048" width="11.28515625" bestFit="1" customWidth="1"/>
    <col min="5049" max="5049" width="12.28515625" bestFit="1" customWidth="1"/>
    <col min="5050" max="5050" width="13.85546875" bestFit="1" customWidth="1"/>
    <col min="5051" max="5052" width="15.140625" bestFit="1" customWidth="1"/>
    <col min="5053" max="5053" width="12.28515625" bestFit="1" customWidth="1"/>
    <col min="5054" max="5054" width="5.7109375" bestFit="1" customWidth="1"/>
    <col min="5055" max="5055" width="8.5703125" bestFit="1" customWidth="1"/>
    <col min="5056" max="5056" width="5.5703125" bestFit="1" customWidth="1"/>
    <col min="5057" max="5057" width="14.42578125" bestFit="1" customWidth="1"/>
    <col min="5058" max="5058" width="11.28515625" bestFit="1" customWidth="1"/>
    <col min="5059" max="5060" width="12.28515625" bestFit="1" customWidth="1"/>
    <col min="5061" max="5061" width="11.28515625" bestFit="1" customWidth="1"/>
    <col min="5062" max="5062" width="13.85546875" bestFit="1" customWidth="1"/>
    <col min="5063" max="5063" width="12" bestFit="1" customWidth="1"/>
    <col min="5064" max="5064" width="13.85546875" bestFit="1" customWidth="1"/>
    <col min="5065" max="5066" width="14.42578125" customWidth="1"/>
    <col min="5067" max="5067" width="10.140625" bestFit="1" customWidth="1"/>
    <col min="5068" max="5068" width="12.28515625" bestFit="1" customWidth="1"/>
    <col min="5069" max="5069" width="7.42578125" bestFit="1" customWidth="1"/>
    <col min="5070" max="5070" width="8.5703125" bestFit="1" customWidth="1"/>
    <col min="5071" max="5071" width="11.5703125" bestFit="1" customWidth="1"/>
    <col min="5072" max="5072" width="13.28515625" bestFit="1" customWidth="1"/>
    <col min="5073" max="5073" width="13.28515625" customWidth="1"/>
    <col min="5074" max="5074" width="13.140625" customWidth="1"/>
    <col min="5075" max="5075" width="12.7109375" bestFit="1" customWidth="1"/>
    <col min="5076" max="5076" width="13.28515625" bestFit="1" customWidth="1"/>
    <col min="5077" max="5079" width="13.28515625" customWidth="1"/>
    <col min="5080" max="5080" width="12.140625" bestFit="1" customWidth="1"/>
    <col min="5081" max="5081" width="12.7109375" bestFit="1" customWidth="1"/>
    <col min="5082" max="5082" width="11" customWidth="1"/>
    <col min="5083" max="5083" width="16.7109375" customWidth="1"/>
    <col min="5084" max="5084" width="17" customWidth="1"/>
    <col min="5085" max="5085" width="10.42578125" bestFit="1" customWidth="1"/>
    <col min="5129" max="5129" width="3.85546875" customWidth="1"/>
    <col min="5130" max="5130" width="15.28515625" bestFit="1" customWidth="1"/>
    <col min="5131" max="5131" width="12.28515625" customWidth="1"/>
    <col min="5132" max="5132" width="16.28515625" bestFit="1" customWidth="1"/>
    <col min="5133" max="5133" width="6.42578125" bestFit="1" customWidth="1"/>
    <col min="5134" max="5134" width="9.28515625" bestFit="1" customWidth="1"/>
    <col min="5135" max="5135" width="7.5703125" bestFit="1" customWidth="1"/>
    <col min="5136" max="5136" width="13.28515625" bestFit="1" customWidth="1"/>
    <col min="5137" max="5137" width="9.28515625" bestFit="1" customWidth="1"/>
    <col min="5138" max="5138" width="11.5703125" bestFit="1" customWidth="1"/>
    <col min="5139" max="5139" width="13.28515625" bestFit="1" customWidth="1"/>
    <col min="5140" max="5140" width="7.140625" bestFit="1" customWidth="1"/>
    <col min="5141" max="5141" width="12" bestFit="1" customWidth="1"/>
    <col min="5142" max="5142" width="13.28515625" bestFit="1" customWidth="1"/>
    <col min="5143" max="5143" width="7" bestFit="1" customWidth="1"/>
    <col min="5144" max="5144" width="12.7109375" bestFit="1" customWidth="1"/>
    <col min="5145" max="5145" width="11.5703125" bestFit="1" customWidth="1"/>
    <col min="5146" max="5146" width="10.5703125" bestFit="1" customWidth="1"/>
    <col min="5147" max="5148" width="15.7109375" bestFit="1" customWidth="1"/>
    <col min="5149" max="5149" width="11.5703125" bestFit="1" customWidth="1"/>
    <col min="5150" max="5150" width="7.7109375" bestFit="1" customWidth="1"/>
    <col min="5151" max="5151" width="15.140625" bestFit="1" customWidth="1"/>
    <col min="5152" max="5152" width="11.5703125" bestFit="1" customWidth="1"/>
    <col min="5153" max="5153" width="13.28515625" bestFit="1" customWidth="1"/>
    <col min="5154" max="5154" width="10.42578125" bestFit="1" customWidth="1"/>
    <col min="5155" max="5155" width="13.28515625" bestFit="1" customWidth="1"/>
    <col min="5156" max="5156" width="12.140625" bestFit="1" customWidth="1"/>
    <col min="5157" max="5157" width="14.42578125" bestFit="1" customWidth="1"/>
    <col min="5158" max="5158" width="13.28515625" bestFit="1" customWidth="1"/>
    <col min="5159" max="5159" width="11.5703125" bestFit="1" customWidth="1"/>
    <col min="5160" max="5160" width="7.7109375" bestFit="1" customWidth="1"/>
    <col min="5161" max="5162" width="14.42578125" bestFit="1" customWidth="1"/>
    <col min="5163" max="5163" width="11.5703125" bestFit="1" customWidth="1"/>
    <col min="5164" max="5164" width="7.7109375" bestFit="1" customWidth="1"/>
    <col min="5165" max="5165" width="13.5703125" customWidth="1"/>
    <col min="5166" max="5166" width="15.28515625" customWidth="1"/>
    <col min="5167" max="5167" width="14.5703125" customWidth="1"/>
    <col min="5168" max="5168" width="13.28515625" bestFit="1" customWidth="1"/>
    <col min="5169" max="5169" width="7.7109375" bestFit="1" customWidth="1"/>
    <col min="5170" max="5170" width="12.7109375" bestFit="1" customWidth="1"/>
    <col min="5171" max="5171" width="11.7109375" bestFit="1" customWidth="1"/>
    <col min="5172" max="5172" width="11.5703125" bestFit="1" customWidth="1"/>
    <col min="5173" max="5173" width="5.28515625" bestFit="1" customWidth="1"/>
    <col min="5174" max="5174" width="13.28515625" bestFit="1" customWidth="1"/>
    <col min="5175" max="5175" width="13.5703125" bestFit="1" customWidth="1"/>
    <col min="5176" max="5176" width="10.5703125" bestFit="1" customWidth="1"/>
    <col min="5177" max="5177" width="13.28515625" bestFit="1" customWidth="1"/>
    <col min="5178" max="5178" width="11.5703125" bestFit="1" customWidth="1"/>
    <col min="5179" max="5179" width="10.5703125" bestFit="1" customWidth="1"/>
    <col min="5180" max="5180" width="16.140625" bestFit="1" customWidth="1"/>
    <col min="5181" max="5182" width="11.28515625" bestFit="1" customWidth="1"/>
    <col min="5183" max="5183" width="13.28515625" bestFit="1" customWidth="1"/>
    <col min="5184" max="5184" width="7.7109375" bestFit="1" customWidth="1"/>
    <col min="5185" max="5188" width="9.140625" hidden="1" customWidth="1"/>
    <col min="5189" max="5189" width="10.42578125" bestFit="1" customWidth="1"/>
    <col min="5190" max="5190" width="10.5703125" bestFit="1" customWidth="1"/>
    <col min="5191" max="5191" width="10.42578125" bestFit="1" customWidth="1"/>
    <col min="5192" max="5192" width="10.5703125" bestFit="1" customWidth="1"/>
    <col min="5193" max="5193" width="9.5703125" bestFit="1" customWidth="1"/>
    <col min="5194" max="5194" width="11.5703125" bestFit="1" customWidth="1"/>
    <col min="5195" max="5195" width="10.42578125" bestFit="1" customWidth="1"/>
    <col min="5196" max="5196" width="10.85546875" customWidth="1"/>
    <col min="5197" max="5198" width="9.85546875" bestFit="1" customWidth="1"/>
    <col min="5199" max="5199" width="13.5703125" bestFit="1" customWidth="1"/>
    <col min="5200" max="5200" width="7.7109375" bestFit="1" customWidth="1"/>
    <col min="5201" max="5201" width="13.28515625" bestFit="1" customWidth="1"/>
    <col min="5202" max="5202" width="11.5703125" bestFit="1" customWidth="1"/>
    <col min="5203" max="5203" width="10.42578125" bestFit="1" customWidth="1"/>
    <col min="5204" max="5204" width="7.7109375" bestFit="1" customWidth="1"/>
    <col min="5205" max="5205" width="11.5703125" bestFit="1" customWidth="1"/>
    <col min="5206" max="5206" width="10.85546875" bestFit="1" customWidth="1"/>
    <col min="5207" max="5207" width="13.28515625" bestFit="1" customWidth="1"/>
    <col min="5208" max="5208" width="10.85546875" bestFit="1" customWidth="1"/>
    <col min="5209" max="5210" width="7.5703125" bestFit="1" customWidth="1"/>
    <col min="5211" max="5212" width="10.42578125" bestFit="1" customWidth="1"/>
    <col min="5213" max="5213" width="11.5703125" bestFit="1" customWidth="1"/>
    <col min="5214" max="5214" width="5.28515625" bestFit="1" customWidth="1"/>
    <col min="5215" max="5215" width="10.28515625" bestFit="1" customWidth="1"/>
    <col min="5216" max="5216" width="10.42578125" bestFit="1" customWidth="1"/>
    <col min="5217" max="5217" width="11.5703125" bestFit="1" customWidth="1"/>
    <col min="5218" max="5218" width="5.28515625" bestFit="1" customWidth="1"/>
    <col min="5219" max="5221" width="11.5703125" bestFit="1" customWidth="1"/>
    <col min="5222" max="5222" width="5.28515625" bestFit="1" customWidth="1"/>
    <col min="5223" max="5224" width="10.42578125" bestFit="1" customWidth="1"/>
    <col min="5225" max="5225" width="11.5703125" bestFit="1" customWidth="1"/>
    <col min="5226" max="5226" width="5.28515625" bestFit="1" customWidth="1"/>
    <col min="5227" max="5227" width="14.28515625" bestFit="1" customWidth="1"/>
    <col min="5228" max="5228" width="13" bestFit="1" customWidth="1"/>
    <col min="5229" max="5229" width="11.5703125" bestFit="1" customWidth="1"/>
    <col min="5230" max="5230" width="8.85546875" bestFit="1" customWidth="1"/>
    <col min="5231" max="5231" width="14.42578125" bestFit="1" customWidth="1"/>
    <col min="5232" max="5232" width="10.42578125" bestFit="1" customWidth="1"/>
    <col min="5233" max="5233" width="12.28515625" bestFit="1" customWidth="1"/>
    <col min="5234" max="5234" width="13.85546875" bestFit="1" customWidth="1"/>
    <col min="5235" max="5235" width="11.28515625" customWidth="1"/>
    <col min="5236" max="5236" width="11.5703125" customWidth="1"/>
    <col min="5237" max="5237" width="13.42578125" bestFit="1" customWidth="1"/>
    <col min="5238" max="5238" width="10.42578125" customWidth="1"/>
    <col min="5239" max="5239" width="13.85546875" bestFit="1" customWidth="1"/>
    <col min="5240" max="5240" width="15.42578125" bestFit="1" customWidth="1"/>
    <col min="5241" max="5241" width="12.28515625" bestFit="1" customWidth="1"/>
    <col min="5242" max="5242" width="12.7109375" customWidth="1"/>
    <col min="5243" max="5243" width="10.7109375" bestFit="1" customWidth="1"/>
    <col min="5244" max="5244" width="9.85546875" customWidth="1"/>
    <col min="5245" max="5246" width="10.140625" bestFit="1" customWidth="1"/>
    <col min="5247" max="5247" width="7.5703125" bestFit="1" customWidth="1"/>
    <col min="5248" max="5248" width="9.42578125" bestFit="1" customWidth="1"/>
    <col min="5249" max="5249" width="14.5703125" bestFit="1" customWidth="1"/>
    <col min="5250" max="5250" width="14.85546875" customWidth="1"/>
    <col min="5251" max="5251" width="15.140625" bestFit="1" customWidth="1"/>
    <col min="5252" max="5252" width="12.140625" bestFit="1" customWidth="1"/>
    <col min="5253" max="5253" width="14.85546875" bestFit="1" customWidth="1"/>
    <col min="5254" max="5254" width="12.28515625" bestFit="1" customWidth="1"/>
    <col min="5255" max="5263" width="9.140625" hidden="1" customWidth="1"/>
    <col min="5264" max="5264" width="5.28515625" bestFit="1" customWidth="1"/>
    <col min="5265" max="5270" width="11.5703125" bestFit="1" customWidth="1"/>
    <col min="5271" max="5271" width="11.28515625" bestFit="1" customWidth="1"/>
    <col min="5272" max="5272" width="10.140625" bestFit="1" customWidth="1"/>
    <col min="5273" max="5273" width="11.5703125" bestFit="1" customWidth="1"/>
    <col min="5274" max="5274" width="16.140625" customWidth="1"/>
    <col min="5275" max="5275" width="13.42578125" customWidth="1"/>
    <col min="5276" max="5276" width="10.140625" bestFit="1" customWidth="1"/>
    <col min="5277" max="5277" width="12.85546875" bestFit="1" customWidth="1"/>
    <col min="5278" max="5278" width="12.28515625" bestFit="1" customWidth="1"/>
    <col min="5279" max="5279" width="11.28515625" bestFit="1" customWidth="1"/>
    <col min="5280" max="5280" width="11.5703125" bestFit="1" customWidth="1"/>
    <col min="5281" max="5281" width="10.85546875" bestFit="1" customWidth="1"/>
    <col min="5282" max="5282" width="11.28515625" bestFit="1" customWidth="1"/>
    <col min="5283" max="5283" width="10.140625" bestFit="1" customWidth="1"/>
    <col min="5284" max="5284" width="13.28515625" bestFit="1" customWidth="1"/>
    <col min="5285" max="5286" width="12.7109375" bestFit="1" customWidth="1"/>
    <col min="5287" max="5287" width="11" bestFit="1" customWidth="1"/>
    <col min="5288" max="5288" width="11.28515625" bestFit="1" customWidth="1"/>
    <col min="5289" max="5289" width="11.5703125" bestFit="1" customWidth="1"/>
    <col min="5290" max="5290" width="12.28515625" bestFit="1" customWidth="1"/>
    <col min="5291" max="5291" width="15.140625" bestFit="1" customWidth="1"/>
    <col min="5292" max="5292" width="14.42578125" bestFit="1" customWidth="1"/>
    <col min="5293" max="5293" width="12.28515625" bestFit="1" customWidth="1"/>
    <col min="5294" max="5294" width="15.140625" bestFit="1" customWidth="1"/>
    <col min="5295" max="5295" width="14.42578125" bestFit="1" customWidth="1"/>
    <col min="5296" max="5296" width="12.28515625" bestFit="1" customWidth="1"/>
    <col min="5297" max="5297" width="14.42578125" bestFit="1" customWidth="1"/>
    <col min="5298" max="5298" width="11.28515625" bestFit="1" customWidth="1"/>
    <col min="5299" max="5299" width="12.28515625" bestFit="1" customWidth="1"/>
    <col min="5300" max="5300" width="13" bestFit="1" customWidth="1"/>
    <col min="5301" max="5301" width="15.140625" bestFit="1" customWidth="1"/>
    <col min="5302" max="5302" width="12.28515625" bestFit="1" customWidth="1"/>
    <col min="5303" max="5303" width="13.85546875" bestFit="1" customWidth="1"/>
    <col min="5304" max="5304" width="11.28515625" bestFit="1" customWidth="1"/>
    <col min="5305" max="5305" width="12.28515625" bestFit="1" customWidth="1"/>
    <col min="5306" max="5306" width="13.85546875" bestFit="1" customWidth="1"/>
    <col min="5307" max="5308" width="15.140625" bestFit="1" customWidth="1"/>
    <col min="5309" max="5309" width="12.28515625" bestFit="1" customWidth="1"/>
    <col min="5310" max="5310" width="5.7109375" bestFit="1" customWidth="1"/>
    <col min="5311" max="5311" width="8.5703125" bestFit="1" customWidth="1"/>
    <col min="5312" max="5312" width="5.5703125" bestFit="1" customWidth="1"/>
    <col min="5313" max="5313" width="14.42578125" bestFit="1" customWidth="1"/>
    <col min="5314" max="5314" width="11.28515625" bestFit="1" customWidth="1"/>
    <col min="5315" max="5316" width="12.28515625" bestFit="1" customWidth="1"/>
    <col min="5317" max="5317" width="11.28515625" bestFit="1" customWidth="1"/>
    <col min="5318" max="5318" width="13.85546875" bestFit="1" customWidth="1"/>
    <col min="5319" max="5319" width="12" bestFit="1" customWidth="1"/>
    <col min="5320" max="5320" width="13.85546875" bestFit="1" customWidth="1"/>
    <col min="5321" max="5322" width="14.42578125" customWidth="1"/>
    <col min="5323" max="5323" width="10.140625" bestFit="1" customWidth="1"/>
    <col min="5324" max="5324" width="12.28515625" bestFit="1" customWidth="1"/>
    <col min="5325" max="5325" width="7.42578125" bestFit="1" customWidth="1"/>
    <col min="5326" max="5326" width="8.5703125" bestFit="1" customWidth="1"/>
    <col min="5327" max="5327" width="11.5703125" bestFit="1" customWidth="1"/>
    <col min="5328" max="5328" width="13.28515625" bestFit="1" customWidth="1"/>
    <col min="5329" max="5329" width="13.28515625" customWidth="1"/>
    <col min="5330" max="5330" width="13.140625" customWidth="1"/>
    <col min="5331" max="5331" width="12.7109375" bestFit="1" customWidth="1"/>
    <col min="5332" max="5332" width="13.28515625" bestFit="1" customWidth="1"/>
    <col min="5333" max="5335" width="13.28515625" customWidth="1"/>
    <col min="5336" max="5336" width="12.140625" bestFit="1" customWidth="1"/>
    <col min="5337" max="5337" width="12.7109375" bestFit="1" customWidth="1"/>
    <col min="5338" max="5338" width="11" customWidth="1"/>
    <col min="5339" max="5339" width="16.7109375" customWidth="1"/>
    <col min="5340" max="5340" width="17" customWidth="1"/>
    <col min="5341" max="5341" width="10.42578125" bestFit="1" customWidth="1"/>
    <col min="5385" max="5385" width="3.85546875" customWidth="1"/>
    <col min="5386" max="5386" width="15.28515625" bestFit="1" customWidth="1"/>
    <col min="5387" max="5387" width="12.28515625" customWidth="1"/>
    <col min="5388" max="5388" width="16.28515625" bestFit="1" customWidth="1"/>
    <col min="5389" max="5389" width="6.42578125" bestFit="1" customWidth="1"/>
    <col min="5390" max="5390" width="9.28515625" bestFit="1" customWidth="1"/>
    <col min="5391" max="5391" width="7.5703125" bestFit="1" customWidth="1"/>
    <col min="5392" max="5392" width="13.28515625" bestFit="1" customWidth="1"/>
    <col min="5393" max="5393" width="9.28515625" bestFit="1" customWidth="1"/>
    <col min="5394" max="5394" width="11.5703125" bestFit="1" customWidth="1"/>
    <col min="5395" max="5395" width="13.28515625" bestFit="1" customWidth="1"/>
    <col min="5396" max="5396" width="7.140625" bestFit="1" customWidth="1"/>
    <col min="5397" max="5397" width="12" bestFit="1" customWidth="1"/>
    <col min="5398" max="5398" width="13.28515625" bestFit="1" customWidth="1"/>
    <col min="5399" max="5399" width="7" bestFit="1" customWidth="1"/>
    <col min="5400" max="5400" width="12.7109375" bestFit="1" customWidth="1"/>
    <col min="5401" max="5401" width="11.5703125" bestFit="1" customWidth="1"/>
    <col min="5402" max="5402" width="10.5703125" bestFit="1" customWidth="1"/>
    <col min="5403" max="5404" width="15.7109375" bestFit="1" customWidth="1"/>
    <col min="5405" max="5405" width="11.5703125" bestFit="1" customWidth="1"/>
    <col min="5406" max="5406" width="7.7109375" bestFit="1" customWidth="1"/>
    <col min="5407" max="5407" width="15.140625" bestFit="1" customWidth="1"/>
    <col min="5408" max="5408" width="11.5703125" bestFit="1" customWidth="1"/>
    <col min="5409" max="5409" width="13.28515625" bestFit="1" customWidth="1"/>
    <col min="5410" max="5410" width="10.42578125" bestFit="1" customWidth="1"/>
    <col min="5411" max="5411" width="13.28515625" bestFit="1" customWidth="1"/>
    <col min="5412" max="5412" width="12.140625" bestFit="1" customWidth="1"/>
    <col min="5413" max="5413" width="14.42578125" bestFit="1" customWidth="1"/>
    <col min="5414" max="5414" width="13.28515625" bestFit="1" customWidth="1"/>
    <col min="5415" max="5415" width="11.5703125" bestFit="1" customWidth="1"/>
    <col min="5416" max="5416" width="7.7109375" bestFit="1" customWidth="1"/>
    <col min="5417" max="5418" width="14.42578125" bestFit="1" customWidth="1"/>
    <col min="5419" max="5419" width="11.5703125" bestFit="1" customWidth="1"/>
    <col min="5420" max="5420" width="7.7109375" bestFit="1" customWidth="1"/>
    <col min="5421" max="5421" width="13.5703125" customWidth="1"/>
    <col min="5422" max="5422" width="15.28515625" customWidth="1"/>
    <col min="5423" max="5423" width="14.5703125" customWidth="1"/>
    <col min="5424" max="5424" width="13.28515625" bestFit="1" customWidth="1"/>
    <col min="5425" max="5425" width="7.7109375" bestFit="1" customWidth="1"/>
    <col min="5426" max="5426" width="12.7109375" bestFit="1" customWidth="1"/>
    <col min="5427" max="5427" width="11.7109375" bestFit="1" customWidth="1"/>
    <col min="5428" max="5428" width="11.5703125" bestFit="1" customWidth="1"/>
    <col min="5429" max="5429" width="5.28515625" bestFit="1" customWidth="1"/>
    <col min="5430" max="5430" width="13.28515625" bestFit="1" customWidth="1"/>
    <col min="5431" max="5431" width="13.5703125" bestFit="1" customWidth="1"/>
    <col min="5432" max="5432" width="10.5703125" bestFit="1" customWidth="1"/>
    <col min="5433" max="5433" width="13.28515625" bestFit="1" customWidth="1"/>
    <col min="5434" max="5434" width="11.5703125" bestFit="1" customWidth="1"/>
    <col min="5435" max="5435" width="10.5703125" bestFit="1" customWidth="1"/>
    <col min="5436" max="5436" width="16.140625" bestFit="1" customWidth="1"/>
    <col min="5437" max="5438" width="11.28515625" bestFit="1" customWidth="1"/>
    <col min="5439" max="5439" width="13.28515625" bestFit="1" customWidth="1"/>
    <col min="5440" max="5440" width="7.7109375" bestFit="1" customWidth="1"/>
    <col min="5441" max="5444" width="9.140625" hidden="1" customWidth="1"/>
    <col min="5445" max="5445" width="10.42578125" bestFit="1" customWidth="1"/>
    <col min="5446" max="5446" width="10.5703125" bestFit="1" customWidth="1"/>
    <col min="5447" max="5447" width="10.42578125" bestFit="1" customWidth="1"/>
    <col min="5448" max="5448" width="10.5703125" bestFit="1" customWidth="1"/>
    <col min="5449" max="5449" width="9.5703125" bestFit="1" customWidth="1"/>
    <col min="5450" max="5450" width="11.5703125" bestFit="1" customWidth="1"/>
    <col min="5451" max="5451" width="10.42578125" bestFit="1" customWidth="1"/>
    <col min="5452" max="5452" width="10.85546875" customWidth="1"/>
    <col min="5453" max="5454" width="9.85546875" bestFit="1" customWidth="1"/>
    <col min="5455" max="5455" width="13.5703125" bestFit="1" customWidth="1"/>
    <col min="5456" max="5456" width="7.7109375" bestFit="1" customWidth="1"/>
    <col min="5457" max="5457" width="13.28515625" bestFit="1" customWidth="1"/>
    <col min="5458" max="5458" width="11.5703125" bestFit="1" customWidth="1"/>
    <col min="5459" max="5459" width="10.42578125" bestFit="1" customWidth="1"/>
    <col min="5460" max="5460" width="7.7109375" bestFit="1" customWidth="1"/>
    <col min="5461" max="5461" width="11.5703125" bestFit="1" customWidth="1"/>
    <col min="5462" max="5462" width="10.85546875" bestFit="1" customWidth="1"/>
    <col min="5463" max="5463" width="13.28515625" bestFit="1" customWidth="1"/>
    <col min="5464" max="5464" width="10.85546875" bestFit="1" customWidth="1"/>
    <col min="5465" max="5466" width="7.5703125" bestFit="1" customWidth="1"/>
    <col min="5467" max="5468" width="10.42578125" bestFit="1" customWidth="1"/>
    <col min="5469" max="5469" width="11.5703125" bestFit="1" customWidth="1"/>
    <col min="5470" max="5470" width="5.28515625" bestFit="1" customWidth="1"/>
    <col min="5471" max="5471" width="10.28515625" bestFit="1" customWidth="1"/>
    <col min="5472" max="5472" width="10.42578125" bestFit="1" customWidth="1"/>
    <col min="5473" max="5473" width="11.5703125" bestFit="1" customWidth="1"/>
    <col min="5474" max="5474" width="5.28515625" bestFit="1" customWidth="1"/>
    <col min="5475" max="5477" width="11.5703125" bestFit="1" customWidth="1"/>
    <col min="5478" max="5478" width="5.28515625" bestFit="1" customWidth="1"/>
    <col min="5479" max="5480" width="10.42578125" bestFit="1" customWidth="1"/>
    <col min="5481" max="5481" width="11.5703125" bestFit="1" customWidth="1"/>
    <col min="5482" max="5482" width="5.28515625" bestFit="1" customWidth="1"/>
    <col min="5483" max="5483" width="14.28515625" bestFit="1" customWidth="1"/>
    <col min="5484" max="5484" width="13" bestFit="1" customWidth="1"/>
    <col min="5485" max="5485" width="11.5703125" bestFit="1" customWidth="1"/>
    <col min="5486" max="5486" width="8.85546875" bestFit="1" customWidth="1"/>
    <col min="5487" max="5487" width="14.42578125" bestFit="1" customWidth="1"/>
    <col min="5488" max="5488" width="10.42578125" bestFit="1" customWidth="1"/>
    <col min="5489" max="5489" width="12.28515625" bestFit="1" customWidth="1"/>
    <col min="5490" max="5490" width="13.85546875" bestFit="1" customWidth="1"/>
    <col min="5491" max="5491" width="11.28515625" customWidth="1"/>
    <col min="5492" max="5492" width="11.5703125" customWidth="1"/>
    <col min="5493" max="5493" width="13.42578125" bestFit="1" customWidth="1"/>
    <col min="5494" max="5494" width="10.42578125" customWidth="1"/>
    <col min="5495" max="5495" width="13.85546875" bestFit="1" customWidth="1"/>
    <col min="5496" max="5496" width="15.42578125" bestFit="1" customWidth="1"/>
    <col min="5497" max="5497" width="12.28515625" bestFit="1" customWidth="1"/>
    <col min="5498" max="5498" width="12.7109375" customWidth="1"/>
    <col min="5499" max="5499" width="10.7109375" bestFit="1" customWidth="1"/>
    <col min="5500" max="5500" width="9.85546875" customWidth="1"/>
    <col min="5501" max="5502" width="10.140625" bestFit="1" customWidth="1"/>
    <col min="5503" max="5503" width="7.5703125" bestFit="1" customWidth="1"/>
    <col min="5504" max="5504" width="9.42578125" bestFit="1" customWidth="1"/>
    <col min="5505" max="5505" width="14.5703125" bestFit="1" customWidth="1"/>
    <col min="5506" max="5506" width="14.85546875" customWidth="1"/>
    <col min="5507" max="5507" width="15.140625" bestFit="1" customWidth="1"/>
    <col min="5508" max="5508" width="12.140625" bestFit="1" customWidth="1"/>
    <col min="5509" max="5509" width="14.85546875" bestFit="1" customWidth="1"/>
    <col min="5510" max="5510" width="12.28515625" bestFit="1" customWidth="1"/>
    <col min="5511" max="5519" width="9.140625" hidden="1" customWidth="1"/>
    <col min="5520" max="5520" width="5.28515625" bestFit="1" customWidth="1"/>
    <col min="5521" max="5526" width="11.5703125" bestFit="1" customWidth="1"/>
    <col min="5527" max="5527" width="11.28515625" bestFit="1" customWidth="1"/>
    <col min="5528" max="5528" width="10.140625" bestFit="1" customWidth="1"/>
    <col min="5529" max="5529" width="11.5703125" bestFit="1" customWidth="1"/>
    <col min="5530" max="5530" width="16.140625" customWidth="1"/>
    <col min="5531" max="5531" width="13.42578125" customWidth="1"/>
    <col min="5532" max="5532" width="10.140625" bestFit="1" customWidth="1"/>
    <col min="5533" max="5533" width="12.85546875" bestFit="1" customWidth="1"/>
    <col min="5534" max="5534" width="12.28515625" bestFit="1" customWidth="1"/>
    <col min="5535" max="5535" width="11.28515625" bestFit="1" customWidth="1"/>
    <col min="5536" max="5536" width="11.5703125" bestFit="1" customWidth="1"/>
    <col min="5537" max="5537" width="10.85546875" bestFit="1" customWidth="1"/>
    <col min="5538" max="5538" width="11.28515625" bestFit="1" customWidth="1"/>
    <col min="5539" max="5539" width="10.140625" bestFit="1" customWidth="1"/>
    <col min="5540" max="5540" width="13.28515625" bestFit="1" customWidth="1"/>
    <col min="5541" max="5542" width="12.7109375" bestFit="1" customWidth="1"/>
    <col min="5543" max="5543" width="11" bestFit="1" customWidth="1"/>
    <col min="5544" max="5544" width="11.28515625" bestFit="1" customWidth="1"/>
    <col min="5545" max="5545" width="11.5703125" bestFit="1" customWidth="1"/>
    <col min="5546" max="5546" width="12.28515625" bestFit="1" customWidth="1"/>
    <col min="5547" max="5547" width="15.140625" bestFit="1" customWidth="1"/>
    <col min="5548" max="5548" width="14.42578125" bestFit="1" customWidth="1"/>
    <col min="5549" max="5549" width="12.28515625" bestFit="1" customWidth="1"/>
    <col min="5550" max="5550" width="15.140625" bestFit="1" customWidth="1"/>
    <col min="5551" max="5551" width="14.42578125" bestFit="1" customWidth="1"/>
    <col min="5552" max="5552" width="12.28515625" bestFit="1" customWidth="1"/>
    <col min="5553" max="5553" width="14.42578125" bestFit="1" customWidth="1"/>
    <col min="5554" max="5554" width="11.28515625" bestFit="1" customWidth="1"/>
    <col min="5555" max="5555" width="12.28515625" bestFit="1" customWidth="1"/>
    <col min="5556" max="5556" width="13" bestFit="1" customWidth="1"/>
    <col min="5557" max="5557" width="15.140625" bestFit="1" customWidth="1"/>
    <col min="5558" max="5558" width="12.28515625" bestFit="1" customWidth="1"/>
    <col min="5559" max="5559" width="13.85546875" bestFit="1" customWidth="1"/>
    <col min="5560" max="5560" width="11.28515625" bestFit="1" customWidth="1"/>
    <col min="5561" max="5561" width="12.28515625" bestFit="1" customWidth="1"/>
    <col min="5562" max="5562" width="13.85546875" bestFit="1" customWidth="1"/>
    <col min="5563" max="5564" width="15.140625" bestFit="1" customWidth="1"/>
    <col min="5565" max="5565" width="12.28515625" bestFit="1" customWidth="1"/>
    <col min="5566" max="5566" width="5.7109375" bestFit="1" customWidth="1"/>
    <col min="5567" max="5567" width="8.5703125" bestFit="1" customWidth="1"/>
    <col min="5568" max="5568" width="5.5703125" bestFit="1" customWidth="1"/>
    <col min="5569" max="5569" width="14.42578125" bestFit="1" customWidth="1"/>
    <col min="5570" max="5570" width="11.28515625" bestFit="1" customWidth="1"/>
    <col min="5571" max="5572" width="12.28515625" bestFit="1" customWidth="1"/>
    <col min="5573" max="5573" width="11.28515625" bestFit="1" customWidth="1"/>
    <col min="5574" max="5574" width="13.85546875" bestFit="1" customWidth="1"/>
    <col min="5575" max="5575" width="12" bestFit="1" customWidth="1"/>
    <col min="5576" max="5576" width="13.85546875" bestFit="1" customWidth="1"/>
    <col min="5577" max="5578" width="14.42578125" customWidth="1"/>
    <col min="5579" max="5579" width="10.140625" bestFit="1" customWidth="1"/>
    <col min="5580" max="5580" width="12.28515625" bestFit="1" customWidth="1"/>
    <col min="5581" max="5581" width="7.42578125" bestFit="1" customWidth="1"/>
    <col min="5582" max="5582" width="8.5703125" bestFit="1" customWidth="1"/>
    <col min="5583" max="5583" width="11.5703125" bestFit="1" customWidth="1"/>
    <col min="5584" max="5584" width="13.28515625" bestFit="1" customWidth="1"/>
    <col min="5585" max="5585" width="13.28515625" customWidth="1"/>
    <col min="5586" max="5586" width="13.140625" customWidth="1"/>
    <col min="5587" max="5587" width="12.7109375" bestFit="1" customWidth="1"/>
    <col min="5588" max="5588" width="13.28515625" bestFit="1" customWidth="1"/>
    <col min="5589" max="5591" width="13.28515625" customWidth="1"/>
    <col min="5592" max="5592" width="12.140625" bestFit="1" customWidth="1"/>
    <col min="5593" max="5593" width="12.7109375" bestFit="1" customWidth="1"/>
    <col min="5594" max="5594" width="11" customWidth="1"/>
    <col min="5595" max="5595" width="16.7109375" customWidth="1"/>
    <col min="5596" max="5596" width="17" customWidth="1"/>
    <col min="5597" max="5597" width="10.42578125" bestFit="1" customWidth="1"/>
    <col min="5641" max="5641" width="3.85546875" customWidth="1"/>
    <col min="5642" max="5642" width="15.28515625" bestFit="1" customWidth="1"/>
    <col min="5643" max="5643" width="12.28515625" customWidth="1"/>
    <col min="5644" max="5644" width="16.28515625" bestFit="1" customWidth="1"/>
    <col min="5645" max="5645" width="6.42578125" bestFit="1" customWidth="1"/>
    <col min="5646" max="5646" width="9.28515625" bestFit="1" customWidth="1"/>
    <col min="5647" max="5647" width="7.5703125" bestFit="1" customWidth="1"/>
    <col min="5648" max="5648" width="13.28515625" bestFit="1" customWidth="1"/>
    <col min="5649" max="5649" width="9.28515625" bestFit="1" customWidth="1"/>
    <col min="5650" max="5650" width="11.5703125" bestFit="1" customWidth="1"/>
    <col min="5651" max="5651" width="13.28515625" bestFit="1" customWidth="1"/>
    <col min="5652" max="5652" width="7.140625" bestFit="1" customWidth="1"/>
    <col min="5653" max="5653" width="12" bestFit="1" customWidth="1"/>
    <col min="5654" max="5654" width="13.28515625" bestFit="1" customWidth="1"/>
    <col min="5655" max="5655" width="7" bestFit="1" customWidth="1"/>
    <col min="5656" max="5656" width="12.7109375" bestFit="1" customWidth="1"/>
    <col min="5657" max="5657" width="11.5703125" bestFit="1" customWidth="1"/>
    <col min="5658" max="5658" width="10.5703125" bestFit="1" customWidth="1"/>
    <col min="5659" max="5660" width="15.7109375" bestFit="1" customWidth="1"/>
    <col min="5661" max="5661" width="11.5703125" bestFit="1" customWidth="1"/>
    <col min="5662" max="5662" width="7.7109375" bestFit="1" customWidth="1"/>
    <col min="5663" max="5663" width="15.140625" bestFit="1" customWidth="1"/>
    <col min="5664" max="5664" width="11.5703125" bestFit="1" customWidth="1"/>
    <col min="5665" max="5665" width="13.28515625" bestFit="1" customWidth="1"/>
    <col min="5666" max="5666" width="10.42578125" bestFit="1" customWidth="1"/>
    <col min="5667" max="5667" width="13.28515625" bestFit="1" customWidth="1"/>
    <col min="5668" max="5668" width="12.140625" bestFit="1" customWidth="1"/>
    <col min="5669" max="5669" width="14.42578125" bestFit="1" customWidth="1"/>
    <col min="5670" max="5670" width="13.28515625" bestFit="1" customWidth="1"/>
    <col min="5671" max="5671" width="11.5703125" bestFit="1" customWidth="1"/>
    <col min="5672" max="5672" width="7.7109375" bestFit="1" customWidth="1"/>
    <col min="5673" max="5674" width="14.42578125" bestFit="1" customWidth="1"/>
    <col min="5675" max="5675" width="11.5703125" bestFit="1" customWidth="1"/>
    <col min="5676" max="5676" width="7.7109375" bestFit="1" customWidth="1"/>
    <col min="5677" max="5677" width="13.5703125" customWidth="1"/>
    <col min="5678" max="5678" width="15.28515625" customWidth="1"/>
    <col min="5679" max="5679" width="14.5703125" customWidth="1"/>
    <col min="5680" max="5680" width="13.28515625" bestFit="1" customWidth="1"/>
    <col min="5681" max="5681" width="7.7109375" bestFit="1" customWidth="1"/>
    <col min="5682" max="5682" width="12.7109375" bestFit="1" customWidth="1"/>
    <col min="5683" max="5683" width="11.7109375" bestFit="1" customWidth="1"/>
    <col min="5684" max="5684" width="11.5703125" bestFit="1" customWidth="1"/>
    <col min="5685" max="5685" width="5.28515625" bestFit="1" customWidth="1"/>
    <col min="5686" max="5686" width="13.28515625" bestFit="1" customWidth="1"/>
    <col min="5687" max="5687" width="13.5703125" bestFit="1" customWidth="1"/>
    <col min="5688" max="5688" width="10.5703125" bestFit="1" customWidth="1"/>
    <col min="5689" max="5689" width="13.28515625" bestFit="1" customWidth="1"/>
    <col min="5690" max="5690" width="11.5703125" bestFit="1" customWidth="1"/>
    <col min="5691" max="5691" width="10.5703125" bestFit="1" customWidth="1"/>
    <col min="5692" max="5692" width="16.140625" bestFit="1" customWidth="1"/>
    <col min="5693" max="5694" width="11.28515625" bestFit="1" customWidth="1"/>
    <col min="5695" max="5695" width="13.28515625" bestFit="1" customWidth="1"/>
    <col min="5696" max="5696" width="7.7109375" bestFit="1" customWidth="1"/>
    <col min="5697" max="5700" width="9.140625" hidden="1" customWidth="1"/>
    <col min="5701" max="5701" width="10.42578125" bestFit="1" customWidth="1"/>
    <col min="5702" max="5702" width="10.5703125" bestFit="1" customWidth="1"/>
    <col min="5703" max="5703" width="10.42578125" bestFit="1" customWidth="1"/>
    <col min="5704" max="5704" width="10.5703125" bestFit="1" customWidth="1"/>
    <col min="5705" max="5705" width="9.5703125" bestFit="1" customWidth="1"/>
    <col min="5706" max="5706" width="11.5703125" bestFit="1" customWidth="1"/>
    <col min="5707" max="5707" width="10.42578125" bestFit="1" customWidth="1"/>
    <col min="5708" max="5708" width="10.85546875" customWidth="1"/>
    <col min="5709" max="5710" width="9.85546875" bestFit="1" customWidth="1"/>
    <col min="5711" max="5711" width="13.5703125" bestFit="1" customWidth="1"/>
    <col min="5712" max="5712" width="7.7109375" bestFit="1" customWidth="1"/>
    <col min="5713" max="5713" width="13.28515625" bestFit="1" customWidth="1"/>
    <col min="5714" max="5714" width="11.5703125" bestFit="1" customWidth="1"/>
    <col min="5715" max="5715" width="10.42578125" bestFit="1" customWidth="1"/>
    <col min="5716" max="5716" width="7.7109375" bestFit="1" customWidth="1"/>
    <col min="5717" max="5717" width="11.5703125" bestFit="1" customWidth="1"/>
    <col min="5718" max="5718" width="10.85546875" bestFit="1" customWidth="1"/>
    <col min="5719" max="5719" width="13.28515625" bestFit="1" customWidth="1"/>
    <col min="5720" max="5720" width="10.85546875" bestFit="1" customWidth="1"/>
    <col min="5721" max="5722" width="7.5703125" bestFit="1" customWidth="1"/>
    <col min="5723" max="5724" width="10.42578125" bestFit="1" customWidth="1"/>
    <col min="5725" max="5725" width="11.5703125" bestFit="1" customWidth="1"/>
    <col min="5726" max="5726" width="5.28515625" bestFit="1" customWidth="1"/>
    <col min="5727" max="5727" width="10.28515625" bestFit="1" customWidth="1"/>
    <col min="5728" max="5728" width="10.42578125" bestFit="1" customWidth="1"/>
    <col min="5729" max="5729" width="11.5703125" bestFit="1" customWidth="1"/>
    <col min="5730" max="5730" width="5.28515625" bestFit="1" customWidth="1"/>
    <col min="5731" max="5733" width="11.5703125" bestFit="1" customWidth="1"/>
    <col min="5734" max="5734" width="5.28515625" bestFit="1" customWidth="1"/>
    <col min="5735" max="5736" width="10.42578125" bestFit="1" customWidth="1"/>
    <col min="5737" max="5737" width="11.5703125" bestFit="1" customWidth="1"/>
    <col min="5738" max="5738" width="5.28515625" bestFit="1" customWidth="1"/>
    <col min="5739" max="5739" width="14.28515625" bestFit="1" customWidth="1"/>
    <col min="5740" max="5740" width="13" bestFit="1" customWidth="1"/>
    <col min="5741" max="5741" width="11.5703125" bestFit="1" customWidth="1"/>
    <col min="5742" max="5742" width="8.85546875" bestFit="1" customWidth="1"/>
    <col min="5743" max="5743" width="14.42578125" bestFit="1" customWidth="1"/>
    <col min="5744" max="5744" width="10.42578125" bestFit="1" customWidth="1"/>
    <col min="5745" max="5745" width="12.28515625" bestFit="1" customWidth="1"/>
    <col min="5746" max="5746" width="13.85546875" bestFit="1" customWidth="1"/>
    <col min="5747" max="5747" width="11.28515625" customWidth="1"/>
    <col min="5748" max="5748" width="11.5703125" customWidth="1"/>
    <col min="5749" max="5749" width="13.42578125" bestFit="1" customWidth="1"/>
    <col min="5750" max="5750" width="10.42578125" customWidth="1"/>
    <col min="5751" max="5751" width="13.85546875" bestFit="1" customWidth="1"/>
    <col min="5752" max="5752" width="15.42578125" bestFit="1" customWidth="1"/>
    <col min="5753" max="5753" width="12.28515625" bestFit="1" customWidth="1"/>
    <col min="5754" max="5754" width="12.7109375" customWidth="1"/>
    <col min="5755" max="5755" width="10.7109375" bestFit="1" customWidth="1"/>
    <col min="5756" max="5756" width="9.85546875" customWidth="1"/>
    <col min="5757" max="5758" width="10.140625" bestFit="1" customWidth="1"/>
    <col min="5759" max="5759" width="7.5703125" bestFit="1" customWidth="1"/>
    <col min="5760" max="5760" width="9.42578125" bestFit="1" customWidth="1"/>
    <col min="5761" max="5761" width="14.5703125" bestFit="1" customWidth="1"/>
    <col min="5762" max="5762" width="14.85546875" customWidth="1"/>
    <col min="5763" max="5763" width="15.140625" bestFit="1" customWidth="1"/>
    <col min="5764" max="5764" width="12.140625" bestFit="1" customWidth="1"/>
    <col min="5765" max="5765" width="14.85546875" bestFit="1" customWidth="1"/>
    <col min="5766" max="5766" width="12.28515625" bestFit="1" customWidth="1"/>
    <col min="5767" max="5775" width="9.140625" hidden="1" customWidth="1"/>
    <col min="5776" max="5776" width="5.28515625" bestFit="1" customWidth="1"/>
    <col min="5777" max="5782" width="11.5703125" bestFit="1" customWidth="1"/>
    <col min="5783" max="5783" width="11.28515625" bestFit="1" customWidth="1"/>
    <col min="5784" max="5784" width="10.140625" bestFit="1" customWidth="1"/>
    <col min="5785" max="5785" width="11.5703125" bestFit="1" customWidth="1"/>
    <col min="5786" max="5786" width="16.140625" customWidth="1"/>
    <col min="5787" max="5787" width="13.42578125" customWidth="1"/>
    <col min="5788" max="5788" width="10.140625" bestFit="1" customWidth="1"/>
    <col min="5789" max="5789" width="12.85546875" bestFit="1" customWidth="1"/>
    <col min="5790" max="5790" width="12.28515625" bestFit="1" customWidth="1"/>
    <col min="5791" max="5791" width="11.28515625" bestFit="1" customWidth="1"/>
    <col min="5792" max="5792" width="11.5703125" bestFit="1" customWidth="1"/>
    <col min="5793" max="5793" width="10.85546875" bestFit="1" customWidth="1"/>
    <col min="5794" max="5794" width="11.28515625" bestFit="1" customWidth="1"/>
    <col min="5795" max="5795" width="10.140625" bestFit="1" customWidth="1"/>
    <col min="5796" max="5796" width="13.28515625" bestFit="1" customWidth="1"/>
    <col min="5797" max="5798" width="12.7109375" bestFit="1" customWidth="1"/>
    <col min="5799" max="5799" width="11" bestFit="1" customWidth="1"/>
    <col min="5800" max="5800" width="11.28515625" bestFit="1" customWidth="1"/>
    <col min="5801" max="5801" width="11.5703125" bestFit="1" customWidth="1"/>
    <col min="5802" max="5802" width="12.28515625" bestFit="1" customWidth="1"/>
    <col min="5803" max="5803" width="15.140625" bestFit="1" customWidth="1"/>
    <col min="5804" max="5804" width="14.42578125" bestFit="1" customWidth="1"/>
    <col min="5805" max="5805" width="12.28515625" bestFit="1" customWidth="1"/>
    <col min="5806" max="5806" width="15.140625" bestFit="1" customWidth="1"/>
    <col min="5807" max="5807" width="14.42578125" bestFit="1" customWidth="1"/>
    <col min="5808" max="5808" width="12.28515625" bestFit="1" customWidth="1"/>
    <col min="5809" max="5809" width="14.42578125" bestFit="1" customWidth="1"/>
    <col min="5810" max="5810" width="11.28515625" bestFit="1" customWidth="1"/>
    <col min="5811" max="5811" width="12.28515625" bestFit="1" customWidth="1"/>
    <col min="5812" max="5812" width="13" bestFit="1" customWidth="1"/>
    <col min="5813" max="5813" width="15.140625" bestFit="1" customWidth="1"/>
    <col min="5814" max="5814" width="12.28515625" bestFit="1" customWidth="1"/>
    <col min="5815" max="5815" width="13.85546875" bestFit="1" customWidth="1"/>
    <col min="5816" max="5816" width="11.28515625" bestFit="1" customWidth="1"/>
    <col min="5817" max="5817" width="12.28515625" bestFit="1" customWidth="1"/>
    <col min="5818" max="5818" width="13.85546875" bestFit="1" customWidth="1"/>
    <col min="5819" max="5820" width="15.140625" bestFit="1" customWidth="1"/>
    <col min="5821" max="5821" width="12.28515625" bestFit="1" customWidth="1"/>
    <col min="5822" max="5822" width="5.7109375" bestFit="1" customWidth="1"/>
    <col min="5823" max="5823" width="8.5703125" bestFit="1" customWidth="1"/>
    <col min="5824" max="5824" width="5.5703125" bestFit="1" customWidth="1"/>
    <col min="5825" max="5825" width="14.42578125" bestFit="1" customWidth="1"/>
    <col min="5826" max="5826" width="11.28515625" bestFit="1" customWidth="1"/>
    <col min="5827" max="5828" width="12.28515625" bestFit="1" customWidth="1"/>
    <col min="5829" max="5829" width="11.28515625" bestFit="1" customWidth="1"/>
    <col min="5830" max="5830" width="13.85546875" bestFit="1" customWidth="1"/>
    <col min="5831" max="5831" width="12" bestFit="1" customWidth="1"/>
    <col min="5832" max="5832" width="13.85546875" bestFit="1" customWidth="1"/>
    <col min="5833" max="5834" width="14.42578125" customWidth="1"/>
    <col min="5835" max="5835" width="10.140625" bestFit="1" customWidth="1"/>
    <col min="5836" max="5836" width="12.28515625" bestFit="1" customWidth="1"/>
    <col min="5837" max="5837" width="7.42578125" bestFit="1" customWidth="1"/>
    <col min="5838" max="5838" width="8.5703125" bestFit="1" customWidth="1"/>
    <col min="5839" max="5839" width="11.5703125" bestFit="1" customWidth="1"/>
    <col min="5840" max="5840" width="13.28515625" bestFit="1" customWidth="1"/>
    <col min="5841" max="5841" width="13.28515625" customWidth="1"/>
    <col min="5842" max="5842" width="13.140625" customWidth="1"/>
    <col min="5843" max="5843" width="12.7109375" bestFit="1" customWidth="1"/>
    <col min="5844" max="5844" width="13.28515625" bestFit="1" customWidth="1"/>
    <col min="5845" max="5847" width="13.28515625" customWidth="1"/>
    <col min="5848" max="5848" width="12.140625" bestFit="1" customWidth="1"/>
    <col min="5849" max="5849" width="12.7109375" bestFit="1" customWidth="1"/>
    <col min="5850" max="5850" width="11" customWidth="1"/>
    <col min="5851" max="5851" width="16.7109375" customWidth="1"/>
    <col min="5852" max="5852" width="17" customWidth="1"/>
    <col min="5853" max="5853" width="10.42578125" bestFit="1" customWidth="1"/>
    <col min="5897" max="5897" width="3.85546875" customWidth="1"/>
    <col min="5898" max="5898" width="15.28515625" bestFit="1" customWidth="1"/>
    <col min="5899" max="5899" width="12.28515625" customWidth="1"/>
    <col min="5900" max="5900" width="16.28515625" bestFit="1" customWidth="1"/>
    <col min="5901" max="5901" width="6.42578125" bestFit="1" customWidth="1"/>
    <col min="5902" max="5902" width="9.28515625" bestFit="1" customWidth="1"/>
    <col min="5903" max="5903" width="7.5703125" bestFit="1" customWidth="1"/>
    <col min="5904" max="5904" width="13.28515625" bestFit="1" customWidth="1"/>
    <col min="5905" max="5905" width="9.28515625" bestFit="1" customWidth="1"/>
    <col min="5906" max="5906" width="11.5703125" bestFit="1" customWidth="1"/>
    <col min="5907" max="5907" width="13.28515625" bestFit="1" customWidth="1"/>
    <col min="5908" max="5908" width="7.140625" bestFit="1" customWidth="1"/>
    <col min="5909" max="5909" width="12" bestFit="1" customWidth="1"/>
    <col min="5910" max="5910" width="13.28515625" bestFit="1" customWidth="1"/>
    <col min="5911" max="5911" width="7" bestFit="1" customWidth="1"/>
    <col min="5912" max="5912" width="12.7109375" bestFit="1" customWidth="1"/>
    <col min="5913" max="5913" width="11.5703125" bestFit="1" customWidth="1"/>
    <col min="5914" max="5914" width="10.5703125" bestFit="1" customWidth="1"/>
    <col min="5915" max="5916" width="15.7109375" bestFit="1" customWidth="1"/>
    <col min="5917" max="5917" width="11.5703125" bestFit="1" customWidth="1"/>
    <col min="5918" max="5918" width="7.7109375" bestFit="1" customWidth="1"/>
    <col min="5919" max="5919" width="15.140625" bestFit="1" customWidth="1"/>
    <col min="5920" max="5920" width="11.5703125" bestFit="1" customWidth="1"/>
    <col min="5921" max="5921" width="13.28515625" bestFit="1" customWidth="1"/>
    <col min="5922" max="5922" width="10.42578125" bestFit="1" customWidth="1"/>
    <col min="5923" max="5923" width="13.28515625" bestFit="1" customWidth="1"/>
    <col min="5924" max="5924" width="12.140625" bestFit="1" customWidth="1"/>
    <col min="5925" max="5925" width="14.42578125" bestFit="1" customWidth="1"/>
    <col min="5926" max="5926" width="13.28515625" bestFit="1" customWidth="1"/>
    <col min="5927" max="5927" width="11.5703125" bestFit="1" customWidth="1"/>
    <col min="5928" max="5928" width="7.7109375" bestFit="1" customWidth="1"/>
    <col min="5929" max="5930" width="14.42578125" bestFit="1" customWidth="1"/>
    <col min="5931" max="5931" width="11.5703125" bestFit="1" customWidth="1"/>
    <col min="5932" max="5932" width="7.7109375" bestFit="1" customWidth="1"/>
    <col min="5933" max="5933" width="13.5703125" customWidth="1"/>
    <col min="5934" max="5934" width="15.28515625" customWidth="1"/>
    <col min="5935" max="5935" width="14.5703125" customWidth="1"/>
    <col min="5936" max="5936" width="13.28515625" bestFit="1" customWidth="1"/>
    <col min="5937" max="5937" width="7.7109375" bestFit="1" customWidth="1"/>
    <col min="5938" max="5938" width="12.7109375" bestFit="1" customWidth="1"/>
    <col min="5939" max="5939" width="11.7109375" bestFit="1" customWidth="1"/>
    <col min="5940" max="5940" width="11.5703125" bestFit="1" customWidth="1"/>
    <col min="5941" max="5941" width="5.28515625" bestFit="1" customWidth="1"/>
    <col min="5942" max="5942" width="13.28515625" bestFit="1" customWidth="1"/>
    <col min="5943" max="5943" width="13.5703125" bestFit="1" customWidth="1"/>
    <col min="5944" max="5944" width="10.5703125" bestFit="1" customWidth="1"/>
    <col min="5945" max="5945" width="13.28515625" bestFit="1" customWidth="1"/>
    <col min="5946" max="5946" width="11.5703125" bestFit="1" customWidth="1"/>
    <col min="5947" max="5947" width="10.5703125" bestFit="1" customWidth="1"/>
    <col min="5948" max="5948" width="16.140625" bestFit="1" customWidth="1"/>
    <col min="5949" max="5950" width="11.28515625" bestFit="1" customWidth="1"/>
    <col min="5951" max="5951" width="13.28515625" bestFit="1" customWidth="1"/>
    <col min="5952" max="5952" width="7.7109375" bestFit="1" customWidth="1"/>
    <col min="5953" max="5956" width="9.140625" hidden="1" customWidth="1"/>
    <col min="5957" max="5957" width="10.42578125" bestFit="1" customWidth="1"/>
    <col min="5958" max="5958" width="10.5703125" bestFit="1" customWidth="1"/>
    <col min="5959" max="5959" width="10.42578125" bestFit="1" customWidth="1"/>
    <col min="5960" max="5960" width="10.5703125" bestFit="1" customWidth="1"/>
    <col min="5961" max="5961" width="9.5703125" bestFit="1" customWidth="1"/>
    <col min="5962" max="5962" width="11.5703125" bestFit="1" customWidth="1"/>
    <col min="5963" max="5963" width="10.42578125" bestFit="1" customWidth="1"/>
    <col min="5964" max="5964" width="10.85546875" customWidth="1"/>
    <col min="5965" max="5966" width="9.85546875" bestFit="1" customWidth="1"/>
    <col min="5967" max="5967" width="13.5703125" bestFit="1" customWidth="1"/>
    <col min="5968" max="5968" width="7.7109375" bestFit="1" customWidth="1"/>
    <col min="5969" max="5969" width="13.28515625" bestFit="1" customWidth="1"/>
    <col min="5970" max="5970" width="11.5703125" bestFit="1" customWidth="1"/>
    <col min="5971" max="5971" width="10.42578125" bestFit="1" customWidth="1"/>
    <col min="5972" max="5972" width="7.7109375" bestFit="1" customWidth="1"/>
    <col min="5973" max="5973" width="11.5703125" bestFit="1" customWidth="1"/>
    <col min="5974" max="5974" width="10.85546875" bestFit="1" customWidth="1"/>
    <col min="5975" max="5975" width="13.28515625" bestFit="1" customWidth="1"/>
    <col min="5976" max="5976" width="10.85546875" bestFit="1" customWidth="1"/>
    <col min="5977" max="5978" width="7.5703125" bestFit="1" customWidth="1"/>
    <col min="5979" max="5980" width="10.42578125" bestFit="1" customWidth="1"/>
    <col min="5981" max="5981" width="11.5703125" bestFit="1" customWidth="1"/>
    <col min="5982" max="5982" width="5.28515625" bestFit="1" customWidth="1"/>
    <col min="5983" max="5983" width="10.28515625" bestFit="1" customWidth="1"/>
    <col min="5984" max="5984" width="10.42578125" bestFit="1" customWidth="1"/>
    <col min="5985" max="5985" width="11.5703125" bestFit="1" customWidth="1"/>
    <col min="5986" max="5986" width="5.28515625" bestFit="1" customWidth="1"/>
    <col min="5987" max="5989" width="11.5703125" bestFit="1" customWidth="1"/>
    <col min="5990" max="5990" width="5.28515625" bestFit="1" customWidth="1"/>
    <col min="5991" max="5992" width="10.42578125" bestFit="1" customWidth="1"/>
    <col min="5993" max="5993" width="11.5703125" bestFit="1" customWidth="1"/>
    <col min="5994" max="5994" width="5.28515625" bestFit="1" customWidth="1"/>
    <col min="5995" max="5995" width="14.28515625" bestFit="1" customWidth="1"/>
    <col min="5996" max="5996" width="13" bestFit="1" customWidth="1"/>
    <col min="5997" max="5997" width="11.5703125" bestFit="1" customWidth="1"/>
    <col min="5998" max="5998" width="8.85546875" bestFit="1" customWidth="1"/>
    <col min="5999" max="5999" width="14.42578125" bestFit="1" customWidth="1"/>
    <col min="6000" max="6000" width="10.42578125" bestFit="1" customWidth="1"/>
    <col min="6001" max="6001" width="12.28515625" bestFit="1" customWidth="1"/>
    <col min="6002" max="6002" width="13.85546875" bestFit="1" customWidth="1"/>
    <col min="6003" max="6003" width="11.28515625" customWidth="1"/>
    <col min="6004" max="6004" width="11.5703125" customWidth="1"/>
    <col min="6005" max="6005" width="13.42578125" bestFit="1" customWidth="1"/>
    <col min="6006" max="6006" width="10.42578125" customWidth="1"/>
    <col min="6007" max="6007" width="13.85546875" bestFit="1" customWidth="1"/>
    <col min="6008" max="6008" width="15.42578125" bestFit="1" customWidth="1"/>
    <col min="6009" max="6009" width="12.28515625" bestFit="1" customWidth="1"/>
    <col min="6010" max="6010" width="12.7109375" customWidth="1"/>
    <col min="6011" max="6011" width="10.7109375" bestFit="1" customWidth="1"/>
    <col min="6012" max="6012" width="9.85546875" customWidth="1"/>
    <col min="6013" max="6014" width="10.140625" bestFit="1" customWidth="1"/>
    <col min="6015" max="6015" width="7.5703125" bestFit="1" customWidth="1"/>
    <col min="6016" max="6016" width="9.42578125" bestFit="1" customWidth="1"/>
    <col min="6017" max="6017" width="14.5703125" bestFit="1" customWidth="1"/>
    <col min="6018" max="6018" width="14.85546875" customWidth="1"/>
    <col min="6019" max="6019" width="15.140625" bestFit="1" customWidth="1"/>
    <col min="6020" max="6020" width="12.140625" bestFit="1" customWidth="1"/>
    <col min="6021" max="6021" width="14.85546875" bestFit="1" customWidth="1"/>
    <col min="6022" max="6022" width="12.28515625" bestFit="1" customWidth="1"/>
    <col min="6023" max="6031" width="9.140625" hidden="1" customWidth="1"/>
    <col min="6032" max="6032" width="5.28515625" bestFit="1" customWidth="1"/>
    <col min="6033" max="6038" width="11.5703125" bestFit="1" customWidth="1"/>
    <col min="6039" max="6039" width="11.28515625" bestFit="1" customWidth="1"/>
    <col min="6040" max="6040" width="10.140625" bestFit="1" customWidth="1"/>
    <col min="6041" max="6041" width="11.5703125" bestFit="1" customWidth="1"/>
    <col min="6042" max="6042" width="16.140625" customWidth="1"/>
    <col min="6043" max="6043" width="13.42578125" customWidth="1"/>
    <col min="6044" max="6044" width="10.140625" bestFit="1" customWidth="1"/>
    <col min="6045" max="6045" width="12.85546875" bestFit="1" customWidth="1"/>
    <col min="6046" max="6046" width="12.28515625" bestFit="1" customWidth="1"/>
    <col min="6047" max="6047" width="11.28515625" bestFit="1" customWidth="1"/>
    <col min="6048" max="6048" width="11.5703125" bestFit="1" customWidth="1"/>
    <col min="6049" max="6049" width="10.85546875" bestFit="1" customWidth="1"/>
    <col min="6050" max="6050" width="11.28515625" bestFit="1" customWidth="1"/>
    <col min="6051" max="6051" width="10.140625" bestFit="1" customWidth="1"/>
    <col min="6052" max="6052" width="13.28515625" bestFit="1" customWidth="1"/>
    <col min="6053" max="6054" width="12.7109375" bestFit="1" customWidth="1"/>
    <col min="6055" max="6055" width="11" bestFit="1" customWidth="1"/>
    <col min="6056" max="6056" width="11.28515625" bestFit="1" customWidth="1"/>
    <col min="6057" max="6057" width="11.5703125" bestFit="1" customWidth="1"/>
    <col min="6058" max="6058" width="12.28515625" bestFit="1" customWidth="1"/>
    <col min="6059" max="6059" width="15.140625" bestFit="1" customWidth="1"/>
    <col min="6060" max="6060" width="14.42578125" bestFit="1" customWidth="1"/>
    <col min="6061" max="6061" width="12.28515625" bestFit="1" customWidth="1"/>
    <col min="6062" max="6062" width="15.140625" bestFit="1" customWidth="1"/>
    <col min="6063" max="6063" width="14.42578125" bestFit="1" customWidth="1"/>
    <col min="6064" max="6064" width="12.28515625" bestFit="1" customWidth="1"/>
    <col min="6065" max="6065" width="14.42578125" bestFit="1" customWidth="1"/>
    <col min="6066" max="6066" width="11.28515625" bestFit="1" customWidth="1"/>
    <col min="6067" max="6067" width="12.28515625" bestFit="1" customWidth="1"/>
    <col min="6068" max="6068" width="13" bestFit="1" customWidth="1"/>
    <col min="6069" max="6069" width="15.140625" bestFit="1" customWidth="1"/>
    <col min="6070" max="6070" width="12.28515625" bestFit="1" customWidth="1"/>
    <col min="6071" max="6071" width="13.85546875" bestFit="1" customWidth="1"/>
    <col min="6072" max="6072" width="11.28515625" bestFit="1" customWidth="1"/>
    <col min="6073" max="6073" width="12.28515625" bestFit="1" customWidth="1"/>
    <col min="6074" max="6074" width="13.85546875" bestFit="1" customWidth="1"/>
    <col min="6075" max="6076" width="15.140625" bestFit="1" customWidth="1"/>
    <col min="6077" max="6077" width="12.28515625" bestFit="1" customWidth="1"/>
    <col min="6078" max="6078" width="5.7109375" bestFit="1" customWidth="1"/>
    <col min="6079" max="6079" width="8.5703125" bestFit="1" customWidth="1"/>
    <col min="6080" max="6080" width="5.5703125" bestFit="1" customWidth="1"/>
    <col min="6081" max="6081" width="14.42578125" bestFit="1" customWidth="1"/>
    <col min="6082" max="6082" width="11.28515625" bestFit="1" customWidth="1"/>
    <col min="6083" max="6084" width="12.28515625" bestFit="1" customWidth="1"/>
    <col min="6085" max="6085" width="11.28515625" bestFit="1" customWidth="1"/>
    <col min="6086" max="6086" width="13.85546875" bestFit="1" customWidth="1"/>
    <col min="6087" max="6087" width="12" bestFit="1" customWidth="1"/>
    <col min="6088" max="6088" width="13.85546875" bestFit="1" customWidth="1"/>
    <col min="6089" max="6090" width="14.42578125" customWidth="1"/>
    <col min="6091" max="6091" width="10.140625" bestFit="1" customWidth="1"/>
    <col min="6092" max="6092" width="12.28515625" bestFit="1" customWidth="1"/>
    <col min="6093" max="6093" width="7.42578125" bestFit="1" customWidth="1"/>
    <col min="6094" max="6094" width="8.5703125" bestFit="1" customWidth="1"/>
    <col min="6095" max="6095" width="11.5703125" bestFit="1" customWidth="1"/>
    <col min="6096" max="6096" width="13.28515625" bestFit="1" customWidth="1"/>
    <col min="6097" max="6097" width="13.28515625" customWidth="1"/>
    <col min="6098" max="6098" width="13.140625" customWidth="1"/>
    <col min="6099" max="6099" width="12.7109375" bestFit="1" customWidth="1"/>
    <col min="6100" max="6100" width="13.28515625" bestFit="1" customWidth="1"/>
    <col min="6101" max="6103" width="13.28515625" customWidth="1"/>
    <col min="6104" max="6104" width="12.140625" bestFit="1" customWidth="1"/>
    <col min="6105" max="6105" width="12.7109375" bestFit="1" customWidth="1"/>
    <col min="6106" max="6106" width="11" customWidth="1"/>
    <col min="6107" max="6107" width="16.7109375" customWidth="1"/>
    <col min="6108" max="6108" width="17" customWidth="1"/>
    <col min="6109" max="6109" width="10.42578125" bestFit="1" customWidth="1"/>
    <col min="6153" max="6153" width="3.85546875" customWidth="1"/>
    <col min="6154" max="6154" width="15.28515625" bestFit="1" customWidth="1"/>
    <col min="6155" max="6155" width="12.28515625" customWidth="1"/>
    <col min="6156" max="6156" width="16.28515625" bestFit="1" customWidth="1"/>
    <col min="6157" max="6157" width="6.42578125" bestFit="1" customWidth="1"/>
    <col min="6158" max="6158" width="9.28515625" bestFit="1" customWidth="1"/>
    <col min="6159" max="6159" width="7.5703125" bestFit="1" customWidth="1"/>
    <col min="6160" max="6160" width="13.28515625" bestFit="1" customWidth="1"/>
    <col min="6161" max="6161" width="9.28515625" bestFit="1" customWidth="1"/>
    <col min="6162" max="6162" width="11.5703125" bestFit="1" customWidth="1"/>
    <col min="6163" max="6163" width="13.28515625" bestFit="1" customWidth="1"/>
    <col min="6164" max="6164" width="7.140625" bestFit="1" customWidth="1"/>
    <col min="6165" max="6165" width="12" bestFit="1" customWidth="1"/>
    <col min="6166" max="6166" width="13.28515625" bestFit="1" customWidth="1"/>
    <col min="6167" max="6167" width="7" bestFit="1" customWidth="1"/>
    <col min="6168" max="6168" width="12.7109375" bestFit="1" customWidth="1"/>
    <col min="6169" max="6169" width="11.5703125" bestFit="1" customWidth="1"/>
    <col min="6170" max="6170" width="10.5703125" bestFit="1" customWidth="1"/>
    <col min="6171" max="6172" width="15.7109375" bestFit="1" customWidth="1"/>
    <col min="6173" max="6173" width="11.5703125" bestFit="1" customWidth="1"/>
    <col min="6174" max="6174" width="7.7109375" bestFit="1" customWidth="1"/>
    <col min="6175" max="6175" width="15.140625" bestFit="1" customWidth="1"/>
    <col min="6176" max="6176" width="11.5703125" bestFit="1" customWidth="1"/>
    <col min="6177" max="6177" width="13.28515625" bestFit="1" customWidth="1"/>
    <col min="6178" max="6178" width="10.42578125" bestFit="1" customWidth="1"/>
    <col min="6179" max="6179" width="13.28515625" bestFit="1" customWidth="1"/>
    <col min="6180" max="6180" width="12.140625" bestFit="1" customWidth="1"/>
    <col min="6181" max="6181" width="14.42578125" bestFit="1" customWidth="1"/>
    <col min="6182" max="6182" width="13.28515625" bestFit="1" customWidth="1"/>
    <col min="6183" max="6183" width="11.5703125" bestFit="1" customWidth="1"/>
    <col min="6184" max="6184" width="7.7109375" bestFit="1" customWidth="1"/>
    <col min="6185" max="6186" width="14.42578125" bestFit="1" customWidth="1"/>
    <col min="6187" max="6187" width="11.5703125" bestFit="1" customWidth="1"/>
    <col min="6188" max="6188" width="7.7109375" bestFit="1" customWidth="1"/>
    <col min="6189" max="6189" width="13.5703125" customWidth="1"/>
    <col min="6190" max="6190" width="15.28515625" customWidth="1"/>
    <col min="6191" max="6191" width="14.5703125" customWidth="1"/>
    <col min="6192" max="6192" width="13.28515625" bestFit="1" customWidth="1"/>
    <col min="6193" max="6193" width="7.7109375" bestFit="1" customWidth="1"/>
    <col min="6194" max="6194" width="12.7109375" bestFit="1" customWidth="1"/>
    <col min="6195" max="6195" width="11.7109375" bestFit="1" customWidth="1"/>
    <col min="6196" max="6196" width="11.5703125" bestFit="1" customWidth="1"/>
    <col min="6197" max="6197" width="5.28515625" bestFit="1" customWidth="1"/>
    <col min="6198" max="6198" width="13.28515625" bestFit="1" customWidth="1"/>
    <col min="6199" max="6199" width="13.5703125" bestFit="1" customWidth="1"/>
    <col min="6200" max="6200" width="10.5703125" bestFit="1" customWidth="1"/>
    <col min="6201" max="6201" width="13.28515625" bestFit="1" customWidth="1"/>
    <col min="6202" max="6202" width="11.5703125" bestFit="1" customWidth="1"/>
    <col min="6203" max="6203" width="10.5703125" bestFit="1" customWidth="1"/>
    <col min="6204" max="6204" width="16.140625" bestFit="1" customWidth="1"/>
    <col min="6205" max="6206" width="11.28515625" bestFit="1" customWidth="1"/>
    <col min="6207" max="6207" width="13.28515625" bestFit="1" customWidth="1"/>
    <col min="6208" max="6208" width="7.7109375" bestFit="1" customWidth="1"/>
    <col min="6209" max="6212" width="9.140625" hidden="1" customWidth="1"/>
    <col min="6213" max="6213" width="10.42578125" bestFit="1" customWidth="1"/>
    <col min="6214" max="6214" width="10.5703125" bestFit="1" customWidth="1"/>
    <col min="6215" max="6215" width="10.42578125" bestFit="1" customWidth="1"/>
    <col min="6216" max="6216" width="10.5703125" bestFit="1" customWidth="1"/>
    <col min="6217" max="6217" width="9.5703125" bestFit="1" customWidth="1"/>
    <col min="6218" max="6218" width="11.5703125" bestFit="1" customWidth="1"/>
    <col min="6219" max="6219" width="10.42578125" bestFit="1" customWidth="1"/>
    <col min="6220" max="6220" width="10.85546875" customWidth="1"/>
    <col min="6221" max="6222" width="9.85546875" bestFit="1" customWidth="1"/>
    <col min="6223" max="6223" width="13.5703125" bestFit="1" customWidth="1"/>
    <col min="6224" max="6224" width="7.7109375" bestFit="1" customWidth="1"/>
    <col min="6225" max="6225" width="13.28515625" bestFit="1" customWidth="1"/>
    <col min="6226" max="6226" width="11.5703125" bestFit="1" customWidth="1"/>
    <col min="6227" max="6227" width="10.42578125" bestFit="1" customWidth="1"/>
    <col min="6228" max="6228" width="7.7109375" bestFit="1" customWidth="1"/>
    <col min="6229" max="6229" width="11.5703125" bestFit="1" customWidth="1"/>
    <col min="6230" max="6230" width="10.85546875" bestFit="1" customWidth="1"/>
    <col min="6231" max="6231" width="13.28515625" bestFit="1" customWidth="1"/>
    <col min="6232" max="6232" width="10.85546875" bestFit="1" customWidth="1"/>
    <col min="6233" max="6234" width="7.5703125" bestFit="1" customWidth="1"/>
    <col min="6235" max="6236" width="10.42578125" bestFit="1" customWidth="1"/>
    <col min="6237" max="6237" width="11.5703125" bestFit="1" customWidth="1"/>
    <col min="6238" max="6238" width="5.28515625" bestFit="1" customWidth="1"/>
    <col min="6239" max="6239" width="10.28515625" bestFit="1" customWidth="1"/>
    <col min="6240" max="6240" width="10.42578125" bestFit="1" customWidth="1"/>
    <col min="6241" max="6241" width="11.5703125" bestFit="1" customWidth="1"/>
    <col min="6242" max="6242" width="5.28515625" bestFit="1" customWidth="1"/>
    <col min="6243" max="6245" width="11.5703125" bestFit="1" customWidth="1"/>
    <col min="6246" max="6246" width="5.28515625" bestFit="1" customWidth="1"/>
    <col min="6247" max="6248" width="10.42578125" bestFit="1" customWidth="1"/>
    <col min="6249" max="6249" width="11.5703125" bestFit="1" customWidth="1"/>
    <col min="6250" max="6250" width="5.28515625" bestFit="1" customWidth="1"/>
    <col min="6251" max="6251" width="14.28515625" bestFit="1" customWidth="1"/>
    <col min="6252" max="6252" width="13" bestFit="1" customWidth="1"/>
    <col min="6253" max="6253" width="11.5703125" bestFit="1" customWidth="1"/>
    <col min="6254" max="6254" width="8.85546875" bestFit="1" customWidth="1"/>
    <col min="6255" max="6255" width="14.42578125" bestFit="1" customWidth="1"/>
    <col min="6256" max="6256" width="10.42578125" bestFit="1" customWidth="1"/>
    <col min="6257" max="6257" width="12.28515625" bestFit="1" customWidth="1"/>
    <col min="6258" max="6258" width="13.85546875" bestFit="1" customWidth="1"/>
    <col min="6259" max="6259" width="11.28515625" customWidth="1"/>
    <col min="6260" max="6260" width="11.5703125" customWidth="1"/>
    <col min="6261" max="6261" width="13.42578125" bestFit="1" customWidth="1"/>
    <col min="6262" max="6262" width="10.42578125" customWidth="1"/>
    <col min="6263" max="6263" width="13.85546875" bestFit="1" customWidth="1"/>
    <col min="6264" max="6264" width="15.42578125" bestFit="1" customWidth="1"/>
    <col min="6265" max="6265" width="12.28515625" bestFit="1" customWidth="1"/>
    <col min="6266" max="6266" width="12.7109375" customWidth="1"/>
    <col min="6267" max="6267" width="10.7109375" bestFit="1" customWidth="1"/>
    <col min="6268" max="6268" width="9.85546875" customWidth="1"/>
    <col min="6269" max="6270" width="10.140625" bestFit="1" customWidth="1"/>
    <col min="6271" max="6271" width="7.5703125" bestFit="1" customWidth="1"/>
    <col min="6272" max="6272" width="9.42578125" bestFit="1" customWidth="1"/>
    <col min="6273" max="6273" width="14.5703125" bestFit="1" customWidth="1"/>
    <col min="6274" max="6274" width="14.85546875" customWidth="1"/>
    <col min="6275" max="6275" width="15.140625" bestFit="1" customWidth="1"/>
    <col min="6276" max="6276" width="12.140625" bestFit="1" customWidth="1"/>
    <col min="6277" max="6277" width="14.85546875" bestFit="1" customWidth="1"/>
    <col min="6278" max="6278" width="12.28515625" bestFit="1" customWidth="1"/>
    <col min="6279" max="6287" width="9.140625" hidden="1" customWidth="1"/>
    <col min="6288" max="6288" width="5.28515625" bestFit="1" customWidth="1"/>
    <col min="6289" max="6294" width="11.5703125" bestFit="1" customWidth="1"/>
    <col min="6295" max="6295" width="11.28515625" bestFit="1" customWidth="1"/>
    <col min="6296" max="6296" width="10.140625" bestFit="1" customWidth="1"/>
    <col min="6297" max="6297" width="11.5703125" bestFit="1" customWidth="1"/>
    <col min="6298" max="6298" width="16.140625" customWidth="1"/>
    <col min="6299" max="6299" width="13.42578125" customWidth="1"/>
    <col min="6300" max="6300" width="10.140625" bestFit="1" customWidth="1"/>
    <col min="6301" max="6301" width="12.85546875" bestFit="1" customWidth="1"/>
    <col min="6302" max="6302" width="12.28515625" bestFit="1" customWidth="1"/>
    <col min="6303" max="6303" width="11.28515625" bestFit="1" customWidth="1"/>
    <col min="6304" max="6304" width="11.5703125" bestFit="1" customWidth="1"/>
    <col min="6305" max="6305" width="10.85546875" bestFit="1" customWidth="1"/>
    <col min="6306" max="6306" width="11.28515625" bestFit="1" customWidth="1"/>
    <col min="6307" max="6307" width="10.140625" bestFit="1" customWidth="1"/>
    <col min="6308" max="6308" width="13.28515625" bestFit="1" customWidth="1"/>
    <col min="6309" max="6310" width="12.7109375" bestFit="1" customWidth="1"/>
    <col min="6311" max="6311" width="11" bestFit="1" customWidth="1"/>
    <col min="6312" max="6312" width="11.28515625" bestFit="1" customWidth="1"/>
    <col min="6313" max="6313" width="11.5703125" bestFit="1" customWidth="1"/>
    <col min="6314" max="6314" width="12.28515625" bestFit="1" customWidth="1"/>
    <col min="6315" max="6315" width="15.140625" bestFit="1" customWidth="1"/>
    <col min="6316" max="6316" width="14.42578125" bestFit="1" customWidth="1"/>
    <col min="6317" max="6317" width="12.28515625" bestFit="1" customWidth="1"/>
    <col min="6318" max="6318" width="15.140625" bestFit="1" customWidth="1"/>
    <col min="6319" max="6319" width="14.42578125" bestFit="1" customWidth="1"/>
    <col min="6320" max="6320" width="12.28515625" bestFit="1" customWidth="1"/>
    <col min="6321" max="6321" width="14.42578125" bestFit="1" customWidth="1"/>
    <col min="6322" max="6322" width="11.28515625" bestFit="1" customWidth="1"/>
    <col min="6323" max="6323" width="12.28515625" bestFit="1" customWidth="1"/>
    <col min="6324" max="6324" width="13" bestFit="1" customWidth="1"/>
    <col min="6325" max="6325" width="15.140625" bestFit="1" customWidth="1"/>
    <col min="6326" max="6326" width="12.28515625" bestFit="1" customWidth="1"/>
    <col min="6327" max="6327" width="13.85546875" bestFit="1" customWidth="1"/>
    <col min="6328" max="6328" width="11.28515625" bestFit="1" customWidth="1"/>
    <col min="6329" max="6329" width="12.28515625" bestFit="1" customWidth="1"/>
    <col min="6330" max="6330" width="13.85546875" bestFit="1" customWidth="1"/>
    <col min="6331" max="6332" width="15.140625" bestFit="1" customWidth="1"/>
    <col min="6333" max="6333" width="12.28515625" bestFit="1" customWidth="1"/>
    <col min="6334" max="6334" width="5.7109375" bestFit="1" customWidth="1"/>
    <col min="6335" max="6335" width="8.5703125" bestFit="1" customWidth="1"/>
    <col min="6336" max="6336" width="5.5703125" bestFit="1" customWidth="1"/>
    <col min="6337" max="6337" width="14.42578125" bestFit="1" customWidth="1"/>
    <col min="6338" max="6338" width="11.28515625" bestFit="1" customWidth="1"/>
    <col min="6339" max="6340" width="12.28515625" bestFit="1" customWidth="1"/>
    <col min="6341" max="6341" width="11.28515625" bestFit="1" customWidth="1"/>
    <col min="6342" max="6342" width="13.85546875" bestFit="1" customWidth="1"/>
    <col min="6343" max="6343" width="12" bestFit="1" customWidth="1"/>
    <col min="6344" max="6344" width="13.85546875" bestFit="1" customWidth="1"/>
    <col min="6345" max="6346" width="14.42578125" customWidth="1"/>
    <col min="6347" max="6347" width="10.140625" bestFit="1" customWidth="1"/>
    <col min="6348" max="6348" width="12.28515625" bestFit="1" customWidth="1"/>
    <col min="6349" max="6349" width="7.42578125" bestFit="1" customWidth="1"/>
    <col min="6350" max="6350" width="8.5703125" bestFit="1" customWidth="1"/>
    <col min="6351" max="6351" width="11.5703125" bestFit="1" customWidth="1"/>
    <col min="6352" max="6352" width="13.28515625" bestFit="1" customWidth="1"/>
    <col min="6353" max="6353" width="13.28515625" customWidth="1"/>
    <col min="6354" max="6354" width="13.140625" customWidth="1"/>
    <col min="6355" max="6355" width="12.7109375" bestFit="1" customWidth="1"/>
    <col min="6356" max="6356" width="13.28515625" bestFit="1" customWidth="1"/>
    <col min="6357" max="6359" width="13.28515625" customWidth="1"/>
    <col min="6360" max="6360" width="12.140625" bestFit="1" customWidth="1"/>
    <col min="6361" max="6361" width="12.7109375" bestFit="1" customWidth="1"/>
    <col min="6362" max="6362" width="11" customWidth="1"/>
    <col min="6363" max="6363" width="16.7109375" customWidth="1"/>
    <col min="6364" max="6364" width="17" customWidth="1"/>
    <col min="6365" max="6365" width="10.42578125" bestFit="1" customWidth="1"/>
    <col min="6409" max="6409" width="3.85546875" customWidth="1"/>
    <col min="6410" max="6410" width="15.28515625" bestFit="1" customWidth="1"/>
    <col min="6411" max="6411" width="12.28515625" customWidth="1"/>
    <col min="6412" max="6412" width="16.28515625" bestFit="1" customWidth="1"/>
    <col min="6413" max="6413" width="6.42578125" bestFit="1" customWidth="1"/>
    <col min="6414" max="6414" width="9.28515625" bestFit="1" customWidth="1"/>
    <col min="6415" max="6415" width="7.5703125" bestFit="1" customWidth="1"/>
    <col min="6416" max="6416" width="13.28515625" bestFit="1" customWidth="1"/>
    <col min="6417" max="6417" width="9.28515625" bestFit="1" customWidth="1"/>
    <col min="6418" max="6418" width="11.5703125" bestFit="1" customWidth="1"/>
    <col min="6419" max="6419" width="13.28515625" bestFit="1" customWidth="1"/>
    <col min="6420" max="6420" width="7.140625" bestFit="1" customWidth="1"/>
    <col min="6421" max="6421" width="12" bestFit="1" customWidth="1"/>
    <col min="6422" max="6422" width="13.28515625" bestFit="1" customWidth="1"/>
    <col min="6423" max="6423" width="7" bestFit="1" customWidth="1"/>
    <col min="6424" max="6424" width="12.7109375" bestFit="1" customWidth="1"/>
    <col min="6425" max="6425" width="11.5703125" bestFit="1" customWidth="1"/>
    <col min="6426" max="6426" width="10.5703125" bestFit="1" customWidth="1"/>
    <col min="6427" max="6428" width="15.7109375" bestFit="1" customWidth="1"/>
    <col min="6429" max="6429" width="11.5703125" bestFit="1" customWidth="1"/>
    <col min="6430" max="6430" width="7.7109375" bestFit="1" customWidth="1"/>
    <col min="6431" max="6431" width="15.140625" bestFit="1" customWidth="1"/>
    <col min="6432" max="6432" width="11.5703125" bestFit="1" customWidth="1"/>
    <col min="6433" max="6433" width="13.28515625" bestFit="1" customWidth="1"/>
    <col min="6434" max="6434" width="10.42578125" bestFit="1" customWidth="1"/>
    <col min="6435" max="6435" width="13.28515625" bestFit="1" customWidth="1"/>
    <col min="6436" max="6436" width="12.140625" bestFit="1" customWidth="1"/>
    <col min="6437" max="6437" width="14.42578125" bestFit="1" customWidth="1"/>
    <col min="6438" max="6438" width="13.28515625" bestFit="1" customWidth="1"/>
    <col min="6439" max="6439" width="11.5703125" bestFit="1" customWidth="1"/>
    <col min="6440" max="6440" width="7.7109375" bestFit="1" customWidth="1"/>
    <col min="6441" max="6442" width="14.42578125" bestFit="1" customWidth="1"/>
    <col min="6443" max="6443" width="11.5703125" bestFit="1" customWidth="1"/>
    <col min="6444" max="6444" width="7.7109375" bestFit="1" customWidth="1"/>
    <col min="6445" max="6445" width="13.5703125" customWidth="1"/>
    <col min="6446" max="6446" width="15.28515625" customWidth="1"/>
    <col min="6447" max="6447" width="14.5703125" customWidth="1"/>
    <col min="6448" max="6448" width="13.28515625" bestFit="1" customWidth="1"/>
    <col min="6449" max="6449" width="7.7109375" bestFit="1" customWidth="1"/>
    <col min="6450" max="6450" width="12.7109375" bestFit="1" customWidth="1"/>
    <col min="6451" max="6451" width="11.7109375" bestFit="1" customWidth="1"/>
    <col min="6452" max="6452" width="11.5703125" bestFit="1" customWidth="1"/>
    <col min="6453" max="6453" width="5.28515625" bestFit="1" customWidth="1"/>
    <col min="6454" max="6454" width="13.28515625" bestFit="1" customWidth="1"/>
    <col min="6455" max="6455" width="13.5703125" bestFit="1" customWidth="1"/>
    <col min="6456" max="6456" width="10.5703125" bestFit="1" customWidth="1"/>
    <col min="6457" max="6457" width="13.28515625" bestFit="1" customWidth="1"/>
    <col min="6458" max="6458" width="11.5703125" bestFit="1" customWidth="1"/>
    <col min="6459" max="6459" width="10.5703125" bestFit="1" customWidth="1"/>
    <col min="6460" max="6460" width="16.140625" bestFit="1" customWidth="1"/>
    <col min="6461" max="6462" width="11.28515625" bestFit="1" customWidth="1"/>
    <col min="6463" max="6463" width="13.28515625" bestFit="1" customWidth="1"/>
    <col min="6464" max="6464" width="7.7109375" bestFit="1" customWidth="1"/>
    <col min="6465" max="6468" width="9.140625" hidden="1" customWidth="1"/>
    <col min="6469" max="6469" width="10.42578125" bestFit="1" customWidth="1"/>
    <col min="6470" max="6470" width="10.5703125" bestFit="1" customWidth="1"/>
    <col min="6471" max="6471" width="10.42578125" bestFit="1" customWidth="1"/>
    <col min="6472" max="6472" width="10.5703125" bestFit="1" customWidth="1"/>
    <col min="6473" max="6473" width="9.5703125" bestFit="1" customWidth="1"/>
    <col min="6474" max="6474" width="11.5703125" bestFit="1" customWidth="1"/>
    <col min="6475" max="6475" width="10.42578125" bestFit="1" customWidth="1"/>
    <col min="6476" max="6476" width="10.85546875" customWidth="1"/>
    <col min="6477" max="6478" width="9.85546875" bestFit="1" customWidth="1"/>
    <col min="6479" max="6479" width="13.5703125" bestFit="1" customWidth="1"/>
    <col min="6480" max="6480" width="7.7109375" bestFit="1" customWidth="1"/>
    <col min="6481" max="6481" width="13.28515625" bestFit="1" customWidth="1"/>
    <col min="6482" max="6482" width="11.5703125" bestFit="1" customWidth="1"/>
    <col min="6483" max="6483" width="10.42578125" bestFit="1" customWidth="1"/>
    <col min="6484" max="6484" width="7.7109375" bestFit="1" customWidth="1"/>
    <col min="6485" max="6485" width="11.5703125" bestFit="1" customWidth="1"/>
    <col min="6486" max="6486" width="10.85546875" bestFit="1" customWidth="1"/>
    <col min="6487" max="6487" width="13.28515625" bestFit="1" customWidth="1"/>
    <col min="6488" max="6488" width="10.85546875" bestFit="1" customWidth="1"/>
    <col min="6489" max="6490" width="7.5703125" bestFit="1" customWidth="1"/>
    <col min="6491" max="6492" width="10.42578125" bestFit="1" customWidth="1"/>
    <col min="6493" max="6493" width="11.5703125" bestFit="1" customWidth="1"/>
    <col min="6494" max="6494" width="5.28515625" bestFit="1" customWidth="1"/>
    <col min="6495" max="6495" width="10.28515625" bestFit="1" customWidth="1"/>
    <col min="6496" max="6496" width="10.42578125" bestFit="1" customWidth="1"/>
    <col min="6497" max="6497" width="11.5703125" bestFit="1" customWidth="1"/>
    <col min="6498" max="6498" width="5.28515625" bestFit="1" customWidth="1"/>
    <col min="6499" max="6501" width="11.5703125" bestFit="1" customWidth="1"/>
    <col min="6502" max="6502" width="5.28515625" bestFit="1" customWidth="1"/>
    <col min="6503" max="6504" width="10.42578125" bestFit="1" customWidth="1"/>
    <col min="6505" max="6505" width="11.5703125" bestFit="1" customWidth="1"/>
    <col min="6506" max="6506" width="5.28515625" bestFit="1" customWidth="1"/>
    <col min="6507" max="6507" width="14.28515625" bestFit="1" customWidth="1"/>
    <col min="6508" max="6508" width="13" bestFit="1" customWidth="1"/>
    <col min="6509" max="6509" width="11.5703125" bestFit="1" customWidth="1"/>
    <col min="6510" max="6510" width="8.85546875" bestFit="1" customWidth="1"/>
    <col min="6511" max="6511" width="14.42578125" bestFit="1" customWidth="1"/>
    <col min="6512" max="6512" width="10.42578125" bestFit="1" customWidth="1"/>
    <col min="6513" max="6513" width="12.28515625" bestFit="1" customWidth="1"/>
    <col min="6514" max="6514" width="13.85546875" bestFit="1" customWidth="1"/>
    <col min="6515" max="6515" width="11.28515625" customWidth="1"/>
    <col min="6516" max="6516" width="11.5703125" customWidth="1"/>
    <col min="6517" max="6517" width="13.42578125" bestFit="1" customWidth="1"/>
    <col min="6518" max="6518" width="10.42578125" customWidth="1"/>
    <col min="6519" max="6519" width="13.85546875" bestFit="1" customWidth="1"/>
    <col min="6520" max="6520" width="15.42578125" bestFit="1" customWidth="1"/>
    <col min="6521" max="6521" width="12.28515625" bestFit="1" customWidth="1"/>
    <col min="6522" max="6522" width="12.7109375" customWidth="1"/>
    <col min="6523" max="6523" width="10.7109375" bestFit="1" customWidth="1"/>
    <col min="6524" max="6524" width="9.85546875" customWidth="1"/>
    <col min="6525" max="6526" width="10.140625" bestFit="1" customWidth="1"/>
    <col min="6527" max="6527" width="7.5703125" bestFit="1" customWidth="1"/>
    <col min="6528" max="6528" width="9.42578125" bestFit="1" customWidth="1"/>
    <col min="6529" max="6529" width="14.5703125" bestFit="1" customWidth="1"/>
    <col min="6530" max="6530" width="14.85546875" customWidth="1"/>
    <col min="6531" max="6531" width="15.140625" bestFit="1" customWidth="1"/>
    <col min="6532" max="6532" width="12.140625" bestFit="1" customWidth="1"/>
    <col min="6533" max="6533" width="14.85546875" bestFit="1" customWidth="1"/>
    <col min="6534" max="6534" width="12.28515625" bestFit="1" customWidth="1"/>
    <col min="6535" max="6543" width="9.140625" hidden="1" customWidth="1"/>
    <col min="6544" max="6544" width="5.28515625" bestFit="1" customWidth="1"/>
    <col min="6545" max="6550" width="11.5703125" bestFit="1" customWidth="1"/>
    <col min="6551" max="6551" width="11.28515625" bestFit="1" customWidth="1"/>
    <col min="6552" max="6552" width="10.140625" bestFit="1" customWidth="1"/>
    <col min="6553" max="6553" width="11.5703125" bestFit="1" customWidth="1"/>
    <col min="6554" max="6554" width="16.140625" customWidth="1"/>
    <col min="6555" max="6555" width="13.42578125" customWidth="1"/>
    <col min="6556" max="6556" width="10.140625" bestFit="1" customWidth="1"/>
    <col min="6557" max="6557" width="12.85546875" bestFit="1" customWidth="1"/>
    <col min="6558" max="6558" width="12.28515625" bestFit="1" customWidth="1"/>
    <col min="6559" max="6559" width="11.28515625" bestFit="1" customWidth="1"/>
    <col min="6560" max="6560" width="11.5703125" bestFit="1" customWidth="1"/>
    <col min="6561" max="6561" width="10.85546875" bestFit="1" customWidth="1"/>
    <col min="6562" max="6562" width="11.28515625" bestFit="1" customWidth="1"/>
    <col min="6563" max="6563" width="10.140625" bestFit="1" customWidth="1"/>
    <col min="6564" max="6564" width="13.28515625" bestFit="1" customWidth="1"/>
    <col min="6565" max="6566" width="12.7109375" bestFit="1" customWidth="1"/>
    <col min="6567" max="6567" width="11" bestFit="1" customWidth="1"/>
    <col min="6568" max="6568" width="11.28515625" bestFit="1" customWidth="1"/>
    <col min="6569" max="6569" width="11.5703125" bestFit="1" customWidth="1"/>
    <col min="6570" max="6570" width="12.28515625" bestFit="1" customWidth="1"/>
    <col min="6571" max="6571" width="15.140625" bestFit="1" customWidth="1"/>
    <col min="6572" max="6572" width="14.42578125" bestFit="1" customWidth="1"/>
    <col min="6573" max="6573" width="12.28515625" bestFit="1" customWidth="1"/>
    <col min="6574" max="6574" width="15.140625" bestFit="1" customWidth="1"/>
    <col min="6575" max="6575" width="14.42578125" bestFit="1" customWidth="1"/>
    <col min="6576" max="6576" width="12.28515625" bestFit="1" customWidth="1"/>
    <col min="6577" max="6577" width="14.42578125" bestFit="1" customWidth="1"/>
    <col min="6578" max="6578" width="11.28515625" bestFit="1" customWidth="1"/>
    <col min="6579" max="6579" width="12.28515625" bestFit="1" customWidth="1"/>
    <col min="6580" max="6580" width="13" bestFit="1" customWidth="1"/>
    <col min="6581" max="6581" width="15.140625" bestFit="1" customWidth="1"/>
    <col min="6582" max="6582" width="12.28515625" bestFit="1" customWidth="1"/>
    <col min="6583" max="6583" width="13.85546875" bestFit="1" customWidth="1"/>
    <col min="6584" max="6584" width="11.28515625" bestFit="1" customWidth="1"/>
    <col min="6585" max="6585" width="12.28515625" bestFit="1" customWidth="1"/>
    <col min="6586" max="6586" width="13.85546875" bestFit="1" customWidth="1"/>
    <col min="6587" max="6588" width="15.140625" bestFit="1" customWidth="1"/>
    <col min="6589" max="6589" width="12.28515625" bestFit="1" customWidth="1"/>
    <col min="6590" max="6590" width="5.7109375" bestFit="1" customWidth="1"/>
    <col min="6591" max="6591" width="8.5703125" bestFit="1" customWidth="1"/>
    <col min="6592" max="6592" width="5.5703125" bestFit="1" customWidth="1"/>
    <col min="6593" max="6593" width="14.42578125" bestFit="1" customWidth="1"/>
    <col min="6594" max="6594" width="11.28515625" bestFit="1" customWidth="1"/>
    <col min="6595" max="6596" width="12.28515625" bestFit="1" customWidth="1"/>
    <col min="6597" max="6597" width="11.28515625" bestFit="1" customWidth="1"/>
    <col min="6598" max="6598" width="13.85546875" bestFit="1" customWidth="1"/>
    <col min="6599" max="6599" width="12" bestFit="1" customWidth="1"/>
    <col min="6600" max="6600" width="13.85546875" bestFit="1" customWidth="1"/>
    <col min="6601" max="6602" width="14.42578125" customWidth="1"/>
    <col min="6603" max="6603" width="10.140625" bestFit="1" customWidth="1"/>
    <col min="6604" max="6604" width="12.28515625" bestFit="1" customWidth="1"/>
    <col min="6605" max="6605" width="7.42578125" bestFit="1" customWidth="1"/>
    <col min="6606" max="6606" width="8.5703125" bestFit="1" customWidth="1"/>
    <col min="6607" max="6607" width="11.5703125" bestFit="1" customWidth="1"/>
    <col min="6608" max="6608" width="13.28515625" bestFit="1" customWidth="1"/>
    <col min="6609" max="6609" width="13.28515625" customWidth="1"/>
    <col min="6610" max="6610" width="13.140625" customWidth="1"/>
    <col min="6611" max="6611" width="12.7109375" bestFit="1" customWidth="1"/>
    <col min="6612" max="6612" width="13.28515625" bestFit="1" customWidth="1"/>
    <col min="6613" max="6615" width="13.28515625" customWidth="1"/>
    <col min="6616" max="6616" width="12.140625" bestFit="1" customWidth="1"/>
    <col min="6617" max="6617" width="12.7109375" bestFit="1" customWidth="1"/>
    <col min="6618" max="6618" width="11" customWidth="1"/>
    <col min="6619" max="6619" width="16.7109375" customWidth="1"/>
    <col min="6620" max="6620" width="17" customWidth="1"/>
    <col min="6621" max="6621" width="10.42578125" bestFit="1" customWidth="1"/>
    <col min="6665" max="6665" width="3.85546875" customWidth="1"/>
    <col min="6666" max="6666" width="15.28515625" bestFit="1" customWidth="1"/>
    <col min="6667" max="6667" width="12.28515625" customWidth="1"/>
    <col min="6668" max="6668" width="16.28515625" bestFit="1" customWidth="1"/>
    <col min="6669" max="6669" width="6.42578125" bestFit="1" customWidth="1"/>
    <col min="6670" max="6670" width="9.28515625" bestFit="1" customWidth="1"/>
    <col min="6671" max="6671" width="7.5703125" bestFit="1" customWidth="1"/>
    <col min="6672" max="6672" width="13.28515625" bestFit="1" customWidth="1"/>
    <col min="6673" max="6673" width="9.28515625" bestFit="1" customWidth="1"/>
    <col min="6674" max="6674" width="11.5703125" bestFit="1" customWidth="1"/>
    <col min="6675" max="6675" width="13.28515625" bestFit="1" customWidth="1"/>
    <col min="6676" max="6676" width="7.140625" bestFit="1" customWidth="1"/>
    <col min="6677" max="6677" width="12" bestFit="1" customWidth="1"/>
    <col min="6678" max="6678" width="13.28515625" bestFit="1" customWidth="1"/>
    <col min="6679" max="6679" width="7" bestFit="1" customWidth="1"/>
    <col min="6680" max="6680" width="12.7109375" bestFit="1" customWidth="1"/>
    <col min="6681" max="6681" width="11.5703125" bestFit="1" customWidth="1"/>
    <col min="6682" max="6682" width="10.5703125" bestFit="1" customWidth="1"/>
    <col min="6683" max="6684" width="15.7109375" bestFit="1" customWidth="1"/>
    <col min="6685" max="6685" width="11.5703125" bestFit="1" customWidth="1"/>
    <col min="6686" max="6686" width="7.7109375" bestFit="1" customWidth="1"/>
    <col min="6687" max="6687" width="15.140625" bestFit="1" customWidth="1"/>
    <col min="6688" max="6688" width="11.5703125" bestFit="1" customWidth="1"/>
    <col min="6689" max="6689" width="13.28515625" bestFit="1" customWidth="1"/>
    <col min="6690" max="6690" width="10.42578125" bestFit="1" customWidth="1"/>
    <col min="6691" max="6691" width="13.28515625" bestFit="1" customWidth="1"/>
    <col min="6692" max="6692" width="12.140625" bestFit="1" customWidth="1"/>
    <col min="6693" max="6693" width="14.42578125" bestFit="1" customWidth="1"/>
    <col min="6694" max="6694" width="13.28515625" bestFit="1" customWidth="1"/>
    <col min="6695" max="6695" width="11.5703125" bestFit="1" customWidth="1"/>
    <col min="6696" max="6696" width="7.7109375" bestFit="1" customWidth="1"/>
    <col min="6697" max="6698" width="14.42578125" bestFit="1" customWidth="1"/>
    <col min="6699" max="6699" width="11.5703125" bestFit="1" customWidth="1"/>
    <col min="6700" max="6700" width="7.7109375" bestFit="1" customWidth="1"/>
    <col min="6701" max="6701" width="13.5703125" customWidth="1"/>
    <col min="6702" max="6702" width="15.28515625" customWidth="1"/>
    <col min="6703" max="6703" width="14.5703125" customWidth="1"/>
    <col min="6704" max="6704" width="13.28515625" bestFit="1" customWidth="1"/>
    <col min="6705" max="6705" width="7.7109375" bestFit="1" customWidth="1"/>
    <col min="6706" max="6706" width="12.7109375" bestFit="1" customWidth="1"/>
    <col min="6707" max="6707" width="11.7109375" bestFit="1" customWidth="1"/>
    <col min="6708" max="6708" width="11.5703125" bestFit="1" customWidth="1"/>
    <col min="6709" max="6709" width="5.28515625" bestFit="1" customWidth="1"/>
    <col min="6710" max="6710" width="13.28515625" bestFit="1" customWidth="1"/>
    <col min="6711" max="6711" width="13.5703125" bestFit="1" customWidth="1"/>
    <col min="6712" max="6712" width="10.5703125" bestFit="1" customWidth="1"/>
    <col min="6713" max="6713" width="13.28515625" bestFit="1" customWidth="1"/>
    <col min="6714" max="6714" width="11.5703125" bestFit="1" customWidth="1"/>
    <col min="6715" max="6715" width="10.5703125" bestFit="1" customWidth="1"/>
    <col min="6716" max="6716" width="16.140625" bestFit="1" customWidth="1"/>
    <col min="6717" max="6718" width="11.28515625" bestFit="1" customWidth="1"/>
    <col min="6719" max="6719" width="13.28515625" bestFit="1" customWidth="1"/>
    <col min="6720" max="6720" width="7.7109375" bestFit="1" customWidth="1"/>
    <col min="6721" max="6724" width="9.140625" hidden="1" customWidth="1"/>
    <col min="6725" max="6725" width="10.42578125" bestFit="1" customWidth="1"/>
    <col min="6726" max="6726" width="10.5703125" bestFit="1" customWidth="1"/>
    <col min="6727" max="6727" width="10.42578125" bestFit="1" customWidth="1"/>
    <col min="6728" max="6728" width="10.5703125" bestFit="1" customWidth="1"/>
    <col min="6729" max="6729" width="9.5703125" bestFit="1" customWidth="1"/>
    <col min="6730" max="6730" width="11.5703125" bestFit="1" customWidth="1"/>
    <col min="6731" max="6731" width="10.42578125" bestFit="1" customWidth="1"/>
    <col min="6732" max="6732" width="10.85546875" customWidth="1"/>
    <col min="6733" max="6734" width="9.85546875" bestFit="1" customWidth="1"/>
    <col min="6735" max="6735" width="13.5703125" bestFit="1" customWidth="1"/>
    <col min="6736" max="6736" width="7.7109375" bestFit="1" customWidth="1"/>
    <col min="6737" max="6737" width="13.28515625" bestFit="1" customWidth="1"/>
    <col min="6738" max="6738" width="11.5703125" bestFit="1" customWidth="1"/>
    <col min="6739" max="6739" width="10.42578125" bestFit="1" customWidth="1"/>
    <col min="6740" max="6740" width="7.7109375" bestFit="1" customWidth="1"/>
    <col min="6741" max="6741" width="11.5703125" bestFit="1" customWidth="1"/>
    <col min="6742" max="6742" width="10.85546875" bestFit="1" customWidth="1"/>
    <col min="6743" max="6743" width="13.28515625" bestFit="1" customWidth="1"/>
    <col min="6744" max="6744" width="10.85546875" bestFit="1" customWidth="1"/>
    <col min="6745" max="6746" width="7.5703125" bestFit="1" customWidth="1"/>
    <col min="6747" max="6748" width="10.42578125" bestFit="1" customWidth="1"/>
    <col min="6749" max="6749" width="11.5703125" bestFit="1" customWidth="1"/>
    <col min="6750" max="6750" width="5.28515625" bestFit="1" customWidth="1"/>
    <col min="6751" max="6751" width="10.28515625" bestFit="1" customWidth="1"/>
    <col min="6752" max="6752" width="10.42578125" bestFit="1" customWidth="1"/>
    <col min="6753" max="6753" width="11.5703125" bestFit="1" customWidth="1"/>
    <col min="6754" max="6754" width="5.28515625" bestFit="1" customWidth="1"/>
    <col min="6755" max="6757" width="11.5703125" bestFit="1" customWidth="1"/>
    <col min="6758" max="6758" width="5.28515625" bestFit="1" customWidth="1"/>
    <col min="6759" max="6760" width="10.42578125" bestFit="1" customWidth="1"/>
    <col min="6761" max="6761" width="11.5703125" bestFit="1" customWidth="1"/>
    <col min="6762" max="6762" width="5.28515625" bestFit="1" customWidth="1"/>
    <col min="6763" max="6763" width="14.28515625" bestFit="1" customWidth="1"/>
    <col min="6764" max="6764" width="13" bestFit="1" customWidth="1"/>
    <col min="6765" max="6765" width="11.5703125" bestFit="1" customWidth="1"/>
    <col min="6766" max="6766" width="8.85546875" bestFit="1" customWidth="1"/>
    <col min="6767" max="6767" width="14.42578125" bestFit="1" customWidth="1"/>
    <col min="6768" max="6768" width="10.42578125" bestFit="1" customWidth="1"/>
    <col min="6769" max="6769" width="12.28515625" bestFit="1" customWidth="1"/>
    <col min="6770" max="6770" width="13.85546875" bestFit="1" customWidth="1"/>
    <col min="6771" max="6771" width="11.28515625" customWidth="1"/>
    <col min="6772" max="6772" width="11.5703125" customWidth="1"/>
    <col min="6773" max="6773" width="13.42578125" bestFit="1" customWidth="1"/>
    <col min="6774" max="6774" width="10.42578125" customWidth="1"/>
    <col min="6775" max="6775" width="13.85546875" bestFit="1" customWidth="1"/>
    <col min="6776" max="6776" width="15.42578125" bestFit="1" customWidth="1"/>
    <col min="6777" max="6777" width="12.28515625" bestFit="1" customWidth="1"/>
    <col min="6778" max="6778" width="12.7109375" customWidth="1"/>
    <col min="6779" max="6779" width="10.7109375" bestFit="1" customWidth="1"/>
    <col min="6780" max="6780" width="9.85546875" customWidth="1"/>
    <col min="6781" max="6782" width="10.140625" bestFit="1" customWidth="1"/>
    <col min="6783" max="6783" width="7.5703125" bestFit="1" customWidth="1"/>
    <col min="6784" max="6784" width="9.42578125" bestFit="1" customWidth="1"/>
    <col min="6785" max="6785" width="14.5703125" bestFit="1" customWidth="1"/>
    <col min="6786" max="6786" width="14.85546875" customWidth="1"/>
    <col min="6787" max="6787" width="15.140625" bestFit="1" customWidth="1"/>
    <col min="6788" max="6788" width="12.140625" bestFit="1" customWidth="1"/>
    <col min="6789" max="6789" width="14.85546875" bestFit="1" customWidth="1"/>
    <col min="6790" max="6790" width="12.28515625" bestFit="1" customWidth="1"/>
    <col min="6791" max="6799" width="9.140625" hidden="1" customWidth="1"/>
    <col min="6800" max="6800" width="5.28515625" bestFit="1" customWidth="1"/>
    <col min="6801" max="6806" width="11.5703125" bestFit="1" customWidth="1"/>
    <col min="6807" max="6807" width="11.28515625" bestFit="1" customWidth="1"/>
    <col min="6808" max="6808" width="10.140625" bestFit="1" customWidth="1"/>
    <col min="6809" max="6809" width="11.5703125" bestFit="1" customWidth="1"/>
    <col min="6810" max="6810" width="16.140625" customWidth="1"/>
    <col min="6811" max="6811" width="13.42578125" customWidth="1"/>
    <col min="6812" max="6812" width="10.140625" bestFit="1" customWidth="1"/>
    <col min="6813" max="6813" width="12.85546875" bestFit="1" customWidth="1"/>
    <col min="6814" max="6814" width="12.28515625" bestFit="1" customWidth="1"/>
    <col min="6815" max="6815" width="11.28515625" bestFit="1" customWidth="1"/>
    <col min="6816" max="6816" width="11.5703125" bestFit="1" customWidth="1"/>
    <col min="6817" max="6817" width="10.85546875" bestFit="1" customWidth="1"/>
    <col min="6818" max="6818" width="11.28515625" bestFit="1" customWidth="1"/>
    <col min="6819" max="6819" width="10.140625" bestFit="1" customWidth="1"/>
    <col min="6820" max="6820" width="13.28515625" bestFit="1" customWidth="1"/>
    <col min="6821" max="6822" width="12.7109375" bestFit="1" customWidth="1"/>
    <col min="6823" max="6823" width="11" bestFit="1" customWidth="1"/>
    <col min="6824" max="6824" width="11.28515625" bestFit="1" customWidth="1"/>
    <col min="6825" max="6825" width="11.5703125" bestFit="1" customWidth="1"/>
    <col min="6826" max="6826" width="12.28515625" bestFit="1" customWidth="1"/>
    <col min="6827" max="6827" width="15.140625" bestFit="1" customWidth="1"/>
    <col min="6828" max="6828" width="14.42578125" bestFit="1" customWidth="1"/>
    <col min="6829" max="6829" width="12.28515625" bestFit="1" customWidth="1"/>
    <col min="6830" max="6830" width="15.140625" bestFit="1" customWidth="1"/>
    <col min="6831" max="6831" width="14.42578125" bestFit="1" customWidth="1"/>
    <col min="6832" max="6832" width="12.28515625" bestFit="1" customWidth="1"/>
    <col min="6833" max="6833" width="14.42578125" bestFit="1" customWidth="1"/>
    <col min="6834" max="6834" width="11.28515625" bestFit="1" customWidth="1"/>
    <col min="6835" max="6835" width="12.28515625" bestFit="1" customWidth="1"/>
    <col min="6836" max="6836" width="13" bestFit="1" customWidth="1"/>
    <col min="6837" max="6837" width="15.140625" bestFit="1" customWidth="1"/>
    <col min="6838" max="6838" width="12.28515625" bestFit="1" customWidth="1"/>
    <col min="6839" max="6839" width="13.85546875" bestFit="1" customWidth="1"/>
    <col min="6840" max="6840" width="11.28515625" bestFit="1" customWidth="1"/>
    <col min="6841" max="6841" width="12.28515625" bestFit="1" customWidth="1"/>
    <col min="6842" max="6842" width="13.85546875" bestFit="1" customWidth="1"/>
    <col min="6843" max="6844" width="15.140625" bestFit="1" customWidth="1"/>
    <col min="6845" max="6845" width="12.28515625" bestFit="1" customWidth="1"/>
    <col min="6846" max="6846" width="5.7109375" bestFit="1" customWidth="1"/>
    <col min="6847" max="6847" width="8.5703125" bestFit="1" customWidth="1"/>
    <col min="6848" max="6848" width="5.5703125" bestFit="1" customWidth="1"/>
    <col min="6849" max="6849" width="14.42578125" bestFit="1" customWidth="1"/>
    <col min="6850" max="6850" width="11.28515625" bestFit="1" customWidth="1"/>
    <col min="6851" max="6852" width="12.28515625" bestFit="1" customWidth="1"/>
    <col min="6853" max="6853" width="11.28515625" bestFit="1" customWidth="1"/>
    <col min="6854" max="6854" width="13.85546875" bestFit="1" customWidth="1"/>
    <col min="6855" max="6855" width="12" bestFit="1" customWidth="1"/>
    <col min="6856" max="6856" width="13.85546875" bestFit="1" customWidth="1"/>
    <col min="6857" max="6858" width="14.42578125" customWidth="1"/>
    <col min="6859" max="6859" width="10.140625" bestFit="1" customWidth="1"/>
    <col min="6860" max="6860" width="12.28515625" bestFit="1" customWidth="1"/>
    <col min="6861" max="6861" width="7.42578125" bestFit="1" customWidth="1"/>
    <col min="6862" max="6862" width="8.5703125" bestFit="1" customWidth="1"/>
    <col min="6863" max="6863" width="11.5703125" bestFit="1" customWidth="1"/>
    <col min="6864" max="6864" width="13.28515625" bestFit="1" customWidth="1"/>
    <col min="6865" max="6865" width="13.28515625" customWidth="1"/>
    <col min="6866" max="6866" width="13.140625" customWidth="1"/>
    <col min="6867" max="6867" width="12.7109375" bestFit="1" customWidth="1"/>
    <col min="6868" max="6868" width="13.28515625" bestFit="1" customWidth="1"/>
    <col min="6869" max="6871" width="13.28515625" customWidth="1"/>
    <col min="6872" max="6872" width="12.140625" bestFit="1" customWidth="1"/>
    <col min="6873" max="6873" width="12.7109375" bestFit="1" customWidth="1"/>
    <col min="6874" max="6874" width="11" customWidth="1"/>
    <col min="6875" max="6875" width="16.7109375" customWidth="1"/>
    <col min="6876" max="6876" width="17" customWidth="1"/>
    <col min="6877" max="6877" width="10.42578125" bestFit="1" customWidth="1"/>
    <col min="6921" max="6921" width="3.85546875" customWidth="1"/>
    <col min="6922" max="6922" width="15.28515625" bestFit="1" customWidth="1"/>
    <col min="6923" max="6923" width="12.28515625" customWidth="1"/>
    <col min="6924" max="6924" width="16.28515625" bestFit="1" customWidth="1"/>
    <col min="6925" max="6925" width="6.42578125" bestFit="1" customWidth="1"/>
    <col min="6926" max="6926" width="9.28515625" bestFit="1" customWidth="1"/>
    <col min="6927" max="6927" width="7.5703125" bestFit="1" customWidth="1"/>
    <col min="6928" max="6928" width="13.28515625" bestFit="1" customWidth="1"/>
    <col min="6929" max="6929" width="9.28515625" bestFit="1" customWidth="1"/>
    <col min="6930" max="6930" width="11.5703125" bestFit="1" customWidth="1"/>
    <col min="6931" max="6931" width="13.28515625" bestFit="1" customWidth="1"/>
    <col min="6932" max="6932" width="7.140625" bestFit="1" customWidth="1"/>
    <col min="6933" max="6933" width="12" bestFit="1" customWidth="1"/>
    <col min="6934" max="6934" width="13.28515625" bestFit="1" customWidth="1"/>
    <col min="6935" max="6935" width="7" bestFit="1" customWidth="1"/>
    <col min="6936" max="6936" width="12.7109375" bestFit="1" customWidth="1"/>
    <col min="6937" max="6937" width="11.5703125" bestFit="1" customWidth="1"/>
    <col min="6938" max="6938" width="10.5703125" bestFit="1" customWidth="1"/>
    <col min="6939" max="6940" width="15.7109375" bestFit="1" customWidth="1"/>
    <col min="6941" max="6941" width="11.5703125" bestFit="1" customWidth="1"/>
    <col min="6942" max="6942" width="7.7109375" bestFit="1" customWidth="1"/>
    <col min="6943" max="6943" width="15.140625" bestFit="1" customWidth="1"/>
    <col min="6944" max="6944" width="11.5703125" bestFit="1" customWidth="1"/>
    <col min="6945" max="6945" width="13.28515625" bestFit="1" customWidth="1"/>
    <col min="6946" max="6946" width="10.42578125" bestFit="1" customWidth="1"/>
    <col min="6947" max="6947" width="13.28515625" bestFit="1" customWidth="1"/>
    <col min="6948" max="6948" width="12.140625" bestFit="1" customWidth="1"/>
    <col min="6949" max="6949" width="14.42578125" bestFit="1" customWidth="1"/>
    <col min="6950" max="6950" width="13.28515625" bestFit="1" customWidth="1"/>
    <col min="6951" max="6951" width="11.5703125" bestFit="1" customWidth="1"/>
    <col min="6952" max="6952" width="7.7109375" bestFit="1" customWidth="1"/>
    <col min="6953" max="6954" width="14.42578125" bestFit="1" customWidth="1"/>
    <col min="6955" max="6955" width="11.5703125" bestFit="1" customWidth="1"/>
    <col min="6956" max="6956" width="7.7109375" bestFit="1" customWidth="1"/>
    <col min="6957" max="6957" width="13.5703125" customWidth="1"/>
    <col min="6958" max="6958" width="15.28515625" customWidth="1"/>
    <col min="6959" max="6959" width="14.5703125" customWidth="1"/>
    <col min="6960" max="6960" width="13.28515625" bestFit="1" customWidth="1"/>
    <col min="6961" max="6961" width="7.7109375" bestFit="1" customWidth="1"/>
    <col min="6962" max="6962" width="12.7109375" bestFit="1" customWidth="1"/>
    <col min="6963" max="6963" width="11.7109375" bestFit="1" customWidth="1"/>
    <col min="6964" max="6964" width="11.5703125" bestFit="1" customWidth="1"/>
    <col min="6965" max="6965" width="5.28515625" bestFit="1" customWidth="1"/>
    <col min="6966" max="6966" width="13.28515625" bestFit="1" customWidth="1"/>
    <col min="6967" max="6967" width="13.5703125" bestFit="1" customWidth="1"/>
    <col min="6968" max="6968" width="10.5703125" bestFit="1" customWidth="1"/>
    <col min="6969" max="6969" width="13.28515625" bestFit="1" customWidth="1"/>
    <col min="6970" max="6970" width="11.5703125" bestFit="1" customWidth="1"/>
    <col min="6971" max="6971" width="10.5703125" bestFit="1" customWidth="1"/>
    <col min="6972" max="6972" width="16.140625" bestFit="1" customWidth="1"/>
    <col min="6973" max="6974" width="11.28515625" bestFit="1" customWidth="1"/>
    <col min="6975" max="6975" width="13.28515625" bestFit="1" customWidth="1"/>
    <col min="6976" max="6976" width="7.7109375" bestFit="1" customWidth="1"/>
    <col min="6977" max="6980" width="9.140625" hidden="1" customWidth="1"/>
    <col min="6981" max="6981" width="10.42578125" bestFit="1" customWidth="1"/>
    <col min="6982" max="6982" width="10.5703125" bestFit="1" customWidth="1"/>
    <col min="6983" max="6983" width="10.42578125" bestFit="1" customWidth="1"/>
    <col min="6984" max="6984" width="10.5703125" bestFit="1" customWidth="1"/>
    <col min="6985" max="6985" width="9.5703125" bestFit="1" customWidth="1"/>
    <col min="6986" max="6986" width="11.5703125" bestFit="1" customWidth="1"/>
    <col min="6987" max="6987" width="10.42578125" bestFit="1" customWidth="1"/>
    <col min="6988" max="6988" width="10.85546875" customWidth="1"/>
    <col min="6989" max="6990" width="9.85546875" bestFit="1" customWidth="1"/>
    <col min="6991" max="6991" width="13.5703125" bestFit="1" customWidth="1"/>
    <col min="6992" max="6992" width="7.7109375" bestFit="1" customWidth="1"/>
    <col min="6993" max="6993" width="13.28515625" bestFit="1" customWidth="1"/>
    <col min="6994" max="6994" width="11.5703125" bestFit="1" customWidth="1"/>
    <col min="6995" max="6995" width="10.42578125" bestFit="1" customWidth="1"/>
    <col min="6996" max="6996" width="7.7109375" bestFit="1" customWidth="1"/>
    <col min="6997" max="6997" width="11.5703125" bestFit="1" customWidth="1"/>
    <col min="6998" max="6998" width="10.85546875" bestFit="1" customWidth="1"/>
    <col min="6999" max="6999" width="13.28515625" bestFit="1" customWidth="1"/>
    <col min="7000" max="7000" width="10.85546875" bestFit="1" customWidth="1"/>
    <col min="7001" max="7002" width="7.5703125" bestFit="1" customWidth="1"/>
    <col min="7003" max="7004" width="10.42578125" bestFit="1" customWidth="1"/>
    <col min="7005" max="7005" width="11.5703125" bestFit="1" customWidth="1"/>
    <col min="7006" max="7006" width="5.28515625" bestFit="1" customWidth="1"/>
    <col min="7007" max="7007" width="10.28515625" bestFit="1" customWidth="1"/>
    <col min="7008" max="7008" width="10.42578125" bestFit="1" customWidth="1"/>
    <col min="7009" max="7009" width="11.5703125" bestFit="1" customWidth="1"/>
    <col min="7010" max="7010" width="5.28515625" bestFit="1" customWidth="1"/>
    <col min="7011" max="7013" width="11.5703125" bestFit="1" customWidth="1"/>
    <col min="7014" max="7014" width="5.28515625" bestFit="1" customWidth="1"/>
    <col min="7015" max="7016" width="10.42578125" bestFit="1" customWidth="1"/>
    <col min="7017" max="7017" width="11.5703125" bestFit="1" customWidth="1"/>
    <col min="7018" max="7018" width="5.28515625" bestFit="1" customWidth="1"/>
    <col min="7019" max="7019" width="14.28515625" bestFit="1" customWidth="1"/>
    <col min="7020" max="7020" width="13" bestFit="1" customWidth="1"/>
    <col min="7021" max="7021" width="11.5703125" bestFit="1" customWidth="1"/>
    <col min="7022" max="7022" width="8.85546875" bestFit="1" customWidth="1"/>
    <col min="7023" max="7023" width="14.42578125" bestFit="1" customWidth="1"/>
    <col min="7024" max="7024" width="10.42578125" bestFit="1" customWidth="1"/>
    <col min="7025" max="7025" width="12.28515625" bestFit="1" customWidth="1"/>
    <col min="7026" max="7026" width="13.85546875" bestFit="1" customWidth="1"/>
    <col min="7027" max="7027" width="11.28515625" customWidth="1"/>
    <col min="7028" max="7028" width="11.5703125" customWidth="1"/>
    <col min="7029" max="7029" width="13.42578125" bestFit="1" customWidth="1"/>
    <col min="7030" max="7030" width="10.42578125" customWidth="1"/>
    <col min="7031" max="7031" width="13.85546875" bestFit="1" customWidth="1"/>
    <col min="7032" max="7032" width="15.42578125" bestFit="1" customWidth="1"/>
    <col min="7033" max="7033" width="12.28515625" bestFit="1" customWidth="1"/>
    <col min="7034" max="7034" width="12.7109375" customWidth="1"/>
    <col min="7035" max="7035" width="10.7109375" bestFit="1" customWidth="1"/>
    <col min="7036" max="7036" width="9.85546875" customWidth="1"/>
    <col min="7037" max="7038" width="10.140625" bestFit="1" customWidth="1"/>
    <col min="7039" max="7039" width="7.5703125" bestFit="1" customWidth="1"/>
    <col min="7040" max="7040" width="9.42578125" bestFit="1" customWidth="1"/>
    <col min="7041" max="7041" width="14.5703125" bestFit="1" customWidth="1"/>
    <col min="7042" max="7042" width="14.85546875" customWidth="1"/>
    <col min="7043" max="7043" width="15.140625" bestFit="1" customWidth="1"/>
    <col min="7044" max="7044" width="12.140625" bestFit="1" customWidth="1"/>
    <col min="7045" max="7045" width="14.85546875" bestFit="1" customWidth="1"/>
    <col min="7046" max="7046" width="12.28515625" bestFit="1" customWidth="1"/>
    <col min="7047" max="7055" width="9.140625" hidden="1" customWidth="1"/>
    <col min="7056" max="7056" width="5.28515625" bestFit="1" customWidth="1"/>
    <col min="7057" max="7062" width="11.5703125" bestFit="1" customWidth="1"/>
    <col min="7063" max="7063" width="11.28515625" bestFit="1" customWidth="1"/>
    <col min="7064" max="7064" width="10.140625" bestFit="1" customWidth="1"/>
    <col min="7065" max="7065" width="11.5703125" bestFit="1" customWidth="1"/>
    <col min="7066" max="7066" width="16.140625" customWidth="1"/>
    <col min="7067" max="7067" width="13.42578125" customWidth="1"/>
    <col min="7068" max="7068" width="10.140625" bestFit="1" customWidth="1"/>
    <col min="7069" max="7069" width="12.85546875" bestFit="1" customWidth="1"/>
    <col min="7070" max="7070" width="12.28515625" bestFit="1" customWidth="1"/>
    <col min="7071" max="7071" width="11.28515625" bestFit="1" customWidth="1"/>
    <col min="7072" max="7072" width="11.5703125" bestFit="1" customWidth="1"/>
    <col min="7073" max="7073" width="10.85546875" bestFit="1" customWidth="1"/>
    <col min="7074" max="7074" width="11.28515625" bestFit="1" customWidth="1"/>
    <col min="7075" max="7075" width="10.140625" bestFit="1" customWidth="1"/>
    <col min="7076" max="7076" width="13.28515625" bestFit="1" customWidth="1"/>
    <col min="7077" max="7078" width="12.7109375" bestFit="1" customWidth="1"/>
    <col min="7079" max="7079" width="11" bestFit="1" customWidth="1"/>
    <col min="7080" max="7080" width="11.28515625" bestFit="1" customWidth="1"/>
    <col min="7081" max="7081" width="11.5703125" bestFit="1" customWidth="1"/>
    <col min="7082" max="7082" width="12.28515625" bestFit="1" customWidth="1"/>
    <col min="7083" max="7083" width="15.140625" bestFit="1" customWidth="1"/>
    <col min="7084" max="7084" width="14.42578125" bestFit="1" customWidth="1"/>
    <col min="7085" max="7085" width="12.28515625" bestFit="1" customWidth="1"/>
    <col min="7086" max="7086" width="15.140625" bestFit="1" customWidth="1"/>
    <col min="7087" max="7087" width="14.42578125" bestFit="1" customWidth="1"/>
    <col min="7088" max="7088" width="12.28515625" bestFit="1" customWidth="1"/>
    <col min="7089" max="7089" width="14.42578125" bestFit="1" customWidth="1"/>
    <col min="7090" max="7090" width="11.28515625" bestFit="1" customWidth="1"/>
    <col min="7091" max="7091" width="12.28515625" bestFit="1" customWidth="1"/>
    <col min="7092" max="7092" width="13" bestFit="1" customWidth="1"/>
    <col min="7093" max="7093" width="15.140625" bestFit="1" customWidth="1"/>
    <col min="7094" max="7094" width="12.28515625" bestFit="1" customWidth="1"/>
    <col min="7095" max="7095" width="13.85546875" bestFit="1" customWidth="1"/>
    <col min="7096" max="7096" width="11.28515625" bestFit="1" customWidth="1"/>
    <col min="7097" max="7097" width="12.28515625" bestFit="1" customWidth="1"/>
    <col min="7098" max="7098" width="13.85546875" bestFit="1" customWidth="1"/>
    <col min="7099" max="7100" width="15.140625" bestFit="1" customWidth="1"/>
    <col min="7101" max="7101" width="12.28515625" bestFit="1" customWidth="1"/>
    <col min="7102" max="7102" width="5.7109375" bestFit="1" customWidth="1"/>
    <col min="7103" max="7103" width="8.5703125" bestFit="1" customWidth="1"/>
    <col min="7104" max="7104" width="5.5703125" bestFit="1" customWidth="1"/>
    <col min="7105" max="7105" width="14.42578125" bestFit="1" customWidth="1"/>
    <col min="7106" max="7106" width="11.28515625" bestFit="1" customWidth="1"/>
    <col min="7107" max="7108" width="12.28515625" bestFit="1" customWidth="1"/>
    <col min="7109" max="7109" width="11.28515625" bestFit="1" customWidth="1"/>
    <col min="7110" max="7110" width="13.85546875" bestFit="1" customWidth="1"/>
    <col min="7111" max="7111" width="12" bestFit="1" customWidth="1"/>
    <col min="7112" max="7112" width="13.85546875" bestFit="1" customWidth="1"/>
    <col min="7113" max="7114" width="14.42578125" customWidth="1"/>
    <col min="7115" max="7115" width="10.140625" bestFit="1" customWidth="1"/>
    <col min="7116" max="7116" width="12.28515625" bestFit="1" customWidth="1"/>
    <col min="7117" max="7117" width="7.42578125" bestFit="1" customWidth="1"/>
    <col min="7118" max="7118" width="8.5703125" bestFit="1" customWidth="1"/>
    <col min="7119" max="7119" width="11.5703125" bestFit="1" customWidth="1"/>
    <col min="7120" max="7120" width="13.28515625" bestFit="1" customWidth="1"/>
    <col min="7121" max="7121" width="13.28515625" customWidth="1"/>
    <col min="7122" max="7122" width="13.140625" customWidth="1"/>
    <col min="7123" max="7123" width="12.7109375" bestFit="1" customWidth="1"/>
    <col min="7124" max="7124" width="13.28515625" bestFit="1" customWidth="1"/>
    <col min="7125" max="7127" width="13.28515625" customWidth="1"/>
    <col min="7128" max="7128" width="12.140625" bestFit="1" customWidth="1"/>
    <col min="7129" max="7129" width="12.7109375" bestFit="1" customWidth="1"/>
    <col min="7130" max="7130" width="11" customWidth="1"/>
    <col min="7131" max="7131" width="16.7109375" customWidth="1"/>
    <col min="7132" max="7132" width="17" customWidth="1"/>
    <col min="7133" max="7133" width="10.42578125" bestFit="1" customWidth="1"/>
    <col min="7177" max="7177" width="3.85546875" customWidth="1"/>
    <col min="7178" max="7178" width="15.28515625" bestFit="1" customWidth="1"/>
    <col min="7179" max="7179" width="12.28515625" customWidth="1"/>
    <col min="7180" max="7180" width="16.28515625" bestFit="1" customWidth="1"/>
    <col min="7181" max="7181" width="6.42578125" bestFit="1" customWidth="1"/>
    <col min="7182" max="7182" width="9.28515625" bestFit="1" customWidth="1"/>
    <col min="7183" max="7183" width="7.5703125" bestFit="1" customWidth="1"/>
    <col min="7184" max="7184" width="13.28515625" bestFit="1" customWidth="1"/>
    <col min="7185" max="7185" width="9.28515625" bestFit="1" customWidth="1"/>
    <col min="7186" max="7186" width="11.5703125" bestFit="1" customWidth="1"/>
    <col min="7187" max="7187" width="13.28515625" bestFit="1" customWidth="1"/>
    <col min="7188" max="7188" width="7.140625" bestFit="1" customWidth="1"/>
    <col min="7189" max="7189" width="12" bestFit="1" customWidth="1"/>
    <col min="7190" max="7190" width="13.28515625" bestFit="1" customWidth="1"/>
    <col min="7191" max="7191" width="7" bestFit="1" customWidth="1"/>
    <col min="7192" max="7192" width="12.7109375" bestFit="1" customWidth="1"/>
    <col min="7193" max="7193" width="11.5703125" bestFit="1" customWidth="1"/>
    <col min="7194" max="7194" width="10.5703125" bestFit="1" customWidth="1"/>
    <col min="7195" max="7196" width="15.7109375" bestFit="1" customWidth="1"/>
    <col min="7197" max="7197" width="11.5703125" bestFit="1" customWidth="1"/>
    <col min="7198" max="7198" width="7.7109375" bestFit="1" customWidth="1"/>
    <col min="7199" max="7199" width="15.140625" bestFit="1" customWidth="1"/>
    <col min="7200" max="7200" width="11.5703125" bestFit="1" customWidth="1"/>
    <col min="7201" max="7201" width="13.28515625" bestFit="1" customWidth="1"/>
    <col min="7202" max="7202" width="10.42578125" bestFit="1" customWidth="1"/>
    <col min="7203" max="7203" width="13.28515625" bestFit="1" customWidth="1"/>
    <col min="7204" max="7204" width="12.140625" bestFit="1" customWidth="1"/>
    <col min="7205" max="7205" width="14.42578125" bestFit="1" customWidth="1"/>
    <col min="7206" max="7206" width="13.28515625" bestFit="1" customWidth="1"/>
    <col min="7207" max="7207" width="11.5703125" bestFit="1" customWidth="1"/>
    <col min="7208" max="7208" width="7.7109375" bestFit="1" customWidth="1"/>
    <col min="7209" max="7210" width="14.42578125" bestFit="1" customWidth="1"/>
    <col min="7211" max="7211" width="11.5703125" bestFit="1" customWidth="1"/>
    <col min="7212" max="7212" width="7.7109375" bestFit="1" customWidth="1"/>
    <col min="7213" max="7213" width="13.5703125" customWidth="1"/>
    <col min="7214" max="7214" width="15.28515625" customWidth="1"/>
    <col min="7215" max="7215" width="14.5703125" customWidth="1"/>
    <col min="7216" max="7216" width="13.28515625" bestFit="1" customWidth="1"/>
    <col min="7217" max="7217" width="7.7109375" bestFit="1" customWidth="1"/>
    <col min="7218" max="7218" width="12.7109375" bestFit="1" customWidth="1"/>
    <col min="7219" max="7219" width="11.7109375" bestFit="1" customWidth="1"/>
    <col min="7220" max="7220" width="11.5703125" bestFit="1" customWidth="1"/>
    <col min="7221" max="7221" width="5.28515625" bestFit="1" customWidth="1"/>
    <col min="7222" max="7222" width="13.28515625" bestFit="1" customWidth="1"/>
    <col min="7223" max="7223" width="13.5703125" bestFit="1" customWidth="1"/>
    <col min="7224" max="7224" width="10.5703125" bestFit="1" customWidth="1"/>
    <col min="7225" max="7225" width="13.28515625" bestFit="1" customWidth="1"/>
    <col min="7226" max="7226" width="11.5703125" bestFit="1" customWidth="1"/>
    <col min="7227" max="7227" width="10.5703125" bestFit="1" customWidth="1"/>
    <col min="7228" max="7228" width="16.140625" bestFit="1" customWidth="1"/>
    <col min="7229" max="7230" width="11.28515625" bestFit="1" customWidth="1"/>
    <col min="7231" max="7231" width="13.28515625" bestFit="1" customWidth="1"/>
    <col min="7232" max="7232" width="7.7109375" bestFit="1" customWidth="1"/>
    <col min="7233" max="7236" width="9.140625" hidden="1" customWidth="1"/>
    <col min="7237" max="7237" width="10.42578125" bestFit="1" customWidth="1"/>
    <col min="7238" max="7238" width="10.5703125" bestFit="1" customWidth="1"/>
    <col min="7239" max="7239" width="10.42578125" bestFit="1" customWidth="1"/>
    <col min="7240" max="7240" width="10.5703125" bestFit="1" customWidth="1"/>
    <col min="7241" max="7241" width="9.5703125" bestFit="1" customWidth="1"/>
    <col min="7242" max="7242" width="11.5703125" bestFit="1" customWidth="1"/>
    <col min="7243" max="7243" width="10.42578125" bestFit="1" customWidth="1"/>
    <col min="7244" max="7244" width="10.85546875" customWidth="1"/>
    <col min="7245" max="7246" width="9.85546875" bestFit="1" customWidth="1"/>
    <col min="7247" max="7247" width="13.5703125" bestFit="1" customWidth="1"/>
    <col min="7248" max="7248" width="7.7109375" bestFit="1" customWidth="1"/>
    <col min="7249" max="7249" width="13.28515625" bestFit="1" customWidth="1"/>
    <col min="7250" max="7250" width="11.5703125" bestFit="1" customWidth="1"/>
    <col min="7251" max="7251" width="10.42578125" bestFit="1" customWidth="1"/>
    <col min="7252" max="7252" width="7.7109375" bestFit="1" customWidth="1"/>
    <col min="7253" max="7253" width="11.5703125" bestFit="1" customWidth="1"/>
    <col min="7254" max="7254" width="10.85546875" bestFit="1" customWidth="1"/>
    <col min="7255" max="7255" width="13.28515625" bestFit="1" customWidth="1"/>
    <col min="7256" max="7256" width="10.85546875" bestFit="1" customWidth="1"/>
    <col min="7257" max="7258" width="7.5703125" bestFit="1" customWidth="1"/>
    <col min="7259" max="7260" width="10.42578125" bestFit="1" customWidth="1"/>
    <col min="7261" max="7261" width="11.5703125" bestFit="1" customWidth="1"/>
    <col min="7262" max="7262" width="5.28515625" bestFit="1" customWidth="1"/>
    <col min="7263" max="7263" width="10.28515625" bestFit="1" customWidth="1"/>
    <col min="7264" max="7264" width="10.42578125" bestFit="1" customWidth="1"/>
    <col min="7265" max="7265" width="11.5703125" bestFit="1" customWidth="1"/>
    <col min="7266" max="7266" width="5.28515625" bestFit="1" customWidth="1"/>
    <col min="7267" max="7269" width="11.5703125" bestFit="1" customWidth="1"/>
    <col min="7270" max="7270" width="5.28515625" bestFit="1" customWidth="1"/>
    <col min="7271" max="7272" width="10.42578125" bestFit="1" customWidth="1"/>
    <col min="7273" max="7273" width="11.5703125" bestFit="1" customWidth="1"/>
    <col min="7274" max="7274" width="5.28515625" bestFit="1" customWidth="1"/>
    <col min="7275" max="7275" width="14.28515625" bestFit="1" customWidth="1"/>
    <col min="7276" max="7276" width="13" bestFit="1" customWidth="1"/>
    <col min="7277" max="7277" width="11.5703125" bestFit="1" customWidth="1"/>
    <col min="7278" max="7278" width="8.85546875" bestFit="1" customWidth="1"/>
    <col min="7279" max="7279" width="14.42578125" bestFit="1" customWidth="1"/>
    <col min="7280" max="7280" width="10.42578125" bestFit="1" customWidth="1"/>
    <col min="7281" max="7281" width="12.28515625" bestFit="1" customWidth="1"/>
    <col min="7282" max="7282" width="13.85546875" bestFit="1" customWidth="1"/>
    <col min="7283" max="7283" width="11.28515625" customWidth="1"/>
    <col min="7284" max="7284" width="11.5703125" customWidth="1"/>
    <col min="7285" max="7285" width="13.42578125" bestFit="1" customWidth="1"/>
    <col min="7286" max="7286" width="10.42578125" customWidth="1"/>
    <col min="7287" max="7287" width="13.85546875" bestFit="1" customWidth="1"/>
    <col min="7288" max="7288" width="15.42578125" bestFit="1" customWidth="1"/>
    <col min="7289" max="7289" width="12.28515625" bestFit="1" customWidth="1"/>
    <col min="7290" max="7290" width="12.7109375" customWidth="1"/>
    <col min="7291" max="7291" width="10.7109375" bestFit="1" customWidth="1"/>
    <col min="7292" max="7292" width="9.85546875" customWidth="1"/>
    <col min="7293" max="7294" width="10.140625" bestFit="1" customWidth="1"/>
    <col min="7295" max="7295" width="7.5703125" bestFit="1" customWidth="1"/>
    <col min="7296" max="7296" width="9.42578125" bestFit="1" customWidth="1"/>
    <col min="7297" max="7297" width="14.5703125" bestFit="1" customWidth="1"/>
    <col min="7298" max="7298" width="14.85546875" customWidth="1"/>
    <col min="7299" max="7299" width="15.140625" bestFit="1" customWidth="1"/>
    <col min="7300" max="7300" width="12.140625" bestFit="1" customWidth="1"/>
    <col min="7301" max="7301" width="14.85546875" bestFit="1" customWidth="1"/>
    <col min="7302" max="7302" width="12.28515625" bestFit="1" customWidth="1"/>
    <col min="7303" max="7311" width="9.140625" hidden="1" customWidth="1"/>
    <col min="7312" max="7312" width="5.28515625" bestFit="1" customWidth="1"/>
    <col min="7313" max="7318" width="11.5703125" bestFit="1" customWidth="1"/>
    <col min="7319" max="7319" width="11.28515625" bestFit="1" customWidth="1"/>
    <col min="7320" max="7320" width="10.140625" bestFit="1" customWidth="1"/>
    <col min="7321" max="7321" width="11.5703125" bestFit="1" customWidth="1"/>
    <col min="7322" max="7322" width="16.140625" customWidth="1"/>
    <col min="7323" max="7323" width="13.42578125" customWidth="1"/>
    <col min="7324" max="7324" width="10.140625" bestFit="1" customWidth="1"/>
    <col min="7325" max="7325" width="12.85546875" bestFit="1" customWidth="1"/>
    <col min="7326" max="7326" width="12.28515625" bestFit="1" customWidth="1"/>
    <col min="7327" max="7327" width="11.28515625" bestFit="1" customWidth="1"/>
    <col min="7328" max="7328" width="11.5703125" bestFit="1" customWidth="1"/>
    <col min="7329" max="7329" width="10.85546875" bestFit="1" customWidth="1"/>
    <col min="7330" max="7330" width="11.28515625" bestFit="1" customWidth="1"/>
    <col min="7331" max="7331" width="10.140625" bestFit="1" customWidth="1"/>
    <col min="7332" max="7332" width="13.28515625" bestFit="1" customWidth="1"/>
    <col min="7333" max="7334" width="12.7109375" bestFit="1" customWidth="1"/>
    <col min="7335" max="7335" width="11" bestFit="1" customWidth="1"/>
    <col min="7336" max="7336" width="11.28515625" bestFit="1" customWidth="1"/>
    <col min="7337" max="7337" width="11.5703125" bestFit="1" customWidth="1"/>
    <col min="7338" max="7338" width="12.28515625" bestFit="1" customWidth="1"/>
    <col min="7339" max="7339" width="15.140625" bestFit="1" customWidth="1"/>
    <col min="7340" max="7340" width="14.42578125" bestFit="1" customWidth="1"/>
    <col min="7341" max="7341" width="12.28515625" bestFit="1" customWidth="1"/>
    <col min="7342" max="7342" width="15.140625" bestFit="1" customWidth="1"/>
    <col min="7343" max="7343" width="14.42578125" bestFit="1" customWidth="1"/>
    <col min="7344" max="7344" width="12.28515625" bestFit="1" customWidth="1"/>
    <col min="7345" max="7345" width="14.42578125" bestFit="1" customWidth="1"/>
    <col min="7346" max="7346" width="11.28515625" bestFit="1" customWidth="1"/>
    <col min="7347" max="7347" width="12.28515625" bestFit="1" customWidth="1"/>
    <col min="7348" max="7348" width="13" bestFit="1" customWidth="1"/>
    <col min="7349" max="7349" width="15.140625" bestFit="1" customWidth="1"/>
    <col min="7350" max="7350" width="12.28515625" bestFit="1" customWidth="1"/>
    <col min="7351" max="7351" width="13.85546875" bestFit="1" customWidth="1"/>
    <col min="7352" max="7352" width="11.28515625" bestFit="1" customWidth="1"/>
    <col min="7353" max="7353" width="12.28515625" bestFit="1" customWidth="1"/>
    <col min="7354" max="7354" width="13.85546875" bestFit="1" customWidth="1"/>
    <col min="7355" max="7356" width="15.140625" bestFit="1" customWidth="1"/>
    <col min="7357" max="7357" width="12.28515625" bestFit="1" customWidth="1"/>
    <col min="7358" max="7358" width="5.7109375" bestFit="1" customWidth="1"/>
    <col min="7359" max="7359" width="8.5703125" bestFit="1" customWidth="1"/>
    <col min="7360" max="7360" width="5.5703125" bestFit="1" customWidth="1"/>
    <col min="7361" max="7361" width="14.42578125" bestFit="1" customWidth="1"/>
    <col min="7362" max="7362" width="11.28515625" bestFit="1" customWidth="1"/>
    <col min="7363" max="7364" width="12.28515625" bestFit="1" customWidth="1"/>
    <col min="7365" max="7365" width="11.28515625" bestFit="1" customWidth="1"/>
    <col min="7366" max="7366" width="13.85546875" bestFit="1" customWidth="1"/>
    <col min="7367" max="7367" width="12" bestFit="1" customWidth="1"/>
    <col min="7368" max="7368" width="13.85546875" bestFit="1" customWidth="1"/>
    <col min="7369" max="7370" width="14.42578125" customWidth="1"/>
    <col min="7371" max="7371" width="10.140625" bestFit="1" customWidth="1"/>
    <col min="7372" max="7372" width="12.28515625" bestFit="1" customWidth="1"/>
    <col min="7373" max="7373" width="7.42578125" bestFit="1" customWidth="1"/>
    <col min="7374" max="7374" width="8.5703125" bestFit="1" customWidth="1"/>
    <col min="7375" max="7375" width="11.5703125" bestFit="1" customWidth="1"/>
    <col min="7376" max="7376" width="13.28515625" bestFit="1" customWidth="1"/>
    <col min="7377" max="7377" width="13.28515625" customWidth="1"/>
    <col min="7378" max="7378" width="13.140625" customWidth="1"/>
    <col min="7379" max="7379" width="12.7109375" bestFit="1" customWidth="1"/>
    <col min="7380" max="7380" width="13.28515625" bestFit="1" customWidth="1"/>
    <col min="7381" max="7383" width="13.28515625" customWidth="1"/>
    <col min="7384" max="7384" width="12.140625" bestFit="1" customWidth="1"/>
    <col min="7385" max="7385" width="12.7109375" bestFit="1" customWidth="1"/>
    <col min="7386" max="7386" width="11" customWidth="1"/>
    <col min="7387" max="7387" width="16.7109375" customWidth="1"/>
    <col min="7388" max="7388" width="17" customWidth="1"/>
    <col min="7389" max="7389" width="10.42578125" bestFit="1" customWidth="1"/>
    <col min="7433" max="7433" width="3.85546875" customWidth="1"/>
    <col min="7434" max="7434" width="15.28515625" bestFit="1" customWidth="1"/>
    <col min="7435" max="7435" width="12.28515625" customWidth="1"/>
    <col min="7436" max="7436" width="16.28515625" bestFit="1" customWidth="1"/>
    <col min="7437" max="7437" width="6.42578125" bestFit="1" customWidth="1"/>
    <col min="7438" max="7438" width="9.28515625" bestFit="1" customWidth="1"/>
    <col min="7439" max="7439" width="7.5703125" bestFit="1" customWidth="1"/>
    <col min="7440" max="7440" width="13.28515625" bestFit="1" customWidth="1"/>
    <col min="7441" max="7441" width="9.28515625" bestFit="1" customWidth="1"/>
    <col min="7442" max="7442" width="11.5703125" bestFit="1" customWidth="1"/>
    <col min="7443" max="7443" width="13.28515625" bestFit="1" customWidth="1"/>
    <col min="7444" max="7444" width="7.140625" bestFit="1" customWidth="1"/>
    <col min="7445" max="7445" width="12" bestFit="1" customWidth="1"/>
    <col min="7446" max="7446" width="13.28515625" bestFit="1" customWidth="1"/>
    <col min="7447" max="7447" width="7" bestFit="1" customWidth="1"/>
    <col min="7448" max="7448" width="12.7109375" bestFit="1" customWidth="1"/>
    <col min="7449" max="7449" width="11.5703125" bestFit="1" customWidth="1"/>
    <col min="7450" max="7450" width="10.5703125" bestFit="1" customWidth="1"/>
    <col min="7451" max="7452" width="15.7109375" bestFit="1" customWidth="1"/>
    <col min="7453" max="7453" width="11.5703125" bestFit="1" customWidth="1"/>
    <col min="7454" max="7454" width="7.7109375" bestFit="1" customWidth="1"/>
    <col min="7455" max="7455" width="15.140625" bestFit="1" customWidth="1"/>
    <col min="7456" max="7456" width="11.5703125" bestFit="1" customWidth="1"/>
    <col min="7457" max="7457" width="13.28515625" bestFit="1" customWidth="1"/>
    <col min="7458" max="7458" width="10.42578125" bestFit="1" customWidth="1"/>
    <col min="7459" max="7459" width="13.28515625" bestFit="1" customWidth="1"/>
    <col min="7460" max="7460" width="12.140625" bestFit="1" customWidth="1"/>
    <col min="7461" max="7461" width="14.42578125" bestFit="1" customWidth="1"/>
    <col min="7462" max="7462" width="13.28515625" bestFit="1" customWidth="1"/>
    <col min="7463" max="7463" width="11.5703125" bestFit="1" customWidth="1"/>
    <col min="7464" max="7464" width="7.7109375" bestFit="1" customWidth="1"/>
    <col min="7465" max="7466" width="14.42578125" bestFit="1" customWidth="1"/>
    <col min="7467" max="7467" width="11.5703125" bestFit="1" customWidth="1"/>
    <col min="7468" max="7468" width="7.7109375" bestFit="1" customWidth="1"/>
    <col min="7469" max="7469" width="13.5703125" customWidth="1"/>
    <col min="7470" max="7470" width="15.28515625" customWidth="1"/>
    <col min="7471" max="7471" width="14.5703125" customWidth="1"/>
    <col min="7472" max="7472" width="13.28515625" bestFit="1" customWidth="1"/>
    <col min="7473" max="7473" width="7.7109375" bestFit="1" customWidth="1"/>
    <col min="7474" max="7474" width="12.7109375" bestFit="1" customWidth="1"/>
    <col min="7475" max="7475" width="11.7109375" bestFit="1" customWidth="1"/>
    <col min="7476" max="7476" width="11.5703125" bestFit="1" customWidth="1"/>
    <col min="7477" max="7477" width="5.28515625" bestFit="1" customWidth="1"/>
    <col min="7478" max="7478" width="13.28515625" bestFit="1" customWidth="1"/>
    <col min="7479" max="7479" width="13.5703125" bestFit="1" customWidth="1"/>
    <col min="7480" max="7480" width="10.5703125" bestFit="1" customWidth="1"/>
    <col min="7481" max="7481" width="13.28515625" bestFit="1" customWidth="1"/>
    <col min="7482" max="7482" width="11.5703125" bestFit="1" customWidth="1"/>
    <col min="7483" max="7483" width="10.5703125" bestFit="1" customWidth="1"/>
    <col min="7484" max="7484" width="16.140625" bestFit="1" customWidth="1"/>
    <col min="7485" max="7486" width="11.28515625" bestFit="1" customWidth="1"/>
    <col min="7487" max="7487" width="13.28515625" bestFit="1" customWidth="1"/>
    <col min="7488" max="7488" width="7.7109375" bestFit="1" customWidth="1"/>
    <col min="7489" max="7492" width="9.140625" hidden="1" customWidth="1"/>
    <col min="7493" max="7493" width="10.42578125" bestFit="1" customWidth="1"/>
    <col min="7494" max="7494" width="10.5703125" bestFit="1" customWidth="1"/>
    <col min="7495" max="7495" width="10.42578125" bestFit="1" customWidth="1"/>
    <col min="7496" max="7496" width="10.5703125" bestFit="1" customWidth="1"/>
    <col min="7497" max="7497" width="9.5703125" bestFit="1" customWidth="1"/>
    <col min="7498" max="7498" width="11.5703125" bestFit="1" customWidth="1"/>
    <col min="7499" max="7499" width="10.42578125" bestFit="1" customWidth="1"/>
    <col min="7500" max="7500" width="10.85546875" customWidth="1"/>
    <col min="7501" max="7502" width="9.85546875" bestFit="1" customWidth="1"/>
    <col min="7503" max="7503" width="13.5703125" bestFit="1" customWidth="1"/>
    <col min="7504" max="7504" width="7.7109375" bestFit="1" customWidth="1"/>
    <col min="7505" max="7505" width="13.28515625" bestFit="1" customWidth="1"/>
    <col min="7506" max="7506" width="11.5703125" bestFit="1" customWidth="1"/>
    <col min="7507" max="7507" width="10.42578125" bestFit="1" customWidth="1"/>
    <col min="7508" max="7508" width="7.7109375" bestFit="1" customWidth="1"/>
    <col min="7509" max="7509" width="11.5703125" bestFit="1" customWidth="1"/>
    <col min="7510" max="7510" width="10.85546875" bestFit="1" customWidth="1"/>
    <col min="7511" max="7511" width="13.28515625" bestFit="1" customWidth="1"/>
    <col min="7512" max="7512" width="10.85546875" bestFit="1" customWidth="1"/>
    <col min="7513" max="7514" width="7.5703125" bestFit="1" customWidth="1"/>
    <col min="7515" max="7516" width="10.42578125" bestFit="1" customWidth="1"/>
    <col min="7517" max="7517" width="11.5703125" bestFit="1" customWidth="1"/>
    <col min="7518" max="7518" width="5.28515625" bestFit="1" customWidth="1"/>
    <col min="7519" max="7519" width="10.28515625" bestFit="1" customWidth="1"/>
    <col min="7520" max="7520" width="10.42578125" bestFit="1" customWidth="1"/>
    <col min="7521" max="7521" width="11.5703125" bestFit="1" customWidth="1"/>
    <col min="7522" max="7522" width="5.28515625" bestFit="1" customWidth="1"/>
    <col min="7523" max="7525" width="11.5703125" bestFit="1" customWidth="1"/>
    <col min="7526" max="7526" width="5.28515625" bestFit="1" customWidth="1"/>
    <col min="7527" max="7528" width="10.42578125" bestFit="1" customWidth="1"/>
    <col min="7529" max="7529" width="11.5703125" bestFit="1" customWidth="1"/>
    <col min="7530" max="7530" width="5.28515625" bestFit="1" customWidth="1"/>
    <col min="7531" max="7531" width="14.28515625" bestFit="1" customWidth="1"/>
    <col min="7532" max="7532" width="13" bestFit="1" customWidth="1"/>
    <col min="7533" max="7533" width="11.5703125" bestFit="1" customWidth="1"/>
    <col min="7534" max="7534" width="8.85546875" bestFit="1" customWidth="1"/>
    <col min="7535" max="7535" width="14.42578125" bestFit="1" customWidth="1"/>
    <col min="7536" max="7536" width="10.42578125" bestFit="1" customWidth="1"/>
    <col min="7537" max="7537" width="12.28515625" bestFit="1" customWidth="1"/>
    <col min="7538" max="7538" width="13.85546875" bestFit="1" customWidth="1"/>
    <col min="7539" max="7539" width="11.28515625" customWidth="1"/>
    <col min="7540" max="7540" width="11.5703125" customWidth="1"/>
    <col min="7541" max="7541" width="13.42578125" bestFit="1" customWidth="1"/>
    <col min="7542" max="7542" width="10.42578125" customWidth="1"/>
    <col min="7543" max="7543" width="13.85546875" bestFit="1" customWidth="1"/>
    <col min="7544" max="7544" width="15.42578125" bestFit="1" customWidth="1"/>
    <col min="7545" max="7545" width="12.28515625" bestFit="1" customWidth="1"/>
    <col min="7546" max="7546" width="12.7109375" customWidth="1"/>
    <col min="7547" max="7547" width="10.7109375" bestFit="1" customWidth="1"/>
    <col min="7548" max="7548" width="9.85546875" customWidth="1"/>
    <col min="7549" max="7550" width="10.140625" bestFit="1" customWidth="1"/>
    <col min="7551" max="7551" width="7.5703125" bestFit="1" customWidth="1"/>
    <col min="7552" max="7552" width="9.42578125" bestFit="1" customWidth="1"/>
    <col min="7553" max="7553" width="14.5703125" bestFit="1" customWidth="1"/>
    <col min="7554" max="7554" width="14.85546875" customWidth="1"/>
    <col min="7555" max="7555" width="15.140625" bestFit="1" customWidth="1"/>
    <col min="7556" max="7556" width="12.140625" bestFit="1" customWidth="1"/>
    <col min="7557" max="7557" width="14.85546875" bestFit="1" customWidth="1"/>
    <col min="7558" max="7558" width="12.28515625" bestFit="1" customWidth="1"/>
    <col min="7559" max="7567" width="9.140625" hidden="1" customWidth="1"/>
    <col min="7568" max="7568" width="5.28515625" bestFit="1" customWidth="1"/>
    <col min="7569" max="7574" width="11.5703125" bestFit="1" customWidth="1"/>
    <col min="7575" max="7575" width="11.28515625" bestFit="1" customWidth="1"/>
    <col min="7576" max="7576" width="10.140625" bestFit="1" customWidth="1"/>
    <col min="7577" max="7577" width="11.5703125" bestFit="1" customWidth="1"/>
    <col min="7578" max="7578" width="16.140625" customWidth="1"/>
    <col min="7579" max="7579" width="13.42578125" customWidth="1"/>
    <col min="7580" max="7580" width="10.140625" bestFit="1" customWidth="1"/>
    <col min="7581" max="7581" width="12.85546875" bestFit="1" customWidth="1"/>
    <col min="7582" max="7582" width="12.28515625" bestFit="1" customWidth="1"/>
    <col min="7583" max="7583" width="11.28515625" bestFit="1" customWidth="1"/>
    <col min="7584" max="7584" width="11.5703125" bestFit="1" customWidth="1"/>
    <col min="7585" max="7585" width="10.85546875" bestFit="1" customWidth="1"/>
    <col min="7586" max="7586" width="11.28515625" bestFit="1" customWidth="1"/>
    <col min="7587" max="7587" width="10.140625" bestFit="1" customWidth="1"/>
    <col min="7588" max="7588" width="13.28515625" bestFit="1" customWidth="1"/>
    <col min="7589" max="7590" width="12.7109375" bestFit="1" customWidth="1"/>
    <col min="7591" max="7591" width="11" bestFit="1" customWidth="1"/>
    <col min="7592" max="7592" width="11.28515625" bestFit="1" customWidth="1"/>
    <col min="7593" max="7593" width="11.5703125" bestFit="1" customWidth="1"/>
    <col min="7594" max="7594" width="12.28515625" bestFit="1" customWidth="1"/>
    <col min="7595" max="7595" width="15.140625" bestFit="1" customWidth="1"/>
    <col min="7596" max="7596" width="14.42578125" bestFit="1" customWidth="1"/>
    <col min="7597" max="7597" width="12.28515625" bestFit="1" customWidth="1"/>
    <col min="7598" max="7598" width="15.140625" bestFit="1" customWidth="1"/>
    <col min="7599" max="7599" width="14.42578125" bestFit="1" customWidth="1"/>
    <col min="7600" max="7600" width="12.28515625" bestFit="1" customWidth="1"/>
    <col min="7601" max="7601" width="14.42578125" bestFit="1" customWidth="1"/>
    <col min="7602" max="7602" width="11.28515625" bestFit="1" customWidth="1"/>
    <col min="7603" max="7603" width="12.28515625" bestFit="1" customWidth="1"/>
    <col min="7604" max="7604" width="13" bestFit="1" customWidth="1"/>
    <col min="7605" max="7605" width="15.140625" bestFit="1" customWidth="1"/>
    <col min="7606" max="7606" width="12.28515625" bestFit="1" customWidth="1"/>
    <col min="7607" max="7607" width="13.85546875" bestFit="1" customWidth="1"/>
    <col min="7608" max="7608" width="11.28515625" bestFit="1" customWidth="1"/>
    <col min="7609" max="7609" width="12.28515625" bestFit="1" customWidth="1"/>
    <col min="7610" max="7610" width="13.85546875" bestFit="1" customWidth="1"/>
    <col min="7611" max="7612" width="15.140625" bestFit="1" customWidth="1"/>
    <col min="7613" max="7613" width="12.28515625" bestFit="1" customWidth="1"/>
    <col min="7614" max="7614" width="5.7109375" bestFit="1" customWidth="1"/>
    <col min="7615" max="7615" width="8.5703125" bestFit="1" customWidth="1"/>
    <col min="7616" max="7616" width="5.5703125" bestFit="1" customWidth="1"/>
    <col min="7617" max="7617" width="14.42578125" bestFit="1" customWidth="1"/>
    <col min="7618" max="7618" width="11.28515625" bestFit="1" customWidth="1"/>
    <col min="7619" max="7620" width="12.28515625" bestFit="1" customWidth="1"/>
    <col min="7621" max="7621" width="11.28515625" bestFit="1" customWidth="1"/>
    <col min="7622" max="7622" width="13.85546875" bestFit="1" customWidth="1"/>
    <col min="7623" max="7623" width="12" bestFit="1" customWidth="1"/>
    <col min="7624" max="7624" width="13.85546875" bestFit="1" customWidth="1"/>
    <col min="7625" max="7626" width="14.42578125" customWidth="1"/>
    <col min="7627" max="7627" width="10.140625" bestFit="1" customWidth="1"/>
    <col min="7628" max="7628" width="12.28515625" bestFit="1" customWidth="1"/>
    <col min="7629" max="7629" width="7.42578125" bestFit="1" customWidth="1"/>
    <col min="7630" max="7630" width="8.5703125" bestFit="1" customWidth="1"/>
    <col min="7631" max="7631" width="11.5703125" bestFit="1" customWidth="1"/>
    <col min="7632" max="7632" width="13.28515625" bestFit="1" customWidth="1"/>
    <col min="7633" max="7633" width="13.28515625" customWidth="1"/>
    <col min="7634" max="7634" width="13.140625" customWidth="1"/>
    <col min="7635" max="7635" width="12.7109375" bestFit="1" customWidth="1"/>
    <col min="7636" max="7636" width="13.28515625" bestFit="1" customWidth="1"/>
    <col min="7637" max="7639" width="13.28515625" customWidth="1"/>
    <col min="7640" max="7640" width="12.140625" bestFit="1" customWidth="1"/>
    <col min="7641" max="7641" width="12.7109375" bestFit="1" customWidth="1"/>
    <col min="7642" max="7642" width="11" customWidth="1"/>
    <col min="7643" max="7643" width="16.7109375" customWidth="1"/>
    <col min="7644" max="7644" width="17" customWidth="1"/>
    <col min="7645" max="7645" width="10.42578125" bestFit="1" customWidth="1"/>
    <col min="7689" max="7689" width="3.85546875" customWidth="1"/>
    <col min="7690" max="7690" width="15.28515625" bestFit="1" customWidth="1"/>
    <col min="7691" max="7691" width="12.28515625" customWidth="1"/>
    <col min="7692" max="7692" width="16.28515625" bestFit="1" customWidth="1"/>
    <col min="7693" max="7693" width="6.42578125" bestFit="1" customWidth="1"/>
    <col min="7694" max="7694" width="9.28515625" bestFit="1" customWidth="1"/>
    <col min="7695" max="7695" width="7.5703125" bestFit="1" customWidth="1"/>
    <col min="7696" max="7696" width="13.28515625" bestFit="1" customWidth="1"/>
    <col min="7697" max="7697" width="9.28515625" bestFit="1" customWidth="1"/>
    <col min="7698" max="7698" width="11.5703125" bestFit="1" customWidth="1"/>
    <col min="7699" max="7699" width="13.28515625" bestFit="1" customWidth="1"/>
    <col min="7700" max="7700" width="7.140625" bestFit="1" customWidth="1"/>
    <col min="7701" max="7701" width="12" bestFit="1" customWidth="1"/>
    <col min="7702" max="7702" width="13.28515625" bestFit="1" customWidth="1"/>
    <col min="7703" max="7703" width="7" bestFit="1" customWidth="1"/>
    <col min="7704" max="7704" width="12.7109375" bestFit="1" customWidth="1"/>
    <col min="7705" max="7705" width="11.5703125" bestFit="1" customWidth="1"/>
    <col min="7706" max="7706" width="10.5703125" bestFit="1" customWidth="1"/>
    <col min="7707" max="7708" width="15.7109375" bestFit="1" customWidth="1"/>
    <col min="7709" max="7709" width="11.5703125" bestFit="1" customWidth="1"/>
    <col min="7710" max="7710" width="7.7109375" bestFit="1" customWidth="1"/>
    <col min="7711" max="7711" width="15.140625" bestFit="1" customWidth="1"/>
    <col min="7712" max="7712" width="11.5703125" bestFit="1" customWidth="1"/>
    <col min="7713" max="7713" width="13.28515625" bestFit="1" customWidth="1"/>
    <col min="7714" max="7714" width="10.42578125" bestFit="1" customWidth="1"/>
    <col min="7715" max="7715" width="13.28515625" bestFit="1" customWidth="1"/>
    <col min="7716" max="7716" width="12.140625" bestFit="1" customWidth="1"/>
    <col min="7717" max="7717" width="14.42578125" bestFit="1" customWidth="1"/>
    <col min="7718" max="7718" width="13.28515625" bestFit="1" customWidth="1"/>
    <col min="7719" max="7719" width="11.5703125" bestFit="1" customWidth="1"/>
    <col min="7720" max="7720" width="7.7109375" bestFit="1" customWidth="1"/>
    <col min="7721" max="7722" width="14.42578125" bestFit="1" customWidth="1"/>
    <col min="7723" max="7723" width="11.5703125" bestFit="1" customWidth="1"/>
    <col min="7724" max="7724" width="7.7109375" bestFit="1" customWidth="1"/>
    <col min="7725" max="7725" width="13.5703125" customWidth="1"/>
    <col min="7726" max="7726" width="15.28515625" customWidth="1"/>
    <col min="7727" max="7727" width="14.5703125" customWidth="1"/>
    <col min="7728" max="7728" width="13.28515625" bestFit="1" customWidth="1"/>
    <col min="7729" max="7729" width="7.7109375" bestFit="1" customWidth="1"/>
    <col min="7730" max="7730" width="12.7109375" bestFit="1" customWidth="1"/>
    <col min="7731" max="7731" width="11.7109375" bestFit="1" customWidth="1"/>
    <col min="7732" max="7732" width="11.5703125" bestFit="1" customWidth="1"/>
    <col min="7733" max="7733" width="5.28515625" bestFit="1" customWidth="1"/>
    <col min="7734" max="7734" width="13.28515625" bestFit="1" customWidth="1"/>
    <col min="7735" max="7735" width="13.5703125" bestFit="1" customWidth="1"/>
    <col min="7736" max="7736" width="10.5703125" bestFit="1" customWidth="1"/>
    <col min="7737" max="7737" width="13.28515625" bestFit="1" customWidth="1"/>
    <col min="7738" max="7738" width="11.5703125" bestFit="1" customWidth="1"/>
    <col min="7739" max="7739" width="10.5703125" bestFit="1" customWidth="1"/>
    <col min="7740" max="7740" width="16.140625" bestFit="1" customWidth="1"/>
    <col min="7741" max="7742" width="11.28515625" bestFit="1" customWidth="1"/>
    <col min="7743" max="7743" width="13.28515625" bestFit="1" customWidth="1"/>
    <col min="7744" max="7744" width="7.7109375" bestFit="1" customWidth="1"/>
    <col min="7745" max="7748" width="9.140625" hidden="1" customWidth="1"/>
    <col min="7749" max="7749" width="10.42578125" bestFit="1" customWidth="1"/>
    <col min="7750" max="7750" width="10.5703125" bestFit="1" customWidth="1"/>
    <col min="7751" max="7751" width="10.42578125" bestFit="1" customWidth="1"/>
    <col min="7752" max="7752" width="10.5703125" bestFit="1" customWidth="1"/>
    <col min="7753" max="7753" width="9.5703125" bestFit="1" customWidth="1"/>
    <col min="7754" max="7754" width="11.5703125" bestFit="1" customWidth="1"/>
    <col min="7755" max="7755" width="10.42578125" bestFit="1" customWidth="1"/>
    <col min="7756" max="7756" width="10.85546875" customWidth="1"/>
    <col min="7757" max="7758" width="9.85546875" bestFit="1" customWidth="1"/>
    <col min="7759" max="7759" width="13.5703125" bestFit="1" customWidth="1"/>
    <col min="7760" max="7760" width="7.7109375" bestFit="1" customWidth="1"/>
    <col min="7761" max="7761" width="13.28515625" bestFit="1" customWidth="1"/>
    <col min="7762" max="7762" width="11.5703125" bestFit="1" customWidth="1"/>
    <col min="7763" max="7763" width="10.42578125" bestFit="1" customWidth="1"/>
    <col min="7764" max="7764" width="7.7109375" bestFit="1" customWidth="1"/>
    <col min="7765" max="7765" width="11.5703125" bestFit="1" customWidth="1"/>
    <col min="7766" max="7766" width="10.85546875" bestFit="1" customWidth="1"/>
    <col min="7767" max="7767" width="13.28515625" bestFit="1" customWidth="1"/>
    <col min="7768" max="7768" width="10.85546875" bestFit="1" customWidth="1"/>
    <col min="7769" max="7770" width="7.5703125" bestFit="1" customWidth="1"/>
    <col min="7771" max="7772" width="10.42578125" bestFit="1" customWidth="1"/>
    <col min="7773" max="7773" width="11.5703125" bestFit="1" customWidth="1"/>
    <col min="7774" max="7774" width="5.28515625" bestFit="1" customWidth="1"/>
    <col min="7775" max="7775" width="10.28515625" bestFit="1" customWidth="1"/>
    <col min="7776" max="7776" width="10.42578125" bestFit="1" customWidth="1"/>
    <col min="7777" max="7777" width="11.5703125" bestFit="1" customWidth="1"/>
    <col min="7778" max="7778" width="5.28515625" bestFit="1" customWidth="1"/>
    <col min="7779" max="7781" width="11.5703125" bestFit="1" customWidth="1"/>
    <col min="7782" max="7782" width="5.28515625" bestFit="1" customWidth="1"/>
    <col min="7783" max="7784" width="10.42578125" bestFit="1" customWidth="1"/>
    <col min="7785" max="7785" width="11.5703125" bestFit="1" customWidth="1"/>
    <col min="7786" max="7786" width="5.28515625" bestFit="1" customWidth="1"/>
    <col min="7787" max="7787" width="14.28515625" bestFit="1" customWidth="1"/>
    <col min="7788" max="7788" width="13" bestFit="1" customWidth="1"/>
    <col min="7789" max="7789" width="11.5703125" bestFit="1" customWidth="1"/>
    <col min="7790" max="7790" width="8.85546875" bestFit="1" customWidth="1"/>
    <col min="7791" max="7791" width="14.42578125" bestFit="1" customWidth="1"/>
    <col min="7792" max="7792" width="10.42578125" bestFit="1" customWidth="1"/>
    <col min="7793" max="7793" width="12.28515625" bestFit="1" customWidth="1"/>
    <col min="7794" max="7794" width="13.85546875" bestFit="1" customWidth="1"/>
    <col min="7795" max="7795" width="11.28515625" customWidth="1"/>
    <col min="7796" max="7796" width="11.5703125" customWidth="1"/>
    <col min="7797" max="7797" width="13.42578125" bestFit="1" customWidth="1"/>
    <col min="7798" max="7798" width="10.42578125" customWidth="1"/>
    <col min="7799" max="7799" width="13.85546875" bestFit="1" customWidth="1"/>
    <col min="7800" max="7800" width="15.42578125" bestFit="1" customWidth="1"/>
    <col min="7801" max="7801" width="12.28515625" bestFit="1" customWidth="1"/>
    <col min="7802" max="7802" width="12.7109375" customWidth="1"/>
    <col min="7803" max="7803" width="10.7109375" bestFit="1" customWidth="1"/>
    <col min="7804" max="7804" width="9.85546875" customWidth="1"/>
    <col min="7805" max="7806" width="10.140625" bestFit="1" customWidth="1"/>
    <col min="7807" max="7807" width="7.5703125" bestFit="1" customWidth="1"/>
    <col min="7808" max="7808" width="9.42578125" bestFit="1" customWidth="1"/>
    <col min="7809" max="7809" width="14.5703125" bestFit="1" customWidth="1"/>
    <col min="7810" max="7810" width="14.85546875" customWidth="1"/>
    <col min="7811" max="7811" width="15.140625" bestFit="1" customWidth="1"/>
    <col min="7812" max="7812" width="12.140625" bestFit="1" customWidth="1"/>
    <col min="7813" max="7813" width="14.85546875" bestFit="1" customWidth="1"/>
    <col min="7814" max="7814" width="12.28515625" bestFit="1" customWidth="1"/>
    <col min="7815" max="7823" width="9.140625" hidden="1" customWidth="1"/>
    <col min="7824" max="7824" width="5.28515625" bestFit="1" customWidth="1"/>
    <col min="7825" max="7830" width="11.5703125" bestFit="1" customWidth="1"/>
    <col min="7831" max="7831" width="11.28515625" bestFit="1" customWidth="1"/>
    <col min="7832" max="7832" width="10.140625" bestFit="1" customWidth="1"/>
    <col min="7833" max="7833" width="11.5703125" bestFit="1" customWidth="1"/>
    <col min="7834" max="7834" width="16.140625" customWidth="1"/>
    <col min="7835" max="7835" width="13.42578125" customWidth="1"/>
    <col min="7836" max="7836" width="10.140625" bestFit="1" customWidth="1"/>
    <col min="7837" max="7837" width="12.85546875" bestFit="1" customWidth="1"/>
    <col min="7838" max="7838" width="12.28515625" bestFit="1" customWidth="1"/>
    <col min="7839" max="7839" width="11.28515625" bestFit="1" customWidth="1"/>
    <col min="7840" max="7840" width="11.5703125" bestFit="1" customWidth="1"/>
    <col min="7841" max="7841" width="10.85546875" bestFit="1" customWidth="1"/>
    <col min="7842" max="7842" width="11.28515625" bestFit="1" customWidth="1"/>
    <col min="7843" max="7843" width="10.140625" bestFit="1" customWidth="1"/>
    <col min="7844" max="7844" width="13.28515625" bestFit="1" customWidth="1"/>
    <col min="7845" max="7846" width="12.7109375" bestFit="1" customWidth="1"/>
    <col min="7847" max="7847" width="11" bestFit="1" customWidth="1"/>
    <col min="7848" max="7848" width="11.28515625" bestFit="1" customWidth="1"/>
    <col min="7849" max="7849" width="11.5703125" bestFit="1" customWidth="1"/>
    <col min="7850" max="7850" width="12.28515625" bestFit="1" customWidth="1"/>
    <col min="7851" max="7851" width="15.140625" bestFit="1" customWidth="1"/>
    <col min="7852" max="7852" width="14.42578125" bestFit="1" customWidth="1"/>
    <col min="7853" max="7853" width="12.28515625" bestFit="1" customWidth="1"/>
    <col min="7854" max="7854" width="15.140625" bestFit="1" customWidth="1"/>
    <col min="7855" max="7855" width="14.42578125" bestFit="1" customWidth="1"/>
    <col min="7856" max="7856" width="12.28515625" bestFit="1" customWidth="1"/>
    <col min="7857" max="7857" width="14.42578125" bestFit="1" customWidth="1"/>
    <col min="7858" max="7858" width="11.28515625" bestFit="1" customWidth="1"/>
    <col min="7859" max="7859" width="12.28515625" bestFit="1" customWidth="1"/>
    <col min="7860" max="7860" width="13" bestFit="1" customWidth="1"/>
    <col min="7861" max="7861" width="15.140625" bestFit="1" customWidth="1"/>
    <col min="7862" max="7862" width="12.28515625" bestFit="1" customWidth="1"/>
    <col min="7863" max="7863" width="13.85546875" bestFit="1" customWidth="1"/>
    <col min="7864" max="7864" width="11.28515625" bestFit="1" customWidth="1"/>
    <col min="7865" max="7865" width="12.28515625" bestFit="1" customWidth="1"/>
    <col min="7866" max="7866" width="13.85546875" bestFit="1" customWidth="1"/>
    <col min="7867" max="7868" width="15.140625" bestFit="1" customWidth="1"/>
    <col min="7869" max="7869" width="12.28515625" bestFit="1" customWidth="1"/>
    <col min="7870" max="7870" width="5.7109375" bestFit="1" customWidth="1"/>
    <col min="7871" max="7871" width="8.5703125" bestFit="1" customWidth="1"/>
    <col min="7872" max="7872" width="5.5703125" bestFit="1" customWidth="1"/>
    <col min="7873" max="7873" width="14.42578125" bestFit="1" customWidth="1"/>
    <col min="7874" max="7874" width="11.28515625" bestFit="1" customWidth="1"/>
    <col min="7875" max="7876" width="12.28515625" bestFit="1" customWidth="1"/>
    <col min="7877" max="7877" width="11.28515625" bestFit="1" customWidth="1"/>
    <col min="7878" max="7878" width="13.85546875" bestFit="1" customWidth="1"/>
    <col min="7879" max="7879" width="12" bestFit="1" customWidth="1"/>
    <col min="7880" max="7880" width="13.85546875" bestFit="1" customWidth="1"/>
    <col min="7881" max="7882" width="14.42578125" customWidth="1"/>
    <col min="7883" max="7883" width="10.140625" bestFit="1" customWidth="1"/>
    <col min="7884" max="7884" width="12.28515625" bestFit="1" customWidth="1"/>
    <col min="7885" max="7885" width="7.42578125" bestFit="1" customWidth="1"/>
    <col min="7886" max="7886" width="8.5703125" bestFit="1" customWidth="1"/>
    <col min="7887" max="7887" width="11.5703125" bestFit="1" customWidth="1"/>
    <col min="7888" max="7888" width="13.28515625" bestFit="1" customWidth="1"/>
    <col min="7889" max="7889" width="13.28515625" customWidth="1"/>
    <col min="7890" max="7890" width="13.140625" customWidth="1"/>
    <col min="7891" max="7891" width="12.7109375" bestFit="1" customWidth="1"/>
    <col min="7892" max="7892" width="13.28515625" bestFit="1" customWidth="1"/>
    <col min="7893" max="7895" width="13.28515625" customWidth="1"/>
    <col min="7896" max="7896" width="12.140625" bestFit="1" customWidth="1"/>
    <col min="7897" max="7897" width="12.7109375" bestFit="1" customWidth="1"/>
    <col min="7898" max="7898" width="11" customWidth="1"/>
    <col min="7899" max="7899" width="16.7109375" customWidth="1"/>
    <col min="7900" max="7900" width="17" customWidth="1"/>
    <col min="7901" max="7901" width="10.42578125" bestFit="1" customWidth="1"/>
    <col min="7945" max="7945" width="3.85546875" customWidth="1"/>
    <col min="7946" max="7946" width="15.28515625" bestFit="1" customWidth="1"/>
    <col min="7947" max="7947" width="12.28515625" customWidth="1"/>
    <col min="7948" max="7948" width="16.28515625" bestFit="1" customWidth="1"/>
    <col min="7949" max="7949" width="6.42578125" bestFit="1" customWidth="1"/>
    <col min="7950" max="7950" width="9.28515625" bestFit="1" customWidth="1"/>
    <col min="7951" max="7951" width="7.5703125" bestFit="1" customWidth="1"/>
    <col min="7952" max="7952" width="13.28515625" bestFit="1" customWidth="1"/>
    <col min="7953" max="7953" width="9.28515625" bestFit="1" customWidth="1"/>
    <col min="7954" max="7954" width="11.5703125" bestFit="1" customWidth="1"/>
    <col min="7955" max="7955" width="13.28515625" bestFit="1" customWidth="1"/>
    <col min="7956" max="7956" width="7.140625" bestFit="1" customWidth="1"/>
    <col min="7957" max="7957" width="12" bestFit="1" customWidth="1"/>
    <col min="7958" max="7958" width="13.28515625" bestFit="1" customWidth="1"/>
    <col min="7959" max="7959" width="7" bestFit="1" customWidth="1"/>
    <col min="7960" max="7960" width="12.7109375" bestFit="1" customWidth="1"/>
    <col min="7961" max="7961" width="11.5703125" bestFit="1" customWidth="1"/>
    <col min="7962" max="7962" width="10.5703125" bestFit="1" customWidth="1"/>
    <col min="7963" max="7964" width="15.7109375" bestFit="1" customWidth="1"/>
    <col min="7965" max="7965" width="11.5703125" bestFit="1" customWidth="1"/>
    <col min="7966" max="7966" width="7.7109375" bestFit="1" customWidth="1"/>
    <col min="7967" max="7967" width="15.140625" bestFit="1" customWidth="1"/>
    <col min="7968" max="7968" width="11.5703125" bestFit="1" customWidth="1"/>
    <col min="7969" max="7969" width="13.28515625" bestFit="1" customWidth="1"/>
    <col min="7970" max="7970" width="10.42578125" bestFit="1" customWidth="1"/>
    <col min="7971" max="7971" width="13.28515625" bestFit="1" customWidth="1"/>
    <col min="7972" max="7972" width="12.140625" bestFit="1" customWidth="1"/>
    <col min="7973" max="7973" width="14.42578125" bestFit="1" customWidth="1"/>
    <col min="7974" max="7974" width="13.28515625" bestFit="1" customWidth="1"/>
    <col min="7975" max="7975" width="11.5703125" bestFit="1" customWidth="1"/>
    <col min="7976" max="7976" width="7.7109375" bestFit="1" customWidth="1"/>
    <col min="7977" max="7978" width="14.42578125" bestFit="1" customWidth="1"/>
    <col min="7979" max="7979" width="11.5703125" bestFit="1" customWidth="1"/>
    <col min="7980" max="7980" width="7.7109375" bestFit="1" customWidth="1"/>
    <col min="7981" max="7981" width="13.5703125" customWidth="1"/>
    <col min="7982" max="7982" width="15.28515625" customWidth="1"/>
    <col min="7983" max="7983" width="14.5703125" customWidth="1"/>
    <col min="7984" max="7984" width="13.28515625" bestFit="1" customWidth="1"/>
    <col min="7985" max="7985" width="7.7109375" bestFit="1" customWidth="1"/>
    <col min="7986" max="7986" width="12.7109375" bestFit="1" customWidth="1"/>
    <col min="7987" max="7987" width="11.7109375" bestFit="1" customWidth="1"/>
    <col min="7988" max="7988" width="11.5703125" bestFit="1" customWidth="1"/>
    <col min="7989" max="7989" width="5.28515625" bestFit="1" customWidth="1"/>
    <col min="7990" max="7990" width="13.28515625" bestFit="1" customWidth="1"/>
    <col min="7991" max="7991" width="13.5703125" bestFit="1" customWidth="1"/>
    <col min="7992" max="7992" width="10.5703125" bestFit="1" customWidth="1"/>
    <col min="7993" max="7993" width="13.28515625" bestFit="1" customWidth="1"/>
    <col min="7994" max="7994" width="11.5703125" bestFit="1" customWidth="1"/>
    <col min="7995" max="7995" width="10.5703125" bestFit="1" customWidth="1"/>
    <col min="7996" max="7996" width="16.140625" bestFit="1" customWidth="1"/>
    <col min="7997" max="7998" width="11.28515625" bestFit="1" customWidth="1"/>
    <col min="7999" max="7999" width="13.28515625" bestFit="1" customWidth="1"/>
    <col min="8000" max="8000" width="7.7109375" bestFit="1" customWidth="1"/>
    <col min="8001" max="8004" width="9.140625" hidden="1" customWidth="1"/>
    <col min="8005" max="8005" width="10.42578125" bestFit="1" customWidth="1"/>
    <col min="8006" max="8006" width="10.5703125" bestFit="1" customWidth="1"/>
    <col min="8007" max="8007" width="10.42578125" bestFit="1" customWidth="1"/>
    <col min="8008" max="8008" width="10.5703125" bestFit="1" customWidth="1"/>
    <col min="8009" max="8009" width="9.5703125" bestFit="1" customWidth="1"/>
    <col min="8010" max="8010" width="11.5703125" bestFit="1" customWidth="1"/>
    <col min="8011" max="8011" width="10.42578125" bestFit="1" customWidth="1"/>
    <col min="8012" max="8012" width="10.85546875" customWidth="1"/>
    <col min="8013" max="8014" width="9.85546875" bestFit="1" customWidth="1"/>
    <col min="8015" max="8015" width="13.5703125" bestFit="1" customWidth="1"/>
    <col min="8016" max="8016" width="7.7109375" bestFit="1" customWidth="1"/>
    <col min="8017" max="8017" width="13.28515625" bestFit="1" customWidth="1"/>
    <col min="8018" max="8018" width="11.5703125" bestFit="1" customWidth="1"/>
    <col min="8019" max="8019" width="10.42578125" bestFit="1" customWidth="1"/>
    <col min="8020" max="8020" width="7.7109375" bestFit="1" customWidth="1"/>
    <col min="8021" max="8021" width="11.5703125" bestFit="1" customWidth="1"/>
    <col min="8022" max="8022" width="10.85546875" bestFit="1" customWidth="1"/>
    <col min="8023" max="8023" width="13.28515625" bestFit="1" customWidth="1"/>
    <col min="8024" max="8024" width="10.85546875" bestFit="1" customWidth="1"/>
    <col min="8025" max="8026" width="7.5703125" bestFit="1" customWidth="1"/>
    <col min="8027" max="8028" width="10.42578125" bestFit="1" customWidth="1"/>
    <col min="8029" max="8029" width="11.5703125" bestFit="1" customWidth="1"/>
    <col min="8030" max="8030" width="5.28515625" bestFit="1" customWidth="1"/>
    <col min="8031" max="8031" width="10.28515625" bestFit="1" customWidth="1"/>
    <col min="8032" max="8032" width="10.42578125" bestFit="1" customWidth="1"/>
    <col min="8033" max="8033" width="11.5703125" bestFit="1" customWidth="1"/>
    <col min="8034" max="8034" width="5.28515625" bestFit="1" customWidth="1"/>
    <col min="8035" max="8037" width="11.5703125" bestFit="1" customWidth="1"/>
    <col min="8038" max="8038" width="5.28515625" bestFit="1" customWidth="1"/>
    <col min="8039" max="8040" width="10.42578125" bestFit="1" customWidth="1"/>
    <col min="8041" max="8041" width="11.5703125" bestFit="1" customWidth="1"/>
    <col min="8042" max="8042" width="5.28515625" bestFit="1" customWidth="1"/>
    <col min="8043" max="8043" width="14.28515625" bestFit="1" customWidth="1"/>
    <col min="8044" max="8044" width="13" bestFit="1" customWidth="1"/>
    <col min="8045" max="8045" width="11.5703125" bestFit="1" customWidth="1"/>
    <col min="8046" max="8046" width="8.85546875" bestFit="1" customWidth="1"/>
    <col min="8047" max="8047" width="14.42578125" bestFit="1" customWidth="1"/>
    <col min="8048" max="8048" width="10.42578125" bestFit="1" customWidth="1"/>
    <col min="8049" max="8049" width="12.28515625" bestFit="1" customWidth="1"/>
    <col min="8050" max="8050" width="13.85546875" bestFit="1" customWidth="1"/>
    <col min="8051" max="8051" width="11.28515625" customWidth="1"/>
    <col min="8052" max="8052" width="11.5703125" customWidth="1"/>
    <col min="8053" max="8053" width="13.42578125" bestFit="1" customWidth="1"/>
    <col min="8054" max="8054" width="10.42578125" customWidth="1"/>
    <col min="8055" max="8055" width="13.85546875" bestFit="1" customWidth="1"/>
    <col min="8056" max="8056" width="15.42578125" bestFit="1" customWidth="1"/>
    <col min="8057" max="8057" width="12.28515625" bestFit="1" customWidth="1"/>
    <col min="8058" max="8058" width="12.7109375" customWidth="1"/>
    <col min="8059" max="8059" width="10.7109375" bestFit="1" customWidth="1"/>
    <col min="8060" max="8060" width="9.85546875" customWidth="1"/>
    <col min="8061" max="8062" width="10.140625" bestFit="1" customWidth="1"/>
    <col min="8063" max="8063" width="7.5703125" bestFit="1" customWidth="1"/>
    <col min="8064" max="8064" width="9.42578125" bestFit="1" customWidth="1"/>
    <col min="8065" max="8065" width="14.5703125" bestFit="1" customWidth="1"/>
    <col min="8066" max="8066" width="14.85546875" customWidth="1"/>
    <col min="8067" max="8067" width="15.140625" bestFit="1" customWidth="1"/>
    <col min="8068" max="8068" width="12.140625" bestFit="1" customWidth="1"/>
    <col min="8069" max="8069" width="14.85546875" bestFit="1" customWidth="1"/>
    <col min="8070" max="8070" width="12.28515625" bestFit="1" customWidth="1"/>
    <col min="8071" max="8079" width="9.140625" hidden="1" customWidth="1"/>
    <col min="8080" max="8080" width="5.28515625" bestFit="1" customWidth="1"/>
    <col min="8081" max="8086" width="11.5703125" bestFit="1" customWidth="1"/>
    <col min="8087" max="8087" width="11.28515625" bestFit="1" customWidth="1"/>
    <col min="8088" max="8088" width="10.140625" bestFit="1" customWidth="1"/>
    <col min="8089" max="8089" width="11.5703125" bestFit="1" customWidth="1"/>
    <col min="8090" max="8090" width="16.140625" customWidth="1"/>
    <col min="8091" max="8091" width="13.42578125" customWidth="1"/>
    <col min="8092" max="8092" width="10.140625" bestFit="1" customWidth="1"/>
    <col min="8093" max="8093" width="12.85546875" bestFit="1" customWidth="1"/>
    <col min="8094" max="8094" width="12.28515625" bestFit="1" customWidth="1"/>
    <col min="8095" max="8095" width="11.28515625" bestFit="1" customWidth="1"/>
    <col min="8096" max="8096" width="11.5703125" bestFit="1" customWidth="1"/>
    <col min="8097" max="8097" width="10.85546875" bestFit="1" customWidth="1"/>
    <col min="8098" max="8098" width="11.28515625" bestFit="1" customWidth="1"/>
    <col min="8099" max="8099" width="10.140625" bestFit="1" customWidth="1"/>
    <col min="8100" max="8100" width="13.28515625" bestFit="1" customWidth="1"/>
    <col min="8101" max="8102" width="12.7109375" bestFit="1" customWidth="1"/>
    <col min="8103" max="8103" width="11" bestFit="1" customWidth="1"/>
    <col min="8104" max="8104" width="11.28515625" bestFit="1" customWidth="1"/>
    <col min="8105" max="8105" width="11.5703125" bestFit="1" customWidth="1"/>
    <col min="8106" max="8106" width="12.28515625" bestFit="1" customWidth="1"/>
    <col min="8107" max="8107" width="15.140625" bestFit="1" customWidth="1"/>
    <col min="8108" max="8108" width="14.42578125" bestFit="1" customWidth="1"/>
    <col min="8109" max="8109" width="12.28515625" bestFit="1" customWidth="1"/>
    <col min="8110" max="8110" width="15.140625" bestFit="1" customWidth="1"/>
    <col min="8111" max="8111" width="14.42578125" bestFit="1" customWidth="1"/>
    <col min="8112" max="8112" width="12.28515625" bestFit="1" customWidth="1"/>
    <col min="8113" max="8113" width="14.42578125" bestFit="1" customWidth="1"/>
    <col min="8114" max="8114" width="11.28515625" bestFit="1" customWidth="1"/>
    <col min="8115" max="8115" width="12.28515625" bestFit="1" customWidth="1"/>
    <col min="8116" max="8116" width="13" bestFit="1" customWidth="1"/>
    <col min="8117" max="8117" width="15.140625" bestFit="1" customWidth="1"/>
    <col min="8118" max="8118" width="12.28515625" bestFit="1" customWidth="1"/>
    <col min="8119" max="8119" width="13.85546875" bestFit="1" customWidth="1"/>
    <col min="8120" max="8120" width="11.28515625" bestFit="1" customWidth="1"/>
    <col min="8121" max="8121" width="12.28515625" bestFit="1" customWidth="1"/>
    <col min="8122" max="8122" width="13.85546875" bestFit="1" customWidth="1"/>
    <col min="8123" max="8124" width="15.140625" bestFit="1" customWidth="1"/>
    <col min="8125" max="8125" width="12.28515625" bestFit="1" customWidth="1"/>
    <col min="8126" max="8126" width="5.7109375" bestFit="1" customWidth="1"/>
    <col min="8127" max="8127" width="8.5703125" bestFit="1" customWidth="1"/>
    <col min="8128" max="8128" width="5.5703125" bestFit="1" customWidth="1"/>
    <col min="8129" max="8129" width="14.42578125" bestFit="1" customWidth="1"/>
    <col min="8130" max="8130" width="11.28515625" bestFit="1" customWidth="1"/>
    <col min="8131" max="8132" width="12.28515625" bestFit="1" customWidth="1"/>
    <col min="8133" max="8133" width="11.28515625" bestFit="1" customWidth="1"/>
    <col min="8134" max="8134" width="13.85546875" bestFit="1" customWidth="1"/>
    <col min="8135" max="8135" width="12" bestFit="1" customWidth="1"/>
    <col min="8136" max="8136" width="13.85546875" bestFit="1" customWidth="1"/>
    <col min="8137" max="8138" width="14.42578125" customWidth="1"/>
    <col min="8139" max="8139" width="10.140625" bestFit="1" customWidth="1"/>
    <col min="8140" max="8140" width="12.28515625" bestFit="1" customWidth="1"/>
    <col min="8141" max="8141" width="7.42578125" bestFit="1" customWidth="1"/>
    <col min="8142" max="8142" width="8.5703125" bestFit="1" customWidth="1"/>
    <col min="8143" max="8143" width="11.5703125" bestFit="1" customWidth="1"/>
    <col min="8144" max="8144" width="13.28515625" bestFit="1" customWidth="1"/>
    <col min="8145" max="8145" width="13.28515625" customWidth="1"/>
    <col min="8146" max="8146" width="13.140625" customWidth="1"/>
    <col min="8147" max="8147" width="12.7109375" bestFit="1" customWidth="1"/>
    <col min="8148" max="8148" width="13.28515625" bestFit="1" customWidth="1"/>
    <col min="8149" max="8151" width="13.28515625" customWidth="1"/>
    <col min="8152" max="8152" width="12.140625" bestFit="1" customWidth="1"/>
    <col min="8153" max="8153" width="12.7109375" bestFit="1" customWidth="1"/>
    <col min="8154" max="8154" width="11" customWidth="1"/>
    <col min="8155" max="8155" width="16.7109375" customWidth="1"/>
    <col min="8156" max="8156" width="17" customWidth="1"/>
    <col min="8157" max="8157" width="10.42578125" bestFit="1" customWidth="1"/>
    <col min="8201" max="8201" width="3.85546875" customWidth="1"/>
    <col min="8202" max="8202" width="15.28515625" bestFit="1" customWidth="1"/>
    <col min="8203" max="8203" width="12.28515625" customWidth="1"/>
    <col min="8204" max="8204" width="16.28515625" bestFit="1" customWidth="1"/>
    <col min="8205" max="8205" width="6.42578125" bestFit="1" customWidth="1"/>
    <col min="8206" max="8206" width="9.28515625" bestFit="1" customWidth="1"/>
    <col min="8207" max="8207" width="7.5703125" bestFit="1" customWidth="1"/>
    <col min="8208" max="8208" width="13.28515625" bestFit="1" customWidth="1"/>
    <col min="8209" max="8209" width="9.28515625" bestFit="1" customWidth="1"/>
    <col min="8210" max="8210" width="11.5703125" bestFit="1" customWidth="1"/>
    <col min="8211" max="8211" width="13.28515625" bestFit="1" customWidth="1"/>
    <col min="8212" max="8212" width="7.140625" bestFit="1" customWidth="1"/>
    <col min="8213" max="8213" width="12" bestFit="1" customWidth="1"/>
    <col min="8214" max="8214" width="13.28515625" bestFit="1" customWidth="1"/>
    <col min="8215" max="8215" width="7" bestFit="1" customWidth="1"/>
    <col min="8216" max="8216" width="12.7109375" bestFit="1" customWidth="1"/>
    <col min="8217" max="8217" width="11.5703125" bestFit="1" customWidth="1"/>
    <col min="8218" max="8218" width="10.5703125" bestFit="1" customWidth="1"/>
    <col min="8219" max="8220" width="15.7109375" bestFit="1" customWidth="1"/>
    <col min="8221" max="8221" width="11.5703125" bestFit="1" customWidth="1"/>
    <col min="8222" max="8222" width="7.7109375" bestFit="1" customWidth="1"/>
    <col min="8223" max="8223" width="15.140625" bestFit="1" customWidth="1"/>
    <col min="8224" max="8224" width="11.5703125" bestFit="1" customWidth="1"/>
    <col min="8225" max="8225" width="13.28515625" bestFit="1" customWidth="1"/>
    <col min="8226" max="8226" width="10.42578125" bestFit="1" customWidth="1"/>
    <col min="8227" max="8227" width="13.28515625" bestFit="1" customWidth="1"/>
    <col min="8228" max="8228" width="12.140625" bestFit="1" customWidth="1"/>
    <col min="8229" max="8229" width="14.42578125" bestFit="1" customWidth="1"/>
    <col min="8230" max="8230" width="13.28515625" bestFit="1" customWidth="1"/>
    <col min="8231" max="8231" width="11.5703125" bestFit="1" customWidth="1"/>
    <col min="8232" max="8232" width="7.7109375" bestFit="1" customWidth="1"/>
    <col min="8233" max="8234" width="14.42578125" bestFit="1" customWidth="1"/>
    <col min="8235" max="8235" width="11.5703125" bestFit="1" customWidth="1"/>
    <col min="8236" max="8236" width="7.7109375" bestFit="1" customWidth="1"/>
    <col min="8237" max="8237" width="13.5703125" customWidth="1"/>
    <col min="8238" max="8238" width="15.28515625" customWidth="1"/>
    <col min="8239" max="8239" width="14.5703125" customWidth="1"/>
    <col min="8240" max="8240" width="13.28515625" bestFit="1" customWidth="1"/>
    <col min="8241" max="8241" width="7.7109375" bestFit="1" customWidth="1"/>
    <col min="8242" max="8242" width="12.7109375" bestFit="1" customWidth="1"/>
    <col min="8243" max="8243" width="11.7109375" bestFit="1" customWidth="1"/>
    <col min="8244" max="8244" width="11.5703125" bestFit="1" customWidth="1"/>
    <col min="8245" max="8245" width="5.28515625" bestFit="1" customWidth="1"/>
    <col min="8246" max="8246" width="13.28515625" bestFit="1" customWidth="1"/>
    <col min="8247" max="8247" width="13.5703125" bestFit="1" customWidth="1"/>
    <col min="8248" max="8248" width="10.5703125" bestFit="1" customWidth="1"/>
    <col min="8249" max="8249" width="13.28515625" bestFit="1" customWidth="1"/>
    <col min="8250" max="8250" width="11.5703125" bestFit="1" customWidth="1"/>
    <col min="8251" max="8251" width="10.5703125" bestFit="1" customWidth="1"/>
    <col min="8252" max="8252" width="16.140625" bestFit="1" customWidth="1"/>
    <col min="8253" max="8254" width="11.28515625" bestFit="1" customWidth="1"/>
    <col min="8255" max="8255" width="13.28515625" bestFit="1" customWidth="1"/>
    <col min="8256" max="8256" width="7.7109375" bestFit="1" customWidth="1"/>
    <col min="8257" max="8260" width="9.140625" hidden="1" customWidth="1"/>
    <col min="8261" max="8261" width="10.42578125" bestFit="1" customWidth="1"/>
    <col min="8262" max="8262" width="10.5703125" bestFit="1" customWidth="1"/>
    <col min="8263" max="8263" width="10.42578125" bestFit="1" customWidth="1"/>
    <col min="8264" max="8264" width="10.5703125" bestFit="1" customWidth="1"/>
    <col min="8265" max="8265" width="9.5703125" bestFit="1" customWidth="1"/>
    <col min="8266" max="8266" width="11.5703125" bestFit="1" customWidth="1"/>
    <col min="8267" max="8267" width="10.42578125" bestFit="1" customWidth="1"/>
    <col min="8268" max="8268" width="10.85546875" customWidth="1"/>
    <col min="8269" max="8270" width="9.85546875" bestFit="1" customWidth="1"/>
    <col min="8271" max="8271" width="13.5703125" bestFit="1" customWidth="1"/>
    <col min="8272" max="8272" width="7.7109375" bestFit="1" customWidth="1"/>
    <col min="8273" max="8273" width="13.28515625" bestFit="1" customWidth="1"/>
    <col min="8274" max="8274" width="11.5703125" bestFit="1" customWidth="1"/>
    <col min="8275" max="8275" width="10.42578125" bestFit="1" customWidth="1"/>
    <col min="8276" max="8276" width="7.7109375" bestFit="1" customWidth="1"/>
    <col min="8277" max="8277" width="11.5703125" bestFit="1" customWidth="1"/>
    <col min="8278" max="8278" width="10.85546875" bestFit="1" customWidth="1"/>
    <col min="8279" max="8279" width="13.28515625" bestFit="1" customWidth="1"/>
    <col min="8280" max="8280" width="10.85546875" bestFit="1" customWidth="1"/>
    <col min="8281" max="8282" width="7.5703125" bestFit="1" customWidth="1"/>
    <col min="8283" max="8284" width="10.42578125" bestFit="1" customWidth="1"/>
    <col min="8285" max="8285" width="11.5703125" bestFit="1" customWidth="1"/>
    <col min="8286" max="8286" width="5.28515625" bestFit="1" customWidth="1"/>
    <col min="8287" max="8287" width="10.28515625" bestFit="1" customWidth="1"/>
    <col min="8288" max="8288" width="10.42578125" bestFit="1" customWidth="1"/>
    <col min="8289" max="8289" width="11.5703125" bestFit="1" customWidth="1"/>
    <col min="8290" max="8290" width="5.28515625" bestFit="1" customWidth="1"/>
    <col min="8291" max="8293" width="11.5703125" bestFit="1" customWidth="1"/>
    <col min="8294" max="8294" width="5.28515625" bestFit="1" customWidth="1"/>
    <col min="8295" max="8296" width="10.42578125" bestFit="1" customWidth="1"/>
    <col min="8297" max="8297" width="11.5703125" bestFit="1" customWidth="1"/>
    <col min="8298" max="8298" width="5.28515625" bestFit="1" customWidth="1"/>
    <col min="8299" max="8299" width="14.28515625" bestFit="1" customWidth="1"/>
    <col min="8300" max="8300" width="13" bestFit="1" customWidth="1"/>
    <col min="8301" max="8301" width="11.5703125" bestFit="1" customWidth="1"/>
    <col min="8302" max="8302" width="8.85546875" bestFit="1" customWidth="1"/>
    <col min="8303" max="8303" width="14.42578125" bestFit="1" customWidth="1"/>
    <col min="8304" max="8304" width="10.42578125" bestFit="1" customWidth="1"/>
    <col min="8305" max="8305" width="12.28515625" bestFit="1" customWidth="1"/>
    <col min="8306" max="8306" width="13.85546875" bestFit="1" customWidth="1"/>
    <col min="8307" max="8307" width="11.28515625" customWidth="1"/>
    <col min="8308" max="8308" width="11.5703125" customWidth="1"/>
    <col min="8309" max="8309" width="13.42578125" bestFit="1" customWidth="1"/>
    <col min="8310" max="8310" width="10.42578125" customWidth="1"/>
    <col min="8311" max="8311" width="13.85546875" bestFit="1" customWidth="1"/>
    <col min="8312" max="8312" width="15.42578125" bestFit="1" customWidth="1"/>
    <col min="8313" max="8313" width="12.28515625" bestFit="1" customWidth="1"/>
    <col min="8314" max="8314" width="12.7109375" customWidth="1"/>
    <col min="8315" max="8315" width="10.7109375" bestFit="1" customWidth="1"/>
    <col min="8316" max="8316" width="9.85546875" customWidth="1"/>
    <col min="8317" max="8318" width="10.140625" bestFit="1" customWidth="1"/>
    <col min="8319" max="8319" width="7.5703125" bestFit="1" customWidth="1"/>
    <col min="8320" max="8320" width="9.42578125" bestFit="1" customWidth="1"/>
    <col min="8321" max="8321" width="14.5703125" bestFit="1" customWidth="1"/>
    <col min="8322" max="8322" width="14.85546875" customWidth="1"/>
    <col min="8323" max="8323" width="15.140625" bestFit="1" customWidth="1"/>
    <col min="8324" max="8324" width="12.140625" bestFit="1" customWidth="1"/>
    <col min="8325" max="8325" width="14.85546875" bestFit="1" customWidth="1"/>
    <col min="8326" max="8326" width="12.28515625" bestFit="1" customWidth="1"/>
    <col min="8327" max="8335" width="9.140625" hidden="1" customWidth="1"/>
    <col min="8336" max="8336" width="5.28515625" bestFit="1" customWidth="1"/>
    <col min="8337" max="8342" width="11.5703125" bestFit="1" customWidth="1"/>
    <col min="8343" max="8343" width="11.28515625" bestFit="1" customWidth="1"/>
    <col min="8344" max="8344" width="10.140625" bestFit="1" customWidth="1"/>
    <col min="8345" max="8345" width="11.5703125" bestFit="1" customWidth="1"/>
    <col min="8346" max="8346" width="16.140625" customWidth="1"/>
    <col min="8347" max="8347" width="13.42578125" customWidth="1"/>
    <col min="8348" max="8348" width="10.140625" bestFit="1" customWidth="1"/>
    <col min="8349" max="8349" width="12.85546875" bestFit="1" customWidth="1"/>
    <col min="8350" max="8350" width="12.28515625" bestFit="1" customWidth="1"/>
    <col min="8351" max="8351" width="11.28515625" bestFit="1" customWidth="1"/>
    <col min="8352" max="8352" width="11.5703125" bestFit="1" customWidth="1"/>
    <col min="8353" max="8353" width="10.85546875" bestFit="1" customWidth="1"/>
    <col min="8354" max="8354" width="11.28515625" bestFit="1" customWidth="1"/>
    <col min="8355" max="8355" width="10.140625" bestFit="1" customWidth="1"/>
    <col min="8356" max="8356" width="13.28515625" bestFit="1" customWidth="1"/>
    <col min="8357" max="8358" width="12.7109375" bestFit="1" customWidth="1"/>
    <col min="8359" max="8359" width="11" bestFit="1" customWidth="1"/>
    <col min="8360" max="8360" width="11.28515625" bestFit="1" customWidth="1"/>
    <col min="8361" max="8361" width="11.5703125" bestFit="1" customWidth="1"/>
    <col min="8362" max="8362" width="12.28515625" bestFit="1" customWidth="1"/>
    <col min="8363" max="8363" width="15.140625" bestFit="1" customWidth="1"/>
    <col min="8364" max="8364" width="14.42578125" bestFit="1" customWidth="1"/>
    <col min="8365" max="8365" width="12.28515625" bestFit="1" customWidth="1"/>
    <col min="8366" max="8366" width="15.140625" bestFit="1" customWidth="1"/>
    <col min="8367" max="8367" width="14.42578125" bestFit="1" customWidth="1"/>
    <col min="8368" max="8368" width="12.28515625" bestFit="1" customWidth="1"/>
    <col min="8369" max="8369" width="14.42578125" bestFit="1" customWidth="1"/>
    <col min="8370" max="8370" width="11.28515625" bestFit="1" customWidth="1"/>
    <col min="8371" max="8371" width="12.28515625" bestFit="1" customWidth="1"/>
    <col min="8372" max="8372" width="13" bestFit="1" customWidth="1"/>
    <col min="8373" max="8373" width="15.140625" bestFit="1" customWidth="1"/>
    <col min="8374" max="8374" width="12.28515625" bestFit="1" customWidth="1"/>
    <col min="8375" max="8375" width="13.85546875" bestFit="1" customWidth="1"/>
    <col min="8376" max="8376" width="11.28515625" bestFit="1" customWidth="1"/>
    <col min="8377" max="8377" width="12.28515625" bestFit="1" customWidth="1"/>
    <col min="8378" max="8378" width="13.85546875" bestFit="1" customWidth="1"/>
    <col min="8379" max="8380" width="15.140625" bestFit="1" customWidth="1"/>
    <col min="8381" max="8381" width="12.28515625" bestFit="1" customWidth="1"/>
    <col min="8382" max="8382" width="5.7109375" bestFit="1" customWidth="1"/>
    <col min="8383" max="8383" width="8.5703125" bestFit="1" customWidth="1"/>
    <col min="8384" max="8384" width="5.5703125" bestFit="1" customWidth="1"/>
    <col min="8385" max="8385" width="14.42578125" bestFit="1" customWidth="1"/>
    <col min="8386" max="8386" width="11.28515625" bestFit="1" customWidth="1"/>
    <col min="8387" max="8388" width="12.28515625" bestFit="1" customWidth="1"/>
    <col min="8389" max="8389" width="11.28515625" bestFit="1" customWidth="1"/>
    <col min="8390" max="8390" width="13.85546875" bestFit="1" customWidth="1"/>
    <col min="8391" max="8391" width="12" bestFit="1" customWidth="1"/>
    <col min="8392" max="8392" width="13.85546875" bestFit="1" customWidth="1"/>
    <col min="8393" max="8394" width="14.42578125" customWidth="1"/>
    <col min="8395" max="8395" width="10.140625" bestFit="1" customWidth="1"/>
    <col min="8396" max="8396" width="12.28515625" bestFit="1" customWidth="1"/>
    <col min="8397" max="8397" width="7.42578125" bestFit="1" customWidth="1"/>
    <col min="8398" max="8398" width="8.5703125" bestFit="1" customWidth="1"/>
    <col min="8399" max="8399" width="11.5703125" bestFit="1" customWidth="1"/>
    <col min="8400" max="8400" width="13.28515625" bestFit="1" customWidth="1"/>
    <col min="8401" max="8401" width="13.28515625" customWidth="1"/>
    <col min="8402" max="8402" width="13.140625" customWidth="1"/>
    <col min="8403" max="8403" width="12.7109375" bestFit="1" customWidth="1"/>
    <col min="8404" max="8404" width="13.28515625" bestFit="1" customWidth="1"/>
    <col min="8405" max="8407" width="13.28515625" customWidth="1"/>
    <col min="8408" max="8408" width="12.140625" bestFit="1" customWidth="1"/>
    <col min="8409" max="8409" width="12.7109375" bestFit="1" customWidth="1"/>
    <col min="8410" max="8410" width="11" customWidth="1"/>
    <col min="8411" max="8411" width="16.7109375" customWidth="1"/>
    <col min="8412" max="8412" width="17" customWidth="1"/>
    <col min="8413" max="8413" width="10.42578125" bestFit="1" customWidth="1"/>
    <col min="8457" max="8457" width="3.85546875" customWidth="1"/>
    <col min="8458" max="8458" width="15.28515625" bestFit="1" customWidth="1"/>
    <col min="8459" max="8459" width="12.28515625" customWidth="1"/>
    <col min="8460" max="8460" width="16.28515625" bestFit="1" customWidth="1"/>
    <col min="8461" max="8461" width="6.42578125" bestFit="1" customWidth="1"/>
    <col min="8462" max="8462" width="9.28515625" bestFit="1" customWidth="1"/>
    <col min="8463" max="8463" width="7.5703125" bestFit="1" customWidth="1"/>
    <col min="8464" max="8464" width="13.28515625" bestFit="1" customWidth="1"/>
    <col min="8465" max="8465" width="9.28515625" bestFit="1" customWidth="1"/>
    <col min="8466" max="8466" width="11.5703125" bestFit="1" customWidth="1"/>
    <col min="8467" max="8467" width="13.28515625" bestFit="1" customWidth="1"/>
    <col min="8468" max="8468" width="7.140625" bestFit="1" customWidth="1"/>
    <col min="8469" max="8469" width="12" bestFit="1" customWidth="1"/>
    <col min="8470" max="8470" width="13.28515625" bestFit="1" customWidth="1"/>
    <col min="8471" max="8471" width="7" bestFit="1" customWidth="1"/>
    <col min="8472" max="8472" width="12.7109375" bestFit="1" customWidth="1"/>
    <col min="8473" max="8473" width="11.5703125" bestFit="1" customWidth="1"/>
    <col min="8474" max="8474" width="10.5703125" bestFit="1" customWidth="1"/>
    <col min="8475" max="8476" width="15.7109375" bestFit="1" customWidth="1"/>
    <col min="8477" max="8477" width="11.5703125" bestFit="1" customWidth="1"/>
    <col min="8478" max="8478" width="7.7109375" bestFit="1" customWidth="1"/>
    <col min="8479" max="8479" width="15.140625" bestFit="1" customWidth="1"/>
    <col min="8480" max="8480" width="11.5703125" bestFit="1" customWidth="1"/>
    <col min="8481" max="8481" width="13.28515625" bestFit="1" customWidth="1"/>
    <col min="8482" max="8482" width="10.42578125" bestFit="1" customWidth="1"/>
    <col min="8483" max="8483" width="13.28515625" bestFit="1" customWidth="1"/>
    <col min="8484" max="8484" width="12.140625" bestFit="1" customWidth="1"/>
    <col min="8485" max="8485" width="14.42578125" bestFit="1" customWidth="1"/>
    <col min="8486" max="8486" width="13.28515625" bestFit="1" customWidth="1"/>
    <col min="8487" max="8487" width="11.5703125" bestFit="1" customWidth="1"/>
    <col min="8488" max="8488" width="7.7109375" bestFit="1" customWidth="1"/>
    <col min="8489" max="8490" width="14.42578125" bestFit="1" customWidth="1"/>
    <col min="8491" max="8491" width="11.5703125" bestFit="1" customWidth="1"/>
    <col min="8492" max="8492" width="7.7109375" bestFit="1" customWidth="1"/>
    <col min="8493" max="8493" width="13.5703125" customWidth="1"/>
    <col min="8494" max="8494" width="15.28515625" customWidth="1"/>
    <col min="8495" max="8495" width="14.5703125" customWidth="1"/>
    <col min="8496" max="8496" width="13.28515625" bestFit="1" customWidth="1"/>
    <col min="8497" max="8497" width="7.7109375" bestFit="1" customWidth="1"/>
    <col min="8498" max="8498" width="12.7109375" bestFit="1" customWidth="1"/>
    <col min="8499" max="8499" width="11.7109375" bestFit="1" customWidth="1"/>
    <col min="8500" max="8500" width="11.5703125" bestFit="1" customWidth="1"/>
    <col min="8501" max="8501" width="5.28515625" bestFit="1" customWidth="1"/>
    <col min="8502" max="8502" width="13.28515625" bestFit="1" customWidth="1"/>
    <col min="8503" max="8503" width="13.5703125" bestFit="1" customWidth="1"/>
    <col min="8504" max="8504" width="10.5703125" bestFit="1" customWidth="1"/>
    <col min="8505" max="8505" width="13.28515625" bestFit="1" customWidth="1"/>
    <col min="8506" max="8506" width="11.5703125" bestFit="1" customWidth="1"/>
    <col min="8507" max="8507" width="10.5703125" bestFit="1" customWidth="1"/>
    <col min="8508" max="8508" width="16.140625" bestFit="1" customWidth="1"/>
    <col min="8509" max="8510" width="11.28515625" bestFit="1" customWidth="1"/>
    <col min="8511" max="8511" width="13.28515625" bestFit="1" customWidth="1"/>
    <col min="8512" max="8512" width="7.7109375" bestFit="1" customWidth="1"/>
    <col min="8513" max="8516" width="9.140625" hidden="1" customWidth="1"/>
    <col min="8517" max="8517" width="10.42578125" bestFit="1" customWidth="1"/>
    <col min="8518" max="8518" width="10.5703125" bestFit="1" customWidth="1"/>
    <col min="8519" max="8519" width="10.42578125" bestFit="1" customWidth="1"/>
    <col min="8520" max="8520" width="10.5703125" bestFit="1" customWidth="1"/>
    <col min="8521" max="8521" width="9.5703125" bestFit="1" customWidth="1"/>
    <col min="8522" max="8522" width="11.5703125" bestFit="1" customWidth="1"/>
    <col min="8523" max="8523" width="10.42578125" bestFit="1" customWidth="1"/>
    <col min="8524" max="8524" width="10.85546875" customWidth="1"/>
    <col min="8525" max="8526" width="9.85546875" bestFit="1" customWidth="1"/>
    <col min="8527" max="8527" width="13.5703125" bestFit="1" customWidth="1"/>
    <col min="8528" max="8528" width="7.7109375" bestFit="1" customWidth="1"/>
    <col min="8529" max="8529" width="13.28515625" bestFit="1" customWidth="1"/>
    <col min="8530" max="8530" width="11.5703125" bestFit="1" customWidth="1"/>
    <col min="8531" max="8531" width="10.42578125" bestFit="1" customWidth="1"/>
    <col min="8532" max="8532" width="7.7109375" bestFit="1" customWidth="1"/>
    <col min="8533" max="8533" width="11.5703125" bestFit="1" customWidth="1"/>
    <col min="8534" max="8534" width="10.85546875" bestFit="1" customWidth="1"/>
    <col min="8535" max="8535" width="13.28515625" bestFit="1" customWidth="1"/>
    <col min="8536" max="8536" width="10.85546875" bestFit="1" customWidth="1"/>
    <col min="8537" max="8538" width="7.5703125" bestFit="1" customWidth="1"/>
    <col min="8539" max="8540" width="10.42578125" bestFit="1" customWidth="1"/>
    <col min="8541" max="8541" width="11.5703125" bestFit="1" customWidth="1"/>
    <col min="8542" max="8542" width="5.28515625" bestFit="1" customWidth="1"/>
    <col min="8543" max="8543" width="10.28515625" bestFit="1" customWidth="1"/>
    <col min="8544" max="8544" width="10.42578125" bestFit="1" customWidth="1"/>
    <col min="8545" max="8545" width="11.5703125" bestFit="1" customWidth="1"/>
    <col min="8546" max="8546" width="5.28515625" bestFit="1" customWidth="1"/>
    <col min="8547" max="8549" width="11.5703125" bestFit="1" customWidth="1"/>
    <col min="8550" max="8550" width="5.28515625" bestFit="1" customWidth="1"/>
    <col min="8551" max="8552" width="10.42578125" bestFit="1" customWidth="1"/>
    <col min="8553" max="8553" width="11.5703125" bestFit="1" customWidth="1"/>
    <col min="8554" max="8554" width="5.28515625" bestFit="1" customWidth="1"/>
    <col min="8555" max="8555" width="14.28515625" bestFit="1" customWidth="1"/>
    <col min="8556" max="8556" width="13" bestFit="1" customWidth="1"/>
    <col min="8557" max="8557" width="11.5703125" bestFit="1" customWidth="1"/>
    <col min="8558" max="8558" width="8.85546875" bestFit="1" customWidth="1"/>
    <col min="8559" max="8559" width="14.42578125" bestFit="1" customWidth="1"/>
    <col min="8560" max="8560" width="10.42578125" bestFit="1" customWidth="1"/>
    <col min="8561" max="8561" width="12.28515625" bestFit="1" customWidth="1"/>
    <col min="8562" max="8562" width="13.85546875" bestFit="1" customWidth="1"/>
    <col min="8563" max="8563" width="11.28515625" customWidth="1"/>
    <col min="8564" max="8564" width="11.5703125" customWidth="1"/>
    <col min="8565" max="8565" width="13.42578125" bestFit="1" customWidth="1"/>
    <col min="8566" max="8566" width="10.42578125" customWidth="1"/>
    <col min="8567" max="8567" width="13.85546875" bestFit="1" customWidth="1"/>
    <col min="8568" max="8568" width="15.42578125" bestFit="1" customWidth="1"/>
    <col min="8569" max="8569" width="12.28515625" bestFit="1" customWidth="1"/>
    <col min="8570" max="8570" width="12.7109375" customWidth="1"/>
    <col min="8571" max="8571" width="10.7109375" bestFit="1" customWidth="1"/>
    <col min="8572" max="8572" width="9.85546875" customWidth="1"/>
    <col min="8573" max="8574" width="10.140625" bestFit="1" customWidth="1"/>
    <col min="8575" max="8575" width="7.5703125" bestFit="1" customWidth="1"/>
    <col min="8576" max="8576" width="9.42578125" bestFit="1" customWidth="1"/>
    <col min="8577" max="8577" width="14.5703125" bestFit="1" customWidth="1"/>
    <col min="8578" max="8578" width="14.85546875" customWidth="1"/>
    <col min="8579" max="8579" width="15.140625" bestFit="1" customWidth="1"/>
    <col min="8580" max="8580" width="12.140625" bestFit="1" customWidth="1"/>
    <col min="8581" max="8581" width="14.85546875" bestFit="1" customWidth="1"/>
    <col min="8582" max="8582" width="12.28515625" bestFit="1" customWidth="1"/>
    <col min="8583" max="8591" width="9.140625" hidden="1" customWidth="1"/>
    <col min="8592" max="8592" width="5.28515625" bestFit="1" customWidth="1"/>
    <col min="8593" max="8598" width="11.5703125" bestFit="1" customWidth="1"/>
    <col min="8599" max="8599" width="11.28515625" bestFit="1" customWidth="1"/>
    <col min="8600" max="8600" width="10.140625" bestFit="1" customWidth="1"/>
    <col min="8601" max="8601" width="11.5703125" bestFit="1" customWidth="1"/>
    <col min="8602" max="8602" width="16.140625" customWidth="1"/>
    <col min="8603" max="8603" width="13.42578125" customWidth="1"/>
    <col min="8604" max="8604" width="10.140625" bestFit="1" customWidth="1"/>
    <col min="8605" max="8605" width="12.85546875" bestFit="1" customWidth="1"/>
    <col min="8606" max="8606" width="12.28515625" bestFit="1" customWidth="1"/>
    <col min="8607" max="8607" width="11.28515625" bestFit="1" customWidth="1"/>
    <col min="8608" max="8608" width="11.5703125" bestFit="1" customWidth="1"/>
    <col min="8609" max="8609" width="10.85546875" bestFit="1" customWidth="1"/>
    <col min="8610" max="8610" width="11.28515625" bestFit="1" customWidth="1"/>
    <col min="8611" max="8611" width="10.140625" bestFit="1" customWidth="1"/>
    <col min="8612" max="8612" width="13.28515625" bestFit="1" customWidth="1"/>
    <col min="8613" max="8614" width="12.7109375" bestFit="1" customWidth="1"/>
    <col min="8615" max="8615" width="11" bestFit="1" customWidth="1"/>
    <col min="8616" max="8616" width="11.28515625" bestFit="1" customWidth="1"/>
    <col min="8617" max="8617" width="11.5703125" bestFit="1" customWidth="1"/>
    <col min="8618" max="8618" width="12.28515625" bestFit="1" customWidth="1"/>
    <col min="8619" max="8619" width="15.140625" bestFit="1" customWidth="1"/>
    <col min="8620" max="8620" width="14.42578125" bestFit="1" customWidth="1"/>
    <col min="8621" max="8621" width="12.28515625" bestFit="1" customWidth="1"/>
    <col min="8622" max="8622" width="15.140625" bestFit="1" customWidth="1"/>
    <col min="8623" max="8623" width="14.42578125" bestFit="1" customWidth="1"/>
    <col min="8624" max="8624" width="12.28515625" bestFit="1" customWidth="1"/>
    <col min="8625" max="8625" width="14.42578125" bestFit="1" customWidth="1"/>
    <col min="8626" max="8626" width="11.28515625" bestFit="1" customWidth="1"/>
    <col min="8627" max="8627" width="12.28515625" bestFit="1" customWidth="1"/>
    <col min="8628" max="8628" width="13" bestFit="1" customWidth="1"/>
    <col min="8629" max="8629" width="15.140625" bestFit="1" customWidth="1"/>
    <col min="8630" max="8630" width="12.28515625" bestFit="1" customWidth="1"/>
    <col min="8631" max="8631" width="13.85546875" bestFit="1" customWidth="1"/>
    <col min="8632" max="8632" width="11.28515625" bestFit="1" customWidth="1"/>
    <col min="8633" max="8633" width="12.28515625" bestFit="1" customWidth="1"/>
    <col min="8634" max="8634" width="13.85546875" bestFit="1" customWidth="1"/>
    <col min="8635" max="8636" width="15.140625" bestFit="1" customWidth="1"/>
    <col min="8637" max="8637" width="12.28515625" bestFit="1" customWidth="1"/>
    <col min="8638" max="8638" width="5.7109375" bestFit="1" customWidth="1"/>
    <col min="8639" max="8639" width="8.5703125" bestFit="1" customWidth="1"/>
    <col min="8640" max="8640" width="5.5703125" bestFit="1" customWidth="1"/>
    <col min="8641" max="8641" width="14.42578125" bestFit="1" customWidth="1"/>
    <col min="8642" max="8642" width="11.28515625" bestFit="1" customWidth="1"/>
    <col min="8643" max="8644" width="12.28515625" bestFit="1" customWidth="1"/>
    <col min="8645" max="8645" width="11.28515625" bestFit="1" customWidth="1"/>
    <col min="8646" max="8646" width="13.85546875" bestFit="1" customWidth="1"/>
    <col min="8647" max="8647" width="12" bestFit="1" customWidth="1"/>
    <col min="8648" max="8648" width="13.85546875" bestFit="1" customWidth="1"/>
    <col min="8649" max="8650" width="14.42578125" customWidth="1"/>
    <col min="8651" max="8651" width="10.140625" bestFit="1" customWidth="1"/>
    <col min="8652" max="8652" width="12.28515625" bestFit="1" customWidth="1"/>
    <col min="8653" max="8653" width="7.42578125" bestFit="1" customWidth="1"/>
    <col min="8654" max="8654" width="8.5703125" bestFit="1" customWidth="1"/>
    <col min="8655" max="8655" width="11.5703125" bestFit="1" customWidth="1"/>
    <col min="8656" max="8656" width="13.28515625" bestFit="1" customWidth="1"/>
    <col min="8657" max="8657" width="13.28515625" customWidth="1"/>
    <col min="8658" max="8658" width="13.140625" customWidth="1"/>
    <col min="8659" max="8659" width="12.7109375" bestFit="1" customWidth="1"/>
    <col min="8660" max="8660" width="13.28515625" bestFit="1" customWidth="1"/>
    <col min="8661" max="8663" width="13.28515625" customWidth="1"/>
    <col min="8664" max="8664" width="12.140625" bestFit="1" customWidth="1"/>
    <col min="8665" max="8665" width="12.7109375" bestFit="1" customWidth="1"/>
    <col min="8666" max="8666" width="11" customWidth="1"/>
    <col min="8667" max="8667" width="16.7109375" customWidth="1"/>
    <col min="8668" max="8668" width="17" customWidth="1"/>
    <col min="8669" max="8669" width="10.42578125" bestFit="1" customWidth="1"/>
    <col min="8713" max="8713" width="3.85546875" customWidth="1"/>
    <col min="8714" max="8714" width="15.28515625" bestFit="1" customWidth="1"/>
    <col min="8715" max="8715" width="12.28515625" customWidth="1"/>
    <col min="8716" max="8716" width="16.28515625" bestFit="1" customWidth="1"/>
    <col min="8717" max="8717" width="6.42578125" bestFit="1" customWidth="1"/>
    <col min="8718" max="8718" width="9.28515625" bestFit="1" customWidth="1"/>
    <col min="8719" max="8719" width="7.5703125" bestFit="1" customWidth="1"/>
    <col min="8720" max="8720" width="13.28515625" bestFit="1" customWidth="1"/>
    <col min="8721" max="8721" width="9.28515625" bestFit="1" customWidth="1"/>
    <col min="8722" max="8722" width="11.5703125" bestFit="1" customWidth="1"/>
    <col min="8723" max="8723" width="13.28515625" bestFit="1" customWidth="1"/>
    <col min="8724" max="8724" width="7.140625" bestFit="1" customWidth="1"/>
    <col min="8725" max="8725" width="12" bestFit="1" customWidth="1"/>
    <col min="8726" max="8726" width="13.28515625" bestFit="1" customWidth="1"/>
    <col min="8727" max="8727" width="7" bestFit="1" customWidth="1"/>
    <col min="8728" max="8728" width="12.7109375" bestFit="1" customWidth="1"/>
    <col min="8729" max="8729" width="11.5703125" bestFit="1" customWidth="1"/>
    <col min="8730" max="8730" width="10.5703125" bestFit="1" customWidth="1"/>
    <col min="8731" max="8732" width="15.7109375" bestFit="1" customWidth="1"/>
    <col min="8733" max="8733" width="11.5703125" bestFit="1" customWidth="1"/>
    <col min="8734" max="8734" width="7.7109375" bestFit="1" customWidth="1"/>
    <col min="8735" max="8735" width="15.140625" bestFit="1" customWidth="1"/>
    <col min="8736" max="8736" width="11.5703125" bestFit="1" customWidth="1"/>
    <col min="8737" max="8737" width="13.28515625" bestFit="1" customWidth="1"/>
    <col min="8738" max="8738" width="10.42578125" bestFit="1" customWidth="1"/>
    <col min="8739" max="8739" width="13.28515625" bestFit="1" customWidth="1"/>
    <col min="8740" max="8740" width="12.140625" bestFit="1" customWidth="1"/>
    <col min="8741" max="8741" width="14.42578125" bestFit="1" customWidth="1"/>
    <col min="8742" max="8742" width="13.28515625" bestFit="1" customWidth="1"/>
    <col min="8743" max="8743" width="11.5703125" bestFit="1" customWidth="1"/>
    <col min="8744" max="8744" width="7.7109375" bestFit="1" customWidth="1"/>
    <col min="8745" max="8746" width="14.42578125" bestFit="1" customWidth="1"/>
    <col min="8747" max="8747" width="11.5703125" bestFit="1" customWidth="1"/>
    <col min="8748" max="8748" width="7.7109375" bestFit="1" customWidth="1"/>
    <col min="8749" max="8749" width="13.5703125" customWidth="1"/>
    <col min="8750" max="8750" width="15.28515625" customWidth="1"/>
    <col min="8751" max="8751" width="14.5703125" customWidth="1"/>
    <col min="8752" max="8752" width="13.28515625" bestFit="1" customWidth="1"/>
    <col min="8753" max="8753" width="7.7109375" bestFit="1" customWidth="1"/>
    <col min="8754" max="8754" width="12.7109375" bestFit="1" customWidth="1"/>
    <col min="8755" max="8755" width="11.7109375" bestFit="1" customWidth="1"/>
    <col min="8756" max="8756" width="11.5703125" bestFit="1" customWidth="1"/>
    <col min="8757" max="8757" width="5.28515625" bestFit="1" customWidth="1"/>
    <col min="8758" max="8758" width="13.28515625" bestFit="1" customWidth="1"/>
    <col min="8759" max="8759" width="13.5703125" bestFit="1" customWidth="1"/>
    <col min="8760" max="8760" width="10.5703125" bestFit="1" customWidth="1"/>
    <col min="8761" max="8761" width="13.28515625" bestFit="1" customWidth="1"/>
    <col min="8762" max="8762" width="11.5703125" bestFit="1" customWidth="1"/>
    <col min="8763" max="8763" width="10.5703125" bestFit="1" customWidth="1"/>
    <col min="8764" max="8764" width="16.140625" bestFit="1" customWidth="1"/>
    <col min="8765" max="8766" width="11.28515625" bestFit="1" customWidth="1"/>
    <col min="8767" max="8767" width="13.28515625" bestFit="1" customWidth="1"/>
    <col min="8768" max="8768" width="7.7109375" bestFit="1" customWidth="1"/>
    <col min="8769" max="8772" width="9.140625" hidden="1" customWidth="1"/>
    <col min="8773" max="8773" width="10.42578125" bestFit="1" customWidth="1"/>
    <col min="8774" max="8774" width="10.5703125" bestFit="1" customWidth="1"/>
    <col min="8775" max="8775" width="10.42578125" bestFit="1" customWidth="1"/>
    <col min="8776" max="8776" width="10.5703125" bestFit="1" customWidth="1"/>
    <col min="8777" max="8777" width="9.5703125" bestFit="1" customWidth="1"/>
    <col min="8778" max="8778" width="11.5703125" bestFit="1" customWidth="1"/>
    <col min="8779" max="8779" width="10.42578125" bestFit="1" customWidth="1"/>
    <col min="8780" max="8780" width="10.85546875" customWidth="1"/>
    <col min="8781" max="8782" width="9.85546875" bestFit="1" customWidth="1"/>
    <col min="8783" max="8783" width="13.5703125" bestFit="1" customWidth="1"/>
    <col min="8784" max="8784" width="7.7109375" bestFit="1" customWidth="1"/>
    <col min="8785" max="8785" width="13.28515625" bestFit="1" customWidth="1"/>
    <col min="8786" max="8786" width="11.5703125" bestFit="1" customWidth="1"/>
    <col min="8787" max="8787" width="10.42578125" bestFit="1" customWidth="1"/>
    <col min="8788" max="8788" width="7.7109375" bestFit="1" customWidth="1"/>
    <col min="8789" max="8789" width="11.5703125" bestFit="1" customWidth="1"/>
    <col min="8790" max="8790" width="10.85546875" bestFit="1" customWidth="1"/>
    <col min="8791" max="8791" width="13.28515625" bestFit="1" customWidth="1"/>
    <col min="8792" max="8792" width="10.85546875" bestFit="1" customWidth="1"/>
    <col min="8793" max="8794" width="7.5703125" bestFit="1" customWidth="1"/>
    <col min="8795" max="8796" width="10.42578125" bestFit="1" customWidth="1"/>
    <col min="8797" max="8797" width="11.5703125" bestFit="1" customWidth="1"/>
    <col min="8798" max="8798" width="5.28515625" bestFit="1" customWidth="1"/>
    <col min="8799" max="8799" width="10.28515625" bestFit="1" customWidth="1"/>
    <col min="8800" max="8800" width="10.42578125" bestFit="1" customWidth="1"/>
    <col min="8801" max="8801" width="11.5703125" bestFit="1" customWidth="1"/>
    <col min="8802" max="8802" width="5.28515625" bestFit="1" customWidth="1"/>
    <col min="8803" max="8805" width="11.5703125" bestFit="1" customWidth="1"/>
    <col min="8806" max="8806" width="5.28515625" bestFit="1" customWidth="1"/>
    <col min="8807" max="8808" width="10.42578125" bestFit="1" customWidth="1"/>
    <col min="8809" max="8809" width="11.5703125" bestFit="1" customWidth="1"/>
    <col min="8810" max="8810" width="5.28515625" bestFit="1" customWidth="1"/>
    <col min="8811" max="8811" width="14.28515625" bestFit="1" customWidth="1"/>
    <col min="8812" max="8812" width="13" bestFit="1" customWidth="1"/>
    <col min="8813" max="8813" width="11.5703125" bestFit="1" customWidth="1"/>
    <col min="8814" max="8814" width="8.85546875" bestFit="1" customWidth="1"/>
    <col min="8815" max="8815" width="14.42578125" bestFit="1" customWidth="1"/>
    <col min="8816" max="8816" width="10.42578125" bestFit="1" customWidth="1"/>
    <col min="8817" max="8817" width="12.28515625" bestFit="1" customWidth="1"/>
    <col min="8818" max="8818" width="13.85546875" bestFit="1" customWidth="1"/>
    <col min="8819" max="8819" width="11.28515625" customWidth="1"/>
    <col min="8820" max="8820" width="11.5703125" customWidth="1"/>
    <col min="8821" max="8821" width="13.42578125" bestFit="1" customWidth="1"/>
    <col min="8822" max="8822" width="10.42578125" customWidth="1"/>
    <col min="8823" max="8823" width="13.85546875" bestFit="1" customWidth="1"/>
    <col min="8824" max="8824" width="15.42578125" bestFit="1" customWidth="1"/>
    <col min="8825" max="8825" width="12.28515625" bestFit="1" customWidth="1"/>
    <col min="8826" max="8826" width="12.7109375" customWidth="1"/>
    <col min="8827" max="8827" width="10.7109375" bestFit="1" customWidth="1"/>
    <col min="8828" max="8828" width="9.85546875" customWidth="1"/>
    <col min="8829" max="8830" width="10.140625" bestFit="1" customWidth="1"/>
    <col min="8831" max="8831" width="7.5703125" bestFit="1" customWidth="1"/>
    <col min="8832" max="8832" width="9.42578125" bestFit="1" customWidth="1"/>
    <col min="8833" max="8833" width="14.5703125" bestFit="1" customWidth="1"/>
    <col min="8834" max="8834" width="14.85546875" customWidth="1"/>
    <col min="8835" max="8835" width="15.140625" bestFit="1" customWidth="1"/>
    <col min="8836" max="8836" width="12.140625" bestFit="1" customWidth="1"/>
    <col min="8837" max="8837" width="14.85546875" bestFit="1" customWidth="1"/>
    <col min="8838" max="8838" width="12.28515625" bestFit="1" customWidth="1"/>
    <col min="8839" max="8847" width="9.140625" hidden="1" customWidth="1"/>
    <col min="8848" max="8848" width="5.28515625" bestFit="1" customWidth="1"/>
    <col min="8849" max="8854" width="11.5703125" bestFit="1" customWidth="1"/>
    <col min="8855" max="8855" width="11.28515625" bestFit="1" customWidth="1"/>
    <col min="8856" max="8856" width="10.140625" bestFit="1" customWidth="1"/>
    <col min="8857" max="8857" width="11.5703125" bestFit="1" customWidth="1"/>
    <col min="8858" max="8858" width="16.140625" customWidth="1"/>
    <col min="8859" max="8859" width="13.42578125" customWidth="1"/>
    <col min="8860" max="8860" width="10.140625" bestFit="1" customWidth="1"/>
    <col min="8861" max="8861" width="12.85546875" bestFit="1" customWidth="1"/>
    <col min="8862" max="8862" width="12.28515625" bestFit="1" customWidth="1"/>
    <col min="8863" max="8863" width="11.28515625" bestFit="1" customWidth="1"/>
    <col min="8864" max="8864" width="11.5703125" bestFit="1" customWidth="1"/>
    <col min="8865" max="8865" width="10.85546875" bestFit="1" customWidth="1"/>
    <col min="8866" max="8866" width="11.28515625" bestFit="1" customWidth="1"/>
    <col min="8867" max="8867" width="10.140625" bestFit="1" customWidth="1"/>
    <col min="8868" max="8868" width="13.28515625" bestFit="1" customWidth="1"/>
    <col min="8869" max="8870" width="12.7109375" bestFit="1" customWidth="1"/>
    <col min="8871" max="8871" width="11" bestFit="1" customWidth="1"/>
    <col min="8872" max="8872" width="11.28515625" bestFit="1" customWidth="1"/>
    <col min="8873" max="8873" width="11.5703125" bestFit="1" customWidth="1"/>
    <col min="8874" max="8874" width="12.28515625" bestFit="1" customWidth="1"/>
    <col min="8875" max="8875" width="15.140625" bestFit="1" customWidth="1"/>
    <col min="8876" max="8876" width="14.42578125" bestFit="1" customWidth="1"/>
    <col min="8877" max="8877" width="12.28515625" bestFit="1" customWidth="1"/>
    <col min="8878" max="8878" width="15.140625" bestFit="1" customWidth="1"/>
    <col min="8879" max="8879" width="14.42578125" bestFit="1" customWidth="1"/>
    <col min="8880" max="8880" width="12.28515625" bestFit="1" customWidth="1"/>
    <col min="8881" max="8881" width="14.42578125" bestFit="1" customWidth="1"/>
    <col min="8882" max="8882" width="11.28515625" bestFit="1" customWidth="1"/>
    <col min="8883" max="8883" width="12.28515625" bestFit="1" customWidth="1"/>
    <col min="8884" max="8884" width="13" bestFit="1" customWidth="1"/>
    <col min="8885" max="8885" width="15.140625" bestFit="1" customWidth="1"/>
    <col min="8886" max="8886" width="12.28515625" bestFit="1" customWidth="1"/>
    <col min="8887" max="8887" width="13.85546875" bestFit="1" customWidth="1"/>
    <col min="8888" max="8888" width="11.28515625" bestFit="1" customWidth="1"/>
    <col min="8889" max="8889" width="12.28515625" bestFit="1" customWidth="1"/>
    <col min="8890" max="8890" width="13.85546875" bestFit="1" customWidth="1"/>
    <col min="8891" max="8892" width="15.140625" bestFit="1" customWidth="1"/>
    <col min="8893" max="8893" width="12.28515625" bestFit="1" customWidth="1"/>
    <col min="8894" max="8894" width="5.7109375" bestFit="1" customWidth="1"/>
    <col min="8895" max="8895" width="8.5703125" bestFit="1" customWidth="1"/>
    <col min="8896" max="8896" width="5.5703125" bestFit="1" customWidth="1"/>
    <col min="8897" max="8897" width="14.42578125" bestFit="1" customWidth="1"/>
    <col min="8898" max="8898" width="11.28515625" bestFit="1" customWidth="1"/>
    <col min="8899" max="8900" width="12.28515625" bestFit="1" customWidth="1"/>
    <col min="8901" max="8901" width="11.28515625" bestFit="1" customWidth="1"/>
    <col min="8902" max="8902" width="13.85546875" bestFit="1" customWidth="1"/>
    <col min="8903" max="8903" width="12" bestFit="1" customWidth="1"/>
    <col min="8904" max="8904" width="13.85546875" bestFit="1" customWidth="1"/>
    <col min="8905" max="8906" width="14.42578125" customWidth="1"/>
    <col min="8907" max="8907" width="10.140625" bestFit="1" customWidth="1"/>
    <col min="8908" max="8908" width="12.28515625" bestFit="1" customWidth="1"/>
    <col min="8909" max="8909" width="7.42578125" bestFit="1" customWidth="1"/>
    <col min="8910" max="8910" width="8.5703125" bestFit="1" customWidth="1"/>
    <col min="8911" max="8911" width="11.5703125" bestFit="1" customWidth="1"/>
    <col min="8912" max="8912" width="13.28515625" bestFit="1" customWidth="1"/>
    <col min="8913" max="8913" width="13.28515625" customWidth="1"/>
    <col min="8914" max="8914" width="13.140625" customWidth="1"/>
    <col min="8915" max="8915" width="12.7109375" bestFit="1" customWidth="1"/>
    <col min="8916" max="8916" width="13.28515625" bestFit="1" customWidth="1"/>
    <col min="8917" max="8919" width="13.28515625" customWidth="1"/>
    <col min="8920" max="8920" width="12.140625" bestFit="1" customWidth="1"/>
    <col min="8921" max="8921" width="12.7109375" bestFit="1" customWidth="1"/>
    <col min="8922" max="8922" width="11" customWidth="1"/>
    <col min="8923" max="8923" width="16.7109375" customWidth="1"/>
    <col min="8924" max="8924" width="17" customWidth="1"/>
    <col min="8925" max="8925" width="10.42578125" bestFit="1" customWidth="1"/>
    <col min="8969" max="8969" width="3.85546875" customWidth="1"/>
    <col min="8970" max="8970" width="15.28515625" bestFit="1" customWidth="1"/>
    <col min="8971" max="8971" width="12.28515625" customWidth="1"/>
    <col min="8972" max="8972" width="16.28515625" bestFit="1" customWidth="1"/>
    <col min="8973" max="8973" width="6.42578125" bestFit="1" customWidth="1"/>
    <col min="8974" max="8974" width="9.28515625" bestFit="1" customWidth="1"/>
    <col min="8975" max="8975" width="7.5703125" bestFit="1" customWidth="1"/>
    <col min="8976" max="8976" width="13.28515625" bestFit="1" customWidth="1"/>
    <col min="8977" max="8977" width="9.28515625" bestFit="1" customWidth="1"/>
    <col min="8978" max="8978" width="11.5703125" bestFit="1" customWidth="1"/>
    <col min="8979" max="8979" width="13.28515625" bestFit="1" customWidth="1"/>
    <col min="8980" max="8980" width="7.140625" bestFit="1" customWidth="1"/>
    <col min="8981" max="8981" width="12" bestFit="1" customWidth="1"/>
    <col min="8982" max="8982" width="13.28515625" bestFit="1" customWidth="1"/>
    <col min="8983" max="8983" width="7" bestFit="1" customWidth="1"/>
    <col min="8984" max="8984" width="12.7109375" bestFit="1" customWidth="1"/>
    <col min="8985" max="8985" width="11.5703125" bestFit="1" customWidth="1"/>
    <col min="8986" max="8986" width="10.5703125" bestFit="1" customWidth="1"/>
    <col min="8987" max="8988" width="15.7109375" bestFit="1" customWidth="1"/>
    <col min="8989" max="8989" width="11.5703125" bestFit="1" customWidth="1"/>
    <col min="8990" max="8990" width="7.7109375" bestFit="1" customWidth="1"/>
    <col min="8991" max="8991" width="15.140625" bestFit="1" customWidth="1"/>
    <col min="8992" max="8992" width="11.5703125" bestFit="1" customWidth="1"/>
    <col min="8993" max="8993" width="13.28515625" bestFit="1" customWidth="1"/>
    <col min="8994" max="8994" width="10.42578125" bestFit="1" customWidth="1"/>
    <col min="8995" max="8995" width="13.28515625" bestFit="1" customWidth="1"/>
    <col min="8996" max="8996" width="12.140625" bestFit="1" customWidth="1"/>
    <col min="8997" max="8997" width="14.42578125" bestFit="1" customWidth="1"/>
    <col min="8998" max="8998" width="13.28515625" bestFit="1" customWidth="1"/>
    <col min="8999" max="8999" width="11.5703125" bestFit="1" customWidth="1"/>
    <col min="9000" max="9000" width="7.7109375" bestFit="1" customWidth="1"/>
    <col min="9001" max="9002" width="14.42578125" bestFit="1" customWidth="1"/>
    <col min="9003" max="9003" width="11.5703125" bestFit="1" customWidth="1"/>
    <col min="9004" max="9004" width="7.7109375" bestFit="1" customWidth="1"/>
    <col min="9005" max="9005" width="13.5703125" customWidth="1"/>
    <col min="9006" max="9006" width="15.28515625" customWidth="1"/>
    <col min="9007" max="9007" width="14.5703125" customWidth="1"/>
    <col min="9008" max="9008" width="13.28515625" bestFit="1" customWidth="1"/>
    <col min="9009" max="9009" width="7.7109375" bestFit="1" customWidth="1"/>
    <col min="9010" max="9010" width="12.7109375" bestFit="1" customWidth="1"/>
    <col min="9011" max="9011" width="11.7109375" bestFit="1" customWidth="1"/>
    <col min="9012" max="9012" width="11.5703125" bestFit="1" customWidth="1"/>
    <col min="9013" max="9013" width="5.28515625" bestFit="1" customWidth="1"/>
    <col min="9014" max="9014" width="13.28515625" bestFit="1" customWidth="1"/>
    <col min="9015" max="9015" width="13.5703125" bestFit="1" customWidth="1"/>
    <col min="9016" max="9016" width="10.5703125" bestFit="1" customWidth="1"/>
    <col min="9017" max="9017" width="13.28515625" bestFit="1" customWidth="1"/>
    <col min="9018" max="9018" width="11.5703125" bestFit="1" customWidth="1"/>
    <col min="9019" max="9019" width="10.5703125" bestFit="1" customWidth="1"/>
    <col min="9020" max="9020" width="16.140625" bestFit="1" customWidth="1"/>
    <col min="9021" max="9022" width="11.28515625" bestFit="1" customWidth="1"/>
    <col min="9023" max="9023" width="13.28515625" bestFit="1" customWidth="1"/>
    <col min="9024" max="9024" width="7.7109375" bestFit="1" customWidth="1"/>
    <col min="9025" max="9028" width="9.140625" hidden="1" customWidth="1"/>
    <col min="9029" max="9029" width="10.42578125" bestFit="1" customWidth="1"/>
    <col min="9030" max="9030" width="10.5703125" bestFit="1" customWidth="1"/>
    <col min="9031" max="9031" width="10.42578125" bestFit="1" customWidth="1"/>
    <col min="9032" max="9032" width="10.5703125" bestFit="1" customWidth="1"/>
    <col min="9033" max="9033" width="9.5703125" bestFit="1" customWidth="1"/>
    <col min="9034" max="9034" width="11.5703125" bestFit="1" customWidth="1"/>
    <col min="9035" max="9035" width="10.42578125" bestFit="1" customWidth="1"/>
    <col min="9036" max="9036" width="10.85546875" customWidth="1"/>
    <col min="9037" max="9038" width="9.85546875" bestFit="1" customWidth="1"/>
    <col min="9039" max="9039" width="13.5703125" bestFit="1" customWidth="1"/>
    <col min="9040" max="9040" width="7.7109375" bestFit="1" customWidth="1"/>
    <col min="9041" max="9041" width="13.28515625" bestFit="1" customWidth="1"/>
    <col min="9042" max="9042" width="11.5703125" bestFit="1" customWidth="1"/>
    <col min="9043" max="9043" width="10.42578125" bestFit="1" customWidth="1"/>
    <col min="9044" max="9044" width="7.7109375" bestFit="1" customWidth="1"/>
    <col min="9045" max="9045" width="11.5703125" bestFit="1" customWidth="1"/>
    <col min="9046" max="9046" width="10.85546875" bestFit="1" customWidth="1"/>
    <col min="9047" max="9047" width="13.28515625" bestFit="1" customWidth="1"/>
    <col min="9048" max="9048" width="10.85546875" bestFit="1" customWidth="1"/>
    <col min="9049" max="9050" width="7.5703125" bestFit="1" customWidth="1"/>
    <col min="9051" max="9052" width="10.42578125" bestFit="1" customWidth="1"/>
    <col min="9053" max="9053" width="11.5703125" bestFit="1" customWidth="1"/>
    <col min="9054" max="9054" width="5.28515625" bestFit="1" customWidth="1"/>
    <col min="9055" max="9055" width="10.28515625" bestFit="1" customWidth="1"/>
    <col min="9056" max="9056" width="10.42578125" bestFit="1" customWidth="1"/>
    <col min="9057" max="9057" width="11.5703125" bestFit="1" customWidth="1"/>
    <col min="9058" max="9058" width="5.28515625" bestFit="1" customWidth="1"/>
    <col min="9059" max="9061" width="11.5703125" bestFit="1" customWidth="1"/>
    <col min="9062" max="9062" width="5.28515625" bestFit="1" customWidth="1"/>
    <col min="9063" max="9064" width="10.42578125" bestFit="1" customWidth="1"/>
    <col min="9065" max="9065" width="11.5703125" bestFit="1" customWidth="1"/>
    <col min="9066" max="9066" width="5.28515625" bestFit="1" customWidth="1"/>
    <col min="9067" max="9067" width="14.28515625" bestFit="1" customWidth="1"/>
    <col min="9068" max="9068" width="13" bestFit="1" customWidth="1"/>
    <col min="9069" max="9069" width="11.5703125" bestFit="1" customWidth="1"/>
    <col min="9070" max="9070" width="8.85546875" bestFit="1" customWidth="1"/>
    <col min="9071" max="9071" width="14.42578125" bestFit="1" customWidth="1"/>
    <col min="9072" max="9072" width="10.42578125" bestFit="1" customWidth="1"/>
    <col min="9073" max="9073" width="12.28515625" bestFit="1" customWidth="1"/>
    <col min="9074" max="9074" width="13.85546875" bestFit="1" customWidth="1"/>
    <col min="9075" max="9075" width="11.28515625" customWidth="1"/>
    <col min="9076" max="9076" width="11.5703125" customWidth="1"/>
    <col min="9077" max="9077" width="13.42578125" bestFit="1" customWidth="1"/>
    <col min="9078" max="9078" width="10.42578125" customWidth="1"/>
    <col min="9079" max="9079" width="13.85546875" bestFit="1" customWidth="1"/>
    <col min="9080" max="9080" width="15.42578125" bestFit="1" customWidth="1"/>
    <col min="9081" max="9081" width="12.28515625" bestFit="1" customWidth="1"/>
    <col min="9082" max="9082" width="12.7109375" customWidth="1"/>
    <col min="9083" max="9083" width="10.7109375" bestFit="1" customWidth="1"/>
    <col min="9084" max="9084" width="9.85546875" customWidth="1"/>
    <col min="9085" max="9086" width="10.140625" bestFit="1" customWidth="1"/>
    <col min="9087" max="9087" width="7.5703125" bestFit="1" customWidth="1"/>
    <col min="9088" max="9088" width="9.42578125" bestFit="1" customWidth="1"/>
    <col min="9089" max="9089" width="14.5703125" bestFit="1" customWidth="1"/>
    <col min="9090" max="9090" width="14.85546875" customWidth="1"/>
    <col min="9091" max="9091" width="15.140625" bestFit="1" customWidth="1"/>
    <col min="9092" max="9092" width="12.140625" bestFit="1" customWidth="1"/>
    <col min="9093" max="9093" width="14.85546875" bestFit="1" customWidth="1"/>
    <col min="9094" max="9094" width="12.28515625" bestFit="1" customWidth="1"/>
    <col min="9095" max="9103" width="9.140625" hidden="1" customWidth="1"/>
    <col min="9104" max="9104" width="5.28515625" bestFit="1" customWidth="1"/>
    <col min="9105" max="9110" width="11.5703125" bestFit="1" customWidth="1"/>
    <col min="9111" max="9111" width="11.28515625" bestFit="1" customWidth="1"/>
    <col min="9112" max="9112" width="10.140625" bestFit="1" customWidth="1"/>
    <col min="9113" max="9113" width="11.5703125" bestFit="1" customWidth="1"/>
    <col min="9114" max="9114" width="16.140625" customWidth="1"/>
    <col min="9115" max="9115" width="13.42578125" customWidth="1"/>
    <col min="9116" max="9116" width="10.140625" bestFit="1" customWidth="1"/>
    <col min="9117" max="9117" width="12.85546875" bestFit="1" customWidth="1"/>
    <col min="9118" max="9118" width="12.28515625" bestFit="1" customWidth="1"/>
    <col min="9119" max="9119" width="11.28515625" bestFit="1" customWidth="1"/>
    <col min="9120" max="9120" width="11.5703125" bestFit="1" customWidth="1"/>
    <col min="9121" max="9121" width="10.85546875" bestFit="1" customWidth="1"/>
    <col min="9122" max="9122" width="11.28515625" bestFit="1" customWidth="1"/>
    <col min="9123" max="9123" width="10.140625" bestFit="1" customWidth="1"/>
    <col min="9124" max="9124" width="13.28515625" bestFit="1" customWidth="1"/>
    <col min="9125" max="9126" width="12.7109375" bestFit="1" customWidth="1"/>
    <col min="9127" max="9127" width="11" bestFit="1" customWidth="1"/>
    <col min="9128" max="9128" width="11.28515625" bestFit="1" customWidth="1"/>
    <col min="9129" max="9129" width="11.5703125" bestFit="1" customWidth="1"/>
    <col min="9130" max="9130" width="12.28515625" bestFit="1" customWidth="1"/>
    <col min="9131" max="9131" width="15.140625" bestFit="1" customWidth="1"/>
    <col min="9132" max="9132" width="14.42578125" bestFit="1" customWidth="1"/>
    <col min="9133" max="9133" width="12.28515625" bestFit="1" customWidth="1"/>
    <col min="9134" max="9134" width="15.140625" bestFit="1" customWidth="1"/>
    <col min="9135" max="9135" width="14.42578125" bestFit="1" customWidth="1"/>
    <col min="9136" max="9136" width="12.28515625" bestFit="1" customWidth="1"/>
    <col min="9137" max="9137" width="14.42578125" bestFit="1" customWidth="1"/>
    <col min="9138" max="9138" width="11.28515625" bestFit="1" customWidth="1"/>
    <col min="9139" max="9139" width="12.28515625" bestFit="1" customWidth="1"/>
    <col min="9140" max="9140" width="13" bestFit="1" customWidth="1"/>
    <col min="9141" max="9141" width="15.140625" bestFit="1" customWidth="1"/>
    <col min="9142" max="9142" width="12.28515625" bestFit="1" customWidth="1"/>
    <col min="9143" max="9143" width="13.85546875" bestFit="1" customWidth="1"/>
    <col min="9144" max="9144" width="11.28515625" bestFit="1" customWidth="1"/>
    <col min="9145" max="9145" width="12.28515625" bestFit="1" customWidth="1"/>
    <col min="9146" max="9146" width="13.85546875" bestFit="1" customWidth="1"/>
    <col min="9147" max="9148" width="15.140625" bestFit="1" customWidth="1"/>
    <col min="9149" max="9149" width="12.28515625" bestFit="1" customWidth="1"/>
    <col min="9150" max="9150" width="5.7109375" bestFit="1" customWidth="1"/>
    <col min="9151" max="9151" width="8.5703125" bestFit="1" customWidth="1"/>
    <col min="9152" max="9152" width="5.5703125" bestFit="1" customWidth="1"/>
    <col min="9153" max="9153" width="14.42578125" bestFit="1" customWidth="1"/>
    <col min="9154" max="9154" width="11.28515625" bestFit="1" customWidth="1"/>
    <col min="9155" max="9156" width="12.28515625" bestFit="1" customWidth="1"/>
    <col min="9157" max="9157" width="11.28515625" bestFit="1" customWidth="1"/>
    <col min="9158" max="9158" width="13.85546875" bestFit="1" customWidth="1"/>
    <col min="9159" max="9159" width="12" bestFit="1" customWidth="1"/>
    <col min="9160" max="9160" width="13.85546875" bestFit="1" customWidth="1"/>
    <col min="9161" max="9162" width="14.42578125" customWidth="1"/>
    <col min="9163" max="9163" width="10.140625" bestFit="1" customWidth="1"/>
    <col min="9164" max="9164" width="12.28515625" bestFit="1" customWidth="1"/>
    <col min="9165" max="9165" width="7.42578125" bestFit="1" customWidth="1"/>
    <col min="9166" max="9166" width="8.5703125" bestFit="1" customWidth="1"/>
    <col min="9167" max="9167" width="11.5703125" bestFit="1" customWidth="1"/>
    <col min="9168" max="9168" width="13.28515625" bestFit="1" customWidth="1"/>
    <col min="9169" max="9169" width="13.28515625" customWidth="1"/>
    <col min="9170" max="9170" width="13.140625" customWidth="1"/>
    <col min="9171" max="9171" width="12.7109375" bestFit="1" customWidth="1"/>
    <col min="9172" max="9172" width="13.28515625" bestFit="1" customWidth="1"/>
    <col min="9173" max="9175" width="13.28515625" customWidth="1"/>
    <col min="9176" max="9176" width="12.140625" bestFit="1" customWidth="1"/>
    <col min="9177" max="9177" width="12.7109375" bestFit="1" customWidth="1"/>
    <col min="9178" max="9178" width="11" customWidth="1"/>
    <col min="9179" max="9179" width="16.7109375" customWidth="1"/>
    <col min="9180" max="9180" width="17" customWidth="1"/>
    <col min="9181" max="9181" width="10.42578125" bestFit="1" customWidth="1"/>
    <col min="9225" max="9225" width="3.85546875" customWidth="1"/>
    <col min="9226" max="9226" width="15.28515625" bestFit="1" customWidth="1"/>
    <col min="9227" max="9227" width="12.28515625" customWidth="1"/>
    <col min="9228" max="9228" width="16.28515625" bestFit="1" customWidth="1"/>
    <col min="9229" max="9229" width="6.42578125" bestFit="1" customWidth="1"/>
    <col min="9230" max="9230" width="9.28515625" bestFit="1" customWidth="1"/>
    <col min="9231" max="9231" width="7.5703125" bestFit="1" customWidth="1"/>
    <col min="9232" max="9232" width="13.28515625" bestFit="1" customWidth="1"/>
    <col min="9233" max="9233" width="9.28515625" bestFit="1" customWidth="1"/>
    <col min="9234" max="9234" width="11.5703125" bestFit="1" customWidth="1"/>
    <col min="9235" max="9235" width="13.28515625" bestFit="1" customWidth="1"/>
    <col min="9236" max="9236" width="7.140625" bestFit="1" customWidth="1"/>
    <col min="9237" max="9237" width="12" bestFit="1" customWidth="1"/>
    <col min="9238" max="9238" width="13.28515625" bestFit="1" customWidth="1"/>
    <col min="9239" max="9239" width="7" bestFit="1" customWidth="1"/>
    <col min="9240" max="9240" width="12.7109375" bestFit="1" customWidth="1"/>
    <col min="9241" max="9241" width="11.5703125" bestFit="1" customWidth="1"/>
    <col min="9242" max="9242" width="10.5703125" bestFit="1" customWidth="1"/>
    <col min="9243" max="9244" width="15.7109375" bestFit="1" customWidth="1"/>
    <col min="9245" max="9245" width="11.5703125" bestFit="1" customWidth="1"/>
    <col min="9246" max="9246" width="7.7109375" bestFit="1" customWidth="1"/>
    <col min="9247" max="9247" width="15.140625" bestFit="1" customWidth="1"/>
    <col min="9248" max="9248" width="11.5703125" bestFit="1" customWidth="1"/>
    <col min="9249" max="9249" width="13.28515625" bestFit="1" customWidth="1"/>
    <col min="9250" max="9250" width="10.42578125" bestFit="1" customWidth="1"/>
    <col min="9251" max="9251" width="13.28515625" bestFit="1" customWidth="1"/>
    <col min="9252" max="9252" width="12.140625" bestFit="1" customWidth="1"/>
    <col min="9253" max="9253" width="14.42578125" bestFit="1" customWidth="1"/>
    <col min="9254" max="9254" width="13.28515625" bestFit="1" customWidth="1"/>
    <col min="9255" max="9255" width="11.5703125" bestFit="1" customWidth="1"/>
    <col min="9256" max="9256" width="7.7109375" bestFit="1" customWidth="1"/>
    <col min="9257" max="9258" width="14.42578125" bestFit="1" customWidth="1"/>
    <col min="9259" max="9259" width="11.5703125" bestFit="1" customWidth="1"/>
    <col min="9260" max="9260" width="7.7109375" bestFit="1" customWidth="1"/>
    <col min="9261" max="9261" width="13.5703125" customWidth="1"/>
    <col min="9262" max="9262" width="15.28515625" customWidth="1"/>
    <col min="9263" max="9263" width="14.5703125" customWidth="1"/>
    <col min="9264" max="9264" width="13.28515625" bestFit="1" customWidth="1"/>
    <col min="9265" max="9265" width="7.7109375" bestFit="1" customWidth="1"/>
    <col min="9266" max="9266" width="12.7109375" bestFit="1" customWidth="1"/>
    <col min="9267" max="9267" width="11.7109375" bestFit="1" customWidth="1"/>
    <col min="9268" max="9268" width="11.5703125" bestFit="1" customWidth="1"/>
    <col min="9269" max="9269" width="5.28515625" bestFit="1" customWidth="1"/>
    <col min="9270" max="9270" width="13.28515625" bestFit="1" customWidth="1"/>
    <col min="9271" max="9271" width="13.5703125" bestFit="1" customWidth="1"/>
    <col min="9272" max="9272" width="10.5703125" bestFit="1" customWidth="1"/>
    <col min="9273" max="9273" width="13.28515625" bestFit="1" customWidth="1"/>
    <col min="9274" max="9274" width="11.5703125" bestFit="1" customWidth="1"/>
    <col min="9275" max="9275" width="10.5703125" bestFit="1" customWidth="1"/>
    <col min="9276" max="9276" width="16.140625" bestFit="1" customWidth="1"/>
    <col min="9277" max="9278" width="11.28515625" bestFit="1" customWidth="1"/>
    <col min="9279" max="9279" width="13.28515625" bestFit="1" customWidth="1"/>
    <col min="9280" max="9280" width="7.7109375" bestFit="1" customWidth="1"/>
    <col min="9281" max="9284" width="9.140625" hidden="1" customWidth="1"/>
    <col min="9285" max="9285" width="10.42578125" bestFit="1" customWidth="1"/>
    <col min="9286" max="9286" width="10.5703125" bestFit="1" customWidth="1"/>
    <col min="9287" max="9287" width="10.42578125" bestFit="1" customWidth="1"/>
    <col min="9288" max="9288" width="10.5703125" bestFit="1" customWidth="1"/>
    <col min="9289" max="9289" width="9.5703125" bestFit="1" customWidth="1"/>
    <col min="9290" max="9290" width="11.5703125" bestFit="1" customWidth="1"/>
    <col min="9291" max="9291" width="10.42578125" bestFit="1" customWidth="1"/>
    <col min="9292" max="9292" width="10.85546875" customWidth="1"/>
    <col min="9293" max="9294" width="9.85546875" bestFit="1" customWidth="1"/>
    <col min="9295" max="9295" width="13.5703125" bestFit="1" customWidth="1"/>
    <col min="9296" max="9296" width="7.7109375" bestFit="1" customWidth="1"/>
    <col min="9297" max="9297" width="13.28515625" bestFit="1" customWidth="1"/>
    <col min="9298" max="9298" width="11.5703125" bestFit="1" customWidth="1"/>
    <col min="9299" max="9299" width="10.42578125" bestFit="1" customWidth="1"/>
    <col min="9300" max="9300" width="7.7109375" bestFit="1" customWidth="1"/>
    <col min="9301" max="9301" width="11.5703125" bestFit="1" customWidth="1"/>
    <col min="9302" max="9302" width="10.85546875" bestFit="1" customWidth="1"/>
    <col min="9303" max="9303" width="13.28515625" bestFit="1" customWidth="1"/>
    <col min="9304" max="9304" width="10.85546875" bestFit="1" customWidth="1"/>
    <col min="9305" max="9306" width="7.5703125" bestFit="1" customWidth="1"/>
    <col min="9307" max="9308" width="10.42578125" bestFit="1" customWidth="1"/>
    <col min="9309" max="9309" width="11.5703125" bestFit="1" customWidth="1"/>
    <col min="9310" max="9310" width="5.28515625" bestFit="1" customWidth="1"/>
    <col min="9311" max="9311" width="10.28515625" bestFit="1" customWidth="1"/>
    <col min="9312" max="9312" width="10.42578125" bestFit="1" customWidth="1"/>
    <col min="9313" max="9313" width="11.5703125" bestFit="1" customWidth="1"/>
    <col min="9314" max="9314" width="5.28515625" bestFit="1" customWidth="1"/>
    <col min="9315" max="9317" width="11.5703125" bestFit="1" customWidth="1"/>
    <col min="9318" max="9318" width="5.28515625" bestFit="1" customWidth="1"/>
    <col min="9319" max="9320" width="10.42578125" bestFit="1" customWidth="1"/>
    <col min="9321" max="9321" width="11.5703125" bestFit="1" customWidth="1"/>
    <col min="9322" max="9322" width="5.28515625" bestFit="1" customWidth="1"/>
    <col min="9323" max="9323" width="14.28515625" bestFit="1" customWidth="1"/>
    <col min="9324" max="9324" width="13" bestFit="1" customWidth="1"/>
    <col min="9325" max="9325" width="11.5703125" bestFit="1" customWidth="1"/>
    <col min="9326" max="9326" width="8.85546875" bestFit="1" customWidth="1"/>
    <col min="9327" max="9327" width="14.42578125" bestFit="1" customWidth="1"/>
    <col min="9328" max="9328" width="10.42578125" bestFit="1" customWidth="1"/>
    <col min="9329" max="9329" width="12.28515625" bestFit="1" customWidth="1"/>
    <col min="9330" max="9330" width="13.85546875" bestFit="1" customWidth="1"/>
    <col min="9331" max="9331" width="11.28515625" customWidth="1"/>
    <col min="9332" max="9332" width="11.5703125" customWidth="1"/>
    <col min="9333" max="9333" width="13.42578125" bestFit="1" customWidth="1"/>
    <col min="9334" max="9334" width="10.42578125" customWidth="1"/>
    <col min="9335" max="9335" width="13.85546875" bestFit="1" customWidth="1"/>
    <col min="9336" max="9336" width="15.42578125" bestFit="1" customWidth="1"/>
    <col min="9337" max="9337" width="12.28515625" bestFit="1" customWidth="1"/>
    <col min="9338" max="9338" width="12.7109375" customWidth="1"/>
    <col min="9339" max="9339" width="10.7109375" bestFit="1" customWidth="1"/>
    <col min="9340" max="9340" width="9.85546875" customWidth="1"/>
    <col min="9341" max="9342" width="10.140625" bestFit="1" customWidth="1"/>
    <col min="9343" max="9343" width="7.5703125" bestFit="1" customWidth="1"/>
    <col min="9344" max="9344" width="9.42578125" bestFit="1" customWidth="1"/>
    <col min="9345" max="9345" width="14.5703125" bestFit="1" customWidth="1"/>
    <col min="9346" max="9346" width="14.85546875" customWidth="1"/>
    <col min="9347" max="9347" width="15.140625" bestFit="1" customWidth="1"/>
    <col min="9348" max="9348" width="12.140625" bestFit="1" customWidth="1"/>
    <col min="9349" max="9349" width="14.85546875" bestFit="1" customWidth="1"/>
    <col min="9350" max="9350" width="12.28515625" bestFit="1" customWidth="1"/>
    <col min="9351" max="9359" width="9.140625" hidden="1" customWidth="1"/>
    <col min="9360" max="9360" width="5.28515625" bestFit="1" customWidth="1"/>
    <col min="9361" max="9366" width="11.5703125" bestFit="1" customWidth="1"/>
    <col min="9367" max="9367" width="11.28515625" bestFit="1" customWidth="1"/>
    <col min="9368" max="9368" width="10.140625" bestFit="1" customWidth="1"/>
    <col min="9369" max="9369" width="11.5703125" bestFit="1" customWidth="1"/>
    <col min="9370" max="9370" width="16.140625" customWidth="1"/>
    <col min="9371" max="9371" width="13.42578125" customWidth="1"/>
    <col min="9372" max="9372" width="10.140625" bestFit="1" customWidth="1"/>
    <col min="9373" max="9373" width="12.85546875" bestFit="1" customWidth="1"/>
    <col min="9374" max="9374" width="12.28515625" bestFit="1" customWidth="1"/>
    <col min="9375" max="9375" width="11.28515625" bestFit="1" customWidth="1"/>
    <col min="9376" max="9376" width="11.5703125" bestFit="1" customWidth="1"/>
    <col min="9377" max="9377" width="10.85546875" bestFit="1" customWidth="1"/>
    <col min="9378" max="9378" width="11.28515625" bestFit="1" customWidth="1"/>
    <col min="9379" max="9379" width="10.140625" bestFit="1" customWidth="1"/>
    <col min="9380" max="9380" width="13.28515625" bestFit="1" customWidth="1"/>
    <col min="9381" max="9382" width="12.7109375" bestFit="1" customWidth="1"/>
    <col min="9383" max="9383" width="11" bestFit="1" customWidth="1"/>
    <col min="9384" max="9384" width="11.28515625" bestFit="1" customWidth="1"/>
    <col min="9385" max="9385" width="11.5703125" bestFit="1" customWidth="1"/>
    <col min="9386" max="9386" width="12.28515625" bestFit="1" customWidth="1"/>
    <col min="9387" max="9387" width="15.140625" bestFit="1" customWidth="1"/>
    <col min="9388" max="9388" width="14.42578125" bestFit="1" customWidth="1"/>
    <col min="9389" max="9389" width="12.28515625" bestFit="1" customWidth="1"/>
    <col min="9390" max="9390" width="15.140625" bestFit="1" customWidth="1"/>
    <col min="9391" max="9391" width="14.42578125" bestFit="1" customWidth="1"/>
    <col min="9392" max="9392" width="12.28515625" bestFit="1" customWidth="1"/>
    <col min="9393" max="9393" width="14.42578125" bestFit="1" customWidth="1"/>
    <col min="9394" max="9394" width="11.28515625" bestFit="1" customWidth="1"/>
    <col min="9395" max="9395" width="12.28515625" bestFit="1" customWidth="1"/>
    <col min="9396" max="9396" width="13" bestFit="1" customWidth="1"/>
    <col min="9397" max="9397" width="15.140625" bestFit="1" customWidth="1"/>
    <col min="9398" max="9398" width="12.28515625" bestFit="1" customWidth="1"/>
    <col min="9399" max="9399" width="13.85546875" bestFit="1" customWidth="1"/>
    <col min="9400" max="9400" width="11.28515625" bestFit="1" customWidth="1"/>
    <col min="9401" max="9401" width="12.28515625" bestFit="1" customWidth="1"/>
    <col min="9402" max="9402" width="13.85546875" bestFit="1" customWidth="1"/>
    <col min="9403" max="9404" width="15.140625" bestFit="1" customWidth="1"/>
    <col min="9405" max="9405" width="12.28515625" bestFit="1" customWidth="1"/>
    <col min="9406" max="9406" width="5.7109375" bestFit="1" customWidth="1"/>
    <col min="9407" max="9407" width="8.5703125" bestFit="1" customWidth="1"/>
    <col min="9408" max="9408" width="5.5703125" bestFit="1" customWidth="1"/>
    <col min="9409" max="9409" width="14.42578125" bestFit="1" customWidth="1"/>
    <col min="9410" max="9410" width="11.28515625" bestFit="1" customWidth="1"/>
    <col min="9411" max="9412" width="12.28515625" bestFit="1" customWidth="1"/>
    <col min="9413" max="9413" width="11.28515625" bestFit="1" customWidth="1"/>
    <col min="9414" max="9414" width="13.85546875" bestFit="1" customWidth="1"/>
    <col min="9415" max="9415" width="12" bestFit="1" customWidth="1"/>
    <col min="9416" max="9416" width="13.85546875" bestFit="1" customWidth="1"/>
    <col min="9417" max="9418" width="14.42578125" customWidth="1"/>
    <col min="9419" max="9419" width="10.140625" bestFit="1" customWidth="1"/>
    <col min="9420" max="9420" width="12.28515625" bestFit="1" customWidth="1"/>
    <col min="9421" max="9421" width="7.42578125" bestFit="1" customWidth="1"/>
    <col min="9422" max="9422" width="8.5703125" bestFit="1" customWidth="1"/>
    <col min="9423" max="9423" width="11.5703125" bestFit="1" customWidth="1"/>
    <col min="9424" max="9424" width="13.28515625" bestFit="1" customWidth="1"/>
    <col min="9425" max="9425" width="13.28515625" customWidth="1"/>
    <col min="9426" max="9426" width="13.140625" customWidth="1"/>
    <col min="9427" max="9427" width="12.7109375" bestFit="1" customWidth="1"/>
    <col min="9428" max="9428" width="13.28515625" bestFit="1" customWidth="1"/>
    <col min="9429" max="9431" width="13.28515625" customWidth="1"/>
    <col min="9432" max="9432" width="12.140625" bestFit="1" customWidth="1"/>
    <col min="9433" max="9433" width="12.7109375" bestFit="1" customWidth="1"/>
    <col min="9434" max="9434" width="11" customWidth="1"/>
    <col min="9435" max="9435" width="16.7109375" customWidth="1"/>
    <col min="9436" max="9436" width="17" customWidth="1"/>
    <col min="9437" max="9437" width="10.42578125" bestFit="1" customWidth="1"/>
    <col min="9481" max="9481" width="3.85546875" customWidth="1"/>
    <col min="9482" max="9482" width="15.28515625" bestFit="1" customWidth="1"/>
    <col min="9483" max="9483" width="12.28515625" customWidth="1"/>
    <col min="9484" max="9484" width="16.28515625" bestFit="1" customWidth="1"/>
    <col min="9485" max="9485" width="6.42578125" bestFit="1" customWidth="1"/>
    <col min="9486" max="9486" width="9.28515625" bestFit="1" customWidth="1"/>
    <col min="9487" max="9487" width="7.5703125" bestFit="1" customWidth="1"/>
    <col min="9488" max="9488" width="13.28515625" bestFit="1" customWidth="1"/>
    <col min="9489" max="9489" width="9.28515625" bestFit="1" customWidth="1"/>
    <col min="9490" max="9490" width="11.5703125" bestFit="1" customWidth="1"/>
    <col min="9491" max="9491" width="13.28515625" bestFit="1" customWidth="1"/>
    <col min="9492" max="9492" width="7.140625" bestFit="1" customWidth="1"/>
    <col min="9493" max="9493" width="12" bestFit="1" customWidth="1"/>
    <col min="9494" max="9494" width="13.28515625" bestFit="1" customWidth="1"/>
    <col min="9495" max="9495" width="7" bestFit="1" customWidth="1"/>
    <col min="9496" max="9496" width="12.7109375" bestFit="1" customWidth="1"/>
    <col min="9497" max="9497" width="11.5703125" bestFit="1" customWidth="1"/>
    <col min="9498" max="9498" width="10.5703125" bestFit="1" customWidth="1"/>
    <col min="9499" max="9500" width="15.7109375" bestFit="1" customWidth="1"/>
    <col min="9501" max="9501" width="11.5703125" bestFit="1" customWidth="1"/>
    <col min="9502" max="9502" width="7.7109375" bestFit="1" customWidth="1"/>
    <col min="9503" max="9503" width="15.140625" bestFit="1" customWidth="1"/>
    <col min="9504" max="9504" width="11.5703125" bestFit="1" customWidth="1"/>
    <col min="9505" max="9505" width="13.28515625" bestFit="1" customWidth="1"/>
    <col min="9506" max="9506" width="10.42578125" bestFit="1" customWidth="1"/>
    <col min="9507" max="9507" width="13.28515625" bestFit="1" customWidth="1"/>
    <col min="9508" max="9508" width="12.140625" bestFit="1" customWidth="1"/>
    <col min="9509" max="9509" width="14.42578125" bestFit="1" customWidth="1"/>
    <col min="9510" max="9510" width="13.28515625" bestFit="1" customWidth="1"/>
    <col min="9511" max="9511" width="11.5703125" bestFit="1" customWidth="1"/>
    <col min="9512" max="9512" width="7.7109375" bestFit="1" customWidth="1"/>
    <col min="9513" max="9514" width="14.42578125" bestFit="1" customWidth="1"/>
    <col min="9515" max="9515" width="11.5703125" bestFit="1" customWidth="1"/>
    <col min="9516" max="9516" width="7.7109375" bestFit="1" customWidth="1"/>
    <col min="9517" max="9517" width="13.5703125" customWidth="1"/>
    <col min="9518" max="9518" width="15.28515625" customWidth="1"/>
    <col min="9519" max="9519" width="14.5703125" customWidth="1"/>
    <col min="9520" max="9520" width="13.28515625" bestFit="1" customWidth="1"/>
    <col min="9521" max="9521" width="7.7109375" bestFit="1" customWidth="1"/>
    <col min="9522" max="9522" width="12.7109375" bestFit="1" customWidth="1"/>
    <col min="9523" max="9523" width="11.7109375" bestFit="1" customWidth="1"/>
    <col min="9524" max="9524" width="11.5703125" bestFit="1" customWidth="1"/>
    <col min="9525" max="9525" width="5.28515625" bestFit="1" customWidth="1"/>
    <col min="9526" max="9526" width="13.28515625" bestFit="1" customWidth="1"/>
    <col min="9527" max="9527" width="13.5703125" bestFit="1" customWidth="1"/>
    <col min="9528" max="9528" width="10.5703125" bestFit="1" customWidth="1"/>
    <col min="9529" max="9529" width="13.28515625" bestFit="1" customWidth="1"/>
    <col min="9530" max="9530" width="11.5703125" bestFit="1" customWidth="1"/>
    <col min="9531" max="9531" width="10.5703125" bestFit="1" customWidth="1"/>
    <col min="9532" max="9532" width="16.140625" bestFit="1" customWidth="1"/>
    <col min="9533" max="9534" width="11.28515625" bestFit="1" customWidth="1"/>
    <col min="9535" max="9535" width="13.28515625" bestFit="1" customWidth="1"/>
    <col min="9536" max="9536" width="7.7109375" bestFit="1" customWidth="1"/>
    <col min="9537" max="9540" width="9.140625" hidden="1" customWidth="1"/>
    <col min="9541" max="9541" width="10.42578125" bestFit="1" customWidth="1"/>
    <col min="9542" max="9542" width="10.5703125" bestFit="1" customWidth="1"/>
    <col min="9543" max="9543" width="10.42578125" bestFit="1" customWidth="1"/>
    <col min="9544" max="9544" width="10.5703125" bestFit="1" customWidth="1"/>
    <col min="9545" max="9545" width="9.5703125" bestFit="1" customWidth="1"/>
    <col min="9546" max="9546" width="11.5703125" bestFit="1" customWidth="1"/>
    <col min="9547" max="9547" width="10.42578125" bestFit="1" customWidth="1"/>
    <col min="9548" max="9548" width="10.85546875" customWidth="1"/>
    <col min="9549" max="9550" width="9.85546875" bestFit="1" customWidth="1"/>
    <col min="9551" max="9551" width="13.5703125" bestFit="1" customWidth="1"/>
    <col min="9552" max="9552" width="7.7109375" bestFit="1" customWidth="1"/>
    <col min="9553" max="9553" width="13.28515625" bestFit="1" customWidth="1"/>
    <col min="9554" max="9554" width="11.5703125" bestFit="1" customWidth="1"/>
    <col min="9555" max="9555" width="10.42578125" bestFit="1" customWidth="1"/>
    <col min="9556" max="9556" width="7.7109375" bestFit="1" customWidth="1"/>
    <col min="9557" max="9557" width="11.5703125" bestFit="1" customWidth="1"/>
    <col min="9558" max="9558" width="10.85546875" bestFit="1" customWidth="1"/>
    <col min="9559" max="9559" width="13.28515625" bestFit="1" customWidth="1"/>
    <col min="9560" max="9560" width="10.85546875" bestFit="1" customWidth="1"/>
    <col min="9561" max="9562" width="7.5703125" bestFit="1" customWidth="1"/>
    <col min="9563" max="9564" width="10.42578125" bestFit="1" customWidth="1"/>
    <col min="9565" max="9565" width="11.5703125" bestFit="1" customWidth="1"/>
    <col min="9566" max="9566" width="5.28515625" bestFit="1" customWidth="1"/>
    <col min="9567" max="9567" width="10.28515625" bestFit="1" customWidth="1"/>
    <col min="9568" max="9568" width="10.42578125" bestFit="1" customWidth="1"/>
    <col min="9569" max="9569" width="11.5703125" bestFit="1" customWidth="1"/>
    <col min="9570" max="9570" width="5.28515625" bestFit="1" customWidth="1"/>
    <col min="9571" max="9573" width="11.5703125" bestFit="1" customWidth="1"/>
    <col min="9574" max="9574" width="5.28515625" bestFit="1" customWidth="1"/>
    <col min="9575" max="9576" width="10.42578125" bestFit="1" customWidth="1"/>
    <col min="9577" max="9577" width="11.5703125" bestFit="1" customWidth="1"/>
    <col min="9578" max="9578" width="5.28515625" bestFit="1" customWidth="1"/>
    <col min="9579" max="9579" width="14.28515625" bestFit="1" customWidth="1"/>
    <col min="9580" max="9580" width="13" bestFit="1" customWidth="1"/>
    <col min="9581" max="9581" width="11.5703125" bestFit="1" customWidth="1"/>
    <col min="9582" max="9582" width="8.85546875" bestFit="1" customWidth="1"/>
    <col min="9583" max="9583" width="14.42578125" bestFit="1" customWidth="1"/>
    <col min="9584" max="9584" width="10.42578125" bestFit="1" customWidth="1"/>
    <col min="9585" max="9585" width="12.28515625" bestFit="1" customWidth="1"/>
    <col min="9586" max="9586" width="13.85546875" bestFit="1" customWidth="1"/>
    <col min="9587" max="9587" width="11.28515625" customWidth="1"/>
    <col min="9588" max="9588" width="11.5703125" customWidth="1"/>
    <col min="9589" max="9589" width="13.42578125" bestFit="1" customWidth="1"/>
    <col min="9590" max="9590" width="10.42578125" customWidth="1"/>
    <col min="9591" max="9591" width="13.85546875" bestFit="1" customWidth="1"/>
    <col min="9592" max="9592" width="15.42578125" bestFit="1" customWidth="1"/>
    <col min="9593" max="9593" width="12.28515625" bestFit="1" customWidth="1"/>
    <col min="9594" max="9594" width="12.7109375" customWidth="1"/>
    <col min="9595" max="9595" width="10.7109375" bestFit="1" customWidth="1"/>
    <col min="9596" max="9596" width="9.85546875" customWidth="1"/>
    <col min="9597" max="9598" width="10.140625" bestFit="1" customWidth="1"/>
    <col min="9599" max="9599" width="7.5703125" bestFit="1" customWidth="1"/>
    <col min="9600" max="9600" width="9.42578125" bestFit="1" customWidth="1"/>
    <col min="9601" max="9601" width="14.5703125" bestFit="1" customWidth="1"/>
    <col min="9602" max="9602" width="14.85546875" customWidth="1"/>
    <col min="9603" max="9603" width="15.140625" bestFit="1" customWidth="1"/>
    <col min="9604" max="9604" width="12.140625" bestFit="1" customWidth="1"/>
    <col min="9605" max="9605" width="14.85546875" bestFit="1" customWidth="1"/>
    <col min="9606" max="9606" width="12.28515625" bestFit="1" customWidth="1"/>
    <col min="9607" max="9615" width="9.140625" hidden="1" customWidth="1"/>
    <col min="9616" max="9616" width="5.28515625" bestFit="1" customWidth="1"/>
    <col min="9617" max="9622" width="11.5703125" bestFit="1" customWidth="1"/>
    <col min="9623" max="9623" width="11.28515625" bestFit="1" customWidth="1"/>
    <col min="9624" max="9624" width="10.140625" bestFit="1" customWidth="1"/>
    <col min="9625" max="9625" width="11.5703125" bestFit="1" customWidth="1"/>
    <col min="9626" max="9626" width="16.140625" customWidth="1"/>
    <col min="9627" max="9627" width="13.42578125" customWidth="1"/>
    <col min="9628" max="9628" width="10.140625" bestFit="1" customWidth="1"/>
    <col min="9629" max="9629" width="12.85546875" bestFit="1" customWidth="1"/>
    <col min="9630" max="9630" width="12.28515625" bestFit="1" customWidth="1"/>
    <col min="9631" max="9631" width="11.28515625" bestFit="1" customWidth="1"/>
    <col min="9632" max="9632" width="11.5703125" bestFit="1" customWidth="1"/>
    <col min="9633" max="9633" width="10.85546875" bestFit="1" customWidth="1"/>
    <col min="9634" max="9634" width="11.28515625" bestFit="1" customWidth="1"/>
    <col min="9635" max="9635" width="10.140625" bestFit="1" customWidth="1"/>
    <col min="9636" max="9636" width="13.28515625" bestFit="1" customWidth="1"/>
    <col min="9637" max="9638" width="12.7109375" bestFit="1" customWidth="1"/>
    <col min="9639" max="9639" width="11" bestFit="1" customWidth="1"/>
    <col min="9640" max="9640" width="11.28515625" bestFit="1" customWidth="1"/>
    <col min="9641" max="9641" width="11.5703125" bestFit="1" customWidth="1"/>
    <col min="9642" max="9642" width="12.28515625" bestFit="1" customWidth="1"/>
    <col min="9643" max="9643" width="15.140625" bestFit="1" customWidth="1"/>
    <col min="9644" max="9644" width="14.42578125" bestFit="1" customWidth="1"/>
    <col min="9645" max="9645" width="12.28515625" bestFit="1" customWidth="1"/>
    <col min="9646" max="9646" width="15.140625" bestFit="1" customWidth="1"/>
    <col min="9647" max="9647" width="14.42578125" bestFit="1" customWidth="1"/>
    <col min="9648" max="9648" width="12.28515625" bestFit="1" customWidth="1"/>
    <col min="9649" max="9649" width="14.42578125" bestFit="1" customWidth="1"/>
    <col min="9650" max="9650" width="11.28515625" bestFit="1" customWidth="1"/>
    <col min="9651" max="9651" width="12.28515625" bestFit="1" customWidth="1"/>
    <col min="9652" max="9652" width="13" bestFit="1" customWidth="1"/>
    <col min="9653" max="9653" width="15.140625" bestFit="1" customWidth="1"/>
    <col min="9654" max="9654" width="12.28515625" bestFit="1" customWidth="1"/>
    <col min="9655" max="9655" width="13.85546875" bestFit="1" customWidth="1"/>
    <col min="9656" max="9656" width="11.28515625" bestFit="1" customWidth="1"/>
    <col min="9657" max="9657" width="12.28515625" bestFit="1" customWidth="1"/>
    <col min="9658" max="9658" width="13.85546875" bestFit="1" customWidth="1"/>
    <col min="9659" max="9660" width="15.140625" bestFit="1" customWidth="1"/>
    <col min="9661" max="9661" width="12.28515625" bestFit="1" customWidth="1"/>
    <col min="9662" max="9662" width="5.7109375" bestFit="1" customWidth="1"/>
    <col min="9663" max="9663" width="8.5703125" bestFit="1" customWidth="1"/>
    <col min="9664" max="9664" width="5.5703125" bestFit="1" customWidth="1"/>
    <col min="9665" max="9665" width="14.42578125" bestFit="1" customWidth="1"/>
    <col min="9666" max="9666" width="11.28515625" bestFit="1" customWidth="1"/>
    <col min="9667" max="9668" width="12.28515625" bestFit="1" customWidth="1"/>
    <col min="9669" max="9669" width="11.28515625" bestFit="1" customWidth="1"/>
    <col min="9670" max="9670" width="13.85546875" bestFit="1" customWidth="1"/>
    <col min="9671" max="9671" width="12" bestFit="1" customWidth="1"/>
    <col min="9672" max="9672" width="13.85546875" bestFit="1" customWidth="1"/>
    <col min="9673" max="9674" width="14.42578125" customWidth="1"/>
    <col min="9675" max="9675" width="10.140625" bestFit="1" customWidth="1"/>
    <col min="9676" max="9676" width="12.28515625" bestFit="1" customWidth="1"/>
    <col min="9677" max="9677" width="7.42578125" bestFit="1" customWidth="1"/>
    <col min="9678" max="9678" width="8.5703125" bestFit="1" customWidth="1"/>
    <col min="9679" max="9679" width="11.5703125" bestFit="1" customWidth="1"/>
    <col min="9680" max="9680" width="13.28515625" bestFit="1" customWidth="1"/>
    <col min="9681" max="9681" width="13.28515625" customWidth="1"/>
    <col min="9682" max="9682" width="13.140625" customWidth="1"/>
    <col min="9683" max="9683" width="12.7109375" bestFit="1" customWidth="1"/>
    <col min="9684" max="9684" width="13.28515625" bestFit="1" customWidth="1"/>
    <col min="9685" max="9687" width="13.28515625" customWidth="1"/>
    <col min="9688" max="9688" width="12.140625" bestFit="1" customWidth="1"/>
    <col min="9689" max="9689" width="12.7109375" bestFit="1" customWidth="1"/>
    <col min="9690" max="9690" width="11" customWidth="1"/>
    <col min="9691" max="9691" width="16.7109375" customWidth="1"/>
    <col min="9692" max="9692" width="17" customWidth="1"/>
    <col min="9693" max="9693" width="10.42578125" bestFit="1" customWidth="1"/>
    <col min="9737" max="9737" width="3.85546875" customWidth="1"/>
    <col min="9738" max="9738" width="15.28515625" bestFit="1" customWidth="1"/>
    <col min="9739" max="9739" width="12.28515625" customWidth="1"/>
    <col min="9740" max="9740" width="16.28515625" bestFit="1" customWidth="1"/>
    <col min="9741" max="9741" width="6.42578125" bestFit="1" customWidth="1"/>
    <col min="9742" max="9742" width="9.28515625" bestFit="1" customWidth="1"/>
    <col min="9743" max="9743" width="7.5703125" bestFit="1" customWidth="1"/>
    <col min="9744" max="9744" width="13.28515625" bestFit="1" customWidth="1"/>
    <col min="9745" max="9745" width="9.28515625" bestFit="1" customWidth="1"/>
    <col min="9746" max="9746" width="11.5703125" bestFit="1" customWidth="1"/>
    <col min="9747" max="9747" width="13.28515625" bestFit="1" customWidth="1"/>
    <col min="9748" max="9748" width="7.140625" bestFit="1" customWidth="1"/>
    <col min="9749" max="9749" width="12" bestFit="1" customWidth="1"/>
    <col min="9750" max="9750" width="13.28515625" bestFit="1" customWidth="1"/>
    <col min="9751" max="9751" width="7" bestFit="1" customWidth="1"/>
    <col min="9752" max="9752" width="12.7109375" bestFit="1" customWidth="1"/>
    <col min="9753" max="9753" width="11.5703125" bestFit="1" customWidth="1"/>
    <col min="9754" max="9754" width="10.5703125" bestFit="1" customWidth="1"/>
    <col min="9755" max="9756" width="15.7109375" bestFit="1" customWidth="1"/>
    <col min="9757" max="9757" width="11.5703125" bestFit="1" customWidth="1"/>
    <col min="9758" max="9758" width="7.7109375" bestFit="1" customWidth="1"/>
    <col min="9759" max="9759" width="15.140625" bestFit="1" customWidth="1"/>
    <col min="9760" max="9760" width="11.5703125" bestFit="1" customWidth="1"/>
    <col min="9761" max="9761" width="13.28515625" bestFit="1" customWidth="1"/>
    <col min="9762" max="9762" width="10.42578125" bestFit="1" customWidth="1"/>
    <col min="9763" max="9763" width="13.28515625" bestFit="1" customWidth="1"/>
    <col min="9764" max="9764" width="12.140625" bestFit="1" customWidth="1"/>
    <col min="9765" max="9765" width="14.42578125" bestFit="1" customWidth="1"/>
    <col min="9766" max="9766" width="13.28515625" bestFit="1" customWidth="1"/>
    <col min="9767" max="9767" width="11.5703125" bestFit="1" customWidth="1"/>
    <col min="9768" max="9768" width="7.7109375" bestFit="1" customWidth="1"/>
    <col min="9769" max="9770" width="14.42578125" bestFit="1" customWidth="1"/>
    <col min="9771" max="9771" width="11.5703125" bestFit="1" customWidth="1"/>
    <col min="9772" max="9772" width="7.7109375" bestFit="1" customWidth="1"/>
    <col min="9773" max="9773" width="13.5703125" customWidth="1"/>
    <col min="9774" max="9774" width="15.28515625" customWidth="1"/>
    <col min="9775" max="9775" width="14.5703125" customWidth="1"/>
    <col min="9776" max="9776" width="13.28515625" bestFit="1" customWidth="1"/>
    <col min="9777" max="9777" width="7.7109375" bestFit="1" customWidth="1"/>
    <col min="9778" max="9778" width="12.7109375" bestFit="1" customWidth="1"/>
    <col min="9779" max="9779" width="11.7109375" bestFit="1" customWidth="1"/>
    <col min="9780" max="9780" width="11.5703125" bestFit="1" customWidth="1"/>
    <col min="9781" max="9781" width="5.28515625" bestFit="1" customWidth="1"/>
    <col min="9782" max="9782" width="13.28515625" bestFit="1" customWidth="1"/>
    <col min="9783" max="9783" width="13.5703125" bestFit="1" customWidth="1"/>
    <col min="9784" max="9784" width="10.5703125" bestFit="1" customWidth="1"/>
    <col min="9785" max="9785" width="13.28515625" bestFit="1" customWidth="1"/>
    <col min="9786" max="9786" width="11.5703125" bestFit="1" customWidth="1"/>
    <col min="9787" max="9787" width="10.5703125" bestFit="1" customWidth="1"/>
    <col min="9788" max="9788" width="16.140625" bestFit="1" customWidth="1"/>
    <col min="9789" max="9790" width="11.28515625" bestFit="1" customWidth="1"/>
    <col min="9791" max="9791" width="13.28515625" bestFit="1" customWidth="1"/>
    <col min="9792" max="9792" width="7.7109375" bestFit="1" customWidth="1"/>
    <col min="9793" max="9796" width="9.140625" hidden="1" customWidth="1"/>
    <col min="9797" max="9797" width="10.42578125" bestFit="1" customWidth="1"/>
    <col min="9798" max="9798" width="10.5703125" bestFit="1" customWidth="1"/>
    <col min="9799" max="9799" width="10.42578125" bestFit="1" customWidth="1"/>
    <col min="9800" max="9800" width="10.5703125" bestFit="1" customWidth="1"/>
    <col min="9801" max="9801" width="9.5703125" bestFit="1" customWidth="1"/>
    <col min="9802" max="9802" width="11.5703125" bestFit="1" customWidth="1"/>
    <col min="9803" max="9803" width="10.42578125" bestFit="1" customWidth="1"/>
    <col min="9804" max="9804" width="10.85546875" customWidth="1"/>
    <col min="9805" max="9806" width="9.85546875" bestFit="1" customWidth="1"/>
    <col min="9807" max="9807" width="13.5703125" bestFit="1" customWidth="1"/>
    <col min="9808" max="9808" width="7.7109375" bestFit="1" customWidth="1"/>
    <col min="9809" max="9809" width="13.28515625" bestFit="1" customWidth="1"/>
    <col min="9810" max="9810" width="11.5703125" bestFit="1" customWidth="1"/>
    <col min="9811" max="9811" width="10.42578125" bestFit="1" customWidth="1"/>
    <col min="9812" max="9812" width="7.7109375" bestFit="1" customWidth="1"/>
    <col min="9813" max="9813" width="11.5703125" bestFit="1" customWidth="1"/>
    <col min="9814" max="9814" width="10.85546875" bestFit="1" customWidth="1"/>
    <col min="9815" max="9815" width="13.28515625" bestFit="1" customWidth="1"/>
    <col min="9816" max="9816" width="10.85546875" bestFit="1" customWidth="1"/>
    <col min="9817" max="9818" width="7.5703125" bestFit="1" customWidth="1"/>
    <col min="9819" max="9820" width="10.42578125" bestFit="1" customWidth="1"/>
    <col min="9821" max="9821" width="11.5703125" bestFit="1" customWidth="1"/>
    <col min="9822" max="9822" width="5.28515625" bestFit="1" customWidth="1"/>
    <col min="9823" max="9823" width="10.28515625" bestFit="1" customWidth="1"/>
    <col min="9824" max="9824" width="10.42578125" bestFit="1" customWidth="1"/>
    <col min="9825" max="9825" width="11.5703125" bestFit="1" customWidth="1"/>
    <col min="9826" max="9826" width="5.28515625" bestFit="1" customWidth="1"/>
    <col min="9827" max="9829" width="11.5703125" bestFit="1" customWidth="1"/>
    <col min="9830" max="9830" width="5.28515625" bestFit="1" customWidth="1"/>
    <col min="9831" max="9832" width="10.42578125" bestFit="1" customWidth="1"/>
    <col min="9833" max="9833" width="11.5703125" bestFit="1" customWidth="1"/>
    <col min="9834" max="9834" width="5.28515625" bestFit="1" customWidth="1"/>
    <col min="9835" max="9835" width="14.28515625" bestFit="1" customWidth="1"/>
    <col min="9836" max="9836" width="13" bestFit="1" customWidth="1"/>
    <col min="9837" max="9837" width="11.5703125" bestFit="1" customWidth="1"/>
    <col min="9838" max="9838" width="8.85546875" bestFit="1" customWidth="1"/>
    <col min="9839" max="9839" width="14.42578125" bestFit="1" customWidth="1"/>
    <col min="9840" max="9840" width="10.42578125" bestFit="1" customWidth="1"/>
    <col min="9841" max="9841" width="12.28515625" bestFit="1" customWidth="1"/>
    <col min="9842" max="9842" width="13.85546875" bestFit="1" customWidth="1"/>
    <col min="9843" max="9843" width="11.28515625" customWidth="1"/>
    <col min="9844" max="9844" width="11.5703125" customWidth="1"/>
    <col min="9845" max="9845" width="13.42578125" bestFit="1" customWidth="1"/>
    <col min="9846" max="9846" width="10.42578125" customWidth="1"/>
    <col min="9847" max="9847" width="13.85546875" bestFit="1" customWidth="1"/>
    <col min="9848" max="9848" width="15.42578125" bestFit="1" customWidth="1"/>
    <col min="9849" max="9849" width="12.28515625" bestFit="1" customWidth="1"/>
    <col min="9850" max="9850" width="12.7109375" customWidth="1"/>
    <col min="9851" max="9851" width="10.7109375" bestFit="1" customWidth="1"/>
    <col min="9852" max="9852" width="9.85546875" customWidth="1"/>
    <col min="9853" max="9854" width="10.140625" bestFit="1" customWidth="1"/>
    <col min="9855" max="9855" width="7.5703125" bestFit="1" customWidth="1"/>
    <col min="9856" max="9856" width="9.42578125" bestFit="1" customWidth="1"/>
    <col min="9857" max="9857" width="14.5703125" bestFit="1" customWidth="1"/>
    <col min="9858" max="9858" width="14.85546875" customWidth="1"/>
    <col min="9859" max="9859" width="15.140625" bestFit="1" customWidth="1"/>
    <col min="9860" max="9860" width="12.140625" bestFit="1" customWidth="1"/>
    <col min="9861" max="9861" width="14.85546875" bestFit="1" customWidth="1"/>
    <col min="9862" max="9862" width="12.28515625" bestFit="1" customWidth="1"/>
    <col min="9863" max="9871" width="9.140625" hidden="1" customWidth="1"/>
    <col min="9872" max="9872" width="5.28515625" bestFit="1" customWidth="1"/>
    <col min="9873" max="9878" width="11.5703125" bestFit="1" customWidth="1"/>
    <col min="9879" max="9879" width="11.28515625" bestFit="1" customWidth="1"/>
    <col min="9880" max="9880" width="10.140625" bestFit="1" customWidth="1"/>
    <col min="9881" max="9881" width="11.5703125" bestFit="1" customWidth="1"/>
    <col min="9882" max="9882" width="16.140625" customWidth="1"/>
    <col min="9883" max="9883" width="13.42578125" customWidth="1"/>
    <col min="9884" max="9884" width="10.140625" bestFit="1" customWidth="1"/>
    <col min="9885" max="9885" width="12.85546875" bestFit="1" customWidth="1"/>
    <col min="9886" max="9886" width="12.28515625" bestFit="1" customWidth="1"/>
    <col min="9887" max="9887" width="11.28515625" bestFit="1" customWidth="1"/>
    <col min="9888" max="9888" width="11.5703125" bestFit="1" customWidth="1"/>
    <col min="9889" max="9889" width="10.85546875" bestFit="1" customWidth="1"/>
    <col min="9890" max="9890" width="11.28515625" bestFit="1" customWidth="1"/>
    <col min="9891" max="9891" width="10.140625" bestFit="1" customWidth="1"/>
    <col min="9892" max="9892" width="13.28515625" bestFit="1" customWidth="1"/>
    <col min="9893" max="9894" width="12.7109375" bestFit="1" customWidth="1"/>
    <col min="9895" max="9895" width="11" bestFit="1" customWidth="1"/>
    <col min="9896" max="9896" width="11.28515625" bestFit="1" customWidth="1"/>
    <col min="9897" max="9897" width="11.5703125" bestFit="1" customWidth="1"/>
    <col min="9898" max="9898" width="12.28515625" bestFit="1" customWidth="1"/>
    <col min="9899" max="9899" width="15.140625" bestFit="1" customWidth="1"/>
    <col min="9900" max="9900" width="14.42578125" bestFit="1" customWidth="1"/>
    <col min="9901" max="9901" width="12.28515625" bestFit="1" customWidth="1"/>
    <col min="9902" max="9902" width="15.140625" bestFit="1" customWidth="1"/>
    <col min="9903" max="9903" width="14.42578125" bestFit="1" customWidth="1"/>
    <col min="9904" max="9904" width="12.28515625" bestFit="1" customWidth="1"/>
    <col min="9905" max="9905" width="14.42578125" bestFit="1" customWidth="1"/>
    <col min="9906" max="9906" width="11.28515625" bestFit="1" customWidth="1"/>
    <col min="9907" max="9907" width="12.28515625" bestFit="1" customWidth="1"/>
    <col min="9908" max="9908" width="13" bestFit="1" customWidth="1"/>
    <col min="9909" max="9909" width="15.140625" bestFit="1" customWidth="1"/>
    <col min="9910" max="9910" width="12.28515625" bestFit="1" customWidth="1"/>
    <col min="9911" max="9911" width="13.85546875" bestFit="1" customWidth="1"/>
    <col min="9912" max="9912" width="11.28515625" bestFit="1" customWidth="1"/>
    <col min="9913" max="9913" width="12.28515625" bestFit="1" customWidth="1"/>
    <col min="9914" max="9914" width="13.85546875" bestFit="1" customWidth="1"/>
    <col min="9915" max="9916" width="15.140625" bestFit="1" customWidth="1"/>
    <col min="9917" max="9917" width="12.28515625" bestFit="1" customWidth="1"/>
    <col min="9918" max="9918" width="5.7109375" bestFit="1" customWidth="1"/>
    <col min="9919" max="9919" width="8.5703125" bestFit="1" customWidth="1"/>
    <col min="9920" max="9920" width="5.5703125" bestFit="1" customWidth="1"/>
    <col min="9921" max="9921" width="14.42578125" bestFit="1" customWidth="1"/>
    <col min="9922" max="9922" width="11.28515625" bestFit="1" customWidth="1"/>
    <col min="9923" max="9924" width="12.28515625" bestFit="1" customWidth="1"/>
    <col min="9925" max="9925" width="11.28515625" bestFit="1" customWidth="1"/>
    <col min="9926" max="9926" width="13.85546875" bestFit="1" customWidth="1"/>
    <col min="9927" max="9927" width="12" bestFit="1" customWidth="1"/>
    <col min="9928" max="9928" width="13.85546875" bestFit="1" customWidth="1"/>
    <col min="9929" max="9930" width="14.42578125" customWidth="1"/>
    <col min="9931" max="9931" width="10.140625" bestFit="1" customWidth="1"/>
    <col min="9932" max="9932" width="12.28515625" bestFit="1" customWidth="1"/>
    <col min="9933" max="9933" width="7.42578125" bestFit="1" customWidth="1"/>
    <col min="9934" max="9934" width="8.5703125" bestFit="1" customWidth="1"/>
    <col min="9935" max="9935" width="11.5703125" bestFit="1" customWidth="1"/>
    <col min="9936" max="9936" width="13.28515625" bestFit="1" customWidth="1"/>
    <col min="9937" max="9937" width="13.28515625" customWidth="1"/>
    <col min="9938" max="9938" width="13.140625" customWidth="1"/>
    <col min="9939" max="9939" width="12.7109375" bestFit="1" customWidth="1"/>
    <col min="9940" max="9940" width="13.28515625" bestFit="1" customWidth="1"/>
    <col min="9941" max="9943" width="13.28515625" customWidth="1"/>
    <col min="9944" max="9944" width="12.140625" bestFit="1" customWidth="1"/>
    <col min="9945" max="9945" width="12.7109375" bestFit="1" customWidth="1"/>
    <col min="9946" max="9946" width="11" customWidth="1"/>
    <col min="9947" max="9947" width="16.7109375" customWidth="1"/>
    <col min="9948" max="9948" width="17" customWidth="1"/>
    <col min="9949" max="9949" width="10.42578125" bestFit="1" customWidth="1"/>
    <col min="9993" max="9993" width="3.85546875" customWidth="1"/>
    <col min="9994" max="9994" width="15.28515625" bestFit="1" customWidth="1"/>
    <col min="9995" max="9995" width="12.28515625" customWidth="1"/>
    <col min="9996" max="9996" width="16.28515625" bestFit="1" customWidth="1"/>
    <col min="9997" max="9997" width="6.42578125" bestFit="1" customWidth="1"/>
    <col min="9998" max="9998" width="9.28515625" bestFit="1" customWidth="1"/>
    <col min="9999" max="9999" width="7.5703125" bestFit="1" customWidth="1"/>
    <col min="10000" max="10000" width="13.28515625" bestFit="1" customWidth="1"/>
    <col min="10001" max="10001" width="9.28515625" bestFit="1" customWidth="1"/>
    <col min="10002" max="10002" width="11.5703125" bestFit="1" customWidth="1"/>
    <col min="10003" max="10003" width="13.28515625" bestFit="1" customWidth="1"/>
    <col min="10004" max="10004" width="7.140625" bestFit="1" customWidth="1"/>
    <col min="10005" max="10005" width="12" bestFit="1" customWidth="1"/>
    <col min="10006" max="10006" width="13.28515625" bestFit="1" customWidth="1"/>
    <col min="10007" max="10007" width="7" bestFit="1" customWidth="1"/>
    <col min="10008" max="10008" width="12.7109375" bestFit="1" customWidth="1"/>
    <col min="10009" max="10009" width="11.5703125" bestFit="1" customWidth="1"/>
    <col min="10010" max="10010" width="10.5703125" bestFit="1" customWidth="1"/>
    <col min="10011" max="10012" width="15.7109375" bestFit="1" customWidth="1"/>
    <col min="10013" max="10013" width="11.5703125" bestFit="1" customWidth="1"/>
    <col min="10014" max="10014" width="7.7109375" bestFit="1" customWidth="1"/>
    <col min="10015" max="10015" width="15.140625" bestFit="1" customWidth="1"/>
    <col min="10016" max="10016" width="11.5703125" bestFit="1" customWidth="1"/>
    <col min="10017" max="10017" width="13.28515625" bestFit="1" customWidth="1"/>
    <col min="10018" max="10018" width="10.42578125" bestFit="1" customWidth="1"/>
    <col min="10019" max="10019" width="13.28515625" bestFit="1" customWidth="1"/>
    <col min="10020" max="10020" width="12.140625" bestFit="1" customWidth="1"/>
    <col min="10021" max="10021" width="14.42578125" bestFit="1" customWidth="1"/>
    <col min="10022" max="10022" width="13.28515625" bestFit="1" customWidth="1"/>
    <col min="10023" max="10023" width="11.5703125" bestFit="1" customWidth="1"/>
    <col min="10024" max="10024" width="7.7109375" bestFit="1" customWidth="1"/>
    <col min="10025" max="10026" width="14.42578125" bestFit="1" customWidth="1"/>
    <col min="10027" max="10027" width="11.5703125" bestFit="1" customWidth="1"/>
    <col min="10028" max="10028" width="7.7109375" bestFit="1" customWidth="1"/>
    <col min="10029" max="10029" width="13.5703125" customWidth="1"/>
    <col min="10030" max="10030" width="15.28515625" customWidth="1"/>
    <col min="10031" max="10031" width="14.5703125" customWidth="1"/>
    <col min="10032" max="10032" width="13.28515625" bestFit="1" customWidth="1"/>
    <col min="10033" max="10033" width="7.7109375" bestFit="1" customWidth="1"/>
    <col min="10034" max="10034" width="12.7109375" bestFit="1" customWidth="1"/>
    <col min="10035" max="10035" width="11.7109375" bestFit="1" customWidth="1"/>
    <col min="10036" max="10036" width="11.5703125" bestFit="1" customWidth="1"/>
    <col min="10037" max="10037" width="5.28515625" bestFit="1" customWidth="1"/>
    <col min="10038" max="10038" width="13.28515625" bestFit="1" customWidth="1"/>
    <col min="10039" max="10039" width="13.5703125" bestFit="1" customWidth="1"/>
    <col min="10040" max="10040" width="10.5703125" bestFit="1" customWidth="1"/>
    <col min="10041" max="10041" width="13.28515625" bestFit="1" customWidth="1"/>
    <col min="10042" max="10042" width="11.5703125" bestFit="1" customWidth="1"/>
    <col min="10043" max="10043" width="10.5703125" bestFit="1" customWidth="1"/>
    <col min="10044" max="10044" width="16.140625" bestFit="1" customWidth="1"/>
    <col min="10045" max="10046" width="11.28515625" bestFit="1" customWidth="1"/>
    <col min="10047" max="10047" width="13.28515625" bestFit="1" customWidth="1"/>
    <col min="10048" max="10048" width="7.7109375" bestFit="1" customWidth="1"/>
    <col min="10049" max="10052" width="9.140625" hidden="1" customWidth="1"/>
    <col min="10053" max="10053" width="10.42578125" bestFit="1" customWidth="1"/>
    <col min="10054" max="10054" width="10.5703125" bestFit="1" customWidth="1"/>
    <col min="10055" max="10055" width="10.42578125" bestFit="1" customWidth="1"/>
    <col min="10056" max="10056" width="10.5703125" bestFit="1" customWidth="1"/>
    <col min="10057" max="10057" width="9.5703125" bestFit="1" customWidth="1"/>
    <col min="10058" max="10058" width="11.5703125" bestFit="1" customWidth="1"/>
    <col min="10059" max="10059" width="10.42578125" bestFit="1" customWidth="1"/>
    <col min="10060" max="10060" width="10.85546875" customWidth="1"/>
    <col min="10061" max="10062" width="9.85546875" bestFit="1" customWidth="1"/>
    <col min="10063" max="10063" width="13.5703125" bestFit="1" customWidth="1"/>
    <col min="10064" max="10064" width="7.7109375" bestFit="1" customWidth="1"/>
    <col min="10065" max="10065" width="13.28515625" bestFit="1" customWidth="1"/>
    <col min="10066" max="10066" width="11.5703125" bestFit="1" customWidth="1"/>
    <col min="10067" max="10067" width="10.42578125" bestFit="1" customWidth="1"/>
    <col min="10068" max="10068" width="7.7109375" bestFit="1" customWidth="1"/>
    <col min="10069" max="10069" width="11.5703125" bestFit="1" customWidth="1"/>
    <col min="10070" max="10070" width="10.85546875" bestFit="1" customWidth="1"/>
    <col min="10071" max="10071" width="13.28515625" bestFit="1" customWidth="1"/>
    <col min="10072" max="10072" width="10.85546875" bestFit="1" customWidth="1"/>
    <col min="10073" max="10074" width="7.5703125" bestFit="1" customWidth="1"/>
    <col min="10075" max="10076" width="10.42578125" bestFit="1" customWidth="1"/>
    <col min="10077" max="10077" width="11.5703125" bestFit="1" customWidth="1"/>
    <col min="10078" max="10078" width="5.28515625" bestFit="1" customWidth="1"/>
    <col min="10079" max="10079" width="10.28515625" bestFit="1" customWidth="1"/>
    <col min="10080" max="10080" width="10.42578125" bestFit="1" customWidth="1"/>
    <col min="10081" max="10081" width="11.5703125" bestFit="1" customWidth="1"/>
    <col min="10082" max="10082" width="5.28515625" bestFit="1" customWidth="1"/>
    <col min="10083" max="10085" width="11.5703125" bestFit="1" customWidth="1"/>
    <col min="10086" max="10086" width="5.28515625" bestFit="1" customWidth="1"/>
    <col min="10087" max="10088" width="10.42578125" bestFit="1" customWidth="1"/>
    <col min="10089" max="10089" width="11.5703125" bestFit="1" customWidth="1"/>
    <col min="10090" max="10090" width="5.28515625" bestFit="1" customWidth="1"/>
    <col min="10091" max="10091" width="14.28515625" bestFit="1" customWidth="1"/>
    <col min="10092" max="10092" width="13" bestFit="1" customWidth="1"/>
    <col min="10093" max="10093" width="11.5703125" bestFit="1" customWidth="1"/>
    <col min="10094" max="10094" width="8.85546875" bestFit="1" customWidth="1"/>
    <col min="10095" max="10095" width="14.42578125" bestFit="1" customWidth="1"/>
    <col min="10096" max="10096" width="10.42578125" bestFit="1" customWidth="1"/>
    <col min="10097" max="10097" width="12.28515625" bestFit="1" customWidth="1"/>
    <col min="10098" max="10098" width="13.85546875" bestFit="1" customWidth="1"/>
    <col min="10099" max="10099" width="11.28515625" customWidth="1"/>
    <col min="10100" max="10100" width="11.5703125" customWidth="1"/>
    <col min="10101" max="10101" width="13.42578125" bestFit="1" customWidth="1"/>
    <col min="10102" max="10102" width="10.42578125" customWidth="1"/>
    <col min="10103" max="10103" width="13.85546875" bestFit="1" customWidth="1"/>
    <col min="10104" max="10104" width="15.42578125" bestFit="1" customWidth="1"/>
    <col min="10105" max="10105" width="12.28515625" bestFit="1" customWidth="1"/>
    <col min="10106" max="10106" width="12.7109375" customWidth="1"/>
    <col min="10107" max="10107" width="10.7109375" bestFit="1" customWidth="1"/>
    <col min="10108" max="10108" width="9.85546875" customWidth="1"/>
    <col min="10109" max="10110" width="10.140625" bestFit="1" customWidth="1"/>
    <col min="10111" max="10111" width="7.5703125" bestFit="1" customWidth="1"/>
    <col min="10112" max="10112" width="9.42578125" bestFit="1" customWidth="1"/>
    <col min="10113" max="10113" width="14.5703125" bestFit="1" customWidth="1"/>
    <col min="10114" max="10114" width="14.85546875" customWidth="1"/>
    <col min="10115" max="10115" width="15.140625" bestFit="1" customWidth="1"/>
    <col min="10116" max="10116" width="12.140625" bestFit="1" customWidth="1"/>
    <col min="10117" max="10117" width="14.85546875" bestFit="1" customWidth="1"/>
    <col min="10118" max="10118" width="12.28515625" bestFit="1" customWidth="1"/>
    <col min="10119" max="10127" width="9.140625" hidden="1" customWidth="1"/>
    <col min="10128" max="10128" width="5.28515625" bestFit="1" customWidth="1"/>
    <col min="10129" max="10134" width="11.5703125" bestFit="1" customWidth="1"/>
    <col min="10135" max="10135" width="11.28515625" bestFit="1" customWidth="1"/>
    <col min="10136" max="10136" width="10.140625" bestFit="1" customWidth="1"/>
    <col min="10137" max="10137" width="11.5703125" bestFit="1" customWidth="1"/>
    <col min="10138" max="10138" width="16.140625" customWidth="1"/>
    <col min="10139" max="10139" width="13.42578125" customWidth="1"/>
    <col min="10140" max="10140" width="10.140625" bestFit="1" customWidth="1"/>
    <col min="10141" max="10141" width="12.85546875" bestFit="1" customWidth="1"/>
    <col min="10142" max="10142" width="12.28515625" bestFit="1" customWidth="1"/>
    <col min="10143" max="10143" width="11.28515625" bestFit="1" customWidth="1"/>
    <col min="10144" max="10144" width="11.5703125" bestFit="1" customWidth="1"/>
    <col min="10145" max="10145" width="10.85546875" bestFit="1" customWidth="1"/>
    <col min="10146" max="10146" width="11.28515625" bestFit="1" customWidth="1"/>
    <col min="10147" max="10147" width="10.140625" bestFit="1" customWidth="1"/>
    <col min="10148" max="10148" width="13.28515625" bestFit="1" customWidth="1"/>
    <col min="10149" max="10150" width="12.7109375" bestFit="1" customWidth="1"/>
    <col min="10151" max="10151" width="11" bestFit="1" customWidth="1"/>
    <col min="10152" max="10152" width="11.28515625" bestFit="1" customWidth="1"/>
    <col min="10153" max="10153" width="11.5703125" bestFit="1" customWidth="1"/>
    <col min="10154" max="10154" width="12.28515625" bestFit="1" customWidth="1"/>
    <col min="10155" max="10155" width="15.140625" bestFit="1" customWidth="1"/>
    <col min="10156" max="10156" width="14.42578125" bestFit="1" customWidth="1"/>
    <col min="10157" max="10157" width="12.28515625" bestFit="1" customWidth="1"/>
    <col min="10158" max="10158" width="15.140625" bestFit="1" customWidth="1"/>
    <col min="10159" max="10159" width="14.42578125" bestFit="1" customWidth="1"/>
    <col min="10160" max="10160" width="12.28515625" bestFit="1" customWidth="1"/>
    <col min="10161" max="10161" width="14.42578125" bestFit="1" customWidth="1"/>
    <col min="10162" max="10162" width="11.28515625" bestFit="1" customWidth="1"/>
    <col min="10163" max="10163" width="12.28515625" bestFit="1" customWidth="1"/>
    <col min="10164" max="10164" width="13" bestFit="1" customWidth="1"/>
    <col min="10165" max="10165" width="15.140625" bestFit="1" customWidth="1"/>
    <col min="10166" max="10166" width="12.28515625" bestFit="1" customWidth="1"/>
    <col min="10167" max="10167" width="13.85546875" bestFit="1" customWidth="1"/>
    <col min="10168" max="10168" width="11.28515625" bestFit="1" customWidth="1"/>
    <col min="10169" max="10169" width="12.28515625" bestFit="1" customWidth="1"/>
    <col min="10170" max="10170" width="13.85546875" bestFit="1" customWidth="1"/>
    <col min="10171" max="10172" width="15.140625" bestFit="1" customWidth="1"/>
    <col min="10173" max="10173" width="12.28515625" bestFit="1" customWidth="1"/>
    <col min="10174" max="10174" width="5.7109375" bestFit="1" customWidth="1"/>
    <col min="10175" max="10175" width="8.5703125" bestFit="1" customWidth="1"/>
    <col min="10176" max="10176" width="5.5703125" bestFit="1" customWidth="1"/>
    <col min="10177" max="10177" width="14.42578125" bestFit="1" customWidth="1"/>
    <col min="10178" max="10178" width="11.28515625" bestFit="1" customWidth="1"/>
    <col min="10179" max="10180" width="12.28515625" bestFit="1" customWidth="1"/>
    <col min="10181" max="10181" width="11.28515625" bestFit="1" customWidth="1"/>
    <col min="10182" max="10182" width="13.85546875" bestFit="1" customWidth="1"/>
    <col min="10183" max="10183" width="12" bestFit="1" customWidth="1"/>
    <col min="10184" max="10184" width="13.85546875" bestFit="1" customWidth="1"/>
    <col min="10185" max="10186" width="14.42578125" customWidth="1"/>
    <col min="10187" max="10187" width="10.140625" bestFit="1" customWidth="1"/>
    <col min="10188" max="10188" width="12.28515625" bestFit="1" customWidth="1"/>
    <col min="10189" max="10189" width="7.42578125" bestFit="1" customWidth="1"/>
    <col min="10190" max="10190" width="8.5703125" bestFit="1" customWidth="1"/>
    <col min="10191" max="10191" width="11.5703125" bestFit="1" customWidth="1"/>
    <col min="10192" max="10192" width="13.28515625" bestFit="1" customWidth="1"/>
    <col min="10193" max="10193" width="13.28515625" customWidth="1"/>
    <col min="10194" max="10194" width="13.140625" customWidth="1"/>
    <col min="10195" max="10195" width="12.7109375" bestFit="1" customWidth="1"/>
    <col min="10196" max="10196" width="13.28515625" bestFit="1" customWidth="1"/>
    <col min="10197" max="10199" width="13.28515625" customWidth="1"/>
    <col min="10200" max="10200" width="12.140625" bestFit="1" customWidth="1"/>
    <col min="10201" max="10201" width="12.7109375" bestFit="1" customWidth="1"/>
    <col min="10202" max="10202" width="11" customWidth="1"/>
    <col min="10203" max="10203" width="16.7109375" customWidth="1"/>
    <col min="10204" max="10204" width="17" customWidth="1"/>
    <col min="10205" max="10205" width="10.42578125" bestFit="1" customWidth="1"/>
    <col min="10249" max="10249" width="3.85546875" customWidth="1"/>
    <col min="10250" max="10250" width="15.28515625" bestFit="1" customWidth="1"/>
    <col min="10251" max="10251" width="12.28515625" customWidth="1"/>
    <col min="10252" max="10252" width="16.28515625" bestFit="1" customWidth="1"/>
    <col min="10253" max="10253" width="6.42578125" bestFit="1" customWidth="1"/>
    <col min="10254" max="10254" width="9.28515625" bestFit="1" customWidth="1"/>
    <col min="10255" max="10255" width="7.5703125" bestFit="1" customWidth="1"/>
    <col min="10256" max="10256" width="13.28515625" bestFit="1" customWidth="1"/>
    <col min="10257" max="10257" width="9.28515625" bestFit="1" customWidth="1"/>
    <col min="10258" max="10258" width="11.5703125" bestFit="1" customWidth="1"/>
    <col min="10259" max="10259" width="13.28515625" bestFit="1" customWidth="1"/>
    <col min="10260" max="10260" width="7.140625" bestFit="1" customWidth="1"/>
    <col min="10261" max="10261" width="12" bestFit="1" customWidth="1"/>
    <col min="10262" max="10262" width="13.28515625" bestFit="1" customWidth="1"/>
    <col min="10263" max="10263" width="7" bestFit="1" customWidth="1"/>
    <col min="10264" max="10264" width="12.7109375" bestFit="1" customWidth="1"/>
    <col min="10265" max="10265" width="11.5703125" bestFit="1" customWidth="1"/>
    <col min="10266" max="10266" width="10.5703125" bestFit="1" customWidth="1"/>
    <col min="10267" max="10268" width="15.7109375" bestFit="1" customWidth="1"/>
    <col min="10269" max="10269" width="11.5703125" bestFit="1" customWidth="1"/>
    <col min="10270" max="10270" width="7.7109375" bestFit="1" customWidth="1"/>
    <col min="10271" max="10271" width="15.140625" bestFit="1" customWidth="1"/>
    <col min="10272" max="10272" width="11.5703125" bestFit="1" customWidth="1"/>
    <col min="10273" max="10273" width="13.28515625" bestFit="1" customWidth="1"/>
    <col min="10274" max="10274" width="10.42578125" bestFit="1" customWidth="1"/>
    <col min="10275" max="10275" width="13.28515625" bestFit="1" customWidth="1"/>
    <col min="10276" max="10276" width="12.140625" bestFit="1" customWidth="1"/>
    <col min="10277" max="10277" width="14.42578125" bestFit="1" customWidth="1"/>
    <col min="10278" max="10278" width="13.28515625" bestFit="1" customWidth="1"/>
    <col min="10279" max="10279" width="11.5703125" bestFit="1" customWidth="1"/>
    <col min="10280" max="10280" width="7.7109375" bestFit="1" customWidth="1"/>
    <col min="10281" max="10282" width="14.42578125" bestFit="1" customWidth="1"/>
    <col min="10283" max="10283" width="11.5703125" bestFit="1" customWidth="1"/>
    <col min="10284" max="10284" width="7.7109375" bestFit="1" customWidth="1"/>
    <col min="10285" max="10285" width="13.5703125" customWidth="1"/>
    <col min="10286" max="10286" width="15.28515625" customWidth="1"/>
    <col min="10287" max="10287" width="14.5703125" customWidth="1"/>
    <col min="10288" max="10288" width="13.28515625" bestFit="1" customWidth="1"/>
    <col min="10289" max="10289" width="7.7109375" bestFit="1" customWidth="1"/>
    <col min="10290" max="10290" width="12.7109375" bestFit="1" customWidth="1"/>
    <col min="10291" max="10291" width="11.7109375" bestFit="1" customWidth="1"/>
    <col min="10292" max="10292" width="11.5703125" bestFit="1" customWidth="1"/>
    <col min="10293" max="10293" width="5.28515625" bestFit="1" customWidth="1"/>
    <col min="10294" max="10294" width="13.28515625" bestFit="1" customWidth="1"/>
    <col min="10295" max="10295" width="13.5703125" bestFit="1" customWidth="1"/>
    <col min="10296" max="10296" width="10.5703125" bestFit="1" customWidth="1"/>
    <col min="10297" max="10297" width="13.28515625" bestFit="1" customWidth="1"/>
    <col min="10298" max="10298" width="11.5703125" bestFit="1" customWidth="1"/>
    <col min="10299" max="10299" width="10.5703125" bestFit="1" customWidth="1"/>
    <col min="10300" max="10300" width="16.140625" bestFit="1" customWidth="1"/>
    <col min="10301" max="10302" width="11.28515625" bestFit="1" customWidth="1"/>
    <col min="10303" max="10303" width="13.28515625" bestFit="1" customWidth="1"/>
    <col min="10304" max="10304" width="7.7109375" bestFit="1" customWidth="1"/>
    <col min="10305" max="10308" width="9.140625" hidden="1" customWidth="1"/>
    <col min="10309" max="10309" width="10.42578125" bestFit="1" customWidth="1"/>
    <col min="10310" max="10310" width="10.5703125" bestFit="1" customWidth="1"/>
    <col min="10311" max="10311" width="10.42578125" bestFit="1" customWidth="1"/>
    <col min="10312" max="10312" width="10.5703125" bestFit="1" customWidth="1"/>
    <col min="10313" max="10313" width="9.5703125" bestFit="1" customWidth="1"/>
    <col min="10314" max="10314" width="11.5703125" bestFit="1" customWidth="1"/>
    <col min="10315" max="10315" width="10.42578125" bestFit="1" customWidth="1"/>
    <col min="10316" max="10316" width="10.85546875" customWidth="1"/>
    <col min="10317" max="10318" width="9.85546875" bestFit="1" customWidth="1"/>
    <col min="10319" max="10319" width="13.5703125" bestFit="1" customWidth="1"/>
    <col min="10320" max="10320" width="7.7109375" bestFit="1" customWidth="1"/>
    <col min="10321" max="10321" width="13.28515625" bestFit="1" customWidth="1"/>
    <col min="10322" max="10322" width="11.5703125" bestFit="1" customWidth="1"/>
    <col min="10323" max="10323" width="10.42578125" bestFit="1" customWidth="1"/>
    <col min="10324" max="10324" width="7.7109375" bestFit="1" customWidth="1"/>
    <col min="10325" max="10325" width="11.5703125" bestFit="1" customWidth="1"/>
    <col min="10326" max="10326" width="10.85546875" bestFit="1" customWidth="1"/>
    <col min="10327" max="10327" width="13.28515625" bestFit="1" customWidth="1"/>
    <col min="10328" max="10328" width="10.85546875" bestFit="1" customWidth="1"/>
    <col min="10329" max="10330" width="7.5703125" bestFit="1" customWidth="1"/>
    <col min="10331" max="10332" width="10.42578125" bestFit="1" customWidth="1"/>
    <col min="10333" max="10333" width="11.5703125" bestFit="1" customWidth="1"/>
    <col min="10334" max="10334" width="5.28515625" bestFit="1" customWidth="1"/>
    <col min="10335" max="10335" width="10.28515625" bestFit="1" customWidth="1"/>
    <col min="10336" max="10336" width="10.42578125" bestFit="1" customWidth="1"/>
    <col min="10337" max="10337" width="11.5703125" bestFit="1" customWidth="1"/>
    <col min="10338" max="10338" width="5.28515625" bestFit="1" customWidth="1"/>
    <col min="10339" max="10341" width="11.5703125" bestFit="1" customWidth="1"/>
    <col min="10342" max="10342" width="5.28515625" bestFit="1" customWidth="1"/>
    <col min="10343" max="10344" width="10.42578125" bestFit="1" customWidth="1"/>
    <col min="10345" max="10345" width="11.5703125" bestFit="1" customWidth="1"/>
    <col min="10346" max="10346" width="5.28515625" bestFit="1" customWidth="1"/>
    <col min="10347" max="10347" width="14.28515625" bestFit="1" customWidth="1"/>
    <col min="10348" max="10348" width="13" bestFit="1" customWidth="1"/>
    <col min="10349" max="10349" width="11.5703125" bestFit="1" customWidth="1"/>
    <col min="10350" max="10350" width="8.85546875" bestFit="1" customWidth="1"/>
    <col min="10351" max="10351" width="14.42578125" bestFit="1" customWidth="1"/>
    <col min="10352" max="10352" width="10.42578125" bestFit="1" customWidth="1"/>
    <col min="10353" max="10353" width="12.28515625" bestFit="1" customWidth="1"/>
    <col min="10354" max="10354" width="13.85546875" bestFit="1" customWidth="1"/>
    <col min="10355" max="10355" width="11.28515625" customWidth="1"/>
    <col min="10356" max="10356" width="11.5703125" customWidth="1"/>
    <col min="10357" max="10357" width="13.42578125" bestFit="1" customWidth="1"/>
    <col min="10358" max="10358" width="10.42578125" customWidth="1"/>
    <col min="10359" max="10359" width="13.85546875" bestFit="1" customWidth="1"/>
    <col min="10360" max="10360" width="15.42578125" bestFit="1" customWidth="1"/>
    <col min="10361" max="10361" width="12.28515625" bestFit="1" customWidth="1"/>
    <col min="10362" max="10362" width="12.7109375" customWidth="1"/>
    <col min="10363" max="10363" width="10.7109375" bestFit="1" customWidth="1"/>
    <col min="10364" max="10364" width="9.85546875" customWidth="1"/>
    <col min="10365" max="10366" width="10.140625" bestFit="1" customWidth="1"/>
    <col min="10367" max="10367" width="7.5703125" bestFit="1" customWidth="1"/>
    <col min="10368" max="10368" width="9.42578125" bestFit="1" customWidth="1"/>
    <col min="10369" max="10369" width="14.5703125" bestFit="1" customWidth="1"/>
    <col min="10370" max="10370" width="14.85546875" customWidth="1"/>
    <col min="10371" max="10371" width="15.140625" bestFit="1" customWidth="1"/>
    <col min="10372" max="10372" width="12.140625" bestFit="1" customWidth="1"/>
    <col min="10373" max="10373" width="14.85546875" bestFit="1" customWidth="1"/>
    <col min="10374" max="10374" width="12.28515625" bestFit="1" customWidth="1"/>
    <col min="10375" max="10383" width="9.140625" hidden="1" customWidth="1"/>
    <col min="10384" max="10384" width="5.28515625" bestFit="1" customWidth="1"/>
    <col min="10385" max="10390" width="11.5703125" bestFit="1" customWidth="1"/>
    <col min="10391" max="10391" width="11.28515625" bestFit="1" customWidth="1"/>
    <col min="10392" max="10392" width="10.140625" bestFit="1" customWidth="1"/>
    <col min="10393" max="10393" width="11.5703125" bestFit="1" customWidth="1"/>
    <col min="10394" max="10394" width="16.140625" customWidth="1"/>
    <col min="10395" max="10395" width="13.42578125" customWidth="1"/>
    <col min="10396" max="10396" width="10.140625" bestFit="1" customWidth="1"/>
    <col min="10397" max="10397" width="12.85546875" bestFit="1" customWidth="1"/>
    <col min="10398" max="10398" width="12.28515625" bestFit="1" customWidth="1"/>
    <col min="10399" max="10399" width="11.28515625" bestFit="1" customWidth="1"/>
    <col min="10400" max="10400" width="11.5703125" bestFit="1" customWidth="1"/>
    <col min="10401" max="10401" width="10.85546875" bestFit="1" customWidth="1"/>
    <col min="10402" max="10402" width="11.28515625" bestFit="1" customWidth="1"/>
    <col min="10403" max="10403" width="10.140625" bestFit="1" customWidth="1"/>
    <col min="10404" max="10404" width="13.28515625" bestFit="1" customWidth="1"/>
    <col min="10405" max="10406" width="12.7109375" bestFit="1" customWidth="1"/>
    <col min="10407" max="10407" width="11" bestFit="1" customWidth="1"/>
    <col min="10408" max="10408" width="11.28515625" bestFit="1" customWidth="1"/>
    <col min="10409" max="10409" width="11.5703125" bestFit="1" customWidth="1"/>
    <col min="10410" max="10410" width="12.28515625" bestFit="1" customWidth="1"/>
    <col min="10411" max="10411" width="15.140625" bestFit="1" customWidth="1"/>
    <col min="10412" max="10412" width="14.42578125" bestFit="1" customWidth="1"/>
    <col min="10413" max="10413" width="12.28515625" bestFit="1" customWidth="1"/>
    <col min="10414" max="10414" width="15.140625" bestFit="1" customWidth="1"/>
    <col min="10415" max="10415" width="14.42578125" bestFit="1" customWidth="1"/>
    <col min="10416" max="10416" width="12.28515625" bestFit="1" customWidth="1"/>
    <col min="10417" max="10417" width="14.42578125" bestFit="1" customWidth="1"/>
    <col min="10418" max="10418" width="11.28515625" bestFit="1" customWidth="1"/>
    <col min="10419" max="10419" width="12.28515625" bestFit="1" customWidth="1"/>
    <col min="10420" max="10420" width="13" bestFit="1" customWidth="1"/>
    <col min="10421" max="10421" width="15.140625" bestFit="1" customWidth="1"/>
    <col min="10422" max="10422" width="12.28515625" bestFit="1" customWidth="1"/>
    <col min="10423" max="10423" width="13.85546875" bestFit="1" customWidth="1"/>
    <col min="10424" max="10424" width="11.28515625" bestFit="1" customWidth="1"/>
    <col min="10425" max="10425" width="12.28515625" bestFit="1" customWidth="1"/>
    <col min="10426" max="10426" width="13.85546875" bestFit="1" customWidth="1"/>
    <col min="10427" max="10428" width="15.140625" bestFit="1" customWidth="1"/>
    <col min="10429" max="10429" width="12.28515625" bestFit="1" customWidth="1"/>
    <col min="10430" max="10430" width="5.7109375" bestFit="1" customWidth="1"/>
    <col min="10431" max="10431" width="8.5703125" bestFit="1" customWidth="1"/>
    <col min="10432" max="10432" width="5.5703125" bestFit="1" customWidth="1"/>
    <col min="10433" max="10433" width="14.42578125" bestFit="1" customWidth="1"/>
    <col min="10434" max="10434" width="11.28515625" bestFit="1" customWidth="1"/>
    <col min="10435" max="10436" width="12.28515625" bestFit="1" customWidth="1"/>
    <col min="10437" max="10437" width="11.28515625" bestFit="1" customWidth="1"/>
    <col min="10438" max="10438" width="13.85546875" bestFit="1" customWidth="1"/>
    <col min="10439" max="10439" width="12" bestFit="1" customWidth="1"/>
    <col min="10440" max="10440" width="13.85546875" bestFit="1" customWidth="1"/>
    <col min="10441" max="10442" width="14.42578125" customWidth="1"/>
    <col min="10443" max="10443" width="10.140625" bestFit="1" customWidth="1"/>
    <col min="10444" max="10444" width="12.28515625" bestFit="1" customWidth="1"/>
    <col min="10445" max="10445" width="7.42578125" bestFit="1" customWidth="1"/>
    <col min="10446" max="10446" width="8.5703125" bestFit="1" customWidth="1"/>
    <col min="10447" max="10447" width="11.5703125" bestFit="1" customWidth="1"/>
    <col min="10448" max="10448" width="13.28515625" bestFit="1" customWidth="1"/>
    <col min="10449" max="10449" width="13.28515625" customWidth="1"/>
    <col min="10450" max="10450" width="13.140625" customWidth="1"/>
    <col min="10451" max="10451" width="12.7109375" bestFit="1" customWidth="1"/>
    <col min="10452" max="10452" width="13.28515625" bestFit="1" customWidth="1"/>
    <col min="10453" max="10455" width="13.28515625" customWidth="1"/>
    <col min="10456" max="10456" width="12.140625" bestFit="1" customWidth="1"/>
    <col min="10457" max="10457" width="12.7109375" bestFit="1" customWidth="1"/>
    <col min="10458" max="10458" width="11" customWidth="1"/>
    <col min="10459" max="10459" width="16.7109375" customWidth="1"/>
    <col min="10460" max="10460" width="17" customWidth="1"/>
    <col min="10461" max="10461" width="10.42578125" bestFit="1" customWidth="1"/>
    <col min="10505" max="10505" width="3.85546875" customWidth="1"/>
    <col min="10506" max="10506" width="15.28515625" bestFit="1" customWidth="1"/>
    <col min="10507" max="10507" width="12.28515625" customWidth="1"/>
    <col min="10508" max="10508" width="16.28515625" bestFit="1" customWidth="1"/>
    <col min="10509" max="10509" width="6.42578125" bestFit="1" customWidth="1"/>
    <col min="10510" max="10510" width="9.28515625" bestFit="1" customWidth="1"/>
    <col min="10511" max="10511" width="7.5703125" bestFit="1" customWidth="1"/>
    <col min="10512" max="10512" width="13.28515625" bestFit="1" customWidth="1"/>
    <col min="10513" max="10513" width="9.28515625" bestFit="1" customWidth="1"/>
    <col min="10514" max="10514" width="11.5703125" bestFit="1" customWidth="1"/>
    <col min="10515" max="10515" width="13.28515625" bestFit="1" customWidth="1"/>
    <col min="10516" max="10516" width="7.140625" bestFit="1" customWidth="1"/>
    <col min="10517" max="10517" width="12" bestFit="1" customWidth="1"/>
    <col min="10518" max="10518" width="13.28515625" bestFit="1" customWidth="1"/>
    <col min="10519" max="10519" width="7" bestFit="1" customWidth="1"/>
    <col min="10520" max="10520" width="12.7109375" bestFit="1" customWidth="1"/>
    <col min="10521" max="10521" width="11.5703125" bestFit="1" customWidth="1"/>
    <col min="10522" max="10522" width="10.5703125" bestFit="1" customWidth="1"/>
    <col min="10523" max="10524" width="15.7109375" bestFit="1" customWidth="1"/>
    <col min="10525" max="10525" width="11.5703125" bestFit="1" customWidth="1"/>
    <col min="10526" max="10526" width="7.7109375" bestFit="1" customWidth="1"/>
    <col min="10527" max="10527" width="15.140625" bestFit="1" customWidth="1"/>
    <col min="10528" max="10528" width="11.5703125" bestFit="1" customWidth="1"/>
    <col min="10529" max="10529" width="13.28515625" bestFit="1" customWidth="1"/>
    <col min="10530" max="10530" width="10.42578125" bestFit="1" customWidth="1"/>
    <col min="10531" max="10531" width="13.28515625" bestFit="1" customWidth="1"/>
    <col min="10532" max="10532" width="12.140625" bestFit="1" customWidth="1"/>
    <col min="10533" max="10533" width="14.42578125" bestFit="1" customWidth="1"/>
    <col min="10534" max="10534" width="13.28515625" bestFit="1" customWidth="1"/>
    <col min="10535" max="10535" width="11.5703125" bestFit="1" customWidth="1"/>
    <col min="10536" max="10536" width="7.7109375" bestFit="1" customWidth="1"/>
    <col min="10537" max="10538" width="14.42578125" bestFit="1" customWidth="1"/>
    <col min="10539" max="10539" width="11.5703125" bestFit="1" customWidth="1"/>
    <col min="10540" max="10540" width="7.7109375" bestFit="1" customWidth="1"/>
    <col min="10541" max="10541" width="13.5703125" customWidth="1"/>
    <col min="10542" max="10542" width="15.28515625" customWidth="1"/>
    <col min="10543" max="10543" width="14.5703125" customWidth="1"/>
    <col min="10544" max="10544" width="13.28515625" bestFit="1" customWidth="1"/>
    <col min="10545" max="10545" width="7.7109375" bestFit="1" customWidth="1"/>
    <col min="10546" max="10546" width="12.7109375" bestFit="1" customWidth="1"/>
    <col min="10547" max="10547" width="11.7109375" bestFit="1" customWidth="1"/>
    <col min="10548" max="10548" width="11.5703125" bestFit="1" customWidth="1"/>
    <col min="10549" max="10549" width="5.28515625" bestFit="1" customWidth="1"/>
    <col min="10550" max="10550" width="13.28515625" bestFit="1" customWidth="1"/>
    <col min="10551" max="10551" width="13.5703125" bestFit="1" customWidth="1"/>
    <col min="10552" max="10552" width="10.5703125" bestFit="1" customWidth="1"/>
    <col min="10553" max="10553" width="13.28515625" bestFit="1" customWidth="1"/>
    <col min="10554" max="10554" width="11.5703125" bestFit="1" customWidth="1"/>
    <col min="10555" max="10555" width="10.5703125" bestFit="1" customWidth="1"/>
    <col min="10556" max="10556" width="16.140625" bestFit="1" customWidth="1"/>
    <col min="10557" max="10558" width="11.28515625" bestFit="1" customWidth="1"/>
    <col min="10559" max="10559" width="13.28515625" bestFit="1" customWidth="1"/>
    <col min="10560" max="10560" width="7.7109375" bestFit="1" customWidth="1"/>
    <col min="10561" max="10564" width="9.140625" hidden="1" customWidth="1"/>
    <col min="10565" max="10565" width="10.42578125" bestFit="1" customWidth="1"/>
    <col min="10566" max="10566" width="10.5703125" bestFit="1" customWidth="1"/>
    <col min="10567" max="10567" width="10.42578125" bestFit="1" customWidth="1"/>
    <col min="10568" max="10568" width="10.5703125" bestFit="1" customWidth="1"/>
    <col min="10569" max="10569" width="9.5703125" bestFit="1" customWidth="1"/>
    <col min="10570" max="10570" width="11.5703125" bestFit="1" customWidth="1"/>
    <col min="10571" max="10571" width="10.42578125" bestFit="1" customWidth="1"/>
    <col min="10572" max="10572" width="10.85546875" customWidth="1"/>
    <col min="10573" max="10574" width="9.85546875" bestFit="1" customWidth="1"/>
    <col min="10575" max="10575" width="13.5703125" bestFit="1" customWidth="1"/>
    <col min="10576" max="10576" width="7.7109375" bestFit="1" customWidth="1"/>
    <col min="10577" max="10577" width="13.28515625" bestFit="1" customWidth="1"/>
    <col min="10578" max="10578" width="11.5703125" bestFit="1" customWidth="1"/>
    <col min="10579" max="10579" width="10.42578125" bestFit="1" customWidth="1"/>
    <col min="10580" max="10580" width="7.7109375" bestFit="1" customWidth="1"/>
    <col min="10581" max="10581" width="11.5703125" bestFit="1" customWidth="1"/>
    <col min="10582" max="10582" width="10.85546875" bestFit="1" customWidth="1"/>
    <col min="10583" max="10583" width="13.28515625" bestFit="1" customWidth="1"/>
    <col min="10584" max="10584" width="10.85546875" bestFit="1" customWidth="1"/>
    <col min="10585" max="10586" width="7.5703125" bestFit="1" customWidth="1"/>
    <col min="10587" max="10588" width="10.42578125" bestFit="1" customWidth="1"/>
    <col min="10589" max="10589" width="11.5703125" bestFit="1" customWidth="1"/>
    <col min="10590" max="10590" width="5.28515625" bestFit="1" customWidth="1"/>
    <col min="10591" max="10591" width="10.28515625" bestFit="1" customWidth="1"/>
    <col min="10592" max="10592" width="10.42578125" bestFit="1" customWidth="1"/>
    <col min="10593" max="10593" width="11.5703125" bestFit="1" customWidth="1"/>
    <col min="10594" max="10594" width="5.28515625" bestFit="1" customWidth="1"/>
    <col min="10595" max="10597" width="11.5703125" bestFit="1" customWidth="1"/>
    <col min="10598" max="10598" width="5.28515625" bestFit="1" customWidth="1"/>
    <col min="10599" max="10600" width="10.42578125" bestFit="1" customWidth="1"/>
    <col min="10601" max="10601" width="11.5703125" bestFit="1" customWidth="1"/>
    <col min="10602" max="10602" width="5.28515625" bestFit="1" customWidth="1"/>
    <col min="10603" max="10603" width="14.28515625" bestFit="1" customWidth="1"/>
    <col min="10604" max="10604" width="13" bestFit="1" customWidth="1"/>
    <col min="10605" max="10605" width="11.5703125" bestFit="1" customWidth="1"/>
    <col min="10606" max="10606" width="8.85546875" bestFit="1" customWidth="1"/>
    <col min="10607" max="10607" width="14.42578125" bestFit="1" customWidth="1"/>
    <col min="10608" max="10608" width="10.42578125" bestFit="1" customWidth="1"/>
    <col min="10609" max="10609" width="12.28515625" bestFit="1" customWidth="1"/>
    <col min="10610" max="10610" width="13.85546875" bestFit="1" customWidth="1"/>
    <col min="10611" max="10611" width="11.28515625" customWidth="1"/>
    <col min="10612" max="10612" width="11.5703125" customWidth="1"/>
    <col min="10613" max="10613" width="13.42578125" bestFit="1" customWidth="1"/>
    <col min="10614" max="10614" width="10.42578125" customWidth="1"/>
    <col min="10615" max="10615" width="13.85546875" bestFit="1" customWidth="1"/>
    <col min="10616" max="10616" width="15.42578125" bestFit="1" customWidth="1"/>
    <col min="10617" max="10617" width="12.28515625" bestFit="1" customWidth="1"/>
    <col min="10618" max="10618" width="12.7109375" customWidth="1"/>
    <col min="10619" max="10619" width="10.7109375" bestFit="1" customWidth="1"/>
    <col min="10620" max="10620" width="9.85546875" customWidth="1"/>
    <col min="10621" max="10622" width="10.140625" bestFit="1" customWidth="1"/>
    <col min="10623" max="10623" width="7.5703125" bestFit="1" customWidth="1"/>
    <col min="10624" max="10624" width="9.42578125" bestFit="1" customWidth="1"/>
    <col min="10625" max="10625" width="14.5703125" bestFit="1" customWidth="1"/>
    <col min="10626" max="10626" width="14.85546875" customWidth="1"/>
    <col min="10627" max="10627" width="15.140625" bestFit="1" customWidth="1"/>
    <col min="10628" max="10628" width="12.140625" bestFit="1" customWidth="1"/>
    <col min="10629" max="10629" width="14.85546875" bestFit="1" customWidth="1"/>
    <col min="10630" max="10630" width="12.28515625" bestFit="1" customWidth="1"/>
    <col min="10631" max="10639" width="9.140625" hidden="1" customWidth="1"/>
    <col min="10640" max="10640" width="5.28515625" bestFit="1" customWidth="1"/>
    <col min="10641" max="10646" width="11.5703125" bestFit="1" customWidth="1"/>
    <col min="10647" max="10647" width="11.28515625" bestFit="1" customWidth="1"/>
    <col min="10648" max="10648" width="10.140625" bestFit="1" customWidth="1"/>
    <col min="10649" max="10649" width="11.5703125" bestFit="1" customWidth="1"/>
    <col min="10650" max="10650" width="16.140625" customWidth="1"/>
    <col min="10651" max="10651" width="13.42578125" customWidth="1"/>
    <col min="10652" max="10652" width="10.140625" bestFit="1" customWidth="1"/>
    <col min="10653" max="10653" width="12.85546875" bestFit="1" customWidth="1"/>
    <col min="10654" max="10654" width="12.28515625" bestFit="1" customWidth="1"/>
    <col min="10655" max="10655" width="11.28515625" bestFit="1" customWidth="1"/>
    <col min="10656" max="10656" width="11.5703125" bestFit="1" customWidth="1"/>
    <col min="10657" max="10657" width="10.85546875" bestFit="1" customWidth="1"/>
    <col min="10658" max="10658" width="11.28515625" bestFit="1" customWidth="1"/>
    <col min="10659" max="10659" width="10.140625" bestFit="1" customWidth="1"/>
    <col min="10660" max="10660" width="13.28515625" bestFit="1" customWidth="1"/>
    <col min="10661" max="10662" width="12.7109375" bestFit="1" customWidth="1"/>
    <col min="10663" max="10663" width="11" bestFit="1" customWidth="1"/>
    <col min="10664" max="10664" width="11.28515625" bestFit="1" customWidth="1"/>
    <col min="10665" max="10665" width="11.5703125" bestFit="1" customWidth="1"/>
    <col min="10666" max="10666" width="12.28515625" bestFit="1" customWidth="1"/>
    <col min="10667" max="10667" width="15.140625" bestFit="1" customWidth="1"/>
    <col min="10668" max="10668" width="14.42578125" bestFit="1" customWidth="1"/>
    <col min="10669" max="10669" width="12.28515625" bestFit="1" customWidth="1"/>
    <col min="10670" max="10670" width="15.140625" bestFit="1" customWidth="1"/>
    <col min="10671" max="10671" width="14.42578125" bestFit="1" customWidth="1"/>
    <col min="10672" max="10672" width="12.28515625" bestFit="1" customWidth="1"/>
    <col min="10673" max="10673" width="14.42578125" bestFit="1" customWidth="1"/>
    <col min="10674" max="10674" width="11.28515625" bestFit="1" customWidth="1"/>
    <col min="10675" max="10675" width="12.28515625" bestFit="1" customWidth="1"/>
    <col min="10676" max="10676" width="13" bestFit="1" customWidth="1"/>
    <col min="10677" max="10677" width="15.140625" bestFit="1" customWidth="1"/>
    <col min="10678" max="10678" width="12.28515625" bestFit="1" customWidth="1"/>
    <col min="10679" max="10679" width="13.85546875" bestFit="1" customWidth="1"/>
    <col min="10680" max="10680" width="11.28515625" bestFit="1" customWidth="1"/>
    <col min="10681" max="10681" width="12.28515625" bestFit="1" customWidth="1"/>
    <col min="10682" max="10682" width="13.85546875" bestFit="1" customWidth="1"/>
    <col min="10683" max="10684" width="15.140625" bestFit="1" customWidth="1"/>
    <col min="10685" max="10685" width="12.28515625" bestFit="1" customWidth="1"/>
    <col min="10686" max="10686" width="5.7109375" bestFit="1" customWidth="1"/>
    <col min="10687" max="10687" width="8.5703125" bestFit="1" customWidth="1"/>
    <col min="10688" max="10688" width="5.5703125" bestFit="1" customWidth="1"/>
    <col min="10689" max="10689" width="14.42578125" bestFit="1" customWidth="1"/>
    <col min="10690" max="10690" width="11.28515625" bestFit="1" customWidth="1"/>
    <col min="10691" max="10692" width="12.28515625" bestFit="1" customWidth="1"/>
    <col min="10693" max="10693" width="11.28515625" bestFit="1" customWidth="1"/>
    <col min="10694" max="10694" width="13.85546875" bestFit="1" customWidth="1"/>
    <col min="10695" max="10695" width="12" bestFit="1" customWidth="1"/>
    <col min="10696" max="10696" width="13.85546875" bestFit="1" customWidth="1"/>
    <col min="10697" max="10698" width="14.42578125" customWidth="1"/>
    <col min="10699" max="10699" width="10.140625" bestFit="1" customWidth="1"/>
    <col min="10700" max="10700" width="12.28515625" bestFit="1" customWidth="1"/>
    <col min="10701" max="10701" width="7.42578125" bestFit="1" customWidth="1"/>
    <col min="10702" max="10702" width="8.5703125" bestFit="1" customWidth="1"/>
    <col min="10703" max="10703" width="11.5703125" bestFit="1" customWidth="1"/>
    <col min="10704" max="10704" width="13.28515625" bestFit="1" customWidth="1"/>
    <col min="10705" max="10705" width="13.28515625" customWidth="1"/>
    <col min="10706" max="10706" width="13.140625" customWidth="1"/>
    <col min="10707" max="10707" width="12.7109375" bestFit="1" customWidth="1"/>
    <col min="10708" max="10708" width="13.28515625" bestFit="1" customWidth="1"/>
    <col min="10709" max="10711" width="13.28515625" customWidth="1"/>
    <col min="10712" max="10712" width="12.140625" bestFit="1" customWidth="1"/>
    <col min="10713" max="10713" width="12.7109375" bestFit="1" customWidth="1"/>
    <col min="10714" max="10714" width="11" customWidth="1"/>
    <col min="10715" max="10715" width="16.7109375" customWidth="1"/>
    <col min="10716" max="10716" width="17" customWidth="1"/>
    <col min="10717" max="10717" width="10.42578125" bestFit="1" customWidth="1"/>
    <col min="10761" max="10761" width="3.85546875" customWidth="1"/>
    <col min="10762" max="10762" width="15.28515625" bestFit="1" customWidth="1"/>
    <col min="10763" max="10763" width="12.28515625" customWidth="1"/>
    <col min="10764" max="10764" width="16.28515625" bestFit="1" customWidth="1"/>
    <col min="10765" max="10765" width="6.42578125" bestFit="1" customWidth="1"/>
    <col min="10766" max="10766" width="9.28515625" bestFit="1" customWidth="1"/>
    <col min="10767" max="10767" width="7.5703125" bestFit="1" customWidth="1"/>
    <col min="10768" max="10768" width="13.28515625" bestFit="1" customWidth="1"/>
    <col min="10769" max="10769" width="9.28515625" bestFit="1" customWidth="1"/>
    <col min="10770" max="10770" width="11.5703125" bestFit="1" customWidth="1"/>
    <col min="10771" max="10771" width="13.28515625" bestFit="1" customWidth="1"/>
    <col min="10772" max="10772" width="7.140625" bestFit="1" customWidth="1"/>
    <col min="10773" max="10773" width="12" bestFit="1" customWidth="1"/>
    <col min="10774" max="10774" width="13.28515625" bestFit="1" customWidth="1"/>
    <col min="10775" max="10775" width="7" bestFit="1" customWidth="1"/>
    <col min="10776" max="10776" width="12.7109375" bestFit="1" customWidth="1"/>
    <col min="10777" max="10777" width="11.5703125" bestFit="1" customWidth="1"/>
    <col min="10778" max="10778" width="10.5703125" bestFit="1" customWidth="1"/>
    <col min="10779" max="10780" width="15.7109375" bestFit="1" customWidth="1"/>
    <col min="10781" max="10781" width="11.5703125" bestFit="1" customWidth="1"/>
    <col min="10782" max="10782" width="7.7109375" bestFit="1" customWidth="1"/>
    <col min="10783" max="10783" width="15.140625" bestFit="1" customWidth="1"/>
    <col min="10784" max="10784" width="11.5703125" bestFit="1" customWidth="1"/>
    <col min="10785" max="10785" width="13.28515625" bestFit="1" customWidth="1"/>
    <col min="10786" max="10786" width="10.42578125" bestFit="1" customWidth="1"/>
    <col min="10787" max="10787" width="13.28515625" bestFit="1" customWidth="1"/>
    <col min="10788" max="10788" width="12.140625" bestFit="1" customWidth="1"/>
    <col min="10789" max="10789" width="14.42578125" bestFit="1" customWidth="1"/>
    <col min="10790" max="10790" width="13.28515625" bestFit="1" customWidth="1"/>
    <col min="10791" max="10791" width="11.5703125" bestFit="1" customWidth="1"/>
    <col min="10792" max="10792" width="7.7109375" bestFit="1" customWidth="1"/>
    <col min="10793" max="10794" width="14.42578125" bestFit="1" customWidth="1"/>
    <col min="10795" max="10795" width="11.5703125" bestFit="1" customWidth="1"/>
    <col min="10796" max="10796" width="7.7109375" bestFit="1" customWidth="1"/>
    <col min="10797" max="10797" width="13.5703125" customWidth="1"/>
    <col min="10798" max="10798" width="15.28515625" customWidth="1"/>
    <col min="10799" max="10799" width="14.5703125" customWidth="1"/>
    <col min="10800" max="10800" width="13.28515625" bestFit="1" customWidth="1"/>
    <col min="10801" max="10801" width="7.7109375" bestFit="1" customWidth="1"/>
    <col min="10802" max="10802" width="12.7109375" bestFit="1" customWidth="1"/>
    <col min="10803" max="10803" width="11.7109375" bestFit="1" customWidth="1"/>
    <col min="10804" max="10804" width="11.5703125" bestFit="1" customWidth="1"/>
    <col min="10805" max="10805" width="5.28515625" bestFit="1" customWidth="1"/>
    <col min="10806" max="10806" width="13.28515625" bestFit="1" customWidth="1"/>
    <col min="10807" max="10807" width="13.5703125" bestFit="1" customWidth="1"/>
    <col min="10808" max="10808" width="10.5703125" bestFit="1" customWidth="1"/>
    <col min="10809" max="10809" width="13.28515625" bestFit="1" customWidth="1"/>
    <col min="10810" max="10810" width="11.5703125" bestFit="1" customWidth="1"/>
    <col min="10811" max="10811" width="10.5703125" bestFit="1" customWidth="1"/>
    <col min="10812" max="10812" width="16.140625" bestFit="1" customWidth="1"/>
    <col min="10813" max="10814" width="11.28515625" bestFit="1" customWidth="1"/>
    <col min="10815" max="10815" width="13.28515625" bestFit="1" customWidth="1"/>
    <col min="10816" max="10816" width="7.7109375" bestFit="1" customWidth="1"/>
    <col min="10817" max="10820" width="9.140625" hidden="1" customWidth="1"/>
    <col min="10821" max="10821" width="10.42578125" bestFit="1" customWidth="1"/>
    <col min="10822" max="10822" width="10.5703125" bestFit="1" customWidth="1"/>
    <col min="10823" max="10823" width="10.42578125" bestFit="1" customWidth="1"/>
    <col min="10824" max="10824" width="10.5703125" bestFit="1" customWidth="1"/>
    <col min="10825" max="10825" width="9.5703125" bestFit="1" customWidth="1"/>
    <col min="10826" max="10826" width="11.5703125" bestFit="1" customWidth="1"/>
    <col min="10827" max="10827" width="10.42578125" bestFit="1" customWidth="1"/>
    <col min="10828" max="10828" width="10.85546875" customWidth="1"/>
    <col min="10829" max="10830" width="9.85546875" bestFit="1" customWidth="1"/>
    <col min="10831" max="10831" width="13.5703125" bestFit="1" customWidth="1"/>
    <col min="10832" max="10832" width="7.7109375" bestFit="1" customWidth="1"/>
    <col min="10833" max="10833" width="13.28515625" bestFit="1" customWidth="1"/>
    <col min="10834" max="10834" width="11.5703125" bestFit="1" customWidth="1"/>
    <col min="10835" max="10835" width="10.42578125" bestFit="1" customWidth="1"/>
    <col min="10836" max="10836" width="7.7109375" bestFit="1" customWidth="1"/>
    <col min="10837" max="10837" width="11.5703125" bestFit="1" customWidth="1"/>
    <col min="10838" max="10838" width="10.85546875" bestFit="1" customWidth="1"/>
    <col min="10839" max="10839" width="13.28515625" bestFit="1" customWidth="1"/>
    <col min="10840" max="10840" width="10.85546875" bestFit="1" customWidth="1"/>
    <col min="10841" max="10842" width="7.5703125" bestFit="1" customWidth="1"/>
    <col min="10843" max="10844" width="10.42578125" bestFit="1" customWidth="1"/>
    <col min="10845" max="10845" width="11.5703125" bestFit="1" customWidth="1"/>
    <col min="10846" max="10846" width="5.28515625" bestFit="1" customWidth="1"/>
    <col min="10847" max="10847" width="10.28515625" bestFit="1" customWidth="1"/>
    <col min="10848" max="10848" width="10.42578125" bestFit="1" customWidth="1"/>
    <col min="10849" max="10849" width="11.5703125" bestFit="1" customWidth="1"/>
    <col min="10850" max="10850" width="5.28515625" bestFit="1" customWidth="1"/>
    <col min="10851" max="10853" width="11.5703125" bestFit="1" customWidth="1"/>
    <col min="10854" max="10854" width="5.28515625" bestFit="1" customWidth="1"/>
    <col min="10855" max="10856" width="10.42578125" bestFit="1" customWidth="1"/>
    <col min="10857" max="10857" width="11.5703125" bestFit="1" customWidth="1"/>
    <col min="10858" max="10858" width="5.28515625" bestFit="1" customWidth="1"/>
    <col min="10859" max="10859" width="14.28515625" bestFit="1" customWidth="1"/>
    <col min="10860" max="10860" width="13" bestFit="1" customWidth="1"/>
    <col min="10861" max="10861" width="11.5703125" bestFit="1" customWidth="1"/>
    <col min="10862" max="10862" width="8.85546875" bestFit="1" customWidth="1"/>
    <col min="10863" max="10863" width="14.42578125" bestFit="1" customWidth="1"/>
    <col min="10864" max="10864" width="10.42578125" bestFit="1" customWidth="1"/>
    <col min="10865" max="10865" width="12.28515625" bestFit="1" customWidth="1"/>
    <col min="10866" max="10866" width="13.85546875" bestFit="1" customWidth="1"/>
    <col min="10867" max="10867" width="11.28515625" customWidth="1"/>
    <col min="10868" max="10868" width="11.5703125" customWidth="1"/>
    <col min="10869" max="10869" width="13.42578125" bestFit="1" customWidth="1"/>
    <col min="10870" max="10870" width="10.42578125" customWidth="1"/>
    <col min="10871" max="10871" width="13.85546875" bestFit="1" customWidth="1"/>
    <col min="10872" max="10872" width="15.42578125" bestFit="1" customWidth="1"/>
    <col min="10873" max="10873" width="12.28515625" bestFit="1" customWidth="1"/>
    <col min="10874" max="10874" width="12.7109375" customWidth="1"/>
    <col min="10875" max="10875" width="10.7109375" bestFit="1" customWidth="1"/>
    <col min="10876" max="10876" width="9.85546875" customWidth="1"/>
    <col min="10877" max="10878" width="10.140625" bestFit="1" customWidth="1"/>
    <col min="10879" max="10879" width="7.5703125" bestFit="1" customWidth="1"/>
    <col min="10880" max="10880" width="9.42578125" bestFit="1" customWidth="1"/>
    <col min="10881" max="10881" width="14.5703125" bestFit="1" customWidth="1"/>
    <col min="10882" max="10882" width="14.85546875" customWidth="1"/>
    <col min="10883" max="10883" width="15.140625" bestFit="1" customWidth="1"/>
    <col min="10884" max="10884" width="12.140625" bestFit="1" customWidth="1"/>
    <col min="10885" max="10885" width="14.85546875" bestFit="1" customWidth="1"/>
    <col min="10886" max="10886" width="12.28515625" bestFit="1" customWidth="1"/>
    <col min="10887" max="10895" width="9.140625" hidden="1" customWidth="1"/>
    <col min="10896" max="10896" width="5.28515625" bestFit="1" customWidth="1"/>
    <col min="10897" max="10902" width="11.5703125" bestFit="1" customWidth="1"/>
    <col min="10903" max="10903" width="11.28515625" bestFit="1" customWidth="1"/>
    <col min="10904" max="10904" width="10.140625" bestFit="1" customWidth="1"/>
    <col min="10905" max="10905" width="11.5703125" bestFit="1" customWidth="1"/>
    <col min="10906" max="10906" width="16.140625" customWidth="1"/>
    <col min="10907" max="10907" width="13.42578125" customWidth="1"/>
    <col min="10908" max="10908" width="10.140625" bestFit="1" customWidth="1"/>
    <col min="10909" max="10909" width="12.85546875" bestFit="1" customWidth="1"/>
    <col min="10910" max="10910" width="12.28515625" bestFit="1" customWidth="1"/>
    <col min="10911" max="10911" width="11.28515625" bestFit="1" customWidth="1"/>
    <col min="10912" max="10912" width="11.5703125" bestFit="1" customWidth="1"/>
    <col min="10913" max="10913" width="10.85546875" bestFit="1" customWidth="1"/>
    <col min="10914" max="10914" width="11.28515625" bestFit="1" customWidth="1"/>
    <col min="10915" max="10915" width="10.140625" bestFit="1" customWidth="1"/>
    <col min="10916" max="10916" width="13.28515625" bestFit="1" customWidth="1"/>
    <col min="10917" max="10918" width="12.7109375" bestFit="1" customWidth="1"/>
    <col min="10919" max="10919" width="11" bestFit="1" customWidth="1"/>
    <col min="10920" max="10920" width="11.28515625" bestFit="1" customWidth="1"/>
    <col min="10921" max="10921" width="11.5703125" bestFit="1" customWidth="1"/>
    <col min="10922" max="10922" width="12.28515625" bestFit="1" customWidth="1"/>
    <col min="10923" max="10923" width="15.140625" bestFit="1" customWidth="1"/>
    <col min="10924" max="10924" width="14.42578125" bestFit="1" customWidth="1"/>
    <col min="10925" max="10925" width="12.28515625" bestFit="1" customWidth="1"/>
    <col min="10926" max="10926" width="15.140625" bestFit="1" customWidth="1"/>
    <col min="10927" max="10927" width="14.42578125" bestFit="1" customWidth="1"/>
    <col min="10928" max="10928" width="12.28515625" bestFit="1" customWidth="1"/>
    <col min="10929" max="10929" width="14.42578125" bestFit="1" customWidth="1"/>
    <col min="10930" max="10930" width="11.28515625" bestFit="1" customWidth="1"/>
    <col min="10931" max="10931" width="12.28515625" bestFit="1" customWidth="1"/>
    <col min="10932" max="10932" width="13" bestFit="1" customWidth="1"/>
    <col min="10933" max="10933" width="15.140625" bestFit="1" customWidth="1"/>
    <col min="10934" max="10934" width="12.28515625" bestFit="1" customWidth="1"/>
    <col min="10935" max="10935" width="13.85546875" bestFit="1" customWidth="1"/>
    <col min="10936" max="10936" width="11.28515625" bestFit="1" customWidth="1"/>
    <col min="10937" max="10937" width="12.28515625" bestFit="1" customWidth="1"/>
    <col min="10938" max="10938" width="13.85546875" bestFit="1" customWidth="1"/>
    <col min="10939" max="10940" width="15.140625" bestFit="1" customWidth="1"/>
    <col min="10941" max="10941" width="12.28515625" bestFit="1" customWidth="1"/>
    <col min="10942" max="10942" width="5.7109375" bestFit="1" customWidth="1"/>
    <col min="10943" max="10943" width="8.5703125" bestFit="1" customWidth="1"/>
    <col min="10944" max="10944" width="5.5703125" bestFit="1" customWidth="1"/>
    <col min="10945" max="10945" width="14.42578125" bestFit="1" customWidth="1"/>
    <col min="10946" max="10946" width="11.28515625" bestFit="1" customWidth="1"/>
    <col min="10947" max="10948" width="12.28515625" bestFit="1" customWidth="1"/>
    <col min="10949" max="10949" width="11.28515625" bestFit="1" customWidth="1"/>
    <col min="10950" max="10950" width="13.85546875" bestFit="1" customWidth="1"/>
    <col min="10951" max="10951" width="12" bestFit="1" customWidth="1"/>
    <col min="10952" max="10952" width="13.85546875" bestFit="1" customWidth="1"/>
    <col min="10953" max="10954" width="14.42578125" customWidth="1"/>
    <col min="10955" max="10955" width="10.140625" bestFit="1" customWidth="1"/>
    <col min="10956" max="10956" width="12.28515625" bestFit="1" customWidth="1"/>
    <col min="10957" max="10957" width="7.42578125" bestFit="1" customWidth="1"/>
    <col min="10958" max="10958" width="8.5703125" bestFit="1" customWidth="1"/>
    <col min="10959" max="10959" width="11.5703125" bestFit="1" customWidth="1"/>
    <col min="10960" max="10960" width="13.28515625" bestFit="1" customWidth="1"/>
    <col min="10961" max="10961" width="13.28515625" customWidth="1"/>
    <col min="10962" max="10962" width="13.140625" customWidth="1"/>
    <col min="10963" max="10963" width="12.7109375" bestFit="1" customWidth="1"/>
    <col min="10964" max="10964" width="13.28515625" bestFit="1" customWidth="1"/>
    <col min="10965" max="10967" width="13.28515625" customWidth="1"/>
    <col min="10968" max="10968" width="12.140625" bestFit="1" customWidth="1"/>
    <col min="10969" max="10969" width="12.7109375" bestFit="1" customWidth="1"/>
    <col min="10970" max="10970" width="11" customWidth="1"/>
    <col min="10971" max="10971" width="16.7109375" customWidth="1"/>
    <col min="10972" max="10972" width="17" customWidth="1"/>
    <col min="10973" max="10973" width="10.42578125" bestFit="1" customWidth="1"/>
    <col min="11017" max="11017" width="3.85546875" customWidth="1"/>
    <col min="11018" max="11018" width="15.28515625" bestFit="1" customWidth="1"/>
    <col min="11019" max="11019" width="12.28515625" customWidth="1"/>
    <col min="11020" max="11020" width="16.28515625" bestFit="1" customWidth="1"/>
    <col min="11021" max="11021" width="6.42578125" bestFit="1" customWidth="1"/>
    <col min="11022" max="11022" width="9.28515625" bestFit="1" customWidth="1"/>
    <col min="11023" max="11023" width="7.5703125" bestFit="1" customWidth="1"/>
    <col min="11024" max="11024" width="13.28515625" bestFit="1" customWidth="1"/>
    <col min="11025" max="11025" width="9.28515625" bestFit="1" customWidth="1"/>
    <col min="11026" max="11026" width="11.5703125" bestFit="1" customWidth="1"/>
    <col min="11027" max="11027" width="13.28515625" bestFit="1" customWidth="1"/>
    <col min="11028" max="11028" width="7.140625" bestFit="1" customWidth="1"/>
    <col min="11029" max="11029" width="12" bestFit="1" customWidth="1"/>
    <col min="11030" max="11030" width="13.28515625" bestFit="1" customWidth="1"/>
    <col min="11031" max="11031" width="7" bestFit="1" customWidth="1"/>
    <col min="11032" max="11032" width="12.7109375" bestFit="1" customWidth="1"/>
    <col min="11033" max="11033" width="11.5703125" bestFit="1" customWidth="1"/>
    <col min="11034" max="11034" width="10.5703125" bestFit="1" customWidth="1"/>
    <col min="11035" max="11036" width="15.7109375" bestFit="1" customWidth="1"/>
    <col min="11037" max="11037" width="11.5703125" bestFit="1" customWidth="1"/>
    <col min="11038" max="11038" width="7.7109375" bestFit="1" customWidth="1"/>
    <col min="11039" max="11039" width="15.140625" bestFit="1" customWidth="1"/>
    <col min="11040" max="11040" width="11.5703125" bestFit="1" customWidth="1"/>
    <col min="11041" max="11041" width="13.28515625" bestFit="1" customWidth="1"/>
    <col min="11042" max="11042" width="10.42578125" bestFit="1" customWidth="1"/>
    <col min="11043" max="11043" width="13.28515625" bestFit="1" customWidth="1"/>
    <col min="11044" max="11044" width="12.140625" bestFit="1" customWidth="1"/>
    <col min="11045" max="11045" width="14.42578125" bestFit="1" customWidth="1"/>
    <col min="11046" max="11046" width="13.28515625" bestFit="1" customWidth="1"/>
    <col min="11047" max="11047" width="11.5703125" bestFit="1" customWidth="1"/>
    <col min="11048" max="11048" width="7.7109375" bestFit="1" customWidth="1"/>
    <col min="11049" max="11050" width="14.42578125" bestFit="1" customWidth="1"/>
    <col min="11051" max="11051" width="11.5703125" bestFit="1" customWidth="1"/>
    <col min="11052" max="11052" width="7.7109375" bestFit="1" customWidth="1"/>
    <col min="11053" max="11053" width="13.5703125" customWidth="1"/>
    <col min="11054" max="11054" width="15.28515625" customWidth="1"/>
    <col min="11055" max="11055" width="14.5703125" customWidth="1"/>
    <col min="11056" max="11056" width="13.28515625" bestFit="1" customWidth="1"/>
    <col min="11057" max="11057" width="7.7109375" bestFit="1" customWidth="1"/>
    <col min="11058" max="11058" width="12.7109375" bestFit="1" customWidth="1"/>
    <col min="11059" max="11059" width="11.7109375" bestFit="1" customWidth="1"/>
    <col min="11060" max="11060" width="11.5703125" bestFit="1" customWidth="1"/>
    <col min="11061" max="11061" width="5.28515625" bestFit="1" customWidth="1"/>
    <col min="11062" max="11062" width="13.28515625" bestFit="1" customWidth="1"/>
    <col min="11063" max="11063" width="13.5703125" bestFit="1" customWidth="1"/>
    <col min="11064" max="11064" width="10.5703125" bestFit="1" customWidth="1"/>
    <col min="11065" max="11065" width="13.28515625" bestFit="1" customWidth="1"/>
    <col min="11066" max="11066" width="11.5703125" bestFit="1" customWidth="1"/>
    <col min="11067" max="11067" width="10.5703125" bestFit="1" customWidth="1"/>
    <col min="11068" max="11068" width="16.140625" bestFit="1" customWidth="1"/>
    <col min="11069" max="11070" width="11.28515625" bestFit="1" customWidth="1"/>
    <col min="11071" max="11071" width="13.28515625" bestFit="1" customWidth="1"/>
    <col min="11072" max="11072" width="7.7109375" bestFit="1" customWidth="1"/>
    <col min="11073" max="11076" width="9.140625" hidden="1" customWidth="1"/>
    <col min="11077" max="11077" width="10.42578125" bestFit="1" customWidth="1"/>
    <col min="11078" max="11078" width="10.5703125" bestFit="1" customWidth="1"/>
    <col min="11079" max="11079" width="10.42578125" bestFit="1" customWidth="1"/>
    <col min="11080" max="11080" width="10.5703125" bestFit="1" customWidth="1"/>
    <col min="11081" max="11081" width="9.5703125" bestFit="1" customWidth="1"/>
    <col min="11082" max="11082" width="11.5703125" bestFit="1" customWidth="1"/>
    <col min="11083" max="11083" width="10.42578125" bestFit="1" customWidth="1"/>
    <col min="11084" max="11084" width="10.85546875" customWidth="1"/>
    <col min="11085" max="11086" width="9.85546875" bestFit="1" customWidth="1"/>
    <col min="11087" max="11087" width="13.5703125" bestFit="1" customWidth="1"/>
    <col min="11088" max="11088" width="7.7109375" bestFit="1" customWidth="1"/>
    <col min="11089" max="11089" width="13.28515625" bestFit="1" customWidth="1"/>
    <col min="11090" max="11090" width="11.5703125" bestFit="1" customWidth="1"/>
    <col min="11091" max="11091" width="10.42578125" bestFit="1" customWidth="1"/>
    <col min="11092" max="11092" width="7.7109375" bestFit="1" customWidth="1"/>
    <col min="11093" max="11093" width="11.5703125" bestFit="1" customWidth="1"/>
    <col min="11094" max="11094" width="10.85546875" bestFit="1" customWidth="1"/>
    <col min="11095" max="11095" width="13.28515625" bestFit="1" customWidth="1"/>
    <col min="11096" max="11096" width="10.85546875" bestFit="1" customWidth="1"/>
    <col min="11097" max="11098" width="7.5703125" bestFit="1" customWidth="1"/>
    <col min="11099" max="11100" width="10.42578125" bestFit="1" customWidth="1"/>
    <col min="11101" max="11101" width="11.5703125" bestFit="1" customWidth="1"/>
    <col min="11102" max="11102" width="5.28515625" bestFit="1" customWidth="1"/>
    <col min="11103" max="11103" width="10.28515625" bestFit="1" customWidth="1"/>
    <col min="11104" max="11104" width="10.42578125" bestFit="1" customWidth="1"/>
    <col min="11105" max="11105" width="11.5703125" bestFit="1" customWidth="1"/>
    <col min="11106" max="11106" width="5.28515625" bestFit="1" customWidth="1"/>
    <col min="11107" max="11109" width="11.5703125" bestFit="1" customWidth="1"/>
    <col min="11110" max="11110" width="5.28515625" bestFit="1" customWidth="1"/>
    <col min="11111" max="11112" width="10.42578125" bestFit="1" customWidth="1"/>
    <col min="11113" max="11113" width="11.5703125" bestFit="1" customWidth="1"/>
    <col min="11114" max="11114" width="5.28515625" bestFit="1" customWidth="1"/>
    <col min="11115" max="11115" width="14.28515625" bestFit="1" customWidth="1"/>
    <col min="11116" max="11116" width="13" bestFit="1" customWidth="1"/>
    <col min="11117" max="11117" width="11.5703125" bestFit="1" customWidth="1"/>
    <col min="11118" max="11118" width="8.85546875" bestFit="1" customWidth="1"/>
    <col min="11119" max="11119" width="14.42578125" bestFit="1" customWidth="1"/>
    <col min="11120" max="11120" width="10.42578125" bestFit="1" customWidth="1"/>
    <col min="11121" max="11121" width="12.28515625" bestFit="1" customWidth="1"/>
    <col min="11122" max="11122" width="13.85546875" bestFit="1" customWidth="1"/>
    <col min="11123" max="11123" width="11.28515625" customWidth="1"/>
    <col min="11124" max="11124" width="11.5703125" customWidth="1"/>
    <col min="11125" max="11125" width="13.42578125" bestFit="1" customWidth="1"/>
    <col min="11126" max="11126" width="10.42578125" customWidth="1"/>
    <col min="11127" max="11127" width="13.85546875" bestFit="1" customWidth="1"/>
    <col min="11128" max="11128" width="15.42578125" bestFit="1" customWidth="1"/>
    <col min="11129" max="11129" width="12.28515625" bestFit="1" customWidth="1"/>
    <col min="11130" max="11130" width="12.7109375" customWidth="1"/>
    <col min="11131" max="11131" width="10.7109375" bestFit="1" customWidth="1"/>
    <col min="11132" max="11132" width="9.85546875" customWidth="1"/>
    <col min="11133" max="11134" width="10.140625" bestFit="1" customWidth="1"/>
    <col min="11135" max="11135" width="7.5703125" bestFit="1" customWidth="1"/>
    <col min="11136" max="11136" width="9.42578125" bestFit="1" customWidth="1"/>
    <col min="11137" max="11137" width="14.5703125" bestFit="1" customWidth="1"/>
    <col min="11138" max="11138" width="14.85546875" customWidth="1"/>
    <col min="11139" max="11139" width="15.140625" bestFit="1" customWidth="1"/>
    <col min="11140" max="11140" width="12.140625" bestFit="1" customWidth="1"/>
    <col min="11141" max="11141" width="14.85546875" bestFit="1" customWidth="1"/>
    <col min="11142" max="11142" width="12.28515625" bestFit="1" customWidth="1"/>
    <col min="11143" max="11151" width="9.140625" hidden="1" customWidth="1"/>
    <col min="11152" max="11152" width="5.28515625" bestFit="1" customWidth="1"/>
    <col min="11153" max="11158" width="11.5703125" bestFit="1" customWidth="1"/>
    <col min="11159" max="11159" width="11.28515625" bestFit="1" customWidth="1"/>
    <col min="11160" max="11160" width="10.140625" bestFit="1" customWidth="1"/>
    <col min="11161" max="11161" width="11.5703125" bestFit="1" customWidth="1"/>
    <col min="11162" max="11162" width="16.140625" customWidth="1"/>
    <col min="11163" max="11163" width="13.42578125" customWidth="1"/>
    <col min="11164" max="11164" width="10.140625" bestFit="1" customWidth="1"/>
    <col min="11165" max="11165" width="12.85546875" bestFit="1" customWidth="1"/>
    <col min="11166" max="11166" width="12.28515625" bestFit="1" customWidth="1"/>
    <col min="11167" max="11167" width="11.28515625" bestFit="1" customWidth="1"/>
    <col min="11168" max="11168" width="11.5703125" bestFit="1" customWidth="1"/>
    <col min="11169" max="11169" width="10.85546875" bestFit="1" customWidth="1"/>
    <col min="11170" max="11170" width="11.28515625" bestFit="1" customWidth="1"/>
    <col min="11171" max="11171" width="10.140625" bestFit="1" customWidth="1"/>
    <col min="11172" max="11172" width="13.28515625" bestFit="1" customWidth="1"/>
    <col min="11173" max="11174" width="12.7109375" bestFit="1" customWidth="1"/>
    <col min="11175" max="11175" width="11" bestFit="1" customWidth="1"/>
    <col min="11176" max="11176" width="11.28515625" bestFit="1" customWidth="1"/>
    <col min="11177" max="11177" width="11.5703125" bestFit="1" customWidth="1"/>
    <col min="11178" max="11178" width="12.28515625" bestFit="1" customWidth="1"/>
    <col min="11179" max="11179" width="15.140625" bestFit="1" customWidth="1"/>
    <col min="11180" max="11180" width="14.42578125" bestFit="1" customWidth="1"/>
    <col min="11181" max="11181" width="12.28515625" bestFit="1" customWidth="1"/>
    <col min="11182" max="11182" width="15.140625" bestFit="1" customWidth="1"/>
    <col min="11183" max="11183" width="14.42578125" bestFit="1" customWidth="1"/>
    <col min="11184" max="11184" width="12.28515625" bestFit="1" customWidth="1"/>
    <col min="11185" max="11185" width="14.42578125" bestFit="1" customWidth="1"/>
    <col min="11186" max="11186" width="11.28515625" bestFit="1" customWidth="1"/>
    <col min="11187" max="11187" width="12.28515625" bestFit="1" customWidth="1"/>
    <col min="11188" max="11188" width="13" bestFit="1" customWidth="1"/>
    <col min="11189" max="11189" width="15.140625" bestFit="1" customWidth="1"/>
    <col min="11190" max="11190" width="12.28515625" bestFit="1" customWidth="1"/>
    <col min="11191" max="11191" width="13.85546875" bestFit="1" customWidth="1"/>
    <col min="11192" max="11192" width="11.28515625" bestFit="1" customWidth="1"/>
    <col min="11193" max="11193" width="12.28515625" bestFit="1" customWidth="1"/>
    <col min="11194" max="11194" width="13.85546875" bestFit="1" customWidth="1"/>
    <col min="11195" max="11196" width="15.140625" bestFit="1" customWidth="1"/>
    <col min="11197" max="11197" width="12.28515625" bestFit="1" customWidth="1"/>
    <col min="11198" max="11198" width="5.7109375" bestFit="1" customWidth="1"/>
    <col min="11199" max="11199" width="8.5703125" bestFit="1" customWidth="1"/>
    <col min="11200" max="11200" width="5.5703125" bestFit="1" customWidth="1"/>
    <col min="11201" max="11201" width="14.42578125" bestFit="1" customWidth="1"/>
    <col min="11202" max="11202" width="11.28515625" bestFit="1" customWidth="1"/>
    <col min="11203" max="11204" width="12.28515625" bestFit="1" customWidth="1"/>
    <col min="11205" max="11205" width="11.28515625" bestFit="1" customWidth="1"/>
    <col min="11206" max="11206" width="13.85546875" bestFit="1" customWidth="1"/>
    <col min="11207" max="11207" width="12" bestFit="1" customWidth="1"/>
    <col min="11208" max="11208" width="13.85546875" bestFit="1" customWidth="1"/>
    <col min="11209" max="11210" width="14.42578125" customWidth="1"/>
    <col min="11211" max="11211" width="10.140625" bestFit="1" customWidth="1"/>
    <col min="11212" max="11212" width="12.28515625" bestFit="1" customWidth="1"/>
    <col min="11213" max="11213" width="7.42578125" bestFit="1" customWidth="1"/>
    <col min="11214" max="11214" width="8.5703125" bestFit="1" customWidth="1"/>
    <col min="11215" max="11215" width="11.5703125" bestFit="1" customWidth="1"/>
    <col min="11216" max="11216" width="13.28515625" bestFit="1" customWidth="1"/>
    <col min="11217" max="11217" width="13.28515625" customWidth="1"/>
    <col min="11218" max="11218" width="13.140625" customWidth="1"/>
    <col min="11219" max="11219" width="12.7109375" bestFit="1" customWidth="1"/>
    <col min="11220" max="11220" width="13.28515625" bestFit="1" customWidth="1"/>
    <col min="11221" max="11223" width="13.28515625" customWidth="1"/>
    <col min="11224" max="11224" width="12.140625" bestFit="1" customWidth="1"/>
    <col min="11225" max="11225" width="12.7109375" bestFit="1" customWidth="1"/>
    <col min="11226" max="11226" width="11" customWidth="1"/>
    <col min="11227" max="11227" width="16.7109375" customWidth="1"/>
    <col min="11228" max="11228" width="17" customWidth="1"/>
    <col min="11229" max="11229" width="10.42578125" bestFit="1" customWidth="1"/>
    <col min="11273" max="11273" width="3.85546875" customWidth="1"/>
    <col min="11274" max="11274" width="15.28515625" bestFit="1" customWidth="1"/>
    <col min="11275" max="11275" width="12.28515625" customWidth="1"/>
    <col min="11276" max="11276" width="16.28515625" bestFit="1" customWidth="1"/>
    <col min="11277" max="11277" width="6.42578125" bestFit="1" customWidth="1"/>
    <col min="11278" max="11278" width="9.28515625" bestFit="1" customWidth="1"/>
    <col min="11279" max="11279" width="7.5703125" bestFit="1" customWidth="1"/>
    <col min="11280" max="11280" width="13.28515625" bestFit="1" customWidth="1"/>
    <col min="11281" max="11281" width="9.28515625" bestFit="1" customWidth="1"/>
    <col min="11282" max="11282" width="11.5703125" bestFit="1" customWidth="1"/>
    <col min="11283" max="11283" width="13.28515625" bestFit="1" customWidth="1"/>
    <col min="11284" max="11284" width="7.140625" bestFit="1" customWidth="1"/>
    <col min="11285" max="11285" width="12" bestFit="1" customWidth="1"/>
    <col min="11286" max="11286" width="13.28515625" bestFit="1" customWidth="1"/>
    <col min="11287" max="11287" width="7" bestFit="1" customWidth="1"/>
    <col min="11288" max="11288" width="12.7109375" bestFit="1" customWidth="1"/>
    <col min="11289" max="11289" width="11.5703125" bestFit="1" customWidth="1"/>
    <col min="11290" max="11290" width="10.5703125" bestFit="1" customWidth="1"/>
    <col min="11291" max="11292" width="15.7109375" bestFit="1" customWidth="1"/>
    <col min="11293" max="11293" width="11.5703125" bestFit="1" customWidth="1"/>
    <col min="11294" max="11294" width="7.7109375" bestFit="1" customWidth="1"/>
    <col min="11295" max="11295" width="15.140625" bestFit="1" customWidth="1"/>
    <col min="11296" max="11296" width="11.5703125" bestFit="1" customWidth="1"/>
    <col min="11297" max="11297" width="13.28515625" bestFit="1" customWidth="1"/>
    <col min="11298" max="11298" width="10.42578125" bestFit="1" customWidth="1"/>
    <col min="11299" max="11299" width="13.28515625" bestFit="1" customWidth="1"/>
    <col min="11300" max="11300" width="12.140625" bestFit="1" customWidth="1"/>
    <col min="11301" max="11301" width="14.42578125" bestFit="1" customWidth="1"/>
    <col min="11302" max="11302" width="13.28515625" bestFit="1" customWidth="1"/>
    <col min="11303" max="11303" width="11.5703125" bestFit="1" customWidth="1"/>
    <col min="11304" max="11304" width="7.7109375" bestFit="1" customWidth="1"/>
    <col min="11305" max="11306" width="14.42578125" bestFit="1" customWidth="1"/>
    <col min="11307" max="11307" width="11.5703125" bestFit="1" customWidth="1"/>
    <col min="11308" max="11308" width="7.7109375" bestFit="1" customWidth="1"/>
    <col min="11309" max="11309" width="13.5703125" customWidth="1"/>
    <col min="11310" max="11310" width="15.28515625" customWidth="1"/>
    <col min="11311" max="11311" width="14.5703125" customWidth="1"/>
    <col min="11312" max="11312" width="13.28515625" bestFit="1" customWidth="1"/>
    <col min="11313" max="11313" width="7.7109375" bestFit="1" customWidth="1"/>
    <col min="11314" max="11314" width="12.7109375" bestFit="1" customWidth="1"/>
    <col min="11315" max="11315" width="11.7109375" bestFit="1" customWidth="1"/>
    <col min="11316" max="11316" width="11.5703125" bestFit="1" customWidth="1"/>
    <col min="11317" max="11317" width="5.28515625" bestFit="1" customWidth="1"/>
    <col min="11318" max="11318" width="13.28515625" bestFit="1" customWidth="1"/>
    <col min="11319" max="11319" width="13.5703125" bestFit="1" customWidth="1"/>
    <col min="11320" max="11320" width="10.5703125" bestFit="1" customWidth="1"/>
    <col min="11321" max="11321" width="13.28515625" bestFit="1" customWidth="1"/>
    <col min="11322" max="11322" width="11.5703125" bestFit="1" customWidth="1"/>
    <col min="11323" max="11323" width="10.5703125" bestFit="1" customWidth="1"/>
    <col min="11324" max="11324" width="16.140625" bestFit="1" customWidth="1"/>
    <col min="11325" max="11326" width="11.28515625" bestFit="1" customWidth="1"/>
    <col min="11327" max="11327" width="13.28515625" bestFit="1" customWidth="1"/>
    <col min="11328" max="11328" width="7.7109375" bestFit="1" customWidth="1"/>
    <col min="11329" max="11332" width="9.140625" hidden="1" customWidth="1"/>
    <col min="11333" max="11333" width="10.42578125" bestFit="1" customWidth="1"/>
    <col min="11334" max="11334" width="10.5703125" bestFit="1" customWidth="1"/>
    <col min="11335" max="11335" width="10.42578125" bestFit="1" customWidth="1"/>
    <col min="11336" max="11336" width="10.5703125" bestFit="1" customWidth="1"/>
    <col min="11337" max="11337" width="9.5703125" bestFit="1" customWidth="1"/>
    <col min="11338" max="11338" width="11.5703125" bestFit="1" customWidth="1"/>
    <col min="11339" max="11339" width="10.42578125" bestFit="1" customWidth="1"/>
    <col min="11340" max="11340" width="10.85546875" customWidth="1"/>
    <col min="11341" max="11342" width="9.85546875" bestFit="1" customWidth="1"/>
    <col min="11343" max="11343" width="13.5703125" bestFit="1" customWidth="1"/>
    <col min="11344" max="11344" width="7.7109375" bestFit="1" customWidth="1"/>
    <col min="11345" max="11345" width="13.28515625" bestFit="1" customWidth="1"/>
    <col min="11346" max="11346" width="11.5703125" bestFit="1" customWidth="1"/>
    <col min="11347" max="11347" width="10.42578125" bestFit="1" customWidth="1"/>
    <col min="11348" max="11348" width="7.7109375" bestFit="1" customWidth="1"/>
    <col min="11349" max="11349" width="11.5703125" bestFit="1" customWidth="1"/>
    <col min="11350" max="11350" width="10.85546875" bestFit="1" customWidth="1"/>
    <col min="11351" max="11351" width="13.28515625" bestFit="1" customWidth="1"/>
    <col min="11352" max="11352" width="10.85546875" bestFit="1" customWidth="1"/>
    <col min="11353" max="11354" width="7.5703125" bestFit="1" customWidth="1"/>
    <col min="11355" max="11356" width="10.42578125" bestFit="1" customWidth="1"/>
    <col min="11357" max="11357" width="11.5703125" bestFit="1" customWidth="1"/>
    <col min="11358" max="11358" width="5.28515625" bestFit="1" customWidth="1"/>
    <col min="11359" max="11359" width="10.28515625" bestFit="1" customWidth="1"/>
    <col min="11360" max="11360" width="10.42578125" bestFit="1" customWidth="1"/>
    <col min="11361" max="11361" width="11.5703125" bestFit="1" customWidth="1"/>
    <col min="11362" max="11362" width="5.28515625" bestFit="1" customWidth="1"/>
    <col min="11363" max="11365" width="11.5703125" bestFit="1" customWidth="1"/>
    <col min="11366" max="11366" width="5.28515625" bestFit="1" customWidth="1"/>
    <col min="11367" max="11368" width="10.42578125" bestFit="1" customWidth="1"/>
    <col min="11369" max="11369" width="11.5703125" bestFit="1" customWidth="1"/>
    <col min="11370" max="11370" width="5.28515625" bestFit="1" customWidth="1"/>
    <col min="11371" max="11371" width="14.28515625" bestFit="1" customWidth="1"/>
    <col min="11372" max="11372" width="13" bestFit="1" customWidth="1"/>
    <col min="11373" max="11373" width="11.5703125" bestFit="1" customWidth="1"/>
    <col min="11374" max="11374" width="8.85546875" bestFit="1" customWidth="1"/>
    <col min="11375" max="11375" width="14.42578125" bestFit="1" customWidth="1"/>
    <col min="11376" max="11376" width="10.42578125" bestFit="1" customWidth="1"/>
    <col min="11377" max="11377" width="12.28515625" bestFit="1" customWidth="1"/>
    <col min="11378" max="11378" width="13.85546875" bestFit="1" customWidth="1"/>
    <col min="11379" max="11379" width="11.28515625" customWidth="1"/>
    <col min="11380" max="11380" width="11.5703125" customWidth="1"/>
    <col min="11381" max="11381" width="13.42578125" bestFit="1" customWidth="1"/>
    <col min="11382" max="11382" width="10.42578125" customWidth="1"/>
    <col min="11383" max="11383" width="13.85546875" bestFit="1" customWidth="1"/>
    <col min="11384" max="11384" width="15.42578125" bestFit="1" customWidth="1"/>
    <col min="11385" max="11385" width="12.28515625" bestFit="1" customWidth="1"/>
    <col min="11386" max="11386" width="12.7109375" customWidth="1"/>
    <col min="11387" max="11387" width="10.7109375" bestFit="1" customWidth="1"/>
    <col min="11388" max="11388" width="9.85546875" customWidth="1"/>
    <col min="11389" max="11390" width="10.140625" bestFit="1" customWidth="1"/>
    <col min="11391" max="11391" width="7.5703125" bestFit="1" customWidth="1"/>
    <col min="11392" max="11392" width="9.42578125" bestFit="1" customWidth="1"/>
    <col min="11393" max="11393" width="14.5703125" bestFit="1" customWidth="1"/>
    <col min="11394" max="11394" width="14.85546875" customWidth="1"/>
    <col min="11395" max="11395" width="15.140625" bestFit="1" customWidth="1"/>
    <col min="11396" max="11396" width="12.140625" bestFit="1" customWidth="1"/>
    <col min="11397" max="11397" width="14.85546875" bestFit="1" customWidth="1"/>
    <col min="11398" max="11398" width="12.28515625" bestFit="1" customWidth="1"/>
    <col min="11399" max="11407" width="9.140625" hidden="1" customWidth="1"/>
    <col min="11408" max="11408" width="5.28515625" bestFit="1" customWidth="1"/>
    <col min="11409" max="11414" width="11.5703125" bestFit="1" customWidth="1"/>
    <col min="11415" max="11415" width="11.28515625" bestFit="1" customWidth="1"/>
    <col min="11416" max="11416" width="10.140625" bestFit="1" customWidth="1"/>
    <col min="11417" max="11417" width="11.5703125" bestFit="1" customWidth="1"/>
    <col min="11418" max="11418" width="16.140625" customWidth="1"/>
    <col min="11419" max="11419" width="13.42578125" customWidth="1"/>
    <col min="11420" max="11420" width="10.140625" bestFit="1" customWidth="1"/>
    <col min="11421" max="11421" width="12.85546875" bestFit="1" customWidth="1"/>
    <col min="11422" max="11422" width="12.28515625" bestFit="1" customWidth="1"/>
    <col min="11423" max="11423" width="11.28515625" bestFit="1" customWidth="1"/>
    <col min="11424" max="11424" width="11.5703125" bestFit="1" customWidth="1"/>
    <col min="11425" max="11425" width="10.85546875" bestFit="1" customWidth="1"/>
    <col min="11426" max="11426" width="11.28515625" bestFit="1" customWidth="1"/>
    <col min="11427" max="11427" width="10.140625" bestFit="1" customWidth="1"/>
    <col min="11428" max="11428" width="13.28515625" bestFit="1" customWidth="1"/>
    <col min="11429" max="11430" width="12.7109375" bestFit="1" customWidth="1"/>
    <col min="11431" max="11431" width="11" bestFit="1" customWidth="1"/>
    <col min="11432" max="11432" width="11.28515625" bestFit="1" customWidth="1"/>
    <col min="11433" max="11433" width="11.5703125" bestFit="1" customWidth="1"/>
    <col min="11434" max="11434" width="12.28515625" bestFit="1" customWidth="1"/>
    <col min="11435" max="11435" width="15.140625" bestFit="1" customWidth="1"/>
    <col min="11436" max="11436" width="14.42578125" bestFit="1" customWidth="1"/>
    <col min="11437" max="11437" width="12.28515625" bestFit="1" customWidth="1"/>
    <col min="11438" max="11438" width="15.140625" bestFit="1" customWidth="1"/>
    <col min="11439" max="11439" width="14.42578125" bestFit="1" customWidth="1"/>
    <col min="11440" max="11440" width="12.28515625" bestFit="1" customWidth="1"/>
    <col min="11441" max="11441" width="14.42578125" bestFit="1" customWidth="1"/>
    <col min="11442" max="11442" width="11.28515625" bestFit="1" customWidth="1"/>
    <col min="11443" max="11443" width="12.28515625" bestFit="1" customWidth="1"/>
    <col min="11444" max="11444" width="13" bestFit="1" customWidth="1"/>
    <col min="11445" max="11445" width="15.140625" bestFit="1" customWidth="1"/>
    <col min="11446" max="11446" width="12.28515625" bestFit="1" customWidth="1"/>
    <col min="11447" max="11447" width="13.85546875" bestFit="1" customWidth="1"/>
    <col min="11448" max="11448" width="11.28515625" bestFit="1" customWidth="1"/>
    <col min="11449" max="11449" width="12.28515625" bestFit="1" customWidth="1"/>
    <col min="11450" max="11450" width="13.85546875" bestFit="1" customWidth="1"/>
    <col min="11451" max="11452" width="15.140625" bestFit="1" customWidth="1"/>
    <col min="11453" max="11453" width="12.28515625" bestFit="1" customWidth="1"/>
    <col min="11454" max="11454" width="5.7109375" bestFit="1" customWidth="1"/>
    <col min="11455" max="11455" width="8.5703125" bestFit="1" customWidth="1"/>
    <col min="11456" max="11456" width="5.5703125" bestFit="1" customWidth="1"/>
    <col min="11457" max="11457" width="14.42578125" bestFit="1" customWidth="1"/>
    <col min="11458" max="11458" width="11.28515625" bestFit="1" customWidth="1"/>
    <col min="11459" max="11460" width="12.28515625" bestFit="1" customWidth="1"/>
    <col min="11461" max="11461" width="11.28515625" bestFit="1" customWidth="1"/>
    <col min="11462" max="11462" width="13.85546875" bestFit="1" customWidth="1"/>
    <col min="11463" max="11463" width="12" bestFit="1" customWidth="1"/>
    <col min="11464" max="11464" width="13.85546875" bestFit="1" customWidth="1"/>
    <col min="11465" max="11466" width="14.42578125" customWidth="1"/>
    <col min="11467" max="11467" width="10.140625" bestFit="1" customWidth="1"/>
    <col min="11468" max="11468" width="12.28515625" bestFit="1" customWidth="1"/>
    <col min="11469" max="11469" width="7.42578125" bestFit="1" customWidth="1"/>
    <col min="11470" max="11470" width="8.5703125" bestFit="1" customWidth="1"/>
    <col min="11471" max="11471" width="11.5703125" bestFit="1" customWidth="1"/>
    <col min="11472" max="11472" width="13.28515625" bestFit="1" customWidth="1"/>
    <col min="11473" max="11473" width="13.28515625" customWidth="1"/>
    <col min="11474" max="11474" width="13.140625" customWidth="1"/>
    <col min="11475" max="11475" width="12.7109375" bestFit="1" customWidth="1"/>
    <col min="11476" max="11476" width="13.28515625" bestFit="1" customWidth="1"/>
    <col min="11477" max="11479" width="13.28515625" customWidth="1"/>
    <col min="11480" max="11480" width="12.140625" bestFit="1" customWidth="1"/>
    <col min="11481" max="11481" width="12.7109375" bestFit="1" customWidth="1"/>
    <col min="11482" max="11482" width="11" customWidth="1"/>
    <col min="11483" max="11483" width="16.7109375" customWidth="1"/>
    <col min="11484" max="11484" width="17" customWidth="1"/>
    <col min="11485" max="11485" width="10.42578125" bestFit="1" customWidth="1"/>
    <col min="11529" max="11529" width="3.85546875" customWidth="1"/>
    <col min="11530" max="11530" width="15.28515625" bestFit="1" customWidth="1"/>
    <col min="11531" max="11531" width="12.28515625" customWidth="1"/>
    <col min="11532" max="11532" width="16.28515625" bestFit="1" customWidth="1"/>
    <col min="11533" max="11533" width="6.42578125" bestFit="1" customWidth="1"/>
    <col min="11534" max="11534" width="9.28515625" bestFit="1" customWidth="1"/>
    <col min="11535" max="11535" width="7.5703125" bestFit="1" customWidth="1"/>
    <col min="11536" max="11536" width="13.28515625" bestFit="1" customWidth="1"/>
    <col min="11537" max="11537" width="9.28515625" bestFit="1" customWidth="1"/>
    <col min="11538" max="11538" width="11.5703125" bestFit="1" customWidth="1"/>
    <col min="11539" max="11539" width="13.28515625" bestFit="1" customWidth="1"/>
    <col min="11540" max="11540" width="7.140625" bestFit="1" customWidth="1"/>
    <col min="11541" max="11541" width="12" bestFit="1" customWidth="1"/>
    <col min="11542" max="11542" width="13.28515625" bestFit="1" customWidth="1"/>
    <col min="11543" max="11543" width="7" bestFit="1" customWidth="1"/>
    <col min="11544" max="11544" width="12.7109375" bestFit="1" customWidth="1"/>
    <col min="11545" max="11545" width="11.5703125" bestFit="1" customWidth="1"/>
    <col min="11546" max="11546" width="10.5703125" bestFit="1" customWidth="1"/>
    <col min="11547" max="11548" width="15.7109375" bestFit="1" customWidth="1"/>
    <col min="11549" max="11549" width="11.5703125" bestFit="1" customWidth="1"/>
    <col min="11550" max="11550" width="7.7109375" bestFit="1" customWidth="1"/>
    <col min="11551" max="11551" width="15.140625" bestFit="1" customWidth="1"/>
    <col min="11552" max="11552" width="11.5703125" bestFit="1" customWidth="1"/>
    <col min="11553" max="11553" width="13.28515625" bestFit="1" customWidth="1"/>
    <col min="11554" max="11554" width="10.42578125" bestFit="1" customWidth="1"/>
    <col min="11555" max="11555" width="13.28515625" bestFit="1" customWidth="1"/>
    <col min="11556" max="11556" width="12.140625" bestFit="1" customWidth="1"/>
    <col min="11557" max="11557" width="14.42578125" bestFit="1" customWidth="1"/>
    <col min="11558" max="11558" width="13.28515625" bestFit="1" customWidth="1"/>
    <col min="11559" max="11559" width="11.5703125" bestFit="1" customWidth="1"/>
    <col min="11560" max="11560" width="7.7109375" bestFit="1" customWidth="1"/>
    <col min="11561" max="11562" width="14.42578125" bestFit="1" customWidth="1"/>
    <col min="11563" max="11563" width="11.5703125" bestFit="1" customWidth="1"/>
    <col min="11564" max="11564" width="7.7109375" bestFit="1" customWidth="1"/>
    <col min="11565" max="11565" width="13.5703125" customWidth="1"/>
    <col min="11566" max="11566" width="15.28515625" customWidth="1"/>
    <col min="11567" max="11567" width="14.5703125" customWidth="1"/>
    <col min="11568" max="11568" width="13.28515625" bestFit="1" customWidth="1"/>
    <col min="11569" max="11569" width="7.7109375" bestFit="1" customWidth="1"/>
    <col min="11570" max="11570" width="12.7109375" bestFit="1" customWidth="1"/>
    <col min="11571" max="11571" width="11.7109375" bestFit="1" customWidth="1"/>
    <col min="11572" max="11572" width="11.5703125" bestFit="1" customWidth="1"/>
    <col min="11573" max="11573" width="5.28515625" bestFit="1" customWidth="1"/>
    <col min="11574" max="11574" width="13.28515625" bestFit="1" customWidth="1"/>
    <col min="11575" max="11575" width="13.5703125" bestFit="1" customWidth="1"/>
    <col min="11576" max="11576" width="10.5703125" bestFit="1" customWidth="1"/>
    <col min="11577" max="11577" width="13.28515625" bestFit="1" customWidth="1"/>
    <col min="11578" max="11578" width="11.5703125" bestFit="1" customWidth="1"/>
    <col min="11579" max="11579" width="10.5703125" bestFit="1" customWidth="1"/>
    <col min="11580" max="11580" width="16.140625" bestFit="1" customWidth="1"/>
    <col min="11581" max="11582" width="11.28515625" bestFit="1" customWidth="1"/>
    <col min="11583" max="11583" width="13.28515625" bestFit="1" customWidth="1"/>
    <col min="11584" max="11584" width="7.7109375" bestFit="1" customWidth="1"/>
    <col min="11585" max="11588" width="9.140625" hidden="1" customWidth="1"/>
    <col min="11589" max="11589" width="10.42578125" bestFit="1" customWidth="1"/>
    <col min="11590" max="11590" width="10.5703125" bestFit="1" customWidth="1"/>
    <col min="11591" max="11591" width="10.42578125" bestFit="1" customWidth="1"/>
    <col min="11592" max="11592" width="10.5703125" bestFit="1" customWidth="1"/>
    <col min="11593" max="11593" width="9.5703125" bestFit="1" customWidth="1"/>
    <col min="11594" max="11594" width="11.5703125" bestFit="1" customWidth="1"/>
    <col min="11595" max="11595" width="10.42578125" bestFit="1" customWidth="1"/>
    <col min="11596" max="11596" width="10.85546875" customWidth="1"/>
    <col min="11597" max="11598" width="9.85546875" bestFit="1" customWidth="1"/>
    <col min="11599" max="11599" width="13.5703125" bestFit="1" customWidth="1"/>
    <col min="11600" max="11600" width="7.7109375" bestFit="1" customWidth="1"/>
    <col min="11601" max="11601" width="13.28515625" bestFit="1" customWidth="1"/>
    <col min="11602" max="11602" width="11.5703125" bestFit="1" customWidth="1"/>
    <col min="11603" max="11603" width="10.42578125" bestFit="1" customWidth="1"/>
    <col min="11604" max="11604" width="7.7109375" bestFit="1" customWidth="1"/>
    <col min="11605" max="11605" width="11.5703125" bestFit="1" customWidth="1"/>
    <col min="11606" max="11606" width="10.85546875" bestFit="1" customWidth="1"/>
    <col min="11607" max="11607" width="13.28515625" bestFit="1" customWidth="1"/>
    <col min="11608" max="11608" width="10.85546875" bestFit="1" customWidth="1"/>
    <col min="11609" max="11610" width="7.5703125" bestFit="1" customWidth="1"/>
    <col min="11611" max="11612" width="10.42578125" bestFit="1" customWidth="1"/>
    <col min="11613" max="11613" width="11.5703125" bestFit="1" customWidth="1"/>
    <col min="11614" max="11614" width="5.28515625" bestFit="1" customWidth="1"/>
    <col min="11615" max="11615" width="10.28515625" bestFit="1" customWidth="1"/>
    <col min="11616" max="11616" width="10.42578125" bestFit="1" customWidth="1"/>
    <col min="11617" max="11617" width="11.5703125" bestFit="1" customWidth="1"/>
    <col min="11618" max="11618" width="5.28515625" bestFit="1" customWidth="1"/>
    <col min="11619" max="11621" width="11.5703125" bestFit="1" customWidth="1"/>
    <col min="11622" max="11622" width="5.28515625" bestFit="1" customWidth="1"/>
    <col min="11623" max="11624" width="10.42578125" bestFit="1" customWidth="1"/>
    <col min="11625" max="11625" width="11.5703125" bestFit="1" customWidth="1"/>
    <col min="11626" max="11626" width="5.28515625" bestFit="1" customWidth="1"/>
    <col min="11627" max="11627" width="14.28515625" bestFit="1" customWidth="1"/>
    <col min="11628" max="11628" width="13" bestFit="1" customWidth="1"/>
    <col min="11629" max="11629" width="11.5703125" bestFit="1" customWidth="1"/>
    <col min="11630" max="11630" width="8.85546875" bestFit="1" customWidth="1"/>
    <col min="11631" max="11631" width="14.42578125" bestFit="1" customWidth="1"/>
    <col min="11632" max="11632" width="10.42578125" bestFit="1" customWidth="1"/>
    <col min="11633" max="11633" width="12.28515625" bestFit="1" customWidth="1"/>
    <col min="11634" max="11634" width="13.85546875" bestFit="1" customWidth="1"/>
    <col min="11635" max="11635" width="11.28515625" customWidth="1"/>
    <col min="11636" max="11636" width="11.5703125" customWidth="1"/>
    <col min="11637" max="11637" width="13.42578125" bestFit="1" customWidth="1"/>
    <col min="11638" max="11638" width="10.42578125" customWidth="1"/>
    <col min="11639" max="11639" width="13.85546875" bestFit="1" customWidth="1"/>
    <col min="11640" max="11640" width="15.42578125" bestFit="1" customWidth="1"/>
    <col min="11641" max="11641" width="12.28515625" bestFit="1" customWidth="1"/>
    <col min="11642" max="11642" width="12.7109375" customWidth="1"/>
    <col min="11643" max="11643" width="10.7109375" bestFit="1" customWidth="1"/>
    <col min="11644" max="11644" width="9.85546875" customWidth="1"/>
    <col min="11645" max="11646" width="10.140625" bestFit="1" customWidth="1"/>
    <col min="11647" max="11647" width="7.5703125" bestFit="1" customWidth="1"/>
    <col min="11648" max="11648" width="9.42578125" bestFit="1" customWidth="1"/>
    <col min="11649" max="11649" width="14.5703125" bestFit="1" customWidth="1"/>
    <col min="11650" max="11650" width="14.85546875" customWidth="1"/>
    <col min="11651" max="11651" width="15.140625" bestFit="1" customWidth="1"/>
    <col min="11652" max="11652" width="12.140625" bestFit="1" customWidth="1"/>
    <col min="11653" max="11653" width="14.85546875" bestFit="1" customWidth="1"/>
    <col min="11654" max="11654" width="12.28515625" bestFit="1" customWidth="1"/>
    <col min="11655" max="11663" width="9.140625" hidden="1" customWidth="1"/>
    <col min="11664" max="11664" width="5.28515625" bestFit="1" customWidth="1"/>
    <col min="11665" max="11670" width="11.5703125" bestFit="1" customWidth="1"/>
    <col min="11671" max="11671" width="11.28515625" bestFit="1" customWidth="1"/>
    <col min="11672" max="11672" width="10.140625" bestFit="1" customWidth="1"/>
    <col min="11673" max="11673" width="11.5703125" bestFit="1" customWidth="1"/>
    <col min="11674" max="11674" width="16.140625" customWidth="1"/>
    <col min="11675" max="11675" width="13.42578125" customWidth="1"/>
    <col min="11676" max="11676" width="10.140625" bestFit="1" customWidth="1"/>
    <col min="11677" max="11677" width="12.85546875" bestFit="1" customWidth="1"/>
    <col min="11678" max="11678" width="12.28515625" bestFit="1" customWidth="1"/>
    <col min="11679" max="11679" width="11.28515625" bestFit="1" customWidth="1"/>
    <col min="11680" max="11680" width="11.5703125" bestFit="1" customWidth="1"/>
    <col min="11681" max="11681" width="10.85546875" bestFit="1" customWidth="1"/>
    <col min="11682" max="11682" width="11.28515625" bestFit="1" customWidth="1"/>
    <col min="11683" max="11683" width="10.140625" bestFit="1" customWidth="1"/>
    <col min="11684" max="11684" width="13.28515625" bestFit="1" customWidth="1"/>
    <col min="11685" max="11686" width="12.7109375" bestFit="1" customWidth="1"/>
    <col min="11687" max="11687" width="11" bestFit="1" customWidth="1"/>
    <col min="11688" max="11688" width="11.28515625" bestFit="1" customWidth="1"/>
    <col min="11689" max="11689" width="11.5703125" bestFit="1" customWidth="1"/>
    <col min="11690" max="11690" width="12.28515625" bestFit="1" customWidth="1"/>
    <col min="11691" max="11691" width="15.140625" bestFit="1" customWidth="1"/>
    <col min="11692" max="11692" width="14.42578125" bestFit="1" customWidth="1"/>
    <col min="11693" max="11693" width="12.28515625" bestFit="1" customWidth="1"/>
    <col min="11694" max="11694" width="15.140625" bestFit="1" customWidth="1"/>
    <col min="11695" max="11695" width="14.42578125" bestFit="1" customWidth="1"/>
    <col min="11696" max="11696" width="12.28515625" bestFit="1" customWidth="1"/>
    <col min="11697" max="11697" width="14.42578125" bestFit="1" customWidth="1"/>
    <col min="11698" max="11698" width="11.28515625" bestFit="1" customWidth="1"/>
    <col min="11699" max="11699" width="12.28515625" bestFit="1" customWidth="1"/>
    <col min="11700" max="11700" width="13" bestFit="1" customWidth="1"/>
    <col min="11701" max="11701" width="15.140625" bestFit="1" customWidth="1"/>
    <col min="11702" max="11702" width="12.28515625" bestFit="1" customWidth="1"/>
    <col min="11703" max="11703" width="13.85546875" bestFit="1" customWidth="1"/>
    <col min="11704" max="11704" width="11.28515625" bestFit="1" customWidth="1"/>
    <col min="11705" max="11705" width="12.28515625" bestFit="1" customWidth="1"/>
    <col min="11706" max="11706" width="13.85546875" bestFit="1" customWidth="1"/>
    <col min="11707" max="11708" width="15.140625" bestFit="1" customWidth="1"/>
    <col min="11709" max="11709" width="12.28515625" bestFit="1" customWidth="1"/>
    <col min="11710" max="11710" width="5.7109375" bestFit="1" customWidth="1"/>
    <col min="11711" max="11711" width="8.5703125" bestFit="1" customWidth="1"/>
    <col min="11712" max="11712" width="5.5703125" bestFit="1" customWidth="1"/>
    <col min="11713" max="11713" width="14.42578125" bestFit="1" customWidth="1"/>
    <col min="11714" max="11714" width="11.28515625" bestFit="1" customWidth="1"/>
    <col min="11715" max="11716" width="12.28515625" bestFit="1" customWidth="1"/>
    <col min="11717" max="11717" width="11.28515625" bestFit="1" customWidth="1"/>
    <col min="11718" max="11718" width="13.85546875" bestFit="1" customWidth="1"/>
    <col min="11719" max="11719" width="12" bestFit="1" customWidth="1"/>
    <col min="11720" max="11720" width="13.85546875" bestFit="1" customWidth="1"/>
    <col min="11721" max="11722" width="14.42578125" customWidth="1"/>
    <col min="11723" max="11723" width="10.140625" bestFit="1" customWidth="1"/>
    <col min="11724" max="11724" width="12.28515625" bestFit="1" customWidth="1"/>
    <col min="11725" max="11725" width="7.42578125" bestFit="1" customWidth="1"/>
    <col min="11726" max="11726" width="8.5703125" bestFit="1" customWidth="1"/>
    <col min="11727" max="11727" width="11.5703125" bestFit="1" customWidth="1"/>
    <col min="11728" max="11728" width="13.28515625" bestFit="1" customWidth="1"/>
    <col min="11729" max="11729" width="13.28515625" customWidth="1"/>
    <col min="11730" max="11730" width="13.140625" customWidth="1"/>
    <col min="11731" max="11731" width="12.7109375" bestFit="1" customWidth="1"/>
    <col min="11732" max="11732" width="13.28515625" bestFit="1" customWidth="1"/>
    <col min="11733" max="11735" width="13.28515625" customWidth="1"/>
    <col min="11736" max="11736" width="12.140625" bestFit="1" customWidth="1"/>
    <col min="11737" max="11737" width="12.7109375" bestFit="1" customWidth="1"/>
    <col min="11738" max="11738" width="11" customWidth="1"/>
    <col min="11739" max="11739" width="16.7109375" customWidth="1"/>
    <col min="11740" max="11740" width="17" customWidth="1"/>
    <col min="11741" max="11741" width="10.42578125" bestFit="1" customWidth="1"/>
    <col min="11785" max="11785" width="3.85546875" customWidth="1"/>
    <col min="11786" max="11786" width="15.28515625" bestFit="1" customWidth="1"/>
    <col min="11787" max="11787" width="12.28515625" customWidth="1"/>
    <col min="11788" max="11788" width="16.28515625" bestFit="1" customWidth="1"/>
    <col min="11789" max="11789" width="6.42578125" bestFit="1" customWidth="1"/>
    <col min="11790" max="11790" width="9.28515625" bestFit="1" customWidth="1"/>
    <col min="11791" max="11791" width="7.5703125" bestFit="1" customWidth="1"/>
    <col min="11792" max="11792" width="13.28515625" bestFit="1" customWidth="1"/>
    <col min="11793" max="11793" width="9.28515625" bestFit="1" customWidth="1"/>
    <col min="11794" max="11794" width="11.5703125" bestFit="1" customWidth="1"/>
    <col min="11795" max="11795" width="13.28515625" bestFit="1" customWidth="1"/>
    <col min="11796" max="11796" width="7.140625" bestFit="1" customWidth="1"/>
    <col min="11797" max="11797" width="12" bestFit="1" customWidth="1"/>
    <col min="11798" max="11798" width="13.28515625" bestFit="1" customWidth="1"/>
    <col min="11799" max="11799" width="7" bestFit="1" customWidth="1"/>
    <col min="11800" max="11800" width="12.7109375" bestFit="1" customWidth="1"/>
    <col min="11801" max="11801" width="11.5703125" bestFit="1" customWidth="1"/>
    <col min="11802" max="11802" width="10.5703125" bestFit="1" customWidth="1"/>
    <col min="11803" max="11804" width="15.7109375" bestFit="1" customWidth="1"/>
    <col min="11805" max="11805" width="11.5703125" bestFit="1" customWidth="1"/>
    <col min="11806" max="11806" width="7.7109375" bestFit="1" customWidth="1"/>
    <col min="11807" max="11807" width="15.140625" bestFit="1" customWidth="1"/>
    <col min="11808" max="11808" width="11.5703125" bestFit="1" customWidth="1"/>
    <col min="11809" max="11809" width="13.28515625" bestFit="1" customWidth="1"/>
    <col min="11810" max="11810" width="10.42578125" bestFit="1" customWidth="1"/>
    <col min="11811" max="11811" width="13.28515625" bestFit="1" customWidth="1"/>
    <col min="11812" max="11812" width="12.140625" bestFit="1" customWidth="1"/>
    <col min="11813" max="11813" width="14.42578125" bestFit="1" customWidth="1"/>
    <col min="11814" max="11814" width="13.28515625" bestFit="1" customWidth="1"/>
    <col min="11815" max="11815" width="11.5703125" bestFit="1" customWidth="1"/>
    <col min="11816" max="11816" width="7.7109375" bestFit="1" customWidth="1"/>
    <col min="11817" max="11818" width="14.42578125" bestFit="1" customWidth="1"/>
    <col min="11819" max="11819" width="11.5703125" bestFit="1" customWidth="1"/>
    <col min="11820" max="11820" width="7.7109375" bestFit="1" customWidth="1"/>
    <col min="11821" max="11821" width="13.5703125" customWidth="1"/>
    <col min="11822" max="11822" width="15.28515625" customWidth="1"/>
    <col min="11823" max="11823" width="14.5703125" customWidth="1"/>
    <col min="11824" max="11824" width="13.28515625" bestFit="1" customWidth="1"/>
    <col min="11825" max="11825" width="7.7109375" bestFit="1" customWidth="1"/>
    <col min="11826" max="11826" width="12.7109375" bestFit="1" customWidth="1"/>
    <col min="11827" max="11827" width="11.7109375" bestFit="1" customWidth="1"/>
    <col min="11828" max="11828" width="11.5703125" bestFit="1" customWidth="1"/>
    <col min="11829" max="11829" width="5.28515625" bestFit="1" customWidth="1"/>
    <col min="11830" max="11830" width="13.28515625" bestFit="1" customWidth="1"/>
    <col min="11831" max="11831" width="13.5703125" bestFit="1" customWidth="1"/>
    <col min="11832" max="11832" width="10.5703125" bestFit="1" customWidth="1"/>
    <col min="11833" max="11833" width="13.28515625" bestFit="1" customWidth="1"/>
    <col min="11834" max="11834" width="11.5703125" bestFit="1" customWidth="1"/>
    <col min="11835" max="11835" width="10.5703125" bestFit="1" customWidth="1"/>
    <col min="11836" max="11836" width="16.140625" bestFit="1" customWidth="1"/>
    <col min="11837" max="11838" width="11.28515625" bestFit="1" customWidth="1"/>
    <col min="11839" max="11839" width="13.28515625" bestFit="1" customWidth="1"/>
    <col min="11840" max="11840" width="7.7109375" bestFit="1" customWidth="1"/>
    <col min="11841" max="11844" width="9.140625" hidden="1" customWidth="1"/>
    <col min="11845" max="11845" width="10.42578125" bestFit="1" customWidth="1"/>
    <col min="11846" max="11846" width="10.5703125" bestFit="1" customWidth="1"/>
    <col min="11847" max="11847" width="10.42578125" bestFit="1" customWidth="1"/>
    <col min="11848" max="11848" width="10.5703125" bestFit="1" customWidth="1"/>
    <col min="11849" max="11849" width="9.5703125" bestFit="1" customWidth="1"/>
    <col min="11850" max="11850" width="11.5703125" bestFit="1" customWidth="1"/>
    <col min="11851" max="11851" width="10.42578125" bestFit="1" customWidth="1"/>
    <col min="11852" max="11852" width="10.85546875" customWidth="1"/>
    <col min="11853" max="11854" width="9.85546875" bestFit="1" customWidth="1"/>
    <col min="11855" max="11855" width="13.5703125" bestFit="1" customWidth="1"/>
    <col min="11856" max="11856" width="7.7109375" bestFit="1" customWidth="1"/>
    <col min="11857" max="11857" width="13.28515625" bestFit="1" customWidth="1"/>
    <col min="11858" max="11858" width="11.5703125" bestFit="1" customWidth="1"/>
    <col min="11859" max="11859" width="10.42578125" bestFit="1" customWidth="1"/>
    <col min="11860" max="11860" width="7.7109375" bestFit="1" customWidth="1"/>
    <col min="11861" max="11861" width="11.5703125" bestFit="1" customWidth="1"/>
    <col min="11862" max="11862" width="10.85546875" bestFit="1" customWidth="1"/>
    <col min="11863" max="11863" width="13.28515625" bestFit="1" customWidth="1"/>
    <col min="11864" max="11864" width="10.85546875" bestFit="1" customWidth="1"/>
    <col min="11865" max="11866" width="7.5703125" bestFit="1" customWidth="1"/>
    <col min="11867" max="11868" width="10.42578125" bestFit="1" customWidth="1"/>
    <col min="11869" max="11869" width="11.5703125" bestFit="1" customWidth="1"/>
    <col min="11870" max="11870" width="5.28515625" bestFit="1" customWidth="1"/>
    <col min="11871" max="11871" width="10.28515625" bestFit="1" customWidth="1"/>
    <col min="11872" max="11872" width="10.42578125" bestFit="1" customWidth="1"/>
    <col min="11873" max="11873" width="11.5703125" bestFit="1" customWidth="1"/>
    <col min="11874" max="11874" width="5.28515625" bestFit="1" customWidth="1"/>
    <col min="11875" max="11877" width="11.5703125" bestFit="1" customWidth="1"/>
    <col min="11878" max="11878" width="5.28515625" bestFit="1" customWidth="1"/>
    <col min="11879" max="11880" width="10.42578125" bestFit="1" customWidth="1"/>
    <col min="11881" max="11881" width="11.5703125" bestFit="1" customWidth="1"/>
    <col min="11882" max="11882" width="5.28515625" bestFit="1" customWidth="1"/>
    <col min="11883" max="11883" width="14.28515625" bestFit="1" customWidth="1"/>
    <col min="11884" max="11884" width="13" bestFit="1" customWidth="1"/>
    <col min="11885" max="11885" width="11.5703125" bestFit="1" customWidth="1"/>
    <col min="11886" max="11886" width="8.85546875" bestFit="1" customWidth="1"/>
    <col min="11887" max="11887" width="14.42578125" bestFit="1" customWidth="1"/>
    <col min="11888" max="11888" width="10.42578125" bestFit="1" customWidth="1"/>
    <col min="11889" max="11889" width="12.28515625" bestFit="1" customWidth="1"/>
    <col min="11890" max="11890" width="13.85546875" bestFit="1" customWidth="1"/>
    <col min="11891" max="11891" width="11.28515625" customWidth="1"/>
    <col min="11892" max="11892" width="11.5703125" customWidth="1"/>
    <col min="11893" max="11893" width="13.42578125" bestFit="1" customWidth="1"/>
    <col min="11894" max="11894" width="10.42578125" customWidth="1"/>
    <col min="11895" max="11895" width="13.85546875" bestFit="1" customWidth="1"/>
    <col min="11896" max="11896" width="15.42578125" bestFit="1" customWidth="1"/>
    <col min="11897" max="11897" width="12.28515625" bestFit="1" customWidth="1"/>
    <col min="11898" max="11898" width="12.7109375" customWidth="1"/>
    <col min="11899" max="11899" width="10.7109375" bestFit="1" customWidth="1"/>
    <col min="11900" max="11900" width="9.85546875" customWidth="1"/>
    <col min="11901" max="11902" width="10.140625" bestFit="1" customWidth="1"/>
    <col min="11903" max="11903" width="7.5703125" bestFit="1" customWidth="1"/>
    <col min="11904" max="11904" width="9.42578125" bestFit="1" customWidth="1"/>
    <col min="11905" max="11905" width="14.5703125" bestFit="1" customWidth="1"/>
    <col min="11906" max="11906" width="14.85546875" customWidth="1"/>
    <col min="11907" max="11907" width="15.140625" bestFit="1" customWidth="1"/>
    <col min="11908" max="11908" width="12.140625" bestFit="1" customWidth="1"/>
    <col min="11909" max="11909" width="14.85546875" bestFit="1" customWidth="1"/>
    <col min="11910" max="11910" width="12.28515625" bestFit="1" customWidth="1"/>
    <col min="11911" max="11919" width="9.140625" hidden="1" customWidth="1"/>
    <col min="11920" max="11920" width="5.28515625" bestFit="1" customWidth="1"/>
    <col min="11921" max="11926" width="11.5703125" bestFit="1" customWidth="1"/>
    <col min="11927" max="11927" width="11.28515625" bestFit="1" customWidth="1"/>
    <col min="11928" max="11928" width="10.140625" bestFit="1" customWidth="1"/>
    <col min="11929" max="11929" width="11.5703125" bestFit="1" customWidth="1"/>
    <col min="11930" max="11930" width="16.140625" customWidth="1"/>
    <col min="11931" max="11931" width="13.42578125" customWidth="1"/>
    <col min="11932" max="11932" width="10.140625" bestFit="1" customWidth="1"/>
    <col min="11933" max="11933" width="12.85546875" bestFit="1" customWidth="1"/>
    <col min="11934" max="11934" width="12.28515625" bestFit="1" customWidth="1"/>
    <col min="11935" max="11935" width="11.28515625" bestFit="1" customWidth="1"/>
    <col min="11936" max="11936" width="11.5703125" bestFit="1" customWidth="1"/>
    <col min="11937" max="11937" width="10.85546875" bestFit="1" customWidth="1"/>
    <col min="11938" max="11938" width="11.28515625" bestFit="1" customWidth="1"/>
    <col min="11939" max="11939" width="10.140625" bestFit="1" customWidth="1"/>
    <col min="11940" max="11940" width="13.28515625" bestFit="1" customWidth="1"/>
    <col min="11941" max="11942" width="12.7109375" bestFit="1" customWidth="1"/>
    <col min="11943" max="11943" width="11" bestFit="1" customWidth="1"/>
    <col min="11944" max="11944" width="11.28515625" bestFit="1" customWidth="1"/>
    <col min="11945" max="11945" width="11.5703125" bestFit="1" customWidth="1"/>
    <col min="11946" max="11946" width="12.28515625" bestFit="1" customWidth="1"/>
    <col min="11947" max="11947" width="15.140625" bestFit="1" customWidth="1"/>
    <col min="11948" max="11948" width="14.42578125" bestFit="1" customWidth="1"/>
    <col min="11949" max="11949" width="12.28515625" bestFit="1" customWidth="1"/>
    <col min="11950" max="11950" width="15.140625" bestFit="1" customWidth="1"/>
    <col min="11951" max="11951" width="14.42578125" bestFit="1" customWidth="1"/>
    <col min="11952" max="11952" width="12.28515625" bestFit="1" customWidth="1"/>
    <col min="11953" max="11953" width="14.42578125" bestFit="1" customWidth="1"/>
    <col min="11954" max="11954" width="11.28515625" bestFit="1" customWidth="1"/>
    <col min="11955" max="11955" width="12.28515625" bestFit="1" customWidth="1"/>
    <col min="11956" max="11956" width="13" bestFit="1" customWidth="1"/>
    <col min="11957" max="11957" width="15.140625" bestFit="1" customWidth="1"/>
    <col min="11958" max="11958" width="12.28515625" bestFit="1" customWidth="1"/>
    <col min="11959" max="11959" width="13.85546875" bestFit="1" customWidth="1"/>
    <col min="11960" max="11960" width="11.28515625" bestFit="1" customWidth="1"/>
    <col min="11961" max="11961" width="12.28515625" bestFit="1" customWidth="1"/>
    <col min="11962" max="11962" width="13.85546875" bestFit="1" customWidth="1"/>
    <col min="11963" max="11964" width="15.140625" bestFit="1" customWidth="1"/>
    <col min="11965" max="11965" width="12.28515625" bestFit="1" customWidth="1"/>
    <col min="11966" max="11966" width="5.7109375" bestFit="1" customWidth="1"/>
    <col min="11967" max="11967" width="8.5703125" bestFit="1" customWidth="1"/>
    <col min="11968" max="11968" width="5.5703125" bestFit="1" customWidth="1"/>
    <col min="11969" max="11969" width="14.42578125" bestFit="1" customWidth="1"/>
    <col min="11970" max="11970" width="11.28515625" bestFit="1" customWidth="1"/>
    <col min="11971" max="11972" width="12.28515625" bestFit="1" customWidth="1"/>
    <col min="11973" max="11973" width="11.28515625" bestFit="1" customWidth="1"/>
    <col min="11974" max="11974" width="13.85546875" bestFit="1" customWidth="1"/>
    <col min="11975" max="11975" width="12" bestFit="1" customWidth="1"/>
    <col min="11976" max="11976" width="13.85546875" bestFit="1" customWidth="1"/>
    <col min="11977" max="11978" width="14.42578125" customWidth="1"/>
    <col min="11979" max="11979" width="10.140625" bestFit="1" customWidth="1"/>
    <col min="11980" max="11980" width="12.28515625" bestFit="1" customWidth="1"/>
    <col min="11981" max="11981" width="7.42578125" bestFit="1" customWidth="1"/>
    <col min="11982" max="11982" width="8.5703125" bestFit="1" customWidth="1"/>
    <col min="11983" max="11983" width="11.5703125" bestFit="1" customWidth="1"/>
    <col min="11984" max="11984" width="13.28515625" bestFit="1" customWidth="1"/>
    <col min="11985" max="11985" width="13.28515625" customWidth="1"/>
    <col min="11986" max="11986" width="13.140625" customWidth="1"/>
    <col min="11987" max="11987" width="12.7109375" bestFit="1" customWidth="1"/>
    <col min="11988" max="11988" width="13.28515625" bestFit="1" customWidth="1"/>
    <col min="11989" max="11991" width="13.28515625" customWidth="1"/>
    <col min="11992" max="11992" width="12.140625" bestFit="1" customWidth="1"/>
    <col min="11993" max="11993" width="12.7109375" bestFit="1" customWidth="1"/>
    <col min="11994" max="11994" width="11" customWidth="1"/>
    <col min="11995" max="11995" width="16.7109375" customWidth="1"/>
    <col min="11996" max="11996" width="17" customWidth="1"/>
    <col min="11997" max="11997" width="10.42578125" bestFit="1" customWidth="1"/>
    <col min="12041" max="12041" width="3.85546875" customWidth="1"/>
    <col min="12042" max="12042" width="15.28515625" bestFit="1" customWidth="1"/>
    <col min="12043" max="12043" width="12.28515625" customWidth="1"/>
    <col min="12044" max="12044" width="16.28515625" bestFit="1" customWidth="1"/>
    <col min="12045" max="12045" width="6.42578125" bestFit="1" customWidth="1"/>
    <col min="12046" max="12046" width="9.28515625" bestFit="1" customWidth="1"/>
    <col min="12047" max="12047" width="7.5703125" bestFit="1" customWidth="1"/>
    <col min="12048" max="12048" width="13.28515625" bestFit="1" customWidth="1"/>
    <col min="12049" max="12049" width="9.28515625" bestFit="1" customWidth="1"/>
    <col min="12050" max="12050" width="11.5703125" bestFit="1" customWidth="1"/>
    <col min="12051" max="12051" width="13.28515625" bestFit="1" customWidth="1"/>
    <col min="12052" max="12052" width="7.140625" bestFit="1" customWidth="1"/>
    <col min="12053" max="12053" width="12" bestFit="1" customWidth="1"/>
    <col min="12054" max="12054" width="13.28515625" bestFit="1" customWidth="1"/>
    <col min="12055" max="12055" width="7" bestFit="1" customWidth="1"/>
    <col min="12056" max="12056" width="12.7109375" bestFit="1" customWidth="1"/>
    <col min="12057" max="12057" width="11.5703125" bestFit="1" customWidth="1"/>
    <col min="12058" max="12058" width="10.5703125" bestFit="1" customWidth="1"/>
    <col min="12059" max="12060" width="15.7109375" bestFit="1" customWidth="1"/>
    <col min="12061" max="12061" width="11.5703125" bestFit="1" customWidth="1"/>
    <col min="12062" max="12062" width="7.7109375" bestFit="1" customWidth="1"/>
    <col min="12063" max="12063" width="15.140625" bestFit="1" customWidth="1"/>
    <col min="12064" max="12064" width="11.5703125" bestFit="1" customWidth="1"/>
    <col min="12065" max="12065" width="13.28515625" bestFit="1" customWidth="1"/>
    <col min="12066" max="12066" width="10.42578125" bestFit="1" customWidth="1"/>
    <col min="12067" max="12067" width="13.28515625" bestFit="1" customWidth="1"/>
    <col min="12068" max="12068" width="12.140625" bestFit="1" customWidth="1"/>
    <col min="12069" max="12069" width="14.42578125" bestFit="1" customWidth="1"/>
    <col min="12070" max="12070" width="13.28515625" bestFit="1" customWidth="1"/>
    <col min="12071" max="12071" width="11.5703125" bestFit="1" customWidth="1"/>
    <col min="12072" max="12072" width="7.7109375" bestFit="1" customWidth="1"/>
    <col min="12073" max="12074" width="14.42578125" bestFit="1" customWidth="1"/>
    <col min="12075" max="12075" width="11.5703125" bestFit="1" customWidth="1"/>
    <col min="12076" max="12076" width="7.7109375" bestFit="1" customWidth="1"/>
    <col min="12077" max="12077" width="13.5703125" customWidth="1"/>
    <col min="12078" max="12078" width="15.28515625" customWidth="1"/>
    <col min="12079" max="12079" width="14.5703125" customWidth="1"/>
    <col min="12080" max="12080" width="13.28515625" bestFit="1" customWidth="1"/>
    <col min="12081" max="12081" width="7.7109375" bestFit="1" customWidth="1"/>
    <col min="12082" max="12082" width="12.7109375" bestFit="1" customWidth="1"/>
    <col min="12083" max="12083" width="11.7109375" bestFit="1" customWidth="1"/>
    <col min="12084" max="12084" width="11.5703125" bestFit="1" customWidth="1"/>
    <col min="12085" max="12085" width="5.28515625" bestFit="1" customWidth="1"/>
    <col min="12086" max="12086" width="13.28515625" bestFit="1" customWidth="1"/>
    <col min="12087" max="12087" width="13.5703125" bestFit="1" customWidth="1"/>
    <col min="12088" max="12088" width="10.5703125" bestFit="1" customWidth="1"/>
    <col min="12089" max="12089" width="13.28515625" bestFit="1" customWidth="1"/>
    <col min="12090" max="12090" width="11.5703125" bestFit="1" customWidth="1"/>
    <col min="12091" max="12091" width="10.5703125" bestFit="1" customWidth="1"/>
    <col min="12092" max="12092" width="16.140625" bestFit="1" customWidth="1"/>
    <col min="12093" max="12094" width="11.28515625" bestFit="1" customWidth="1"/>
    <col min="12095" max="12095" width="13.28515625" bestFit="1" customWidth="1"/>
    <col min="12096" max="12096" width="7.7109375" bestFit="1" customWidth="1"/>
    <col min="12097" max="12100" width="9.140625" hidden="1" customWidth="1"/>
    <col min="12101" max="12101" width="10.42578125" bestFit="1" customWidth="1"/>
    <col min="12102" max="12102" width="10.5703125" bestFit="1" customWidth="1"/>
    <col min="12103" max="12103" width="10.42578125" bestFit="1" customWidth="1"/>
    <col min="12104" max="12104" width="10.5703125" bestFit="1" customWidth="1"/>
    <col min="12105" max="12105" width="9.5703125" bestFit="1" customWidth="1"/>
    <col min="12106" max="12106" width="11.5703125" bestFit="1" customWidth="1"/>
    <col min="12107" max="12107" width="10.42578125" bestFit="1" customWidth="1"/>
    <col min="12108" max="12108" width="10.85546875" customWidth="1"/>
    <col min="12109" max="12110" width="9.85546875" bestFit="1" customWidth="1"/>
    <col min="12111" max="12111" width="13.5703125" bestFit="1" customWidth="1"/>
    <col min="12112" max="12112" width="7.7109375" bestFit="1" customWidth="1"/>
    <col min="12113" max="12113" width="13.28515625" bestFit="1" customWidth="1"/>
    <col min="12114" max="12114" width="11.5703125" bestFit="1" customWidth="1"/>
    <col min="12115" max="12115" width="10.42578125" bestFit="1" customWidth="1"/>
    <col min="12116" max="12116" width="7.7109375" bestFit="1" customWidth="1"/>
    <col min="12117" max="12117" width="11.5703125" bestFit="1" customWidth="1"/>
    <col min="12118" max="12118" width="10.85546875" bestFit="1" customWidth="1"/>
    <col min="12119" max="12119" width="13.28515625" bestFit="1" customWidth="1"/>
    <col min="12120" max="12120" width="10.85546875" bestFit="1" customWidth="1"/>
    <col min="12121" max="12122" width="7.5703125" bestFit="1" customWidth="1"/>
    <col min="12123" max="12124" width="10.42578125" bestFit="1" customWidth="1"/>
    <col min="12125" max="12125" width="11.5703125" bestFit="1" customWidth="1"/>
    <col min="12126" max="12126" width="5.28515625" bestFit="1" customWidth="1"/>
    <col min="12127" max="12127" width="10.28515625" bestFit="1" customWidth="1"/>
    <col min="12128" max="12128" width="10.42578125" bestFit="1" customWidth="1"/>
    <col min="12129" max="12129" width="11.5703125" bestFit="1" customWidth="1"/>
    <col min="12130" max="12130" width="5.28515625" bestFit="1" customWidth="1"/>
    <col min="12131" max="12133" width="11.5703125" bestFit="1" customWidth="1"/>
    <col min="12134" max="12134" width="5.28515625" bestFit="1" customWidth="1"/>
    <col min="12135" max="12136" width="10.42578125" bestFit="1" customWidth="1"/>
    <col min="12137" max="12137" width="11.5703125" bestFit="1" customWidth="1"/>
    <col min="12138" max="12138" width="5.28515625" bestFit="1" customWidth="1"/>
    <col min="12139" max="12139" width="14.28515625" bestFit="1" customWidth="1"/>
    <col min="12140" max="12140" width="13" bestFit="1" customWidth="1"/>
    <col min="12141" max="12141" width="11.5703125" bestFit="1" customWidth="1"/>
    <col min="12142" max="12142" width="8.85546875" bestFit="1" customWidth="1"/>
    <col min="12143" max="12143" width="14.42578125" bestFit="1" customWidth="1"/>
    <col min="12144" max="12144" width="10.42578125" bestFit="1" customWidth="1"/>
    <col min="12145" max="12145" width="12.28515625" bestFit="1" customWidth="1"/>
    <col min="12146" max="12146" width="13.85546875" bestFit="1" customWidth="1"/>
    <col min="12147" max="12147" width="11.28515625" customWidth="1"/>
    <col min="12148" max="12148" width="11.5703125" customWidth="1"/>
    <col min="12149" max="12149" width="13.42578125" bestFit="1" customWidth="1"/>
    <col min="12150" max="12150" width="10.42578125" customWidth="1"/>
    <col min="12151" max="12151" width="13.85546875" bestFit="1" customWidth="1"/>
    <col min="12152" max="12152" width="15.42578125" bestFit="1" customWidth="1"/>
    <col min="12153" max="12153" width="12.28515625" bestFit="1" customWidth="1"/>
    <col min="12154" max="12154" width="12.7109375" customWidth="1"/>
    <col min="12155" max="12155" width="10.7109375" bestFit="1" customWidth="1"/>
    <col min="12156" max="12156" width="9.85546875" customWidth="1"/>
    <col min="12157" max="12158" width="10.140625" bestFit="1" customWidth="1"/>
    <col min="12159" max="12159" width="7.5703125" bestFit="1" customWidth="1"/>
    <col min="12160" max="12160" width="9.42578125" bestFit="1" customWidth="1"/>
    <col min="12161" max="12161" width="14.5703125" bestFit="1" customWidth="1"/>
    <col min="12162" max="12162" width="14.85546875" customWidth="1"/>
    <col min="12163" max="12163" width="15.140625" bestFit="1" customWidth="1"/>
    <col min="12164" max="12164" width="12.140625" bestFit="1" customWidth="1"/>
    <col min="12165" max="12165" width="14.85546875" bestFit="1" customWidth="1"/>
    <col min="12166" max="12166" width="12.28515625" bestFit="1" customWidth="1"/>
    <col min="12167" max="12175" width="9.140625" hidden="1" customWidth="1"/>
    <col min="12176" max="12176" width="5.28515625" bestFit="1" customWidth="1"/>
    <col min="12177" max="12182" width="11.5703125" bestFit="1" customWidth="1"/>
    <col min="12183" max="12183" width="11.28515625" bestFit="1" customWidth="1"/>
    <col min="12184" max="12184" width="10.140625" bestFit="1" customWidth="1"/>
    <col min="12185" max="12185" width="11.5703125" bestFit="1" customWidth="1"/>
    <col min="12186" max="12186" width="16.140625" customWidth="1"/>
    <col min="12187" max="12187" width="13.42578125" customWidth="1"/>
    <col min="12188" max="12188" width="10.140625" bestFit="1" customWidth="1"/>
    <col min="12189" max="12189" width="12.85546875" bestFit="1" customWidth="1"/>
    <col min="12190" max="12190" width="12.28515625" bestFit="1" customWidth="1"/>
    <col min="12191" max="12191" width="11.28515625" bestFit="1" customWidth="1"/>
    <col min="12192" max="12192" width="11.5703125" bestFit="1" customWidth="1"/>
    <col min="12193" max="12193" width="10.85546875" bestFit="1" customWidth="1"/>
    <col min="12194" max="12194" width="11.28515625" bestFit="1" customWidth="1"/>
    <col min="12195" max="12195" width="10.140625" bestFit="1" customWidth="1"/>
    <col min="12196" max="12196" width="13.28515625" bestFit="1" customWidth="1"/>
    <col min="12197" max="12198" width="12.7109375" bestFit="1" customWidth="1"/>
    <col min="12199" max="12199" width="11" bestFit="1" customWidth="1"/>
    <col min="12200" max="12200" width="11.28515625" bestFit="1" customWidth="1"/>
    <col min="12201" max="12201" width="11.5703125" bestFit="1" customWidth="1"/>
    <col min="12202" max="12202" width="12.28515625" bestFit="1" customWidth="1"/>
    <col min="12203" max="12203" width="15.140625" bestFit="1" customWidth="1"/>
    <col min="12204" max="12204" width="14.42578125" bestFit="1" customWidth="1"/>
    <col min="12205" max="12205" width="12.28515625" bestFit="1" customWidth="1"/>
    <col min="12206" max="12206" width="15.140625" bestFit="1" customWidth="1"/>
    <col min="12207" max="12207" width="14.42578125" bestFit="1" customWidth="1"/>
    <col min="12208" max="12208" width="12.28515625" bestFit="1" customWidth="1"/>
    <col min="12209" max="12209" width="14.42578125" bestFit="1" customWidth="1"/>
    <col min="12210" max="12210" width="11.28515625" bestFit="1" customWidth="1"/>
    <col min="12211" max="12211" width="12.28515625" bestFit="1" customWidth="1"/>
    <col min="12212" max="12212" width="13" bestFit="1" customWidth="1"/>
    <col min="12213" max="12213" width="15.140625" bestFit="1" customWidth="1"/>
    <col min="12214" max="12214" width="12.28515625" bestFit="1" customWidth="1"/>
    <col min="12215" max="12215" width="13.85546875" bestFit="1" customWidth="1"/>
    <col min="12216" max="12216" width="11.28515625" bestFit="1" customWidth="1"/>
    <col min="12217" max="12217" width="12.28515625" bestFit="1" customWidth="1"/>
    <col min="12218" max="12218" width="13.85546875" bestFit="1" customWidth="1"/>
    <col min="12219" max="12220" width="15.140625" bestFit="1" customWidth="1"/>
    <col min="12221" max="12221" width="12.28515625" bestFit="1" customWidth="1"/>
    <col min="12222" max="12222" width="5.7109375" bestFit="1" customWidth="1"/>
    <col min="12223" max="12223" width="8.5703125" bestFit="1" customWidth="1"/>
    <col min="12224" max="12224" width="5.5703125" bestFit="1" customWidth="1"/>
    <col min="12225" max="12225" width="14.42578125" bestFit="1" customWidth="1"/>
    <col min="12226" max="12226" width="11.28515625" bestFit="1" customWidth="1"/>
    <col min="12227" max="12228" width="12.28515625" bestFit="1" customWidth="1"/>
    <col min="12229" max="12229" width="11.28515625" bestFit="1" customWidth="1"/>
    <col min="12230" max="12230" width="13.85546875" bestFit="1" customWidth="1"/>
    <col min="12231" max="12231" width="12" bestFit="1" customWidth="1"/>
    <col min="12232" max="12232" width="13.85546875" bestFit="1" customWidth="1"/>
    <col min="12233" max="12234" width="14.42578125" customWidth="1"/>
    <col min="12235" max="12235" width="10.140625" bestFit="1" customWidth="1"/>
    <col min="12236" max="12236" width="12.28515625" bestFit="1" customWidth="1"/>
    <col min="12237" max="12237" width="7.42578125" bestFit="1" customWidth="1"/>
    <col min="12238" max="12238" width="8.5703125" bestFit="1" customWidth="1"/>
    <col min="12239" max="12239" width="11.5703125" bestFit="1" customWidth="1"/>
    <col min="12240" max="12240" width="13.28515625" bestFit="1" customWidth="1"/>
    <col min="12241" max="12241" width="13.28515625" customWidth="1"/>
    <col min="12242" max="12242" width="13.140625" customWidth="1"/>
    <col min="12243" max="12243" width="12.7109375" bestFit="1" customWidth="1"/>
    <col min="12244" max="12244" width="13.28515625" bestFit="1" customWidth="1"/>
    <col min="12245" max="12247" width="13.28515625" customWidth="1"/>
    <col min="12248" max="12248" width="12.140625" bestFit="1" customWidth="1"/>
    <col min="12249" max="12249" width="12.7109375" bestFit="1" customWidth="1"/>
    <col min="12250" max="12250" width="11" customWidth="1"/>
    <col min="12251" max="12251" width="16.7109375" customWidth="1"/>
    <col min="12252" max="12252" width="17" customWidth="1"/>
    <col min="12253" max="12253" width="10.42578125" bestFit="1" customWidth="1"/>
    <col min="12297" max="12297" width="3.85546875" customWidth="1"/>
    <col min="12298" max="12298" width="15.28515625" bestFit="1" customWidth="1"/>
    <col min="12299" max="12299" width="12.28515625" customWidth="1"/>
    <col min="12300" max="12300" width="16.28515625" bestFit="1" customWidth="1"/>
    <col min="12301" max="12301" width="6.42578125" bestFit="1" customWidth="1"/>
    <col min="12302" max="12302" width="9.28515625" bestFit="1" customWidth="1"/>
    <col min="12303" max="12303" width="7.5703125" bestFit="1" customWidth="1"/>
    <col min="12304" max="12304" width="13.28515625" bestFit="1" customWidth="1"/>
    <col min="12305" max="12305" width="9.28515625" bestFit="1" customWidth="1"/>
    <col min="12306" max="12306" width="11.5703125" bestFit="1" customWidth="1"/>
    <col min="12307" max="12307" width="13.28515625" bestFit="1" customWidth="1"/>
    <col min="12308" max="12308" width="7.140625" bestFit="1" customWidth="1"/>
    <col min="12309" max="12309" width="12" bestFit="1" customWidth="1"/>
    <col min="12310" max="12310" width="13.28515625" bestFit="1" customWidth="1"/>
    <col min="12311" max="12311" width="7" bestFit="1" customWidth="1"/>
    <col min="12312" max="12312" width="12.7109375" bestFit="1" customWidth="1"/>
    <col min="12313" max="12313" width="11.5703125" bestFit="1" customWidth="1"/>
    <col min="12314" max="12314" width="10.5703125" bestFit="1" customWidth="1"/>
    <col min="12315" max="12316" width="15.7109375" bestFit="1" customWidth="1"/>
    <col min="12317" max="12317" width="11.5703125" bestFit="1" customWidth="1"/>
    <col min="12318" max="12318" width="7.7109375" bestFit="1" customWidth="1"/>
    <col min="12319" max="12319" width="15.140625" bestFit="1" customWidth="1"/>
    <col min="12320" max="12320" width="11.5703125" bestFit="1" customWidth="1"/>
    <col min="12321" max="12321" width="13.28515625" bestFit="1" customWidth="1"/>
    <col min="12322" max="12322" width="10.42578125" bestFit="1" customWidth="1"/>
    <col min="12323" max="12323" width="13.28515625" bestFit="1" customWidth="1"/>
    <col min="12324" max="12324" width="12.140625" bestFit="1" customWidth="1"/>
    <col min="12325" max="12325" width="14.42578125" bestFit="1" customWidth="1"/>
    <col min="12326" max="12326" width="13.28515625" bestFit="1" customWidth="1"/>
    <col min="12327" max="12327" width="11.5703125" bestFit="1" customWidth="1"/>
    <col min="12328" max="12328" width="7.7109375" bestFit="1" customWidth="1"/>
    <col min="12329" max="12330" width="14.42578125" bestFit="1" customWidth="1"/>
    <col min="12331" max="12331" width="11.5703125" bestFit="1" customWidth="1"/>
    <col min="12332" max="12332" width="7.7109375" bestFit="1" customWidth="1"/>
    <col min="12333" max="12333" width="13.5703125" customWidth="1"/>
    <col min="12334" max="12334" width="15.28515625" customWidth="1"/>
    <col min="12335" max="12335" width="14.5703125" customWidth="1"/>
    <col min="12336" max="12336" width="13.28515625" bestFit="1" customWidth="1"/>
    <col min="12337" max="12337" width="7.7109375" bestFit="1" customWidth="1"/>
    <col min="12338" max="12338" width="12.7109375" bestFit="1" customWidth="1"/>
    <col min="12339" max="12339" width="11.7109375" bestFit="1" customWidth="1"/>
    <col min="12340" max="12340" width="11.5703125" bestFit="1" customWidth="1"/>
    <col min="12341" max="12341" width="5.28515625" bestFit="1" customWidth="1"/>
    <col min="12342" max="12342" width="13.28515625" bestFit="1" customWidth="1"/>
    <col min="12343" max="12343" width="13.5703125" bestFit="1" customWidth="1"/>
    <col min="12344" max="12344" width="10.5703125" bestFit="1" customWidth="1"/>
    <col min="12345" max="12345" width="13.28515625" bestFit="1" customWidth="1"/>
    <col min="12346" max="12346" width="11.5703125" bestFit="1" customWidth="1"/>
    <col min="12347" max="12347" width="10.5703125" bestFit="1" customWidth="1"/>
    <col min="12348" max="12348" width="16.140625" bestFit="1" customWidth="1"/>
    <col min="12349" max="12350" width="11.28515625" bestFit="1" customWidth="1"/>
    <col min="12351" max="12351" width="13.28515625" bestFit="1" customWidth="1"/>
    <col min="12352" max="12352" width="7.7109375" bestFit="1" customWidth="1"/>
    <col min="12353" max="12356" width="9.140625" hidden="1" customWidth="1"/>
    <col min="12357" max="12357" width="10.42578125" bestFit="1" customWidth="1"/>
    <col min="12358" max="12358" width="10.5703125" bestFit="1" customWidth="1"/>
    <col min="12359" max="12359" width="10.42578125" bestFit="1" customWidth="1"/>
    <col min="12360" max="12360" width="10.5703125" bestFit="1" customWidth="1"/>
    <col min="12361" max="12361" width="9.5703125" bestFit="1" customWidth="1"/>
    <col min="12362" max="12362" width="11.5703125" bestFit="1" customWidth="1"/>
    <col min="12363" max="12363" width="10.42578125" bestFit="1" customWidth="1"/>
    <col min="12364" max="12364" width="10.85546875" customWidth="1"/>
    <col min="12365" max="12366" width="9.85546875" bestFit="1" customWidth="1"/>
    <col min="12367" max="12367" width="13.5703125" bestFit="1" customWidth="1"/>
    <col min="12368" max="12368" width="7.7109375" bestFit="1" customWidth="1"/>
    <col min="12369" max="12369" width="13.28515625" bestFit="1" customWidth="1"/>
    <col min="12370" max="12370" width="11.5703125" bestFit="1" customWidth="1"/>
    <col min="12371" max="12371" width="10.42578125" bestFit="1" customWidth="1"/>
    <col min="12372" max="12372" width="7.7109375" bestFit="1" customWidth="1"/>
    <col min="12373" max="12373" width="11.5703125" bestFit="1" customWidth="1"/>
    <col min="12374" max="12374" width="10.85546875" bestFit="1" customWidth="1"/>
    <col min="12375" max="12375" width="13.28515625" bestFit="1" customWidth="1"/>
    <col min="12376" max="12376" width="10.85546875" bestFit="1" customWidth="1"/>
    <col min="12377" max="12378" width="7.5703125" bestFit="1" customWidth="1"/>
    <col min="12379" max="12380" width="10.42578125" bestFit="1" customWidth="1"/>
    <col min="12381" max="12381" width="11.5703125" bestFit="1" customWidth="1"/>
    <col min="12382" max="12382" width="5.28515625" bestFit="1" customWidth="1"/>
    <col min="12383" max="12383" width="10.28515625" bestFit="1" customWidth="1"/>
    <col min="12384" max="12384" width="10.42578125" bestFit="1" customWidth="1"/>
    <col min="12385" max="12385" width="11.5703125" bestFit="1" customWidth="1"/>
    <col min="12386" max="12386" width="5.28515625" bestFit="1" customWidth="1"/>
    <col min="12387" max="12389" width="11.5703125" bestFit="1" customWidth="1"/>
    <col min="12390" max="12390" width="5.28515625" bestFit="1" customWidth="1"/>
    <col min="12391" max="12392" width="10.42578125" bestFit="1" customWidth="1"/>
    <col min="12393" max="12393" width="11.5703125" bestFit="1" customWidth="1"/>
    <col min="12394" max="12394" width="5.28515625" bestFit="1" customWidth="1"/>
    <col min="12395" max="12395" width="14.28515625" bestFit="1" customWidth="1"/>
    <col min="12396" max="12396" width="13" bestFit="1" customWidth="1"/>
    <col min="12397" max="12397" width="11.5703125" bestFit="1" customWidth="1"/>
    <col min="12398" max="12398" width="8.85546875" bestFit="1" customWidth="1"/>
    <col min="12399" max="12399" width="14.42578125" bestFit="1" customWidth="1"/>
    <col min="12400" max="12400" width="10.42578125" bestFit="1" customWidth="1"/>
    <col min="12401" max="12401" width="12.28515625" bestFit="1" customWidth="1"/>
    <col min="12402" max="12402" width="13.85546875" bestFit="1" customWidth="1"/>
    <col min="12403" max="12403" width="11.28515625" customWidth="1"/>
    <col min="12404" max="12404" width="11.5703125" customWidth="1"/>
    <col min="12405" max="12405" width="13.42578125" bestFit="1" customWidth="1"/>
    <col min="12406" max="12406" width="10.42578125" customWidth="1"/>
    <col min="12407" max="12407" width="13.85546875" bestFit="1" customWidth="1"/>
    <col min="12408" max="12408" width="15.42578125" bestFit="1" customWidth="1"/>
    <col min="12409" max="12409" width="12.28515625" bestFit="1" customWidth="1"/>
    <col min="12410" max="12410" width="12.7109375" customWidth="1"/>
    <col min="12411" max="12411" width="10.7109375" bestFit="1" customWidth="1"/>
    <col min="12412" max="12412" width="9.85546875" customWidth="1"/>
    <col min="12413" max="12414" width="10.140625" bestFit="1" customWidth="1"/>
    <col min="12415" max="12415" width="7.5703125" bestFit="1" customWidth="1"/>
    <col min="12416" max="12416" width="9.42578125" bestFit="1" customWidth="1"/>
    <col min="12417" max="12417" width="14.5703125" bestFit="1" customWidth="1"/>
    <col min="12418" max="12418" width="14.85546875" customWidth="1"/>
    <col min="12419" max="12419" width="15.140625" bestFit="1" customWidth="1"/>
    <col min="12420" max="12420" width="12.140625" bestFit="1" customWidth="1"/>
    <col min="12421" max="12421" width="14.85546875" bestFit="1" customWidth="1"/>
    <col min="12422" max="12422" width="12.28515625" bestFit="1" customWidth="1"/>
    <col min="12423" max="12431" width="9.140625" hidden="1" customWidth="1"/>
    <col min="12432" max="12432" width="5.28515625" bestFit="1" customWidth="1"/>
    <col min="12433" max="12438" width="11.5703125" bestFit="1" customWidth="1"/>
    <col min="12439" max="12439" width="11.28515625" bestFit="1" customWidth="1"/>
    <col min="12440" max="12440" width="10.140625" bestFit="1" customWidth="1"/>
    <col min="12441" max="12441" width="11.5703125" bestFit="1" customWidth="1"/>
    <col min="12442" max="12442" width="16.140625" customWidth="1"/>
    <col min="12443" max="12443" width="13.42578125" customWidth="1"/>
    <col min="12444" max="12444" width="10.140625" bestFit="1" customWidth="1"/>
    <col min="12445" max="12445" width="12.85546875" bestFit="1" customWidth="1"/>
    <col min="12446" max="12446" width="12.28515625" bestFit="1" customWidth="1"/>
    <col min="12447" max="12447" width="11.28515625" bestFit="1" customWidth="1"/>
    <col min="12448" max="12448" width="11.5703125" bestFit="1" customWidth="1"/>
    <col min="12449" max="12449" width="10.85546875" bestFit="1" customWidth="1"/>
    <col min="12450" max="12450" width="11.28515625" bestFit="1" customWidth="1"/>
    <col min="12451" max="12451" width="10.140625" bestFit="1" customWidth="1"/>
    <col min="12452" max="12452" width="13.28515625" bestFit="1" customWidth="1"/>
    <col min="12453" max="12454" width="12.7109375" bestFit="1" customWidth="1"/>
    <col min="12455" max="12455" width="11" bestFit="1" customWidth="1"/>
    <col min="12456" max="12456" width="11.28515625" bestFit="1" customWidth="1"/>
    <col min="12457" max="12457" width="11.5703125" bestFit="1" customWidth="1"/>
    <col min="12458" max="12458" width="12.28515625" bestFit="1" customWidth="1"/>
    <col min="12459" max="12459" width="15.140625" bestFit="1" customWidth="1"/>
    <col min="12460" max="12460" width="14.42578125" bestFit="1" customWidth="1"/>
    <col min="12461" max="12461" width="12.28515625" bestFit="1" customWidth="1"/>
    <col min="12462" max="12462" width="15.140625" bestFit="1" customWidth="1"/>
    <col min="12463" max="12463" width="14.42578125" bestFit="1" customWidth="1"/>
    <col min="12464" max="12464" width="12.28515625" bestFit="1" customWidth="1"/>
    <col min="12465" max="12465" width="14.42578125" bestFit="1" customWidth="1"/>
    <col min="12466" max="12466" width="11.28515625" bestFit="1" customWidth="1"/>
    <col min="12467" max="12467" width="12.28515625" bestFit="1" customWidth="1"/>
    <col min="12468" max="12468" width="13" bestFit="1" customWidth="1"/>
    <col min="12469" max="12469" width="15.140625" bestFit="1" customWidth="1"/>
    <col min="12470" max="12470" width="12.28515625" bestFit="1" customWidth="1"/>
    <col min="12471" max="12471" width="13.85546875" bestFit="1" customWidth="1"/>
    <col min="12472" max="12472" width="11.28515625" bestFit="1" customWidth="1"/>
    <col min="12473" max="12473" width="12.28515625" bestFit="1" customWidth="1"/>
    <col min="12474" max="12474" width="13.85546875" bestFit="1" customWidth="1"/>
    <col min="12475" max="12476" width="15.140625" bestFit="1" customWidth="1"/>
    <col min="12477" max="12477" width="12.28515625" bestFit="1" customWidth="1"/>
    <col min="12478" max="12478" width="5.7109375" bestFit="1" customWidth="1"/>
    <col min="12479" max="12479" width="8.5703125" bestFit="1" customWidth="1"/>
    <col min="12480" max="12480" width="5.5703125" bestFit="1" customWidth="1"/>
    <col min="12481" max="12481" width="14.42578125" bestFit="1" customWidth="1"/>
    <col min="12482" max="12482" width="11.28515625" bestFit="1" customWidth="1"/>
    <col min="12483" max="12484" width="12.28515625" bestFit="1" customWidth="1"/>
    <col min="12485" max="12485" width="11.28515625" bestFit="1" customWidth="1"/>
    <col min="12486" max="12486" width="13.85546875" bestFit="1" customWidth="1"/>
    <col min="12487" max="12487" width="12" bestFit="1" customWidth="1"/>
    <col min="12488" max="12488" width="13.85546875" bestFit="1" customWidth="1"/>
    <col min="12489" max="12490" width="14.42578125" customWidth="1"/>
    <col min="12491" max="12491" width="10.140625" bestFit="1" customWidth="1"/>
    <col min="12492" max="12492" width="12.28515625" bestFit="1" customWidth="1"/>
    <col min="12493" max="12493" width="7.42578125" bestFit="1" customWidth="1"/>
    <col min="12494" max="12494" width="8.5703125" bestFit="1" customWidth="1"/>
    <col min="12495" max="12495" width="11.5703125" bestFit="1" customWidth="1"/>
    <col min="12496" max="12496" width="13.28515625" bestFit="1" customWidth="1"/>
    <col min="12497" max="12497" width="13.28515625" customWidth="1"/>
    <col min="12498" max="12498" width="13.140625" customWidth="1"/>
    <col min="12499" max="12499" width="12.7109375" bestFit="1" customWidth="1"/>
    <col min="12500" max="12500" width="13.28515625" bestFit="1" customWidth="1"/>
    <col min="12501" max="12503" width="13.28515625" customWidth="1"/>
    <col min="12504" max="12504" width="12.140625" bestFit="1" customWidth="1"/>
    <col min="12505" max="12505" width="12.7109375" bestFit="1" customWidth="1"/>
    <col min="12506" max="12506" width="11" customWidth="1"/>
    <col min="12507" max="12507" width="16.7109375" customWidth="1"/>
    <col min="12508" max="12508" width="17" customWidth="1"/>
    <col min="12509" max="12509" width="10.42578125" bestFit="1" customWidth="1"/>
    <col min="12553" max="12553" width="3.85546875" customWidth="1"/>
    <col min="12554" max="12554" width="15.28515625" bestFit="1" customWidth="1"/>
    <col min="12555" max="12555" width="12.28515625" customWidth="1"/>
    <col min="12556" max="12556" width="16.28515625" bestFit="1" customWidth="1"/>
    <col min="12557" max="12557" width="6.42578125" bestFit="1" customWidth="1"/>
    <col min="12558" max="12558" width="9.28515625" bestFit="1" customWidth="1"/>
    <col min="12559" max="12559" width="7.5703125" bestFit="1" customWidth="1"/>
    <col min="12560" max="12560" width="13.28515625" bestFit="1" customWidth="1"/>
    <col min="12561" max="12561" width="9.28515625" bestFit="1" customWidth="1"/>
    <col min="12562" max="12562" width="11.5703125" bestFit="1" customWidth="1"/>
    <col min="12563" max="12563" width="13.28515625" bestFit="1" customWidth="1"/>
    <col min="12564" max="12564" width="7.140625" bestFit="1" customWidth="1"/>
    <col min="12565" max="12565" width="12" bestFit="1" customWidth="1"/>
    <col min="12566" max="12566" width="13.28515625" bestFit="1" customWidth="1"/>
    <col min="12567" max="12567" width="7" bestFit="1" customWidth="1"/>
    <col min="12568" max="12568" width="12.7109375" bestFit="1" customWidth="1"/>
    <col min="12569" max="12569" width="11.5703125" bestFit="1" customWidth="1"/>
    <col min="12570" max="12570" width="10.5703125" bestFit="1" customWidth="1"/>
    <col min="12571" max="12572" width="15.7109375" bestFit="1" customWidth="1"/>
    <col min="12573" max="12573" width="11.5703125" bestFit="1" customWidth="1"/>
    <col min="12574" max="12574" width="7.7109375" bestFit="1" customWidth="1"/>
    <col min="12575" max="12575" width="15.140625" bestFit="1" customWidth="1"/>
    <col min="12576" max="12576" width="11.5703125" bestFit="1" customWidth="1"/>
    <col min="12577" max="12577" width="13.28515625" bestFit="1" customWidth="1"/>
    <col min="12578" max="12578" width="10.42578125" bestFit="1" customWidth="1"/>
    <col min="12579" max="12579" width="13.28515625" bestFit="1" customWidth="1"/>
    <col min="12580" max="12580" width="12.140625" bestFit="1" customWidth="1"/>
    <col min="12581" max="12581" width="14.42578125" bestFit="1" customWidth="1"/>
    <col min="12582" max="12582" width="13.28515625" bestFit="1" customWidth="1"/>
    <col min="12583" max="12583" width="11.5703125" bestFit="1" customWidth="1"/>
    <col min="12584" max="12584" width="7.7109375" bestFit="1" customWidth="1"/>
    <col min="12585" max="12586" width="14.42578125" bestFit="1" customWidth="1"/>
    <col min="12587" max="12587" width="11.5703125" bestFit="1" customWidth="1"/>
    <col min="12588" max="12588" width="7.7109375" bestFit="1" customWidth="1"/>
    <col min="12589" max="12589" width="13.5703125" customWidth="1"/>
    <col min="12590" max="12590" width="15.28515625" customWidth="1"/>
    <col min="12591" max="12591" width="14.5703125" customWidth="1"/>
    <col min="12592" max="12592" width="13.28515625" bestFit="1" customWidth="1"/>
    <col min="12593" max="12593" width="7.7109375" bestFit="1" customWidth="1"/>
    <col min="12594" max="12594" width="12.7109375" bestFit="1" customWidth="1"/>
    <col min="12595" max="12595" width="11.7109375" bestFit="1" customWidth="1"/>
    <col min="12596" max="12596" width="11.5703125" bestFit="1" customWidth="1"/>
    <col min="12597" max="12597" width="5.28515625" bestFit="1" customWidth="1"/>
    <col min="12598" max="12598" width="13.28515625" bestFit="1" customWidth="1"/>
    <col min="12599" max="12599" width="13.5703125" bestFit="1" customWidth="1"/>
    <col min="12600" max="12600" width="10.5703125" bestFit="1" customWidth="1"/>
    <col min="12601" max="12601" width="13.28515625" bestFit="1" customWidth="1"/>
    <col min="12602" max="12602" width="11.5703125" bestFit="1" customWidth="1"/>
    <col min="12603" max="12603" width="10.5703125" bestFit="1" customWidth="1"/>
    <col min="12604" max="12604" width="16.140625" bestFit="1" customWidth="1"/>
    <col min="12605" max="12606" width="11.28515625" bestFit="1" customWidth="1"/>
    <col min="12607" max="12607" width="13.28515625" bestFit="1" customWidth="1"/>
    <col min="12608" max="12608" width="7.7109375" bestFit="1" customWidth="1"/>
    <col min="12609" max="12612" width="9.140625" hidden="1" customWidth="1"/>
    <col min="12613" max="12613" width="10.42578125" bestFit="1" customWidth="1"/>
    <col min="12614" max="12614" width="10.5703125" bestFit="1" customWidth="1"/>
    <col min="12615" max="12615" width="10.42578125" bestFit="1" customWidth="1"/>
    <col min="12616" max="12616" width="10.5703125" bestFit="1" customWidth="1"/>
    <col min="12617" max="12617" width="9.5703125" bestFit="1" customWidth="1"/>
    <col min="12618" max="12618" width="11.5703125" bestFit="1" customWidth="1"/>
    <col min="12619" max="12619" width="10.42578125" bestFit="1" customWidth="1"/>
    <col min="12620" max="12620" width="10.85546875" customWidth="1"/>
    <col min="12621" max="12622" width="9.85546875" bestFit="1" customWidth="1"/>
    <col min="12623" max="12623" width="13.5703125" bestFit="1" customWidth="1"/>
    <col min="12624" max="12624" width="7.7109375" bestFit="1" customWidth="1"/>
    <col min="12625" max="12625" width="13.28515625" bestFit="1" customWidth="1"/>
    <col min="12626" max="12626" width="11.5703125" bestFit="1" customWidth="1"/>
    <col min="12627" max="12627" width="10.42578125" bestFit="1" customWidth="1"/>
    <col min="12628" max="12628" width="7.7109375" bestFit="1" customWidth="1"/>
    <col min="12629" max="12629" width="11.5703125" bestFit="1" customWidth="1"/>
    <col min="12630" max="12630" width="10.85546875" bestFit="1" customWidth="1"/>
    <col min="12631" max="12631" width="13.28515625" bestFit="1" customWidth="1"/>
    <col min="12632" max="12632" width="10.85546875" bestFit="1" customWidth="1"/>
    <col min="12633" max="12634" width="7.5703125" bestFit="1" customWidth="1"/>
    <col min="12635" max="12636" width="10.42578125" bestFit="1" customWidth="1"/>
    <col min="12637" max="12637" width="11.5703125" bestFit="1" customWidth="1"/>
    <col min="12638" max="12638" width="5.28515625" bestFit="1" customWidth="1"/>
    <col min="12639" max="12639" width="10.28515625" bestFit="1" customWidth="1"/>
    <col min="12640" max="12640" width="10.42578125" bestFit="1" customWidth="1"/>
    <col min="12641" max="12641" width="11.5703125" bestFit="1" customWidth="1"/>
    <col min="12642" max="12642" width="5.28515625" bestFit="1" customWidth="1"/>
    <col min="12643" max="12645" width="11.5703125" bestFit="1" customWidth="1"/>
    <col min="12646" max="12646" width="5.28515625" bestFit="1" customWidth="1"/>
    <col min="12647" max="12648" width="10.42578125" bestFit="1" customWidth="1"/>
    <col min="12649" max="12649" width="11.5703125" bestFit="1" customWidth="1"/>
    <col min="12650" max="12650" width="5.28515625" bestFit="1" customWidth="1"/>
    <col min="12651" max="12651" width="14.28515625" bestFit="1" customWidth="1"/>
    <col min="12652" max="12652" width="13" bestFit="1" customWidth="1"/>
    <col min="12653" max="12653" width="11.5703125" bestFit="1" customWidth="1"/>
    <col min="12654" max="12654" width="8.85546875" bestFit="1" customWidth="1"/>
    <col min="12655" max="12655" width="14.42578125" bestFit="1" customWidth="1"/>
    <col min="12656" max="12656" width="10.42578125" bestFit="1" customWidth="1"/>
    <col min="12657" max="12657" width="12.28515625" bestFit="1" customWidth="1"/>
    <col min="12658" max="12658" width="13.85546875" bestFit="1" customWidth="1"/>
    <col min="12659" max="12659" width="11.28515625" customWidth="1"/>
    <col min="12660" max="12660" width="11.5703125" customWidth="1"/>
    <col min="12661" max="12661" width="13.42578125" bestFit="1" customWidth="1"/>
    <col min="12662" max="12662" width="10.42578125" customWidth="1"/>
    <col min="12663" max="12663" width="13.85546875" bestFit="1" customWidth="1"/>
    <col min="12664" max="12664" width="15.42578125" bestFit="1" customWidth="1"/>
    <col min="12665" max="12665" width="12.28515625" bestFit="1" customWidth="1"/>
    <col min="12666" max="12666" width="12.7109375" customWidth="1"/>
    <col min="12667" max="12667" width="10.7109375" bestFit="1" customWidth="1"/>
    <col min="12668" max="12668" width="9.85546875" customWidth="1"/>
    <col min="12669" max="12670" width="10.140625" bestFit="1" customWidth="1"/>
    <col min="12671" max="12671" width="7.5703125" bestFit="1" customWidth="1"/>
    <col min="12672" max="12672" width="9.42578125" bestFit="1" customWidth="1"/>
    <col min="12673" max="12673" width="14.5703125" bestFit="1" customWidth="1"/>
    <col min="12674" max="12674" width="14.85546875" customWidth="1"/>
    <col min="12675" max="12675" width="15.140625" bestFit="1" customWidth="1"/>
    <col min="12676" max="12676" width="12.140625" bestFit="1" customWidth="1"/>
    <col min="12677" max="12677" width="14.85546875" bestFit="1" customWidth="1"/>
    <col min="12678" max="12678" width="12.28515625" bestFit="1" customWidth="1"/>
    <col min="12679" max="12687" width="9.140625" hidden="1" customWidth="1"/>
    <col min="12688" max="12688" width="5.28515625" bestFit="1" customWidth="1"/>
    <col min="12689" max="12694" width="11.5703125" bestFit="1" customWidth="1"/>
    <col min="12695" max="12695" width="11.28515625" bestFit="1" customWidth="1"/>
    <col min="12696" max="12696" width="10.140625" bestFit="1" customWidth="1"/>
    <col min="12697" max="12697" width="11.5703125" bestFit="1" customWidth="1"/>
    <col min="12698" max="12698" width="16.140625" customWidth="1"/>
    <col min="12699" max="12699" width="13.42578125" customWidth="1"/>
    <col min="12700" max="12700" width="10.140625" bestFit="1" customWidth="1"/>
    <col min="12701" max="12701" width="12.85546875" bestFit="1" customWidth="1"/>
    <col min="12702" max="12702" width="12.28515625" bestFit="1" customWidth="1"/>
    <col min="12703" max="12703" width="11.28515625" bestFit="1" customWidth="1"/>
    <col min="12704" max="12704" width="11.5703125" bestFit="1" customWidth="1"/>
    <col min="12705" max="12705" width="10.85546875" bestFit="1" customWidth="1"/>
    <col min="12706" max="12706" width="11.28515625" bestFit="1" customWidth="1"/>
    <col min="12707" max="12707" width="10.140625" bestFit="1" customWidth="1"/>
    <col min="12708" max="12708" width="13.28515625" bestFit="1" customWidth="1"/>
    <col min="12709" max="12710" width="12.7109375" bestFit="1" customWidth="1"/>
    <col min="12711" max="12711" width="11" bestFit="1" customWidth="1"/>
    <col min="12712" max="12712" width="11.28515625" bestFit="1" customWidth="1"/>
    <col min="12713" max="12713" width="11.5703125" bestFit="1" customWidth="1"/>
    <col min="12714" max="12714" width="12.28515625" bestFit="1" customWidth="1"/>
    <col min="12715" max="12715" width="15.140625" bestFit="1" customWidth="1"/>
    <col min="12716" max="12716" width="14.42578125" bestFit="1" customWidth="1"/>
    <col min="12717" max="12717" width="12.28515625" bestFit="1" customWidth="1"/>
    <col min="12718" max="12718" width="15.140625" bestFit="1" customWidth="1"/>
    <col min="12719" max="12719" width="14.42578125" bestFit="1" customWidth="1"/>
    <col min="12720" max="12720" width="12.28515625" bestFit="1" customWidth="1"/>
    <col min="12721" max="12721" width="14.42578125" bestFit="1" customWidth="1"/>
    <col min="12722" max="12722" width="11.28515625" bestFit="1" customWidth="1"/>
    <col min="12723" max="12723" width="12.28515625" bestFit="1" customWidth="1"/>
    <col min="12724" max="12724" width="13" bestFit="1" customWidth="1"/>
    <col min="12725" max="12725" width="15.140625" bestFit="1" customWidth="1"/>
    <col min="12726" max="12726" width="12.28515625" bestFit="1" customWidth="1"/>
    <col min="12727" max="12727" width="13.85546875" bestFit="1" customWidth="1"/>
    <col min="12728" max="12728" width="11.28515625" bestFit="1" customWidth="1"/>
    <col min="12729" max="12729" width="12.28515625" bestFit="1" customWidth="1"/>
    <col min="12730" max="12730" width="13.85546875" bestFit="1" customWidth="1"/>
    <col min="12731" max="12732" width="15.140625" bestFit="1" customWidth="1"/>
    <col min="12733" max="12733" width="12.28515625" bestFit="1" customWidth="1"/>
    <col min="12734" max="12734" width="5.7109375" bestFit="1" customWidth="1"/>
    <col min="12735" max="12735" width="8.5703125" bestFit="1" customWidth="1"/>
    <col min="12736" max="12736" width="5.5703125" bestFit="1" customWidth="1"/>
    <col min="12737" max="12737" width="14.42578125" bestFit="1" customWidth="1"/>
    <col min="12738" max="12738" width="11.28515625" bestFit="1" customWidth="1"/>
    <col min="12739" max="12740" width="12.28515625" bestFit="1" customWidth="1"/>
    <col min="12741" max="12741" width="11.28515625" bestFit="1" customWidth="1"/>
    <col min="12742" max="12742" width="13.85546875" bestFit="1" customWidth="1"/>
    <col min="12743" max="12743" width="12" bestFit="1" customWidth="1"/>
    <col min="12744" max="12744" width="13.85546875" bestFit="1" customWidth="1"/>
    <col min="12745" max="12746" width="14.42578125" customWidth="1"/>
    <col min="12747" max="12747" width="10.140625" bestFit="1" customWidth="1"/>
    <col min="12748" max="12748" width="12.28515625" bestFit="1" customWidth="1"/>
    <col min="12749" max="12749" width="7.42578125" bestFit="1" customWidth="1"/>
    <col min="12750" max="12750" width="8.5703125" bestFit="1" customWidth="1"/>
    <col min="12751" max="12751" width="11.5703125" bestFit="1" customWidth="1"/>
    <col min="12752" max="12752" width="13.28515625" bestFit="1" customWidth="1"/>
    <col min="12753" max="12753" width="13.28515625" customWidth="1"/>
    <col min="12754" max="12754" width="13.140625" customWidth="1"/>
    <col min="12755" max="12755" width="12.7109375" bestFit="1" customWidth="1"/>
    <col min="12756" max="12756" width="13.28515625" bestFit="1" customWidth="1"/>
    <col min="12757" max="12759" width="13.28515625" customWidth="1"/>
    <col min="12760" max="12760" width="12.140625" bestFit="1" customWidth="1"/>
    <col min="12761" max="12761" width="12.7109375" bestFit="1" customWidth="1"/>
    <col min="12762" max="12762" width="11" customWidth="1"/>
    <col min="12763" max="12763" width="16.7109375" customWidth="1"/>
    <col min="12764" max="12764" width="17" customWidth="1"/>
    <col min="12765" max="12765" width="10.42578125" bestFit="1" customWidth="1"/>
    <col min="12809" max="12809" width="3.85546875" customWidth="1"/>
    <col min="12810" max="12810" width="15.28515625" bestFit="1" customWidth="1"/>
    <col min="12811" max="12811" width="12.28515625" customWidth="1"/>
    <col min="12812" max="12812" width="16.28515625" bestFit="1" customWidth="1"/>
    <col min="12813" max="12813" width="6.42578125" bestFit="1" customWidth="1"/>
    <col min="12814" max="12814" width="9.28515625" bestFit="1" customWidth="1"/>
    <col min="12815" max="12815" width="7.5703125" bestFit="1" customWidth="1"/>
    <col min="12816" max="12816" width="13.28515625" bestFit="1" customWidth="1"/>
    <col min="12817" max="12817" width="9.28515625" bestFit="1" customWidth="1"/>
    <col min="12818" max="12818" width="11.5703125" bestFit="1" customWidth="1"/>
    <col min="12819" max="12819" width="13.28515625" bestFit="1" customWidth="1"/>
    <col min="12820" max="12820" width="7.140625" bestFit="1" customWidth="1"/>
    <col min="12821" max="12821" width="12" bestFit="1" customWidth="1"/>
    <col min="12822" max="12822" width="13.28515625" bestFit="1" customWidth="1"/>
    <col min="12823" max="12823" width="7" bestFit="1" customWidth="1"/>
    <col min="12824" max="12824" width="12.7109375" bestFit="1" customWidth="1"/>
    <col min="12825" max="12825" width="11.5703125" bestFit="1" customWidth="1"/>
    <col min="12826" max="12826" width="10.5703125" bestFit="1" customWidth="1"/>
    <col min="12827" max="12828" width="15.7109375" bestFit="1" customWidth="1"/>
    <col min="12829" max="12829" width="11.5703125" bestFit="1" customWidth="1"/>
    <col min="12830" max="12830" width="7.7109375" bestFit="1" customWidth="1"/>
    <col min="12831" max="12831" width="15.140625" bestFit="1" customWidth="1"/>
    <col min="12832" max="12832" width="11.5703125" bestFit="1" customWidth="1"/>
    <col min="12833" max="12833" width="13.28515625" bestFit="1" customWidth="1"/>
    <col min="12834" max="12834" width="10.42578125" bestFit="1" customWidth="1"/>
    <col min="12835" max="12835" width="13.28515625" bestFit="1" customWidth="1"/>
    <col min="12836" max="12836" width="12.140625" bestFit="1" customWidth="1"/>
    <col min="12837" max="12837" width="14.42578125" bestFit="1" customWidth="1"/>
    <col min="12838" max="12838" width="13.28515625" bestFit="1" customWidth="1"/>
    <col min="12839" max="12839" width="11.5703125" bestFit="1" customWidth="1"/>
    <col min="12840" max="12840" width="7.7109375" bestFit="1" customWidth="1"/>
    <col min="12841" max="12842" width="14.42578125" bestFit="1" customWidth="1"/>
    <col min="12843" max="12843" width="11.5703125" bestFit="1" customWidth="1"/>
    <col min="12844" max="12844" width="7.7109375" bestFit="1" customWidth="1"/>
    <col min="12845" max="12845" width="13.5703125" customWidth="1"/>
    <col min="12846" max="12846" width="15.28515625" customWidth="1"/>
    <col min="12847" max="12847" width="14.5703125" customWidth="1"/>
    <col min="12848" max="12848" width="13.28515625" bestFit="1" customWidth="1"/>
    <col min="12849" max="12849" width="7.7109375" bestFit="1" customWidth="1"/>
    <col min="12850" max="12850" width="12.7109375" bestFit="1" customWidth="1"/>
    <col min="12851" max="12851" width="11.7109375" bestFit="1" customWidth="1"/>
    <col min="12852" max="12852" width="11.5703125" bestFit="1" customWidth="1"/>
    <col min="12853" max="12853" width="5.28515625" bestFit="1" customWidth="1"/>
    <col min="12854" max="12854" width="13.28515625" bestFit="1" customWidth="1"/>
    <col min="12855" max="12855" width="13.5703125" bestFit="1" customWidth="1"/>
    <col min="12856" max="12856" width="10.5703125" bestFit="1" customWidth="1"/>
    <col min="12857" max="12857" width="13.28515625" bestFit="1" customWidth="1"/>
    <col min="12858" max="12858" width="11.5703125" bestFit="1" customWidth="1"/>
    <col min="12859" max="12859" width="10.5703125" bestFit="1" customWidth="1"/>
    <col min="12860" max="12860" width="16.140625" bestFit="1" customWidth="1"/>
    <col min="12861" max="12862" width="11.28515625" bestFit="1" customWidth="1"/>
    <col min="12863" max="12863" width="13.28515625" bestFit="1" customWidth="1"/>
    <col min="12864" max="12864" width="7.7109375" bestFit="1" customWidth="1"/>
    <col min="12865" max="12868" width="9.140625" hidden="1" customWidth="1"/>
    <col min="12869" max="12869" width="10.42578125" bestFit="1" customWidth="1"/>
    <col min="12870" max="12870" width="10.5703125" bestFit="1" customWidth="1"/>
    <col min="12871" max="12871" width="10.42578125" bestFit="1" customWidth="1"/>
    <col min="12872" max="12872" width="10.5703125" bestFit="1" customWidth="1"/>
    <col min="12873" max="12873" width="9.5703125" bestFit="1" customWidth="1"/>
    <col min="12874" max="12874" width="11.5703125" bestFit="1" customWidth="1"/>
    <col min="12875" max="12875" width="10.42578125" bestFit="1" customWidth="1"/>
    <col min="12876" max="12876" width="10.85546875" customWidth="1"/>
    <col min="12877" max="12878" width="9.85546875" bestFit="1" customWidth="1"/>
    <col min="12879" max="12879" width="13.5703125" bestFit="1" customWidth="1"/>
    <col min="12880" max="12880" width="7.7109375" bestFit="1" customWidth="1"/>
    <col min="12881" max="12881" width="13.28515625" bestFit="1" customWidth="1"/>
    <col min="12882" max="12882" width="11.5703125" bestFit="1" customWidth="1"/>
    <col min="12883" max="12883" width="10.42578125" bestFit="1" customWidth="1"/>
    <col min="12884" max="12884" width="7.7109375" bestFit="1" customWidth="1"/>
    <col min="12885" max="12885" width="11.5703125" bestFit="1" customWidth="1"/>
    <col min="12886" max="12886" width="10.85546875" bestFit="1" customWidth="1"/>
    <col min="12887" max="12887" width="13.28515625" bestFit="1" customWidth="1"/>
    <col min="12888" max="12888" width="10.85546875" bestFit="1" customWidth="1"/>
    <col min="12889" max="12890" width="7.5703125" bestFit="1" customWidth="1"/>
    <col min="12891" max="12892" width="10.42578125" bestFit="1" customWidth="1"/>
    <col min="12893" max="12893" width="11.5703125" bestFit="1" customWidth="1"/>
    <col min="12894" max="12894" width="5.28515625" bestFit="1" customWidth="1"/>
    <col min="12895" max="12895" width="10.28515625" bestFit="1" customWidth="1"/>
    <col min="12896" max="12896" width="10.42578125" bestFit="1" customWidth="1"/>
    <col min="12897" max="12897" width="11.5703125" bestFit="1" customWidth="1"/>
    <col min="12898" max="12898" width="5.28515625" bestFit="1" customWidth="1"/>
    <col min="12899" max="12901" width="11.5703125" bestFit="1" customWidth="1"/>
    <col min="12902" max="12902" width="5.28515625" bestFit="1" customWidth="1"/>
    <col min="12903" max="12904" width="10.42578125" bestFit="1" customWidth="1"/>
    <col min="12905" max="12905" width="11.5703125" bestFit="1" customWidth="1"/>
    <col min="12906" max="12906" width="5.28515625" bestFit="1" customWidth="1"/>
    <col min="12907" max="12907" width="14.28515625" bestFit="1" customWidth="1"/>
    <col min="12908" max="12908" width="13" bestFit="1" customWidth="1"/>
    <col min="12909" max="12909" width="11.5703125" bestFit="1" customWidth="1"/>
    <col min="12910" max="12910" width="8.85546875" bestFit="1" customWidth="1"/>
    <col min="12911" max="12911" width="14.42578125" bestFit="1" customWidth="1"/>
    <col min="12912" max="12912" width="10.42578125" bestFit="1" customWidth="1"/>
    <col min="12913" max="12913" width="12.28515625" bestFit="1" customWidth="1"/>
    <col min="12914" max="12914" width="13.85546875" bestFit="1" customWidth="1"/>
    <col min="12915" max="12915" width="11.28515625" customWidth="1"/>
    <col min="12916" max="12916" width="11.5703125" customWidth="1"/>
    <col min="12917" max="12917" width="13.42578125" bestFit="1" customWidth="1"/>
    <col min="12918" max="12918" width="10.42578125" customWidth="1"/>
    <col min="12919" max="12919" width="13.85546875" bestFit="1" customWidth="1"/>
    <col min="12920" max="12920" width="15.42578125" bestFit="1" customWidth="1"/>
    <col min="12921" max="12921" width="12.28515625" bestFit="1" customWidth="1"/>
    <col min="12922" max="12922" width="12.7109375" customWidth="1"/>
    <col min="12923" max="12923" width="10.7109375" bestFit="1" customWidth="1"/>
    <col min="12924" max="12924" width="9.85546875" customWidth="1"/>
    <col min="12925" max="12926" width="10.140625" bestFit="1" customWidth="1"/>
    <col min="12927" max="12927" width="7.5703125" bestFit="1" customWidth="1"/>
    <col min="12928" max="12928" width="9.42578125" bestFit="1" customWidth="1"/>
    <col min="12929" max="12929" width="14.5703125" bestFit="1" customWidth="1"/>
    <col min="12930" max="12930" width="14.85546875" customWidth="1"/>
    <col min="12931" max="12931" width="15.140625" bestFit="1" customWidth="1"/>
    <col min="12932" max="12932" width="12.140625" bestFit="1" customWidth="1"/>
    <col min="12933" max="12933" width="14.85546875" bestFit="1" customWidth="1"/>
    <col min="12934" max="12934" width="12.28515625" bestFit="1" customWidth="1"/>
    <col min="12935" max="12943" width="9.140625" hidden="1" customWidth="1"/>
    <col min="12944" max="12944" width="5.28515625" bestFit="1" customWidth="1"/>
    <col min="12945" max="12950" width="11.5703125" bestFit="1" customWidth="1"/>
    <col min="12951" max="12951" width="11.28515625" bestFit="1" customWidth="1"/>
    <col min="12952" max="12952" width="10.140625" bestFit="1" customWidth="1"/>
    <col min="12953" max="12953" width="11.5703125" bestFit="1" customWidth="1"/>
    <col min="12954" max="12954" width="16.140625" customWidth="1"/>
    <col min="12955" max="12955" width="13.42578125" customWidth="1"/>
    <col min="12956" max="12956" width="10.140625" bestFit="1" customWidth="1"/>
    <col min="12957" max="12957" width="12.85546875" bestFit="1" customWidth="1"/>
    <col min="12958" max="12958" width="12.28515625" bestFit="1" customWidth="1"/>
    <col min="12959" max="12959" width="11.28515625" bestFit="1" customWidth="1"/>
    <col min="12960" max="12960" width="11.5703125" bestFit="1" customWidth="1"/>
    <col min="12961" max="12961" width="10.85546875" bestFit="1" customWidth="1"/>
    <col min="12962" max="12962" width="11.28515625" bestFit="1" customWidth="1"/>
    <col min="12963" max="12963" width="10.140625" bestFit="1" customWidth="1"/>
    <col min="12964" max="12964" width="13.28515625" bestFit="1" customWidth="1"/>
    <col min="12965" max="12966" width="12.7109375" bestFit="1" customWidth="1"/>
    <col min="12967" max="12967" width="11" bestFit="1" customWidth="1"/>
    <col min="12968" max="12968" width="11.28515625" bestFit="1" customWidth="1"/>
    <col min="12969" max="12969" width="11.5703125" bestFit="1" customWidth="1"/>
    <col min="12970" max="12970" width="12.28515625" bestFit="1" customWidth="1"/>
    <col min="12971" max="12971" width="15.140625" bestFit="1" customWidth="1"/>
    <col min="12972" max="12972" width="14.42578125" bestFit="1" customWidth="1"/>
    <col min="12973" max="12973" width="12.28515625" bestFit="1" customWidth="1"/>
    <col min="12974" max="12974" width="15.140625" bestFit="1" customWidth="1"/>
    <col min="12975" max="12975" width="14.42578125" bestFit="1" customWidth="1"/>
    <col min="12976" max="12976" width="12.28515625" bestFit="1" customWidth="1"/>
    <col min="12977" max="12977" width="14.42578125" bestFit="1" customWidth="1"/>
    <col min="12978" max="12978" width="11.28515625" bestFit="1" customWidth="1"/>
    <col min="12979" max="12979" width="12.28515625" bestFit="1" customWidth="1"/>
    <col min="12980" max="12980" width="13" bestFit="1" customWidth="1"/>
    <col min="12981" max="12981" width="15.140625" bestFit="1" customWidth="1"/>
    <col min="12982" max="12982" width="12.28515625" bestFit="1" customWidth="1"/>
    <col min="12983" max="12983" width="13.85546875" bestFit="1" customWidth="1"/>
    <col min="12984" max="12984" width="11.28515625" bestFit="1" customWidth="1"/>
    <col min="12985" max="12985" width="12.28515625" bestFit="1" customWidth="1"/>
    <col min="12986" max="12986" width="13.85546875" bestFit="1" customWidth="1"/>
    <col min="12987" max="12988" width="15.140625" bestFit="1" customWidth="1"/>
    <col min="12989" max="12989" width="12.28515625" bestFit="1" customWidth="1"/>
    <col min="12990" max="12990" width="5.7109375" bestFit="1" customWidth="1"/>
    <col min="12991" max="12991" width="8.5703125" bestFit="1" customWidth="1"/>
    <col min="12992" max="12992" width="5.5703125" bestFit="1" customWidth="1"/>
    <col min="12993" max="12993" width="14.42578125" bestFit="1" customWidth="1"/>
    <col min="12994" max="12994" width="11.28515625" bestFit="1" customWidth="1"/>
    <col min="12995" max="12996" width="12.28515625" bestFit="1" customWidth="1"/>
    <col min="12997" max="12997" width="11.28515625" bestFit="1" customWidth="1"/>
    <col min="12998" max="12998" width="13.85546875" bestFit="1" customWidth="1"/>
    <col min="12999" max="12999" width="12" bestFit="1" customWidth="1"/>
    <col min="13000" max="13000" width="13.85546875" bestFit="1" customWidth="1"/>
    <col min="13001" max="13002" width="14.42578125" customWidth="1"/>
    <col min="13003" max="13003" width="10.140625" bestFit="1" customWidth="1"/>
    <col min="13004" max="13004" width="12.28515625" bestFit="1" customWidth="1"/>
    <col min="13005" max="13005" width="7.42578125" bestFit="1" customWidth="1"/>
    <col min="13006" max="13006" width="8.5703125" bestFit="1" customWidth="1"/>
    <col min="13007" max="13007" width="11.5703125" bestFit="1" customWidth="1"/>
    <col min="13008" max="13008" width="13.28515625" bestFit="1" customWidth="1"/>
    <col min="13009" max="13009" width="13.28515625" customWidth="1"/>
    <col min="13010" max="13010" width="13.140625" customWidth="1"/>
    <col min="13011" max="13011" width="12.7109375" bestFit="1" customWidth="1"/>
    <col min="13012" max="13012" width="13.28515625" bestFit="1" customWidth="1"/>
    <col min="13013" max="13015" width="13.28515625" customWidth="1"/>
    <col min="13016" max="13016" width="12.140625" bestFit="1" customWidth="1"/>
    <col min="13017" max="13017" width="12.7109375" bestFit="1" customWidth="1"/>
    <col min="13018" max="13018" width="11" customWidth="1"/>
    <col min="13019" max="13019" width="16.7109375" customWidth="1"/>
    <col min="13020" max="13020" width="17" customWidth="1"/>
    <col min="13021" max="13021" width="10.42578125" bestFit="1" customWidth="1"/>
    <col min="13065" max="13065" width="3.85546875" customWidth="1"/>
    <col min="13066" max="13066" width="15.28515625" bestFit="1" customWidth="1"/>
    <col min="13067" max="13067" width="12.28515625" customWidth="1"/>
    <col min="13068" max="13068" width="16.28515625" bestFit="1" customWidth="1"/>
    <col min="13069" max="13069" width="6.42578125" bestFit="1" customWidth="1"/>
    <col min="13070" max="13070" width="9.28515625" bestFit="1" customWidth="1"/>
    <col min="13071" max="13071" width="7.5703125" bestFit="1" customWidth="1"/>
    <col min="13072" max="13072" width="13.28515625" bestFit="1" customWidth="1"/>
    <col min="13073" max="13073" width="9.28515625" bestFit="1" customWidth="1"/>
    <col min="13074" max="13074" width="11.5703125" bestFit="1" customWidth="1"/>
    <col min="13075" max="13075" width="13.28515625" bestFit="1" customWidth="1"/>
    <col min="13076" max="13076" width="7.140625" bestFit="1" customWidth="1"/>
    <col min="13077" max="13077" width="12" bestFit="1" customWidth="1"/>
    <col min="13078" max="13078" width="13.28515625" bestFit="1" customWidth="1"/>
    <col min="13079" max="13079" width="7" bestFit="1" customWidth="1"/>
    <col min="13080" max="13080" width="12.7109375" bestFit="1" customWidth="1"/>
    <col min="13081" max="13081" width="11.5703125" bestFit="1" customWidth="1"/>
    <col min="13082" max="13082" width="10.5703125" bestFit="1" customWidth="1"/>
    <col min="13083" max="13084" width="15.7109375" bestFit="1" customWidth="1"/>
    <col min="13085" max="13085" width="11.5703125" bestFit="1" customWidth="1"/>
    <col min="13086" max="13086" width="7.7109375" bestFit="1" customWidth="1"/>
    <col min="13087" max="13087" width="15.140625" bestFit="1" customWidth="1"/>
    <col min="13088" max="13088" width="11.5703125" bestFit="1" customWidth="1"/>
    <col min="13089" max="13089" width="13.28515625" bestFit="1" customWidth="1"/>
    <col min="13090" max="13090" width="10.42578125" bestFit="1" customWidth="1"/>
    <col min="13091" max="13091" width="13.28515625" bestFit="1" customWidth="1"/>
    <col min="13092" max="13092" width="12.140625" bestFit="1" customWidth="1"/>
    <col min="13093" max="13093" width="14.42578125" bestFit="1" customWidth="1"/>
    <col min="13094" max="13094" width="13.28515625" bestFit="1" customWidth="1"/>
    <col min="13095" max="13095" width="11.5703125" bestFit="1" customWidth="1"/>
    <col min="13096" max="13096" width="7.7109375" bestFit="1" customWidth="1"/>
    <col min="13097" max="13098" width="14.42578125" bestFit="1" customWidth="1"/>
    <col min="13099" max="13099" width="11.5703125" bestFit="1" customWidth="1"/>
    <col min="13100" max="13100" width="7.7109375" bestFit="1" customWidth="1"/>
    <col min="13101" max="13101" width="13.5703125" customWidth="1"/>
    <col min="13102" max="13102" width="15.28515625" customWidth="1"/>
    <col min="13103" max="13103" width="14.5703125" customWidth="1"/>
    <col min="13104" max="13104" width="13.28515625" bestFit="1" customWidth="1"/>
    <col min="13105" max="13105" width="7.7109375" bestFit="1" customWidth="1"/>
    <col min="13106" max="13106" width="12.7109375" bestFit="1" customWidth="1"/>
    <col min="13107" max="13107" width="11.7109375" bestFit="1" customWidth="1"/>
    <col min="13108" max="13108" width="11.5703125" bestFit="1" customWidth="1"/>
    <col min="13109" max="13109" width="5.28515625" bestFit="1" customWidth="1"/>
    <col min="13110" max="13110" width="13.28515625" bestFit="1" customWidth="1"/>
    <col min="13111" max="13111" width="13.5703125" bestFit="1" customWidth="1"/>
    <col min="13112" max="13112" width="10.5703125" bestFit="1" customWidth="1"/>
    <col min="13113" max="13113" width="13.28515625" bestFit="1" customWidth="1"/>
    <col min="13114" max="13114" width="11.5703125" bestFit="1" customWidth="1"/>
    <col min="13115" max="13115" width="10.5703125" bestFit="1" customWidth="1"/>
    <col min="13116" max="13116" width="16.140625" bestFit="1" customWidth="1"/>
    <col min="13117" max="13118" width="11.28515625" bestFit="1" customWidth="1"/>
    <col min="13119" max="13119" width="13.28515625" bestFit="1" customWidth="1"/>
    <col min="13120" max="13120" width="7.7109375" bestFit="1" customWidth="1"/>
    <col min="13121" max="13124" width="9.140625" hidden="1" customWidth="1"/>
    <col min="13125" max="13125" width="10.42578125" bestFit="1" customWidth="1"/>
    <col min="13126" max="13126" width="10.5703125" bestFit="1" customWidth="1"/>
    <col min="13127" max="13127" width="10.42578125" bestFit="1" customWidth="1"/>
    <col min="13128" max="13128" width="10.5703125" bestFit="1" customWidth="1"/>
    <col min="13129" max="13129" width="9.5703125" bestFit="1" customWidth="1"/>
    <col min="13130" max="13130" width="11.5703125" bestFit="1" customWidth="1"/>
    <col min="13131" max="13131" width="10.42578125" bestFit="1" customWidth="1"/>
    <col min="13132" max="13132" width="10.85546875" customWidth="1"/>
    <col min="13133" max="13134" width="9.85546875" bestFit="1" customWidth="1"/>
    <col min="13135" max="13135" width="13.5703125" bestFit="1" customWidth="1"/>
    <col min="13136" max="13136" width="7.7109375" bestFit="1" customWidth="1"/>
    <col min="13137" max="13137" width="13.28515625" bestFit="1" customWidth="1"/>
    <col min="13138" max="13138" width="11.5703125" bestFit="1" customWidth="1"/>
    <col min="13139" max="13139" width="10.42578125" bestFit="1" customWidth="1"/>
    <col min="13140" max="13140" width="7.7109375" bestFit="1" customWidth="1"/>
    <col min="13141" max="13141" width="11.5703125" bestFit="1" customWidth="1"/>
    <col min="13142" max="13142" width="10.85546875" bestFit="1" customWidth="1"/>
    <col min="13143" max="13143" width="13.28515625" bestFit="1" customWidth="1"/>
    <col min="13144" max="13144" width="10.85546875" bestFit="1" customWidth="1"/>
    <col min="13145" max="13146" width="7.5703125" bestFit="1" customWidth="1"/>
    <col min="13147" max="13148" width="10.42578125" bestFit="1" customWidth="1"/>
    <col min="13149" max="13149" width="11.5703125" bestFit="1" customWidth="1"/>
    <col min="13150" max="13150" width="5.28515625" bestFit="1" customWidth="1"/>
    <col min="13151" max="13151" width="10.28515625" bestFit="1" customWidth="1"/>
    <col min="13152" max="13152" width="10.42578125" bestFit="1" customWidth="1"/>
    <col min="13153" max="13153" width="11.5703125" bestFit="1" customWidth="1"/>
    <col min="13154" max="13154" width="5.28515625" bestFit="1" customWidth="1"/>
    <col min="13155" max="13157" width="11.5703125" bestFit="1" customWidth="1"/>
    <col min="13158" max="13158" width="5.28515625" bestFit="1" customWidth="1"/>
    <col min="13159" max="13160" width="10.42578125" bestFit="1" customWidth="1"/>
    <col min="13161" max="13161" width="11.5703125" bestFit="1" customWidth="1"/>
    <col min="13162" max="13162" width="5.28515625" bestFit="1" customWidth="1"/>
    <col min="13163" max="13163" width="14.28515625" bestFit="1" customWidth="1"/>
    <col min="13164" max="13164" width="13" bestFit="1" customWidth="1"/>
    <col min="13165" max="13165" width="11.5703125" bestFit="1" customWidth="1"/>
    <col min="13166" max="13166" width="8.85546875" bestFit="1" customWidth="1"/>
    <col min="13167" max="13167" width="14.42578125" bestFit="1" customWidth="1"/>
    <col min="13168" max="13168" width="10.42578125" bestFit="1" customWidth="1"/>
    <col min="13169" max="13169" width="12.28515625" bestFit="1" customWidth="1"/>
    <col min="13170" max="13170" width="13.85546875" bestFit="1" customWidth="1"/>
    <col min="13171" max="13171" width="11.28515625" customWidth="1"/>
    <col min="13172" max="13172" width="11.5703125" customWidth="1"/>
    <col min="13173" max="13173" width="13.42578125" bestFit="1" customWidth="1"/>
    <col min="13174" max="13174" width="10.42578125" customWidth="1"/>
    <col min="13175" max="13175" width="13.85546875" bestFit="1" customWidth="1"/>
    <col min="13176" max="13176" width="15.42578125" bestFit="1" customWidth="1"/>
    <col min="13177" max="13177" width="12.28515625" bestFit="1" customWidth="1"/>
    <col min="13178" max="13178" width="12.7109375" customWidth="1"/>
    <col min="13179" max="13179" width="10.7109375" bestFit="1" customWidth="1"/>
    <col min="13180" max="13180" width="9.85546875" customWidth="1"/>
    <col min="13181" max="13182" width="10.140625" bestFit="1" customWidth="1"/>
    <col min="13183" max="13183" width="7.5703125" bestFit="1" customWidth="1"/>
    <col min="13184" max="13184" width="9.42578125" bestFit="1" customWidth="1"/>
    <col min="13185" max="13185" width="14.5703125" bestFit="1" customWidth="1"/>
    <col min="13186" max="13186" width="14.85546875" customWidth="1"/>
    <col min="13187" max="13187" width="15.140625" bestFit="1" customWidth="1"/>
    <col min="13188" max="13188" width="12.140625" bestFit="1" customWidth="1"/>
    <col min="13189" max="13189" width="14.85546875" bestFit="1" customWidth="1"/>
    <col min="13190" max="13190" width="12.28515625" bestFit="1" customWidth="1"/>
    <col min="13191" max="13199" width="9.140625" hidden="1" customWidth="1"/>
    <col min="13200" max="13200" width="5.28515625" bestFit="1" customWidth="1"/>
    <col min="13201" max="13206" width="11.5703125" bestFit="1" customWidth="1"/>
    <col min="13207" max="13207" width="11.28515625" bestFit="1" customWidth="1"/>
    <col min="13208" max="13208" width="10.140625" bestFit="1" customWidth="1"/>
    <col min="13209" max="13209" width="11.5703125" bestFit="1" customWidth="1"/>
    <col min="13210" max="13210" width="16.140625" customWidth="1"/>
    <col min="13211" max="13211" width="13.42578125" customWidth="1"/>
    <col min="13212" max="13212" width="10.140625" bestFit="1" customWidth="1"/>
    <col min="13213" max="13213" width="12.85546875" bestFit="1" customWidth="1"/>
    <col min="13214" max="13214" width="12.28515625" bestFit="1" customWidth="1"/>
    <col min="13215" max="13215" width="11.28515625" bestFit="1" customWidth="1"/>
    <col min="13216" max="13216" width="11.5703125" bestFit="1" customWidth="1"/>
    <col min="13217" max="13217" width="10.85546875" bestFit="1" customWidth="1"/>
    <col min="13218" max="13218" width="11.28515625" bestFit="1" customWidth="1"/>
    <col min="13219" max="13219" width="10.140625" bestFit="1" customWidth="1"/>
    <col min="13220" max="13220" width="13.28515625" bestFit="1" customWidth="1"/>
    <col min="13221" max="13222" width="12.7109375" bestFit="1" customWidth="1"/>
    <col min="13223" max="13223" width="11" bestFit="1" customWidth="1"/>
    <col min="13224" max="13224" width="11.28515625" bestFit="1" customWidth="1"/>
    <col min="13225" max="13225" width="11.5703125" bestFit="1" customWidth="1"/>
    <col min="13226" max="13226" width="12.28515625" bestFit="1" customWidth="1"/>
    <col min="13227" max="13227" width="15.140625" bestFit="1" customWidth="1"/>
    <col min="13228" max="13228" width="14.42578125" bestFit="1" customWidth="1"/>
    <col min="13229" max="13229" width="12.28515625" bestFit="1" customWidth="1"/>
    <col min="13230" max="13230" width="15.140625" bestFit="1" customWidth="1"/>
    <col min="13231" max="13231" width="14.42578125" bestFit="1" customWidth="1"/>
    <col min="13232" max="13232" width="12.28515625" bestFit="1" customWidth="1"/>
    <col min="13233" max="13233" width="14.42578125" bestFit="1" customWidth="1"/>
    <col min="13234" max="13234" width="11.28515625" bestFit="1" customWidth="1"/>
    <col min="13235" max="13235" width="12.28515625" bestFit="1" customWidth="1"/>
    <col min="13236" max="13236" width="13" bestFit="1" customWidth="1"/>
    <col min="13237" max="13237" width="15.140625" bestFit="1" customWidth="1"/>
    <col min="13238" max="13238" width="12.28515625" bestFit="1" customWidth="1"/>
    <col min="13239" max="13239" width="13.85546875" bestFit="1" customWidth="1"/>
    <col min="13240" max="13240" width="11.28515625" bestFit="1" customWidth="1"/>
    <col min="13241" max="13241" width="12.28515625" bestFit="1" customWidth="1"/>
    <col min="13242" max="13242" width="13.85546875" bestFit="1" customWidth="1"/>
    <col min="13243" max="13244" width="15.140625" bestFit="1" customWidth="1"/>
    <col min="13245" max="13245" width="12.28515625" bestFit="1" customWidth="1"/>
    <col min="13246" max="13246" width="5.7109375" bestFit="1" customWidth="1"/>
    <col min="13247" max="13247" width="8.5703125" bestFit="1" customWidth="1"/>
    <col min="13248" max="13248" width="5.5703125" bestFit="1" customWidth="1"/>
    <col min="13249" max="13249" width="14.42578125" bestFit="1" customWidth="1"/>
    <col min="13250" max="13250" width="11.28515625" bestFit="1" customWidth="1"/>
    <col min="13251" max="13252" width="12.28515625" bestFit="1" customWidth="1"/>
    <col min="13253" max="13253" width="11.28515625" bestFit="1" customWidth="1"/>
    <col min="13254" max="13254" width="13.85546875" bestFit="1" customWidth="1"/>
    <col min="13255" max="13255" width="12" bestFit="1" customWidth="1"/>
    <col min="13256" max="13256" width="13.85546875" bestFit="1" customWidth="1"/>
    <col min="13257" max="13258" width="14.42578125" customWidth="1"/>
    <col min="13259" max="13259" width="10.140625" bestFit="1" customWidth="1"/>
    <col min="13260" max="13260" width="12.28515625" bestFit="1" customWidth="1"/>
    <col min="13261" max="13261" width="7.42578125" bestFit="1" customWidth="1"/>
    <col min="13262" max="13262" width="8.5703125" bestFit="1" customWidth="1"/>
    <col min="13263" max="13263" width="11.5703125" bestFit="1" customWidth="1"/>
    <col min="13264" max="13264" width="13.28515625" bestFit="1" customWidth="1"/>
    <col min="13265" max="13265" width="13.28515625" customWidth="1"/>
    <col min="13266" max="13266" width="13.140625" customWidth="1"/>
    <col min="13267" max="13267" width="12.7109375" bestFit="1" customWidth="1"/>
    <col min="13268" max="13268" width="13.28515625" bestFit="1" customWidth="1"/>
    <col min="13269" max="13271" width="13.28515625" customWidth="1"/>
    <col min="13272" max="13272" width="12.140625" bestFit="1" customWidth="1"/>
    <col min="13273" max="13273" width="12.7109375" bestFit="1" customWidth="1"/>
    <col min="13274" max="13274" width="11" customWidth="1"/>
    <col min="13275" max="13275" width="16.7109375" customWidth="1"/>
    <col min="13276" max="13276" width="17" customWidth="1"/>
    <col min="13277" max="13277" width="10.42578125" bestFit="1" customWidth="1"/>
    <col min="13321" max="13321" width="3.85546875" customWidth="1"/>
    <col min="13322" max="13322" width="15.28515625" bestFit="1" customWidth="1"/>
    <col min="13323" max="13323" width="12.28515625" customWidth="1"/>
    <col min="13324" max="13324" width="16.28515625" bestFit="1" customWidth="1"/>
    <col min="13325" max="13325" width="6.42578125" bestFit="1" customWidth="1"/>
    <col min="13326" max="13326" width="9.28515625" bestFit="1" customWidth="1"/>
    <col min="13327" max="13327" width="7.5703125" bestFit="1" customWidth="1"/>
    <col min="13328" max="13328" width="13.28515625" bestFit="1" customWidth="1"/>
    <col min="13329" max="13329" width="9.28515625" bestFit="1" customWidth="1"/>
    <col min="13330" max="13330" width="11.5703125" bestFit="1" customWidth="1"/>
    <col min="13331" max="13331" width="13.28515625" bestFit="1" customWidth="1"/>
    <col min="13332" max="13332" width="7.140625" bestFit="1" customWidth="1"/>
    <col min="13333" max="13333" width="12" bestFit="1" customWidth="1"/>
    <col min="13334" max="13334" width="13.28515625" bestFit="1" customWidth="1"/>
    <col min="13335" max="13335" width="7" bestFit="1" customWidth="1"/>
    <col min="13336" max="13336" width="12.7109375" bestFit="1" customWidth="1"/>
    <col min="13337" max="13337" width="11.5703125" bestFit="1" customWidth="1"/>
    <col min="13338" max="13338" width="10.5703125" bestFit="1" customWidth="1"/>
    <col min="13339" max="13340" width="15.7109375" bestFit="1" customWidth="1"/>
    <col min="13341" max="13341" width="11.5703125" bestFit="1" customWidth="1"/>
    <col min="13342" max="13342" width="7.7109375" bestFit="1" customWidth="1"/>
    <col min="13343" max="13343" width="15.140625" bestFit="1" customWidth="1"/>
    <col min="13344" max="13344" width="11.5703125" bestFit="1" customWidth="1"/>
    <col min="13345" max="13345" width="13.28515625" bestFit="1" customWidth="1"/>
    <col min="13346" max="13346" width="10.42578125" bestFit="1" customWidth="1"/>
    <col min="13347" max="13347" width="13.28515625" bestFit="1" customWidth="1"/>
    <col min="13348" max="13348" width="12.140625" bestFit="1" customWidth="1"/>
    <col min="13349" max="13349" width="14.42578125" bestFit="1" customWidth="1"/>
    <col min="13350" max="13350" width="13.28515625" bestFit="1" customWidth="1"/>
    <col min="13351" max="13351" width="11.5703125" bestFit="1" customWidth="1"/>
    <col min="13352" max="13352" width="7.7109375" bestFit="1" customWidth="1"/>
    <col min="13353" max="13354" width="14.42578125" bestFit="1" customWidth="1"/>
    <col min="13355" max="13355" width="11.5703125" bestFit="1" customWidth="1"/>
    <col min="13356" max="13356" width="7.7109375" bestFit="1" customWidth="1"/>
    <col min="13357" max="13357" width="13.5703125" customWidth="1"/>
    <col min="13358" max="13358" width="15.28515625" customWidth="1"/>
    <col min="13359" max="13359" width="14.5703125" customWidth="1"/>
    <col min="13360" max="13360" width="13.28515625" bestFit="1" customWidth="1"/>
    <col min="13361" max="13361" width="7.7109375" bestFit="1" customWidth="1"/>
    <col min="13362" max="13362" width="12.7109375" bestFit="1" customWidth="1"/>
    <col min="13363" max="13363" width="11.7109375" bestFit="1" customWidth="1"/>
    <col min="13364" max="13364" width="11.5703125" bestFit="1" customWidth="1"/>
    <col min="13365" max="13365" width="5.28515625" bestFit="1" customWidth="1"/>
    <col min="13366" max="13366" width="13.28515625" bestFit="1" customWidth="1"/>
    <col min="13367" max="13367" width="13.5703125" bestFit="1" customWidth="1"/>
    <col min="13368" max="13368" width="10.5703125" bestFit="1" customWidth="1"/>
    <col min="13369" max="13369" width="13.28515625" bestFit="1" customWidth="1"/>
    <col min="13370" max="13370" width="11.5703125" bestFit="1" customWidth="1"/>
    <col min="13371" max="13371" width="10.5703125" bestFit="1" customWidth="1"/>
    <col min="13372" max="13372" width="16.140625" bestFit="1" customWidth="1"/>
    <col min="13373" max="13374" width="11.28515625" bestFit="1" customWidth="1"/>
    <col min="13375" max="13375" width="13.28515625" bestFit="1" customWidth="1"/>
    <col min="13376" max="13376" width="7.7109375" bestFit="1" customWidth="1"/>
    <col min="13377" max="13380" width="9.140625" hidden="1" customWidth="1"/>
    <col min="13381" max="13381" width="10.42578125" bestFit="1" customWidth="1"/>
    <col min="13382" max="13382" width="10.5703125" bestFit="1" customWidth="1"/>
    <col min="13383" max="13383" width="10.42578125" bestFit="1" customWidth="1"/>
    <col min="13384" max="13384" width="10.5703125" bestFit="1" customWidth="1"/>
    <col min="13385" max="13385" width="9.5703125" bestFit="1" customWidth="1"/>
    <col min="13386" max="13386" width="11.5703125" bestFit="1" customWidth="1"/>
    <col min="13387" max="13387" width="10.42578125" bestFit="1" customWidth="1"/>
    <col min="13388" max="13388" width="10.85546875" customWidth="1"/>
    <col min="13389" max="13390" width="9.85546875" bestFit="1" customWidth="1"/>
    <col min="13391" max="13391" width="13.5703125" bestFit="1" customWidth="1"/>
    <col min="13392" max="13392" width="7.7109375" bestFit="1" customWidth="1"/>
    <col min="13393" max="13393" width="13.28515625" bestFit="1" customWidth="1"/>
    <col min="13394" max="13394" width="11.5703125" bestFit="1" customWidth="1"/>
    <col min="13395" max="13395" width="10.42578125" bestFit="1" customWidth="1"/>
    <col min="13396" max="13396" width="7.7109375" bestFit="1" customWidth="1"/>
    <col min="13397" max="13397" width="11.5703125" bestFit="1" customWidth="1"/>
    <col min="13398" max="13398" width="10.85546875" bestFit="1" customWidth="1"/>
    <col min="13399" max="13399" width="13.28515625" bestFit="1" customWidth="1"/>
    <col min="13400" max="13400" width="10.85546875" bestFit="1" customWidth="1"/>
    <col min="13401" max="13402" width="7.5703125" bestFit="1" customWidth="1"/>
    <col min="13403" max="13404" width="10.42578125" bestFit="1" customWidth="1"/>
    <col min="13405" max="13405" width="11.5703125" bestFit="1" customWidth="1"/>
    <col min="13406" max="13406" width="5.28515625" bestFit="1" customWidth="1"/>
    <col min="13407" max="13407" width="10.28515625" bestFit="1" customWidth="1"/>
    <col min="13408" max="13408" width="10.42578125" bestFit="1" customWidth="1"/>
    <col min="13409" max="13409" width="11.5703125" bestFit="1" customWidth="1"/>
    <col min="13410" max="13410" width="5.28515625" bestFit="1" customWidth="1"/>
    <col min="13411" max="13413" width="11.5703125" bestFit="1" customWidth="1"/>
    <col min="13414" max="13414" width="5.28515625" bestFit="1" customWidth="1"/>
    <col min="13415" max="13416" width="10.42578125" bestFit="1" customWidth="1"/>
    <col min="13417" max="13417" width="11.5703125" bestFit="1" customWidth="1"/>
    <col min="13418" max="13418" width="5.28515625" bestFit="1" customWidth="1"/>
    <col min="13419" max="13419" width="14.28515625" bestFit="1" customWidth="1"/>
    <col min="13420" max="13420" width="13" bestFit="1" customWidth="1"/>
    <col min="13421" max="13421" width="11.5703125" bestFit="1" customWidth="1"/>
    <col min="13422" max="13422" width="8.85546875" bestFit="1" customWidth="1"/>
    <col min="13423" max="13423" width="14.42578125" bestFit="1" customWidth="1"/>
    <col min="13424" max="13424" width="10.42578125" bestFit="1" customWidth="1"/>
    <col min="13425" max="13425" width="12.28515625" bestFit="1" customWidth="1"/>
    <col min="13426" max="13426" width="13.85546875" bestFit="1" customWidth="1"/>
    <col min="13427" max="13427" width="11.28515625" customWidth="1"/>
    <col min="13428" max="13428" width="11.5703125" customWidth="1"/>
    <col min="13429" max="13429" width="13.42578125" bestFit="1" customWidth="1"/>
    <col min="13430" max="13430" width="10.42578125" customWidth="1"/>
    <col min="13431" max="13431" width="13.85546875" bestFit="1" customWidth="1"/>
    <col min="13432" max="13432" width="15.42578125" bestFit="1" customWidth="1"/>
    <col min="13433" max="13433" width="12.28515625" bestFit="1" customWidth="1"/>
    <col min="13434" max="13434" width="12.7109375" customWidth="1"/>
    <col min="13435" max="13435" width="10.7109375" bestFit="1" customWidth="1"/>
    <col min="13436" max="13436" width="9.85546875" customWidth="1"/>
    <col min="13437" max="13438" width="10.140625" bestFit="1" customWidth="1"/>
    <col min="13439" max="13439" width="7.5703125" bestFit="1" customWidth="1"/>
    <col min="13440" max="13440" width="9.42578125" bestFit="1" customWidth="1"/>
    <col min="13441" max="13441" width="14.5703125" bestFit="1" customWidth="1"/>
    <col min="13442" max="13442" width="14.85546875" customWidth="1"/>
    <col min="13443" max="13443" width="15.140625" bestFit="1" customWidth="1"/>
    <col min="13444" max="13444" width="12.140625" bestFit="1" customWidth="1"/>
    <col min="13445" max="13445" width="14.85546875" bestFit="1" customWidth="1"/>
    <col min="13446" max="13446" width="12.28515625" bestFit="1" customWidth="1"/>
    <col min="13447" max="13455" width="9.140625" hidden="1" customWidth="1"/>
    <col min="13456" max="13456" width="5.28515625" bestFit="1" customWidth="1"/>
    <col min="13457" max="13462" width="11.5703125" bestFit="1" customWidth="1"/>
    <col min="13463" max="13463" width="11.28515625" bestFit="1" customWidth="1"/>
    <col min="13464" max="13464" width="10.140625" bestFit="1" customWidth="1"/>
    <col min="13465" max="13465" width="11.5703125" bestFit="1" customWidth="1"/>
    <col min="13466" max="13466" width="16.140625" customWidth="1"/>
    <col min="13467" max="13467" width="13.42578125" customWidth="1"/>
    <col min="13468" max="13468" width="10.140625" bestFit="1" customWidth="1"/>
    <col min="13469" max="13469" width="12.85546875" bestFit="1" customWidth="1"/>
    <col min="13470" max="13470" width="12.28515625" bestFit="1" customWidth="1"/>
    <col min="13471" max="13471" width="11.28515625" bestFit="1" customWidth="1"/>
    <col min="13472" max="13472" width="11.5703125" bestFit="1" customWidth="1"/>
    <col min="13473" max="13473" width="10.85546875" bestFit="1" customWidth="1"/>
    <col min="13474" max="13474" width="11.28515625" bestFit="1" customWidth="1"/>
    <col min="13475" max="13475" width="10.140625" bestFit="1" customWidth="1"/>
    <col min="13476" max="13476" width="13.28515625" bestFit="1" customWidth="1"/>
    <col min="13477" max="13478" width="12.7109375" bestFit="1" customWidth="1"/>
    <col min="13479" max="13479" width="11" bestFit="1" customWidth="1"/>
    <col min="13480" max="13480" width="11.28515625" bestFit="1" customWidth="1"/>
    <col min="13481" max="13481" width="11.5703125" bestFit="1" customWidth="1"/>
    <col min="13482" max="13482" width="12.28515625" bestFit="1" customWidth="1"/>
    <col min="13483" max="13483" width="15.140625" bestFit="1" customWidth="1"/>
    <col min="13484" max="13484" width="14.42578125" bestFit="1" customWidth="1"/>
    <col min="13485" max="13485" width="12.28515625" bestFit="1" customWidth="1"/>
    <col min="13486" max="13486" width="15.140625" bestFit="1" customWidth="1"/>
    <col min="13487" max="13487" width="14.42578125" bestFit="1" customWidth="1"/>
    <col min="13488" max="13488" width="12.28515625" bestFit="1" customWidth="1"/>
    <col min="13489" max="13489" width="14.42578125" bestFit="1" customWidth="1"/>
    <col min="13490" max="13490" width="11.28515625" bestFit="1" customWidth="1"/>
    <col min="13491" max="13491" width="12.28515625" bestFit="1" customWidth="1"/>
    <col min="13492" max="13492" width="13" bestFit="1" customWidth="1"/>
    <col min="13493" max="13493" width="15.140625" bestFit="1" customWidth="1"/>
    <col min="13494" max="13494" width="12.28515625" bestFit="1" customWidth="1"/>
    <col min="13495" max="13495" width="13.85546875" bestFit="1" customWidth="1"/>
    <col min="13496" max="13496" width="11.28515625" bestFit="1" customWidth="1"/>
    <col min="13497" max="13497" width="12.28515625" bestFit="1" customWidth="1"/>
    <col min="13498" max="13498" width="13.85546875" bestFit="1" customWidth="1"/>
    <col min="13499" max="13500" width="15.140625" bestFit="1" customWidth="1"/>
    <col min="13501" max="13501" width="12.28515625" bestFit="1" customWidth="1"/>
    <col min="13502" max="13502" width="5.7109375" bestFit="1" customWidth="1"/>
    <col min="13503" max="13503" width="8.5703125" bestFit="1" customWidth="1"/>
    <col min="13504" max="13504" width="5.5703125" bestFit="1" customWidth="1"/>
    <col min="13505" max="13505" width="14.42578125" bestFit="1" customWidth="1"/>
    <col min="13506" max="13506" width="11.28515625" bestFit="1" customWidth="1"/>
    <col min="13507" max="13508" width="12.28515625" bestFit="1" customWidth="1"/>
    <col min="13509" max="13509" width="11.28515625" bestFit="1" customWidth="1"/>
    <col min="13510" max="13510" width="13.85546875" bestFit="1" customWidth="1"/>
    <col min="13511" max="13511" width="12" bestFit="1" customWidth="1"/>
    <col min="13512" max="13512" width="13.85546875" bestFit="1" customWidth="1"/>
    <col min="13513" max="13514" width="14.42578125" customWidth="1"/>
    <col min="13515" max="13515" width="10.140625" bestFit="1" customWidth="1"/>
    <col min="13516" max="13516" width="12.28515625" bestFit="1" customWidth="1"/>
    <col min="13517" max="13517" width="7.42578125" bestFit="1" customWidth="1"/>
    <col min="13518" max="13518" width="8.5703125" bestFit="1" customWidth="1"/>
    <col min="13519" max="13519" width="11.5703125" bestFit="1" customWidth="1"/>
    <col min="13520" max="13520" width="13.28515625" bestFit="1" customWidth="1"/>
    <col min="13521" max="13521" width="13.28515625" customWidth="1"/>
    <col min="13522" max="13522" width="13.140625" customWidth="1"/>
    <col min="13523" max="13523" width="12.7109375" bestFit="1" customWidth="1"/>
    <col min="13524" max="13524" width="13.28515625" bestFit="1" customWidth="1"/>
    <col min="13525" max="13527" width="13.28515625" customWidth="1"/>
    <col min="13528" max="13528" width="12.140625" bestFit="1" customWidth="1"/>
    <col min="13529" max="13529" width="12.7109375" bestFit="1" customWidth="1"/>
    <col min="13530" max="13530" width="11" customWidth="1"/>
    <col min="13531" max="13531" width="16.7109375" customWidth="1"/>
    <col min="13532" max="13532" width="17" customWidth="1"/>
    <col min="13533" max="13533" width="10.42578125" bestFit="1" customWidth="1"/>
    <col min="13577" max="13577" width="3.85546875" customWidth="1"/>
    <col min="13578" max="13578" width="15.28515625" bestFit="1" customWidth="1"/>
    <col min="13579" max="13579" width="12.28515625" customWidth="1"/>
    <col min="13580" max="13580" width="16.28515625" bestFit="1" customWidth="1"/>
    <col min="13581" max="13581" width="6.42578125" bestFit="1" customWidth="1"/>
    <col min="13582" max="13582" width="9.28515625" bestFit="1" customWidth="1"/>
    <col min="13583" max="13583" width="7.5703125" bestFit="1" customWidth="1"/>
    <col min="13584" max="13584" width="13.28515625" bestFit="1" customWidth="1"/>
    <col min="13585" max="13585" width="9.28515625" bestFit="1" customWidth="1"/>
    <col min="13586" max="13586" width="11.5703125" bestFit="1" customWidth="1"/>
    <col min="13587" max="13587" width="13.28515625" bestFit="1" customWidth="1"/>
    <col min="13588" max="13588" width="7.140625" bestFit="1" customWidth="1"/>
    <col min="13589" max="13589" width="12" bestFit="1" customWidth="1"/>
    <col min="13590" max="13590" width="13.28515625" bestFit="1" customWidth="1"/>
    <col min="13591" max="13591" width="7" bestFit="1" customWidth="1"/>
    <col min="13592" max="13592" width="12.7109375" bestFit="1" customWidth="1"/>
    <col min="13593" max="13593" width="11.5703125" bestFit="1" customWidth="1"/>
    <col min="13594" max="13594" width="10.5703125" bestFit="1" customWidth="1"/>
    <col min="13595" max="13596" width="15.7109375" bestFit="1" customWidth="1"/>
    <col min="13597" max="13597" width="11.5703125" bestFit="1" customWidth="1"/>
    <col min="13598" max="13598" width="7.7109375" bestFit="1" customWidth="1"/>
    <col min="13599" max="13599" width="15.140625" bestFit="1" customWidth="1"/>
    <col min="13600" max="13600" width="11.5703125" bestFit="1" customWidth="1"/>
    <col min="13601" max="13601" width="13.28515625" bestFit="1" customWidth="1"/>
    <col min="13602" max="13602" width="10.42578125" bestFit="1" customWidth="1"/>
    <col min="13603" max="13603" width="13.28515625" bestFit="1" customWidth="1"/>
    <col min="13604" max="13604" width="12.140625" bestFit="1" customWidth="1"/>
    <col min="13605" max="13605" width="14.42578125" bestFit="1" customWidth="1"/>
    <col min="13606" max="13606" width="13.28515625" bestFit="1" customWidth="1"/>
    <col min="13607" max="13607" width="11.5703125" bestFit="1" customWidth="1"/>
    <col min="13608" max="13608" width="7.7109375" bestFit="1" customWidth="1"/>
    <col min="13609" max="13610" width="14.42578125" bestFit="1" customWidth="1"/>
    <col min="13611" max="13611" width="11.5703125" bestFit="1" customWidth="1"/>
    <col min="13612" max="13612" width="7.7109375" bestFit="1" customWidth="1"/>
    <col min="13613" max="13613" width="13.5703125" customWidth="1"/>
    <col min="13614" max="13614" width="15.28515625" customWidth="1"/>
    <col min="13615" max="13615" width="14.5703125" customWidth="1"/>
    <col min="13616" max="13616" width="13.28515625" bestFit="1" customWidth="1"/>
    <col min="13617" max="13617" width="7.7109375" bestFit="1" customWidth="1"/>
    <col min="13618" max="13618" width="12.7109375" bestFit="1" customWidth="1"/>
    <col min="13619" max="13619" width="11.7109375" bestFit="1" customWidth="1"/>
    <col min="13620" max="13620" width="11.5703125" bestFit="1" customWidth="1"/>
    <col min="13621" max="13621" width="5.28515625" bestFit="1" customWidth="1"/>
    <col min="13622" max="13622" width="13.28515625" bestFit="1" customWidth="1"/>
    <col min="13623" max="13623" width="13.5703125" bestFit="1" customWidth="1"/>
    <col min="13624" max="13624" width="10.5703125" bestFit="1" customWidth="1"/>
    <col min="13625" max="13625" width="13.28515625" bestFit="1" customWidth="1"/>
    <col min="13626" max="13626" width="11.5703125" bestFit="1" customWidth="1"/>
    <col min="13627" max="13627" width="10.5703125" bestFit="1" customWidth="1"/>
    <col min="13628" max="13628" width="16.140625" bestFit="1" customWidth="1"/>
    <col min="13629" max="13630" width="11.28515625" bestFit="1" customWidth="1"/>
    <col min="13631" max="13631" width="13.28515625" bestFit="1" customWidth="1"/>
    <col min="13632" max="13632" width="7.7109375" bestFit="1" customWidth="1"/>
    <col min="13633" max="13636" width="9.140625" hidden="1" customWidth="1"/>
    <col min="13637" max="13637" width="10.42578125" bestFit="1" customWidth="1"/>
    <col min="13638" max="13638" width="10.5703125" bestFit="1" customWidth="1"/>
    <col min="13639" max="13639" width="10.42578125" bestFit="1" customWidth="1"/>
    <col min="13640" max="13640" width="10.5703125" bestFit="1" customWidth="1"/>
    <col min="13641" max="13641" width="9.5703125" bestFit="1" customWidth="1"/>
    <col min="13642" max="13642" width="11.5703125" bestFit="1" customWidth="1"/>
    <col min="13643" max="13643" width="10.42578125" bestFit="1" customWidth="1"/>
    <col min="13644" max="13644" width="10.85546875" customWidth="1"/>
    <col min="13645" max="13646" width="9.85546875" bestFit="1" customWidth="1"/>
    <col min="13647" max="13647" width="13.5703125" bestFit="1" customWidth="1"/>
    <col min="13648" max="13648" width="7.7109375" bestFit="1" customWidth="1"/>
    <col min="13649" max="13649" width="13.28515625" bestFit="1" customWidth="1"/>
    <col min="13650" max="13650" width="11.5703125" bestFit="1" customWidth="1"/>
    <col min="13651" max="13651" width="10.42578125" bestFit="1" customWidth="1"/>
    <col min="13652" max="13652" width="7.7109375" bestFit="1" customWidth="1"/>
    <col min="13653" max="13653" width="11.5703125" bestFit="1" customWidth="1"/>
    <col min="13654" max="13654" width="10.85546875" bestFit="1" customWidth="1"/>
    <col min="13655" max="13655" width="13.28515625" bestFit="1" customWidth="1"/>
    <col min="13656" max="13656" width="10.85546875" bestFit="1" customWidth="1"/>
    <col min="13657" max="13658" width="7.5703125" bestFit="1" customWidth="1"/>
    <col min="13659" max="13660" width="10.42578125" bestFit="1" customWidth="1"/>
    <col min="13661" max="13661" width="11.5703125" bestFit="1" customWidth="1"/>
    <col min="13662" max="13662" width="5.28515625" bestFit="1" customWidth="1"/>
    <col min="13663" max="13663" width="10.28515625" bestFit="1" customWidth="1"/>
    <col min="13664" max="13664" width="10.42578125" bestFit="1" customWidth="1"/>
    <col min="13665" max="13665" width="11.5703125" bestFit="1" customWidth="1"/>
    <col min="13666" max="13666" width="5.28515625" bestFit="1" customWidth="1"/>
    <col min="13667" max="13669" width="11.5703125" bestFit="1" customWidth="1"/>
    <col min="13670" max="13670" width="5.28515625" bestFit="1" customWidth="1"/>
    <col min="13671" max="13672" width="10.42578125" bestFit="1" customWidth="1"/>
    <col min="13673" max="13673" width="11.5703125" bestFit="1" customWidth="1"/>
    <col min="13674" max="13674" width="5.28515625" bestFit="1" customWidth="1"/>
    <col min="13675" max="13675" width="14.28515625" bestFit="1" customWidth="1"/>
    <col min="13676" max="13676" width="13" bestFit="1" customWidth="1"/>
    <col min="13677" max="13677" width="11.5703125" bestFit="1" customWidth="1"/>
    <col min="13678" max="13678" width="8.85546875" bestFit="1" customWidth="1"/>
    <col min="13679" max="13679" width="14.42578125" bestFit="1" customWidth="1"/>
    <col min="13680" max="13680" width="10.42578125" bestFit="1" customWidth="1"/>
    <col min="13681" max="13681" width="12.28515625" bestFit="1" customWidth="1"/>
    <col min="13682" max="13682" width="13.85546875" bestFit="1" customWidth="1"/>
    <col min="13683" max="13683" width="11.28515625" customWidth="1"/>
    <col min="13684" max="13684" width="11.5703125" customWidth="1"/>
    <col min="13685" max="13685" width="13.42578125" bestFit="1" customWidth="1"/>
    <col min="13686" max="13686" width="10.42578125" customWidth="1"/>
    <col min="13687" max="13687" width="13.85546875" bestFit="1" customWidth="1"/>
    <col min="13688" max="13688" width="15.42578125" bestFit="1" customWidth="1"/>
    <col min="13689" max="13689" width="12.28515625" bestFit="1" customWidth="1"/>
    <col min="13690" max="13690" width="12.7109375" customWidth="1"/>
    <col min="13691" max="13691" width="10.7109375" bestFit="1" customWidth="1"/>
    <col min="13692" max="13692" width="9.85546875" customWidth="1"/>
    <col min="13693" max="13694" width="10.140625" bestFit="1" customWidth="1"/>
    <col min="13695" max="13695" width="7.5703125" bestFit="1" customWidth="1"/>
    <col min="13696" max="13696" width="9.42578125" bestFit="1" customWidth="1"/>
    <col min="13697" max="13697" width="14.5703125" bestFit="1" customWidth="1"/>
    <col min="13698" max="13698" width="14.85546875" customWidth="1"/>
    <col min="13699" max="13699" width="15.140625" bestFit="1" customWidth="1"/>
    <col min="13700" max="13700" width="12.140625" bestFit="1" customWidth="1"/>
    <col min="13701" max="13701" width="14.85546875" bestFit="1" customWidth="1"/>
    <col min="13702" max="13702" width="12.28515625" bestFit="1" customWidth="1"/>
    <col min="13703" max="13711" width="9.140625" hidden="1" customWidth="1"/>
    <col min="13712" max="13712" width="5.28515625" bestFit="1" customWidth="1"/>
    <col min="13713" max="13718" width="11.5703125" bestFit="1" customWidth="1"/>
    <col min="13719" max="13719" width="11.28515625" bestFit="1" customWidth="1"/>
    <col min="13720" max="13720" width="10.140625" bestFit="1" customWidth="1"/>
    <col min="13721" max="13721" width="11.5703125" bestFit="1" customWidth="1"/>
    <col min="13722" max="13722" width="16.140625" customWidth="1"/>
    <col min="13723" max="13723" width="13.42578125" customWidth="1"/>
    <col min="13724" max="13724" width="10.140625" bestFit="1" customWidth="1"/>
    <col min="13725" max="13725" width="12.85546875" bestFit="1" customWidth="1"/>
    <col min="13726" max="13726" width="12.28515625" bestFit="1" customWidth="1"/>
    <col min="13727" max="13727" width="11.28515625" bestFit="1" customWidth="1"/>
    <col min="13728" max="13728" width="11.5703125" bestFit="1" customWidth="1"/>
    <col min="13729" max="13729" width="10.85546875" bestFit="1" customWidth="1"/>
    <col min="13730" max="13730" width="11.28515625" bestFit="1" customWidth="1"/>
    <col min="13731" max="13731" width="10.140625" bestFit="1" customWidth="1"/>
    <col min="13732" max="13732" width="13.28515625" bestFit="1" customWidth="1"/>
    <col min="13733" max="13734" width="12.7109375" bestFit="1" customWidth="1"/>
    <col min="13735" max="13735" width="11" bestFit="1" customWidth="1"/>
    <col min="13736" max="13736" width="11.28515625" bestFit="1" customWidth="1"/>
    <col min="13737" max="13737" width="11.5703125" bestFit="1" customWidth="1"/>
    <col min="13738" max="13738" width="12.28515625" bestFit="1" customWidth="1"/>
    <col min="13739" max="13739" width="15.140625" bestFit="1" customWidth="1"/>
    <col min="13740" max="13740" width="14.42578125" bestFit="1" customWidth="1"/>
    <col min="13741" max="13741" width="12.28515625" bestFit="1" customWidth="1"/>
    <col min="13742" max="13742" width="15.140625" bestFit="1" customWidth="1"/>
    <col min="13743" max="13743" width="14.42578125" bestFit="1" customWidth="1"/>
    <col min="13744" max="13744" width="12.28515625" bestFit="1" customWidth="1"/>
    <col min="13745" max="13745" width="14.42578125" bestFit="1" customWidth="1"/>
    <col min="13746" max="13746" width="11.28515625" bestFit="1" customWidth="1"/>
    <col min="13747" max="13747" width="12.28515625" bestFit="1" customWidth="1"/>
    <col min="13748" max="13748" width="13" bestFit="1" customWidth="1"/>
    <col min="13749" max="13749" width="15.140625" bestFit="1" customWidth="1"/>
    <col min="13750" max="13750" width="12.28515625" bestFit="1" customWidth="1"/>
    <col min="13751" max="13751" width="13.85546875" bestFit="1" customWidth="1"/>
    <col min="13752" max="13752" width="11.28515625" bestFit="1" customWidth="1"/>
    <col min="13753" max="13753" width="12.28515625" bestFit="1" customWidth="1"/>
    <col min="13754" max="13754" width="13.85546875" bestFit="1" customWidth="1"/>
    <col min="13755" max="13756" width="15.140625" bestFit="1" customWidth="1"/>
    <col min="13757" max="13757" width="12.28515625" bestFit="1" customWidth="1"/>
    <col min="13758" max="13758" width="5.7109375" bestFit="1" customWidth="1"/>
    <col min="13759" max="13759" width="8.5703125" bestFit="1" customWidth="1"/>
    <col min="13760" max="13760" width="5.5703125" bestFit="1" customWidth="1"/>
    <col min="13761" max="13761" width="14.42578125" bestFit="1" customWidth="1"/>
    <col min="13762" max="13762" width="11.28515625" bestFit="1" customWidth="1"/>
    <col min="13763" max="13764" width="12.28515625" bestFit="1" customWidth="1"/>
    <col min="13765" max="13765" width="11.28515625" bestFit="1" customWidth="1"/>
    <col min="13766" max="13766" width="13.85546875" bestFit="1" customWidth="1"/>
    <col min="13767" max="13767" width="12" bestFit="1" customWidth="1"/>
    <col min="13768" max="13768" width="13.85546875" bestFit="1" customWidth="1"/>
    <col min="13769" max="13770" width="14.42578125" customWidth="1"/>
    <col min="13771" max="13771" width="10.140625" bestFit="1" customWidth="1"/>
    <col min="13772" max="13772" width="12.28515625" bestFit="1" customWidth="1"/>
    <col min="13773" max="13773" width="7.42578125" bestFit="1" customWidth="1"/>
    <col min="13774" max="13774" width="8.5703125" bestFit="1" customWidth="1"/>
    <col min="13775" max="13775" width="11.5703125" bestFit="1" customWidth="1"/>
    <col min="13776" max="13776" width="13.28515625" bestFit="1" customWidth="1"/>
    <col min="13777" max="13777" width="13.28515625" customWidth="1"/>
    <col min="13778" max="13778" width="13.140625" customWidth="1"/>
    <col min="13779" max="13779" width="12.7109375" bestFit="1" customWidth="1"/>
    <col min="13780" max="13780" width="13.28515625" bestFit="1" customWidth="1"/>
    <col min="13781" max="13783" width="13.28515625" customWidth="1"/>
    <col min="13784" max="13784" width="12.140625" bestFit="1" customWidth="1"/>
    <col min="13785" max="13785" width="12.7109375" bestFit="1" customWidth="1"/>
    <col min="13786" max="13786" width="11" customWidth="1"/>
    <col min="13787" max="13787" width="16.7109375" customWidth="1"/>
    <col min="13788" max="13788" width="17" customWidth="1"/>
    <col min="13789" max="13789" width="10.42578125" bestFit="1" customWidth="1"/>
    <col min="13833" max="13833" width="3.85546875" customWidth="1"/>
    <col min="13834" max="13834" width="15.28515625" bestFit="1" customWidth="1"/>
    <col min="13835" max="13835" width="12.28515625" customWidth="1"/>
    <col min="13836" max="13836" width="16.28515625" bestFit="1" customWidth="1"/>
    <col min="13837" max="13837" width="6.42578125" bestFit="1" customWidth="1"/>
    <col min="13838" max="13838" width="9.28515625" bestFit="1" customWidth="1"/>
    <col min="13839" max="13839" width="7.5703125" bestFit="1" customWidth="1"/>
    <col min="13840" max="13840" width="13.28515625" bestFit="1" customWidth="1"/>
    <col min="13841" max="13841" width="9.28515625" bestFit="1" customWidth="1"/>
    <col min="13842" max="13842" width="11.5703125" bestFit="1" customWidth="1"/>
    <col min="13843" max="13843" width="13.28515625" bestFit="1" customWidth="1"/>
    <col min="13844" max="13844" width="7.140625" bestFit="1" customWidth="1"/>
    <col min="13845" max="13845" width="12" bestFit="1" customWidth="1"/>
    <col min="13846" max="13846" width="13.28515625" bestFit="1" customWidth="1"/>
    <col min="13847" max="13847" width="7" bestFit="1" customWidth="1"/>
    <col min="13848" max="13848" width="12.7109375" bestFit="1" customWidth="1"/>
    <col min="13849" max="13849" width="11.5703125" bestFit="1" customWidth="1"/>
    <col min="13850" max="13850" width="10.5703125" bestFit="1" customWidth="1"/>
    <col min="13851" max="13852" width="15.7109375" bestFit="1" customWidth="1"/>
    <col min="13853" max="13853" width="11.5703125" bestFit="1" customWidth="1"/>
    <col min="13854" max="13854" width="7.7109375" bestFit="1" customWidth="1"/>
    <col min="13855" max="13855" width="15.140625" bestFit="1" customWidth="1"/>
    <col min="13856" max="13856" width="11.5703125" bestFit="1" customWidth="1"/>
    <col min="13857" max="13857" width="13.28515625" bestFit="1" customWidth="1"/>
    <col min="13858" max="13858" width="10.42578125" bestFit="1" customWidth="1"/>
    <col min="13859" max="13859" width="13.28515625" bestFit="1" customWidth="1"/>
    <col min="13860" max="13860" width="12.140625" bestFit="1" customWidth="1"/>
    <col min="13861" max="13861" width="14.42578125" bestFit="1" customWidth="1"/>
    <col min="13862" max="13862" width="13.28515625" bestFit="1" customWidth="1"/>
    <col min="13863" max="13863" width="11.5703125" bestFit="1" customWidth="1"/>
    <col min="13864" max="13864" width="7.7109375" bestFit="1" customWidth="1"/>
    <col min="13865" max="13866" width="14.42578125" bestFit="1" customWidth="1"/>
    <col min="13867" max="13867" width="11.5703125" bestFit="1" customWidth="1"/>
    <col min="13868" max="13868" width="7.7109375" bestFit="1" customWidth="1"/>
    <col min="13869" max="13869" width="13.5703125" customWidth="1"/>
    <col min="13870" max="13870" width="15.28515625" customWidth="1"/>
    <col min="13871" max="13871" width="14.5703125" customWidth="1"/>
    <col min="13872" max="13872" width="13.28515625" bestFit="1" customWidth="1"/>
    <col min="13873" max="13873" width="7.7109375" bestFit="1" customWidth="1"/>
    <col min="13874" max="13874" width="12.7109375" bestFit="1" customWidth="1"/>
    <col min="13875" max="13875" width="11.7109375" bestFit="1" customWidth="1"/>
    <col min="13876" max="13876" width="11.5703125" bestFit="1" customWidth="1"/>
    <col min="13877" max="13877" width="5.28515625" bestFit="1" customWidth="1"/>
    <col min="13878" max="13878" width="13.28515625" bestFit="1" customWidth="1"/>
    <col min="13879" max="13879" width="13.5703125" bestFit="1" customWidth="1"/>
    <col min="13880" max="13880" width="10.5703125" bestFit="1" customWidth="1"/>
    <col min="13881" max="13881" width="13.28515625" bestFit="1" customWidth="1"/>
    <col min="13882" max="13882" width="11.5703125" bestFit="1" customWidth="1"/>
    <col min="13883" max="13883" width="10.5703125" bestFit="1" customWidth="1"/>
    <col min="13884" max="13884" width="16.140625" bestFit="1" customWidth="1"/>
    <col min="13885" max="13886" width="11.28515625" bestFit="1" customWidth="1"/>
    <col min="13887" max="13887" width="13.28515625" bestFit="1" customWidth="1"/>
    <col min="13888" max="13888" width="7.7109375" bestFit="1" customWidth="1"/>
    <col min="13889" max="13892" width="9.140625" hidden="1" customWidth="1"/>
    <col min="13893" max="13893" width="10.42578125" bestFit="1" customWidth="1"/>
    <col min="13894" max="13894" width="10.5703125" bestFit="1" customWidth="1"/>
    <col min="13895" max="13895" width="10.42578125" bestFit="1" customWidth="1"/>
    <col min="13896" max="13896" width="10.5703125" bestFit="1" customWidth="1"/>
    <col min="13897" max="13897" width="9.5703125" bestFit="1" customWidth="1"/>
    <col min="13898" max="13898" width="11.5703125" bestFit="1" customWidth="1"/>
    <col min="13899" max="13899" width="10.42578125" bestFit="1" customWidth="1"/>
    <col min="13900" max="13900" width="10.85546875" customWidth="1"/>
    <col min="13901" max="13902" width="9.85546875" bestFit="1" customWidth="1"/>
    <col min="13903" max="13903" width="13.5703125" bestFit="1" customWidth="1"/>
    <col min="13904" max="13904" width="7.7109375" bestFit="1" customWidth="1"/>
    <col min="13905" max="13905" width="13.28515625" bestFit="1" customWidth="1"/>
    <col min="13906" max="13906" width="11.5703125" bestFit="1" customWidth="1"/>
    <col min="13907" max="13907" width="10.42578125" bestFit="1" customWidth="1"/>
    <col min="13908" max="13908" width="7.7109375" bestFit="1" customWidth="1"/>
    <col min="13909" max="13909" width="11.5703125" bestFit="1" customWidth="1"/>
    <col min="13910" max="13910" width="10.85546875" bestFit="1" customWidth="1"/>
    <col min="13911" max="13911" width="13.28515625" bestFit="1" customWidth="1"/>
    <col min="13912" max="13912" width="10.85546875" bestFit="1" customWidth="1"/>
    <col min="13913" max="13914" width="7.5703125" bestFit="1" customWidth="1"/>
    <col min="13915" max="13916" width="10.42578125" bestFit="1" customWidth="1"/>
    <col min="13917" max="13917" width="11.5703125" bestFit="1" customWidth="1"/>
    <col min="13918" max="13918" width="5.28515625" bestFit="1" customWidth="1"/>
    <col min="13919" max="13919" width="10.28515625" bestFit="1" customWidth="1"/>
    <col min="13920" max="13920" width="10.42578125" bestFit="1" customWidth="1"/>
    <col min="13921" max="13921" width="11.5703125" bestFit="1" customWidth="1"/>
    <col min="13922" max="13922" width="5.28515625" bestFit="1" customWidth="1"/>
    <col min="13923" max="13925" width="11.5703125" bestFit="1" customWidth="1"/>
    <col min="13926" max="13926" width="5.28515625" bestFit="1" customWidth="1"/>
    <col min="13927" max="13928" width="10.42578125" bestFit="1" customWidth="1"/>
    <col min="13929" max="13929" width="11.5703125" bestFit="1" customWidth="1"/>
    <col min="13930" max="13930" width="5.28515625" bestFit="1" customWidth="1"/>
    <col min="13931" max="13931" width="14.28515625" bestFit="1" customWidth="1"/>
    <col min="13932" max="13932" width="13" bestFit="1" customWidth="1"/>
    <col min="13933" max="13933" width="11.5703125" bestFit="1" customWidth="1"/>
    <col min="13934" max="13934" width="8.85546875" bestFit="1" customWidth="1"/>
    <col min="13935" max="13935" width="14.42578125" bestFit="1" customWidth="1"/>
    <col min="13936" max="13936" width="10.42578125" bestFit="1" customWidth="1"/>
    <col min="13937" max="13937" width="12.28515625" bestFit="1" customWidth="1"/>
    <col min="13938" max="13938" width="13.85546875" bestFit="1" customWidth="1"/>
    <col min="13939" max="13939" width="11.28515625" customWidth="1"/>
    <col min="13940" max="13940" width="11.5703125" customWidth="1"/>
    <col min="13941" max="13941" width="13.42578125" bestFit="1" customWidth="1"/>
    <col min="13942" max="13942" width="10.42578125" customWidth="1"/>
    <col min="13943" max="13943" width="13.85546875" bestFit="1" customWidth="1"/>
    <col min="13944" max="13944" width="15.42578125" bestFit="1" customWidth="1"/>
    <col min="13945" max="13945" width="12.28515625" bestFit="1" customWidth="1"/>
    <col min="13946" max="13946" width="12.7109375" customWidth="1"/>
    <col min="13947" max="13947" width="10.7109375" bestFit="1" customWidth="1"/>
    <col min="13948" max="13948" width="9.85546875" customWidth="1"/>
    <col min="13949" max="13950" width="10.140625" bestFit="1" customWidth="1"/>
    <col min="13951" max="13951" width="7.5703125" bestFit="1" customWidth="1"/>
    <col min="13952" max="13952" width="9.42578125" bestFit="1" customWidth="1"/>
    <col min="13953" max="13953" width="14.5703125" bestFit="1" customWidth="1"/>
    <col min="13954" max="13954" width="14.85546875" customWidth="1"/>
    <col min="13955" max="13955" width="15.140625" bestFit="1" customWidth="1"/>
    <col min="13956" max="13956" width="12.140625" bestFit="1" customWidth="1"/>
    <col min="13957" max="13957" width="14.85546875" bestFit="1" customWidth="1"/>
    <col min="13958" max="13958" width="12.28515625" bestFit="1" customWidth="1"/>
    <col min="13959" max="13967" width="9.140625" hidden="1" customWidth="1"/>
    <col min="13968" max="13968" width="5.28515625" bestFit="1" customWidth="1"/>
    <col min="13969" max="13974" width="11.5703125" bestFit="1" customWidth="1"/>
    <col min="13975" max="13975" width="11.28515625" bestFit="1" customWidth="1"/>
    <col min="13976" max="13976" width="10.140625" bestFit="1" customWidth="1"/>
    <col min="13977" max="13977" width="11.5703125" bestFit="1" customWidth="1"/>
    <col min="13978" max="13978" width="16.140625" customWidth="1"/>
    <col min="13979" max="13979" width="13.42578125" customWidth="1"/>
    <col min="13980" max="13980" width="10.140625" bestFit="1" customWidth="1"/>
    <col min="13981" max="13981" width="12.85546875" bestFit="1" customWidth="1"/>
    <col min="13982" max="13982" width="12.28515625" bestFit="1" customWidth="1"/>
    <col min="13983" max="13983" width="11.28515625" bestFit="1" customWidth="1"/>
    <col min="13984" max="13984" width="11.5703125" bestFit="1" customWidth="1"/>
    <col min="13985" max="13985" width="10.85546875" bestFit="1" customWidth="1"/>
    <col min="13986" max="13986" width="11.28515625" bestFit="1" customWidth="1"/>
    <col min="13987" max="13987" width="10.140625" bestFit="1" customWidth="1"/>
    <col min="13988" max="13988" width="13.28515625" bestFit="1" customWidth="1"/>
    <col min="13989" max="13990" width="12.7109375" bestFit="1" customWidth="1"/>
    <col min="13991" max="13991" width="11" bestFit="1" customWidth="1"/>
    <col min="13992" max="13992" width="11.28515625" bestFit="1" customWidth="1"/>
    <col min="13993" max="13993" width="11.5703125" bestFit="1" customWidth="1"/>
    <col min="13994" max="13994" width="12.28515625" bestFit="1" customWidth="1"/>
    <col min="13995" max="13995" width="15.140625" bestFit="1" customWidth="1"/>
    <col min="13996" max="13996" width="14.42578125" bestFit="1" customWidth="1"/>
    <col min="13997" max="13997" width="12.28515625" bestFit="1" customWidth="1"/>
    <col min="13998" max="13998" width="15.140625" bestFit="1" customWidth="1"/>
    <col min="13999" max="13999" width="14.42578125" bestFit="1" customWidth="1"/>
    <col min="14000" max="14000" width="12.28515625" bestFit="1" customWidth="1"/>
    <col min="14001" max="14001" width="14.42578125" bestFit="1" customWidth="1"/>
    <col min="14002" max="14002" width="11.28515625" bestFit="1" customWidth="1"/>
    <col min="14003" max="14003" width="12.28515625" bestFit="1" customWidth="1"/>
    <col min="14004" max="14004" width="13" bestFit="1" customWidth="1"/>
    <col min="14005" max="14005" width="15.140625" bestFit="1" customWidth="1"/>
    <col min="14006" max="14006" width="12.28515625" bestFit="1" customWidth="1"/>
    <col min="14007" max="14007" width="13.85546875" bestFit="1" customWidth="1"/>
    <col min="14008" max="14008" width="11.28515625" bestFit="1" customWidth="1"/>
    <col min="14009" max="14009" width="12.28515625" bestFit="1" customWidth="1"/>
    <col min="14010" max="14010" width="13.85546875" bestFit="1" customWidth="1"/>
    <col min="14011" max="14012" width="15.140625" bestFit="1" customWidth="1"/>
    <col min="14013" max="14013" width="12.28515625" bestFit="1" customWidth="1"/>
    <col min="14014" max="14014" width="5.7109375" bestFit="1" customWidth="1"/>
    <col min="14015" max="14015" width="8.5703125" bestFit="1" customWidth="1"/>
    <col min="14016" max="14016" width="5.5703125" bestFit="1" customWidth="1"/>
    <col min="14017" max="14017" width="14.42578125" bestFit="1" customWidth="1"/>
    <col min="14018" max="14018" width="11.28515625" bestFit="1" customWidth="1"/>
    <col min="14019" max="14020" width="12.28515625" bestFit="1" customWidth="1"/>
    <col min="14021" max="14021" width="11.28515625" bestFit="1" customWidth="1"/>
    <col min="14022" max="14022" width="13.85546875" bestFit="1" customWidth="1"/>
    <col min="14023" max="14023" width="12" bestFit="1" customWidth="1"/>
    <col min="14024" max="14024" width="13.85546875" bestFit="1" customWidth="1"/>
    <col min="14025" max="14026" width="14.42578125" customWidth="1"/>
    <col min="14027" max="14027" width="10.140625" bestFit="1" customWidth="1"/>
    <col min="14028" max="14028" width="12.28515625" bestFit="1" customWidth="1"/>
    <col min="14029" max="14029" width="7.42578125" bestFit="1" customWidth="1"/>
    <col min="14030" max="14030" width="8.5703125" bestFit="1" customWidth="1"/>
    <col min="14031" max="14031" width="11.5703125" bestFit="1" customWidth="1"/>
    <col min="14032" max="14032" width="13.28515625" bestFit="1" customWidth="1"/>
    <col min="14033" max="14033" width="13.28515625" customWidth="1"/>
    <col min="14034" max="14034" width="13.140625" customWidth="1"/>
    <col min="14035" max="14035" width="12.7109375" bestFit="1" customWidth="1"/>
    <col min="14036" max="14036" width="13.28515625" bestFit="1" customWidth="1"/>
    <col min="14037" max="14039" width="13.28515625" customWidth="1"/>
    <col min="14040" max="14040" width="12.140625" bestFit="1" customWidth="1"/>
    <col min="14041" max="14041" width="12.7109375" bestFit="1" customWidth="1"/>
    <col min="14042" max="14042" width="11" customWidth="1"/>
    <col min="14043" max="14043" width="16.7109375" customWidth="1"/>
    <col min="14044" max="14044" width="17" customWidth="1"/>
    <col min="14045" max="14045" width="10.42578125" bestFit="1" customWidth="1"/>
    <col min="14089" max="14089" width="3.85546875" customWidth="1"/>
    <col min="14090" max="14090" width="15.28515625" bestFit="1" customWidth="1"/>
    <col min="14091" max="14091" width="12.28515625" customWidth="1"/>
    <col min="14092" max="14092" width="16.28515625" bestFit="1" customWidth="1"/>
    <col min="14093" max="14093" width="6.42578125" bestFit="1" customWidth="1"/>
    <col min="14094" max="14094" width="9.28515625" bestFit="1" customWidth="1"/>
    <col min="14095" max="14095" width="7.5703125" bestFit="1" customWidth="1"/>
    <col min="14096" max="14096" width="13.28515625" bestFit="1" customWidth="1"/>
    <col min="14097" max="14097" width="9.28515625" bestFit="1" customWidth="1"/>
    <col min="14098" max="14098" width="11.5703125" bestFit="1" customWidth="1"/>
    <col min="14099" max="14099" width="13.28515625" bestFit="1" customWidth="1"/>
    <col min="14100" max="14100" width="7.140625" bestFit="1" customWidth="1"/>
    <col min="14101" max="14101" width="12" bestFit="1" customWidth="1"/>
    <col min="14102" max="14102" width="13.28515625" bestFit="1" customWidth="1"/>
    <col min="14103" max="14103" width="7" bestFit="1" customWidth="1"/>
    <col min="14104" max="14104" width="12.7109375" bestFit="1" customWidth="1"/>
    <col min="14105" max="14105" width="11.5703125" bestFit="1" customWidth="1"/>
    <col min="14106" max="14106" width="10.5703125" bestFit="1" customWidth="1"/>
    <col min="14107" max="14108" width="15.7109375" bestFit="1" customWidth="1"/>
    <col min="14109" max="14109" width="11.5703125" bestFit="1" customWidth="1"/>
    <col min="14110" max="14110" width="7.7109375" bestFit="1" customWidth="1"/>
    <col min="14111" max="14111" width="15.140625" bestFit="1" customWidth="1"/>
    <col min="14112" max="14112" width="11.5703125" bestFit="1" customWidth="1"/>
    <col min="14113" max="14113" width="13.28515625" bestFit="1" customWidth="1"/>
    <col min="14114" max="14114" width="10.42578125" bestFit="1" customWidth="1"/>
    <col min="14115" max="14115" width="13.28515625" bestFit="1" customWidth="1"/>
    <col min="14116" max="14116" width="12.140625" bestFit="1" customWidth="1"/>
    <col min="14117" max="14117" width="14.42578125" bestFit="1" customWidth="1"/>
    <col min="14118" max="14118" width="13.28515625" bestFit="1" customWidth="1"/>
    <col min="14119" max="14119" width="11.5703125" bestFit="1" customWidth="1"/>
    <col min="14120" max="14120" width="7.7109375" bestFit="1" customWidth="1"/>
    <col min="14121" max="14122" width="14.42578125" bestFit="1" customWidth="1"/>
    <col min="14123" max="14123" width="11.5703125" bestFit="1" customWidth="1"/>
    <col min="14124" max="14124" width="7.7109375" bestFit="1" customWidth="1"/>
    <col min="14125" max="14125" width="13.5703125" customWidth="1"/>
    <col min="14126" max="14126" width="15.28515625" customWidth="1"/>
    <col min="14127" max="14127" width="14.5703125" customWidth="1"/>
    <col min="14128" max="14128" width="13.28515625" bestFit="1" customWidth="1"/>
    <col min="14129" max="14129" width="7.7109375" bestFit="1" customWidth="1"/>
    <col min="14130" max="14130" width="12.7109375" bestFit="1" customWidth="1"/>
    <col min="14131" max="14131" width="11.7109375" bestFit="1" customWidth="1"/>
    <col min="14132" max="14132" width="11.5703125" bestFit="1" customWidth="1"/>
    <col min="14133" max="14133" width="5.28515625" bestFit="1" customWidth="1"/>
    <col min="14134" max="14134" width="13.28515625" bestFit="1" customWidth="1"/>
    <col min="14135" max="14135" width="13.5703125" bestFit="1" customWidth="1"/>
    <col min="14136" max="14136" width="10.5703125" bestFit="1" customWidth="1"/>
    <col min="14137" max="14137" width="13.28515625" bestFit="1" customWidth="1"/>
    <col min="14138" max="14138" width="11.5703125" bestFit="1" customWidth="1"/>
    <col min="14139" max="14139" width="10.5703125" bestFit="1" customWidth="1"/>
    <col min="14140" max="14140" width="16.140625" bestFit="1" customWidth="1"/>
    <col min="14141" max="14142" width="11.28515625" bestFit="1" customWidth="1"/>
    <col min="14143" max="14143" width="13.28515625" bestFit="1" customWidth="1"/>
    <col min="14144" max="14144" width="7.7109375" bestFit="1" customWidth="1"/>
    <col min="14145" max="14148" width="9.140625" hidden="1" customWidth="1"/>
    <col min="14149" max="14149" width="10.42578125" bestFit="1" customWidth="1"/>
    <col min="14150" max="14150" width="10.5703125" bestFit="1" customWidth="1"/>
    <col min="14151" max="14151" width="10.42578125" bestFit="1" customWidth="1"/>
    <col min="14152" max="14152" width="10.5703125" bestFit="1" customWidth="1"/>
    <col min="14153" max="14153" width="9.5703125" bestFit="1" customWidth="1"/>
    <col min="14154" max="14154" width="11.5703125" bestFit="1" customWidth="1"/>
    <col min="14155" max="14155" width="10.42578125" bestFit="1" customWidth="1"/>
    <col min="14156" max="14156" width="10.85546875" customWidth="1"/>
    <col min="14157" max="14158" width="9.85546875" bestFit="1" customWidth="1"/>
    <col min="14159" max="14159" width="13.5703125" bestFit="1" customWidth="1"/>
    <col min="14160" max="14160" width="7.7109375" bestFit="1" customWidth="1"/>
    <col min="14161" max="14161" width="13.28515625" bestFit="1" customWidth="1"/>
    <col min="14162" max="14162" width="11.5703125" bestFit="1" customWidth="1"/>
    <col min="14163" max="14163" width="10.42578125" bestFit="1" customWidth="1"/>
    <col min="14164" max="14164" width="7.7109375" bestFit="1" customWidth="1"/>
    <col min="14165" max="14165" width="11.5703125" bestFit="1" customWidth="1"/>
    <col min="14166" max="14166" width="10.85546875" bestFit="1" customWidth="1"/>
    <col min="14167" max="14167" width="13.28515625" bestFit="1" customWidth="1"/>
    <col min="14168" max="14168" width="10.85546875" bestFit="1" customWidth="1"/>
    <col min="14169" max="14170" width="7.5703125" bestFit="1" customWidth="1"/>
    <col min="14171" max="14172" width="10.42578125" bestFit="1" customWidth="1"/>
    <col min="14173" max="14173" width="11.5703125" bestFit="1" customWidth="1"/>
    <col min="14174" max="14174" width="5.28515625" bestFit="1" customWidth="1"/>
    <col min="14175" max="14175" width="10.28515625" bestFit="1" customWidth="1"/>
    <col min="14176" max="14176" width="10.42578125" bestFit="1" customWidth="1"/>
    <col min="14177" max="14177" width="11.5703125" bestFit="1" customWidth="1"/>
    <col min="14178" max="14178" width="5.28515625" bestFit="1" customWidth="1"/>
    <col min="14179" max="14181" width="11.5703125" bestFit="1" customWidth="1"/>
    <col min="14182" max="14182" width="5.28515625" bestFit="1" customWidth="1"/>
    <col min="14183" max="14184" width="10.42578125" bestFit="1" customWidth="1"/>
    <col min="14185" max="14185" width="11.5703125" bestFit="1" customWidth="1"/>
    <col min="14186" max="14186" width="5.28515625" bestFit="1" customWidth="1"/>
    <col min="14187" max="14187" width="14.28515625" bestFit="1" customWidth="1"/>
    <col min="14188" max="14188" width="13" bestFit="1" customWidth="1"/>
    <col min="14189" max="14189" width="11.5703125" bestFit="1" customWidth="1"/>
    <col min="14190" max="14190" width="8.85546875" bestFit="1" customWidth="1"/>
    <col min="14191" max="14191" width="14.42578125" bestFit="1" customWidth="1"/>
    <col min="14192" max="14192" width="10.42578125" bestFit="1" customWidth="1"/>
    <col min="14193" max="14193" width="12.28515625" bestFit="1" customWidth="1"/>
    <col min="14194" max="14194" width="13.85546875" bestFit="1" customWidth="1"/>
    <col min="14195" max="14195" width="11.28515625" customWidth="1"/>
    <col min="14196" max="14196" width="11.5703125" customWidth="1"/>
    <col min="14197" max="14197" width="13.42578125" bestFit="1" customWidth="1"/>
    <col min="14198" max="14198" width="10.42578125" customWidth="1"/>
    <col min="14199" max="14199" width="13.85546875" bestFit="1" customWidth="1"/>
    <col min="14200" max="14200" width="15.42578125" bestFit="1" customWidth="1"/>
    <col min="14201" max="14201" width="12.28515625" bestFit="1" customWidth="1"/>
    <col min="14202" max="14202" width="12.7109375" customWidth="1"/>
    <col min="14203" max="14203" width="10.7109375" bestFit="1" customWidth="1"/>
    <col min="14204" max="14204" width="9.85546875" customWidth="1"/>
    <col min="14205" max="14206" width="10.140625" bestFit="1" customWidth="1"/>
    <col min="14207" max="14207" width="7.5703125" bestFit="1" customWidth="1"/>
    <col min="14208" max="14208" width="9.42578125" bestFit="1" customWidth="1"/>
    <col min="14209" max="14209" width="14.5703125" bestFit="1" customWidth="1"/>
    <col min="14210" max="14210" width="14.85546875" customWidth="1"/>
    <col min="14211" max="14211" width="15.140625" bestFit="1" customWidth="1"/>
    <col min="14212" max="14212" width="12.140625" bestFit="1" customWidth="1"/>
    <col min="14213" max="14213" width="14.85546875" bestFit="1" customWidth="1"/>
    <col min="14214" max="14214" width="12.28515625" bestFit="1" customWidth="1"/>
    <col min="14215" max="14223" width="9.140625" hidden="1" customWidth="1"/>
    <col min="14224" max="14224" width="5.28515625" bestFit="1" customWidth="1"/>
    <col min="14225" max="14230" width="11.5703125" bestFit="1" customWidth="1"/>
    <col min="14231" max="14231" width="11.28515625" bestFit="1" customWidth="1"/>
    <col min="14232" max="14232" width="10.140625" bestFit="1" customWidth="1"/>
    <col min="14233" max="14233" width="11.5703125" bestFit="1" customWidth="1"/>
    <col min="14234" max="14234" width="16.140625" customWidth="1"/>
    <col min="14235" max="14235" width="13.42578125" customWidth="1"/>
    <col min="14236" max="14236" width="10.140625" bestFit="1" customWidth="1"/>
    <col min="14237" max="14237" width="12.85546875" bestFit="1" customWidth="1"/>
    <col min="14238" max="14238" width="12.28515625" bestFit="1" customWidth="1"/>
    <col min="14239" max="14239" width="11.28515625" bestFit="1" customWidth="1"/>
    <col min="14240" max="14240" width="11.5703125" bestFit="1" customWidth="1"/>
    <col min="14241" max="14241" width="10.85546875" bestFit="1" customWidth="1"/>
    <col min="14242" max="14242" width="11.28515625" bestFit="1" customWidth="1"/>
    <col min="14243" max="14243" width="10.140625" bestFit="1" customWidth="1"/>
    <col min="14244" max="14244" width="13.28515625" bestFit="1" customWidth="1"/>
    <col min="14245" max="14246" width="12.7109375" bestFit="1" customWidth="1"/>
    <col min="14247" max="14247" width="11" bestFit="1" customWidth="1"/>
    <col min="14248" max="14248" width="11.28515625" bestFit="1" customWidth="1"/>
    <col min="14249" max="14249" width="11.5703125" bestFit="1" customWidth="1"/>
    <col min="14250" max="14250" width="12.28515625" bestFit="1" customWidth="1"/>
    <col min="14251" max="14251" width="15.140625" bestFit="1" customWidth="1"/>
    <col min="14252" max="14252" width="14.42578125" bestFit="1" customWidth="1"/>
    <col min="14253" max="14253" width="12.28515625" bestFit="1" customWidth="1"/>
    <col min="14254" max="14254" width="15.140625" bestFit="1" customWidth="1"/>
    <col min="14255" max="14255" width="14.42578125" bestFit="1" customWidth="1"/>
    <col min="14256" max="14256" width="12.28515625" bestFit="1" customWidth="1"/>
    <col min="14257" max="14257" width="14.42578125" bestFit="1" customWidth="1"/>
    <col min="14258" max="14258" width="11.28515625" bestFit="1" customWidth="1"/>
    <col min="14259" max="14259" width="12.28515625" bestFit="1" customWidth="1"/>
    <col min="14260" max="14260" width="13" bestFit="1" customWidth="1"/>
    <col min="14261" max="14261" width="15.140625" bestFit="1" customWidth="1"/>
    <col min="14262" max="14262" width="12.28515625" bestFit="1" customWidth="1"/>
    <col min="14263" max="14263" width="13.85546875" bestFit="1" customWidth="1"/>
    <col min="14264" max="14264" width="11.28515625" bestFit="1" customWidth="1"/>
    <col min="14265" max="14265" width="12.28515625" bestFit="1" customWidth="1"/>
    <col min="14266" max="14266" width="13.85546875" bestFit="1" customWidth="1"/>
    <col min="14267" max="14268" width="15.140625" bestFit="1" customWidth="1"/>
    <col min="14269" max="14269" width="12.28515625" bestFit="1" customWidth="1"/>
    <col min="14270" max="14270" width="5.7109375" bestFit="1" customWidth="1"/>
    <col min="14271" max="14271" width="8.5703125" bestFit="1" customWidth="1"/>
    <col min="14272" max="14272" width="5.5703125" bestFit="1" customWidth="1"/>
    <col min="14273" max="14273" width="14.42578125" bestFit="1" customWidth="1"/>
    <col min="14274" max="14274" width="11.28515625" bestFit="1" customWidth="1"/>
    <col min="14275" max="14276" width="12.28515625" bestFit="1" customWidth="1"/>
    <col min="14277" max="14277" width="11.28515625" bestFit="1" customWidth="1"/>
    <col min="14278" max="14278" width="13.85546875" bestFit="1" customWidth="1"/>
    <col min="14279" max="14279" width="12" bestFit="1" customWidth="1"/>
    <col min="14280" max="14280" width="13.85546875" bestFit="1" customWidth="1"/>
    <col min="14281" max="14282" width="14.42578125" customWidth="1"/>
    <col min="14283" max="14283" width="10.140625" bestFit="1" customWidth="1"/>
    <col min="14284" max="14284" width="12.28515625" bestFit="1" customWidth="1"/>
    <col min="14285" max="14285" width="7.42578125" bestFit="1" customWidth="1"/>
    <col min="14286" max="14286" width="8.5703125" bestFit="1" customWidth="1"/>
    <col min="14287" max="14287" width="11.5703125" bestFit="1" customWidth="1"/>
    <col min="14288" max="14288" width="13.28515625" bestFit="1" customWidth="1"/>
    <col min="14289" max="14289" width="13.28515625" customWidth="1"/>
    <col min="14290" max="14290" width="13.140625" customWidth="1"/>
    <col min="14291" max="14291" width="12.7109375" bestFit="1" customWidth="1"/>
    <col min="14292" max="14292" width="13.28515625" bestFit="1" customWidth="1"/>
    <col min="14293" max="14295" width="13.28515625" customWidth="1"/>
    <col min="14296" max="14296" width="12.140625" bestFit="1" customWidth="1"/>
    <col min="14297" max="14297" width="12.7109375" bestFit="1" customWidth="1"/>
    <col min="14298" max="14298" width="11" customWidth="1"/>
    <col min="14299" max="14299" width="16.7109375" customWidth="1"/>
    <col min="14300" max="14300" width="17" customWidth="1"/>
    <col min="14301" max="14301" width="10.42578125" bestFit="1" customWidth="1"/>
    <col min="14345" max="14345" width="3.85546875" customWidth="1"/>
    <col min="14346" max="14346" width="15.28515625" bestFit="1" customWidth="1"/>
    <col min="14347" max="14347" width="12.28515625" customWidth="1"/>
    <col min="14348" max="14348" width="16.28515625" bestFit="1" customWidth="1"/>
    <col min="14349" max="14349" width="6.42578125" bestFit="1" customWidth="1"/>
    <col min="14350" max="14350" width="9.28515625" bestFit="1" customWidth="1"/>
    <col min="14351" max="14351" width="7.5703125" bestFit="1" customWidth="1"/>
    <col min="14352" max="14352" width="13.28515625" bestFit="1" customWidth="1"/>
    <col min="14353" max="14353" width="9.28515625" bestFit="1" customWidth="1"/>
    <col min="14354" max="14354" width="11.5703125" bestFit="1" customWidth="1"/>
    <col min="14355" max="14355" width="13.28515625" bestFit="1" customWidth="1"/>
    <col min="14356" max="14356" width="7.140625" bestFit="1" customWidth="1"/>
    <col min="14357" max="14357" width="12" bestFit="1" customWidth="1"/>
    <col min="14358" max="14358" width="13.28515625" bestFit="1" customWidth="1"/>
    <col min="14359" max="14359" width="7" bestFit="1" customWidth="1"/>
    <col min="14360" max="14360" width="12.7109375" bestFit="1" customWidth="1"/>
    <col min="14361" max="14361" width="11.5703125" bestFit="1" customWidth="1"/>
    <col min="14362" max="14362" width="10.5703125" bestFit="1" customWidth="1"/>
    <col min="14363" max="14364" width="15.7109375" bestFit="1" customWidth="1"/>
    <col min="14365" max="14365" width="11.5703125" bestFit="1" customWidth="1"/>
    <col min="14366" max="14366" width="7.7109375" bestFit="1" customWidth="1"/>
    <col min="14367" max="14367" width="15.140625" bestFit="1" customWidth="1"/>
    <col min="14368" max="14368" width="11.5703125" bestFit="1" customWidth="1"/>
    <col min="14369" max="14369" width="13.28515625" bestFit="1" customWidth="1"/>
    <col min="14370" max="14370" width="10.42578125" bestFit="1" customWidth="1"/>
    <col min="14371" max="14371" width="13.28515625" bestFit="1" customWidth="1"/>
    <col min="14372" max="14372" width="12.140625" bestFit="1" customWidth="1"/>
    <col min="14373" max="14373" width="14.42578125" bestFit="1" customWidth="1"/>
    <col min="14374" max="14374" width="13.28515625" bestFit="1" customWidth="1"/>
    <col min="14375" max="14375" width="11.5703125" bestFit="1" customWidth="1"/>
    <col min="14376" max="14376" width="7.7109375" bestFit="1" customWidth="1"/>
    <col min="14377" max="14378" width="14.42578125" bestFit="1" customWidth="1"/>
    <col min="14379" max="14379" width="11.5703125" bestFit="1" customWidth="1"/>
    <col min="14380" max="14380" width="7.7109375" bestFit="1" customWidth="1"/>
    <col min="14381" max="14381" width="13.5703125" customWidth="1"/>
    <col min="14382" max="14382" width="15.28515625" customWidth="1"/>
    <col min="14383" max="14383" width="14.5703125" customWidth="1"/>
    <col min="14384" max="14384" width="13.28515625" bestFit="1" customWidth="1"/>
    <col min="14385" max="14385" width="7.7109375" bestFit="1" customWidth="1"/>
    <col min="14386" max="14386" width="12.7109375" bestFit="1" customWidth="1"/>
    <col min="14387" max="14387" width="11.7109375" bestFit="1" customWidth="1"/>
    <col min="14388" max="14388" width="11.5703125" bestFit="1" customWidth="1"/>
    <col min="14389" max="14389" width="5.28515625" bestFit="1" customWidth="1"/>
    <col min="14390" max="14390" width="13.28515625" bestFit="1" customWidth="1"/>
    <col min="14391" max="14391" width="13.5703125" bestFit="1" customWidth="1"/>
    <col min="14392" max="14392" width="10.5703125" bestFit="1" customWidth="1"/>
    <col min="14393" max="14393" width="13.28515625" bestFit="1" customWidth="1"/>
    <col min="14394" max="14394" width="11.5703125" bestFit="1" customWidth="1"/>
    <col min="14395" max="14395" width="10.5703125" bestFit="1" customWidth="1"/>
    <col min="14396" max="14396" width="16.140625" bestFit="1" customWidth="1"/>
    <col min="14397" max="14398" width="11.28515625" bestFit="1" customWidth="1"/>
    <col min="14399" max="14399" width="13.28515625" bestFit="1" customWidth="1"/>
    <col min="14400" max="14400" width="7.7109375" bestFit="1" customWidth="1"/>
    <col min="14401" max="14404" width="9.140625" hidden="1" customWidth="1"/>
    <col min="14405" max="14405" width="10.42578125" bestFit="1" customWidth="1"/>
    <col min="14406" max="14406" width="10.5703125" bestFit="1" customWidth="1"/>
    <col min="14407" max="14407" width="10.42578125" bestFit="1" customWidth="1"/>
    <col min="14408" max="14408" width="10.5703125" bestFit="1" customWidth="1"/>
    <col min="14409" max="14409" width="9.5703125" bestFit="1" customWidth="1"/>
    <col min="14410" max="14410" width="11.5703125" bestFit="1" customWidth="1"/>
    <col min="14411" max="14411" width="10.42578125" bestFit="1" customWidth="1"/>
    <col min="14412" max="14412" width="10.85546875" customWidth="1"/>
    <col min="14413" max="14414" width="9.85546875" bestFit="1" customWidth="1"/>
    <col min="14415" max="14415" width="13.5703125" bestFit="1" customWidth="1"/>
    <col min="14416" max="14416" width="7.7109375" bestFit="1" customWidth="1"/>
    <col min="14417" max="14417" width="13.28515625" bestFit="1" customWidth="1"/>
    <col min="14418" max="14418" width="11.5703125" bestFit="1" customWidth="1"/>
    <col min="14419" max="14419" width="10.42578125" bestFit="1" customWidth="1"/>
    <col min="14420" max="14420" width="7.7109375" bestFit="1" customWidth="1"/>
    <col min="14421" max="14421" width="11.5703125" bestFit="1" customWidth="1"/>
    <col min="14422" max="14422" width="10.85546875" bestFit="1" customWidth="1"/>
    <col min="14423" max="14423" width="13.28515625" bestFit="1" customWidth="1"/>
    <col min="14424" max="14424" width="10.85546875" bestFit="1" customWidth="1"/>
    <col min="14425" max="14426" width="7.5703125" bestFit="1" customWidth="1"/>
    <col min="14427" max="14428" width="10.42578125" bestFit="1" customWidth="1"/>
    <col min="14429" max="14429" width="11.5703125" bestFit="1" customWidth="1"/>
    <col min="14430" max="14430" width="5.28515625" bestFit="1" customWidth="1"/>
    <col min="14431" max="14431" width="10.28515625" bestFit="1" customWidth="1"/>
    <col min="14432" max="14432" width="10.42578125" bestFit="1" customWidth="1"/>
    <col min="14433" max="14433" width="11.5703125" bestFit="1" customWidth="1"/>
    <col min="14434" max="14434" width="5.28515625" bestFit="1" customWidth="1"/>
    <col min="14435" max="14437" width="11.5703125" bestFit="1" customWidth="1"/>
    <col min="14438" max="14438" width="5.28515625" bestFit="1" customWidth="1"/>
    <col min="14439" max="14440" width="10.42578125" bestFit="1" customWidth="1"/>
    <col min="14441" max="14441" width="11.5703125" bestFit="1" customWidth="1"/>
    <col min="14442" max="14442" width="5.28515625" bestFit="1" customWidth="1"/>
    <col min="14443" max="14443" width="14.28515625" bestFit="1" customWidth="1"/>
    <col min="14444" max="14444" width="13" bestFit="1" customWidth="1"/>
    <col min="14445" max="14445" width="11.5703125" bestFit="1" customWidth="1"/>
    <col min="14446" max="14446" width="8.85546875" bestFit="1" customWidth="1"/>
    <col min="14447" max="14447" width="14.42578125" bestFit="1" customWidth="1"/>
    <col min="14448" max="14448" width="10.42578125" bestFit="1" customWidth="1"/>
    <col min="14449" max="14449" width="12.28515625" bestFit="1" customWidth="1"/>
    <col min="14450" max="14450" width="13.85546875" bestFit="1" customWidth="1"/>
    <col min="14451" max="14451" width="11.28515625" customWidth="1"/>
    <col min="14452" max="14452" width="11.5703125" customWidth="1"/>
    <col min="14453" max="14453" width="13.42578125" bestFit="1" customWidth="1"/>
    <col min="14454" max="14454" width="10.42578125" customWidth="1"/>
    <col min="14455" max="14455" width="13.85546875" bestFit="1" customWidth="1"/>
    <col min="14456" max="14456" width="15.42578125" bestFit="1" customWidth="1"/>
    <col min="14457" max="14457" width="12.28515625" bestFit="1" customWidth="1"/>
    <col min="14458" max="14458" width="12.7109375" customWidth="1"/>
    <col min="14459" max="14459" width="10.7109375" bestFit="1" customWidth="1"/>
    <col min="14460" max="14460" width="9.85546875" customWidth="1"/>
    <col min="14461" max="14462" width="10.140625" bestFit="1" customWidth="1"/>
    <col min="14463" max="14463" width="7.5703125" bestFit="1" customWidth="1"/>
    <col min="14464" max="14464" width="9.42578125" bestFit="1" customWidth="1"/>
    <col min="14465" max="14465" width="14.5703125" bestFit="1" customWidth="1"/>
    <col min="14466" max="14466" width="14.85546875" customWidth="1"/>
    <col min="14467" max="14467" width="15.140625" bestFit="1" customWidth="1"/>
    <col min="14468" max="14468" width="12.140625" bestFit="1" customWidth="1"/>
    <col min="14469" max="14469" width="14.85546875" bestFit="1" customWidth="1"/>
    <col min="14470" max="14470" width="12.28515625" bestFit="1" customWidth="1"/>
    <col min="14471" max="14479" width="9.140625" hidden="1" customWidth="1"/>
    <col min="14480" max="14480" width="5.28515625" bestFit="1" customWidth="1"/>
    <col min="14481" max="14486" width="11.5703125" bestFit="1" customWidth="1"/>
    <col min="14487" max="14487" width="11.28515625" bestFit="1" customWidth="1"/>
    <col min="14488" max="14488" width="10.140625" bestFit="1" customWidth="1"/>
    <col min="14489" max="14489" width="11.5703125" bestFit="1" customWidth="1"/>
    <col min="14490" max="14490" width="16.140625" customWidth="1"/>
    <col min="14491" max="14491" width="13.42578125" customWidth="1"/>
    <col min="14492" max="14492" width="10.140625" bestFit="1" customWidth="1"/>
    <col min="14493" max="14493" width="12.85546875" bestFit="1" customWidth="1"/>
    <col min="14494" max="14494" width="12.28515625" bestFit="1" customWidth="1"/>
    <col min="14495" max="14495" width="11.28515625" bestFit="1" customWidth="1"/>
    <col min="14496" max="14496" width="11.5703125" bestFit="1" customWidth="1"/>
    <col min="14497" max="14497" width="10.85546875" bestFit="1" customWidth="1"/>
    <col min="14498" max="14498" width="11.28515625" bestFit="1" customWidth="1"/>
    <col min="14499" max="14499" width="10.140625" bestFit="1" customWidth="1"/>
    <col min="14500" max="14500" width="13.28515625" bestFit="1" customWidth="1"/>
    <col min="14501" max="14502" width="12.7109375" bestFit="1" customWidth="1"/>
    <col min="14503" max="14503" width="11" bestFit="1" customWidth="1"/>
    <col min="14504" max="14504" width="11.28515625" bestFit="1" customWidth="1"/>
    <col min="14505" max="14505" width="11.5703125" bestFit="1" customWidth="1"/>
    <col min="14506" max="14506" width="12.28515625" bestFit="1" customWidth="1"/>
    <col min="14507" max="14507" width="15.140625" bestFit="1" customWidth="1"/>
    <col min="14508" max="14508" width="14.42578125" bestFit="1" customWidth="1"/>
    <col min="14509" max="14509" width="12.28515625" bestFit="1" customWidth="1"/>
    <col min="14510" max="14510" width="15.140625" bestFit="1" customWidth="1"/>
    <col min="14511" max="14511" width="14.42578125" bestFit="1" customWidth="1"/>
    <col min="14512" max="14512" width="12.28515625" bestFit="1" customWidth="1"/>
    <col min="14513" max="14513" width="14.42578125" bestFit="1" customWidth="1"/>
    <col min="14514" max="14514" width="11.28515625" bestFit="1" customWidth="1"/>
    <col min="14515" max="14515" width="12.28515625" bestFit="1" customWidth="1"/>
    <col min="14516" max="14516" width="13" bestFit="1" customWidth="1"/>
    <col min="14517" max="14517" width="15.140625" bestFit="1" customWidth="1"/>
    <col min="14518" max="14518" width="12.28515625" bestFit="1" customWidth="1"/>
    <col min="14519" max="14519" width="13.85546875" bestFit="1" customWidth="1"/>
    <col min="14520" max="14520" width="11.28515625" bestFit="1" customWidth="1"/>
    <col min="14521" max="14521" width="12.28515625" bestFit="1" customWidth="1"/>
    <col min="14522" max="14522" width="13.85546875" bestFit="1" customWidth="1"/>
    <col min="14523" max="14524" width="15.140625" bestFit="1" customWidth="1"/>
    <col min="14525" max="14525" width="12.28515625" bestFit="1" customWidth="1"/>
    <col min="14526" max="14526" width="5.7109375" bestFit="1" customWidth="1"/>
    <col min="14527" max="14527" width="8.5703125" bestFit="1" customWidth="1"/>
    <col min="14528" max="14528" width="5.5703125" bestFit="1" customWidth="1"/>
    <col min="14529" max="14529" width="14.42578125" bestFit="1" customWidth="1"/>
    <col min="14530" max="14530" width="11.28515625" bestFit="1" customWidth="1"/>
    <col min="14531" max="14532" width="12.28515625" bestFit="1" customWidth="1"/>
    <col min="14533" max="14533" width="11.28515625" bestFit="1" customWidth="1"/>
    <col min="14534" max="14534" width="13.85546875" bestFit="1" customWidth="1"/>
    <col min="14535" max="14535" width="12" bestFit="1" customWidth="1"/>
    <col min="14536" max="14536" width="13.85546875" bestFit="1" customWidth="1"/>
    <col min="14537" max="14538" width="14.42578125" customWidth="1"/>
    <col min="14539" max="14539" width="10.140625" bestFit="1" customWidth="1"/>
    <col min="14540" max="14540" width="12.28515625" bestFit="1" customWidth="1"/>
    <col min="14541" max="14541" width="7.42578125" bestFit="1" customWidth="1"/>
    <col min="14542" max="14542" width="8.5703125" bestFit="1" customWidth="1"/>
    <col min="14543" max="14543" width="11.5703125" bestFit="1" customWidth="1"/>
    <col min="14544" max="14544" width="13.28515625" bestFit="1" customWidth="1"/>
    <col min="14545" max="14545" width="13.28515625" customWidth="1"/>
    <col min="14546" max="14546" width="13.140625" customWidth="1"/>
    <col min="14547" max="14547" width="12.7109375" bestFit="1" customWidth="1"/>
    <col min="14548" max="14548" width="13.28515625" bestFit="1" customWidth="1"/>
    <col min="14549" max="14551" width="13.28515625" customWidth="1"/>
    <col min="14552" max="14552" width="12.140625" bestFit="1" customWidth="1"/>
    <col min="14553" max="14553" width="12.7109375" bestFit="1" customWidth="1"/>
    <col min="14554" max="14554" width="11" customWidth="1"/>
    <col min="14555" max="14555" width="16.7109375" customWidth="1"/>
    <col min="14556" max="14556" width="17" customWidth="1"/>
    <col min="14557" max="14557" width="10.42578125" bestFit="1" customWidth="1"/>
    <col min="14601" max="14601" width="3.85546875" customWidth="1"/>
    <col min="14602" max="14602" width="15.28515625" bestFit="1" customWidth="1"/>
    <col min="14603" max="14603" width="12.28515625" customWidth="1"/>
    <col min="14604" max="14604" width="16.28515625" bestFit="1" customWidth="1"/>
    <col min="14605" max="14605" width="6.42578125" bestFit="1" customWidth="1"/>
    <col min="14606" max="14606" width="9.28515625" bestFit="1" customWidth="1"/>
    <col min="14607" max="14607" width="7.5703125" bestFit="1" customWidth="1"/>
    <col min="14608" max="14608" width="13.28515625" bestFit="1" customWidth="1"/>
    <col min="14609" max="14609" width="9.28515625" bestFit="1" customWidth="1"/>
    <col min="14610" max="14610" width="11.5703125" bestFit="1" customWidth="1"/>
    <col min="14611" max="14611" width="13.28515625" bestFit="1" customWidth="1"/>
    <col min="14612" max="14612" width="7.140625" bestFit="1" customWidth="1"/>
    <col min="14613" max="14613" width="12" bestFit="1" customWidth="1"/>
    <col min="14614" max="14614" width="13.28515625" bestFit="1" customWidth="1"/>
    <col min="14615" max="14615" width="7" bestFit="1" customWidth="1"/>
    <col min="14616" max="14616" width="12.7109375" bestFit="1" customWidth="1"/>
    <col min="14617" max="14617" width="11.5703125" bestFit="1" customWidth="1"/>
    <col min="14618" max="14618" width="10.5703125" bestFit="1" customWidth="1"/>
    <col min="14619" max="14620" width="15.7109375" bestFit="1" customWidth="1"/>
    <col min="14621" max="14621" width="11.5703125" bestFit="1" customWidth="1"/>
    <col min="14622" max="14622" width="7.7109375" bestFit="1" customWidth="1"/>
    <col min="14623" max="14623" width="15.140625" bestFit="1" customWidth="1"/>
    <col min="14624" max="14624" width="11.5703125" bestFit="1" customWidth="1"/>
    <col min="14625" max="14625" width="13.28515625" bestFit="1" customWidth="1"/>
    <col min="14626" max="14626" width="10.42578125" bestFit="1" customWidth="1"/>
    <col min="14627" max="14627" width="13.28515625" bestFit="1" customWidth="1"/>
    <col min="14628" max="14628" width="12.140625" bestFit="1" customWidth="1"/>
    <col min="14629" max="14629" width="14.42578125" bestFit="1" customWidth="1"/>
    <col min="14630" max="14630" width="13.28515625" bestFit="1" customWidth="1"/>
    <col min="14631" max="14631" width="11.5703125" bestFit="1" customWidth="1"/>
    <col min="14632" max="14632" width="7.7109375" bestFit="1" customWidth="1"/>
    <col min="14633" max="14634" width="14.42578125" bestFit="1" customWidth="1"/>
    <col min="14635" max="14635" width="11.5703125" bestFit="1" customWidth="1"/>
    <col min="14636" max="14636" width="7.7109375" bestFit="1" customWidth="1"/>
    <col min="14637" max="14637" width="13.5703125" customWidth="1"/>
    <col min="14638" max="14638" width="15.28515625" customWidth="1"/>
    <col min="14639" max="14639" width="14.5703125" customWidth="1"/>
    <col min="14640" max="14640" width="13.28515625" bestFit="1" customWidth="1"/>
    <col min="14641" max="14641" width="7.7109375" bestFit="1" customWidth="1"/>
    <col min="14642" max="14642" width="12.7109375" bestFit="1" customWidth="1"/>
    <col min="14643" max="14643" width="11.7109375" bestFit="1" customWidth="1"/>
    <col min="14644" max="14644" width="11.5703125" bestFit="1" customWidth="1"/>
    <col min="14645" max="14645" width="5.28515625" bestFit="1" customWidth="1"/>
    <col min="14646" max="14646" width="13.28515625" bestFit="1" customWidth="1"/>
    <col min="14647" max="14647" width="13.5703125" bestFit="1" customWidth="1"/>
    <col min="14648" max="14648" width="10.5703125" bestFit="1" customWidth="1"/>
    <col min="14649" max="14649" width="13.28515625" bestFit="1" customWidth="1"/>
    <col min="14650" max="14650" width="11.5703125" bestFit="1" customWidth="1"/>
    <col min="14651" max="14651" width="10.5703125" bestFit="1" customWidth="1"/>
    <col min="14652" max="14652" width="16.140625" bestFit="1" customWidth="1"/>
    <col min="14653" max="14654" width="11.28515625" bestFit="1" customWidth="1"/>
    <col min="14655" max="14655" width="13.28515625" bestFit="1" customWidth="1"/>
    <col min="14656" max="14656" width="7.7109375" bestFit="1" customWidth="1"/>
    <col min="14657" max="14660" width="9.140625" hidden="1" customWidth="1"/>
    <col min="14661" max="14661" width="10.42578125" bestFit="1" customWidth="1"/>
    <col min="14662" max="14662" width="10.5703125" bestFit="1" customWidth="1"/>
    <col min="14663" max="14663" width="10.42578125" bestFit="1" customWidth="1"/>
    <col min="14664" max="14664" width="10.5703125" bestFit="1" customWidth="1"/>
    <col min="14665" max="14665" width="9.5703125" bestFit="1" customWidth="1"/>
    <col min="14666" max="14666" width="11.5703125" bestFit="1" customWidth="1"/>
    <col min="14667" max="14667" width="10.42578125" bestFit="1" customWidth="1"/>
    <col min="14668" max="14668" width="10.85546875" customWidth="1"/>
    <col min="14669" max="14670" width="9.85546875" bestFit="1" customWidth="1"/>
    <col min="14671" max="14671" width="13.5703125" bestFit="1" customWidth="1"/>
    <col min="14672" max="14672" width="7.7109375" bestFit="1" customWidth="1"/>
    <col min="14673" max="14673" width="13.28515625" bestFit="1" customWidth="1"/>
    <col min="14674" max="14674" width="11.5703125" bestFit="1" customWidth="1"/>
    <col min="14675" max="14675" width="10.42578125" bestFit="1" customWidth="1"/>
    <col min="14676" max="14676" width="7.7109375" bestFit="1" customWidth="1"/>
    <col min="14677" max="14677" width="11.5703125" bestFit="1" customWidth="1"/>
    <col min="14678" max="14678" width="10.85546875" bestFit="1" customWidth="1"/>
    <col min="14679" max="14679" width="13.28515625" bestFit="1" customWidth="1"/>
    <col min="14680" max="14680" width="10.85546875" bestFit="1" customWidth="1"/>
    <col min="14681" max="14682" width="7.5703125" bestFit="1" customWidth="1"/>
    <col min="14683" max="14684" width="10.42578125" bestFit="1" customWidth="1"/>
    <col min="14685" max="14685" width="11.5703125" bestFit="1" customWidth="1"/>
    <col min="14686" max="14686" width="5.28515625" bestFit="1" customWidth="1"/>
    <col min="14687" max="14687" width="10.28515625" bestFit="1" customWidth="1"/>
    <col min="14688" max="14688" width="10.42578125" bestFit="1" customWidth="1"/>
    <col min="14689" max="14689" width="11.5703125" bestFit="1" customWidth="1"/>
    <col min="14690" max="14690" width="5.28515625" bestFit="1" customWidth="1"/>
    <col min="14691" max="14693" width="11.5703125" bestFit="1" customWidth="1"/>
    <col min="14694" max="14694" width="5.28515625" bestFit="1" customWidth="1"/>
    <col min="14695" max="14696" width="10.42578125" bestFit="1" customWidth="1"/>
    <col min="14697" max="14697" width="11.5703125" bestFit="1" customWidth="1"/>
    <col min="14698" max="14698" width="5.28515625" bestFit="1" customWidth="1"/>
    <col min="14699" max="14699" width="14.28515625" bestFit="1" customWidth="1"/>
    <col min="14700" max="14700" width="13" bestFit="1" customWidth="1"/>
    <col min="14701" max="14701" width="11.5703125" bestFit="1" customWidth="1"/>
    <col min="14702" max="14702" width="8.85546875" bestFit="1" customWidth="1"/>
    <col min="14703" max="14703" width="14.42578125" bestFit="1" customWidth="1"/>
    <col min="14704" max="14704" width="10.42578125" bestFit="1" customWidth="1"/>
    <col min="14705" max="14705" width="12.28515625" bestFit="1" customWidth="1"/>
    <col min="14706" max="14706" width="13.85546875" bestFit="1" customWidth="1"/>
    <col min="14707" max="14707" width="11.28515625" customWidth="1"/>
    <col min="14708" max="14708" width="11.5703125" customWidth="1"/>
    <col min="14709" max="14709" width="13.42578125" bestFit="1" customWidth="1"/>
    <col min="14710" max="14710" width="10.42578125" customWidth="1"/>
    <col min="14711" max="14711" width="13.85546875" bestFit="1" customWidth="1"/>
    <col min="14712" max="14712" width="15.42578125" bestFit="1" customWidth="1"/>
    <col min="14713" max="14713" width="12.28515625" bestFit="1" customWidth="1"/>
    <col min="14714" max="14714" width="12.7109375" customWidth="1"/>
    <col min="14715" max="14715" width="10.7109375" bestFit="1" customWidth="1"/>
    <col min="14716" max="14716" width="9.85546875" customWidth="1"/>
    <col min="14717" max="14718" width="10.140625" bestFit="1" customWidth="1"/>
    <col min="14719" max="14719" width="7.5703125" bestFit="1" customWidth="1"/>
    <col min="14720" max="14720" width="9.42578125" bestFit="1" customWidth="1"/>
    <col min="14721" max="14721" width="14.5703125" bestFit="1" customWidth="1"/>
    <col min="14722" max="14722" width="14.85546875" customWidth="1"/>
    <col min="14723" max="14723" width="15.140625" bestFit="1" customWidth="1"/>
    <col min="14724" max="14724" width="12.140625" bestFit="1" customWidth="1"/>
    <col min="14725" max="14725" width="14.85546875" bestFit="1" customWidth="1"/>
    <col min="14726" max="14726" width="12.28515625" bestFit="1" customWidth="1"/>
    <col min="14727" max="14735" width="9.140625" hidden="1" customWidth="1"/>
    <col min="14736" max="14736" width="5.28515625" bestFit="1" customWidth="1"/>
    <col min="14737" max="14742" width="11.5703125" bestFit="1" customWidth="1"/>
    <col min="14743" max="14743" width="11.28515625" bestFit="1" customWidth="1"/>
    <col min="14744" max="14744" width="10.140625" bestFit="1" customWidth="1"/>
    <col min="14745" max="14745" width="11.5703125" bestFit="1" customWidth="1"/>
    <col min="14746" max="14746" width="16.140625" customWidth="1"/>
    <col min="14747" max="14747" width="13.42578125" customWidth="1"/>
    <col min="14748" max="14748" width="10.140625" bestFit="1" customWidth="1"/>
    <col min="14749" max="14749" width="12.85546875" bestFit="1" customWidth="1"/>
    <col min="14750" max="14750" width="12.28515625" bestFit="1" customWidth="1"/>
    <col min="14751" max="14751" width="11.28515625" bestFit="1" customWidth="1"/>
    <col min="14752" max="14752" width="11.5703125" bestFit="1" customWidth="1"/>
    <col min="14753" max="14753" width="10.85546875" bestFit="1" customWidth="1"/>
    <col min="14754" max="14754" width="11.28515625" bestFit="1" customWidth="1"/>
    <col min="14755" max="14755" width="10.140625" bestFit="1" customWidth="1"/>
    <col min="14756" max="14756" width="13.28515625" bestFit="1" customWidth="1"/>
    <col min="14757" max="14758" width="12.7109375" bestFit="1" customWidth="1"/>
    <col min="14759" max="14759" width="11" bestFit="1" customWidth="1"/>
    <col min="14760" max="14760" width="11.28515625" bestFit="1" customWidth="1"/>
    <col min="14761" max="14761" width="11.5703125" bestFit="1" customWidth="1"/>
    <col min="14762" max="14762" width="12.28515625" bestFit="1" customWidth="1"/>
    <col min="14763" max="14763" width="15.140625" bestFit="1" customWidth="1"/>
    <col min="14764" max="14764" width="14.42578125" bestFit="1" customWidth="1"/>
    <col min="14765" max="14765" width="12.28515625" bestFit="1" customWidth="1"/>
    <col min="14766" max="14766" width="15.140625" bestFit="1" customWidth="1"/>
    <col min="14767" max="14767" width="14.42578125" bestFit="1" customWidth="1"/>
    <col min="14768" max="14768" width="12.28515625" bestFit="1" customWidth="1"/>
    <col min="14769" max="14769" width="14.42578125" bestFit="1" customWidth="1"/>
    <col min="14770" max="14770" width="11.28515625" bestFit="1" customWidth="1"/>
    <col min="14771" max="14771" width="12.28515625" bestFit="1" customWidth="1"/>
    <col min="14772" max="14772" width="13" bestFit="1" customWidth="1"/>
    <col min="14773" max="14773" width="15.140625" bestFit="1" customWidth="1"/>
    <col min="14774" max="14774" width="12.28515625" bestFit="1" customWidth="1"/>
    <col min="14775" max="14775" width="13.85546875" bestFit="1" customWidth="1"/>
    <col min="14776" max="14776" width="11.28515625" bestFit="1" customWidth="1"/>
    <col min="14777" max="14777" width="12.28515625" bestFit="1" customWidth="1"/>
    <col min="14778" max="14778" width="13.85546875" bestFit="1" customWidth="1"/>
    <col min="14779" max="14780" width="15.140625" bestFit="1" customWidth="1"/>
    <col min="14781" max="14781" width="12.28515625" bestFit="1" customWidth="1"/>
    <col min="14782" max="14782" width="5.7109375" bestFit="1" customWidth="1"/>
    <col min="14783" max="14783" width="8.5703125" bestFit="1" customWidth="1"/>
    <col min="14784" max="14784" width="5.5703125" bestFit="1" customWidth="1"/>
    <col min="14785" max="14785" width="14.42578125" bestFit="1" customWidth="1"/>
    <col min="14786" max="14786" width="11.28515625" bestFit="1" customWidth="1"/>
    <col min="14787" max="14788" width="12.28515625" bestFit="1" customWidth="1"/>
    <col min="14789" max="14789" width="11.28515625" bestFit="1" customWidth="1"/>
    <col min="14790" max="14790" width="13.85546875" bestFit="1" customWidth="1"/>
    <col min="14791" max="14791" width="12" bestFit="1" customWidth="1"/>
    <col min="14792" max="14792" width="13.85546875" bestFit="1" customWidth="1"/>
    <col min="14793" max="14794" width="14.42578125" customWidth="1"/>
    <col min="14795" max="14795" width="10.140625" bestFit="1" customWidth="1"/>
    <col min="14796" max="14796" width="12.28515625" bestFit="1" customWidth="1"/>
    <col min="14797" max="14797" width="7.42578125" bestFit="1" customWidth="1"/>
    <col min="14798" max="14798" width="8.5703125" bestFit="1" customWidth="1"/>
    <col min="14799" max="14799" width="11.5703125" bestFit="1" customWidth="1"/>
    <col min="14800" max="14800" width="13.28515625" bestFit="1" customWidth="1"/>
    <col min="14801" max="14801" width="13.28515625" customWidth="1"/>
    <col min="14802" max="14802" width="13.140625" customWidth="1"/>
    <col min="14803" max="14803" width="12.7109375" bestFit="1" customWidth="1"/>
    <col min="14804" max="14804" width="13.28515625" bestFit="1" customWidth="1"/>
    <col min="14805" max="14807" width="13.28515625" customWidth="1"/>
    <col min="14808" max="14808" width="12.140625" bestFit="1" customWidth="1"/>
    <col min="14809" max="14809" width="12.7109375" bestFit="1" customWidth="1"/>
    <col min="14810" max="14810" width="11" customWidth="1"/>
    <col min="14811" max="14811" width="16.7109375" customWidth="1"/>
    <col min="14812" max="14812" width="17" customWidth="1"/>
    <col min="14813" max="14813" width="10.42578125" bestFit="1" customWidth="1"/>
    <col min="14857" max="14857" width="3.85546875" customWidth="1"/>
    <col min="14858" max="14858" width="15.28515625" bestFit="1" customWidth="1"/>
    <col min="14859" max="14859" width="12.28515625" customWidth="1"/>
    <col min="14860" max="14860" width="16.28515625" bestFit="1" customWidth="1"/>
    <col min="14861" max="14861" width="6.42578125" bestFit="1" customWidth="1"/>
    <col min="14862" max="14862" width="9.28515625" bestFit="1" customWidth="1"/>
    <col min="14863" max="14863" width="7.5703125" bestFit="1" customWidth="1"/>
    <col min="14864" max="14864" width="13.28515625" bestFit="1" customWidth="1"/>
    <col min="14865" max="14865" width="9.28515625" bestFit="1" customWidth="1"/>
    <col min="14866" max="14866" width="11.5703125" bestFit="1" customWidth="1"/>
    <col min="14867" max="14867" width="13.28515625" bestFit="1" customWidth="1"/>
    <col min="14868" max="14868" width="7.140625" bestFit="1" customWidth="1"/>
    <col min="14869" max="14869" width="12" bestFit="1" customWidth="1"/>
    <col min="14870" max="14870" width="13.28515625" bestFit="1" customWidth="1"/>
    <col min="14871" max="14871" width="7" bestFit="1" customWidth="1"/>
    <col min="14872" max="14872" width="12.7109375" bestFit="1" customWidth="1"/>
    <col min="14873" max="14873" width="11.5703125" bestFit="1" customWidth="1"/>
    <col min="14874" max="14874" width="10.5703125" bestFit="1" customWidth="1"/>
    <col min="14875" max="14876" width="15.7109375" bestFit="1" customWidth="1"/>
    <col min="14877" max="14877" width="11.5703125" bestFit="1" customWidth="1"/>
    <col min="14878" max="14878" width="7.7109375" bestFit="1" customWidth="1"/>
    <col min="14879" max="14879" width="15.140625" bestFit="1" customWidth="1"/>
    <col min="14880" max="14880" width="11.5703125" bestFit="1" customWidth="1"/>
    <col min="14881" max="14881" width="13.28515625" bestFit="1" customWidth="1"/>
    <col min="14882" max="14882" width="10.42578125" bestFit="1" customWidth="1"/>
    <col min="14883" max="14883" width="13.28515625" bestFit="1" customWidth="1"/>
    <col min="14884" max="14884" width="12.140625" bestFit="1" customWidth="1"/>
    <col min="14885" max="14885" width="14.42578125" bestFit="1" customWidth="1"/>
    <col min="14886" max="14886" width="13.28515625" bestFit="1" customWidth="1"/>
    <col min="14887" max="14887" width="11.5703125" bestFit="1" customWidth="1"/>
    <col min="14888" max="14888" width="7.7109375" bestFit="1" customWidth="1"/>
    <col min="14889" max="14890" width="14.42578125" bestFit="1" customWidth="1"/>
    <col min="14891" max="14891" width="11.5703125" bestFit="1" customWidth="1"/>
    <col min="14892" max="14892" width="7.7109375" bestFit="1" customWidth="1"/>
    <col min="14893" max="14893" width="13.5703125" customWidth="1"/>
    <col min="14894" max="14894" width="15.28515625" customWidth="1"/>
    <col min="14895" max="14895" width="14.5703125" customWidth="1"/>
    <col min="14896" max="14896" width="13.28515625" bestFit="1" customWidth="1"/>
    <col min="14897" max="14897" width="7.7109375" bestFit="1" customWidth="1"/>
    <col min="14898" max="14898" width="12.7109375" bestFit="1" customWidth="1"/>
    <col min="14899" max="14899" width="11.7109375" bestFit="1" customWidth="1"/>
    <col min="14900" max="14900" width="11.5703125" bestFit="1" customWidth="1"/>
    <col min="14901" max="14901" width="5.28515625" bestFit="1" customWidth="1"/>
    <col min="14902" max="14902" width="13.28515625" bestFit="1" customWidth="1"/>
    <col min="14903" max="14903" width="13.5703125" bestFit="1" customWidth="1"/>
    <col min="14904" max="14904" width="10.5703125" bestFit="1" customWidth="1"/>
    <col min="14905" max="14905" width="13.28515625" bestFit="1" customWidth="1"/>
    <col min="14906" max="14906" width="11.5703125" bestFit="1" customWidth="1"/>
    <col min="14907" max="14907" width="10.5703125" bestFit="1" customWidth="1"/>
    <col min="14908" max="14908" width="16.140625" bestFit="1" customWidth="1"/>
    <col min="14909" max="14910" width="11.28515625" bestFit="1" customWidth="1"/>
    <col min="14911" max="14911" width="13.28515625" bestFit="1" customWidth="1"/>
    <col min="14912" max="14912" width="7.7109375" bestFit="1" customWidth="1"/>
    <col min="14913" max="14916" width="9.140625" hidden="1" customWidth="1"/>
    <col min="14917" max="14917" width="10.42578125" bestFit="1" customWidth="1"/>
    <col min="14918" max="14918" width="10.5703125" bestFit="1" customWidth="1"/>
    <col min="14919" max="14919" width="10.42578125" bestFit="1" customWidth="1"/>
    <col min="14920" max="14920" width="10.5703125" bestFit="1" customWidth="1"/>
    <col min="14921" max="14921" width="9.5703125" bestFit="1" customWidth="1"/>
    <col min="14922" max="14922" width="11.5703125" bestFit="1" customWidth="1"/>
    <col min="14923" max="14923" width="10.42578125" bestFit="1" customWidth="1"/>
    <col min="14924" max="14924" width="10.85546875" customWidth="1"/>
    <col min="14925" max="14926" width="9.85546875" bestFit="1" customWidth="1"/>
    <col min="14927" max="14927" width="13.5703125" bestFit="1" customWidth="1"/>
    <col min="14928" max="14928" width="7.7109375" bestFit="1" customWidth="1"/>
    <col min="14929" max="14929" width="13.28515625" bestFit="1" customWidth="1"/>
    <col min="14930" max="14930" width="11.5703125" bestFit="1" customWidth="1"/>
    <col min="14931" max="14931" width="10.42578125" bestFit="1" customWidth="1"/>
    <col min="14932" max="14932" width="7.7109375" bestFit="1" customWidth="1"/>
    <col min="14933" max="14933" width="11.5703125" bestFit="1" customWidth="1"/>
    <col min="14934" max="14934" width="10.85546875" bestFit="1" customWidth="1"/>
    <col min="14935" max="14935" width="13.28515625" bestFit="1" customWidth="1"/>
    <col min="14936" max="14936" width="10.85546875" bestFit="1" customWidth="1"/>
    <col min="14937" max="14938" width="7.5703125" bestFit="1" customWidth="1"/>
    <col min="14939" max="14940" width="10.42578125" bestFit="1" customWidth="1"/>
    <col min="14941" max="14941" width="11.5703125" bestFit="1" customWidth="1"/>
    <col min="14942" max="14942" width="5.28515625" bestFit="1" customWidth="1"/>
    <col min="14943" max="14943" width="10.28515625" bestFit="1" customWidth="1"/>
    <col min="14944" max="14944" width="10.42578125" bestFit="1" customWidth="1"/>
    <col min="14945" max="14945" width="11.5703125" bestFit="1" customWidth="1"/>
    <col min="14946" max="14946" width="5.28515625" bestFit="1" customWidth="1"/>
    <col min="14947" max="14949" width="11.5703125" bestFit="1" customWidth="1"/>
    <col min="14950" max="14950" width="5.28515625" bestFit="1" customWidth="1"/>
    <col min="14951" max="14952" width="10.42578125" bestFit="1" customWidth="1"/>
    <col min="14953" max="14953" width="11.5703125" bestFit="1" customWidth="1"/>
    <col min="14954" max="14954" width="5.28515625" bestFit="1" customWidth="1"/>
    <col min="14955" max="14955" width="14.28515625" bestFit="1" customWidth="1"/>
    <col min="14956" max="14956" width="13" bestFit="1" customWidth="1"/>
    <col min="14957" max="14957" width="11.5703125" bestFit="1" customWidth="1"/>
    <col min="14958" max="14958" width="8.85546875" bestFit="1" customWidth="1"/>
    <col min="14959" max="14959" width="14.42578125" bestFit="1" customWidth="1"/>
    <col min="14960" max="14960" width="10.42578125" bestFit="1" customWidth="1"/>
    <col min="14961" max="14961" width="12.28515625" bestFit="1" customWidth="1"/>
    <col min="14962" max="14962" width="13.85546875" bestFit="1" customWidth="1"/>
    <col min="14963" max="14963" width="11.28515625" customWidth="1"/>
    <col min="14964" max="14964" width="11.5703125" customWidth="1"/>
    <col min="14965" max="14965" width="13.42578125" bestFit="1" customWidth="1"/>
    <col min="14966" max="14966" width="10.42578125" customWidth="1"/>
    <col min="14967" max="14967" width="13.85546875" bestFit="1" customWidth="1"/>
    <col min="14968" max="14968" width="15.42578125" bestFit="1" customWidth="1"/>
    <col min="14969" max="14969" width="12.28515625" bestFit="1" customWidth="1"/>
    <col min="14970" max="14970" width="12.7109375" customWidth="1"/>
    <col min="14971" max="14971" width="10.7109375" bestFit="1" customWidth="1"/>
    <col min="14972" max="14972" width="9.85546875" customWidth="1"/>
    <col min="14973" max="14974" width="10.140625" bestFit="1" customWidth="1"/>
    <col min="14975" max="14975" width="7.5703125" bestFit="1" customWidth="1"/>
    <col min="14976" max="14976" width="9.42578125" bestFit="1" customWidth="1"/>
    <col min="14977" max="14977" width="14.5703125" bestFit="1" customWidth="1"/>
    <col min="14978" max="14978" width="14.85546875" customWidth="1"/>
    <col min="14979" max="14979" width="15.140625" bestFit="1" customWidth="1"/>
    <col min="14980" max="14980" width="12.140625" bestFit="1" customWidth="1"/>
    <col min="14981" max="14981" width="14.85546875" bestFit="1" customWidth="1"/>
    <col min="14982" max="14982" width="12.28515625" bestFit="1" customWidth="1"/>
    <col min="14983" max="14991" width="9.140625" hidden="1" customWidth="1"/>
    <col min="14992" max="14992" width="5.28515625" bestFit="1" customWidth="1"/>
    <col min="14993" max="14998" width="11.5703125" bestFit="1" customWidth="1"/>
    <col min="14999" max="14999" width="11.28515625" bestFit="1" customWidth="1"/>
    <col min="15000" max="15000" width="10.140625" bestFit="1" customWidth="1"/>
    <col min="15001" max="15001" width="11.5703125" bestFit="1" customWidth="1"/>
    <col min="15002" max="15002" width="16.140625" customWidth="1"/>
    <col min="15003" max="15003" width="13.42578125" customWidth="1"/>
    <col min="15004" max="15004" width="10.140625" bestFit="1" customWidth="1"/>
    <col min="15005" max="15005" width="12.85546875" bestFit="1" customWidth="1"/>
    <col min="15006" max="15006" width="12.28515625" bestFit="1" customWidth="1"/>
    <col min="15007" max="15007" width="11.28515625" bestFit="1" customWidth="1"/>
    <col min="15008" max="15008" width="11.5703125" bestFit="1" customWidth="1"/>
    <col min="15009" max="15009" width="10.85546875" bestFit="1" customWidth="1"/>
    <col min="15010" max="15010" width="11.28515625" bestFit="1" customWidth="1"/>
    <col min="15011" max="15011" width="10.140625" bestFit="1" customWidth="1"/>
    <col min="15012" max="15012" width="13.28515625" bestFit="1" customWidth="1"/>
    <col min="15013" max="15014" width="12.7109375" bestFit="1" customWidth="1"/>
    <col min="15015" max="15015" width="11" bestFit="1" customWidth="1"/>
    <col min="15016" max="15016" width="11.28515625" bestFit="1" customWidth="1"/>
    <col min="15017" max="15017" width="11.5703125" bestFit="1" customWidth="1"/>
    <col min="15018" max="15018" width="12.28515625" bestFit="1" customWidth="1"/>
    <col min="15019" max="15019" width="15.140625" bestFit="1" customWidth="1"/>
    <col min="15020" max="15020" width="14.42578125" bestFit="1" customWidth="1"/>
    <col min="15021" max="15021" width="12.28515625" bestFit="1" customWidth="1"/>
    <col min="15022" max="15022" width="15.140625" bestFit="1" customWidth="1"/>
    <col min="15023" max="15023" width="14.42578125" bestFit="1" customWidth="1"/>
    <col min="15024" max="15024" width="12.28515625" bestFit="1" customWidth="1"/>
    <col min="15025" max="15025" width="14.42578125" bestFit="1" customWidth="1"/>
    <col min="15026" max="15026" width="11.28515625" bestFit="1" customWidth="1"/>
    <col min="15027" max="15027" width="12.28515625" bestFit="1" customWidth="1"/>
    <col min="15028" max="15028" width="13" bestFit="1" customWidth="1"/>
    <col min="15029" max="15029" width="15.140625" bestFit="1" customWidth="1"/>
    <col min="15030" max="15030" width="12.28515625" bestFit="1" customWidth="1"/>
    <col min="15031" max="15031" width="13.85546875" bestFit="1" customWidth="1"/>
    <col min="15032" max="15032" width="11.28515625" bestFit="1" customWidth="1"/>
    <col min="15033" max="15033" width="12.28515625" bestFit="1" customWidth="1"/>
    <col min="15034" max="15034" width="13.85546875" bestFit="1" customWidth="1"/>
    <col min="15035" max="15036" width="15.140625" bestFit="1" customWidth="1"/>
    <col min="15037" max="15037" width="12.28515625" bestFit="1" customWidth="1"/>
    <col min="15038" max="15038" width="5.7109375" bestFit="1" customWidth="1"/>
    <col min="15039" max="15039" width="8.5703125" bestFit="1" customWidth="1"/>
    <col min="15040" max="15040" width="5.5703125" bestFit="1" customWidth="1"/>
    <col min="15041" max="15041" width="14.42578125" bestFit="1" customWidth="1"/>
    <col min="15042" max="15042" width="11.28515625" bestFit="1" customWidth="1"/>
    <col min="15043" max="15044" width="12.28515625" bestFit="1" customWidth="1"/>
    <col min="15045" max="15045" width="11.28515625" bestFit="1" customWidth="1"/>
    <col min="15046" max="15046" width="13.85546875" bestFit="1" customWidth="1"/>
    <col min="15047" max="15047" width="12" bestFit="1" customWidth="1"/>
    <col min="15048" max="15048" width="13.85546875" bestFit="1" customWidth="1"/>
    <col min="15049" max="15050" width="14.42578125" customWidth="1"/>
    <col min="15051" max="15051" width="10.140625" bestFit="1" customWidth="1"/>
    <col min="15052" max="15052" width="12.28515625" bestFit="1" customWidth="1"/>
    <col min="15053" max="15053" width="7.42578125" bestFit="1" customWidth="1"/>
    <col min="15054" max="15054" width="8.5703125" bestFit="1" customWidth="1"/>
    <col min="15055" max="15055" width="11.5703125" bestFit="1" customWidth="1"/>
    <col min="15056" max="15056" width="13.28515625" bestFit="1" customWidth="1"/>
    <col min="15057" max="15057" width="13.28515625" customWidth="1"/>
    <col min="15058" max="15058" width="13.140625" customWidth="1"/>
    <col min="15059" max="15059" width="12.7109375" bestFit="1" customWidth="1"/>
    <col min="15060" max="15060" width="13.28515625" bestFit="1" customWidth="1"/>
    <col min="15061" max="15063" width="13.28515625" customWidth="1"/>
    <col min="15064" max="15064" width="12.140625" bestFit="1" customWidth="1"/>
    <col min="15065" max="15065" width="12.7109375" bestFit="1" customWidth="1"/>
    <col min="15066" max="15066" width="11" customWidth="1"/>
    <col min="15067" max="15067" width="16.7109375" customWidth="1"/>
    <col min="15068" max="15068" width="17" customWidth="1"/>
    <col min="15069" max="15069" width="10.42578125" bestFit="1" customWidth="1"/>
    <col min="15113" max="15113" width="3.85546875" customWidth="1"/>
    <col min="15114" max="15114" width="15.28515625" bestFit="1" customWidth="1"/>
    <col min="15115" max="15115" width="12.28515625" customWidth="1"/>
    <col min="15116" max="15116" width="16.28515625" bestFit="1" customWidth="1"/>
    <col min="15117" max="15117" width="6.42578125" bestFit="1" customWidth="1"/>
    <col min="15118" max="15118" width="9.28515625" bestFit="1" customWidth="1"/>
    <col min="15119" max="15119" width="7.5703125" bestFit="1" customWidth="1"/>
    <col min="15120" max="15120" width="13.28515625" bestFit="1" customWidth="1"/>
    <col min="15121" max="15121" width="9.28515625" bestFit="1" customWidth="1"/>
    <col min="15122" max="15122" width="11.5703125" bestFit="1" customWidth="1"/>
    <col min="15123" max="15123" width="13.28515625" bestFit="1" customWidth="1"/>
    <col min="15124" max="15124" width="7.140625" bestFit="1" customWidth="1"/>
    <col min="15125" max="15125" width="12" bestFit="1" customWidth="1"/>
    <col min="15126" max="15126" width="13.28515625" bestFit="1" customWidth="1"/>
    <col min="15127" max="15127" width="7" bestFit="1" customWidth="1"/>
    <col min="15128" max="15128" width="12.7109375" bestFit="1" customWidth="1"/>
    <col min="15129" max="15129" width="11.5703125" bestFit="1" customWidth="1"/>
    <col min="15130" max="15130" width="10.5703125" bestFit="1" customWidth="1"/>
    <col min="15131" max="15132" width="15.7109375" bestFit="1" customWidth="1"/>
    <col min="15133" max="15133" width="11.5703125" bestFit="1" customWidth="1"/>
    <col min="15134" max="15134" width="7.7109375" bestFit="1" customWidth="1"/>
    <col min="15135" max="15135" width="15.140625" bestFit="1" customWidth="1"/>
    <col min="15136" max="15136" width="11.5703125" bestFit="1" customWidth="1"/>
    <col min="15137" max="15137" width="13.28515625" bestFit="1" customWidth="1"/>
    <col min="15138" max="15138" width="10.42578125" bestFit="1" customWidth="1"/>
    <col min="15139" max="15139" width="13.28515625" bestFit="1" customWidth="1"/>
    <col min="15140" max="15140" width="12.140625" bestFit="1" customWidth="1"/>
    <col min="15141" max="15141" width="14.42578125" bestFit="1" customWidth="1"/>
    <col min="15142" max="15142" width="13.28515625" bestFit="1" customWidth="1"/>
    <col min="15143" max="15143" width="11.5703125" bestFit="1" customWidth="1"/>
    <col min="15144" max="15144" width="7.7109375" bestFit="1" customWidth="1"/>
    <col min="15145" max="15146" width="14.42578125" bestFit="1" customWidth="1"/>
    <col min="15147" max="15147" width="11.5703125" bestFit="1" customWidth="1"/>
    <col min="15148" max="15148" width="7.7109375" bestFit="1" customWidth="1"/>
    <col min="15149" max="15149" width="13.5703125" customWidth="1"/>
    <col min="15150" max="15150" width="15.28515625" customWidth="1"/>
    <col min="15151" max="15151" width="14.5703125" customWidth="1"/>
    <col min="15152" max="15152" width="13.28515625" bestFit="1" customWidth="1"/>
    <col min="15153" max="15153" width="7.7109375" bestFit="1" customWidth="1"/>
    <col min="15154" max="15154" width="12.7109375" bestFit="1" customWidth="1"/>
    <col min="15155" max="15155" width="11.7109375" bestFit="1" customWidth="1"/>
    <col min="15156" max="15156" width="11.5703125" bestFit="1" customWidth="1"/>
    <col min="15157" max="15157" width="5.28515625" bestFit="1" customWidth="1"/>
    <col min="15158" max="15158" width="13.28515625" bestFit="1" customWidth="1"/>
    <col min="15159" max="15159" width="13.5703125" bestFit="1" customWidth="1"/>
    <col min="15160" max="15160" width="10.5703125" bestFit="1" customWidth="1"/>
    <col min="15161" max="15161" width="13.28515625" bestFit="1" customWidth="1"/>
    <col min="15162" max="15162" width="11.5703125" bestFit="1" customWidth="1"/>
    <col min="15163" max="15163" width="10.5703125" bestFit="1" customWidth="1"/>
    <col min="15164" max="15164" width="16.140625" bestFit="1" customWidth="1"/>
    <col min="15165" max="15166" width="11.28515625" bestFit="1" customWidth="1"/>
    <col min="15167" max="15167" width="13.28515625" bestFit="1" customWidth="1"/>
    <col min="15168" max="15168" width="7.7109375" bestFit="1" customWidth="1"/>
    <col min="15169" max="15172" width="9.140625" hidden="1" customWidth="1"/>
    <col min="15173" max="15173" width="10.42578125" bestFit="1" customWidth="1"/>
    <col min="15174" max="15174" width="10.5703125" bestFit="1" customWidth="1"/>
    <col min="15175" max="15175" width="10.42578125" bestFit="1" customWidth="1"/>
    <col min="15176" max="15176" width="10.5703125" bestFit="1" customWidth="1"/>
    <col min="15177" max="15177" width="9.5703125" bestFit="1" customWidth="1"/>
    <col min="15178" max="15178" width="11.5703125" bestFit="1" customWidth="1"/>
    <col min="15179" max="15179" width="10.42578125" bestFit="1" customWidth="1"/>
    <col min="15180" max="15180" width="10.85546875" customWidth="1"/>
    <col min="15181" max="15182" width="9.85546875" bestFit="1" customWidth="1"/>
    <col min="15183" max="15183" width="13.5703125" bestFit="1" customWidth="1"/>
    <col min="15184" max="15184" width="7.7109375" bestFit="1" customWidth="1"/>
    <col min="15185" max="15185" width="13.28515625" bestFit="1" customWidth="1"/>
    <col min="15186" max="15186" width="11.5703125" bestFit="1" customWidth="1"/>
    <col min="15187" max="15187" width="10.42578125" bestFit="1" customWidth="1"/>
    <col min="15188" max="15188" width="7.7109375" bestFit="1" customWidth="1"/>
    <col min="15189" max="15189" width="11.5703125" bestFit="1" customWidth="1"/>
    <col min="15190" max="15190" width="10.85546875" bestFit="1" customWidth="1"/>
    <col min="15191" max="15191" width="13.28515625" bestFit="1" customWidth="1"/>
    <col min="15192" max="15192" width="10.85546875" bestFit="1" customWidth="1"/>
    <col min="15193" max="15194" width="7.5703125" bestFit="1" customWidth="1"/>
    <col min="15195" max="15196" width="10.42578125" bestFit="1" customWidth="1"/>
    <col min="15197" max="15197" width="11.5703125" bestFit="1" customWidth="1"/>
    <col min="15198" max="15198" width="5.28515625" bestFit="1" customWidth="1"/>
    <col min="15199" max="15199" width="10.28515625" bestFit="1" customWidth="1"/>
    <col min="15200" max="15200" width="10.42578125" bestFit="1" customWidth="1"/>
    <col min="15201" max="15201" width="11.5703125" bestFit="1" customWidth="1"/>
    <col min="15202" max="15202" width="5.28515625" bestFit="1" customWidth="1"/>
    <col min="15203" max="15205" width="11.5703125" bestFit="1" customWidth="1"/>
    <col min="15206" max="15206" width="5.28515625" bestFit="1" customWidth="1"/>
    <col min="15207" max="15208" width="10.42578125" bestFit="1" customWidth="1"/>
    <col min="15209" max="15209" width="11.5703125" bestFit="1" customWidth="1"/>
    <col min="15210" max="15210" width="5.28515625" bestFit="1" customWidth="1"/>
    <col min="15211" max="15211" width="14.28515625" bestFit="1" customWidth="1"/>
    <col min="15212" max="15212" width="13" bestFit="1" customWidth="1"/>
    <col min="15213" max="15213" width="11.5703125" bestFit="1" customWidth="1"/>
    <col min="15214" max="15214" width="8.85546875" bestFit="1" customWidth="1"/>
    <col min="15215" max="15215" width="14.42578125" bestFit="1" customWidth="1"/>
    <col min="15216" max="15216" width="10.42578125" bestFit="1" customWidth="1"/>
    <col min="15217" max="15217" width="12.28515625" bestFit="1" customWidth="1"/>
    <col min="15218" max="15218" width="13.85546875" bestFit="1" customWidth="1"/>
    <col min="15219" max="15219" width="11.28515625" customWidth="1"/>
    <col min="15220" max="15220" width="11.5703125" customWidth="1"/>
    <col min="15221" max="15221" width="13.42578125" bestFit="1" customWidth="1"/>
    <col min="15222" max="15222" width="10.42578125" customWidth="1"/>
    <col min="15223" max="15223" width="13.85546875" bestFit="1" customWidth="1"/>
    <col min="15224" max="15224" width="15.42578125" bestFit="1" customWidth="1"/>
    <col min="15225" max="15225" width="12.28515625" bestFit="1" customWidth="1"/>
    <col min="15226" max="15226" width="12.7109375" customWidth="1"/>
    <col min="15227" max="15227" width="10.7109375" bestFit="1" customWidth="1"/>
    <col min="15228" max="15228" width="9.85546875" customWidth="1"/>
    <col min="15229" max="15230" width="10.140625" bestFit="1" customWidth="1"/>
    <col min="15231" max="15231" width="7.5703125" bestFit="1" customWidth="1"/>
    <col min="15232" max="15232" width="9.42578125" bestFit="1" customWidth="1"/>
    <col min="15233" max="15233" width="14.5703125" bestFit="1" customWidth="1"/>
    <col min="15234" max="15234" width="14.85546875" customWidth="1"/>
    <col min="15235" max="15235" width="15.140625" bestFit="1" customWidth="1"/>
    <col min="15236" max="15236" width="12.140625" bestFit="1" customWidth="1"/>
    <col min="15237" max="15237" width="14.85546875" bestFit="1" customWidth="1"/>
    <col min="15238" max="15238" width="12.28515625" bestFit="1" customWidth="1"/>
    <col min="15239" max="15247" width="9.140625" hidden="1" customWidth="1"/>
    <col min="15248" max="15248" width="5.28515625" bestFit="1" customWidth="1"/>
    <col min="15249" max="15254" width="11.5703125" bestFit="1" customWidth="1"/>
    <col min="15255" max="15255" width="11.28515625" bestFit="1" customWidth="1"/>
    <col min="15256" max="15256" width="10.140625" bestFit="1" customWidth="1"/>
    <col min="15257" max="15257" width="11.5703125" bestFit="1" customWidth="1"/>
    <col min="15258" max="15258" width="16.140625" customWidth="1"/>
    <col min="15259" max="15259" width="13.42578125" customWidth="1"/>
    <col min="15260" max="15260" width="10.140625" bestFit="1" customWidth="1"/>
    <col min="15261" max="15261" width="12.85546875" bestFit="1" customWidth="1"/>
    <col min="15262" max="15262" width="12.28515625" bestFit="1" customWidth="1"/>
    <col min="15263" max="15263" width="11.28515625" bestFit="1" customWidth="1"/>
    <col min="15264" max="15264" width="11.5703125" bestFit="1" customWidth="1"/>
    <col min="15265" max="15265" width="10.85546875" bestFit="1" customWidth="1"/>
    <col min="15266" max="15266" width="11.28515625" bestFit="1" customWidth="1"/>
    <col min="15267" max="15267" width="10.140625" bestFit="1" customWidth="1"/>
    <col min="15268" max="15268" width="13.28515625" bestFit="1" customWidth="1"/>
    <col min="15269" max="15270" width="12.7109375" bestFit="1" customWidth="1"/>
    <col min="15271" max="15271" width="11" bestFit="1" customWidth="1"/>
    <col min="15272" max="15272" width="11.28515625" bestFit="1" customWidth="1"/>
    <col min="15273" max="15273" width="11.5703125" bestFit="1" customWidth="1"/>
    <col min="15274" max="15274" width="12.28515625" bestFit="1" customWidth="1"/>
    <col min="15275" max="15275" width="15.140625" bestFit="1" customWidth="1"/>
    <col min="15276" max="15276" width="14.42578125" bestFit="1" customWidth="1"/>
    <col min="15277" max="15277" width="12.28515625" bestFit="1" customWidth="1"/>
    <col min="15278" max="15278" width="15.140625" bestFit="1" customWidth="1"/>
    <col min="15279" max="15279" width="14.42578125" bestFit="1" customWidth="1"/>
    <col min="15280" max="15280" width="12.28515625" bestFit="1" customWidth="1"/>
    <col min="15281" max="15281" width="14.42578125" bestFit="1" customWidth="1"/>
    <col min="15282" max="15282" width="11.28515625" bestFit="1" customWidth="1"/>
    <col min="15283" max="15283" width="12.28515625" bestFit="1" customWidth="1"/>
    <col min="15284" max="15284" width="13" bestFit="1" customWidth="1"/>
    <col min="15285" max="15285" width="15.140625" bestFit="1" customWidth="1"/>
    <col min="15286" max="15286" width="12.28515625" bestFit="1" customWidth="1"/>
    <col min="15287" max="15287" width="13.85546875" bestFit="1" customWidth="1"/>
    <col min="15288" max="15288" width="11.28515625" bestFit="1" customWidth="1"/>
    <col min="15289" max="15289" width="12.28515625" bestFit="1" customWidth="1"/>
    <col min="15290" max="15290" width="13.85546875" bestFit="1" customWidth="1"/>
    <col min="15291" max="15292" width="15.140625" bestFit="1" customWidth="1"/>
    <col min="15293" max="15293" width="12.28515625" bestFit="1" customWidth="1"/>
    <col min="15294" max="15294" width="5.7109375" bestFit="1" customWidth="1"/>
    <col min="15295" max="15295" width="8.5703125" bestFit="1" customWidth="1"/>
    <col min="15296" max="15296" width="5.5703125" bestFit="1" customWidth="1"/>
    <col min="15297" max="15297" width="14.42578125" bestFit="1" customWidth="1"/>
    <col min="15298" max="15298" width="11.28515625" bestFit="1" customWidth="1"/>
    <col min="15299" max="15300" width="12.28515625" bestFit="1" customWidth="1"/>
    <col min="15301" max="15301" width="11.28515625" bestFit="1" customWidth="1"/>
    <col min="15302" max="15302" width="13.85546875" bestFit="1" customWidth="1"/>
    <col min="15303" max="15303" width="12" bestFit="1" customWidth="1"/>
    <col min="15304" max="15304" width="13.85546875" bestFit="1" customWidth="1"/>
    <col min="15305" max="15306" width="14.42578125" customWidth="1"/>
    <col min="15307" max="15307" width="10.140625" bestFit="1" customWidth="1"/>
    <col min="15308" max="15308" width="12.28515625" bestFit="1" customWidth="1"/>
    <col min="15309" max="15309" width="7.42578125" bestFit="1" customWidth="1"/>
    <col min="15310" max="15310" width="8.5703125" bestFit="1" customWidth="1"/>
    <col min="15311" max="15311" width="11.5703125" bestFit="1" customWidth="1"/>
    <col min="15312" max="15312" width="13.28515625" bestFit="1" customWidth="1"/>
    <col min="15313" max="15313" width="13.28515625" customWidth="1"/>
    <col min="15314" max="15314" width="13.140625" customWidth="1"/>
    <col min="15315" max="15315" width="12.7109375" bestFit="1" customWidth="1"/>
    <col min="15316" max="15316" width="13.28515625" bestFit="1" customWidth="1"/>
    <col min="15317" max="15319" width="13.28515625" customWidth="1"/>
    <col min="15320" max="15320" width="12.140625" bestFit="1" customWidth="1"/>
    <col min="15321" max="15321" width="12.7109375" bestFit="1" customWidth="1"/>
    <col min="15322" max="15322" width="11" customWidth="1"/>
    <col min="15323" max="15323" width="16.7109375" customWidth="1"/>
    <col min="15324" max="15324" width="17" customWidth="1"/>
    <col min="15325" max="15325" width="10.42578125" bestFit="1" customWidth="1"/>
    <col min="15369" max="15369" width="3.85546875" customWidth="1"/>
    <col min="15370" max="15370" width="15.28515625" bestFit="1" customWidth="1"/>
    <col min="15371" max="15371" width="12.28515625" customWidth="1"/>
    <col min="15372" max="15372" width="16.28515625" bestFit="1" customWidth="1"/>
    <col min="15373" max="15373" width="6.42578125" bestFit="1" customWidth="1"/>
    <col min="15374" max="15374" width="9.28515625" bestFit="1" customWidth="1"/>
    <col min="15375" max="15375" width="7.5703125" bestFit="1" customWidth="1"/>
    <col min="15376" max="15376" width="13.28515625" bestFit="1" customWidth="1"/>
    <col min="15377" max="15377" width="9.28515625" bestFit="1" customWidth="1"/>
    <col min="15378" max="15378" width="11.5703125" bestFit="1" customWidth="1"/>
    <col min="15379" max="15379" width="13.28515625" bestFit="1" customWidth="1"/>
    <col min="15380" max="15380" width="7.140625" bestFit="1" customWidth="1"/>
    <col min="15381" max="15381" width="12" bestFit="1" customWidth="1"/>
    <col min="15382" max="15382" width="13.28515625" bestFit="1" customWidth="1"/>
    <col min="15383" max="15383" width="7" bestFit="1" customWidth="1"/>
    <col min="15384" max="15384" width="12.7109375" bestFit="1" customWidth="1"/>
    <col min="15385" max="15385" width="11.5703125" bestFit="1" customWidth="1"/>
    <col min="15386" max="15386" width="10.5703125" bestFit="1" customWidth="1"/>
    <col min="15387" max="15388" width="15.7109375" bestFit="1" customWidth="1"/>
    <col min="15389" max="15389" width="11.5703125" bestFit="1" customWidth="1"/>
    <col min="15390" max="15390" width="7.7109375" bestFit="1" customWidth="1"/>
    <col min="15391" max="15391" width="15.140625" bestFit="1" customWidth="1"/>
    <col min="15392" max="15392" width="11.5703125" bestFit="1" customWidth="1"/>
    <col min="15393" max="15393" width="13.28515625" bestFit="1" customWidth="1"/>
    <col min="15394" max="15394" width="10.42578125" bestFit="1" customWidth="1"/>
    <col min="15395" max="15395" width="13.28515625" bestFit="1" customWidth="1"/>
    <col min="15396" max="15396" width="12.140625" bestFit="1" customWidth="1"/>
    <col min="15397" max="15397" width="14.42578125" bestFit="1" customWidth="1"/>
    <col min="15398" max="15398" width="13.28515625" bestFit="1" customWidth="1"/>
    <col min="15399" max="15399" width="11.5703125" bestFit="1" customWidth="1"/>
    <col min="15400" max="15400" width="7.7109375" bestFit="1" customWidth="1"/>
    <col min="15401" max="15402" width="14.42578125" bestFit="1" customWidth="1"/>
    <col min="15403" max="15403" width="11.5703125" bestFit="1" customWidth="1"/>
    <col min="15404" max="15404" width="7.7109375" bestFit="1" customWidth="1"/>
    <col min="15405" max="15405" width="13.5703125" customWidth="1"/>
    <col min="15406" max="15406" width="15.28515625" customWidth="1"/>
    <col min="15407" max="15407" width="14.5703125" customWidth="1"/>
    <col min="15408" max="15408" width="13.28515625" bestFit="1" customWidth="1"/>
    <col min="15409" max="15409" width="7.7109375" bestFit="1" customWidth="1"/>
    <col min="15410" max="15410" width="12.7109375" bestFit="1" customWidth="1"/>
    <col min="15411" max="15411" width="11.7109375" bestFit="1" customWidth="1"/>
    <col min="15412" max="15412" width="11.5703125" bestFit="1" customWidth="1"/>
    <col min="15413" max="15413" width="5.28515625" bestFit="1" customWidth="1"/>
    <col min="15414" max="15414" width="13.28515625" bestFit="1" customWidth="1"/>
    <col min="15415" max="15415" width="13.5703125" bestFit="1" customWidth="1"/>
    <col min="15416" max="15416" width="10.5703125" bestFit="1" customWidth="1"/>
    <col min="15417" max="15417" width="13.28515625" bestFit="1" customWidth="1"/>
    <col min="15418" max="15418" width="11.5703125" bestFit="1" customWidth="1"/>
    <col min="15419" max="15419" width="10.5703125" bestFit="1" customWidth="1"/>
    <col min="15420" max="15420" width="16.140625" bestFit="1" customWidth="1"/>
    <col min="15421" max="15422" width="11.28515625" bestFit="1" customWidth="1"/>
    <col min="15423" max="15423" width="13.28515625" bestFit="1" customWidth="1"/>
    <col min="15424" max="15424" width="7.7109375" bestFit="1" customWidth="1"/>
    <col min="15425" max="15428" width="9.140625" hidden="1" customWidth="1"/>
    <col min="15429" max="15429" width="10.42578125" bestFit="1" customWidth="1"/>
    <col min="15430" max="15430" width="10.5703125" bestFit="1" customWidth="1"/>
    <col min="15431" max="15431" width="10.42578125" bestFit="1" customWidth="1"/>
    <col min="15432" max="15432" width="10.5703125" bestFit="1" customWidth="1"/>
    <col min="15433" max="15433" width="9.5703125" bestFit="1" customWidth="1"/>
    <col min="15434" max="15434" width="11.5703125" bestFit="1" customWidth="1"/>
    <col min="15435" max="15435" width="10.42578125" bestFit="1" customWidth="1"/>
    <col min="15436" max="15436" width="10.85546875" customWidth="1"/>
    <col min="15437" max="15438" width="9.85546875" bestFit="1" customWidth="1"/>
    <col min="15439" max="15439" width="13.5703125" bestFit="1" customWidth="1"/>
    <col min="15440" max="15440" width="7.7109375" bestFit="1" customWidth="1"/>
    <col min="15441" max="15441" width="13.28515625" bestFit="1" customWidth="1"/>
    <col min="15442" max="15442" width="11.5703125" bestFit="1" customWidth="1"/>
    <col min="15443" max="15443" width="10.42578125" bestFit="1" customWidth="1"/>
    <col min="15444" max="15444" width="7.7109375" bestFit="1" customWidth="1"/>
    <col min="15445" max="15445" width="11.5703125" bestFit="1" customWidth="1"/>
    <col min="15446" max="15446" width="10.85546875" bestFit="1" customWidth="1"/>
    <col min="15447" max="15447" width="13.28515625" bestFit="1" customWidth="1"/>
    <col min="15448" max="15448" width="10.85546875" bestFit="1" customWidth="1"/>
    <col min="15449" max="15450" width="7.5703125" bestFit="1" customWidth="1"/>
    <col min="15451" max="15452" width="10.42578125" bestFit="1" customWidth="1"/>
    <col min="15453" max="15453" width="11.5703125" bestFit="1" customWidth="1"/>
    <col min="15454" max="15454" width="5.28515625" bestFit="1" customWidth="1"/>
    <col min="15455" max="15455" width="10.28515625" bestFit="1" customWidth="1"/>
    <col min="15456" max="15456" width="10.42578125" bestFit="1" customWidth="1"/>
    <col min="15457" max="15457" width="11.5703125" bestFit="1" customWidth="1"/>
    <col min="15458" max="15458" width="5.28515625" bestFit="1" customWidth="1"/>
    <col min="15459" max="15461" width="11.5703125" bestFit="1" customWidth="1"/>
    <col min="15462" max="15462" width="5.28515625" bestFit="1" customWidth="1"/>
    <col min="15463" max="15464" width="10.42578125" bestFit="1" customWidth="1"/>
    <col min="15465" max="15465" width="11.5703125" bestFit="1" customWidth="1"/>
    <col min="15466" max="15466" width="5.28515625" bestFit="1" customWidth="1"/>
    <col min="15467" max="15467" width="14.28515625" bestFit="1" customWidth="1"/>
    <col min="15468" max="15468" width="13" bestFit="1" customWidth="1"/>
    <col min="15469" max="15469" width="11.5703125" bestFit="1" customWidth="1"/>
    <col min="15470" max="15470" width="8.85546875" bestFit="1" customWidth="1"/>
    <col min="15471" max="15471" width="14.42578125" bestFit="1" customWidth="1"/>
    <col min="15472" max="15472" width="10.42578125" bestFit="1" customWidth="1"/>
    <col min="15473" max="15473" width="12.28515625" bestFit="1" customWidth="1"/>
    <col min="15474" max="15474" width="13.85546875" bestFit="1" customWidth="1"/>
    <col min="15475" max="15475" width="11.28515625" customWidth="1"/>
    <col min="15476" max="15476" width="11.5703125" customWidth="1"/>
    <col min="15477" max="15477" width="13.42578125" bestFit="1" customWidth="1"/>
    <col min="15478" max="15478" width="10.42578125" customWidth="1"/>
    <col min="15479" max="15479" width="13.85546875" bestFit="1" customWidth="1"/>
    <col min="15480" max="15480" width="15.42578125" bestFit="1" customWidth="1"/>
    <col min="15481" max="15481" width="12.28515625" bestFit="1" customWidth="1"/>
    <col min="15482" max="15482" width="12.7109375" customWidth="1"/>
    <col min="15483" max="15483" width="10.7109375" bestFit="1" customWidth="1"/>
    <col min="15484" max="15484" width="9.85546875" customWidth="1"/>
    <col min="15485" max="15486" width="10.140625" bestFit="1" customWidth="1"/>
    <col min="15487" max="15487" width="7.5703125" bestFit="1" customWidth="1"/>
    <col min="15488" max="15488" width="9.42578125" bestFit="1" customWidth="1"/>
    <col min="15489" max="15489" width="14.5703125" bestFit="1" customWidth="1"/>
    <col min="15490" max="15490" width="14.85546875" customWidth="1"/>
    <col min="15491" max="15491" width="15.140625" bestFit="1" customWidth="1"/>
    <col min="15492" max="15492" width="12.140625" bestFit="1" customWidth="1"/>
    <col min="15493" max="15493" width="14.85546875" bestFit="1" customWidth="1"/>
    <col min="15494" max="15494" width="12.28515625" bestFit="1" customWidth="1"/>
    <col min="15495" max="15503" width="9.140625" hidden="1" customWidth="1"/>
    <col min="15504" max="15504" width="5.28515625" bestFit="1" customWidth="1"/>
    <col min="15505" max="15510" width="11.5703125" bestFit="1" customWidth="1"/>
    <col min="15511" max="15511" width="11.28515625" bestFit="1" customWidth="1"/>
    <col min="15512" max="15512" width="10.140625" bestFit="1" customWidth="1"/>
    <col min="15513" max="15513" width="11.5703125" bestFit="1" customWidth="1"/>
    <col min="15514" max="15514" width="16.140625" customWidth="1"/>
    <col min="15515" max="15515" width="13.42578125" customWidth="1"/>
    <col min="15516" max="15516" width="10.140625" bestFit="1" customWidth="1"/>
    <col min="15517" max="15517" width="12.85546875" bestFit="1" customWidth="1"/>
    <col min="15518" max="15518" width="12.28515625" bestFit="1" customWidth="1"/>
    <col min="15519" max="15519" width="11.28515625" bestFit="1" customWidth="1"/>
    <col min="15520" max="15520" width="11.5703125" bestFit="1" customWidth="1"/>
    <col min="15521" max="15521" width="10.85546875" bestFit="1" customWidth="1"/>
    <col min="15522" max="15522" width="11.28515625" bestFit="1" customWidth="1"/>
    <col min="15523" max="15523" width="10.140625" bestFit="1" customWidth="1"/>
    <col min="15524" max="15524" width="13.28515625" bestFit="1" customWidth="1"/>
    <col min="15525" max="15526" width="12.7109375" bestFit="1" customWidth="1"/>
    <col min="15527" max="15527" width="11" bestFit="1" customWidth="1"/>
    <col min="15528" max="15528" width="11.28515625" bestFit="1" customWidth="1"/>
    <col min="15529" max="15529" width="11.5703125" bestFit="1" customWidth="1"/>
    <col min="15530" max="15530" width="12.28515625" bestFit="1" customWidth="1"/>
    <col min="15531" max="15531" width="15.140625" bestFit="1" customWidth="1"/>
    <col min="15532" max="15532" width="14.42578125" bestFit="1" customWidth="1"/>
    <col min="15533" max="15533" width="12.28515625" bestFit="1" customWidth="1"/>
    <col min="15534" max="15534" width="15.140625" bestFit="1" customWidth="1"/>
    <col min="15535" max="15535" width="14.42578125" bestFit="1" customWidth="1"/>
    <col min="15536" max="15536" width="12.28515625" bestFit="1" customWidth="1"/>
    <col min="15537" max="15537" width="14.42578125" bestFit="1" customWidth="1"/>
    <col min="15538" max="15538" width="11.28515625" bestFit="1" customWidth="1"/>
    <col min="15539" max="15539" width="12.28515625" bestFit="1" customWidth="1"/>
    <col min="15540" max="15540" width="13" bestFit="1" customWidth="1"/>
    <col min="15541" max="15541" width="15.140625" bestFit="1" customWidth="1"/>
    <col min="15542" max="15542" width="12.28515625" bestFit="1" customWidth="1"/>
    <col min="15543" max="15543" width="13.85546875" bestFit="1" customWidth="1"/>
    <col min="15544" max="15544" width="11.28515625" bestFit="1" customWidth="1"/>
    <col min="15545" max="15545" width="12.28515625" bestFit="1" customWidth="1"/>
    <col min="15546" max="15546" width="13.85546875" bestFit="1" customWidth="1"/>
    <col min="15547" max="15548" width="15.140625" bestFit="1" customWidth="1"/>
    <col min="15549" max="15549" width="12.28515625" bestFit="1" customWidth="1"/>
    <col min="15550" max="15550" width="5.7109375" bestFit="1" customWidth="1"/>
    <col min="15551" max="15551" width="8.5703125" bestFit="1" customWidth="1"/>
    <col min="15552" max="15552" width="5.5703125" bestFit="1" customWidth="1"/>
    <col min="15553" max="15553" width="14.42578125" bestFit="1" customWidth="1"/>
    <col min="15554" max="15554" width="11.28515625" bestFit="1" customWidth="1"/>
    <col min="15555" max="15556" width="12.28515625" bestFit="1" customWidth="1"/>
    <col min="15557" max="15557" width="11.28515625" bestFit="1" customWidth="1"/>
    <col min="15558" max="15558" width="13.85546875" bestFit="1" customWidth="1"/>
    <col min="15559" max="15559" width="12" bestFit="1" customWidth="1"/>
    <col min="15560" max="15560" width="13.85546875" bestFit="1" customWidth="1"/>
    <col min="15561" max="15562" width="14.42578125" customWidth="1"/>
    <col min="15563" max="15563" width="10.140625" bestFit="1" customWidth="1"/>
    <col min="15564" max="15564" width="12.28515625" bestFit="1" customWidth="1"/>
    <col min="15565" max="15565" width="7.42578125" bestFit="1" customWidth="1"/>
    <col min="15566" max="15566" width="8.5703125" bestFit="1" customWidth="1"/>
    <col min="15567" max="15567" width="11.5703125" bestFit="1" customWidth="1"/>
    <col min="15568" max="15568" width="13.28515625" bestFit="1" customWidth="1"/>
    <col min="15569" max="15569" width="13.28515625" customWidth="1"/>
    <col min="15570" max="15570" width="13.140625" customWidth="1"/>
    <col min="15571" max="15571" width="12.7109375" bestFit="1" customWidth="1"/>
    <col min="15572" max="15572" width="13.28515625" bestFit="1" customWidth="1"/>
    <col min="15573" max="15575" width="13.28515625" customWidth="1"/>
    <col min="15576" max="15576" width="12.140625" bestFit="1" customWidth="1"/>
    <col min="15577" max="15577" width="12.7109375" bestFit="1" customWidth="1"/>
    <col min="15578" max="15578" width="11" customWidth="1"/>
    <col min="15579" max="15579" width="16.7109375" customWidth="1"/>
    <col min="15580" max="15580" width="17" customWidth="1"/>
    <col min="15581" max="15581" width="10.42578125" bestFit="1" customWidth="1"/>
    <col min="15625" max="15625" width="3.85546875" customWidth="1"/>
    <col min="15626" max="15626" width="15.28515625" bestFit="1" customWidth="1"/>
    <col min="15627" max="15627" width="12.28515625" customWidth="1"/>
    <col min="15628" max="15628" width="16.28515625" bestFit="1" customWidth="1"/>
    <col min="15629" max="15629" width="6.42578125" bestFit="1" customWidth="1"/>
    <col min="15630" max="15630" width="9.28515625" bestFit="1" customWidth="1"/>
    <col min="15631" max="15631" width="7.5703125" bestFit="1" customWidth="1"/>
    <col min="15632" max="15632" width="13.28515625" bestFit="1" customWidth="1"/>
    <col min="15633" max="15633" width="9.28515625" bestFit="1" customWidth="1"/>
    <col min="15634" max="15634" width="11.5703125" bestFit="1" customWidth="1"/>
    <col min="15635" max="15635" width="13.28515625" bestFit="1" customWidth="1"/>
    <col min="15636" max="15636" width="7.140625" bestFit="1" customWidth="1"/>
    <col min="15637" max="15637" width="12" bestFit="1" customWidth="1"/>
    <col min="15638" max="15638" width="13.28515625" bestFit="1" customWidth="1"/>
    <col min="15639" max="15639" width="7" bestFit="1" customWidth="1"/>
    <col min="15640" max="15640" width="12.7109375" bestFit="1" customWidth="1"/>
    <col min="15641" max="15641" width="11.5703125" bestFit="1" customWidth="1"/>
    <col min="15642" max="15642" width="10.5703125" bestFit="1" customWidth="1"/>
    <col min="15643" max="15644" width="15.7109375" bestFit="1" customWidth="1"/>
    <col min="15645" max="15645" width="11.5703125" bestFit="1" customWidth="1"/>
    <col min="15646" max="15646" width="7.7109375" bestFit="1" customWidth="1"/>
    <col min="15647" max="15647" width="15.140625" bestFit="1" customWidth="1"/>
    <col min="15648" max="15648" width="11.5703125" bestFit="1" customWidth="1"/>
    <col min="15649" max="15649" width="13.28515625" bestFit="1" customWidth="1"/>
    <col min="15650" max="15650" width="10.42578125" bestFit="1" customWidth="1"/>
    <col min="15651" max="15651" width="13.28515625" bestFit="1" customWidth="1"/>
    <col min="15652" max="15652" width="12.140625" bestFit="1" customWidth="1"/>
    <col min="15653" max="15653" width="14.42578125" bestFit="1" customWidth="1"/>
    <col min="15654" max="15654" width="13.28515625" bestFit="1" customWidth="1"/>
    <col min="15655" max="15655" width="11.5703125" bestFit="1" customWidth="1"/>
    <col min="15656" max="15656" width="7.7109375" bestFit="1" customWidth="1"/>
    <col min="15657" max="15658" width="14.42578125" bestFit="1" customWidth="1"/>
    <col min="15659" max="15659" width="11.5703125" bestFit="1" customWidth="1"/>
    <col min="15660" max="15660" width="7.7109375" bestFit="1" customWidth="1"/>
    <col min="15661" max="15661" width="13.5703125" customWidth="1"/>
    <col min="15662" max="15662" width="15.28515625" customWidth="1"/>
    <col min="15663" max="15663" width="14.5703125" customWidth="1"/>
    <col min="15664" max="15664" width="13.28515625" bestFit="1" customWidth="1"/>
    <col min="15665" max="15665" width="7.7109375" bestFit="1" customWidth="1"/>
    <col min="15666" max="15666" width="12.7109375" bestFit="1" customWidth="1"/>
    <col min="15667" max="15667" width="11.7109375" bestFit="1" customWidth="1"/>
    <col min="15668" max="15668" width="11.5703125" bestFit="1" customWidth="1"/>
    <col min="15669" max="15669" width="5.28515625" bestFit="1" customWidth="1"/>
    <col min="15670" max="15670" width="13.28515625" bestFit="1" customWidth="1"/>
    <col min="15671" max="15671" width="13.5703125" bestFit="1" customWidth="1"/>
    <col min="15672" max="15672" width="10.5703125" bestFit="1" customWidth="1"/>
    <col min="15673" max="15673" width="13.28515625" bestFit="1" customWidth="1"/>
    <col min="15674" max="15674" width="11.5703125" bestFit="1" customWidth="1"/>
    <col min="15675" max="15675" width="10.5703125" bestFit="1" customWidth="1"/>
    <col min="15676" max="15676" width="16.140625" bestFit="1" customWidth="1"/>
    <col min="15677" max="15678" width="11.28515625" bestFit="1" customWidth="1"/>
    <col min="15679" max="15679" width="13.28515625" bestFit="1" customWidth="1"/>
    <col min="15680" max="15680" width="7.7109375" bestFit="1" customWidth="1"/>
    <col min="15681" max="15684" width="9.140625" hidden="1" customWidth="1"/>
    <col min="15685" max="15685" width="10.42578125" bestFit="1" customWidth="1"/>
    <col min="15686" max="15686" width="10.5703125" bestFit="1" customWidth="1"/>
    <col min="15687" max="15687" width="10.42578125" bestFit="1" customWidth="1"/>
    <col min="15688" max="15688" width="10.5703125" bestFit="1" customWidth="1"/>
    <col min="15689" max="15689" width="9.5703125" bestFit="1" customWidth="1"/>
    <col min="15690" max="15690" width="11.5703125" bestFit="1" customWidth="1"/>
    <col min="15691" max="15691" width="10.42578125" bestFit="1" customWidth="1"/>
    <col min="15692" max="15692" width="10.85546875" customWidth="1"/>
    <col min="15693" max="15694" width="9.85546875" bestFit="1" customWidth="1"/>
    <col min="15695" max="15695" width="13.5703125" bestFit="1" customWidth="1"/>
    <col min="15696" max="15696" width="7.7109375" bestFit="1" customWidth="1"/>
    <col min="15697" max="15697" width="13.28515625" bestFit="1" customWidth="1"/>
    <col min="15698" max="15698" width="11.5703125" bestFit="1" customWidth="1"/>
    <col min="15699" max="15699" width="10.42578125" bestFit="1" customWidth="1"/>
    <col min="15700" max="15700" width="7.7109375" bestFit="1" customWidth="1"/>
    <col min="15701" max="15701" width="11.5703125" bestFit="1" customWidth="1"/>
    <col min="15702" max="15702" width="10.85546875" bestFit="1" customWidth="1"/>
    <col min="15703" max="15703" width="13.28515625" bestFit="1" customWidth="1"/>
    <col min="15704" max="15704" width="10.85546875" bestFit="1" customWidth="1"/>
    <col min="15705" max="15706" width="7.5703125" bestFit="1" customWidth="1"/>
    <col min="15707" max="15708" width="10.42578125" bestFit="1" customWidth="1"/>
    <col min="15709" max="15709" width="11.5703125" bestFit="1" customWidth="1"/>
    <col min="15710" max="15710" width="5.28515625" bestFit="1" customWidth="1"/>
    <col min="15711" max="15711" width="10.28515625" bestFit="1" customWidth="1"/>
    <col min="15712" max="15712" width="10.42578125" bestFit="1" customWidth="1"/>
    <col min="15713" max="15713" width="11.5703125" bestFit="1" customWidth="1"/>
    <col min="15714" max="15714" width="5.28515625" bestFit="1" customWidth="1"/>
    <col min="15715" max="15717" width="11.5703125" bestFit="1" customWidth="1"/>
    <col min="15718" max="15718" width="5.28515625" bestFit="1" customWidth="1"/>
    <col min="15719" max="15720" width="10.42578125" bestFit="1" customWidth="1"/>
    <col min="15721" max="15721" width="11.5703125" bestFit="1" customWidth="1"/>
    <col min="15722" max="15722" width="5.28515625" bestFit="1" customWidth="1"/>
    <col min="15723" max="15723" width="14.28515625" bestFit="1" customWidth="1"/>
    <col min="15724" max="15724" width="13" bestFit="1" customWidth="1"/>
    <col min="15725" max="15725" width="11.5703125" bestFit="1" customWidth="1"/>
    <col min="15726" max="15726" width="8.85546875" bestFit="1" customWidth="1"/>
    <col min="15727" max="15727" width="14.42578125" bestFit="1" customWidth="1"/>
    <col min="15728" max="15728" width="10.42578125" bestFit="1" customWidth="1"/>
    <col min="15729" max="15729" width="12.28515625" bestFit="1" customWidth="1"/>
    <col min="15730" max="15730" width="13.85546875" bestFit="1" customWidth="1"/>
    <col min="15731" max="15731" width="11.28515625" customWidth="1"/>
    <col min="15732" max="15732" width="11.5703125" customWidth="1"/>
    <col min="15733" max="15733" width="13.42578125" bestFit="1" customWidth="1"/>
    <col min="15734" max="15734" width="10.42578125" customWidth="1"/>
    <col min="15735" max="15735" width="13.85546875" bestFit="1" customWidth="1"/>
    <col min="15736" max="15736" width="15.42578125" bestFit="1" customWidth="1"/>
    <col min="15737" max="15737" width="12.28515625" bestFit="1" customWidth="1"/>
    <col min="15738" max="15738" width="12.7109375" customWidth="1"/>
    <col min="15739" max="15739" width="10.7109375" bestFit="1" customWidth="1"/>
    <col min="15740" max="15740" width="9.85546875" customWidth="1"/>
    <col min="15741" max="15742" width="10.140625" bestFit="1" customWidth="1"/>
    <col min="15743" max="15743" width="7.5703125" bestFit="1" customWidth="1"/>
    <col min="15744" max="15744" width="9.42578125" bestFit="1" customWidth="1"/>
    <col min="15745" max="15745" width="14.5703125" bestFit="1" customWidth="1"/>
    <col min="15746" max="15746" width="14.85546875" customWidth="1"/>
    <col min="15747" max="15747" width="15.140625" bestFit="1" customWidth="1"/>
    <col min="15748" max="15748" width="12.140625" bestFit="1" customWidth="1"/>
    <col min="15749" max="15749" width="14.85546875" bestFit="1" customWidth="1"/>
    <col min="15750" max="15750" width="12.28515625" bestFit="1" customWidth="1"/>
    <col min="15751" max="15759" width="9.140625" hidden="1" customWidth="1"/>
    <col min="15760" max="15760" width="5.28515625" bestFit="1" customWidth="1"/>
    <col min="15761" max="15766" width="11.5703125" bestFit="1" customWidth="1"/>
    <col min="15767" max="15767" width="11.28515625" bestFit="1" customWidth="1"/>
    <col min="15768" max="15768" width="10.140625" bestFit="1" customWidth="1"/>
    <col min="15769" max="15769" width="11.5703125" bestFit="1" customWidth="1"/>
    <col min="15770" max="15770" width="16.140625" customWidth="1"/>
    <col min="15771" max="15771" width="13.42578125" customWidth="1"/>
    <col min="15772" max="15772" width="10.140625" bestFit="1" customWidth="1"/>
    <col min="15773" max="15773" width="12.85546875" bestFit="1" customWidth="1"/>
    <col min="15774" max="15774" width="12.28515625" bestFit="1" customWidth="1"/>
    <col min="15775" max="15775" width="11.28515625" bestFit="1" customWidth="1"/>
    <col min="15776" max="15776" width="11.5703125" bestFit="1" customWidth="1"/>
    <col min="15777" max="15777" width="10.85546875" bestFit="1" customWidth="1"/>
    <col min="15778" max="15778" width="11.28515625" bestFit="1" customWidth="1"/>
    <col min="15779" max="15779" width="10.140625" bestFit="1" customWidth="1"/>
    <col min="15780" max="15780" width="13.28515625" bestFit="1" customWidth="1"/>
    <col min="15781" max="15782" width="12.7109375" bestFit="1" customWidth="1"/>
    <col min="15783" max="15783" width="11" bestFit="1" customWidth="1"/>
    <col min="15784" max="15784" width="11.28515625" bestFit="1" customWidth="1"/>
    <col min="15785" max="15785" width="11.5703125" bestFit="1" customWidth="1"/>
    <col min="15786" max="15786" width="12.28515625" bestFit="1" customWidth="1"/>
    <col min="15787" max="15787" width="15.140625" bestFit="1" customWidth="1"/>
    <col min="15788" max="15788" width="14.42578125" bestFit="1" customWidth="1"/>
    <col min="15789" max="15789" width="12.28515625" bestFit="1" customWidth="1"/>
    <col min="15790" max="15790" width="15.140625" bestFit="1" customWidth="1"/>
    <col min="15791" max="15791" width="14.42578125" bestFit="1" customWidth="1"/>
    <col min="15792" max="15792" width="12.28515625" bestFit="1" customWidth="1"/>
    <col min="15793" max="15793" width="14.42578125" bestFit="1" customWidth="1"/>
    <col min="15794" max="15794" width="11.28515625" bestFit="1" customWidth="1"/>
    <col min="15795" max="15795" width="12.28515625" bestFit="1" customWidth="1"/>
    <col min="15796" max="15796" width="13" bestFit="1" customWidth="1"/>
    <col min="15797" max="15797" width="15.140625" bestFit="1" customWidth="1"/>
    <col min="15798" max="15798" width="12.28515625" bestFit="1" customWidth="1"/>
    <col min="15799" max="15799" width="13.85546875" bestFit="1" customWidth="1"/>
    <col min="15800" max="15800" width="11.28515625" bestFit="1" customWidth="1"/>
    <col min="15801" max="15801" width="12.28515625" bestFit="1" customWidth="1"/>
    <col min="15802" max="15802" width="13.85546875" bestFit="1" customWidth="1"/>
    <col min="15803" max="15804" width="15.140625" bestFit="1" customWidth="1"/>
    <col min="15805" max="15805" width="12.28515625" bestFit="1" customWidth="1"/>
    <col min="15806" max="15806" width="5.7109375" bestFit="1" customWidth="1"/>
    <col min="15807" max="15807" width="8.5703125" bestFit="1" customWidth="1"/>
    <col min="15808" max="15808" width="5.5703125" bestFit="1" customWidth="1"/>
    <col min="15809" max="15809" width="14.42578125" bestFit="1" customWidth="1"/>
    <col min="15810" max="15810" width="11.28515625" bestFit="1" customWidth="1"/>
    <col min="15811" max="15812" width="12.28515625" bestFit="1" customWidth="1"/>
    <col min="15813" max="15813" width="11.28515625" bestFit="1" customWidth="1"/>
    <col min="15814" max="15814" width="13.85546875" bestFit="1" customWidth="1"/>
    <col min="15815" max="15815" width="12" bestFit="1" customWidth="1"/>
    <col min="15816" max="15816" width="13.85546875" bestFit="1" customWidth="1"/>
    <col min="15817" max="15818" width="14.42578125" customWidth="1"/>
    <col min="15819" max="15819" width="10.140625" bestFit="1" customWidth="1"/>
    <col min="15820" max="15820" width="12.28515625" bestFit="1" customWidth="1"/>
    <col min="15821" max="15821" width="7.42578125" bestFit="1" customWidth="1"/>
    <col min="15822" max="15822" width="8.5703125" bestFit="1" customWidth="1"/>
    <col min="15823" max="15823" width="11.5703125" bestFit="1" customWidth="1"/>
    <col min="15824" max="15824" width="13.28515625" bestFit="1" customWidth="1"/>
    <col min="15825" max="15825" width="13.28515625" customWidth="1"/>
    <col min="15826" max="15826" width="13.140625" customWidth="1"/>
    <col min="15827" max="15827" width="12.7109375" bestFit="1" customWidth="1"/>
    <col min="15828" max="15828" width="13.28515625" bestFit="1" customWidth="1"/>
    <col min="15829" max="15831" width="13.28515625" customWidth="1"/>
    <col min="15832" max="15832" width="12.140625" bestFit="1" customWidth="1"/>
    <col min="15833" max="15833" width="12.7109375" bestFit="1" customWidth="1"/>
    <col min="15834" max="15834" width="11" customWidth="1"/>
    <col min="15835" max="15835" width="16.7109375" customWidth="1"/>
    <col min="15836" max="15836" width="17" customWidth="1"/>
    <col min="15837" max="15837" width="10.42578125" bestFit="1" customWidth="1"/>
    <col min="15881" max="15881" width="3.85546875" customWidth="1"/>
    <col min="15882" max="15882" width="15.28515625" bestFit="1" customWidth="1"/>
    <col min="15883" max="15883" width="12.28515625" customWidth="1"/>
    <col min="15884" max="15884" width="16.28515625" bestFit="1" customWidth="1"/>
    <col min="15885" max="15885" width="6.42578125" bestFit="1" customWidth="1"/>
    <col min="15886" max="15886" width="9.28515625" bestFit="1" customWidth="1"/>
    <col min="15887" max="15887" width="7.5703125" bestFit="1" customWidth="1"/>
    <col min="15888" max="15888" width="13.28515625" bestFit="1" customWidth="1"/>
    <col min="15889" max="15889" width="9.28515625" bestFit="1" customWidth="1"/>
    <col min="15890" max="15890" width="11.5703125" bestFit="1" customWidth="1"/>
    <col min="15891" max="15891" width="13.28515625" bestFit="1" customWidth="1"/>
    <col min="15892" max="15892" width="7.140625" bestFit="1" customWidth="1"/>
    <col min="15893" max="15893" width="12" bestFit="1" customWidth="1"/>
    <col min="15894" max="15894" width="13.28515625" bestFit="1" customWidth="1"/>
    <col min="15895" max="15895" width="7" bestFit="1" customWidth="1"/>
    <col min="15896" max="15896" width="12.7109375" bestFit="1" customWidth="1"/>
    <col min="15897" max="15897" width="11.5703125" bestFit="1" customWidth="1"/>
    <col min="15898" max="15898" width="10.5703125" bestFit="1" customWidth="1"/>
    <col min="15899" max="15900" width="15.7109375" bestFit="1" customWidth="1"/>
    <col min="15901" max="15901" width="11.5703125" bestFit="1" customWidth="1"/>
    <col min="15902" max="15902" width="7.7109375" bestFit="1" customWidth="1"/>
    <col min="15903" max="15903" width="15.140625" bestFit="1" customWidth="1"/>
    <col min="15904" max="15904" width="11.5703125" bestFit="1" customWidth="1"/>
    <col min="15905" max="15905" width="13.28515625" bestFit="1" customWidth="1"/>
    <col min="15906" max="15906" width="10.42578125" bestFit="1" customWidth="1"/>
    <col min="15907" max="15907" width="13.28515625" bestFit="1" customWidth="1"/>
    <col min="15908" max="15908" width="12.140625" bestFit="1" customWidth="1"/>
    <col min="15909" max="15909" width="14.42578125" bestFit="1" customWidth="1"/>
    <col min="15910" max="15910" width="13.28515625" bestFit="1" customWidth="1"/>
    <col min="15911" max="15911" width="11.5703125" bestFit="1" customWidth="1"/>
    <col min="15912" max="15912" width="7.7109375" bestFit="1" customWidth="1"/>
    <col min="15913" max="15914" width="14.42578125" bestFit="1" customWidth="1"/>
    <col min="15915" max="15915" width="11.5703125" bestFit="1" customWidth="1"/>
    <col min="15916" max="15916" width="7.7109375" bestFit="1" customWidth="1"/>
    <col min="15917" max="15917" width="13.5703125" customWidth="1"/>
    <col min="15918" max="15918" width="15.28515625" customWidth="1"/>
    <col min="15919" max="15919" width="14.5703125" customWidth="1"/>
    <col min="15920" max="15920" width="13.28515625" bestFit="1" customWidth="1"/>
    <col min="15921" max="15921" width="7.7109375" bestFit="1" customWidth="1"/>
    <col min="15922" max="15922" width="12.7109375" bestFit="1" customWidth="1"/>
    <col min="15923" max="15923" width="11.7109375" bestFit="1" customWidth="1"/>
    <col min="15924" max="15924" width="11.5703125" bestFit="1" customWidth="1"/>
    <col min="15925" max="15925" width="5.28515625" bestFit="1" customWidth="1"/>
    <col min="15926" max="15926" width="13.28515625" bestFit="1" customWidth="1"/>
    <col min="15927" max="15927" width="13.5703125" bestFit="1" customWidth="1"/>
    <col min="15928" max="15928" width="10.5703125" bestFit="1" customWidth="1"/>
    <col min="15929" max="15929" width="13.28515625" bestFit="1" customWidth="1"/>
    <col min="15930" max="15930" width="11.5703125" bestFit="1" customWidth="1"/>
    <col min="15931" max="15931" width="10.5703125" bestFit="1" customWidth="1"/>
    <col min="15932" max="15932" width="16.140625" bestFit="1" customWidth="1"/>
    <col min="15933" max="15934" width="11.28515625" bestFit="1" customWidth="1"/>
    <col min="15935" max="15935" width="13.28515625" bestFit="1" customWidth="1"/>
    <col min="15936" max="15936" width="7.7109375" bestFit="1" customWidth="1"/>
    <col min="15937" max="15940" width="9.140625" hidden="1" customWidth="1"/>
    <col min="15941" max="15941" width="10.42578125" bestFit="1" customWidth="1"/>
    <col min="15942" max="15942" width="10.5703125" bestFit="1" customWidth="1"/>
    <col min="15943" max="15943" width="10.42578125" bestFit="1" customWidth="1"/>
    <col min="15944" max="15944" width="10.5703125" bestFit="1" customWidth="1"/>
    <col min="15945" max="15945" width="9.5703125" bestFit="1" customWidth="1"/>
    <col min="15946" max="15946" width="11.5703125" bestFit="1" customWidth="1"/>
    <col min="15947" max="15947" width="10.42578125" bestFit="1" customWidth="1"/>
    <col min="15948" max="15948" width="10.85546875" customWidth="1"/>
    <col min="15949" max="15950" width="9.85546875" bestFit="1" customWidth="1"/>
    <col min="15951" max="15951" width="13.5703125" bestFit="1" customWidth="1"/>
    <col min="15952" max="15952" width="7.7109375" bestFit="1" customWidth="1"/>
    <col min="15953" max="15953" width="13.28515625" bestFit="1" customWidth="1"/>
    <col min="15954" max="15954" width="11.5703125" bestFit="1" customWidth="1"/>
    <col min="15955" max="15955" width="10.42578125" bestFit="1" customWidth="1"/>
    <col min="15956" max="15956" width="7.7109375" bestFit="1" customWidth="1"/>
    <col min="15957" max="15957" width="11.5703125" bestFit="1" customWidth="1"/>
    <col min="15958" max="15958" width="10.85546875" bestFit="1" customWidth="1"/>
    <col min="15959" max="15959" width="13.28515625" bestFit="1" customWidth="1"/>
    <col min="15960" max="15960" width="10.85546875" bestFit="1" customWidth="1"/>
    <col min="15961" max="15962" width="7.5703125" bestFit="1" customWidth="1"/>
    <col min="15963" max="15964" width="10.42578125" bestFit="1" customWidth="1"/>
    <col min="15965" max="15965" width="11.5703125" bestFit="1" customWidth="1"/>
    <col min="15966" max="15966" width="5.28515625" bestFit="1" customWidth="1"/>
    <col min="15967" max="15967" width="10.28515625" bestFit="1" customWidth="1"/>
    <col min="15968" max="15968" width="10.42578125" bestFit="1" customWidth="1"/>
    <col min="15969" max="15969" width="11.5703125" bestFit="1" customWidth="1"/>
    <col min="15970" max="15970" width="5.28515625" bestFit="1" customWidth="1"/>
    <col min="15971" max="15973" width="11.5703125" bestFit="1" customWidth="1"/>
    <col min="15974" max="15974" width="5.28515625" bestFit="1" customWidth="1"/>
    <col min="15975" max="15976" width="10.42578125" bestFit="1" customWidth="1"/>
    <col min="15977" max="15977" width="11.5703125" bestFit="1" customWidth="1"/>
    <col min="15978" max="15978" width="5.28515625" bestFit="1" customWidth="1"/>
    <col min="15979" max="15979" width="14.28515625" bestFit="1" customWidth="1"/>
    <col min="15980" max="15980" width="13" bestFit="1" customWidth="1"/>
    <col min="15981" max="15981" width="11.5703125" bestFit="1" customWidth="1"/>
    <col min="15982" max="15982" width="8.85546875" bestFit="1" customWidth="1"/>
    <col min="15983" max="15983" width="14.42578125" bestFit="1" customWidth="1"/>
    <col min="15984" max="15984" width="10.42578125" bestFit="1" customWidth="1"/>
    <col min="15985" max="15985" width="12.28515625" bestFit="1" customWidth="1"/>
    <col min="15986" max="15986" width="13.85546875" bestFit="1" customWidth="1"/>
    <col min="15987" max="15987" width="11.28515625" customWidth="1"/>
    <col min="15988" max="15988" width="11.5703125" customWidth="1"/>
    <col min="15989" max="15989" width="13.42578125" bestFit="1" customWidth="1"/>
    <col min="15990" max="15990" width="10.42578125" customWidth="1"/>
    <col min="15991" max="15991" width="13.85546875" bestFit="1" customWidth="1"/>
    <col min="15992" max="15992" width="15.42578125" bestFit="1" customWidth="1"/>
    <col min="15993" max="15993" width="12.28515625" bestFit="1" customWidth="1"/>
    <col min="15994" max="15994" width="12.7109375" customWidth="1"/>
    <col min="15995" max="15995" width="10.7109375" bestFit="1" customWidth="1"/>
    <col min="15996" max="15996" width="9.85546875" customWidth="1"/>
    <col min="15997" max="15998" width="10.140625" bestFit="1" customWidth="1"/>
    <col min="15999" max="15999" width="7.5703125" bestFit="1" customWidth="1"/>
    <col min="16000" max="16000" width="9.42578125" bestFit="1" customWidth="1"/>
    <col min="16001" max="16001" width="14.5703125" bestFit="1" customWidth="1"/>
    <col min="16002" max="16002" width="14.85546875" customWidth="1"/>
    <col min="16003" max="16003" width="15.140625" bestFit="1" customWidth="1"/>
    <col min="16004" max="16004" width="12.140625" bestFit="1" customWidth="1"/>
    <col min="16005" max="16005" width="14.85546875" bestFit="1" customWidth="1"/>
    <col min="16006" max="16006" width="12.28515625" bestFit="1" customWidth="1"/>
    <col min="16007" max="16015" width="9.140625" hidden="1" customWidth="1"/>
    <col min="16016" max="16016" width="5.28515625" bestFit="1" customWidth="1"/>
    <col min="16017" max="16022" width="11.5703125" bestFit="1" customWidth="1"/>
    <col min="16023" max="16023" width="11.28515625" bestFit="1" customWidth="1"/>
    <col min="16024" max="16024" width="10.140625" bestFit="1" customWidth="1"/>
    <col min="16025" max="16025" width="11.5703125" bestFit="1" customWidth="1"/>
    <col min="16026" max="16026" width="16.140625" customWidth="1"/>
    <col min="16027" max="16027" width="13.42578125" customWidth="1"/>
    <col min="16028" max="16028" width="10.140625" bestFit="1" customWidth="1"/>
    <col min="16029" max="16029" width="12.85546875" bestFit="1" customWidth="1"/>
    <col min="16030" max="16030" width="12.28515625" bestFit="1" customWidth="1"/>
    <col min="16031" max="16031" width="11.28515625" bestFit="1" customWidth="1"/>
    <col min="16032" max="16032" width="11.5703125" bestFit="1" customWidth="1"/>
    <col min="16033" max="16033" width="10.85546875" bestFit="1" customWidth="1"/>
    <col min="16034" max="16034" width="11.28515625" bestFit="1" customWidth="1"/>
    <col min="16035" max="16035" width="10.140625" bestFit="1" customWidth="1"/>
    <col min="16036" max="16036" width="13.28515625" bestFit="1" customWidth="1"/>
    <col min="16037" max="16038" width="12.7109375" bestFit="1" customWidth="1"/>
    <col min="16039" max="16039" width="11" bestFit="1" customWidth="1"/>
    <col min="16040" max="16040" width="11.28515625" bestFit="1" customWidth="1"/>
    <col min="16041" max="16041" width="11.5703125" bestFit="1" customWidth="1"/>
    <col min="16042" max="16042" width="12.28515625" bestFit="1" customWidth="1"/>
    <col min="16043" max="16043" width="15.140625" bestFit="1" customWidth="1"/>
    <col min="16044" max="16044" width="14.42578125" bestFit="1" customWidth="1"/>
    <col min="16045" max="16045" width="12.28515625" bestFit="1" customWidth="1"/>
    <col min="16046" max="16046" width="15.140625" bestFit="1" customWidth="1"/>
    <col min="16047" max="16047" width="14.42578125" bestFit="1" customWidth="1"/>
    <col min="16048" max="16048" width="12.28515625" bestFit="1" customWidth="1"/>
    <col min="16049" max="16049" width="14.42578125" bestFit="1" customWidth="1"/>
    <col min="16050" max="16050" width="11.28515625" bestFit="1" customWidth="1"/>
    <col min="16051" max="16051" width="12.28515625" bestFit="1" customWidth="1"/>
    <col min="16052" max="16052" width="13" bestFit="1" customWidth="1"/>
    <col min="16053" max="16053" width="15.140625" bestFit="1" customWidth="1"/>
    <col min="16054" max="16054" width="12.28515625" bestFit="1" customWidth="1"/>
    <col min="16055" max="16055" width="13.85546875" bestFit="1" customWidth="1"/>
    <col min="16056" max="16056" width="11.28515625" bestFit="1" customWidth="1"/>
    <col min="16057" max="16057" width="12.28515625" bestFit="1" customWidth="1"/>
    <col min="16058" max="16058" width="13.85546875" bestFit="1" customWidth="1"/>
    <col min="16059" max="16060" width="15.140625" bestFit="1" customWidth="1"/>
    <col min="16061" max="16061" width="12.28515625" bestFit="1" customWidth="1"/>
    <col min="16062" max="16062" width="5.7109375" bestFit="1" customWidth="1"/>
    <col min="16063" max="16063" width="8.5703125" bestFit="1" customWidth="1"/>
    <col min="16064" max="16064" width="5.5703125" bestFit="1" customWidth="1"/>
    <col min="16065" max="16065" width="14.42578125" bestFit="1" customWidth="1"/>
    <col min="16066" max="16066" width="11.28515625" bestFit="1" customWidth="1"/>
    <col min="16067" max="16068" width="12.28515625" bestFit="1" customWidth="1"/>
    <col min="16069" max="16069" width="11.28515625" bestFit="1" customWidth="1"/>
    <col min="16070" max="16070" width="13.85546875" bestFit="1" customWidth="1"/>
    <col min="16071" max="16071" width="12" bestFit="1" customWidth="1"/>
    <col min="16072" max="16072" width="13.85546875" bestFit="1" customWidth="1"/>
    <col min="16073" max="16074" width="14.42578125" customWidth="1"/>
    <col min="16075" max="16075" width="10.140625" bestFit="1" customWidth="1"/>
    <col min="16076" max="16076" width="12.28515625" bestFit="1" customWidth="1"/>
    <col min="16077" max="16077" width="7.42578125" bestFit="1" customWidth="1"/>
    <col min="16078" max="16078" width="8.5703125" bestFit="1" customWidth="1"/>
    <col min="16079" max="16079" width="11.5703125" bestFit="1" customWidth="1"/>
    <col min="16080" max="16080" width="13.28515625" bestFit="1" customWidth="1"/>
    <col min="16081" max="16081" width="13.28515625" customWidth="1"/>
    <col min="16082" max="16082" width="13.140625" customWidth="1"/>
    <col min="16083" max="16083" width="12.7109375" bestFit="1" customWidth="1"/>
    <col min="16084" max="16084" width="13.28515625" bestFit="1" customWidth="1"/>
    <col min="16085" max="16087" width="13.28515625" customWidth="1"/>
    <col min="16088" max="16088" width="12.140625" bestFit="1" customWidth="1"/>
    <col min="16089" max="16089" width="12.7109375" bestFit="1" customWidth="1"/>
    <col min="16090" max="16090" width="11" customWidth="1"/>
    <col min="16091" max="16091" width="16.7109375" customWidth="1"/>
    <col min="16092" max="16092" width="17" customWidth="1"/>
    <col min="16093" max="16093" width="10.42578125" bestFit="1" customWidth="1"/>
    <col min="16137" max="16137" width="3.85546875" customWidth="1"/>
    <col min="16138" max="16138" width="15.28515625" bestFit="1" customWidth="1"/>
    <col min="16139" max="16139" width="12.28515625" customWidth="1"/>
    <col min="16140" max="16140" width="16.28515625" bestFit="1" customWidth="1"/>
    <col min="16141" max="16141" width="6.42578125" bestFit="1" customWidth="1"/>
    <col min="16142" max="16142" width="9.28515625" bestFit="1" customWidth="1"/>
    <col min="16143" max="16143" width="7.5703125" bestFit="1" customWidth="1"/>
    <col min="16144" max="16144" width="13.28515625" bestFit="1" customWidth="1"/>
    <col min="16145" max="16145" width="9.28515625" bestFit="1" customWidth="1"/>
    <col min="16146" max="16146" width="11.5703125" bestFit="1" customWidth="1"/>
    <col min="16147" max="16147" width="13.28515625" bestFit="1" customWidth="1"/>
    <col min="16148" max="16148" width="7.140625" bestFit="1" customWidth="1"/>
    <col min="16149" max="16149" width="12" bestFit="1" customWidth="1"/>
    <col min="16150" max="16150" width="13.28515625" bestFit="1" customWidth="1"/>
    <col min="16151" max="16151" width="7" bestFit="1" customWidth="1"/>
    <col min="16152" max="16152" width="12.7109375" bestFit="1" customWidth="1"/>
    <col min="16153" max="16153" width="11.5703125" bestFit="1" customWidth="1"/>
    <col min="16154" max="16154" width="10.5703125" bestFit="1" customWidth="1"/>
    <col min="16155" max="16156" width="15.7109375" bestFit="1" customWidth="1"/>
    <col min="16157" max="16157" width="11.5703125" bestFit="1" customWidth="1"/>
    <col min="16158" max="16158" width="7.7109375" bestFit="1" customWidth="1"/>
    <col min="16159" max="16159" width="15.140625" bestFit="1" customWidth="1"/>
    <col min="16160" max="16160" width="11.5703125" bestFit="1" customWidth="1"/>
    <col min="16161" max="16161" width="13.28515625" bestFit="1" customWidth="1"/>
    <col min="16162" max="16162" width="10.42578125" bestFit="1" customWidth="1"/>
    <col min="16163" max="16163" width="13.28515625" bestFit="1" customWidth="1"/>
    <col min="16164" max="16164" width="12.140625" bestFit="1" customWidth="1"/>
    <col min="16165" max="16165" width="14.42578125" bestFit="1" customWidth="1"/>
    <col min="16166" max="16166" width="13.28515625" bestFit="1" customWidth="1"/>
    <col min="16167" max="16167" width="11.5703125" bestFit="1" customWidth="1"/>
    <col min="16168" max="16168" width="7.7109375" bestFit="1" customWidth="1"/>
    <col min="16169" max="16170" width="14.42578125" bestFit="1" customWidth="1"/>
    <col min="16171" max="16171" width="11.5703125" bestFit="1" customWidth="1"/>
    <col min="16172" max="16172" width="7.7109375" bestFit="1" customWidth="1"/>
    <col min="16173" max="16173" width="13.5703125" customWidth="1"/>
    <col min="16174" max="16174" width="15.28515625" customWidth="1"/>
    <col min="16175" max="16175" width="14.5703125" customWidth="1"/>
    <col min="16176" max="16176" width="13.28515625" bestFit="1" customWidth="1"/>
    <col min="16177" max="16177" width="7.7109375" bestFit="1" customWidth="1"/>
    <col min="16178" max="16178" width="12.7109375" bestFit="1" customWidth="1"/>
    <col min="16179" max="16179" width="11.7109375" bestFit="1" customWidth="1"/>
    <col min="16180" max="16180" width="11.5703125" bestFit="1" customWidth="1"/>
    <col min="16181" max="16181" width="5.28515625" bestFit="1" customWidth="1"/>
    <col min="16182" max="16182" width="13.28515625" bestFit="1" customWidth="1"/>
    <col min="16183" max="16183" width="13.5703125" bestFit="1" customWidth="1"/>
    <col min="16184" max="16184" width="10.5703125" bestFit="1" customWidth="1"/>
    <col min="16185" max="16185" width="13.28515625" bestFit="1" customWidth="1"/>
    <col min="16186" max="16186" width="11.5703125" bestFit="1" customWidth="1"/>
    <col min="16187" max="16187" width="10.5703125" bestFit="1" customWidth="1"/>
    <col min="16188" max="16188" width="16.140625" bestFit="1" customWidth="1"/>
    <col min="16189" max="16190" width="11.28515625" bestFit="1" customWidth="1"/>
    <col min="16191" max="16191" width="13.28515625" bestFit="1" customWidth="1"/>
    <col min="16192" max="16192" width="7.7109375" bestFit="1" customWidth="1"/>
    <col min="16193" max="16196" width="9.140625" hidden="1" customWidth="1"/>
    <col min="16197" max="16197" width="10.42578125" bestFit="1" customWidth="1"/>
    <col min="16198" max="16198" width="10.5703125" bestFit="1" customWidth="1"/>
    <col min="16199" max="16199" width="10.42578125" bestFit="1" customWidth="1"/>
    <col min="16200" max="16200" width="10.5703125" bestFit="1" customWidth="1"/>
    <col min="16201" max="16201" width="9.5703125" bestFit="1" customWidth="1"/>
    <col min="16202" max="16202" width="11.5703125" bestFit="1" customWidth="1"/>
    <col min="16203" max="16203" width="10.42578125" bestFit="1" customWidth="1"/>
    <col min="16204" max="16204" width="10.85546875" customWidth="1"/>
    <col min="16205" max="16206" width="9.85546875" bestFit="1" customWidth="1"/>
    <col min="16207" max="16207" width="13.5703125" bestFit="1" customWidth="1"/>
    <col min="16208" max="16208" width="7.7109375" bestFit="1" customWidth="1"/>
    <col min="16209" max="16209" width="13.28515625" bestFit="1" customWidth="1"/>
    <col min="16210" max="16210" width="11.5703125" bestFit="1" customWidth="1"/>
    <col min="16211" max="16211" width="10.42578125" bestFit="1" customWidth="1"/>
    <col min="16212" max="16212" width="7.7109375" bestFit="1" customWidth="1"/>
    <col min="16213" max="16213" width="11.5703125" bestFit="1" customWidth="1"/>
    <col min="16214" max="16214" width="10.85546875" bestFit="1" customWidth="1"/>
    <col min="16215" max="16215" width="13.28515625" bestFit="1" customWidth="1"/>
    <col min="16216" max="16216" width="10.85546875" bestFit="1" customWidth="1"/>
    <col min="16217" max="16218" width="7.5703125" bestFit="1" customWidth="1"/>
    <col min="16219" max="16220" width="10.42578125" bestFit="1" customWidth="1"/>
    <col min="16221" max="16221" width="11.5703125" bestFit="1" customWidth="1"/>
    <col min="16222" max="16222" width="5.28515625" bestFit="1" customWidth="1"/>
    <col min="16223" max="16223" width="10.28515625" bestFit="1" customWidth="1"/>
    <col min="16224" max="16224" width="10.42578125" bestFit="1" customWidth="1"/>
    <col min="16225" max="16225" width="11.5703125" bestFit="1" customWidth="1"/>
    <col min="16226" max="16226" width="5.28515625" bestFit="1" customWidth="1"/>
    <col min="16227" max="16229" width="11.5703125" bestFit="1" customWidth="1"/>
    <col min="16230" max="16230" width="5.28515625" bestFit="1" customWidth="1"/>
    <col min="16231" max="16232" width="10.42578125" bestFit="1" customWidth="1"/>
    <col min="16233" max="16233" width="11.5703125" bestFit="1" customWidth="1"/>
    <col min="16234" max="16234" width="5.28515625" bestFit="1" customWidth="1"/>
    <col min="16235" max="16235" width="14.28515625" bestFit="1" customWidth="1"/>
    <col min="16236" max="16236" width="13" bestFit="1" customWidth="1"/>
    <col min="16237" max="16237" width="11.5703125" bestFit="1" customWidth="1"/>
    <col min="16238" max="16238" width="8.85546875" bestFit="1" customWidth="1"/>
    <col min="16239" max="16239" width="14.42578125" bestFit="1" customWidth="1"/>
    <col min="16240" max="16240" width="10.42578125" bestFit="1" customWidth="1"/>
    <col min="16241" max="16241" width="12.28515625" bestFit="1" customWidth="1"/>
    <col min="16242" max="16242" width="13.85546875" bestFit="1" customWidth="1"/>
    <col min="16243" max="16243" width="11.28515625" customWidth="1"/>
    <col min="16244" max="16244" width="11.5703125" customWidth="1"/>
    <col min="16245" max="16245" width="13.42578125" bestFit="1" customWidth="1"/>
    <col min="16246" max="16246" width="10.42578125" customWidth="1"/>
    <col min="16247" max="16247" width="13.85546875" bestFit="1" customWidth="1"/>
    <col min="16248" max="16248" width="15.42578125" bestFit="1" customWidth="1"/>
    <col min="16249" max="16249" width="12.28515625" bestFit="1" customWidth="1"/>
    <col min="16250" max="16250" width="12.7109375" customWidth="1"/>
    <col min="16251" max="16251" width="10.7109375" bestFit="1" customWidth="1"/>
    <col min="16252" max="16252" width="9.85546875" customWidth="1"/>
    <col min="16253" max="16254" width="10.140625" bestFit="1" customWidth="1"/>
    <col min="16255" max="16255" width="7.5703125" bestFit="1" customWidth="1"/>
    <col min="16256" max="16256" width="9.42578125" bestFit="1" customWidth="1"/>
    <col min="16257" max="16257" width="14.5703125" bestFit="1" customWidth="1"/>
    <col min="16258" max="16258" width="14.85546875" customWidth="1"/>
    <col min="16259" max="16259" width="15.140625" bestFit="1" customWidth="1"/>
    <col min="16260" max="16260" width="12.140625" bestFit="1" customWidth="1"/>
    <col min="16261" max="16261" width="14.85546875" bestFit="1" customWidth="1"/>
    <col min="16262" max="16262" width="12.28515625" bestFit="1" customWidth="1"/>
    <col min="16263" max="16271" width="9.140625" hidden="1" customWidth="1"/>
    <col min="16272" max="16272" width="5.28515625" bestFit="1" customWidth="1"/>
    <col min="16273" max="16278" width="11.5703125" bestFit="1" customWidth="1"/>
    <col min="16279" max="16279" width="11.28515625" bestFit="1" customWidth="1"/>
    <col min="16280" max="16280" width="10.140625" bestFit="1" customWidth="1"/>
    <col min="16281" max="16281" width="11.5703125" bestFit="1" customWidth="1"/>
    <col min="16282" max="16282" width="16.140625" customWidth="1"/>
    <col min="16283" max="16283" width="13.42578125" customWidth="1"/>
    <col min="16284" max="16284" width="10.140625" bestFit="1" customWidth="1"/>
    <col min="16285" max="16285" width="12.85546875" bestFit="1" customWidth="1"/>
    <col min="16286" max="16286" width="12.28515625" bestFit="1" customWidth="1"/>
    <col min="16287" max="16287" width="11.28515625" bestFit="1" customWidth="1"/>
    <col min="16288" max="16288" width="11.5703125" bestFit="1" customWidth="1"/>
    <col min="16289" max="16289" width="10.85546875" bestFit="1" customWidth="1"/>
    <col min="16290" max="16290" width="11.28515625" bestFit="1" customWidth="1"/>
    <col min="16291" max="16291" width="10.140625" bestFit="1" customWidth="1"/>
    <col min="16292" max="16292" width="13.28515625" bestFit="1" customWidth="1"/>
    <col min="16293" max="16294" width="12.7109375" bestFit="1" customWidth="1"/>
    <col min="16295" max="16295" width="11" bestFit="1" customWidth="1"/>
    <col min="16296" max="16296" width="11.28515625" bestFit="1" customWidth="1"/>
    <col min="16297" max="16297" width="11.5703125" bestFit="1" customWidth="1"/>
    <col min="16298" max="16298" width="12.28515625" bestFit="1" customWidth="1"/>
    <col min="16299" max="16299" width="15.140625" bestFit="1" customWidth="1"/>
    <col min="16300" max="16300" width="14.42578125" bestFit="1" customWidth="1"/>
    <col min="16301" max="16301" width="12.28515625" bestFit="1" customWidth="1"/>
    <col min="16302" max="16302" width="15.140625" bestFit="1" customWidth="1"/>
    <col min="16303" max="16303" width="14.42578125" bestFit="1" customWidth="1"/>
    <col min="16304" max="16304" width="12.28515625" bestFit="1" customWidth="1"/>
    <col min="16305" max="16305" width="14.42578125" bestFit="1" customWidth="1"/>
    <col min="16306" max="16306" width="11.28515625" bestFit="1" customWidth="1"/>
    <col min="16307" max="16307" width="12.28515625" bestFit="1" customWidth="1"/>
    <col min="16308" max="16308" width="13" bestFit="1" customWidth="1"/>
    <col min="16309" max="16309" width="15.140625" bestFit="1" customWidth="1"/>
    <col min="16310" max="16310" width="12.28515625" bestFit="1" customWidth="1"/>
    <col min="16311" max="16311" width="13.85546875" bestFit="1" customWidth="1"/>
    <col min="16312" max="16312" width="11.28515625" bestFit="1" customWidth="1"/>
    <col min="16313" max="16313" width="12.28515625" bestFit="1" customWidth="1"/>
    <col min="16314" max="16314" width="13.85546875" bestFit="1" customWidth="1"/>
    <col min="16315" max="16316" width="15.140625" bestFit="1" customWidth="1"/>
    <col min="16317" max="16317" width="12.28515625" bestFit="1" customWidth="1"/>
    <col min="16318" max="16318" width="5.7109375" bestFit="1" customWidth="1"/>
    <col min="16319" max="16319" width="8.5703125" bestFit="1" customWidth="1"/>
    <col min="16320" max="16320" width="5.5703125" bestFit="1" customWidth="1"/>
    <col min="16321" max="16321" width="14.42578125" bestFit="1" customWidth="1"/>
    <col min="16322" max="16322" width="11.28515625" bestFit="1" customWidth="1"/>
    <col min="16323" max="16324" width="12.28515625" bestFit="1" customWidth="1"/>
    <col min="16325" max="16325" width="11.28515625" bestFit="1" customWidth="1"/>
    <col min="16326" max="16326" width="13.85546875" bestFit="1" customWidth="1"/>
    <col min="16327" max="16327" width="12" bestFit="1" customWidth="1"/>
    <col min="16328" max="16328" width="13.85546875" bestFit="1" customWidth="1"/>
    <col min="16329" max="16330" width="14.42578125" customWidth="1"/>
    <col min="16331" max="16331" width="10.140625" bestFit="1" customWidth="1"/>
    <col min="16332" max="16332" width="12.28515625" bestFit="1" customWidth="1"/>
    <col min="16333" max="16333" width="7.42578125" bestFit="1" customWidth="1"/>
    <col min="16334" max="16334" width="8.5703125" bestFit="1" customWidth="1"/>
    <col min="16335" max="16335" width="11.5703125" bestFit="1" customWidth="1"/>
    <col min="16336" max="16336" width="13.28515625" bestFit="1" customWidth="1"/>
    <col min="16337" max="16337" width="13.28515625" customWidth="1"/>
    <col min="16338" max="16338" width="13.140625" customWidth="1"/>
    <col min="16339" max="16339" width="12.7109375" bestFit="1" customWidth="1"/>
    <col min="16340" max="16340" width="13.28515625" bestFit="1" customWidth="1"/>
    <col min="16341" max="16343" width="13.28515625" customWidth="1"/>
    <col min="16344" max="16344" width="12.140625" bestFit="1" customWidth="1"/>
    <col min="16345" max="16345" width="12.7109375" bestFit="1" customWidth="1"/>
    <col min="16346" max="16346" width="11" customWidth="1"/>
    <col min="16347" max="16347" width="16.7109375" customWidth="1"/>
    <col min="16348" max="16348" width="17" customWidth="1"/>
    <col min="16349" max="16349" width="10.42578125" bestFit="1" customWidth="1"/>
  </cols>
  <sheetData>
    <row r="1" spans="1:293" x14ac:dyDescent="0.25">
      <c r="A1" s="1" t="s">
        <v>0</v>
      </c>
      <c r="CE1" s="2"/>
      <c r="ED1" s="3"/>
      <c r="EE1" s="3"/>
      <c r="EP1" s="2"/>
      <c r="FD1" s="2"/>
    </row>
    <row r="2" spans="1:293" x14ac:dyDescent="0.25">
      <c r="A2" s="1" t="s">
        <v>184</v>
      </c>
      <c r="ED2" s="3"/>
      <c r="EP2" s="2"/>
      <c r="FD2" s="2"/>
      <c r="FE2" s="3"/>
      <c r="GA2" t="s">
        <v>211</v>
      </c>
      <c r="GP2" s="447" t="s">
        <v>210</v>
      </c>
      <c r="GQ2" s="447"/>
    </row>
    <row r="3" spans="1:293" x14ac:dyDescent="0.25">
      <c r="A3" s="448" t="s">
        <v>1</v>
      </c>
      <c r="B3" s="449" t="s">
        <v>2</v>
      </c>
      <c r="C3" s="449"/>
      <c r="D3" s="449"/>
      <c r="E3" s="449"/>
      <c r="F3" s="449"/>
      <c r="G3" s="449"/>
      <c r="H3" s="420" t="s">
        <v>3</v>
      </c>
      <c r="I3" s="420"/>
      <c r="J3" s="420"/>
      <c r="K3" s="420"/>
      <c r="L3" s="420"/>
      <c r="M3" s="420"/>
      <c r="N3" s="420"/>
      <c r="O3" s="420" t="s">
        <v>4</v>
      </c>
      <c r="P3" s="420"/>
      <c r="Q3" s="420"/>
      <c r="R3" s="420"/>
      <c r="S3" s="420"/>
      <c r="T3" s="420"/>
      <c r="U3" s="420"/>
      <c r="V3" s="420"/>
      <c r="W3" s="420"/>
      <c r="X3" s="420"/>
      <c r="Y3" s="420"/>
      <c r="Z3" s="420"/>
      <c r="AA3" s="420"/>
      <c r="AB3" s="420"/>
      <c r="AC3" s="420"/>
      <c r="AD3" s="420"/>
      <c r="AE3" s="420"/>
      <c r="AF3" s="420"/>
      <c r="AG3" s="420"/>
      <c r="AH3" s="420"/>
      <c r="AI3" s="420"/>
      <c r="AJ3" s="420"/>
      <c r="AK3" s="420"/>
      <c r="AL3" s="420"/>
      <c r="AM3" s="420"/>
      <c r="AN3" s="420"/>
      <c r="AO3" s="420"/>
      <c r="AP3" s="420"/>
      <c r="AQ3" s="420"/>
      <c r="AR3" s="420"/>
      <c r="AS3" s="420"/>
      <c r="AT3" s="420"/>
      <c r="AU3" s="420"/>
      <c r="AV3" s="420"/>
      <c r="AW3" s="420"/>
      <c r="AX3" s="420"/>
      <c r="AY3" s="420"/>
      <c r="AZ3" s="420"/>
      <c r="BA3" s="420"/>
      <c r="BB3" s="420"/>
      <c r="BC3" s="420"/>
      <c r="BD3" s="420"/>
      <c r="BE3" s="433" t="s">
        <v>5</v>
      </c>
      <c r="BF3" s="445"/>
      <c r="BG3" s="434"/>
      <c r="BH3" s="403" t="s">
        <v>6</v>
      </c>
      <c r="BI3" s="417"/>
      <c r="BJ3" s="404"/>
      <c r="BK3" s="433" t="s">
        <v>7</v>
      </c>
      <c r="BL3" s="445"/>
      <c r="BM3" s="445"/>
      <c r="BN3" s="445"/>
      <c r="BO3" s="445"/>
      <c r="BP3" s="434"/>
      <c r="BQ3" s="420" t="s">
        <v>8</v>
      </c>
      <c r="BR3" s="420"/>
      <c r="BS3" s="450"/>
      <c r="BT3" s="451"/>
      <c r="BU3" s="420" t="s">
        <v>9</v>
      </c>
      <c r="BV3" s="420"/>
      <c r="BW3" s="420"/>
      <c r="BX3" s="420"/>
      <c r="BY3" s="420"/>
      <c r="BZ3" s="420"/>
      <c r="CA3" s="420"/>
      <c r="CB3" s="420"/>
      <c r="CC3" s="420"/>
      <c r="CD3" s="420"/>
      <c r="CE3" s="420"/>
      <c r="CF3" s="420"/>
      <c r="CG3" s="420"/>
      <c r="CH3" s="420"/>
      <c r="CI3" s="420"/>
      <c r="CJ3" s="420"/>
      <c r="CK3" s="420"/>
      <c r="CL3" s="420"/>
      <c r="CM3" s="420"/>
      <c r="CN3" s="420"/>
      <c r="CO3" s="420"/>
      <c r="CP3" s="420"/>
      <c r="CQ3" s="420"/>
      <c r="CR3" s="420"/>
      <c r="CS3" s="420"/>
      <c r="CT3" s="420"/>
      <c r="CU3" s="420"/>
      <c r="CV3" s="420"/>
      <c r="CW3" s="420"/>
      <c r="CX3" s="420"/>
      <c r="CY3" s="420"/>
      <c r="CZ3" s="420"/>
      <c r="DA3" s="420"/>
      <c r="DB3" s="420"/>
      <c r="DC3" s="420"/>
      <c r="DD3" s="420"/>
      <c r="DE3" s="420"/>
      <c r="DF3" s="420"/>
      <c r="DG3" s="420"/>
      <c r="DH3" s="438" t="s">
        <v>10</v>
      </c>
      <c r="DI3" s="421" t="s">
        <v>11</v>
      </c>
      <c r="DJ3" s="421"/>
      <c r="DK3" s="421"/>
      <c r="DL3" s="421"/>
      <c r="DM3" s="421"/>
      <c r="DN3" s="421"/>
      <c r="DO3" s="421"/>
      <c r="DP3" s="421"/>
      <c r="DQ3" s="408" t="s">
        <v>180</v>
      </c>
      <c r="DR3" s="409"/>
      <c r="DS3" s="408" t="s">
        <v>12</v>
      </c>
      <c r="DT3" s="409"/>
      <c r="DU3" s="440" t="s">
        <v>13</v>
      </c>
      <c r="DV3" s="441"/>
      <c r="DW3" s="441"/>
      <c r="DX3" s="441"/>
      <c r="DY3" s="441"/>
      <c r="DZ3" s="441"/>
      <c r="EA3" s="441"/>
      <c r="EB3" s="441"/>
      <c r="EC3" s="442"/>
      <c r="ED3" s="4"/>
      <c r="EE3" s="440" t="s">
        <v>14</v>
      </c>
      <c r="EF3" s="441"/>
      <c r="EG3" s="441"/>
      <c r="EH3" s="441"/>
      <c r="EI3" s="441"/>
      <c r="EJ3" s="441"/>
      <c r="EK3" s="441"/>
      <c r="EL3" s="441"/>
      <c r="EM3" s="442"/>
      <c r="EN3" s="5"/>
      <c r="EO3" s="446" t="s">
        <v>15</v>
      </c>
      <c r="EP3" s="446"/>
      <c r="EQ3" s="446"/>
      <c r="ER3" s="446"/>
      <c r="ES3" s="446"/>
      <c r="ET3" s="446"/>
      <c r="EU3" s="446"/>
      <c r="EV3" s="446"/>
      <c r="EW3" s="446"/>
      <c r="EX3" s="446"/>
      <c r="EY3" s="446"/>
      <c r="EZ3" s="446"/>
      <c r="FA3" s="446"/>
      <c r="FB3" s="446"/>
      <c r="FC3" s="446"/>
      <c r="FD3" s="446"/>
      <c r="FE3" s="446" t="s">
        <v>16</v>
      </c>
      <c r="FF3" s="446"/>
      <c r="FG3" s="446"/>
      <c r="FH3" s="446"/>
      <c r="FI3" s="446"/>
      <c r="FJ3" s="446"/>
      <c r="FK3" s="446"/>
      <c r="FL3" s="446"/>
      <c r="FM3" s="446"/>
      <c r="FN3" s="446"/>
      <c r="FO3" s="446"/>
      <c r="FP3" s="446"/>
      <c r="FQ3" s="446"/>
      <c r="FR3" s="446"/>
      <c r="FS3" s="446"/>
      <c r="FT3" s="446"/>
      <c r="FU3" s="446"/>
      <c r="FV3" s="446" t="s">
        <v>17</v>
      </c>
      <c r="FW3" s="446"/>
      <c r="FX3" s="446"/>
      <c r="FY3" s="446"/>
      <c r="FZ3" s="446"/>
      <c r="GA3" s="446"/>
      <c r="GB3" s="446"/>
      <c r="GC3" s="446"/>
      <c r="GD3" s="446"/>
      <c r="GE3" s="446"/>
      <c r="GF3" s="446"/>
      <c r="GG3" s="446"/>
      <c r="GH3" s="404" t="s">
        <v>18</v>
      </c>
      <c r="GI3" s="402"/>
      <c r="GJ3" s="402"/>
      <c r="GK3" s="402"/>
      <c r="GL3" s="402"/>
      <c r="GM3" s="402"/>
      <c r="GN3" s="403" t="s">
        <v>202</v>
      </c>
      <c r="GO3" s="417"/>
      <c r="GP3" s="404"/>
      <c r="GQ3" s="403" t="s">
        <v>209</v>
      </c>
      <c r="GR3" s="417"/>
      <c r="GS3" s="404"/>
      <c r="HH3" s="406" t="s">
        <v>256</v>
      </c>
      <c r="HI3" s="406"/>
      <c r="HJ3" s="406"/>
      <c r="HK3" s="406"/>
      <c r="HL3" s="406"/>
      <c r="HM3" s="406"/>
      <c r="HN3" s="406"/>
      <c r="HO3" s="406"/>
      <c r="HP3" s="406"/>
      <c r="HQ3" s="406"/>
      <c r="HR3" s="406"/>
      <c r="HS3" s="406"/>
      <c r="HT3" s="406"/>
      <c r="HU3" s="406"/>
      <c r="HV3" s="406"/>
      <c r="HW3" s="406"/>
      <c r="HX3" s="406"/>
      <c r="HY3" s="406"/>
      <c r="HZ3" s="406"/>
      <c r="IA3" s="406"/>
      <c r="IB3" s="406"/>
      <c r="IC3" s="406"/>
      <c r="ID3" s="406"/>
      <c r="IE3" s="406"/>
      <c r="IF3" s="406"/>
      <c r="IG3" s="406"/>
      <c r="IH3" s="406"/>
      <c r="II3" s="406"/>
      <c r="IJ3" s="406"/>
      <c r="IK3" s="406"/>
      <c r="IL3" s="406"/>
      <c r="IM3" s="406"/>
      <c r="IN3" s="406"/>
      <c r="IO3" s="406"/>
      <c r="IP3" s="406"/>
      <c r="IQ3" s="406"/>
      <c r="IR3" s="406"/>
      <c r="IS3" s="406"/>
      <c r="IT3" s="406"/>
      <c r="IU3" s="406"/>
      <c r="IV3" s="406"/>
      <c r="IW3" s="406"/>
      <c r="IX3" s="406"/>
      <c r="IY3" s="406"/>
      <c r="IZ3" s="406"/>
      <c r="JA3" s="406"/>
      <c r="JB3" s="406"/>
      <c r="JC3" s="406"/>
      <c r="JD3" s="406"/>
      <c r="JE3" s="406"/>
      <c r="JF3" s="406"/>
      <c r="JG3" s="406"/>
      <c r="JH3" s="406"/>
      <c r="JI3" s="406"/>
      <c r="JJ3" s="406"/>
      <c r="JK3" s="406"/>
      <c r="JL3" s="406"/>
      <c r="JM3" s="406"/>
      <c r="JN3" s="406"/>
      <c r="JO3" s="406"/>
      <c r="JP3" s="406"/>
      <c r="JQ3" s="406"/>
      <c r="JR3" s="406"/>
      <c r="JS3" s="406"/>
      <c r="JT3" s="406"/>
      <c r="JU3" s="406"/>
      <c r="JV3" s="406"/>
      <c r="JW3" s="406"/>
      <c r="JX3" s="406"/>
      <c r="JY3" s="406"/>
      <c r="JZ3" s="406"/>
      <c r="KA3" s="406"/>
      <c r="KB3" s="406"/>
      <c r="KC3" s="406"/>
      <c r="KD3" s="406"/>
      <c r="KE3" s="406"/>
    </row>
    <row r="4" spans="1:293" x14ac:dyDescent="0.25">
      <c r="A4" s="448"/>
      <c r="B4" s="449"/>
      <c r="C4" s="449"/>
      <c r="D4" s="449"/>
      <c r="E4" s="449"/>
      <c r="F4" s="449"/>
      <c r="G4" s="449"/>
      <c r="H4" s="420"/>
      <c r="I4" s="420"/>
      <c r="J4" s="420"/>
      <c r="K4" s="420"/>
      <c r="L4" s="420"/>
      <c r="M4" s="420"/>
      <c r="N4" s="420"/>
      <c r="O4" s="420" t="s">
        <v>20</v>
      </c>
      <c r="P4" s="420"/>
      <c r="Q4" s="420"/>
      <c r="R4" s="420"/>
      <c r="S4" s="420"/>
      <c r="T4" s="420"/>
      <c r="U4" s="420"/>
      <c r="V4" s="420"/>
      <c r="W4" s="420"/>
      <c r="X4" s="420"/>
      <c r="Y4" s="420"/>
      <c r="Z4" s="420"/>
      <c r="AA4" s="420"/>
      <c r="AB4" s="420"/>
      <c r="AC4" s="420"/>
      <c r="AD4" s="420"/>
      <c r="AE4" s="420"/>
      <c r="AF4" s="420"/>
      <c r="AG4" s="420"/>
      <c r="AH4" s="420"/>
      <c r="AI4" s="420"/>
      <c r="AJ4" s="7"/>
      <c r="AK4" s="430" t="s">
        <v>21</v>
      </c>
      <c r="AL4" s="420" t="s">
        <v>22</v>
      </c>
      <c r="AM4" s="420"/>
      <c r="AN4" s="420"/>
      <c r="AO4" s="420"/>
      <c r="AP4" s="420"/>
      <c r="AQ4" s="420"/>
      <c r="AR4" s="420"/>
      <c r="AS4" s="420"/>
      <c r="AT4" s="420"/>
      <c r="AU4" s="420"/>
      <c r="AV4" s="420"/>
      <c r="AW4" s="420"/>
      <c r="AX4" s="420"/>
      <c r="AY4" s="420"/>
      <c r="AZ4" s="420"/>
      <c r="BA4" s="420"/>
      <c r="BB4" s="420"/>
      <c r="BC4" s="420"/>
      <c r="BD4" s="430" t="s">
        <v>23</v>
      </c>
      <c r="BE4" s="420" t="s">
        <v>24</v>
      </c>
      <c r="BF4" s="420"/>
      <c r="BG4" s="420"/>
      <c r="BH4" s="7"/>
      <c r="BI4" s="7"/>
      <c r="BJ4" s="7"/>
      <c r="BK4" s="420" t="s">
        <v>25</v>
      </c>
      <c r="BL4" s="420"/>
      <c r="BM4" s="420" t="s">
        <v>26</v>
      </c>
      <c r="BN4" s="420"/>
      <c r="BO4" s="427" t="s">
        <v>27</v>
      </c>
      <c r="BP4" s="427"/>
      <c r="BQ4" s="420"/>
      <c r="BR4" s="420"/>
      <c r="BS4" s="428" t="s">
        <v>28</v>
      </c>
      <c r="BT4" s="429"/>
      <c r="BU4" s="420"/>
      <c r="BV4" s="420"/>
      <c r="BW4" s="420"/>
      <c r="BX4" s="420"/>
      <c r="BY4" s="420"/>
      <c r="BZ4" s="420"/>
      <c r="CA4" s="420"/>
      <c r="CB4" s="420"/>
      <c r="CC4" s="420"/>
      <c r="CD4" s="420"/>
      <c r="CE4" s="420"/>
      <c r="CF4" s="420"/>
      <c r="CG4" s="420"/>
      <c r="CH4" s="420"/>
      <c r="CI4" s="420"/>
      <c r="CJ4" s="420"/>
      <c r="CK4" s="420"/>
      <c r="CL4" s="420"/>
      <c r="CM4" s="420"/>
      <c r="CN4" s="420"/>
      <c r="CO4" s="420"/>
      <c r="CP4" s="420"/>
      <c r="CQ4" s="420"/>
      <c r="CR4" s="420"/>
      <c r="CS4" s="420"/>
      <c r="CT4" s="420"/>
      <c r="CU4" s="420"/>
      <c r="CV4" s="420"/>
      <c r="CW4" s="420"/>
      <c r="CX4" s="420"/>
      <c r="CY4" s="420"/>
      <c r="CZ4" s="420"/>
      <c r="DA4" s="420"/>
      <c r="DB4" s="420"/>
      <c r="DC4" s="420"/>
      <c r="DD4" s="420"/>
      <c r="DE4" s="420"/>
      <c r="DF4" s="420"/>
      <c r="DG4" s="420"/>
      <c r="DH4" s="439"/>
      <c r="DI4" s="421"/>
      <c r="DJ4" s="421"/>
      <c r="DK4" s="421"/>
      <c r="DL4" s="421"/>
      <c r="DM4" s="421"/>
      <c r="DN4" s="421"/>
      <c r="DO4" s="421"/>
      <c r="DP4" s="421"/>
      <c r="DQ4" s="410"/>
      <c r="DR4" s="411"/>
      <c r="DS4" s="410"/>
      <c r="DT4" s="411"/>
      <c r="DU4" s="435" t="s">
        <v>29</v>
      </c>
      <c r="DV4" s="436"/>
      <c r="DW4" s="437"/>
      <c r="DX4" s="435" t="s">
        <v>30</v>
      </c>
      <c r="DY4" s="436"/>
      <c r="DZ4" s="437"/>
      <c r="EA4" s="435"/>
      <c r="EB4" s="436"/>
      <c r="EC4" s="437"/>
      <c r="ED4" s="8" t="s">
        <v>31</v>
      </c>
      <c r="EE4" s="435"/>
      <c r="EF4" s="436"/>
      <c r="EG4" s="437"/>
      <c r="EH4" s="435"/>
      <c r="EI4" s="436"/>
      <c r="EJ4" s="437"/>
      <c r="EK4" s="435"/>
      <c r="EL4" s="436"/>
      <c r="EM4" s="437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403" t="s">
        <v>33</v>
      </c>
      <c r="FW4" s="417"/>
      <c r="FX4" s="417"/>
      <c r="FY4" s="417" t="s">
        <v>33</v>
      </c>
      <c r="FZ4" s="417"/>
      <c r="GA4" s="417"/>
      <c r="GB4" s="417"/>
      <c r="GC4" s="417"/>
      <c r="GD4" s="417"/>
      <c r="GE4" s="417"/>
      <c r="GF4" s="417"/>
      <c r="GG4" s="404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402" t="s">
        <v>252</v>
      </c>
      <c r="HH4" s="491" t="s">
        <v>106</v>
      </c>
      <c r="HI4" s="491"/>
      <c r="HJ4" s="491"/>
      <c r="HK4" s="491" t="s">
        <v>258</v>
      </c>
      <c r="HL4" s="491"/>
      <c r="HM4" s="491"/>
      <c r="HN4" s="507" t="s">
        <v>259</v>
      </c>
      <c r="HO4" s="508"/>
      <c r="HP4" s="508"/>
      <c r="HQ4" s="508"/>
      <c r="HR4" s="508"/>
      <c r="HS4" s="508"/>
      <c r="HT4" s="508"/>
      <c r="HU4" s="508"/>
      <c r="HV4" s="508"/>
      <c r="HW4" s="508"/>
      <c r="HX4" s="508"/>
      <c r="HY4" s="508"/>
      <c r="HZ4" s="508"/>
      <c r="IA4" s="508"/>
      <c r="IB4" s="508"/>
      <c r="IC4" s="508"/>
      <c r="ID4" s="508"/>
      <c r="IE4" s="508"/>
      <c r="IF4" s="508"/>
      <c r="IG4" s="508"/>
      <c r="IH4" s="509"/>
      <c r="II4" s="494" t="s">
        <v>283</v>
      </c>
      <c r="IJ4" s="493" t="s">
        <v>204</v>
      </c>
      <c r="IK4" s="493"/>
      <c r="IL4" s="493"/>
      <c r="IM4" s="493"/>
      <c r="IN4" s="493"/>
      <c r="IO4" s="493"/>
      <c r="IP4" s="493"/>
      <c r="IQ4" s="493"/>
      <c r="IR4" s="493"/>
      <c r="IS4" s="493"/>
      <c r="IT4" s="493"/>
      <c r="IU4" s="493"/>
      <c r="IV4" s="492" t="s">
        <v>260</v>
      </c>
      <c r="IW4" s="492"/>
      <c r="IX4" s="492"/>
      <c r="IY4" s="492"/>
      <c r="IZ4" s="492"/>
      <c r="JA4" s="492"/>
      <c r="JB4" s="492"/>
      <c r="JC4" s="492"/>
      <c r="JD4" s="492"/>
      <c r="JE4" s="492"/>
      <c r="JF4" s="492"/>
      <c r="JG4" s="492"/>
      <c r="JH4" s="492"/>
      <c r="JI4" s="492"/>
      <c r="JJ4" s="492"/>
      <c r="JK4" s="492"/>
      <c r="JL4" s="492"/>
      <c r="JM4" s="492"/>
      <c r="JN4" s="496" t="s">
        <v>261</v>
      </c>
      <c r="JO4" s="496"/>
      <c r="JP4" s="496"/>
      <c r="JQ4" s="496"/>
      <c r="JR4" s="496"/>
      <c r="JS4" s="496"/>
      <c r="JT4" s="496"/>
      <c r="JU4" s="496"/>
      <c r="JV4" s="496"/>
      <c r="JW4" s="496"/>
      <c r="JX4" s="496"/>
      <c r="JY4" s="496"/>
      <c r="JZ4" s="496"/>
      <c r="KA4" s="496"/>
      <c r="KB4" s="496"/>
      <c r="KC4" s="496"/>
      <c r="KD4" s="496"/>
      <c r="KE4" s="496"/>
      <c r="KG4" t="s">
        <v>98</v>
      </c>
    </row>
    <row r="5" spans="1:293" x14ac:dyDescent="0.25">
      <c r="A5" s="448"/>
      <c r="B5" s="452" t="s">
        <v>35</v>
      </c>
      <c r="C5" s="452"/>
      <c r="D5" s="452"/>
      <c r="E5" s="452" t="s">
        <v>36</v>
      </c>
      <c r="F5" s="452"/>
      <c r="G5" s="15" t="s">
        <v>37</v>
      </c>
      <c r="H5" s="420" t="s">
        <v>38</v>
      </c>
      <c r="I5" s="420"/>
      <c r="J5" s="420"/>
      <c r="K5" s="420"/>
      <c r="L5" s="420" t="s">
        <v>39</v>
      </c>
      <c r="M5" s="420"/>
      <c r="N5" s="420"/>
      <c r="O5" s="420" t="s">
        <v>40</v>
      </c>
      <c r="P5" s="420"/>
      <c r="Q5" s="420"/>
      <c r="R5" s="7"/>
      <c r="S5" s="420" t="s">
        <v>41</v>
      </c>
      <c r="T5" s="420"/>
      <c r="U5" s="420" t="s">
        <v>42</v>
      </c>
      <c r="V5" s="420"/>
      <c r="W5" s="420" t="s">
        <v>43</v>
      </c>
      <c r="X5" s="420"/>
      <c r="Y5" s="431" t="s">
        <v>44</v>
      </c>
      <c r="Z5" s="432"/>
      <c r="AA5" s="433" t="s">
        <v>188</v>
      </c>
      <c r="AB5" s="434"/>
      <c r="AC5" s="420" t="s">
        <v>45</v>
      </c>
      <c r="AD5" s="420"/>
      <c r="AE5" s="420"/>
      <c r="AF5" s="420"/>
      <c r="AG5" s="420" t="s">
        <v>46</v>
      </c>
      <c r="AH5" s="420"/>
      <c r="AI5" s="420"/>
      <c r="AJ5" s="420"/>
      <c r="AK5" s="430"/>
      <c r="AL5" s="421" t="s">
        <v>47</v>
      </c>
      <c r="AM5" s="421"/>
      <c r="AN5" s="421"/>
      <c r="AO5" s="421"/>
      <c r="AP5" s="421" t="s">
        <v>48</v>
      </c>
      <c r="AQ5" s="421"/>
      <c r="AR5" s="421"/>
      <c r="AS5" s="421"/>
      <c r="AT5" s="422" t="s">
        <v>49</v>
      </c>
      <c r="AU5" s="423"/>
      <c r="AV5" s="422" t="s">
        <v>50</v>
      </c>
      <c r="AW5" s="423"/>
      <c r="AX5" s="421" t="s">
        <v>51</v>
      </c>
      <c r="AY5" s="421"/>
      <c r="AZ5" s="421"/>
      <c r="BA5" s="421" t="s">
        <v>52</v>
      </c>
      <c r="BB5" s="421"/>
      <c r="BC5" s="421"/>
      <c r="BD5" s="430"/>
      <c r="BE5" s="420"/>
      <c r="BF5" s="420"/>
      <c r="BG5" s="420"/>
      <c r="BH5" s="16"/>
      <c r="BI5" s="16"/>
      <c r="BJ5" s="16"/>
      <c r="BK5" s="420"/>
      <c r="BL5" s="420"/>
      <c r="BM5" s="420"/>
      <c r="BN5" s="420"/>
      <c r="BO5" s="427"/>
      <c r="BP5" s="427"/>
      <c r="BQ5" s="420"/>
      <c r="BR5" s="420"/>
      <c r="BS5" s="443" t="s">
        <v>53</v>
      </c>
      <c r="BT5" s="444"/>
      <c r="BU5" s="420" t="s">
        <v>54</v>
      </c>
      <c r="BV5" s="420"/>
      <c r="BW5" s="420"/>
      <c r="BX5" s="420"/>
      <c r="BY5" s="433" t="s">
        <v>55</v>
      </c>
      <c r="BZ5" s="445"/>
      <c r="CA5" s="445"/>
      <c r="CB5" s="434"/>
      <c r="CC5" s="420" t="s">
        <v>56</v>
      </c>
      <c r="CD5" s="420"/>
      <c r="CE5" s="420" t="s">
        <v>57</v>
      </c>
      <c r="CF5" s="420"/>
      <c r="CG5" s="420" t="s">
        <v>58</v>
      </c>
      <c r="CH5" s="420"/>
      <c r="CI5" s="420" t="s">
        <v>59</v>
      </c>
      <c r="CJ5" s="420"/>
      <c r="CK5" s="420"/>
      <c r="CL5" s="420"/>
      <c r="CM5" s="420" t="s">
        <v>60</v>
      </c>
      <c r="CN5" s="420"/>
      <c r="CO5" s="420"/>
      <c r="CP5" s="420"/>
      <c r="CQ5" s="421" t="s">
        <v>61</v>
      </c>
      <c r="CR5" s="421"/>
      <c r="CS5" s="421"/>
      <c r="CT5" s="421"/>
      <c r="CU5" s="421" t="s">
        <v>62</v>
      </c>
      <c r="CV5" s="421"/>
      <c r="CW5" s="421"/>
      <c r="CX5" s="421"/>
      <c r="CY5" s="421" t="s">
        <v>63</v>
      </c>
      <c r="CZ5" s="421"/>
      <c r="DA5" s="421"/>
      <c r="DB5" s="421"/>
      <c r="DC5" s="421" t="s">
        <v>64</v>
      </c>
      <c r="DD5" s="421"/>
      <c r="DE5" s="421"/>
      <c r="DF5" s="421"/>
      <c r="DG5" s="17" t="s">
        <v>65</v>
      </c>
      <c r="DH5" s="17"/>
      <c r="DI5" s="421"/>
      <c r="DJ5" s="421"/>
      <c r="DK5" s="421"/>
      <c r="DL5" s="421"/>
      <c r="DM5" s="421"/>
      <c r="DN5" s="421"/>
      <c r="DO5" s="421"/>
      <c r="DP5" s="421"/>
      <c r="DQ5" s="412"/>
      <c r="DR5" s="413"/>
      <c r="DS5" s="412"/>
      <c r="DT5" s="413"/>
      <c r="DU5" s="424" t="s">
        <v>66</v>
      </c>
      <c r="DV5" s="425"/>
      <c r="DW5" s="426"/>
      <c r="DX5" s="424" t="s">
        <v>67</v>
      </c>
      <c r="DY5" s="425"/>
      <c r="DZ5" s="426"/>
      <c r="EA5" s="424" t="s">
        <v>68</v>
      </c>
      <c r="EB5" s="425"/>
      <c r="EC5" s="426"/>
      <c r="ED5" s="18"/>
      <c r="EE5" s="424" t="s">
        <v>69</v>
      </c>
      <c r="EF5" s="425"/>
      <c r="EG5" s="426"/>
      <c r="EH5" s="424" t="s">
        <v>70</v>
      </c>
      <c r="EI5" s="425"/>
      <c r="EJ5" s="426"/>
      <c r="EK5" s="424" t="s">
        <v>71</v>
      </c>
      <c r="EL5" s="425"/>
      <c r="EM5" s="426"/>
      <c r="EN5" s="19"/>
      <c r="EO5" s="403" t="s">
        <v>72</v>
      </c>
      <c r="EP5" s="417"/>
      <c r="EQ5" s="404"/>
      <c r="ER5" s="403" t="s">
        <v>73</v>
      </c>
      <c r="ES5" s="417"/>
      <c r="ET5" s="404"/>
      <c r="EU5" s="403" t="s">
        <v>74</v>
      </c>
      <c r="EV5" s="417"/>
      <c r="EW5" s="404"/>
      <c r="EX5" s="403" t="s">
        <v>75</v>
      </c>
      <c r="EY5" s="417"/>
      <c r="EZ5" s="404"/>
      <c r="FA5" s="20"/>
      <c r="FB5" s="403" t="s">
        <v>76</v>
      </c>
      <c r="FC5" s="404"/>
      <c r="FD5" s="16" t="s">
        <v>77</v>
      </c>
      <c r="FE5" s="403" t="s">
        <v>72</v>
      </c>
      <c r="FF5" s="417"/>
      <c r="FG5" s="404"/>
      <c r="FH5" s="403" t="s">
        <v>73</v>
      </c>
      <c r="FI5" s="417"/>
      <c r="FJ5" s="404"/>
      <c r="FK5" s="10" t="s">
        <v>78</v>
      </c>
      <c r="FL5" s="11"/>
      <c r="FM5" s="21"/>
      <c r="FN5" s="403" t="s">
        <v>75</v>
      </c>
      <c r="FO5" s="417"/>
      <c r="FP5" s="404"/>
      <c r="FQ5" s="403" t="s">
        <v>79</v>
      </c>
      <c r="FR5" s="417"/>
      <c r="FS5" s="404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402"/>
      <c r="HH5" s="16"/>
      <c r="HI5" s="16"/>
      <c r="HJ5" s="16"/>
      <c r="HK5" s="16"/>
      <c r="HL5" s="16"/>
      <c r="HM5" s="16"/>
      <c r="HN5" s="403" t="s">
        <v>204</v>
      </c>
      <c r="HO5" s="417"/>
      <c r="HP5" s="404"/>
      <c r="HQ5" s="403" t="s">
        <v>260</v>
      </c>
      <c r="HR5" s="417"/>
      <c r="HS5" s="404"/>
      <c r="HT5" s="403" t="s">
        <v>261</v>
      </c>
      <c r="HU5" s="417"/>
      <c r="HV5" s="404"/>
      <c r="HW5" s="403" t="s">
        <v>318</v>
      </c>
      <c r="HX5" s="417"/>
      <c r="HY5" s="404"/>
      <c r="HZ5" s="403" t="s">
        <v>346</v>
      </c>
      <c r="IA5" s="417"/>
      <c r="IB5" s="404"/>
      <c r="IC5" s="403" t="s">
        <v>357</v>
      </c>
      <c r="ID5" s="417"/>
      <c r="IE5" s="404"/>
      <c r="IF5" s="402" t="s">
        <v>65</v>
      </c>
      <c r="IG5" s="402"/>
      <c r="IH5" s="402"/>
      <c r="II5" s="495"/>
      <c r="IJ5" s="402" t="s">
        <v>262</v>
      </c>
      <c r="IK5" s="402"/>
      <c r="IL5" s="402"/>
      <c r="IM5" s="402" t="s">
        <v>263</v>
      </c>
      <c r="IN5" s="402"/>
      <c r="IO5" s="402"/>
      <c r="IP5" s="402" t="s">
        <v>264</v>
      </c>
      <c r="IQ5" s="402"/>
      <c r="IR5" s="402"/>
      <c r="IS5" s="402" t="s">
        <v>265</v>
      </c>
      <c r="IT5" s="402"/>
      <c r="IU5" s="402"/>
      <c r="IV5" s="402" t="s">
        <v>152</v>
      </c>
      <c r="IW5" s="402"/>
      <c r="IX5" s="402"/>
      <c r="IY5" s="402" t="s">
        <v>266</v>
      </c>
      <c r="IZ5" s="402"/>
      <c r="JA5" s="402"/>
      <c r="JB5" s="402" t="s">
        <v>165</v>
      </c>
      <c r="JC5" s="402"/>
      <c r="JD5" s="402"/>
      <c r="JE5" s="402" t="s">
        <v>267</v>
      </c>
      <c r="JF5" s="402"/>
      <c r="JG5" s="402"/>
      <c r="JH5" s="402" t="s">
        <v>268</v>
      </c>
      <c r="JI5" s="402"/>
      <c r="JJ5" s="402"/>
      <c r="JK5" s="402" t="s">
        <v>269</v>
      </c>
      <c r="JL5" s="402"/>
      <c r="JM5" s="402"/>
      <c r="JN5" s="402" t="s">
        <v>152</v>
      </c>
      <c r="JO5" s="402"/>
      <c r="JP5" s="402"/>
      <c r="JQ5" s="402" t="s">
        <v>266</v>
      </c>
      <c r="JR5" s="402"/>
      <c r="JS5" s="402"/>
      <c r="JT5" s="402" t="s">
        <v>165</v>
      </c>
      <c r="JU5" s="402"/>
      <c r="JV5" s="402"/>
      <c r="JW5" s="402" t="s">
        <v>267</v>
      </c>
      <c r="JX5" s="402"/>
      <c r="JY5" s="402"/>
      <c r="JZ5" s="402" t="s">
        <v>268</v>
      </c>
      <c r="KA5" s="402"/>
      <c r="KB5" s="402"/>
      <c r="KC5" s="402" t="s">
        <v>269</v>
      </c>
      <c r="KD5" s="402"/>
      <c r="KE5" s="402"/>
    </row>
    <row r="6" spans="1:293" x14ac:dyDescent="0.25">
      <c r="A6" s="448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403" t="s">
        <v>99</v>
      </c>
      <c r="FW6" s="417"/>
      <c r="FX6" s="404"/>
      <c r="FY6" s="403" t="s">
        <v>100</v>
      </c>
      <c r="FZ6" s="417"/>
      <c r="GA6" s="404"/>
      <c r="GB6" s="403" t="s">
        <v>101</v>
      </c>
      <c r="GC6" s="417"/>
      <c r="GD6" s="404"/>
      <c r="GE6" s="403" t="s">
        <v>102</v>
      </c>
      <c r="GF6" s="417"/>
      <c r="GG6" s="404"/>
      <c r="GH6" s="403" t="s">
        <v>103</v>
      </c>
      <c r="GI6" s="417"/>
      <c r="GJ6" s="404"/>
      <c r="GK6" s="403" t="s">
        <v>104</v>
      </c>
      <c r="GL6" s="417"/>
      <c r="GM6" s="404"/>
      <c r="GN6" s="33"/>
      <c r="GO6" s="33"/>
      <c r="GP6" s="33"/>
      <c r="GQ6" s="6"/>
      <c r="GR6" s="6"/>
      <c r="GS6" s="6"/>
      <c r="GT6" s="177"/>
      <c r="GU6" s="402" t="s">
        <v>105</v>
      </c>
      <c r="GV6" s="402"/>
      <c r="GW6" s="402"/>
      <c r="GX6" s="402"/>
      <c r="GY6" s="418"/>
      <c r="GZ6" s="406"/>
      <c r="HA6" s="406"/>
      <c r="HB6" s="406"/>
      <c r="HG6" s="402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7" t="s">
        <v>82</v>
      </c>
      <c r="IA6" s="207" t="s">
        <v>83</v>
      </c>
      <c r="IB6" s="207" t="s">
        <v>257</v>
      </c>
      <c r="IC6" s="207" t="s">
        <v>82</v>
      </c>
      <c r="ID6" s="207" t="s">
        <v>83</v>
      </c>
      <c r="IE6" s="207" t="s">
        <v>257</v>
      </c>
      <c r="IF6" s="207" t="s">
        <v>82</v>
      </c>
      <c r="IG6" s="207" t="s">
        <v>83</v>
      </c>
      <c r="IH6" s="207" t="s">
        <v>257</v>
      </c>
      <c r="II6" s="209"/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W6" s="207" t="s">
        <v>82</v>
      </c>
      <c r="JX6" s="207" t="s">
        <v>83</v>
      </c>
      <c r="JY6" s="207" t="s">
        <v>257</v>
      </c>
      <c r="JZ6" s="207" t="s">
        <v>82</v>
      </c>
      <c r="KA6" s="207" t="s">
        <v>83</v>
      </c>
      <c r="KB6" s="207" t="s">
        <v>257</v>
      </c>
      <c r="KC6" s="207" t="s">
        <v>82</v>
      </c>
      <c r="KD6" s="207" t="s">
        <v>83</v>
      </c>
      <c r="KE6" s="207" t="s">
        <v>257</v>
      </c>
      <c r="KG6" s="208" t="s">
        <v>78</v>
      </c>
    </row>
    <row r="7" spans="1:293" x14ac:dyDescent="0.25">
      <c r="A7" s="35">
        <v>1</v>
      </c>
      <c r="B7" s="38">
        <v>5085.05</v>
      </c>
      <c r="C7" s="38"/>
      <c r="D7" s="38"/>
      <c r="E7" s="38">
        <v>1021.34</v>
      </c>
      <c r="F7" s="38"/>
      <c r="G7" s="38"/>
      <c r="H7" s="37"/>
      <c r="I7" s="39"/>
      <c r="J7" s="42"/>
      <c r="K7" s="37"/>
      <c r="L7" s="40">
        <v>16162000</v>
      </c>
      <c r="M7" s="40"/>
      <c r="N7" s="37"/>
      <c r="O7" s="37">
        <v>12266</v>
      </c>
      <c r="P7" s="37"/>
      <c r="Q7" s="37"/>
      <c r="R7" s="37"/>
      <c r="S7" s="37">
        <v>11256658.01</v>
      </c>
      <c r="T7" s="37"/>
      <c r="U7" s="37">
        <v>1523790.61</v>
      </c>
      <c r="V7" s="37"/>
      <c r="W7" s="37">
        <v>4392.5</v>
      </c>
      <c r="X7" s="37"/>
      <c r="Y7" s="183"/>
      <c r="Z7" s="183"/>
      <c r="AA7" s="37">
        <v>792800</v>
      </c>
      <c r="AB7" s="37"/>
      <c r="AC7" s="37">
        <v>4574.1000000000004</v>
      </c>
      <c r="AD7" s="37"/>
      <c r="AE7" s="37"/>
      <c r="AF7" s="37"/>
      <c r="AG7" s="37">
        <v>9904.7000000000007</v>
      </c>
      <c r="AH7" s="37"/>
      <c r="AI7" s="37"/>
      <c r="AJ7" s="37"/>
      <c r="AK7" s="37"/>
      <c r="AL7" s="42">
        <v>11636.2</v>
      </c>
      <c r="AM7" s="42"/>
      <c r="AN7" s="37"/>
      <c r="AO7" s="37"/>
      <c r="AP7" s="37">
        <v>9091</v>
      </c>
      <c r="AQ7" s="37"/>
      <c r="AR7" s="37"/>
      <c r="AS7" s="37"/>
      <c r="AT7" s="183"/>
      <c r="AU7" s="183"/>
      <c r="AV7" s="183"/>
      <c r="AW7" s="183"/>
      <c r="AX7" s="37">
        <v>512880</v>
      </c>
      <c r="AY7" s="37"/>
      <c r="AZ7" s="37"/>
      <c r="BA7" s="37">
        <v>190980</v>
      </c>
      <c r="BB7" s="37"/>
      <c r="BC7" s="37"/>
      <c r="BD7" s="37"/>
      <c r="BE7" s="43">
        <v>2031.8</v>
      </c>
      <c r="BF7" s="43">
        <v>1133.9000000000001</v>
      </c>
      <c r="BG7" s="37"/>
      <c r="BH7" s="44">
        <v>9558.2999999999993</v>
      </c>
      <c r="BI7" s="44">
        <v>6164.4</v>
      </c>
      <c r="BJ7" s="37"/>
      <c r="BK7" s="40">
        <v>1850480</v>
      </c>
      <c r="BL7" s="40"/>
      <c r="BM7" s="40">
        <v>917.65</v>
      </c>
      <c r="BN7" s="37"/>
      <c r="BO7" s="186"/>
      <c r="BP7" s="183"/>
      <c r="BQ7" s="40">
        <v>864.7</v>
      </c>
      <c r="BR7" s="37"/>
      <c r="BS7" s="37">
        <v>112111.71</v>
      </c>
      <c r="BT7" s="37"/>
      <c r="BU7" s="42">
        <v>3277141</v>
      </c>
      <c r="BV7" s="42"/>
      <c r="BW7" s="37"/>
      <c r="BX7" s="37"/>
      <c r="BY7" s="43">
        <v>389.9649</v>
      </c>
      <c r="BZ7" s="43"/>
      <c r="CA7" s="37"/>
      <c r="CB7" s="37"/>
      <c r="CC7" s="37">
        <v>749889.1</v>
      </c>
      <c r="CD7" s="37"/>
      <c r="CE7" s="41">
        <v>1595257</v>
      </c>
      <c r="CF7" s="37"/>
      <c r="CG7" s="37">
        <v>72810.600000000006</v>
      </c>
      <c r="CH7" s="37"/>
      <c r="CI7" s="40">
        <v>13889.25</v>
      </c>
      <c r="CJ7" s="40"/>
      <c r="CK7" s="37"/>
      <c r="CL7" s="37"/>
      <c r="CM7" s="37">
        <v>3998.6579999999999</v>
      </c>
      <c r="CN7" s="37"/>
      <c r="CO7" s="37"/>
      <c r="CP7" s="37"/>
      <c r="CQ7" s="39">
        <v>586154.6</v>
      </c>
      <c r="CR7" s="39"/>
      <c r="CS7" s="37"/>
      <c r="CT7" s="37"/>
      <c r="CU7" s="37">
        <v>4312871</v>
      </c>
      <c r="CV7" s="41"/>
      <c r="CW7" s="38"/>
      <c r="CX7" s="37"/>
      <c r="CY7" s="37">
        <v>2300220</v>
      </c>
      <c r="CZ7" s="37"/>
      <c r="DA7" s="37"/>
      <c r="DB7" s="37"/>
      <c r="DC7" s="37"/>
      <c r="DD7" s="40"/>
      <c r="DE7" s="37">
        <v>0</v>
      </c>
      <c r="DF7" s="37">
        <v>0</v>
      </c>
      <c r="DG7" s="37">
        <v>-66203.899999999674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4160300</v>
      </c>
      <c r="DR7" s="49"/>
      <c r="DS7" s="50">
        <v>5059500</v>
      </c>
      <c r="DT7" s="49"/>
      <c r="DU7" s="51">
        <v>8280.7999999999993</v>
      </c>
      <c r="DV7" s="51">
        <v>4668.8999999999996</v>
      </c>
      <c r="DW7" s="37"/>
      <c r="DX7" s="52">
        <v>13674</v>
      </c>
      <c r="DY7" s="52">
        <v>8590.7999999999993</v>
      </c>
      <c r="DZ7" s="37"/>
      <c r="EA7" s="49">
        <v>31613</v>
      </c>
      <c r="EB7" s="49">
        <v>21.773</v>
      </c>
      <c r="EC7" s="37"/>
      <c r="ED7" s="53"/>
      <c r="EE7" s="49">
        <v>47318</v>
      </c>
      <c r="EF7" s="49">
        <v>31.053999999999998</v>
      </c>
      <c r="EG7" s="37"/>
      <c r="EH7" s="51">
        <v>13872</v>
      </c>
      <c r="EI7" s="51">
        <v>1.992</v>
      </c>
      <c r="EJ7" s="37"/>
      <c r="EK7" s="37">
        <v>843.67</v>
      </c>
      <c r="EL7" s="40">
        <v>1209.7</v>
      </c>
      <c r="EM7" s="37"/>
      <c r="EN7" s="54"/>
      <c r="EO7" s="48">
        <v>13505.23</v>
      </c>
      <c r="EP7" s="48"/>
      <c r="EQ7" s="37"/>
      <c r="ER7" s="48">
        <v>10429.629999999999</v>
      </c>
      <c r="ES7" s="55"/>
      <c r="ET7" s="49"/>
      <c r="EU7" s="48">
        <v>4216.5990000000002</v>
      </c>
      <c r="EV7" s="48"/>
      <c r="EW7" s="49"/>
      <c r="EX7" s="48">
        <v>14306.49</v>
      </c>
      <c r="EY7" s="48"/>
      <c r="EZ7" s="37"/>
      <c r="FA7" s="48"/>
      <c r="FB7" s="48">
        <v>38037905</v>
      </c>
      <c r="FC7" s="49"/>
      <c r="FD7" s="48"/>
      <c r="FE7" s="153">
        <v>17655.3</v>
      </c>
      <c r="FF7" s="154"/>
      <c r="FG7" s="37"/>
      <c r="FH7" s="48">
        <v>9936.4</v>
      </c>
      <c r="FI7" s="48"/>
      <c r="FJ7" s="49"/>
      <c r="FK7" s="48"/>
      <c r="FL7" s="58"/>
      <c r="FM7" s="48"/>
      <c r="FN7" s="48">
        <v>17452.900000000001</v>
      </c>
      <c r="FO7" s="48"/>
      <c r="FP7" s="37"/>
      <c r="FQ7" s="48">
        <v>61476.74</v>
      </c>
      <c r="FR7" s="48"/>
      <c r="FS7" s="37"/>
      <c r="FT7" s="48"/>
      <c r="FU7" s="48"/>
      <c r="FV7" s="44">
        <v>6158845</v>
      </c>
      <c r="FW7" s="44"/>
      <c r="FX7" s="37"/>
      <c r="FY7" s="56">
        <v>3855.989</v>
      </c>
      <c r="FZ7" s="56"/>
      <c r="GA7" s="37"/>
      <c r="GB7" s="56">
        <v>869.32039999999995</v>
      </c>
      <c r="GC7" s="56"/>
      <c r="GD7" s="37"/>
      <c r="GE7" s="56">
        <v>10730.59</v>
      </c>
      <c r="GF7" s="63"/>
      <c r="GG7" s="37"/>
      <c r="GH7" s="48">
        <v>4986.7</v>
      </c>
      <c r="GI7" s="56"/>
      <c r="GJ7" s="38"/>
      <c r="GK7" s="56">
        <v>1521.213</v>
      </c>
      <c r="GL7" s="44"/>
      <c r="GM7" s="38"/>
      <c r="GN7" s="57">
        <v>243998.3</v>
      </c>
      <c r="GO7" s="57"/>
      <c r="GP7" s="38"/>
      <c r="GQ7" s="38">
        <v>293723.40000000002</v>
      </c>
      <c r="GR7" s="38"/>
      <c r="GS7" s="38"/>
      <c r="GT7" s="178"/>
      <c r="GU7" s="144"/>
      <c r="GV7" s="59"/>
      <c r="GW7" s="60">
        <v>0</v>
      </c>
      <c r="GX7" s="61"/>
      <c r="GY7" s="140"/>
      <c r="GZ7" s="74"/>
      <c r="HA7" s="62"/>
      <c r="HB7" s="62"/>
      <c r="HC7" s="74"/>
      <c r="HD7" s="74"/>
      <c r="HE7" s="24"/>
      <c r="HG7" s="213">
        <v>1</v>
      </c>
      <c r="HH7" s="16">
        <v>19746</v>
      </c>
      <c r="HI7" s="16">
        <v>7555.4</v>
      </c>
      <c r="HJ7" s="16"/>
      <c r="HK7" s="16">
        <v>2.1432000000000002</v>
      </c>
      <c r="HL7" s="16">
        <v>807.23</v>
      </c>
      <c r="HM7" s="16">
        <v>0</v>
      </c>
      <c r="HN7" s="16">
        <v>5082.8</v>
      </c>
      <c r="HO7" s="16">
        <v>2203.3000000000002</v>
      </c>
      <c r="HP7" s="16"/>
      <c r="HQ7" s="16">
        <v>3804.1</v>
      </c>
      <c r="HR7" s="16">
        <v>1626.7</v>
      </c>
      <c r="HS7" s="16"/>
      <c r="HT7" s="16">
        <v>3578.3</v>
      </c>
      <c r="HU7" s="16">
        <v>1322</v>
      </c>
      <c r="HV7" s="16"/>
      <c r="HW7" s="16">
        <v>2408.1999999999998</v>
      </c>
      <c r="HX7" s="16">
        <v>1041.5999999999999</v>
      </c>
      <c r="HY7" s="16"/>
      <c r="HZ7" s="16">
        <v>1371200</v>
      </c>
      <c r="IA7" s="16">
        <v>625070</v>
      </c>
      <c r="IB7" s="16"/>
      <c r="IC7" s="16">
        <v>719.8</v>
      </c>
      <c r="ID7" s="16">
        <v>232.78</v>
      </c>
      <c r="IE7" s="16"/>
      <c r="IF7" s="16"/>
      <c r="IG7" s="16"/>
      <c r="IH7" s="128"/>
      <c r="II7" s="211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</row>
    <row r="8" spans="1:293" x14ac:dyDescent="0.25">
      <c r="A8" s="35">
        <f t="shared" ref="A8:A36" si="0">A7+1</f>
        <v>2</v>
      </c>
      <c r="B8" s="38">
        <v>5095.62</v>
      </c>
      <c r="C8" s="38">
        <f t="shared" ref="C8:C38" si="1">IF((B8-B7)&lt;=0,0,(B8-B7))</f>
        <v>10.569999999999709</v>
      </c>
      <c r="D8" s="38">
        <f t="shared" ref="D8:D38" si="2">IF((B8-B7)*32000&lt;=0,0,(B8-B7)*32000)</f>
        <v>338239.99999999069</v>
      </c>
      <c r="E8" s="38">
        <v>1023.45</v>
      </c>
      <c r="F8" s="38">
        <f t="shared" ref="F8:F38" si="3">IF((E8-E7)*32000&lt;=0,0,(E8-E7)*32000)</f>
        <v>67520.000000000437</v>
      </c>
      <c r="G8" s="38">
        <f t="shared" ref="G8:G38" si="4">D8+F8</f>
        <v>405759.99999999115</v>
      </c>
      <c r="H8" s="37"/>
      <c r="I8" s="39"/>
      <c r="J8" s="42"/>
      <c r="K8" s="37">
        <f>IF(J8&lt;=0,0,(J8/SQRT(J8^2+(I8-I7)^2)))</f>
        <v>0</v>
      </c>
      <c r="L8" s="40">
        <v>16202300</v>
      </c>
      <c r="M8" s="40"/>
      <c r="N8" s="37">
        <f>IF((L8-L7)&lt;=0,0,(L8-L7)*10)</f>
        <v>403000</v>
      </c>
      <c r="O8" s="37">
        <v>12272.6</v>
      </c>
      <c r="P8" s="37"/>
      <c r="Q8" s="37">
        <f t="shared" ref="Q8:Q21" si="5">IF((O8-O7)&lt;=0,0,(O8-O7))*1000</f>
        <v>6600.0000000003638</v>
      </c>
      <c r="R8" s="37">
        <f>IF(Q8&lt;=0,0,(Q8/SQRT(Q8^2+(P8-P7)^2)))</f>
        <v>1</v>
      </c>
      <c r="S8" s="37">
        <v>11256763.83</v>
      </c>
      <c r="T8" s="37">
        <f t="shared" ref="T8:T38" si="6">IF((S8-S7)&lt;=0,0,(S8-S7))</f>
        <v>105.82000000029802</v>
      </c>
      <c r="U8" s="37">
        <v>1523790.61</v>
      </c>
      <c r="V8" s="37">
        <f t="shared" ref="V8:V35" si="7">IF((U8-U7)&lt;=0,0,(U8-U7))</f>
        <v>0</v>
      </c>
      <c r="W8" s="37">
        <v>4395.5</v>
      </c>
      <c r="X8" s="37">
        <f>Q8-T8-V8-AB8</f>
        <v>6494.1800000000658</v>
      </c>
      <c r="Y8" s="183"/>
      <c r="Z8" s="183"/>
      <c r="AA8" s="37">
        <v>792800</v>
      </c>
      <c r="AB8" s="37">
        <f t="shared" ref="AB8:AB38" si="8">IF((AA8-AA7)&lt;=0,0,(AA8-AA7))</f>
        <v>0</v>
      </c>
      <c r="AC8" s="37">
        <v>4575.5</v>
      </c>
      <c r="AD8" s="37"/>
      <c r="AE8" s="37">
        <f t="shared" ref="AE8:AE21" si="9">IF((AC8-AC7)&lt;=0,0,(AC8-AC7))*1000</f>
        <v>1399.9999999996362</v>
      </c>
      <c r="AF8" s="37">
        <f>IF(AE8&lt;=0,0,(AE8/SQRT(AE8^2+(AD8-AD7)^2)))</f>
        <v>1</v>
      </c>
      <c r="AG8" s="37">
        <v>9907.2999999999993</v>
      </c>
      <c r="AH8" s="37"/>
      <c r="AI8" s="37">
        <f t="shared" ref="AI8:AI38" si="10">IF((AG8-AG7)&lt;=0,0,(AG8-AG7))*1000+GX8</f>
        <v>2453.009999998545</v>
      </c>
      <c r="AJ8" s="37">
        <f t="shared" ref="AJ8:AJ38" si="11">IF(AI8&lt;=0,0,(AI8/SQRT(AI8^2+(AH8-AH7)^2)))</f>
        <v>1</v>
      </c>
      <c r="AK8" s="37">
        <f t="shared" ref="AK8:AK38" si="12">T8+V8+X8+AE8+AI8</f>
        <v>10453.009999998545</v>
      </c>
      <c r="AL8" s="42">
        <v>11643.7</v>
      </c>
      <c r="AM8" s="42"/>
      <c r="AN8" s="37">
        <f>IF((AL8-AL7)&lt;=0,0,(AL8-AL7))*1000+GX8-BL8-BN8-BP8-BR8</f>
        <v>2033.0100000000139</v>
      </c>
      <c r="AO8" s="37">
        <f>IF(AN8&lt;=0,0,(AN8/SQRT(AN8^2+(AM8-AM7)^2)))</f>
        <v>1</v>
      </c>
      <c r="AP8" s="37">
        <v>9093.2999999999993</v>
      </c>
      <c r="AQ8" s="37"/>
      <c r="AR8" s="37">
        <f t="shared" ref="AR8:AR38" si="13">IF((AP8-AP7)&lt;=0,0,(AP8-AP7))*1000</f>
        <v>2299.9999999992724</v>
      </c>
      <c r="AS8" s="37">
        <f>IF(AR8&lt;=0,0,(AR8/SQRT(AR8^2+(AQ8-AQ7)^2)))</f>
        <v>1</v>
      </c>
      <c r="AT8" s="183"/>
      <c r="AU8" s="183"/>
      <c r="AV8" s="183"/>
      <c r="AW8" s="183"/>
      <c r="AX8" s="37">
        <v>512980</v>
      </c>
      <c r="AY8" s="37"/>
      <c r="AZ8" s="37">
        <f t="shared" ref="AZ8:AZ38" si="14">IF((AX8-AX7)&lt;=0,0,(AX8-AX7))</f>
        <v>100</v>
      </c>
      <c r="BA8" s="37">
        <v>191210</v>
      </c>
      <c r="BB8" s="37"/>
      <c r="BC8" s="37">
        <f t="shared" ref="BC8:BC38" si="15">IF((BA8-BA7)&lt;=0,0,(BA8-BA7))</f>
        <v>230</v>
      </c>
      <c r="BD8" s="37">
        <f>AN8+AR8+AZ8+BC8</f>
        <v>4663.0099999992863</v>
      </c>
      <c r="BE8" s="43">
        <v>2033.4</v>
      </c>
      <c r="BF8" s="43">
        <v>1135.0999999999999</v>
      </c>
      <c r="BG8" s="37">
        <f t="shared" ref="BG8:BG38" si="16">IF((BE8-BE7)&lt;=0,0,(BE8-BE7))*1000</f>
        <v>1600.0000000001364</v>
      </c>
      <c r="BH8" s="44">
        <v>9567.1</v>
      </c>
      <c r="BI8" s="44">
        <v>6170.4</v>
      </c>
      <c r="BJ8" s="37">
        <f t="shared" ref="BJ8:BJ38" si="17">IF((BH8-BH7)&lt;=0,0,(BH8-BH7))*1000</f>
        <v>8800.0000000010914</v>
      </c>
      <c r="BK8" s="40">
        <v>1854410</v>
      </c>
      <c r="BL8" s="40">
        <f>IF((BK8-BK7)&lt;=0,0,(BK8-BK7))</f>
        <v>3930</v>
      </c>
      <c r="BM8" s="40">
        <v>918.34</v>
      </c>
      <c r="BN8" s="37">
        <f t="shared" ref="BN8:BN38" si="18">IF((BM8-BM7)&lt;=0,0,BM8-BM7)*1000</f>
        <v>690.00000000005457</v>
      </c>
      <c r="BO8" s="186"/>
      <c r="BP8" s="183">
        <f t="shared" ref="BP8:BP38" si="19">IF((BO8-BO7)&lt;=0,0,(BO8-BO7))*1000</f>
        <v>0</v>
      </c>
      <c r="BQ8" s="40">
        <v>865.4</v>
      </c>
      <c r="BR8" s="37">
        <f>IF((BQ8-BQ7)&lt;=0,0,(BQ8-BQ7))*1000</f>
        <v>699.99999999993179</v>
      </c>
      <c r="BS8" s="37">
        <v>112320.57</v>
      </c>
      <c r="BT8" s="37">
        <f t="shared" ref="BT8:BT38" si="20">IF((BS8-BS7)&lt;=0,0,(BS8-BS7))</f>
        <v>208.86000000000058</v>
      </c>
      <c r="BU8" s="42">
        <v>3286011</v>
      </c>
      <c r="BV8" s="42"/>
      <c r="BW8" s="37">
        <f t="shared" ref="BW8:BW38" si="21">IF((BU8-BU7)&lt;=0,0,(BU8-BU7))</f>
        <v>8870</v>
      </c>
      <c r="BX8" s="37">
        <f>IF(BW8&lt;=0,0,(BW8/SQRT(BW8^2+(BV8-BV7)^2)))</f>
        <v>1</v>
      </c>
      <c r="BY8" s="43">
        <v>390.6902</v>
      </c>
      <c r="BZ8" s="43"/>
      <c r="CA8" s="37">
        <f t="shared" ref="CA8:CA16" si="22">IF((BY8-BY7)&lt;=0,0,(BY8-BY7)*1000)</f>
        <v>725.30000000000427</v>
      </c>
      <c r="CB8" s="37">
        <f>IF(CA8&lt;=0,0,(CA8/SQRT(CA8^2+(BZ8-BZ7)^2)))</f>
        <v>1</v>
      </c>
      <c r="CC8" s="37">
        <v>750754</v>
      </c>
      <c r="CD8" s="37">
        <f t="shared" ref="CD8:CD38" si="23">IF((CC8-CC7)&lt;=0,0,(CC8-CC7))</f>
        <v>864.90000000002328</v>
      </c>
      <c r="CE8" s="41">
        <v>1602986</v>
      </c>
      <c r="CF8" s="37">
        <f t="shared" ref="CF8:CF38" si="24">IF((CE8-CE7)&lt;=0,0,(CE8-CE7))</f>
        <v>7729</v>
      </c>
      <c r="CG8" s="37">
        <v>72810.600000000006</v>
      </c>
      <c r="CH8" s="37">
        <f>IF((CG8-CG7)&lt;=0,0,(CG8-CG7))</f>
        <v>0</v>
      </c>
      <c r="CI8" s="40">
        <v>13904.72</v>
      </c>
      <c r="CJ8" s="40"/>
      <c r="CK8" s="37">
        <f>IF((CI8-CI7)*1000&lt;=0,0,(CI8-CI7)*1000)+GX8-CA8</f>
        <v>14597.709999999341</v>
      </c>
      <c r="CL8" s="37">
        <f t="shared" ref="CL8:CL38" si="25">IF(CK8&lt;=0,0,(CK8/SQRT(CK8^2+(CJ8-CJ7)^2)))</f>
        <v>1</v>
      </c>
      <c r="CM8" s="37">
        <v>4004.0859999999998</v>
      </c>
      <c r="CN8" s="37"/>
      <c r="CO8" s="37">
        <f t="shared" ref="CO8:CO38" si="26">IF((CM8-CM7)&lt;=0,0,(CM8-CM7))*1000+GX8</f>
        <v>5281.0099999998838</v>
      </c>
      <c r="CP8" s="37">
        <f>IF(CO8&lt;=0,0,(CO8/SQRT(CO8^2+(CN8-CN7)^2)))</f>
        <v>1</v>
      </c>
      <c r="CQ8" s="39">
        <v>591495.6</v>
      </c>
      <c r="CR8" s="45"/>
      <c r="CS8" s="37">
        <f>IF((CQ8-CQ7)&lt;=0,0,(CQ8-CQ7))+GX8</f>
        <v>5194.01</v>
      </c>
      <c r="CT8" s="37">
        <f>IF(CS8&lt;=0,0,(CS8/SQRT(CS8^2+(CR8-CR7)^2)))</f>
        <v>1</v>
      </c>
      <c r="CU8" s="37">
        <v>4333176</v>
      </c>
      <c r="CV8" s="37"/>
      <c r="CW8" s="38">
        <f t="shared" ref="CW8:CW38" si="27">IF((CU8-CU7)&lt;=0,0,(CU8-CU7))</f>
        <v>20305</v>
      </c>
      <c r="CX8" s="37">
        <f>IF(CW8&lt;=0,0,(CW8/SQRT(CW8^2+(CV8-CV7)^2)))</f>
        <v>1</v>
      </c>
      <c r="CY8" s="37">
        <v>2311482</v>
      </c>
      <c r="CZ8" s="37"/>
      <c r="DA8" s="37">
        <f t="shared" ref="DA8:DA26" si="28">IF((CY8-CY7)&lt;=0,0,(CY8-CY7))</f>
        <v>11262</v>
      </c>
      <c r="DB8" s="37">
        <f>IF(DA8&lt;=0,0,(DA8/SQRT(DA8^2+(CZ8-CZ7)^2)))</f>
        <v>1</v>
      </c>
      <c r="DC8" s="37"/>
      <c r="DD8" s="40"/>
      <c r="DE8" s="37">
        <f t="shared" ref="DE8:DE33" si="29">IF((DC8-DC7)&lt;=0,0,(DC8-DC7))</f>
        <v>0</v>
      </c>
      <c r="DF8" s="37">
        <f>IF(DE8&lt;=0,0,(DE8/SQRT(DE8^2+(DD8-DD7)^2)))</f>
        <v>0</v>
      </c>
      <c r="DG8" s="37">
        <f t="shared" ref="DG8:DG38" si="30">(DE8)-DA8-CW8-CS8-CO8-CK8-BW8</f>
        <v>-65509.729999999225</v>
      </c>
      <c r="DH8" s="37">
        <f t="shared" ref="DH8:DH38" si="31">DE8+BG8+AK8+N8</f>
        <v>415053.00999999867</v>
      </c>
      <c r="DI8" s="46"/>
      <c r="DJ8" s="46"/>
      <c r="DK8" s="47"/>
      <c r="DL8" s="47"/>
      <c r="DM8" s="37"/>
      <c r="DN8" s="37"/>
      <c r="DO8" s="37"/>
      <c r="DP8" s="37"/>
      <c r="DQ8" s="50">
        <v>4169600</v>
      </c>
      <c r="DR8" s="49">
        <f>IF((DQ8-DQ7)&lt;=0,0,(DQ8-DQ7))</f>
        <v>9300</v>
      </c>
      <c r="DS8" s="50">
        <v>5079700</v>
      </c>
      <c r="DT8" s="49">
        <f>IF((DS8-DS7)&lt;=0,0,(DS8-DS7))</f>
        <v>20200</v>
      </c>
      <c r="DU8" s="52">
        <v>8285.5</v>
      </c>
      <c r="DV8" s="52">
        <v>4672.3999999999996</v>
      </c>
      <c r="DW8" s="37">
        <f>IF((DU8-DU7)*1000&lt;=0,0,(DU8-DU7)*1000)</f>
        <v>4700.0000000007276</v>
      </c>
      <c r="DX8" s="52">
        <v>13682</v>
      </c>
      <c r="DY8" s="52">
        <v>8594</v>
      </c>
      <c r="DZ8" s="37">
        <f t="shared" ref="DZ8:DZ38" si="32">IF((DX8-DX7)*1000&lt;=0,0,(DX8-DX7)*1000)+GX8</f>
        <v>7853.01</v>
      </c>
      <c r="EA8" s="49">
        <v>31636</v>
      </c>
      <c r="EB8" s="49">
        <v>21.783999999999999</v>
      </c>
      <c r="EC8" s="37">
        <f t="shared" ref="EC8:EC31" si="33">IF((EA8-EA7)*1000&lt;=0,0,(EA8-EA7)*1000)+GX8+$EE$40</f>
        <v>25013.01</v>
      </c>
      <c r="ED8" s="53">
        <f t="shared" ref="ED8:ED38" si="34">DW8+DZ8+EC8</f>
        <v>37566.020000000724</v>
      </c>
      <c r="EE8" s="49">
        <v>47346</v>
      </c>
      <c r="EF8" s="49">
        <v>31.076000000000001</v>
      </c>
      <c r="EG8" s="37">
        <f t="shared" ref="EG8:EG31" si="35">IF((EE8-EE7)*1000&lt;=0,0,(EE8-EE7)*1000)+GX8+$EE$40</f>
        <v>30013.01</v>
      </c>
      <c r="EH8" s="52">
        <v>13884</v>
      </c>
      <c r="EI8" s="52">
        <v>1.9955000000000001</v>
      </c>
      <c r="EJ8" s="37">
        <f t="shared" ref="EJ8:EJ38" si="36">IF((EH8-EH7)*1000&lt;=0,0,(EH8-EH7)*1000)+GX8</f>
        <v>11853.01</v>
      </c>
      <c r="EK8" s="37">
        <v>844.6</v>
      </c>
      <c r="EL8" s="40">
        <v>1210.9000000000001</v>
      </c>
      <c r="EM8" s="37">
        <f>IF((EK8-EK7)&lt;=0,0,(EK8-EK7))*1000</f>
        <v>930.00000000006366</v>
      </c>
      <c r="EN8" s="54">
        <f>EG8+EJ8+EM8</f>
        <v>42796.020000000062</v>
      </c>
      <c r="EO8" s="48">
        <v>13513.42</v>
      </c>
      <c r="EP8" s="48"/>
      <c r="EQ8" s="37">
        <f>IF((EO8-EO7)*1000&lt;=0,0,(EO8-EO7)*1000)+GX8-FU45+FV45</f>
        <v>7043.0100000005095</v>
      </c>
      <c r="ER8" s="48">
        <v>10446.84</v>
      </c>
      <c r="ES8" s="48"/>
      <c r="ET8" s="49">
        <f t="shared" ref="ET8:ET14" si="37">IF((ER8-ER7)&lt;=0,0,(ER8-ER7))*1000</f>
        <v>17210.000000000946</v>
      </c>
      <c r="EU8" s="48">
        <v>4226.8999999999996</v>
      </c>
      <c r="EV8" s="48"/>
      <c r="EW8" s="49">
        <f t="shared" ref="EW8:EW38" si="38">IF((EU8-EU7)&lt;=0,0,(EU8-EU7))*1000+GX8</f>
        <v>10154.009999999476</v>
      </c>
      <c r="EX8" s="48">
        <v>14317.35</v>
      </c>
      <c r="EY8" s="48"/>
      <c r="EZ8" s="37">
        <f t="shared" ref="EZ8:EZ38" si="39">IF((EX8-EX7)&lt;=0,0,(EX8-EX7))*1000+GX8</f>
        <v>10713.010000000582</v>
      </c>
      <c r="FA8" s="48">
        <f>FC8-EQ8-ET8-EW8-EZ8</f>
        <v>-21027.030000001516</v>
      </c>
      <c r="FB8" s="48">
        <v>38061998</v>
      </c>
      <c r="FC8" s="49">
        <f>IF((FB8-FB7)&lt;=0,0,(FB8-FB7))</f>
        <v>24093</v>
      </c>
      <c r="FD8" s="48">
        <f>EQ8+ET8+EW8+EZ8+GJ8</f>
        <v>46982.53000000152</v>
      </c>
      <c r="FE8" s="48">
        <v>17664</v>
      </c>
      <c r="FF8" s="48"/>
      <c r="FG8" s="37">
        <f>IF((FE8-FE7)*1000&lt;=0,0,(FE8-FE7)*1000)+FL8+GX8+FW45</f>
        <v>9569.6800000007279</v>
      </c>
      <c r="FH8" s="48">
        <v>9954.4</v>
      </c>
      <c r="FI8" s="48"/>
      <c r="FJ8" s="49">
        <f t="shared" ref="FJ8:FJ38" si="40">IF((FH8-FH7)&lt;=0,0,(FH8-FH7))*1000+FL8+GX8</f>
        <v>17869.679999999997</v>
      </c>
      <c r="FK8" s="48"/>
      <c r="FL8" s="58">
        <v>16.670000000000002</v>
      </c>
      <c r="FM8" s="48">
        <f>FT8/3</f>
        <v>146.98666666763771</v>
      </c>
      <c r="FN8" s="48">
        <v>17464.7</v>
      </c>
      <c r="FO8" s="48"/>
      <c r="FP8" s="37">
        <f>IF((FN8-FN7)*1000&lt;=0,0,(FN8-FN7)*1000)+FL8+GX8</f>
        <v>11669.679999999273</v>
      </c>
      <c r="FQ8" s="48">
        <v>61516.29</v>
      </c>
      <c r="FR8" s="48"/>
      <c r="FS8" s="37">
        <f t="shared" ref="FS8:FS34" si="41">IF((FQ8-FQ7)*1000&lt;=0,0,(FQ8-FQ7)*1000)</f>
        <v>39550.00000000291</v>
      </c>
      <c r="FT8" s="48">
        <f>FS8-FG8-FJ8-FP8</f>
        <v>440.96000000291315</v>
      </c>
      <c r="FU8" s="48">
        <f>FG8+FJ8+FP8+GM8</f>
        <v>39112.039999999921</v>
      </c>
      <c r="FV8" s="44">
        <v>6193022</v>
      </c>
      <c r="FW8" s="44"/>
      <c r="FX8" s="37">
        <f t="shared" ref="FX8:FX38" si="42">IF((FV8-FV7)*1000&lt;=0,0,(FV8-FV7))</f>
        <v>34177</v>
      </c>
      <c r="FY8" s="56">
        <v>3864.2429999999999</v>
      </c>
      <c r="FZ8" s="56"/>
      <c r="GA8" s="37">
        <f t="shared" ref="GA8:GA11" si="43">IF((FY8-FY7)*1000&lt;=0,0,((FY8-FY7)*1000)-GS8)</f>
        <v>7833.1999999999171</v>
      </c>
      <c r="GB8" s="56">
        <v>870.31039999999996</v>
      </c>
      <c r="GC8" s="56"/>
      <c r="GD8" s="37">
        <f t="shared" ref="GD8:GD38" si="44">IF((GB8-GB7)*1000&lt;=0,0,(GB8-GB7)*1000)</f>
        <v>990.00000000000909</v>
      </c>
      <c r="GE8" s="56">
        <v>10741.23</v>
      </c>
      <c r="GF8" s="63"/>
      <c r="GG8" s="37">
        <f t="shared" ref="GG8:GG38" si="45">IF((GE8-GE7)*1000&lt;=0,0,(GE8-GE7)*1000)-GJ8-GM8</f>
        <v>8774.4999999994889</v>
      </c>
      <c r="GH8" s="48">
        <v>6849.2</v>
      </c>
      <c r="GI8" s="56"/>
      <c r="GJ8" s="38">
        <f>IF((GH8-GH7)&lt;=0,0,(GH8-GH7))</f>
        <v>1862.5</v>
      </c>
      <c r="GK8" s="56">
        <v>1521.2159999999999</v>
      </c>
      <c r="GL8" s="44"/>
      <c r="GM8" s="38">
        <f t="shared" ref="GM8:GM38" si="46">IF((GK8-GK7)&lt;=0,0,(GK8-GK7))*1000</f>
        <v>2.9999999999290594</v>
      </c>
      <c r="GN8" s="57">
        <v>244001.3</v>
      </c>
      <c r="GO8" s="57"/>
      <c r="GP8" s="38">
        <f>IF((GN8-GN7)&lt;=0,0,(GN8-GN7)+1000)</f>
        <v>1003</v>
      </c>
      <c r="GQ8" s="38">
        <v>294144.2</v>
      </c>
      <c r="GR8" s="38"/>
      <c r="GS8" s="38">
        <f>IF((GQ8-GQ7)&lt;=0,0,(GQ8-GQ7))</f>
        <v>420.79999999998836</v>
      </c>
      <c r="GT8" s="178"/>
      <c r="GU8" s="144">
        <f>DailyAug!B7-DailyAug!N7-DailyAug!V7-DailyAug!Y7-DailyAug!Z7-DailyAug!AA7-DailyAug!AB7-DailyAug!AC7-DailyAug!AD7-DailyAug!AE7-DailyAug!AK7-DailyAug!AO7-DailyAug!AS7-DailyAug!AY7-DailyAug!BD7+DailyAug!BU7-DailyAug!BG7-DailyAug!BT7-DailyAug!AF7-DailyAug!AG7</f>
        <v>-6.0000008728820831E-2</v>
      </c>
      <c r="GV8" s="59">
        <v>-2204.91</v>
      </c>
      <c r="GW8" s="60">
        <f t="shared" ref="GW8:GW38" si="47">GV8/15</f>
        <v>-146.994</v>
      </c>
      <c r="GX8" s="61">
        <v>-146.99</v>
      </c>
      <c r="GY8" s="140"/>
      <c r="GZ8" s="62"/>
      <c r="HA8" s="62"/>
      <c r="HB8" s="62"/>
      <c r="HC8" s="62"/>
      <c r="HD8" s="74"/>
      <c r="HE8" s="24">
        <f t="shared" ref="HE8:HE35" si="48">HC8-HA8</f>
        <v>0</v>
      </c>
      <c r="HG8" s="213">
        <v>2</v>
      </c>
      <c r="HH8" s="16">
        <v>19917</v>
      </c>
      <c r="HI8" s="16">
        <v>7618.7</v>
      </c>
      <c r="HJ8" s="16">
        <f t="shared" ref="HJ8:HJ38" si="49">IF((HH8-HH7)&lt;=0,0,(HH8-HH7)*1000)</f>
        <v>171000</v>
      </c>
      <c r="HK8" s="16">
        <v>2.1432000000000002</v>
      </c>
      <c r="HL8" s="16">
        <v>807.23</v>
      </c>
      <c r="HM8" s="16">
        <f t="shared" ref="HM8:HM14" si="50">IF((HK8-HK7)&lt;=0,0,(HK8-HK7))</f>
        <v>0</v>
      </c>
      <c r="HN8" s="16">
        <v>5127.8</v>
      </c>
      <c r="HO8" s="16">
        <v>2221.1</v>
      </c>
      <c r="HP8" s="16">
        <f t="shared" ref="HP8:HP38" si="51">IF((HN8-HN7)&lt;=0,0,(HN8-HN7)*1000)+IL45</f>
        <v>45425</v>
      </c>
      <c r="HQ8" s="16">
        <v>3831.2</v>
      </c>
      <c r="HR8" s="16">
        <v>1637.2</v>
      </c>
      <c r="HS8" s="16">
        <f t="shared" ref="HS8:HS38" si="52">IF((HQ8-HQ7)&lt;=0,0,(HQ8-HQ7)*1000)+IL45</f>
        <v>27524.999999999909</v>
      </c>
      <c r="HT8" s="16">
        <v>3601.6</v>
      </c>
      <c r="HU8" s="16">
        <v>1330.1</v>
      </c>
      <c r="HV8" s="16">
        <f t="shared" ref="HV8:HV38" si="53">IF((HT8-HT7)&lt;=0,0,(HT8-HT7)*1000)+IL45</f>
        <v>23724.999999999727</v>
      </c>
      <c r="HW8" s="16">
        <v>2433</v>
      </c>
      <c r="HX8" s="16">
        <v>1051.7</v>
      </c>
      <c r="HY8" s="16">
        <f t="shared" ref="HY8:HY38" si="54">IF((HW8-HW7)&lt;=0,0,(HW8-HW7)*1000)+IL45</f>
        <v>25225.000000000182</v>
      </c>
      <c r="HZ8" s="16">
        <v>1400100</v>
      </c>
      <c r="IA8" s="16">
        <v>636890</v>
      </c>
      <c r="IB8" s="16">
        <f t="shared" ref="IB8:IB38" si="55">IF((HZ8-HZ7)&lt;=0,0,(HZ8-HZ7))</f>
        <v>28900</v>
      </c>
      <c r="IC8" s="16">
        <v>719.8</v>
      </c>
      <c r="ID8" s="16">
        <v>232.78</v>
      </c>
      <c r="IE8" s="16">
        <v>0</v>
      </c>
      <c r="IF8" s="16"/>
      <c r="IG8" s="16"/>
      <c r="IH8" s="128">
        <f t="shared" ref="IH8:IH38" si="56">DT8</f>
        <v>20200</v>
      </c>
      <c r="II8" s="211">
        <f t="shared" ref="II8:II28" si="57">HJ8+HM8-HS8-HV8-HY8-IH8-HP8-IB8-IE8</f>
        <v>1.7462298274040222E-10</v>
      </c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G8" s="151">
        <f t="shared" ref="KG8:KG38" si="58">HJ8+HM8-HS8-HV8-HY8-IH8</f>
        <v>74325.000000000175</v>
      </c>
    </row>
    <row r="9" spans="1:293" x14ac:dyDescent="0.25">
      <c r="A9" s="35">
        <f t="shared" si="0"/>
        <v>3</v>
      </c>
      <c r="B9" s="38">
        <v>5106.3100000000004</v>
      </c>
      <c r="C9" s="38">
        <f t="shared" si="1"/>
        <v>10.690000000000509</v>
      </c>
      <c r="D9" s="38">
        <f t="shared" si="2"/>
        <v>342080.0000000163</v>
      </c>
      <c r="E9" s="37">
        <v>1025.6199999999999</v>
      </c>
      <c r="F9" s="38">
        <f t="shared" si="3"/>
        <v>69439.999999995052</v>
      </c>
      <c r="G9" s="38">
        <f t="shared" si="4"/>
        <v>411520.00000001135</v>
      </c>
      <c r="H9" s="37"/>
      <c r="I9" s="39"/>
      <c r="J9" s="42"/>
      <c r="K9" s="37">
        <f>IF(J9&lt;=0,0,(J9/SQRT(J9^2+(I9-I8)^2)))</f>
        <v>0</v>
      </c>
      <c r="L9" s="40">
        <v>16243200</v>
      </c>
      <c r="M9" s="40"/>
      <c r="N9" s="37">
        <f>IF((L9-L8)&lt;=0,0,(L9-L8)*10)</f>
        <v>409000</v>
      </c>
      <c r="O9" s="37">
        <v>12290.2</v>
      </c>
      <c r="P9" s="37"/>
      <c r="Q9" s="37">
        <f t="shared" si="5"/>
        <v>17600.000000000364</v>
      </c>
      <c r="R9" s="37">
        <f>IF(Q9&lt;=0,0,(Q9/SQRT(Q9^2+(P9-P8)^2)))</f>
        <v>1</v>
      </c>
      <c r="S9" s="37">
        <v>11257089.279999999</v>
      </c>
      <c r="T9" s="37">
        <f t="shared" si="6"/>
        <v>325.44999999925494</v>
      </c>
      <c r="U9" s="37">
        <v>1523790.61</v>
      </c>
      <c r="V9" s="37">
        <f t="shared" si="7"/>
        <v>0</v>
      </c>
      <c r="W9" s="37">
        <v>4402.1000000000004</v>
      </c>
      <c r="X9" s="37">
        <f>Q9-T9-V9-AB9</f>
        <v>17174.550000001109</v>
      </c>
      <c r="Y9" s="183"/>
      <c r="Z9" s="183"/>
      <c r="AA9" s="37">
        <v>792900</v>
      </c>
      <c r="AB9" s="37">
        <f t="shared" si="8"/>
        <v>100</v>
      </c>
      <c r="AC9" s="37">
        <v>4580.1000000000004</v>
      </c>
      <c r="AD9" s="37"/>
      <c r="AE9" s="37">
        <f t="shared" si="9"/>
        <v>4600.0000000003638</v>
      </c>
      <c r="AF9" s="37">
        <f>IF(AE9&lt;=0,0,(AE9/SQRT(AE9^2+(AD9-AD8)^2)))</f>
        <v>1</v>
      </c>
      <c r="AG9" s="37">
        <v>9915.9</v>
      </c>
      <c r="AH9" s="37"/>
      <c r="AI9" s="37">
        <f t="shared" si="10"/>
        <v>9290.7300000003634</v>
      </c>
      <c r="AJ9" s="37">
        <f t="shared" si="11"/>
        <v>1</v>
      </c>
      <c r="AK9" s="37">
        <f t="shared" si="12"/>
        <v>31390.730000001091</v>
      </c>
      <c r="AL9" s="42">
        <v>11653.8</v>
      </c>
      <c r="AM9" s="42"/>
      <c r="AN9" s="37">
        <f t="shared" ref="AN9:AN38" si="59">IF((AL9-AL8)&lt;=0,0,(AL9-AL8))*1000+GX9-BL9-BN9-BP9-BR9</f>
        <v>5510.7299999986035</v>
      </c>
      <c r="AO9" s="37">
        <f>IF(AN9&lt;=0,0,(AN9/SQRT(AN9^2+(AM9-AM8)^2)))</f>
        <v>1</v>
      </c>
      <c r="AP9" s="37">
        <v>9101</v>
      </c>
      <c r="AQ9" s="37"/>
      <c r="AR9" s="37">
        <f t="shared" si="13"/>
        <v>7700.0000000007276</v>
      </c>
      <c r="AS9" s="37">
        <f>IF(AR9&lt;=0,0,(AR9/SQRT(AR9^2+(AQ9-AQ8)^2)))</f>
        <v>1</v>
      </c>
      <c r="AT9" s="183"/>
      <c r="AU9" s="183"/>
      <c r="AV9" s="183"/>
      <c r="AW9" s="183"/>
      <c r="AX9" s="37">
        <v>513330</v>
      </c>
      <c r="AY9" s="37"/>
      <c r="AZ9" s="37">
        <f t="shared" si="14"/>
        <v>350</v>
      </c>
      <c r="BA9" s="37">
        <v>191630</v>
      </c>
      <c r="BB9" s="37"/>
      <c r="BC9" s="37">
        <f t="shared" si="15"/>
        <v>420</v>
      </c>
      <c r="BD9" s="37">
        <f>AN9+AR9+AZ9+BC9</f>
        <v>13980.72999999933</v>
      </c>
      <c r="BE9" s="43">
        <v>2035</v>
      </c>
      <c r="BF9" s="43">
        <v>1136.2</v>
      </c>
      <c r="BG9" s="37">
        <f t="shared" si="16"/>
        <v>1599.9999999999091</v>
      </c>
      <c r="BH9" s="44">
        <v>9575.7999999999993</v>
      </c>
      <c r="BI9" s="44">
        <v>6176.3</v>
      </c>
      <c r="BJ9" s="37">
        <f t="shared" si="17"/>
        <v>8699.9999999989086</v>
      </c>
      <c r="BK9" s="40">
        <v>1858500</v>
      </c>
      <c r="BL9" s="40">
        <f>IF((BK9-BK8)&lt;=0,0,(BK9-BK8))</f>
        <v>4090</v>
      </c>
      <c r="BM9" s="40">
        <v>919.03</v>
      </c>
      <c r="BN9" s="37">
        <f t="shared" si="18"/>
        <v>689.99999999994088</v>
      </c>
      <c r="BO9" s="186"/>
      <c r="BP9" s="183">
        <f t="shared" si="19"/>
        <v>0</v>
      </c>
      <c r="BQ9" s="40">
        <v>865.9</v>
      </c>
      <c r="BR9" s="37">
        <f t="shared" ref="BR9:BR38" si="60">IF((BQ9-BQ8)&lt;=0,0,(BQ9-BQ8))*1000</f>
        <v>500</v>
      </c>
      <c r="BS9" s="37">
        <v>112522.57</v>
      </c>
      <c r="BT9" s="37">
        <f t="shared" si="20"/>
        <v>202</v>
      </c>
      <c r="BU9" s="42">
        <v>3292726</v>
      </c>
      <c r="BV9" s="42"/>
      <c r="BW9" s="37">
        <f t="shared" si="21"/>
        <v>6715</v>
      </c>
      <c r="BX9" s="37">
        <f>IF(BW9&lt;=0,0,(BW9/SQRT(BW9^2+(BV9-BV8)^2)))</f>
        <v>1</v>
      </c>
      <c r="BY9" s="43">
        <v>391.45760000000001</v>
      </c>
      <c r="BZ9" s="43"/>
      <c r="CA9" s="37">
        <f t="shared" si="22"/>
        <v>767.40000000000919</v>
      </c>
      <c r="CB9" s="37">
        <f t="shared" ref="CB9:CB38" si="61">IF(CA9&lt;=0,0,(CA9/SQRT(CA9^2+(BZ9-BZ8)^2)))</f>
        <v>1</v>
      </c>
      <c r="CC9" s="37">
        <v>750992.1</v>
      </c>
      <c r="CD9" s="37">
        <f t="shared" si="23"/>
        <v>238.09999999997672</v>
      </c>
      <c r="CE9" s="41">
        <v>1609027</v>
      </c>
      <c r="CF9" s="37">
        <f t="shared" si="24"/>
        <v>6041</v>
      </c>
      <c r="CG9" s="37">
        <v>72810.600000000006</v>
      </c>
      <c r="CH9" s="37">
        <f t="shared" ref="CH9:CH38" si="62">IF((CG9-CG8)&lt;=0,0,(CG9-CG8))</f>
        <v>0</v>
      </c>
      <c r="CI9" s="40">
        <v>13920.1</v>
      </c>
      <c r="CJ9" s="40"/>
      <c r="CK9" s="37">
        <f t="shared" ref="CK9:CK38" si="63">IF((CI9-CI8)*1000&lt;=0,0,(CI9-CI8)*1000)+GX9-CA9</f>
        <v>15303.330000001009</v>
      </c>
      <c r="CL9" s="37">
        <f t="shared" si="25"/>
        <v>1</v>
      </c>
      <c r="CM9" s="37">
        <v>4010.7840000000001</v>
      </c>
      <c r="CN9" s="37"/>
      <c r="CO9" s="37">
        <f t="shared" si="26"/>
        <v>7388.7300000003197</v>
      </c>
      <c r="CP9" s="37">
        <f>IF(CO9&lt;=0,0,(CO9/SQRT(CO9^2+(CN9-CN8)^2)))</f>
        <v>1</v>
      </c>
      <c r="CQ9" s="39">
        <v>597203.80000000005</v>
      </c>
      <c r="CR9" s="45"/>
      <c r="CS9" s="37">
        <f t="shared" ref="CS9:CS38" si="64">IF((CQ9-CQ8)&lt;=0,0,(CQ9-CQ8))+GX9</f>
        <v>6398.9300000000694</v>
      </c>
      <c r="CT9" s="37">
        <f t="shared" ref="CT9:CT38" si="65">IF(CS9&lt;=0,0,(CS9/SQRT(CS9^2+(CR9-CR8)^2)))</f>
        <v>1</v>
      </c>
      <c r="CU9" s="37">
        <v>4353506</v>
      </c>
      <c r="CV9" s="37"/>
      <c r="CW9" s="38">
        <f t="shared" si="27"/>
        <v>20330</v>
      </c>
      <c r="CX9" s="37">
        <f>IF(CW9&lt;=0,0,(CW9/SQRT(CW9^2+(CV9-CV8)^2)))</f>
        <v>1</v>
      </c>
      <c r="CY9" s="37">
        <v>2322563</v>
      </c>
      <c r="CZ9" s="37"/>
      <c r="DA9" s="37">
        <f t="shared" si="28"/>
        <v>11081</v>
      </c>
      <c r="DB9" s="37">
        <f>IF(DA9&lt;=0,0,(DA9/SQRT(DA9^2+(CZ9-CZ8)^2)))</f>
        <v>1</v>
      </c>
      <c r="DC9" s="37"/>
      <c r="DD9" s="40"/>
      <c r="DE9" s="37">
        <f t="shared" si="29"/>
        <v>0</v>
      </c>
      <c r="DF9" s="37">
        <f>IF(DE9&lt;=0,0,(DE9/SQRT(DE9^2+(DD9-DD8)^2)))</f>
        <v>0</v>
      </c>
      <c r="DG9" s="37">
        <f t="shared" si="30"/>
        <v>-67216.990000001388</v>
      </c>
      <c r="DH9" s="37">
        <f t="shared" si="31"/>
        <v>441990.73000000103</v>
      </c>
      <c r="DI9" s="46"/>
      <c r="DJ9" s="46"/>
      <c r="DK9" s="47"/>
      <c r="DL9" s="47"/>
      <c r="DM9" s="37"/>
      <c r="DN9" s="37"/>
      <c r="DO9" s="37"/>
      <c r="DP9" s="37"/>
      <c r="DQ9" s="50">
        <v>4178100</v>
      </c>
      <c r="DR9" s="49">
        <f t="shared" ref="DR9:DR38" si="66">IF((DQ9-DQ8)&lt;=0,0,(DQ9-DQ8))</f>
        <v>8500</v>
      </c>
      <c r="DS9" s="50">
        <v>5102500</v>
      </c>
      <c r="DT9" s="49">
        <f t="shared" ref="DT9:DT38" si="67">IF((DS9-DS8)&lt;=0,0,(DS9-DS8))</f>
        <v>22800</v>
      </c>
      <c r="DU9" s="52">
        <v>8290</v>
      </c>
      <c r="DV9" s="52">
        <v>4675.7</v>
      </c>
      <c r="DW9" s="37">
        <f>IF((DU9-DU8)*1000&lt;=0,0,(DU9-DU8)*1000)</f>
        <v>4500</v>
      </c>
      <c r="DX9" s="52">
        <v>13690</v>
      </c>
      <c r="DY9" s="52">
        <v>8597</v>
      </c>
      <c r="DZ9" s="37">
        <f t="shared" si="32"/>
        <v>8690.73</v>
      </c>
      <c r="EA9" s="49">
        <v>31659</v>
      </c>
      <c r="EB9" s="49">
        <v>21.795999999999999</v>
      </c>
      <c r="EC9" s="37">
        <f t="shared" si="33"/>
        <v>25850.73</v>
      </c>
      <c r="ED9" s="53">
        <f t="shared" si="34"/>
        <v>39041.46</v>
      </c>
      <c r="EE9" s="49">
        <v>47373</v>
      </c>
      <c r="EF9" s="49">
        <v>31.097000000000001</v>
      </c>
      <c r="EG9" s="37">
        <f t="shared" si="35"/>
        <v>29850.73</v>
      </c>
      <c r="EH9" s="52">
        <v>13895</v>
      </c>
      <c r="EI9" s="52">
        <v>1.9986999999999999</v>
      </c>
      <c r="EJ9" s="37">
        <f t="shared" si="36"/>
        <v>11690.73</v>
      </c>
      <c r="EK9" s="37">
        <v>845.27</v>
      </c>
      <c r="EL9" s="40">
        <v>1211.9000000000001</v>
      </c>
      <c r="EM9" s="37">
        <f t="shared" ref="EM9:EM38" si="68">IF((EK9-EK8)&lt;=0,0,(EK9-EK8))*1000</f>
        <v>669.99999999995907</v>
      </c>
      <c r="EN9" s="54">
        <f t="shared" ref="EN9:EN38" si="69">EG9+EJ9+EM9</f>
        <v>42211.459999999955</v>
      </c>
      <c r="EO9" s="48">
        <v>13521.04</v>
      </c>
      <c r="EP9" s="48"/>
      <c r="EQ9" s="37">
        <f t="shared" ref="EQ9:EQ38" si="70">IF((EO9-EO8)*1000&lt;=0,0,(EO9-EO8)*1000)+GX9-FU46+FV46</f>
        <v>7360.7300000008108</v>
      </c>
      <c r="ER9" s="48">
        <v>10463.07</v>
      </c>
      <c r="ES9" s="48"/>
      <c r="ET9" s="49">
        <f t="shared" si="37"/>
        <v>16229.999999999563</v>
      </c>
      <c r="EU9" s="48">
        <v>4236.5230000000001</v>
      </c>
      <c r="EV9" s="48"/>
      <c r="EW9" s="49">
        <f t="shared" si="38"/>
        <v>10313.730000000502</v>
      </c>
      <c r="EX9" s="48">
        <v>14327.66</v>
      </c>
      <c r="EY9" s="48"/>
      <c r="EZ9" s="37">
        <f t="shared" si="39"/>
        <v>11000.72999999949</v>
      </c>
      <c r="FA9" s="48">
        <f t="shared" ref="FA9:FA38" si="71">FC9-EQ9-ET9-EW9-EZ9</f>
        <v>-22743.190000000366</v>
      </c>
      <c r="FB9" s="48">
        <v>38084160</v>
      </c>
      <c r="FC9" s="49">
        <f>IF((FB9-FB8)&lt;=0,0,(FB9-FB8))</f>
        <v>22162</v>
      </c>
      <c r="FD9" s="48">
        <f t="shared" ref="FD9:FD38" si="72">EQ9+ET9+EW9+EZ9+GJ9</f>
        <v>46562.690000000366</v>
      </c>
      <c r="FE9" s="48">
        <v>17672.900000000001</v>
      </c>
      <c r="FF9" s="48"/>
      <c r="FG9" s="37">
        <f t="shared" ref="FG9:FG38" si="73">IF((FE9-FE8)*1000&lt;=0,0,(FE9-FE8)*1000)+FL9+GX9+FW46</f>
        <v>10307.400000001444</v>
      </c>
      <c r="FH9" s="48">
        <v>9970.7999999999993</v>
      </c>
      <c r="FI9" s="48"/>
      <c r="FJ9" s="49">
        <f t="shared" si="40"/>
        <v>16857.399999999638</v>
      </c>
      <c r="FK9" s="48"/>
      <c r="FL9" s="58">
        <v>-233.33</v>
      </c>
      <c r="FM9" s="48">
        <f>FT9/3</f>
        <v>-690.73333333393566</v>
      </c>
      <c r="FN9" s="48">
        <v>17475.900000000001</v>
      </c>
      <c r="FO9" s="48"/>
      <c r="FP9" s="37">
        <f t="shared" ref="FP9:FP37" si="74">IF((FN9-FN8)*1000&lt;=0,0,(FN9-FN8)*1000)+FL9+GX9</f>
        <v>11657.400000000727</v>
      </c>
      <c r="FQ9" s="48">
        <v>61553.04</v>
      </c>
      <c r="FR9" s="48"/>
      <c r="FS9" s="37">
        <f t="shared" si="41"/>
        <v>36750</v>
      </c>
      <c r="FT9" s="48">
        <f t="shared" ref="FT9:FT37" si="75">FS9-FG9-FJ9-FP9</f>
        <v>-2072.200000001807</v>
      </c>
      <c r="FU9" s="48">
        <f t="shared" ref="FU9:FU38" si="76">FG9+FJ9+FP9+GM9</f>
        <v>38825.200000001962</v>
      </c>
      <c r="FV9" s="44">
        <v>6224637</v>
      </c>
      <c r="FW9" s="44"/>
      <c r="FX9" s="37">
        <f t="shared" si="42"/>
        <v>31615</v>
      </c>
      <c r="FY9" s="56">
        <v>3871.4450000000002</v>
      </c>
      <c r="FZ9" s="56"/>
      <c r="GA9" s="37">
        <f t="shared" si="43"/>
        <v>6817.2000000002372</v>
      </c>
      <c r="GB9" s="56">
        <v>871.18830000000003</v>
      </c>
      <c r="GC9" s="56"/>
      <c r="GD9" s="37">
        <f t="shared" si="44"/>
        <v>877.90000000006785</v>
      </c>
      <c r="GE9" s="63">
        <v>10750.85</v>
      </c>
      <c r="GF9" s="56"/>
      <c r="GG9" s="37">
        <f t="shared" si="45"/>
        <v>7959.500000000643</v>
      </c>
      <c r="GH9" s="48">
        <v>8506.7000000000007</v>
      </c>
      <c r="GI9" s="56"/>
      <c r="GJ9" s="38">
        <f t="shared" ref="GJ9:GJ38" si="77">IF((GH9-GH8)&lt;=0,0,(GH9-GH8))</f>
        <v>1657.5000000000009</v>
      </c>
      <c r="GK9" s="56">
        <v>1521.2190000000001</v>
      </c>
      <c r="GL9" s="44"/>
      <c r="GM9" s="38">
        <f t="shared" si="46"/>
        <v>3.0000000001564331</v>
      </c>
      <c r="GN9" s="57">
        <v>244004.1</v>
      </c>
      <c r="GO9" s="57"/>
      <c r="GP9" s="38">
        <f>IF((GN9-GN8)&lt;=0,0,(GN9-GN8)+1000)</f>
        <v>1002.8000000000175</v>
      </c>
      <c r="GQ9" s="38">
        <v>294529</v>
      </c>
      <c r="GR9" s="38"/>
      <c r="GS9" s="38">
        <f t="shared" ref="GS9:GS38" si="78">IF((GQ9-GQ8)&lt;=0,0,(GQ9-GQ8))</f>
        <v>384.79999999998836</v>
      </c>
      <c r="GT9" s="178"/>
      <c r="GU9" s="144">
        <f>DailyAug!B8-DailyAug!N8-DailyAug!V8-DailyAug!Y8-DailyAug!Z8-DailyAug!AA8-DailyAug!AB8-DailyAug!AC8-DailyAug!AD8-DailyAug!AE8-DailyAug!AK8-DailyAug!AO8-DailyAug!AS8-DailyAug!AY8-DailyAug!BD8+DailyAug!BU8-DailyAug!BG8-DailyAug!BT8-DailyAug!AF8-DailyAug!AG8</f>
        <v>-5.9999992357916199E-2</v>
      </c>
      <c r="GV9" s="59">
        <v>10360.89</v>
      </c>
      <c r="GW9" s="60">
        <f t="shared" si="47"/>
        <v>690.726</v>
      </c>
      <c r="GX9" s="61">
        <v>690.73</v>
      </c>
      <c r="GY9" s="140"/>
      <c r="GZ9" s="62"/>
      <c r="HA9" s="62"/>
      <c r="HB9" s="74"/>
      <c r="HC9" s="62"/>
      <c r="HD9" s="74"/>
      <c r="HE9" s="24">
        <f t="shared" si="48"/>
        <v>0</v>
      </c>
      <c r="HG9" s="213">
        <v>3</v>
      </c>
      <c r="HH9" s="16">
        <v>20063</v>
      </c>
      <c r="HI9" s="16">
        <v>7671.8</v>
      </c>
      <c r="HJ9" s="16">
        <f t="shared" si="49"/>
        <v>146000</v>
      </c>
      <c r="HK9" s="16">
        <v>2.1432000000000002</v>
      </c>
      <c r="HL9" s="16">
        <v>807.23</v>
      </c>
      <c r="HM9" s="16">
        <f t="shared" si="50"/>
        <v>0</v>
      </c>
      <c r="HN9" s="16">
        <f>HN8+31.85+8.8</f>
        <v>5168.4500000000007</v>
      </c>
      <c r="HO9" s="16">
        <v>2237.5</v>
      </c>
      <c r="HP9" s="16">
        <f t="shared" si="51"/>
        <v>40687.500000000546</v>
      </c>
      <c r="HQ9" s="16">
        <v>3857.6</v>
      </c>
      <c r="HR9" s="16">
        <v>1647.5</v>
      </c>
      <c r="HS9" s="16">
        <f t="shared" si="52"/>
        <v>26437.500000000091</v>
      </c>
      <c r="HT9" s="16">
        <v>3625.7</v>
      </c>
      <c r="HU9" s="16">
        <v>1338.1</v>
      </c>
      <c r="HV9" s="16">
        <f t="shared" si="53"/>
        <v>24137.499999999909</v>
      </c>
      <c r="HW9" s="16">
        <v>2438</v>
      </c>
      <c r="HX9" s="16">
        <v>1053.9000000000001</v>
      </c>
      <c r="HY9" s="16">
        <f t="shared" si="54"/>
        <v>5037.5</v>
      </c>
      <c r="HZ9" s="16">
        <v>1427000</v>
      </c>
      <c r="IA9" s="16">
        <v>647910</v>
      </c>
      <c r="IB9" s="16">
        <f t="shared" si="55"/>
        <v>26900</v>
      </c>
      <c r="IC9" s="16">
        <v>719.8</v>
      </c>
      <c r="ID9" s="16">
        <v>232.78</v>
      </c>
      <c r="IE9" s="16">
        <f t="shared" ref="IE9:IE38" si="79">IF((IC9-IC8)&lt;=0,0,(IC9-IC8))</f>
        <v>0</v>
      </c>
      <c r="IF9" s="16"/>
      <c r="IG9" s="16"/>
      <c r="IH9" s="128">
        <f t="shared" si="56"/>
        <v>22800</v>
      </c>
      <c r="II9" s="211">
        <f t="shared" si="57"/>
        <v>-5.4569682106375694E-10</v>
      </c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G9" s="151">
        <f t="shared" si="58"/>
        <v>67587.5</v>
      </c>
    </row>
    <row r="10" spans="1:293" x14ac:dyDescent="0.25">
      <c r="A10" s="35">
        <f t="shared" si="0"/>
        <v>4</v>
      </c>
      <c r="B10" s="38">
        <v>5116.88</v>
      </c>
      <c r="C10" s="38">
        <f t="shared" si="1"/>
        <v>10.569999999999709</v>
      </c>
      <c r="D10" s="38">
        <f t="shared" si="2"/>
        <v>338239.99999999069</v>
      </c>
      <c r="E10" s="38">
        <v>1027.77</v>
      </c>
      <c r="F10" s="38">
        <f t="shared" si="3"/>
        <v>68800.00000000291</v>
      </c>
      <c r="G10" s="38">
        <f t="shared" si="4"/>
        <v>407039.9999999936</v>
      </c>
      <c r="H10" s="37"/>
      <c r="I10" s="39"/>
      <c r="J10" s="42"/>
      <c r="K10" s="37">
        <f t="shared" ref="K10:K34" si="80">IF(J10&lt;=0,0,(J10/SQRT(J10^2+(I10-I9)^2)))</f>
        <v>0</v>
      </c>
      <c r="L10" s="40">
        <v>16283200</v>
      </c>
      <c r="M10" s="40"/>
      <c r="N10" s="37">
        <f t="shared" ref="N10:N38" si="81">IF((L10-L9)&lt;=0,0,(L10-L9)*10)</f>
        <v>400000</v>
      </c>
      <c r="O10" s="37">
        <v>12307.8</v>
      </c>
      <c r="P10" s="37"/>
      <c r="Q10" s="37">
        <f t="shared" si="5"/>
        <v>17599.999999998545</v>
      </c>
      <c r="R10" s="37">
        <f t="shared" ref="R10:R34" si="82">IF(Q10&lt;=0,0,(Q10/SQRT(Q10^2+(P10-P9)^2)))</f>
        <v>1</v>
      </c>
      <c r="S10" s="37">
        <v>11257313.550000001</v>
      </c>
      <c r="T10" s="37">
        <f t="shared" si="6"/>
        <v>224.27000000141561</v>
      </c>
      <c r="U10" s="37">
        <v>1523790.61</v>
      </c>
      <c r="V10" s="37">
        <f t="shared" si="7"/>
        <v>0</v>
      </c>
      <c r="W10" s="37">
        <v>4408.6000000000004</v>
      </c>
      <c r="X10" s="37">
        <f>Q10-T10-V10-AB10</f>
        <v>17275.729999997129</v>
      </c>
      <c r="Y10" s="183"/>
      <c r="Z10" s="183"/>
      <c r="AA10" s="37">
        <v>793000</v>
      </c>
      <c r="AB10" s="37">
        <f t="shared" si="8"/>
        <v>100</v>
      </c>
      <c r="AC10" s="37">
        <v>4585.8999999999996</v>
      </c>
      <c r="AD10" s="37"/>
      <c r="AE10" s="37">
        <f t="shared" si="9"/>
        <v>5799.9999999992724</v>
      </c>
      <c r="AF10" s="37">
        <f t="shared" ref="AF10:AF34" si="83">IF(AE10&lt;=0,0,(AE10/SQRT(AE10^2+(AD10-AD9)^2)))</f>
        <v>1</v>
      </c>
      <c r="AG10" s="37">
        <v>9927.2999999999993</v>
      </c>
      <c r="AH10" s="37"/>
      <c r="AI10" s="37">
        <f t="shared" si="10"/>
        <v>11656.749999999636</v>
      </c>
      <c r="AJ10" s="37">
        <f t="shared" si="11"/>
        <v>1</v>
      </c>
      <c r="AK10" s="37">
        <f t="shared" si="12"/>
        <v>34956.749999997453</v>
      </c>
      <c r="AL10" s="2">
        <v>11663.9</v>
      </c>
      <c r="AM10" s="42"/>
      <c r="AN10" s="37">
        <f t="shared" si="59"/>
        <v>5376.7500000002547</v>
      </c>
      <c r="AO10" s="37">
        <f t="shared" ref="AO10:AO34" si="84">IF(AN10&lt;=0,0,(AN10/SQRT(AN10^2+(AM10-AM9)^2)))</f>
        <v>1</v>
      </c>
      <c r="AP10" s="37">
        <v>9108.6</v>
      </c>
      <c r="AQ10" s="37"/>
      <c r="AR10" s="37">
        <f t="shared" si="13"/>
        <v>7600.0000000003638</v>
      </c>
      <c r="AS10" s="37">
        <f t="shared" ref="AS10:AS34" si="85">IF(AR10&lt;=0,0,(AR10/SQRT(AR10^2+(AQ10-AQ9)^2)))</f>
        <v>1</v>
      </c>
      <c r="AT10" s="183"/>
      <c r="AU10" s="183"/>
      <c r="AV10" s="183"/>
      <c r="AW10" s="183"/>
      <c r="AX10" s="37">
        <v>513700</v>
      </c>
      <c r="AY10" s="37"/>
      <c r="AZ10" s="37">
        <f t="shared" si="14"/>
        <v>370</v>
      </c>
      <c r="BA10" s="37">
        <v>192080</v>
      </c>
      <c r="BB10" s="37"/>
      <c r="BC10" s="37">
        <f t="shared" si="15"/>
        <v>450</v>
      </c>
      <c r="BD10" s="37">
        <f t="shared" ref="BD10:BD34" si="86">AN10+AR10+AZ10+BC10</f>
        <v>13796.750000000618</v>
      </c>
      <c r="BE10" s="37">
        <v>2036.8</v>
      </c>
      <c r="BF10" s="37">
        <v>1137.4000000000001</v>
      </c>
      <c r="BG10" s="37">
        <f t="shared" si="16"/>
        <v>1799.9999999999545</v>
      </c>
      <c r="BH10" s="44">
        <v>9584.2000000000007</v>
      </c>
      <c r="BI10" s="44">
        <v>6182</v>
      </c>
      <c r="BJ10" s="37">
        <f t="shared" si="17"/>
        <v>8400.0000000014552</v>
      </c>
      <c r="BK10" s="40">
        <v>1862600</v>
      </c>
      <c r="BL10" s="40">
        <f t="shared" ref="BL10:BL38" si="87">IF((BK10-BK9)&lt;=0,0,(BK10-BK9))</f>
        <v>4100</v>
      </c>
      <c r="BM10" s="40">
        <v>919.71</v>
      </c>
      <c r="BN10" s="37">
        <f t="shared" si="18"/>
        <v>680.00000000006366</v>
      </c>
      <c r="BO10" s="186"/>
      <c r="BP10" s="183">
        <f t="shared" si="19"/>
        <v>0</v>
      </c>
      <c r="BQ10" s="40">
        <v>866.1</v>
      </c>
      <c r="BR10" s="37">
        <f t="shared" si="60"/>
        <v>200.00000000004547</v>
      </c>
      <c r="BS10" s="37">
        <v>112753.16</v>
      </c>
      <c r="BT10" s="37">
        <f t="shared" si="20"/>
        <v>230.58999999999651</v>
      </c>
      <c r="BU10" s="42">
        <v>3299117</v>
      </c>
      <c r="BV10" s="42"/>
      <c r="BW10" s="37">
        <f t="shared" si="21"/>
        <v>6391</v>
      </c>
      <c r="BX10" s="37">
        <f t="shared" ref="BX10:BX33" si="88">IF(BW10&lt;=0,0,(BW10/SQRT(BW10^2+(BV10-BV9)^2)))</f>
        <v>1</v>
      </c>
      <c r="BY10" s="43">
        <v>392.30709999999999</v>
      </c>
      <c r="BZ10" s="43"/>
      <c r="CA10" s="37">
        <f t="shared" si="22"/>
        <v>849.49999999997772</v>
      </c>
      <c r="CB10" s="37">
        <f t="shared" si="61"/>
        <v>1</v>
      </c>
      <c r="CC10" s="37">
        <v>750992.1</v>
      </c>
      <c r="CD10" s="37">
        <f t="shared" si="23"/>
        <v>0</v>
      </c>
      <c r="CE10" s="37">
        <v>1615270</v>
      </c>
      <c r="CF10" s="37">
        <f t="shared" si="24"/>
        <v>6243</v>
      </c>
      <c r="CG10" s="37">
        <v>72810.600000000006</v>
      </c>
      <c r="CH10" s="37">
        <f t="shared" si="62"/>
        <v>0</v>
      </c>
      <c r="CI10" s="40">
        <v>13935.85</v>
      </c>
      <c r="CJ10" s="40"/>
      <c r="CK10" s="37">
        <f t="shared" si="63"/>
        <v>15157.250000000022</v>
      </c>
      <c r="CL10" s="37">
        <f t="shared" si="25"/>
        <v>1</v>
      </c>
      <c r="CM10" s="37">
        <v>4018.3319999999999</v>
      </c>
      <c r="CN10" s="37"/>
      <c r="CO10" s="37">
        <f t="shared" si="26"/>
        <v>7804.7499999997744</v>
      </c>
      <c r="CP10" s="37">
        <f t="shared" ref="CP10:CP34" si="89">IF(CO10&lt;=0,0,(CO10/SQRT(CO10^2+(CN10-CN9)^2)))</f>
        <v>1</v>
      </c>
      <c r="CQ10" s="39">
        <v>602898.5</v>
      </c>
      <c r="CR10" s="45"/>
      <c r="CS10" s="37">
        <f t="shared" si="64"/>
        <v>5951.4499999999534</v>
      </c>
      <c r="CT10" s="37">
        <f t="shared" si="65"/>
        <v>1</v>
      </c>
      <c r="CU10" s="37">
        <v>4369673</v>
      </c>
      <c r="CV10" s="37"/>
      <c r="CW10" s="38">
        <f t="shared" si="27"/>
        <v>16167</v>
      </c>
      <c r="CX10" s="37">
        <f t="shared" ref="CX10:CX38" si="90">IF(CW10&lt;=0,0,(CW10/SQRT(CW10^2+(CV10-CV9)^2)))</f>
        <v>1</v>
      </c>
      <c r="CY10" s="37">
        <v>2331788</v>
      </c>
      <c r="CZ10" s="37"/>
      <c r="DA10" s="37">
        <f t="shared" si="28"/>
        <v>9225</v>
      </c>
      <c r="DB10" s="37">
        <f t="shared" ref="DB10:DB34" si="91">IF(DA10&lt;=0,0,(DA10/SQRT(DA10^2+(CZ10-CZ9)^2)))</f>
        <v>1</v>
      </c>
      <c r="DC10" s="37"/>
      <c r="DD10" s="40"/>
      <c r="DE10" s="37">
        <f t="shared" si="29"/>
        <v>0</v>
      </c>
      <c r="DF10" s="37">
        <f>IF(DE10&lt;=0,0,(DE10/SQRT(DE10^2+(DD10-DD9)^2)))</f>
        <v>0</v>
      </c>
      <c r="DG10" s="37">
        <f t="shared" si="30"/>
        <v>-60696.44999999975</v>
      </c>
      <c r="DH10" s="37">
        <f t="shared" si="31"/>
        <v>436756.74999999744</v>
      </c>
      <c r="DI10" s="46"/>
      <c r="DJ10" s="46"/>
      <c r="DK10" s="47"/>
      <c r="DL10" s="47"/>
      <c r="DM10" s="37"/>
      <c r="DN10" s="37"/>
      <c r="DO10" s="37"/>
      <c r="DP10" s="37"/>
      <c r="DQ10" s="50">
        <v>4186900</v>
      </c>
      <c r="DR10" s="49">
        <f t="shared" si="66"/>
        <v>8800</v>
      </c>
      <c r="DS10" s="50">
        <v>5123800</v>
      </c>
      <c r="DT10" s="49">
        <f t="shared" si="67"/>
        <v>21300</v>
      </c>
      <c r="DU10" s="52">
        <v>8293.4</v>
      </c>
      <c r="DV10" s="52">
        <v>4678.2</v>
      </c>
      <c r="DW10" s="37">
        <f t="shared" ref="DW10:DW38" si="92">IF((DU10-DU9)*1000&lt;=0,0,(DU10-DU9)*1000)</f>
        <v>3399.9999999996362</v>
      </c>
      <c r="DX10" s="52">
        <v>13696</v>
      </c>
      <c r="DY10" s="52">
        <v>8600</v>
      </c>
      <c r="DZ10" s="37">
        <f t="shared" si="32"/>
        <v>6256.75</v>
      </c>
      <c r="EA10" s="49">
        <v>31676</v>
      </c>
      <c r="EB10" s="49">
        <v>21.803999999999998</v>
      </c>
      <c r="EC10" s="37">
        <f t="shared" si="33"/>
        <v>19416.75</v>
      </c>
      <c r="ED10" s="53">
        <f t="shared" si="34"/>
        <v>29073.499999999636</v>
      </c>
      <c r="EE10" s="49">
        <v>47402</v>
      </c>
      <c r="EF10" s="49">
        <v>31.117999999999999</v>
      </c>
      <c r="EG10" s="37">
        <f t="shared" si="35"/>
        <v>31416.75</v>
      </c>
      <c r="EH10" s="52">
        <v>13906</v>
      </c>
      <c r="EI10" s="52">
        <v>2.0015000000000001</v>
      </c>
      <c r="EJ10" s="37">
        <f t="shared" si="36"/>
        <v>11256.75</v>
      </c>
      <c r="EK10" s="37">
        <v>846.04</v>
      </c>
      <c r="EL10" s="40">
        <v>1212.9000000000001</v>
      </c>
      <c r="EM10" s="37">
        <f t="shared" si="68"/>
        <v>769.99999999998181</v>
      </c>
      <c r="EN10" s="54">
        <f t="shared" si="69"/>
        <v>43443.499999999985</v>
      </c>
      <c r="EO10" s="48">
        <v>13528.8</v>
      </c>
      <c r="EP10" s="48"/>
      <c r="EQ10" s="37">
        <f t="shared" si="70"/>
        <v>7016.7499999983993</v>
      </c>
      <c r="ER10" s="48">
        <v>10480.09</v>
      </c>
      <c r="ES10" s="48"/>
      <c r="ET10" s="49">
        <f t="shared" si="37"/>
        <v>17020.000000000437</v>
      </c>
      <c r="EU10" s="48">
        <v>4246.5690000000004</v>
      </c>
      <c r="EV10" s="48"/>
      <c r="EW10" s="49">
        <f t="shared" si="38"/>
        <v>10302.750000000276</v>
      </c>
      <c r="EX10" s="48">
        <v>14338.33</v>
      </c>
      <c r="EY10" s="48"/>
      <c r="EZ10" s="37">
        <f t="shared" si="39"/>
        <v>10926.750000000073</v>
      </c>
      <c r="FA10" s="48">
        <f t="shared" si="71"/>
        <v>-22336.249999999185</v>
      </c>
      <c r="FB10" s="48">
        <v>38107090</v>
      </c>
      <c r="FC10" s="49">
        <f t="shared" ref="FC10:FC35" si="93">IF((FB10-FB9)&lt;=0,0,(FB10-FB9))</f>
        <v>22930</v>
      </c>
      <c r="FD10" s="48">
        <f t="shared" si="72"/>
        <v>47012.649999999187</v>
      </c>
      <c r="FE10" s="48">
        <v>17682.2</v>
      </c>
      <c r="FF10" s="48"/>
      <c r="FG10" s="37">
        <f t="shared" si="73"/>
        <v>10430.079999999272</v>
      </c>
      <c r="FH10" s="48">
        <v>9987.2999999999993</v>
      </c>
      <c r="FI10" s="48"/>
      <c r="FJ10" s="49">
        <f t="shared" si="40"/>
        <v>16630.080000000002</v>
      </c>
      <c r="FK10" s="48"/>
      <c r="FL10" s="58">
        <v>-126.67</v>
      </c>
      <c r="FM10" s="48">
        <f t="shared" ref="FM10:FM38" si="94">FT10/3</f>
        <v>-256.74666666579469</v>
      </c>
      <c r="FN10" s="55">
        <v>17487.8</v>
      </c>
      <c r="FO10" s="48"/>
      <c r="FP10" s="37">
        <f t="shared" si="74"/>
        <v>12030.079999997817</v>
      </c>
      <c r="FQ10" s="48">
        <v>61591.360000000001</v>
      </c>
      <c r="FR10" s="48"/>
      <c r="FS10" s="37">
        <f t="shared" si="41"/>
        <v>38319.999999999709</v>
      </c>
      <c r="FT10" s="48">
        <f t="shared" si="75"/>
        <v>-770.23999999738407</v>
      </c>
      <c r="FU10" s="48">
        <f t="shared" si="76"/>
        <v>39093.239999997022</v>
      </c>
      <c r="FV10" s="44">
        <v>6261391</v>
      </c>
      <c r="FW10" s="44"/>
      <c r="FX10" s="37">
        <f t="shared" si="42"/>
        <v>36754</v>
      </c>
      <c r="FY10" s="56">
        <v>3878.5929999999998</v>
      </c>
      <c r="FZ10" s="56"/>
      <c r="GA10" s="37">
        <f t="shared" si="43"/>
        <v>6746.6999999996951</v>
      </c>
      <c r="GB10" s="56">
        <v>872.22339999999997</v>
      </c>
      <c r="GC10" s="56"/>
      <c r="GD10" s="37">
        <f t="shared" si="44"/>
        <v>1035.0999999999431</v>
      </c>
      <c r="GE10" s="56">
        <v>10761.88</v>
      </c>
      <c r="GF10" s="56"/>
      <c r="GG10" s="37">
        <f t="shared" si="45"/>
        <v>9280.5999999989072</v>
      </c>
      <c r="GH10" s="153">
        <v>10253.1</v>
      </c>
      <c r="GI10" s="162"/>
      <c r="GJ10" s="38">
        <f t="shared" si="77"/>
        <v>1746.3999999999996</v>
      </c>
      <c r="GK10" s="162">
        <v>1521.222</v>
      </c>
      <c r="GL10" s="163"/>
      <c r="GM10" s="38">
        <f t="shared" si="46"/>
        <v>2.9999999999290594</v>
      </c>
      <c r="GN10" s="57">
        <v>244007.1</v>
      </c>
      <c r="GO10" s="57"/>
      <c r="GP10" s="38">
        <f>IF((GN10-GN9)&lt;=0,0,(GN10-GN9)+1000)</f>
        <v>1003</v>
      </c>
      <c r="GQ10" s="38">
        <v>294930.3</v>
      </c>
      <c r="GR10" s="38"/>
      <c r="GS10" s="38">
        <f t="shared" si="78"/>
        <v>401.29999999998836</v>
      </c>
      <c r="GT10" s="178"/>
      <c r="GU10" s="144">
        <f>DailyAug!B9-DailyAug!N9-DailyAug!V9-DailyAug!Y9-DailyAug!Z9-DailyAug!AA9-DailyAug!AB9-DailyAug!AC9-DailyAug!AD9-DailyAug!AE9-DailyAug!AK9-DailyAug!AO9-DailyAug!AS9-DailyAug!AY9-DailyAug!BD9+DailyAug!BU9-DailyAug!BG9-DailyAug!BT9-DailyAug!AF9-DailyAug!AG9</f>
        <v>5.9999999852152541E-2</v>
      </c>
      <c r="GV10" s="59">
        <v>3851.31</v>
      </c>
      <c r="GW10" s="60">
        <f t="shared" si="47"/>
        <v>256.75400000000002</v>
      </c>
      <c r="GX10" s="61">
        <v>256.75</v>
      </c>
      <c r="GY10" s="140"/>
      <c r="GZ10" s="62"/>
      <c r="HA10" s="62"/>
      <c r="HB10" s="74"/>
      <c r="HC10" s="62"/>
      <c r="HD10" s="74"/>
      <c r="HE10" s="24">
        <f t="shared" si="48"/>
        <v>0</v>
      </c>
      <c r="HG10" s="213">
        <v>4</v>
      </c>
      <c r="HH10" s="16">
        <v>20202</v>
      </c>
      <c r="HI10" s="16">
        <v>7722.4</v>
      </c>
      <c r="HJ10" s="16">
        <f t="shared" si="49"/>
        <v>139000</v>
      </c>
      <c r="HK10" s="16">
        <v>2.1432000000000002</v>
      </c>
      <c r="HL10" s="16">
        <v>807.23</v>
      </c>
      <c r="HM10" s="16">
        <f t="shared" si="50"/>
        <v>0</v>
      </c>
      <c r="HN10" s="16">
        <v>5206.8999999999996</v>
      </c>
      <c r="HO10" s="16">
        <v>2253</v>
      </c>
      <c r="HP10" s="16">
        <f t="shared" si="51"/>
        <v>38412.499999998909</v>
      </c>
      <c r="HQ10" s="16">
        <v>3883.3</v>
      </c>
      <c r="HR10" s="16">
        <v>1657.8</v>
      </c>
      <c r="HS10" s="16">
        <f t="shared" si="52"/>
        <v>25662.500000000273</v>
      </c>
      <c r="HT10" s="16">
        <v>3650.9</v>
      </c>
      <c r="HU10" s="16">
        <v>1346.7</v>
      </c>
      <c r="HV10" s="16">
        <f t="shared" si="53"/>
        <v>25162.500000000273</v>
      </c>
      <c r="HW10" s="16">
        <v>2439.6</v>
      </c>
      <c r="HX10" s="16">
        <v>1059.7</v>
      </c>
      <c r="HY10" s="16">
        <f t="shared" si="54"/>
        <v>1562.4999999999091</v>
      </c>
      <c r="HZ10" s="16">
        <v>1453900</v>
      </c>
      <c r="IA10" s="16">
        <v>658870</v>
      </c>
      <c r="IB10" s="16">
        <f t="shared" si="55"/>
        <v>26900</v>
      </c>
      <c r="IC10" s="16">
        <v>719.8</v>
      </c>
      <c r="ID10" s="16">
        <v>232.78</v>
      </c>
      <c r="IE10" s="16">
        <f t="shared" si="79"/>
        <v>0</v>
      </c>
      <c r="IF10" s="16"/>
      <c r="IG10" s="16"/>
      <c r="IH10" s="128">
        <f t="shared" si="56"/>
        <v>21300</v>
      </c>
      <c r="II10" s="211">
        <f t="shared" si="57"/>
        <v>6.2573235481977463E-10</v>
      </c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G10" s="151">
        <f t="shared" si="58"/>
        <v>65312.499999999534</v>
      </c>
    </row>
    <row r="11" spans="1:293" x14ac:dyDescent="0.25">
      <c r="A11" s="35">
        <f t="shared" si="0"/>
        <v>5</v>
      </c>
      <c r="B11" s="38">
        <v>5127.59</v>
      </c>
      <c r="C11" s="38">
        <f t="shared" si="1"/>
        <v>10.710000000000036</v>
      </c>
      <c r="D11" s="38">
        <f t="shared" si="2"/>
        <v>342720.00000000116</v>
      </c>
      <c r="E11" s="38">
        <v>1030.02</v>
      </c>
      <c r="F11" s="38">
        <f t="shared" si="3"/>
        <v>72000</v>
      </c>
      <c r="G11" s="38">
        <f t="shared" si="4"/>
        <v>414720.00000000116</v>
      </c>
      <c r="H11" s="37"/>
      <c r="I11" s="39"/>
      <c r="J11" s="42"/>
      <c r="K11" s="37">
        <f t="shared" si="80"/>
        <v>0</v>
      </c>
      <c r="L11" s="40">
        <v>16324800</v>
      </c>
      <c r="M11" s="40"/>
      <c r="N11" s="37">
        <f t="shared" si="81"/>
        <v>416000</v>
      </c>
      <c r="O11" s="37">
        <v>12326</v>
      </c>
      <c r="P11" s="37"/>
      <c r="Q11" s="37">
        <f t="shared" si="5"/>
        <v>18200.000000000728</v>
      </c>
      <c r="R11" s="37">
        <f t="shared" si="82"/>
        <v>1</v>
      </c>
      <c r="S11" s="37">
        <v>11257661.050000001</v>
      </c>
      <c r="T11" s="37">
        <f t="shared" si="6"/>
        <v>347.5</v>
      </c>
      <c r="U11" s="37">
        <v>1523790.61</v>
      </c>
      <c r="V11" s="37">
        <f t="shared" si="7"/>
        <v>0</v>
      </c>
      <c r="W11" s="37">
        <v>4415.3999999999996</v>
      </c>
      <c r="X11" s="37">
        <f t="shared" ref="X11:X38" si="95">Q11-T11-V11-AB11</f>
        <v>17752.500000000728</v>
      </c>
      <c r="Y11" s="183"/>
      <c r="Z11" s="183"/>
      <c r="AA11" s="37">
        <v>793100</v>
      </c>
      <c r="AB11" s="37">
        <f t="shared" si="8"/>
        <v>100</v>
      </c>
      <c r="AC11" s="37">
        <v>4592.2</v>
      </c>
      <c r="AD11" s="37"/>
      <c r="AE11" s="37">
        <f t="shared" si="9"/>
        <v>6300.0000000001819</v>
      </c>
      <c r="AF11" s="37">
        <f t="shared" si="83"/>
        <v>1</v>
      </c>
      <c r="AG11" s="37">
        <v>9941.5</v>
      </c>
      <c r="AH11" s="37"/>
      <c r="AI11" s="37">
        <f t="shared" si="10"/>
        <v>14232.230000000727</v>
      </c>
      <c r="AJ11" s="37">
        <f t="shared" si="11"/>
        <v>1</v>
      </c>
      <c r="AK11" s="37">
        <f t="shared" si="12"/>
        <v>38632.23000000164</v>
      </c>
      <c r="AL11" s="42">
        <v>11674.8</v>
      </c>
      <c r="AM11" s="2"/>
      <c r="AN11" s="37">
        <f t="shared" si="59"/>
        <v>5392.2299999997722</v>
      </c>
      <c r="AO11" s="37">
        <f t="shared" si="84"/>
        <v>1</v>
      </c>
      <c r="AP11" s="37">
        <v>9116.1</v>
      </c>
      <c r="AQ11" s="37"/>
      <c r="AR11" s="37">
        <f t="shared" si="13"/>
        <v>7500</v>
      </c>
      <c r="AS11" s="37">
        <f t="shared" si="85"/>
        <v>1</v>
      </c>
      <c r="AT11" s="183"/>
      <c r="AU11" s="183"/>
      <c r="AV11" s="183"/>
      <c r="AW11" s="183"/>
      <c r="AX11" s="37">
        <v>514070</v>
      </c>
      <c r="AY11" s="37"/>
      <c r="AZ11" s="37">
        <f t="shared" si="14"/>
        <v>370</v>
      </c>
      <c r="BA11" s="37">
        <v>192650</v>
      </c>
      <c r="BB11" s="37"/>
      <c r="BC11" s="37">
        <f t="shared" si="15"/>
        <v>570</v>
      </c>
      <c r="BD11" s="37">
        <f t="shared" si="86"/>
        <v>13832.229999999772</v>
      </c>
      <c r="BE11" s="43">
        <v>2038.6</v>
      </c>
      <c r="BF11" s="43">
        <v>1138.7</v>
      </c>
      <c r="BG11" s="37">
        <f t="shared" si="16"/>
        <v>1799.9999999999545</v>
      </c>
      <c r="BH11" s="44">
        <v>9593.1</v>
      </c>
      <c r="BI11" s="44">
        <v>6187.9</v>
      </c>
      <c r="BJ11" s="37">
        <f t="shared" si="17"/>
        <v>8899.9999999996362</v>
      </c>
      <c r="BK11" s="40">
        <v>1866740</v>
      </c>
      <c r="BL11" s="40">
        <f t="shared" si="87"/>
        <v>4140</v>
      </c>
      <c r="BM11" s="40">
        <v>920.41</v>
      </c>
      <c r="BN11" s="37">
        <f t="shared" si="18"/>
        <v>699.99999999993179</v>
      </c>
      <c r="BO11" s="186"/>
      <c r="BP11" s="183">
        <f t="shared" si="19"/>
        <v>0</v>
      </c>
      <c r="BQ11" s="40">
        <v>866.8</v>
      </c>
      <c r="BR11" s="37">
        <f t="shared" si="60"/>
        <v>699.99999999993179</v>
      </c>
      <c r="BS11" s="37">
        <v>112984.29</v>
      </c>
      <c r="BT11" s="37">
        <f t="shared" si="20"/>
        <v>231.1299999999901</v>
      </c>
      <c r="BU11" s="42">
        <v>3306878</v>
      </c>
      <c r="BV11" s="42"/>
      <c r="BW11" s="37">
        <f t="shared" si="21"/>
        <v>7761</v>
      </c>
      <c r="BX11" s="37">
        <f t="shared" si="88"/>
        <v>1</v>
      </c>
      <c r="BY11" s="43">
        <v>393.06540000000001</v>
      </c>
      <c r="BZ11" s="43"/>
      <c r="CA11" s="37">
        <f t="shared" si="22"/>
        <v>758.30000000001974</v>
      </c>
      <c r="CB11" s="37">
        <f t="shared" si="61"/>
        <v>1</v>
      </c>
      <c r="CC11" s="37">
        <v>752514.4</v>
      </c>
      <c r="CD11" s="37">
        <f t="shared" si="23"/>
        <v>1522.3000000000466</v>
      </c>
      <c r="CE11" s="37">
        <v>1621450</v>
      </c>
      <c r="CF11" s="37">
        <f t="shared" si="24"/>
        <v>6180</v>
      </c>
      <c r="CG11" s="37">
        <v>72810.600000000006</v>
      </c>
      <c r="CH11" s="37">
        <f t="shared" si="62"/>
        <v>0</v>
      </c>
      <c r="CI11" s="40">
        <v>13952.42</v>
      </c>
      <c r="CJ11" s="40"/>
      <c r="CK11" s="37">
        <f t="shared" si="63"/>
        <v>15843.929999999689</v>
      </c>
      <c r="CL11" s="37">
        <f t="shared" si="25"/>
        <v>1</v>
      </c>
      <c r="CM11" s="37">
        <v>4025.9940000000001</v>
      </c>
      <c r="CN11" s="37"/>
      <c r="CO11" s="37">
        <f t="shared" si="26"/>
        <v>7694.2300000002615</v>
      </c>
      <c r="CP11" s="37">
        <f>IF(CO11&lt;=0,0,(CO11/SQRT(CO11^2+(CN11-CN10)^2)))</f>
        <v>1</v>
      </c>
      <c r="CQ11" s="39">
        <v>608678.80000000005</v>
      </c>
      <c r="CR11" s="45"/>
      <c r="CS11" s="37">
        <f t="shared" si="64"/>
        <v>5812.5300000000461</v>
      </c>
      <c r="CT11" s="37">
        <f t="shared" si="65"/>
        <v>1</v>
      </c>
      <c r="CU11" s="37">
        <v>4380586</v>
      </c>
      <c r="CV11" s="37"/>
      <c r="CW11" s="38">
        <f t="shared" si="27"/>
        <v>10913</v>
      </c>
      <c r="CX11" s="37">
        <f t="shared" si="90"/>
        <v>1</v>
      </c>
      <c r="CY11" s="37">
        <v>2337629</v>
      </c>
      <c r="CZ11" s="37"/>
      <c r="DA11" s="37">
        <f t="shared" si="28"/>
        <v>5841</v>
      </c>
      <c r="DB11" s="37">
        <f t="shared" si="91"/>
        <v>1</v>
      </c>
      <c r="DC11" s="37"/>
      <c r="DD11" s="40"/>
      <c r="DE11" s="37">
        <f t="shared" si="29"/>
        <v>0</v>
      </c>
      <c r="DF11" s="37">
        <f t="shared" ref="DF11:DF33" si="96">IF(DE11&lt;=0,0,(DE11/SQRT(DE11^2+(DD11-DD10)^2)))</f>
        <v>0</v>
      </c>
      <c r="DG11" s="37">
        <f t="shared" si="30"/>
        <v>-53865.689999999995</v>
      </c>
      <c r="DH11" s="37">
        <f t="shared" si="31"/>
        <v>456432.23000000161</v>
      </c>
      <c r="DI11" s="46"/>
      <c r="DJ11" s="46"/>
      <c r="DK11" s="47"/>
      <c r="DL11" s="47"/>
      <c r="DM11" s="37"/>
      <c r="DN11" s="37"/>
      <c r="DO11" s="37"/>
      <c r="DP11" s="37"/>
      <c r="DQ11" s="50">
        <v>4196400</v>
      </c>
      <c r="DR11" s="49">
        <f t="shared" si="66"/>
        <v>9500</v>
      </c>
      <c r="DS11" s="50">
        <v>5149100</v>
      </c>
      <c r="DT11" s="49">
        <f t="shared" si="67"/>
        <v>25300</v>
      </c>
      <c r="DU11" s="52">
        <v>8297.7999999999993</v>
      </c>
      <c r="DV11" s="52">
        <v>4681.6000000000004</v>
      </c>
      <c r="DW11" s="37">
        <f t="shared" si="92"/>
        <v>4399.9999999996362</v>
      </c>
      <c r="DX11" s="52">
        <v>13704</v>
      </c>
      <c r="DY11" s="52">
        <v>8603.2000000000007</v>
      </c>
      <c r="DZ11" s="37">
        <f t="shared" si="32"/>
        <v>8032.23</v>
      </c>
      <c r="EA11" s="49">
        <v>31698</v>
      </c>
      <c r="EB11" s="49">
        <v>21.815000000000001</v>
      </c>
      <c r="EC11" s="37">
        <f t="shared" si="33"/>
        <v>24192.23</v>
      </c>
      <c r="ED11" s="53">
        <f t="shared" si="34"/>
        <v>36624.459999999635</v>
      </c>
      <c r="EE11" s="49">
        <v>47431</v>
      </c>
      <c r="EF11" s="49">
        <v>31.14</v>
      </c>
      <c r="EG11" s="37">
        <f t="shared" si="35"/>
        <v>31192.23</v>
      </c>
      <c r="EH11" s="52">
        <v>13918</v>
      </c>
      <c r="EI11" s="52">
        <v>2.0047999999999999</v>
      </c>
      <c r="EJ11" s="37">
        <f t="shared" si="36"/>
        <v>12032.23</v>
      </c>
      <c r="EK11" s="37">
        <v>846.73</v>
      </c>
      <c r="EL11" s="64">
        <v>1213.9000000000001</v>
      </c>
      <c r="EM11" s="37">
        <f t="shared" si="68"/>
        <v>690.00000000005457</v>
      </c>
      <c r="EN11" s="54">
        <f t="shared" si="69"/>
        <v>43914.46000000005</v>
      </c>
      <c r="EO11" s="48">
        <v>13536.3</v>
      </c>
      <c r="EP11" s="48"/>
      <c r="EQ11" s="37">
        <f t="shared" si="70"/>
        <v>6582.2300000000105</v>
      </c>
      <c r="ER11" s="48">
        <v>10496.96</v>
      </c>
      <c r="ES11" s="48"/>
      <c r="ET11" s="49">
        <f t="shared" si="37"/>
        <v>16869.999999998981</v>
      </c>
      <c r="EU11" s="48">
        <v>4256.4949999999999</v>
      </c>
      <c r="EV11" s="48"/>
      <c r="EW11" s="49">
        <f t="shared" si="38"/>
        <v>9958.2299999994757</v>
      </c>
      <c r="EX11" s="48">
        <v>14348.84</v>
      </c>
      <c r="EY11" s="48"/>
      <c r="EZ11" s="37">
        <f t="shared" si="39"/>
        <v>10542.230000000218</v>
      </c>
      <c r="FA11" s="48">
        <f t="shared" si="71"/>
        <v>-20971.689999998685</v>
      </c>
      <c r="FB11" s="48">
        <v>38130071</v>
      </c>
      <c r="FC11" s="49">
        <f t="shared" si="93"/>
        <v>22981</v>
      </c>
      <c r="FD11" s="48">
        <f t="shared" si="72"/>
        <v>45695.58999999868</v>
      </c>
      <c r="FE11" s="48">
        <v>17691.5</v>
      </c>
      <c r="FF11" s="48"/>
      <c r="FG11" s="37">
        <f t="shared" si="73"/>
        <v>10205.559999999261</v>
      </c>
      <c r="FH11" s="48">
        <v>10003.5</v>
      </c>
      <c r="FI11" s="48"/>
      <c r="FJ11" s="49">
        <f t="shared" si="40"/>
        <v>16155.560000000727</v>
      </c>
      <c r="FK11" s="48"/>
      <c r="FL11" s="58">
        <v>-76.67</v>
      </c>
      <c r="FM11" s="48">
        <f t="shared" si="94"/>
        <v>-32.226666667487734</v>
      </c>
      <c r="FN11" s="48">
        <v>17499.599999999999</v>
      </c>
      <c r="FO11" s="48"/>
      <c r="FP11" s="37">
        <f t="shared" si="74"/>
        <v>11755.559999999272</v>
      </c>
      <c r="FQ11" s="48">
        <v>61629.38</v>
      </c>
      <c r="FR11" s="48"/>
      <c r="FS11" s="37">
        <f t="shared" si="41"/>
        <v>38019.999999996799</v>
      </c>
      <c r="FT11" s="48">
        <f t="shared" si="75"/>
        <v>-96.680000002463203</v>
      </c>
      <c r="FU11" s="48">
        <f>FG11+FJ11+FP11+GM11</f>
        <v>38119.679999999185</v>
      </c>
      <c r="FV11" s="44">
        <v>6291280</v>
      </c>
      <c r="FW11" s="44"/>
      <c r="FX11" s="37">
        <f t="shared" si="42"/>
        <v>29889</v>
      </c>
      <c r="FY11" s="56">
        <f>FY10+7.11</f>
        <v>3885.703</v>
      </c>
      <c r="FZ11" s="56"/>
      <c r="GA11" s="37">
        <f t="shared" si="43"/>
        <v>6736.9000000000924</v>
      </c>
      <c r="GB11" s="56">
        <v>873.05629999999996</v>
      </c>
      <c r="GC11" s="56"/>
      <c r="GD11" s="37">
        <f t="shared" si="44"/>
        <v>832.89999999999509</v>
      </c>
      <c r="GE11" s="56">
        <v>10771.12</v>
      </c>
      <c r="GF11" s="63"/>
      <c r="GG11" s="37">
        <f t="shared" si="45"/>
        <v>7494.100000001672</v>
      </c>
      <c r="GH11" s="153">
        <v>11996</v>
      </c>
      <c r="GI11" s="162"/>
      <c r="GJ11" s="38">
        <f t="shared" si="77"/>
        <v>1742.8999999999996</v>
      </c>
      <c r="GK11" s="162">
        <v>1521.2249999999999</v>
      </c>
      <c r="GL11" s="163"/>
      <c r="GM11" s="38">
        <f t="shared" si="46"/>
        <v>2.9999999999290594</v>
      </c>
      <c r="GN11" s="57">
        <v>244010</v>
      </c>
      <c r="GO11" s="57"/>
      <c r="GP11" s="38">
        <f>IF((GN11-GN10)&lt;=0,0,(GN11-GN10)+1000)</f>
        <v>1002.8999999999942</v>
      </c>
      <c r="GQ11" s="38">
        <v>295303.40000000002</v>
      </c>
      <c r="GR11" s="38"/>
      <c r="GS11" s="38">
        <f t="shared" si="78"/>
        <v>373.10000000003492</v>
      </c>
      <c r="GT11" s="178"/>
      <c r="GU11" s="144">
        <f>DailyAug!B10-DailyAug!N10-DailyAug!V10-DailyAug!Y10-DailyAug!Z10-DailyAug!AA10-DailyAug!AB10-DailyAug!AC10-DailyAug!AD10-DailyAug!AE10-DailyAug!AK10-DailyAug!AO10-DailyAug!AS10-DailyAug!AY10-DailyAug!BD10+DailyAug!BU10-DailyAug!BG10-DailyAug!BT10-DailyAug!AF10-DailyAug!AG10</f>
        <v>6.0000000812578946E-2</v>
      </c>
      <c r="GV11" s="59">
        <v>483.51</v>
      </c>
      <c r="GW11" s="60">
        <f t="shared" si="47"/>
        <v>32.234000000000002</v>
      </c>
      <c r="GX11" s="61">
        <v>32.229999999999997</v>
      </c>
      <c r="GY11" s="140"/>
      <c r="GZ11" s="62"/>
      <c r="HA11" s="62"/>
      <c r="HB11" s="74"/>
      <c r="HC11" s="62"/>
      <c r="HD11" s="74"/>
      <c r="HE11" s="24">
        <f t="shared" si="48"/>
        <v>0</v>
      </c>
      <c r="HG11" s="213">
        <v>5</v>
      </c>
      <c r="HH11" s="16">
        <v>20362</v>
      </c>
      <c r="HI11" s="16">
        <v>7781.4</v>
      </c>
      <c r="HJ11" s="16">
        <f t="shared" si="49"/>
        <v>160000</v>
      </c>
      <c r="HK11" s="16">
        <v>2.1432000000000002</v>
      </c>
      <c r="HL11" s="16">
        <v>807.23</v>
      </c>
      <c r="HM11" s="16">
        <f t="shared" si="50"/>
        <v>0</v>
      </c>
      <c r="HN11" s="16">
        <v>5248.1</v>
      </c>
      <c r="HO11" s="16">
        <v>2269.8000000000002</v>
      </c>
      <c r="HP11" s="16">
        <f t="shared" si="51"/>
        <v>40950.000000000728</v>
      </c>
      <c r="HQ11" s="16">
        <v>3910</v>
      </c>
      <c r="HR11" s="16">
        <v>1668.2</v>
      </c>
      <c r="HS11" s="16">
        <f t="shared" si="52"/>
        <v>26449.999999999818</v>
      </c>
      <c r="HT11" s="16">
        <v>3676.3</v>
      </c>
      <c r="HU11" s="16">
        <v>1355.2</v>
      </c>
      <c r="HV11" s="16">
        <f t="shared" si="53"/>
        <v>25150.000000000091</v>
      </c>
      <c r="HW11" s="16">
        <v>2453.1999999999998</v>
      </c>
      <c r="HX11" s="16">
        <v>1060.8</v>
      </c>
      <c r="HY11" s="16">
        <f t="shared" si="54"/>
        <v>13349.999999999909</v>
      </c>
      <c r="HZ11" s="16">
        <v>1482700</v>
      </c>
      <c r="IA11" s="16">
        <v>670700</v>
      </c>
      <c r="IB11" s="16">
        <f t="shared" si="55"/>
        <v>28800</v>
      </c>
      <c r="IC11" s="16">
        <v>719.8</v>
      </c>
      <c r="ID11" s="16">
        <v>232.78</v>
      </c>
      <c r="IE11" s="16">
        <f t="shared" si="79"/>
        <v>0</v>
      </c>
      <c r="IF11" s="16"/>
      <c r="IG11" s="16"/>
      <c r="IH11" s="128">
        <f t="shared" si="56"/>
        <v>25300</v>
      </c>
      <c r="II11" s="211">
        <f t="shared" si="57"/>
        <v>-5.5297277867794037E-10</v>
      </c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G11" s="151">
        <f t="shared" si="58"/>
        <v>69750.000000000175</v>
      </c>
    </row>
    <row r="12" spans="1:293" x14ac:dyDescent="0.25">
      <c r="A12" s="35">
        <f t="shared" si="0"/>
        <v>6</v>
      </c>
      <c r="B12" s="38">
        <v>5137.7299999999996</v>
      </c>
      <c r="C12" s="38">
        <f t="shared" si="1"/>
        <v>10.139999999999418</v>
      </c>
      <c r="D12" s="38">
        <f t="shared" si="2"/>
        <v>324479.99999998137</v>
      </c>
      <c r="E12" s="38">
        <v>1031.99</v>
      </c>
      <c r="F12" s="38">
        <f t="shared" si="3"/>
        <v>63040.000000000873</v>
      </c>
      <c r="G12" s="38">
        <f t="shared" si="4"/>
        <v>387519.99999998225</v>
      </c>
      <c r="H12" s="37"/>
      <c r="I12" s="39"/>
      <c r="J12" s="42"/>
      <c r="K12" s="37">
        <f>IF(J12&lt;=0,0,(J12/SQRT(J12^2+(I12-I11)^2)))</f>
        <v>0</v>
      </c>
      <c r="L12" s="40">
        <v>16363800</v>
      </c>
      <c r="M12" s="40"/>
      <c r="N12" s="37">
        <f t="shared" si="81"/>
        <v>390000</v>
      </c>
      <c r="O12" s="37">
        <v>12344.6</v>
      </c>
      <c r="P12" s="37"/>
      <c r="Q12" s="37">
        <f t="shared" si="5"/>
        <v>18600.000000000364</v>
      </c>
      <c r="R12" s="37">
        <f>IF(Q12&lt;=0,0,(Q12/SQRT(Q12^2+(P12-P11)^2)))</f>
        <v>1</v>
      </c>
      <c r="S12" s="37">
        <v>11258011.57</v>
      </c>
      <c r="T12" s="37">
        <f t="shared" si="6"/>
        <v>350.51999999955297</v>
      </c>
      <c r="U12" s="37">
        <v>1523790.61</v>
      </c>
      <c r="V12" s="37">
        <f t="shared" si="7"/>
        <v>0</v>
      </c>
      <c r="W12" s="37">
        <v>4422.2</v>
      </c>
      <c r="X12" s="37">
        <f t="shared" si="95"/>
        <v>18249.480000000811</v>
      </c>
      <c r="Y12" s="183"/>
      <c r="Z12" s="183"/>
      <c r="AA12" s="37">
        <v>793100</v>
      </c>
      <c r="AB12" s="37">
        <f t="shared" si="8"/>
        <v>0</v>
      </c>
      <c r="AC12" s="37">
        <v>4597.6000000000004</v>
      </c>
      <c r="AD12" s="2"/>
      <c r="AE12" s="37">
        <f t="shared" si="9"/>
        <v>5400.0000000005457</v>
      </c>
      <c r="AF12" s="37">
        <f>IF(AE12&lt;=0,0,(AE12/SQRT(AE12^2+(AD12-AD11)^2)))</f>
        <v>1</v>
      </c>
      <c r="AG12" s="37">
        <v>9954</v>
      </c>
      <c r="AH12" s="48"/>
      <c r="AI12" s="37">
        <f t="shared" si="10"/>
        <v>12868.95</v>
      </c>
      <c r="AJ12" s="37">
        <f t="shared" si="11"/>
        <v>1</v>
      </c>
      <c r="AK12" s="37">
        <f t="shared" si="12"/>
        <v>36868.950000000914</v>
      </c>
      <c r="AL12" s="42">
        <v>11686.2</v>
      </c>
      <c r="AM12" s="42"/>
      <c r="AN12" s="37">
        <f t="shared" si="59"/>
        <v>6378.9500000013422</v>
      </c>
      <c r="AO12" s="37">
        <f>IF(AN12&lt;=0,0,(AN12/SQRT(AN12^2+(AM12-AM11)^2)))</f>
        <v>1</v>
      </c>
      <c r="AP12" s="37">
        <v>9128.1</v>
      </c>
      <c r="AQ12" s="37"/>
      <c r="AR12" s="37">
        <f t="shared" si="13"/>
        <v>12000</v>
      </c>
      <c r="AS12" s="37">
        <f>IF(AR12&lt;=0,0,(AR12/SQRT(AR12^2+(AQ12-AQ11)^2)))</f>
        <v>1</v>
      </c>
      <c r="AT12" s="183"/>
      <c r="AU12" s="183"/>
      <c r="AV12" s="183"/>
      <c r="AW12" s="183"/>
      <c r="AX12" s="37">
        <v>514460</v>
      </c>
      <c r="AY12" s="37"/>
      <c r="AZ12" s="37">
        <f t="shared" si="14"/>
        <v>390</v>
      </c>
      <c r="BA12" s="37">
        <v>193320</v>
      </c>
      <c r="BB12" s="37"/>
      <c r="BC12" s="37">
        <f t="shared" si="15"/>
        <v>670</v>
      </c>
      <c r="BD12" s="37">
        <f t="shared" si="86"/>
        <v>19438.950000001343</v>
      </c>
      <c r="BE12" s="43">
        <v>2040.1</v>
      </c>
      <c r="BF12" s="43">
        <v>1139.7</v>
      </c>
      <c r="BG12" s="37">
        <f t="shared" si="16"/>
        <v>1500</v>
      </c>
      <c r="BH12" s="44">
        <v>9601.5</v>
      </c>
      <c r="BI12" s="44">
        <v>6193.7</v>
      </c>
      <c r="BJ12" s="37">
        <f t="shared" si="17"/>
        <v>8399.9999999996362</v>
      </c>
      <c r="BK12" s="40">
        <v>1870630</v>
      </c>
      <c r="BL12" s="40">
        <f t="shared" si="87"/>
        <v>3890</v>
      </c>
      <c r="BM12" s="40">
        <v>921.11</v>
      </c>
      <c r="BN12" s="37">
        <f t="shared" si="18"/>
        <v>700.00000000004547</v>
      </c>
      <c r="BO12" s="186"/>
      <c r="BP12" s="183">
        <f t="shared" si="19"/>
        <v>0</v>
      </c>
      <c r="BQ12" s="40">
        <v>867.6</v>
      </c>
      <c r="BR12" s="37">
        <f t="shared" si="60"/>
        <v>800.00000000006821</v>
      </c>
      <c r="BS12" s="37">
        <v>113194.59</v>
      </c>
      <c r="BT12" s="37">
        <f t="shared" si="20"/>
        <v>210.30000000000291</v>
      </c>
      <c r="BU12" s="42">
        <v>3308304</v>
      </c>
      <c r="BV12" s="42"/>
      <c r="BW12" s="37">
        <f t="shared" si="21"/>
        <v>1426</v>
      </c>
      <c r="BX12" s="37">
        <f>IF(BW12&lt;=0,0,(BW12/SQRT(BW12^2+(BV12-BV11)^2)))</f>
        <v>1</v>
      </c>
      <c r="BY12" s="43">
        <v>393.26900000000001</v>
      </c>
      <c r="BZ12" s="43"/>
      <c r="CA12" s="37">
        <f t="shared" si="22"/>
        <v>203.59999999999445</v>
      </c>
      <c r="CB12" s="37">
        <f t="shared" si="61"/>
        <v>1</v>
      </c>
      <c r="CC12" s="37">
        <v>752791.4</v>
      </c>
      <c r="CD12" s="37">
        <f t="shared" si="23"/>
        <v>277</v>
      </c>
      <c r="CE12" s="37">
        <v>1622269</v>
      </c>
      <c r="CF12" s="37">
        <f t="shared" si="24"/>
        <v>819</v>
      </c>
      <c r="CG12" s="37">
        <v>73097.399999999994</v>
      </c>
      <c r="CH12" s="37">
        <f t="shared" si="62"/>
        <v>286.79999999998836</v>
      </c>
      <c r="CI12" s="40">
        <v>13957.76</v>
      </c>
      <c r="CJ12" s="40"/>
      <c r="CK12" s="37">
        <f t="shared" si="63"/>
        <v>5505.3500000001513</v>
      </c>
      <c r="CL12" s="37">
        <f t="shared" si="25"/>
        <v>1</v>
      </c>
      <c r="CM12" s="37">
        <v>4027.1660000000002</v>
      </c>
      <c r="CN12" s="37"/>
      <c r="CO12" s="37">
        <f t="shared" si="26"/>
        <v>1540.9500000000255</v>
      </c>
      <c r="CP12" s="37">
        <f>IF(CO12&lt;=0,0,(CO12/SQRT(CO12^2+(CN12-CN11)^2)))</f>
        <v>1</v>
      </c>
      <c r="CQ12" s="39">
        <v>609734.30000000005</v>
      </c>
      <c r="CR12" s="45"/>
      <c r="CS12" s="37">
        <f t="shared" si="64"/>
        <v>1424.45</v>
      </c>
      <c r="CT12" s="37">
        <f t="shared" si="65"/>
        <v>1</v>
      </c>
      <c r="CU12" s="37">
        <v>4381079</v>
      </c>
      <c r="CV12" s="37"/>
      <c r="CW12" s="38">
        <f t="shared" si="27"/>
        <v>493</v>
      </c>
      <c r="CX12" s="37">
        <f>IF(CW12&lt;=0,0,(CW12/SQRT(CW12^2+(CV12-CV11)^2)))</f>
        <v>1</v>
      </c>
      <c r="CY12" s="37">
        <v>2337763</v>
      </c>
      <c r="CZ12" s="37"/>
      <c r="DA12" s="37">
        <f t="shared" si="28"/>
        <v>134</v>
      </c>
      <c r="DB12" s="37">
        <f>IF(DA12&lt;=0,0,(DA12/SQRT(DA12^2+(CZ12-CZ11)^2)))</f>
        <v>1</v>
      </c>
      <c r="DC12" s="37"/>
      <c r="DD12" s="40"/>
      <c r="DE12" s="37">
        <f t="shared" si="29"/>
        <v>0</v>
      </c>
      <c r="DF12" s="37">
        <f>IF(DE12&lt;=0,0,(DE12/SQRT(DE12^2+(DD12-DD11)^2)))</f>
        <v>0</v>
      </c>
      <c r="DG12" s="37">
        <f t="shared" si="30"/>
        <v>-10523.750000000176</v>
      </c>
      <c r="DH12" s="37">
        <f t="shared" si="31"/>
        <v>428368.95000000088</v>
      </c>
      <c r="DI12" s="46"/>
      <c r="DJ12" s="46"/>
      <c r="DK12" s="47"/>
      <c r="DL12" s="47"/>
      <c r="DM12" s="37"/>
      <c r="DN12" s="37"/>
      <c r="DO12" s="37"/>
      <c r="DP12" s="37"/>
      <c r="DQ12" s="50">
        <v>4205700</v>
      </c>
      <c r="DR12" s="49">
        <f t="shared" si="66"/>
        <v>9300</v>
      </c>
      <c r="DS12" s="50">
        <v>5172600</v>
      </c>
      <c r="DT12" s="49">
        <f t="shared" si="67"/>
        <v>23500</v>
      </c>
      <c r="DU12" s="52">
        <v>8302.2000000000007</v>
      </c>
      <c r="DV12" s="52">
        <v>4684.8999999999996</v>
      </c>
      <c r="DW12" s="37">
        <f t="shared" si="92"/>
        <v>4400.0000000014552</v>
      </c>
      <c r="DX12" s="52">
        <v>13712</v>
      </c>
      <c r="DY12" s="52">
        <v>8606.4</v>
      </c>
      <c r="DZ12" s="37">
        <f t="shared" si="32"/>
        <v>8368.9500000000007</v>
      </c>
      <c r="EA12" s="49">
        <v>31719</v>
      </c>
      <c r="EB12" s="49">
        <v>21.824999999999999</v>
      </c>
      <c r="EC12" s="37">
        <f t="shared" si="33"/>
        <v>23528.95</v>
      </c>
      <c r="ED12" s="53">
        <f t="shared" si="34"/>
        <v>36297.900000001457</v>
      </c>
      <c r="EE12" s="49">
        <v>47458</v>
      </c>
      <c r="EF12" s="49">
        <v>31.161000000000001</v>
      </c>
      <c r="EG12" s="37">
        <f t="shared" si="35"/>
        <v>29528.95</v>
      </c>
      <c r="EH12" s="52">
        <v>13928</v>
      </c>
      <c r="EI12" s="52">
        <v>2.0078</v>
      </c>
      <c r="EJ12" s="37">
        <f t="shared" si="36"/>
        <v>10368.950000000001</v>
      </c>
      <c r="EK12" s="37">
        <v>847.38</v>
      </c>
      <c r="EL12" s="64">
        <v>1214.8</v>
      </c>
      <c r="EM12" s="37">
        <f t="shared" si="68"/>
        <v>649.99999999997726</v>
      </c>
      <c r="EN12" s="54">
        <f t="shared" si="69"/>
        <v>40547.89999999998</v>
      </c>
      <c r="EO12" s="48">
        <v>13543</v>
      </c>
      <c r="EP12" s="48"/>
      <c r="EQ12" s="37">
        <f t="shared" si="70"/>
        <v>6118.9500000007392</v>
      </c>
      <c r="ER12" s="48">
        <v>10512</v>
      </c>
      <c r="ES12" s="48"/>
      <c r="ET12" s="49">
        <f t="shared" si="37"/>
        <v>15040.000000000873</v>
      </c>
      <c r="EU12" s="48">
        <v>4265.6000000000004</v>
      </c>
      <c r="EV12" s="48"/>
      <c r="EW12" s="49">
        <f t="shared" si="38"/>
        <v>9473.9500000004737</v>
      </c>
      <c r="EX12" s="48">
        <v>14359</v>
      </c>
      <c r="EY12" s="48"/>
      <c r="EZ12" s="37">
        <f t="shared" si="39"/>
        <v>10528.949999999855</v>
      </c>
      <c r="FA12" s="48">
        <f t="shared" si="71"/>
        <v>-19890.850000001941</v>
      </c>
      <c r="FB12" s="48">
        <v>38151342</v>
      </c>
      <c r="FC12" s="49">
        <f t="shared" si="93"/>
        <v>21271</v>
      </c>
      <c r="FD12" s="48">
        <f t="shared" si="72"/>
        <v>42848.850000001941</v>
      </c>
      <c r="FE12" s="48">
        <v>17701</v>
      </c>
      <c r="FF12" s="48"/>
      <c r="FG12" s="37">
        <f t="shared" si="73"/>
        <v>10908.94999999999</v>
      </c>
      <c r="FH12" s="48">
        <v>10020</v>
      </c>
      <c r="FI12" s="48"/>
      <c r="FJ12" s="49">
        <f t="shared" si="40"/>
        <v>16958.95</v>
      </c>
      <c r="FK12" s="48"/>
      <c r="FL12" s="58">
        <v>90</v>
      </c>
      <c r="FM12" s="48">
        <f t="shared" si="94"/>
        <v>-368.94999999960902</v>
      </c>
      <c r="FN12" s="48">
        <v>17511</v>
      </c>
      <c r="FO12" s="48"/>
      <c r="FP12" s="37">
        <f t="shared" si="74"/>
        <v>11858.950000001456</v>
      </c>
      <c r="FQ12" s="48">
        <v>61668</v>
      </c>
      <c r="FR12" s="48"/>
      <c r="FS12" s="37">
        <f>IF((FQ12-FQ11)*1000&lt;=0,0,(FQ12-FQ11)*1000)</f>
        <v>38620.000000002619</v>
      </c>
      <c r="FT12" s="48">
        <f t="shared" si="75"/>
        <v>-1106.8499999988271</v>
      </c>
      <c r="FU12" s="48">
        <f>FG12+FJ12+FP12+GM12</f>
        <v>39726.850000001446</v>
      </c>
      <c r="FV12" s="44">
        <v>6326900</v>
      </c>
      <c r="FW12" s="65"/>
      <c r="FX12" s="37">
        <f t="shared" si="42"/>
        <v>35620</v>
      </c>
      <c r="FY12" s="56">
        <v>6326.9</v>
      </c>
      <c r="FZ12" s="56"/>
      <c r="GA12" s="37">
        <f>FY12</f>
        <v>6326.9</v>
      </c>
      <c r="GB12" s="56">
        <v>874.08</v>
      </c>
      <c r="GC12" s="63"/>
      <c r="GD12" s="37">
        <f t="shared" si="44"/>
        <v>1023.7000000000762</v>
      </c>
      <c r="GE12" s="56">
        <v>10782</v>
      </c>
      <c r="GF12" s="56"/>
      <c r="GG12" s="37">
        <f t="shared" si="45"/>
        <v>9192.9999999991996</v>
      </c>
      <c r="GH12" s="153">
        <v>13683</v>
      </c>
      <c r="GI12" s="162"/>
      <c r="GJ12" s="38">
        <f t="shared" si="77"/>
        <v>1687</v>
      </c>
      <c r="GK12" s="162">
        <v>1521.2249999999999</v>
      </c>
      <c r="GL12" s="163"/>
      <c r="GM12" s="38">
        <f t="shared" si="46"/>
        <v>0</v>
      </c>
      <c r="GN12" s="57">
        <v>244010</v>
      </c>
      <c r="GO12" s="57"/>
      <c r="GP12" s="38">
        <f t="shared" ref="GP12:GP38" si="97">IF((GN12-GN11)&lt;=0,0,(GN12-GN11))</f>
        <v>0</v>
      </c>
      <c r="GQ12" s="38">
        <v>295680</v>
      </c>
      <c r="GR12" s="38"/>
      <c r="GS12" s="38">
        <f t="shared" si="78"/>
        <v>376.59999999997672</v>
      </c>
      <c r="GT12" s="178"/>
      <c r="GU12" s="144">
        <f>DailyAug!B11-DailyAug!N11-DailyAug!V11-DailyAug!Y11-DailyAug!Z11-DailyAug!AA11-DailyAug!AB11-DailyAug!AC11-DailyAug!AD11-DailyAug!AE11-DailyAug!AK11-DailyAug!AO11-DailyAug!AS11-DailyAug!AY11-DailyAug!BD11+DailyAug!BU11-DailyAug!BG11-DailyAug!BT11-DailyAug!AF11-DailyAug!AG11</f>
        <v>-5.0000023911707103E-2</v>
      </c>
      <c r="GV12" s="59">
        <v>5534.2</v>
      </c>
      <c r="GW12" s="60">
        <f t="shared" si="47"/>
        <v>368.94666666666666</v>
      </c>
      <c r="GX12" s="61">
        <v>368.95</v>
      </c>
      <c r="GY12" s="140"/>
      <c r="GZ12" s="62"/>
      <c r="HA12" s="62"/>
      <c r="HB12" s="62"/>
      <c r="HC12" s="62"/>
      <c r="HD12" s="74"/>
      <c r="HE12" s="24">
        <f t="shared" si="48"/>
        <v>0</v>
      </c>
      <c r="HG12" s="213">
        <v>6</v>
      </c>
      <c r="HH12" s="16">
        <v>20530</v>
      </c>
      <c r="HI12" s="16">
        <v>7844.4</v>
      </c>
      <c r="HJ12" s="16">
        <f t="shared" si="49"/>
        <v>168000</v>
      </c>
      <c r="HK12" s="16">
        <v>2.1432000000000002</v>
      </c>
      <c r="HL12" s="16">
        <v>807.23</v>
      </c>
      <c r="HM12" s="16">
        <f t="shared" si="50"/>
        <v>0</v>
      </c>
      <c r="HN12" s="16">
        <v>5288.7</v>
      </c>
      <c r="HO12" s="16">
        <v>2286.4</v>
      </c>
      <c r="HP12" s="16">
        <f t="shared" si="51"/>
        <v>40949.999999999454</v>
      </c>
      <c r="HQ12" s="16">
        <v>3938</v>
      </c>
      <c r="HR12" s="16">
        <v>1679.1</v>
      </c>
      <c r="HS12" s="16">
        <f t="shared" si="52"/>
        <v>28350</v>
      </c>
      <c r="HT12" s="16">
        <v>3702.2</v>
      </c>
      <c r="HU12" s="16">
        <v>1364</v>
      </c>
      <c r="HV12" s="16">
        <f t="shared" si="53"/>
        <v>26249.999999999636</v>
      </c>
      <c r="HW12" s="16">
        <v>2472.4</v>
      </c>
      <c r="HX12" s="16">
        <v>1069.2</v>
      </c>
      <c r="HY12" s="16">
        <f t="shared" si="54"/>
        <v>19550.000000000273</v>
      </c>
      <c r="HZ12" s="16">
        <v>1512100</v>
      </c>
      <c r="IA12" s="16">
        <v>682740</v>
      </c>
      <c r="IB12" s="16">
        <f t="shared" si="55"/>
        <v>29400</v>
      </c>
      <c r="IC12" s="16">
        <v>719.8</v>
      </c>
      <c r="ID12" s="16">
        <v>232.78</v>
      </c>
      <c r="IE12" s="16">
        <f t="shared" si="79"/>
        <v>0</v>
      </c>
      <c r="IF12" s="16"/>
      <c r="IG12" s="16"/>
      <c r="IH12" s="128">
        <f t="shared" si="56"/>
        <v>23500</v>
      </c>
      <c r="II12" s="211">
        <f t="shared" si="57"/>
        <v>6.3300831243395805E-10</v>
      </c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G12" s="151">
        <f t="shared" si="58"/>
        <v>70350.000000000087</v>
      </c>
    </row>
    <row r="13" spans="1:293" x14ac:dyDescent="0.25">
      <c r="A13" s="35">
        <f t="shared" si="0"/>
        <v>7</v>
      </c>
      <c r="B13" s="38">
        <v>5148.8100000000004</v>
      </c>
      <c r="C13" s="38">
        <f t="shared" si="1"/>
        <v>11.080000000000837</v>
      </c>
      <c r="D13" s="38">
        <f t="shared" si="2"/>
        <v>354560.00000002678</v>
      </c>
      <c r="E13" s="38">
        <v>1034.26</v>
      </c>
      <c r="F13" s="38">
        <f t="shared" si="3"/>
        <v>72639.999999999418</v>
      </c>
      <c r="G13" s="38">
        <f t="shared" si="4"/>
        <v>427200.00000002619</v>
      </c>
      <c r="H13" s="37"/>
      <c r="I13" s="39"/>
      <c r="J13" s="42"/>
      <c r="K13" s="37">
        <f t="shared" si="80"/>
        <v>0</v>
      </c>
      <c r="L13" s="40">
        <v>16406000</v>
      </c>
      <c r="M13" s="40"/>
      <c r="N13" s="37">
        <f t="shared" si="81"/>
        <v>422000</v>
      </c>
      <c r="O13" s="37">
        <v>12363.3</v>
      </c>
      <c r="P13" s="37"/>
      <c r="Q13" s="37">
        <f t="shared" si="5"/>
        <v>18699.999999998909</v>
      </c>
      <c r="R13" s="37">
        <f t="shared" si="82"/>
        <v>1</v>
      </c>
      <c r="S13" s="37">
        <v>11258357.869999999</v>
      </c>
      <c r="T13" s="37">
        <f t="shared" si="6"/>
        <v>346.29999999888241</v>
      </c>
      <c r="U13" s="37">
        <v>1523790.61</v>
      </c>
      <c r="V13" s="37">
        <f t="shared" si="7"/>
        <v>0</v>
      </c>
      <c r="W13" s="37">
        <v>4429.3</v>
      </c>
      <c r="X13" s="37">
        <f t="shared" si="95"/>
        <v>18253.700000000026</v>
      </c>
      <c r="Y13" s="183"/>
      <c r="Z13" s="183"/>
      <c r="AA13" s="37">
        <v>793200</v>
      </c>
      <c r="AB13" s="37">
        <f t="shared" si="8"/>
        <v>100</v>
      </c>
      <c r="AC13" s="37">
        <v>4602.2</v>
      </c>
      <c r="AD13" s="37"/>
      <c r="AE13" s="37">
        <f t="shared" si="9"/>
        <v>4599.9999999994543</v>
      </c>
      <c r="AF13" s="37">
        <f t="shared" si="83"/>
        <v>1</v>
      </c>
      <c r="AG13" s="37">
        <v>9965.1</v>
      </c>
      <c r="AH13" s="48"/>
      <c r="AI13" s="37">
        <f t="shared" si="10"/>
        <v>11719.490000000364</v>
      </c>
      <c r="AJ13" s="37">
        <f t="shared" si="11"/>
        <v>1</v>
      </c>
      <c r="AK13" s="37">
        <f t="shared" si="12"/>
        <v>34919.489999998725</v>
      </c>
      <c r="AL13" s="42">
        <v>11698.4</v>
      </c>
      <c r="AM13" s="42"/>
      <c r="AN13" s="37">
        <f t="shared" si="59"/>
        <v>7209.4899999990357</v>
      </c>
      <c r="AO13" s="37">
        <f t="shared" si="84"/>
        <v>1</v>
      </c>
      <c r="AP13" s="37">
        <v>9141.7999999999993</v>
      </c>
      <c r="AQ13" s="37"/>
      <c r="AR13" s="37">
        <f t="shared" si="13"/>
        <v>13699.999999998909</v>
      </c>
      <c r="AS13" s="37">
        <f t="shared" si="85"/>
        <v>1</v>
      </c>
      <c r="AT13" s="183"/>
      <c r="AU13" s="183"/>
      <c r="AV13" s="183"/>
      <c r="AW13" s="183"/>
      <c r="AX13" s="37">
        <v>514940</v>
      </c>
      <c r="AY13" s="37"/>
      <c r="AZ13" s="37">
        <f t="shared" si="14"/>
        <v>480</v>
      </c>
      <c r="BA13" s="37">
        <v>194020</v>
      </c>
      <c r="BB13" s="37"/>
      <c r="BC13" s="37">
        <f t="shared" si="15"/>
        <v>700</v>
      </c>
      <c r="BD13" s="37">
        <f t="shared" si="86"/>
        <v>22089.489999997946</v>
      </c>
      <c r="BE13" s="43">
        <v>2042</v>
      </c>
      <c r="BF13" s="43">
        <v>1141</v>
      </c>
      <c r="BG13" s="37">
        <f t="shared" si="16"/>
        <v>1900.0000000000909</v>
      </c>
      <c r="BH13" s="44">
        <v>9610.5</v>
      </c>
      <c r="BI13" s="44">
        <v>6199.7</v>
      </c>
      <c r="BJ13" s="37">
        <f t="shared" si="17"/>
        <v>9000</v>
      </c>
      <c r="BK13" s="40">
        <v>1874850</v>
      </c>
      <c r="BL13" s="40">
        <f t="shared" si="87"/>
        <v>4220</v>
      </c>
      <c r="BM13" s="40">
        <v>921.8</v>
      </c>
      <c r="BN13" s="37">
        <f t="shared" si="18"/>
        <v>689.99999999994088</v>
      </c>
      <c r="BO13" s="186"/>
      <c r="BP13" s="183">
        <f t="shared" si="19"/>
        <v>0</v>
      </c>
      <c r="BQ13" s="40">
        <v>868.3</v>
      </c>
      <c r="BR13" s="37">
        <f t="shared" si="60"/>
        <v>699.99999999993179</v>
      </c>
      <c r="BS13" s="37">
        <v>113411.69</v>
      </c>
      <c r="BT13" s="37">
        <f t="shared" si="20"/>
        <v>217.10000000000582</v>
      </c>
      <c r="BU13" s="42">
        <v>3319478</v>
      </c>
      <c r="BV13" s="42"/>
      <c r="BW13" s="37">
        <f t="shared" si="21"/>
        <v>11174</v>
      </c>
      <c r="BX13" s="37">
        <f t="shared" si="88"/>
        <v>1</v>
      </c>
      <c r="BY13" s="43">
        <v>393.95620000000002</v>
      </c>
      <c r="BZ13" s="37"/>
      <c r="CA13" s="37">
        <f t="shared" si="22"/>
        <v>687.20000000001846</v>
      </c>
      <c r="CB13" s="37">
        <f t="shared" si="61"/>
        <v>1</v>
      </c>
      <c r="CC13" s="37">
        <v>755504.1</v>
      </c>
      <c r="CD13" s="37">
        <f t="shared" si="23"/>
        <v>2712.6999999999534</v>
      </c>
      <c r="CE13" s="37">
        <v>1627992</v>
      </c>
      <c r="CF13" s="37">
        <f t="shared" si="24"/>
        <v>5723</v>
      </c>
      <c r="CG13" s="37">
        <v>75483</v>
      </c>
      <c r="CH13" s="37">
        <f t="shared" si="62"/>
        <v>2385.6000000000058</v>
      </c>
      <c r="CI13" s="40">
        <v>13975.27</v>
      </c>
      <c r="CJ13" s="40"/>
      <c r="CK13" s="37">
        <f t="shared" si="63"/>
        <v>17442.290000000201</v>
      </c>
      <c r="CL13" s="37">
        <f t="shared" si="25"/>
        <v>1</v>
      </c>
      <c r="CM13" s="37">
        <v>4034.6849999999999</v>
      </c>
      <c r="CN13" s="37"/>
      <c r="CO13" s="37">
        <f t="shared" si="26"/>
        <v>8138.4899999997779</v>
      </c>
      <c r="CP13" s="37">
        <f t="shared" si="89"/>
        <v>1</v>
      </c>
      <c r="CQ13" s="39">
        <v>617304.6</v>
      </c>
      <c r="CR13" s="45"/>
      <c r="CS13" s="37">
        <f t="shared" si="64"/>
        <v>8189.7899999999299</v>
      </c>
      <c r="CT13" s="37">
        <f t="shared" si="65"/>
        <v>1</v>
      </c>
      <c r="CU13" s="37">
        <v>4381577</v>
      </c>
      <c r="CV13" s="37"/>
      <c r="CW13" s="38">
        <f t="shared" si="27"/>
        <v>498</v>
      </c>
      <c r="CX13" s="37">
        <f t="shared" si="90"/>
        <v>1</v>
      </c>
      <c r="CY13" s="37">
        <v>2337878</v>
      </c>
      <c r="CZ13" s="37"/>
      <c r="DA13" s="37">
        <f t="shared" si="28"/>
        <v>115</v>
      </c>
      <c r="DB13" s="37">
        <f t="shared" si="91"/>
        <v>1</v>
      </c>
      <c r="DC13" s="37"/>
      <c r="DD13" s="40"/>
      <c r="DE13" s="37">
        <f t="shared" si="29"/>
        <v>0</v>
      </c>
      <c r="DF13" s="37">
        <f t="shared" si="96"/>
        <v>0</v>
      </c>
      <c r="DG13" s="37">
        <f t="shared" si="30"/>
        <v>-45557.569999999905</v>
      </c>
      <c r="DH13" s="37">
        <f t="shared" si="31"/>
        <v>458819.48999999883</v>
      </c>
      <c r="DI13" s="46"/>
      <c r="DJ13" s="46"/>
      <c r="DK13" s="47"/>
      <c r="DL13" s="47"/>
      <c r="DM13" s="37"/>
      <c r="DN13" s="37"/>
      <c r="DO13" s="37"/>
      <c r="DP13" s="37"/>
      <c r="DQ13" s="50">
        <v>4214700</v>
      </c>
      <c r="DR13" s="49">
        <f t="shared" si="66"/>
        <v>9000</v>
      </c>
      <c r="DS13" s="50">
        <v>5196600</v>
      </c>
      <c r="DT13" s="49">
        <f t="shared" si="67"/>
        <v>24000</v>
      </c>
      <c r="DU13" s="52">
        <v>8306.9</v>
      </c>
      <c r="DV13" s="52">
        <v>4688.3</v>
      </c>
      <c r="DW13" s="37">
        <f t="shared" si="92"/>
        <v>4699.9999999989086</v>
      </c>
      <c r="DX13" s="52">
        <v>13720</v>
      </c>
      <c r="DY13" s="52">
        <v>8609.6</v>
      </c>
      <c r="DZ13" s="37">
        <f t="shared" si="32"/>
        <v>8619.49</v>
      </c>
      <c r="EA13" s="49">
        <v>31742</v>
      </c>
      <c r="EB13" s="49">
        <v>21.835999999999999</v>
      </c>
      <c r="EC13" s="37">
        <f t="shared" si="33"/>
        <v>25779.49</v>
      </c>
      <c r="ED13" s="53">
        <f t="shared" si="34"/>
        <v>39098.979999998912</v>
      </c>
      <c r="EE13" s="49">
        <v>47486</v>
      </c>
      <c r="EF13" s="49">
        <v>31.181999999999999</v>
      </c>
      <c r="EG13" s="37">
        <f t="shared" si="35"/>
        <v>30779.49</v>
      </c>
      <c r="EH13" s="52">
        <v>13940</v>
      </c>
      <c r="EI13" s="52">
        <v>2.0110000000000001</v>
      </c>
      <c r="EJ13" s="37">
        <f t="shared" si="36"/>
        <v>12619.49</v>
      </c>
      <c r="EK13" s="37">
        <v>848.17</v>
      </c>
      <c r="EL13" s="40">
        <v>1215.9000000000001</v>
      </c>
      <c r="EM13" s="37">
        <f t="shared" si="68"/>
        <v>789.99999999996362</v>
      </c>
      <c r="EN13" s="54">
        <f t="shared" si="69"/>
        <v>44188.979999999967</v>
      </c>
      <c r="EO13" s="48">
        <v>13551</v>
      </c>
      <c r="EP13" s="48"/>
      <c r="EQ13" s="37">
        <f t="shared" si="70"/>
        <v>7679.4900000000016</v>
      </c>
      <c r="ER13" s="48">
        <v>10529</v>
      </c>
      <c r="ES13" s="48"/>
      <c r="ET13" s="49">
        <f t="shared" si="37"/>
        <v>17000</v>
      </c>
      <c r="EU13" s="48">
        <v>4274.8</v>
      </c>
      <c r="EV13" s="48"/>
      <c r="EW13" s="49">
        <f t="shared" si="38"/>
        <v>9819.4899999998179</v>
      </c>
      <c r="EX13" s="48">
        <v>14369</v>
      </c>
      <c r="EY13" s="48"/>
      <c r="EZ13" s="37">
        <f t="shared" si="39"/>
        <v>10619.49</v>
      </c>
      <c r="FA13" s="48">
        <f>FC13-EQ13-ET13-EW13-EZ13</f>
        <v>-22751.469999999819</v>
      </c>
      <c r="FB13" s="48">
        <v>38173709</v>
      </c>
      <c r="FC13" s="49">
        <f t="shared" si="93"/>
        <v>22367</v>
      </c>
      <c r="FD13" s="48">
        <f t="shared" si="72"/>
        <v>46905.469999999819</v>
      </c>
      <c r="FE13" s="48">
        <v>17710</v>
      </c>
      <c r="FF13" s="48"/>
      <c r="FG13" s="37">
        <f t="shared" si="73"/>
        <v>10579.489999999998</v>
      </c>
      <c r="FH13" s="48">
        <v>10036</v>
      </c>
      <c r="FI13" s="48"/>
      <c r="FJ13" s="49">
        <f t="shared" si="40"/>
        <v>16639.490000000002</v>
      </c>
      <c r="FK13" s="48"/>
      <c r="FL13" s="58">
        <v>20</v>
      </c>
      <c r="FM13" s="48">
        <f t="shared" si="94"/>
        <v>-619.48999999999978</v>
      </c>
      <c r="FN13" s="48">
        <v>17522</v>
      </c>
      <c r="FO13" s="48"/>
      <c r="FP13" s="37">
        <f t="shared" si="74"/>
        <v>11639.49</v>
      </c>
      <c r="FQ13" s="48">
        <v>61705</v>
      </c>
      <c r="FR13" s="48"/>
      <c r="FS13" s="37">
        <f t="shared" si="41"/>
        <v>37000</v>
      </c>
      <c r="FT13" s="48">
        <f t="shared" si="75"/>
        <v>-1858.4699999999993</v>
      </c>
      <c r="FU13" s="48">
        <f>FG13+FJ13+FP13+GM13</f>
        <v>38858.47</v>
      </c>
      <c r="FV13" s="44">
        <v>6357900</v>
      </c>
      <c r="FW13" s="44"/>
      <c r="FX13" s="37">
        <f t="shared" si="42"/>
        <v>31000</v>
      </c>
      <c r="FY13" s="56">
        <v>13341</v>
      </c>
      <c r="FZ13" s="56"/>
      <c r="GA13" s="37">
        <f t="shared" ref="GA13:GA28" si="98">FY13-FY12</f>
        <v>7014.1</v>
      </c>
      <c r="GB13" s="56">
        <v>874.92</v>
      </c>
      <c r="GC13" s="56"/>
      <c r="GD13" s="37">
        <f t="shared" si="44"/>
        <v>839.99999999991815</v>
      </c>
      <c r="GE13" s="56">
        <v>10791</v>
      </c>
      <c r="GF13" s="56"/>
      <c r="GG13" s="37">
        <f t="shared" si="45"/>
        <v>7213</v>
      </c>
      <c r="GH13" s="153">
        <v>15470</v>
      </c>
      <c r="GI13" s="162"/>
      <c r="GJ13" s="38">
        <f t="shared" si="77"/>
        <v>1787</v>
      </c>
      <c r="GK13" s="162">
        <v>1521.2</v>
      </c>
      <c r="GL13" s="163"/>
      <c r="GM13" s="38">
        <f t="shared" si="46"/>
        <v>0</v>
      </c>
      <c r="GN13" s="57">
        <v>244020</v>
      </c>
      <c r="GO13" s="57"/>
      <c r="GP13" s="38">
        <f t="shared" si="97"/>
        <v>10</v>
      </c>
      <c r="GQ13" s="38">
        <v>296080</v>
      </c>
      <c r="GR13" s="38"/>
      <c r="GS13" s="38">
        <f t="shared" si="78"/>
        <v>400</v>
      </c>
      <c r="GT13" s="178"/>
      <c r="GU13" s="144">
        <f>DailyAug!B12-DailyAug!N12-DailyAug!V12-DailyAug!Y12-DailyAug!Z12-DailyAug!AA12-DailyAug!AB12-DailyAug!AC12-DailyAug!AD12-DailyAug!AE12-DailyAug!AK12-DailyAug!AO12-DailyAug!AS12-DailyAug!AY12-DailyAug!BD12+DailyAug!BU12-DailyAug!BG12-DailyAug!BT12-DailyAug!AF12-DailyAug!AG12</f>
        <v>-4.9999969050986692E-2</v>
      </c>
      <c r="GV13" s="59">
        <v>9292.2999999999993</v>
      </c>
      <c r="GW13" s="60">
        <f t="shared" si="47"/>
        <v>619.48666666666657</v>
      </c>
      <c r="GX13" s="61">
        <v>619.49</v>
      </c>
      <c r="GY13" s="140"/>
      <c r="GZ13" s="62"/>
      <c r="HA13" s="62"/>
      <c r="HB13" s="74"/>
      <c r="HC13" s="62"/>
      <c r="HD13" s="74"/>
      <c r="HE13" s="24">
        <f t="shared" si="48"/>
        <v>0</v>
      </c>
      <c r="HG13" s="213">
        <v>7</v>
      </c>
      <c r="HH13" s="16">
        <v>20704</v>
      </c>
      <c r="HI13" s="16">
        <v>7908.9</v>
      </c>
      <c r="HJ13" s="16">
        <f t="shared" si="49"/>
        <v>174000</v>
      </c>
      <c r="HK13" s="16">
        <v>2.1432000000000002</v>
      </c>
      <c r="HL13" s="16">
        <v>807.23</v>
      </c>
      <c r="HM13" s="16">
        <f t="shared" si="50"/>
        <v>0</v>
      </c>
      <c r="HN13" s="16">
        <v>5332.7</v>
      </c>
      <c r="HO13" s="16">
        <v>2304</v>
      </c>
      <c r="HP13" s="16">
        <f t="shared" si="51"/>
        <v>44125</v>
      </c>
      <c r="HQ13" s="16">
        <v>3965.6</v>
      </c>
      <c r="HR13" s="16">
        <v>1689.9</v>
      </c>
      <c r="HS13" s="16">
        <f t="shared" si="52"/>
        <v>27724.999999999909</v>
      </c>
      <c r="HT13" s="16">
        <v>3728.2</v>
      </c>
      <c r="HU13" s="16">
        <v>1372.7</v>
      </c>
      <c r="HV13" s="16">
        <f t="shared" si="53"/>
        <v>26125</v>
      </c>
      <c r="HW13" s="16">
        <v>2494.1999999999998</v>
      </c>
      <c r="HX13" s="16">
        <v>1078.9000000000001</v>
      </c>
      <c r="HY13" s="16">
        <f t="shared" si="54"/>
        <v>21924.999999999727</v>
      </c>
      <c r="HZ13" s="16">
        <v>1542200</v>
      </c>
      <c r="IA13" s="16">
        <v>695000</v>
      </c>
      <c r="IB13" s="16">
        <f t="shared" si="55"/>
        <v>30100</v>
      </c>
      <c r="IC13" s="16">
        <v>719.8</v>
      </c>
      <c r="ID13" s="16">
        <v>232.78</v>
      </c>
      <c r="IE13" s="16">
        <f t="shared" si="79"/>
        <v>0</v>
      </c>
      <c r="IF13" s="16"/>
      <c r="IG13" s="16"/>
      <c r="IH13" s="128">
        <f t="shared" si="56"/>
        <v>24000</v>
      </c>
      <c r="II13" s="211">
        <f t="shared" si="57"/>
        <v>3.637978807091713E-10</v>
      </c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G13" s="151">
        <f t="shared" si="58"/>
        <v>74225.000000000364</v>
      </c>
    </row>
    <row r="14" spans="1:293" x14ac:dyDescent="0.25">
      <c r="A14" s="35">
        <f t="shared" si="0"/>
        <v>8</v>
      </c>
      <c r="B14" s="38">
        <v>5159.0600000000004</v>
      </c>
      <c r="C14" s="38">
        <f t="shared" si="1"/>
        <v>10.25</v>
      </c>
      <c r="D14" s="38">
        <f t="shared" si="2"/>
        <v>328000</v>
      </c>
      <c r="E14" s="38">
        <v>1036.31</v>
      </c>
      <c r="F14" s="38">
        <f t="shared" si="3"/>
        <v>65599.999999998545</v>
      </c>
      <c r="G14" s="38">
        <f t="shared" si="4"/>
        <v>393599.99999999854</v>
      </c>
      <c r="H14" s="37"/>
      <c r="I14" s="39"/>
      <c r="J14" s="42"/>
      <c r="K14" s="37">
        <f>IF(J14&lt;=0,0,(J14/SQRT(J14^2+(I14-I13)^2)))</f>
        <v>0</v>
      </c>
      <c r="L14" s="40">
        <v>16445100</v>
      </c>
      <c r="M14" s="40"/>
      <c r="N14" s="37">
        <f t="shared" si="81"/>
        <v>391000</v>
      </c>
      <c r="O14" s="37">
        <v>12381.1</v>
      </c>
      <c r="P14" s="37"/>
      <c r="Q14" s="37">
        <f t="shared" si="5"/>
        <v>17800.000000001091</v>
      </c>
      <c r="R14" s="37">
        <f t="shared" si="82"/>
        <v>1</v>
      </c>
      <c r="S14" s="37">
        <v>11258678.85</v>
      </c>
      <c r="T14" s="37">
        <f t="shared" si="6"/>
        <v>320.98000000044703</v>
      </c>
      <c r="U14" s="37">
        <v>1523790.61</v>
      </c>
      <c r="V14" s="37">
        <f t="shared" si="7"/>
        <v>0</v>
      </c>
      <c r="W14" s="37">
        <v>4436</v>
      </c>
      <c r="X14" s="37">
        <f t="shared" si="95"/>
        <v>17379.020000000644</v>
      </c>
      <c r="Y14" s="183"/>
      <c r="Z14" s="183"/>
      <c r="AA14" s="37">
        <v>793300</v>
      </c>
      <c r="AB14" s="37">
        <f t="shared" si="8"/>
        <v>100</v>
      </c>
      <c r="AC14" s="37">
        <v>4607</v>
      </c>
      <c r="AD14" s="37"/>
      <c r="AE14" s="37">
        <f t="shared" si="9"/>
        <v>4800.0000000001819</v>
      </c>
      <c r="AF14" s="37">
        <f t="shared" si="83"/>
        <v>1</v>
      </c>
      <c r="AG14" s="37">
        <v>9975.7000000000007</v>
      </c>
      <c r="AH14" s="48"/>
      <c r="AI14" s="37">
        <f t="shared" si="10"/>
        <v>10699.670000000364</v>
      </c>
      <c r="AJ14" s="37">
        <f t="shared" si="11"/>
        <v>1</v>
      </c>
      <c r="AK14" s="37">
        <f t="shared" si="12"/>
        <v>33199.670000001635</v>
      </c>
      <c r="AL14" s="42">
        <v>11710.7</v>
      </c>
      <c r="AM14" s="42"/>
      <c r="AN14" s="37">
        <f t="shared" si="59"/>
        <v>6909.6700000009732</v>
      </c>
      <c r="AO14" s="37">
        <f t="shared" si="84"/>
        <v>1</v>
      </c>
      <c r="AP14" s="37">
        <v>9155</v>
      </c>
      <c r="AQ14" s="37"/>
      <c r="AR14" s="37">
        <f t="shared" si="13"/>
        <v>13200.000000000728</v>
      </c>
      <c r="AS14" s="37">
        <f t="shared" si="85"/>
        <v>1</v>
      </c>
      <c r="AT14" s="183"/>
      <c r="AU14" s="183"/>
      <c r="AV14" s="183"/>
      <c r="AW14" s="183"/>
      <c r="AX14" s="37">
        <v>515440</v>
      </c>
      <c r="AY14" s="37"/>
      <c r="AZ14" s="37">
        <f t="shared" si="14"/>
        <v>500</v>
      </c>
      <c r="BA14" s="37">
        <v>194730</v>
      </c>
      <c r="BB14" s="37"/>
      <c r="BC14" s="37">
        <f t="shared" si="15"/>
        <v>710</v>
      </c>
      <c r="BD14" s="37">
        <f t="shared" si="86"/>
        <v>21319.670000001701</v>
      </c>
      <c r="BE14" s="43">
        <v>2043.7</v>
      </c>
      <c r="BF14" s="43">
        <v>1142.2</v>
      </c>
      <c r="BG14" s="37">
        <f t="shared" si="16"/>
        <v>1700.0000000000455</v>
      </c>
      <c r="BH14" s="44">
        <v>9619.4</v>
      </c>
      <c r="BI14" s="44">
        <v>6205.5</v>
      </c>
      <c r="BJ14" s="37">
        <f t="shared" si="17"/>
        <v>8899.9999999996362</v>
      </c>
      <c r="BK14" s="40">
        <v>1878970</v>
      </c>
      <c r="BL14" s="40">
        <f t="shared" si="87"/>
        <v>4120</v>
      </c>
      <c r="BM14" s="40">
        <v>922.47</v>
      </c>
      <c r="BN14" s="37">
        <f t="shared" si="18"/>
        <v>670.00000000007276</v>
      </c>
      <c r="BO14" s="186"/>
      <c r="BP14" s="183">
        <f t="shared" si="19"/>
        <v>0</v>
      </c>
      <c r="BQ14" s="40">
        <v>869</v>
      </c>
      <c r="BR14" s="37">
        <f t="shared" si="60"/>
        <v>700.00000000004547</v>
      </c>
      <c r="BS14" s="37">
        <v>113628.72</v>
      </c>
      <c r="BT14" s="37">
        <f t="shared" si="20"/>
        <v>217.02999999999884</v>
      </c>
      <c r="BU14" s="42">
        <v>3328059</v>
      </c>
      <c r="BV14" s="42"/>
      <c r="BW14" s="37">
        <f t="shared" si="21"/>
        <v>8581</v>
      </c>
      <c r="BX14" s="37">
        <f t="shared" si="88"/>
        <v>1</v>
      </c>
      <c r="BY14" s="147">
        <v>394.565</v>
      </c>
      <c r="BZ14" s="40"/>
      <c r="CA14" s="37">
        <f t="shared" si="22"/>
        <v>608.79999999997381</v>
      </c>
      <c r="CB14" s="37">
        <f t="shared" si="61"/>
        <v>1</v>
      </c>
      <c r="CC14" s="37">
        <v>757556.1</v>
      </c>
      <c r="CD14" s="37">
        <f t="shared" si="23"/>
        <v>2052</v>
      </c>
      <c r="CE14" s="37">
        <v>1632396</v>
      </c>
      <c r="CF14" s="37">
        <f t="shared" si="24"/>
        <v>4404</v>
      </c>
      <c r="CG14" s="37">
        <v>77227</v>
      </c>
      <c r="CH14" s="37">
        <f t="shared" si="62"/>
        <v>1744</v>
      </c>
      <c r="CI14" s="40">
        <v>13989.61</v>
      </c>
      <c r="CJ14" s="40"/>
      <c r="CK14" s="37">
        <f t="shared" si="63"/>
        <v>13830.870000000172</v>
      </c>
      <c r="CL14" s="37">
        <f t="shared" si="25"/>
        <v>1</v>
      </c>
      <c r="CM14" s="37">
        <v>4041.1529999999998</v>
      </c>
      <c r="CN14" s="37"/>
      <c r="CO14" s="37">
        <f t="shared" si="26"/>
        <v>6567.6699999998473</v>
      </c>
      <c r="CP14" s="37">
        <f t="shared" si="89"/>
        <v>1</v>
      </c>
      <c r="CQ14" s="39">
        <v>623044.5</v>
      </c>
      <c r="CR14" s="45"/>
      <c r="CS14" s="37">
        <f t="shared" si="64"/>
        <v>5839.5700000000234</v>
      </c>
      <c r="CT14" s="37">
        <f t="shared" si="65"/>
        <v>1</v>
      </c>
      <c r="CU14" s="37">
        <v>4381956</v>
      </c>
      <c r="CV14" s="37"/>
      <c r="CW14" s="38">
        <f t="shared" si="27"/>
        <v>379</v>
      </c>
      <c r="CX14" s="37">
        <f t="shared" si="90"/>
        <v>1</v>
      </c>
      <c r="CY14" s="37">
        <v>2337973</v>
      </c>
      <c r="CZ14" s="37"/>
      <c r="DA14" s="37">
        <f t="shared" si="28"/>
        <v>95</v>
      </c>
      <c r="DB14" s="37">
        <f t="shared" si="91"/>
        <v>1</v>
      </c>
      <c r="DC14" s="37"/>
      <c r="DD14" s="40"/>
      <c r="DE14" s="37">
        <f t="shared" si="29"/>
        <v>0</v>
      </c>
      <c r="DF14" s="37">
        <f t="shared" si="96"/>
        <v>0</v>
      </c>
      <c r="DG14" s="37">
        <f t="shared" si="30"/>
        <v>-35293.110000000044</v>
      </c>
      <c r="DH14" s="37">
        <f t="shared" si="31"/>
        <v>425899.67000000167</v>
      </c>
      <c r="DI14" s="46"/>
      <c r="DJ14" s="46"/>
      <c r="DK14" s="47"/>
      <c r="DL14" s="47"/>
      <c r="DM14" s="37"/>
      <c r="DN14" s="37"/>
      <c r="DO14" s="37"/>
      <c r="DP14" s="37"/>
      <c r="DQ14" s="50">
        <v>4224800</v>
      </c>
      <c r="DR14" s="49">
        <f t="shared" si="66"/>
        <v>10100</v>
      </c>
      <c r="DS14" s="50">
        <v>5220000</v>
      </c>
      <c r="DT14" s="49">
        <f t="shared" si="67"/>
        <v>23400</v>
      </c>
      <c r="DU14" s="52">
        <v>8311.2999999999993</v>
      </c>
      <c r="DV14" s="52">
        <v>4691.5</v>
      </c>
      <c r="DW14" s="37">
        <f t="shared" si="92"/>
        <v>4399.9999999996362</v>
      </c>
      <c r="DX14" s="52">
        <v>13728</v>
      </c>
      <c r="DY14" s="52">
        <v>8613.1</v>
      </c>
      <c r="DZ14" s="37">
        <f t="shared" si="32"/>
        <v>8099.67</v>
      </c>
      <c r="EA14" s="49">
        <v>31763</v>
      </c>
      <c r="EB14" s="49">
        <v>21.846</v>
      </c>
      <c r="EC14" s="37">
        <f t="shared" si="33"/>
        <v>23259.67</v>
      </c>
      <c r="ED14" s="53">
        <f t="shared" si="34"/>
        <v>35759.339999999633</v>
      </c>
      <c r="EE14" s="49">
        <v>47510</v>
      </c>
      <c r="EF14" s="49">
        <v>31.202000000000002</v>
      </c>
      <c r="EG14" s="37">
        <f t="shared" si="35"/>
        <v>26259.67</v>
      </c>
      <c r="EH14" s="52">
        <v>13952</v>
      </c>
      <c r="EI14" s="52">
        <v>2.0141</v>
      </c>
      <c r="EJ14" s="37">
        <f t="shared" si="36"/>
        <v>12099.67</v>
      </c>
      <c r="EK14" s="37">
        <v>848.96</v>
      </c>
      <c r="EL14" s="40">
        <v>1217.0999999999999</v>
      </c>
      <c r="EM14" s="37">
        <f t="shared" si="68"/>
        <v>790.00000000007731</v>
      </c>
      <c r="EN14" s="54">
        <f t="shared" si="69"/>
        <v>39149.340000000077</v>
      </c>
      <c r="EO14" s="48">
        <v>13558</v>
      </c>
      <c r="EP14" s="48"/>
      <c r="EQ14" s="37">
        <f t="shared" si="70"/>
        <v>6189.6699999999746</v>
      </c>
      <c r="ER14" s="48">
        <v>10547</v>
      </c>
      <c r="ES14" s="48"/>
      <c r="ET14" s="49">
        <f t="shared" si="37"/>
        <v>18000</v>
      </c>
      <c r="EU14" s="48">
        <v>4284.1000000000004</v>
      </c>
      <c r="EV14" s="48"/>
      <c r="EW14" s="49">
        <f t="shared" si="38"/>
        <v>9399.670000000182</v>
      </c>
      <c r="EX14" s="48">
        <v>14379</v>
      </c>
      <c r="EY14" s="48"/>
      <c r="EZ14" s="37">
        <f t="shared" si="39"/>
        <v>10099.67</v>
      </c>
      <c r="FA14" s="48">
        <f t="shared" si="71"/>
        <v>-20007.010000000158</v>
      </c>
      <c r="FB14" s="48">
        <v>38197391</v>
      </c>
      <c r="FC14" s="49">
        <f t="shared" si="93"/>
        <v>23682</v>
      </c>
      <c r="FD14" s="48">
        <f t="shared" si="72"/>
        <v>45500.010000000155</v>
      </c>
      <c r="FE14" s="48">
        <v>17718</v>
      </c>
      <c r="FF14" s="48"/>
      <c r="FG14" s="37">
        <f t="shared" si="73"/>
        <v>8706.3400000000256</v>
      </c>
      <c r="FH14" s="48">
        <v>10051</v>
      </c>
      <c r="FI14" s="48"/>
      <c r="FJ14" s="49">
        <f t="shared" si="40"/>
        <v>14796.34</v>
      </c>
      <c r="FK14" s="48"/>
      <c r="FL14" s="58">
        <v>-303.33</v>
      </c>
      <c r="FM14" s="48">
        <f t="shared" si="94"/>
        <v>-99.673333333341972</v>
      </c>
      <c r="FN14" s="48">
        <v>17533</v>
      </c>
      <c r="FO14" s="48"/>
      <c r="FP14" s="37">
        <f t="shared" si="74"/>
        <v>10796.34</v>
      </c>
      <c r="FQ14" s="48">
        <v>61739</v>
      </c>
      <c r="FR14" s="48"/>
      <c r="FS14" s="37">
        <f t="shared" si="41"/>
        <v>34000</v>
      </c>
      <c r="FT14" s="48">
        <f t="shared" si="75"/>
        <v>-299.0200000000259</v>
      </c>
      <c r="FU14" s="48">
        <f t="shared" si="76"/>
        <v>34299.020000000026</v>
      </c>
      <c r="FV14" s="44">
        <v>6380000</v>
      </c>
      <c r="FW14" s="44"/>
      <c r="FX14" s="37">
        <f t="shared" si="42"/>
        <v>22100</v>
      </c>
      <c r="FY14" s="56">
        <v>18234</v>
      </c>
      <c r="FZ14" s="56"/>
      <c r="GA14" s="37">
        <f t="shared" si="98"/>
        <v>4893</v>
      </c>
      <c r="GB14" s="56">
        <v>875.54</v>
      </c>
      <c r="GC14" s="56"/>
      <c r="GD14" s="37">
        <f t="shared" si="44"/>
        <v>620.00000000000455</v>
      </c>
      <c r="GE14" s="56">
        <v>10797</v>
      </c>
      <c r="GF14" s="56"/>
      <c r="GG14" s="37">
        <f t="shared" si="45"/>
        <v>4189</v>
      </c>
      <c r="GH14" s="153">
        <v>17281</v>
      </c>
      <c r="GI14" s="162"/>
      <c r="GJ14" s="38">
        <f t="shared" si="77"/>
        <v>1811</v>
      </c>
      <c r="GK14" s="162">
        <v>1521.2</v>
      </c>
      <c r="GL14" s="163"/>
      <c r="GM14" s="38">
        <f t="shared" si="46"/>
        <v>0</v>
      </c>
      <c r="GN14" s="57">
        <v>244020</v>
      </c>
      <c r="GO14" s="57"/>
      <c r="GP14" s="38">
        <f t="shared" si="97"/>
        <v>0</v>
      </c>
      <c r="GQ14" s="38">
        <v>296460</v>
      </c>
      <c r="GR14" s="38"/>
      <c r="GS14" s="38">
        <f t="shared" si="78"/>
        <v>380</v>
      </c>
      <c r="GT14" s="178"/>
      <c r="GU14" s="144">
        <f>DailyAug!B13-DailyAug!N13-DailyAug!V13-DailyAug!Y13-DailyAug!Z13-DailyAug!AA13-DailyAug!AB13-DailyAug!AC13-DailyAug!AD13-DailyAug!AE13-DailyAug!AK13-DailyAug!AO13-DailyAug!AS13-DailyAug!AY13-DailyAug!BD13+DailyAug!BU13-DailyAug!BG13-DailyAug!BT13-DailyAug!AF13-DailyAug!AG13</f>
        <v>3.9999995438847691E-2</v>
      </c>
      <c r="GV14" s="59">
        <v>1495.09</v>
      </c>
      <c r="GW14" s="60">
        <f t="shared" si="47"/>
        <v>99.672666666666657</v>
      </c>
      <c r="GX14" s="61">
        <v>99.67</v>
      </c>
      <c r="GY14" s="140"/>
      <c r="GZ14" s="62"/>
      <c r="HA14" s="62"/>
      <c r="HB14" s="74"/>
      <c r="HC14" s="62"/>
      <c r="HD14" s="74"/>
      <c r="HE14" s="24">
        <f t="shared" si="48"/>
        <v>0</v>
      </c>
      <c r="HG14" s="213">
        <v>8</v>
      </c>
      <c r="HH14" s="16">
        <v>20877</v>
      </c>
      <c r="HI14" s="16">
        <v>7972.7</v>
      </c>
      <c r="HJ14" s="16">
        <f t="shared" si="49"/>
        <v>173000</v>
      </c>
      <c r="HK14" s="16">
        <v>2.1432000000000002</v>
      </c>
      <c r="HL14" s="16">
        <v>807.23</v>
      </c>
      <c r="HM14" s="16">
        <f t="shared" si="50"/>
        <v>0</v>
      </c>
      <c r="HN14" s="16">
        <v>5375.7</v>
      </c>
      <c r="HO14" s="16">
        <v>2321.3000000000002</v>
      </c>
      <c r="HP14" s="16">
        <f t="shared" si="51"/>
        <v>43075</v>
      </c>
      <c r="HQ14" s="16">
        <v>3993.7</v>
      </c>
      <c r="HR14" s="16">
        <v>1700.8</v>
      </c>
      <c r="HS14" s="16">
        <f t="shared" si="52"/>
        <v>28174.999999999909</v>
      </c>
      <c r="HT14" s="16">
        <v>3754.2</v>
      </c>
      <c r="HU14" s="16">
        <v>1381.3</v>
      </c>
      <c r="HV14" s="16">
        <f t="shared" si="53"/>
        <v>26075</v>
      </c>
      <c r="HW14" s="16">
        <v>2515.9</v>
      </c>
      <c r="HX14" s="16">
        <v>1087.4000000000001</v>
      </c>
      <c r="HY14" s="16">
        <f t="shared" si="54"/>
        <v>21775.000000000273</v>
      </c>
      <c r="HZ14" s="16">
        <v>1572700</v>
      </c>
      <c r="IA14" s="16">
        <v>707450</v>
      </c>
      <c r="IB14" s="16">
        <f t="shared" si="55"/>
        <v>30500</v>
      </c>
      <c r="IC14" s="16">
        <v>719.8</v>
      </c>
      <c r="ID14" s="16">
        <v>232.78</v>
      </c>
      <c r="IE14" s="16">
        <f t="shared" si="79"/>
        <v>0</v>
      </c>
      <c r="IF14" s="16"/>
      <c r="IG14" s="16"/>
      <c r="IH14" s="128">
        <f t="shared" si="56"/>
        <v>23400</v>
      </c>
      <c r="II14" s="211">
        <f t="shared" si="57"/>
        <v>-1.8917489796876907E-10</v>
      </c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G14" s="151">
        <f t="shared" si="58"/>
        <v>73574.999999999811</v>
      </c>
    </row>
    <row r="15" spans="1:293" x14ac:dyDescent="0.25">
      <c r="A15" s="215">
        <f t="shared" si="0"/>
        <v>9</v>
      </c>
      <c r="B15" s="38">
        <v>5168.2700000000004</v>
      </c>
      <c r="C15" s="38">
        <f t="shared" si="1"/>
        <v>9.2100000000000364</v>
      </c>
      <c r="D15" s="38">
        <f t="shared" si="2"/>
        <v>294720.00000000116</v>
      </c>
      <c r="E15" s="38">
        <v>1038.1300000000001</v>
      </c>
      <c r="F15" s="38">
        <f t="shared" si="3"/>
        <v>58240.000000005239</v>
      </c>
      <c r="G15" s="38">
        <f t="shared" si="4"/>
        <v>352960.0000000064</v>
      </c>
      <c r="H15" s="37"/>
      <c r="I15" s="39"/>
      <c r="J15" s="42"/>
      <c r="K15" s="37">
        <f>IF(J15&lt;=0,0,(J15/SQRT(J15^2+(I15-I14)^2)))</f>
        <v>0</v>
      </c>
      <c r="L15" s="40">
        <v>16480200</v>
      </c>
      <c r="M15" s="40"/>
      <c r="N15" s="37">
        <f t="shared" si="81"/>
        <v>351000</v>
      </c>
      <c r="O15" s="37">
        <v>12399.4</v>
      </c>
      <c r="P15" s="2"/>
      <c r="Q15" s="37">
        <f t="shared" si="5"/>
        <v>18299.999999999272</v>
      </c>
      <c r="R15" s="37">
        <f>IF(Q15&lt;=0,0,(Q15/SQRT(Q15^2+(P15-P14)^2)))</f>
        <v>1</v>
      </c>
      <c r="S15" s="37">
        <v>11259046.699999999</v>
      </c>
      <c r="T15" s="37">
        <f t="shared" si="6"/>
        <v>367.84999999962747</v>
      </c>
      <c r="U15" s="37">
        <v>1523790.61</v>
      </c>
      <c r="V15" s="37">
        <f t="shared" si="7"/>
        <v>0</v>
      </c>
      <c r="W15" s="37">
        <v>4442.7</v>
      </c>
      <c r="X15" s="37">
        <f t="shared" si="95"/>
        <v>17832.149999999645</v>
      </c>
      <c r="Y15" s="183"/>
      <c r="Z15" s="183"/>
      <c r="AA15" s="37">
        <v>793400</v>
      </c>
      <c r="AB15" s="37">
        <f t="shared" si="8"/>
        <v>100</v>
      </c>
      <c r="AC15" s="37">
        <v>4612.2</v>
      </c>
      <c r="AD15" s="37"/>
      <c r="AE15" s="37">
        <f t="shared" si="9"/>
        <v>5199.9999999998181</v>
      </c>
      <c r="AF15" s="37">
        <f>IF(AE15&lt;=0,0,(AE15/SQRT(AE15^2+(AD15-AD14)^2)))</f>
        <v>1</v>
      </c>
      <c r="AG15" s="37">
        <v>9988.2999999999993</v>
      </c>
      <c r="AH15" s="48"/>
      <c r="AI15" s="37">
        <f t="shared" si="10"/>
        <v>12570.269999998545</v>
      </c>
      <c r="AJ15" s="37">
        <f t="shared" si="11"/>
        <v>1</v>
      </c>
      <c r="AK15" s="37">
        <f t="shared" si="12"/>
        <v>35970.269999997632</v>
      </c>
      <c r="AL15" s="2">
        <v>11723.3</v>
      </c>
      <c r="AM15" s="42"/>
      <c r="AN15" s="37">
        <f t="shared" si="59"/>
        <v>6850.2699999986407</v>
      </c>
      <c r="AO15" s="37">
        <f>IF(AN15&lt;=0,0,(AN15/SQRT(AN15^2+(AM15-AM14)^2)))</f>
        <v>1</v>
      </c>
      <c r="AP15" s="37">
        <v>9168.7999999999993</v>
      </c>
      <c r="AQ15" s="37"/>
      <c r="AR15" s="37">
        <f t="shared" si="13"/>
        <v>13799.999999999272</v>
      </c>
      <c r="AS15" s="37">
        <f>IF(AR15&lt;=0,0,(AR15/SQRT(AR15^2+(AQ15-AQ14)^2)))</f>
        <v>1</v>
      </c>
      <c r="AT15" s="183"/>
      <c r="AU15" s="183"/>
      <c r="AV15" s="183"/>
      <c r="AW15" s="183"/>
      <c r="AX15" s="37">
        <v>515970</v>
      </c>
      <c r="AY15" s="37"/>
      <c r="AZ15" s="37">
        <f t="shared" si="14"/>
        <v>530</v>
      </c>
      <c r="BA15" s="37">
        <v>195480</v>
      </c>
      <c r="BB15" s="37"/>
      <c r="BC15" s="37">
        <f t="shared" si="15"/>
        <v>750</v>
      </c>
      <c r="BD15" s="37">
        <f t="shared" si="86"/>
        <v>21930.269999997912</v>
      </c>
      <c r="BE15" s="43">
        <v>2045.2</v>
      </c>
      <c r="BF15" s="43">
        <v>1143.3</v>
      </c>
      <c r="BG15" s="37">
        <f t="shared" si="16"/>
        <v>1500</v>
      </c>
      <c r="BH15" s="44">
        <v>9628.1</v>
      </c>
      <c r="BI15" s="44">
        <v>6211.3</v>
      </c>
      <c r="BJ15" s="37">
        <f t="shared" si="17"/>
        <v>8700.0000000007276</v>
      </c>
      <c r="BK15" s="40">
        <v>1883210</v>
      </c>
      <c r="BL15" s="40">
        <f t="shared" si="87"/>
        <v>4240</v>
      </c>
      <c r="BM15" s="40">
        <v>923.15</v>
      </c>
      <c r="BN15" s="37">
        <f t="shared" si="18"/>
        <v>679.99999999994998</v>
      </c>
      <c r="BO15" s="186"/>
      <c r="BP15" s="183">
        <f t="shared" si="19"/>
        <v>0</v>
      </c>
      <c r="BQ15" s="40">
        <v>869.8</v>
      </c>
      <c r="BR15" s="37">
        <f t="shared" si="60"/>
        <v>799.99999999995453</v>
      </c>
      <c r="BS15" s="37">
        <v>113848.49</v>
      </c>
      <c r="BT15" s="37">
        <f t="shared" si="20"/>
        <v>219.77000000000407</v>
      </c>
      <c r="BU15" s="42">
        <v>3339586</v>
      </c>
      <c r="BV15" s="42"/>
      <c r="BW15" s="37">
        <f t="shared" si="21"/>
        <v>11527</v>
      </c>
      <c r="BX15" s="37">
        <f>IF(BW15&lt;=0,0,(BW15/SQRT(BW15^2+(BV15-BV14)^2)))</f>
        <v>1</v>
      </c>
      <c r="BY15" s="43">
        <v>395.32209999999998</v>
      </c>
      <c r="BZ15" s="37"/>
      <c r="CA15" s="37">
        <f t="shared" si="22"/>
        <v>757.0999999999799</v>
      </c>
      <c r="CB15" s="37">
        <f t="shared" si="61"/>
        <v>1</v>
      </c>
      <c r="CC15" s="37">
        <v>760302.8</v>
      </c>
      <c r="CD15" s="37">
        <f t="shared" si="23"/>
        <v>2746.7000000000698</v>
      </c>
      <c r="CE15" s="37">
        <v>1637828</v>
      </c>
      <c r="CF15" s="37">
        <f t="shared" si="24"/>
        <v>5432</v>
      </c>
      <c r="CG15" s="37">
        <v>79550.3</v>
      </c>
      <c r="CH15" s="37">
        <f t="shared" si="62"/>
        <v>2323.3000000000029</v>
      </c>
      <c r="CI15" s="40">
        <v>14007.56</v>
      </c>
      <c r="CJ15" s="40"/>
      <c r="CK15" s="37">
        <f t="shared" si="63"/>
        <v>17163.169999998929</v>
      </c>
      <c r="CL15" s="37">
        <f t="shared" si="25"/>
        <v>1</v>
      </c>
      <c r="CM15" s="37">
        <v>4049.8110000000001</v>
      </c>
      <c r="CN15" s="37"/>
      <c r="CO15" s="37">
        <f t="shared" si="26"/>
        <v>8628.270000000357</v>
      </c>
      <c r="CP15" s="37">
        <f>IF(CO15&lt;=0,0,(CO15/SQRT(CO15^2+(CN15-CN14)^2)))</f>
        <v>1</v>
      </c>
      <c r="CQ15" s="39">
        <v>629815.5</v>
      </c>
      <c r="CR15" s="45"/>
      <c r="CS15" s="37">
        <f t="shared" si="64"/>
        <v>6741.27</v>
      </c>
      <c r="CT15" s="37">
        <f t="shared" si="65"/>
        <v>1</v>
      </c>
      <c r="CU15" s="37">
        <v>4382368</v>
      </c>
      <c r="CV15" s="37"/>
      <c r="CW15" s="38">
        <f t="shared" si="27"/>
        <v>412</v>
      </c>
      <c r="CX15" s="37">
        <f t="shared" si="90"/>
        <v>1</v>
      </c>
      <c r="CY15" s="37">
        <v>2338080</v>
      </c>
      <c r="CZ15" s="37"/>
      <c r="DA15" s="37">
        <f t="shared" si="28"/>
        <v>107</v>
      </c>
      <c r="DB15" s="37">
        <f>IF(DA15&lt;=0,0,(DA15/SQRT(DA15^2+(CZ15-CZ14)^2)))</f>
        <v>1</v>
      </c>
      <c r="DC15" s="37"/>
      <c r="DD15" s="40"/>
      <c r="DE15" s="37">
        <f t="shared" si="29"/>
        <v>0</v>
      </c>
      <c r="DF15" s="37">
        <f>IF(DE15&lt;=0,0,(DE15/SQRT(DE15^2+(DD15-DD14)^2)))</f>
        <v>0</v>
      </c>
      <c r="DG15" s="37">
        <f t="shared" si="30"/>
        <v>-44578.709999999286</v>
      </c>
      <c r="DH15" s="37">
        <f t="shared" si="31"/>
        <v>388470.26999999763</v>
      </c>
      <c r="DI15" s="46"/>
      <c r="DJ15" s="46"/>
      <c r="DK15" s="47"/>
      <c r="DL15" s="47"/>
      <c r="DM15" s="37"/>
      <c r="DN15" s="37"/>
      <c r="DO15" s="37"/>
      <c r="DP15" s="37"/>
      <c r="DQ15" s="50">
        <v>4233800</v>
      </c>
      <c r="DR15" s="49">
        <f t="shared" si="66"/>
        <v>9000</v>
      </c>
      <c r="DS15" s="50">
        <v>5242300</v>
      </c>
      <c r="DT15" s="49">
        <f t="shared" si="67"/>
        <v>22300</v>
      </c>
      <c r="DU15" s="52">
        <v>8315.7000000000007</v>
      </c>
      <c r="DV15" s="52">
        <v>4694.8</v>
      </c>
      <c r="DW15" s="37">
        <f t="shared" si="92"/>
        <v>4400.0000000014552</v>
      </c>
      <c r="DX15" s="52">
        <v>13736</v>
      </c>
      <c r="DY15" s="52">
        <v>8617.1</v>
      </c>
      <c r="DZ15" s="37">
        <f t="shared" si="32"/>
        <v>7970.27</v>
      </c>
      <c r="EA15" s="49">
        <v>31784</v>
      </c>
      <c r="EB15" s="49">
        <v>21.856000000000002</v>
      </c>
      <c r="EC15" s="37">
        <f t="shared" si="33"/>
        <v>23130.27</v>
      </c>
      <c r="ED15" s="53">
        <f t="shared" si="34"/>
        <v>35500.540000001456</v>
      </c>
      <c r="EE15" s="49">
        <v>47519</v>
      </c>
      <c r="EF15" s="49">
        <v>31.207999999999998</v>
      </c>
      <c r="EG15" s="37">
        <f t="shared" si="35"/>
        <v>11130.27</v>
      </c>
      <c r="EH15" s="52">
        <v>13960</v>
      </c>
      <c r="EI15" s="52">
        <v>2.0154000000000001</v>
      </c>
      <c r="EJ15" s="37">
        <f t="shared" si="36"/>
        <v>7970.27</v>
      </c>
      <c r="EK15" s="37">
        <v>849.17</v>
      </c>
      <c r="EL15" s="40">
        <v>1217.4000000000001</v>
      </c>
      <c r="EM15" s="37">
        <f t="shared" si="68"/>
        <v>209.99999999992269</v>
      </c>
      <c r="EN15" s="54">
        <f t="shared" si="69"/>
        <v>19310.539999999924</v>
      </c>
      <c r="EO15" s="48">
        <v>13566</v>
      </c>
      <c r="EP15" s="48"/>
      <c r="EQ15" s="37">
        <f t="shared" si="70"/>
        <v>6995.270000000035</v>
      </c>
      <c r="ER15" s="48">
        <v>10565</v>
      </c>
      <c r="ES15" s="48"/>
      <c r="ET15" s="49">
        <f>IF((ER15-ER14)&lt;=0,0,(ER15-ER14))*1000</f>
        <v>18000</v>
      </c>
      <c r="EU15" s="48">
        <v>4293.5</v>
      </c>
      <c r="EV15" s="48"/>
      <c r="EW15" s="49">
        <f t="shared" si="38"/>
        <v>9370.2699999996366</v>
      </c>
      <c r="EX15" s="48">
        <v>14391</v>
      </c>
      <c r="EY15" s="48"/>
      <c r="EZ15" s="37">
        <f t="shared" si="39"/>
        <v>11970.27</v>
      </c>
      <c r="FA15" s="48">
        <f t="shared" si="71"/>
        <v>-22750.80999999967</v>
      </c>
      <c r="FB15" s="48">
        <v>38220976</v>
      </c>
      <c r="FC15" s="49">
        <f>IF((FB15-FB14)&lt;=0,0,(FB15-FB14))</f>
        <v>23585</v>
      </c>
      <c r="FD15" s="48">
        <f t="shared" si="72"/>
        <v>48331.809999999678</v>
      </c>
      <c r="FE15" s="48">
        <v>17721</v>
      </c>
      <c r="FF15" s="48"/>
      <c r="FG15" s="37">
        <f t="shared" si="73"/>
        <v>3620.2699999999659</v>
      </c>
      <c r="FH15" s="48">
        <v>10055</v>
      </c>
      <c r="FI15" s="48"/>
      <c r="FJ15" s="49">
        <f t="shared" si="40"/>
        <v>3645.27</v>
      </c>
      <c r="FK15" s="48"/>
      <c r="FL15" s="58">
        <v>-325</v>
      </c>
      <c r="FM15" s="48">
        <f>FT15/3</f>
        <v>29.730000000011085</v>
      </c>
      <c r="FN15" s="48">
        <v>17538</v>
      </c>
      <c r="FO15" s="48"/>
      <c r="FP15" s="37">
        <f t="shared" si="74"/>
        <v>4645.2700000000004</v>
      </c>
      <c r="FQ15" s="48">
        <v>61751</v>
      </c>
      <c r="FR15" s="48"/>
      <c r="FS15" s="37">
        <f t="shared" si="41"/>
        <v>12000</v>
      </c>
      <c r="FT15" s="48">
        <f t="shared" si="75"/>
        <v>89.190000000033251</v>
      </c>
      <c r="FU15" s="48">
        <f t="shared" si="76"/>
        <v>11910.809999999967</v>
      </c>
      <c r="FV15" s="44">
        <v>6380500</v>
      </c>
      <c r="FW15" s="44"/>
      <c r="FX15" s="37">
        <f t="shared" si="42"/>
        <v>500</v>
      </c>
      <c r="FY15" s="56">
        <v>18395</v>
      </c>
      <c r="FZ15" s="56"/>
      <c r="GA15" s="37">
        <f t="shared" si="98"/>
        <v>161</v>
      </c>
      <c r="GB15" s="56">
        <v>875.84</v>
      </c>
      <c r="GC15" s="56"/>
      <c r="GD15" s="37">
        <f t="shared" si="44"/>
        <v>300.00000000006821</v>
      </c>
      <c r="GE15" s="56">
        <v>10800</v>
      </c>
      <c r="GF15" s="56"/>
      <c r="GG15" s="37">
        <f t="shared" si="45"/>
        <v>1004</v>
      </c>
      <c r="GH15" s="153">
        <v>19277</v>
      </c>
      <c r="GI15" s="162"/>
      <c r="GJ15" s="38">
        <f t="shared" si="77"/>
        <v>1996</v>
      </c>
      <c r="GK15" s="162">
        <v>1521.2</v>
      </c>
      <c r="GL15" s="163"/>
      <c r="GM15" s="38">
        <f t="shared" si="46"/>
        <v>0</v>
      </c>
      <c r="GN15" s="57">
        <v>244020</v>
      </c>
      <c r="GO15" s="57"/>
      <c r="GP15" s="38">
        <f t="shared" si="97"/>
        <v>0</v>
      </c>
      <c r="GQ15" s="38">
        <v>296470</v>
      </c>
      <c r="GR15" s="38"/>
      <c r="GS15" s="38">
        <f t="shared" si="78"/>
        <v>10</v>
      </c>
      <c r="GT15" s="178"/>
      <c r="GU15" s="144">
        <f>DailyAug!B14-DailyAug!N14-DailyAug!V14-DailyAug!Y14-DailyAug!Z14-DailyAug!AA14-DailyAug!AB14-DailyAug!AC14-DailyAug!AD14-DailyAug!AE14-DailyAug!AK14-DailyAug!AO14-DailyAug!AS14-DailyAug!AY14-DailyAug!BD14+DailyAug!BU14-DailyAug!BG14-DailyAug!BT14-DailyAug!AF14-DailyAug!AG14</f>
        <v>-4.9999990151263773E-2</v>
      </c>
      <c r="GV15" s="59">
        <v>-446</v>
      </c>
      <c r="GW15" s="60">
        <f t="shared" si="47"/>
        <v>-29.733333333333334</v>
      </c>
      <c r="GX15" s="61">
        <v>-29.73</v>
      </c>
      <c r="GY15" s="140"/>
      <c r="GZ15" s="62"/>
      <c r="HA15" s="62"/>
      <c r="HB15" s="74"/>
      <c r="HC15" s="62"/>
      <c r="HD15" s="74"/>
      <c r="HE15" s="24">
        <f t="shared" si="48"/>
        <v>0</v>
      </c>
      <c r="HF15" s="151"/>
      <c r="HG15" s="213">
        <v>9</v>
      </c>
      <c r="HH15" s="16">
        <f>HH14+170</f>
        <v>21047</v>
      </c>
      <c r="HI15" s="16">
        <f>HI14+((HI16-HI14)/2)</f>
        <v>8036.15</v>
      </c>
      <c r="HJ15" s="16">
        <f t="shared" si="49"/>
        <v>170000</v>
      </c>
      <c r="HK15" s="16">
        <v>2.1432000000000002</v>
      </c>
      <c r="HL15" s="16">
        <v>807.23</v>
      </c>
      <c r="HM15" s="16">
        <f>IF((HK15-HK14)&lt;=0,0,(HK15-HK14))</f>
        <v>0</v>
      </c>
      <c r="HN15" s="16">
        <f>HN14+((HN16-HN14)/2)</f>
        <v>5418.7</v>
      </c>
      <c r="HO15" s="16">
        <f>HO14+((HO16-HO14)/2)</f>
        <v>2338.6999999999998</v>
      </c>
      <c r="HP15" s="16">
        <f t="shared" si="51"/>
        <v>42900</v>
      </c>
      <c r="HQ15" s="16">
        <f>HQ14+((HQ16-HQ14)/2)</f>
        <v>4020.75</v>
      </c>
      <c r="HR15" s="16">
        <f>HR14+((HR16-HR14)/2)</f>
        <v>1711.4</v>
      </c>
      <c r="HS15" s="16">
        <f t="shared" si="52"/>
        <v>26950.000000000182</v>
      </c>
      <c r="HT15" s="16">
        <f>HT14+((HT16-HT14)/2)</f>
        <v>3779.3</v>
      </c>
      <c r="HU15" s="16">
        <f>HU14+((HU16-HU14)/2)</f>
        <v>1389.6</v>
      </c>
      <c r="HV15" s="16">
        <f t="shared" si="53"/>
        <v>25000.000000000364</v>
      </c>
      <c r="HW15" s="16">
        <f>HW14+((HW16-HW14)/2)</f>
        <v>2538.75</v>
      </c>
      <c r="HX15" s="16">
        <f>HX14+((HX16-HX14)/2)</f>
        <v>1096.75</v>
      </c>
      <c r="HY15" s="16">
        <f t="shared" si="54"/>
        <v>22749.999999999909</v>
      </c>
      <c r="HZ15" s="16">
        <f>HZ14+((HZ16-HZ14)/2)</f>
        <v>1602800</v>
      </c>
      <c r="IA15" s="16">
        <f>IA14+((IA16-IA14)/2)</f>
        <v>719700</v>
      </c>
      <c r="IB15" s="16">
        <f t="shared" si="55"/>
        <v>30100</v>
      </c>
      <c r="IC15" s="16">
        <v>719.8</v>
      </c>
      <c r="ID15" s="16">
        <v>232.78</v>
      </c>
      <c r="IE15" s="16">
        <f t="shared" si="79"/>
        <v>0</v>
      </c>
      <c r="IF15" s="16"/>
      <c r="IG15" s="16"/>
      <c r="IH15" s="128">
        <f t="shared" si="56"/>
        <v>22300</v>
      </c>
      <c r="II15" s="211">
        <f t="shared" si="57"/>
        <v>-4.5110937207937241E-10</v>
      </c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G15" s="151">
        <f t="shared" si="58"/>
        <v>72999.999999999549</v>
      </c>
    </row>
    <row r="16" spans="1:293" x14ac:dyDescent="0.25">
      <c r="A16" s="35">
        <f t="shared" si="0"/>
        <v>10</v>
      </c>
      <c r="B16" s="38">
        <v>5178.32</v>
      </c>
      <c r="C16" s="38">
        <f t="shared" si="1"/>
        <v>10.049999999999272</v>
      </c>
      <c r="D16" s="38">
        <f t="shared" si="2"/>
        <v>321599.99999997672</v>
      </c>
      <c r="E16" s="38">
        <v>1040.1500000000001</v>
      </c>
      <c r="F16" s="38">
        <f t="shared" si="3"/>
        <v>64639.999999999418</v>
      </c>
      <c r="G16" s="38">
        <f t="shared" si="4"/>
        <v>386239.99999997613</v>
      </c>
      <c r="H16" s="37"/>
      <c r="I16" s="39"/>
      <c r="J16" s="42"/>
      <c r="K16" s="37">
        <f t="shared" si="80"/>
        <v>0</v>
      </c>
      <c r="L16" s="40">
        <v>16518700</v>
      </c>
      <c r="M16" s="40"/>
      <c r="N16" s="37">
        <f t="shared" si="81"/>
        <v>385000</v>
      </c>
      <c r="O16" s="37">
        <v>12417.2</v>
      </c>
      <c r="P16" s="48"/>
      <c r="Q16" s="37">
        <f t="shared" si="5"/>
        <v>17800.000000001091</v>
      </c>
      <c r="R16" s="37">
        <f t="shared" si="82"/>
        <v>1</v>
      </c>
      <c r="S16" s="37">
        <v>11259376.029999999</v>
      </c>
      <c r="T16" s="37">
        <f t="shared" si="6"/>
        <v>329.33000000007451</v>
      </c>
      <c r="U16" s="37">
        <v>1523790.61</v>
      </c>
      <c r="V16" s="37">
        <f t="shared" si="7"/>
        <v>0</v>
      </c>
      <c r="W16" s="37">
        <v>4448.7</v>
      </c>
      <c r="X16" s="37">
        <f t="shared" si="95"/>
        <v>17470.670000001017</v>
      </c>
      <c r="Y16" s="183"/>
      <c r="Z16" s="183"/>
      <c r="AA16" s="37">
        <v>793400</v>
      </c>
      <c r="AB16" s="37">
        <f t="shared" si="8"/>
        <v>0</v>
      </c>
      <c r="AC16" s="37">
        <v>4617.2</v>
      </c>
      <c r="AD16" s="37"/>
      <c r="AE16" s="37">
        <f t="shared" si="9"/>
        <v>5000</v>
      </c>
      <c r="AF16" s="37">
        <f t="shared" si="83"/>
        <v>1</v>
      </c>
      <c r="AG16" s="37">
        <v>10000.4</v>
      </c>
      <c r="AH16" s="37"/>
      <c r="AI16" s="37">
        <f t="shared" si="10"/>
        <v>12326.710000000363</v>
      </c>
      <c r="AJ16" s="37">
        <f t="shared" si="11"/>
        <v>1</v>
      </c>
      <c r="AK16" s="37">
        <f t="shared" si="12"/>
        <v>35126.710000001454</v>
      </c>
      <c r="AL16" s="42">
        <v>11735.9</v>
      </c>
      <c r="AM16" s="42"/>
      <c r="AN16" s="37">
        <f t="shared" si="59"/>
        <v>7566.710000000222</v>
      </c>
      <c r="AO16" s="37">
        <f t="shared" si="84"/>
        <v>1</v>
      </c>
      <c r="AP16" s="37">
        <v>9182.7000000000007</v>
      </c>
      <c r="AQ16" s="37"/>
      <c r="AR16" s="37">
        <f t="shared" si="13"/>
        <v>13900.000000001455</v>
      </c>
      <c r="AS16" s="37">
        <f t="shared" si="85"/>
        <v>1</v>
      </c>
      <c r="AT16" s="183"/>
      <c r="AU16" s="183"/>
      <c r="AV16" s="183"/>
      <c r="AW16" s="183"/>
      <c r="AX16" s="37">
        <v>516490</v>
      </c>
      <c r="AY16" s="37"/>
      <c r="AZ16" s="37">
        <f t="shared" si="14"/>
        <v>520</v>
      </c>
      <c r="BA16" s="37">
        <v>196220</v>
      </c>
      <c r="BB16" s="37"/>
      <c r="BC16" s="37">
        <f t="shared" si="15"/>
        <v>740</v>
      </c>
      <c r="BD16" s="37">
        <f t="shared" si="86"/>
        <v>22726.710000001676</v>
      </c>
      <c r="BE16" s="43">
        <v>2046.8</v>
      </c>
      <c r="BF16" s="43">
        <v>1144.4000000000001</v>
      </c>
      <c r="BG16" s="37">
        <f t="shared" si="16"/>
        <v>1599.9999999999091</v>
      </c>
      <c r="BH16" s="44">
        <v>9636.7999999999993</v>
      </c>
      <c r="BI16" s="44">
        <v>6217.3</v>
      </c>
      <c r="BJ16" s="37">
        <f t="shared" si="17"/>
        <v>8699.9999999989086</v>
      </c>
      <c r="BK16" s="40">
        <v>1887500</v>
      </c>
      <c r="BL16" s="40">
        <f t="shared" si="87"/>
        <v>4290</v>
      </c>
      <c r="BM16" s="40">
        <v>923.82</v>
      </c>
      <c r="BN16" s="37">
        <f t="shared" si="18"/>
        <v>670.00000000007276</v>
      </c>
      <c r="BO16" s="186"/>
      <c r="BP16" s="183">
        <f t="shared" si="19"/>
        <v>0</v>
      </c>
      <c r="BQ16" s="40">
        <v>870.1</v>
      </c>
      <c r="BR16" s="37">
        <f t="shared" si="60"/>
        <v>300.00000000006821</v>
      </c>
      <c r="BS16" s="37">
        <v>114097.05</v>
      </c>
      <c r="BT16" s="37">
        <f t="shared" si="20"/>
        <v>248.55999999999767</v>
      </c>
      <c r="BU16" s="42">
        <v>3350945</v>
      </c>
      <c r="BV16" s="42"/>
      <c r="BW16" s="37">
        <f t="shared" si="21"/>
        <v>11359</v>
      </c>
      <c r="BX16" s="37">
        <f t="shared" si="88"/>
        <v>1</v>
      </c>
      <c r="BY16" s="43">
        <v>396.12740000000002</v>
      </c>
      <c r="BZ16" s="37"/>
      <c r="CA16" s="37">
        <f t="shared" si="22"/>
        <v>805.3000000000452</v>
      </c>
      <c r="CB16" s="37">
        <f t="shared" si="61"/>
        <v>1</v>
      </c>
      <c r="CC16" s="37">
        <v>762955.7</v>
      </c>
      <c r="CD16" s="37">
        <f t="shared" si="23"/>
        <v>2652.8999999999069</v>
      </c>
      <c r="CE16" s="37">
        <v>1643237</v>
      </c>
      <c r="CF16" s="37">
        <f t="shared" si="24"/>
        <v>5409</v>
      </c>
      <c r="CG16" s="37">
        <v>81849.3</v>
      </c>
      <c r="CH16" s="37">
        <f t="shared" si="62"/>
        <v>2299</v>
      </c>
      <c r="CI16" s="40">
        <v>14025.67</v>
      </c>
      <c r="CJ16" s="40"/>
      <c r="CK16" s="37">
        <f t="shared" si="63"/>
        <v>17531.410000000535</v>
      </c>
      <c r="CL16" s="37">
        <f t="shared" si="25"/>
        <v>1</v>
      </c>
      <c r="CM16" s="37">
        <v>4058.8139999999999</v>
      </c>
      <c r="CN16" s="37"/>
      <c r="CO16" s="37">
        <f t="shared" si="26"/>
        <v>9229.7099999997008</v>
      </c>
      <c r="CP16" s="37">
        <f t="shared" si="89"/>
        <v>1</v>
      </c>
      <c r="CQ16" s="39">
        <v>636984.9</v>
      </c>
      <c r="CR16" s="45"/>
      <c r="CS16" s="37">
        <f t="shared" si="64"/>
        <v>7396.1100000000233</v>
      </c>
      <c r="CT16" s="37">
        <f t="shared" si="65"/>
        <v>1</v>
      </c>
      <c r="CU16" s="37">
        <v>4382726</v>
      </c>
      <c r="CV16" s="37"/>
      <c r="CW16" s="38">
        <f t="shared" si="27"/>
        <v>358</v>
      </c>
      <c r="CX16" s="37">
        <f t="shared" si="90"/>
        <v>1</v>
      </c>
      <c r="CY16" s="37">
        <v>2338173</v>
      </c>
      <c r="CZ16" s="37"/>
      <c r="DA16" s="37">
        <f t="shared" si="28"/>
        <v>93</v>
      </c>
      <c r="DB16" s="37">
        <f t="shared" si="91"/>
        <v>1</v>
      </c>
      <c r="DC16" s="37"/>
      <c r="DD16" s="40"/>
      <c r="DE16" s="37">
        <f t="shared" si="29"/>
        <v>0</v>
      </c>
      <c r="DF16" s="37">
        <f t="shared" si="96"/>
        <v>0</v>
      </c>
      <c r="DG16" s="37">
        <f t="shared" si="30"/>
        <v>-45967.230000000258</v>
      </c>
      <c r="DH16" s="37">
        <f t="shared" si="31"/>
        <v>421726.71000000136</v>
      </c>
      <c r="DI16" s="46"/>
      <c r="DJ16" s="46"/>
      <c r="DK16" s="47"/>
      <c r="DL16" s="47"/>
      <c r="DM16" s="37"/>
      <c r="DN16" s="37"/>
      <c r="DO16" s="37"/>
      <c r="DP16" s="37"/>
      <c r="DQ16" s="50">
        <v>4244100</v>
      </c>
      <c r="DR16" s="49">
        <f t="shared" si="66"/>
        <v>10300</v>
      </c>
      <c r="DS16" s="50">
        <v>5265000</v>
      </c>
      <c r="DT16" s="49">
        <f t="shared" si="67"/>
        <v>22700</v>
      </c>
      <c r="DU16" s="52">
        <v>8320</v>
      </c>
      <c r="DV16" s="52">
        <v>4698</v>
      </c>
      <c r="DW16" s="37">
        <f t="shared" si="92"/>
        <v>4299.9999999992724</v>
      </c>
      <c r="DX16" s="52">
        <v>13744</v>
      </c>
      <c r="DY16" s="52">
        <v>8620.2999999999993</v>
      </c>
      <c r="DZ16" s="37">
        <f t="shared" si="32"/>
        <v>8226.7099999999991</v>
      </c>
      <c r="EA16" s="49">
        <v>31808</v>
      </c>
      <c r="EB16" s="49">
        <v>21.867000000000001</v>
      </c>
      <c r="EC16" s="37">
        <f t="shared" si="33"/>
        <v>26386.71</v>
      </c>
      <c r="ED16" s="53">
        <f t="shared" si="34"/>
        <v>38913.419999999271</v>
      </c>
      <c r="EE16" s="49">
        <v>47550</v>
      </c>
      <c r="EF16" s="49">
        <v>31.231000000000002</v>
      </c>
      <c r="EG16" s="37">
        <f t="shared" si="35"/>
        <v>33386.71</v>
      </c>
      <c r="EH16" s="52">
        <v>13970</v>
      </c>
      <c r="EI16" s="52">
        <v>2.0179999999999998</v>
      </c>
      <c r="EJ16" s="37">
        <f t="shared" si="36"/>
        <v>10226.709999999999</v>
      </c>
      <c r="EK16" s="37">
        <v>850.02</v>
      </c>
      <c r="EL16" s="40">
        <v>1218.5999999999999</v>
      </c>
      <c r="EM16" s="37">
        <f t="shared" si="68"/>
        <v>850.00000000002274</v>
      </c>
      <c r="EN16" s="54">
        <f t="shared" si="69"/>
        <v>44463.42000000002</v>
      </c>
      <c r="EO16" s="48">
        <v>13573</v>
      </c>
      <c r="EP16" s="48"/>
      <c r="EQ16" s="37">
        <f t="shared" si="70"/>
        <v>6276.7099999999546</v>
      </c>
      <c r="ER16" s="48">
        <v>10584</v>
      </c>
      <c r="ES16" s="48"/>
      <c r="ET16" s="49">
        <f t="shared" ref="ET16:ET38" si="99">IF((ER16-ER15)&lt;=0,0,(ER16-ER15))*1000</f>
        <v>19000</v>
      </c>
      <c r="EU16" s="48">
        <v>4302.7</v>
      </c>
      <c r="EV16" s="48"/>
      <c r="EW16" s="49">
        <f t="shared" si="38"/>
        <v>9426.7099999998172</v>
      </c>
      <c r="EX16" s="48">
        <v>14402</v>
      </c>
      <c r="EY16" s="48"/>
      <c r="EZ16" s="37">
        <f t="shared" si="39"/>
        <v>11226.71</v>
      </c>
      <c r="FA16" s="48">
        <f t="shared" si="71"/>
        <v>-22651.129999999772</v>
      </c>
      <c r="FB16" s="48">
        <v>38244255</v>
      </c>
      <c r="FC16" s="49">
        <f t="shared" si="93"/>
        <v>23279</v>
      </c>
      <c r="FD16" s="48">
        <f t="shared" si="72"/>
        <v>47684.129999999772</v>
      </c>
      <c r="FE16" s="48">
        <v>17730</v>
      </c>
      <c r="FF16" s="48"/>
      <c r="FG16" s="37">
        <f t="shared" si="73"/>
        <v>10526.710000000045</v>
      </c>
      <c r="FH16" s="48">
        <v>10072</v>
      </c>
      <c r="FI16" s="48"/>
      <c r="FJ16" s="49">
        <f t="shared" si="40"/>
        <v>17576.71</v>
      </c>
      <c r="FK16" s="48"/>
      <c r="FL16" s="58">
        <v>350</v>
      </c>
      <c r="FM16" s="48">
        <f t="shared" si="94"/>
        <v>-226.71000000001368</v>
      </c>
      <c r="FN16" s="48">
        <v>17550</v>
      </c>
      <c r="FO16" s="48"/>
      <c r="FP16" s="37">
        <f t="shared" si="74"/>
        <v>12576.71</v>
      </c>
      <c r="FQ16" s="48">
        <v>61791</v>
      </c>
      <c r="FR16" s="48"/>
      <c r="FS16" s="37">
        <f t="shared" si="41"/>
        <v>40000</v>
      </c>
      <c r="FT16" s="48">
        <f t="shared" si="75"/>
        <v>-680.13000000004104</v>
      </c>
      <c r="FU16" s="48">
        <f t="shared" si="76"/>
        <v>41880.130000000085</v>
      </c>
      <c r="FV16" s="44">
        <v>6381100</v>
      </c>
      <c r="FW16" s="44"/>
      <c r="FX16" s="37">
        <f t="shared" si="42"/>
        <v>600</v>
      </c>
      <c r="FY16" s="56">
        <v>18560</v>
      </c>
      <c r="FZ16" s="56"/>
      <c r="GA16" s="37">
        <f t="shared" si="98"/>
        <v>165</v>
      </c>
      <c r="GB16" s="56">
        <v>876.12</v>
      </c>
      <c r="GC16" s="56"/>
      <c r="GD16" s="37">
        <f t="shared" si="44"/>
        <v>279.99999999997272</v>
      </c>
      <c r="GE16" s="56">
        <v>10804</v>
      </c>
      <c r="GF16" s="56"/>
      <c r="GG16" s="37">
        <f t="shared" si="45"/>
        <v>1045.9999999999545</v>
      </c>
      <c r="GH16" s="153">
        <v>21031</v>
      </c>
      <c r="GI16" s="162"/>
      <c r="GJ16" s="38">
        <f t="shared" si="77"/>
        <v>1754</v>
      </c>
      <c r="GK16" s="162">
        <v>1522.4</v>
      </c>
      <c r="GL16" s="163"/>
      <c r="GM16" s="38">
        <f t="shared" si="46"/>
        <v>1200.0000000000455</v>
      </c>
      <c r="GN16" s="57">
        <v>244020</v>
      </c>
      <c r="GO16" s="57"/>
      <c r="GP16" s="38">
        <f t="shared" si="97"/>
        <v>0</v>
      </c>
      <c r="GQ16" s="38">
        <v>296470</v>
      </c>
      <c r="GR16" s="38"/>
      <c r="GS16" s="38">
        <f t="shared" si="78"/>
        <v>0</v>
      </c>
      <c r="GT16" s="178"/>
      <c r="GU16" s="144">
        <f>DailyAug!B15-DailyAug!N15-DailyAug!V15-DailyAug!Y15-DailyAug!Z15-DailyAug!AA15-DailyAug!AB15-DailyAug!AC15-DailyAug!AD15-DailyAug!AE15-DailyAug!AK15-DailyAug!AO15-DailyAug!AS15-DailyAug!AY15-DailyAug!BD15+DailyAug!BU15-DailyAug!BG15-DailyAug!BT15-DailyAug!AF15-DailyAug!AG15</f>
        <v>4.9999974784441292E-2</v>
      </c>
      <c r="GV16" s="59">
        <v>3400.7</v>
      </c>
      <c r="GW16" s="60">
        <f t="shared" si="47"/>
        <v>226.71333333333331</v>
      </c>
      <c r="GX16" s="61">
        <v>226.71</v>
      </c>
      <c r="GY16" s="140"/>
      <c r="GZ16" s="62"/>
      <c r="HA16" s="62"/>
      <c r="HB16" s="74"/>
      <c r="HC16" s="62"/>
      <c r="HD16" s="74"/>
      <c r="HE16" s="24">
        <f t="shared" si="48"/>
        <v>0</v>
      </c>
      <c r="HF16" s="151"/>
      <c r="HG16" s="213">
        <v>10</v>
      </c>
      <c r="HH16" s="16">
        <v>21219</v>
      </c>
      <c r="HI16" s="16">
        <v>8099.6</v>
      </c>
      <c r="HJ16" s="16">
        <f t="shared" si="49"/>
        <v>172000</v>
      </c>
      <c r="HK16" s="16">
        <v>2.1432000000000002</v>
      </c>
      <c r="HL16" s="16">
        <v>807.23</v>
      </c>
      <c r="HM16" s="16">
        <f t="shared" ref="HM16:HM38" si="100">IF((HK16-HK15)&lt;=0,0,(HK16-HK15))</f>
        <v>0</v>
      </c>
      <c r="HN16" s="16">
        <v>5461.7</v>
      </c>
      <c r="HO16" s="16">
        <v>2356.1</v>
      </c>
      <c r="HP16" s="16">
        <f t="shared" si="51"/>
        <v>43300</v>
      </c>
      <c r="HQ16" s="16">
        <v>4047.8</v>
      </c>
      <c r="HR16" s="16">
        <v>1722</v>
      </c>
      <c r="HS16" s="16">
        <f t="shared" si="52"/>
        <v>27350.000000000182</v>
      </c>
      <c r="HT16" s="16">
        <v>3804.4</v>
      </c>
      <c r="HU16" s="16">
        <v>1397.9</v>
      </c>
      <c r="HV16" s="16">
        <f t="shared" si="53"/>
        <v>25399.999999999909</v>
      </c>
      <c r="HW16" s="16">
        <v>2561.6</v>
      </c>
      <c r="HX16" s="16">
        <v>1106.0999999999999</v>
      </c>
      <c r="HY16" s="16">
        <f t="shared" si="54"/>
        <v>23149.999999999909</v>
      </c>
      <c r="HZ16" s="16">
        <v>1632900</v>
      </c>
      <c r="IA16" s="16">
        <v>731950</v>
      </c>
      <c r="IB16" s="16">
        <f t="shared" si="55"/>
        <v>30100</v>
      </c>
      <c r="IC16" s="16">
        <v>719.8</v>
      </c>
      <c r="ID16" s="16">
        <v>232.78</v>
      </c>
      <c r="IE16" s="16">
        <f t="shared" si="79"/>
        <v>0</v>
      </c>
      <c r="IF16" s="16"/>
      <c r="IG16" s="16"/>
      <c r="IH16" s="128">
        <f t="shared" si="56"/>
        <v>22700</v>
      </c>
      <c r="II16" s="211">
        <f t="shared" si="57"/>
        <v>0</v>
      </c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G16" s="151">
        <f t="shared" si="58"/>
        <v>73400</v>
      </c>
    </row>
    <row r="17" spans="1:293" x14ac:dyDescent="0.25">
      <c r="A17" s="35">
        <f t="shared" si="0"/>
        <v>11</v>
      </c>
      <c r="B17" s="38">
        <v>5188.3100000000004</v>
      </c>
      <c r="C17" s="38">
        <f t="shared" si="1"/>
        <v>9.9900000000006912</v>
      </c>
      <c r="D17" s="38">
        <f t="shared" si="2"/>
        <v>319680.00000002212</v>
      </c>
      <c r="E17" s="38">
        <v>1042.18</v>
      </c>
      <c r="F17" s="38">
        <f t="shared" si="3"/>
        <v>64959.999999999127</v>
      </c>
      <c r="G17" s="38">
        <f t="shared" si="4"/>
        <v>384640.00000002125</v>
      </c>
      <c r="H17" s="37"/>
      <c r="I17" s="39"/>
      <c r="J17" s="42"/>
      <c r="K17" s="37">
        <f t="shared" si="80"/>
        <v>0</v>
      </c>
      <c r="L17" s="40">
        <v>16556800</v>
      </c>
      <c r="M17" s="40"/>
      <c r="N17" s="37">
        <f t="shared" si="81"/>
        <v>381000</v>
      </c>
      <c r="O17" s="37">
        <v>12434.7</v>
      </c>
      <c r="P17" s="37"/>
      <c r="Q17" s="37">
        <f t="shared" si="5"/>
        <v>17500</v>
      </c>
      <c r="R17" s="37">
        <f t="shared" si="82"/>
        <v>1</v>
      </c>
      <c r="S17" s="37">
        <v>11259616.390000001</v>
      </c>
      <c r="T17" s="37">
        <f t="shared" si="6"/>
        <v>240.3600000012666</v>
      </c>
      <c r="U17" s="37">
        <v>1523790.61</v>
      </c>
      <c r="V17" s="37">
        <f>IF((U17-U16)&lt;=0,0,(U17-U16))</f>
        <v>0</v>
      </c>
      <c r="W17" s="37">
        <v>4454.6000000000004</v>
      </c>
      <c r="X17" s="37">
        <f t="shared" si="95"/>
        <v>17159.639999998733</v>
      </c>
      <c r="Y17" s="183"/>
      <c r="Z17" s="183"/>
      <c r="AA17" s="37">
        <v>793500</v>
      </c>
      <c r="AB17" s="37">
        <f t="shared" si="8"/>
        <v>100</v>
      </c>
      <c r="AC17" s="37">
        <v>4622.1000000000004</v>
      </c>
      <c r="AD17" s="37"/>
      <c r="AE17" s="37">
        <f t="shared" si="9"/>
        <v>4900.0000000005457</v>
      </c>
      <c r="AF17" s="37">
        <f t="shared" si="83"/>
        <v>1</v>
      </c>
      <c r="AG17" s="37">
        <v>10012.299999999999</v>
      </c>
      <c r="AH17" s="37"/>
      <c r="AI17" s="37">
        <f t="shared" si="10"/>
        <v>11571.269999999637</v>
      </c>
      <c r="AJ17" s="37">
        <f t="shared" si="11"/>
        <v>1</v>
      </c>
      <c r="AK17" s="37">
        <f t="shared" si="12"/>
        <v>33871.270000000179</v>
      </c>
      <c r="AL17" s="2">
        <v>11748.2</v>
      </c>
      <c r="AM17" s="42"/>
      <c r="AN17" s="37">
        <f t="shared" si="59"/>
        <v>6801.270000001201</v>
      </c>
      <c r="AO17" s="37">
        <f t="shared" si="84"/>
        <v>1</v>
      </c>
      <c r="AP17" s="37">
        <v>9195.9</v>
      </c>
      <c r="AQ17" s="37"/>
      <c r="AR17" s="37">
        <f t="shared" si="13"/>
        <v>13199.999999998909</v>
      </c>
      <c r="AS17" s="37">
        <f t="shared" si="85"/>
        <v>1</v>
      </c>
      <c r="AT17" s="183"/>
      <c r="AU17" s="183"/>
      <c r="AV17" s="183"/>
      <c r="AW17" s="183"/>
      <c r="AX17" s="37">
        <v>516970</v>
      </c>
      <c r="AY17" s="37"/>
      <c r="AZ17" s="37">
        <f t="shared" si="14"/>
        <v>480</v>
      </c>
      <c r="BA17" s="37">
        <v>196950</v>
      </c>
      <c r="BB17" s="37"/>
      <c r="BC17" s="37">
        <f t="shared" si="15"/>
        <v>730</v>
      </c>
      <c r="BD17" s="37">
        <f t="shared" si="86"/>
        <v>21211.27000000011</v>
      </c>
      <c r="BE17" s="43">
        <v>2048.4</v>
      </c>
      <c r="BF17" s="43">
        <v>1145.5999999999999</v>
      </c>
      <c r="BG17" s="37">
        <f t="shared" si="16"/>
        <v>1600.0000000001364</v>
      </c>
      <c r="BH17" s="44">
        <v>9645.4</v>
      </c>
      <c r="BI17" s="44">
        <v>6223.2</v>
      </c>
      <c r="BJ17" s="37">
        <f t="shared" si="17"/>
        <v>8600.0000000003638</v>
      </c>
      <c r="BK17" s="40">
        <v>1891800</v>
      </c>
      <c r="BL17" s="40">
        <f t="shared" si="87"/>
        <v>4300</v>
      </c>
      <c r="BM17" s="40">
        <v>924.49</v>
      </c>
      <c r="BN17" s="37">
        <f t="shared" si="18"/>
        <v>669.99999999995907</v>
      </c>
      <c r="BO17" s="186"/>
      <c r="BP17" s="183">
        <f t="shared" si="19"/>
        <v>0</v>
      </c>
      <c r="BQ17" s="40">
        <v>870.3</v>
      </c>
      <c r="BR17" s="37">
        <f t="shared" si="60"/>
        <v>199.99999999993179</v>
      </c>
      <c r="BS17" s="37">
        <v>114332.41</v>
      </c>
      <c r="BT17" s="37">
        <f t="shared" si="20"/>
        <v>235.36000000000058</v>
      </c>
      <c r="BU17" s="42">
        <v>3363146</v>
      </c>
      <c r="BV17" s="42"/>
      <c r="BW17" s="37">
        <f t="shared" si="21"/>
        <v>12201</v>
      </c>
      <c r="BX17" s="37">
        <f t="shared" si="88"/>
        <v>1</v>
      </c>
      <c r="BY17" s="43">
        <v>396.8879</v>
      </c>
      <c r="BZ17" s="43"/>
      <c r="CA17" s="37">
        <f>IF((BY17-BY16)&lt;=0,0,(BY17-BY16)*1000)</f>
        <v>760.49999999997908</v>
      </c>
      <c r="CB17" s="37">
        <f t="shared" si="61"/>
        <v>1</v>
      </c>
      <c r="CC17" s="37">
        <v>765670</v>
      </c>
      <c r="CD17" s="37">
        <f t="shared" si="23"/>
        <v>2714.3000000000466</v>
      </c>
      <c r="CE17" s="37">
        <v>1649864</v>
      </c>
      <c r="CF17" s="37">
        <f t="shared" si="24"/>
        <v>6627</v>
      </c>
      <c r="CG17" s="37">
        <v>84219.6</v>
      </c>
      <c r="CH17" s="37">
        <f t="shared" si="62"/>
        <v>2370.3000000000029</v>
      </c>
      <c r="CI17" s="40">
        <v>14043.82</v>
      </c>
      <c r="CJ17" s="40"/>
      <c r="CK17" s="37">
        <f t="shared" si="63"/>
        <v>17060.769999999658</v>
      </c>
      <c r="CL17" s="37">
        <f t="shared" si="25"/>
        <v>1</v>
      </c>
      <c r="CM17" s="37">
        <v>4067.9349999999999</v>
      </c>
      <c r="CN17" s="37"/>
      <c r="CO17" s="37">
        <f t="shared" si="26"/>
        <v>8792.270000000095</v>
      </c>
      <c r="CP17" s="37">
        <f t="shared" si="89"/>
        <v>1</v>
      </c>
      <c r="CQ17" s="39">
        <v>644362.30000000005</v>
      </c>
      <c r="CR17" s="45"/>
      <c r="CS17" s="37">
        <f t="shared" si="64"/>
        <v>7048.6700000000237</v>
      </c>
      <c r="CT17" s="37">
        <f t="shared" si="65"/>
        <v>1</v>
      </c>
      <c r="CU17" s="37">
        <v>4383082</v>
      </c>
      <c r="CV17" s="37"/>
      <c r="CW17" s="38">
        <f t="shared" si="27"/>
        <v>356</v>
      </c>
      <c r="CX17" s="37">
        <f t="shared" si="90"/>
        <v>1</v>
      </c>
      <c r="CY17" s="37">
        <v>2338272</v>
      </c>
      <c r="CZ17" s="37"/>
      <c r="DA17" s="37">
        <f t="shared" si="28"/>
        <v>99</v>
      </c>
      <c r="DB17" s="37">
        <f t="shared" si="91"/>
        <v>1</v>
      </c>
      <c r="DC17" s="37"/>
      <c r="DD17" s="40"/>
      <c r="DE17" s="37">
        <f t="shared" si="29"/>
        <v>0</v>
      </c>
      <c r="DF17" s="37">
        <f t="shared" si="96"/>
        <v>0</v>
      </c>
      <c r="DG17" s="37">
        <f t="shared" si="30"/>
        <v>-45557.709999999774</v>
      </c>
      <c r="DH17" s="37">
        <f t="shared" si="31"/>
        <v>416471.27000000031</v>
      </c>
      <c r="DI17" s="46"/>
      <c r="DJ17" s="46"/>
      <c r="DK17" s="47"/>
      <c r="DL17" s="47"/>
      <c r="DM17" s="37"/>
      <c r="DN17" s="37"/>
      <c r="DO17" s="37"/>
      <c r="DP17" s="37"/>
      <c r="DQ17" s="50">
        <v>4253300</v>
      </c>
      <c r="DR17" s="49">
        <f t="shared" si="66"/>
        <v>9200</v>
      </c>
      <c r="DS17" s="50">
        <v>5288500</v>
      </c>
      <c r="DT17" s="49">
        <f t="shared" si="67"/>
        <v>23500</v>
      </c>
      <c r="DU17" s="36">
        <v>8324.2000000000007</v>
      </c>
      <c r="DV17" s="36">
        <v>4701.3</v>
      </c>
      <c r="DW17" s="37">
        <f t="shared" si="92"/>
        <v>4200.0000000007276</v>
      </c>
      <c r="DX17" s="52">
        <v>13752</v>
      </c>
      <c r="DY17" s="52">
        <v>8623.2999999999993</v>
      </c>
      <c r="DZ17" s="37">
        <f t="shared" si="32"/>
        <v>7671.27</v>
      </c>
      <c r="EA17" s="50">
        <v>31831</v>
      </c>
      <c r="EB17" s="49">
        <v>21.878</v>
      </c>
      <c r="EC17" s="37">
        <f t="shared" si="33"/>
        <v>24831.27</v>
      </c>
      <c r="ED17" s="53">
        <f t="shared" si="34"/>
        <v>36702.540000000728</v>
      </c>
      <c r="EE17" s="49">
        <v>47581</v>
      </c>
      <c r="EF17" s="49">
        <v>31.253</v>
      </c>
      <c r="EG17" s="37">
        <f t="shared" si="35"/>
        <v>32831.270000000004</v>
      </c>
      <c r="EH17" s="52">
        <v>13980</v>
      </c>
      <c r="EI17" s="52">
        <v>2.0202</v>
      </c>
      <c r="EJ17" s="37">
        <f t="shared" si="36"/>
        <v>9671.27</v>
      </c>
      <c r="EK17" s="37">
        <v>850.73</v>
      </c>
      <c r="EL17" s="40">
        <v>1219.5999999999999</v>
      </c>
      <c r="EM17" s="37">
        <f t="shared" si="68"/>
        <v>710.00000000003638</v>
      </c>
      <c r="EN17" s="54">
        <f t="shared" si="69"/>
        <v>43212.540000000045</v>
      </c>
      <c r="EO17" s="55">
        <v>13580</v>
      </c>
      <c r="EP17" s="48"/>
      <c r="EQ17" s="37">
        <f t="shared" si="70"/>
        <v>5721.2700000000114</v>
      </c>
      <c r="ER17" s="48">
        <v>10602</v>
      </c>
      <c r="ES17" s="48"/>
      <c r="ET17" s="49">
        <f t="shared" si="99"/>
        <v>18000</v>
      </c>
      <c r="EU17" s="48">
        <v>4312.1000000000004</v>
      </c>
      <c r="EV17" s="48"/>
      <c r="EW17" s="49">
        <f t="shared" si="38"/>
        <v>9071.2700000005461</v>
      </c>
      <c r="EX17" s="48">
        <v>14413</v>
      </c>
      <c r="EY17" s="48"/>
      <c r="EZ17" s="37">
        <f t="shared" si="39"/>
        <v>10671.27</v>
      </c>
      <c r="FA17" s="48">
        <f t="shared" si="71"/>
        <v>-20134.810000000558</v>
      </c>
      <c r="FB17" s="48">
        <v>38267584</v>
      </c>
      <c r="FC17" s="49">
        <f t="shared" si="93"/>
        <v>23329</v>
      </c>
      <c r="FD17" s="48">
        <f t="shared" si="72"/>
        <v>45312.810000000565</v>
      </c>
      <c r="FE17" s="48">
        <v>17740</v>
      </c>
      <c r="FF17" s="48"/>
      <c r="FG17" s="37">
        <f t="shared" si="73"/>
        <v>9971.2699999999895</v>
      </c>
      <c r="FH17" s="48">
        <v>10091</v>
      </c>
      <c r="FI17" s="48"/>
      <c r="FJ17" s="49">
        <f t="shared" si="40"/>
        <v>18021.27</v>
      </c>
      <c r="FK17" s="48"/>
      <c r="FL17" s="58">
        <v>-650</v>
      </c>
      <c r="FM17" s="48">
        <f t="shared" si="94"/>
        <v>328.7300000000032</v>
      </c>
      <c r="FN17" s="48">
        <v>17563</v>
      </c>
      <c r="FO17" s="48"/>
      <c r="FP17" s="37">
        <f t="shared" si="74"/>
        <v>12021.27</v>
      </c>
      <c r="FQ17" s="48">
        <v>61832</v>
      </c>
      <c r="FR17" s="48"/>
      <c r="FS17" s="37">
        <f t="shared" si="41"/>
        <v>41000</v>
      </c>
      <c r="FT17" s="48">
        <f t="shared" si="75"/>
        <v>986.1900000000096</v>
      </c>
      <c r="FU17" s="48">
        <f t="shared" si="76"/>
        <v>41513.80999999999</v>
      </c>
      <c r="FV17" s="44">
        <v>6381600</v>
      </c>
      <c r="FW17" s="44"/>
      <c r="FX17" s="37">
        <f t="shared" si="42"/>
        <v>500</v>
      </c>
      <c r="FY17" s="56">
        <v>18716</v>
      </c>
      <c r="FZ17" s="56"/>
      <c r="GA17" s="37">
        <f t="shared" si="98"/>
        <v>156</v>
      </c>
      <c r="GB17" s="56">
        <v>876.42</v>
      </c>
      <c r="GC17" s="56"/>
      <c r="GD17" s="37">
        <f t="shared" si="44"/>
        <v>299.99999999995453</v>
      </c>
      <c r="GE17" s="56">
        <v>10808</v>
      </c>
      <c r="GF17" s="56"/>
      <c r="GG17" s="37">
        <f t="shared" si="45"/>
        <v>651</v>
      </c>
      <c r="GH17" s="153">
        <v>22880</v>
      </c>
      <c r="GI17" s="162"/>
      <c r="GJ17" s="38">
        <f t="shared" si="77"/>
        <v>1849</v>
      </c>
      <c r="GK17" s="162">
        <v>1523.9</v>
      </c>
      <c r="GL17" s="163"/>
      <c r="GM17" s="38">
        <f t="shared" si="46"/>
        <v>1500</v>
      </c>
      <c r="GN17" s="57">
        <v>244030</v>
      </c>
      <c r="GO17" s="57"/>
      <c r="GP17" s="38">
        <f t="shared" si="97"/>
        <v>10</v>
      </c>
      <c r="GQ17" s="38">
        <v>296470</v>
      </c>
      <c r="GR17" s="38"/>
      <c r="GS17" s="38">
        <f t="shared" si="78"/>
        <v>0</v>
      </c>
      <c r="GT17" s="178"/>
      <c r="GU17" s="144">
        <f>DailyAug!B16-DailyAug!N16-DailyAug!V16-DailyAug!Y16-DailyAug!Z16-DailyAug!AA16-DailyAug!AB16-DailyAug!AC16-DailyAug!AD16-DailyAug!AE16-DailyAug!AK16-DailyAug!AO16-DailyAug!AS16-DailyAug!AY16-DailyAug!BD16+DailyAug!BU16-DailyAug!BG16-DailyAug!BT16-DailyAug!AF16-DailyAug!AG16</f>
        <v>-4.9999980517895892E-2</v>
      </c>
      <c r="GV17" s="59">
        <v>-4931</v>
      </c>
      <c r="GW17" s="60">
        <f t="shared" si="47"/>
        <v>-328.73333333333335</v>
      </c>
      <c r="GX17" s="61">
        <v>-328.73</v>
      </c>
      <c r="GY17" s="140"/>
      <c r="GZ17" s="62"/>
      <c r="HA17" s="62"/>
      <c r="HB17" s="74"/>
      <c r="HC17" s="62"/>
      <c r="HD17" s="74"/>
      <c r="HE17" s="24">
        <f t="shared" si="48"/>
        <v>0</v>
      </c>
      <c r="HF17" s="151"/>
      <c r="HG17" s="213">
        <v>11</v>
      </c>
      <c r="HH17" s="16">
        <v>21400</v>
      </c>
      <c r="HI17" s="16">
        <v>8166.1</v>
      </c>
      <c r="HJ17" s="16">
        <f t="shared" si="49"/>
        <v>181000</v>
      </c>
      <c r="HK17" s="16">
        <v>2.1432000000000002</v>
      </c>
      <c r="HL17" s="16">
        <v>807.23</v>
      </c>
      <c r="HM17" s="16">
        <f t="shared" si="100"/>
        <v>0</v>
      </c>
      <c r="HN17" s="16">
        <v>5507.2</v>
      </c>
      <c r="HO17" s="16">
        <v>2374.6999999999998</v>
      </c>
      <c r="HP17" s="16">
        <f t="shared" si="51"/>
        <v>46025</v>
      </c>
      <c r="HQ17" s="16">
        <v>4076.2</v>
      </c>
      <c r="HR17" s="16">
        <v>1733.3</v>
      </c>
      <c r="HS17" s="16">
        <f t="shared" si="52"/>
        <v>28924.999999999636</v>
      </c>
      <c r="HT17" s="16">
        <v>3830.7</v>
      </c>
      <c r="HU17" s="16">
        <v>1406.3</v>
      </c>
      <c r="HV17" s="16">
        <f t="shared" si="53"/>
        <v>26824.999999999727</v>
      </c>
      <c r="HW17" s="16">
        <v>2585.9</v>
      </c>
      <c r="HX17" s="16">
        <v>1115.8</v>
      </c>
      <c r="HY17" s="16">
        <f t="shared" si="54"/>
        <v>24825.000000000182</v>
      </c>
      <c r="HZ17" s="16">
        <v>1663800</v>
      </c>
      <c r="IA17" s="16">
        <v>744710</v>
      </c>
      <c r="IB17" s="16">
        <f t="shared" si="55"/>
        <v>30900</v>
      </c>
      <c r="IC17" s="16">
        <v>719.8</v>
      </c>
      <c r="ID17" s="16">
        <v>232.78</v>
      </c>
      <c r="IE17" s="16">
        <f t="shared" si="79"/>
        <v>0</v>
      </c>
      <c r="IF17" s="16"/>
      <c r="IG17" s="16"/>
      <c r="IH17" s="128">
        <f t="shared" si="56"/>
        <v>23500</v>
      </c>
      <c r="II17" s="211">
        <f t="shared" si="57"/>
        <v>4.3655745685100555E-10</v>
      </c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G17" s="151">
        <f t="shared" si="58"/>
        <v>76925.000000000437</v>
      </c>
    </row>
    <row r="18" spans="1:293" x14ac:dyDescent="0.25">
      <c r="A18" s="35">
        <f t="shared" si="0"/>
        <v>12</v>
      </c>
      <c r="B18" s="38">
        <v>5198.05</v>
      </c>
      <c r="C18" s="38">
        <f t="shared" si="1"/>
        <v>9.7399999999997817</v>
      </c>
      <c r="D18" s="38">
        <f t="shared" si="2"/>
        <v>311679.99999999302</v>
      </c>
      <c r="E18" s="38">
        <v>1044.1300000000001</v>
      </c>
      <c r="F18" s="38">
        <f t="shared" si="3"/>
        <v>62400.000000001455</v>
      </c>
      <c r="G18" s="38">
        <f t="shared" si="4"/>
        <v>374079.99999999447</v>
      </c>
      <c r="H18" s="37"/>
      <c r="I18" s="39"/>
      <c r="J18" s="42"/>
      <c r="K18" s="37">
        <f t="shared" si="80"/>
        <v>0</v>
      </c>
      <c r="L18" s="40">
        <v>16593900</v>
      </c>
      <c r="M18" s="40"/>
      <c r="N18" s="37">
        <f t="shared" si="81"/>
        <v>371000</v>
      </c>
      <c r="O18" s="37">
        <v>12452</v>
      </c>
      <c r="P18" s="37"/>
      <c r="Q18" s="37">
        <f t="shared" si="5"/>
        <v>17299.999999999272</v>
      </c>
      <c r="R18" s="37">
        <f t="shared" si="82"/>
        <v>1</v>
      </c>
      <c r="S18" s="37">
        <v>11259987.09</v>
      </c>
      <c r="T18" s="37">
        <f t="shared" si="6"/>
        <v>370.69999999925494</v>
      </c>
      <c r="U18" s="37">
        <v>1523790.61</v>
      </c>
      <c r="V18" s="37">
        <f>IF((U18-U17)&lt;=0,0,(U18-U17))</f>
        <v>0</v>
      </c>
      <c r="W18" s="37">
        <v>4460.3999999999996</v>
      </c>
      <c r="X18" s="37">
        <f t="shared" si="95"/>
        <v>16829.300000000017</v>
      </c>
      <c r="Y18" s="183"/>
      <c r="Z18" s="183"/>
      <c r="AA18" s="37">
        <v>793600</v>
      </c>
      <c r="AB18" s="37">
        <f t="shared" si="8"/>
        <v>100</v>
      </c>
      <c r="AC18" s="173">
        <v>4626.5</v>
      </c>
      <c r="AD18" s="37"/>
      <c r="AE18" s="37">
        <f t="shared" si="9"/>
        <v>4399.9999999996362</v>
      </c>
      <c r="AF18" s="37">
        <f t="shared" si="83"/>
        <v>1</v>
      </c>
      <c r="AG18" s="37">
        <v>10024.4</v>
      </c>
      <c r="AH18" s="37"/>
      <c r="AI18" s="37">
        <f t="shared" si="10"/>
        <v>12534.110000000364</v>
      </c>
      <c r="AJ18" s="37">
        <f t="shared" si="11"/>
        <v>1</v>
      </c>
      <c r="AK18" s="37">
        <f t="shared" si="12"/>
        <v>34134.109999999273</v>
      </c>
      <c r="AL18" s="48">
        <v>11760.6</v>
      </c>
      <c r="AM18" s="66"/>
      <c r="AN18" s="37">
        <f>IF((AL18-AL17)&lt;=0,0,(AL18-AL17))*1000+GX18-BL18-BN18-BP18-BR18</f>
        <v>7164.1099999996231</v>
      </c>
      <c r="AO18" s="37">
        <f t="shared" si="84"/>
        <v>1</v>
      </c>
      <c r="AP18" s="37">
        <v>9209.2999999999993</v>
      </c>
      <c r="AQ18" s="37"/>
      <c r="AR18" s="37">
        <f t="shared" si="13"/>
        <v>13399.999999999636</v>
      </c>
      <c r="AS18" s="37">
        <f t="shared" si="85"/>
        <v>1</v>
      </c>
      <c r="AT18" s="183"/>
      <c r="AU18" s="183"/>
      <c r="AV18" s="183"/>
      <c r="AW18" s="183"/>
      <c r="AX18" s="37">
        <v>517380</v>
      </c>
      <c r="AY18" s="37"/>
      <c r="AZ18" s="37">
        <f t="shared" si="14"/>
        <v>410</v>
      </c>
      <c r="BA18" s="40">
        <v>197550</v>
      </c>
      <c r="BB18" s="37"/>
      <c r="BC18" s="37">
        <f t="shared" si="15"/>
        <v>600</v>
      </c>
      <c r="BD18" s="37">
        <f t="shared" si="86"/>
        <v>21574.109999999258</v>
      </c>
      <c r="BE18" s="43">
        <v>2049.9</v>
      </c>
      <c r="BF18" s="43">
        <v>1146.7</v>
      </c>
      <c r="BG18" s="37">
        <f t="shared" si="16"/>
        <v>1500</v>
      </c>
      <c r="BH18" s="44">
        <v>9654.1</v>
      </c>
      <c r="BI18" s="44">
        <v>6229.2</v>
      </c>
      <c r="BJ18" s="37">
        <f t="shared" si="17"/>
        <v>8700.0000000007276</v>
      </c>
      <c r="BK18" s="40">
        <v>1896110</v>
      </c>
      <c r="BL18" s="40">
        <f t="shared" si="87"/>
        <v>4310</v>
      </c>
      <c r="BM18" s="40">
        <v>925.15</v>
      </c>
      <c r="BN18" s="37">
        <f t="shared" si="18"/>
        <v>659.99999999996817</v>
      </c>
      <c r="BO18" s="186"/>
      <c r="BP18" s="183">
        <f t="shared" si="19"/>
        <v>0</v>
      </c>
      <c r="BQ18" s="40">
        <v>871</v>
      </c>
      <c r="BR18" s="37">
        <f t="shared" si="60"/>
        <v>700.00000000004547</v>
      </c>
      <c r="BS18" s="37">
        <v>114553.1</v>
      </c>
      <c r="BT18" s="37">
        <f t="shared" si="20"/>
        <v>220.69000000000233</v>
      </c>
      <c r="BU18" s="42">
        <v>3374158</v>
      </c>
      <c r="BV18" s="42"/>
      <c r="BW18" s="37">
        <f t="shared" si="21"/>
        <v>11012</v>
      </c>
      <c r="BX18" s="37">
        <f t="shared" si="88"/>
        <v>1</v>
      </c>
      <c r="BY18" s="43">
        <v>397.67579999999998</v>
      </c>
      <c r="BZ18" s="43"/>
      <c r="CA18" s="37">
        <f>IF((BY18-BY17)&lt;=0,0,(BY18-BY17)*1000)</f>
        <v>787.89999999997917</v>
      </c>
      <c r="CB18" s="37">
        <f t="shared" si="61"/>
        <v>1</v>
      </c>
      <c r="CC18" s="37">
        <v>768862.1</v>
      </c>
      <c r="CD18" s="37">
        <f t="shared" si="23"/>
        <v>3192.0999999999767</v>
      </c>
      <c r="CE18" s="37">
        <v>1654872</v>
      </c>
      <c r="CF18" s="37">
        <f t="shared" si="24"/>
        <v>5008</v>
      </c>
      <c r="CG18" s="37">
        <v>86569.1</v>
      </c>
      <c r="CH18" s="37">
        <f t="shared" si="62"/>
        <v>2349.5</v>
      </c>
      <c r="CI18" s="40">
        <v>14061.66</v>
      </c>
      <c r="CJ18" s="40"/>
      <c r="CK18" s="37">
        <f t="shared" si="63"/>
        <v>17486.210000000166</v>
      </c>
      <c r="CL18" s="37">
        <f t="shared" si="25"/>
        <v>1</v>
      </c>
      <c r="CM18" s="37">
        <v>4076.3829999999998</v>
      </c>
      <c r="CN18" s="37"/>
      <c r="CO18" s="37">
        <f t="shared" si="26"/>
        <v>8882.109999999866</v>
      </c>
      <c r="CP18" s="37">
        <f t="shared" si="89"/>
        <v>1</v>
      </c>
      <c r="CQ18" s="39">
        <v>651753.1</v>
      </c>
      <c r="CR18" s="39"/>
      <c r="CS18" s="37">
        <f t="shared" si="64"/>
        <v>7824.9099999999298</v>
      </c>
      <c r="CT18" s="37">
        <f t="shared" si="65"/>
        <v>1</v>
      </c>
      <c r="CU18" s="37">
        <v>4383437</v>
      </c>
      <c r="CV18" s="37"/>
      <c r="CW18" s="38">
        <f t="shared" si="27"/>
        <v>355</v>
      </c>
      <c r="CX18" s="37">
        <f t="shared" si="90"/>
        <v>1</v>
      </c>
      <c r="CY18" s="37">
        <v>2338376</v>
      </c>
      <c r="CZ18" s="37"/>
      <c r="DA18" s="37">
        <f t="shared" si="28"/>
        <v>104</v>
      </c>
      <c r="DB18" s="37">
        <f t="shared" si="91"/>
        <v>1</v>
      </c>
      <c r="DC18" s="37"/>
      <c r="DD18" s="40"/>
      <c r="DE18" s="37">
        <f>IF((DC18-DC17)&lt;=0,0,(DC18-DC17))</f>
        <v>0</v>
      </c>
      <c r="DF18" s="37">
        <f t="shared" si="96"/>
        <v>0</v>
      </c>
      <c r="DG18" s="37">
        <f t="shared" si="30"/>
        <v>-45664.229999999967</v>
      </c>
      <c r="DH18" s="37">
        <f t="shared" si="31"/>
        <v>406634.10999999929</v>
      </c>
      <c r="DI18" s="46"/>
      <c r="DJ18" s="46"/>
      <c r="DK18" s="46"/>
      <c r="DL18" s="47"/>
      <c r="DM18" s="37"/>
      <c r="DN18" s="37"/>
      <c r="DO18" s="37"/>
      <c r="DP18" s="37"/>
      <c r="DQ18" s="50">
        <v>4263800</v>
      </c>
      <c r="DR18" s="49">
        <f t="shared" si="66"/>
        <v>10500</v>
      </c>
      <c r="DS18" s="50">
        <v>5308800</v>
      </c>
      <c r="DT18" s="49">
        <f t="shared" si="67"/>
        <v>20300</v>
      </c>
      <c r="DU18" s="52">
        <v>8328.2999999999993</v>
      </c>
      <c r="DV18" s="52">
        <v>4704.6000000000004</v>
      </c>
      <c r="DW18" s="37">
        <f t="shared" si="92"/>
        <v>4099.9999999985448</v>
      </c>
      <c r="DX18" s="52">
        <v>13760</v>
      </c>
      <c r="DY18" s="52">
        <v>8626.4</v>
      </c>
      <c r="DZ18" s="37">
        <f t="shared" si="32"/>
        <v>8434.11</v>
      </c>
      <c r="EA18" s="49">
        <v>31855</v>
      </c>
      <c r="EB18" s="49">
        <v>21.888999999999999</v>
      </c>
      <c r="EC18" s="37">
        <f t="shared" si="33"/>
        <v>26594.11</v>
      </c>
      <c r="ED18" s="53">
        <f t="shared" si="34"/>
        <v>39128.219999998546</v>
      </c>
      <c r="EE18" s="49">
        <v>47614</v>
      </c>
      <c r="EF18" s="49">
        <v>31.277000000000001</v>
      </c>
      <c r="EG18" s="37">
        <f t="shared" si="35"/>
        <v>35594.11</v>
      </c>
      <c r="EH18" s="52">
        <v>13991</v>
      </c>
      <c r="EI18" s="44">
        <v>2.0228000000000002</v>
      </c>
      <c r="EJ18" s="37">
        <f t="shared" si="36"/>
        <v>11434.11</v>
      </c>
      <c r="EK18" s="37">
        <v>851.4</v>
      </c>
      <c r="EL18" s="40">
        <v>1220.5</v>
      </c>
      <c r="EM18" s="37">
        <f t="shared" si="68"/>
        <v>669.99999999995907</v>
      </c>
      <c r="EN18" s="54">
        <f t="shared" si="69"/>
        <v>47698.219999999958</v>
      </c>
      <c r="EO18" s="48">
        <v>13588</v>
      </c>
      <c r="EP18" s="48"/>
      <c r="EQ18" s="37">
        <f t="shared" si="70"/>
        <v>7459.1100000000351</v>
      </c>
      <c r="ER18" s="48">
        <v>10621</v>
      </c>
      <c r="ES18" s="48"/>
      <c r="ET18" s="49">
        <f t="shared" si="99"/>
        <v>19000</v>
      </c>
      <c r="EU18" s="48">
        <v>4321.7</v>
      </c>
      <c r="EV18" s="48"/>
      <c r="EW18" s="49">
        <f t="shared" si="38"/>
        <v>10034.109999999455</v>
      </c>
      <c r="EX18" s="55">
        <v>14424</v>
      </c>
      <c r="EY18" s="48"/>
      <c r="EZ18" s="37">
        <f t="shared" si="39"/>
        <v>11434.11</v>
      </c>
      <c r="FA18" s="48">
        <f t="shared" si="71"/>
        <v>-23689.329999999492</v>
      </c>
      <c r="FB18" s="48">
        <v>38291822</v>
      </c>
      <c r="FC18" s="49">
        <f>IF((FB18-FB17)&lt;=0,0,(FB18-FB17))</f>
        <v>24238</v>
      </c>
      <c r="FD18" s="48">
        <f t="shared" si="72"/>
        <v>50290.329999999492</v>
      </c>
      <c r="FE18" s="48">
        <v>17750</v>
      </c>
      <c r="FF18" s="48"/>
      <c r="FG18" s="37">
        <f t="shared" si="73"/>
        <v>11417.439999999966</v>
      </c>
      <c r="FH18" s="48">
        <v>10107</v>
      </c>
      <c r="FI18" s="48"/>
      <c r="FJ18" s="49">
        <f t="shared" si="40"/>
        <v>16442.439999999999</v>
      </c>
      <c r="FK18" s="48"/>
      <c r="FL18" s="58">
        <v>8.33</v>
      </c>
      <c r="FM18" s="48">
        <f>FT18/3</f>
        <v>-434.10666666665503</v>
      </c>
      <c r="FN18" s="48">
        <v>17575</v>
      </c>
      <c r="FO18" s="48"/>
      <c r="FP18" s="37">
        <f t="shared" si="74"/>
        <v>12442.44</v>
      </c>
      <c r="FQ18" s="48">
        <v>61871</v>
      </c>
      <c r="FR18" s="48"/>
      <c r="FS18" s="37">
        <f>IF((FQ18-FQ17)*1000&lt;=0,0,(FQ18-FQ17)*1000)</f>
        <v>39000</v>
      </c>
      <c r="FT18" s="48">
        <f t="shared" si="75"/>
        <v>-1302.3199999999651</v>
      </c>
      <c r="FU18" s="48">
        <f t="shared" si="76"/>
        <v>40402.319999999876</v>
      </c>
      <c r="FV18" s="44">
        <v>6382300</v>
      </c>
      <c r="FW18" s="44"/>
      <c r="FX18" s="37">
        <f t="shared" si="42"/>
        <v>700</v>
      </c>
      <c r="FY18" s="56">
        <f>FY17+156</f>
        <v>18872</v>
      </c>
      <c r="FZ18" s="56"/>
      <c r="GA18" s="37">
        <f t="shared" si="98"/>
        <v>156</v>
      </c>
      <c r="GB18" s="56">
        <f>GB17+0.3</f>
        <v>876.71999999999991</v>
      </c>
      <c r="GC18" s="56"/>
      <c r="GD18" s="37">
        <f t="shared" si="44"/>
        <v>299.99999999995453</v>
      </c>
      <c r="GE18" s="56">
        <v>10812</v>
      </c>
      <c r="GF18" s="56"/>
      <c r="GG18" s="37">
        <f t="shared" si="45"/>
        <v>1537.0000000000909</v>
      </c>
      <c r="GH18" s="153">
        <v>25243</v>
      </c>
      <c r="GI18" s="162"/>
      <c r="GJ18" s="38">
        <f t="shared" si="77"/>
        <v>2363</v>
      </c>
      <c r="GK18" s="162">
        <v>1524</v>
      </c>
      <c r="GL18" s="163"/>
      <c r="GM18" s="38">
        <f t="shared" si="46"/>
        <v>99.999999999909051</v>
      </c>
      <c r="GN18" s="57">
        <v>244030</v>
      </c>
      <c r="GO18" s="57"/>
      <c r="GP18" s="38">
        <f t="shared" si="97"/>
        <v>0</v>
      </c>
      <c r="GQ18" s="38">
        <v>296470</v>
      </c>
      <c r="GR18" s="38"/>
      <c r="GS18" s="38">
        <f t="shared" si="78"/>
        <v>0</v>
      </c>
      <c r="GT18" s="178"/>
      <c r="GU18" s="144">
        <f>DailyAug!B17-DailyAug!N17-DailyAug!V17-DailyAug!Y17-DailyAug!Z17-DailyAug!AA17-DailyAug!AB17-DailyAug!AC17-DailyAug!AD17-DailyAug!AE17-DailyAug!AK17-DailyAug!AO17-DailyAug!AS17-DailyAug!AY17-DailyAug!BD17+DailyAug!BU17-DailyAug!BG17-DailyAug!BT17-DailyAug!AF17-DailyAug!AG17</f>
        <v>-4.0000002685701475E-2</v>
      </c>
      <c r="GV18" s="59">
        <v>6511.61</v>
      </c>
      <c r="GW18" s="60">
        <f t="shared" si="47"/>
        <v>434.10733333333332</v>
      </c>
      <c r="GX18" s="61">
        <v>434.11</v>
      </c>
      <c r="GY18" s="140"/>
      <c r="GZ18" s="62"/>
      <c r="HA18" s="62"/>
      <c r="HB18" s="74"/>
      <c r="HC18" s="62"/>
      <c r="HD18" s="74"/>
      <c r="HE18" s="24">
        <f t="shared" si="48"/>
        <v>0</v>
      </c>
      <c r="HF18" s="151"/>
      <c r="HG18" s="213">
        <v>12</v>
      </c>
      <c r="HH18" s="16">
        <v>21558</v>
      </c>
      <c r="HI18" s="16">
        <v>8225.1</v>
      </c>
      <c r="HJ18" s="16">
        <f t="shared" si="49"/>
        <v>158000</v>
      </c>
      <c r="HK18" s="16">
        <v>2.1432000000000002</v>
      </c>
      <c r="HL18" s="16">
        <v>807.23</v>
      </c>
      <c r="HM18" s="16">
        <f t="shared" si="100"/>
        <v>0</v>
      </c>
      <c r="HN18" s="16">
        <v>5544</v>
      </c>
      <c r="HO18" s="16">
        <v>2389.9</v>
      </c>
      <c r="HP18" s="16">
        <f t="shared" si="51"/>
        <v>37350.000000000182</v>
      </c>
      <c r="HQ18" s="16">
        <v>4101.5</v>
      </c>
      <c r="HR18" s="16">
        <v>1743.2</v>
      </c>
      <c r="HS18" s="16">
        <f t="shared" si="52"/>
        <v>25850.000000000182</v>
      </c>
      <c r="HT18" s="16">
        <v>3854.5</v>
      </c>
      <c r="HU18" s="16">
        <v>1414.4</v>
      </c>
      <c r="HV18" s="16">
        <f t="shared" si="53"/>
        <v>24350.000000000182</v>
      </c>
      <c r="HW18" s="16">
        <v>2608.3000000000002</v>
      </c>
      <c r="HX18" s="16">
        <v>1125</v>
      </c>
      <c r="HY18" s="16">
        <f t="shared" si="54"/>
        <v>22950.000000000091</v>
      </c>
      <c r="HZ18" s="16">
        <v>1691000</v>
      </c>
      <c r="IA18" s="16">
        <v>755630</v>
      </c>
      <c r="IB18" s="16">
        <f t="shared" si="55"/>
        <v>27200</v>
      </c>
      <c r="IC18" s="16">
        <v>719.8</v>
      </c>
      <c r="ID18" s="16">
        <v>232.78</v>
      </c>
      <c r="IE18" s="16">
        <f t="shared" si="79"/>
        <v>0</v>
      </c>
      <c r="IF18" s="16"/>
      <c r="IG18" s="16"/>
      <c r="IH18" s="128">
        <f t="shared" si="56"/>
        <v>20300</v>
      </c>
      <c r="II18" s="211">
        <f t="shared" si="57"/>
        <v>-6.184563972055912E-10</v>
      </c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G18" s="151">
        <f t="shared" si="58"/>
        <v>64549.999999999563</v>
      </c>
    </row>
    <row r="19" spans="1:293" x14ac:dyDescent="0.25">
      <c r="A19" s="35">
        <f t="shared" si="0"/>
        <v>13</v>
      </c>
      <c r="B19" s="38">
        <v>5207.74</v>
      </c>
      <c r="C19" s="38">
        <f t="shared" si="1"/>
        <v>9.6899999999995998</v>
      </c>
      <c r="D19" s="38">
        <f t="shared" si="2"/>
        <v>310079.99999998719</v>
      </c>
      <c r="E19" s="38">
        <v>1046.1099999999999</v>
      </c>
      <c r="F19" s="38">
        <f t="shared" si="3"/>
        <v>63359.999999993306</v>
      </c>
      <c r="G19" s="38">
        <f t="shared" si="4"/>
        <v>373439.9999999805</v>
      </c>
      <c r="H19" s="37"/>
      <c r="I19" s="39"/>
      <c r="J19" s="42"/>
      <c r="K19" s="37">
        <f t="shared" si="80"/>
        <v>0</v>
      </c>
      <c r="L19" s="40">
        <v>16631000</v>
      </c>
      <c r="M19" s="40"/>
      <c r="N19" s="37">
        <f t="shared" si="81"/>
        <v>371000</v>
      </c>
      <c r="O19" s="37">
        <v>12470</v>
      </c>
      <c r="P19" s="37"/>
      <c r="Q19" s="37">
        <f t="shared" si="5"/>
        <v>18000</v>
      </c>
      <c r="R19" s="37">
        <f t="shared" si="82"/>
        <v>1</v>
      </c>
      <c r="S19" s="37">
        <v>11260352.789999999</v>
      </c>
      <c r="T19" s="37">
        <f t="shared" si="6"/>
        <v>365.69999999925494</v>
      </c>
      <c r="U19" s="37">
        <v>1523790.61</v>
      </c>
      <c r="V19" s="37">
        <f t="shared" si="7"/>
        <v>0</v>
      </c>
      <c r="W19" s="37">
        <v>4466.3</v>
      </c>
      <c r="X19" s="37">
        <f t="shared" si="95"/>
        <v>17534.300000000745</v>
      </c>
      <c r="Y19" s="183"/>
      <c r="Z19" s="183"/>
      <c r="AA19" s="37">
        <v>793700</v>
      </c>
      <c r="AB19" s="37">
        <f t="shared" si="8"/>
        <v>100</v>
      </c>
      <c r="AC19" s="37">
        <v>4630.3999999999996</v>
      </c>
      <c r="AD19" s="37"/>
      <c r="AE19" s="37">
        <f t="shared" si="9"/>
        <v>3899.9999999996362</v>
      </c>
      <c r="AF19" s="37">
        <f t="shared" si="83"/>
        <v>1</v>
      </c>
      <c r="AG19" s="37">
        <v>10034.700000000001</v>
      </c>
      <c r="AH19" s="67"/>
      <c r="AI19" s="37">
        <f t="shared" si="10"/>
        <v>10701.760000001092</v>
      </c>
      <c r="AJ19" s="37">
        <f t="shared" si="11"/>
        <v>1</v>
      </c>
      <c r="AK19" s="37">
        <f t="shared" si="12"/>
        <v>32501.76000000073</v>
      </c>
      <c r="AL19" s="48">
        <v>11773.3</v>
      </c>
      <c r="AM19" s="66"/>
      <c r="AN19" s="37">
        <f t="shared" si="59"/>
        <v>7411.7599999987906</v>
      </c>
      <c r="AO19" s="37">
        <f t="shared" si="84"/>
        <v>1</v>
      </c>
      <c r="AP19" s="37">
        <v>9221.4</v>
      </c>
      <c r="AQ19" s="37"/>
      <c r="AR19" s="37">
        <f t="shared" si="13"/>
        <v>12100.000000000364</v>
      </c>
      <c r="AS19" s="37">
        <f t="shared" si="85"/>
        <v>1</v>
      </c>
      <c r="AT19" s="183"/>
      <c r="AU19" s="183"/>
      <c r="AV19" s="183"/>
      <c r="AW19" s="183"/>
      <c r="AX19" s="37">
        <v>517810</v>
      </c>
      <c r="AY19" s="37"/>
      <c r="AZ19" s="37">
        <f t="shared" si="14"/>
        <v>430</v>
      </c>
      <c r="BA19" s="37">
        <v>198210</v>
      </c>
      <c r="BB19" s="37"/>
      <c r="BC19" s="37">
        <f t="shared" si="15"/>
        <v>660</v>
      </c>
      <c r="BD19" s="37">
        <f>AN19+AR19+AZ19+BC19</f>
        <v>20601.759999999154</v>
      </c>
      <c r="BE19" s="43">
        <v>2051.8000000000002</v>
      </c>
      <c r="BF19" s="43">
        <v>1148</v>
      </c>
      <c r="BG19" s="37">
        <f t="shared" si="16"/>
        <v>1900.0000000000909</v>
      </c>
      <c r="BH19" s="44">
        <v>9662.1</v>
      </c>
      <c r="BI19" s="44">
        <v>6234.4</v>
      </c>
      <c r="BJ19" s="37">
        <f t="shared" si="17"/>
        <v>8000</v>
      </c>
      <c r="BK19" s="40">
        <v>1900430</v>
      </c>
      <c r="BL19" s="40">
        <f t="shared" si="87"/>
        <v>4320</v>
      </c>
      <c r="BM19" s="40">
        <v>925.82</v>
      </c>
      <c r="BN19" s="37">
        <f t="shared" si="18"/>
        <v>670.00000000007276</v>
      </c>
      <c r="BO19" s="186"/>
      <c r="BP19" s="183">
        <f t="shared" si="19"/>
        <v>0</v>
      </c>
      <c r="BQ19" s="40">
        <v>871.7</v>
      </c>
      <c r="BR19" s="37">
        <f t="shared" si="60"/>
        <v>700.00000000004547</v>
      </c>
      <c r="BS19" s="37">
        <v>114773.19</v>
      </c>
      <c r="BT19" s="37">
        <f t="shared" si="20"/>
        <v>220.08999999999651</v>
      </c>
      <c r="BU19" s="42">
        <v>3385247</v>
      </c>
      <c r="BV19" s="42"/>
      <c r="BW19" s="37">
        <f t="shared" si="21"/>
        <v>11089</v>
      </c>
      <c r="BX19" s="37">
        <f t="shared" si="88"/>
        <v>1</v>
      </c>
      <c r="BY19" s="43">
        <v>398.5258</v>
      </c>
      <c r="BZ19" s="43"/>
      <c r="CA19" s="37">
        <f>IF((BY19-BY18)&lt;=0,0,(BY19-BY18)*1000)</f>
        <v>850.00000000002274</v>
      </c>
      <c r="CB19" s="37">
        <f t="shared" si="61"/>
        <v>1</v>
      </c>
      <c r="CC19" s="37">
        <v>772271.3</v>
      </c>
      <c r="CD19" s="37">
        <f t="shared" si="23"/>
        <v>3409.2000000000698</v>
      </c>
      <c r="CE19" s="41">
        <v>1660015</v>
      </c>
      <c r="CF19" s="37">
        <f t="shared" si="24"/>
        <v>5143</v>
      </c>
      <c r="CG19" s="37">
        <v>88942.6</v>
      </c>
      <c r="CH19" s="37">
        <f t="shared" si="62"/>
        <v>2373.5</v>
      </c>
      <c r="CI19" s="40">
        <v>14079.68</v>
      </c>
      <c r="CJ19" s="40"/>
      <c r="CK19" s="37">
        <f t="shared" si="63"/>
        <v>17571.760000000413</v>
      </c>
      <c r="CL19" s="37">
        <f t="shared" si="25"/>
        <v>1</v>
      </c>
      <c r="CM19" s="37">
        <v>4084.93</v>
      </c>
      <c r="CN19" s="37"/>
      <c r="CO19" s="37">
        <f t="shared" si="26"/>
        <v>8948.7600000000257</v>
      </c>
      <c r="CP19" s="37">
        <f t="shared" si="89"/>
        <v>1</v>
      </c>
      <c r="CQ19" s="39">
        <v>659290</v>
      </c>
      <c r="CR19" s="39"/>
      <c r="CS19" s="37">
        <f t="shared" si="64"/>
        <v>7938.6600000000235</v>
      </c>
      <c r="CT19" s="37">
        <f t="shared" si="65"/>
        <v>1</v>
      </c>
      <c r="CU19" s="37">
        <v>4383790</v>
      </c>
      <c r="CV19" s="37"/>
      <c r="CW19" s="38">
        <f t="shared" si="27"/>
        <v>353</v>
      </c>
      <c r="CX19" s="37">
        <f t="shared" si="90"/>
        <v>1</v>
      </c>
      <c r="CY19" s="37">
        <v>2338479</v>
      </c>
      <c r="CZ19" s="37"/>
      <c r="DA19" s="37">
        <f t="shared" si="28"/>
        <v>103</v>
      </c>
      <c r="DB19" s="37">
        <f t="shared" si="91"/>
        <v>1</v>
      </c>
      <c r="DC19" s="37"/>
      <c r="DD19" s="40"/>
      <c r="DE19" s="37">
        <f t="shared" si="29"/>
        <v>0</v>
      </c>
      <c r="DF19" s="37">
        <f t="shared" si="96"/>
        <v>0</v>
      </c>
      <c r="DG19" s="37">
        <f t="shared" si="30"/>
        <v>-46004.180000000459</v>
      </c>
      <c r="DH19" s="37">
        <f t="shared" si="31"/>
        <v>405401.76000000082</v>
      </c>
      <c r="DI19" s="46"/>
      <c r="DJ19" s="46"/>
      <c r="DK19" s="47"/>
      <c r="DL19" s="47"/>
      <c r="DM19" s="37"/>
      <c r="DN19" s="37"/>
      <c r="DO19" s="37"/>
      <c r="DP19" s="37"/>
      <c r="DQ19" s="50">
        <v>4274000</v>
      </c>
      <c r="DR19" s="49">
        <f t="shared" si="66"/>
        <v>10200</v>
      </c>
      <c r="DS19" s="50">
        <v>5333100</v>
      </c>
      <c r="DT19" s="49">
        <f t="shared" si="67"/>
        <v>24300</v>
      </c>
      <c r="DU19" s="52">
        <v>8332.7000000000007</v>
      </c>
      <c r="DV19" s="52">
        <v>4708</v>
      </c>
      <c r="DW19" s="37">
        <f t="shared" si="92"/>
        <v>4400.0000000014552</v>
      </c>
      <c r="DX19" s="52">
        <v>13768</v>
      </c>
      <c r="DY19" s="52">
        <v>8629.6</v>
      </c>
      <c r="DZ19" s="37">
        <f t="shared" si="32"/>
        <v>8401.76</v>
      </c>
      <c r="EA19" s="49">
        <v>31879</v>
      </c>
      <c r="EB19" s="49">
        <v>21.901</v>
      </c>
      <c r="EC19" s="37">
        <f t="shared" si="33"/>
        <v>26561.759999999998</v>
      </c>
      <c r="ED19" s="53">
        <f t="shared" si="34"/>
        <v>39363.520000001452</v>
      </c>
      <c r="EE19" s="49">
        <v>47646</v>
      </c>
      <c r="EF19" s="49">
        <v>31.3</v>
      </c>
      <c r="EG19" s="37">
        <f t="shared" si="35"/>
        <v>34561.759999999995</v>
      </c>
      <c r="EH19" s="44">
        <v>14001</v>
      </c>
      <c r="EI19" s="68">
        <v>2.0253000000000001</v>
      </c>
      <c r="EJ19" s="37">
        <f t="shared" si="36"/>
        <v>10401.76</v>
      </c>
      <c r="EK19" s="37">
        <v>852.07</v>
      </c>
      <c r="EL19" s="40">
        <v>1221.5</v>
      </c>
      <c r="EM19" s="37">
        <f t="shared" si="68"/>
        <v>670.00000000007276</v>
      </c>
      <c r="EN19" s="54">
        <f t="shared" si="69"/>
        <v>45633.52000000007</v>
      </c>
      <c r="EO19" s="48">
        <v>13596</v>
      </c>
      <c r="EP19" s="48"/>
      <c r="EQ19" s="37">
        <f t="shared" si="70"/>
        <v>7441.7599999999638</v>
      </c>
      <c r="ER19" s="48">
        <v>10638</v>
      </c>
      <c r="ES19" s="48"/>
      <c r="ET19" s="49">
        <f t="shared" si="99"/>
        <v>17000</v>
      </c>
      <c r="EU19" s="48">
        <v>4331.2</v>
      </c>
      <c r="EV19" s="48"/>
      <c r="EW19" s="49">
        <f t="shared" si="38"/>
        <v>9901.76</v>
      </c>
      <c r="EX19" s="48">
        <v>14435</v>
      </c>
      <c r="EY19" s="48"/>
      <c r="EZ19" s="37">
        <f t="shared" si="39"/>
        <v>11401.76</v>
      </c>
      <c r="FA19" s="48">
        <f t="shared" si="71"/>
        <v>-22208.279999999962</v>
      </c>
      <c r="FB19" s="48">
        <v>38315359</v>
      </c>
      <c r="FC19" s="49">
        <f t="shared" si="93"/>
        <v>23537</v>
      </c>
      <c r="FD19" s="48">
        <f t="shared" si="72"/>
        <v>48184.27999999997</v>
      </c>
      <c r="FE19" s="48">
        <v>17760</v>
      </c>
      <c r="FF19" s="48"/>
      <c r="FG19" s="37">
        <f t="shared" si="73"/>
        <v>11041.760000000037</v>
      </c>
      <c r="FH19" s="48">
        <v>10126</v>
      </c>
      <c r="FI19" s="48"/>
      <c r="FJ19" s="49">
        <f t="shared" si="40"/>
        <v>19081.759999999998</v>
      </c>
      <c r="FK19" s="48"/>
      <c r="FL19" s="58">
        <v>-320</v>
      </c>
      <c r="FM19" s="48">
        <f t="shared" si="94"/>
        <v>-401.76000000001233</v>
      </c>
      <c r="FN19" s="48">
        <v>17588</v>
      </c>
      <c r="FO19" s="48"/>
      <c r="FP19" s="37">
        <f t="shared" si="74"/>
        <v>13081.76</v>
      </c>
      <c r="FQ19" s="48">
        <v>61913</v>
      </c>
      <c r="FR19" s="48"/>
      <c r="FS19" s="37">
        <f t="shared" si="41"/>
        <v>42000</v>
      </c>
      <c r="FT19" s="48">
        <f t="shared" si="75"/>
        <v>-1205.280000000037</v>
      </c>
      <c r="FU19" s="48">
        <f t="shared" si="76"/>
        <v>43205.280000000035</v>
      </c>
      <c r="FV19" s="44">
        <v>6382900</v>
      </c>
      <c r="FW19" s="44"/>
      <c r="FX19" s="37">
        <f t="shared" si="42"/>
        <v>600</v>
      </c>
      <c r="FY19" s="56">
        <v>19080</v>
      </c>
      <c r="FZ19" s="63"/>
      <c r="GA19" s="37">
        <f t="shared" si="98"/>
        <v>208</v>
      </c>
      <c r="GB19" s="56">
        <v>877.04</v>
      </c>
      <c r="GC19" s="56"/>
      <c r="GD19" s="37">
        <f t="shared" si="44"/>
        <v>320.00000000005002</v>
      </c>
      <c r="GE19" s="56">
        <v>10815</v>
      </c>
      <c r="GF19" s="56"/>
      <c r="GG19" s="37">
        <f t="shared" si="45"/>
        <v>561</v>
      </c>
      <c r="GH19" s="153">
        <v>27682</v>
      </c>
      <c r="GI19" s="162"/>
      <c r="GJ19" s="38">
        <f t="shared" si="77"/>
        <v>2439</v>
      </c>
      <c r="GK19" s="162">
        <v>1524</v>
      </c>
      <c r="GL19" s="163"/>
      <c r="GM19" s="38">
        <f t="shared" si="46"/>
        <v>0</v>
      </c>
      <c r="GN19" s="57">
        <v>244030</v>
      </c>
      <c r="GO19" s="57"/>
      <c r="GP19" s="38">
        <f t="shared" si="97"/>
        <v>0</v>
      </c>
      <c r="GQ19" s="38">
        <v>296470</v>
      </c>
      <c r="GR19" s="38"/>
      <c r="GS19" s="38">
        <f t="shared" si="78"/>
        <v>0</v>
      </c>
      <c r="GT19" s="178"/>
      <c r="GU19" s="144">
        <f>DailyAug!B18-DailyAug!N18-DailyAug!V18-DailyAug!Y18-DailyAug!Z18-DailyAug!AA18-DailyAug!AB18-DailyAug!AC18-DailyAug!AD18-DailyAug!AE18-DailyAug!AK18-DailyAug!AO18-DailyAug!AS18-DailyAug!AY18-DailyAug!BD18+DailyAug!BU18-DailyAug!BG18-DailyAug!BT18-DailyAug!AF18-DailyAug!AG18</f>
        <v>-2.1682353690266609E-8</v>
      </c>
      <c r="GV19" s="59">
        <v>6026.4</v>
      </c>
      <c r="GW19" s="60">
        <f t="shared" si="47"/>
        <v>401.76</v>
      </c>
      <c r="GX19" s="61">
        <v>401.76</v>
      </c>
      <c r="GY19" s="140"/>
      <c r="GZ19" s="62"/>
      <c r="HA19" s="62"/>
      <c r="HB19" s="74"/>
      <c r="HC19" s="62"/>
      <c r="HD19" s="74"/>
      <c r="HE19" s="24">
        <f t="shared" si="48"/>
        <v>0</v>
      </c>
      <c r="HF19" s="151"/>
      <c r="HG19" s="213">
        <v>13</v>
      </c>
      <c r="HH19" s="16">
        <v>21720</v>
      </c>
      <c r="HI19" s="16">
        <v>8286</v>
      </c>
      <c r="HJ19" s="16">
        <f t="shared" si="49"/>
        <v>162000</v>
      </c>
      <c r="HK19" s="16">
        <v>2.1432000000000002</v>
      </c>
      <c r="HL19" s="16">
        <v>807.23</v>
      </c>
      <c r="HM19" s="16">
        <f t="shared" si="100"/>
        <v>0</v>
      </c>
      <c r="HN19" s="16">
        <v>5582.4</v>
      </c>
      <c r="HO19" s="16">
        <v>2405.9</v>
      </c>
      <c r="HP19" s="16">
        <f t="shared" si="51"/>
        <v>37699.999999999636</v>
      </c>
      <c r="HQ19" s="16">
        <v>4128.8</v>
      </c>
      <c r="HR19" s="16">
        <v>1754</v>
      </c>
      <c r="HS19" s="16">
        <f t="shared" si="52"/>
        <v>26600.000000000182</v>
      </c>
      <c r="HT19" s="16">
        <v>3879.4</v>
      </c>
      <c r="HU19" s="16">
        <v>1423</v>
      </c>
      <c r="HV19" s="16">
        <f t="shared" si="53"/>
        <v>24200.000000000091</v>
      </c>
      <c r="HW19" s="16">
        <v>2633.9</v>
      </c>
      <c r="HX19" s="16">
        <v>1135.5</v>
      </c>
      <c r="HY19" s="16">
        <f t="shared" si="54"/>
        <v>24899.999999999909</v>
      </c>
      <c r="HZ19" s="16">
        <v>1715300</v>
      </c>
      <c r="IA19" s="16">
        <v>765780</v>
      </c>
      <c r="IB19" s="16">
        <f t="shared" si="55"/>
        <v>24300</v>
      </c>
      <c r="IC19" s="16">
        <v>719.8</v>
      </c>
      <c r="ID19" s="16">
        <v>232.78</v>
      </c>
      <c r="IE19" s="16">
        <f t="shared" si="79"/>
        <v>0</v>
      </c>
      <c r="IF19" s="16"/>
      <c r="IG19" s="16"/>
      <c r="IH19" s="128">
        <f t="shared" si="56"/>
        <v>24300</v>
      </c>
      <c r="II19" s="211">
        <f t="shared" si="57"/>
        <v>1.8917489796876907E-10</v>
      </c>
      <c r="IJ19" s="16"/>
      <c r="IK19" s="16"/>
      <c r="IL19" s="16">
        <f t="shared" ref="IL19:IL38" si="101">IF((IJ19-IJ18)&lt;=0,0,(IJ19-IJ18))</f>
        <v>0</v>
      </c>
      <c r="IM19" s="16"/>
      <c r="IN19" s="16"/>
      <c r="IO19" s="16">
        <f t="shared" ref="IO19:IO38" si="102">IF((IM19-IM18)&lt;=0,0,(IM19-IM18)*1000)</f>
        <v>0</v>
      </c>
      <c r="IP19" s="16"/>
      <c r="IQ19" s="16"/>
      <c r="IR19" s="16">
        <f t="shared" ref="IR19:IR38" si="103">IF((IP19-IP18)&lt;=0,0,(IP19-IP18))</f>
        <v>0</v>
      </c>
      <c r="IS19" s="16"/>
      <c r="IT19" s="16"/>
      <c r="IU19" s="16">
        <f t="shared" ref="IU19:IU38" si="104">IF((IS19-IS18)&lt;=0,0,(IS19-IS18))</f>
        <v>0</v>
      </c>
      <c r="IV19" s="16"/>
      <c r="IW19" s="16"/>
      <c r="IX19" s="16">
        <f t="shared" ref="IX19:IX38" si="105">IF((IV19-IV18)&lt;=0,0,(IV19-IV18))</f>
        <v>0</v>
      </c>
      <c r="IY19" s="16"/>
      <c r="IZ19" s="16"/>
      <c r="JA19" s="16">
        <f t="shared" ref="JA19:JA38" si="106">IF((IY19-IY18)&lt;=0,0,(IY19-IY18))</f>
        <v>0</v>
      </c>
      <c r="JB19" s="16"/>
      <c r="JC19" s="16"/>
      <c r="JD19" s="16">
        <f t="shared" ref="JD19:JD38" si="107">IF((JB19-JB18)&lt;=0,0,(JB19-JB18))</f>
        <v>0</v>
      </c>
      <c r="JE19" s="16"/>
      <c r="JF19" s="16"/>
      <c r="JG19" s="16">
        <f t="shared" ref="JG19:JG38" si="108">IF((JE19-JE18)&lt;=0,0,(JE19-JE18))</f>
        <v>0</v>
      </c>
      <c r="JH19" s="16"/>
      <c r="JI19" s="16"/>
      <c r="JJ19" s="16">
        <f t="shared" ref="JJ19:JJ38" si="109">IF((JH19-JH18)&lt;=0,0,(JH19-JH18))</f>
        <v>0</v>
      </c>
      <c r="JK19" s="16"/>
      <c r="JL19" s="16"/>
      <c r="JM19" s="16">
        <f t="shared" ref="JM19:JM38" si="110">IF((JK19-JK18)&lt;=0,0,(JK19-JK18))</f>
        <v>0</v>
      </c>
      <c r="JN19" s="16"/>
      <c r="JO19" s="16"/>
      <c r="JP19" s="16">
        <f t="shared" ref="JP19:JP38" si="111">IF((JN19-JN18)&lt;=0,0,(JN19-JN18))</f>
        <v>0</v>
      </c>
      <c r="JQ19" s="16"/>
      <c r="JR19" s="16"/>
      <c r="JS19" s="16">
        <f t="shared" ref="JS19:JS38" si="112">IF((JQ19-JQ18)&lt;=0,0,(JQ19-JQ18))</f>
        <v>0</v>
      </c>
      <c r="JT19" s="16"/>
      <c r="JU19" s="16"/>
      <c r="JV19" s="16">
        <f t="shared" ref="JV19:JV38" si="113">IF((JT19-JT18)&lt;=0,0,(JT19-JT18))</f>
        <v>0</v>
      </c>
      <c r="JW19" s="16"/>
      <c r="JX19" s="16"/>
      <c r="JY19" s="16">
        <f t="shared" ref="JY19:JY38" si="114">IF((JW19-JW18)&lt;=0,0,(JW19-JW18))</f>
        <v>0</v>
      </c>
      <c r="JZ19" s="16"/>
      <c r="KA19" s="16"/>
      <c r="KB19" s="16">
        <f t="shared" ref="KB19:KB38" si="115">IF((JZ19-JZ18)&lt;=0,0,(JZ19-JZ18))</f>
        <v>0</v>
      </c>
      <c r="KC19" s="16"/>
      <c r="KD19" s="16"/>
      <c r="KE19" s="16">
        <f t="shared" ref="KE19:KE38" si="116">IF((KC19-KC18)&lt;=0,0,(KC19-KC18))</f>
        <v>0</v>
      </c>
      <c r="KG19" s="151">
        <f t="shared" si="58"/>
        <v>61999.999999999825</v>
      </c>
    </row>
    <row r="20" spans="1:293" x14ac:dyDescent="0.25">
      <c r="A20" s="35">
        <f t="shared" si="0"/>
        <v>14</v>
      </c>
      <c r="B20" s="38">
        <v>5217.82</v>
      </c>
      <c r="C20" s="38">
        <f t="shared" si="1"/>
        <v>10.079999999999927</v>
      </c>
      <c r="D20" s="38">
        <f t="shared" si="2"/>
        <v>322559.99999999767</v>
      </c>
      <c r="E20" s="38">
        <v>1048.1500000000001</v>
      </c>
      <c r="F20" s="38">
        <f t="shared" si="3"/>
        <v>65280.000000006112</v>
      </c>
      <c r="G20" s="38">
        <f t="shared" si="4"/>
        <v>387840.00000000378</v>
      </c>
      <c r="H20" s="37"/>
      <c r="I20" s="39"/>
      <c r="J20" s="42"/>
      <c r="K20" s="37">
        <f t="shared" si="80"/>
        <v>0</v>
      </c>
      <c r="L20" s="40">
        <v>16670000</v>
      </c>
      <c r="M20" s="40"/>
      <c r="N20" s="37">
        <f t="shared" si="81"/>
        <v>390000</v>
      </c>
      <c r="O20" s="37">
        <v>12488</v>
      </c>
      <c r="P20" s="37"/>
      <c r="Q20" s="37">
        <f t="shared" si="5"/>
        <v>18000</v>
      </c>
      <c r="R20" s="37">
        <f t="shared" si="82"/>
        <v>1</v>
      </c>
      <c r="S20" s="37">
        <v>11260725.720000001</v>
      </c>
      <c r="T20" s="37">
        <f t="shared" si="6"/>
        <v>372.93000000156462</v>
      </c>
      <c r="U20" s="37">
        <v>1523790.61</v>
      </c>
      <c r="V20" s="37">
        <f t="shared" si="7"/>
        <v>0</v>
      </c>
      <c r="W20" s="37">
        <v>4472.8999999999996</v>
      </c>
      <c r="X20" s="37">
        <f t="shared" si="95"/>
        <v>17597.069999998435</v>
      </c>
      <c r="Y20" s="183"/>
      <c r="Z20" s="183"/>
      <c r="AA20" s="37">
        <v>793730</v>
      </c>
      <c r="AB20" s="37">
        <f t="shared" si="8"/>
        <v>30</v>
      </c>
      <c r="AC20" s="37">
        <v>4635</v>
      </c>
      <c r="AD20" s="37"/>
      <c r="AE20" s="37">
        <f t="shared" si="9"/>
        <v>4600.0000000003638</v>
      </c>
      <c r="AF20" s="37">
        <f t="shared" si="83"/>
        <v>1</v>
      </c>
      <c r="AG20" s="37">
        <v>10047</v>
      </c>
      <c r="AH20" s="67"/>
      <c r="AI20" s="37">
        <f t="shared" si="10"/>
        <v>12451.909999999272</v>
      </c>
      <c r="AJ20" s="37">
        <f t="shared" si="11"/>
        <v>1</v>
      </c>
      <c r="AK20" s="37">
        <f t="shared" si="12"/>
        <v>35021.90999999964</v>
      </c>
      <c r="AL20" s="48">
        <v>11786</v>
      </c>
      <c r="AM20" s="66"/>
      <c r="AN20" s="37">
        <f t="shared" si="59"/>
        <v>7231.9100000007957</v>
      </c>
      <c r="AO20" s="37">
        <f t="shared" si="84"/>
        <v>1</v>
      </c>
      <c r="AP20" s="37">
        <v>9233.7999999999993</v>
      </c>
      <c r="AQ20" s="37"/>
      <c r="AR20" s="37">
        <f t="shared" si="13"/>
        <v>12399.999999999636</v>
      </c>
      <c r="AS20" s="37">
        <f t="shared" si="85"/>
        <v>1</v>
      </c>
      <c r="AT20" s="183"/>
      <c r="AU20" s="183"/>
      <c r="AV20" s="183"/>
      <c r="AW20" s="183"/>
      <c r="AX20" s="37">
        <v>518286.76</v>
      </c>
      <c r="AY20" s="37"/>
      <c r="AZ20" s="37">
        <f t="shared" si="14"/>
        <v>476.76000000000931</v>
      </c>
      <c r="BA20" s="37">
        <v>198883.72</v>
      </c>
      <c r="BB20" s="37"/>
      <c r="BC20" s="37">
        <f t="shared" si="15"/>
        <v>673.72000000000116</v>
      </c>
      <c r="BD20" s="37">
        <f t="shared" si="86"/>
        <v>20782.390000000443</v>
      </c>
      <c r="BE20" s="43">
        <v>2053.4</v>
      </c>
      <c r="BF20" s="43">
        <v>1149.0999999999999</v>
      </c>
      <c r="BG20" s="37">
        <f t="shared" si="16"/>
        <v>1599.9999999999091</v>
      </c>
      <c r="BH20" s="44">
        <v>9670.7999999999993</v>
      </c>
      <c r="BI20" s="44">
        <v>6240.1</v>
      </c>
      <c r="BJ20" s="37">
        <f t="shared" si="17"/>
        <v>8699.9999999989086</v>
      </c>
      <c r="BK20" s="40">
        <v>1904600</v>
      </c>
      <c r="BL20" s="40">
        <f t="shared" si="87"/>
        <v>4170</v>
      </c>
      <c r="BM20" s="40">
        <v>926.5</v>
      </c>
      <c r="BN20" s="37">
        <f t="shared" si="18"/>
        <v>679.99999999994998</v>
      </c>
      <c r="BO20" s="186"/>
      <c r="BP20" s="183">
        <f t="shared" si="19"/>
        <v>0</v>
      </c>
      <c r="BQ20" s="40">
        <v>872.47</v>
      </c>
      <c r="BR20" s="37">
        <f t="shared" si="60"/>
        <v>769.99999999998181</v>
      </c>
      <c r="BS20" s="37">
        <v>114996.29</v>
      </c>
      <c r="BT20" s="37">
        <f t="shared" si="20"/>
        <v>223.09999999999127</v>
      </c>
      <c r="BU20" s="42">
        <v>3396000</v>
      </c>
      <c r="BV20" s="42"/>
      <c r="BW20" s="37">
        <f t="shared" si="21"/>
        <v>10753</v>
      </c>
      <c r="BX20" s="37">
        <f t="shared" si="88"/>
        <v>1</v>
      </c>
      <c r="BY20" s="43">
        <v>399.32</v>
      </c>
      <c r="BZ20" s="43"/>
      <c r="CA20" s="37">
        <f>IF((BY20-BY19)&lt;=0,0,(BY20-BY19)*1000)</f>
        <v>794.19999999998936</v>
      </c>
      <c r="CB20" s="37">
        <f t="shared" si="61"/>
        <v>1</v>
      </c>
      <c r="CC20" s="37">
        <v>775150</v>
      </c>
      <c r="CD20" s="37">
        <f t="shared" si="23"/>
        <v>2878.6999999999534</v>
      </c>
      <c r="CE20" s="41">
        <v>1664900</v>
      </c>
      <c r="CF20" s="37">
        <f t="shared" si="24"/>
        <v>4885</v>
      </c>
      <c r="CG20" s="37">
        <v>91298</v>
      </c>
      <c r="CH20" s="37">
        <f t="shared" si="62"/>
        <v>2355.3999999999942</v>
      </c>
      <c r="CI20" s="40">
        <v>14098</v>
      </c>
      <c r="CJ20" s="40"/>
      <c r="CK20" s="37">
        <f t="shared" si="63"/>
        <v>17677.709999999719</v>
      </c>
      <c r="CL20" s="37">
        <f t="shared" si="25"/>
        <v>1</v>
      </c>
      <c r="CM20" s="37">
        <v>4093.8</v>
      </c>
      <c r="CN20" s="37"/>
      <c r="CO20" s="37">
        <f t="shared" si="26"/>
        <v>9021.9100000003455</v>
      </c>
      <c r="CP20" s="37">
        <f t="shared" si="89"/>
        <v>1</v>
      </c>
      <c r="CQ20" s="39">
        <v>667020</v>
      </c>
      <c r="CR20" s="39"/>
      <c r="CS20" s="37">
        <f t="shared" si="64"/>
        <v>7881.91</v>
      </c>
      <c r="CT20" s="37">
        <f t="shared" si="65"/>
        <v>1</v>
      </c>
      <c r="CU20" s="37">
        <v>4384200</v>
      </c>
      <c r="CV20" s="37"/>
      <c r="CW20" s="38">
        <f t="shared" si="27"/>
        <v>410</v>
      </c>
      <c r="CX20" s="37">
        <f t="shared" si="90"/>
        <v>1</v>
      </c>
      <c r="CY20" s="37">
        <v>2338600</v>
      </c>
      <c r="CZ20" s="37"/>
      <c r="DA20" s="37">
        <f t="shared" si="28"/>
        <v>121</v>
      </c>
      <c r="DB20" s="37">
        <f t="shared" si="91"/>
        <v>1</v>
      </c>
      <c r="DC20" s="37"/>
      <c r="DD20" s="40"/>
      <c r="DE20" s="37">
        <f t="shared" si="29"/>
        <v>0</v>
      </c>
      <c r="DF20" s="37">
        <f t="shared" si="96"/>
        <v>0</v>
      </c>
      <c r="DG20" s="37">
        <f t="shared" si="30"/>
        <v>-45865.530000000064</v>
      </c>
      <c r="DH20" s="37">
        <f t="shared" si="31"/>
        <v>426621.90999999957</v>
      </c>
      <c r="DI20" s="46"/>
      <c r="DJ20" s="46"/>
      <c r="DK20" s="47"/>
      <c r="DL20" s="47"/>
      <c r="DM20" s="37"/>
      <c r="DN20" s="37"/>
      <c r="DO20" s="37"/>
      <c r="DP20" s="37"/>
      <c r="DQ20" s="50">
        <v>4284000</v>
      </c>
      <c r="DR20" s="49">
        <f t="shared" si="66"/>
        <v>10000</v>
      </c>
      <c r="DS20" s="50">
        <v>5355600</v>
      </c>
      <c r="DT20" s="49">
        <f t="shared" si="67"/>
        <v>22500</v>
      </c>
      <c r="DU20" s="52">
        <v>8336.7999999999993</v>
      </c>
      <c r="DV20" s="52">
        <v>4711.3</v>
      </c>
      <c r="DW20" s="37">
        <f t="shared" si="92"/>
        <v>4099.9999999985448</v>
      </c>
      <c r="DX20" s="52">
        <v>13776</v>
      </c>
      <c r="DY20" s="52">
        <v>8632.7000000000007</v>
      </c>
      <c r="DZ20" s="37">
        <f t="shared" si="32"/>
        <v>8151.91</v>
      </c>
      <c r="EA20" s="49">
        <v>31902</v>
      </c>
      <c r="EB20" s="49">
        <v>21.911999999999999</v>
      </c>
      <c r="EC20" s="37">
        <f t="shared" si="33"/>
        <v>25311.91</v>
      </c>
      <c r="ED20" s="53">
        <f t="shared" si="34"/>
        <v>37563.819999998545</v>
      </c>
      <c r="EE20" s="49">
        <v>47677</v>
      </c>
      <c r="EF20" s="49">
        <v>31.321999999999999</v>
      </c>
      <c r="EG20" s="37">
        <f t="shared" si="35"/>
        <v>33311.910000000003</v>
      </c>
      <c r="EH20" s="68">
        <v>14011</v>
      </c>
      <c r="EI20" s="52">
        <v>2.0274999999999999</v>
      </c>
      <c r="EJ20" s="37">
        <f t="shared" si="36"/>
        <v>10151.91</v>
      </c>
      <c r="EK20" s="37">
        <v>852.74</v>
      </c>
      <c r="EL20" s="40">
        <v>1222.4000000000001</v>
      </c>
      <c r="EM20" s="37">
        <f t="shared" si="68"/>
        <v>669.99999999995907</v>
      </c>
      <c r="EN20" s="54">
        <f t="shared" si="69"/>
        <v>44133.819999999963</v>
      </c>
      <c r="EO20" s="48">
        <v>13603</v>
      </c>
      <c r="EP20" s="48"/>
      <c r="EQ20" s="37">
        <f t="shared" si="70"/>
        <v>6221.9099999999926</v>
      </c>
      <c r="ER20" s="48">
        <v>10654</v>
      </c>
      <c r="ES20" s="48"/>
      <c r="ET20" s="49">
        <f t="shared" si="99"/>
        <v>16000</v>
      </c>
      <c r="EU20" s="48">
        <f>EU19+9.90176</f>
        <v>4341.1017599999996</v>
      </c>
      <c r="EV20" s="48"/>
      <c r="EW20" s="49">
        <f t="shared" si="38"/>
        <v>10053.66999999974</v>
      </c>
      <c r="EX20" s="48">
        <v>14445</v>
      </c>
      <c r="EY20" s="48"/>
      <c r="EZ20" s="37">
        <f t="shared" si="39"/>
        <v>10151.91</v>
      </c>
      <c r="FA20" s="48">
        <f t="shared" si="71"/>
        <v>-19887.489999999732</v>
      </c>
      <c r="FB20" s="48">
        <v>38337899</v>
      </c>
      <c r="FC20" s="49">
        <f t="shared" si="93"/>
        <v>22540</v>
      </c>
      <c r="FD20" s="48">
        <f t="shared" si="72"/>
        <v>44721.489999999729</v>
      </c>
      <c r="FE20" s="48">
        <f>FE19+11.041</f>
        <v>17771.041000000001</v>
      </c>
      <c r="FF20" s="48"/>
      <c r="FG20" s="37">
        <f t="shared" si="73"/>
        <v>10772.240000001084</v>
      </c>
      <c r="FH20" s="48">
        <f>FH19+19.081</f>
        <v>10145.081</v>
      </c>
      <c r="FI20" s="48"/>
      <c r="FJ20" s="49">
        <f t="shared" si="40"/>
        <v>17882.240000000133</v>
      </c>
      <c r="FK20" s="48"/>
      <c r="FL20" s="58">
        <v>-1350.67</v>
      </c>
      <c r="FM20" s="48">
        <f t="shared" si="94"/>
        <v>-151.90666666707148</v>
      </c>
      <c r="FN20" s="48">
        <v>17600</v>
      </c>
      <c r="FO20" s="48"/>
      <c r="FP20" s="37">
        <f t="shared" si="74"/>
        <v>10801.24</v>
      </c>
      <c r="FQ20" s="48">
        <v>61952</v>
      </c>
      <c r="FR20" s="48"/>
      <c r="FS20" s="37">
        <f t="shared" si="41"/>
        <v>39000</v>
      </c>
      <c r="FT20" s="48">
        <f t="shared" si="75"/>
        <v>-455.72000000121443</v>
      </c>
      <c r="FU20" s="48">
        <f t="shared" si="76"/>
        <v>39955.720000001216</v>
      </c>
      <c r="FV20" s="44">
        <v>6383200</v>
      </c>
      <c r="FW20" s="44"/>
      <c r="FX20" s="37">
        <f t="shared" si="42"/>
        <v>300</v>
      </c>
      <c r="FY20" s="56">
        <v>19249</v>
      </c>
      <c r="FZ20" s="63"/>
      <c r="GA20" s="37">
        <f t="shared" si="98"/>
        <v>169</v>
      </c>
      <c r="GB20" s="56">
        <v>877.35</v>
      </c>
      <c r="GC20" s="56"/>
      <c r="GD20" s="37">
        <f t="shared" si="44"/>
        <v>310.00000000005912</v>
      </c>
      <c r="GE20" s="56">
        <v>10819</v>
      </c>
      <c r="GF20" s="56"/>
      <c r="GG20" s="37">
        <f t="shared" si="45"/>
        <v>1206</v>
      </c>
      <c r="GH20" s="153">
        <v>29976</v>
      </c>
      <c r="GI20" s="162"/>
      <c r="GJ20" s="38">
        <f t="shared" si="77"/>
        <v>2294</v>
      </c>
      <c r="GK20" s="162">
        <v>1524.5</v>
      </c>
      <c r="GL20" s="163"/>
      <c r="GM20" s="38">
        <f t="shared" si="46"/>
        <v>500</v>
      </c>
      <c r="GN20" s="57">
        <v>244040</v>
      </c>
      <c r="GO20" s="57"/>
      <c r="GP20" s="38">
        <f t="shared" si="97"/>
        <v>10</v>
      </c>
      <c r="GQ20" s="38">
        <v>296470</v>
      </c>
      <c r="GR20" s="38"/>
      <c r="GS20" s="38">
        <f t="shared" si="78"/>
        <v>0</v>
      </c>
      <c r="GT20" s="178"/>
      <c r="GU20" s="144">
        <f>DailyAug!B19-DailyAug!N19-DailyAug!V19-DailyAug!Y19-DailyAug!Z19-DailyAug!AA19-DailyAug!AB19-DailyAug!AC19-DailyAug!AD19-DailyAug!AE19-DailyAug!AK19-DailyAug!AO19-DailyAug!AS19-DailyAug!AY19-DailyAug!BD19+DailyAug!BU19-DailyAug!BG19-DailyAug!BT19-DailyAug!AF19-DailyAug!AG19</f>
        <v>2.0000005490146577E-2</v>
      </c>
      <c r="GV20" s="59">
        <v>2278.67</v>
      </c>
      <c r="GW20" s="60">
        <f t="shared" si="47"/>
        <v>151.91133333333335</v>
      </c>
      <c r="GX20" s="61">
        <v>151.91</v>
      </c>
      <c r="GY20" s="140"/>
      <c r="GZ20" s="62"/>
      <c r="HA20" s="62"/>
      <c r="HB20" s="74"/>
      <c r="HC20" s="62"/>
      <c r="HD20" s="74"/>
      <c r="HE20" s="24">
        <f t="shared" si="48"/>
        <v>0</v>
      </c>
      <c r="HF20" s="151"/>
      <c r="HG20" s="213">
        <v>14</v>
      </c>
      <c r="HH20" s="16">
        <v>21900</v>
      </c>
      <c r="HI20" s="128">
        <v>8354.2000000000007</v>
      </c>
      <c r="HJ20" s="16">
        <f t="shared" si="49"/>
        <v>180000</v>
      </c>
      <c r="HK20" s="16">
        <v>2.1432000000000002</v>
      </c>
      <c r="HL20" s="16">
        <v>807.23</v>
      </c>
      <c r="HM20" s="16">
        <f t="shared" si="100"/>
        <v>0</v>
      </c>
      <c r="HN20" s="16">
        <v>5626</v>
      </c>
      <c r="HO20" s="16">
        <v>2423.9</v>
      </c>
      <c r="HP20" s="16">
        <f t="shared" si="51"/>
        <v>44125.000000000364</v>
      </c>
      <c r="HQ20" s="16">
        <v>4155.8999999999996</v>
      </c>
      <c r="HR20" s="16">
        <v>1764.9</v>
      </c>
      <c r="HS20" s="16">
        <f t="shared" si="52"/>
        <v>27624.999999999454</v>
      </c>
      <c r="HT20" s="16">
        <v>3906.2</v>
      </c>
      <c r="HU20" s="16">
        <v>1432.4</v>
      </c>
      <c r="HV20" s="16">
        <f t="shared" si="53"/>
        <v>27324.999999999727</v>
      </c>
      <c r="HW20" s="16">
        <v>2661.1</v>
      </c>
      <c r="HX20" s="16">
        <v>1146.8</v>
      </c>
      <c r="HY20" s="16">
        <f t="shared" si="54"/>
        <v>27724.999999999818</v>
      </c>
      <c r="HZ20" s="16">
        <v>1746000</v>
      </c>
      <c r="IA20" s="16">
        <v>778450</v>
      </c>
      <c r="IB20" s="16">
        <f t="shared" si="55"/>
        <v>30700</v>
      </c>
      <c r="IC20" s="16">
        <v>719.8</v>
      </c>
      <c r="ID20" s="16">
        <v>232.78</v>
      </c>
      <c r="IE20" s="16">
        <f t="shared" si="79"/>
        <v>0</v>
      </c>
      <c r="IF20" s="16"/>
      <c r="IG20" s="16"/>
      <c r="IH20" s="128">
        <f t="shared" si="56"/>
        <v>22500</v>
      </c>
      <c r="II20" s="211">
        <f t="shared" si="57"/>
        <v>6.5483618527650833E-10</v>
      </c>
      <c r="IJ20" s="16"/>
      <c r="IK20" s="16"/>
      <c r="IL20" s="16">
        <f t="shared" si="101"/>
        <v>0</v>
      </c>
      <c r="IM20" s="16"/>
      <c r="IN20" s="16"/>
      <c r="IO20" s="16">
        <f t="shared" si="102"/>
        <v>0</v>
      </c>
      <c r="IP20" s="16"/>
      <c r="IQ20" s="16"/>
      <c r="IR20" s="16">
        <f t="shared" si="103"/>
        <v>0</v>
      </c>
      <c r="IS20" s="16"/>
      <c r="IT20" s="16"/>
      <c r="IU20" s="16">
        <f t="shared" si="104"/>
        <v>0</v>
      </c>
      <c r="IV20" s="16"/>
      <c r="IW20" s="16"/>
      <c r="IX20" s="16">
        <f t="shared" si="105"/>
        <v>0</v>
      </c>
      <c r="IY20" s="16"/>
      <c r="IZ20" s="16"/>
      <c r="JA20" s="16">
        <f t="shared" si="106"/>
        <v>0</v>
      </c>
      <c r="JB20" s="16"/>
      <c r="JC20" s="16"/>
      <c r="JD20" s="16">
        <f t="shared" si="107"/>
        <v>0</v>
      </c>
      <c r="JE20" s="16"/>
      <c r="JF20" s="16"/>
      <c r="JG20" s="16">
        <f t="shared" si="108"/>
        <v>0</v>
      </c>
      <c r="JH20" s="16"/>
      <c r="JI20" s="16"/>
      <c r="JJ20" s="16">
        <f t="shared" si="109"/>
        <v>0</v>
      </c>
      <c r="JK20" s="16"/>
      <c r="JL20" s="16"/>
      <c r="JM20" s="16">
        <f t="shared" si="110"/>
        <v>0</v>
      </c>
      <c r="JN20" s="16"/>
      <c r="JO20" s="16"/>
      <c r="JP20" s="16">
        <f t="shared" si="111"/>
        <v>0</v>
      </c>
      <c r="JQ20" s="16"/>
      <c r="JR20" s="16"/>
      <c r="JS20" s="16">
        <f t="shared" si="112"/>
        <v>0</v>
      </c>
      <c r="JT20" s="16"/>
      <c r="JU20" s="16"/>
      <c r="JV20" s="16">
        <f t="shared" si="113"/>
        <v>0</v>
      </c>
      <c r="JW20" s="16"/>
      <c r="JX20" s="16"/>
      <c r="JY20" s="16">
        <f t="shared" si="114"/>
        <v>0</v>
      </c>
      <c r="JZ20" s="16"/>
      <c r="KA20" s="16"/>
      <c r="KB20" s="16">
        <f t="shared" si="115"/>
        <v>0</v>
      </c>
      <c r="KC20" s="16"/>
      <c r="KD20" s="16"/>
      <c r="KE20" s="16">
        <f t="shared" si="116"/>
        <v>0</v>
      </c>
      <c r="KG20" s="151">
        <f t="shared" si="58"/>
        <v>74825.000000001019</v>
      </c>
    </row>
    <row r="21" spans="1:293" x14ac:dyDescent="0.25">
      <c r="A21" s="35">
        <f t="shared" si="0"/>
        <v>15</v>
      </c>
      <c r="B21" s="38">
        <v>5227.7299999999996</v>
      </c>
      <c r="C21" s="38">
        <f t="shared" si="1"/>
        <v>9.9099999999998545</v>
      </c>
      <c r="D21" s="38">
        <f t="shared" si="2"/>
        <v>317119.99999999534</v>
      </c>
      <c r="E21" s="38">
        <v>1050.1300000000001</v>
      </c>
      <c r="F21" s="38">
        <f t="shared" si="3"/>
        <v>63360.000000000582</v>
      </c>
      <c r="G21" s="38">
        <f t="shared" si="4"/>
        <v>380479.99999999593</v>
      </c>
      <c r="H21" s="37"/>
      <c r="I21" s="39"/>
      <c r="J21" s="42"/>
      <c r="K21" s="37">
        <f t="shared" si="80"/>
        <v>0</v>
      </c>
      <c r="L21" s="40">
        <v>16707000</v>
      </c>
      <c r="M21" s="40"/>
      <c r="N21" s="37">
        <f t="shared" si="81"/>
        <v>370000</v>
      </c>
      <c r="O21" s="37">
        <v>12506</v>
      </c>
      <c r="P21" s="37"/>
      <c r="Q21" s="37">
        <f t="shared" si="5"/>
        <v>18000</v>
      </c>
      <c r="R21" s="37">
        <f t="shared" si="82"/>
        <v>1</v>
      </c>
      <c r="S21" s="37">
        <v>11261103.800000001</v>
      </c>
      <c r="T21" s="37">
        <f t="shared" si="6"/>
        <v>378.08000000007451</v>
      </c>
      <c r="U21" s="37">
        <v>1523790.61</v>
      </c>
      <c r="V21" s="37">
        <f t="shared" si="7"/>
        <v>0</v>
      </c>
      <c r="W21" s="37">
        <v>4478.8999999999996</v>
      </c>
      <c r="X21" s="37">
        <f t="shared" si="95"/>
        <v>17551.919999999925</v>
      </c>
      <c r="Y21" s="183"/>
      <c r="Z21" s="183"/>
      <c r="AA21" s="37">
        <v>793800</v>
      </c>
      <c r="AB21" s="37">
        <f t="shared" si="8"/>
        <v>70</v>
      </c>
      <c r="AC21" s="37">
        <v>4639.8999999999996</v>
      </c>
      <c r="AD21" s="37"/>
      <c r="AE21" s="37">
        <f t="shared" si="9"/>
        <v>4899.9999999996362</v>
      </c>
      <c r="AF21" s="37">
        <f t="shared" si="83"/>
        <v>1</v>
      </c>
      <c r="AG21" s="37">
        <v>10060.200000000001</v>
      </c>
      <c r="AH21" s="67"/>
      <c r="AI21" s="37">
        <f t="shared" si="10"/>
        <v>13236.080000000728</v>
      </c>
      <c r="AJ21" s="37">
        <f t="shared" si="11"/>
        <v>1</v>
      </c>
      <c r="AK21" s="37">
        <f t="shared" si="12"/>
        <v>36066.080000000366</v>
      </c>
      <c r="AL21" s="42">
        <v>11797.9</v>
      </c>
      <c r="AM21" s="42"/>
      <c r="AN21" s="37">
        <f t="shared" si="59"/>
        <v>6286.0799999996816</v>
      </c>
      <c r="AO21" s="37">
        <f t="shared" si="84"/>
        <v>1</v>
      </c>
      <c r="AP21" s="37">
        <v>9246.1</v>
      </c>
      <c r="AQ21" s="37"/>
      <c r="AR21" s="37">
        <f t="shared" si="13"/>
        <v>12300.000000001091</v>
      </c>
      <c r="AS21" s="37">
        <f t="shared" si="85"/>
        <v>1</v>
      </c>
      <c r="AT21" s="183"/>
      <c r="AU21" s="183"/>
      <c r="AV21" s="183"/>
      <c r="AW21" s="183"/>
      <c r="AX21" s="37">
        <v>518800</v>
      </c>
      <c r="AY21" s="37"/>
      <c r="AZ21" s="37">
        <f t="shared" si="14"/>
        <v>513.23999999999069</v>
      </c>
      <c r="BA21" s="37">
        <v>199580</v>
      </c>
      <c r="BB21" s="37"/>
      <c r="BC21" s="37">
        <f t="shared" si="15"/>
        <v>696.27999999999884</v>
      </c>
      <c r="BD21" s="37">
        <f t="shared" si="86"/>
        <v>19795.600000000763</v>
      </c>
      <c r="BE21" s="43">
        <v>2054.9</v>
      </c>
      <c r="BF21" s="43">
        <v>1150.2</v>
      </c>
      <c r="BG21" s="37">
        <f t="shared" si="16"/>
        <v>1500</v>
      </c>
      <c r="BH21" s="44">
        <v>9680.1</v>
      </c>
      <c r="BI21" s="44">
        <v>6246.1</v>
      </c>
      <c r="BJ21" s="37">
        <f t="shared" si="17"/>
        <v>9300.0000000010914</v>
      </c>
      <c r="BK21" s="40">
        <v>1908950</v>
      </c>
      <c r="BL21" s="40">
        <f t="shared" si="87"/>
        <v>4350</v>
      </c>
      <c r="BM21" s="40">
        <v>927.17</v>
      </c>
      <c r="BN21" s="37">
        <f t="shared" si="18"/>
        <v>669.99999999995907</v>
      </c>
      <c r="BO21" s="186"/>
      <c r="BP21" s="183">
        <f t="shared" si="19"/>
        <v>0</v>
      </c>
      <c r="BQ21" s="40">
        <v>873.1</v>
      </c>
      <c r="BR21" s="37">
        <f>IF((BQ21-BQ20)&lt;=0,0,(BQ21-BQ20))*1000</f>
        <v>629.99999999999545</v>
      </c>
      <c r="BS21" s="37">
        <v>115192.17</v>
      </c>
      <c r="BT21" s="37">
        <f t="shared" si="20"/>
        <v>195.88000000000466</v>
      </c>
      <c r="BU21" s="42">
        <v>3405056</v>
      </c>
      <c r="BV21" s="42"/>
      <c r="BW21" s="37">
        <f t="shared" si="21"/>
        <v>9056</v>
      </c>
      <c r="BX21" s="37">
        <f t="shared" si="88"/>
        <v>1</v>
      </c>
      <c r="BY21" s="43">
        <v>400.1651</v>
      </c>
      <c r="BZ21" s="43"/>
      <c r="CA21" s="37">
        <f t="shared" ref="CA21:CA38" si="117">IF((BY21-BY20)&lt;=0,0,(BY21-BY20)*1000)</f>
        <v>845.10000000000218</v>
      </c>
      <c r="CB21" s="37">
        <f t="shared" si="61"/>
        <v>1</v>
      </c>
      <c r="CC21" s="37">
        <v>777108.3</v>
      </c>
      <c r="CD21" s="37">
        <f t="shared" si="23"/>
        <v>1958.3000000000466</v>
      </c>
      <c r="CE21" s="41">
        <v>1669032</v>
      </c>
      <c r="CF21" s="37">
        <f t="shared" si="24"/>
        <v>4132</v>
      </c>
      <c r="CG21" s="37">
        <v>93485.9</v>
      </c>
      <c r="CH21" s="37">
        <f t="shared" si="62"/>
        <v>2187.8999999999942</v>
      </c>
      <c r="CI21" s="40">
        <v>14115.35</v>
      </c>
      <c r="CJ21" s="40"/>
      <c r="CK21" s="37">
        <f t="shared" si="63"/>
        <v>16540.980000000363</v>
      </c>
      <c r="CL21" s="37">
        <f t="shared" si="25"/>
        <v>1</v>
      </c>
      <c r="CM21" s="37">
        <v>4102.1859999999997</v>
      </c>
      <c r="CN21" s="37"/>
      <c r="CO21" s="37">
        <f t="shared" si="26"/>
        <v>8422.0799999995124</v>
      </c>
      <c r="CP21" s="37">
        <f t="shared" si="89"/>
        <v>1</v>
      </c>
      <c r="CQ21" s="39">
        <v>674363.8</v>
      </c>
      <c r="CR21" s="39"/>
      <c r="CS21" s="37">
        <f t="shared" si="64"/>
        <v>7379.8800000000465</v>
      </c>
      <c r="CT21" s="37">
        <f t="shared" si="65"/>
        <v>1</v>
      </c>
      <c r="CU21" s="37">
        <v>4384504</v>
      </c>
      <c r="CV21" s="37"/>
      <c r="CW21" s="38">
        <f t="shared" si="27"/>
        <v>304</v>
      </c>
      <c r="CX21" s="37">
        <f t="shared" si="90"/>
        <v>1</v>
      </c>
      <c r="CY21" s="37">
        <v>2338659</v>
      </c>
      <c r="CZ21" s="37"/>
      <c r="DA21" s="37">
        <f t="shared" si="28"/>
        <v>59</v>
      </c>
      <c r="DB21" s="37">
        <f t="shared" si="91"/>
        <v>1</v>
      </c>
      <c r="DC21" s="37"/>
      <c r="DD21" s="40"/>
      <c r="DE21" s="37">
        <f t="shared" si="29"/>
        <v>0</v>
      </c>
      <c r="DF21" s="37">
        <f t="shared" si="96"/>
        <v>0</v>
      </c>
      <c r="DG21" s="37">
        <f t="shared" si="30"/>
        <v>-41761.939999999922</v>
      </c>
      <c r="DH21" s="37">
        <f t="shared" si="31"/>
        <v>407566.08000000037</v>
      </c>
      <c r="DI21" s="46"/>
      <c r="DJ21" s="46"/>
      <c r="DK21" s="47"/>
      <c r="DL21" s="47"/>
      <c r="DM21" s="37"/>
      <c r="DN21" s="37"/>
      <c r="DO21" s="37"/>
      <c r="DP21" s="37"/>
      <c r="DQ21" s="50">
        <v>4292600</v>
      </c>
      <c r="DR21" s="49">
        <f t="shared" si="66"/>
        <v>8600</v>
      </c>
      <c r="DS21" s="50">
        <v>5380200</v>
      </c>
      <c r="DT21" s="49">
        <f t="shared" si="67"/>
        <v>24600</v>
      </c>
      <c r="DU21" s="52">
        <v>8341</v>
      </c>
      <c r="DV21" s="52">
        <v>4714.6000000000004</v>
      </c>
      <c r="DW21" s="37">
        <f t="shared" si="92"/>
        <v>4200.0000000007276</v>
      </c>
      <c r="DX21" s="52">
        <v>13785</v>
      </c>
      <c r="DY21" s="52">
        <v>8635.9</v>
      </c>
      <c r="DZ21" s="37">
        <f t="shared" si="32"/>
        <v>9036.08</v>
      </c>
      <c r="EA21" s="49">
        <v>31925</v>
      </c>
      <c r="EB21" s="49">
        <v>21.922999999999998</v>
      </c>
      <c r="EC21" s="37">
        <f t="shared" si="33"/>
        <v>25196.080000000002</v>
      </c>
      <c r="ED21" s="53">
        <f t="shared" si="34"/>
        <v>38432.160000000731</v>
      </c>
      <c r="EE21" s="49">
        <v>47698</v>
      </c>
      <c r="EF21" s="49">
        <v>31.338000000000001</v>
      </c>
      <c r="EG21" s="37">
        <f t="shared" si="35"/>
        <v>23196.080000000002</v>
      </c>
      <c r="EH21" s="52">
        <v>14021</v>
      </c>
      <c r="EI21" s="52">
        <v>2.0297000000000001</v>
      </c>
      <c r="EJ21" s="37">
        <f t="shared" si="36"/>
        <v>10036.08</v>
      </c>
      <c r="EK21" s="37">
        <v>853.29</v>
      </c>
      <c r="EL21" s="40">
        <v>1223.0999999999999</v>
      </c>
      <c r="EM21" s="37">
        <f t="shared" si="68"/>
        <v>549.99999999995453</v>
      </c>
      <c r="EN21" s="54">
        <f t="shared" si="69"/>
        <v>33782.15999999996</v>
      </c>
      <c r="EO21" s="48">
        <v>13611.9</v>
      </c>
      <c r="EP21" s="48"/>
      <c r="EQ21" s="37">
        <f t="shared" si="70"/>
        <v>8926.0799999996452</v>
      </c>
      <c r="ER21" s="48">
        <v>10671</v>
      </c>
      <c r="ES21" s="48"/>
      <c r="ET21" s="49">
        <f t="shared" si="99"/>
        <v>17000</v>
      </c>
      <c r="EU21" s="48">
        <v>4350.3</v>
      </c>
      <c r="EV21" s="48"/>
      <c r="EW21" s="49">
        <f t="shared" si="38"/>
        <v>9234.3200000006236</v>
      </c>
      <c r="EX21" s="48">
        <v>14460</v>
      </c>
      <c r="EY21" s="48"/>
      <c r="EZ21" s="37">
        <f t="shared" si="39"/>
        <v>15036.08</v>
      </c>
      <c r="FA21" s="48">
        <f t="shared" si="71"/>
        <v>-24786.480000000269</v>
      </c>
      <c r="FB21" s="48">
        <v>38363309</v>
      </c>
      <c r="FC21" s="49">
        <f t="shared" si="93"/>
        <v>25410</v>
      </c>
      <c r="FD21" s="48">
        <f t="shared" si="72"/>
        <v>52236.480000000272</v>
      </c>
      <c r="FE21" s="48">
        <v>17778</v>
      </c>
      <c r="FF21" s="48"/>
      <c r="FG21" s="37">
        <f t="shared" si="73"/>
        <v>9042.4099999989139</v>
      </c>
      <c r="FH21" s="48">
        <v>10162</v>
      </c>
      <c r="FI21" s="48"/>
      <c r="FJ21" s="49">
        <f t="shared" si="40"/>
        <v>18992.409999999873</v>
      </c>
      <c r="FK21" s="48"/>
      <c r="FL21" s="58">
        <v>2037.33</v>
      </c>
      <c r="FM21" s="48">
        <f t="shared" si="94"/>
        <v>-36.076666666261495</v>
      </c>
      <c r="FN21" s="48">
        <v>17612</v>
      </c>
      <c r="FO21" s="48"/>
      <c r="FP21" s="37">
        <f t="shared" si="74"/>
        <v>14073.41</v>
      </c>
      <c r="FQ21" s="48">
        <v>61994</v>
      </c>
      <c r="FR21" s="48"/>
      <c r="FS21" s="37">
        <f t="shared" si="41"/>
        <v>42000</v>
      </c>
      <c r="FT21" s="48">
        <f t="shared" si="75"/>
        <v>-108.22999999878448</v>
      </c>
      <c r="FU21" s="48">
        <f>FG21+FJ21+FP21+GM21</f>
        <v>43708.229999998701</v>
      </c>
      <c r="FV21" s="44">
        <v>6383200</v>
      </c>
      <c r="FW21" s="44"/>
      <c r="FX21" s="37">
        <f t="shared" si="42"/>
        <v>0</v>
      </c>
      <c r="FY21" s="56">
        <v>19399</v>
      </c>
      <c r="FZ21" s="56"/>
      <c r="GA21" s="37">
        <f t="shared" si="98"/>
        <v>150</v>
      </c>
      <c r="GB21" s="56">
        <v>877.35</v>
      </c>
      <c r="GC21" s="56"/>
      <c r="GD21" s="37">
        <f t="shared" si="44"/>
        <v>0</v>
      </c>
      <c r="GE21" s="56">
        <v>10823</v>
      </c>
      <c r="GF21" s="56"/>
      <c r="GG21" s="37">
        <f t="shared" si="45"/>
        <v>360.00000000009095</v>
      </c>
      <c r="GH21" s="153">
        <v>32016</v>
      </c>
      <c r="GI21" s="162"/>
      <c r="GJ21" s="38">
        <f t="shared" si="77"/>
        <v>2040</v>
      </c>
      <c r="GK21" s="162">
        <v>1526.1</v>
      </c>
      <c r="GL21" s="163"/>
      <c r="GM21" s="38">
        <f t="shared" si="46"/>
        <v>1599.9999999999091</v>
      </c>
      <c r="GN21" s="57">
        <v>244040</v>
      </c>
      <c r="GO21" s="57"/>
      <c r="GP21" s="38">
        <f t="shared" si="97"/>
        <v>0</v>
      </c>
      <c r="GQ21" s="38">
        <v>296470</v>
      </c>
      <c r="GR21" s="38"/>
      <c r="GS21" s="38">
        <f t="shared" si="78"/>
        <v>0</v>
      </c>
      <c r="GT21" s="178"/>
      <c r="GU21" s="144">
        <f>DailyAug!B20-DailyAug!N20-DailyAug!V20-DailyAug!Y20-DailyAug!Z20-DailyAug!AA20-DailyAug!AB20-DailyAug!AC20-DailyAug!AD20-DailyAug!AE20-DailyAug!AK20-DailyAug!AO20-DailyAug!AS20-DailyAug!AY20-DailyAug!BD20+DailyAug!BU20-DailyAug!BG20-DailyAug!BT20-DailyAug!AF20-DailyAug!AG20</f>
        <v>4.9999994051177055E-2</v>
      </c>
      <c r="GV21" s="59">
        <v>541.25</v>
      </c>
      <c r="GW21" s="60">
        <f t="shared" si="47"/>
        <v>36.083333333333336</v>
      </c>
      <c r="GX21" s="61">
        <v>36.08</v>
      </c>
      <c r="GY21" s="140"/>
      <c r="GZ21" s="62"/>
      <c r="HA21" s="62"/>
      <c r="HB21" s="74"/>
      <c r="HC21" s="62"/>
      <c r="HD21" s="74"/>
      <c r="HE21" s="24">
        <f t="shared" si="48"/>
        <v>0</v>
      </c>
      <c r="HF21" s="151"/>
      <c r="HG21" s="213">
        <v>15</v>
      </c>
      <c r="HH21" s="16">
        <v>22068</v>
      </c>
      <c r="HI21" s="16">
        <v>8417</v>
      </c>
      <c r="HJ21" s="16">
        <f t="shared" si="49"/>
        <v>168000</v>
      </c>
      <c r="HK21" s="16">
        <v>2.1432000000000002</v>
      </c>
      <c r="HL21" s="16">
        <v>807.23</v>
      </c>
      <c r="HM21" s="16">
        <f t="shared" si="100"/>
        <v>0</v>
      </c>
      <c r="HN21" s="16">
        <v>5664.9</v>
      </c>
      <c r="HO21" s="16">
        <v>2439.9</v>
      </c>
      <c r="HP21" s="16">
        <f t="shared" si="51"/>
        <v>38899.999999999636</v>
      </c>
      <c r="HQ21" s="16">
        <v>4178.7</v>
      </c>
      <c r="HR21" s="16">
        <v>1774</v>
      </c>
      <c r="HS21" s="16">
        <f t="shared" si="52"/>
        <v>22800.000000000182</v>
      </c>
      <c r="HT21" s="16">
        <v>3931.4</v>
      </c>
      <c r="HU21" s="16">
        <v>1440.9</v>
      </c>
      <c r="HV21" s="16">
        <f t="shared" si="53"/>
        <v>25200.000000000273</v>
      </c>
      <c r="HW21" s="16">
        <v>2687.3</v>
      </c>
      <c r="HX21" s="16">
        <v>1157.5</v>
      </c>
      <c r="HY21" s="16">
        <f t="shared" si="54"/>
        <v>26200.000000000273</v>
      </c>
      <c r="HZ21" s="16">
        <v>1776300</v>
      </c>
      <c r="IA21" s="16">
        <v>790780</v>
      </c>
      <c r="IB21" s="16">
        <f t="shared" si="55"/>
        <v>30300</v>
      </c>
      <c r="IC21" s="16">
        <v>719.8</v>
      </c>
      <c r="ID21" s="16">
        <v>232.78</v>
      </c>
      <c r="IE21" s="16">
        <f t="shared" si="79"/>
        <v>0</v>
      </c>
      <c r="IF21" s="16"/>
      <c r="IG21" s="16"/>
      <c r="IH21" s="128">
        <f t="shared" si="56"/>
        <v>24600</v>
      </c>
      <c r="II21" s="211">
        <f t="shared" si="57"/>
        <v>-3.637978807091713E-10</v>
      </c>
      <c r="IJ21" s="16"/>
      <c r="IK21" s="16"/>
      <c r="IL21" s="16">
        <f t="shared" si="101"/>
        <v>0</v>
      </c>
      <c r="IM21" s="16"/>
      <c r="IN21" s="16"/>
      <c r="IO21" s="16">
        <f t="shared" si="102"/>
        <v>0</v>
      </c>
      <c r="IP21" s="16"/>
      <c r="IQ21" s="16"/>
      <c r="IR21" s="16">
        <f t="shared" si="103"/>
        <v>0</v>
      </c>
      <c r="IS21" s="16"/>
      <c r="IT21" s="16"/>
      <c r="IU21" s="16">
        <f t="shared" si="104"/>
        <v>0</v>
      </c>
      <c r="IV21" s="16"/>
      <c r="IW21" s="16"/>
      <c r="IX21" s="16">
        <f t="shared" si="105"/>
        <v>0</v>
      </c>
      <c r="IY21" s="16"/>
      <c r="IZ21" s="16"/>
      <c r="JA21" s="16">
        <f t="shared" si="106"/>
        <v>0</v>
      </c>
      <c r="JB21" s="16"/>
      <c r="JC21" s="16"/>
      <c r="JD21" s="16">
        <f t="shared" si="107"/>
        <v>0</v>
      </c>
      <c r="JE21" s="16"/>
      <c r="JF21" s="16"/>
      <c r="JG21" s="16">
        <f t="shared" si="108"/>
        <v>0</v>
      </c>
      <c r="JH21" s="16"/>
      <c r="JI21" s="16"/>
      <c r="JJ21" s="16">
        <f t="shared" si="109"/>
        <v>0</v>
      </c>
      <c r="JK21" s="16"/>
      <c r="JL21" s="16"/>
      <c r="JM21" s="16">
        <f t="shared" si="110"/>
        <v>0</v>
      </c>
      <c r="JN21" s="16"/>
      <c r="JO21" s="16"/>
      <c r="JP21" s="16">
        <f t="shared" si="111"/>
        <v>0</v>
      </c>
      <c r="JQ21" s="16"/>
      <c r="JR21" s="16"/>
      <c r="JS21" s="16">
        <f t="shared" si="112"/>
        <v>0</v>
      </c>
      <c r="JT21" s="16"/>
      <c r="JU21" s="16"/>
      <c r="JV21" s="16">
        <f t="shared" si="113"/>
        <v>0</v>
      </c>
      <c r="JW21" s="16"/>
      <c r="JX21" s="16"/>
      <c r="JY21" s="16">
        <f t="shared" si="114"/>
        <v>0</v>
      </c>
      <c r="JZ21" s="16"/>
      <c r="KA21" s="16"/>
      <c r="KB21" s="16">
        <f t="shared" si="115"/>
        <v>0</v>
      </c>
      <c r="KC21" s="16"/>
      <c r="KD21" s="16"/>
      <c r="KE21" s="16">
        <f t="shared" si="116"/>
        <v>0</v>
      </c>
      <c r="KG21" s="151">
        <f t="shared" si="58"/>
        <v>69199.999999999272</v>
      </c>
    </row>
    <row r="22" spans="1:293" x14ac:dyDescent="0.25">
      <c r="A22" s="35">
        <f t="shared" si="0"/>
        <v>16</v>
      </c>
      <c r="B22" s="38">
        <v>5236.93</v>
      </c>
      <c r="C22" s="38">
        <f t="shared" si="1"/>
        <v>9.2000000000007276</v>
      </c>
      <c r="D22" s="38">
        <f t="shared" si="2"/>
        <v>294400.00000002328</v>
      </c>
      <c r="E22" s="38">
        <v>1052.01</v>
      </c>
      <c r="F22" s="38">
        <f t="shared" si="3"/>
        <v>60159.999999996217</v>
      </c>
      <c r="G22" s="38">
        <f t="shared" si="4"/>
        <v>354560.0000000195</v>
      </c>
      <c r="H22" s="37"/>
      <c r="I22" s="39"/>
      <c r="J22" s="42"/>
      <c r="K22" s="37">
        <f>IF(J22&lt;=0,0,(J22/SQRT(J22^2+(I22-I21)^2)))</f>
        <v>0</v>
      </c>
      <c r="L22" s="40">
        <v>16742500</v>
      </c>
      <c r="M22" s="40"/>
      <c r="N22" s="37">
        <f t="shared" si="81"/>
        <v>355000</v>
      </c>
      <c r="O22" s="37">
        <v>12523</v>
      </c>
      <c r="P22" s="37"/>
      <c r="Q22" s="37">
        <f>IF((O22-O21)&lt;=0,0,(O22-O21))*1000</f>
        <v>17000</v>
      </c>
      <c r="R22" s="37">
        <f>IF(Q22&lt;=0,0,(Q22/SQRT(Q22^2+(P22-P21)^2)))</f>
        <v>1</v>
      </c>
      <c r="S22" s="37">
        <v>11261474.609999999</v>
      </c>
      <c r="T22" s="37">
        <f t="shared" si="6"/>
        <v>370.8099999986589</v>
      </c>
      <c r="U22" s="37">
        <v>1523790.61</v>
      </c>
      <c r="V22" s="37">
        <f t="shared" si="7"/>
        <v>0</v>
      </c>
      <c r="W22" s="37">
        <v>4484.8999999999996</v>
      </c>
      <c r="X22" s="37">
        <f t="shared" si="95"/>
        <v>16529.190000001341</v>
      </c>
      <c r="Y22" s="183"/>
      <c r="Z22" s="183"/>
      <c r="AA22" s="37">
        <v>793900</v>
      </c>
      <c r="AB22" s="37">
        <f t="shared" si="8"/>
        <v>100</v>
      </c>
      <c r="AC22" s="37">
        <v>4645.1000000000004</v>
      </c>
      <c r="AD22" s="37"/>
      <c r="AE22" s="37">
        <f>IF((AC22-AC21)&lt;=0,0,(AC22-AC21))*1000</f>
        <v>5200.0000000007276</v>
      </c>
      <c r="AF22" s="37">
        <f>IF(AE22&lt;=0,0,(AE22/SQRT(AE22^2+(AD22-AD21)^2)))</f>
        <v>1</v>
      </c>
      <c r="AG22" s="37">
        <v>10073.9</v>
      </c>
      <c r="AH22" s="37"/>
      <c r="AI22" s="37">
        <f t="shared" si="10"/>
        <v>14229.229999998908</v>
      </c>
      <c r="AJ22" s="37">
        <f t="shared" si="11"/>
        <v>1</v>
      </c>
      <c r="AK22" s="37">
        <f t="shared" si="12"/>
        <v>36329.229999999632</v>
      </c>
      <c r="AL22" s="42">
        <v>11810.3</v>
      </c>
      <c r="AM22" s="42"/>
      <c r="AN22" s="37">
        <f t="shared" si="59"/>
        <v>7249.2299999995403</v>
      </c>
      <c r="AO22" s="37">
        <f t="shared" si="84"/>
        <v>1</v>
      </c>
      <c r="AP22" s="37">
        <v>9258.7999999999993</v>
      </c>
      <c r="AQ22" s="37"/>
      <c r="AR22" s="37">
        <f t="shared" si="13"/>
        <v>12699.999999998909</v>
      </c>
      <c r="AS22" s="37">
        <f t="shared" si="85"/>
        <v>1</v>
      </c>
      <c r="AT22" s="183"/>
      <c r="AU22" s="183"/>
      <c r="AV22" s="183"/>
      <c r="AW22" s="183"/>
      <c r="AX22" s="37">
        <v>519310</v>
      </c>
      <c r="AY22" s="37"/>
      <c r="AZ22" s="37">
        <f t="shared" si="14"/>
        <v>510</v>
      </c>
      <c r="BA22" s="37">
        <v>200280</v>
      </c>
      <c r="BB22" s="37"/>
      <c r="BC22" s="37">
        <f t="shared" si="15"/>
        <v>700</v>
      </c>
      <c r="BD22" s="37">
        <f t="shared" si="86"/>
        <v>21159.22999999845</v>
      </c>
      <c r="BE22" s="43">
        <v>2056.4</v>
      </c>
      <c r="BF22" s="43">
        <v>1151.2</v>
      </c>
      <c r="BG22" s="37">
        <f t="shared" si="16"/>
        <v>1500</v>
      </c>
      <c r="BH22" s="44">
        <v>9688.7000000000007</v>
      </c>
      <c r="BI22" s="44">
        <v>6251.8</v>
      </c>
      <c r="BJ22" s="37">
        <f t="shared" si="17"/>
        <v>8600.0000000003638</v>
      </c>
      <c r="BK22" s="40">
        <v>1913360</v>
      </c>
      <c r="BL22" s="40">
        <f t="shared" si="87"/>
        <v>4410</v>
      </c>
      <c r="BM22" s="40">
        <v>927.84</v>
      </c>
      <c r="BN22" s="37">
        <f t="shared" si="18"/>
        <v>670.00000000007276</v>
      </c>
      <c r="BO22" s="186"/>
      <c r="BP22" s="183">
        <f t="shared" si="19"/>
        <v>0</v>
      </c>
      <c r="BQ22" s="40">
        <v>873.7</v>
      </c>
      <c r="BR22" s="37">
        <f t="shared" si="60"/>
        <v>600.00000000002274</v>
      </c>
      <c r="BS22" s="37">
        <v>115410.66</v>
      </c>
      <c r="BT22" s="37">
        <f t="shared" si="20"/>
        <v>218.49000000000524</v>
      </c>
      <c r="BU22" s="42">
        <v>3414979</v>
      </c>
      <c r="BV22" s="42"/>
      <c r="BW22" s="37">
        <f t="shared" si="21"/>
        <v>9923</v>
      </c>
      <c r="BX22" s="37">
        <f t="shared" si="88"/>
        <v>1</v>
      </c>
      <c r="BY22" s="43">
        <v>401.0093</v>
      </c>
      <c r="BZ22" s="43"/>
      <c r="CA22" s="37">
        <f t="shared" si="117"/>
        <v>844.20000000000073</v>
      </c>
      <c r="CB22" s="37">
        <f t="shared" si="61"/>
        <v>1</v>
      </c>
      <c r="CC22" s="37">
        <v>779297.4</v>
      </c>
      <c r="CD22" s="37">
        <f t="shared" si="23"/>
        <v>2189.0999999999767</v>
      </c>
      <c r="CE22" s="41">
        <v>1674088</v>
      </c>
      <c r="CF22" s="37">
        <f t="shared" si="24"/>
        <v>5056</v>
      </c>
      <c r="CG22" s="37">
        <v>95863.6</v>
      </c>
      <c r="CH22" s="37">
        <f t="shared" si="62"/>
        <v>2377.7000000000116</v>
      </c>
      <c r="CI22" s="40">
        <v>14133.38</v>
      </c>
      <c r="CJ22" s="40"/>
      <c r="CK22" s="37">
        <f t="shared" si="63"/>
        <v>17715.029999998835</v>
      </c>
      <c r="CL22" s="37">
        <f t="shared" si="25"/>
        <v>1</v>
      </c>
      <c r="CM22" s="37">
        <v>4110.8209999999999</v>
      </c>
      <c r="CN22" s="37"/>
      <c r="CO22" s="37">
        <f t="shared" si="26"/>
        <v>9164.2300000002178</v>
      </c>
      <c r="CP22" s="37">
        <f t="shared" si="89"/>
        <v>1</v>
      </c>
      <c r="CQ22" s="39">
        <v>681932.6</v>
      </c>
      <c r="CR22" s="39"/>
      <c r="CS22" s="37">
        <f t="shared" si="64"/>
        <v>8098.0299999999297</v>
      </c>
      <c r="CT22" s="37">
        <f t="shared" si="65"/>
        <v>1</v>
      </c>
      <c r="CU22" s="37">
        <v>4384854</v>
      </c>
      <c r="CV22" s="37"/>
      <c r="CW22" s="38">
        <f t="shared" si="27"/>
        <v>350</v>
      </c>
      <c r="CX22" s="37">
        <f t="shared" si="90"/>
        <v>1</v>
      </c>
      <c r="CY22" s="37">
        <v>2338753</v>
      </c>
      <c r="CZ22" s="37"/>
      <c r="DA22" s="37">
        <f t="shared" si="28"/>
        <v>94</v>
      </c>
      <c r="DB22" s="37">
        <f t="shared" si="91"/>
        <v>1</v>
      </c>
      <c r="DC22" s="37"/>
      <c r="DD22" s="40"/>
      <c r="DE22" s="37">
        <f t="shared" si="29"/>
        <v>0</v>
      </c>
      <c r="DF22" s="37">
        <f t="shared" si="96"/>
        <v>0</v>
      </c>
      <c r="DG22" s="37">
        <f t="shared" si="30"/>
        <v>-45344.289999998982</v>
      </c>
      <c r="DH22" s="37">
        <f t="shared" si="31"/>
        <v>392829.22999999963</v>
      </c>
      <c r="DI22" s="46"/>
      <c r="DJ22" s="46"/>
      <c r="DK22" s="47"/>
      <c r="DL22" s="47"/>
      <c r="DM22" s="37"/>
      <c r="DN22" s="37"/>
      <c r="DO22" s="37"/>
      <c r="DP22" s="37"/>
      <c r="DQ22" s="50">
        <v>4302300</v>
      </c>
      <c r="DR22" s="49">
        <f t="shared" si="66"/>
        <v>9700</v>
      </c>
      <c r="DS22" s="50">
        <v>5402900</v>
      </c>
      <c r="DT22" s="49">
        <f>IF((DS22-DS21)&lt;=0,0,(DS22-DS21))</f>
        <v>22700</v>
      </c>
      <c r="DU22" s="52">
        <v>8345</v>
      </c>
      <c r="DV22" s="52">
        <v>4773</v>
      </c>
      <c r="DW22" s="37">
        <f t="shared" si="92"/>
        <v>4000</v>
      </c>
      <c r="DX22" s="52">
        <v>13793</v>
      </c>
      <c r="DY22" s="52">
        <v>8639</v>
      </c>
      <c r="DZ22" s="37">
        <f t="shared" si="32"/>
        <v>8529.23</v>
      </c>
      <c r="EA22" s="49">
        <v>31947</v>
      </c>
      <c r="EB22" s="69">
        <v>21.934000000000001</v>
      </c>
      <c r="EC22" s="37">
        <f t="shared" si="33"/>
        <v>24689.23</v>
      </c>
      <c r="ED22" s="53">
        <f t="shared" si="34"/>
        <v>37218.46</v>
      </c>
      <c r="EE22" s="49">
        <v>47730</v>
      </c>
      <c r="EF22" s="49">
        <v>31.361000000000001</v>
      </c>
      <c r="EG22" s="37">
        <f t="shared" si="35"/>
        <v>34689.229999999996</v>
      </c>
      <c r="EH22" s="52">
        <v>14032</v>
      </c>
      <c r="EI22" s="52">
        <v>2.0322</v>
      </c>
      <c r="EJ22" s="37">
        <f t="shared" si="36"/>
        <v>11529.23</v>
      </c>
      <c r="EK22" s="37">
        <v>854.02</v>
      </c>
      <c r="EL22" s="40">
        <v>1224.0999999999999</v>
      </c>
      <c r="EM22" s="37">
        <f t="shared" si="68"/>
        <v>730.00000000001819</v>
      </c>
      <c r="EN22" s="54">
        <f t="shared" si="69"/>
        <v>46948.460000000006</v>
      </c>
      <c r="EO22" s="48">
        <v>13619.3</v>
      </c>
      <c r="EP22" s="48"/>
      <c r="EQ22" s="37">
        <f t="shared" si="70"/>
        <v>6029.2299999996585</v>
      </c>
      <c r="ER22" s="48">
        <v>10689</v>
      </c>
      <c r="ES22" s="48"/>
      <c r="ET22" s="49">
        <f t="shared" si="99"/>
        <v>18000</v>
      </c>
      <c r="EU22" s="48">
        <v>4359.8999999999996</v>
      </c>
      <c r="EV22" s="48"/>
      <c r="EW22" s="49">
        <f t="shared" si="38"/>
        <v>10129.229999999454</v>
      </c>
      <c r="EX22" s="48">
        <v>14471</v>
      </c>
      <c r="EY22" s="48"/>
      <c r="EZ22" s="37">
        <f t="shared" si="39"/>
        <v>11529.23</v>
      </c>
      <c r="FA22" s="48">
        <f t="shared" si="71"/>
        <v>-22725.689999999111</v>
      </c>
      <c r="FB22" s="48">
        <v>38386271</v>
      </c>
      <c r="FC22" s="49">
        <f t="shared" si="93"/>
        <v>22962</v>
      </c>
      <c r="FD22" s="48">
        <f t="shared" si="72"/>
        <v>48023.689999999115</v>
      </c>
      <c r="FE22" s="48">
        <v>17787</v>
      </c>
      <c r="FF22" s="48"/>
      <c r="FG22" s="37">
        <f t="shared" si="73"/>
        <v>10862.559999999976</v>
      </c>
      <c r="FH22" s="48">
        <v>10181.299999999999</v>
      </c>
      <c r="FI22" s="48"/>
      <c r="FJ22" s="49">
        <f t="shared" si="40"/>
        <v>19262.559999999274</v>
      </c>
      <c r="FK22" s="48"/>
      <c r="FL22" s="58">
        <v>-566.66999999999996</v>
      </c>
      <c r="FM22" s="48">
        <f t="shared" si="94"/>
        <v>-529.22666666641635</v>
      </c>
      <c r="FN22" s="48">
        <v>17624</v>
      </c>
      <c r="FO22" s="48"/>
      <c r="FP22" s="37">
        <f t="shared" si="74"/>
        <v>11962.56</v>
      </c>
      <c r="FQ22" s="48">
        <v>62034.5</v>
      </c>
      <c r="FR22" s="48"/>
      <c r="FS22" s="37">
        <f t="shared" si="41"/>
        <v>40500</v>
      </c>
      <c r="FT22" s="48">
        <f t="shared" si="75"/>
        <v>-1587.679999999249</v>
      </c>
      <c r="FU22" s="48">
        <f t="shared" si="76"/>
        <v>42287.679999999295</v>
      </c>
      <c r="FV22" s="44">
        <v>6383700</v>
      </c>
      <c r="FW22" s="44"/>
      <c r="FX22" s="37">
        <f t="shared" si="42"/>
        <v>500</v>
      </c>
      <c r="FY22" s="56">
        <v>19560</v>
      </c>
      <c r="FZ22" s="56"/>
      <c r="GA22" s="37">
        <f t="shared" si="98"/>
        <v>161</v>
      </c>
      <c r="GB22" s="56">
        <v>877.97</v>
      </c>
      <c r="GC22" s="56"/>
      <c r="GD22" s="37">
        <f t="shared" si="44"/>
        <v>620.00000000000455</v>
      </c>
      <c r="GE22" s="56">
        <v>10827</v>
      </c>
      <c r="GF22" s="56"/>
      <c r="GG22" s="37">
        <f t="shared" si="45"/>
        <v>1463.9999999999545</v>
      </c>
      <c r="GH22" s="153">
        <v>34352</v>
      </c>
      <c r="GI22" s="162"/>
      <c r="GJ22" s="38">
        <f t="shared" si="77"/>
        <v>2336</v>
      </c>
      <c r="GK22" s="162">
        <v>1526.3</v>
      </c>
      <c r="GL22" s="163"/>
      <c r="GM22" s="38">
        <f t="shared" si="46"/>
        <v>200.00000000004547</v>
      </c>
      <c r="GN22" s="57">
        <v>244040</v>
      </c>
      <c r="GO22" s="57"/>
      <c r="GP22" s="38">
        <f t="shared" si="97"/>
        <v>0</v>
      </c>
      <c r="GQ22" s="38">
        <v>296470</v>
      </c>
      <c r="GR22" s="38"/>
      <c r="GS22" s="38">
        <f t="shared" si="78"/>
        <v>0</v>
      </c>
      <c r="GT22" s="178"/>
      <c r="GU22" s="144">
        <f>DailyAug!B21-DailyAug!N21-DailyAug!V21-DailyAug!Y21-DailyAug!Z21-DailyAug!AA21-DailyAug!AB21-DailyAug!AC21-DailyAug!AD21-DailyAug!AE21-DailyAug!AK21-DailyAug!AO21-DailyAug!AS21-DailyAug!AY21-DailyAug!BD21+DailyAug!BU21-DailyAug!BG21-DailyAug!BT21-DailyAug!AF21-DailyAug!AG21</f>
        <v>-3.9999976404942572E-2</v>
      </c>
      <c r="GV22" s="59">
        <v>7938.41</v>
      </c>
      <c r="GW22" s="60">
        <f t="shared" si="47"/>
        <v>529.22733333333338</v>
      </c>
      <c r="GX22" s="61">
        <v>529.23</v>
      </c>
      <c r="GY22" s="140"/>
      <c r="GZ22" s="62"/>
      <c r="HA22" s="62"/>
      <c r="HB22" s="74"/>
      <c r="HC22" s="62"/>
      <c r="HD22" s="74"/>
      <c r="HE22" s="24">
        <f t="shared" si="48"/>
        <v>0</v>
      </c>
      <c r="HF22" s="151"/>
      <c r="HG22" s="213">
        <v>16</v>
      </c>
      <c r="HH22" s="16">
        <v>22205</v>
      </c>
      <c r="HI22" s="16">
        <v>8468.1</v>
      </c>
      <c r="HJ22" s="16">
        <f t="shared" si="49"/>
        <v>137000</v>
      </c>
      <c r="HK22" s="16">
        <v>2.1432000000000002</v>
      </c>
      <c r="HL22" s="16">
        <v>807.23</v>
      </c>
      <c r="HM22" s="16">
        <f t="shared" si="100"/>
        <v>0</v>
      </c>
      <c r="HN22" s="16">
        <v>5697.8</v>
      </c>
      <c r="HO22" s="16">
        <v>2453.4</v>
      </c>
      <c r="HP22" s="16">
        <f t="shared" si="51"/>
        <v>32750.000000000546</v>
      </c>
      <c r="HQ22" s="16">
        <v>4184.7</v>
      </c>
      <c r="HR22" s="16">
        <v>1776.8</v>
      </c>
      <c r="HS22" s="16">
        <f t="shared" si="52"/>
        <v>5850</v>
      </c>
      <c r="HT22" s="16">
        <v>3955.2</v>
      </c>
      <c r="HU22" s="16">
        <v>1449.1</v>
      </c>
      <c r="HV22" s="16">
        <f t="shared" si="53"/>
        <v>23649.999999999727</v>
      </c>
      <c r="HW22" s="16">
        <v>2711.1</v>
      </c>
      <c r="HX22" s="16">
        <v>1167.3</v>
      </c>
      <c r="HY22" s="16">
        <f t="shared" si="54"/>
        <v>23649.999999999727</v>
      </c>
      <c r="HZ22" s="16">
        <v>1804700</v>
      </c>
      <c r="IA22" s="16">
        <v>802450</v>
      </c>
      <c r="IB22" s="16">
        <f t="shared" si="55"/>
        <v>28400</v>
      </c>
      <c r="IC22" s="16">
        <v>719.8</v>
      </c>
      <c r="ID22" s="16">
        <v>232.78</v>
      </c>
      <c r="IE22" s="16">
        <f t="shared" si="79"/>
        <v>0</v>
      </c>
      <c r="IF22" s="16"/>
      <c r="IG22" s="16"/>
      <c r="IH22" s="128">
        <f t="shared" si="56"/>
        <v>22700</v>
      </c>
      <c r="II22" s="211">
        <f t="shared" si="57"/>
        <v>7.2759576141834259E-12</v>
      </c>
      <c r="IJ22" s="16"/>
      <c r="IK22" s="16"/>
      <c r="IL22" s="16">
        <f t="shared" si="101"/>
        <v>0</v>
      </c>
      <c r="IM22" s="16"/>
      <c r="IN22" s="16"/>
      <c r="IO22" s="16">
        <f t="shared" si="102"/>
        <v>0</v>
      </c>
      <c r="IP22" s="16"/>
      <c r="IQ22" s="16"/>
      <c r="IR22" s="16">
        <f t="shared" si="103"/>
        <v>0</v>
      </c>
      <c r="IS22" s="16"/>
      <c r="IT22" s="16"/>
      <c r="IU22" s="16">
        <f t="shared" si="104"/>
        <v>0</v>
      </c>
      <c r="IV22" s="16"/>
      <c r="IW22" s="16"/>
      <c r="IX22" s="16">
        <f t="shared" si="105"/>
        <v>0</v>
      </c>
      <c r="IY22" s="16"/>
      <c r="IZ22" s="16"/>
      <c r="JA22" s="16">
        <f t="shared" si="106"/>
        <v>0</v>
      </c>
      <c r="JB22" s="16"/>
      <c r="JC22" s="16"/>
      <c r="JD22" s="16">
        <f t="shared" si="107"/>
        <v>0</v>
      </c>
      <c r="JE22" s="16"/>
      <c r="JF22" s="16"/>
      <c r="JG22" s="16">
        <f t="shared" si="108"/>
        <v>0</v>
      </c>
      <c r="JH22" s="16"/>
      <c r="JI22" s="16"/>
      <c r="JJ22" s="16">
        <f t="shared" si="109"/>
        <v>0</v>
      </c>
      <c r="JK22" s="16"/>
      <c r="JL22" s="16"/>
      <c r="JM22" s="16">
        <f t="shared" si="110"/>
        <v>0</v>
      </c>
      <c r="JN22" s="16"/>
      <c r="JO22" s="16"/>
      <c r="JP22" s="16">
        <f t="shared" si="111"/>
        <v>0</v>
      </c>
      <c r="JQ22" s="16"/>
      <c r="JR22" s="16"/>
      <c r="JS22" s="16">
        <f t="shared" si="112"/>
        <v>0</v>
      </c>
      <c r="JT22" s="16"/>
      <c r="JU22" s="16"/>
      <c r="JV22" s="16">
        <f t="shared" si="113"/>
        <v>0</v>
      </c>
      <c r="JW22" s="16"/>
      <c r="JX22" s="16"/>
      <c r="JY22" s="16">
        <f t="shared" si="114"/>
        <v>0</v>
      </c>
      <c r="JZ22" s="16"/>
      <c r="KA22" s="16"/>
      <c r="KB22" s="16">
        <f t="shared" si="115"/>
        <v>0</v>
      </c>
      <c r="KC22" s="16"/>
      <c r="KD22" s="16"/>
      <c r="KE22" s="16">
        <f t="shared" si="116"/>
        <v>0</v>
      </c>
      <c r="KG22" s="151">
        <f t="shared" si="58"/>
        <v>61150.000000000553</v>
      </c>
    </row>
    <row r="23" spans="1:293" x14ac:dyDescent="0.25">
      <c r="A23" s="35">
        <f t="shared" si="0"/>
        <v>17</v>
      </c>
      <c r="B23" s="38">
        <v>5246.15</v>
      </c>
      <c r="C23" s="38">
        <f t="shared" si="1"/>
        <v>9.2199999999993452</v>
      </c>
      <c r="D23" s="38">
        <f t="shared" si="2"/>
        <v>295039.99999997905</v>
      </c>
      <c r="E23" s="38">
        <v>1053.83</v>
      </c>
      <c r="F23" s="38">
        <f t="shared" si="3"/>
        <v>58239.999999997963</v>
      </c>
      <c r="G23" s="38">
        <f t="shared" si="4"/>
        <v>353279.99999997701</v>
      </c>
      <c r="H23" s="37"/>
      <c r="I23" s="39"/>
      <c r="J23" s="42"/>
      <c r="K23" s="37">
        <f t="shared" ref="K23:K24" si="118">IF(J23&lt;=0,0,(J23/SQRT(J23^2+(I23-I22)^2)))</f>
        <v>0</v>
      </c>
      <c r="L23" s="40">
        <v>16777600</v>
      </c>
      <c r="M23" s="40"/>
      <c r="N23" s="37">
        <f t="shared" si="81"/>
        <v>351000</v>
      </c>
      <c r="O23" s="37">
        <v>12541</v>
      </c>
      <c r="P23" s="37"/>
      <c r="Q23" s="37">
        <f t="shared" ref="Q23:Q38" si="119">IF((O23-O22)&lt;=0,0,(O23-O22))*1000</f>
        <v>18000</v>
      </c>
      <c r="R23" s="37">
        <f t="shared" ref="R23:R24" si="120">IF(Q23&lt;=0,0,(Q23/SQRT(Q23^2+(P23-P22)^2)))</f>
        <v>1</v>
      </c>
      <c r="S23" s="37">
        <v>11261869.18</v>
      </c>
      <c r="T23" s="37">
        <f t="shared" si="6"/>
        <v>394.57000000029802</v>
      </c>
      <c r="U23" s="37">
        <v>1523790.61</v>
      </c>
      <c r="V23" s="37">
        <f t="shared" si="7"/>
        <v>0</v>
      </c>
      <c r="W23" s="37">
        <v>4490.8</v>
      </c>
      <c r="X23" s="37">
        <f t="shared" si="95"/>
        <v>17505.429999999702</v>
      </c>
      <c r="Y23" s="183"/>
      <c r="Z23" s="183"/>
      <c r="AA23" s="37">
        <v>794000</v>
      </c>
      <c r="AB23" s="37">
        <f t="shared" si="8"/>
        <v>100</v>
      </c>
      <c r="AC23" s="37">
        <v>4650.3</v>
      </c>
      <c r="AD23" s="37"/>
      <c r="AE23" s="37">
        <f t="shared" ref="AE23:AE38" si="121">IF((AC23-AC22)&lt;=0,0,(AC23-AC22))*1000</f>
        <v>5199.9999999998181</v>
      </c>
      <c r="AF23" s="37">
        <f t="shared" ref="AF23:AF24" si="122">IF(AE23&lt;=0,0,(AE23/SQRT(AE23^2+(AD23-AD22)^2)))</f>
        <v>1</v>
      </c>
      <c r="AG23" s="37">
        <v>10087.5</v>
      </c>
      <c r="AH23" s="70"/>
      <c r="AI23" s="37">
        <f t="shared" si="10"/>
        <v>14043.400000000363</v>
      </c>
      <c r="AJ23" s="37">
        <f t="shared" si="11"/>
        <v>1</v>
      </c>
      <c r="AK23" s="37">
        <f t="shared" si="12"/>
        <v>37143.400000000183</v>
      </c>
      <c r="AL23" s="42">
        <v>11822.8</v>
      </c>
      <c r="AM23" s="42"/>
      <c r="AN23" s="37">
        <f t="shared" si="59"/>
        <v>7383.4000000000133</v>
      </c>
      <c r="AO23" s="37">
        <f t="shared" si="84"/>
        <v>1</v>
      </c>
      <c r="AP23" s="37">
        <v>9271.2999999999993</v>
      </c>
      <c r="AQ23" s="37"/>
      <c r="AR23" s="37">
        <f t="shared" si="13"/>
        <v>12500</v>
      </c>
      <c r="AS23" s="37">
        <f t="shared" si="85"/>
        <v>1</v>
      </c>
      <c r="AT23" s="183"/>
      <c r="AU23" s="183"/>
      <c r="AV23" s="183"/>
      <c r="AW23" s="183"/>
      <c r="AX23" s="37">
        <v>519800</v>
      </c>
      <c r="AY23" s="37"/>
      <c r="AZ23" s="37">
        <f t="shared" si="14"/>
        <v>490</v>
      </c>
      <c r="BA23" s="37">
        <v>200970</v>
      </c>
      <c r="BB23" s="37"/>
      <c r="BC23" s="37">
        <f t="shared" si="15"/>
        <v>690</v>
      </c>
      <c r="BD23" s="37">
        <f t="shared" si="86"/>
        <v>21063.400000000012</v>
      </c>
      <c r="BE23" s="43">
        <v>2057.9</v>
      </c>
      <c r="BF23" s="43">
        <v>1152.4000000000001</v>
      </c>
      <c r="BG23" s="37">
        <f t="shared" si="16"/>
        <v>1500</v>
      </c>
      <c r="BH23" s="44">
        <v>9697.6</v>
      </c>
      <c r="BI23" s="44">
        <v>6257.4</v>
      </c>
      <c r="BJ23" s="37">
        <f t="shared" si="17"/>
        <v>8899.9999999996362</v>
      </c>
      <c r="BK23" s="40">
        <v>1917780</v>
      </c>
      <c r="BL23" s="40">
        <f t="shared" si="87"/>
        <v>4420</v>
      </c>
      <c r="BM23" s="40">
        <v>928.48</v>
      </c>
      <c r="BN23" s="37">
        <f t="shared" si="18"/>
        <v>639.99999999998636</v>
      </c>
      <c r="BO23" s="186"/>
      <c r="BP23" s="183">
        <f t="shared" si="19"/>
        <v>0</v>
      </c>
      <c r="BQ23" s="40">
        <v>874.2</v>
      </c>
      <c r="BR23" s="37">
        <f t="shared" si="60"/>
        <v>500</v>
      </c>
      <c r="BS23" s="37">
        <v>115627.73</v>
      </c>
      <c r="BT23" s="37">
        <f t="shared" si="20"/>
        <v>217.06999999999243</v>
      </c>
      <c r="BU23" s="42">
        <v>3425151</v>
      </c>
      <c r="BV23" s="42"/>
      <c r="BW23" s="37">
        <f t="shared" si="21"/>
        <v>10172</v>
      </c>
      <c r="BX23" s="37">
        <f t="shared" si="88"/>
        <v>1</v>
      </c>
      <c r="BY23" s="43">
        <v>401.84460000000001</v>
      </c>
      <c r="BZ23" s="43"/>
      <c r="CA23" s="37">
        <f t="shared" si="117"/>
        <v>835.30000000001792</v>
      </c>
      <c r="CB23" s="37">
        <f t="shared" si="61"/>
        <v>1</v>
      </c>
      <c r="CC23" s="37">
        <v>781624.8</v>
      </c>
      <c r="CD23" s="37">
        <f t="shared" si="23"/>
        <v>2327.4000000000233</v>
      </c>
      <c r="CE23" s="41">
        <v>1679366</v>
      </c>
      <c r="CF23" s="37">
        <f t="shared" si="24"/>
        <v>5278</v>
      </c>
      <c r="CG23" s="37">
        <v>98248.7</v>
      </c>
      <c r="CH23" s="37">
        <f t="shared" si="62"/>
        <v>2385.0999999999913</v>
      </c>
      <c r="CI23" s="40">
        <v>14151.38</v>
      </c>
      <c r="CJ23" s="40"/>
      <c r="CK23" s="37">
        <f t="shared" si="63"/>
        <v>17608.099999999984</v>
      </c>
      <c r="CL23" s="37">
        <f t="shared" si="25"/>
        <v>1</v>
      </c>
      <c r="CM23" s="37">
        <v>4119.3850000000002</v>
      </c>
      <c r="CN23" s="37"/>
      <c r="CO23" s="37">
        <f t="shared" si="26"/>
        <v>9007.4000000003052</v>
      </c>
      <c r="CP23" s="37">
        <f t="shared" si="89"/>
        <v>1</v>
      </c>
      <c r="CQ23" s="39">
        <v>689499.1</v>
      </c>
      <c r="CR23" s="39"/>
      <c r="CS23" s="37">
        <f t="shared" si="64"/>
        <v>8009.9</v>
      </c>
      <c r="CT23" s="37">
        <f t="shared" si="65"/>
        <v>1</v>
      </c>
      <c r="CU23" s="37">
        <v>4385196</v>
      </c>
      <c r="CV23" s="37"/>
      <c r="CW23" s="38">
        <f t="shared" si="27"/>
        <v>342</v>
      </c>
      <c r="CX23" s="37">
        <f t="shared" si="90"/>
        <v>1</v>
      </c>
      <c r="CY23" s="37">
        <v>2338849</v>
      </c>
      <c r="CZ23" s="37"/>
      <c r="DA23" s="37">
        <f t="shared" si="28"/>
        <v>96</v>
      </c>
      <c r="DB23" s="37">
        <f t="shared" si="91"/>
        <v>1</v>
      </c>
      <c r="DC23" s="37"/>
      <c r="DD23" s="40"/>
      <c r="DE23" s="37">
        <f t="shared" si="29"/>
        <v>0</v>
      </c>
      <c r="DF23" s="37">
        <f t="shared" si="96"/>
        <v>0</v>
      </c>
      <c r="DG23" s="37">
        <f t="shared" si="30"/>
        <v>-45235.400000000285</v>
      </c>
      <c r="DH23" s="37">
        <f t="shared" si="31"/>
        <v>389643.4000000002</v>
      </c>
      <c r="DI23" s="46"/>
      <c r="DJ23" s="46"/>
      <c r="DK23" s="47"/>
      <c r="DL23" s="47"/>
      <c r="DM23" s="37"/>
      <c r="DN23" s="37"/>
      <c r="DO23" s="37"/>
      <c r="DP23" s="37"/>
      <c r="DQ23" s="50">
        <v>4312300</v>
      </c>
      <c r="DR23" s="49">
        <f t="shared" si="66"/>
        <v>10000</v>
      </c>
      <c r="DS23" s="50">
        <v>5427200</v>
      </c>
      <c r="DT23" s="49">
        <f>IF((DS23-DS22)&lt;=0,0,(DS23-DS22))</f>
        <v>24300</v>
      </c>
      <c r="DU23" s="51">
        <v>8349</v>
      </c>
      <c r="DV23" s="51">
        <v>4720.8999999999996</v>
      </c>
      <c r="DW23" s="37">
        <f t="shared" si="92"/>
        <v>4000</v>
      </c>
      <c r="DX23" s="51">
        <v>13801</v>
      </c>
      <c r="DY23" s="51">
        <v>8642.2000000000007</v>
      </c>
      <c r="DZ23" s="37">
        <f t="shared" si="32"/>
        <v>8443.4</v>
      </c>
      <c r="EA23" s="49">
        <v>31969</v>
      </c>
      <c r="EB23" s="49">
        <v>21.943999999999999</v>
      </c>
      <c r="EC23" s="37">
        <f t="shared" si="33"/>
        <v>24603.4</v>
      </c>
      <c r="ED23" s="53">
        <f t="shared" si="34"/>
        <v>37046.800000000003</v>
      </c>
      <c r="EE23" s="49">
        <v>47758</v>
      </c>
      <c r="EF23" s="49">
        <v>31.382000000000001</v>
      </c>
      <c r="EG23" s="37">
        <f t="shared" si="35"/>
        <v>30603.4</v>
      </c>
      <c r="EH23" s="51">
        <v>14042</v>
      </c>
      <c r="EI23" s="51">
        <v>2.0343</v>
      </c>
      <c r="EJ23" s="37">
        <f t="shared" si="36"/>
        <v>10443.4</v>
      </c>
      <c r="EK23" s="37">
        <v>854.77</v>
      </c>
      <c r="EL23" s="40">
        <v>1225.3</v>
      </c>
      <c r="EM23" s="37">
        <f t="shared" si="68"/>
        <v>750</v>
      </c>
      <c r="EN23" s="54">
        <f t="shared" si="69"/>
        <v>41796.800000000003</v>
      </c>
      <c r="EO23" s="48">
        <v>13626</v>
      </c>
      <c r="EP23" s="48"/>
      <c r="EQ23" s="37">
        <f t="shared" si="70"/>
        <v>6203.4000000007291</v>
      </c>
      <c r="ER23" s="48">
        <v>10707</v>
      </c>
      <c r="ES23" s="48"/>
      <c r="ET23" s="49">
        <f t="shared" si="99"/>
        <v>18000</v>
      </c>
      <c r="EU23" s="48">
        <v>4369.5</v>
      </c>
      <c r="EV23" s="48"/>
      <c r="EW23" s="49">
        <f t="shared" si="38"/>
        <v>10043.400000000363</v>
      </c>
      <c r="EX23" s="48">
        <v>14481</v>
      </c>
      <c r="EY23" s="48"/>
      <c r="EZ23" s="37">
        <f t="shared" si="39"/>
        <v>10443.4</v>
      </c>
      <c r="FA23" s="48">
        <f t="shared" si="71"/>
        <v>-21347.200000001092</v>
      </c>
      <c r="FB23" s="48">
        <v>38409614</v>
      </c>
      <c r="FC23" s="49">
        <f t="shared" si="93"/>
        <v>23343</v>
      </c>
      <c r="FD23" s="48">
        <f t="shared" si="72"/>
        <v>46769.200000001096</v>
      </c>
      <c r="FE23" s="48">
        <v>17796</v>
      </c>
      <c r="FF23" s="48"/>
      <c r="FG23" s="37">
        <f t="shared" si="73"/>
        <v>10236.729999999998</v>
      </c>
      <c r="FH23" s="48">
        <v>10200</v>
      </c>
      <c r="FI23" s="48"/>
      <c r="FJ23" s="49">
        <f t="shared" si="40"/>
        <v>18996.730000000731</v>
      </c>
      <c r="FK23" s="48"/>
      <c r="FL23" s="58">
        <v>-146.66999999999999</v>
      </c>
      <c r="FM23" s="48">
        <f t="shared" si="94"/>
        <v>-443.39666666787889</v>
      </c>
      <c r="FN23" s="48">
        <v>17636</v>
      </c>
      <c r="FO23" s="48"/>
      <c r="FP23" s="37">
        <f t="shared" si="74"/>
        <v>12296.73</v>
      </c>
      <c r="FQ23" s="48">
        <v>62074.7</v>
      </c>
      <c r="FR23" s="48"/>
      <c r="FS23" s="37">
        <f t="shared" si="41"/>
        <v>40199.99999999709</v>
      </c>
      <c r="FT23" s="48">
        <f t="shared" si="75"/>
        <v>-1330.1900000036367</v>
      </c>
      <c r="FU23" s="48">
        <f t="shared" si="76"/>
        <v>41530.19000000073</v>
      </c>
      <c r="FV23" s="44">
        <v>6384400</v>
      </c>
      <c r="FW23" s="44"/>
      <c r="FX23" s="37">
        <f t="shared" si="42"/>
        <v>700</v>
      </c>
      <c r="FY23" s="56">
        <v>19720</v>
      </c>
      <c r="FZ23" s="56"/>
      <c r="GA23" s="37">
        <f t="shared" si="98"/>
        <v>160</v>
      </c>
      <c r="GB23" s="56">
        <v>878.27</v>
      </c>
      <c r="GC23" s="56"/>
      <c r="GD23" s="37">
        <f t="shared" si="44"/>
        <v>299.99999999995453</v>
      </c>
      <c r="GE23" s="56">
        <v>10830.2</v>
      </c>
      <c r="GF23" s="56"/>
      <c r="GG23" s="37">
        <f t="shared" si="45"/>
        <v>1121.0000000007276</v>
      </c>
      <c r="GH23" s="137">
        <v>36431</v>
      </c>
      <c r="GI23" s="162"/>
      <c r="GJ23" s="38">
        <f t="shared" si="77"/>
        <v>2079</v>
      </c>
      <c r="GK23" s="162">
        <v>1526.3</v>
      </c>
      <c r="GL23" s="163"/>
      <c r="GM23" s="38">
        <f t="shared" si="46"/>
        <v>0</v>
      </c>
      <c r="GN23" s="57">
        <v>244040</v>
      </c>
      <c r="GO23" s="57"/>
      <c r="GP23" s="38">
        <f t="shared" si="97"/>
        <v>0</v>
      </c>
      <c r="GQ23" s="38">
        <v>296470</v>
      </c>
      <c r="GR23" s="38"/>
      <c r="GS23" s="38">
        <f t="shared" si="78"/>
        <v>0</v>
      </c>
      <c r="GT23" s="178"/>
      <c r="GU23" s="144">
        <f>DailyAug!B22-DailyAug!N22-DailyAug!V22-DailyAug!Y22-DailyAug!Z22-DailyAug!AA22-DailyAug!AB22-DailyAug!AC22-DailyAug!AD22-DailyAug!AE22-DailyAug!AK22-DailyAug!AO22-DailyAug!AS22-DailyAug!AY22-DailyAug!BD22+DailyAug!BU22-DailyAug!BG22-DailyAug!BT22-DailyAug!AF22-DailyAug!AG22</f>
        <v>9.9999742960790172E-3</v>
      </c>
      <c r="GV23" s="59">
        <v>6651.01</v>
      </c>
      <c r="GW23" s="60">
        <f t="shared" si="47"/>
        <v>443.40066666666667</v>
      </c>
      <c r="GX23" s="61">
        <v>443.4</v>
      </c>
      <c r="GY23" s="140"/>
      <c r="GZ23" s="62"/>
      <c r="HA23" s="62"/>
      <c r="HB23" s="74"/>
      <c r="HC23" s="62"/>
      <c r="HD23" s="74"/>
      <c r="HE23" s="24">
        <f t="shared" si="48"/>
        <v>0</v>
      </c>
      <c r="HF23" s="151"/>
      <c r="HG23" s="213">
        <v>17</v>
      </c>
      <c r="HH23" s="16">
        <v>22347</v>
      </c>
      <c r="HI23" s="16">
        <v>8521.6</v>
      </c>
      <c r="HJ23" s="16">
        <f t="shared" si="49"/>
        <v>142000</v>
      </c>
      <c r="HK23" s="16">
        <v>2.1432000000000002</v>
      </c>
      <c r="HL23" s="16">
        <v>807.23</v>
      </c>
      <c r="HM23" s="16">
        <f t="shared" si="100"/>
        <v>0</v>
      </c>
      <c r="HN23" s="16">
        <v>5731.4</v>
      </c>
      <c r="HO23" s="16">
        <v>2467.1999999999998</v>
      </c>
      <c r="HP23" s="16">
        <f t="shared" si="51"/>
        <v>33499.999999999454</v>
      </c>
      <c r="HQ23" s="16">
        <v>4185.8</v>
      </c>
      <c r="HR23" s="16">
        <v>1777.9</v>
      </c>
      <c r="HS23" s="16">
        <f t="shared" si="52"/>
        <v>1000.0000000003638</v>
      </c>
      <c r="HT23" s="16">
        <v>3981.9</v>
      </c>
      <c r="HU23" s="16">
        <v>1458.5</v>
      </c>
      <c r="HV23" s="16">
        <f t="shared" si="53"/>
        <v>26600.000000000273</v>
      </c>
      <c r="HW23" s="16">
        <v>2736.9</v>
      </c>
      <c r="HX23" s="16">
        <v>1178.3</v>
      </c>
      <c r="HY23" s="16">
        <f t="shared" si="54"/>
        <v>25700.000000000182</v>
      </c>
      <c r="HZ23" s="16">
        <v>1835600</v>
      </c>
      <c r="IA23" s="16">
        <v>815260</v>
      </c>
      <c r="IB23" s="16">
        <f t="shared" si="55"/>
        <v>30900</v>
      </c>
      <c r="IC23" s="16">
        <v>719.8</v>
      </c>
      <c r="ID23" s="16">
        <v>232.78</v>
      </c>
      <c r="IE23" s="16">
        <f t="shared" si="79"/>
        <v>0</v>
      </c>
      <c r="IF23" s="16"/>
      <c r="IG23" s="16"/>
      <c r="IH23" s="128">
        <f t="shared" si="56"/>
        <v>24300</v>
      </c>
      <c r="II23" s="211">
        <f t="shared" si="57"/>
        <v>-2.6921043172478676E-10</v>
      </c>
      <c r="IJ23" s="16"/>
      <c r="IK23" s="16"/>
      <c r="IL23" s="16">
        <f t="shared" si="101"/>
        <v>0</v>
      </c>
      <c r="IM23" s="16"/>
      <c r="IN23" s="16"/>
      <c r="IO23" s="16">
        <f t="shared" si="102"/>
        <v>0</v>
      </c>
      <c r="IP23" s="16"/>
      <c r="IQ23" s="16"/>
      <c r="IR23" s="16">
        <f t="shared" si="103"/>
        <v>0</v>
      </c>
      <c r="IS23" s="16"/>
      <c r="IT23" s="16"/>
      <c r="IU23" s="16">
        <f t="shared" si="104"/>
        <v>0</v>
      </c>
      <c r="IV23" s="16"/>
      <c r="IW23" s="16"/>
      <c r="IX23" s="16">
        <f t="shared" si="105"/>
        <v>0</v>
      </c>
      <c r="IY23" s="16"/>
      <c r="IZ23" s="16"/>
      <c r="JA23" s="16">
        <f t="shared" si="106"/>
        <v>0</v>
      </c>
      <c r="JB23" s="16"/>
      <c r="JC23" s="16"/>
      <c r="JD23" s="16">
        <f t="shared" si="107"/>
        <v>0</v>
      </c>
      <c r="JE23" s="16"/>
      <c r="JF23" s="16"/>
      <c r="JG23" s="16">
        <f t="shared" si="108"/>
        <v>0</v>
      </c>
      <c r="JH23" s="16"/>
      <c r="JI23" s="16"/>
      <c r="JJ23" s="16">
        <f t="shared" si="109"/>
        <v>0</v>
      </c>
      <c r="JK23" s="16"/>
      <c r="JL23" s="16"/>
      <c r="JM23" s="16">
        <f t="shared" si="110"/>
        <v>0</v>
      </c>
      <c r="JN23" s="16"/>
      <c r="JO23" s="16"/>
      <c r="JP23" s="16">
        <f t="shared" si="111"/>
        <v>0</v>
      </c>
      <c r="JQ23" s="16"/>
      <c r="JR23" s="16"/>
      <c r="JS23" s="16">
        <f t="shared" si="112"/>
        <v>0</v>
      </c>
      <c r="JT23" s="16"/>
      <c r="JU23" s="16"/>
      <c r="JV23" s="16">
        <f t="shared" si="113"/>
        <v>0</v>
      </c>
      <c r="JW23" s="16"/>
      <c r="JX23" s="16"/>
      <c r="JY23" s="16">
        <f t="shared" si="114"/>
        <v>0</v>
      </c>
      <c r="JZ23" s="16"/>
      <c r="KA23" s="16"/>
      <c r="KB23" s="16">
        <f t="shared" si="115"/>
        <v>0</v>
      </c>
      <c r="KC23" s="16"/>
      <c r="KD23" s="16"/>
      <c r="KE23" s="16">
        <f t="shared" si="116"/>
        <v>0</v>
      </c>
      <c r="KG23" s="151">
        <f t="shared" si="58"/>
        <v>64399.999999999185</v>
      </c>
    </row>
    <row r="24" spans="1:293" x14ac:dyDescent="0.25">
      <c r="A24" s="35">
        <f t="shared" si="0"/>
        <v>18</v>
      </c>
      <c r="B24" s="38">
        <v>5255.48</v>
      </c>
      <c r="C24" s="38">
        <f t="shared" si="1"/>
        <v>9.3299999999999272</v>
      </c>
      <c r="D24" s="38">
        <f t="shared" si="2"/>
        <v>298559.99999999767</v>
      </c>
      <c r="E24" s="38">
        <v>1055.78</v>
      </c>
      <c r="F24" s="38">
        <f t="shared" si="3"/>
        <v>62400.000000001455</v>
      </c>
      <c r="G24" s="38">
        <f t="shared" si="4"/>
        <v>360959.99999999913</v>
      </c>
      <c r="H24" s="37"/>
      <c r="I24" s="39"/>
      <c r="J24" s="42"/>
      <c r="K24" s="37">
        <f t="shared" si="118"/>
        <v>0</v>
      </c>
      <c r="L24" s="40">
        <v>16813800</v>
      </c>
      <c r="M24" s="40"/>
      <c r="N24" s="37">
        <f t="shared" si="81"/>
        <v>362000</v>
      </c>
      <c r="O24" s="37">
        <v>12558.6</v>
      </c>
      <c r="P24" s="37"/>
      <c r="Q24" s="37">
        <f t="shared" si="119"/>
        <v>17600.000000000364</v>
      </c>
      <c r="R24" s="37">
        <f t="shared" si="120"/>
        <v>1</v>
      </c>
      <c r="S24" s="37">
        <v>11262120.119999999</v>
      </c>
      <c r="T24" s="37">
        <f t="shared" si="6"/>
        <v>250.93999999947846</v>
      </c>
      <c r="U24" s="37">
        <v>1523790.61</v>
      </c>
      <c r="V24" s="37">
        <f t="shared" si="7"/>
        <v>0</v>
      </c>
      <c r="W24" s="37">
        <v>4496.8</v>
      </c>
      <c r="X24" s="37">
        <f t="shared" si="95"/>
        <v>17349.060000000885</v>
      </c>
      <c r="Y24" s="183"/>
      <c r="Z24" s="183"/>
      <c r="AA24" s="37">
        <v>794000</v>
      </c>
      <c r="AB24" s="37">
        <f t="shared" si="8"/>
        <v>0</v>
      </c>
      <c r="AC24" s="37">
        <v>4656.5</v>
      </c>
      <c r="AD24" s="37"/>
      <c r="AE24" s="37">
        <f t="shared" si="121"/>
        <v>6199.9999999998181</v>
      </c>
      <c r="AF24" s="37">
        <f t="shared" si="122"/>
        <v>1</v>
      </c>
      <c r="AG24" s="37">
        <v>10102.1</v>
      </c>
      <c r="AH24" s="37"/>
      <c r="AI24" s="37">
        <f t="shared" si="10"/>
        <v>14524.770000000364</v>
      </c>
      <c r="AJ24" s="37">
        <f t="shared" si="11"/>
        <v>1</v>
      </c>
      <c r="AK24" s="37">
        <f t="shared" si="12"/>
        <v>38324.770000000542</v>
      </c>
      <c r="AL24" s="42">
        <v>11835</v>
      </c>
      <c r="AM24" s="42"/>
      <c r="AN24" s="37">
        <f t="shared" si="59"/>
        <v>7184.7700000008372</v>
      </c>
      <c r="AO24" s="37">
        <f t="shared" si="84"/>
        <v>1</v>
      </c>
      <c r="AP24" s="37">
        <v>9282.2999999999993</v>
      </c>
      <c r="AQ24" s="37"/>
      <c r="AR24" s="37">
        <f t="shared" si="13"/>
        <v>11000</v>
      </c>
      <c r="AS24" s="37">
        <f t="shared" si="85"/>
        <v>1</v>
      </c>
      <c r="AT24" s="183"/>
      <c r="AU24" s="183"/>
      <c r="AV24" s="183"/>
      <c r="AW24" s="183"/>
      <c r="AX24" s="37">
        <v>520250</v>
      </c>
      <c r="AY24" s="37"/>
      <c r="AZ24" s="37">
        <f t="shared" si="14"/>
        <v>450</v>
      </c>
      <c r="BA24" s="37">
        <v>201610</v>
      </c>
      <c r="BB24" s="37"/>
      <c r="BC24" s="37">
        <f t="shared" si="15"/>
        <v>640</v>
      </c>
      <c r="BD24" s="37">
        <f>AN24+AR24+AZ24+BC24</f>
        <v>19274.770000000837</v>
      </c>
      <c r="BE24" s="43">
        <v>2059.6</v>
      </c>
      <c r="BF24" s="43">
        <v>1153.5999999999999</v>
      </c>
      <c r="BG24" s="37">
        <f t="shared" si="16"/>
        <v>1699.9999999998181</v>
      </c>
      <c r="BH24" s="44">
        <v>9707</v>
      </c>
      <c r="BI24" s="44">
        <v>6263.4</v>
      </c>
      <c r="BJ24" s="37">
        <f t="shared" si="17"/>
        <v>9399.9999999996362</v>
      </c>
      <c r="BK24" s="40">
        <v>1922100</v>
      </c>
      <c r="BL24" s="40">
        <f t="shared" si="87"/>
        <v>4320</v>
      </c>
      <c r="BM24" s="40">
        <v>928.9</v>
      </c>
      <c r="BN24" s="37">
        <f t="shared" si="18"/>
        <v>419.99999999995907</v>
      </c>
      <c r="BO24" s="186"/>
      <c r="BP24" s="183">
        <f t="shared" si="19"/>
        <v>0</v>
      </c>
      <c r="BQ24" s="40">
        <v>874.4</v>
      </c>
      <c r="BR24" s="37">
        <f t="shared" si="60"/>
        <v>199.99999999993179</v>
      </c>
      <c r="BS24" s="37">
        <v>115859.94</v>
      </c>
      <c r="BT24" s="37">
        <f t="shared" si="20"/>
        <v>232.2100000000064</v>
      </c>
      <c r="BU24" s="42">
        <v>3435183</v>
      </c>
      <c r="BV24" s="42"/>
      <c r="BW24" s="37">
        <f t="shared" si="21"/>
        <v>10032</v>
      </c>
      <c r="BX24" s="37">
        <f t="shared" si="88"/>
        <v>1</v>
      </c>
      <c r="BY24" s="43">
        <v>402.71710000000002</v>
      </c>
      <c r="BZ24" s="37"/>
      <c r="CA24" s="37">
        <f t="shared" si="117"/>
        <v>872.50000000000227</v>
      </c>
      <c r="CB24" s="37">
        <f t="shared" si="61"/>
        <v>1</v>
      </c>
      <c r="CC24" s="37">
        <v>783603.9</v>
      </c>
      <c r="CD24" s="37">
        <f t="shared" si="23"/>
        <v>1979.0999999999767</v>
      </c>
      <c r="CE24" s="41">
        <v>1684905</v>
      </c>
      <c r="CF24" s="37">
        <f t="shared" si="24"/>
        <v>5539</v>
      </c>
      <c r="CG24" s="37">
        <v>100636.6</v>
      </c>
      <c r="CH24" s="37">
        <f t="shared" si="62"/>
        <v>2387.9000000000087</v>
      </c>
      <c r="CI24" s="40">
        <v>14169.04</v>
      </c>
      <c r="CJ24" s="40"/>
      <c r="CK24" s="37">
        <f t="shared" si="63"/>
        <v>16712.27000000167</v>
      </c>
      <c r="CL24" s="37">
        <f t="shared" si="25"/>
        <v>1</v>
      </c>
      <c r="CM24" s="37">
        <v>4127.8069999999998</v>
      </c>
      <c r="CN24" s="37"/>
      <c r="CO24" s="37">
        <f t="shared" si="26"/>
        <v>8346.7699999995712</v>
      </c>
      <c r="CP24" s="37">
        <f t="shared" si="89"/>
        <v>1</v>
      </c>
      <c r="CQ24" s="39">
        <v>696921.5</v>
      </c>
      <c r="CR24" s="39"/>
      <c r="CS24" s="37">
        <f t="shared" si="64"/>
        <v>7347.1700000000237</v>
      </c>
      <c r="CT24" s="37">
        <f t="shared" si="65"/>
        <v>1</v>
      </c>
      <c r="CU24" s="37">
        <v>4385531</v>
      </c>
      <c r="CV24" s="37"/>
      <c r="CW24" s="38">
        <f t="shared" si="27"/>
        <v>335</v>
      </c>
      <c r="CX24" s="37">
        <f t="shared" si="90"/>
        <v>1</v>
      </c>
      <c r="CY24" s="37">
        <v>2338936</v>
      </c>
      <c r="CZ24" s="37"/>
      <c r="DA24" s="37">
        <f t="shared" si="28"/>
        <v>87</v>
      </c>
      <c r="DB24" s="37">
        <f t="shared" si="91"/>
        <v>1</v>
      </c>
      <c r="DC24" s="37"/>
      <c r="DD24" s="40"/>
      <c r="DE24" s="37">
        <f t="shared" si="29"/>
        <v>0</v>
      </c>
      <c r="DF24" s="37">
        <f t="shared" si="96"/>
        <v>0</v>
      </c>
      <c r="DG24" s="37">
        <f t="shared" si="30"/>
        <v>-42860.210000001265</v>
      </c>
      <c r="DH24" s="37">
        <f t="shared" si="31"/>
        <v>402024.77000000037</v>
      </c>
      <c r="DI24" s="46"/>
      <c r="DJ24" s="46"/>
      <c r="DK24" s="47"/>
      <c r="DL24" s="47"/>
      <c r="DM24" s="37"/>
      <c r="DN24" s="37"/>
      <c r="DO24" s="37"/>
      <c r="DP24" s="37"/>
      <c r="DQ24" s="50">
        <v>4320200</v>
      </c>
      <c r="DR24" s="49">
        <f t="shared" si="66"/>
        <v>7900</v>
      </c>
      <c r="DS24" s="50">
        <v>5447800</v>
      </c>
      <c r="DT24" s="49">
        <f>IF((DS24-DS23)&lt;=0,0,(DS24-DS23))</f>
        <v>20600</v>
      </c>
      <c r="DU24" s="51">
        <v>8353.2000000000007</v>
      </c>
      <c r="DV24" s="51">
        <v>4724.3</v>
      </c>
      <c r="DW24" s="37">
        <f t="shared" si="92"/>
        <v>4200.0000000007276</v>
      </c>
      <c r="DX24" s="52">
        <v>13809</v>
      </c>
      <c r="DY24" s="52">
        <v>8645.4</v>
      </c>
      <c r="DZ24" s="37">
        <f t="shared" si="32"/>
        <v>7924.77</v>
      </c>
      <c r="EA24" s="49">
        <v>31992</v>
      </c>
      <c r="EB24" s="49">
        <v>21.954999999999998</v>
      </c>
      <c r="EC24" s="37">
        <f t="shared" si="33"/>
        <v>25084.77</v>
      </c>
      <c r="ED24" s="53">
        <f t="shared" si="34"/>
        <v>37209.540000000728</v>
      </c>
      <c r="EE24" s="49">
        <v>47785</v>
      </c>
      <c r="EF24" s="49">
        <v>31.402999999999999</v>
      </c>
      <c r="EG24" s="37">
        <f t="shared" si="35"/>
        <v>29084.77</v>
      </c>
      <c r="EH24" s="51">
        <v>14052</v>
      </c>
      <c r="EI24" s="51">
        <v>2.0367000000000002</v>
      </c>
      <c r="EJ24" s="37">
        <f t="shared" si="36"/>
        <v>9924.77</v>
      </c>
      <c r="EK24" s="37">
        <v>855.57</v>
      </c>
      <c r="EL24" s="40">
        <v>1226.5</v>
      </c>
      <c r="EM24" s="37">
        <f t="shared" si="68"/>
        <v>800.00000000006821</v>
      </c>
      <c r="EN24" s="54">
        <f t="shared" si="69"/>
        <v>39809.540000000066</v>
      </c>
      <c r="EO24" s="48">
        <v>13633</v>
      </c>
      <c r="EP24" s="48"/>
      <c r="EQ24" s="37">
        <f t="shared" si="70"/>
        <v>5964.7699999999641</v>
      </c>
      <c r="ER24" s="48">
        <v>10725</v>
      </c>
      <c r="ES24" s="48"/>
      <c r="ET24" s="49">
        <f t="shared" si="99"/>
        <v>18000</v>
      </c>
      <c r="EU24" s="48">
        <v>4379</v>
      </c>
      <c r="EV24" s="48"/>
      <c r="EW24" s="49">
        <f t="shared" si="38"/>
        <v>9424.77</v>
      </c>
      <c r="EX24" s="48">
        <v>14492</v>
      </c>
      <c r="EY24" s="48"/>
      <c r="EZ24" s="37">
        <f t="shared" si="39"/>
        <v>10924.77</v>
      </c>
      <c r="FA24" s="48">
        <f t="shared" si="71"/>
        <v>-19979.309999999965</v>
      </c>
      <c r="FB24" s="48">
        <v>38433949</v>
      </c>
      <c r="FC24" s="49">
        <f t="shared" si="93"/>
        <v>24335</v>
      </c>
      <c r="FD24" s="48">
        <f t="shared" si="72"/>
        <v>47108.309999999969</v>
      </c>
      <c r="FE24" s="48">
        <v>17805</v>
      </c>
      <c r="FF24" s="48"/>
      <c r="FG24" s="37">
        <f t="shared" si="73"/>
        <v>9664.7700000000368</v>
      </c>
      <c r="FH24" s="48">
        <v>10219</v>
      </c>
      <c r="FI24" s="48"/>
      <c r="FJ24" s="49">
        <f t="shared" si="40"/>
        <v>18704.77</v>
      </c>
      <c r="FK24" s="48"/>
      <c r="FL24" s="58">
        <v>-220</v>
      </c>
      <c r="FM24" s="48">
        <f t="shared" si="94"/>
        <v>75.23000000095756</v>
      </c>
      <c r="FN24" s="48">
        <v>17648</v>
      </c>
      <c r="FO24" s="48"/>
      <c r="FP24" s="37">
        <f t="shared" si="74"/>
        <v>11704.77</v>
      </c>
      <c r="FQ24" s="48">
        <v>62115</v>
      </c>
      <c r="FR24" s="48"/>
      <c r="FS24" s="37">
        <f t="shared" si="41"/>
        <v>40300.00000000291</v>
      </c>
      <c r="FT24" s="48">
        <f t="shared" si="75"/>
        <v>225.69000000287269</v>
      </c>
      <c r="FU24" s="48">
        <f t="shared" si="76"/>
        <v>40074.310000000041</v>
      </c>
      <c r="FV24" s="44">
        <v>6398200</v>
      </c>
      <c r="FW24" s="44"/>
      <c r="FX24" s="37">
        <f t="shared" si="42"/>
        <v>13800</v>
      </c>
      <c r="FY24" s="56">
        <v>22526</v>
      </c>
      <c r="FZ24" s="56"/>
      <c r="GA24" s="37">
        <f t="shared" si="98"/>
        <v>2806</v>
      </c>
      <c r="GB24" s="56">
        <v>878.91</v>
      </c>
      <c r="GC24" s="56"/>
      <c r="GD24" s="37">
        <f t="shared" si="44"/>
        <v>639.99999999998636</v>
      </c>
      <c r="GE24" s="56">
        <v>10837</v>
      </c>
      <c r="GF24" s="56"/>
      <c r="GG24" s="37">
        <f t="shared" si="45"/>
        <v>4005.9999999992724</v>
      </c>
      <c r="GH24" s="158">
        <v>39225</v>
      </c>
      <c r="GI24" s="159"/>
      <c r="GJ24" s="38">
        <f t="shared" si="77"/>
        <v>2794</v>
      </c>
      <c r="GK24" s="159">
        <v>1526.3</v>
      </c>
      <c r="GL24" s="160"/>
      <c r="GM24" s="38">
        <f t="shared" si="46"/>
        <v>0</v>
      </c>
      <c r="GN24" s="57">
        <v>244040</v>
      </c>
      <c r="GO24" s="57"/>
      <c r="GP24" s="38">
        <f t="shared" si="97"/>
        <v>0</v>
      </c>
      <c r="GQ24" s="38">
        <v>296470</v>
      </c>
      <c r="GR24" s="38"/>
      <c r="GS24" s="38">
        <f t="shared" si="78"/>
        <v>0</v>
      </c>
      <c r="GT24" s="178"/>
      <c r="GU24" s="144">
        <f>DailyAug!B23-DailyAug!N23-DailyAug!V23-DailyAug!Y23-DailyAug!Z23-DailyAug!AA23-DailyAug!AB23-DailyAug!AC23-DailyAug!AD23-DailyAug!AE23-DailyAug!AK23-DailyAug!AO23-DailyAug!AS23-DailyAug!AY23-DailyAug!BD23+DailyAug!BU23-DailyAug!BG23-DailyAug!BT23-DailyAug!AF23-DailyAug!AG23</f>
        <v>4.9999997034319676E-2</v>
      </c>
      <c r="GV24" s="59">
        <v>-1128.4000000000001</v>
      </c>
      <c r="GW24" s="60">
        <f t="shared" si="47"/>
        <v>-75.226666666666674</v>
      </c>
      <c r="GX24" s="61">
        <v>-75.23</v>
      </c>
      <c r="GY24" s="140"/>
      <c r="GZ24" s="62"/>
      <c r="HA24" s="62"/>
      <c r="HB24" s="74"/>
      <c r="HC24" s="62"/>
      <c r="HD24" s="74"/>
      <c r="HE24" s="24">
        <f t="shared" si="48"/>
        <v>0</v>
      </c>
      <c r="HF24" s="151"/>
      <c r="HG24" s="213">
        <v>18</v>
      </c>
      <c r="HH24" s="16">
        <v>22485</v>
      </c>
      <c r="HI24" s="16">
        <v>8573.5</v>
      </c>
      <c r="HJ24" s="16">
        <f t="shared" si="49"/>
        <v>138000</v>
      </c>
      <c r="HK24" s="16">
        <v>2.1432000000000002</v>
      </c>
      <c r="HL24" s="16">
        <v>807.23</v>
      </c>
      <c r="HM24" s="16">
        <f t="shared" si="100"/>
        <v>0</v>
      </c>
      <c r="HN24" s="16">
        <v>5763.4</v>
      </c>
      <c r="HO24" s="16">
        <v>2480.5</v>
      </c>
      <c r="HP24" s="16">
        <f t="shared" si="51"/>
        <v>32097.5</v>
      </c>
      <c r="HQ24" s="16">
        <v>4186.8</v>
      </c>
      <c r="HR24" s="16">
        <v>1778.8</v>
      </c>
      <c r="HS24" s="16">
        <f t="shared" si="52"/>
        <v>1097.5</v>
      </c>
      <c r="HT24" s="16">
        <v>4009.61</v>
      </c>
      <c r="HU24" s="16">
        <v>1468</v>
      </c>
      <c r="HV24" s="16">
        <f t="shared" si="53"/>
        <v>27807.500000000036</v>
      </c>
      <c r="HW24" s="16">
        <v>2762.3</v>
      </c>
      <c r="HX24" s="16">
        <v>1189.0999999999999</v>
      </c>
      <c r="HY24" s="16">
        <f t="shared" si="54"/>
        <v>25497.500000000091</v>
      </c>
      <c r="HZ24" s="16">
        <v>1866500</v>
      </c>
      <c r="IA24" s="16">
        <v>828430</v>
      </c>
      <c r="IB24" s="16">
        <f t="shared" si="55"/>
        <v>30900</v>
      </c>
      <c r="IC24" s="16">
        <v>719.8</v>
      </c>
      <c r="ID24" s="16">
        <v>232.78</v>
      </c>
      <c r="IE24" s="16">
        <f t="shared" si="79"/>
        <v>0</v>
      </c>
      <c r="IF24" s="16"/>
      <c r="IG24" s="16"/>
      <c r="IH24" s="128">
        <f t="shared" si="56"/>
        <v>20600</v>
      </c>
      <c r="II24" s="211">
        <f t="shared" si="57"/>
        <v>-1.1641532182693481E-10</v>
      </c>
      <c r="IJ24" s="16"/>
      <c r="IK24" s="16"/>
      <c r="IL24" s="16">
        <f t="shared" si="101"/>
        <v>0</v>
      </c>
      <c r="IM24" s="16"/>
      <c r="IN24" s="16"/>
      <c r="IO24" s="16">
        <f t="shared" si="102"/>
        <v>0</v>
      </c>
      <c r="IP24" s="16"/>
      <c r="IQ24" s="16"/>
      <c r="IR24" s="16">
        <f t="shared" si="103"/>
        <v>0</v>
      </c>
      <c r="IS24" s="16"/>
      <c r="IT24" s="16"/>
      <c r="IU24" s="16">
        <f t="shared" si="104"/>
        <v>0</v>
      </c>
      <c r="IV24" s="16"/>
      <c r="IW24" s="16"/>
      <c r="IX24" s="16">
        <f t="shared" si="105"/>
        <v>0</v>
      </c>
      <c r="IY24" s="16"/>
      <c r="IZ24" s="16"/>
      <c r="JA24" s="16">
        <f t="shared" si="106"/>
        <v>0</v>
      </c>
      <c r="JB24" s="16"/>
      <c r="JC24" s="16"/>
      <c r="JD24" s="16">
        <f t="shared" si="107"/>
        <v>0</v>
      </c>
      <c r="JE24" s="16"/>
      <c r="JF24" s="16"/>
      <c r="JG24" s="16">
        <f t="shared" si="108"/>
        <v>0</v>
      </c>
      <c r="JH24" s="16"/>
      <c r="JI24" s="16"/>
      <c r="JJ24" s="16">
        <f t="shared" si="109"/>
        <v>0</v>
      </c>
      <c r="JK24" s="16"/>
      <c r="JL24" s="16"/>
      <c r="JM24" s="16">
        <f t="shared" si="110"/>
        <v>0</v>
      </c>
      <c r="JN24" s="16"/>
      <c r="JO24" s="16"/>
      <c r="JP24" s="16">
        <f t="shared" si="111"/>
        <v>0</v>
      </c>
      <c r="JQ24" s="16"/>
      <c r="JR24" s="16"/>
      <c r="JS24" s="16">
        <f t="shared" si="112"/>
        <v>0</v>
      </c>
      <c r="JT24" s="16"/>
      <c r="JU24" s="16"/>
      <c r="JV24" s="16">
        <f t="shared" si="113"/>
        <v>0</v>
      </c>
      <c r="JW24" s="16"/>
      <c r="JX24" s="16"/>
      <c r="JY24" s="16">
        <f t="shared" si="114"/>
        <v>0</v>
      </c>
      <c r="JZ24" s="16"/>
      <c r="KA24" s="16"/>
      <c r="KB24" s="16">
        <f t="shared" si="115"/>
        <v>0</v>
      </c>
      <c r="KC24" s="16"/>
      <c r="KD24" s="16"/>
      <c r="KE24" s="16">
        <f t="shared" si="116"/>
        <v>0</v>
      </c>
      <c r="KG24" s="151">
        <f t="shared" si="58"/>
        <v>62997.499999999884</v>
      </c>
    </row>
    <row r="25" spans="1:293" x14ac:dyDescent="0.25">
      <c r="A25" s="35">
        <f t="shared" si="0"/>
        <v>19</v>
      </c>
      <c r="B25" s="38">
        <v>5265.53</v>
      </c>
      <c r="C25" s="38">
        <f t="shared" si="1"/>
        <v>10.050000000000182</v>
      </c>
      <c r="D25" s="38">
        <f t="shared" si="2"/>
        <v>321600.00000000582</v>
      </c>
      <c r="E25" s="38">
        <v>1057.9000000000001</v>
      </c>
      <c r="F25" s="38">
        <f t="shared" si="3"/>
        <v>67840.000000003783</v>
      </c>
      <c r="G25" s="38">
        <f t="shared" si="4"/>
        <v>389440.0000000096</v>
      </c>
      <c r="H25" s="37"/>
      <c r="I25" s="39"/>
      <c r="J25" s="42"/>
      <c r="K25" s="37">
        <f t="shared" si="80"/>
        <v>0</v>
      </c>
      <c r="L25" s="40">
        <v>16852700</v>
      </c>
      <c r="M25" s="40"/>
      <c r="N25" s="37">
        <f t="shared" si="81"/>
        <v>389000</v>
      </c>
      <c r="O25" s="37">
        <v>12576.6</v>
      </c>
      <c r="P25" s="70"/>
      <c r="Q25" s="37">
        <f t="shared" si="119"/>
        <v>18000</v>
      </c>
      <c r="R25" s="37">
        <f t="shared" si="82"/>
        <v>1</v>
      </c>
      <c r="S25" s="37">
        <v>11262391.49</v>
      </c>
      <c r="T25" s="37">
        <f t="shared" si="6"/>
        <v>271.37000000104308</v>
      </c>
      <c r="U25" s="37">
        <v>1523790.61</v>
      </c>
      <c r="V25" s="37">
        <f t="shared" si="7"/>
        <v>0</v>
      </c>
      <c r="W25" s="37">
        <v>4502.8999999999996</v>
      </c>
      <c r="X25" s="37">
        <f t="shared" si="95"/>
        <v>17628.629999998957</v>
      </c>
      <c r="Y25" s="183"/>
      <c r="Z25" s="183"/>
      <c r="AA25" s="37">
        <v>794100</v>
      </c>
      <c r="AB25" s="37">
        <f t="shared" si="8"/>
        <v>100</v>
      </c>
      <c r="AC25" s="37">
        <v>4664.5</v>
      </c>
      <c r="AD25" s="37"/>
      <c r="AE25" s="37">
        <f t="shared" si="121"/>
        <v>8000</v>
      </c>
      <c r="AF25" s="37">
        <f t="shared" si="83"/>
        <v>1</v>
      </c>
      <c r="AG25" s="37">
        <v>10120.1</v>
      </c>
      <c r="AH25" s="37"/>
      <c r="AI25" s="37">
        <f t="shared" si="10"/>
        <v>18159.29</v>
      </c>
      <c r="AJ25" s="37">
        <f t="shared" si="11"/>
        <v>1</v>
      </c>
      <c r="AK25" s="37">
        <f t="shared" si="12"/>
        <v>44059.29</v>
      </c>
      <c r="AL25" s="42">
        <v>11846.9</v>
      </c>
      <c r="AM25" s="42"/>
      <c r="AN25" s="37">
        <f t="shared" si="59"/>
        <v>6129.2899999995416</v>
      </c>
      <c r="AO25" s="37">
        <f t="shared" si="84"/>
        <v>1</v>
      </c>
      <c r="AP25" s="37">
        <v>9291.6</v>
      </c>
      <c r="AQ25" s="37"/>
      <c r="AR25" s="37">
        <f t="shared" si="13"/>
        <v>9300.0000000010914</v>
      </c>
      <c r="AS25" s="37">
        <f t="shared" si="85"/>
        <v>1</v>
      </c>
      <c r="AT25" s="183"/>
      <c r="AU25" s="183"/>
      <c r="AV25" s="183"/>
      <c r="AW25" s="183"/>
      <c r="AX25" s="37">
        <v>520640</v>
      </c>
      <c r="AY25" s="37"/>
      <c r="AZ25" s="37">
        <f t="shared" si="14"/>
        <v>390</v>
      </c>
      <c r="BA25" s="37">
        <v>202260</v>
      </c>
      <c r="BB25" s="37"/>
      <c r="BC25" s="37">
        <f t="shared" si="15"/>
        <v>650</v>
      </c>
      <c r="BD25" s="37">
        <f t="shared" si="86"/>
        <v>16469.290000000634</v>
      </c>
      <c r="BE25" s="37">
        <v>2061.3000000000002</v>
      </c>
      <c r="BF25" s="37">
        <v>1154.8</v>
      </c>
      <c r="BG25" s="37">
        <f t="shared" si="16"/>
        <v>1700.0000000002728</v>
      </c>
      <c r="BH25" s="44">
        <v>9715.7999999999993</v>
      </c>
      <c r="BI25" s="44">
        <v>6269.1</v>
      </c>
      <c r="BJ25" s="37">
        <f t="shared" si="17"/>
        <v>8799.9999999992724</v>
      </c>
      <c r="BK25" s="40">
        <v>1926510</v>
      </c>
      <c r="BL25" s="40">
        <f t="shared" si="87"/>
        <v>4410</v>
      </c>
      <c r="BM25" s="40">
        <v>929.72</v>
      </c>
      <c r="BN25" s="37">
        <f t="shared" si="18"/>
        <v>820.00000000005002</v>
      </c>
      <c r="BO25" s="186"/>
      <c r="BP25" s="183">
        <f t="shared" si="19"/>
        <v>0</v>
      </c>
      <c r="BQ25" s="40">
        <v>875.1</v>
      </c>
      <c r="BR25" s="37">
        <f t="shared" si="60"/>
        <v>700.00000000004547</v>
      </c>
      <c r="BS25" s="37">
        <v>116094.08</v>
      </c>
      <c r="BT25" s="37">
        <f t="shared" si="20"/>
        <v>234.13999999999942</v>
      </c>
      <c r="BU25" s="42">
        <v>3446435</v>
      </c>
      <c r="BV25" s="42"/>
      <c r="BW25" s="37">
        <f t="shared" si="21"/>
        <v>11252</v>
      </c>
      <c r="BX25" s="37">
        <f t="shared" si="88"/>
        <v>1</v>
      </c>
      <c r="BY25" s="37">
        <v>403.45</v>
      </c>
      <c r="BZ25" s="37"/>
      <c r="CA25" s="37">
        <f t="shared" si="117"/>
        <v>732.89999999997235</v>
      </c>
      <c r="CB25" s="37">
        <f t="shared" si="61"/>
        <v>1</v>
      </c>
      <c r="CC25" s="37">
        <v>785545.2</v>
      </c>
      <c r="CD25" s="37">
        <f t="shared" si="23"/>
        <v>1941.2999999999302</v>
      </c>
      <c r="CE25" s="41">
        <v>1691504</v>
      </c>
      <c r="CF25" s="37">
        <f t="shared" si="24"/>
        <v>6599</v>
      </c>
      <c r="CG25" s="37">
        <v>103121.60000000001</v>
      </c>
      <c r="CH25" s="37">
        <f t="shared" si="62"/>
        <v>2485</v>
      </c>
      <c r="CI25" s="40">
        <v>14187.27</v>
      </c>
      <c r="CJ25" s="40"/>
      <c r="CK25" s="37">
        <f t="shared" si="63"/>
        <v>17656.389999999592</v>
      </c>
      <c r="CL25" s="37">
        <f t="shared" si="25"/>
        <v>1</v>
      </c>
      <c r="CM25" s="37">
        <v>4136.8490000000002</v>
      </c>
      <c r="CN25" s="37"/>
      <c r="CO25" s="37">
        <f t="shared" si="26"/>
        <v>9201.2900000003719</v>
      </c>
      <c r="CP25" s="37">
        <f t="shared" si="89"/>
        <v>1</v>
      </c>
      <c r="CQ25" s="39">
        <v>704488.8</v>
      </c>
      <c r="CR25" s="39"/>
      <c r="CS25" s="37">
        <f t="shared" si="64"/>
        <v>7726.5900000000465</v>
      </c>
      <c r="CT25" s="37">
        <f t="shared" si="65"/>
        <v>1</v>
      </c>
      <c r="CU25" s="37">
        <v>4385878</v>
      </c>
      <c r="CV25" s="37"/>
      <c r="CW25" s="38">
        <f t="shared" si="27"/>
        <v>347</v>
      </c>
      <c r="CX25" s="37">
        <f t="shared" si="90"/>
        <v>1</v>
      </c>
      <c r="CY25" s="37">
        <v>2339040</v>
      </c>
      <c r="CZ25" s="37"/>
      <c r="DA25" s="37">
        <f t="shared" si="28"/>
        <v>104</v>
      </c>
      <c r="DB25" s="37">
        <f t="shared" si="91"/>
        <v>1</v>
      </c>
      <c r="DC25" s="37"/>
      <c r="DD25" s="40"/>
      <c r="DE25" s="37">
        <f t="shared" si="29"/>
        <v>0</v>
      </c>
      <c r="DF25" s="37">
        <f t="shared" si="96"/>
        <v>0</v>
      </c>
      <c r="DG25" s="37">
        <f t="shared" si="30"/>
        <v>-46287.270000000011</v>
      </c>
      <c r="DH25" s="37">
        <f t="shared" si="31"/>
        <v>434759.29000000027</v>
      </c>
      <c r="DI25" s="46"/>
      <c r="DJ25" s="46"/>
      <c r="DK25" s="47"/>
      <c r="DL25" s="47"/>
      <c r="DM25" s="37"/>
      <c r="DN25" s="37"/>
      <c r="DO25" s="37"/>
      <c r="DP25" s="37"/>
      <c r="DQ25" s="50">
        <v>4330300</v>
      </c>
      <c r="DR25" s="49">
        <f t="shared" si="66"/>
        <v>10100</v>
      </c>
      <c r="DS25" s="50">
        <v>5472200</v>
      </c>
      <c r="DT25" s="49">
        <f t="shared" si="67"/>
        <v>24400</v>
      </c>
      <c r="DU25" s="51">
        <v>8357.2000000000007</v>
      </c>
      <c r="DV25" s="51">
        <v>4727.6000000000004</v>
      </c>
      <c r="DW25" s="37">
        <f t="shared" si="92"/>
        <v>4000</v>
      </c>
      <c r="DX25" s="52">
        <v>13817</v>
      </c>
      <c r="DY25" s="52">
        <v>8648.7000000000007</v>
      </c>
      <c r="DZ25" s="37">
        <f t="shared" si="32"/>
        <v>8159.29</v>
      </c>
      <c r="EA25" s="49">
        <v>32014</v>
      </c>
      <c r="EB25" s="49">
        <v>21.966000000000001</v>
      </c>
      <c r="EC25" s="37">
        <f t="shared" si="33"/>
        <v>24319.29</v>
      </c>
      <c r="ED25" s="53">
        <f t="shared" si="34"/>
        <v>36478.58</v>
      </c>
      <c r="EE25" s="49">
        <v>47807</v>
      </c>
      <c r="EF25" s="49">
        <v>31.420999999999999</v>
      </c>
      <c r="EG25" s="37">
        <f t="shared" si="35"/>
        <v>24319.29</v>
      </c>
      <c r="EH25" s="51">
        <v>14063</v>
      </c>
      <c r="EI25" s="51">
        <v>2.0396999999999998</v>
      </c>
      <c r="EJ25" s="37">
        <f t="shared" si="36"/>
        <v>11159.29</v>
      </c>
      <c r="EK25" s="37">
        <v>856.31</v>
      </c>
      <c r="EL25" s="40">
        <v>1227.5999999999999</v>
      </c>
      <c r="EM25" s="37">
        <f t="shared" si="68"/>
        <v>739.99999999989541</v>
      </c>
      <c r="EN25" s="54">
        <f t="shared" si="69"/>
        <v>36218.5799999999</v>
      </c>
      <c r="EO25" s="48">
        <v>13641</v>
      </c>
      <c r="EP25" s="48"/>
      <c r="EQ25" s="37">
        <f t="shared" si="70"/>
        <v>7269.2900000000136</v>
      </c>
      <c r="ER25" s="48">
        <v>10742</v>
      </c>
      <c r="ES25" s="48"/>
      <c r="ET25" s="49">
        <f t="shared" si="99"/>
        <v>17000</v>
      </c>
      <c r="EU25" s="48">
        <v>4389.3</v>
      </c>
      <c r="EV25" s="48"/>
      <c r="EW25" s="49">
        <f t="shared" si="38"/>
        <v>10459.290000000183</v>
      </c>
      <c r="EX25" s="48">
        <v>14504</v>
      </c>
      <c r="EY25" s="48"/>
      <c r="EZ25" s="37">
        <f t="shared" si="39"/>
        <v>12159.29</v>
      </c>
      <c r="FA25" s="48">
        <f t="shared" si="71"/>
        <v>-24747.870000000199</v>
      </c>
      <c r="FB25" s="48">
        <v>38456089</v>
      </c>
      <c r="FC25" s="49">
        <f t="shared" si="93"/>
        <v>22140</v>
      </c>
      <c r="FD25" s="48">
        <f t="shared" si="72"/>
        <v>49303.870000000199</v>
      </c>
      <c r="FE25" s="48">
        <v>17814</v>
      </c>
      <c r="FF25" s="48"/>
      <c r="FG25" s="37">
        <f t="shared" si="73"/>
        <v>9752.6199999999881</v>
      </c>
      <c r="FH25" s="48">
        <v>10237</v>
      </c>
      <c r="FI25" s="48"/>
      <c r="FJ25" s="49">
        <f t="shared" si="40"/>
        <v>17862.620000000003</v>
      </c>
      <c r="FK25" s="48"/>
      <c r="FL25" s="58">
        <v>-296.67</v>
      </c>
      <c r="FM25" s="48">
        <f t="shared" si="94"/>
        <v>-159.28666666666382</v>
      </c>
      <c r="FN25" s="48">
        <v>17660</v>
      </c>
      <c r="FO25" s="48"/>
      <c r="FP25" s="37">
        <f t="shared" si="74"/>
        <v>11862.62</v>
      </c>
      <c r="FQ25" s="48">
        <v>62154</v>
      </c>
      <c r="FR25" s="48"/>
      <c r="FS25" s="37">
        <f t="shared" si="41"/>
        <v>39000</v>
      </c>
      <c r="FT25" s="48">
        <f t="shared" si="75"/>
        <v>-477.85999999999149</v>
      </c>
      <c r="FU25" s="48">
        <f>FG25+FJ25+FP25+GM25</f>
        <v>39577.860000000132</v>
      </c>
      <c r="FV25" s="44">
        <v>6411200</v>
      </c>
      <c r="FW25" s="44"/>
      <c r="FX25" s="37">
        <f t="shared" si="42"/>
        <v>13000</v>
      </c>
      <c r="FY25" s="56">
        <v>25821</v>
      </c>
      <c r="FZ25" s="56"/>
      <c r="GA25" s="37">
        <f t="shared" si="98"/>
        <v>3295</v>
      </c>
      <c r="GB25" s="56">
        <v>879.49</v>
      </c>
      <c r="GC25" s="56"/>
      <c r="GD25" s="37">
        <f t="shared" si="44"/>
        <v>580.00000000004093</v>
      </c>
      <c r="GE25" s="56">
        <v>10844</v>
      </c>
      <c r="GF25" s="56"/>
      <c r="GG25" s="37">
        <f t="shared" si="45"/>
        <v>4483.9999999998636</v>
      </c>
      <c r="GH25" s="158">
        <v>41641</v>
      </c>
      <c r="GI25" s="159"/>
      <c r="GJ25" s="38">
        <f t="shared" si="77"/>
        <v>2416</v>
      </c>
      <c r="GK25" s="159">
        <v>1526.4</v>
      </c>
      <c r="GL25" s="160"/>
      <c r="GM25" s="38">
        <f t="shared" si="46"/>
        <v>100.00000000013642</v>
      </c>
      <c r="GN25" s="57">
        <v>244050</v>
      </c>
      <c r="GO25" s="57"/>
      <c r="GP25" s="38">
        <f t="shared" si="97"/>
        <v>10</v>
      </c>
      <c r="GQ25" s="38">
        <v>296590</v>
      </c>
      <c r="GR25" s="38"/>
      <c r="GS25" s="38">
        <f t="shared" si="78"/>
        <v>120</v>
      </c>
      <c r="GT25" s="178"/>
      <c r="GU25" s="144">
        <f>DailyAug!B24-DailyAug!N24-DailyAug!V24-DailyAug!Y24-DailyAug!Z24-DailyAug!AA24-DailyAug!AB24-DailyAug!AC24-DailyAug!AD24-DailyAug!AE24-DailyAug!AK24-DailyAug!AO24-DailyAug!AS24-DailyAug!AY24-DailyAug!BD24+DailyAug!BU24-DailyAug!BG24-DailyAug!BT24-DailyAug!AF24-DailyAug!AG24</f>
        <v>6.0000009223585948E-2</v>
      </c>
      <c r="GV25" s="59">
        <v>2389.41</v>
      </c>
      <c r="GW25" s="60">
        <f t="shared" si="47"/>
        <v>159.29399999999998</v>
      </c>
      <c r="GX25" s="61">
        <v>159.29</v>
      </c>
      <c r="GY25" s="140"/>
      <c r="GZ25" s="62"/>
      <c r="HA25" s="62"/>
      <c r="HB25" s="74"/>
      <c r="HC25" s="62"/>
      <c r="HD25" s="74"/>
      <c r="HE25" s="24">
        <f t="shared" si="48"/>
        <v>0</v>
      </c>
      <c r="HF25" s="151"/>
      <c r="HG25" s="213">
        <v>19</v>
      </c>
      <c r="HH25" s="16">
        <v>22637</v>
      </c>
      <c r="HI25" s="16">
        <v>8629.7999999999993</v>
      </c>
      <c r="HJ25" s="16">
        <f t="shared" si="49"/>
        <v>152000</v>
      </c>
      <c r="HK25" s="16">
        <v>2.1432000000000002</v>
      </c>
      <c r="HL25" s="16">
        <v>807.23</v>
      </c>
      <c r="HM25" s="16">
        <f t="shared" si="100"/>
        <v>0</v>
      </c>
      <c r="HN25" s="16">
        <v>5797.6</v>
      </c>
      <c r="HO25" s="16">
        <v>2494.4</v>
      </c>
      <c r="HP25" s="16">
        <f t="shared" si="51"/>
        <v>34302.500000000728</v>
      </c>
      <c r="HQ25" s="16">
        <v>4190.6000000000004</v>
      </c>
      <c r="HR25" s="16">
        <v>1780.9</v>
      </c>
      <c r="HS25" s="16">
        <f t="shared" si="52"/>
        <v>3902.5000000001819</v>
      </c>
      <c r="HT25" s="16">
        <v>4038.4</v>
      </c>
      <c r="HU25" s="16">
        <v>1477.5</v>
      </c>
      <c r="HV25" s="16">
        <f t="shared" si="53"/>
        <v>28892.499999999964</v>
      </c>
      <c r="HW25" s="16">
        <v>2790.1</v>
      </c>
      <c r="HX25" s="16">
        <v>1200.5999999999999</v>
      </c>
      <c r="HY25" s="16">
        <f t="shared" si="54"/>
        <v>27902.499999999727</v>
      </c>
      <c r="HZ25" s="16">
        <v>1899100</v>
      </c>
      <c r="IA25" s="16">
        <v>842130</v>
      </c>
      <c r="IB25" s="16">
        <f t="shared" si="55"/>
        <v>32600</v>
      </c>
      <c r="IC25" s="16">
        <v>719.8</v>
      </c>
      <c r="ID25" s="16">
        <v>232.78</v>
      </c>
      <c r="IE25" s="16">
        <f t="shared" si="79"/>
        <v>0</v>
      </c>
      <c r="IF25" s="16"/>
      <c r="IG25" s="16"/>
      <c r="IH25" s="128">
        <f t="shared" si="56"/>
        <v>24400</v>
      </c>
      <c r="II25" s="211">
        <f t="shared" si="57"/>
        <v>-5.9662852436304092E-10</v>
      </c>
      <c r="IJ25" s="16"/>
      <c r="IK25" s="16"/>
      <c r="IL25" s="16">
        <f t="shared" si="101"/>
        <v>0</v>
      </c>
      <c r="IM25" s="16"/>
      <c r="IN25" s="16"/>
      <c r="IO25" s="16">
        <f t="shared" si="102"/>
        <v>0</v>
      </c>
      <c r="IP25" s="16"/>
      <c r="IQ25" s="16"/>
      <c r="IR25" s="16">
        <f t="shared" si="103"/>
        <v>0</v>
      </c>
      <c r="IS25" s="16"/>
      <c r="IT25" s="16"/>
      <c r="IU25" s="16">
        <f t="shared" si="104"/>
        <v>0</v>
      </c>
      <c r="IV25" s="16"/>
      <c r="IW25" s="16"/>
      <c r="IX25" s="16">
        <f t="shared" si="105"/>
        <v>0</v>
      </c>
      <c r="IY25" s="16"/>
      <c r="IZ25" s="16"/>
      <c r="JA25" s="16">
        <f t="shared" si="106"/>
        <v>0</v>
      </c>
      <c r="JB25" s="16"/>
      <c r="JC25" s="16"/>
      <c r="JD25" s="16">
        <f t="shared" si="107"/>
        <v>0</v>
      </c>
      <c r="JE25" s="16"/>
      <c r="JF25" s="16"/>
      <c r="JG25" s="16">
        <f t="shared" si="108"/>
        <v>0</v>
      </c>
      <c r="JH25" s="16"/>
      <c r="JI25" s="16"/>
      <c r="JJ25" s="16">
        <f t="shared" si="109"/>
        <v>0</v>
      </c>
      <c r="JK25" s="16"/>
      <c r="JL25" s="16"/>
      <c r="JM25" s="16">
        <f t="shared" si="110"/>
        <v>0</v>
      </c>
      <c r="JN25" s="16"/>
      <c r="JO25" s="16"/>
      <c r="JP25" s="16">
        <f t="shared" si="111"/>
        <v>0</v>
      </c>
      <c r="JQ25" s="16"/>
      <c r="JR25" s="16"/>
      <c r="JS25" s="16">
        <f t="shared" si="112"/>
        <v>0</v>
      </c>
      <c r="JT25" s="16"/>
      <c r="JU25" s="16"/>
      <c r="JV25" s="16">
        <f t="shared" si="113"/>
        <v>0</v>
      </c>
      <c r="JW25" s="16"/>
      <c r="JX25" s="16"/>
      <c r="JY25" s="16">
        <f t="shared" si="114"/>
        <v>0</v>
      </c>
      <c r="JZ25" s="16"/>
      <c r="KA25" s="16"/>
      <c r="KB25" s="16">
        <f t="shared" si="115"/>
        <v>0</v>
      </c>
      <c r="KC25" s="16"/>
      <c r="KD25" s="16"/>
      <c r="KE25" s="16">
        <f t="shared" si="116"/>
        <v>0</v>
      </c>
      <c r="KG25" s="151">
        <f t="shared" si="58"/>
        <v>66902.500000000131</v>
      </c>
    </row>
    <row r="26" spans="1:293" x14ac:dyDescent="0.25">
      <c r="A26" s="35">
        <f t="shared" si="0"/>
        <v>20</v>
      </c>
      <c r="B26" s="38">
        <v>5275.94</v>
      </c>
      <c r="C26" s="38">
        <f t="shared" si="1"/>
        <v>10.409999999999854</v>
      </c>
      <c r="D26" s="38">
        <f t="shared" si="2"/>
        <v>333119.99999999534</v>
      </c>
      <c r="E26" s="38">
        <v>1059.8900000000001</v>
      </c>
      <c r="F26" s="38">
        <f t="shared" si="3"/>
        <v>63680.000000000291</v>
      </c>
      <c r="G26" s="38">
        <f t="shared" si="4"/>
        <v>396799.99999999563</v>
      </c>
      <c r="H26" s="37"/>
      <c r="I26" s="39"/>
      <c r="J26" s="42"/>
      <c r="K26" s="37">
        <f t="shared" si="80"/>
        <v>0</v>
      </c>
      <c r="L26" s="40">
        <v>16891000</v>
      </c>
      <c r="M26" s="40"/>
      <c r="N26" s="37">
        <f t="shared" si="81"/>
        <v>383000</v>
      </c>
      <c r="O26" s="37">
        <v>12594.3</v>
      </c>
      <c r="P26" s="37"/>
      <c r="Q26" s="37">
        <f t="shared" si="119"/>
        <v>17699.999999998909</v>
      </c>
      <c r="R26" s="37">
        <f t="shared" si="82"/>
        <v>1</v>
      </c>
      <c r="S26" s="37">
        <v>11262731.74</v>
      </c>
      <c r="T26" s="37">
        <f t="shared" si="6"/>
        <v>340.25</v>
      </c>
      <c r="U26" s="37">
        <v>1523790.61</v>
      </c>
      <c r="V26" s="37">
        <f t="shared" si="7"/>
        <v>0</v>
      </c>
      <c r="W26" s="37">
        <v>4508.8999999999996</v>
      </c>
      <c r="X26" s="37">
        <f t="shared" si="95"/>
        <v>17259.749999998909</v>
      </c>
      <c r="Y26" s="183"/>
      <c r="Z26" s="183"/>
      <c r="AA26" s="37">
        <v>794200</v>
      </c>
      <c r="AB26" s="37">
        <f t="shared" si="8"/>
        <v>100</v>
      </c>
      <c r="AC26" s="37">
        <v>4672</v>
      </c>
      <c r="AD26" s="37"/>
      <c r="AE26" s="37">
        <f t="shared" si="121"/>
        <v>7500</v>
      </c>
      <c r="AF26" s="37">
        <f>IF(AE26&lt;=0,0,(AE26/SQRT(AE26^2+(AD26-AD25)^2)))</f>
        <v>1</v>
      </c>
      <c r="AG26" s="37">
        <v>10137.799999999999</v>
      </c>
      <c r="AH26" s="37"/>
      <c r="AI26" s="37">
        <f t="shared" si="10"/>
        <v>17793.229999998908</v>
      </c>
      <c r="AJ26" s="37">
        <f t="shared" si="11"/>
        <v>1</v>
      </c>
      <c r="AK26" s="37">
        <f t="shared" si="12"/>
        <v>42893.229999997813</v>
      </c>
      <c r="AL26" s="42">
        <v>11858</v>
      </c>
      <c r="AM26" s="42"/>
      <c r="AN26" s="37">
        <f t="shared" si="59"/>
        <v>5493.2300000004179</v>
      </c>
      <c r="AO26" s="37">
        <f t="shared" si="84"/>
        <v>1</v>
      </c>
      <c r="AP26" s="37">
        <v>9300.9</v>
      </c>
      <c r="AQ26" s="37"/>
      <c r="AR26" s="37">
        <f t="shared" si="13"/>
        <v>9299.9999999992724</v>
      </c>
      <c r="AS26" s="37">
        <f t="shared" si="85"/>
        <v>1</v>
      </c>
      <c r="AT26" s="183"/>
      <c r="AU26" s="183"/>
      <c r="AV26" s="183"/>
      <c r="AW26" s="183"/>
      <c r="AX26" s="37">
        <v>521040</v>
      </c>
      <c r="AY26" s="37"/>
      <c r="AZ26" s="37">
        <f t="shared" si="14"/>
        <v>400</v>
      </c>
      <c r="BA26" s="37">
        <v>202880</v>
      </c>
      <c r="BB26" s="37"/>
      <c r="BC26" s="37">
        <f t="shared" si="15"/>
        <v>620</v>
      </c>
      <c r="BD26" s="37">
        <f t="shared" si="86"/>
        <v>15813.22999999969</v>
      </c>
      <c r="BE26" s="43">
        <v>2063</v>
      </c>
      <c r="BF26" s="43">
        <v>1156</v>
      </c>
      <c r="BG26" s="37">
        <f t="shared" si="16"/>
        <v>1699.9999999998181</v>
      </c>
      <c r="BH26" s="44">
        <v>9725</v>
      </c>
      <c r="BI26" s="44">
        <v>6275.2</v>
      </c>
      <c r="BJ26" s="37">
        <f t="shared" si="17"/>
        <v>9200.0000000007276</v>
      </c>
      <c r="BK26" s="40">
        <v>1930900</v>
      </c>
      <c r="BL26" s="40">
        <f t="shared" si="87"/>
        <v>4390</v>
      </c>
      <c r="BM26" s="40">
        <v>930.33</v>
      </c>
      <c r="BN26" s="37">
        <f t="shared" si="18"/>
        <v>610.00000000001364</v>
      </c>
      <c r="BO26" s="186"/>
      <c r="BP26" s="183">
        <f t="shared" si="19"/>
        <v>0</v>
      </c>
      <c r="BQ26" s="40">
        <v>875.8</v>
      </c>
      <c r="BR26" s="37">
        <f t="shared" si="60"/>
        <v>699.99999999993179</v>
      </c>
      <c r="BS26" s="37">
        <v>116295.78</v>
      </c>
      <c r="BT26" s="37">
        <f t="shared" si="20"/>
        <v>201.69999999999709</v>
      </c>
      <c r="BU26" s="42">
        <v>3460439</v>
      </c>
      <c r="BV26" s="42"/>
      <c r="BW26" s="37">
        <f t="shared" si="21"/>
        <v>14004</v>
      </c>
      <c r="BX26" s="37">
        <f t="shared" si="88"/>
        <v>1</v>
      </c>
      <c r="BY26" s="43">
        <v>404.11020000000002</v>
      </c>
      <c r="BZ26" s="37"/>
      <c r="CA26" s="37">
        <f t="shared" si="117"/>
        <v>660.20000000003165</v>
      </c>
      <c r="CB26" s="37">
        <f t="shared" si="61"/>
        <v>1</v>
      </c>
      <c r="CC26" s="37">
        <v>790009.8</v>
      </c>
      <c r="CD26" s="37">
        <f t="shared" si="23"/>
        <v>4464.6000000000931</v>
      </c>
      <c r="CE26" s="41">
        <v>1698401</v>
      </c>
      <c r="CF26" s="37">
        <f t="shared" si="24"/>
        <v>6897</v>
      </c>
      <c r="CG26" s="37">
        <v>105540.5</v>
      </c>
      <c r="CH26" s="37">
        <f t="shared" si="62"/>
        <v>2418.8999999999942</v>
      </c>
      <c r="CI26" s="40">
        <v>14205.53</v>
      </c>
      <c r="CJ26" s="40"/>
      <c r="CK26" s="37">
        <f t="shared" si="63"/>
        <v>17693.030000000188</v>
      </c>
      <c r="CL26" s="37">
        <f t="shared" si="25"/>
        <v>1</v>
      </c>
      <c r="CM26" s="37">
        <v>4145.5159999999996</v>
      </c>
      <c r="CN26" s="37"/>
      <c r="CO26" s="37">
        <f t="shared" si="26"/>
        <v>8760.2299999994611</v>
      </c>
      <c r="CP26" s="37">
        <f t="shared" si="89"/>
        <v>1</v>
      </c>
      <c r="CQ26" s="39">
        <v>711610.9</v>
      </c>
      <c r="CR26" s="39"/>
      <c r="CS26" s="37">
        <f t="shared" si="64"/>
        <v>7215.3299999999763</v>
      </c>
      <c r="CT26" s="37">
        <f t="shared" si="65"/>
        <v>1</v>
      </c>
      <c r="CU26" s="37">
        <v>4386217</v>
      </c>
      <c r="CV26" s="37"/>
      <c r="CW26" s="38">
        <f t="shared" si="27"/>
        <v>339</v>
      </c>
      <c r="CX26" s="37">
        <f t="shared" si="90"/>
        <v>1</v>
      </c>
      <c r="CY26" s="37">
        <v>2339149</v>
      </c>
      <c r="CZ26" s="37"/>
      <c r="DA26" s="37">
        <f t="shared" si="28"/>
        <v>109</v>
      </c>
      <c r="DB26" s="37">
        <f t="shared" si="91"/>
        <v>1</v>
      </c>
      <c r="DC26" s="37"/>
      <c r="DD26" s="40"/>
      <c r="DE26" s="37">
        <f t="shared" si="29"/>
        <v>0</v>
      </c>
      <c r="DF26" s="37">
        <f t="shared" si="96"/>
        <v>0</v>
      </c>
      <c r="DG26" s="37">
        <f t="shared" si="30"/>
        <v>-48120.589999999625</v>
      </c>
      <c r="DH26" s="37">
        <f t="shared" si="31"/>
        <v>427593.22999999765</v>
      </c>
      <c r="DI26" s="46"/>
      <c r="DJ26" s="46"/>
      <c r="DK26" s="47"/>
      <c r="DL26" s="47"/>
      <c r="DM26" s="37"/>
      <c r="DN26" s="37"/>
      <c r="DO26" s="37"/>
      <c r="DP26" s="37"/>
      <c r="DQ26" s="50">
        <v>4340300</v>
      </c>
      <c r="DR26" s="49">
        <f t="shared" si="66"/>
        <v>10000</v>
      </c>
      <c r="DS26" s="50">
        <v>5493900</v>
      </c>
      <c r="DT26" s="49">
        <f t="shared" si="67"/>
        <v>21700</v>
      </c>
      <c r="DU26" s="51">
        <v>8361.2000000000007</v>
      </c>
      <c r="DV26" s="51">
        <v>4730.7</v>
      </c>
      <c r="DW26" s="37">
        <f t="shared" si="92"/>
        <v>4000</v>
      </c>
      <c r="DX26" s="52">
        <v>13825</v>
      </c>
      <c r="DY26" s="52">
        <v>8652.9</v>
      </c>
      <c r="DZ26" s="37">
        <f t="shared" si="32"/>
        <v>8093.23</v>
      </c>
      <c r="EA26" s="49">
        <v>32034</v>
      </c>
      <c r="EB26" s="49">
        <v>21.975999999999999</v>
      </c>
      <c r="EC26" s="37">
        <f t="shared" si="33"/>
        <v>22253.23</v>
      </c>
      <c r="ED26" s="53">
        <f t="shared" si="34"/>
        <v>34346.46</v>
      </c>
      <c r="EE26" s="49">
        <v>47833</v>
      </c>
      <c r="EF26" s="49">
        <v>31.442</v>
      </c>
      <c r="EG26" s="37">
        <f t="shared" si="35"/>
        <v>28253.23</v>
      </c>
      <c r="EH26" s="51">
        <v>14076</v>
      </c>
      <c r="EI26" s="51">
        <v>2.0432000000000001</v>
      </c>
      <c r="EJ26" s="37">
        <f t="shared" si="36"/>
        <v>13093.23</v>
      </c>
      <c r="EK26" s="37">
        <v>856.93</v>
      </c>
      <c r="EL26" s="40">
        <v>1228.3</v>
      </c>
      <c r="EM26" s="37">
        <f t="shared" si="68"/>
        <v>620.00000000000455</v>
      </c>
      <c r="EN26" s="54">
        <f t="shared" si="69"/>
        <v>41966.460000000006</v>
      </c>
      <c r="EO26" s="48">
        <v>13648</v>
      </c>
      <c r="EP26" s="48"/>
      <c r="EQ26" s="37">
        <f t="shared" si="70"/>
        <v>6058.2300000000314</v>
      </c>
      <c r="ER26" s="48">
        <v>10761</v>
      </c>
      <c r="ES26" s="48"/>
      <c r="ET26" s="49">
        <f t="shared" si="99"/>
        <v>19000</v>
      </c>
      <c r="EU26" s="48">
        <v>4399.8999999999996</v>
      </c>
      <c r="EV26" s="48"/>
      <c r="EW26" s="49">
        <f t="shared" si="38"/>
        <v>10693.229999999454</v>
      </c>
      <c r="EX26" s="48">
        <v>14514</v>
      </c>
      <c r="EY26" s="48"/>
      <c r="EZ26" s="37">
        <f t="shared" si="39"/>
        <v>10093.23</v>
      </c>
      <c r="FA26" s="48">
        <f t="shared" si="71"/>
        <v>-20922.689999999486</v>
      </c>
      <c r="FB26" s="60">
        <v>38481011</v>
      </c>
      <c r="FC26" s="49">
        <f t="shared" si="93"/>
        <v>24922</v>
      </c>
      <c r="FD26" s="48">
        <f t="shared" si="72"/>
        <v>47819.689999999478</v>
      </c>
      <c r="FE26" s="48">
        <v>17823</v>
      </c>
      <c r="FF26" s="48"/>
      <c r="FG26" s="37">
        <f t="shared" si="73"/>
        <v>10449.899999999969</v>
      </c>
      <c r="FH26" s="48">
        <v>10257</v>
      </c>
      <c r="FI26" s="48"/>
      <c r="FJ26" s="49">
        <f t="shared" si="40"/>
        <v>20414.899999999998</v>
      </c>
      <c r="FK26" s="48"/>
      <c r="FL26" s="58">
        <v>321.67</v>
      </c>
      <c r="FM26" s="48">
        <f t="shared" si="94"/>
        <v>-93.233333333322051</v>
      </c>
      <c r="FN26" s="48">
        <v>17671</v>
      </c>
      <c r="FO26" s="48"/>
      <c r="FP26" s="37">
        <f t="shared" si="74"/>
        <v>11414.9</v>
      </c>
      <c r="FQ26" s="48">
        <v>62196</v>
      </c>
      <c r="FR26" s="48"/>
      <c r="FS26" s="37">
        <f t="shared" si="41"/>
        <v>42000</v>
      </c>
      <c r="FT26" s="48">
        <f t="shared" si="75"/>
        <v>-279.69999999996617</v>
      </c>
      <c r="FU26" s="48">
        <f t="shared" si="76"/>
        <v>43979.699999999786</v>
      </c>
      <c r="FV26" s="71">
        <v>6427500</v>
      </c>
      <c r="FW26" s="44"/>
      <c r="FX26" s="37">
        <f t="shared" si="42"/>
        <v>16300</v>
      </c>
      <c r="FY26" s="56">
        <v>29760</v>
      </c>
      <c r="FZ26" s="56"/>
      <c r="GA26" s="37">
        <f t="shared" si="98"/>
        <v>3939</v>
      </c>
      <c r="GB26" s="56">
        <v>880.08</v>
      </c>
      <c r="GC26" s="56"/>
      <c r="GD26" s="37">
        <f t="shared" si="44"/>
        <v>590.00000000003183</v>
      </c>
      <c r="GE26" s="56">
        <v>10851</v>
      </c>
      <c r="GF26" s="56"/>
      <c r="GG26" s="37">
        <f t="shared" si="45"/>
        <v>3325.0000000001819</v>
      </c>
      <c r="GH26" s="158">
        <v>43616</v>
      </c>
      <c r="GI26" s="159"/>
      <c r="GJ26" s="38">
        <f t="shared" si="77"/>
        <v>1975</v>
      </c>
      <c r="GK26" s="159">
        <v>1528.1</v>
      </c>
      <c r="GL26" s="160"/>
      <c r="GM26" s="38">
        <f t="shared" si="46"/>
        <v>1699.9999999998181</v>
      </c>
      <c r="GN26" s="57">
        <v>244050</v>
      </c>
      <c r="GO26" s="57"/>
      <c r="GP26" s="38">
        <f t="shared" si="97"/>
        <v>0</v>
      </c>
      <c r="GQ26" s="38">
        <v>296750</v>
      </c>
      <c r="GR26" s="38"/>
      <c r="GS26" s="38">
        <f t="shared" si="78"/>
        <v>160</v>
      </c>
      <c r="GT26" s="178"/>
      <c r="GU26" s="144">
        <f>DailyAug!B25-DailyAug!N25-DailyAug!V25-DailyAug!Y25-DailyAug!Z25-DailyAug!AA25-DailyAug!AB25-DailyAug!AC25-DailyAug!AD25-DailyAug!AE25-DailyAug!AK25-DailyAug!AO25-DailyAug!AS25-DailyAug!AY25-DailyAug!BD25+DailyAug!BU25-DailyAug!BG25-DailyAug!BT25-DailyAug!AF25-DailyAug!AG25</f>
        <v>-6.0000001511070877E-2</v>
      </c>
      <c r="GV26" s="59">
        <v>1398.39</v>
      </c>
      <c r="GW26" s="60">
        <f t="shared" si="47"/>
        <v>93.226000000000013</v>
      </c>
      <c r="GX26" s="61">
        <v>93.23</v>
      </c>
      <c r="GY26" s="140"/>
      <c r="GZ26" s="62"/>
      <c r="HA26" s="62"/>
      <c r="HB26" s="74"/>
      <c r="HC26" s="62"/>
      <c r="HD26" s="74"/>
      <c r="HE26" s="24">
        <f t="shared" si="48"/>
        <v>0</v>
      </c>
      <c r="HF26" s="151"/>
      <c r="HG26" s="213">
        <v>20</v>
      </c>
      <c r="HH26" s="16">
        <v>22791</v>
      </c>
      <c r="HI26" s="16">
        <v>8686.6</v>
      </c>
      <c r="HJ26" s="16">
        <f t="shared" si="49"/>
        <v>154000</v>
      </c>
      <c r="HK26" s="16">
        <v>2.1432000000000002</v>
      </c>
      <c r="HL26" s="16">
        <v>807.23</v>
      </c>
      <c r="HM26" s="16">
        <f t="shared" si="100"/>
        <v>0</v>
      </c>
      <c r="HN26" s="16">
        <v>5832.5</v>
      </c>
      <c r="HO26" s="16">
        <v>2508.6</v>
      </c>
      <c r="HP26" s="16">
        <f t="shared" si="51"/>
        <v>35774.999999999636</v>
      </c>
      <c r="HQ26" s="16">
        <v>4202.2</v>
      </c>
      <c r="HR26" s="16">
        <v>1786.2</v>
      </c>
      <c r="HS26" s="16">
        <f t="shared" si="52"/>
        <v>12474.999999999454</v>
      </c>
      <c r="HT26" s="16">
        <v>4065.8</v>
      </c>
      <c r="HU26" s="16">
        <v>1486.8</v>
      </c>
      <c r="HV26" s="16">
        <f t="shared" si="53"/>
        <v>28275.000000000091</v>
      </c>
      <c r="HW26" s="16">
        <v>2812.9</v>
      </c>
      <c r="HX26" s="16">
        <v>1210.0999999999999</v>
      </c>
      <c r="HY26" s="16">
        <f t="shared" si="54"/>
        <v>23675.000000000182</v>
      </c>
      <c r="HZ26" s="16">
        <v>1931200</v>
      </c>
      <c r="IA26" s="16">
        <v>855240</v>
      </c>
      <c r="IB26" s="16">
        <f t="shared" si="55"/>
        <v>32100</v>
      </c>
      <c r="IC26" s="16">
        <v>719.8</v>
      </c>
      <c r="ID26" s="16">
        <v>232.78</v>
      </c>
      <c r="IE26" s="16">
        <f t="shared" si="79"/>
        <v>0</v>
      </c>
      <c r="IF26" s="16"/>
      <c r="IG26" s="16"/>
      <c r="IH26" s="128">
        <f t="shared" si="56"/>
        <v>21700</v>
      </c>
      <c r="II26" s="211">
        <f t="shared" si="57"/>
        <v>6.5483618527650833E-10</v>
      </c>
      <c r="IJ26" s="16"/>
      <c r="IK26" s="16"/>
      <c r="IL26" s="16">
        <f t="shared" si="101"/>
        <v>0</v>
      </c>
      <c r="IM26" s="16"/>
      <c r="IN26" s="16"/>
      <c r="IO26" s="16">
        <f t="shared" si="102"/>
        <v>0</v>
      </c>
      <c r="IP26" s="16"/>
      <c r="IQ26" s="16"/>
      <c r="IR26" s="16">
        <f t="shared" si="103"/>
        <v>0</v>
      </c>
      <c r="IS26" s="16"/>
      <c r="IT26" s="16"/>
      <c r="IU26" s="16">
        <f t="shared" si="104"/>
        <v>0</v>
      </c>
      <c r="IV26" s="16"/>
      <c r="IW26" s="16"/>
      <c r="IX26" s="16">
        <f t="shared" si="105"/>
        <v>0</v>
      </c>
      <c r="IY26" s="16"/>
      <c r="IZ26" s="16"/>
      <c r="JA26" s="16">
        <f t="shared" si="106"/>
        <v>0</v>
      </c>
      <c r="JB26" s="16"/>
      <c r="JC26" s="16"/>
      <c r="JD26" s="16">
        <f t="shared" si="107"/>
        <v>0</v>
      </c>
      <c r="JE26" s="16"/>
      <c r="JF26" s="16"/>
      <c r="JG26" s="16">
        <f t="shared" si="108"/>
        <v>0</v>
      </c>
      <c r="JH26" s="16"/>
      <c r="JI26" s="16"/>
      <c r="JJ26" s="16">
        <f t="shared" si="109"/>
        <v>0</v>
      </c>
      <c r="JK26" s="16"/>
      <c r="JL26" s="16"/>
      <c r="JM26" s="16">
        <f t="shared" si="110"/>
        <v>0</v>
      </c>
      <c r="JN26" s="16"/>
      <c r="JO26" s="16"/>
      <c r="JP26" s="16">
        <f t="shared" si="111"/>
        <v>0</v>
      </c>
      <c r="JQ26" s="16"/>
      <c r="JR26" s="16"/>
      <c r="JS26" s="16">
        <f t="shared" si="112"/>
        <v>0</v>
      </c>
      <c r="JT26" s="16"/>
      <c r="JU26" s="16"/>
      <c r="JV26" s="16">
        <f t="shared" si="113"/>
        <v>0</v>
      </c>
      <c r="JW26" s="16"/>
      <c r="JX26" s="16"/>
      <c r="JY26" s="16">
        <f t="shared" si="114"/>
        <v>0</v>
      </c>
      <c r="JZ26" s="16"/>
      <c r="KA26" s="16"/>
      <c r="KB26" s="16">
        <f t="shared" si="115"/>
        <v>0</v>
      </c>
      <c r="KC26" s="16"/>
      <c r="KD26" s="16"/>
      <c r="KE26" s="16">
        <f t="shared" si="116"/>
        <v>0</v>
      </c>
      <c r="KG26" s="151">
        <f t="shared" si="58"/>
        <v>67875.000000000291</v>
      </c>
    </row>
    <row r="27" spans="1:293" x14ac:dyDescent="0.25">
      <c r="A27" s="35">
        <f t="shared" si="0"/>
        <v>21</v>
      </c>
      <c r="B27" s="38">
        <v>5286.74</v>
      </c>
      <c r="C27" s="38">
        <f t="shared" si="1"/>
        <v>10.800000000000182</v>
      </c>
      <c r="D27" s="38">
        <f t="shared" si="2"/>
        <v>345600.00000000582</v>
      </c>
      <c r="E27" s="38">
        <v>1061.8900000000001</v>
      </c>
      <c r="F27" s="38">
        <f t="shared" si="3"/>
        <v>64000</v>
      </c>
      <c r="G27" s="38">
        <f t="shared" si="4"/>
        <v>409600.00000000582</v>
      </c>
      <c r="H27" s="37"/>
      <c r="I27" s="39"/>
      <c r="J27" s="42"/>
      <c r="K27" s="37">
        <f t="shared" si="80"/>
        <v>0</v>
      </c>
      <c r="L27" s="40">
        <v>16932700</v>
      </c>
      <c r="M27" s="40"/>
      <c r="N27" s="37">
        <f t="shared" si="81"/>
        <v>417000</v>
      </c>
      <c r="O27" s="37">
        <v>12612.5</v>
      </c>
      <c r="P27" s="37"/>
      <c r="Q27" s="37">
        <f t="shared" si="119"/>
        <v>18200.000000000728</v>
      </c>
      <c r="R27" s="37">
        <f t="shared" si="82"/>
        <v>1</v>
      </c>
      <c r="S27" s="37">
        <v>11263118.07</v>
      </c>
      <c r="T27" s="37">
        <f t="shared" si="6"/>
        <v>386.33000000007451</v>
      </c>
      <c r="U27" s="37">
        <v>1523790.61</v>
      </c>
      <c r="V27" s="37">
        <f t="shared" si="7"/>
        <v>0</v>
      </c>
      <c r="W27" s="37">
        <v>4515</v>
      </c>
      <c r="X27" s="37">
        <f t="shared" si="95"/>
        <v>17813.670000000653</v>
      </c>
      <c r="Y27" s="183"/>
      <c r="Z27" s="183"/>
      <c r="AA27" s="37">
        <v>794200</v>
      </c>
      <c r="AB27" s="37">
        <f t="shared" si="8"/>
        <v>0</v>
      </c>
      <c r="AC27" s="37">
        <v>4679.8</v>
      </c>
      <c r="AD27" s="37"/>
      <c r="AE27" s="37">
        <f t="shared" si="121"/>
        <v>7800.0000000001819</v>
      </c>
      <c r="AF27" s="37">
        <f t="shared" si="83"/>
        <v>1</v>
      </c>
      <c r="AG27" s="37">
        <v>10155.1</v>
      </c>
      <c r="AH27" s="37"/>
      <c r="AI27" s="37">
        <f t="shared" si="10"/>
        <v>17908.400000001093</v>
      </c>
      <c r="AJ27" s="37">
        <f t="shared" si="11"/>
        <v>1</v>
      </c>
      <c r="AK27" s="37">
        <f t="shared" si="12"/>
        <v>43908.400000002002</v>
      </c>
      <c r="AL27" s="42">
        <v>11868.7</v>
      </c>
      <c r="AM27" s="42"/>
      <c r="AN27" s="37">
        <f t="shared" si="59"/>
        <v>5548.4000000006954</v>
      </c>
      <c r="AO27" s="37">
        <f t="shared" si="84"/>
        <v>1</v>
      </c>
      <c r="AP27" s="37">
        <v>9309.6</v>
      </c>
      <c r="AQ27" s="37"/>
      <c r="AR27" s="37">
        <f t="shared" si="13"/>
        <v>8700.0000000007276</v>
      </c>
      <c r="AS27" s="37">
        <f t="shared" si="85"/>
        <v>1</v>
      </c>
      <c r="AT27" s="183"/>
      <c r="AU27" s="183"/>
      <c r="AV27" s="183"/>
      <c r="AW27" s="183"/>
      <c r="AX27" s="37">
        <v>521130</v>
      </c>
      <c r="AY27" s="37"/>
      <c r="AZ27" s="37">
        <f t="shared" si="14"/>
        <v>90</v>
      </c>
      <c r="BA27" s="37">
        <v>202910</v>
      </c>
      <c r="BB27" s="37"/>
      <c r="BC27" s="37">
        <f t="shared" si="15"/>
        <v>30</v>
      </c>
      <c r="BD27" s="37">
        <f t="shared" si="86"/>
        <v>14368.400000001424</v>
      </c>
      <c r="BE27" s="43">
        <v>2064.5</v>
      </c>
      <c r="BF27" s="43">
        <v>1157.0999999999999</v>
      </c>
      <c r="BG27" s="37">
        <f t="shared" si="16"/>
        <v>1500</v>
      </c>
      <c r="BH27" s="44">
        <v>9733.4</v>
      </c>
      <c r="BI27" s="44">
        <v>6280.8</v>
      </c>
      <c r="BJ27" s="37">
        <f t="shared" si="17"/>
        <v>8399.9999999996362</v>
      </c>
      <c r="BK27" s="40">
        <v>1935320</v>
      </c>
      <c r="BL27" s="40">
        <f t="shared" si="87"/>
        <v>4420</v>
      </c>
      <c r="BM27" s="40">
        <v>930.97</v>
      </c>
      <c r="BN27" s="37">
        <f t="shared" si="18"/>
        <v>639.99999999998636</v>
      </c>
      <c r="BO27" s="186"/>
      <c r="BP27" s="183">
        <f t="shared" si="19"/>
        <v>0</v>
      </c>
      <c r="BQ27" s="40">
        <v>876.5</v>
      </c>
      <c r="BR27" s="37">
        <f t="shared" si="60"/>
        <v>700.00000000004547</v>
      </c>
      <c r="BS27" s="37">
        <v>116514.56</v>
      </c>
      <c r="BT27" s="37">
        <f t="shared" si="20"/>
        <v>218.77999999999884</v>
      </c>
      <c r="BU27" s="42">
        <v>3472593</v>
      </c>
      <c r="BV27" s="42"/>
      <c r="BW27" s="37">
        <f t="shared" si="21"/>
        <v>12154</v>
      </c>
      <c r="BX27" s="37">
        <f t="shared" si="88"/>
        <v>1</v>
      </c>
      <c r="BY27" s="43">
        <v>404.964</v>
      </c>
      <c r="BZ27" s="37"/>
      <c r="CA27" s="37">
        <f t="shared" si="117"/>
        <v>853.79999999997835</v>
      </c>
      <c r="CB27" s="37">
        <f t="shared" si="61"/>
        <v>1</v>
      </c>
      <c r="CC27" s="37">
        <v>794004.4</v>
      </c>
      <c r="CD27" s="37">
        <f t="shared" si="23"/>
        <v>3994.5999999999767</v>
      </c>
      <c r="CE27" s="41">
        <v>1703947</v>
      </c>
      <c r="CF27" s="37">
        <f t="shared" si="24"/>
        <v>5546</v>
      </c>
      <c r="CG27" s="37">
        <v>107982.9</v>
      </c>
      <c r="CH27" s="37">
        <f t="shared" si="62"/>
        <v>2442.3999999999942</v>
      </c>
      <c r="CI27" s="40">
        <v>14224.07</v>
      </c>
      <c r="CJ27" s="40"/>
      <c r="CK27" s="37">
        <f t="shared" si="63"/>
        <v>18294.599999999078</v>
      </c>
      <c r="CL27" s="37">
        <f t="shared" si="25"/>
        <v>1</v>
      </c>
      <c r="CM27" s="37">
        <v>4154.4189999999999</v>
      </c>
      <c r="CN27" s="37"/>
      <c r="CO27" s="37">
        <f t="shared" si="26"/>
        <v>9511.400000000247</v>
      </c>
      <c r="CP27" s="37">
        <f t="shared" si="89"/>
        <v>1</v>
      </c>
      <c r="CQ27" s="39">
        <v>718648.9</v>
      </c>
      <c r="CR27" s="39"/>
      <c r="CS27" s="37">
        <f t="shared" si="64"/>
        <v>7646.4</v>
      </c>
      <c r="CT27" s="37">
        <f t="shared" si="65"/>
        <v>1</v>
      </c>
      <c r="CU27" s="37">
        <v>4386565</v>
      </c>
      <c r="CV27" s="37"/>
      <c r="CW27" s="38">
        <f t="shared" si="27"/>
        <v>348</v>
      </c>
      <c r="CX27" s="37">
        <f t="shared" si="90"/>
        <v>1</v>
      </c>
      <c r="CY27" s="37">
        <v>2339249</v>
      </c>
      <c r="CZ27" s="37"/>
      <c r="DA27" s="37">
        <f t="shared" ref="DA27:DA38" si="123">IF((CY27-CY26)&lt;=0,0,(CY27-CY26))/1</f>
        <v>100</v>
      </c>
      <c r="DB27" s="37">
        <f t="shared" si="91"/>
        <v>1</v>
      </c>
      <c r="DC27" s="37"/>
      <c r="DD27" s="40"/>
      <c r="DE27" s="37">
        <f t="shared" si="29"/>
        <v>0</v>
      </c>
      <c r="DF27" s="37">
        <f t="shared" si="96"/>
        <v>0</v>
      </c>
      <c r="DG27" s="37">
        <f t="shared" si="30"/>
        <v>-48054.399999999325</v>
      </c>
      <c r="DH27" s="37">
        <f t="shared" si="31"/>
        <v>462408.400000002</v>
      </c>
      <c r="DI27" s="46"/>
      <c r="DJ27" s="46"/>
      <c r="DK27" s="47"/>
      <c r="DL27" s="47"/>
      <c r="DM27" s="37"/>
      <c r="DN27" s="37"/>
      <c r="DO27" s="37"/>
      <c r="DP27" s="37"/>
      <c r="DQ27" s="50">
        <v>4350600</v>
      </c>
      <c r="DR27" s="49">
        <f t="shared" si="66"/>
        <v>10300</v>
      </c>
      <c r="DS27" s="50">
        <v>5516800</v>
      </c>
      <c r="DT27" s="49">
        <f t="shared" si="67"/>
        <v>22900</v>
      </c>
      <c r="DU27" s="51">
        <v>8365.7000000000007</v>
      </c>
      <c r="DV27" s="51">
        <v>4734</v>
      </c>
      <c r="DW27" s="37">
        <f t="shared" si="92"/>
        <v>4500</v>
      </c>
      <c r="DX27" s="52">
        <v>13833</v>
      </c>
      <c r="DY27" s="52">
        <v>8658</v>
      </c>
      <c r="DZ27" s="37">
        <f t="shared" si="32"/>
        <v>8608.4</v>
      </c>
      <c r="EA27" s="49">
        <v>32055</v>
      </c>
      <c r="EB27" s="49">
        <v>21.986000000000001</v>
      </c>
      <c r="EC27" s="37">
        <f t="shared" si="33"/>
        <v>23768.400000000001</v>
      </c>
      <c r="ED27" s="53">
        <f t="shared" si="34"/>
        <v>36876.800000000003</v>
      </c>
      <c r="EE27" s="49">
        <v>47853</v>
      </c>
      <c r="EF27" s="49">
        <v>31.46</v>
      </c>
      <c r="EG27" s="37">
        <f t="shared" si="35"/>
        <v>22768.400000000001</v>
      </c>
      <c r="EH27" s="51">
        <v>14088</v>
      </c>
      <c r="EI27" s="51">
        <v>2.0463</v>
      </c>
      <c r="EJ27" s="37">
        <f t="shared" si="36"/>
        <v>12608.4</v>
      </c>
      <c r="EK27" s="37">
        <v>857.66</v>
      </c>
      <c r="EL27" s="40">
        <v>1229.4000000000001</v>
      </c>
      <c r="EM27" s="37">
        <f t="shared" si="68"/>
        <v>730.00000000001819</v>
      </c>
      <c r="EN27" s="54">
        <f t="shared" si="69"/>
        <v>36106.800000000017</v>
      </c>
      <c r="EO27" s="48">
        <v>13656</v>
      </c>
      <c r="EP27" s="48"/>
      <c r="EQ27" s="37">
        <f t="shared" si="70"/>
        <v>7693.3999999999796</v>
      </c>
      <c r="ER27" s="48">
        <v>10779</v>
      </c>
      <c r="ES27" s="48"/>
      <c r="ET27" s="49">
        <f t="shared" si="99"/>
        <v>18000</v>
      </c>
      <c r="EU27" s="48">
        <v>4410.2</v>
      </c>
      <c r="EV27" s="48"/>
      <c r="EW27" s="49">
        <f t="shared" si="38"/>
        <v>10908.400000000182</v>
      </c>
      <c r="EX27" s="48">
        <v>14525</v>
      </c>
      <c r="EY27" s="48"/>
      <c r="EZ27" s="37">
        <f t="shared" si="39"/>
        <v>11608.4</v>
      </c>
      <c r="FA27" s="48">
        <f t="shared" si="71"/>
        <v>-24531.200000000161</v>
      </c>
      <c r="FB27" s="48">
        <v>38504690</v>
      </c>
      <c r="FC27" s="49">
        <f t="shared" si="93"/>
        <v>23679</v>
      </c>
      <c r="FD27" s="48">
        <f t="shared" si="72"/>
        <v>50074.200000000164</v>
      </c>
      <c r="FE27" s="48">
        <v>17832</v>
      </c>
      <c r="FF27" s="48"/>
      <c r="FG27" s="37">
        <f t="shared" si="73"/>
        <v>9885.0700000000197</v>
      </c>
      <c r="FH27" s="48">
        <v>10276</v>
      </c>
      <c r="FI27" s="48"/>
      <c r="FJ27" s="49">
        <f t="shared" si="40"/>
        <v>18970.07</v>
      </c>
      <c r="FK27" s="48"/>
      <c r="FL27" s="58">
        <v>-638.33000000000004</v>
      </c>
      <c r="FM27" s="48">
        <f t="shared" si="94"/>
        <v>-608.40333333334036</v>
      </c>
      <c r="FN27" s="48">
        <v>17683</v>
      </c>
      <c r="FO27" s="48"/>
      <c r="FP27" s="37">
        <f t="shared" si="74"/>
        <v>11970.07</v>
      </c>
      <c r="FQ27" s="48">
        <v>62235</v>
      </c>
      <c r="FR27" s="55"/>
      <c r="FS27" s="37">
        <f t="shared" si="41"/>
        <v>39000</v>
      </c>
      <c r="FT27" s="48">
        <f t="shared" si="75"/>
        <v>-1825.210000000021</v>
      </c>
      <c r="FU27" s="48">
        <f t="shared" si="76"/>
        <v>42525.210000000065</v>
      </c>
      <c r="FV27" s="44">
        <v>6450600</v>
      </c>
      <c r="FW27" s="44"/>
      <c r="FX27" s="37">
        <f t="shared" si="42"/>
        <v>23100</v>
      </c>
      <c r="FY27" s="56">
        <v>35107</v>
      </c>
      <c r="FZ27" s="56"/>
      <c r="GA27" s="37">
        <f t="shared" si="98"/>
        <v>5347</v>
      </c>
      <c r="GB27" s="56">
        <v>880.76</v>
      </c>
      <c r="GC27" s="56"/>
      <c r="GD27" s="37">
        <f t="shared" si="44"/>
        <v>679.99999999994998</v>
      </c>
      <c r="GE27" s="63">
        <v>10861</v>
      </c>
      <c r="GF27" s="56"/>
      <c r="GG27" s="37">
        <f t="shared" si="45"/>
        <v>6435.9999999999545</v>
      </c>
      <c r="GH27" s="158">
        <v>45480</v>
      </c>
      <c r="GI27" s="159"/>
      <c r="GJ27" s="38">
        <f t="shared" si="77"/>
        <v>1864</v>
      </c>
      <c r="GK27" s="159">
        <v>1529.8</v>
      </c>
      <c r="GL27" s="160"/>
      <c r="GM27" s="38">
        <f t="shared" si="46"/>
        <v>1700.0000000000455</v>
      </c>
      <c r="GN27" s="57">
        <v>244060</v>
      </c>
      <c r="GO27" s="57"/>
      <c r="GP27" s="38">
        <f t="shared" si="97"/>
        <v>10</v>
      </c>
      <c r="GQ27" s="38">
        <v>296900</v>
      </c>
      <c r="GR27" s="38"/>
      <c r="GS27" s="38">
        <f t="shared" si="78"/>
        <v>150</v>
      </c>
      <c r="GT27" s="24"/>
      <c r="GU27" s="144">
        <f>DailyAug!B26-DailyAug!N26-DailyAug!V26-DailyAug!Y26-DailyAug!Z26-DailyAug!AA26-DailyAug!AB26-DailyAug!AC26-DailyAug!AD26-DailyAug!AE26-DailyAug!AK26-DailyAug!AO26-DailyAug!AS26-DailyAug!AY26-DailyAug!BD26+DailyAug!BU26-DailyAug!BG26-DailyAug!BT26-DailyAug!AF26-DailyAug!AG26</f>
        <v>-9.999996778788045E-3</v>
      </c>
      <c r="GV27" s="59">
        <v>9125.99</v>
      </c>
      <c r="GW27" s="60">
        <f t="shared" si="47"/>
        <v>608.39933333333329</v>
      </c>
      <c r="GX27" s="61">
        <v>608.4</v>
      </c>
      <c r="GY27" s="140"/>
      <c r="GZ27" s="62"/>
      <c r="HA27" s="62"/>
      <c r="HB27" s="74"/>
      <c r="HC27" s="62"/>
      <c r="HD27" s="62"/>
      <c r="HE27" s="24">
        <f t="shared" si="48"/>
        <v>0</v>
      </c>
      <c r="HF27" s="3"/>
      <c r="HG27" s="213">
        <v>21</v>
      </c>
      <c r="HH27" s="16">
        <v>22945</v>
      </c>
      <c r="HI27" s="16">
        <v>8744.5</v>
      </c>
      <c r="HJ27" s="16">
        <f t="shared" si="49"/>
        <v>154000</v>
      </c>
      <c r="HK27" s="16">
        <v>2.1432000000000002</v>
      </c>
      <c r="HL27" s="16">
        <v>807.23</v>
      </c>
      <c r="HM27" s="16">
        <f t="shared" si="100"/>
        <v>0</v>
      </c>
      <c r="HN27" s="16">
        <v>5868.5</v>
      </c>
      <c r="HO27" s="16">
        <v>2523</v>
      </c>
      <c r="HP27" s="16">
        <f t="shared" si="51"/>
        <v>34602.5</v>
      </c>
      <c r="HQ27" s="16">
        <v>4219</v>
      </c>
      <c r="HR27" s="16">
        <v>1793.3</v>
      </c>
      <c r="HS27" s="16">
        <f t="shared" si="52"/>
        <v>15402.500000000182</v>
      </c>
      <c r="HT27" s="16">
        <v>4089.6</v>
      </c>
      <c r="HU27" s="16">
        <v>1495.3</v>
      </c>
      <c r="HV27" s="16">
        <f t="shared" si="53"/>
        <v>22402.499999999727</v>
      </c>
      <c r="HW27" s="16">
        <v>2836.4</v>
      </c>
      <c r="HX27" s="16">
        <v>1219.9000000000001</v>
      </c>
      <c r="HY27" s="16">
        <f t="shared" si="54"/>
        <v>22102.5</v>
      </c>
      <c r="HZ27" s="16">
        <v>1967790</v>
      </c>
      <c r="IA27" s="16">
        <v>867790</v>
      </c>
      <c r="IB27" s="16">
        <f t="shared" si="55"/>
        <v>36590</v>
      </c>
      <c r="IC27" s="16">
        <v>719.8</v>
      </c>
      <c r="ID27" s="16">
        <v>232.78</v>
      </c>
      <c r="IE27" s="16">
        <f t="shared" si="79"/>
        <v>0</v>
      </c>
      <c r="IF27" s="16"/>
      <c r="IG27" s="16"/>
      <c r="IH27" s="128">
        <f t="shared" si="56"/>
        <v>22900</v>
      </c>
      <c r="II27" s="211">
        <f t="shared" si="57"/>
        <v>1.0186340659856796E-10</v>
      </c>
      <c r="IJ27" s="16"/>
      <c r="IK27" s="16"/>
      <c r="IL27" s="16">
        <f t="shared" si="101"/>
        <v>0</v>
      </c>
      <c r="IM27" s="16"/>
      <c r="IN27" s="16"/>
      <c r="IO27" s="16">
        <f t="shared" si="102"/>
        <v>0</v>
      </c>
      <c r="IP27" s="16"/>
      <c r="IQ27" s="16"/>
      <c r="IR27" s="16">
        <f t="shared" si="103"/>
        <v>0</v>
      </c>
      <c r="IS27" s="16"/>
      <c r="IT27" s="16"/>
      <c r="IU27" s="16">
        <f t="shared" si="104"/>
        <v>0</v>
      </c>
      <c r="IV27" s="16"/>
      <c r="IW27" s="16"/>
      <c r="IX27" s="16">
        <f t="shared" si="105"/>
        <v>0</v>
      </c>
      <c r="IY27" s="16"/>
      <c r="IZ27" s="16"/>
      <c r="JA27" s="16">
        <f t="shared" si="106"/>
        <v>0</v>
      </c>
      <c r="JB27" s="16"/>
      <c r="JC27" s="16"/>
      <c r="JD27" s="16">
        <f t="shared" si="107"/>
        <v>0</v>
      </c>
      <c r="JE27" s="16"/>
      <c r="JF27" s="16"/>
      <c r="JG27" s="16">
        <f t="shared" si="108"/>
        <v>0</v>
      </c>
      <c r="JH27" s="16"/>
      <c r="JI27" s="16"/>
      <c r="JJ27" s="16">
        <f t="shared" si="109"/>
        <v>0</v>
      </c>
      <c r="JK27" s="16"/>
      <c r="JL27" s="16"/>
      <c r="JM27" s="16">
        <f t="shared" si="110"/>
        <v>0</v>
      </c>
      <c r="JN27" s="16"/>
      <c r="JO27" s="16"/>
      <c r="JP27" s="16">
        <f t="shared" si="111"/>
        <v>0</v>
      </c>
      <c r="JQ27" s="16"/>
      <c r="JR27" s="16"/>
      <c r="JS27" s="16">
        <f t="shared" si="112"/>
        <v>0</v>
      </c>
      <c r="JT27" s="16"/>
      <c r="JU27" s="16"/>
      <c r="JV27" s="16">
        <f t="shared" si="113"/>
        <v>0</v>
      </c>
      <c r="JW27" s="16"/>
      <c r="JX27" s="16"/>
      <c r="JY27" s="16">
        <f t="shared" si="114"/>
        <v>0</v>
      </c>
      <c r="JZ27" s="16"/>
      <c r="KA27" s="16"/>
      <c r="KB27" s="16">
        <f t="shared" si="115"/>
        <v>0</v>
      </c>
      <c r="KC27" s="16"/>
      <c r="KD27" s="16"/>
      <c r="KE27" s="16">
        <f t="shared" si="116"/>
        <v>0</v>
      </c>
      <c r="KG27" s="151">
        <f t="shared" si="58"/>
        <v>71192.500000000102</v>
      </c>
    </row>
    <row r="28" spans="1:293" x14ac:dyDescent="0.25">
      <c r="A28" s="35">
        <f t="shared" si="0"/>
        <v>22</v>
      </c>
      <c r="B28" s="38">
        <v>5296.96</v>
      </c>
      <c r="C28" s="38">
        <f t="shared" si="1"/>
        <v>10.220000000000255</v>
      </c>
      <c r="D28" s="38">
        <f t="shared" si="2"/>
        <v>327040.00000000815</v>
      </c>
      <c r="E28" s="38">
        <v>1063.79</v>
      </c>
      <c r="F28" s="38">
        <f t="shared" si="3"/>
        <v>60799.999999995634</v>
      </c>
      <c r="G28" s="38">
        <f t="shared" si="4"/>
        <v>387840.00000000378</v>
      </c>
      <c r="H28" s="37"/>
      <c r="I28" s="39"/>
      <c r="J28" s="42"/>
      <c r="K28" s="37">
        <f t="shared" si="80"/>
        <v>0</v>
      </c>
      <c r="L28" s="40">
        <v>16971100</v>
      </c>
      <c r="M28" s="40"/>
      <c r="N28" s="37">
        <f t="shared" si="81"/>
        <v>384000</v>
      </c>
      <c r="O28" s="37">
        <v>12629.9</v>
      </c>
      <c r="P28" s="37"/>
      <c r="Q28" s="37">
        <f t="shared" si="119"/>
        <v>17399.999999999636</v>
      </c>
      <c r="R28" s="37">
        <f t="shared" si="82"/>
        <v>1</v>
      </c>
      <c r="S28" s="37">
        <v>11263511.85</v>
      </c>
      <c r="T28" s="37">
        <f t="shared" si="6"/>
        <v>393.77999999932945</v>
      </c>
      <c r="U28" s="37">
        <v>1523790.61</v>
      </c>
      <c r="V28" s="37">
        <f>IF((U28-U27)&lt;=0,0,(U28-U27))</f>
        <v>0</v>
      </c>
      <c r="W28" s="37">
        <v>4520.8999999999996</v>
      </c>
      <c r="X28" s="37">
        <f t="shared" si="95"/>
        <v>16906.220000000307</v>
      </c>
      <c r="Y28" s="183"/>
      <c r="Z28" s="183"/>
      <c r="AA28" s="37">
        <v>794300</v>
      </c>
      <c r="AB28" s="37">
        <f t="shared" si="8"/>
        <v>100</v>
      </c>
      <c r="AC28" s="37">
        <v>4687.3</v>
      </c>
      <c r="AD28" s="37"/>
      <c r="AE28" s="37">
        <f t="shared" si="121"/>
        <v>7500</v>
      </c>
      <c r="AF28" s="37">
        <f t="shared" si="83"/>
        <v>1</v>
      </c>
      <c r="AG28" s="37">
        <v>10172.1</v>
      </c>
      <c r="AH28" s="37"/>
      <c r="AI28" s="37">
        <f t="shared" si="10"/>
        <v>17070.95</v>
      </c>
      <c r="AJ28" s="37">
        <f t="shared" si="11"/>
        <v>1</v>
      </c>
      <c r="AK28" s="37">
        <f t="shared" si="12"/>
        <v>41870.949999999633</v>
      </c>
      <c r="AL28" s="42">
        <v>11878.6</v>
      </c>
      <c r="AM28" s="2"/>
      <c r="AN28" s="37">
        <f t="shared" si="59"/>
        <v>4640.9499999995687</v>
      </c>
      <c r="AO28" s="37">
        <f t="shared" si="84"/>
        <v>1</v>
      </c>
      <c r="AP28" s="37">
        <v>9318.2000000000007</v>
      </c>
      <c r="AQ28" s="37"/>
      <c r="AR28" s="37">
        <f t="shared" si="13"/>
        <v>8600.0000000003638</v>
      </c>
      <c r="AS28" s="37">
        <f t="shared" si="85"/>
        <v>1</v>
      </c>
      <c r="AT28" s="183"/>
      <c r="AU28" s="183"/>
      <c r="AV28" s="183"/>
      <c r="AW28" s="183"/>
      <c r="AX28" s="37">
        <v>521150</v>
      </c>
      <c r="AY28" s="37"/>
      <c r="AZ28" s="37">
        <f t="shared" si="14"/>
        <v>20</v>
      </c>
      <c r="BA28" s="37">
        <v>202920</v>
      </c>
      <c r="BB28" s="37"/>
      <c r="BC28" s="37">
        <f t="shared" si="15"/>
        <v>10</v>
      </c>
      <c r="BD28" s="37">
        <f t="shared" si="86"/>
        <v>13270.949999999932</v>
      </c>
      <c r="BE28" s="43">
        <v>2066</v>
      </c>
      <c r="BF28" s="43">
        <v>1158.2</v>
      </c>
      <c r="BG28" s="37">
        <f t="shared" si="16"/>
        <v>1500</v>
      </c>
      <c r="BH28" s="44">
        <v>9742.1</v>
      </c>
      <c r="BI28" s="44">
        <v>6286.7</v>
      </c>
      <c r="BJ28" s="37">
        <f t="shared" si="17"/>
        <v>8700.0000000007276</v>
      </c>
      <c r="BK28" s="40">
        <v>1939350</v>
      </c>
      <c r="BL28" s="40">
        <f t="shared" si="87"/>
        <v>4030</v>
      </c>
      <c r="BM28" s="40">
        <v>931.57</v>
      </c>
      <c r="BN28" s="37">
        <f t="shared" si="18"/>
        <v>600.00000000002274</v>
      </c>
      <c r="BO28" s="186"/>
      <c r="BP28" s="183">
        <f t="shared" si="19"/>
        <v>0</v>
      </c>
      <c r="BQ28" s="40">
        <v>877.2</v>
      </c>
      <c r="BR28" s="37">
        <f t="shared" si="60"/>
        <v>700.00000000004547</v>
      </c>
      <c r="BS28" s="37">
        <v>116739.56</v>
      </c>
      <c r="BT28" s="37">
        <f t="shared" si="20"/>
        <v>225</v>
      </c>
      <c r="BU28" s="42">
        <v>3482643</v>
      </c>
      <c r="BV28" s="42"/>
      <c r="BW28" s="37">
        <f t="shared" si="21"/>
        <v>10050</v>
      </c>
      <c r="BX28" s="37">
        <f t="shared" si="88"/>
        <v>1</v>
      </c>
      <c r="BY28" s="43">
        <v>405.76830000000001</v>
      </c>
      <c r="BZ28" s="37"/>
      <c r="CA28" s="37">
        <f t="shared" si="117"/>
        <v>804.30000000001201</v>
      </c>
      <c r="CB28" s="37">
        <f t="shared" si="61"/>
        <v>1</v>
      </c>
      <c r="CC28" s="37">
        <v>796476.8</v>
      </c>
      <c r="CD28" s="37">
        <f t="shared" si="23"/>
        <v>2472.4000000000233</v>
      </c>
      <c r="CE28" s="41">
        <v>1709015</v>
      </c>
      <c r="CF28" s="37">
        <f t="shared" si="24"/>
        <v>5068</v>
      </c>
      <c r="CG28" s="37">
        <v>110311.2</v>
      </c>
      <c r="CH28" s="37">
        <f t="shared" si="62"/>
        <v>2328.3000000000029</v>
      </c>
      <c r="CI28" s="40">
        <v>14241.68</v>
      </c>
      <c r="CJ28" s="40"/>
      <c r="CK28" s="37">
        <f t="shared" si="63"/>
        <v>16876.650000000569</v>
      </c>
      <c r="CL28" s="37">
        <f t="shared" si="25"/>
        <v>1</v>
      </c>
      <c r="CM28" s="37">
        <v>4162.8609999999999</v>
      </c>
      <c r="CN28" s="37"/>
      <c r="CO28" s="37">
        <f t="shared" si="26"/>
        <v>8512.950000000008</v>
      </c>
      <c r="CP28" s="37">
        <f t="shared" si="89"/>
        <v>1</v>
      </c>
      <c r="CQ28" s="39">
        <v>725433</v>
      </c>
      <c r="CR28" s="39"/>
      <c r="CS28" s="37">
        <f t="shared" si="64"/>
        <v>6855.0499999999765</v>
      </c>
      <c r="CT28" s="37">
        <f t="shared" si="65"/>
        <v>1</v>
      </c>
      <c r="CU28" s="37">
        <v>4386898</v>
      </c>
      <c r="CV28" s="37"/>
      <c r="CW28" s="38">
        <f t="shared" si="27"/>
        <v>333</v>
      </c>
      <c r="CX28" s="37">
        <f t="shared" si="90"/>
        <v>1</v>
      </c>
      <c r="CY28" s="37">
        <v>2339342</v>
      </c>
      <c r="CZ28" s="37"/>
      <c r="DA28" s="37">
        <f t="shared" si="123"/>
        <v>93</v>
      </c>
      <c r="DB28" s="37">
        <f>IF(DA28&lt;=0,0,(DA28/SQRT(DA28^2+(CZ28-CZ27)^2)))</f>
        <v>1</v>
      </c>
      <c r="DC28" s="37"/>
      <c r="DD28" s="40"/>
      <c r="DE28" s="37">
        <f t="shared" si="29"/>
        <v>0</v>
      </c>
      <c r="DF28" s="37">
        <f t="shared" si="96"/>
        <v>0</v>
      </c>
      <c r="DG28" s="37">
        <f t="shared" si="30"/>
        <v>-42720.650000000554</v>
      </c>
      <c r="DH28" s="37">
        <f t="shared" si="31"/>
        <v>427370.9499999996</v>
      </c>
      <c r="DI28" s="46"/>
      <c r="DJ28" s="46"/>
      <c r="DK28" s="47"/>
      <c r="DL28" s="47"/>
      <c r="DM28" s="37"/>
      <c r="DN28" s="37"/>
      <c r="DO28" s="37"/>
      <c r="DP28" s="37"/>
      <c r="DQ28" s="50">
        <v>4361000</v>
      </c>
      <c r="DR28" s="49">
        <f t="shared" si="66"/>
        <v>10400</v>
      </c>
      <c r="DS28" s="50">
        <v>5540800</v>
      </c>
      <c r="DT28" s="49">
        <f t="shared" si="67"/>
        <v>24000</v>
      </c>
      <c r="DU28" s="51">
        <v>8369.7999999999993</v>
      </c>
      <c r="DV28" s="51">
        <v>4737.3</v>
      </c>
      <c r="DW28" s="37">
        <f t="shared" si="92"/>
        <v>4099.9999999985448</v>
      </c>
      <c r="DX28" s="52">
        <v>13841</v>
      </c>
      <c r="DY28" s="52">
        <v>8662.9</v>
      </c>
      <c r="DZ28" s="37">
        <f t="shared" si="32"/>
        <v>8070.95</v>
      </c>
      <c r="EA28" s="49">
        <v>32076</v>
      </c>
      <c r="EB28" s="49">
        <v>21.995999999999999</v>
      </c>
      <c r="EC28" s="37">
        <f t="shared" si="33"/>
        <v>23230.95</v>
      </c>
      <c r="ED28" s="53">
        <f t="shared" si="34"/>
        <v>35401.899999998546</v>
      </c>
      <c r="EE28" s="49">
        <v>47874</v>
      </c>
      <c r="EF28" s="49">
        <v>31.477</v>
      </c>
      <c r="EG28" s="37">
        <f t="shared" si="35"/>
        <v>23230.95</v>
      </c>
      <c r="EH28" s="51">
        <v>14100</v>
      </c>
      <c r="EI28" s="51">
        <v>2.0495000000000001</v>
      </c>
      <c r="EJ28" s="37">
        <f t="shared" si="36"/>
        <v>12070.95</v>
      </c>
      <c r="EK28" s="37">
        <v>858.37</v>
      </c>
      <c r="EL28" s="40">
        <v>1230.4000000000001</v>
      </c>
      <c r="EM28" s="37">
        <f t="shared" si="68"/>
        <v>710.00000000003638</v>
      </c>
      <c r="EN28" s="54">
        <f t="shared" si="69"/>
        <v>36011.900000000038</v>
      </c>
      <c r="EO28" s="48">
        <v>13663</v>
      </c>
      <c r="EP28" s="48"/>
      <c r="EQ28" s="37">
        <f t="shared" si="70"/>
        <v>6135.9499999999971</v>
      </c>
      <c r="ER28" s="48">
        <v>10797</v>
      </c>
      <c r="ES28" s="48"/>
      <c r="ET28" s="49">
        <f t="shared" si="99"/>
        <v>18000</v>
      </c>
      <c r="EU28" s="48">
        <v>4420</v>
      </c>
      <c r="EV28" s="48"/>
      <c r="EW28" s="49">
        <f t="shared" si="38"/>
        <v>9870.9500000001826</v>
      </c>
      <c r="EX28" s="48">
        <v>14535</v>
      </c>
      <c r="EY28" s="48"/>
      <c r="EZ28" s="37">
        <f t="shared" si="39"/>
        <v>10070.950000000001</v>
      </c>
      <c r="FA28" s="48">
        <f t="shared" si="71"/>
        <v>-20881.85000000018</v>
      </c>
      <c r="FB28" s="48">
        <v>38527886</v>
      </c>
      <c r="FC28" s="49">
        <f t="shared" si="93"/>
        <v>23196</v>
      </c>
      <c r="FD28" s="48">
        <f t="shared" si="72"/>
        <v>45873.85000000018</v>
      </c>
      <c r="FE28" s="48">
        <v>17840</v>
      </c>
      <c r="FF28" s="48"/>
      <c r="FG28" s="37">
        <f t="shared" si="73"/>
        <v>9360.9500000000025</v>
      </c>
      <c r="FH28" s="48">
        <v>10294</v>
      </c>
      <c r="FI28" s="48"/>
      <c r="FJ28" s="49">
        <f t="shared" si="40"/>
        <v>18425.95</v>
      </c>
      <c r="FK28" s="48"/>
      <c r="FL28" s="58">
        <v>355</v>
      </c>
      <c r="FM28" s="48">
        <f t="shared" si="94"/>
        <v>-70.950000000001936</v>
      </c>
      <c r="FN28" s="48">
        <v>17694</v>
      </c>
      <c r="FO28" s="48"/>
      <c r="FP28" s="37">
        <f t="shared" si="74"/>
        <v>11425.95</v>
      </c>
      <c r="FQ28" s="48">
        <v>62274</v>
      </c>
      <c r="FR28" s="48"/>
      <c r="FS28" s="37">
        <f t="shared" si="41"/>
        <v>39000</v>
      </c>
      <c r="FT28" s="48">
        <f t="shared" si="75"/>
        <v>-212.85000000000582</v>
      </c>
      <c r="FU28" s="48">
        <f t="shared" si="76"/>
        <v>40712.850000000006</v>
      </c>
      <c r="FV28" s="44">
        <v>6471000</v>
      </c>
      <c r="FW28" s="44"/>
      <c r="FX28" s="37">
        <f t="shared" si="42"/>
        <v>20400</v>
      </c>
      <c r="FY28" s="56">
        <v>40177</v>
      </c>
      <c r="FZ28" s="56"/>
      <c r="GA28" s="37">
        <f t="shared" si="98"/>
        <v>5070</v>
      </c>
      <c r="GB28" s="56">
        <v>881.4</v>
      </c>
      <c r="GC28" s="56"/>
      <c r="GD28" s="37">
        <f t="shared" si="44"/>
        <v>639.99999999998636</v>
      </c>
      <c r="GE28" s="56">
        <v>10869</v>
      </c>
      <c r="GF28" s="56"/>
      <c r="GG28" s="37">
        <f t="shared" si="45"/>
        <v>4704</v>
      </c>
      <c r="GH28" s="158">
        <v>47276</v>
      </c>
      <c r="GI28" s="159"/>
      <c r="GJ28" s="38">
        <f t="shared" si="77"/>
        <v>1796</v>
      </c>
      <c r="GK28" s="159">
        <v>1531.3</v>
      </c>
      <c r="GL28" s="160"/>
      <c r="GM28" s="38">
        <f>IF((GK28-GK27)&lt;=0,0,(GK28-GK27))*1000</f>
        <v>1500</v>
      </c>
      <c r="GN28" s="57">
        <v>244060</v>
      </c>
      <c r="GO28" s="57"/>
      <c r="GP28" s="38">
        <f t="shared" si="97"/>
        <v>0</v>
      </c>
      <c r="GQ28" s="38">
        <v>297050</v>
      </c>
      <c r="GR28" s="38"/>
      <c r="GS28" s="38">
        <f t="shared" si="78"/>
        <v>150</v>
      </c>
      <c r="GT28" s="178"/>
      <c r="GU28" s="144">
        <f>DailyAug!B27-DailyAug!N27-DailyAug!V27-DailyAug!Y27-DailyAug!Z27-DailyAug!AA27-DailyAug!AB27-DailyAug!AC27-DailyAug!AD27-DailyAug!AE27-DailyAug!AK27-DailyAug!AO27-DailyAug!AS27-DailyAug!AY27-DailyAug!BD27+DailyAug!BU27-DailyAug!BG27-DailyAug!BT27-DailyAug!AF27-DailyAug!AG27</f>
        <v>-4.9999995913822204E-2</v>
      </c>
      <c r="GV28" s="59">
        <v>1064.2</v>
      </c>
      <c r="GW28" s="60">
        <f t="shared" si="47"/>
        <v>70.946666666666673</v>
      </c>
      <c r="GX28" s="61">
        <v>70.95</v>
      </c>
      <c r="GY28" s="140"/>
      <c r="GZ28" s="62"/>
      <c r="HA28" s="62"/>
      <c r="HB28" s="74"/>
      <c r="HC28" s="62"/>
      <c r="HD28" s="74"/>
      <c r="HE28" s="24">
        <f t="shared" si="48"/>
        <v>0</v>
      </c>
      <c r="HF28" s="151"/>
      <c r="HG28" s="213">
        <v>22</v>
      </c>
      <c r="HH28" s="16">
        <v>23099</v>
      </c>
      <c r="HI28" s="16">
        <v>8803.6</v>
      </c>
      <c r="HJ28" s="16">
        <f t="shared" si="49"/>
        <v>154000</v>
      </c>
      <c r="HK28" s="16">
        <v>2.1432000000000002</v>
      </c>
      <c r="HL28" s="16">
        <v>807.23</v>
      </c>
      <c r="HM28" s="16">
        <f t="shared" si="100"/>
        <v>0</v>
      </c>
      <c r="HN28" s="16">
        <v>5905.5</v>
      </c>
      <c r="HO28" s="16">
        <v>2538</v>
      </c>
      <c r="HP28" s="16">
        <f t="shared" si="51"/>
        <v>37947.5</v>
      </c>
      <c r="HQ28" s="16">
        <v>4237.3999999999996</v>
      </c>
      <c r="HR28" s="16">
        <v>1801.2</v>
      </c>
      <c r="HS28" s="16">
        <f t="shared" si="52"/>
        <v>19347.499999999636</v>
      </c>
      <c r="HT28" s="16">
        <v>4113.7</v>
      </c>
      <c r="HU28" s="16">
        <v>1504.3</v>
      </c>
      <c r="HV28" s="16">
        <f t="shared" si="53"/>
        <v>25047.499999999909</v>
      </c>
      <c r="HW28" s="16">
        <v>2859.8</v>
      </c>
      <c r="HX28" s="16">
        <v>1229.9000000000001</v>
      </c>
      <c r="HY28" s="16">
        <f t="shared" si="54"/>
        <v>24347.500000000091</v>
      </c>
      <c r="HZ28" s="16">
        <v>1991100</v>
      </c>
      <c r="IA28" s="16">
        <v>879690</v>
      </c>
      <c r="IB28" s="16">
        <f t="shared" si="55"/>
        <v>23310</v>
      </c>
      <c r="IC28" s="16">
        <v>719.8</v>
      </c>
      <c r="ID28" s="16">
        <v>232.78</v>
      </c>
      <c r="IE28" s="16">
        <f t="shared" si="79"/>
        <v>0</v>
      </c>
      <c r="IF28" s="16"/>
      <c r="IG28" s="16"/>
      <c r="IH28" s="128">
        <f t="shared" si="56"/>
        <v>24000</v>
      </c>
      <c r="II28" s="211">
        <f t="shared" si="57"/>
        <v>3.4924596548080444E-10</v>
      </c>
      <c r="IJ28" s="16"/>
      <c r="IK28" s="16"/>
      <c r="IL28" s="16">
        <f t="shared" si="101"/>
        <v>0</v>
      </c>
      <c r="IM28" s="16"/>
      <c r="IN28" s="16"/>
      <c r="IO28" s="16">
        <f t="shared" si="102"/>
        <v>0</v>
      </c>
      <c r="IP28" s="16"/>
      <c r="IQ28" s="16"/>
      <c r="IR28" s="16">
        <f t="shared" si="103"/>
        <v>0</v>
      </c>
      <c r="IS28" s="16"/>
      <c r="IT28" s="16"/>
      <c r="IU28" s="16">
        <f t="shared" si="104"/>
        <v>0</v>
      </c>
      <c r="IV28" s="16"/>
      <c r="IW28" s="16"/>
      <c r="IX28" s="16">
        <f t="shared" si="105"/>
        <v>0</v>
      </c>
      <c r="IY28" s="16"/>
      <c r="IZ28" s="16"/>
      <c r="JA28" s="16">
        <f t="shared" si="106"/>
        <v>0</v>
      </c>
      <c r="JB28" s="16"/>
      <c r="JC28" s="16"/>
      <c r="JD28" s="16">
        <f t="shared" si="107"/>
        <v>0</v>
      </c>
      <c r="JE28" s="16"/>
      <c r="JF28" s="16"/>
      <c r="JG28" s="16">
        <f t="shared" si="108"/>
        <v>0</v>
      </c>
      <c r="JH28" s="16"/>
      <c r="JI28" s="16"/>
      <c r="JJ28" s="16">
        <f t="shared" si="109"/>
        <v>0</v>
      </c>
      <c r="JK28" s="16"/>
      <c r="JL28" s="16"/>
      <c r="JM28" s="16">
        <f t="shared" si="110"/>
        <v>0</v>
      </c>
      <c r="JN28" s="16"/>
      <c r="JO28" s="16"/>
      <c r="JP28" s="16">
        <f t="shared" si="111"/>
        <v>0</v>
      </c>
      <c r="JQ28" s="16"/>
      <c r="JR28" s="16"/>
      <c r="JS28" s="16">
        <f t="shared" si="112"/>
        <v>0</v>
      </c>
      <c r="JT28" s="16"/>
      <c r="JU28" s="16"/>
      <c r="JV28" s="16">
        <f t="shared" si="113"/>
        <v>0</v>
      </c>
      <c r="JW28" s="16"/>
      <c r="JX28" s="16"/>
      <c r="JY28" s="16">
        <f t="shared" si="114"/>
        <v>0</v>
      </c>
      <c r="JZ28" s="16"/>
      <c r="KA28" s="16"/>
      <c r="KB28" s="16">
        <f t="shared" si="115"/>
        <v>0</v>
      </c>
      <c r="KC28" s="16"/>
      <c r="KD28" s="16"/>
      <c r="KE28" s="16">
        <f t="shared" si="116"/>
        <v>0</v>
      </c>
      <c r="KG28" s="151">
        <f t="shared" si="58"/>
        <v>61257.500000000349</v>
      </c>
    </row>
    <row r="29" spans="1:293" x14ac:dyDescent="0.25">
      <c r="A29" s="35">
        <f t="shared" si="0"/>
        <v>23</v>
      </c>
      <c r="B29" s="38">
        <v>5307.21</v>
      </c>
      <c r="C29" s="38">
        <f t="shared" si="1"/>
        <v>10.25</v>
      </c>
      <c r="D29" s="38">
        <f t="shared" si="2"/>
        <v>328000</v>
      </c>
      <c r="E29" s="38">
        <v>1065.8</v>
      </c>
      <c r="F29" s="38">
        <f t="shared" si="3"/>
        <v>64319.999999999709</v>
      </c>
      <c r="G29" s="38">
        <f t="shared" si="4"/>
        <v>392319.99999999971</v>
      </c>
      <c r="H29" s="37"/>
      <c r="I29" s="39"/>
      <c r="J29" s="42"/>
      <c r="K29" s="37">
        <f t="shared" si="80"/>
        <v>0</v>
      </c>
      <c r="L29" s="40">
        <v>17010000</v>
      </c>
      <c r="M29" s="40"/>
      <c r="N29" s="37">
        <f t="shared" si="81"/>
        <v>389000</v>
      </c>
      <c r="O29" s="37">
        <v>12647.6</v>
      </c>
      <c r="P29" s="37"/>
      <c r="Q29" s="37">
        <f t="shared" si="119"/>
        <v>17700.000000000728</v>
      </c>
      <c r="R29" s="37">
        <f t="shared" si="82"/>
        <v>1</v>
      </c>
      <c r="S29" s="37">
        <v>11263860.65</v>
      </c>
      <c r="T29" s="37">
        <f t="shared" si="6"/>
        <v>348.80000000074506</v>
      </c>
      <c r="U29" s="37">
        <v>1523790.61</v>
      </c>
      <c r="V29" s="37">
        <f t="shared" si="7"/>
        <v>0</v>
      </c>
      <c r="W29" s="37">
        <v>4526.8</v>
      </c>
      <c r="X29" s="37">
        <f t="shared" si="95"/>
        <v>17251.199999999983</v>
      </c>
      <c r="Y29" s="183"/>
      <c r="Z29" s="183"/>
      <c r="AA29" s="37">
        <v>794400</v>
      </c>
      <c r="AB29" s="37">
        <f t="shared" si="8"/>
        <v>100</v>
      </c>
      <c r="AC29" s="37">
        <v>4694.8</v>
      </c>
      <c r="AD29" s="37"/>
      <c r="AE29" s="37">
        <f t="shared" si="121"/>
        <v>7500</v>
      </c>
      <c r="AF29" s="37">
        <f t="shared" si="83"/>
        <v>1</v>
      </c>
      <c r="AG29" s="37">
        <v>10188.6</v>
      </c>
      <c r="AH29" s="37"/>
      <c r="AI29" s="37">
        <f t="shared" si="10"/>
        <v>16557.560000000001</v>
      </c>
      <c r="AJ29" s="37">
        <f t="shared" si="11"/>
        <v>1</v>
      </c>
      <c r="AK29" s="37">
        <f t="shared" si="12"/>
        <v>41657.560000000725</v>
      </c>
      <c r="AL29" s="42">
        <v>11888.9</v>
      </c>
      <c r="AM29" s="42"/>
      <c r="AN29" s="37">
        <f t="shared" si="59"/>
        <v>4857.5599999993356</v>
      </c>
      <c r="AO29" s="37">
        <f t="shared" si="84"/>
        <v>1</v>
      </c>
      <c r="AP29" s="67">
        <v>9326.7000000000007</v>
      </c>
      <c r="AQ29" s="37"/>
      <c r="AR29" s="37">
        <f t="shared" si="13"/>
        <v>8500</v>
      </c>
      <c r="AS29" s="37">
        <f t="shared" si="85"/>
        <v>1</v>
      </c>
      <c r="AT29" s="183"/>
      <c r="AU29" s="183"/>
      <c r="AV29" s="183"/>
      <c r="AW29" s="183"/>
      <c r="AX29" s="37">
        <v>521310</v>
      </c>
      <c r="AY29" s="37"/>
      <c r="AZ29" s="37">
        <f t="shared" si="14"/>
        <v>160</v>
      </c>
      <c r="BA29" s="37">
        <v>203000</v>
      </c>
      <c r="BB29" s="37"/>
      <c r="BC29" s="37">
        <f t="shared" si="15"/>
        <v>80</v>
      </c>
      <c r="BD29" s="37">
        <f t="shared" si="86"/>
        <v>13597.559999999336</v>
      </c>
      <c r="BE29" s="43">
        <v>2067.5</v>
      </c>
      <c r="BF29" s="43">
        <v>1159.3</v>
      </c>
      <c r="BG29" s="37">
        <f t="shared" si="16"/>
        <v>1500</v>
      </c>
      <c r="BH29" s="44">
        <v>9751.2000000000007</v>
      </c>
      <c r="BI29" s="44">
        <v>6292.9</v>
      </c>
      <c r="BJ29" s="37">
        <f t="shared" si="17"/>
        <v>9100.0000000003638</v>
      </c>
      <c r="BK29" s="40">
        <v>1943530</v>
      </c>
      <c r="BL29" s="40">
        <f t="shared" si="87"/>
        <v>4180</v>
      </c>
      <c r="BM29" s="40">
        <v>932.19</v>
      </c>
      <c r="BN29" s="37">
        <f t="shared" si="18"/>
        <v>620.00000000000455</v>
      </c>
      <c r="BO29" s="186"/>
      <c r="BP29" s="183">
        <f t="shared" si="19"/>
        <v>0</v>
      </c>
      <c r="BQ29" s="40">
        <v>877.9</v>
      </c>
      <c r="BR29" s="37">
        <f t="shared" si="60"/>
        <v>699.99999999993179</v>
      </c>
      <c r="BS29" s="37">
        <v>116982.23</v>
      </c>
      <c r="BT29" s="37">
        <f t="shared" si="20"/>
        <v>242.66999999999825</v>
      </c>
      <c r="BU29" s="42">
        <v>3492823</v>
      </c>
      <c r="BV29" s="42"/>
      <c r="BW29" s="37">
        <f t="shared" si="21"/>
        <v>10180</v>
      </c>
      <c r="BX29" s="37">
        <f t="shared" si="88"/>
        <v>1</v>
      </c>
      <c r="BY29" s="43">
        <v>406.55959999999999</v>
      </c>
      <c r="BZ29" s="43"/>
      <c r="CA29" s="37">
        <f t="shared" si="117"/>
        <v>791.29999999997835</v>
      </c>
      <c r="CB29" s="37">
        <f t="shared" si="61"/>
        <v>1</v>
      </c>
      <c r="CC29" s="37">
        <v>799078.9</v>
      </c>
      <c r="CD29" s="37">
        <f t="shared" si="23"/>
        <v>2602.0999999999767</v>
      </c>
      <c r="CE29" s="41">
        <v>1714023</v>
      </c>
      <c r="CF29" s="37">
        <f t="shared" si="24"/>
        <v>5008</v>
      </c>
      <c r="CG29" s="37">
        <v>112696.8</v>
      </c>
      <c r="CH29" s="37">
        <f t="shared" si="62"/>
        <v>2385.6000000000058</v>
      </c>
      <c r="CI29" s="40">
        <v>14259.6</v>
      </c>
      <c r="CJ29" s="40"/>
      <c r="CK29" s="37">
        <f t="shared" si="63"/>
        <v>17186.260000000097</v>
      </c>
      <c r="CL29" s="37">
        <f t="shared" si="25"/>
        <v>1</v>
      </c>
      <c r="CM29" s="37">
        <v>4171.5810000000001</v>
      </c>
      <c r="CN29" s="37"/>
      <c r="CO29" s="37">
        <f t="shared" si="26"/>
        <v>8777.5600000002541</v>
      </c>
      <c r="CP29" s="37">
        <f t="shared" si="89"/>
        <v>1</v>
      </c>
      <c r="CQ29" s="39">
        <v>732386.9</v>
      </c>
      <c r="CR29" s="39"/>
      <c r="CS29" s="37">
        <f t="shared" si="64"/>
        <v>7011.4600000000237</v>
      </c>
      <c r="CT29" s="37">
        <f t="shared" si="65"/>
        <v>1</v>
      </c>
      <c r="CU29" s="37">
        <v>4387240</v>
      </c>
      <c r="CV29" s="37"/>
      <c r="CW29" s="38">
        <f t="shared" si="27"/>
        <v>342</v>
      </c>
      <c r="CX29" s="37">
        <f t="shared" si="90"/>
        <v>1</v>
      </c>
      <c r="CY29" s="37">
        <v>2339442</v>
      </c>
      <c r="CZ29" s="37"/>
      <c r="DA29" s="37">
        <f t="shared" si="123"/>
        <v>100</v>
      </c>
      <c r="DB29" s="37">
        <f t="shared" si="91"/>
        <v>1</v>
      </c>
      <c r="DC29" s="37"/>
      <c r="DD29" s="40"/>
      <c r="DE29" s="37">
        <f t="shared" si="29"/>
        <v>0</v>
      </c>
      <c r="DF29" s="37">
        <f t="shared" si="96"/>
        <v>0</v>
      </c>
      <c r="DG29" s="37">
        <f t="shared" si="30"/>
        <v>-43597.280000000377</v>
      </c>
      <c r="DH29" s="37">
        <f t="shared" si="31"/>
        <v>432157.56000000075</v>
      </c>
      <c r="DI29" s="46"/>
      <c r="DJ29" s="46"/>
      <c r="DK29" s="47"/>
      <c r="DL29" s="47"/>
      <c r="DM29" s="37"/>
      <c r="DN29" s="37"/>
      <c r="DO29" s="37"/>
      <c r="DP29" s="37"/>
      <c r="DQ29" s="50">
        <v>4370400</v>
      </c>
      <c r="DR29" s="49">
        <f t="shared" si="66"/>
        <v>9400</v>
      </c>
      <c r="DS29" s="50">
        <v>5562300</v>
      </c>
      <c r="DT29" s="49">
        <f t="shared" si="67"/>
        <v>21500</v>
      </c>
      <c r="DU29" s="72">
        <v>8374.1</v>
      </c>
      <c r="DV29" s="51">
        <v>4738.8</v>
      </c>
      <c r="DW29" s="37">
        <f t="shared" si="92"/>
        <v>4300.0000000010914</v>
      </c>
      <c r="DX29" s="52">
        <v>13849</v>
      </c>
      <c r="DY29" s="52">
        <v>8668.1</v>
      </c>
      <c r="DZ29" s="37">
        <f t="shared" si="32"/>
        <v>8057.56</v>
      </c>
      <c r="EA29" s="49">
        <v>32099</v>
      </c>
      <c r="EB29" s="49">
        <v>22.006</v>
      </c>
      <c r="EC29" s="37">
        <f t="shared" si="33"/>
        <v>25217.56</v>
      </c>
      <c r="ED29" s="53">
        <f t="shared" si="34"/>
        <v>37575.120000001094</v>
      </c>
      <c r="EE29" s="49">
        <v>47895</v>
      </c>
      <c r="EF29" s="49">
        <v>31.495000000000001</v>
      </c>
      <c r="EG29" s="37">
        <f t="shared" si="35"/>
        <v>23217.56</v>
      </c>
      <c r="EH29" s="72">
        <v>14112</v>
      </c>
      <c r="EI29" s="51">
        <v>2.0529000000000002</v>
      </c>
      <c r="EJ29" s="37">
        <f t="shared" si="36"/>
        <v>12057.56</v>
      </c>
      <c r="EK29" s="37">
        <v>859.12</v>
      </c>
      <c r="EL29" s="40">
        <v>1231.4000000000001</v>
      </c>
      <c r="EM29" s="37">
        <f t="shared" si="68"/>
        <v>750</v>
      </c>
      <c r="EN29" s="54">
        <f t="shared" si="69"/>
        <v>36025.120000000003</v>
      </c>
      <c r="EO29" s="48">
        <v>13670</v>
      </c>
      <c r="EP29" s="48"/>
      <c r="EQ29" s="37">
        <f t="shared" si="70"/>
        <v>6107.5600000000122</v>
      </c>
      <c r="ER29" s="48">
        <v>10815</v>
      </c>
      <c r="ES29" s="48"/>
      <c r="ET29" s="49">
        <f t="shared" si="99"/>
        <v>18000</v>
      </c>
      <c r="EU29" s="48">
        <v>4430</v>
      </c>
      <c r="EV29" s="48"/>
      <c r="EW29" s="49">
        <f t="shared" si="38"/>
        <v>10057.56</v>
      </c>
      <c r="EX29" s="48">
        <v>14546</v>
      </c>
      <c r="EY29" s="55"/>
      <c r="EZ29" s="37">
        <f t="shared" si="39"/>
        <v>11057.56</v>
      </c>
      <c r="FA29" s="48">
        <f t="shared" si="71"/>
        <v>-21340.680000000011</v>
      </c>
      <c r="FB29" s="48">
        <v>38551768</v>
      </c>
      <c r="FC29" s="49">
        <f t="shared" si="93"/>
        <v>23882</v>
      </c>
      <c r="FD29" s="48">
        <f t="shared" si="72"/>
        <v>47124.680000000008</v>
      </c>
      <c r="FE29" s="48">
        <v>17849</v>
      </c>
      <c r="FF29" s="48"/>
      <c r="FG29" s="37">
        <f t="shared" si="73"/>
        <v>9357.5599999999886</v>
      </c>
      <c r="FH29" s="48">
        <v>10313</v>
      </c>
      <c r="FI29" s="48"/>
      <c r="FJ29" s="49">
        <f t="shared" si="40"/>
        <v>18407.560000000001</v>
      </c>
      <c r="FK29" s="48"/>
      <c r="FL29" s="58">
        <v>-650</v>
      </c>
      <c r="FM29" s="48">
        <f t="shared" si="94"/>
        <v>-57.559999999997068</v>
      </c>
      <c r="FN29" s="48">
        <v>17707</v>
      </c>
      <c r="FO29" s="48"/>
      <c r="FP29" s="37">
        <f t="shared" si="74"/>
        <v>12407.56</v>
      </c>
      <c r="FQ29" s="48">
        <v>62314</v>
      </c>
      <c r="FR29" s="48"/>
      <c r="FS29" s="37">
        <f t="shared" si="41"/>
        <v>40000</v>
      </c>
      <c r="FT29" s="48">
        <f t="shared" si="75"/>
        <v>-172.6799999999912</v>
      </c>
      <c r="FU29" s="48">
        <f t="shared" si="76"/>
        <v>41872.680000000029</v>
      </c>
      <c r="FV29" s="44">
        <v>6489600</v>
      </c>
      <c r="FW29" s="65"/>
      <c r="FX29" s="37">
        <f t="shared" si="42"/>
        <v>18600</v>
      </c>
      <c r="FY29" s="56">
        <v>44672</v>
      </c>
      <c r="FZ29" s="56"/>
      <c r="GA29" s="37">
        <f t="shared" ref="GA29:GA38" si="124">IF((FY29-FY28)*1000&lt;=0,0,(FY29-FY28))</f>
        <v>4495</v>
      </c>
      <c r="GB29" s="56">
        <v>882.04</v>
      </c>
      <c r="GC29" s="56"/>
      <c r="GD29" s="37">
        <f t="shared" si="44"/>
        <v>639.99999999998636</v>
      </c>
      <c r="GE29" s="56">
        <v>10878</v>
      </c>
      <c r="GF29" s="56"/>
      <c r="GG29" s="37">
        <f t="shared" si="45"/>
        <v>5397.9999999999545</v>
      </c>
      <c r="GH29" s="158">
        <v>49178</v>
      </c>
      <c r="GI29" s="159"/>
      <c r="GJ29" s="38">
        <f t="shared" si="77"/>
        <v>1902</v>
      </c>
      <c r="GK29" s="159">
        <v>1533</v>
      </c>
      <c r="GL29" s="160"/>
      <c r="GM29" s="38">
        <f t="shared" si="46"/>
        <v>1700.0000000000455</v>
      </c>
      <c r="GN29" s="57">
        <v>244060</v>
      </c>
      <c r="GO29" s="57"/>
      <c r="GP29" s="38">
        <f t="shared" si="97"/>
        <v>0</v>
      </c>
      <c r="GQ29" s="38">
        <v>297220</v>
      </c>
      <c r="GR29" s="38"/>
      <c r="GS29" s="38">
        <f t="shared" si="78"/>
        <v>170</v>
      </c>
      <c r="GT29" s="178"/>
      <c r="GU29" s="144">
        <f>DailyAug!B28-DailyAug!N28-DailyAug!V28-DailyAug!Y28-DailyAug!Z28-DailyAug!AA28-DailyAug!AB28-DailyAug!AC28-DailyAug!AD28-DailyAug!AE28-DailyAug!AK28-DailyAug!AO28-DailyAug!AS28-DailyAug!AY28-DailyAug!BD28+DailyAug!BU28-DailyAug!BG28-DailyAug!BT28-DailyAug!AF28-DailyAug!AG28</f>
        <v>-2.0372681319713593E-9</v>
      </c>
      <c r="GV29" s="59">
        <v>863.4</v>
      </c>
      <c r="GW29" s="60">
        <f t="shared" si="47"/>
        <v>57.559999999999995</v>
      </c>
      <c r="GX29" s="61">
        <v>57.56</v>
      </c>
      <c r="GY29" s="140"/>
      <c r="GZ29" s="62"/>
      <c r="HA29" s="62"/>
      <c r="HB29" s="74"/>
      <c r="HC29" s="62"/>
      <c r="HD29" s="74"/>
      <c r="HE29" s="24">
        <f t="shared" si="48"/>
        <v>0</v>
      </c>
      <c r="HG29" s="213">
        <v>23</v>
      </c>
      <c r="HH29" s="16">
        <v>23257</v>
      </c>
      <c r="HI29" s="16">
        <v>8863</v>
      </c>
      <c r="HJ29" s="16">
        <f t="shared" si="49"/>
        <v>158000</v>
      </c>
      <c r="HK29" s="16">
        <v>2.1432000000000002</v>
      </c>
      <c r="HL29" s="16">
        <v>807.23</v>
      </c>
      <c r="HM29" s="16">
        <f t="shared" si="100"/>
        <v>0</v>
      </c>
      <c r="HN29" s="16">
        <v>5944</v>
      </c>
      <c r="HO29" s="16">
        <v>2553.4</v>
      </c>
      <c r="HP29" s="16">
        <f t="shared" si="51"/>
        <v>38625</v>
      </c>
      <c r="HQ29" s="16">
        <v>4256.7</v>
      </c>
      <c r="HR29" s="16">
        <v>1809.2</v>
      </c>
      <c r="HS29" s="16">
        <f t="shared" si="52"/>
        <v>19425.000000000182</v>
      </c>
      <c r="HT29" s="16">
        <v>4139.7</v>
      </c>
      <c r="HU29" s="16">
        <v>1513.3</v>
      </c>
      <c r="HV29" s="16">
        <f t="shared" si="53"/>
        <v>26125</v>
      </c>
      <c r="HW29" s="16">
        <v>2884.2</v>
      </c>
      <c r="HX29" s="16">
        <v>1240.0999999999999</v>
      </c>
      <c r="HY29" s="16">
        <f t="shared" si="54"/>
        <v>24524.999999999636</v>
      </c>
      <c r="HZ29" s="16">
        <v>2018900</v>
      </c>
      <c r="IA29" s="16">
        <v>891090</v>
      </c>
      <c r="IB29" s="16">
        <f t="shared" si="55"/>
        <v>27800</v>
      </c>
      <c r="IC29" s="16">
        <v>719.8</v>
      </c>
      <c r="ID29" s="16">
        <v>232.78</v>
      </c>
      <c r="IE29" s="16">
        <f t="shared" si="79"/>
        <v>0</v>
      </c>
      <c r="IF29" s="16"/>
      <c r="IG29" s="16"/>
      <c r="IH29" s="128">
        <f t="shared" si="56"/>
        <v>21500</v>
      </c>
      <c r="II29" s="211">
        <f>HJ29+HM29-HS29-HV29-HY29-IH29-HP29-IB29-IE29</f>
        <v>1.8917489796876907E-10</v>
      </c>
      <c r="IJ29" s="16"/>
      <c r="IK29" s="16"/>
      <c r="IL29" s="16">
        <f t="shared" si="101"/>
        <v>0</v>
      </c>
      <c r="IM29" s="16"/>
      <c r="IN29" s="16"/>
      <c r="IO29" s="16">
        <f t="shared" si="102"/>
        <v>0</v>
      </c>
      <c r="IP29" s="16"/>
      <c r="IQ29" s="16"/>
      <c r="IR29" s="16">
        <f t="shared" si="103"/>
        <v>0</v>
      </c>
      <c r="IS29" s="16"/>
      <c r="IT29" s="16"/>
      <c r="IU29" s="16">
        <f t="shared" si="104"/>
        <v>0</v>
      </c>
      <c r="IV29" s="16"/>
      <c r="IW29" s="16"/>
      <c r="IX29" s="16">
        <f t="shared" si="105"/>
        <v>0</v>
      </c>
      <c r="IY29" s="16"/>
      <c r="IZ29" s="16"/>
      <c r="JA29" s="16">
        <f t="shared" si="106"/>
        <v>0</v>
      </c>
      <c r="JB29" s="16"/>
      <c r="JC29" s="16"/>
      <c r="JD29" s="16">
        <f t="shared" si="107"/>
        <v>0</v>
      </c>
      <c r="JE29" s="16"/>
      <c r="JF29" s="16"/>
      <c r="JG29" s="16">
        <f t="shared" si="108"/>
        <v>0</v>
      </c>
      <c r="JH29" s="16"/>
      <c r="JI29" s="16"/>
      <c r="JJ29" s="16">
        <f t="shared" si="109"/>
        <v>0</v>
      </c>
      <c r="JK29" s="16"/>
      <c r="JL29" s="16"/>
      <c r="JM29" s="16">
        <f t="shared" si="110"/>
        <v>0</v>
      </c>
      <c r="JN29" s="16"/>
      <c r="JO29" s="16"/>
      <c r="JP29" s="16">
        <f t="shared" si="111"/>
        <v>0</v>
      </c>
      <c r="JQ29" s="16"/>
      <c r="JR29" s="16"/>
      <c r="JS29" s="16">
        <f t="shared" si="112"/>
        <v>0</v>
      </c>
      <c r="JT29" s="16"/>
      <c r="JU29" s="16"/>
      <c r="JV29" s="16">
        <f t="shared" si="113"/>
        <v>0</v>
      </c>
      <c r="JW29" s="16"/>
      <c r="JX29" s="16"/>
      <c r="JY29" s="16">
        <f t="shared" si="114"/>
        <v>0</v>
      </c>
      <c r="JZ29" s="16"/>
      <c r="KA29" s="16"/>
      <c r="KB29" s="16">
        <f t="shared" si="115"/>
        <v>0</v>
      </c>
      <c r="KC29" s="16"/>
      <c r="KD29" s="16"/>
      <c r="KE29" s="16">
        <f t="shared" si="116"/>
        <v>0</v>
      </c>
      <c r="KG29" s="151">
        <f t="shared" si="58"/>
        <v>66425.000000000189</v>
      </c>
    </row>
    <row r="30" spans="1:293" x14ac:dyDescent="0.25">
      <c r="A30" s="35">
        <f t="shared" si="0"/>
        <v>24</v>
      </c>
      <c r="B30" s="38">
        <v>5317.46</v>
      </c>
      <c r="C30" s="38">
        <f t="shared" si="1"/>
        <v>10.25</v>
      </c>
      <c r="D30" s="38">
        <f t="shared" si="2"/>
        <v>328000</v>
      </c>
      <c r="E30" s="38">
        <v>1068.03</v>
      </c>
      <c r="F30" s="38">
        <f t="shared" si="3"/>
        <v>71360.000000000582</v>
      </c>
      <c r="G30" s="38">
        <f t="shared" si="4"/>
        <v>399360.00000000058</v>
      </c>
      <c r="H30" s="37"/>
      <c r="I30" s="39"/>
      <c r="J30" s="42"/>
      <c r="K30" s="37">
        <f>IF(J30&lt;=0,0,(J30/SQRT(J30^2+(I30-I29)^2)))</f>
        <v>0</v>
      </c>
      <c r="L30" s="40">
        <v>17048800</v>
      </c>
      <c r="M30" s="40"/>
      <c r="N30" s="37">
        <f t="shared" si="81"/>
        <v>388000</v>
      </c>
      <c r="O30" s="37">
        <v>12664.6</v>
      </c>
      <c r="P30" s="37"/>
      <c r="Q30" s="37">
        <f t="shared" si="119"/>
        <v>17000</v>
      </c>
      <c r="R30" s="37">
        <f>IF(Q30&lt;=0,0,(Q30/SQRT(Q30^2+(P30-P29)^2)))</f>
        <v>1</v>
      </c>
      <c r="S30" s="37">
        <v>11264231.16</v>
      </c>
      <c r="T30" s="37">
        <f t="shared" si="6"/>
        <v>370.50999999977648</v>
      </c>
      <c r="U30" s="37">
        <v>1523790.61</v>
      </c>
      <c r="V30" s="37">
        <f t="shared" si="7"/>
        <v>0</v>
      </c>
      <c r="W30" s="37">
        <v>4532</v>
      </c>
      <c r="X30" s="37">
        <f t="shared" si="95"/>
        <v>16629.490000000224</v>
      </c>
      <c r="Y30" s="183"/>
      <c r="Z30" s="183"/>
      <c r="AA30" s="37">
        <v>794400</v>
      </c>
      <c r="AB30" s="37">
        <f t="shared" si="8"/>
        <v>0</v>
      </c>
      <c r="AC30" s="37">
        <v>4700.1000000000004</v>
      </c>
      <c r="AD30" s="37"/>
      <c r="AE30" s="37">
        <f t="shared" si="121"/>
        <v>5300.0000000001819</v>
      </c>
      <c r="AF30" s="37">
        <f>IF(AE30&lt;=0,0,(AE30/SQRT(AE30^2+(AD30-AD29)^2)))</f>
        <v>1</v>
      </c>
      <c r="AG30" s="37">
        <v>10199.6</v>
      </c>
      <c r="AH30" s="37"/>
      <c r="AI30" s="37">
        <f t="shared" si="10"/>
        <v>11324.77</v>
      </c>
      <c r="AJ30" s="37">
        <f t="shared" si="11"/>
        <v>1</v>
      </c>
      <c r="AK30" s="37">
        <f t="shared" si="12"/>
        <v>33624.770000000179</v>
      </c>
      <c r="AL30" s="42">
        <v>11900</v>
      </c>
      <c r="AM30" s="42"/>
      <c r="AN30" s="37">
        <f t="shared" si="59"/>
        <v>6264.7700000004552</v>
      </c>
      <c r="AO30" s="37">
        <f>IF(AN30&lt;=0,0,(AN30/SQRT(AN30^2+(AM30-AM29)^2)))</f>
        <v>1</v>
      </c>
      <c r="AP30" s="67">
        <v>9339</v>
      </c>
      <c r="AQ30" s="37"/>
      <c r="AR30" s="37">
        <f t="shared" si="13"/>
        <v>12299.999999999272</v>
      </c>
      <c r="AS30" s="37">
        <f>IF(AR30&lt;=0,0,(AR30/SQRT(AR30^2+(AQ30-AQ29)^2)))</f>
        <v>1</v>
      </c>
      <c r="AT30" s="183"/>
      <c r="AU30" s="183"/>
      <c r="AV30" s="183"/>
      <c r="AW30" s="183"/>
      <c r="AX30" s="37">
        <v>521670</v>
      </c>
      <c r="AY30" s="37"/>
      <c r="AZ30" s="37">
        <f t="shared" si="14"/>
        <v>360</v>
      </c>
      <c r="BA30" s="37">
        <v>203560</v>
      </c>
      <c r="BB30" s="37"/>
      <c r="BC30" s="37">
        <f t="shared" si="15"/>
        <v>560</v>
      </c>
      <c r="BD30" s="37">
        <f>AN30+AR30+AZ30+BC30</f>
        <v>19484.769999999728</v>
      </c>
      <c r="BE30" s="43">
        <v>2069.1999999999998</v>
      </c>
      <c r="BF30" s="43">
        <v>1160.5</v>
      </c>
      <c r="BG30" s="37">
        <f t="shared" si="16"/>
        <v>1699.9999999998181</v>
      </c>
      <c r="BH30" s="44">
        <v>9760.7000000000007</v>
      </c>
      <c r="BI30" s="44">
        <v>6299.4</v>
      </c>
      <c r="BJ30" s="37">
        <f t="shared" si="17"/>
        <v>9500</v>
      </c>
      <c r="BK30" s="40">
        <v>1947590</v>
      </c>
      <c r="BL30" s="40">
        <f t="shared" si="87"/>
        <v>4060</v>
      </c>
      <c r="BM30" s="40">
        <v>932.79</v>
      </c>
      <c r="BN30" s="37">
        <f t="shared" si="18"/>
        <v>599.99999999990905</v>
      </c>
      <c r="BO30" s="186"/>
      <c r="BP30" s="183">
        <f t="shared" si="19"/>
        <v>0</v>
      </c>
      <c r="BQ30" s="40">
        <v>878.4</v>
      </c>
      <c r="BR30" s="37">
        <f t="shared" si="60"/>
        <v>500</v>
      </c>
      <c r="BS30" s="37">
        <v>117209.62</v>
      </c>
      <c r="BT30" s="37">
        <f t="shared" si="20"/>
        <v>227.38999999999942</v>
      </c>
      <c r="BU30" s="42">
        <v>3503586</v>
      </c>
      <c r="BV30" s="42"/>
      <c r="BW30" s="37">
        <f t="shared" si="21"/>
        <v>10763</v>
      </c>
      <c r="BX30" s="37">
        <f>IF(BW30&lt;=0,0,(BW30/SQRT(BW30^2+(BV30-BV29)^2)))</f>
        <v>1</v>
      </c>
      <c r="BY30" s="43">
        <v>407.15890000000002</v>
      </c>
      <c r="BZ30" s="37"/>
      <c r="CA30" s="37">
        <f t="shared" si="117"/>
        <v>599.30000000002792</v>
      </c>
      <c r="CB30" s="37">
        <f t="shared" si="61"/>
        <v>1</v>
      </c>
      <c r="CC30" s="37">
        <v>802170.4</v>
      </c>
      <c r="CD30" s="37">
        <f t="shared" si="23"/>
        <v>3091.5</v>
      </c>
      <c r="CE30" s="41">
        <v>1719208</v>
      </c>
      <c r="CF30" s="37">
        <f t="shared" si="24"/>
        <v>5185</v>
      </c>
      <c r="CG30" s="37">
        <v>114993.1</v>
      </c>
      <c r="CH30" s="37">
        <f t="shared" si="62"/>
        <v>2296.3000000000029</v>
      </c>
      <c r="CI30" s="40">
        <v>14276.37</v>
      </c>
      <c r="CJ30" s="40"/>
      <c r="CK30" s="37">
        <f t="shared" si="63"/>
        <v>16495.470000000409</v>
      </c>
      <c r="CL30" s="37">
        <f t="shared" si="25"/>
        <v>1</v>
      </c>
      <c r="CM30" s="37">
        <v>4180.1139999999996</v>
      </c>
      <c r="CN30" s="37"/>
      <c r="CO30" s="37">
        <f t="shared" si="26"/>
        <v>8857.7699999994475</v>
      </c>
      <c r="CP30" s="37">
        <f>IF(CO30&lt;=0,0,(CO30/SQRT(CO30^2+(CN30-CN29)^2)))</f>
        <v>1</v>
      </c>
      <c r="CQ30" s="39">
        <v>739088.2</v>
      </c>
      <c r="CR30" s="39"/>
      <c r="CS30" s="37">
        <f t="shared" si="64"/>
        <v>7026.0699999999306</v>
      </c>
      <c r="CT30" s="37">
        <f t="shared" si="65"/>
        <v>1</v>
      </c>
      <c r="CU30" s="37">
        <v>4387411</v>
      </c>
      <c r="CV30" s="37"/>
      <c r="CW30" s="38">
        <f t="shared" si="27"/>
        <v>171</v>
      </c>
      <c r="CX30" s="37">
        <f>IF(CW30&lt;=0,0,(CW30/SQRT(CW30^2+(CV30-CV29)^2)))</f>
        <v>1</v>
      </c>
      <c r="CY30" s="37">
        <v>2339540</v>
      </c>
      <c r="CZ30" s="37"/>
      <c r="DA30" s="37">
        <f t="shared" si="123"/>
        <v>98</v>
      </c>
      <c r="DB30" s="37">
        <f t="shared" si="91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0"/>
        <v>-43411.309999999787</v>
      </c>
      <c r="DH30" s="37">
        <f t="shared" si="31"/>
        <v>423324.77</v>
      </c>
      <c r="DI30" s="46"/>
      <c r="DJ30" s="46"/>
      <c r="DK30" s="47"/>
      <c r="DL30" s="47"/>
      <c r="DM30" s="37"/>
      <c r="DN30" s="37"/>
      <c r="DO30" s="37"/>
      <c r="DP30" s="37"/>
      <c r="DQ30" s="50">
        <v>4379600</v>
      </c>
      <c r="DR30" s="49">
        <f t="shared" si="66"/>
        <v>9200</v>
      </c>
      <c r="DS30" s="50">
        <v>5587500</v>
      </c>
      <c r="DT30" s="49">
        <f t="shared" si="67"/>
        <v>25200</v>
      </c>
      <c r="DU30" s="51">
        <v>8378.4</v>
      </c>
      <c r="DV30" s="51">
        <v>4740</v>
      </c>
      <c r="DW30" s="37">
        <f t="shared" si="92"/>
        <v>4299.9999999992724</v>
      </c>
      <c r="DX30" s="52">
        <v>13857</v>
      </c>
      <c r="DY30" s="52">
        <v>8673.2000000000007</v>
      </c>
      <c r="DZ30" s="37">
        <f t="shared" si="32"/>
        <v>8324.77</v>
      </c>
      <c r="EA30" s="49">
        <v>32121</v>
      </c>
      <c r="EB30" s="49">
        <v>22.016999999999999</v>
      </c>
      <c r="EC30" s="37">
        <f t="shared" si="33"/>
        <v>24484.77</v>
      </c>
      <c r="ED30" s="53">
        <f t="shared" si="34"/>
        <v>37109.539999999273</v>
      </c>
      <c r="EE30" s="49">
        <v>47917</v>
      </c>
      <c r="EF30" s="49">
        <v>31.513000000000002</v>
      </c>
      <c r="EG30" s="37">
        <f t="shared" si="35"/>
        <v>24484.77</v>
      </c>
      <c r="EH30" s="51">
        <v>14125</v>
      </c>
      <c r="EI30" s="51">
        <v>2.0560999999999998</v>
      </c>
      <c r="EJ30" s="37">
        <f t="shared" si="36"/>
        <v>13324.77</v>
      </c>
      <c r="EK30" s="37">
        <v>859.89</v>
      </c>
      <c r="EL30" s="40">
        <v>1232.5</v>
      </c>
      <c r="EM30" s="37">
        <f t="shared" si="68"/>
        <v>769.99999999998181</v>
      </c>
      <c r="EN30" s="54">
        <f t="shared" si="69"/>
        <v>38579.539999999979</v>
      </c>
      <c r="EO30" s="48">
        <v>13677.64</v>
      </c>
      <c r="EP30" s="48"/>
      <c r="EQ30" s="37">
        <f t="shared" si="70"/>
        <v>7039.7699999994074</v>
      </c>
      <c r="ER30" s="48">
        <v>10832.44</v>
      </c>
      <c r="ES30" s="48"/>
      <c r="ET30" s="49">
        <f t="shared" si="99"/>
        <v>17440.000000000509</v>
      </c>
      <c r="EU30" s="73">
        <v>4440.3869999999997</v>
      </c>
      <c r="EV30" s="48"/>
      <c r="EW30" s="49">
        <f t="shared" si="38"/>
        <v>10711.769999999717</v>
      </c>
      <c r="EX30" s="48">
        <v>14556.21</v>
      </c>
      <c r="EY30" s="55"/>
      <c r="EZ30" s="37">
        <f t="shared" si="39"/>
        <v>10534.769999999127</v>
      </c>
      <c r="FA30" s="48">
        <f t="shared" si="71"/>
        <v>-23602.309999998761</v>
      </c>
      <c r="FB30" s="48">
        <v>38573892</v>
      </c>
      <c r="FC30" s="49">
        <f t="shared" si="93"/>
        <v>22124</v>
      </c>
      <c r="FD30" s="48">
        <f t="shared" si="72"/>
        <v>48072.009999998758</v>
      </c>
      <c r="FE30" s="48">
        <v>17857.2</v>
      </c>
      <c r="FF30" s="55"/>
      <c r="FG30" s="37">
        <f t="shared" si="73"/>
        <v>9628.1000000007389</v>
      </c>
      <c r="FH30" s="48">
        <v>10329.799999999999</v>
      </c>
      <c r="FI30" s="48"/>
      <c r="FJ30" s="49">
        <f t="shared" si="40"/>
        <v>17303.099999999275</v>
      </c>
      <c r="FK30" s="48"/>
      <c r="FL30" s="58">
        <v>178.33</v>
      </c>
      <c r="FM30" s="48">
        <f t="shared" si="94"/>
        <v>-324.76666666696292</v>
      </c>
      <c r="FN30" s="48">
        <v>17717.5</v>
      </c>
      <c r="FO30" s="48"/>
      <c r="FP30" s="37">
        <f t="shared" si="74"/>
        <v>11003.1</v>
      </c>
      <c r="FQ30" s="48">
        <v>62350.96</v>
      </c>
      <c r="FR30" s="48"/>
      <c r="FS30" s="37">
        <f t="shared" si="41"/>
        <v>36959.999999999127</v>
      </c>
      <c r="FT30" s="48">
        <f t="shared" si="75"/>
        <v>-974.30000000088876</v>
      </c>
      <c r="FU30" s="48">
        <f t="shared" si="76"/>
        <v>38229.300000000083</v>
      </c>
      <c r="FV30" s="44">
        <v>6510007</v>
      </c>
      <c r="FW30" s="44"/>
      <c r="FX30" s="37">
        <f t="shared" si="42"/>
        <v>20407</v>
      </c>
      <c r="FY30" s="56">
        <v>49094.2</v>
      </c>
      <c r="FZ30" s="56"/>
      <c r="GA30" s="37">
        <f t="shared" si="124"/>
        <v>4422.1999999999971</v>
      </c>
      <c r="GB30" s="56">
        <v>882.73889999999994</v>
      </c>
      <c r="GC30" s="56"/>
      <c r="GD30" s="37">
        <f t="shared" si="44"/>
        <v>698.89999999998054</v>
      </c>
      <c r="GE30" s="56">
        <v>10886.55</v>
      </c>
      <c r="GF30" s="56"/>
      <c r="GG30" s="37">
        <f t="shared" si="45"/>
        <v>5909.2999999992026</v>
      </c>
      <c r="GH30" s="158">
        <f>GH29+((GH31-GH29)/2)</f>
        <v>51523.7</v>
      </c>
      <c r="GI30" s="159"/>
      <c r="GJ30" s="38">
        <f t="shared" si="77"/>
        <v>2345.6999999999971</v>
      </c>
      <c r="GK30" s="159">
        <v>1533.2950000000001</v>
      </c>
      <c r="GL30" s="160"/>
      <c r="GM30" s="38">
        <f t="shared" si="46"/>
        <v>295.00000000007276</v>
      </c>
      <c r="GN30" s="57">
        <v>244064.5</v>
      </c>
      <c r="GO30" s="57"/>
      <c r="GP30" s="38">
        <f t="shared" si="97"/>
        <v>4.5</v>
      </c>
      <c r="GQ30" s="38">
        <v>297356.7</v>
      </c>
      <c r="GR30" s="38"/>
      <c r="GS30" s="38">
        <f t="shared" si="78"/>
        <v>136.70000000001164</v>
      </c>
      <c r="GT30" s="178"/>
      <c r="GU30" s="144">
        <f>DailyAug!B29-DailyAug!N29-DailyAug!V29-DailyAug!Y29-DailyAug!Z29-DailyAug!AA29-DailyAug!AB29-DailyAug!AC29-DailyAug!AD29-DailyAug!AE29-DailyAug!AK29-DailyAug!AO29-DailyAug!AS29-DailyAug!AY29-DailyAug!BD29+DailyAug!BU29-DailyAug!BG29-DailyAug!BT29-DailyAug!AF29-DailyAug!AG29</f>
        <v>-3.9999996137339622E-2</v>
      </c>
      <c r="GV30" s="59">
        <v>4871.51</v>
      </c>
      <c r="GW30" s="60">
        <f t="shared" si="47"/>
        <v>324.76733333333334</v>
      </c>
      <c r="GX30" s="61">
        <v>324.77</v>
      </c>
      <c r="GY30" s="140"/>
      <c r="GZ30" s="62"/>
      <c r="HA30" s="62"/>
      <c r="HB30" s="74"/>
      <c r="HC30" s="62"/>
      <c r="HD30" s="74"/>
      <c r="HE30" s="24">
        <f t="shared" si="48"/>
        <v>0</v>
      </c>
      <c r="HG30" s="213">
        <v>24</v>
      </c>
      <c r="HH30" s="16">
        <v>23422</v>
      </c>
      <c r="HI30" s="16">
        <v>8925.2000000000007</v>
      </c>
      <c r="HJ30" s="16">
        <f t="shared" si="49"/>
        <v>165000</v>
      </c>
      <c r="HK30" s="226">
        <v>2.1432000000000002</v>
      </c>
      <c r="HL30" s="226">
        <v>807.23</v>
      </c>
      <c r="HM30" s="16">
        <f t="shared" si="100"/>
        <v>0</v>
      </c>
      <c r="HN30" s="16">
        <v>5981.7</v>
      </c>
      <c r="HO30" s="16">
        <v>2568.6</v>
      </c>
      <c r="HP30" s="16">
        <f t="shared" si="51"/>
        <v>37899.999999999818</v>
      </c>
      <c r="HQ30" s="16">
        <v>4277</v>
      </c>
      <c r="HR30" s="16">
        <v>1817.6</v>
      </c>
      <c r="HS30" s="16">
        <f t="shared" si="52"/>
        <v>20500.000000000182</v>
      </c>
      <c r="HT30" s="16">
        <v>4167.6000000000004</v>
      </c>
      <c r="HU30" s="16">
        <v>1522.7</v>
      </c>
      <c r="HV30" s="16">
        <f t="shared" si="53"/>
        <v>28100.000000000546</v>
      </c>
      <c r="HW30" s="16">
        <v>2907.9</v>
      </c>
      <c r="HX30" s="16">
        <v>1250.2</v>
      </c>
      <c r="HY30" s="16">
        <f t="shared" si="54"/>
        <v>23900.000000000273</v>
      </c>
      <c r="HZ30" s="16">
        <v>2048300</v>
      </c>
      <c r="IA30" s="16">
        <v>903150</v>
      </c>
      <c r="IB30" s="16">
        <f t="shared" si="55"/>
        <v>29400</v>
      </c>
      <c r="IC30" s="226">
        <v>719.8</v>
      </c>
      <c r="ID30" s="226">
        <v>232.78</v>
      </c>
      <c r="IE30" s="16">
        <f t="shared" si="79"/>
        <v>0</v>
      </c>
      <c r="IF30" s="16"/>
      <c r="IG30" s="16"/>
      <c r="IH30" s="128">
        <f t="shared" si="56"/>
        <v>25200</v>
      </c>
      <c r="II30" s="211">
        <f>HJ30+HM30-HS30-HV30-HY30-IH30-HP30-IB30-IE30</f>
        <v>-8.2218321040272713E-10</v>
      </c>
      <c r="IJ30" s="16"/>
      <c r="IK30" s="16"/>
      <c r="IL30" s="16">
        <f t="shared" si="101"/>
        <v>0</v>
      </c>
      <c r="IM30" s="16"/>
      <c r="IN30" s="16"/>
      <c r="IO30" s="16">
        <f t="shared" si="102"/>
        <v>0</v>
      </c>
      <c r="IP30" s="16"/>
      <c r="IQ30" s="16"/>
      <c r="IR30" s="16">
        <f t="shared" si="103"/>
        <v>0</v>
      </c>
      <c r="IS30" s="16"/>
      <c r="IT30" s="16"/>
      <c r="IU30" s="16">
        <f t="shared" si="104"/>
        <v>0</v>
      </c>
      <c r="IV30" s="16"/>
      <c r="IW30" s="16"/>
      <c r="IX30" s="16">
        <f t="shared" si="105"/>
        <v>0</v>
      </c>
      <c r="IY30" s="16"/>
      <c r="IZ30" s="16"/>
      <c r="JA30" s="16">
        <f t="shared" si="106"/>
        <v>0</v>
      </c>
      <c r="JB30" s="16"/>
      <c r="JC30" s="16"/>
      <c r="JD30" s="16">
        <f t="shared" si="107"/>
        <v>0</v>
      </c>
      <c r="JE30" s="16"/>
      <c r="JF30" s="16"/>
      <c r="JG30" s="16">
        <f t="shared" si="108"/>
        <v>0</v>
      </c>
      <c r="JH30" s="16"/>
      <c r="JI30" s="16"/>
      <c r="JJ30" s="16">
        <f t="shared" si="109"/>
        <v>0</v>
      </c>
      <c r="JK30" s="16"/>
      <c r="JL30" s="16"/>
      <c r="JM30" s="16">
        <f t="shared" si="110"/>
        <v>0</v>
      </c>
      <c r="JN30" s="16"/>
      <c r="JO30" s="16"/>
      <c r="JP30" s="16">
        <f t="shared" si="111"/>
        <v>0</v>
      </c>
      <c r="JQ30" s="16"/>
      <c r="JR30" s="16"/>
      <c r="JS30" s="16">
        <f t="shared" si="112"/>
        <v>0</v>
      </c>
      <c r="JT30" s="16"/>
      <c r="JU30" s="16"/>
      <c r="JV30" s="16">
        <f t="shared" si="113"/>
        <v>0</v>
      </c>
      <c r="JW30" s="16"/>
      <c r="JX30" s="16"/>
      <c r="JY30" s="16">
        <f t="shared" si="114"/>
        <v>0</v>
      </c>
      <c r="JZ30" s="16"/>
      <c r="KA30" s="16"/>
      <c r="KB30" s="16">
        <f t="shared" si="115"/>
        <v>0</v>
      </c>
      <c r="KC30" s="16"/>
      <c r="KD30" s="16"/>
      <c r="KE30" s="16">
        <f t="shared" si="116"/>
        <v>0</v>
      </c>
      <c r="KG30" s="151">
        <f t="shared" si="58"/>
        <v>67299.999999998996</v>
      </c>
    </row>
    <row r="31" spans="1:293" x14ac:dyDescent="0.25">
      <c r="A31" s="35">
        <f t="shared" si="0"/>
        <v>25</v>
      </c>
      <c r="B31" s="38">
        <v>5327.8</v>
      </c>
      <c r="C31" s="38">
        <f t="shared" si="1"/>
        <v>10.340000000000146</v>
      </c>
      <c r="D31" s="38">
        <f t="shared" si="2"/>
        <v>330880.00000000466</v>
      </c>
      <c r="E31" s="38">
        <v>1070.17</v>
      </c>
      <c r="F31" s="38">
        <f t="shared" si="3"/>
        <v>68480.000000003201</v>
      </c>
      <c r="G31" s="38">
        <f t="shared" si="4"/>
        <v>399360.00000000786</v>
      </c>
      <c r="H31" s="37"/>
      <c r="I31" s="39"/>
      <c r="J31" s="42"/>
      <c r="K31" s="37">
        <f t="shared" si="80"/>
        <v>0</v>
      </c>
      <c r="L31" s="40">
        <v>17089000</v>
      </c>
      <c r="M31" s="40"/>
      <c r="N31" s="37">
        <f t="shared" si="81"/>
        <v>402000</v>
      </c>
      <c r="O31" s="37">
        <v>12682.3</v>
      </c>
      <c r="P31" s="37"/>
      <c r="Q31" s="37">
        <f t="shared" si="119"/>
        <v>17699.999999998909</v>
      </c>
      <c r="R31" s="37">
        <f t="shared" si="82"/>
        <v>1</v>
      </c>
      <c r="S31" s="37">
        <v>11264590.17</v>
      </c>
      <c r="T31" s="37">
        <f t="shared" si="6"/>
        <v>359.00999999977648</v>
      </c>
      <c r="U31" s="37">
        <v>1523790.61</v>
      </c>
      <c r="V31" s="37">
        <f t="shared" si="7"/>
        <v>0</v>
      </c>
      <c r="W31" s="37">
        <v>4538.6000000000004</v>
      </c>
      <c r="X31" s="37">
        <f t="shared" si="95"/>
        <v>17240.989999999132</v>
      </c>
      <c r="Y31" s="183"/>
      <c r="Z31" s="183"/>
      <c r="AA31" s="37">
        <v>794500</v>
      </c>
      <c r="AB31" s="37">
        <f t="shared" si="8"/>
        <v>100</v>
      </c>
      <c r="AC31" s="37">
        <v>4705.7</v>
      </c>
      <c r="AD31" s="37"/>
      <c r="AE31" s="37">
        <f t="shared" si="121"/>
        <v>5599.9999999994543</v>
      </c>
      <c r="AF31" s="37">
        <f t="shared" si="83"/>
        <v>1</v>
      </c>
      <c r="AG31" s="37">
        <v>10212</v>
      </c>
      <c r="AH31" s="37"/>
      <c r="AI31" s="37">
        <f t="shared" si="10"/>
        <v>12441.559999999636</v>
      </c>
      <c r="AJ31" s="37">
        <f t="shared" si="11"/>
        <v>1</v>
      </c>
      <c r="AK31" s="37">
        <f t="shared" si="12"/>
        <v>35641.559999997997</v>
      </c>
      <c r="AL31" s="42">
        <v>11911.8</v>
      </c>
      <c r="AM31" s="2"/>
      <c r="AN31" s="37">
        <f t="shared" si="59"/>
        <v>6731.5599999992219</v>
      </c>
      <c r="AO31" s="37">
        <f t="shared" si="84"/>
        <v>1</v>
      </c>
      <c r="AP31" s="37">
        <v>9351.6</v>
      </c>
      <c r="AQ31" s="37"/>
      <c r="AR31" s="37">
        <f t="shared" si="13"/>
        <v>12600.000000000364</v>
      </c>
      <c r="AS31" s="37">
        <f t="shared" si="85"/>
        <v>1</v>
      </c>
      <c r="AT31" s="183"/>
      <c r="AU31" s="183"/>
      <c r="AV31" s="183"/>
      <c r="AW31" s="183"/>
      <c r="AX31" s="37">
        <v>522100</v>
      </c>
      <c r="AY31" s="37"/>
      <c r="AZ31" s="37">
        <f t="shared" si="14"/>
        <v>430</v>
      </c>
      <c r="BA31" s="37">
        <v>204210</v>
      </c>
      <c r="BB31" s="37"/>
      <c r="BC31" s="37">
        <f t="shared" si="15"/>
        <v>650</v>
      </c>
      <c r="BD31" s="37">
        <f t="shared" si="86"/>
        <v>20411.559999999587</v>
      </c>
      <c r="BE31" s="43">
        <v>2071.3000000000002</v>
      </c>
      <c r="BF31" s="43">
        <v>1161.9000000000001</v>
      </c>
      <c r="BG31" s="37">
        <f t="shared" si="16"/>
        <v>2100.0000000003638</v>
      </c>
      <c r="BH31" s="44">
        <v>9769.9</v>
      </c>
      <c r="BI31" s="44">
        <v>6305.7</v>
      </c>
      <c r="BJ31" s="37">
        <f t="shared" si="17"/>
        <v>9199.9999999989086</v>
      </c>
      <c r="BK31" s="40">
        <v>1951880</v>
      </c>
      <c r="BL31" s="40">
        <f t="shared" si="87"/>
        <v>4290</v>
      </c>
      <c r="BM31" s="40">
        <v>933.41</v>
      </c>
      <c r="BN31" s="37">
        <f t="shared" si="18"/>
        <v>620.00000000000455</v>
      </c>
      <c r="BO31" s="186"/>
      <c r="BP31" s="183">
        <f t="shared" si="19"/>
        <v>0</v>
      </c>
      <c r="BQ31" s="40">
        <v>878.6</v>
      </c>
      <c r="BR31" s="37">
        <f t="shared" si="60"/>
        <v>200.00000000004547</v>
      </c>
      <c r="BS31" s="37">
        <v>117445.71</v>
      </c>
      <c r="BT31" s="37">
        <f t="shared" si="20"/>
        <v>236.09000000001106</v>
      </c>
      <c r="BU31" s="42">
        <v>3513628</v>
      </c>
      <c r="BV31" s="42"/>
      <c r="BW31" s="37">
        <f t="shared" si="21"/>
        <v>10042</v>
      </c>
      <c r="BX31" s="37">
        <f t="shared" si="88"/>
        <v>1</v>
      </c>
      <c r="BY31" s="43">
        <v>407.70530000000002</v>
      </c>
      <c r="BZ31" s="37"/>
      <c r="CA31" s="37">
        <f t="shared" si="117"/>
        <v>546.40000000000555</v>
      </c>
      <c r="CB31" s="37">
        <f t="shared" si="61"/>
        <v>1</v>
      </c>
      <c r="CC31" s="37">
        <v>804605</v>
      </c>
      <c r="CD31" s="37">
        <f t="shared" si="23"/>
        <v>2434.5999999999767</v>
      </c>
      <c r="CE31" s="41">
        <v>1724103</v>
      </c>
      <c r="CF31" s="37">
        <f t="shared" si="24"/>
        <v>4895</v>
      </c>
      <c r="CG31" s="37">
        <v>117406.5</v>
      </c>
      <c r="CH31" s="37">
        <f t="shared" si="62"/>
        <v>2413.3999999999942</v>
      </c>
      <c r="CI31" s="40">
        <v>14293.78</v>
      </c>
      <c r="CJ31" s="40"/>
      <c r="CK31" s="37">
        <f t="shared" si="63"/>
        <v>16905.159999999851</v>
      </c>
      <c r="CL31" s="37">
        <f t="shared" si="25"/>
        <v>1</v>
      </c>
      <c r="CM31" s="37">
        <v>4188.9589999999998</v>
      </c>
      <c r="CN31" s="37"/>
      <c r="CO31" s="37">
        <f t="shared" si="26"/>
        <v>8886.5600000002541</v>
      </c>
      <c r="CP31" s="37">
        <f t="shared" si="89"/>
        <v>1</v>
      </c>
      <c r="CQ31" s="39">
        <v>746093.4</v>
      </c>
      <c r="CR31" s="39"/>
      <c r="CS31" s="37">
        <f t="shared" si="64"/>
        <v>7046.7600000000702</v>
      </c>
      <c r="CT31" s="37">
        <f t="shared" si="65"/>
        <v>1</v>
      </c>
      <c r="CU31" s="37">
        <v>4387966</v>
      </c>
      <c r="CV31" s="37"/>
      <c r="CW31" s="38">
        <f t="shared" si="27"/>
        <v>555</v>
      </c>
      <c r="CX31" s="37">
        <f t="shared" si="90"/>
        <v>1</v>
      </c>
      <c r="CY31" s="37">
        <v>2339721</v>
      </c>
      <c r="CZ31" s="37"/>
      <c r="DA31" s="37">
        <f t="shared" si="123"/>
        <v>181</v>
      </c>
      <c r="DB31" s="37">
        <f t="shared" si="91"/>
        <v>1</v>
      </c>
      <c r="DC31" s="37"/>
      <c r="DD31" s="40"/>
      <c r="DE31" s="37">
        <f t="shared" si="29"/>
        <v>0</v>
      </c>
      <c r="DF31" s="37">
        <f t="shared" si="96"/>
        <v>0</v>
      </c>
      <c r="DG31" s="37">
        <f t="shared" si="30"/>
        <v>-43616.480000000171</v>
      </c>
      <c r="DH31" s="37">
        <f t="shared" si="31"/>
        <v>439741.55999999837</v>
      </c>
      <c r="DI31" s="46"/>
      <c r="DJ31" s="46"/>
      <c r="DK31" s="47"/>
      <c r="DL31" s="47"/>
      <c r="DM31" s="37"/>
      <c r="DN31" s="37"/>
      <c r="DO31" s="37"/>
      <c r="DP31" s="37"/>
      <c r="DQ31" s="50">
        <v>4386700</v>
      </c>
      <c r="DR31" s="49">
        <f t="shared" si="66"/>
        <v>7100</v>
      </c>
      <c r="DS31" s="50">
        <v>5613000</v>
      </c>
      <c r="DT31" s="49">
        <f t="shared" si="67"/>
        <v>25500</v>
      </c>
      <c r="DU31" s="51">
        <v>8382.7999999999993</v>
      </c>
      <c r="DV31" s="51">
        <v>4741.3999999999996</v>
      </c>
      <c r="DW31" s="37">
        <f t="shared" si="92"/>
        <v>4399.9999999996362</v>
      </c>
      <c r="DX31" s="52">
        <v>13865</v>
      </c>
      <c r="DY31" s="52">
        <v>8678.2999999999993</v>
      </c>
      <c r="DZ31" s="37">
        <f t="shared" si="32"/>
        <v>8041.56</v>
      </c>
      <c r="EA31" s="49">
        <v>32143</v>
      </c>
      <c r="EB31" s="49">
        <v>22.027000000000001</v>
      </c>
      <c r="EC31" s="37">
        <f t="shared" si="33"/>
        <v>24201.56</v>
      </c>
      <c r="ED31" s="53">
        <f t="shared" si="34"/>
        <v>36643.119999999639</v>
      </c>
      <c r="EE31" s="49">
        <v>47939</v>
      </c>
      <c r="EF31" s="49">
        <v>31.532</v>
      </c>
      <c r="EG31" s="37">
        <f t="shared" si="35"/>
        <v>24201.56</v>
      </c>
      <c r="EH31" s="51">
        <v>14137</v>
      </c>
      <c r="EI31" s="51">
        <v>2.0592000000000001</v>
      </c>
      <c r="EJ31" s="37">
        <f t="shared" si="36"/>
        <v>12041.56</v>
      </c>
      <c r="EK31" s="37">
        <v>860.61</v>
      </c>
      <c r="EL31" s="40">
        <v>1233.5</v>
      </c>
      <c r="EM31" s="37">
        <f t="shared" si="68"/>
        <v>720.00000000002728</v>
      </c>
      <c r="EN31" s="54">
        <f t="shared" si="69"/>
        <v>36963.120000000032</v>
      </c>
      <c r="EO31" s="48">
        <v>13685.26</v>
      </c>
      <c r="EP31" s="48"/>
      <c r="EQ31" s="37">
        <f t="shared" si="70"/>
        <v>6711.5600000008126</v>
      </c>
      <c r="ER31" s="48">
        <v>10850.11</v>
      </c>
      <c r="ES31" s="48"/>
      <c r="ET31" s="49">
        <f t="shared" si="99"/>
        <v>17670.000000000073</v>
      </c>
      <c r="EU31" s="48">
        <v>4450.6869999999999</v>
      </c>
      <c r="EV31" s="48"/>
      <c r="EW31" s="49">
        <f t="shared" si="38"/>
        <v>10341.560000000181</v>
      </c>
      <c r="EX31" s="48">
        <v>14566.84</v>
      </c>
      <c r="EY31" s="48"/>
      <c r="EZ31" s="37">
        <f t="shared" si="39"/>
        <v>10671.560000001018</v>
      </c>
      <c r="FA31" s="48">
        <f t="shared" si="71"/>
        <v>-22485.680000002085</v>
      </c>
      <c r="FB31" s="48">
        <v>38596801</v>
      </c>
      <c r="FC31" s="49">
        <f t="shared" si="93"/>
        <v>22909</v>
      </c>
      <c r="FD31" s="48">
        <f t="shared" si="72"/>
        <v>47740.380000002086</v>
      </c>
      <c r="FE31" s="48">
        <v>17865.900000000001</v>
      </c>
      <c r="FF31" s="48"/>
      <c r="FG31" s="37">
        <f t="shared" si="73"/>
        <v>9551.5600000007162</v>
      </c>
      <c r="FH31" s="48">
        <v>10347.4</v>
      </c>
      <c r="FI31" s="48"/>
      <c r="FJ31" s="49">
        <f t="shared" si="40"/>
        <v>17501.560000000365</v>
      </c>
      <c r="FK31" s="48"/>
      <c r="FL31" s="58">
        <v>-140</v>
      </c>
      <c r="FM31" s="48">
        <f>FT31/3</f>
        <v>-41.559999999778789</v>
      </c>
      <c r="FN31" s="48">
        <v>17729.400000000001</v>
      </c>
      <c r="FO31" s="48"/>
      <c r="FP31" s="37">
        <f t="shared" si="74"/>
        <v>11801.560000001455</v>
      </c>
      <c r="FQ31" s="48">
        <v>62389.69</v>
      </c>
      <c r="FR31" s="48"/>
      <c r="FS31" s="37">
        <f t="shared" si="41"/>
        <v>38730.000000003201</v>
      </c>
      <c r="FT31" s="48">
        <f t="shared" si="75"/>
        <v>-124.67999999933636</v>
      </c>
      <c r="FU31" s="48">
        <f>FG31+FJ31+FP31+GM31</f>
        <v>38856.680000002481</v>
      </c>
      <c r="FV31" s="44">
        <v>6531718</v>
      </c>
      <c r="FW31" s="44"/>
      <c r="FX31" s="37">
        <f t="shared" si="42"/>
        <v>21711</v>
      </c>
      <c r="FY31" s="56">
        <v>54011.6</v>
      </c>
      <c r="FZ31" s="56"/>
      <c r="GA31" s="37">
        <f t="shared" si="124"/>
        <v>4917.4000000000015</v>
      </c>
      <c r="GB31" s="56">
        <v>883.47260000000006</v>
      </c>
      <c r="GC31" s="56"/>
      <c r="GD31" s="37">
        <f t="shared" si="44"/>
        <v>733.7000000001126</v>
      </c>
      <c r="GE31" s="56">
        <v>10894.74</v>
      </c>
      <c r="GF31" s="56"/>
      <c r="GG31" s="37">
        <f t="shared" si="45"/>
        <v>5842.3000000005522</v>
      </c>
      <c r="GH31" s="158">
        <v>53869.4</v>
      </c>
      <c r="GI31" s="159"/>
      <c r="GJ31" s="38">
        <f t="shared" si="77"/>
        <v>2345.7000000000044</v>
      </c>
      <c r="GK31" s="159">
        <v>1533.297</v>
      </c>
      <c r="GL31" s="160"/>
      <c r="GM31" s="38">
        <f t="shared" si="46"/>
        <v>1.9999999999527063</v>
      </c>
      <c r="GN31" s="57">
        <v>244067.4</v>
      </c>
      <c r="GO31" s="57"/>
      <c r="GP31" s="38">
        <f t="shared" si="97"/>
        <v>2.8999999999941792</v>
      </c>
      <c r="GQ31" s="38">
        <v>297512.8</v>
      </c>
      <c r="GR31" s="38"/>
      <c r="GS31" s="38">
        <f t="shared" si="78"/>
        <v>156.09999999997672</v>
      </c>
      <c r="GT31" s="178"/>
      <c r="GU31" s="144">
        <f>DailyAug!B30-DailyAug!N30-DailyAug!V30-DailyAug!Y30-DailyAug!Z30-DailyAug!AA30-DailyAug!AB30-DailyAug!AC30-DailyAug!AD30-DailyAug!AE30-DailyAug!AK30-DailyAug!AO30-DailyAug!AS30-DailyAug!AY30-DailyAug!BD30+DailyAug!BU30-DailyAug!BG30-DailyAug!BT30-DailyAug!AF30-DailyAug!AG30</f>
        <v>6.0535967350006104E-9</v>
      </c>
      <c r="GV31" s="59">
        <v>623.4</v>
      </c>
      <c r="GW31" s="60">
        <f t="shared" si="47"/>
        <v>41.559999999999995</v>
      </c>
      <c r="GX31" s="61">
        <v>41.56</v>
      </c>
      <c r="GY31" s="140"/>
      <c r="GZ31" s="62"/>
      <c r="HA31" s="62"/>
      <c r="HB31" s="74"/>
      <c r="HC31" s="62"/>
      <c r="HD31" s="74"/>
      <c r="HE31" s="24">
        <f t="shared" si="48"/>
        <v>0</v>
      </c>
      <c r="HF31" s="3"/>
      <c r="HG31" s="213">
        <v>25</v>
      </c>
      <c r="HH31" s="16">
        <v>23587</v>
      </c>
      <c r="HI31" s="16">
        <v>8986.5</v>
      </c>
      <c r="HJ31" s="16">
        <f t="shared" si="49"/>
        <v>165000</v>
      </c>
      <c r="HK31" s="226">
        <v>2.1432000000000002</v>
      </c>
      <c r="HL31" s="226">
        <v>807.23</v>
      </c>
      <c r="HM31" s="16">
        <f t="shared" si="100"/>
        <v>0</v>
      </c>
      <c r="HN31" s="16">
        <v>6020.5</v>
      </c>
      <c r="HO31" s="16">
        <v>2584</v>
      </c>
      <c r="HP31" s="16">
        <f t="shared" si="51"/>
        <v>38625.000000000182</v>
      </c>
      <c r="HQ31" s="16">
        <v>4298.8</v>
      </c>
      <c r="HR31" s="16">
        <v>1826.4</v>
      </c>
      <c r="HS31" s="16">
        <f t="shared" si="52"/>
        <v>21625.000000000182</v>
      </c>
      <c r="HT31" s="16">
        <v>4194.8999999999996</v>
      </c>
      <c r="HU31" s="16">
        <v>1531.7</v>
      </c>
      <c r="HV31" s="16">
        <f t="shared" si="53"/>
        <v>27124.999999999272</v>
      </c>
      <c r="HW31" s="16">
        <v>2929.2</v>
      </c>
      <c r="HX31" s="16">
        <v>1259</v>
      </c>
      <c r="HY31" s="16">
        <f t="shared" si="54"/>
        <v>21124.999999999727</v>
      </c>
      <c r="HZ31" s="16">
        <v>2079300</v>
      </c>
      <c r="IA31" s="16">
        <v>915850</v>
      </c>
      <c r="IB31" s="16">
        <f t="shared" si="55"/>
        <v>31000</v>
      </c>
      <c r="IC31" s="226">
        <v>719.8</v>
      </c>
      <c r="ID31" s="226">
        <v>232.78</v>
      </c>
      <c r="IE31" s="16">
        <f t="shared" si="79"/>
        <v>0</v>
      </c>
      <c r="IF31" s="16"/>
      <c r="IG31" s="16"/>
      <c r="IH31" s="128">
        <f t="shared" si="56"/>
        <v>25500</v>
      </c>
      <c r="II31" s="211">
        <f t="shared" ref="II31:II38" si="125">HJ31+HM31-HS31-HV31-HY31-IH31-HP31-IB31</f>
        <v>6.4756022766232491E-10</v>
      </c>
      <c r="IJ31" s="16"/>
      <c r="IK31" s="16"/>
      <c r="IL31" s="16">
        <f t="shared" si="101"/>
        <v>0</v>
      </c>
      <c r="IM31" s="16"/>
      <c r="IN31" s="16"/>
      <c r="IO31" s="16">
        <f t="shared" si="102"/>
        <v>0</v>
      </c>
      <c r="IP31" s="16"/>
      <c r="IQ31" s="16"/>
      <c r="IR31" s="16">
        <f t="shared" si="103"/>
        <v>0</v>
      </c>
      <c r="IS31" s="16"/>
      <c r="IT31" s="16"/>
      <c r="IU31" s="16">
        <f t="shared" si="104"/>
        <v>0</v>
      </c>
      <c r="IV31" s="16"/>
      <c r="IW31" s="16"/>
      <c r="IX31" s="16">
        <f t="shared" si="105"/>
        <v>0</v>
      </c>
      <c r="IY31" s="16"/>
      <c r="IZ31" s="16"/>
      <c r="JA31" s="16">
        <f t="shared" si="106"/>
        <v>0</v>
      </c>
      <c r="JB31" s="16"/>
      <c r="JC31" s="16"/>
      <c r="JD31" s="16">
        <f t="shared" si="107"/>
        <v>0</v>
      </c>
      <c r="JE31" s="16"/>
      <c r="JF31" s="16"/>
      <c r="JG31" s="16">
        <f t="shared" si="108"/>
        <v>0</v>
      </c>
      <c r="JH31" s="16"/>
      <c r="JI31" s="16"/>
      <c r="JJ31" s="16">
        <f t="shared" si="109"/>
        <v>0</v>
      </c>
      <c r="JK31" s="16"/>
      <c r="JL31" s="16"/>
      <c r="JM31" s="16">
        <f t="shared" si="110"/>
        <v>0</v>
      </c>
      <c r="JN31" s="16"/>
      <c r="JO31" s="16"/>
      <c r="JP31" s="16">
        <f t="shared" si="111"/>
        <v>0</v>
      </c>
      <c r="JQ31" s="16"/>
      <c r="JR31" s="16"/>
      <c r="JS31" s="16">
        <f t="shared" si="112"/>
        <v>0</v>
      </c>
      <c r="JT31" s="16"/>
      <c r="JU31" s="16"/>
      <c r="JV31" s="16">
        <f t="shared" si="113"/>
        <v>0</v>
      </c>
      <c r="JW31" s="16"/>
      <c r="JX31" s="16"/>
      <c r="JY31" s="16">
        <f t="shared" si="114"/>
        <v>0</v>
      </c>
      <c r="JZ31" s="16"/>
      <c r="KA31" s="16"/>
      <c r="KB31" s="16">
        <f t="shared" si="115"/>
        <v>0</v>
      </c>
      <c r="KC31" s="16"/>
      <c r="KD31" s="16"/>
      <c r="KE31" s="16">
        <f t="shared" si="116"/>
        <v>0</v>
      </c>
      <c r="KG31" s="151">
        <f t="shared" si="58"/>
        <v>69625.000000000829</v>
      </c>
    </row>
    <row r="32" spans="1:293" x14ac:dyDescent="0.25">
      <c r="A32" s="35">
        <f t="shared" si="0"/>
        <v>26</v>
      </c>
      <c r="B32" s="38">
        <v>5338.57</v>
      </c>
      <c r="C32" s="38">
        <f t="shared" si="1"/>
        <v>10.769999999999527</v>
      </c>
      <c r="D32" s="38">
        <f t="shared" si="2"/>
        <v>344639.99999998487</v>
      </c>
      <c r="E32" s="38">
        <v>1072.2</v>
      </c>
      <c r="F32" s="38">
        <f t="shared" si="3"/>
        <v>64959.999999999127</v>
      </c>
      <c r="G32" s="38">
        <f t="shared" si="4"/>
        <v>409599.99999998399</v>
      </c>
      <c r="H32" s="37"/>
      <c r="I32" s="39"/>
      <c r="J32" s="42"/>
      <c r="K32" s="37">
        <f t="shared" si="80"/>
        <v>0</v>
      </c>
      <c r="L32" s="40">
        <v>17129100</v>
      </c>
      <c r="M32" s="40"/>
      <c r="N32" s="37">
        <f t="shared" si="81"/>
        <v>401000</v>
      </c>
      <c r="O32" s="37">
        <v>12699.7</v>
      </c>
      <c r="P32" s="37"/>
      <c r="Q32" s="37">
        <f t="shared" si="119"/>
        <v>17400.000000001455</v>
      </c>
      <c r="R32" s="37">
        <f t="shared" si="82"/>
        <v>1</v>
      </c>
      <c r="S32" s="37">
        <v>11264977.18</v>
      </c>
      <c r="T32" s="37">
        <f t="shared" si="6"/>
        <v>387.00999999977648</v>
      </c>
      <c r="U32" s="37">
        <v>1523790.61</v>
      </c>
      <c r="V32" s="37">
        <f>IF((U32-U31)&lt;=0,0,(U32-U31))</f>
        <v>0</v>
      </c>
      <c r="W32" s="37">
        <v>4544.5</v>
      </c>
      <c r="X32" s="37">
        <f t="shared" si="95"/>
        <v>16912.990000001679</v>
      </c>
      <c r="Y32" s="183"/>
      <c r="Z32" s="183"/>
      <c r="AA32" s="37">
        <v>794600</v>
      </c>
      <c r="AB32" s="37">
        <f t="shared" si="8"/>
        <v>100</v>
      </c>
      <c r="AC32" s="37">
        <v>4711.3</v>
      </c>
      <c r="AD32" s="37"/>
      <c r="AE32" s="37">
        <f t="shared" si="121"/>
        <v>5600.0000000003638</v>
      </c>
      <c r="AF32" s="37">
        <f t="shared" si="83"/>
        <v>1</v>
      </c>
      <c r="AG32" s="37">
        <v>10224.5</v>
      </c>
      <c r="AH32" s="37"/>
      <c r="AI32" s="37">
        <f t="shared" si="10"/>
        <v>13174.59</v>
      </c>
      <c r="AJ32" s="37">
        <f t="shared" si="11"/>
        <v>1</v>
      </c>
      <c r="AK32" s="37">
        <f t="shared" si="12"/>
        <v>36074.590000001815</v>
      </c>
      <c r="AL32" s="42">
        <v>11923.6</v>
      </c>
      <c r="AM32" s="42"/>
      <c r="AN32" s="37">
        <f t="shared" si="59"/>
        <v>6724.5900000011325</v>
      </c>
      <c r="AO32" s="37">
        <f t="shared" si="84"/>
        <v>1</v>
      </c>
      <c r="AP32" s="37">
        <v>9363.9</v>
      </c>
      <c r="AQ32" s="37"/>
      <c r="AR32" s="37">
        <f t="shared" si="13"/>
        <v>12299.999999999272</v>
      </c>
      <c r="AS32" s="37">
        <f t="shared" si="85"/>
        <v>1</v>
      </c>
      <c r="AT32" s="183"/>
      <c r="AU32" s="183"/>
      <c r="AV32" s="183"/>
      <c r="AW32" s="183"/>
      <c r="AX32" s="37">
        <v>522490</v>
      </c>
      <c r="AY32" s="37"/>
      <c r="AZ32" s="37">
        <f t="shared" si="14"/>
        <v>390</v>
      </c>
      <c r="BA32" s="37">
        <v>204810</v>
      </c>
      <c r="BB32" s="37"/>
      <c r="BC32" s="37">
        <f t="shared" si="15"/>
        <v>600</v>
      </c>
      <c r="BD32" s="37">
        <f t="shared" si="86"/>
        <v>20014.590000000404</v>
      </c>
      <c r="BE32" s="43">
        <v>2073.4</v>
      </c>
      <c r="BF32" s="43">
        <v>1164.4000000000001</v>
      </c>
      <c r="BG32" s="37">
        <f t="shared" si="16"/>
        <v>2099.9999999999091</v>
      </c>
      <c r="BH32" s="44">
        <v>9779.2999999999993</v>
      </c>
      <c r="BI32" s="44">
        <v>6312.1</v>
      </c>
      <c r="BJ32" s="37">
        <f t="shared" si="17"/>
        <v>9399.9999999996362</v>
      </c>
      <c r="BK32" s="40">
        <v>1956210</v>
      </c>
      <c r="BL32" s="40">
        <f t="shared" si="87"/>
        <v>4330</v>
      </c>
      <c r="BM32" s="40">
        <v>934.03</v>
      </c>
      <c r="BN32" s="37">
        <f t="shared" si="18"/>
        <v>620.00000000000455</v>
      </c>
      <c r="BO32" s="186"/>
      <c r="BP32" s="183">
        <f t="shared" si="19"/>
        <v>0</v>
      </c>
      <c r="BQ32" s="40">
        <v>879.4</v>
      </c>
      <c r="BR32" s="37">
        <f t="shared" si="60"/>
        <v>799.99999999995453</v>
      </c>
      <c r="BS32" s="37">
        <v>117648.74</v>
      </c>
      <c r="BT32" s="37">
        <f t="shared" si="20"/>
        <v>203.02999999999884</v>
      </c>
      <c r="BU32" s="42">
        <v>3522456</v>
      </c>
      <c r="BV32" s="42"/>
      <c r="BW32" s="37">
        <f t="shared" si="21"/>
        <v>8828</v>
      </c>
      <c r="BX32" s="37">
        <f t="shared" si="88"/>
        <v>1</v>
      </c>
      <c r="BY32" s="43">
        <v>408.28370000000001</v>
      </c>
      <c r="BZ32" s="43"/>
      <c r="CA32" s="37">
        <f t="shared" si="117"/>
        <v>578.39999999998781</v>
      </c>
      <c r="CB32" s="37">
        <f t="shared" si="61"/>
        <v>1</v>
      </c>
      <c r="CC32" s="37">
        <v>806510.2</v>
      </c>
      <c r="CD32" s="37">
        <f t="shared" si="23"/>
        <v>1905.1999999999534</v>
      </c>
      <c r="CE32" s="41">
        <v>1728198</v>
      </c>
      <c r="CF32" s="37">
        <f t="shared" si="24"/>
        <v>4095</v>
      </c>
      <c r="CG32" s="37">
        <v>119773</v>
      </c>
      <c r="CH32" s="37">
        <f t="shared" si="62"/>
        <v>2366.5</v>
      </c>
      <c r="CI32" s="40">
        <v>14311.02</v>
      </c>
      <c r="CJ32" s="40"/>
      <c r="CK32" s="37">
        <f t="shared" si="63"/>
        <v>17336.189999999795</v>
      </c>
      <c r="CL32" s="37">
        <f t="shared" si="25"/>
        <v>1</v>
      </c>
      <c r="CM32" s="37">
        <v>4197.6949999999997</v>
      </c>
      <c r="CN32" s="37"/>
      <c r="CO32" s="37">
        <f t="shared" si="26"/>
        <v>9410.5899999998765</v>
      </c>
      <c r="CP32" s="37">
        <f t="shared" si="89"/>
        <v>1</v>
      </c>
      <c r="CQ32" s="39">
        <v>752980.1</v>
      </c>
      <c r="CR32" s="39"/>
      <c r="CS32" s="37">
        <f t="shared" si="64"/>
        <v>7561.2899999999536</v>
      </c>
      <c r="CT32" s="37">
        <f t="shared" si="65"/>
        <v>1</v>
      </c>
      <c r="CU32" s="37">
        <v>4388304</v>
      </c>
      <c r="CV32" s="37"/>
      <c r="CW32" s="38">
        <f t="shared" si="27"/>
        <v>338</v>
      </c>
      <c r="CX32" s="37">
        <f>IF(CW32&lt;=0,0,(CW32/SQRT(CW32^2+(CV32-CV31)^2)))</f>
        <v>1</v>
      </c>
      <c r="CY32" s="37">
        <v>2339819</v>
      </c>
      <c r="CZ32" s="37"/>
      <c r="DA32" s="37">
        <f t="shared" si="123"/>
        <v>98</v>
      </c>
      <c r="DB32" s="37">
        <f t="shared" si="91"/>
        <v>1</v>
      </c>
      <c r="DC32" s="37"/>
      <c r="DD32" s="40"/>
      <c r="DE32" s="37">
        <f t="shared" si="29"/>
        <v>0</v>
      </c>
      <c r="DF32" s="37">
        <f t="shared" si="96"/>
        <v>0</v>
      </c>
      <c r="DG32" s="37">
        <f t="shared" si="30"/>
        <v>-43572.069999999629</v>
      </c>
      <c r="DH32" s="37">
        <f t="shared" si="31"/>
        <v>439174.59000000171</v>
      </c>
      <c r="DI32" s="46"/>
      <c r="DJ32" s="46"/>
      <c r="DK32" s="47"/>
      <c r="DL32" s="47"/>
      <c r="DM32" s="37"/>
      <c r="DN32" s="37"/>
      <c r="DO32" s="37"/>
      <c r="DP32" s="37"/>
      <c r="DQ32" s="50">
        <v>4395300</v>
      </c>
      <c r="DR32" s="49">
        <f t="shared" si="66"/>
        <v>8600</v>
      </c>
      <c r="DS32" s="50">
        <v>5637800</v>
      </c>
      <c r="DT32" s="49">
        <f t="shared" si="67"/>
        <v>24800</v>
      </c>
      <c r="DU32" s="51">
        <v>8387.1</v>
      </c>
      <c r="DV32" s="51">
        <v>4742.6000000000004</v>
      </c>
      <c r="DW32" s="37">
        <f t="shared" si="92"/>
        <v>4300.0000000010914</v>
      </c>
      <c r="DX32" s="52">
        <v>13873</v>
      </c>
      <c r="DY32" s="52">
        <v>8683.1</v>
      </c>
      <c r="DZ32" s="37">
        <f t="shared" si="32"/>
        <v>8674.59</v>
      </c>
      <c r="EA32" s="49">
        <v>32165</v>
      </c>
      <c r="EB32" s="49">
        <v>22.038</v>
      </c>
      <c r="EC32" s="37">
        <f t="shared" ref="EC32:EC38" si="126">IF((EA32-EA31)*1000&lt;=0,0,(EA32-EA31)*1000)+GX32</f>
        <v>22674.59</v>
      </c>
      <c r="ED32" s="53">
        <f t="shared" si="34"/>
        <v>35649.180000001092</v>
      </c>
      <c r="EE32" s="49">
        <v>47968</v>
      </c>
      <c r="EF32" s="49">
        <v>31.555</v>
      </c>
      <c r="EG32" s="37">
        <f t="shared" ref="EG32:EG38" si="127">IF((EE32-EE31)*1000&lt;=0,0,(EE32-EE31)*1000)+GX32</f>
        <v>29674.59</v>
      </c>
      <c r="EH32" s="51">
        <v>14149</v>
      </c>
      <c r="EI32" s="51">
        <v>2.0628000000000002</v>
      </c>
      <c r="EJ32" s="37">
        <f t="shared" si="36"/>
        <v>12674.59</v>
      </c>
      <c r="EK32" s="37">
        <v>861.32</v>
      </c>
      <c r="EL32" s="40">
        <v>1234.5</v>
      </c>
      <c r="EM32" s="37">
        <f t="shared" si="68"/>
        <v>710.00000000003638</v>
      </c>
      <c r="EN32" s="54">
        <f t="shared" si="69"/>
        <v>43059.180000000037</v>
      </c>
      <c r="EO32" s="48">
        <v>13692.93</v>
      </c>
      <c r="EP32" s="48"/>
      <c r="EQ32" s="37">
        <f>IF((EO32-EO31)*1000&lt;=0,0,(EO32-EO31)*1000)+GX32-FU69+FV69</f>
        <v>7394.5900000000838</v>
      </c>
      <c r="ER32" s="48">
        <v>10867.4</v>
      </c>
      <c r="ES32" s="48"/>
      <c r="ET32" s="49">
        <f t="shared" si="99"/>
        <v>17289.999999999054</v>
      </c>
      <c r="EU32" s="48">
        <v>4461.0069999999996</v>
      </c>
      <c r="EV32" s="48"/>
      <c r="EW32" s="49">
        <f t="shared" si="38"/>
        <v>10994.589999999709</v>
      </c>
      <c r="EX32" s="48">
        <v>14577.82</v>
      </c>
      <c r="EY32" s="48"/>
      <c r="EZ32" s="37">
        <f t="shared" si="39"/>
        <v>11654.589999999564</v>
      </c>
      <c r="FA32" s="48">
        <f>FC32-EQ32-ET32-EW32-EZ32</f>
        <v>-23864.769999998411</v>
      </c>
      <c r="FB32" s="48">
        <v>38620270</v>
      </c>
      <c r="FC32" s="49">
        <f t="shared" si="93"/>
        <v>23469</v>
      </c>
      <c r="FD32" s="48">
        <f t="shared" si="72"/>
        <v>49829.769999998403</v>
      </c>
      <c r="FE32" s="48">
        <v>17874.599999999999</v>
      </c>
      <c r="FF32" s="48"/>
      <c r="FG32" s="37">
        <f>IF((FE32-FE31)*1000&lt;=0,0,(FE32-FE31)*1000)+FL32+GX32+FW69</f>
        <v>9692.9899999970785</v>
      </c>
      <c r="FH32" s="48">
        <v>10366.1</v>
      </c>
      <c r="FI32" s="48"/>
      <c r="FJ32" s="49">
        <f t="shared" si="40"/>
        <v>18742.990000000729</v>
      </c>
      <c r="FK32" s="48"/>
      <c r="FL32" s="58">
        <v>-631.6</v>
      </c>
      <c r="FM32" s="48">
        <f>FT32/3</f>
        <v>-126.32333333308816</v>
      </c>
      <c r="FN32" s="48">
        <v>17741.5</v>
      </c>
      <c r="FO32" s="48"/>
      <c r="FP32" s="37">
        <f t="shared" si="74"/>
        <v>12142.989999998545</v>
      </c>
      <c r="FQ32" s="48">
        <v>62429.89</v>
      </c>
      <c r="FR32" s="48"/>
      <c r="FS32" s="37">
        <f t="shared" si="41"/>
        <v>40199.99999999709</v>
      </c>
      <c r="FT32" s="48">
        <f t="shared" si="75"/>
        <v>-378.96999999926447</v>
      </c>
      <c r="FU32" s="48">
        <f t="shared" si="76"/>
        <v>40581.969999996276</v>
      </c>
      <c r="FV32" s="44">
        <v>6553583</v>
      </c>
      <c r="FW32" s="44"/>
      <c r="FX32" s="37">
        <f t="shared" si="42"/>
        <v>21865</v>
      </c>
      <c r="FY32" s="56">
        <v>58828.7</v>
      </c>
      <c r="FZ32" s="56"/>
      <c r="GA32" s="37">
        <f t="shared" si="124"/>
        <v>4817.0999999999985</v>
      </c>
      <c r="GB32" s="56">
        <v>884.14660000000003</v>
      </c>
      <c r="GC32" s="56"/>
      <c r="GD32" s="37">
        <f t="shared" si="44"/>
        <v>673.99999999997817</v>
      </c>
      <c r="GE32" s="56">
        <v>10903.17</v>
      </c>
      <c r="GF32" s="56"/>
      <c r="GG32" s="37">
        <f>IF((GE32-GE31)*1000&lt;=0,0,(GE32-GE31)*1000)-GJ32-GM32</f>
        <v>5931.000000000362</v>
      </c>
      <c r="GH32" s="158">
        <v>56365.4</v>
      </c>
      <c r="GI32" s="159"/>
      <c r="GJ32" s="38">
        <f t="shared" si="77"/>
        <v>2496</v>
      </c>
      <c r="GK32" s="159">
        <v>1533.3</v>
      </c>
      <c r="GL32" s="160"/>
      <c r="GM32" s="38">
        <f t="shared" si="46"/>
        <v>2.9999999999290594</v>
      </c>
      <c r="GN32" s="57">
        <v>244070.39999999999</v>
      </c>
      <c r="GO32" s="57"/>
      <c r="GP32" s="38">
        <f t="shared" si="97"/>
        <v>3</v>
      </c>
      <c r="GQ32" s="38">
        <v>297648.3</v>
      </c>
      <c r="GR32" s="38"/>
      <c r="GS32" s="38">
        <f t="shared" si="78"/>
        <v>135.5</v>
      </c>
      <c r="GT32" s="178"/>
      <c r="GU32" s="144">
        <f>DailyAug!B31-DailyAug!N31-DailyAug!V31-DailyAug!Y31-DailyAug!Z31-DailyAug!AA31-DailyAug!AB31-DailyAug!AC31-DailyAug!AD31-DailyAug!AE31-DailyAug!AK31-DailyAug!AO31-DailyAug!AS31-DailyAug!AY31-DailyAug!BD31+DailyAug!BU31-DailyAug!BG31-DailyAug!BT31-DailyAug!AF31-DailyAug!AG31</f>
        <v>-5.0000013463431969E-2</v>
      </c>
      <c r="GV32" s="59">
        <v>10118.799999999999</v>
      </c>
      <c r="GW32" s="60">
        <f t="shared" si="47"/>
        <v>674.58666666666659</v>
      </c>
      <c r="GX32" s="61">
        <v>674.59</v>
      </c>
      <c r="GY32" s="140"/>
      <c r="GZ32" s="62"/>
      <c r="HA32" s="62"/>
      <c r="HB32" s="74"/>
      <c r="HC32" s="62"/>
      <c r="HD32" s="74"/>
      <c r="HE32" s="24">
        <f t="shared" si="48"/>
        <v>0</v>
      </c>
      <c r="HG32" s="213">
        <v>26</v>
      </c>
      <c r="HH32" s="16">
        <v>23760</v>
      </c>
      <c r="HI32" s="16">
        <v>90516</v>
      </c>
      <c r="HJ32" s="16">
        <f t="shared" si="49"/>
        <v>173000</v>
      </c>
      <c r="HK32" s="16">
        <v>2.1432000000000002</v>
      </c>
      <c r="HL32" s="16">
        <v>807.23</v>
      </c>
      <c r="HM32" s="16">
        <f t="shared" si="100"/>
        <v>0</v>
      </c>
      <c r="HN32" s="16">
        <v>6059.6</v>
      </c>
      <c r="HO32" s="16">
        <v>2599.6</v>
      </c>
      <c r="HP32" s="16">
        <f t="shared" si="51"/>
        <v>39225.000000000364</v>
      </c>
      <c r="HQ32" s="16">
        <v>4324.3</v>
      </c>
      <c r="HR32" s="16">
        <v>1836.5</v>
      </c>
      <c r="HS32" s="16">
        <f t="shared" si="52"/>
        <v>25625</v>
      </c>
      <c r="HT32" s="16">
        <v>4222.8</v>
      </c>
      <c r="HU32" s="16">
        <v>1541.2</v>
      </c>
      <c r="HV32" s="16">
        <f t="shared" si="53"/>
        <v>28025.000000000546</v>
      </c>
      <c r="HW32" s="16">
        <v>2952.7</v>
      </c>
      <c r="HX32" s="16">
        <v>1269</v>
      </c>
      <c r="HY32" s="16">
        <f t="shared" si="54"/>
        <v>23625</v>
      </c>
      <c r="HZ32" s="16">
        <v>2111000</v>
      </c>
      <c r="IA32" s="16">
        <v>92884</v>
      </c>
      <c r="IB32" s="16">
        <f t="shared" si="55"/>
        <v>31700</v>
      </c>
      <c r="IC32" s="229">
        <v>719.8</v>
      </c>
      <c r="ID32" s="229">
        <v>232.78</v>
      </c>
      <c r="IE32" s="16">
        <f t="shared" si="79"/>
        <v>0</v>
      </c>
      <c r="IF32" s="16"/>
      <c r="IG32" s="16"/>
      <c r="IH32" s="128">
        <f t="shared" si="56"/>
        <v>24800</v>
      </c>
      <c r="II32" s="211">
        <f t="shared" si="125"/>
        <v>-9.1677065938711166E-10</v>
      </c>
      <c r="IJ32" s="16"/>
      <c r="IK32" s="16"/>
      <c r="IL32" s="16">
        <f t="shared" si="101"/>
        <v>0</v>
      </c>
      <c r="IM32" s="16"/>
      <c r="IN32" s="16"/>
      <c r="IO32" s="16">
        <f t="shared" si="102"/>
        <v>0</v>
      </c>
      <c r="IP32" s="16"/>
      <c r="IQ32" s="16"/>
      <c r="IR32" s="16">
        <f t="shared" si="103"/>
        <v>0</v>
      </c>
      <c r="IS32" s="16"/>
      <c r="IT32" s="16"/>
      <c r="IU32" s="16">
        <f t="shared" si="104"/>
        <v>0</v>
      </c>
      <c r="IV32" s="16"/>
      <c r="IW32" s="16"/>
      <c r="IX32" s="16">
        <f t="shared" si="105"/>
        <v>0</v>
      </c>
      <c r="IY32" s="16"/>
      <c r="IZ32" s="16"/>
      <c r="JA32" s="16">
        <f t="shared" si="106"/>
        <v>0</v>
      </c>
      <c r="JB32" s="16"/>
      <c r="JC32" s="16"/>
      <c r="JD32" s="16">
        <f t="shared" si="107"/>
        <v>0</v>
      </c>
      <c r="JE32" s="16"/>
      <c r="JF32" s="16"/>
      <c r="JG32" s="16">
        <f t="shared" si="108"/>
        <v>0</v>
      </c>
      <c r="JH32" s="16"/>
      <c r="JI32" s="16"/>
      <c r="JJ32" s="16">
        <f t="shared" si="109"/>
        <v>0</v>
      </c>
      <c r="JK32" s="16"/>
      <c r="JL32" s="16"/>
      <c r="JM32" s="16">
        <f t="shared" si="110"/>
        <v>0</v>
      </c>
      <c r="JN32" s="16"/>
      <c r="JO32" s="16"/>
      <c r="JP32" s="16">
        <f t="shared" si="111"/>
        <v>0</v>
      </c>
      <c r="JQ32" s="16"/>
      <c r="JR32" s="16"/>
      <c r="JS32" s="16">
        <f t="shared" si="112"/>
        <v>0</v>
      </c>
      <c r="JT32" s="16"/>
      <c r="JU32" s="16"/>
      <c r="JV32" s="16">
        <f t="shared" si="113"/>
        <v>0</v>
      </c>
      <c r="JW32" s="16"/>
      <c r="JX32" s="16"/>
      <c r="JY32" s="16">
        <f t="shared" si="114"/>
        <v>0</v>
      </c>
      <c r="JZ32" s="16"/>
      <c r="KA32" s="16"/>
      <c r="KB32" s="16">
        <f t="shared" si="115"/>
        <v>0</v>
      </c>
      <c r="KC32" s="16"/>
      <c r="KD32" s="16"/>
      <c r="KE32" s="16">
        <f t="shared" si="116"/>
        <v>0</v>
      </c>
      <c r="KG32" s="151">
        <f t="shared" si="58"/>
        <v>70924.999999999447</v>
      </c>
    </row>
    <row r="33" spans="1:293" x14ac:dyDescent="0.25">
      <c r="A33" s="35">
        <f t="shared" si="0"/>
        <v>27</v>
      </c>
      <c r="B33" s="38">
        <v>5349.3</v>
      </c>
      <c r="C33" s="38">
        <f t="shared" si="1"/>
        <v>10.730000000000473</v>
      </c>
      <c r="D33" s="38">
        <f t="shared" si="2"/>
        <v>343360.00000001513</v>
      </c>
      <c r="E33" s="38">
        <v>1074.47</v>
      </c>
      <c r="F33" s="38">
        <f t="shared" si="3"/>
        <v>72639.999999999418</v>
      </c>
      <c r="G33" s="38">
        <f t="shared" si="4"/>
        <v>416000.00000001455</v>
      </c>
      <c r="H33" s="37"/>
      <c r="I33" s="39"/>
      <c r="J33" s="42"/>
      <c r="K33" s="37">
        <f t="shared" si="80"/>
        <v>0</v>
      </c>
      <c r="L33" s="40">
        <v>17171000</v>
      </c>
      <c r="M33" s="40"/>
      <c r="N33" s="37">
        <f t="shared" si="81"/>
        <v>419000</v>
      </c>
      <c r="O33" s="37">
        <v>12717.7</v>
      </c>
      <c r="P33" s="37"/>
      <c r="Q33" s="37">
        <f t="shared" si="119"/>
        <v>18000</v>
      </c>
      <c r="R33" s="37">
        <f t="shared" si="82"/>
        <v>1</v>
      </c>
      <c r="S33" s="37">
        <v>11265343.109999999</v>
      </c>
      <c r="T33" s="37">
        <f t="shared" si="6"/>
        <v>365.92999999970198</v>
      </c>
      <c r="U33" s="37">
        <v>1523790.61</v>
      </c>
      <c r="V33" s="37">
        <f t="shared" si="7"/>
        <v>0</v>
      </c>
      <c r="W33" s="37">
        <v>4550.6000000000004</v>
      </c>
      <c r="X33" s="37">
        <f t="shared" si="95"/>
        <v>17534.070000000298</v>
      </c>
      <c r="Y33" s="183"/>
      <c r="Z33" s="183"/>
      <c r="AA33" s="37">
        <v>794700</v>
      </c>
      <c r="AB33" s="37">
        <f t="shared" si="8"/>
        <v>100</v>
      </c>
      <c r="AC33" s="37">
        <v>4716.8999999999996</v>
      </c>
      <c r="AD33" s="37"/>
      <c r="AE33" s="37">
        <f t="shared" si="121"/>
        <v>5599.9999999994543</v>
      </c>
      <c r="AF33" s="37">
        <f t="shared" si="83"/>
        <v>1</v>
      </c>
      <c r="AG33" s="37">
        <v>10237.299999999999</v>
      </c>
      <c r="AH33" s="37"/>
      <c r="AI33" s="37">
        <f t="shared" si="10"/>
        <v>14006.529999999273</v>
      </c>
      <c r="AJ33" s="37">
        <f t="shared" si="11"/>
        <v>1</v>
      </c>
      <c r="AK33" s="37">
        <f t="shared" si="12"/>
        <v>37506.529999998726</v>
      </c>
      <c r="AL33" s="42">
        <v>11935.8</v>
      </c>
      <c r="AM33" s="42"/>
      <c r="AN33" s="37">
        <f t="shared" si="59"/>
        <v>7556.5299999988692</v>
      </c>
      <c r="AO33" s="37">
        <f t="shared" si="84"/>
        <v>1</v>
      </c>
      <c r="AP33" s="37">
        <v>9376.6</v>
      </c>
      <c r="AQ33" s="37"/>
      <c r="AR33" s="37">
        <f t="shared" si="13"/>
        <v>12700.000000000728</v>
      </c>
      <c r="AS33" s="37">
        <f t="shared" si="85"/>
        <v>1</v>
      </c>
      <c r="AT33" s="183"/>
      <c r="AU33" s="183"/>
      <c r="AV33" s="183"/>
      <c r="AW33" s="183"/>
      <c r="AX33" s="37">
        <v>522910</v>
      </c>
      <c r="AY33" s="37"/>
      <c r="AZ33" s="37">
        <f t="shared" si="14"/>
        <v>420</v>
      </c>
      <c r="BA33" s="37">
        <v>205500</v>
      </c>
      <c r="BB33" s="37"/>
      <c r="BC33" s="37">
        <f t="shared" si="15"/>
        <v>690</v>
      </c>
      <c r="BD33" s="37">
        <f t="shared" si="86"/>
        <v>21366.529999999599</v>
      </c>
      <c r="BE33" s="43">
        <v>2075.1</v>
      </c>
      <c r="BF33" s="43">
        <v>1163.3</v>
      </c>
      <c r="BG33" s="37">
        <f t="shared" si="16"/>
        <v>1699.9999999998181</v>
      </c>
      <c r="BH33" s="44">
        <v>9788.2000000000007</v>
      </c>
      <c r="BI33" s="44">
        <v>6318.3</v>
      </c>
      <c r="BJ33" s="37">
        <f t="shared" si="17"/>
        <v>8900.0000000014552</v>
      </c>
      <c r="BK33" s="40">
        <v>1960730</v>
      </c>
      <c r="BL33" s="40">
        <f t="shared" si="87"/>
        <v>4520</v>
      </c>
      <c r="BM33" s="40">
        <v>934.66</v>
      </c>
      <c r="BN33" s="37">
        <f t="shared" si="18"/>
        <v>629.99999999999545</v>
      </c>
      <c r="BO33" s="186"/>
      <c r="BP33" s="183">
        <f t="shared" si="19"/>
        <v>0</v>
      </c>
      <c r="BQ33" s="40">
        <v>880.1</v>
      </c>
      <c r="BR33" s="37">
        <f t="shared" si="60"/>
        <v>700.00000000004547</v>
      </c>
      <c r="BS33" s="37">
        <v>117855.96</v>
      </c>
      <c r="BT33" s="37">
        <f t="shared" si="20"/>
        <v>207.22000000000116</v>
      </c>
      <c r="BU33" s="42">
        <v>3531306</v>
      </c>
      <c r="BV33" s="42"/>
      <c r="BW33" s="37">
        <f t="shared" si="21"/>
        <v>8850</v>
      </c>
      <c r="BX33" s="37">
        <f t="shared" si="88"/>
        <v>1</v>
      </c>
      <c r="BY33" s="43">
        <v>408.8587</v>
      </c>
      <c r="BZ33" s="43"/>
      <c r="CA33" s="37">
        <f t="shared" si="117"/>
        <v>574.99999999998863</v>
      </c>
      <c r="CB33" s="37">
        <f t="shared" si="61"/>
        <v>1</v>
      </c>
      <c r="CC33" s="37">
        <v>808315.7</v>
      </c>
      <c r="CD33" s="37">
        <f t="shared" si="23"/>
        <v>1805.5</v>
      </c>
      <c r="CE33" s="41">
        <v>1732360</v>
      </c>
      <c r="CF33" s="37">
        <f t="shared" si="24"/>
        <v>4162</v>
      </c>
      <c r="CG33" s="37">
        <v>122212.1</v>
      </c>
      <c r="CH33" s="37">
        <f t="shared" si="62"/>
        <v>2439.1000000000058</v>
      </c>
      <c r="CI33" s="40">
        <v>14328.63</v>
      </c>
      <c r="CJ33" s="40"/>
      <c r="CK33" s="37">
        <f t="shared" si="63"/>
        <v>18241.529999998773</v>
      </c>
      <c r="CL33" s="37">
        <f t="shared" si="25"/>
        <v>1</v>
      </c>
      <c r="CM33" s="37">
        <v>4206.6850000000004</v>
      </c>
      <c r="CN33" s="37"/>
      <c r="CO33" s="37">
        <f t="shared" si="26"/>
        <v>10196.530000000692</v>
      </c>
      <c r="CP33" s="37">
        <f t="shared" si="89"/>
        <v>1</v>
      </c>
      <c r="CQ33" s="39">
        <v>760042.9</v>
      </c>
      <c r="CR33" s="39"/>
      <c r="CS33" s="37">
        <f t="shared" si="64"/>
        <v>8269.3300000000472</v>
      </c>
      <c r="CT33" s="37">
        <f t="shared" si="65"/>
        <v>1</v>
      </c>
      <c r="CU33" s="37">
        <v>4388653</v>
      </c>
      <c r="CV33" s="37"/>
      <c r="CW33" s="38">
        <f t="shared" si="27"/>
        <v>349</v>
      </c>
      <c r="CX33" s="37">
        <f t="shared" si="90"/>
        <v>1</v>
      </c>
      <c r="CY33" s="37">
        <v>2339921</v>
      </c>
      <c r="CZ33" s="37"/>
      <c r="DA33" s="37">
        <f t="shared" si="123"/>
        <v>102</v>
      </c>
      <c r="DB33" s="37">
        <f t="shared" si="91"/>
        <v>1</v>
      </c>
      <c r="DC33" s="37"/>
      <c r="DD33" s="40"/>
      <c r="DE33" s="37">
        <f t="shared" si="29"/>
        <v>0</v>
      </c>
      <c r="DF33" s="37">
        <f t="shared" si="96"/>
        <v>0</v>
      </c>
      <c r="DG33" s="37">
        <f t="shared" si="30"/>
        <v>-46008.389999999512</v>
      </c>
      <c r="DH33" s="37">
        <f t="shared" si="31"/>
        <v>458206.52999999851</v>
      </c>
      <c r="DI33" s="46"/>
      <c r="DJ33" s="46"/>
      <c r="DK33" s="47"/>
      <c r="DL33" s="47"/>
      <c r="DM33" s="37"/>
      <c r="DN33" s="37"/>
      <c r="DO33" s="37"/>
      <c r="DP33" s="37"/>
      <c r="DQ33" s="50">
        <v>4404800</v>
      </c>
      <c r="DR33" s="49">
        <f t="shared" si="66"/>
        <v>9500</v>
      </c>
      <c r="DS33" s="50">
        <v>5661600</v>
      </c>
      <c r="DT33" s="49">
        <f t="shared" si="67"/>
        <v>23800</v>
      </c>
      <c r="DU33" s="51">
        <v>8391.6</v>
      </c>
      <c r="DV33" s="51">
        <v>4743.8999999999996</v>
      </c>
      <c r="DW33" s="37">
        <f t="shared" si="92"/>
        <v>4500</v>
      </c>
      <c r="DX33" s="52">
        <v>13881</v>
      </c>
      <c r="DY33" s="52">
        <v>8688.6</v>
      </c>
      <c r="DZ33" s="37">
        <f t="shared" si="32"/>
        <v>9206.5300000000007</v>
      </c>
      <c r="EA33" s="49">
        <v>32188</v>
      </c>
      <c r="EB33" s="49">
        <v>22.048999999999999</v>
      </c>
      <c r="EC33" s="37">
        <f t="shared" si="126"/>
        <v>24206.53</v>
      </c>
      <c r="ED33" s="53">
        <f t="shared" si="34"/>
        <v>37913.06</v>
      </c>
      <c r="EE33" s="49">
        <v>47998</v>
      </c>
      <c r="EF33" s="49">
        <v>31.577000000000002</v>
      </c>
      <c r="EG33" s="37">
        <f t="shared" si="127"/>
        <v>31206.53</v>
      </c>
      <c r="EH33" s="51">
        <v>14160</v>
      </c>
      <c r="EI33" s="51">
        <v>2.0657999999999999</v>
      </c>
      <c r="EJ33" s="37">
        <f t="shared" si="36"/>
        <v>12206.53</v>
      </c>
      <c r="EK33" s="37">
        <v>861.99</v>
      </c>
      <c r="EL33" s="40">
        <v>1235.4000000000001</v>
      </c>
      <c r="EM33" s="37">
        <f t="shared" si="68"/>
        <v>669.99999999995907</v>
      </c>
      <c r="EN33" s="54">
        <f t="shared" si="69"/>
        <v>44083.059999999954</v>
      </c>
      <c r="EO33" s="48">
        <v>13700.55</v>
      </c>
      <c r="EP33" s="48"/>
      <c r="EQ33" s="37">
        <f t="shared" si="70"/>
        <v>7876.5299999989365</v>
      </c>
      <c r="ER33" s="48">
        <v>10885</v>
      </c>
      <c r="ES33" s="48"/>
      <c r="ET33" s="49">
        <f t="shared" si="99"/>
        <v>17600.000000000364</v>
      </c>
      <c r="EU33" s="48">
        <v>4470.87</v>
      </c>
      <c r="EV33" s="48"/>
      <c r="EW33" s="49">
        <f t="shared" si="38"/>
        <v>11069.530000000284</v>
      </c>
      <c r="EX33" s="48">
        <v>14588.3</v>
      </c>
      <c r="EY33" s="48"/>
      <c r="EZ33" s="37">
        <f t="shared" si="39"/>
        <v>11686.529999999564</v>
      </c>
      <c r="FA33" s="48">
        <f t="shared" si="71"/>
        <v>-3982.5899999991489</v>
      </c>
      <c r="FB33" s="48">
        <v>38664520</v>
      </c>
      <c r="FC33" s="49">
        <f t="shared" si="93"/>
        <v>44250</v>
      </c>
      <c r="FD33" s="48">
        <f t="shared" si="72"/>
        <v>50430.489999999147</v>
      </c>
      <c r="FE33" s="48">
        <v>17882.900000000001</v>
      </c>
      <c r="FF33" s="48"/>
      <c r="FG33" s="37">
        <f t="shared" si="73"/>
        <v>9370.5300000029565</v>
      </c>
      <c r="FH33" s="48">
        <v>10384.6</v>
      </c>
      <c r="FI33" s="48"/>
      <c r="FJ33" s="49">
        <f t="shared" si="40"/>
        <v>18620.53</v>
      </c>
      <c r="FK33" s="48"/>
      <c r="FL33" s="58">
        <v>-1086</v>
      </c>
      <c r="FM33" s="48">
        <f t="shared" si="94"/>
        <v>-217.19666666673038</v>
      </c>
      <c r="FN33" s="48">
        <v>17753.2</v>
      </c>
      <c r="FO33" s="48"/>
      <c r="FP33" s="37">
        <f t="shared" si="74"/>
        <v>11820.530000000728</v>
      </c>
      <c r="FQ33" s="48">
        <v>62469.05</v>
      </c>
      <c r="FR33" s="48"/>
      <c r="FS33" s="37">
        <f t="shared" si="41"/>
        <v>39160.000000003492</v>
      </c>
      <c r="FT33" s="48">
        <f t="shared" si="75"/>
        <v>-651.59000000019114</v>
      </c>
      <c r="FU33" s="48">
        <f t="shared" si="76"/>
        <v>39813.590000003634</v>
      </c>
      <c r="FV33" s="44">
        <v>6569320</v>
      </c>
      <c r="FW33" s="44"/>
      <c r="FX33" s="37">
        <f t="shared" si="42"/>
        <v>15737</v>
      </c>
      <c r="FY33" s="56">
        <v>62468</v>
      </c>
      <c r="FZ33" s="56"/>
      <c r="GA33" s="37">
        <f t="shared" si="124"/>
        <v>3639.3000000000029</v>
      </c>
      <c r="GB33" s="56">
        <v>884.81100000000004</v>
      </c>
      <c r="GC33" s="56"/>
      <c r="GD33" s="37">
        <f t="shared" si="44"/>
        <v>664.40000000000055</v>
      </c>
      <c r="GE33" s="56">
        <v>10910.56</v>
      </c>
      <c r="GF33" s="56"/>
      <c r="GG33" s="37">
        <f t="shared" si="45"/>
        <v>5190.0999999994638</v>
      </c>
      <c r="GH33" s="153">
        <v>58563.3</v>
      </c>
      <c r="GI33" s="162"/>
      <c r="GJ33" s="38">
        <f t="shared" si="77"/>
        <v>2197.9000000000015</v>
      </c>
      <c r="GK33" s="162">
        <v>1533.3019999999999</v>
      </c>
      <c r="GL33" s="163"/>
      <c r="GM33" s="38">
        <f t="shared" si="46"/>
        <v>1.9999999999527063</v>
      </c>
      <c r="GN33" s="57">
        <v>244073.1</v>
      </c>
      <c r="GO33" s="57"/>
      <c r="GP33" s="38">
        <f t="shared" si="97"/>
        <v>2.7000000000116415</v>
      </c>
      <c r="GQ33" s="38">
        <v>297775.90000000002</v>
      </c>
      <c r="GR33" s="38"/>
      <c r="GS33" s="38">
        <f t="shared" si="78"/>
        <v>127.60000000003492</v>
      </c>
      <c r="GT33" s="178"/>
      <c r="GU33" s="144">
        <f>DailyAug!B32-DailyAug!N32-DailyAug!V32-DailyAug!Y32-DailyAug!Z32-DailyAug!AA32-DailyAug!AB32-DailyAug!AC32-DailyAug!AD32-DailyAug!AE32-DailyAug!AK32-DailyAug!AO32-DailyAug!AS32-DailyAug!AY32-DailyAug!BD32+DailyAug!BU32-DailyAug!BG32-DailyAug!BT32-DailyAug!AF32-DailyAug!AG32</f>
        <v>5.0000013143289834E-2</v>
      </c>
      <c r="GV33" s="59">
        <v>18098</v>
      </c>
      <c r="GW33" s="60">
        <f t="shared" si="47"/>
        <v>1206.5333333333333</v>
      </c>
      <c r="GX33" s="61">
        <v>1206.53</v>
      </c>
      <c r="GY33" s="140"/>
      <c r="GZ33" s="62"/>
      <c r="HA33" s="62"/>
      <c r="HB33" s="74"/>
      <c r="HC33" s="62"/>
      <c r="HD33" s="74"/>
      <c r="HE33" s="24">
        <f t="shared" si="48"/>
        <v>0</v>
      </c>
      <c r="HG33" s="213">
        <v>27</v>
      </c>
      <c r="HH33" s="16">
        <v>23937</v>
      </c>
      <c r="HI33" s="16">
        <v>91177</v>
      </c>
      <c r="HJ33" s="16">
        <f t="shared" si="49"/>
        <v>177000</v>
      </c>
      <c r="HK33" s="16">
        <v>2.1432000000000002</v>
      </c>
      <c r="HL33" s="16">
        <v>807.23</v>
      </c>
      <c r="HM33" s="16">
        <f t="shared" si="100"/>
        <v>0</v>
      </c>
      <c r="HN33" s="16">
        <v>6102.8</v>
      </c>
      <c r="HO33" s="16">
        <v>2616.6999999999998</v>
      </c>
      <c r="HP33" s="16">
        <f t="shared" si="51"/>
        <v>43399.999999999818</v>
      </c>
      <c r="HQ33" s="16">
        <v>4350.3999999999996</v>
      </c>
      <c r="HR33" s="16">
        <v>1846.7</v>
      </c>
      <c r="HS33" s="16">
        <f t="shared" si="52"/>
        <v>26299.999999999454</v>
      </c>
      <c r="HT33" s="16">
        <v>4250.2</v>
      </c>
      <c r="HU33" s="16">
        <v>1550.4</v>
      </c>
      <c r="HV33" s="16">
        <f t="shared" si="53"/>
        <v>27599.999999999636</v>
      </c>
      <c r="HW33" s="16">
        <v>2977.2</v>
      </c>
      <c r="HX33" s="16">
        <v>1279.3</v>
      </c>
      <c r="HY33" s="16">
        <f t="shared" si="54"/>
        <v>24700</v>
      </c>
      <c r="HZ33" s="16">
        <v>2142200</v>
      </c>
      <c r="IA33" s="16">
        <v>94163</v>
      </c>
      <c r="IB33" s="16">
        <f t="shared" si="55"/>
        <v>31200</v>
      </c>
      <c r="IC33" s="229">
        <v>719.8</v>
      </c>
      <c r="ID33" s="229">
        <v>232.78</v>
      </c>
      <c r="IE33" s="16">
        <f t="shared" si="79"/>
        <v>0</v>
      </c>
      <c r="IF33" s="16"/>
      <c r="IG33" s="16"/>
      <c r="IH33" s="128">
        <f t="shared" si="56"/>
        <v>23800</v>
      </c>
      <c r="II33" s="211">
        <f t="shared" si="125"/>
        <v>1.0986695997416973E-9</v>
      </c>
      <c r="IJ33" s="16"/>
      <c r="IK33" s="16"/>
      <c r="IL33" s="16">
        <f t="shared" si="101"/>
        <v>0</v>
      </c>
      <c r="IM33" s="16"/>
      <c r="IN33" s="16"/>
      <c r="IO33" s="16">
        <f t="shared" si="102"/>
        <v>0</v>
      </c>
      <c r="IP33" s="16"/>
      <c r="IQ33" s="16"/>
      <c r="IR33" s="16">
        <f t="shared" si="103"/>
        <v>0</v>
      </c>
      <c r="IS33" s="16"/>
      <c r="IT33" s="16"/>
      <c r="IU33" s="16">
        <f t="shared" si="104"/>
        <v>0</v>
      </c>
      <c r="IV33" s="16"/>
      <c r="IW33" s="16"/>
      <c r="IX33" s="16">
        <f t="shared" si="105"/>
        <v>0</v>
      </c>
      <c r="IY33" s="16"/>
      <c r="IZ33" s="16"/>
      <c r="JA33" s="16">
        <f t="shared" si="106"/>
        <v>0</v>
      </c>
      <c r="JB33" s="16"/>
      <c r="JC33" s="16"/>
      <c r="JD33" s="16">
        <f t="shared" si="107"/>
        <v>0</v>
      </c>
      <c r="JE33" s="16"/>
      <c r="JF33" s="16"/>
      <c r="JG33" s="16">
        <f t="shared" si="108"/>
        <v>0</v>
      </c>
      <c r="JH33" s="16"/>
      <c r="JI33" s="16"/>
      <c r="JJ33" s="16">
        <f t="shared" si="109"/>
        <v>0</v>
      </c>
      <c r="JK33" s="16"/>
      <c r="JL33" s="16"/>
      <c r="JM33" s="16">
        <f t="shared" si="110"/>
        <v>0</v>
      </c>
      <c r="JN33" s="16"/>
      <c r="JO33" s="16"/>
      <c r="JP33" s="16">
        <f t="shared" si="111"/>
        <v>0</v>
      </c>
      <c r="JQ33" s="16"/>
      <c r="JR33" s="16"/>
      <c r="JS33" s="16">
        <f t="shared" si="112"/>
        <v>0</v>
      </c>
      <c r="JT33" s="16"/>
      <c r="JU33" s="16"/>
      <c r="JV33" s="16">
        <f t="shared" si="113"/>
        <v>0</v>
      </c>
      <c r="JW33" s="16"/>
      <c r="JX33" s="16"/>
      <c r="JY33" s="16">
        <f t="shared" si="114"/>
        <v>0</v>
      </c>
      <c r="JZ33" s="16"/>
      <c r="KA33" s="16"/>
      <c r="KB33" s="16">
        <f t="shared" si="115"/>
        <v>0</v>
      </c>
      <c r="KC33" s="16"/>
      <c r="KD33" s="16"/>
      <c r="KE33" s="16">
        <f t="shared" si="116"/>
        <v>0</v>
      </c>
      <c r="KG33" s="151">
        <f t="shared" si="58"/>
        <v>74600.000000000917</v>
      </c>
    </row>
    <row r="34" spans="1:293" x14ac:dyDescent="0.25">
      <c r="A34" s="35">
        <f t="shared" si="0"/>
        <v>28</v>
      </c>
      <c r="B34" s="38">
        <v>5360.4</v>
      </c>
      <c r="C34" s="38">
        <f t="shared" si="1"/>
        <v>11.099999999999454</v>
      </c>
      <c r="D34" s="38">
        <f t="shared" si="2"/>
        <v>355199.99999998254</v>
      </c>
      <c r="E34" s="38">
        <v>1076.8</v>
      </c>
      <c r="F34" s="38">
        <f t="shared" si="3"/>
        <v>74559.999999997672</v>
      </c>
      <c r="G34" s="38">
        <f t="shared" si="4"/>
        <v>429759.99999998021</v>
      </c>
      <c r="H34" s="37"/>
      <c r="I34" s="39"/>
      <c r="J34" s="42"/>
      <c r="K34" s="37">
        <f t="shared" si="80"/>
        <v>0</v>
      </c>
      <c r="L34" s="40">
        <v>17213500</v>
      </c>
      <c r="M34" s="40"/>
      <c r="N34" s="37">
        <f t="shared" si="81"/>
        <v>425000</v>
      </c>
      <c r="O34" s="37">
        <v>12735.2</v>
      </c>
      <c r="P34" s="37"/>
      <c r="Q34" s="37">
        <f t="shared" si="119"/>
        <v>17500</v>
      </c>
      <c r="R34" s="37">
        <f t="shared" si="82"/>
        <v>1</v>
      </c>
      <c r="S34" s="37">
        <v>11265691.789999999</v>
      </c>
      <c r="T34" s="37">
        <f t="shared" si="6"/>
        <v>348.67999999970198</v>
      </c>
      <c r="U34" s="37">
        <v>1523790.61</v>
      </c>
      <c r="V34" s="37">
        <f t="shared" si="7"/>
        <v>0</v>
      </c>
      <c r="W34" s="37">
        <v>4556.5</v>
      </c>
      <c r="X34" s="37">
        <f t="shared" si="95"/>
        <v>17051.320000000298</v>
      </c>
      <c r="Y34" s="183"/>
      <c r="Z34" s="183"/>
      <c r="AA34" s="37">
        <v>794800</v>
      </c>
      <c r="AB34" s="37">
        <f t="shared" si="8"/>
        <v>100</v>
      </c>
      <c r="AC34" s="37">
        <v>4722.3</v>
      </c>
      <c r="AD34" s="37"/>
      <c r="AE34" s="37">
        <f t="shared" si="121"/>
        <v>5400.0000000005457</v>
      </c>
      <c r="AF34" s="37">
        <f t="shared" si="83"/>
        <v>1</v>
      </c>
      <c r="AG34" s="37">
        <v>10249.200000000001</v>
      </c>
      <c r="AH34" s="37"/>
      <c r="AI34" s="37">
        <f t="shared" si="10"/>
        <v>12380.310000001455</v>
      </c>
      <c r="AJ34" s="37">
        <f t="shared" si="11"/>
        <v>1</v>
      </c>
      <c r="AK34" s="37">
        <f t="shared" si="12"/>
        <v>35180.310000001999</v>
      </c>
      <c r="AL34" s="42">
        <v>11946.9</v>
      </c>
      <c r="AM34" s="42"/>
      <c r="AN34" s="37">
        <f t="shared" si="59"/>
        <v>5930.3100000004042</v>
      </c>
      <c r="AO34" s="37">
        <f t="shared" si="84"/>
        <v>1</v>
      </c>
      <c r="AP34" s="37">
        <v>9389.2999999999993</v>
      </c>
      <c r="AQ34" s="37"/>
      <c r="AR34" s="37">
        <f t="shared" si="13"/>
        <v>12699.999999998909</v>
      </c>
      <c r="AS34" s="37">
        <f t="shared" si="85"/>
        <v>1</v>
      </c>
      <c r="AT34" s="183"/>
      <c r="AU34" s="183"/>
      <c r="AV34" s="183"/>
      <c r="AW34" s="183"/>
      <c r="AX34" s="37">
        <v>523320</v>
      </c>
      <c r="AY34" s="37"/>
      <c r="AZ34" s="37">
        <f t="shared" si="14"/>
        <v>410</v>
      </c>
      <c r="BA34" s="37">
        <v>206160</v>
      </c>
      <c r="BB34" s="37"/>
      <c r="BC34" s="37">
        <f t="shared" si="15"/>
        <v>660</v>
      </c>
      <c r="BD34" s="37">
        <f t="shared" si="86"/>
        <v>19700.309999999314</v>
      </c>
      <c r="BE34" s="43">
        <v>2076.8000000000002</v>
      </c>
      <c r="BF34" s="43">
        <v>1165.5999999999999</v>
      </c>
      <c r="BG34" s="37">
        <f t="shared" si="16"/>
        <v>1700.0000000002728</v>
      </c>
      <c r="BH34" s="44">
        <v>9797.2000000000007</v>
      </c>
      <c r="BI34" s="44">
        <v>6324.5</v>
      </c>
      <c r="BJ34" s="37">
        <f t="shared" si="17"/>
        <v>9000</v>
      </c>
      <c r="BK34" s="40">
        <v>1964960</v>
      </c>
      <c r="BL34" s="40">
        <f t="shared" si="87"/>
        <v>4230</v>
      </c>
      <c r="BM34" s="40">
        <v>935.28</v>
      </c>
      <c r="BN34" s="37">
        <f t="shared" si="18"/>
        <v>620.00000000000455</v>
      </c>
      <c r="BO34" s="186"/>
      <c r="BP34" s="183">
        <f t="shared" si="19"/>
        <v>0</v>
      </c>
      <c r="BQ34" s="40">
        <v>880.9</v>
      </c>
      <c r="BR34" s="37">
        <f t="shared" si="60"/>
        <v>799.99999999995453</v>
      </c>
      <c r="BS34" s="37">
        <v>118078.51</v>
      </c>
      <c r="BT34" s="37">
        <f t="shared" si="20"/>
        <v>222.54999999998836</v>
      </c>
      <c r="BU34" s="42">
        <v>3537148</v>
      </c>
      <c r="BV34" s="42"/>
      <c r="BW34" s="37">
        <f t="shared" si="21"/>
        <v>5842</v>
      </c>
      <c r="BX34" s="37">
        <f>IF(BW34&lt;=0,0,(BW34/SQRT(BW34^2+(BV34-BV33)^2)))</f>
        <v>1</v>
      </c>
      <c r="BY34" s="43">
        <v>409.63200000000001</v>
      </c>
      <c r="BZ34" s="37"/>
      <c r="CA34" s="37">
        <f t="shared" si="117"/>
        <v>773.30000000000609</v>
      </c>
      <c r="CB34" s="37">
        <f t="shared" si="61"/>
        <v>1</v>
      </c>
      <c r="CC34" s="37">
        <v>808619.9</v>
      </c>
      <c r="CD34" s="37">
        <f t="shared" si="23"/>
        <v>304.20000000006985</v>
      </c>
      <c r="CE34" s="41">
        <v>1737309</v>
      </c>
      <c r="CF34" s="37">
        <f t="shared" si="24"/>
        <v>4949</v>
      </c>
      <c r="CG34" s="37">
        <v>122633</v>
      </c>
      <c r="CH34" s="37">
        <f t="shared" si="62"/>
        <v>420.89999999999418</v>
      </c>
      <c r="CI34" s="40">
        <v>14344.1</v>
      </c>
      <c r="CJ34" s="40"/>
      <c r="CK34" s="37">
        <f t="shared" si="63"/>
        <v>15177.010000001157</v>
      </c>
      <c r="CL34" s="37">
        <f t="shared" si="25"/>
        <v>1</v>
      </c>
      <c r="CM34" s="37">
        <v>4215.1080000000002</v>
      </c>
      <c r="CN34" s="37"/>
      <c r="CO34" s="37">
        <f t="shared" si="26"/>
        <v>8903.3099999997739</v>
      </c>
      <c r="CP34" s="37">
        <f t="shared" si="89"/>
        <v>1</v>
      </c>
      <c r="CQ34" s="39">
        <v>766840.5</v>
      </c>
      <c r="CR34" s="39"/>
      <c r="CS34" s="37">
        <f t="shared" si="64"/>
        <v>7277.9099999999771</v>
      </c>
      <c r="CT34" s="37">
        <f t="shared" si="65"/>
        <v>1</v>
      </c>
      <c r="CU34" s="37">
        <v>4393709</v>
      </c>
      <c r="CV34" s="37"/>
      <c r="CW34" s="38">
        <f t="shared" si="27"/>
        <v>5056</v>
      </c>
      <c r="CX34" s="37">
        <f t="shared" si="90"/>
        <v>1</v>
      </c>
      <c r="CY34" s="37">
        <v>2344109</v>
      </c>
      <c r="CZ34" s="37"/>
      <c r="DA34" s="37">
        <f t="shared" si="123"/>
        <v>4188</v>
      </c>
      <c r="DB34" s="37">
        <f t="shared" si="91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0"/>
        <v>-46444.230000000913</v>
      </c>
      <c r="DH34" s="37">
        <f t="shared" si="31"/>
        <v>461880.31000000227</v>
      </c>
      <c r="DI34" s="46"/>
      <c r="DJ34" s="46"/>
      <c r="DK34" s="47"/>
      <c r="DL34" s="47"/>
      <c r="DM34" s="37"/>
      <c r="DN34" s="37"/>
      <c r="DO34" s="37"/>
      <c r="DP34" s="37"/>
      <c r="DQ34" s="50">
        <v>4414800</v>
      </c>
      <c r="DR34" s="49">
        <f t="shared" si="66"/>
        <v>10000</v>
      </c>
      <c r="DS34" s="50">
        <v>5681200</v>
      </c>
      <c r="DT34" s="49">
        <f t="shared" si="67"/>
        <v>19600</v>
      </c>
      <c r="DU34" s="51">
        <v>8396.2000000000007</v>
      </c>
      <c r="DV34" s="51">
        <v>4745.2</v>
      </c>
      <c r="DW34" s="37">
        <f t="shared" si="92"/>
        <v>4600.0000000003638</v>
      </c>
      <c r="DX34" s="52">
        <v>13889</v>
      </c>
      <c r="DY34" s="52">
        <v>8693.7000000000007</v>
      </c>
      <c r="DZ34" s="37">
        <f t="shared" si="32"/>
        <v>8480.31</v>
      </c>
      <c r="EA34" s="49">
        <v>32209</v>
      </c>
      <c r="EB34" s="49">
        <v>22.059000000000001</v>
      </c>
      <c r="EC34" s="37">
        <f t="shared" si="126"/>
        <v>21480.31</v>
      </c>
      <c r="ED34" s="53">
        <f t="shared" si="34"/>
        <v>34560.620000000366</v>
      </c>
      <c r="EE34" s="49">
        <v>48026</v>
      </c>
      <c r="EF34" s="49">
        <v>31.599</v>
      </c>
      <c r="EG34" s="37">
        <f t="shared" si="127"/>
        <v>28480.31</v>
      </c>
      <c r="EH34" s="51">
        <v>14171</v>
      </c>
      <c r="EI34" s="51">
        <v>2.0688</v>
      </c>
      <c r="EJ34" s="37">
        <f t="shared" si="36"/>
        <v>11480.31</v>
      </c>
      <c r="EK34" s="37">
        <v>862.7</v>
      </c>
      <c r="EL34" s="40">
        <v>1236.4000000000001</v>
      </c>
      <c r="EM34" s="37">
        <f t="shared" si="68"/>
        <v>710.00000000003638</v>
      </c>
      <c r="EN34" s="54">
        <f t="shared" si="69"/>
        <v>40670.620000000039</v>
      </c>
      <c r="EO34" s="48">
        <v>13708.11</v>
      </c>
      <c r="EP34" s="48"/>
      <c r="EQ34" s="37">
        <f t="shared" si="70"/>
        <v>7090.3100000013219</v>
      </c>
      <c r="ER34" s="48">
        <f>(ER35-ER33)/2+ER33</f>
        <v>10901.555</v>
      </c>
      <c r="ES34" s="48"/>
      <c r="ET34" s="49">
        <f t="shared" si="99"/>
        <v>16555.000000000291</v>
      </c>
      <c r="EU34" s="48">
        <v>4481.3729999999996</v>
      </c>
      <c r="EV34" s="48"/>
      <c r="EW34" s="49">
        <f t="shared" si="38"/>
        <v>10983.309999999701</v>
      </c>
      <c r="EX34" s="48">
        <v>14598.95</v>
      </c>
      <c r="EY34" s="48"/>
      <c r="EZ34" s="37">
        <f t="shared" si="39"/>
        <v>11130.310000001455</v>
      </c>
      <c r="FA34" s="48">
        <f t="shared" si="71"/>
        <v>-41751.930000002765</v>
      </c>
      <c r="FB34" s="48">
        <v>38668527</v>
      </c>
      <c r="FC34" s="49">
        <f t="shared" si="93"/>
        <v>4007</v>
      </c>
      <c r="FD34" s="48">
        <f t="shared" si="72"/>
        <v>48242.530000002764</v>
      </c>
      <c r="FE34" s="48">
        <v>17891.8</v>
      </c>
      <c r="FF34" s="48"/>
      <c r="FG34" s="37">
        <f t="shared" si="73"/>
        <v>9810.6499999978059</v>
      </c>
      <c r="FH34" s="48">
        <v>10403.6</v>
      </c>
      <c r="FI34" s="48"/>
      <c r="FJ34" s="49">
        <f t="shared" si="40"/>
        <v>18960.650000000001</v>
      </c>
      <c r="FK34" s="48"/>
      <c r="FL34" s="58">
        <v>-519.66</v>
      </c>
      <c r="FM34" s="48">
        <f t="shared" si="94"/>
        <v>-103.98333333318381</v>
      </c>
      <c r="FN34" s="48">
        <v>17765.2</v>
      </c>
      <c r="FO34" s="48"/>
      <c r="FP34" s="37">
        <f t="shared" si="74"/>
        <v>11960.65</v>
      </c>
      <c r="FQ34" s="48">
        <v>62509.47</v>
      </c>
      <c r="FR34" s="48"/>
      <c r="FS34" s="37">
        <f t="shared" si="41"/>
        <v>40419.999999998254</v>
      </c>
      <c r="FT34" s="48">
        <f t="shared" si="75"/>
        <v>-311.94999999955144</v>
      </c>
      <c r="FU34" s="48">
        <f t="shared" si="76"/>
        <v>40734.94999999796</v>
      </c>
      <c r="FV34" s="44">
        <v>6602015</v>
      </c>
      <c r="FW34" s="44"/>
      <c r="FX34" s="37">
        <f t="shared" si="42"/>
        <v>32695</v>
      </c>
      <c r="FY34" s="56">
        <v>70052.7</v>
      </c>
      <c r="FZ34" s="56"/>
      <c r="GA34" s="37">
        <f t="shared" si="124"/>
        <v>7584.6999999999971</v>
      </c>
      <c r="GB34" s="56">
        <v>885.65160000000003</v>
      </c>
      <c r="GC34" s="56"/>
      <c r="GD34" s="37">
        <f t="shared" si="44"/>
        <v>840.59999999999491</v>
      </c>
      <c r="GE34" s="56">
        <v>10921.65</v>
      </c>
      <c r="GF34" s="56"/>
      <c r="GG34" s="37">
        <f t="shared" si="45"/>
        <v>8603.3999999999905</v>
      </c>
      <c r="GH34" s="158">
        <v>61046.9</v>
      </c>
      <c r="GI34" s="159"/>
      <c r="GJ34" s="38">
        <f t="shared" si="77"/>
        <v>2483.5999999999985</v>
      </c>
      <c r="GK34" s="56">
        <v>1533.3050000000001</v>
      </c>
      <c r="GL34" s="44"/>
      <c r="GM34" s="38">
        <f t="shared" si="46"/>
        <v>3.0000000001564331</v>
      </c>
      <c r="GN34" s="57">
        <v>244076.1</v>
      </c>
      <c r="GO34" s="57"/>
      <c r="GP34" s="38">
        <f t="shared" si="97"/>
        <v>3</v>
      </c>
      <c r="GQ34" s="38">
        <v>297916.90000000002</v>
      </c>
      <c r="GR34" s="38"/>
      <c r="GS34" s="38">
        <f t="shared" si="78"/>
        <v>141</v>
      </c>
      <c r="GT34" s="178"/>
      <c r="GU34" s="144">
        <f>DailyAug!B33-DailyAug!N33-DailyAug!V33-DailyAug!Y33-DailyAug!Z33-DailyAug!AA33-DailyAug!AB33-DailyAug!AC33-DailyAug!AD33-DailyAug!AE33-DailyAug!AK33-DailyAug!AO33-DailyAug!AS33-DailyAug!AY33-DailyAug!BD33+DailyAug!BU33-DailyAug!BG33-DailyAug!BT33-DailyAug!AF33-DailyAug!AG33</f>
        <v>-7.0000023464672267E-2</v>
      </c>
      <c r="GV34" s="59">
        <v>7204.58</v>
      </c>
      <c r="GW34" s="60">
        <f t="shared" si="47"/>
        <v>480.30533333333335</v>
      </c>
      <c r="GX34" s="61">
        <v>480.31</v>
      </c>
      <c r="GY34" s="140"/>
      <c r="GZ34" s="62"/>
      <c r="HA34" s="62"/>
      <c r="HB34" s="74"/>
      <c r="HC34" s="62"/>
      <c r="HD34" s="74"/>
      <c r="HE34" s="24">
        <f t="shared" si="48"/>
        <v>0</v>
      </c>
      <c r="HG34" s="213">
        <v>28</v>
      </c>
      <c r="HH34" s="16">
        <v>24111</v>
      </c>
      <c r="HI34" s="16">
        <v>91824</v>
      </c>
      <c r="HJ34" s="16">
        <f t="shared" si="49"/>
        <v>174000</v>
      </c>
      <c r="HK34" s="16">
        <v>2.1432000000000002</v>
      </c>
      <c r="HL34" s="16">
        <v>807.23</v>
      </c>
      <c r="HM34" s="16">
        <f t="shared" si="100"/>
        <v>0</v>
      </c>
      <c r="HN34" s="16">
        <v>6147.8</v>
      </c>
      <c r="HO34" s="16">
        <v>2634.5</v>
      </c>
      <c r="HP34" s="16">
        <f t="shared" si="51"/>
        <v>45725</v>
      </c>
      <c r="HQ34" s="16">
        <v>4375.1000000000004</v>
      </c>
      <c r="HR34" s="16">
        <v>1856.4</v>
      </c>
      <c r="HS34" s="16">
        <f t="shared" si="52"/>
        <v>25425.000000000728</v>
      </c>
      <c r="HT34" s="16">
        <v>4277.3</v>
      </c>
      <c r="HU34" s="16">
        <v>1559.3</v>
      </c>
      <c r="HV34" s="16">
        <f t="shared" si="53"/>
        <v>27825.000000000364</v>
      </c>
      <c r="HW34" s="16">
        <v>3001.4</v>
      </c>
      <c r="HX34" s="16">
        <v>1289.3</v>
      </c>
      <c r="HY34" s="16">
        <f t="shared" si="54"/>
        <v>24925.000000000273</v>
      </c>
      <c r="HZ34" s="16">
        <v>2172700</v>
      </c>
      <c r="IA34" s="16">
        <v>90404</v>
      </c>
      <c r="IB34" s="16">
        <f t="shared" si="55"/>
        <v>30500</v>
      </c>
      <c r="IC34" s="229">
        <v>719.8</v>
      </c>
      <c r="ID34" s="229">
        <v>232.78</v>
      </c>
      <c r="IE34" s="16">
        <f t="shared" si="79"/>
        <v>0</v>
      </c>
      <c r="IF34" s="16"/>
      <c r="IG34" s="16"/>
      <c r="IH34" s="128">
        <f t="shared" si="56"/>
        <v>19600</v>
      </c>
      <c r="II34" s="211">
        <f t="shared" si="125"/>
        <v>-1.3678800314664841E-9</v>
      </c>
      <c r="IJ34" s="16"/>
      <c r="IK34" s="16"/>
      <c r="IL34" s="16">
        <f t="shared" si="101"/>
        <v>0</v>
      </c>
      <c r="IM34" s="16"/>
      <c r="IN34" s="16"/>
      <c r="IO34" s="16">
        <f t="shared" si="102"/>
        <v>0</v>
      </c>
      <c r="IP34" s="16"/>
      <c r="IQ34" s="16"/>
      <c r="IR34" s="16">
        <f t="shared" si="103"/>
        <v>0</v>
      </c>
      <c r="IS34" s="16"/>
      <c r="IT34" s="16"/>
      <c r="IU34" s="16">
        <f t="shared" si="104"/>
        <v>0</v>
      </c>
      <c r="IV34" s="16"/>
      <c r="IW34" s="16"/>
      <c r="IX34" s="16">
        <f t="shared" si="105"/>
        <v>0</v>
      </c>
      <c r="IY34" s="16"/>
      <c r="IZ34" s="16"/>
      <c r="JA34" s="16">
        <f t="shared" si="106"/>
        <v>0</v>
      </c>
      <c r="JB34" s="16"/>
      <c r="JC34" s="16"/>
      <c r="JD34" s="16">
        <f t="shared" si="107"/>
        <v>0</v>
      </c>
      <c r="JE34" s="16"/>
      <c r="JF34" s="16"/>
      <c r="JG34" s="16">
        <f t="shared" si="108"/>
        <v>0</v>
      </c>
      <c r="JH34" s="16"/>
      <c r="JI34" s="16"/>
      <c r="JJ34" s="16">
        <f t="shared" si="109"/>
        <v>0</v>
      </c>
      <c r="JK34" s="16"/>
      <c r="JL34" s="16"/>
      <c r="JM34" s="16">
        <f t="shared" si="110"/>
        <v>0</v>
      </c>
      <c r="JN34" s="16"/>
      <c r="JO34" s="16"/>
      <c r="JP34" s="16">
        <f t="shared" si="111"/>
        <v>0</v>
      </c>
      <c r="JQ34" s="16"/>
      <c r="JR34" s="16"/>
      <c r="JS34" s="16">
        <f t="shared" si="112"/>
        <v>0</v>
      </c>
      <c r="JT34" s="16"/>
      <c r="JU34" s="16"/>
      <c r="JV34" s="16">
        <f t="shared" si="113"/>
        <v>0</v>
      </c>
      <c r="JW34" s="16"/>
      <c r="JX34" s="16"/>
      <c r="JY34" s="16">
        <f t="shared" si="114"/>
        <v>0</v>
      </c>
      <c r="JZ34" s="16"/>
      <c r="KA34" s="16"/>
      <c r="KB34" s="16">
        <f t="shared" si="115"/>
        <v>0</v>
      </c>
      <c r="KC34" s="16"/>
      <c r="KD34" s="16"/>
      <c r="KE34" s="16">
        <f t="shared" si="116"/>
        <v>0</v>
      </c>
      <c r="KG34" s="151">
        <f t="shared" si="58"/>
        <v>76224.999999998632</v>
      </c>
    </row>
    <row r="35" spans="1:293" x14ac:dyDescent="0.25">
      <c r="A35" s="35">
        <v>29</v>
      </c>
      <c r="B35" s="38">
        <v>5371.75</v>
      </c>
      <c r="C35" s="38">
        <f t="shared" si="1"/>
        <v>11.350000000000364</v>
      </c>
      <c r="D35" s="38">
        <f t="shared" si="2"/>
        <v>363200.00000001164</v>
      </c>
      <c r="E35" s="38">
        <v>1079.1300000000001</v>
      </c>
      <c r="F35" s="38">
        <f t="shared" si="3"/>
        <v>74560.000000004948</v>
      </c>
      <c r="G35" s="38">
        <f t="shared" si="4"/>
        <v>437760.00000001659</v>
      </c>
      <c r="H35" s="37"/>
      <c r="I35" s="39"/>
      <c r="J35" s="42"/>
      <c r="K35" s="37">
        <f>IF(J35&lt;=0,0,(J35/SQRT(J35^2+(I35-I34)^2)))</f>
        <v>0</v>
      </c>
      <c r="L35" s="40">
        <v>17256600</v>
      </c>
      <c r="M35" s="40"/>
      <c r="N35" s="37">
        <f t="shared" si="81"/>
        <v>431000</v>
      </c>
      <c r="O35" s="37">
        <v>12752.8</v>
      </c>
      <c r="P35" s="37"/>
      <c r="Q35" s="37">
        <f t="shared" si="119"/>
        <v>17599.999999998545</v>
      </c>
      <c r="R35" s="37">
        <f>IF(Q35&lt;=0,0,(Q35/SQRT(Q35^2+(P35-P34)^2)))</f>
        <v>1</v>
      </c>
      <c r="S35" s="37">
        <v>11266028.119999999</v>
      </c>
      <c r="T35" s="37">
        <f t="shared" si="6"/>
        <v>336.33000000007451</v>
      </c>
      <c r="U35" s="37">
        <v>1523790.61</v>
      </c>
      <c r="V35" s="37">
        <f t="shared" si="7"/>
        <v>0</v>
      </c>
      <c r="W35" s="37">
        <v>4562.3999999999996</v>
      </c>
      <c r="X35" s="37">
        <f t="shared" si="95"/>
        <v>17063.66999999847</v>
      </c>
      <c r="Y35" s="183"/>
      <c r="Z35" s="183"/>
      <c r="AA35" s="37">
        <v>795000</v>
      </c>
      <c r="AB35" s="37">
        <f t="shared" si="8"/>
        <v>200</v>
      </c>
      <c r="AC35" s="37">
        <v>4728.6000000000004</v>
      </c>
      <c r="AD35" s="37"/>
      <c r="AE35" s="37">
        <f t="shared" si="121"/>
        <v>6300.0000000001819</v>
      </c>
      <c r="AF35" s="37">
        <f>IF(AE35&lt;=0,0,(AE35/SQRT(AE35^2+(AD35-AD34)^2)))</f>
        <v>1</v>
      </c>
      <c r="AG35" s="37">
        <v>10263.200000000001</v>
      </c>
      <c r="AH35" s="37"/>
      <c r="AI35" s="37">
        <f t="shared" si="10"/>
        <v>14352.3</v>
      </c>
      <c r="AJ35" s="37">
        <f t="shared" si="11"/>
        <v>1</v>
      </c>
      <c r="AK35" s="37">
        <f t="shared" si="12"/>
        <v>38052.299999998722</v>
      </c>
      <c r="AL35" s="42">
        <v>11958.4</v>
      </c>
      <c r="AM35" s="42"/>
      <c r="AN35" s="37">
        <f t="shared" si="59"/>
        <v>6092.2999999999265</v>
      </c>
      <c r="AO35" s="37">
        <f>IF(AN35&lt;=0,0,(AN35/SQRT(AN35^2+(AM35-AM34)^2)))</f>
        <v>1</v>
      </c>
      <c r="AP35" s="37">
        <v>9400.7000000000007</v>
      </c>
      <c r="AQ35" s="37"/>
      <c r="AR35" s="37">
        <f t="shared" si="13"/>
        <v>11400.000000001455</v>
      </c>
      <c r="AS35" s="37">
        <f>IF(AR35&lt;=0,0,(AR35/SQRT(AR35^2+(AQ35-AQ34)^2)))</f>
        <v>1</v>
      </c>
      <c r="AT35" s="183"/>
      <c r="AU35" s="183"/>
      <c r="AV35" s="183"/>
      <c r="AW35" s="183"/>
      <c r="AX35" s="37">
        <v>523740</v>
      </c>
      <c r="AY35" s="37"/>
      <c r="AZ35" s="37">
        <f t="shared" si="14"/>
        <v>420</v>
      </c>
      <c r="BA35" s="37">
        <v>206810</v>
      </c>
      <c r="BB35" s="37"/>
      <c r="BC35" s="37">
        <f t="shared" si="15"/>
        <v>650</v>
      </c>
      <c r="BD35" s="37">
        <f>AN35+AR35+AZ35+BC35</f>
        <v>18562.300000001382</v>
      </c>
      <c r="BE35" s="43">
        <v>2078.3000000000002</v>
      </c>
      <c r="BF35" s="43">
        <v>1166.7</v>
      </c>
      <c r="BG35" s="37">
        <f t="shared" si="16"/>
        <v>1500</v>
      </c>
      <c r="BH35" s="44">
        <v>9806.7999999999993</v>
      </c>
      <c r="BI35" s="44">
        <v>6330.9</v>
      </c>
      <c r="BJ35" s="37">
        <f t="shared" si="17"/>
        <v>9599.9999999985448</v>
      </c>
      <c r="BK35" s="40">
        <v>1969300</v>
      </c>
      <c r="BL35" s="40">
        <f t="shared" si="87"/>
        <v>4340</v>
      </c>
      <c r="BM35" s="40">
        <v>935.9</v>
      </c>
      <c r="BN35" s="37">
        <f t="shared" si="18"/>
        <v>620.00000000000455</v>
      </c>
      <c r="BO35" s="186"/>
      <c r="BP35" s="183">
        <f t="shared" si="19"/>
        <v>0</v>
      </c>
      <c r="BQ35" s="40">
        <v>881.7</v>
      </c>
      <c r="BR35" s="37">
        <f t="shared" si="60"/>
        <v>800.00000000006821</v>
      </c>
      <c r="BS35" s="37">
        <v>118298.96</v>
      </c>
      <c r="BT35" s="37">
        <f t="shared" si="20"/>
        <v>220.45000000001164</v>
      </c>
      <c r="BU35" s="42">
        <v>3542611</v>
      </c>
      <c r="BV35" s="42"/>
      <c r="BW35" s="37">
        <f t="shared" si="21"/>
        <v>5463</v>
      </c>
      <c r="BX35" s="37">
        <f>IF(BW35&lt;=0,0,(BW35/SQRT(BW35^2+(BV35-BV34)^2)))</f>
        <v>1</v>
      </c>
      <c r="BY35" s="37">
        <v>410.36410000000001</v>
      </c>
      <c r="BZ35" s="37"/>
      <c r="CA35" s="37">
        <f t="shared" si="117"/>
        <v>732.10000000000264</v>
      </c>
      <c r="CB35" s="37">
        <f t="shared" si="61"/>
        <v>1</v>
      </c>
      <c r="CC35" s="37">
        <v>808619.9</v>
      </c>
      <c r="CD35" s="37">
        <f t="shared" si="23"/>
        <v>0</v>
      </c>
      <c r="CE35" s="41">
        <v>1742599</v>
      </c>
      <c r="CF35" s="37">
        <f t="shared" si="24"/>
        <v>5290</v>
      </c>
      <c r="CG35" s="37">
        <v>122633</v>
      </c>
      <c r="CH35" s="37">
        <f t="shared" si="62"/>
        <v>0</v>
      </c>
      <c r="CI35" s="40">
        <v>14359.42</v>
      </c>
      <c r="CJ35" s="40"/>
      <c r="CK35" s="37">
        <f t="shared" si="63"/>
        <v>14940.199999999706</v>
      </c>
      <c r="CL35" s="37">
        <f t="shared" si="25"/>
        <v>1</v>
      </c>
      <c r="CM35" s="37">
        <v>4221.9260000000004</v>
      </c>
      <c r="CN35" s="37"/>
      <c r="CO35" s="37">
        <f t="shared" si="26"/>
        <v>7170.3000000002112</v>
      </c>
      <c r="CP35" s="37">
        <f>IF(CO35&lt;=0,0,(CO35/SQRT(CO35^2+(CN35-CN34)^2)))</f>
        <v>1</v>
      </c>
      <c r="CQ35" s="39">
        <v>772807.8</v>
      </c>
      <c r="CR35" s="39"/>
      <c r="CS35" s="37">
        <f t="shared" si="64"/>
        <v>6319.6000000000467</v>
      </c>
      <c r="CT35" s="37">
        <f t="shared" si="65"/>
        <v>1</v>
      </c>
      <c r="CU35" s="37">
        <v>4412632</v>
      </c>
      <c r="CV35" s="37"/>
      <c r="CW35" s="38">
        <f t="shared" si="27"/>
        <v>18923</v>
      </c>
      <c r="CX35" s="37">
        <f t="shared" si="90"/>
        <v>1</v>
      </c>
      <c r="CY35" s="37">
        <v>2355401</v>
      </c>
      <c r="CZ35" s="37"/>
      <c r="DA35" s="37">
        <f t="shared" si="123"/>
        <v>11292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0"/>
        <v>-64108.099999999969</v>
      </c>
      <c r="DH35" s="37">
        <f t="shared" si="31"/>
        <v>470552.29999999871</v>
      </c>
      <c r="DI35" s="46"/>
      <c r="DJ35" s="46"/>
      <c r="DK35" s="46"/>
      <c r="DL35" s="47"/>
      <c r="DM35" s="37"/>
      <c r="DN35" s="37"/>
      <c r="DO35" s="37"/>
      <c r="DP35" s="37"/>
      <c r="DQ35" s="50">
        <v>4424300</v>
      </c>
      <c r="DR35" s="49">
        <f t="shared" si="66"/>
        <v>9500</v>
      </c>
      <c r="DS35" s="50">
        <v>5705900</v>
      </c>
      <c r="DT35" s="49">
        <f t="shared" si="67"/>
        <v>24700</v>
      </c>
      <c r="DU35" s="51">
        <v>8400.6</v>
      </c>
      <c r="DV35" s="51">
        <v>4746.3999999999996</v>
      </c>
      <c r="DW35" s="37">
        <f t="shared" si="92"/>
        <v>4399.9999999996362</v>
      </c>
      <c r="DX35" s="52">
        <v>13898</v>
      </c>
      <c r="DY35" s="52">
        <v>8966.1</v>
      </c>
      <c r="DZ35" s="37">
        <f t="shared" si="32"/>
        <v>9352.2999999999993</v>
      </c>
      <c r="EA35" s="49">
        <v>32230</v>
      </c>
      <c r="EB35" s="49">
        <v>22.07</v>
      </c>
      <c r="EC35" s="37">
        <f t="shared" si="126"/>
        <v>21352.3</v>
      </c>
      <c r="ED35" s="53">
        <f t="shared" si="34"/>
        <v>35104.599999999635</v>
      </c>
      <c r="EE35" s="49">
        <v>48055</v>
      </c>
      <c r="EF35" s="49">
        <v>31.622</v>
      </c>
      <c r="EG35" s="37">
        <f t="shared" si="127"/>
        <v>29352.3</v>
      </c>
      <c r="EH35" s="51">
        <v>14182</v>
      </c>
      <c r="EI35" s="51">
        <v>2.0720000000000001</v>
      </c>
      <c r="EJ35" s="37">
        <f t="shared" si="36"/>
        <v>11352.3</v>
      </c>
      <c r="EK35" s="37">
        <v>863.39</v>
      </c>
      <c r="EL35" s="40">
        <v>1237.3</v>
      </c>
      <c r="EM35" s="37">
        <f t="shared" si="68"/>
        <v>689.99999999994088</v>
      </c>
      <c r="EN35" s="54">
        <f t="shared" si="69"/>
        <v>41394.59999999994</v>
      </c>
      <c r="EO35" s="55">
        <v>13715.18</v>
      </c>
      <c r="EP35" s="48"/>
      <c r="EQ35" s="37">
        <f t="shared" si="70"/>
        <v>6472.299999999721</v>
      </c>
      <c r="ER35" s="48">
        <v>10918.11</v>
      </c>
      <c r="ES35" s="48"/>
      <c r="ET35" s="49">
        <f t="shared" si="99"/>
        <v>16555.000000000291</v>
      </c>
      <c r="EU35" s="48">
        <v>4490.8440000000001</v>
      </c>
      <c r="EV35" s="48"/>
      <c r="EW35" s="49">
        <f t="shared" si="38"/>
        <v>9823.3000000004577</v>
      </c>
      <c r="EX35" s="48">
        <v>14608.43</v>
      </c>
      <c r="EY35" s="48"/>
      <c r="EZ35" s="37">
        <f t="shared" si="39"/>
        <v>9832.2999999995627</v>
      </c>
      <c r="FA35" s="48">
        <f t="shared" si="71"/>
        <v>-21843.900000000031</v>
      </c>
      <c r="FB35" s="48">
        <v>38689366</v>
      </c>
      <c r="FC35" s="49">
        <f t="shared" si="93"/>
        <v>20839</v>
      </c>
      <c r="FD35" s="48">
        <f t="shared" si="72"/>
        <v>44256.900000000038</v>
      </c>
      <c r="FE35" s="48">
        <v>17900</v>
      </c>
      <c r="FF35" s="48"/>
      <c r="FG35" s="37">
        <f t="shared" si="73"/>
        <v>9183.720000000716</v>
      </c>
      <c r="FH35" s="48">
        <v>10420.4</v>
      </c>
      <c r="FI35" s="48"/>
      <c r="FJ35" s="49">
        <f t="shared" si="40"/>
        <v>16833.71999999927</v>
      </c>
      <c r="FK35" s="48"/>
      <c r="FL35" s="58">
        <v>-318.58</v>
      </c>
      <c r="FM35" s="48">
        <f t="shared" si="94"/>
        <v>-63.720000001013126</v>
      </c>
      <c r="FN35" s="48">
        <v>17776.5</v>
      </c>
      <c r="FO35" s="48"/>
      <c r="FP35" s="37">
        <f t="shared" si="74"/>
        <v>11333.719999999272</v>
      </c>
      <c r="FQ35" s="48">
        <v>62546.63</v>
      </c>
      <c r="FR35" s="48"/>
      <c r="FS35" s="37">
        <f>IF((FQ35-FQ34)*1000&lt;=0,0,(FQ35-FQ34)*1000)</f>
        <v>37159.999999996217</v>
      </c>
      <c r="FT35" s="48">
        <f t="shared" si="75"/>
        <v>-191.16000000303939</v>
      </c>
      <c r="FU35" s="48">
        <f t="shared" si="76"/>
        <v>37354.159999999189</v>
      </c>
      <c r="FV35" s="44">
        <v>6629278</v>
      </c>
      <c r="FW35" s="44"/>
      <c r="FX35" s="37">
        <f t="shared" si="42"/>
        <v>27263</v>
      </c>
      <c r="FY35" s="56">
        <v>76948.7</v>
      </c>
      <c r="FZ35" s="56"/>
      <c r="GA35" s="37">
        <f t="shared" si="124"/>
        <v>6896</v>
      </c>
      <c r="GB35" s="56">
        <v>886.39409999999998</v>
      </c>
      <c r="GC35" s="56"/>
      <c r="GD35" s="37">
        <f t="shared" si="44"/>
        <v>742.49999999994998</v>
      </c>
      <c r="GE35" s="56">
        <v>10930.36</v>
      </c>
      <c r="GF35" s="56"/>
      <c r="GG35" s="37">
        <f t="shared" si="45"/>
        <v>7133.0000000010168</v>
      </c>
      <c r="GH35" s="48">
        <v>62620.9</v>
      </c>
      <c r="GI35" s="56"/>
      <c r="GJ35" s="38">
        <f t="shared" si="77"/>
        <v>1574</v>
      </c>
      <c r="GK35" s="56">
        <v>1533.308</v>
      </c>
      <c r="GL35" s="44"/>
      <c r="GM35" s="38">
        <f t="shared" si="46"/>
        <v>2.9999999999290594</v>
      </c>
      <c r="GN35" s="57">
        <v>244079</v>
      </c>
      <c r="GO35" s="57"/>
      <c r="GP35" s="38">
        <f t="shared" si="97"/>
        <v>2.8999999999941792</v>
      </c>
      <c r="GQ35" s="38">
        <v>298172</v>
      </c>
      <c r="GR35" s="38"/>
      <c r="GS35" s="38">
        <f t="shared" si="78"/>
        <v>255.09999999997672</v>
      </c>
      <c r="GT35" s="178"/>
      <c r="GU35" s="144">
        <f>DailyAug!B34-DailyAug!N34-DailyAug!V34-DailyAug!Y34-DailyAug!Z34-DailyAug!AA34-DailyAug!AB34-DailyAug!AC34-DailyAug!AD34-DailyAug!AE34-DailyAug!AK34-DailyAug!AO34-DailyAug!AS34-DailyAug!AY34-DailyAug!BD34+DailyAug!BU34-DailyAug!BG34-DailyAug!BT34-DailyAug!AF34-DailyAug!AG34</f>
        <v>-5.9999981807777658E-2</v>
      </c>
      <c r="GV35" s="59">
        <v>5284.44</v>
      </c>
      <c r="GW35" s="60">
        <f t="shared" si="47"/>
        <v>352.29599999999999</v>
      </c>
      <c r="GX35" s="61">
        <v>352.3</v>
      </c>
      <c r="GY35" s="140"/>
      <c r="GZ35" s="62"/>
      <c r="HA35" s="62"/>
      <c r="HB35" s="74"/>
      <c r="HC35" s="62"/>
      <c r="HD35" s="74"/>
      <c r="HE35" s="24">
        <f t="shared" si="48"/>
        <v>0</v>
      </c>
      <c r="HG35" s="213">
        <v>29</v>
      </c>
      <c r="HH35" s="16">
        <v>24290</v>
      </c>
      <c r="HI35" s="16">
        <v>92496</v>
      </c>
      <c r="HJ35" s="16">
        <f t="shared" si="49"/>
        <v>179000</v>
      </c>
      <c r="HK35" s="16">
        <v>2.1432000000000002</v>
      </c>
      <c r="HL35" s="16">
        <v>807.23</v>
      </c>
      <c r="HM35" s="16">
        <f t="shared" si="100"/>
        <v>0</v>
      </c>
      <c r="HN35" s="16">
        <v>6193.9</v>
      </c>
      <c r="HO35" s="16">
        <v>2653.2</v>
      </c>
      <c r="HP35" s="16">
        <f t="shared" si="51"/>
        <v>45999.999999999454</v>
      </c>
      <c r="HQ35" s="16">
        <v>4400.2</v>
      </c>
      <c r="HR35" s="16">
        <v>1866.3</v>
      </c>
      <c r="HS35" s="16">
        <f t="shared" si="52"/>
        <v>24999.999999999454</v>
      </c>
      <c r="HT35" s="16">
        <v>4305.2</v>
      </c>
      <c r="HU35" s="16">
        <v>1568.5</v>
      </c>
      <c r="HV35" s="16">
        <f t="shared" si="53"/>
        <v>27799.999999999636</v>
      </c>
      <c r="HW35" s="16">
        <v>3025.7</v>
      </c>
      <c r="HX35" s="16">
        <v>1299.5</v>
      </c>
      <c r="HY35" s="16">
        <f t="shared" si="54"/>
        <v>24199.999999999727</v>
      </c>
      <c r="HZ35" s="16">
        <v>2204000</v>
      </c>
      <c r="IA35" s="16">
        <v>966711</v>
      </c>
      <c r="IB35" s="16">
        <f t="shared" si="55"/>
        <v>31300</v>
      </c>
      <c r="IC35" s="229">
        <v>719.8</v>
      </c>
      <c r="ID35" s="229">
        <v>232.78</v>
      </c>
      <c r="IE35" s="16">
        <f t="shared" si="79"/>
        <v>0</v>
      </c>
      <c r="IF35" s="16"/>
      <c r="IG35" s="16"/>
      <c r="IH35" s="128">
        <f t="shared" si="56"/>
        <v>24700</v>
      </c>
      <c r="II35" s="211">
        <f t="shared" si="125"/>
        <v>1.7389538697898388E-9</v>
      </c>
      <c r="IJ35" s="16"/>
      <c r="IK35" s="16"/>
      <c r="IL35" s="16">
        <f t="shared" si="101"/>
        <v>0</v>
      </c>
      <c r="IM35" s="16"/>
      <c r="IN35" s="16"/>
      <c r="IO35" s="16">
        <f t="shared" si="102"/>
        <v>0</v>
      </c>
      <c r="IP35" s="16"/>
      <c r="IQ35" s="16"/>
      <c r="IR35" s="16">
        <f t="shared" si="103"/>
        <v>0</v>
      </c>
      <c r="IS35" s="16"/>
      <c r="IT35" s="16"/>
      <c r="IU35" s="16">
        <f t="shared" si="104"/>
        <v>0</v>
      </c>
      <c r="IV35" s="16"/>
      <c r="IW35" s="16"/>
      <c r="IX35" s="16">
        <f t="shared" si="105"/>
        <v>0</v>
      </c>
      <c r="IY35" s="16"/>
      <c r="IZ35" s="16"/>
      <c r="JA35" s="16">
        <f t="shared" si="106"/>
        <v>0</v>
      </c>
      <c r="JB35" s="16"/>
      <c r="JC35" s="16"/>
      <c r="JD35" s="16">
        <f t="shared" si="107"/>
        <v>0</v>
      </c>
      <c r="JE35" s="16"/>
      <c r="JF35" s="16"/>
      <c r="JG35" s="16">
        <f t="shared" si="108"/>
        <v>0</v>
      </c>
      <c r="JH35" s="16"/>
      <c r="JI35" s="16"/>
      <c r="JJ35" s="16">
        <f t="shared" si="109"/>
        <v>0</v>
      </c>
      <c r="JK35" s="16"/>
      <c r="JL35" s="16"/>
      <c r="JM35" s="16">
        <f t="shared" si="110"/>
        <v>0</v>
      </c>
      <c r="JN35" s="16"/>
      <c r="JO35" s="16"/>
      <c r="JP35" s="16">
        <f t="shared" si="111"/>
        <v>0</v>
      </c>
      <c r="JQ35" s="16"/>
      <c r="JR35" s="16"/>
      <c r="JS35" s="16">
        <f t="shared" si="112"/>
        <v>0</v>
      </c>
      <c r="JT35" s="16"/>
      <c r="JU35" s="16"/>
      <c r="JV35" s="16">
        <f t="shared" si="113"/>
        <v>0</v>
      </c>
      <c r="JW35" s="16"/>
      <c r="JX35" s="16"/>
      <c r="JY35" s="16">
        <f t="shared" si="114"/>
        <v>0</v>
      </c>
      <c r="JZ35" s="16"/>
      <c r="KA35" s="16"/>
      <c r="KB35" s="16">
        <f t="shared" si="115"/>
        <v>0</v>
      </c>
      <c r="KC35" s="16"/>
      <c r="KD35" s="16"/>
      <c r="KE35" s="16">
        <f t="shared" si="116"/>
        <v>0</v>
      </c>
      <c r="KG35" s="151">
        <f t="shared" si="58"/>
        <v>77300.000000001193</v>
      </c>
    </row>
    <row r="36" spans="1:293" x14ac:dyDescent="0.25">
      <c r="A36" s="35">
        <f t="shared" si="0"/>
        <v>30</v>
      </c>
      <c r="B36" s="38">
        <v>5383.55</v>
      </c>
      <c r="C36" s="38">
        <f t="shared" si="1"/>
        <v>11.800000000000182</v>
      </c>
      <c r="D36" s="38">
        <f t="shared" si="2"/>
        <v>377600.00000000582</v>
      </c>
      <c r="E36" s="38">
        <v>1081.51</v>
      </c>
      <c r="F36" s="38">
        <f t="shared" si="3"/>
        <v>76159.999999996217</v>
      </c>
      <c r="G36" s="38">
        <f t="shared" si="4"/>
        <v>453760.00000000204</v>
      </c>
      <c r="H36" s="37"/>
      <c r="I36" s="39"/>
      <c r="J36" s="42"/>
      <c r="K36" s="37">
        <f>IF(J36&lt;=0,0,(J36/SQRT(J36^2+(I36-I35)^2)))</f>
        <v>0</v>
      </c>
      <c r="L36" s="40">
        <v>17302200</v>
      </c>
      <c r="M36" s="40"/>
      <c r="N36" s="37">
        <f t="shared" si="81"/>
        <v>456000</v>
      </c>
      <c r="O36" s="37">
        <v>12771.2</v>
      </c>
      <c r="P36" s="37"/>
      <c r="Q36" s="37">
        <f t="shared" si="119"/>
        <v>18400.000000001455</v>
      </c>
      <c r="R36" s="37">
        <f>IF(Q36&lt;=0,0,(Q36/SQRT(Q36^2+(P36-P35)^2)))</f>
        <v>1</v>
      </c>
      <c r="S36" s="37">
        <v>11266390.01</v>
      </c>
      <c r="T36" s="37">
        <f t="shared" si="6"/>
        <v>361.89000000059605</v>
      </c>
      <c r="U36" s="37">
        <v>1523790.61</v>
      </c>
      <c r="V36" s="37">
        <f>IF((U36-U35)&lt;=0,0,(U36-U35))</f>
        <v>0</v>
      </c>
      <c r="W36" s="37">
        <v>4568.8999999999996</v>
      </c>
      <c r="X36" s="37">
        <f t="shared" si="95"/>
        <v>18038.110000000859</v>
      </c>
      <c r="Y36" s="183"/>
      <c r="Z36" s="183"/>
      <c r="AA36" s="37">
        <v>795000</v>
      </c>
      <c r="AB36" s="37">
        <f t="shared" si="8"/>
        <v>0</v>
      </c>
      <c r="AC36" s="37">
        <v>4736.3</v>
      </c>
      <c r="AD36" s="37"/>
      <c r="AE36" s="37">
        <f t="shared" si="121"/>
        <v>7699.9999999998181</v>
      </c>
      <c r="AF36" s="37">
        <f>IF(AE36&lt;=0,0,(AE36/SQRT(AE36^2+(AD36-AD35)^2)))</f>
        <v>1</v>
      </c>
      <c r="AG36" s="37">
        <v>10279.799999999999</v>
      </c>
      <c r="AH36" s="37"/>
      <c r="AI36" s="37">
        <f t="shared" si="10"/>
        <v>17230.339999998545</v>
      </c>
      <c r="AJ36" s="37">
        <f t="shared" si="11"/>
        <v>1</v>
      </c>
      <c r="AK36" s="37">
        <f t="shared" si="12"/>
        <v>43330.339999999822</v>
      </c>
      <c r="AL36" s="42">
        <v>11970.83</v>
      </c>
      <c r="AM36" s="42"/>
      <c r="AN36" s="37">
        <f t="shared" si="59"/>
        <v>7200.3400000003639</v>
      </c>
      <c r="AO36" s="37">
        <f>IF(AN36&lt;=0,0,(AN36/SQRT(AN36^2+(AM36-AM35)^2)))</f>
        <v>1</v>
      </c>
      <c r="AP36" s="37">
        <v>9409.6</v>
      </c>
      <c r="AQ36" s="37"/>
      <c r="AR36" s="37">
        <f t="shared" si="13"/>
        <v>8899.9999999996362</v>
      </c>
      <c r="AS36" s="37">
        <f>IF(AR36&lt;=0,0,(AR36/SQRT(AR36^2+(AQ36-AQ35)^2)))</f>
        <v>1</v>
      </c>
      <c r="AT36" s="183"/>
      <c r="AU36" s="183"/>
      <c r="AV36" s="183"/>
      <c r="AW36" s="183"/>
      <c r="AX36" s="37">
        <v>524180</v>
      </c>
      <c r="AY36" s="37"/>
      <c r="AZ36" s="37">
        <f t="shared" si="14"/>
        <v>440</v>
      </c>
      <c r="BA36" s="37">
        <v>207470</v>
      </c>
      <c r="BB36" s="37"/>
      <c r="BC36" s="37">
        <f t="shared" si="15"/>
        <v>660</v>
      </c>
      <c r="BD36" s="37">
        <f>AN36+AR36+AZ36+BC36</f>
        <v>17200.34</v>
      </c>
      <c r="BE36" s="43">
        <v>2079.8000000000002</v>
      </c>
      <c r="BF36" s="43">
        <v>1167.8</v>
      </c>
      <c r="BG36" s="37">
        <f t="shared" si="16"/>
        <v>1500</v>
      </c>
      <c r="BH36" s="44">
        <v>9815.2000000000007</v>
      </c>
      <c r="BI36" s="44">
        <v>6336.5</v>
      </c>
      <c r="BJ36" s="37">
        <f t="shared" si="17"/>
        <v>8400.0000000014552</v>
      </c>
      <c r="BK36" s="40">
        <v>1973830</v>
      </c>
      <c r="BL36" s="40">
        <f t="shared" si="87"/>
        <v>4530</v>
      </c>
      <c r="BM36" s="40">
        <v>936.53</v>
      </c>
      <c r="BN36" s="37">
        <f t="shared" si="18"/>
        <v>629.99999999999545</v>
      </c>
      <c r="BO36" s="186"/>
      <c r="BP36" s="183">
        <f t="shared" si="19"/>
        <v>0</v>
      </c>
      <c r="BQ36" s="40">
        <v>882.4</v>
      </c>
      <c r="BR36" s="37">
        <f t="shared" si="60"/>
        <v>699.99999999993179</v>
      </c>
      <c r="BS36" s="37">
        <v>118520.37</v>
      </c>
      <c r="BT36" s="37">
        <f t="shared" si="20"/>
        <v>221.40999999998894</v>
      </c>
      <c r="BU36" s="42">
        <v>3548857</v>
      </c>
      <c r="BV36" s="42"/>
      <c r="BW36" s="37">
        <f t="shared" si="21"/>
        <v>6246</v>
      </c>
      <c r="BX36" s="37">
        <f>IF(BW36&lt;=0,0,(BW36/SQRT(BW36^2+(BV36-BV35)^2)))</f>
        <v>1</v>
      </c>
      <c r="BY36" s="43">
        <v>411.07060000000001</v>
      </c>
      <c r="BZ36" s="43"/>
      <c r="CA36" s="37">
        <f t="shared" si="117"/>
        <v>706.50000000000546</v>
      </c>
      <c r="CB36" s="37">
        <f t="shared" si="61"/>
        <v>1</v>
      </c>
      <c r="CC36" s="37">
        <v>808619.9</v>
      </c>
      <c r="CD36" s="37">
        <f t="shared" si="23"/>
        <v>0</v>
      </c>
      <c r="CE36" s="41">
        <v>1748639</v>
      </c>
      <c r="CF36" s="37">
        <f t="shared" si="24"/>
        <v>6040</v>
      </c>
      <c r="CG36" s="37">
        <v>122633</v>
      </c>
      <c r="CH36" s="37">
        <f t="shared" si="62"/>
        <v>0</v>
      </c>
      <c r="CI36" s="40">
        <v>14374.9</v>
      </c>
      <c r="CJ36" s="40"/>
      <c r="CK36" s="37">
        <f t="shared" si="63"/>
        <v>15403.839999999558</v>
      </c>
      <c r="CL36" s="37">
        <f t="shared" si="25"/>
        <v>1</v>
      </c>
      <c r="CM36" s="37">
        <f>CM35+6.82</f>
        <v>4228.7460000000001</v>
      </c>
      <c r="CN36" s="37"/>
      <c r="CO36" s="37">
        <f t="shared" si="26"/>
        <v>7450.3399999997091</v>
      </c>
      <c r="CP36" s="37">
        <f>IF(CO36&lt;=0,0,(CO36/SQRT(CO36^2+(CN36-CN35)^2)))</f>
        <v>1</v>
      </c>
      <c r="CQ36" s="39">
        <v>778132.4</v>
      </c>
      <c r="CR36" s="39"/>
      <c r="CS36" s="37">
        <f t="shared" si="64"/>
        <v>5954.9399999999769</v>
      </c>
      <c r="CT36" s="37">
        <f t="shared" si="65"/>
        <v>1</v>
      </c>
      <c r="CU36" s="37">
        <v>4432207</v>
      </c>
      <c r="CV36" s="41"/>
      <c r="CW36" s="38">
        <f t="shared" si="27"/>
        <v>19575</v>
      </c>
      <c r="CX36" s="37">
        <f t="shared" si="90"/>
        <v>1</v>
      </c>
      <c r="CY36" s="37">
        <v>2367038</v>
      </c>
      <c r="CZ36" s="37"/>
      <c r="DA36" s="37">
        <f t="shared" si="123"/>
        <v>11637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0"/>
        <v>-66267.119999999239</v>
      </c>
      <c r="DH36" s="37">
        <f t="shared" si="31"/>
        <v>500830.33999999985</v>
      </c>
      <c r="DI36" s="46"/>
      <c r="DJ36" s="46"/>
      <c r="DK36" s="47"/>
      <c r="DL36" s="47"/>
      <c r="DM36" s="37"/>
      <c r="DN36" s="37"/>
      <c r="DO36" s="37"/>
      <c r="DP36" s="37"/>
      <c r="DQ36" s="50">
        <v>4433200</v>
      </c>
      <c r="DR36" s="49">
        <f t="shared" si="66"/>
        <v>8900</v>
      </c>
      <c r="DS36" s="50">
        <v>5731100</v>
      </c>
      <c r="DT36" s="49">
        <f t="shared" si="67"/>
        <v>25200</v>
      </c>
      <c r="DU36" s="51">
        <v>8404.6</v>
      </c>
      <c r="DV36" s="51">
        <v>4747.6000000000004</v>
      </c>
      <c r="DW36" s="37">
        <f t="shared" si="92"/>
        <v>4000</v>
      </c>
      <c r="DX36" s="52">
        <v>13906</v>
      </c>
      <c r="DY36" s="52">
        <v>8704.2999999999993</v>
      </c>
      <c r="DZ36" s="37">
        <f t="shared" si="32"/>
        <v>8630.34</v>
      </c>
      <c r="EA36" s="49">
        <v>32251</v>
      </c>
      <c r="EB36" s="49">
        <v>22.08</v>
      </c>
      <c r="EC36" s="37">
        <f t="shared" si="126"/>
        <v>21630.34</v>
      </c>
      <c r="ED36" s="53">
        <f t="shared" si="34"/>
        <v>34260.68</v>
      </c>
      <c r="EE36" s="49">
        <v>48082</v>
      </c>
      <c r="EF36" s="49">
        <v>31.643000000000001</v>
      </c>
      <c r="EG36" s="37">
        <f t="shared" si="127"/>
        <v>27630.34</v>
      </c>
      <c r="EH36" s="51">
        <v>14193</v>
      </c>
      <c r="EI36" s="51">
        <v>2.0752000000000002</v>
      </c>
      <c r="EJ36" s="37">
        <f t="shared" si="36"/>
        <v>11630.34</v>
      </c>
      <c r="EK36" s="37">
        <v>864.05</v>
      </c>
      <c r="EL36" s="40">
        <v>1238.2</v>
      </c>
      <c r="EM36" s="37">
        <f t="shared" si="68"/>
        <v>659.99999999996817</v>
      </c>
      <c r="EN36" s="54">
        <f t="shared" si="69"/>
        <v>39920.679999999971</v>
      </c>
      <c r="EO36" s="48">
        <v>13723</v>
      </c>
      <c r="EP36" s="48"/>
      <c r="EQ36" s="37">
        <f t="shared" si="70"/>
        <v>7495.3399999997255</v>
      </c>
      <c r="ER36" s="48">
        <v>10935</v>
      </c>
      <c r="ES36" s="55"/>
      <c r="ET36" s="49">
        <f t="shared" si="99"/>
        <v>16889.999999999418</v>
      </c>
      <c r="EU36" s="48">
        <v>4501.3999999999996</v>
      </c>
      <c r="EV36" s="48"/>
      <c r="EW36" s="49">
        <f t="shared" si="38"/>
        <v>11186.339999999585</v>
      </c>
      <c r="EX36" s="48">
        <v>14619</v>
      </c>
      <c r="EY36" s="48"/>
      <c r="EZ36" s="37">
        <f t="shared" si="39"/>
        <v>11200.339999999709</v>
      </c>
      <c r="FA36" s="48">
        <f t="shared" si="71"/>
        <v>-23294.01999999844</v>
      </c>
      <c r="FB36" s="48">
        <v>38712844</v>
      </c>
      <c r="FC36" s="49">
        <f>IF((FB36-FB35)&lt;=0,0,(FB36-FB35))</f>
        <v>23478</v>
      </c>
      <c r="FD36" s="48">
        <f t="shared" si="72"/>
        <v>48493.119999998431</v>
      </c>
      <c r="FE36" s="153">
        <v>17909</v>
      </c>
      <c r="FF36" s="48"/>
      <c r="FG36" s="37">
        <f t="shared" si="73"/>
        <v>9591.9999999999836</v>
      </c>
      <c r="FH36" s="48">
        <v>10437</v>
      </c>
      <c r="FI36" s="48"/>
      <c r="FJ36" s="49">
        <f t="shared" si="40"/>
        <v>16237.000000000364</v>
      </c>
      <c r="FK36" s="48"/>
      <c r="FL36" s="58">
        <v>-993.34</v>
      </c>
      <c r="FM36" s="48">
        <f t="shared" si="94"/>
        <v>-198.66666666590996</v>
      </c>
      <c r="FN36" s="48">
        <v>17788</v>
      </c>
      <c r="FO36" s="48"/>
      <c r="FP36" s="37">
        <f t="shared" si="74"/>
        <v>11137</v>
      </c>
      <c r="FQ36" s="48">
        <v>62583</v>
      </c>
      <c r="FR36" s="48"/>
      <c r="FS36" s="37">
        <f>IF((FQ36-FQ35)*1000&lt;=0,0,(FQ36-FQ35)*1000)</f>
        <v>36370.000000002619</v>
      </c>
      <c r="FT36" s="48">
        <f t="shared" si="75"/>
        <v>-595.9999999977299</v>
      </c>
      <c r="FU36" s="48">
        <f t="shared" si="76"/>
        <v>36966.000000000349</v>
      </c>
      <c r="FV36" s="44">
        <v>6665600</v>
      </c>
      <c r="FW36" s="44"/>
      <c r="FX36" s="37">
        <f t="shared" si="42"/>
        <v>36322</v>
      </c>
      <c r="FY36" s="56">
        <v>85271</v>
      </c>
      <c r="FZ36" s="56"/>
      <c r="GA36" s="37">
        <f t="shared" si="124"/>
        <v>8322.3000000000029</v>
      </c>
      <c r="GB36" s="56">
        <v>887.39</v>
      </c>
      <c r="GC36" s="56"/>
      <c r="GD36" s="37">
        <f t="shared" si="44"/>
        <v>995.900000000006</v>
      </c>
      <c r="GE36" s="56">
        <v>10941</v>
      </c>
      <c r="GF36" s="63"/>
      <c r="GG36" s="37">
        <f t="shared" si="45"/>
        <v>8918.8999999994194</v>
      </c>
      <c r="GH36" s="48">
        <v>64342</v>
      </c>
      <c r="GI36" s="56"/>
      <c r="GJ36" s="38">
        <f t="shared" si="77"/>
        <v>1721.0999999999985</v>
      </c>
      <c r="GK36" s="56">
        <v>1533.3</v>
      </c>
      <c r="GL36" s="44"/>
      <c r="GM36" s="38">
        <f t="shared" si="46"/>
        <v>0</v>
      </c>
      <c r="GN36" s="57">
        <v>244080</v>
      </c>
      <c r="GO36" s="57"/>
      <c r="GP36" s="38">
        <f t="shared" si="97"/>
        <v>1</v>
      </c>
      <c r="GQ36" s="38">
        <v>298470</v>
      </c>
      <c r="GR36" s="38"/>
      <c r="GS36" s="38">
        <f t="shared" si="78"/>
        <v>298</v>
      </c>
      <c r="GT36" s="178"/>
      <c r="GU36" s="144">
        <f>DailyAug!B35-DailyAug!N35-DailyAug!V35-DailyAug!Y35-DailyAug!Z35-DailyAug!AA35-DailyAug!AB35-DailyAug!AC35-DailyAug!AD35-DailyAug!AE35-DailyAug!AK35-DailyAug!AO35-DailyAug!AS35-DailyAug!AY35-DailyAug!BD35+DailyAug!BU35-DailyAug!BG35-DailyAug!BT35-DailyAug!AF35-DailyAug!AG35</f>
        <v>2.0000003394670784E-2</v>
      </c>
      <c r="GV36" s="59">
        <v>9455.1200000000008</v>
      </c>
      <c r="GW36" s="60">
        <f t="shared" si="47"/>
        <v>630.34133333333341</v>
      </c>
      <c r="GX36" s="61">
        <v>630.34</v>
      </c>
      <c r="GY36" s="140"/>
      <c r="GZ36" s="62"/>
      <c r="HA36" s="62"/>
      <c r="HB36" s="62"/>
      <c r="HC36" s="62"/>
      <c r="HD36" s="74"/>
      <c r="HE36" s="24"/>
      <c r="HG36" s="213">
        <v>30</v>
      </c>
      <c r="HH36" s="16">
        <v>24461</v>
      </c>
      <c r="HI36" s="16">
        <v>9313.1</v>
      </c>
      <c r="HJ36" s="16">
        <f t="shared" si="49"/>
        <v>171000</v>
      </c>
      <c r="HK36" s="16">
        <v>2.1432000000000002</v>
      </c>
      <c r="HL36" s="16">
        <v>807.19</v>
      </c>
      <c r="HM36" s="16">
        <f t="shared" si="100"/>
        <v>0</v>
      </c>
      <c r="HN36" s="16">
        <v>6238.7</v>
      </c>
      <c r="HO36" s="16">
        <v>2670</v>
      </c>
      <c r="HP36" s="16">
        <f t="shared" si="51"/>
        <v>44500.000000000182</v>
      </c>
      <c r="HQ36" s="16">
        <v>4420.3999999999996</v>
      </c>
      <c r="HR36" s="16">
        <v>1873.4</v>
      </c>
      <c r="HS36" s="16">
        <f t="shared" si="52"/>
        <v>19899.999999999818</v>
      </c>
      <c r="HT36" s="16">
        <v>4332.2</v>
      </c>
      <c r="HU36" s="16">
        <v>1576.9</v>
      </c>
      <c r="HV36" s="16">
        <f t="shared" si="53"/>
        <v>26700</v>
      </c>
      <c r="HW36" s="16">
        <v>3050.1</v>
      </c>
      <c r="HX36" s="16">
        <v>1309.7</v>
      </c>
      <c r="HY36" s="16">
        <f t="shared" si="54"/>
        <v>24100.000000000091</v>
      </c>
      <c r="HZ36" s="16">
        <v>2234600</v>
      </c>
      <c r="IA36" s="16">
        <v>97918</v>
      </c>
      <c r="IB36" s="16">
        <f t="shared" si="55"/>
        <v>30600</v>
      </c>
      <c r="IC36" s="229">
        <v>719.8</v>
      </c>
      <c r="ID36" s="229">
        <v>232.78</v>
      </c>
      <c r="IE36" s="16">
        <f t="shared" si="79"/>
        <v>0</v>
      </c>
      <c r="IF36" s="16"/>
      <c r="IG36" s="16"/>
      <c r="IH36" s="128">
        <f t="shared" si="56"/>
        <v>25200</v>
      </c>
      <c r="II36" s="211">
        <f t="shared" si="125"/>
        <v>-9.4587448984384537E-11</v>
      </c>
      <c r="IJ36" s="16"/>
      <c r="IK36" s="16"/>
      <c r="IL36" s="16">
        <f t="shared" si="101"/>
        <v>0</v>
      </c>
      <c r="IM36" s="16"/>
      <c r="IN36" s="16"/>
      <c r="IO36" s="16">
        <f t="shared" si="102"/>
        <v>0</v>
      </c>
      <c r="IP36" s="16"/>
      <c r="IQ36" s="16"/>
      <c r="IR36" s="16">
        <f t="shared" si="103"/>
        <v>0</v>
      </c>
      <c r="IS36" s="16"/>
      <c r="IT36" s="16"/>
      <c r="IU36" s="16">
        <f t="shared" si="104"/>
        <v>0</v>
      </c>
      <c r="IV36" s="16"/>
      <c r="IW36" s="16"/>
      <c r="IX36" s="16">
        <f t="shared" si="105"/>
        <v>0</v>
      </c>
      <c r="IY36" s="16"/>
      <c r="IZ36" s="16"/>
      <c r="JA36" s="16">
        <f t="shared" si="106"/>
        <v>0</v>
      </c>
      <c r="JB36" s="16"/>
      <c r="JC36" s="16"/>
      <c r="JD36" s="16">
        <f t="shared" si="107"/>
        <v>0</v>
      </c>
      <c r="JE36" s="16"/>
      <c r="JF36" s="16"/>
      <c r="JG36" s="16">
        <f t="shared" si="108"/>
        <v>0</v>
      </c>
      <c r="JH36" s="16"/>
      <c r="JI36" s="16"/>
      <c r="JJ36" s="16">
        <f t="shared" si="109"/>
        <v>0</v>
      </c>
      <c r="JK36" s="16"/>
      <c r="JL36" s="16"/>
      <c r="JM36" s="16">
        <f t="shared" si="110"/>
        <v>0</v>
      </c>
      <c r="JN36" s="16"/>
      <c r="JO36" s="16"/>
      <c r="JP36" s="16">
        <f t="shared" si="111"/>
        <v>0</v>
      </c>
      <c r="JQ36" s="16"/>
      <c r="JR36" s="16"/>
      <c r="JS36" s="16">
        <f t="shared" si="112"/>
        <v>0</v>
      </c>
      <c r="JT36" s="16"/>
      <c r="JU36" s="16"/>
      <c r="JV36" s="16">
        <f t="shared" si="113"/>
        <v>0</v>
      </c>
      <c r="JW36" s="16"/>
      <c r="JX36" s="16"/>
      <c r="JY36" s="16">
        <f t="shared" si="114"/>
        <v>0</v>
      </c>
      <c r="JZ36" s="16"/>
      <c r="KA36" s="16"/>
      <c r="KB36" s="16">
        <f t="shared" si="115"/>
        <v>0</v>
      </c>
      <c r="KC36" s="16"/>
      <c r="KD36" s="16"/>
      <c r="KE36" s="16">
        <f t="shared" si="116"/>
        <v>0</v>
      </c>
      <c r="KG36" s="151">
        <f t="shared" si="58"/>
        <v>75100.000000000087</v>
      </c>
    </row>
    <row r="37" spans="1:293" x14ac:dyDescent="0.25">
      <c r="A37" s="35">
        <v>31</v>
      </c>
      <c r="B37" s="38">
        <v>5395.33</v>
      </c>
      <c r="C37" s="38">
        <f t="shared" si="1"/>
        <v>11.779999999999745</v>
      </c>
      <c r="D37" s="38">
        <f t="shared" si="2"/>
        <v>376959.99999999185</v>
      </c>
      <c r="E37" s="38">
        <v>1083.8900000000001</v>
      </c>
      <c r="F37" s="38">
        <f t="shared" si="3"/>
        <v>76160.000000003492</v>
      </c>
      <c r="G37" s="38">
        <f t="shared" si="4"/>
        <v>453119.99999999534</v>
      </c>
      <c r="H37" s="37"/>
      <c r="I37" s="39"/>
      <c r="J37" s="42"/>
      <c r="K37" s="37">
        <f>IF(J37&lt;=0,0,(J37/SQRT(J37^2+(I37-I36)^2)))</f>
        <v>0</v>
      </c>
      <c r="L37" s="40">
        <v>17347200</v>
      </c>
      <c r="M37" s="40"/>
      <c r="N37" s="37">
        <f t="shared" si="81"/>
        <v>450000</v>
      </c>
      <c r="O37" s="37">
        <v>12789.4</v>
      </c>
      <c r="P37" s="37"/>
      <c r="Q37" s="37">
        <f t="shared" si="119"/>
        <v>18199.999999998909</v>
      </c>
      <c r="R37" s="37">
        <f>IF(Q37&lt;=0,0,(Q37/SQRT(Q37^2+(P37-P36)^2)))</f>
        <v>1</v>
      </c>
      <c r="S37" s="37">
        <v>11266744.18</v>
      </c>
      <c r="T37" s="37">
        <f t="shared" si="6"/>
        <v>354.16999999992549</v>
      </c>
      <c r="U37" s="37">
        <v>1523790.61</v>
      </c>
      <c r="V37" s="37">
        <f>IF((U37-U36)&lt;=0,0,(U37-U36))</f>
        <v>0</v>
      </c>
      <c r="W37" s="37">
        <v>4575.5</v>
      </c>
      <c r="X37" s="37">
        <f t="shared" si="95"/>
        <v>17745.829999998983</v>
      </c>
      <c r="Y37" s="183"/>
      <c r="Z37" s="183"/>
      <c r="AA37" s="37">
        <v>795100</v>
      </c>
      <c r="AB37" s="37">
        <f t="shared" si="8"/>
        <v>100</v>
      </c>
      <c r="AC37" s="37">
        <v>4744</v>
      </c>
      <c r="AD37" s="37"/>
      <c r="AE37" s="37">
        <f t="shared" si="121"/>
        <v>7699.9999999998181</v>
      </c>
      <c r="AF37" s="37">
        <f>IF(AE37&lt;=0,0,(AE37/SQRT(AE37^2+(AD37-AD36)^2)))</f>
        <v>1</v>
      </c>
      <c r="AG37" s="37">
        <v>10295.700000000001</v>
      </c>
      <c r="AH37" s="37"/>
      <c r="AI37" s="37">
        <f t="shared" si="10"/>
        <v>16632.470000001456</v>
      </c>
      <c r="AJ37" s="37">
        <f t="shared" si="11"/>
        <v>1</v>
      </c>
      <c r="AK37" s="37">
        <f t="shared" si="12"/>
        <v>42432.470000000183</v>
      </c>
      <c r="AL37" s="42">
        <v>11981.2</v>
      </c>
      <c r="AM37" s="42"/>
      <c r="AN37" s="37">
        <f t="shared" si="59"/>
        <v>5642.4700000007952</v>
      </c>
      <c r="AO37" s="37">
        <f>IF(AN37&lt;=0,0,(AN37/SQRT(AN37^2+(AM37-AM36)^2)))</f>
        <v>1</v>
      </c>
      <c r="AP37" s="37">
        <v>9419</v>
      </c>
      <c r="AQ37" s="37"/>
      <c r="AR37" s="37">
        <f t="shared" si="13"/>
        <v>9399.9999999996362</v>
      </c>
      <c r="AS37" s="37">
        <f>IF(AR37&lt;=0,0,(AR37/SQRT(AR37^2+(AQ37-AQ36)^2)))</f>
        <v>1</v>
      </c>
      <c r="AT37" s="183"/>
      <c r="AU37" s="183"/>
      <c r="AV37" s="183"/>
      <c r="AW37" s="183"/>
      <c r="AX37" s="37">
        <v>524620</v>
      </c>
      <c r="AY37" s="37"/>
      <c r="AZ37" s="37">
        <f t="shared" si="14"/>
        <v>440</v>
      </c>
      <c r="BA37" s="37">
        <v>208170</v>
      </c>
      <c r="BB37" s="37"/>
      <c r="BC37" s="37">
        <f t="shared" si="15"/>
        <v>700</v>
      </c>
      <c r="BD37" s="37">
        <f>AN37+AR37+AZ37+BC37</f>
        <v>16182.47000000043</v>
      </c>
      <c r="BE37" s="43">
        <v>2081.4</v>
      </c>
      <c r="BF37" s="43">
        <v>1169</v>
      </c>
      <c r="BG37" s="37">
        <f t="shared" si="16"/>
        <v>1599.9999999999091</v>
      </c>
      <c r="BH37" s="44">
        <v>9823</v>
      </c>
      <c r="BI37" s="44">
        <v>6342</v>
      </c>
      <c r="BJ37" s="37">
        <f t="shared" si="17"/>
        <v>7799.9999999992724</v>
      </c>
      <c r="BK37" s="40">
        <v>1978170</v>
      </c>
      <c r="BL37" s="40">
        <f t="shared" si="87"/>
        <v>4340</v>
      </c>
      <c r="BM37" s="40">
        <v>937.15</v>
      </c>
      <c r="BN37" s="37">
        <f t="shared" si="18"/>
        <v>620.00000000000455</v>
      </c>
      <c r="BO37" s="186"/>
      <c r="BP37" s="183">
        <f t="shared" si="19"/>
        <v>0</v>
      </c>
      <c r="BQ37" s="40">
        <v>882.9</v>
      </c>
      <c r="BR37" s="37">
        <f t="shared" si="60"/>
        <v>500</v>
      </c>
      <c r="BS37" s="37">
        <v>118750.13</v>
      </c>
      <c r="BT37" s="37">
        <f t="shared" si="20"/>
        <v>229.76000000000931</v>
      </c>
      <c r="BU37" s="42">
        <v>3557190</v>
      </c>
      <c r="BV37" s="42"/>
      <c r="BW37" s="37">
        <f t="shared" si="21"/>
        <v>8333</v>
      </c>
      <c r="BX37" s="37">
        <f>IF(BW37&lt;=0,0,(BW37/SQRT(BW37^2+(BV37-BV36)^2)))</f>
        <v>1</v>
      </c>
      <c r="BY37" s="43">
        <v>411.82619999999997</v>
      </c>
      <c r="BZ37" s="43"/>
      <c r="CA37" s="37">
        <f t="shared" si="117"/>
        <v>755.59999999995853</v>
      </c>
      <c r="CB37" s="37">
        <f t="shared" si="61"/>
        <v>1</v>
      </c>
      <c r="CC37" s="37">
        <v>809979.6</v>
      </c>
      <c r="CD37" s="37">
        <f t="shared" si="23"/>
        <v>1359.6999999999534</v>
      </c>
      <c r="CE37" s="41">
        <v>1755451</v>
      </c>
      <c r="CF37" s="37">
        <f t="shared" si="24"/>
        <v>6812</v>
      </c>
      <c r="CG37" s="37">
        <v>122633</v>
      </c>
      <c r="CH37" s="37">
        <f t="shared" si="62"/>
        <v>0</v>
      </c>
      <c r="CI37" s="40">
        <v>14390.54</v>
      </c>
      <c r="CJ37" s="40"/>
      <c r="CK37" s="37">
        <f t="shared" si="63"/>
        <v>15616.870000001278</v>
      </c>
      <c r="CL37" s="37">
        <f t="shared" si="25"/>
        <v>1</v>
      </c>
      <c r="CM37" s="37">
        <v>4233.5219999999999</v>
      </c>
      <c r="CN37" s="37"/>
      <c r="CO37" s="37">
        <f t="shared" si="26"/>
        <v>5508.4699999998402</v>
      </c>
      <c r="CP37" s="37">
        <f>IF(CO37&lt;=0,0,(CO37/SQRT(CO37^2+(CN37-CN36)^2)))</f>
        <v>1</v>
      </c>
      <c r="CQ37" s="39">
        <v>783562.6</v>
      </c>
      <c r="CR37" s="39"/>
      <c r="CS37" s="37">
        <f t="shared" si="64"/>
        <v>6162.6699999999537</v>
      </c>
      <c r="CT37" s="37">
        <f t="shared" si="65"/>
        <v>1</v>
      </c>
      <c r="CU37" s="37">
        <v>4452785</v>
      </c>
      <c r="CV37" s="41"/>
      <c r="CW37" s="38">
        <f t="shared" si="27"/>
        <v>20578</v>
      </c>
      <c r="CX37" s="37">
        <f t="shared" si="90"/>
        <v>1</v>
      </c>
      <c r="CY37" s="37">
        <v>2378962</v>
      </c>
      <c r="CZ37" s="37"/>
      <c r="DA37" s="37">
        <f t="shared" si="123"/>
        <v>11924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0"/>
        <v>-68123.010000001072</v>
      </c>
      <c r="DH37" s="37">
        <f t="shared" si="31"/>
        <v>494032.47000000009</v>
      </c>
      <c r="DI37" s="46"/>
      <c r="DJ37" s="46"/>
      <c r="DK37" s="47"/>
      <c r="DL37" s="47"/>
      <c r="DM37" s="37"/>
      <c r="DN37" s="37"/>
      <c r="DO37" s="37"/>
      <c r="DP37" s="37"/>
      <c r="DQ37" s="50">
        <v>4442600</v>
      </c>
      <c r="DR37" s="49">
        <f t="shared" si="66"/>
        <v>9400</v>
      </c>
      <c r="DS37" s="50">
        <v>5756900</v>
      </c>
      <c r="DT37" s="49">
        <f t="shared" si="67"/>
        <v>25800</v>
      </c>
      <c r="DU37" s="51">
        <v>8408.7999999999993</v>
      </c>
      <c r="DV37" s="51">
        <v>4749</v>
      </c>
      <c r="DW37" s="37">
        <f t="shared" si="92"/>
        <v>4199.9999999989086</v>
      </c>
      <c r="DX37" s="52">
        <v>13915</v>
      </c>
      <c r="DY37" s="52">
        <v>8709.7000000000007</v>
      </c>
      <c r="DZ37" s="37">
        <f t="shared" si="32"/>
        <v>9732.4699999999993</v>
      </c>
      <c r="EA37" s="49">
        <v>32273</v>
      </c>
      <c r="EB37" s="49">
        <v>22.091000000000001</v>
      </c>
      <c r="EC37" s="37">
        <f t="shared" si="126"/>
        <v>22732.47</v>
      </c>
      <c r="ED37" s="53">
        <f t="shared" si="34"/>
        <v>36664.939999998911</v>
      </c>
      <c r="EE37" s="49">
        <v>48112</v>
      </c>
      <c r="EF37" s="49">
        <v>31.66</v>
      </c>
      <c r="EG37" s="37">
        <f t="shared" si="127"/>
        <v>30732.47</v>
      </c>
      <c r="EH37" s="51">
        <v>14205</v>
      </c>
      <c r="EI37" s="51">
        <v>2.0785999999999998</v>
      </c>
      <c r="EJ37" s="37">
        <f t="shared" si="36"/>
        <v>12732.47</v>
      </c>
      <c r="EK37" s="37">
        <v>864.8</v>
      </c>
      <c r="EL37" s="40">
        <v>1239.3</v>
      </c>
      <c r="EM37" s="37">
        <f t="shared" si="68"/>
        <v>750</v>
      </c>
      <c r="EN37" s="54">
        <f t="shared" si="69"/>
        <v>44214.94</v>
      </c>
      <c r="EO37" s="48">
        <v>13730</v>
      </c>
      <c r="EP37" s="48"/>
      <c r="EQ37" s="37">
        <f t="shared" si="70"/>
        <v>6787.4700000000066</v>
      </c>
      <c r="ER37" s="48">
        <v>10953</v>
      </c>
      <c r="ES37" s="55"/>
      <c r="ET37" s="49">
        <f t="shared" si="99"/>
        <v>18000</v>
      </c>
      <c r="EU37" s="48">
        <v>4512</v>
      </c>
      <c r="EV37" s="48"/>
      <c r="EW37" s="49">
        <f t="shared" si="38"/>
        <v>11332.470000000363</v>
      </c>
      <c r="EX37" s="48">
        <v>14629</v>
      </c>
      <c r="EY37" s="48"/>
      <c r="EZ37" s="37">
        <f t="shared" si="39"/>
        <v>10732.47</v>
      </c>
      <c r="FA37" s="48">
        <f t="shared" si="71"/>
        <v>-22851.410000000371</v>
      </c>
      <c r="FB37" s="48">
        <v>38736845</v>
      </c>
      <c r="FC37" s="49">
        <f>IF((FB37-FB36)&lt;=0,0,(FB37-FB36))</f>
        <v>24001</v>
      </c>
      <c r="FD37" s="48">
        <f t="shared" si="72"/>
        <v>48636.410000000375</v>
      </c>
      <c r="FE37" s="153">
        <v>17917</v>
      </c>
      <c r="FF37" s="154"/>
      <c r="FG37" s="37">
        <f t="shared" si="73"/>
        <v>10362.469999999992</v>
      </c>
      <c r="FH37" s="48">
        <v>10453</v>
      </c>
      <c r="FI37" s="48"/>
      <c r="FJ37" s="49">
        <f t="shared" si="40"/>
        <v>17417.47</v>
      </c>
      <c r="FK37" s="48"/>
      <c r="FL37" s="58">
        <v>685</v>
      </c>
      <c r="FM37" s="48">
        <f t="shared" si="94"/>
        <v>-732.46999999999809</v>
      </c>
      <c r="FN37" s="48">
        <v>17798</v>
      </c>
      <c r="FO37" s="48"/>
      <c r="FP37" s="37">
        <f t="shared" si="74"/>
        <v>11417.47</v>
      </c>
      <c r="FQ37" s="48">
        <v>62620</v>
      </c>
      <c r="FR37" s="48"/>
      <c r="FS37" s="37">
        <f>IF((FQ37-FQ36)*1000&lt;=0,0,(FQ37-FQ36)*1000)</f>
        <v>37000</v>
      </c>
      <c r="FT37" s="48">
        <f t="shared" si="75"/>
        <v>-2197.4099999999944</v>
      </c>
      <c r="FU37" s="48">
        <f t="shared" si="76"/>
        <v>39197.409999999996</v>
      </c>
      <c r="FV37" s="44">
        <v>6696400</v>
      </c>
      <c r="FW37" s="44"/>
      <c r="FX37" s="37">
        <f t="shared" si="42"/>
        <v>30800</v>
      </c>
      <c r="FY37" s="56">
        <v>93389</v>
      </c>
      <c r="FZ37" s="56"/>
      <c r="GA37" s="37">
        <f t="shared" si="124"/>
        <v>8118</v>
      </c>
      <c r="GB37" s="56">
        <v>888.32</v>
      </c>
      <c r="GC37" s="56"/>
      <c r="GD37" s="37">
        <f t="shared" si="44"/>
        <v>930.00000000006366</v>
      </c>
      <c r="GE37" s="56">
        <v>10950</v>
      </c>
      <c r="GF37" s="63"/>
      <c r="GG37" s="37">
        <f t="shared" si="45"/>
        <v>7216</v>
      </c>
      <c r="GH37" s="48">
        <v>66126</v>
      </c>
      <c r="GI37" s="56"/>
      <c r="GJ37" s="38">
        <f t="shared" si="77"/>
        <v>1784</v>
      </c>
      <c r="GK37" s="56">
        <v>1533.3</v>
      </c>
      <c r="GL37" s="44"/>
      <c r="GM37" s="38">
        <f t="shared" si="46"/>
        <v>0</v>
      </c>
      <c r="GN37" s="57">
        <v>244080</v>
      </c>
      <c r="GO37" s="57"/>
      <c r="GP37" s="38">
        <f t="shared" si="97"/>
        <v>0</v>
      </c>
      <c r="GQ37" s="38">
        <v>298760</v>
      </c>
      <c r="GR37" s="38"/>
      <c r="GS37" s="38">
        <f t="shared" si="78"/>
        <v>290</v>
      </c>
      <c r="GT37" s="178"/>
      <c r="GU37" s="144">
        <f>DailyAug!B36-DailyAug!N36-DailyAug!V36-DailyAug!Y36-DailyAug!Z36-DailyAug!AA36-DailyAug!AB36-DailyAug!AC36-DailyAug!AD36-DailyAug!AE36-DailyAug!AK36-DailyAug!AO36-DailyAug!AS36-DailyAug!AY36-DailyAug!BD36+DailyAug!BU36-DailyAug!BG36-DailyAug!BT36-DailyAug!AF36-DailyAug!AG36</f>
        <v>4.9999995273537934E-2</v>
      </c>
      <c r="GV37" s="59">
        <v>10987</v>
      </c>
      <c r="GW37" s="60">
        <f t="shared" si="47"/>
        <v>732.4666666666667</v>
      </c>
      <c r="GX37" s="61">
        <v>732.47</v>
      </c>
      <c r="GY37" s="140"/>
      <c r="GZ37" s="62"/>
      <c r="HA37" s="62"/>
      <c r="HB37" s="62"/>
      <c r="HC37" s="62"/>
      <c r="HD37" s="74"/>
      <c r="HE37" s="24"/>
      <c r="HG37" s="213">
        <v>31</v>
      </c>
      <c r="HH37" s="16">
        <v>24635</v>
      </c>
      <c r="HI37" s="16">
        <v>9379</v>
      </c>
      <c r="HJ37" s="16">
        <f t="shared" si="49"/>
        <v>174000</v>
      </c>
      <c r="HK37" s="16">
        <v>2.1432000000000002</v>
      </c>
      <c r="HL37" s="16">
        <v>802.19</v>
      </c>
      <c r="HM37" s="16">
        <f t="shared" si="100"/>
        <v>0</v>
      </c>
      <c r="HN37" s="16">
        <v>6282</v>
      </c>
      <c r="HO37" s="16">
        <v>2687.9</v>
      </c>
      <c r="HP37" s="16">
        <f t="shared" si="51"/>
        <v>43250.000000000182</v>
      </c>
      <c r="HQ37" s="16">
        <v>4444.7</v>
      </c>
      <c r="HR37" s="16">
        <v>1883.1</v>
      </c>
      <c r="HS37" s="16">
        <f t="shared" si="52"/>
        <v>24250.000000000182</v>
      </c>
      <c r="HT37" s="16">
        <v>4358.8</v>
      </c>
      <c r="HU37" s="16">
        <v>1585.9</v>
      </c>
      <c r="HV37" s="16">
        <f t="shared" si="53"/>
        <v>26550.000000000364</v>
      </c>
      <c r="HW37" s="16">
        <v>3073.8</v>
      </c>
      <c r="HX37" s="16">
        <v>1319.7</v>
      </c>
      <c r="HY37" s="16">
        <f t="shared" si="54"/>
        <v>23650.000000000273</v>
      </c>
      <c r="HZ37" s="16">
        <v>2265100</v>
      </c>
      <c r="IA37" s="16">
        <v>99173</v>
      </c>
      <c r="IB37" s="16">
        <f t="shared" si="55"/>
        <v>30500</v>
      </c>
      <c r="IC37" s="229">
        <v>719.8</v>
      </c>
      <c r="ID37" s="229">
        <v>232.78</v>
      </c>
      <c r="IE37" s="16">
        <f t="shared" si="79"/>
        <v>0</v>
      </c>
      <c r="IF37" s="16"/>
      <c r="IG37" s="16"/>
      <c r="IH37" s="128">
        <f t="shared" si="56"/>
        <v>25800</v>
      </c>
      <c r="II37" s="211">
        <f t="shared" si="125"/>
        <v>-9.9680619314312935E-10</v>
      </c>
      <c r="IJ37" s="16"/>
      <c r="IK37" s="16"/>
      <c r="IL37" s="16">
        <f t="shared" si="101"/>
        <v>0</v>
      </c>
      <c r="IM37" s="16"/>
      <c r="IN37" s="16"/>
      <c r="IO37" s="16">
        <f t="shared" si="102"/>
        <v>0</v>
      </c>
      <c r="IP37" s="16"/>
      <c r="IQ37" s="16"/>
      <c r="IR37" s="16">
        <f t="shared" si="103"/>
        <v>0</v>
      </c>
      <c r="IS37" s="16"/>
      <c r="IT37" s="16"/>
      <c r="IU37" s="16">
        <f t="shared" si="104"/>
        <v>0</v>
      </c>
      <c r="IV37" s="16"/>
      <c r="IW37" s="16"/>
      <c r="IX37" s="16">
        <f t="shared" si="105"/>
        <v>0</v>
      </c>
      <c r="IY37" s="16"/>
      <c r="IZ37" s="16"/>
      <c r="JA37" s="16">
        <f t="shared" si="106"/>
        <v>0</v>
      </c>
      <c r="JB37" s="16"/>
      <c r="JC37" s="16"/>
      <c r="JD37" s="16">
        <f t="shared" si="107"/>
        <v>0</v>
      </c>
      <c r="JE37" s="16"/>
      <c r="JF37" s="16"/>
      <c r="JG37" s="16">
        <f t="shared" si="108"/>
        <v>0</v>
      </c>
      <c r="JH37" s="16"/>
      <c r="JI37" s="16"/>
      <c r="JJ37" s="16">
        <f t="shared" si="109"/>
        <v>0</v>
      </c>
      <c r="JK37" s="16"/>
      <c r="JL37" s="16"/>
      <c r="JM37" s="16">
        <f t="shared" si="110"/>
        <v>0</v>
      </c>
      <c r="JN37" s="16"/>
      <c r="JO37" s="16"/>
      <c r="JP37" s="16">
        <f t="shared" si="111"/>
        <v>0</v>
      </c>
      <c r="JQ37" s="16"/>
      <c r="JR37" s="16"/>
      <c r="JS37" s="16">
        <f t="shared" si="112"/>
        <v>0</v>
      </c>
      <c r="JT37" s="16"/>
      <c r="JU37" s="16"/>
      <c r="JV37" s="16">
        <f t="shared" si="113"/>
        <v>0</v>
      </c>
      <c r="JW37" s="16"/>
      <c r="JX37" s="16"/>
      <c r="JY37" s="16">
        <f t="shared" si="114"/>
        <v>0</v>
      </c>
      <c r="JZ37" s="16"/>
      <c r="KA37" s="16"/>
      <c r="KB37" s="16">
        <f t="shared" si="115"/>
        <v>0</v>
      </c>
      <c r="KC37" s="16"/>
      <c r="KD37" s="16"/>
      <c r="KE37" s="16">
        <f t="shared" si="116"/>
        <v>0</v>
      </c>
      <c r="KG37" s="151">
        <f t="shared" si="58"/>
        <v>73749.999999999185</v>
      </c>
    </row>
    <row r="38" spans="1:293" ht="15.75" thickBot="1" x14ac:dyDescent="0.3">
      <c r="A38" s="35">
        <v>1</v>
      </c>
      <c r="B38" s="38">
        <v>5407.01</v>
      </c>
      <c r="C38" s="38">
        <f t="shared" si="1"/>
        <v>11.680000000000291</v>
      </c>
      <c r="D38" s="38">
        <f t="shared" si="2"/>
        <v>373760.00000000931</v>
      </c>
      <c r="E38" s="38">
        <v>1086.27</v>
      </c>
      <c r="F38" s="38">
        <f t="shared" si="3"/>
        <v>76159.999999996217</v>
      </c>
      <c r="G38" s="38">
        <f t="shared" si="4"/>
        <v>449920.00000000553</v>
      </c>
      <c r="H38" s="37"/>
      <c r="I38" s="39"/>
      <c r="J38" s="42"/>
      <c r="K38" s="37">
        <f>IF(J38&lt;=0,0,(J38/SQRT(J38^2+(I38-I37)^2)))</f>
        <v>0</v>
      </c>
      <c r="L38" s="40">
        <v>17391600</v>
      </c>
      <c r="M38" s="40"/>
      <c r="N38" s="37">
        <f t="shared" si="81"/>
        <v>444000</v>
      </c>
      <c r="O38" s="37">
        <v>12807.5</v>
      </c>
      <c r="P38" s="37"/>
      <c r="Q38" s="37">
        <f t="shared" si="119"/>
        <v>18100.000000000364</v>
      </c>
      <c r="R38" s="37">
        <f>IF(Q38&lt;=0,0,(Q38/SQRT(Q38^2+(P38-P37)^2)))</f>
        <v>1</v>
      </c>
      <c r="S38" s="37">
        <v>11267037.6</v>
      </c>
      <c r="T38" s="37">
        <f t="shared" si="6"/>
        <v>293.41999999992549</v>
      </c>
      <c r="U38" s="37">
        <v>1523790.61</v>
      </c>
      <c r="V38" s="37">
        <f>IF((U38-U37)&lt;=0,0,(U38-U37))</f>
        <v>0</v>
      </c>
      <c r="W38" s="37">
        <v>4582</v>
      </c>
      <c r="X38" s="37">
        <f t="shared" si="95"/>
        <v>17706.580000000438</v>
      </c>
      <c r="Y38" s="183"/>
      <c r="Z38" s="183"/>
      <c r="AA38" s="37">
        <v>795200</v>
      </c>
      <c r="AB38" s="37">
        <f t="shared" si="8"/>
        <v>100</v>
      </c>
      <c r="AC38" s="37">
        <v>4751.7</v>
      </c>
      <c r="AD38" s="37"/>
      <c r="AE38" s="37">
        <f t="shared" si="121"/>
        <v>7699.9999999998181</v>
      </c>
      <c r="AF38" s="37">
        <f>IF(AE38&lt;=0,0,(AE38/SQRT(AE38^2+(AD38-AD37)^2)))</f>
        <v>1</v>
      </c>
      <c r="AG38" s="37">
        <v>10311.9</v>
      </c>
      <c r="AH38" s="37"/>
      <c r="AI38" s="37">
        <f t="shared" si="10"/>
        <v>16796.569999998908</v>
      </c>
      <c r="AJ38" s="37">
        <f t="shared" si="11"/>
        <v>1</v>
      </c>
      <c r="AK38" s="37">
        <f t="shared" si="12"/>
        <v>42496.56999999909</v>
      </c>
      <c r="AL38" s="42">
        <v>11991.4</v>
      </c>
      <c r="AM38" s="42"/>
      <c r="AN38" s="37">
        <f t="shared" si="59"/>
        <v>5646.5699999988356</v>
      </c>
      <c r="AO38" s="37">
        <f>IF(AN38&lt;=0,0,(AN38/SQRT(AN38^2+(AM38-AM37)^2)))</f>
        <v>1</v>
      </c>
      <c r="AP38" s="37">
        <v>9428.2999999999993</v>
      </c>
      <c r="AQ38" s="37"/>
      <c r="AR38" s="37">
        <f t="shared" si="13"/>
        <v>9299.9999999992724</v>
      </c>
      <c r="AS38" s="37">
        <f>IF(AR38&lt;=0,0,(AR38/SQRT(AR38^2+(AQ38-AQ37)^2)))</f>
        <v>1</v>
      </c>
      <c r="AT38" s="183"/>
      <c r="AU38" s="183"/>
      <c r="AV38" s="183"/>
      <c r="AW38" s="183"/>
      <c r="AX38" s="37">
        <v>525080</v>
      </c>
      <c r="AY38" s="37"/>
      <c r="AZ38" s="37">
        <f t="shared" si="14"/>
        <v>460</v>
      </c>
      <c r="BA38" s="37">
        <v>208880</v>
      </c>
      <c r="BB38" s="37"/>
      <c r="BC38" s="37">
        <f t="shared" si="15"/>
        <v>710</v>
      </c>
      <c r="BD38" s="37">
        <f>AN38+AR38+AZ38+BC38</f>
        <v>16116.569999998108</v>
      </c>
      <c r="BE38" s="43">
        <v>2082.9</v>
      </c>
      <c r="BF38" s="43">
        <v>1170</v>
      </c>
      <c r="BG38" s="37">
        <f t="shared" si="16"/>
        <v>1500</v>
      </c>
      <c r="BH38" s="44">
        <v>9830.7000000000007</v>
      </c>
      <c r="BI38" s="44">
        <v>6347.7</v>
      </c>
      <c r="BJ38" s="37">
        <f t="shared" si="17"/>
        <v>7700.0000000007276</v>
      </c>
      <c r="BK38" s="40">
        <v>1982400</v>
      </c>
      <c r="BL38" s="40">
        <f t="shared" si="87"/>
        <v>4230</v>
      </c>
      <c r="BM38" s="40">
        <v>937.77</v>
      </c>
      <c r="BN38" s="37">
        <f t="shared" si="18"/>
        <v>620.00000000000455</v>
      </c>
      <c r="BO38" s="186"/>
      <c r="BP38" s="183">
        <f t="shared" si="19"/>
        <v>0</v>
      </c>
      <c r="BQ38" s="40">
        <v>883.2</v>
      </c>
      <c r="BR38" s="37">
        <f t="shared" si="60"/>
        <v>300.00000000006821</v>
      </c>
      <c r="BS38" s="37">
        <v>118982.81</v>
      </c>
      <c r="BT38" s="37">
        <f t="shared" si="20"/>
        <v>232.67999999999302</v>
      </c>
      <c r="BU38" s="42">
        <v>3562530</v>
      </c>
      <c r="BV38" s="42"/>
      <c r="BW38" s="37">
        <f t="shared" si="21"/>
        <v>5340</v>
      </c>
      <c r="BX38" s="37">
        <f>IF(BW38&lt;=0,0,(BW38/SQRT(BW38^2+(BV38-BV37)^2)))</f>
        <v>1</v>
      </c>
      <c r="BY38" s="43">
        <v>412.46050000000002</v>
      </c>
      <c r="BZ38" s="43"/>
      <c r="CA38" s="37">
        <f t="shared" si="117"/>
        <v>634.30000000005293</v>
      </c>
      <c r="CB38" s="37">
        <f t="shared" si="61"/>
        <v>1</v>
      </c>
      <c r="CC38" s="37">
        <v>809979.6</v>
      </c>
      <c r="CD38" s="37">
        <f t="shared" si="23"/>
        <v>0</v>
      </c>
      <c r="CE38" s="41">
        <v>1760653</v>
      </c>
      <c r="CF38" s="37">
        <f t="shared" si="24"/>
        <v>5202</v>
      </c>
      <c r="CG38" s="37">
        <v>122633</v>
      </c>
      <c r="CH38" s="37">
        <f t="shared" si="62"/>
        <v>0</v>
      </c>
      <c r="CI38" s="40">
        <v>14405.29</v>
      </c>
      <c r="CJ38" s="40"/>
      <c r="CK38" s="37">
        <f t="shared" si="63"/>
        <v>14712.269999999946</v>
      </c>
      <c r="CL38" s="37">
        <f t="shared" si="25"/>
        <v>1</v>
      </c>
      <c r="CM38" s="37">
        <v>4238.4610000000002</v>
      </c>
      <c r="CN38" s="37"/>
      <c r="CO38" s="37">
        <f t="shared" si="26"/>
        <v>5535.5700000003053</v>
      </c>
      <c r="CP38" s="37">
        <f>IF(CO38&lt;=0,0,(CO38/SQRT(CO38^2+(CN38-CN37)^2)))</f>
        <v>1</v>
      </c>
      <c r="CQ38" s="39">
        <v>788956.1</v>
      </c>
      <c r="CR38" s="39"/>
      <c r="CS38" s="37">
        <f t="shared" si="64"/>
        <v>5990.07</v>
      </c>
      <c r="CT38" s="37">
        <f t="shared" si="65"/>
        <v>1</v>
      </c>
      <c r="CU38" s="37">
        <v>4473166</v>
      </c>
      <c r="CV38" s="41"/>
      <c r="CW38" s="38">
        <f t="shared" si="27"/>
        <v>20381</v>
      </c>
      <c r="CX38" s="37">
        <f t="shared" si="90"/>
        <v>1</v>
      </c>
      <c r="CY38" s="37">
        <v>2390007</v>
      </c>
      <c r="CZ38" s="37"/>
      <c r="DA38" s="37">
        <f t="shared" si="123"/>
        <v>11045</v>
      </c>
      <c r="DB38" s="37">
        <f>IF(DA38&lt;=0,0,(DA38/SQRT(DA38^2+(CZ38-CZ37)^2)))</f>
        <v>1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0"/>
        <v>-63003.910000000251</v>
      </c>
      <c r="DH38" s="37">
        <f t="shared" si="31"/>
        <v>487996.56999999908</v>
      </c>
      <c r="DI38" s="46"/>
      <c r="DJ38" s="46"/>
      <c r="DK38" s="47"/>
      <c r="DL38" s="47"/>
      <c r="DM38" s="37"/>
      <c r="DN38" s="37"/>
      <c r="DO38" s="37"/>
      <c r="DP38" s="37"/>
      <c r="DQ38" s="50">
        <v>4449600</v>
      </c>
      <c r="DR38" s="49">
        <f t="shared" si="66"/>
        <v>7000</v>
      </c>
      <c r="DS38" s="50">
        <v>5781700</v>
      </c>
      <c r="DT38" s="49">
        <f t="shared" si="67"/>
        <v>24800</v>
      </c>
      <c r="DU38" s="51">
        <v>8412.7999999999993</v>
      </c>
      <c r="DV38" s="51">
        <v>4750.2</v>
      </c>
      <c r="DW38" s="37">
        <f t="shared" si="92"/>
        <v>4000</v>
      </c>
      <c r="DX38" s="52">
        <v>13923</v>
      </c>
      <c r="DY38" s="52">
        <v>8714.7000000000007</v>
      </c>
      <c r="DZ38" s="37">
        <f t="shared" si="32"/>
        <v>8596.57</v>
      </c>
      <c r="EA38" s="49">
        <v>32293</v>
      </c>
      <c r="EB38" s="49">
        <v>22.100999999999999</v>
      </c>
      <c r="EC38" s="37">
        <f t="shared" si="126"/>
        <v>20596.57</v>
      </c>
      <c r="ED38" s="53">
        <f t="shared" si="34"/>
        <v>33193.14</v>
      </c>
      <c r="EE38" s="49">
        <v>48138</v>
      </c>
      <c r="EF38" s="49">
        <v>31.687000000000001</v>
      </c>
      <c r="EG38" s="37">
        <f t="shared" si="127"/>
        <v>26596.57</v>
      </c>
      <c r="EH38" s="51">
        <v>14216</v>
      </c>
      <c r="EI38" s="51">
        <v>2.0813999999999999</v>
      </c>
      <c r="EJ38" s="37">
        <f t="shared" si="36"/>
        <v>11596.57</v>
      </c>
      <c r="EK38" s="37">
        <v>865.52</v>
      </c>
      <c r="EL38" s="40">
        <v>1240.3</v>
      </c>
      <c r="EM38" s="37">
        <f t="shared" si="68"/>
        <v>720.00000000002728</v>
      </c>
      <c r="EN38" s="54">
        <f t="shared" si="69"/>
        <v>38913.140000000029</v>
      </c>
      <c r="EO38" s="48">
        <v>13738</v>
      </c>
      <c r="EP38" s="48"/>
      <c r="EQ38" s="37">
        <f t="shared" si="70"/>
        <v>7646.5699999999542</v>
      </c>
      <c r="ER38" s="48">
        <v>10970</v>
      </c>
      <c r="ES38" s="55"/>
      <c r="ET38" s="49">
        <f t="shared" si="99"/>
        <v>17000</v>
      </c>
      <c r="EU38" s="48">
        <v>4522.3999999999996</v>
      </c>
      <c r="EV38" s="48"/>
      <c r="EW38" s="49">
        <f t="shared" si="38"/>
        <v>10996.569999999636</v>
      </c>
      <c r="EX38" s="48">
        <v>14640</v>
      </c>
      <c r="EY38" s="48"/>
      <c r="EZ38" s="37">
        <f t="shared" si="39"/>
        <v>11596.57</v>
      </c>
      <c r="FA38" s="48">
        <f t="shared" si="71"/>
        <v>-24046.709999999592</v>
      </c>
      <c r="FB38" s="48">
        <v>38760038</v>
      </c>
      <c r="FC38" s="49">
        <f>IF((FB38-FB37)&lt;=0,0,(FB38-FB37))</f>
        <v>23193</v>
      </c>
      <c r="FD38" s="48">
        <f t="shared" si="72"/>
        <v>49011.709999999592</v>
      </c>
      <c r="FE38" s="153">
        <v>17925</v>
      </c>
      <c r="FF38" s="154"/>
      <c r="FG38" s="37">
        <f t="shared" si="73"/>
        <v>8896.5700000000452</v>
      </c>
      <c r="FH38" s="48">
        <v>10471</v>
      </c>
      <c r="FI38" s="48"/>
      <c r="FJ38" s="49">
        <f t="shared" si="40"/>
        <v>17946.57</v>
      </c>
      <c r="FK38" s="48"/>
      <c r="FL38" s="58">
        <v>-650</v>
      </c>
      <c r="FM38" s="48">
        <f t="shared" si="94"/>
        <v>-596.57000000001426</v>
      </c>
      <c r="FN38" s="48">
        <v>17810</v>
      </c>
      <c r="FO38" s="48"/>
      <c r="FP38" s="37">
        <f>IF((FN38-FN37)*1000&lt;=0,0,(FN38-FN37)*1000)+FL38+GX38</f>
        <v>11946.57</v>
      </c>
      <c r="FQ38" s="48">
        <v>62657</v>
      </c>
      <c r="FR38" s="48"/>
      <c r="FS38" s="37">
        <f>IF((FQ38-FQ37)*1000&lt;=0,0,(FQ38-FQ37)*1000)</f>
        <v>37000</v>
      </c>
      <c r="FT38" s="48">
        <f>FS38-FG38-FJ38-FP38</f>
        <v>-1789.7100000000428</v>
      </c>
      <c r="FU38" s="48">
        <f t="shared" si="76"/>
        <v>38789.710000000043</v>
      </c>
      <c r="FV38" s="44">
        <v>6729500</v>
      </c>
      <c r="FW38" s="44"/>
      <c r="FX38" s="37">
        <f t="shared" si="42"/>
        <v>33100</v>
      </c>
      <c r="FY38" s="56">
        <v>101870</v>
      </c>
      <c r="FZ38" s="56"/>
      <c r="GA38" s="37">
        <f t="shared" si="124"/>
        <v>8481</v>
      </c>
      <c r="GB38" s="56">
        <v>889.38</v>
      </c>
      <c r="GC38" s="56"/>
      <c r="GD38" s="37">
        <f t="shared" si="44"/>
        <v>1059.9999999999454</v>
      </c>
      <c r="GE38" s="56">
        <v>10962</v>
      </c>
      <c r="GF38" s="63"/>
      <c r="GG38" s="37">
        <f t="shared" si="45"/>
        <v>10228</v>
      </c>
      <c r="GH38" s="48">
        <v>67898</v>
      </c>
      <c r="GI38" s="56"/>
      <c r="GJ38" s="38">
        <f t="shared" si="77"/>
        <v>1772</v>
      </c>
      <c r="GK38" s="56">
        <v>1533.3</v>
      </c>
      <c r="GL38" s="44"/>
      <c r="GM38" s="38">
        <f t="shared" si="46"/>
        <v>0</v>
      </c>
      <c r="GN38" s="57">
        <v>244080</v>
      </c>
      <c r="GO38" s="57"/>
      <c r="GP38" s="38">
        <f t="shared" si="97"/>
        <v>0</v>
      </c>
      <c r="GQ38" s="38">
        <v>299080</v>
      </c>
      <c r="GR38" s="38"/>
      <c r="GS38" s="38">
        <f t="shared" si="78"/>
        <v>320</v>
      </c>
      <c r="GT38" s="178"/>
      <c r="GU38" s="144">
        <f>DailyAug!B37-DailyAug!N37-DailyAug!V37-DailyAug!Y37-DailyAug!Z37-DailyAug!AA37-DailyAug!AB37-DailyAug!AC37-DailyAug!AD37-DailyAug!AE37-DailyAug!AK37-DailyAug!AO37-DailyAug!AS37-DailyAug!AY37-DailyAug!BD37+DailyAug!BU37-DailyAug!BG37-DailyAug!BT37-DailyAug!AF37-DailyAug!AG37</f>
        <v>-4.9999992421362549E-2</v>
      </c>
      <c r="GV38" s="59">
        <v>8948.5</v>
      </c>
      <c r="GW38" s="60">
        <f t="shared" si="47"/>
        <v>596.56666666666672</v>
      </c>
      <c r="GX38" s="61">
        <v>596.57000000000005</v>
      </c>
      <c r="GY38" s="140"/>
      <c r="GZ38" s="74"/>
      <c r="HA38" s="62"/>
      <c r="HB38" s="62"/>
      <c r="HC38" s="74"/>
      <c r="HD38" s="74"/>
      <c r="HE38" s="24"/>
      <c r="HG38" s="213">
        <v>1</v>
      </c>
      <c r="HH38" s="16">
        <v>24808</v>
      </c>
      <c r="HI38" s="16">
        <v>9444.7999999999993</v>
      </c>
      <c r="HJ38" s="16">
        <f t="shared" si="49"/>
        <v>173000</v>
      </c>
      <c r="HK38" s="16">
        <v>2.1432000000000002</v>
      </c>
      <c r="HL38" s="16">
        <v>807.23</v>
      </c>
      <c r="HM38" s="16">
        <f t="shared" si="100"/>
        <v>0</v>
      </c>
      <c r="HN38" s="16">
        <v>6324.1</v>
      </c>
      <c r="HO38" s="16">
        <v>2707.1</v>
      </c>
      <c r="HP38" s="16">
        <f t="shared" si="51"/>
        <v>42675.000000000364</v>
      </c>
      <c r="HQ38" s="16">
        <v>4468.5</v>
      </c>
      <c r="HR38" s="16">
        <v>1893.6</v>
      </c>
      <c r="HS38" s="16">
        <f t="shared" si="52"/>
        <v>24375.000000000182</v>
      </c>
      <c r="HT38" s="16">
        <v>4385</v>
      </c>
      <c r="HU38" s="16">
        <v>1595.1</v>
      </c>
      <c r="HV38" s="16">
        <f t="shared" si="53"/>
        <v>26774.999999999818</v>
      </c>
      <c r="HW38" s="16">
        <v>3097.3</v>
      </c>
      <c r="HX38" s="16">
        <v>1329.6</v>
      </c>
      <c r="HY38" s="16">
        <f t="shared" si="54"/>
        <v>24075</v>
      </c>
      <c r="HZ38" s="16">
        <v>2295400</v>
      </c>
      <c r="IA38" s="16">
        <v>10042</v>
      </c>
      <c r="IB38" s="16">
        <f t="shared" si="55"/>
        <v>30300</v>
      </c>
      <c r="IC38" s="229">
        <v>719.8</v>
      </c>
      <c r="ID38" s="229">
        <v>232.78</v>
      </c>
      <c r="IE38" s="16">
        <f t="shared" si="79"/>
        <v>0</v>
      </c>
      <c r="IF38" s="16"/>
      <c r="IG38" s="16"/>
      <c r="IH38" s="128">
        <f t="shared" si="56"/>
        <v>24800</v>
      </c>
      <c r="II38" s="211">
        <f t="shared" si="125"/>
        <v>-3.637978807091713E-10</v>
      </c>
      <c r="IJ38" s="16"/>
      <c r="IK38" s="16"/>
      <c r="IL38" s="16">
        <f t="shared" si="101"/>
        <v>0</v>
      </c>
      <c r="IM38" s="16"/>
      <c r="IN38" s="16"/>
      <c r="IO38" s="16">
        <f t="shared" si="102"/>
        <v>0</v>
      </c>
      <c r="IP38" s="16"/>
      <c r="IQ38" s="16"/>
      <c r="IR38" s="16">
        <f t="shared" si="103"/>
        <v>0</v>
      </c>
      <c r="IS38" s="16"/>
      <c r="IT38" s="16"/>
      <c r="IU38" s="16">
        <f t="shared" si="104"/>
        <v>0</v>
      </c>
      <c r="IV38" s="16"/>
      <c r="IW38" s="16"/>
      <c r="IX38" s="16">
        <f t="shared" si="105"/>
        <v>0</v>
      </c>
      <c r="IY38" s="16"/>
      <c r="IZ38" s="16"/>
      <c r="JA38" s="16">
        <f t="shared" si="106"/>
        <v>0</v>
      </c>
      <c r="JB38" s="16"/>
      <c r="JC38" s="16"/>
      <c r="JD38" s="16">
        <f t="shared" si="107"/>
        <v>0</v>
      </c>
      <c r="JE38" s="16"/>
      <c r="JF38" s="16"/>
      <c r="JG38" s="16">
        <f t="shared" si="108"/>
        <v>0</v>
      </c>
      <c r="JH38" s="16"/>
      <c r="JI38" s="16"/>
      <c r="JJ38" s="16">
        <f t="shared" si="109"/>
        <v>0</v>
      </c>
      <c r="JK38" s="16"/>
      <c r="JL38" s="16"/>
      <c r="JM38" s="16">
        <f t="shared" si="110"/>
        <v>0</v>
      </c>
      <c r="JN38" s="16"/>
      <c r="JO38" s="16"/>
      <c r="JP38" s="16">
        <f t="shared" si="111"/>
        <v>0</v>
      </c>
      <c r="JQ38" s="16"/>
      <c r="JR38" s="16"/>
      <c r="JS38" s="16">
        <f t="shared" si="112"/>
        <v>0</v>
      </c>
      <c r="JT38" s="16"/>
      <c r="JU38" s="16"/>
      <c r="JV38" s="16">
        <f t="shared" si="113"/>
        <v>0</v>
      </c>
      <c r="JW38" s="16"/>
      <c r="JX38" s="16"/>
      <c r="JY38" s="16">
        <f t="shared" si="114"/>
        <v>0</v>
      </c>
      <c r="JZ38" s="16"/>
      <c r="KA38" s="16"/>
      <c r="KB38" s="16">
        <f t="shared" si="115"/>
        <v>0</v>
      </c>
      <c r="KC38" s="16"/>
      <c r="KD38" s="16"/>
      <c r="KE38" s="16">
        <f t="shared" si="116"/>
        <v>0</v>
      </c>
      <c r="KG38" s="151">
        <f t="shared" si="58"/>
        <v>72975</v>
      </c>
    </row>
    <row r="39" spans="1:293" ht="15.75" thickBot="1" x14ac:dyDescent="0.3">
      <c r="A39" s="77" t="s">
        <v>37</v>
      </c>
      <c r="B39" s="78"/>
      <c r="C39" s="78">
        <f>SUM(C8:C38)</f>
        <v>321.96000000000004</v>
      </c>
      <c r="D39" s="78">
        <f>SUM(D8:D38)</f>
        <v>10302720.000000004</v>
      </c>
      <c r="E39" s="78"/>
      <c r="F39" s="78">
        <f>SUM(F8:F38)</f>
        <v>2077759.9999999981</v>
      </c>
      <c r="G39" s="78">
        <f>SUM(G8:G38)</f>
        <v>12380479.999999998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12296000</v>
      </c>
      <c r="O39" s="79"/>
      <c r="P39" s="79"/>
      <c r="Q39" s="78">
        <f>SUM(Q8:Q38)</f>
        <v>541500</v>
      </c>
      <c r="R39" s="79">
        <f>AVERAGE(R8:R38)</f>
        <v>1</v>
      </c>
      <c r="S39" s="79"/>
      <c r="T39" s="78">
        <f>SUM(T8:T38)</f>
        <v>10379.589999999851</v>
      </c>
      <c r="U39" s="79"/>
      <c r="V39" s="79">
        <f>SUM(V8:V38)</f>
        <v>0</v>
      </c>
      <c r="W39" s="79"/>
      <c r="X39" s="78">
        <f>SUM(X8:X38)</f>
        <v>528720.41000000015</v>
      </c>
      <c r="Y39" s="184"/>
      <c r="Z39" s="184"/>
      <c r="AA39" s="78"/>
      <c r="AB39" s="78"/>
      <c r="AC39" s="79"/>
      <c r="AD39" s="79"/>
      <c r="AE39" s="78">
        <f>SUM(AE8:AE38)</f>
        <v>177599.99999999948</v>
      </c>
      <c r="AF39" s="79">
        <f>AVERAGE(AF8:AF38)</f>
        <v>1</v>
      </c>
      <c r="AG39" s="79"/>
      <c r="AH39" s="79"/>
      <c r="AI39" s="78">
        <f>SUM(AI8:AI38)</f>
        <v>416939.20999999903</v>
      </c>
      <c r="AJ39" s="79">
        <f>AVERAGE(AJ8:AJ38)</f>
        <v>1</v>
      </c>
      <c r="AK39" s="78">
        <f>SUM(AK8:AK38)</f>
        <v>1133639.2099999983</v>
      </c>
      <c r="AL39" s="79"/>
      <c r="AM39" s="79"/>
      <c r="AN39" s="78">
        <f>SUM(AN8:AN38)</f>
        <v>194399.20999999889</v>
      </c>
      <c r="AO39" s="79">
        <f>AVERAGE(AO8:AO38)</f>
        <v>1</v>
      </c>
      <c r="AP39" s="79"/>
      <c r="AQ39" s="79"/>
      <c r="AR39" s="78">
        <f>SUM(AR8:AR38)</f>
        <v>337299.9999999993</v>
      </c>
      <c r="AS39" s="79">
        <f>AVERAGE(AS8:AS38)</f>
        <v>1</v>
      </c>
      <c r="AT39" s="184"/>
      <c r="AU39" s="184"/>
      <c r="AV39" s="184"/>
      <c r="AW39" s="184"/>
      <c r="AX39" s="79"/>
      <c r="AY39" s="79"/>
      <c r="AZ39" s="78">
        <f>SUM(AZ8:AZ38)</f>
        <v>12200</v>
      </c>
      <c r="BA39" s="79"/>
      <c r="BB39" s="79"/>
      <c r="BC39" s="78">
        <f>SUM(BC8:BC38)</f>
        <v>17900</v>
      </c>
      <c r="BD39" s="78">
        <f>SUM(BD8:BD38)</f>
        <v>561799.20999999822</v>
      </c>
      <c r="BE39" s="80"/>
      <c r="BF39" s="81"/>
      <c r="BG39" s="78">
        <f>SUM(BG8:BG38)</f>
        <v>51100.000000000131</v>
      </c>
      <c r="BH39" s="78"/>
      <c r="BI39" s="78"/>
      <c r="BJ39" s="78"/>
      <c r="BK39" s="80"/>
      <c r="BL39" s="78">
        <f>SUM(BL8:BL38)</f>
        <v>131920</v>
      </c>
      <c r="BM39" s="80"/>
      <c r="BN39" s="78">
        <f>SUM(BN8:BN38)</f>
        <v>20120</v>
      </c>
      <c r="BO39" s="187"/>
      <c r="BP39" s="188">
        <f>SUM(BP8:BP38)</f>
        <v>0</v>
      </c>
      <c r="BQ39" s="79"/>
      <c r="BR39" s="78">
        <f>SUM(BR8:BR38)</f>
        <v>18500</v>
      </c>
      <c r="BS39" s="78"/>
      <c r="BT39" s="78"/>
      <c r="BU39" s="79"/>
      <c r="BV39" s="79"/>
      <c r="BW39" s="78">
        <f>SUM(BW8:BW38)</f>
        <v>285389</v>
      </c>
      <c r="BX39" s="79">
        <f>AVERAGE(BX8:BX38)</f>
        <v>1</v>
      </c>
      <c r="BY39" s="79"/>
      <c r="BZ39" s="79"/>
      <c r="CA39" s="78">
        <f>SUM(CA8:CA38)</f>
        <v>22495.600000000024</v>
      </c>
      <c r="CB39" s="78"/>
      <c r="CC39" s="79"/>
      <c r="CD39" s="79"/>
      <c r="CE39" s="79"/>
      <c r="CF39" s="78">
        <f>SUM(CF8:CF38)</f>
        <v>165396</v>
      </c>
      <c r="CG39" s="79"/>
      <c r="CH39" s="78">
        <f>SUM(CH8:CH38)</f>
        <v>49822.399999999994</v>
      </c>
      <c r="CI39" s="79"/>
      <c r="CJ39" s="79"/>
      <c r="CK39" s="78">
        <f>SUM(CK8:CK38)</f>
        <v>503283.61000000092</v>
      </c>
      <c r="CL39" s="79">
        <f>AVERAGE(CL8:CL38)</f>
        <v>1</v>
      </c>
      <c r="CM39" s="79"/>
      <c r="CN39" s="79"/>
      <c r="CO39" s="78">
        <f>SUM(CO8:CO38)</f>
        <v>249542.21000000031</v>
      </c>
      <c r="CP39" s="79">
        <f>AVERAGE(CP8:CP38)</f>
        <v>1</v>
      </c>
      <c r="CQ39" s="82"/>
      <c r="CR39" s="83"/>
      <c r="CS39" s="78">
        <f>SUM(CS8:CS38)</f>
        <v>212540.70999999996</v>
      </c>
      <c r="CT39" s="79">
        <f>AVERAGE(CT8:CT38)</f>
        <v>1</v>
      </c>
      <c r="CU39" s="79"/>
      <c r="CV39" s="79"/>
      <c r="CW39" s="78">
        <f>SUM(CW8:CW38)</f>
        <v>160295</v>
      </c>
      <c r="CX39" s="79">
        <f>AVERAGE(CX8:CX38)</f>
        <v>1</v>
      </c>
      <c r="CY39" s="79"/>
      <c r="CZ39" s="79"/>
      <c r="DA39" s="78">
        <f>SUM(DA8:DA38)</f>
        <v>89787</v>
      </c>
      <c r="DB39" s="79">
        <f>AVERAGE(DB8:DB38)</f>
        <v>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-1500837.530000001</v>
      </c>
      <c r="DH39" s="78">
        <f>SUM(DH8:DH38)</f>
        <v>13480739.209999999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289300</v>
      </c>
      <c r="DS39" s="84"/>
      <c r="DT39" s="85">
        <f>SUMIF(DT7:DT38,"&gt;0")</f>
        <v>722200</v>
      </c>
      <c r="DU39" s="86"/>
      <c r="DV39" s="86"/>
      <c r="DW39" s="87">
        <f>SUMIF(DW8:DW38,"&gt;0")</f>
        <v>132000</v>
      </c>
      <c r="DX39" s="86"/>
      <c r="DY39" s="86"/>
      <c r="DZ39" s="87">
        <f>SUMIF(DZ8:DZ38,"&gt;0")</f>
        <v>258739.21</v>
      </c>
      <c r="EA39" s="86"/>
      <c r="EB39" s="86"/>
      <c r="EC39" s="87">
        <f>SUMIF(EC8:EC38,"&gt;0")</f>
        <v>741579.21000000008</v>
      </c>
      <c r="ED39" s="88">
        <f>SUMIF(ED8:ED38,"&gt;0")</f>
        <v>1132318.42</v>
      </c>
      <c r="EE39" s="86"/>
      <c r="EF39" s="86"/>
      <c r="EG39" s="87">
        <f>SUMIF(EG8:EG38,"&gt;0")</f>
        <v>881579.21000000008</v>
      </c>
      <c r="EH39" s="86"/>
      <c r="EI39" s="86"/>
      <c r="EJ39" s="87">
        <f>SUMIF(EJ8:EJ38,"&gt;0")</f>
        <v>353739.21000000008</v>
      </c>
      <c r="EK39" s="87"/>
      <c r="EL39" s="87"/>
      <c r="EM39" s="87">
        <f>SUMIF(EM8:EM38,"&gt;0")</f>
        <v>21850.000000000022</v>
      </c>
      <c r="EN39" s="89">
        <f>SUMIF(EN8:EN38,"&gt;0")</f>
        <v>1257168.4200000002</v>
      </c>
      <c r="EO39" s="48"/>
      <c r="EP39" s="48"/>
      <c r="EQ39" s="90">
        <f>SUMIF(EQ8:EQ38,"&gt;0")</f>
        <v>213009.21000000043</v>
      </c>
      <c r="ER39" s="90"/>
      <c r="ES39" s="90"/>
      <c r="ET39" s="90">
        <f>SUMIF(ET8:ET38,"&gt;0")</f>
        <v>540370.00000000081</v>
      </c>
      <c r="EU39" s="90"/>
      <c r="EV39" s="90"/>
      <c r="EW39" s="90">
        <f>SUMIF(EW8:EW38,"&gt;0")</f>
        <v>315540.20999999944</v>
      </c>
      <c r="EX39" s="48"/>
      <c r="EY39" s="48"/>
      <c r="EZ39" s="90">
        <f>SUMIF(EZ8:EZ38,"&gt;0")</f>
        <v>343249.21000000025</v>
      </c>
      <c r="FA39" s="90"/>
      <c r="FB39" s="90"/>
      <c r="FC39" s="90"/>
      <c r="FD39" s="90">
        <f>SUMIF(FD8:FD38,"&gt;0")</f>
        <v>1475079.9300000011</v>
      </c>
      <c r="FE39" s="48"/>
      <c r="FF39" s="48"/>
      <c r="FG39" s="90">
        <f>SUMIF(FG8:FG38,"&gt;0")</f>
        <v>302758.35000000079</v>
      </c>
      <c r="FH39" s="90"/>
      <c r="FI39" s="90"/>
      <c r="FJ39" s="90">
        <f>SUMIF(FJ8:FJ38,"&gt;0")</f>
        <v>538158.35000000033</v>
      </c>
      <c r="FK39" s="90"/>
      <c r="FL39" s="90">
        <f>SUMIF(FL8:FL38,"&gt;0")</f>
        <v>4062.33</v>
      </c>
      <c r="FM39" s="90">
        <f>SUMIF(FM8:FM38,"&gt;0")</f>
        <v>580.67666666860953</v>
      </c>
      <c r="FN39" s="48"/>
      <c r="FO39" s="48"/>
      <c r="FP39" s="90">
        <f>SUMIF(FP8:FP38,"&gt;0")</f>
        <v>360658.34999999852</v>
      </c>
      <c r="FQ39" s="90"/>
      <c r="FR39" s="90"/>
      <c r="FS39" s="90">
        <f>SUMIF(FS8:FS38,"&gt;0")</f>
        <v>1180260.0000000021</v>
      </c>
      <c r="FT39" s="90"/>
      <c r="FU39" s="90">
        <f>SUMIF(FU8:FU38,"&gt;0")</f>
        <v>1213695.0499999991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4081.7000000000116</v>
      </c>
      <c r="GQ39" s="90"/>
      <c r="GR39" s="90"/>
      <c r="GS39" s="90">
        <f>SUM(GS8:GS38)</f>
        <v>5356.5999999999767</v>
      </c>
      <c r="GT39" s="178"/>
      <c r="GU39" s="90">
        <f>SUM(GU8:GU38)</f>
        <v>-0.27000000017869752</v>
      </c>
      <c r="GV39" s="90">
        <f>SUM(GV8:GV38)</f>
        <v>146087.77999999997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H39" s="16"/>
      <c r="HI39" s="16"/>
      <c r="HJ39" s="16">
        <f>SUM(HJ7:HJ38)</f>
        <v>5062000</v>
      </c>
      <c r="HK39" s="16"/>
      <c r="HL39" s="16"/>
      <c r="HM39" s="16">
        <f>SUM(HM7:HM38)</f>
        <v>0</v>
      </c>
      <c r="HN39" s="16"/>
      <c r="HO39" s="16"/>
      <c r="HP39" s="16">
        <f>SUM(HP7:HP38)</f>
        <v>1244825.0000000005</v>
      </c>
      <c r="HQ39" s="16"/>
      <c r="HR39" s="16"/>
      <c r="HS39" s="16">
        <f>SUM(HS7:HS38)</f>
        <v>667925</v>
      </c>
      <c r="HT39" s="16"/>
      <c r="HU39" s="16"/>
      <c r="HV39" s="16">
        <f>SUM(HV7:HV38)</f>
        <v>810224.99999999988</v>
      </c>
      <c r="HW39" s="16"/>
      <c r="HX39" s="16"/>
      <c r="HY39" s="16">
        <f>SUM(HY7:HY38)</f>
        <v>692625.00000000035</v>
      </c>
      <c r="HZ39" s="16"/>
      <c r="IA39" s="16"/>
      <c r="IB39" s="16">
        <f>SUM(IB7:IB38)</f>
        <v>924200</v>
      </c>
      <c r="IC39" s="16"/>
      <c r="ID39" s="16"/>
      <c r="IE39" s="16">
        <f>SUM(IE7:IE38)</f>
        <v>0</v>
      </c>
      <c r="IF39" s="16"/>
      <c r="IG39" s="16"/>
      <c r="IH39" s="16">
        <f>SUM(IH7:IH38)</f>
        <v>722200</v>
      </c>
      <c r="II39" s="211">
        <f>SUM(II8:II38)</f>
        <v>-4.0017766878008842E-10</v>
      </c>
      <c r="IJ39" s="16"/>
      <c r="IK39" s="16"/>
      <c r="IL39" s="16">
        <f>SUM(IL7:IL38)</f>
        <v>0</v>
      </c>
      <c r="IM39" s="16"/>
      <c r="IN39" s="16"/>
      <c r="IO39" s="16">
        <f>SUM(IO7:IO38)</f>
        <v>0</v>
      </c>
      <c r="IP39" s="16"/>
      <c r="IQ39" s="16"/>
      <c r="IR39" s="16">
        <f>SUM(IR7:IR38)</f>
        <v>0</v>
      </c>
      <c r="IS39" s="16"/>
      <c r="IT39" s="16"/>
      <c r="IU39" s="16">
        <f>SUM(IU7:IU38)</f>
        <v>0</v>
      </c>
      <c r="IV39" s="16"/>
      <c r="IW39" s="16"/>
      <c r="IX39" s="16">
        <f>SUM(IX7:IX38)</f>
        <v>0</v>
      </c>
      <c r="IY39" s="16"/>
      <c r="IZ39" s="16"/>
      <c r="JA39" s="16">
        <f>SUM(JA7:JA38)</f>
        <v>0</v>
      </c>
      <c r="JB39" s="16"/>
      <c r="JC39" s="16"/>
      <c r="JD39" s="16">
        <f>SUM(JD7:JD38)</f>
        <v>0</v>
      </c>
      <c r="JE39" s="16"/>
      <c r="JF39" s="16"/>
      <c r="JG39" s="16">
        <f>SUM(JG7:JG38)</f>
        <v>0</v>
      </c>
      <c r="JH39" s="16"/>
      <c r="JI39" s="16"/>
      <c r="JJ39" s="16">
        <f>SUM(JJ7:JJ38)</f>
        <v>0</v>
      </c>
      <c r="JK39" s="16"/>
      <c r="JL39" s="16"/>
      <c r="JM39" s="16">
        <f>SUM(JM7:JM38)</f>
        <v>0</v>
      </c>
      <c r="JN39" s="16"/>
      <c r="JO39" s="16"/>
      <c r="JP39" s="16">
        <f>SUM(JP7:JP38)</f>
        <v>0</v>
      </c>
      <c r="JQ39" s="16"/>
      <c r="JR39" s="16"/>
      <c r="JS39" s="16">
        <f>SUM(JS7:JS38)</f>
        <v>0</v>
      </c>
      <c r="JT39" s="16"/>
      <c r="JU39" s="16"/>
      <c r="JV39" s="16">
        <f>SUM(JV7:JV38)</f>
        <v>0</v>
      </c>
      <c r="JW39" s="16"/>
      <c r="JX39" s="16"/>
      <c r="JY39" s="16">
        <f>SUM(JY7:JY38)</f>
        <v>0</v>
      </c>
      <c r="JZ39" s="16"/>
      <c r="KA39" s="16"/>
      <c r="KB39" s="16">
        <f>SUM(KB7:KB38)</f>
        <v>0</v>
      </c>
      <c r="KC39" s="16"/>
      <c r="KD39" s="16"/>
      <c r="KE39" s="16">
        <f>SUM(KE7:KE38)</f>
        <v>0</v>
      </c>
      <c r="KG39">
        <f>SUM(KG7:KG38)</f>
        <v>2169025</v>
      </c>
    </row>
    <row r="40" spans="1:293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74"/>
    </row>
    <row r="41" spans="1:293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419" t="s">
        <v>208</v>
      </c>
      <c r="BV41" s="419"/>
      <c r="BW41" s="419"/>
      <c r="BY41" s="406" t="s">
        <v>205</v>
      </c>
      <c r="BZ41" s="406"/>
      <c r="CA41" s="406"/>
      <c r="CC41" s="91"/>
      <c r="CE41" s="95"/>
      <c r="CF41" s="95"/>
      <c r="CG41" s="95"/>
      <c r="CH41" s="96"/>
      <c r="CI41" s="92"/>
      <c r="CJ41" s="92"/>
      <c r="CK41" s="92"/>
      <c r="CL41" s="92"/>
      <c r="CZ41" s="91"/>
      <c r="DB41" s="91"/>
      <c r="DS41" s="24"/>
      <c r="DT41" s="151"/>
      <c r="DU41" s="406" t="s">
        <v>205</v>
      </c>
      <c r="DV41" s="406"/>
      <c r="DW41" s="406"/>
      <c r="DX41" s="406" t="s">
        <v>203</v>
      </c>
      <c r="DY41" s="406"/>
      <c r="DZ41" s="406"/>
      <c r="EA41" s="406" t="s">
        <v>204</v>
      </c>
      <c r="EB41" s="406"/>
      <c r="EC41" s="406"/>
      <c r="EE41" t="s">
        <v>108</v>
      </c>
      <c r="EF41" s="3"/>
      <c r="EJ41" s="2"/>
      <c r="EK41" s="174"/>
      <c r="EL41" s="174"/>
      <c r="EN41" s="2"/>
      <c r="EO41" s="406" t="s">
        <v>155</v>
      </c>
      <c r="EP41" s="406"/>
      <c r="EQ41" s="406"/>
      <c r="ER41" s="406" t="s">
        <v>135</v>
      </c>
      <c r="ES41" s="406"/>
      <c r="ET41" s="406"/>
      <c r="EU41" s="406" t="s">
        <v>155</v>
      </c>
      <c r="EV41" s="406"/>
      <c r="EW41" s="406"/>
      <c r="EX41" s="406"/>
      <c r="EY41" s="406"/>
      <c r="EZ41" s="406"/>
      <c r="FE41" s="407" t="s">
        <v>155</v>
      </c>
      <c r="FF41" s="407"/>
      <c r="FG41" s="407"/>
      <c r="FH41" s="406" t="s">
        <v>135</v>
      </c>
      <c r="FI41" s="406"/>
      <c r="FJ41" s="406"/>
      <c r="FO41" s="407" t="s">
        <v>155</v>
      </c>
      <c r="FP41" s="407"/>
      <c r="FQ41" s="407"/>
      <c r="FX41" s="91">
        <f>SUM(FX8:FX38)</f>
        <v>570655</v>
      </c>
      <c r="GA41" s="91">
        <f>SUM(GA8:GA38)</f>
        <v>130003.99999999996</v>
      </c>
      <c r="GG41" s="91">
        <f>SUM(GG8:GG38)</f>
        <v>156378.69999999998</v>
      </c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X41" s="151"/>
    </row>
    <row r="42" spans="1:293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28">BW8</f>
        <v>8870</v>
      </c>
      <c r="CE42" s="96">
        <f t="shared" ref="CE42:CE45" si="129">CD42-CF43</f>
        <v>8517.2999999999593</v>
      </c>
      <c r="CF42" s="98">
        <f t="shared" ref="CF42:CF46" si="130">CD42-CE42</f>
        <v>352.70000000004075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414" t="s">
        <v>224</v>
      </c>
      <c r="DR42" s="414"/>
      <c r="DS42" s="414"/>
      <c r="DT42" s="414"/>
      <c r="EE42" t="s">
        <v>109</v>
      </c>
      <c r="EJ42" s="3"/>
      <c r="EK42" s="174"/>
      <c r="EL42" s="174"/>
      <c r="EN42" s="2"/>
      <c r="EO42" s="151"/>
      <c r="FF42" s="416" t="s">
        <v>243</v>
      </c>
      <c r="FG42" s="416"/>
      <c r="FH42" s="416" t="s">
        <v>246</v>
      </c>
      <c r="FI42" s="416"/>
      <c r="FJ42" s="415" t="s">
        <v>247</v>
      </c>
      <c r="FK42" s="415"/>
      <c r="FL42" s="415" t="s">
        <v>245</v>
      </c>
      <c r="FM42" s="415"/>
      <c r="FN42" s="416" t="s">
        <v>37</v>
      </c>
      <c r="FO42" s="418" t="s">
        <v>310</v>
      </c>
      <c r="FP42" s="406"/>
      <c r="FQ42" s="500"/>
      <c r="FR42" s="402" t="s">
        <v>1</v>
      </c>
      <c r="FS42" s="402" t="s">
        <v>306</v>
      </c>
      <c r="FT42" s="402"/>
      <c r="FU42" s="402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5062000</v>
      </c>
      <c r="HJ42" s="16"/>
      <c r="HT42" s="151"/>
      <c r="HX42" s="151"/>
      <c r="IH42" s="16"/>
      <c r="II42" s="16" t="s">
        <v>290</v>
      </c>
      <c r="IJ42" s="16"/>
      <c r="IK42" s="16"/>
      <c r="IL42" s="16"/>
      <c r="JN42" t="s">
        <v>296</v>
      </c>
    </row>
    <row r="43" spans="1:293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28"/>
        <v>6715</v>
      </c>
      <c r="CE43" s="96">
        <f t="shared" si="129"/>
        <v>6362.2999999999593</v>
      </c>
      <c r="CF43" s="98">
        <f t="shared" si="130"/>
        <v>352.70000000004075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408" t="s">
        <v>225</v>
      </c>
      <c r="DR43" s="409"/>
      <c r="DS43" s="408" t="s">
        <v>226</v>
      </c>
      <c r="DT43" s="409"/>
      <c r="EE43" t="s">
        <v>110</v>
      </c>
      <c r="EJ43" s="2"/>
      <c r="EK43" s="174"/>
      <c r="EL43" s="174"/>
      <c r="EN43" s="3"/>
      <c r="EO43" s="151"/>
      <c r="EZ43" s="416" t="s">
        <v>241</v>
      </c>
      <c r="FA43" s="416" t="s">
        <v>242</v>
      </c>
      <c r="FB43" s="416" t="s">
        <v>37</v>
      </c>
      <c r="FD43" s="3"/>
      <c r="FF43" s="416"/>
      <c r="FG43" s="416"/>
      <c r="FH43" s="416"/>
      <c r="FI43" s="416"/>
      <c r="FJ43" s="415"/>
      <c r="FK43" s="415"/>
      <c r="FL43" s="415"/>
      <c r="FM43" s="415"/>
      <c r="FN43" s="416"/>
      <c r="FO43" s="418"/>
      <c r="FP43" s="406"/>
      <c r="FQ43" s="500"/>
      <c r="FR43" s="402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</v>
      </c>
      <c r="HJ43" s="16"/>
      <c r="HT43" s="151"/>
      <c r="HV43" s="151"/>
      <c r="HW43" s="151"/>
      <c r="HX43" s="151"/>
      <c r="IH43" s="16"/>
      <c r="II43" s="16" t="s">
        <v>291</v>
      </c>
      <c r="IJ43" s="16"/>
      <c r="IK43" s="16"/>
      <c r="IL43" s="16"/>
      <c r="JN43">
        <f t="shared" ref="JN43:JN63" si="131">HY15-JP15</f>
        <v>22749.999999999909</v>
      </c>
    </row>
    <row r="44" spans="1:293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128"/>
        <v>6391</v>
      </c>
      <c r="CE44" s="96">
        <f t="shared" si="129"/>
        <v>6038.2999999999593</v>
      </c>
      <c r="CF44" s="98">
        <f t="shared" si="130"/>
        <v>352.70000000004075</v>
      </c>
      <c r="CG44" s="96">
        <v>4450.1999999999753</v>
      </c>
      <c r="CH44" s="96">
        <f t="shared" ref="CH44:CH46" si="132">CG44-CD10-CH10</f>
        <v>4450.1999999999753</v>
      </c>
      <c r="CI44" s="92"/>
      <c r="CJ44" s="92"/>
      <c r="CK44" s="92"/>
      <c r="CL44" s="92"/>
      <c r="CQ44" s="161"/>
      <c r="CR44" s="161"/>
      <c r="CV44" s="91"/>
      <c r="DQ44" s="410"/>
      <c r="DR44" s="411"/>
      <c r="DS44" s="410"/>
      <c r="DT44" s="411"/>
      <c r="EE44" t="s">
        <v>111</v>
      </c>
      <c r="EJ44" s="2"/>
      <c r="EV44" t="s">
        <v>235</v>
      </c>
      <c r="EZ44" s="416"/>
      <c r="FA44" s="416"/>
      <c r="FB44" s="416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416"/>
      <c r="FO44" s="418"/>
      <c r="FP44" s="406"/>
      <c r="FQ44" s="500"/>
      <c r="FR44" s="16">
        <v>1</v>
      </c>
      <c r="FS44" s="16">
        <v>762.7</v>
      </c>
      <c r="FT44" s="16"/>
      <c r="FU44" s="16"/>
      <c r="FV44" s="16"/>
      <c r="FW44" s="16"/>
      <c r="HD44" s="74"/>
      <c r="HH44" s="16" t="s">
        <v>272</v>
      </c>
      <c r="HI44" s="16">
        <f>HS39</f>
        <v>667925</v>
      </c>
      <c r="HJ44" s="16"/>
      <c r="HT44" s="151"/>
      <c r="HV44" s="151"/>
      <c r="HW44" s="151"/>
      <c r="HX44" s="151"/>
      <c r="IH44" s="16"/>
      <c r="II44" s="16"/>
      <c r="IJ44" s="16" t="s">
        <v>292</v>
      </c>
      <c r="IK44" s="16"/>
      <c r="IL44" s="16" t="s">
        <v>292</v>
      </c>
      <c r="JN44">
        <f t="shared" si="131"/>
        <v>23149.999999999909</v>
      </c>
    </row>
    <row r="45" spans="1:293" x14ac:dyDescent="0.25">
      <c r="A45" s="35">
        <v>31</v>
      </c>
      <c r="B45" s="138">
        <v>0.37280000000000002</v>
      </c>
      <c r="C45" s="65"/>
      <c r="D45" s="55"/>
      <c r="E45" s="16">
        <v>30276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28"/>
        <v>7761</v>
      </c>
      <c r="CE45" s="96">
        <f t="shared" si="129"/>
        <v>7408.2999999999593</v>
      </c>
      <c r="CF45" s="98">
        <f t="shared" si="130"/>
        <v>352.70000000004075</v>
      </c>
      <c r="CG45" s="96">
        <v>4316.1999999999753</v>
      </c>
      <c r="CH45" s="96">
        <f t="shared" si="132"/>
        <v>2793.8999999999287</v>
      </c>
      <c r="CI45" s="92"/>
      <c r="CJ45" s="92"/>
      <c r="CK45" s="92"/>
      <c r="CL45" s="92"/>
      <c r="DQ45" s="412"/>
      <c r="DR45" s="413"/>
      <c r="DS45" s="412"/>
      <c r="DT45" s="413"/>
      <c r="EE45" t="s">
        <v>114</v>
      </c>
      <c r="EV45" t="s">
        <v>236</v>
      </c>
      <c r="EW45" s="406" t="s">
        <v>238</v>
      </c>
      <c r="EX45" s="406"/>
      <c r="EZ45" s="203">
        <f>EZ8</f>
        <v>10713.010000000582</v>
      </c>
      <c r="FA45" s="205">
        <f>FP8</f>
        <v>11669.679999999273</v>
      </c>
      <c r="FB45" s="201">
        <f>EZ45+FA45</f>
        <v>22382.689999999857</v>
      </c>
      <c r="FC45" s="16">
        <f>85*0.6355*24</f>
        <v>1296.42</v>
      </c>
      <c r="FD45" s="167">
        <f>FB45-$FC$45</f>
        <v>21086.269999999859</v>
      </c>
      <c r="FE45" s="16"/>
      <c r="FF45" s="199">
        <v>0.5</v>
      </c>
      <c r="FG45" s="200">
        <v>0.5</v>
      </c>
      <c r="FH45" s="16">
        <f>FF45*$FC$45</f>
        <v>648.21</v>
      </c>
      <c r="FI45" s="179">
        <f>FG45*$FC$45</f>
        <v>648.21</v>
      </c>
      <c r="FJ45" s="179">
        <f>FF45*FD45</f>
        <v>10543.134999999929</v>
      </c>
      <c r="FK45" s="179">
        <f>FG45*FD45</f>
        <v>10543.134999999929</v>
      </c>
      <c r="FL45" s="204">
        <f>FH45+FJ45</f>
        <v>11191.344999999928</v>
      </c>
      <c r="FM45" s="206">
        <f>FI45+FK45</f>
        <v>11191.344999999928</v>
      </c>
      <c r="FN45" s="202">
        <f>FL45+FM45</f>
        <v>22382.689999999857</v>
      </c>
      <c r="FQ45" s="217"/>
      <c r="FR45" s="16">
        <v>2</v>
      </c>
      <c r="FS45" s="16">
        <v>764.7</v>
      </c>
      <c r="FT45" s="16"/>
      <c r="FU45" s="16">
        <f t="shared" ref="FU45:FU75" si="133">(FS45-FS44)*1000</f>
        <v>2000</v>
      </c>
      <c r="FV45" s="16">
        <f t="shared" ref="FV45:FV75" si="134">FU45/2</f>
        <v>1000</v>
      </c>
      <c r="FW45" s="16">
        <f t="shared" ref="FW45:FW75" si="135">FU45/2</f>
        <v>1000</v>
      </c>
      <c r="HD45" s="74"/>
      <c r="HH45" s="16" t="s">
        <v>273</v>
      </c>
      <c r="HI45" s="16">
        <f>HV39</f>
        <v>810224.99999999988</v>
      </c>
      <c r="HJ45" s="179"/>
      <c r="HR45" s="151"/>
      <c r="HS45" s="151"/>
      <c r="HT45" s="151"/>
      <c r="HV45" s="151"/>
      <c r="HW45" s="151"/>
      <c r="IG45" s="151"/>
      <c r="IH45" s="16">
        <v>1</v>
      </c>
      <c r="II45" s="144">
        <f>DailyAug!BX7+DailyAug!BY7-DailyAug!BZ7-DailyAug!CA7-DailyAug!CB7-DailyAug!CC7-DailyAug!CD7-DailyAug!CF7-DailyAug!CE7</f>
        <v>1.8189894035458565E-10</v>
      </c>
      <c r="IJ45" s="16">
        <v>1700</v>
      </c>
      <c r="IK45" s="16">
        <f>IJ45/4</f>
        <v>425</v>
      </c>
      <c r="IL45" s="16">
        <v>425</v>
      </c>
      <c r="JN45">
        <f t="shared" si="131"/>
        <v>24825.000000000182</v>
      </c>
    </row>
    <row r="46" spans="1:293" x14ac:dyDescent="0.25">
      <c r="A46" s="35">
        <v>1</v>
      </c>
      <c r="B46" s="138">
        <v>0.37280000000000002</v>
      </c>
      <c r="C46" s="65"/>
      <c r="D46" s="37">
        <f>IF((B46-B45)&lt;=0,0,(B46-B45))*1000000</f>
        <v>0</v>
      </c>
      <c r="E46" s="16">
        <v>30364</v>
      </c>
      <c r="F46" s="16"/>
      <c r="G46" s="37">
        <f t="shared" ref="G46:G77" si="136">IF((E46-E45)&lt;=0,0,(E46-E45))*1000</f>
        <v>88000</v>
      </c>
      <c r="H46" s="138"/>
      <c r="I46" s="65"/>
      <c r="J46" s="37">
        <f t="shared" ref="J46:J77" si="137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>
        <f t="shared" si="128"/>
        <v>1426</v>
      </c>
      <c r="CE46" s="96">
        <f>CD46-CF47</f>
        <v>1073.2999999999593</v>
      </c>
      <c r="CF46" s="98">
        <f t="shared" si="130"/>
        <v>352.70000000004075</v>
      </c>
      <c r="CG46" s="96">
        <v>3692.1999999999753</v>
      </c>
      <c r="CH46" s="96">
        <f t="shared" si="132"/>
        <v>3128.3999999999869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38">EZ9</f>
        <v>11000.72999999949</v>
      </c>
      <c r="FA46" s="205">
        <f t="shared" ref="FA46:FA75" si="139">FP9</f>
        <v>11657.400000000727</v>
      </c>
      <c r="FB46" s="201">
        <f t="shared" ref="FB46:FB75" si="140">EZ46+FA46</f>
        <v>22658.130000000216</v>
      </c>
      <c r="FC46" s="16"/>
      <c r="FD46" s="167">
        <f t="shared" ref="FD46:FD75" si="141">FB46-$FC$45</f>
        <v>21361.710000000217</v>
      </c>
      <c r="FE46" s="16"/>
      <c r="FF46" s="199">
        <v>0.5</v>
      </c>
      <c r="FG46" s="200">
        <v>0.5</v>
      </c>
      <c r="FH46" s="16">
        <f t="shared" ref="FH46:FI75" si="142">FF46*$FC$45</f>
        <v>648.21</v>
      </c>
      <c r="FI46" s="179">
        <f t="shared" si="142"/>
        <v>648.21</v>
      </c>
      <c r="FJ46" s="179">
        <f t="shared" ref="FJ46:FJ75" si="143">FF46*FD46</f>
        <v>10680.855000000109</v>
      </c>
      <c r="FK46" s="179">
        <f t="shared" ref="FK46:FK75" si="144">FG46*FD46</f>
        <v>10680.855000000109</v>
      </c>
      <c r="FL46" s="204">
        <f t="shared" ref="FL46:FM75" si="145">FH46+FJ46</f>
        <v>11329.065000000108</v>
      </c>
      <c r="FM46" s="206">
        <f t="shared" si="145"/>
        <v>11329.065000000108</v>
      </c>
      <c r="FN46" s="202">
        <f t="shared" ref="FN46:FN75" si="146">FL46+FM46</f>
        <v>22658.130000000216</v>
      </c>
      <c r="FQ46" s="217"/>
      <c r="FR46" s="16">
        <v>3</v>
      </c>
      <c r="FS46" s="16">
        <v>766.6</v>
      </c>
      <c r="FT46" s="16"/>
      <c r="FU46" s="16">
        <f t="shared" si="133"/>
        <v>1899.9999999999773</v>
      </c>
      <c r="FV46" s="16">
        <f t="shared" si="134"/>
        <v>949.99999999998863</v>
      </c>
      <c r="FW46" s="16">
        <f t="shared" si="135"/>
        <v>949.99999999998863</v>
      </c>
      <c r="HH46" s="16" t="s">
        <v>274</v>
      </c>
      <c r="HI46" s="16">
        <f>HY39</f>
        <v>692625.00000000035</v>
      </c>
      <c r="HJ46" s="16"/>
      <c r="HV46" s="151"/>
      <c r="IH46" s="16">
        <v>2</v>
      </c>
      <c r="II46" s="144">
        <f>DailyAug!BX8+DailyAug!BY8-DailyAug!BZ8-DailyAug!CA8-DailyAug!CB8-DailyAug!CC8-DailyAug!CD8-DailyAug!CF8-DailyAug!CE8</f>
        <v>-5.5297277867794037E-10</v>
      </c>
      <c r="IJ46" s="16">
        <v>150</v>
      </c>
      <c r="IK46" s="16">
        <f t="shared" ref="IK46:IK75" si="147">IJ46/4</f>
        <v>37.5</v>
      </c>
      <c r="IL46" s="16">
        <v>37.5</v>
      </c>
      <c r="JN46">
        <f t="shared" si="131"/>
        <v>22950.000000000091</v>
      </c>
    </row>
    <row r="47" spans="1:293" x14ac:dyDescent="0.25">
      <c r="A47" s="35">
        <v>2</v>
      </c>
      <c r="B47" s="138">
        <v>0.37280000000000002</v>
      </c>
      <c r="C47" s="65"/>
      <c r="D47" s="37">
        <f t="shared" ref="D47:D77" si="148">IF((B47-B46)&lt;=0,0,(B47-B46))*1000000</f>
        <v>0</v>
      </c>
      <c r="E47" s="16">
        <v>30454</v>
      </c>
      <c r="F47" s="16"/>
      <c r="G47" s="37">
        <f t="shared" si="136"/>
        <v>90000</v>
      </c>
      <c r="H47" s="138"/>
      <c r="I47" s="65"/>
      <c r="J47" s="37">
        <f t="shared" si="137"/>
        <v>0</v>
      </c>
      <c r="BH47" s="96"/>
      <c r="BI47" s="96"/>
      <c r="BJ47" s="96"/>
      <c r="CC47" s="91"/>
      <c r="CD47" s="91">
        <f>BW13</f>
        <v>11174</v>
      </c>
      <c r="CE47" s="96">
        <f>CD13+CF13+CH13</f>
        <v>10821.299999999959</v>
      </c>
      <c r="CF47" s="98">
        <f>CD47-CE47</f>
        <v>352.70000000004075</v>
      </c>
      <c r="CG47" s="96">
        <v>5653.1999999999753</v>
      </c>
      <c r="CH47" s="96">
        <f>CG47-CD13-CH13</f>
        <v>554.90000000001601</v>
      </c>
      <c r="CI47" s="92"/>
      <c r="CJ47" s="92"/>
      <c r="CK47" s="92"/>
      <c r="CL47" s="92"/>
      <c r="CN47" s="91"/>
      <c r="DP47">
        <v>31</v>
      </c>
      <c r="DQ47" s="50">
        <v>8.2584</v>
      </c>
      <c r="DR47" s="49"/>
      <c r="DS47" s="50">
        <v>51.348999999999997</v>
      </c>
      <c r="DT47" s="49"/>
      <c r="EV47" t="s">
        <v>239</v>
      </c>
      <c r="EZ47" s="203">
        <f t="shared" si="138"/>
        <v>10926.750000000073</v>
      </c>
      <c r="FA47" s="205">
        <f t="shared" si="139"/>
        <v>12030.079999997817</v>
      </c>
      <c r="FB47" s="201">
        <f t="shared" si="140"/>
        <v>22956.829999997892</v>
      </c>
      <c r="FC47" s="16"/>
      <c r="FD47" s="167">
        <f t="shared" si="141"/>
        <v>21660.409999997893</v>
      </c>
      <c r="FE47" s="16"/>
      <c r="FF47" s="199">
        <v>0.5</v>
      </c>
      <c r="FG47" s="200">
        <v>0.5</v>
      </c>
      <c r="FH47" s="16">
        <f t="shared" si="142"/>
        <v>648.21</v>
      </c>
      <c r="FI47" s="179">
        <f t="shared" si="142"/>
        <v>648.21</v>
      </c>
      <c r="FJ47" s="179">
        <f t="shared" si="143"/>
        <v>10830.204999998947</v>
      </c>
      <c r="FK47" s="179">
        <f t="shared" si="144"/>
        <v>10830.204999998947</v>
      </c>
      <c r="FL47" s="204">
        <f t="shared" si="145"/>
        <v>11478.414999998946</v>
      </c>
      <c r="FM47" s="206">
        <f t="shared" si="145"/>
        <v>11478.414999998946</v>
      </c>
      <c r="FN47" s="202">
        <f t="shared" si="146"/>
        <v>22956.829999997892</v>
      </c>
      <c r="FQ47" s="217"/>
      <c r="FR47" s="16">
        <v>4</v>
      </c>
      <c r="FS47" s="16">
        <v>768.6</v>
      </c>
      <c r="FT47" s="16"/>
      <c r="FU47" s="16">
        <f t="shared" si="133"/>
        <v>2000</v>
      </c>
      <c r="FV47" s="16">
        <f t="shared" si="134"/>
        <v>1000</v>
      </c>
      <c r="FW47" s="16">
        <f t="shared" si="135"/>
        <v>1000</v>
      </c>
      <c r="HH47" s="16" t="s">
        <v>319</v>
      </c>
      <c r="HI47" s="16">
        <f>HP39</f>
        <v>1244825.0000000005</v>
      </c>
      <c r="HJ47" s="16"/>
      <c r="HT47" s="151"/>
      <c r="HV47" s="151"/>
      <c r="HW47" s="151"/>
      <c r="IH47" s="16">
        <v>3</v>
      </c>
      <c r="II47" s="144">
        <f>DailyAug!BX9+DailyAug!BY9-DailyAug!BZ9-DailyAug!CA9-DailyAug!CB9-DailyAug!CC9-DailyAug!CD9-DailyAug!CF9-DailyAug!CE9</f>
        <v>6.2573235481977463E-10</v>
      </c>
      <c r="IJ47" s="16">
        <v>-150</v>
      </c>
      <c r="IK47" s="16">
        <f t="shared" si="147"/>
        <v>-37.5</v>
      </c>
      <c r="IL47" s="16">
        <v>-37.5</v>
      </c>
      <c r="JN47">
        <f t="shared" si="131"/>
        <v>24899.999999999909</v>
      </c>
    </row>
    <row r="48" spans="1:293" x14ac:dyDescent="0.25">
      <c r="A48" s="35">
        <v>3</v>
      </c>
      <c r="B48" s="138">
        <v>0.37280000000000002</v>
      </c>
      <c r="C48" s="65"/>
      <c r="D48" s="37">
        <f t="shared" si="148"/>
        <v>0</v>
      </c>
      <c r="E48" s="16">
        <v>30540</v>
      </c>
      <c r="F48" s="16"/>
      <c r="G48" s="37">
        <f t="shared" si="136"/>
        <v>86000</v>
      </c>
      <c r="H48" s="138"/>
      <c r="I48" s="65"/>
      <c r="J48" s="37">
        <f t="shared" si="137"/>
        <v>0</v>
      </c>
      <c r="AL48" s="101"/>
      <c r="AM48" s="101"/>
      <c r="AN48" s="101"/>
      <c r="AP48" s="405"/>
      <c r="AQ48" s="405"/>
      <c r="AR48" s="405"/>
      <c r="AS48" s="405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v>1</v>
      </c>
      <c r="DQ48" s="50">
        <v>8.2584</v>
      </c>
      <c r="DR48" s="49">
        <f t="shared" ref="DR48:DR77" si="149">IF((DQ48-DQ47)&lt;=0,0,(DQ48-DQ47))*10000</f>
        <v>0</v>
      </c>
      <c r="DS48" s="50">
        <v>51.348999999999997</v>
      </c>
      <c r="DT48" s="49">
        <f t="shared" ref="DT48:DT56" si="150">IF((DS48-DS47)&lt;=0,0,(DS48-DS47))*1000</f>
        <v>0</v>
      </c>
      <c r="EE48" s="406" t="s">
        <v>206</v>
      </c>
      <c r="EF48" s="406"/>
      <c r="EG48" s="406"/>
      <c r="EH48" s="406" t="s">
        <v>155</v>
      </c>
      <c r="EI48" s="406"/>
      <c r="EJ48" s="406"/>
      <c r="EK48" s="406" t="s">
        <v>207</v>
      </c>
      <c r="EL48" s="406"/>
      <c r="EM48" s="406"/>
      <c r="EV48" s="406" t="s">
        <v>240</v>
      </c>
      <c r="EW48" s="406"/>
      <c r="EX48">
        <f>85*0.6355*24</f>
        <v>1296.42</v>
      </c>
      <c r="EZ48" s="203">
        <f t="shared" si="138"/>
        <v>10542.230000000218</v>
      </c>
      <c r="FA48" s="205">
        <f t="shared" si="139"/>
        <v>11755.559999999272</v>
      </c>
      <c r="FB48" s="201">
        <f t="shared" si="140"/>
        <v>22297.789999999492</v>
      </c>
      <c r="FC48" s="16"/>
      <c r="FD48" s="167">
        <f t="shared" si="141"/>
        <v>21001.369999999493</v>
      </c>
      <c r="FE48" s="16"/>
      <c r="FF48" s="199">
        <v>0.5</v>
      </c>
      <c r="FG48" s="200">
        <v>0.5</v>
      </c>
      <c r="FH48" s="16">
        <f t="shared" si="142"/>
        <v>648.21</v>
      </c>
      <c r="FI48" s="179">
        <f t="shared" si="142"/>
        <v>648.21</v>
      </c>
      <c r="FJ48" s="179">
        <f t="shared" si="143"/>
        <v>10500.684999999747</v>
      </c>
      <c r="FK48" s="179">
        <f t="shared" si="144"/>
        <v>10500.684999999747</v>
      </c>
      <c r="FL48" s="204">
        <f t="shared" si="145"/>
        <v>11148.894999999746</v>
      </c>
      <c r="FM48" s="206">
        <f t="shared" si="145"/>
        <v>11148.894999999746</v>
      </c>
      <c r="FN48" s="202">
        <f t="shared" si="146"/>
        <v>22297.789999999492</v>
      </c>
      <c r="FQ48" s="217"/>
      <c r="FR48" s="16">
        <v>5</v>
      </c>
      <c r="FS48" s="16">
        <v>770.5</v>
      </c>
      <c r="FT48" s="16"/>
      <c r="FU48" s="16">
        <f t="shared" si="133"/>
        <v>1899.9999999999773</v>
      </c>
      <c r="FV48" s="16">
        <f t="shared" si="134"/>
        <v>949.99999999998863</v>
      </c>
      <c r="FW48" s="16">
        <f t="shared" si="135"/>
        <v>949.99999999998863</v>
      </c>
      <c r="HH48" s="16" t="s">
        <v>347</v>
      </c>
      <c r="HI48" s="16">
        <f>IB39</f>
        <v>924200</v>
      </c>
      <c r="HJ48" s="16"/>
      <c r="HT48" s="151"/>
      <c r="IH48" s="16">
        <v>4</v>
      </c>
      <c r="II48" s="144">
        <f>DailyAug!BX10+DailyAug!BY10-DailyAug!BZ10-DailyAug!CA10-DailyAug!CB10-DailyAug!CC10-DailyAug!CD10-DailyAug!CF10-DailyAug!CE10</f>
        <v>-5.5297277867794037E-10</v>
      </c>
      <c r="IJ48" s="16">
        <v>-1000</v>
      </c>
      <c r="IK48" s="16">
        <f t="shared" si="147"/>
        <v>-250</v>
      </c>
      <c r="IL48" s="16">
        <v>-250</v>
      </c>
      <c r="JN48">
        <f t="shared" si="131"/>
        <v>27724.999999999818</v>
      </c>
    </row>
    <row r="49" spans="1:274" x14ac:dyDescent="0.25">
      <c r="A49" s="35">
        <v>4</v>
      </c>
      <c r="B49" s="138">
        <v>0.37280000000000002</v>
      </c>
      <c r="C49" s="65"/>
      <c r="D49" s="37">
        <f t="shared" si="148"/>
        <v>0</v>
      </c>
      <c r="E49" s="16">
        <v>30619</v>
      </c>
      <c r="F49" s="16"/>
      <c r="G49" s="37">
        <f t="shared" si="136"/>
        <v>79000</v>
      </c>
      <c r="H49" s="138"/>
      <c r="I49" s="65"/>
      <c r="J49" s="37">
        <f t="shared" si="137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v>2</v>
      </c>
      <c r="DQ49" s="50">
        <v>8.2584</v>
      </c>
      <c r="DR49" s="49">
        <f t="shared" si="149"/>
        <v>0</v>
      </c>
      <c r="DS49" s="50">
        <v>51.348999999999997</v>
      </c>
      <c r="DT49" s="49">
        <f t="shared" si="150"/>
        <v>0</v>
      </c>
      <c r="EZ49" s="203">
        <f t="shared" si="138"/>
        <v>10528.949999999855</v>
      </c>
      <c r="FA49" s="205">
        <f t="shared" si="139"/>
        <v>11858.950000001456</v>
      </c>
      <c r="FB49" s="201">
        <f t="shared" si="140"/>
        <v>22387.900000001311</v>
      </c>
      <c r="FC49" s="16"/>
      <c r="FD49" s="167">
        <f t="shared" si="141"/>
        <v>21091.480000001313</v>
      </c>
      <c r="FE49" s="16"/>
      <c r="FF49" s="199">
        <v>0.5</v>
      </c>
      <c r="FG49" s="200">
        <v>0.5</v>
      </c>
      <c r="FH49" s="16">
        <f t="shared" si="142"/>
        <v>648.21</v>
      </c>
      <c r="FI49" s="179">
        <f t="shared" si="142"/>
        <v>648.21</v>
      </c>
      <c r="FJ49" s="179">
        <f t="shared" si="143"/>
        <v>10545.740000000656</v>
      </c>
      <c r="FK49" s="179">
        <f t="shared" si="144"/>
        <v>10545.740000000656</v>
      </c>
      <c r="FL49" s="204">
        <f t="shared" si="145"/>
        <v>11193.950000000656</v>
      </c>
      <c r="FM49" s="206">
        <f t="shared" si="145"/>
        <v>11193.950000000656</v>
      </c>
      <c r="FN49" s="202">
        <f t="shared" si="146"/>
        <v>22387.900000001311</v>
      </c>
      <c r="FQ49" s="217"/>
      <c r="FR49" s="16">
        <v>6</v>
      </c>
      <c r="FS49" s="16">
        <v>772.4</v>
      </c>
      <c r="FT49" s="16"/>
      <c r="FU49" s="16">
        <f t="shared" si="133"/>
        <v>1899.9999999999773</v>
      </c>
      <c r="FV49" s="16">
        <f t="shared" si="134"/>
        <v>949.99999999998863</v>
      </c>
      <c r="FW49" s="16">
        <f t="shared" si="135"/>
        <v>949.99999999998863</v>
      </c>
      <c r="HH49" s="16" t="s">
        <v>347</v>
      </c>
      <c r="HI49" s="16">
        <f>IE39</f>
        <v>0</v>
      </c>
      <c r="HJ49" s="16"/>
      <c r="HT49" s="151"/>
      <c r="IH49" s="16">
        <v>5</v>
      </c>
      <c r="II49" s="144">
        <f>DailyAug!BX11+DailyAug!BY11-DailyAug!BZ11-DailyAug!CA11-DailyAug!CB11-DailyAug!CC11-DailyAug!CD11-DailyAug!CF11-DailyAug!CE11</f>
        <v>6.4028427004814148E-10</v>
      </c>
      <c r="IJ49" s="16">
        <v>1400</v>
      </c>
      <c r="IK49" s="16">
        <f t="shared" si="147"/>
        <v>350</v>
      </c>
      <c r="IL49" s="16">
        <v>350</v>
      </c>
      <c r="JN49">
        <f t="shared" si="131"/>
        <v>26200.000000000273</v>
      </c>
    </row>
    <row r="50" spans="1:274" x14ac:dyDescent="0.25">
      <c r="A50" s="35">
        <v>5</v>
      </c>
      <c r="B50" s="138">
        <v>0.37280000000000002</v>
      </c>
      <c r="C50" s="65"/>
      <c r="D50" s="37">
        <f t="shared" si="148"/>
        <v>0</v>
      </c>
      <c r="E50" s="16">
        <v>30707</v>
      </c>
      <c r="F50" s="16"/>
      <c r="G50" s="37">
        <f t="shared" si="136"/>
        <v>88000</v>
      </c>
      <c r="H50" s="138"/>
      <c r="I50" s="65"/>
      <c r="J50" s="37">
        <f t="shared" si="137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v>3</v>
      </c>
      <c r="DQ50" s="50">
        <v>8.2584</v>
      </c>
      <c r="DR50" s="49">
        <f t="shared" si="149"/>
        <v>0</v>
      </c>
      <c r="DS50" s="50">
        <v>51.348999999999997</v>
      </c>
      <c r="DT50" s="49">
        <f t="shared" si="150"/>
        <v>0</v>
      </c>
      <c r="EZ50" s="203">
        <f t="shared" si="138"/>
        <v>10619.49</v>
      </c>
      <c r="FA50" s="205">
        <f t="shared" si="139"/>
        <v>11639.49</v>
      </c>
      <c r="FB50" s="201">
        <f t="shared" si="140"/>
        <v>22258.98</v>
      </c>
      <c r="FC50" s="16"/>
      <c r="FD50" s="167">
        <f t="shared" si="141"/>
        <v>20962.559999999998</v>
      </c>
      <c r="FE50" s="16"/>
      <c r="FF50" s="199">
        <v>0.5</v>
      </c>
      <c r="FG50" s="200">
        <v>0.5</v>
      </c>
      <c r="FH50" s="16">
        <f t="shared" si="142"/>
        <v>648.21</v>
      </c>
      <c r="FI50" s="179">
        <f t="shared" si="142"/>
        <v>648.21</v>
      </c>
      <c r="FJ50" s="179">
        <f t="shared" si="143"/>
        <v>10481.279999999999</v>
      </c>
      <c r="FK50" s="179">
        <f t="shared" si="144"/>
        <v>10481.279999999999</v>
      </c>
      <c r="FL50" s="204">
        <f t="shared" si="145"/>
        <v>11129.489999999998</v>
      </c>
      <c r="FM50" s="206">
        <f t="shared" si="145"/>
        <v>11129.489999999998</v>
      </c>
      <c r="FN50" s="202">
        <f t="shared" si="146"/>
        <v>22258.979999999996</v>
      </c>
      <c r="FQ50" s="217"/>
      <c r="FR50" s="16">
        <v>7</v>
      </c>
      <c r="FS50" s="16">
        <v>774.28</v>
      </c>
      <c r="FT50" s="16"/>
      <c r="FU50" s="16">
        <f t="shared" si="133"/>
        <v>1879.9999999999955</v>
      </c>
      <c r="FV50" s="16">
        <f t="shared" si="134"/>
        <v>939.99999999999773</v>
      </c>
      <c r="FW50" s="16">
        <f t="shared" si="135"/>
        <v>939.99999999999773</v>
      </c>
      <c r="FX50" s="151"/>
      <c r="FY50" s="150"/>
      <c r="FZ50" s="151"/>
      <c r="GV50" s="166"/>
      <c r="HH50" s="16" t="s">
        <v>275</v>
      </c>
      <c r="HI50" s="16">
        <f>$IH$39</f>
        <v>722200</v>
      </c>
      <c r="HJ50" s="16"/>
      <c r="IH50" s="16">
        <v>6</v>
      </c>
      <c r="II50" s="144">
        <f>DailyAug!BX12+DailyAug!BY12-DailyAug!BZ12-DailyAug!CA12-DailyAug!CB12-DailyAug!CC12-DailyAug!CD12-DailyAug!CF12-DailyAug!CE12</f>
        <v>3.637978807091713E-10</v>
      </c>
      <c r="IJ50" s="16">
        <v>500</v>
      </c>
      <c r="IK50" s="16">
        <f t="shared" si="147"/>
        <v>125</v>
      </c>
      <c r="IL50" s="16">
        <v>125</v>
      </c>
      <c r="JN50">
        <f t="shared" si="131"/>
        <v>23649.999999999727</v>
      </c>
    </row>
    <row r="51" spans="1:274" x14ac:dyDescent="0.25">
      <c r="A51" s="35">
        <v>6</v>
      </c>
      <c r="B51" s="138">
        <v>0.37280000000000002</v>
      </c>
      <c r="C51" s="65"/>
      <c r="D51" s="37">
        <f t="shared" si="148"/>
        <v>0</v>
      </c>
      <c r="E51" s="16">
        <v>30790</v>
      </c>
      <c r="F51" s="16"/>
      <c r="G51" s="37">
        <f t="shared" si="136"/>
        <v>83000</v>
      </c>
      <c r="H51" s="138"/>
      <c r="I51" s="65"/>
      <c r="J51" s="37">
        <f t="shared" si="137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v>4</v>
      </c>
      <c r="DQ51" s="50">
        <v>8.2584</v>
      </c>
      <c r="DR51" s="49">
        <f t="shared" si="149"/>
        <v>0</v>
      </c>
      <c r="DS51" s="50">
        <v>51.348999999999997</v>
      </c>
      <c r="DT51" s="49">
        <f t="shared" si="150"/>
        <v>0</v>
      </c>
      <c r="EZ51" s="203">
        <f t="shared" si="138"/>
        <v>10099.67</v>
      </c>
      <c r="FA51" s="205">
        <f t="shared" si="139"/>
        <v>10796.34</v>
      </c>
      <c r="FB51" s="201">
        <f t="shared" si="140"/>
        <v>20896.010000000002</v>
      </c>
      <c r="FC51" s="16"/>
      <c r="FD51" s="167">
        <f t="shared" si="141"/>
        <v>19599.590000000004</v>
      </c>
      <c r="FE51" s="16"/>
      <c r="FF51" s="199">
        <v>0.5</v>
      </c>
      <c r="FG51" s="200">
        <v>0.5</v>
      </c>
      <c r="FH51" s="16">
        <f t="shared" si="142"/>
        <v>648.21</v>
      </c>
      <c r="FI51" s="179">
        <f t="shared" si="142"/>
        <v>648.21</v>
      </c>
      <c r="FJ51" s="179">
        <f t="shared" si="143"/>
        <v>9799.7950000000019</v>
      </c>
      <c r="FK51" s="179">
        <f t="shared" si="144"/>
        <v>9799.7950000000019</v>
      </c>
      <c r="FL51" s="204">
        <f t="shared" si="145"/>
        <v>10448.005000000001</v>
      </c>
      <c r="FM51" s="206">
        <f t="shared" si="145"/>
        <v>10448.005000000001</v>
      </c>
      <c r="FN51" s="202">
        <f t="shared" si="146"/>
        <v>20896.010000000002</v>
      </c>
      <c r="FQ51" s="217"/>
      <c r="FR51" s="16">
        <v>8</v>
      </c>
      <c r="FS51" s="16">
        <v>776.1</v>
      </c>
      <c r="FT51" s="16"/>
      <c r="FU51" s="16">
        <f t="shared" si="133"/>
        <v>1820.00000000005</v>
      </c>
      <c r="FV51" s="16">
        <f t="shared" si="134"/>
        <v>910.00000000002501</v>
      </c>
      <c r="FW51" s="16">
        <f t="shared" si="135"/>
        <v>910.00000000002501</v>
      </c>
      <c r="GV51" s="166"/>
      <c r="IH51" s="16">
        <v>7</v>
      </c>
      <c r="II51" s="144">
        <f>DailyAug!BX13+DailyAug!BY13-DailyAug!BZ13-DailyAug!CA13-DailyAug!CB13-DailyAug!CC13-DailyAug!CD13-DailyAug!CF13-DailyAug!CE13</f>
        <v>-1.8917489796876907E-10</v>
      </c>
      <c r="IJ51" s="16">
        <v>300</v>
      </c>
      <c r="IK51" s="16">
        <f t="shared" si="147"/>
        <v>75</v>
      </c>
      <c r="IL51" s="16">
        <v>75</v>
      </c>
      <c r="JN51">
        <f t="shared" si="131"/>
        <v>25700.000000000182</v>
      </c>
    </row>
    <row r="52" spans="1:274" x14ac:dyDescent="0.25">
      <c r="A52" s="35">
        <v>7</v>
      </c>
      <c r="B52" s="138">
        <v>0.37280000000000002</v>
      </c>
      <c r="C52" s="65"/>
      <c r="D52" s="37">
        <f t="shared" si="148"/>
        <v>0</v>
      </c>
      <c r="E52" s="16">
        <v>30880</v>
      </c>
      <c r="F52" s="16"/>
      <c r="G52" s="37">
        <f t="shared" si="136"/>
        <v>90000</v>
      </c>
      <c r="H52" s="138"/>
      <c r="I52" s="65"/>
      <c r="J52" s="37">
        <f t="shared" si="137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v>5</v>
      </c>
      <c r="DQ52" s="50">
        <v>8.2584</v>
      </c>
      <c r="DR52" s="49">
        <f t="shared" si="149"/>
        <v>0</v>
      </c>
      <c r="DS52" s="50">
        <v>51.348999999999997</v>
      </c>
      <c r="DT52" s="49">
        <f t="shared" si="150"/>
        <v>0</v>
      </c>
      <c r="EZ52" s="203">
        <f t="shared" si="138"/>
        <v>11970.27</v>
      </c>
      <c r="FA52" s="205">
        <f t="shared" si="139"/>
        <v>4645.2700000000004</v>
      </c>
      <c r="FB52" s="201">
        <f t="shared" si="140"/>
        <v>16615.54</v>
      </c>
      <c r="FC52" s="16"/>
      <c r="FD52" s="167">
        <f t="shared" si="141"/>
        <v>15319.12</v>
      </c>
      <c r="FE52" s="16"/>
      <c r="FF52" s="199">
        <v>0.5</v>
      </c>
      <c r="FG52" s="200">
        <v>0.5</v>
      </c>
      <c r="FH52" s="16">
        <f t="shared" si="142"/>
        <v>648.21</v>
      </c>
      <c r="FI52" s="179">
        <f t="shared" si="142"/>
        <v>648.21</v>
      </c>
      <c r="FJ52" s="179">
        <f t="shared" si="143"/>
        <v>7659.56</v>
      </c>
      <c r="FK52" s="179">
        <f t="shared" si="144"/>
        <v>7659.56</v>
      </c>
      <c r="FL52" s="204">
        <f t="shared" si="145"/>
        <v>8307.77</v>
      </c>
      <c r="FM52" s="206">
        <f t="shared" si="145"/>
        <v>8307.77</v>
      </c>
      <c r="FN52" s="202">
        <f t="shared" si="146"/>
        <v>16615.54</v>
      </c>
      <c r="FQ52" s="217"/>
      <c r="FR52" s="16">
        <v>9</v>
      </c>
      <c r="FS52" s="16">
        <v>778.05</v>
      </c>
      <c r="FT52" s="16"/>
      <c r="FU52" s="16">
        <f t="shared" si="133"/>
        <v>1949.9999999999318</v>
      </c>
      <c r="FV52" s="16">
        <f t="shared" si="134"/>
        <v>974.99999999996589</v>
      </c>
      <c r="FW52" s="16">
        <f t="shared" si="135"/>
        <v>974.99999999996589</v>
      </c>
      <c r="HH52" s="16" t="s">
        <v>276</v>
      </c>
      <c r="HI52" s="222">
        <f>$HI$42+$HI$43-$HI$44-$HI$45-$HI$46-$HI$47-$HI$48-$HI$50-$HI$49</f>
        <v>-9.3132257461547852E-10</v>
      </c>
      <c r="HJ52" s="179"/>
      <c r="HK52" s="16" t="s">
        <v>115</v>
      </c>
      <c r="IH52" s="16">
        <v>8</v>
      </c>
      <c r="II52" s="144">
        <f>DailyAug!BX14+DailyAug!BY14-DailyAug!BZ14-DailyAug!CA14-DailyAug!CB14-DailyAug!CC14-DailyAug!CD14-DailyAug!CF14-DailyAug!CE14</f>
        <v>-4.5110937207937241E-10</v>
      </c>
      <c r="IJ52" s="16">
        <v>-400</v>
      </c>
      <c r="IK52" s="16">
        <f t="shared" si="147"/>
        <v>-100</v>
      </c>
      <c r="IL52" s="16">
        <v>-100</v>
      </c>
      <c r="JN52">
        <f t="shared" si="131"/>
        <v>25497.500000000091</v>
      </c>
    </row>
    <row r="53" spans="1:274" x14ac:dyDescent="0.25">
      <c r="A53" s="35">
        <v>8</v>
      </c>
      <c r="B53" s="138">
        <v>0.37280000000000002</v>
      </c>
      <c r="C53" s="65"/>
      <c r="D53" s="37">
        <f t="shared" si="148"/>
        <v>0</v>
      </c>
      <c r="E53" s="16">
        <v>30962</v>
      </c>
      <c r="F53" s="16"/>
      <c r="G53" s="37">
        <f t="shared" si="136"/>
        <v>82000</v>
      </c>
      <c r="H53" s="138"/>
      <c r="I53" s="65"/>
      <c r="J53" s="37">
        <f t="shared" si="137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49"/>
      <c r="DP53">
        <v>6</v>
      </c>
      <c r="DQ53" s="50">
        <v>8.2584</v>
      </c>
      <c r="DR53" s="49">
        <f t="shared" si="149"/>
        <v>0</v>
      </c>
      <c r="DS53" s="50">
        <v>51.348999999999997</v>
      </c>
      <c r="DT53" s="49">
        <f t="shared" si="150"/>
        <v>0</v>
      </c>
      <c r="EZ53" s="203">
        <f t="shared" si="138"/>
        <v>11226.71</v>
      </c>
      <c r="FA53" s="205">
        <f t="shared" si="139"/>
        <v>12576.71</v>
      </c>
      <c r="FB53" s="201">
        <f t="shared" si="140"/>
        <v>23803.42</v>
      </c>
      <c r="FC53" s="16"/>
      <c r="FD53" s="167">
        <f t="shared" si="141"/>
        <v>22507</v>
      </c>
      <c r="FE53" s="16"/>
      <c r="FF53" s="199">
        <v>0.5</v>
      </c>
      <c r="FG53" s="200">
        <v>0.5</v>
      </c>
      <c r="FH53" s="16">
        <f t="shared" si="142"/>
        <v>648.21</v>
      </c>
      <c r="FI53" s="179">
        <f t="shared" si="142"/>
        <v>648.21</v>
      </c>
      <c r="FJ53" s="179">
        <f t="shared" si="143"/>
        <v>11253.5</v>
      </c>
      <c r="FK53" s="179">
        <f t="shared" si="144"/>
        <v>11253.5</v>
      </c>
      <c r="FL53" s="204">
        <f t="shared" si="145"/>
        <v>11901.71</v>
      </c>
      <c r="FM53" s="206">
        <f t="shared" si="145"/>
        <v>11901.71</v>
      </c>
      <c r="FN53" s="202">
        <f t="shared" si="146"/>
        <v>23803.42</v>
      </c>
      <c r="FQ53" s="217"/>
      <c r="FR53" s="16">
        <v>10</v>
      </c>
      <c r="FS53" s="16">
        <v>779.95</v>
      </c>
      <c r="FT53" s="16"/>
      <c r="FU53" s="16">
        <f t="shared" si="133"/>
        <v>1900.0000000000909</v>
      </c>
      <c r="FV53" s="16">
        <f t="shared" si="134"/>
        <v>950.00000000004547</v>
      </c>
      <c r="FW53" s="16">
        <f t="shared" si="135"/>
        <v>950.00000000004547</v>
      </c>
      <c r="IH53" s="16">
        <v>9</v>
      </c>
      <c r="II53" s="144">
        <f>DailyAug!BX15+DailyAug!BY15-DailyAug!BZ15-DailyAug!CA15-DailyAug!CB15-DailyAug!CC15-DailyAug!CD15-DailyAug!CF15-DailyAug!CE15</f>
        <v>0</v>
      </c>
      <c r="IJ53" s="16">
        <v>1200</v>
      </c>
      <c r="IK53" s="16">
        <f t="shared" si="147"/>
        <v>300</v>
      </c>
      <c r="IL53" s="16">
        <v>300</v>
      </c>
      <c r="JN53">
        <f t="shared" si="131"/>
        <v>27902.499999999727</v>
      </c>
    </row>
    <row r="54" spans="1:274" x14ac:dyDescent="0.25">
      <c r="A54" s="35">
        <v>9</v>
      </c>
      <c r="B54" s="138">
        <v>0.37280000000000002</v>
      </c>
      <c r="C54" s="65"/>
      <c r="D54" s="37">
        <f t="shared" si="148"/>
        <v>0</v>
      </c>
      <c r="E54" s="16">
        <v>31023</v>
      </c>
      <c r="F54" s="16"/>
      <c r="G54" s="37">
        <f t="shared" si="136"/>
        <v>61000</v>
      </c>
      <c r="H54" s="138"/>
      <c r="I54" s="65"/>
      <c r="J54" s="37">
        <f t="shared" si="137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v>7</v>
      </c>
      <c r="DQ54" s="50">
        <v>8.2584</v>
      </c>
      <c r="DR54" s="49">
        <f t="shared" si="149"/>
        <v>0</v>
      </c>
      <c r="DS54" s="50">
        <v>51.348999999999997</v>
      </c>
      <c r="DT54" s="49">
        <f t="shared" si="150"/>
        <v>0</v>
      </c>
      <c r="EZ54" s="203">
        <f t="shared" si="138"/>
        <v>10671.27</v>
      </c>
      <c r="FA54" s="205">
        <f t="shared" si="139"/>
        <v>12021.27</v>
      </c>
      <c r="FB54" s="201">
        <f t="shared" si="140"/>
        <v>22692.54</v>
      </c>
      <c r="FC54" s="16"/>
      <c r="FD54" s="167">
        <f t="shared" si="141"/>
        <v>21396.120000000003</v>
      </c>
      <c r="FE54" s="16"/>
      <c r="FF54" s="199">
        <v>0.5</v>
      </c>
      <c r="FG54" s="200">
        <v>0.5</v>
      </c>
      <c r="FH54" s="16">
        <f t="shared" si="142"/>
        <v>648.21</v>
      </c>
      <c r="FI54" s="179">
        <f t="shared" si="142"/>
        <v>648.21</v>
      </c>
      <c r="FJ54" s="179">
        <f t="shared" si="143"/>
        <v>10698.060000000001</v>
      </c>
      <c r="FK54" s="179">
        <f t="shared" si="144"/>
        <v>10698.060000000001</v>
      </c>
      <c r="FL54" s="204">
        <f t="shared" si="145"/>
        <v>11346.27</v>
      </c>
      <c r="FM54" s="206">
        <f t="shared" si="145"/>
        <v>11346.27</v>
      </c>
      <c r="FN54" s="202">
        <f t="shared" si="146"/>
        <v>22692.54</v>
      </c>
      <c r="FQ54" s="217"/>
      <c r="FR54" s="16">
        <v>11</v>
      </c>
      <c r="FS54" s="16">
        <v>781.85</v>
      </c>
      <c r="FT54" s="16"/>
      <c r="FU54" s="16">
        <f t="shared" si="133"/>
        <v>1899.9999999999773</v>
      </c>
      <c r="FV54" s="16">
        <f t="shared" si="134"/>
        <v>949.99999999998863</v>
      </c>
      <c r="FW54" s="16">
        <f t="shared" si="135"/>
        <v>949.99999999998863</v>
      </c>
      <c r="FX54" s="151"/>
      <c r="IH54" s="16">
        <v>10</v>
      </c>
      <c r="II54" s="144">
        <f>DailyAug!BX16+DailyAug!BY16-DailyAug!BZ16-DailyAug!CA16-DailyAug!CB16-DailyAug!CC16-DailyAug!CD16-DailyAug!CF16-DailyAug!CE16</f>
        <v>4.5838532969355583E-10</v>
      </c>
      <c r="IJ54" s="16">
        <v>2100</v>
      </c>
      <c r="IK54" s="16">
        <f t="shared" si="147"/>
        <v>525</v>
      </c>
      <c r="IL54" s="16">
        <v>525</v>
      </c>
      <c r="JN54">
        <f t="shared" si="131"/>
        <v>23675.000000000182</v>
      </c>
    </row>
    <row r="55" spans="1:274" x14ac:dyDescent="0.25">
      <c r="A55" s="35">
        <v>10</v>
      </c>
      <c r="B55" s="138">
        <v>0.37280000000000002</v>
      </c>
      <c r="C55" s="65"/>
      <c r="D55" s="37">
        <f t="shared" si="148"/>
        <v>0</v>
      </c>
      <c r="E55" s="16">
        <v>31113</v>
      </c>
      <c r="F55" s="16"/>
      <c r="G55" s="37">
        <f t="shared" si="136"/>
        <v>90000</v>
      </c>
      <c r="H55" s="138"/>
      <c r="I55" s="65"/>
      <c r="J55" s="37">
        <f t="shared" si="137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v>8</v>
      </c>
      <c r="DQ55" s="50">
        <v>8.2584</v>
      </c>
      <c r="DR55" s="49">
        <f t="shared" si="149"/>
        <v>0</v>
      </c>
      <c r="DS55" s="50">
        <v>51.348999999999997</v>
      </c>
      <c r="DT55" s="49">
        <f t="shared" si="150"/>
        <v>0</v>
      </c>
      <c r="EZ55" s="203">
        <f t="shared" si="138"/>
        <v>11434.11</v>
      </c>
      <c r="FA55" s="205">
        <f t="shared" si="139"/>
        <v>12442.44</v>
      </c>
      <c r="FB55" s="201">
        <f t="shared" si="140"/>
        <v>23876.550000000003</v>
      </c>
      <c r="FC55" s="16"/>
      <c r="FD55" s="167">
        <f t="shared" si="141"/>
        <v>22580.130000000005</v>
      </c>
      <c r="FE55" s="16"/>
      <c r="FF55" s="199">
        <v>0.5</v>
      </c>
      <c r="FG55" s="200">
        <v>0.5</v>
      </c>
      <c r="FH55" s="16">
        <f t="shared" si="142"/>
        <v>648.21</v>
      </c>
      <c r="FI55" s="179">
        <f t="shared" si="142"/>
        <v>648.21</v>
      </c>
      <c r="FJ55" s="179">
        <f t="shared" si="143"/>
        <v>11290.065000000002</v>
      </c>
      <c r="FK55" s="179">
        <f t="shared" si="144"/>
        <v>11290.065000000002</v>
      </c>
      <c r="FL55" s="204">
        <f t="shared" si="145"/>
        <v>11938.275000000001</v>
      </c>
      <c r="FM55" s="206">
        <f t="shared" si="145"/>
        <v>11938.275000000001</v>
      </c>
      <c r="FN55" s="202">
        <f t="shared" si="146"/>
        <v>23876.550000000003</v>
      </c>
      <c r="FQ55" s="217"/>
      <c r="FR55" s="16">
        <v>12</v>
      </c>
      <c r="FS55" s="16">
        <v>783.8</v>
      </c>
      <c r="FT55" s="16"/>
      <c r="FU55" s="16">
        <f t="shared" si="133"/>
        <v>1949.9999999999318</v>
      </c>
      <c r="FV55" s="16">
        <f t="shared" si="134"/>
        <v>974.99999999996589</v>
      </c>
      <c r="FW55" s="16">
        <f t="shared" si="135"/>
        <v>974.99999999996589</v>
      </c>
      <c r="FX55" s="151"/>
      <c r="IH55" s="16">
        <v>11</v>
      </c>
      <c r="II55" s="144">
        <f>DailyAug!BX17+DailyAug!BY17-DailyAug!BZ17-DailyAug!CA17-DailyAug!CB17-DailyAug!CC17-DailyAug!CD17-DailyAug!CF17-DailyAug!CE17</f>
        <v>-6.1118043959140778E-10</v>
      </c>
      <c r="IJ55" s="16">
        <v>2200</v>
      </c>
      <c r="IK55" s="16">
        <f t="shared" si="147"/>
        <v>550</v>
      </c>
      <c r="IL55" s="16">
        <v>550</v>
      </c>
      <c r="JN55">
        <f t="shared" si="131"/>
        <v>22102.5</v>
      </c>
    </row>
    <row r="56" spans="1:274" x14ac:dyDescent="0.25">
      <c r="A56" s="35">
        <v>11</v>
      </c>
      <c r="B56" s="138">
        <v>0.37280000000000002</v>
      </c>
      <c r="C56" s="65"/>
      <c r="D56" s="37">
        <f t="shared" si="148"/>
        <v>0</v>
      </c>
      <c r="E56" s="16">
        <v>31203</v>
      </c>
      <c r="F56" s="16"/>
      <c r="G56" s="37">
        <f t="shared" si="136"/>
        <v>90000</v>
      </c>
      <c r="H56" s="138"/>
      <c r="I56" s="65"/>
      <c r="J56" s="37">
        <f t="shared" si="137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v>9</v>
      </c>
      <c r="DQ56" s="50">
        <v>8.2584</v>
      </c>
      <c r="DR56" s="49">
        <f t="shared" si="149"/>
        <v>0</v>
      </c>
      <c r="DS56" s="50">
        <v>51.348999999999997</v>
      </c>
      <c r="DT56" s="49">
        <f t="shared" si="150"/>
        <v>0</v>
      </c>
      <c r="EZ56" s="203">
        <f t="shared" si="138"/>
        <v>11401.76</v>
      </c>
      <c r="FA56" s="205">
        <f t="shared" si="139"/>
        <v>13081.76</v>
      </c>
      <c r="FB56" s="201">
        <f t="shared" si="140"/>
        <v>24483.52</v>
      </c>
      <c r="FC56" s="16"/>
      <c r="FD56" s="167">
        <f t="shared" si="141"/>
        <v>23187.1</v>
      </c>
      <c r="FE56" s="16"/>
      <c r="FF56" s="199">
        <v>0.5</v>
      </c>
      <c r="FG56" s="200">
        <v>0.5</v>
      </c>
      <c r="FH56" s="16">
        <f t="shared" si="142"/>
        <v>648.21</v>
      </c>
      <c r="FI56" s="179">
        <f t="shared" si="142"/>
        <v>648.21</v>
      </c>
      <c r="FJ56" s="179">
        <f t="shared" si="143"/>
        <v>11593.55</v>
      </c>
      <c r="FK56" s="179">
        <f t="shared" si="144"/>
        <v>11593.55</v>
      </c>
      <c r="FL56" s="204">
        <f t="shared" si="145"/>
        <v>12241.759999999998</v>
      </c>
      <c r="FM56" s="206">
        <f t="shared" si="145"/>
        <v>12241.759999999998</v>
      </c>
      <c r="FN56" s="202">
        <f t="shared" si="146"/>
        <v>24483.519999999997</v>
      </c>
      <c r="FQ56" s="217"/>
      <c r="FR56" s="16">
        <v>13</v>
      </c>
      <c r="FS56" s="16">
        <v>785.72</v>
      </c>
      <c r="FT56" s="16"/>
      <c r="FU56" s="16">
        <f t="shared" si="133"/>
        <v>1920.0000000000728</v>
      </c>
      <c r="FV56" s="16">
        <f t="shared" si="134"/>
        <v>960.00000000003638</v>
      </c>
      <c r="FW56" s="16">
        <f t="shared" si="135"/>
        <v>960.00000000003638</v>
      </c>
      <c r="IH56" s="16">
        <v>12</v>
      </c>
      <c r="II56" s="144">
        <f>DailyAug!BX18+DailyAug!BY18-DailyAug!BZ18-DailyAug!CA18-DailyAug!CB18-DailyAug!CC18-DailyAug!CD18-DailyAug!CF18-DailyAug!CE18</f>
        <v>1.7462298274040222E-10</v>
      </c>
      <c r="IJ56" s="16">
        <v>-2800</v>
      </c>
      <c r="IK56" s="16">
        <f t="shared" si="147"/>
        <v>-700</v>
      </c>
      <c r="IL56" s="16">
        <v>-700</v>
      </c>
      <c r="JN56">
        <f t="shared" si="131"/>
        <v>24347.500000000091</v>
      </c>
    </row>
    <row r="57" spans="1:274" x14ac:dyDescent="0.25">
      <c r="A57" s="35">
        <v>12</v>
      </c>
      <c r="B57" s="138">
        <v>0.37280000000000002</v>
      </c>
      <c r="C57" s="65"/>
      <c r="D57" s="37">
        <f t="shared" si="148"/>
        <v>0</v>
      </c>
      <c r="E57" s="16">
        <v>31295</v>
      </c>
      <c r="F57" s="16"/>
      <c r="G57" s="37">
        <f t="shared" si="136"/>
        <v>92000</v>
      </c>
      <c r="H57" s="138"/>
      <c r="I57" s="65"/>
      <c r="J57" s="37">
        <f t="shared" si="137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v>10</v>
      </c>
      <c r="DQ57" s="50">
        <v>8.2584</v>
      </c>
      <c r="DR57" s="49">
        <f t="shared" si="149"/>
        <v>0</v>
      </c>
      <c r="DS57" s="50">
        <v>51.348999999999997</v>
      </c>
      <c r="DT57" s="49">
        <f>IF((DS57-DS56)&lt;=0,0,(DS57-DS56))*1000</f>
        <v>0</v>
      </c>
      <c r="EZ57" s="203">
        <f t="shared" si="138"/>
        <v>10151.91</v>
      </c>
      <c r="FA57" s="205">
        <f t="shared" si="139"/>
        <v>10801.24</v>
      </c>
      <c r="FB57" s="201">
        <f t="shared" si="140"/>
        <v>20953.150000000001</v>
      </c>
      <c r="FC57" s="16"/>
      <c r="FD57" s="167">
        <f t="shared" si="141"/>
        <v>19656.730000000003</v>
      </c>
      <c r="FE57" s="16"/>
      <c r="FF57" s="199">
        <v>0.5</v>
      </c>
      <c r="FG57" s="200">
        <v>0.5</v>
      </c>
      <c r="FH57" s="16">
        <f t="shared" si="142"/>
        <v>648.21</v>
      </c>
      <c r="FI57" s="179">
        <f t="shared" si="142"/>
        <v>648.21</v>
      </c>
      <c r="FJ57" s="179">
        <f t="shared" si="143"/>
        <v>9828.3650000000016</v>
      </c>
      <c r="FK57" s="179">
        <f t="shared" si="144"/>
        <v>9828.3650000000016</v>
      </c>
      <c r="FL57" s="204">
        <f t="shared" si="145"/>
        <v>10476.575000000001</v>
      </c>
      <c r="FM57" s="206">
        <f t="shared" si="145"/>
        <v>10476.575000000001</v>
      </c>
      <c r="FN57" s="202">
        <f t="shared" si="146"/>
        <v>20953.150000000001</v>
      </c>
      <c r="FQ57" s="217"/>
      <c r="FR57" s="16">
        <v>14</v>
      </c>
      <c r="FS57" s="16">
        <v>787.58</v>
      </c>
      <c r="FT57" s="16"/>
      <c r="FU57" s="16">
        <f t="shared" si="133"/>
        <v>1860.0000000000136</v>
      </c>
      <c r="FV57" s="16">
        <f t="shared" si="134"/>
        <v>930.00000000000682</v>
      </c>
      <c r="FW57" s="16">
        <f t="shared" si="135"/>
        <v>930.00000000000682</v>
      </c>
      <c r="IH57" s="16">
        <v>13</v>
      </c>
      <c r="II57" s="144">
        <f>DailyAug!BX19+DailyAug!BY19-DailyAug!BZ19-DailyAug!CA19-DailyAug!CB19-DailyAug!CC19-DailyAug!CD19-DailyAug!CF19-DailyAug!CE19</f>
        <v>6.6211214289069176E-10</v>
      </c>
      <c r="IJ57" s="16">
        <v>2100</v>
      </c>
      <c r="IK57" s="16">
        <f t="shared" si="147"/>
        <v>525</v>
      </c>
      <c r="IL57" s="16">
        <v>525</v>
      </c>
      <c r="JN57">
        <f t="shared" si="131"/>
        <v>24524.999999999636</v>
      </c>
    </row>
    <row r="58" spans="1:274" x14ac:dyDescent="0.25">
      <c r="A58" s="35">
        <v>13</v>
      </c>
      <c r="B58" s="138">
        <v>0.37280000000000002</v>
      </c>
      <c r="C58" s="65"/>
      <c r="D58" s="37">
        <f t="shared" si="148"/>
        <v>0</v>
      </c>
      <c r="E58" s="16">
        <v>31387</v>
      </c>
      <c r="F58" s="16"/>
      <c r="G58" s="37">
        <f t="shared" si="136"/>
        <v>92000</v>
      </c>
      <c r="H58" s="138"/>
      <c r="I58" s="65"/>
      <c r="J58" s="37">
        <f t="shared" si="137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v>11</v>
      </c>
      <c r="DQ58" s="50">
        <v>8.2584</v>
      </c>
      <c r="DR58" s="49">
        <f t="shared" si="149"/>
        <v>0</v>
      </c>
      <c r="DS58" s="50">
        <v>51.348999999999997</v>
      </c>
      <c r="DT58" s="49">
        <f t="shared" ref="DT58:DT77" si="151">IF((DS58-DS57)&lt;=0,0,(DS58-DS57))*1000</f>
        <v>0</v>
      </c>
      <c r="EJ58" s="2"/>
      <c r="EZ58" s="203">
        <f t="shared" si="138"/>
        <v>15036.08</v>
      </c>
      <c r="FA58" s="205">
        <f t="shared" si="139"/>
        <v>14073.41</v>
      </c>
      <c r="FB58" s="201">
        <f t="shared" si="140"/>
        <v>29109.489999999998</v>
      </c>
      <c r="FC58" s="16"/>
      <c r="FD58" s="167">
        <f t="shared" si="141"/>
        <v>27813.07</v>
      </c>
      <c r="FE58" s="16"/>
      <c r="FF58" s="199">
        <v>0.5</v>
      </c>
      <c r="FG58" s="200">
        <v>0.5</v>
      </c>
      <c r="FH58" s="16">
        <f t="shared" si="142"/>
        <v>648.21</v>
      </c>
      <c r="FI58" s="179">
        <f t="shared" si="142"/>
        <v>648.21</v>
      </c>
      <c r="FJ58" s="179">
        <f t="shared" si="143"/>
        <v>13906.535</v>
      </c>
      <c r="FK58" s="179">
        <f t="shared" si="144"/>
        <v>13906.535</v>
      </c>
      <c r="FL58" s="204">
        <f t="shared" si="145"/>
        <v>14554.744999999999</v>
      </c>
      <c r="FM58" s="206">
        <f t="shared" si="145"/>
        <v>14554.744999999999</v>
      </c>
      <c r="FN58" s="202">
        <f t="shared" si="146"/>
        <v>29109.489999999998</v>
      </c>
      <c r="FQ58" s="217"/>
      <c r="FR58" s="16">
        <v>15</v>
      </c>
      <c r="FS58" s="16">
        <v>787.6</v>
      </c>
      <c r="FT58" s="16"/>
      <c r="FU58" s="16">
        <f t="shared" si="133"/>
        <v>19.99999999998181</v>
      </c>
      <c r="FV58" s="16">
        <f t="shared" si="134"/>
        <v>9.9999999999909051</v>
      </c>
      <c r="FW58" s="16">
        <f t="shared" si="135"/>
        <v>9.9999999999909051</v>
      </c>
      <c r="IH58" s="16">
        <v>14</v>
      </c>
      <c r="II58" s="144">
        <f>DailyAug!BX20+DailyAug!BY20-DailyAug!BZ20-DailyAug!CA20-DailyAug!CB20-DailyAug!CC20-DailyAug!CD20-DailyAug!CF20-DailyAug!CE20</f>
        <v>-3.7834979593753815E-10</v>
      </c>
      <c r="IJ58" s="16">
        <v>0</v>
      </c>
      <c r="IK58" s="16">
        <f t="shared" si="147"/>
        <v>0</v>
      </c>
      <c r="IL58" s="16">
        <v>0</v>
      </c>
      <c r="JN58">
        <f t="shared" si="131"/>
        <v>23900.000000000273</v>
      </c>
    </row>
    <row r="59" spans="1:274" x14ac:dyDescent="0.25">
      <c r="A59" s="35">
        <v>14</v>
      </c>
      <c r="B59" s="138">
        <v>0.37280000000000002</v>
      </c>
      <c r="C59" s="65"/>
      <c r="D59" s="37">
        <f t="shared" si="148"/>
        <v>0</v>
      </c>
      <c r="E59" s="16">
        <v>31475</v>
      </c>
      <c r="F59" s="16"/>
      <c r="G59" s="37">
        <f t="shared" si="136"/>
        <v>88000</v>
      </c>
      <c r="H59" s="138"/>
      <c r="I59" s="65"/>
      <c r="J59" s="37">
        <f t="shared" si="137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v>12</v>
      </c>
      <c r="DQ59" s="50">
        <v>8.2584</v>
      </c>
      <c r="DR59" s="49">
        <f t="shared" si="149"/>
        <v>0</v>
      </c>
      <c r="DS59" s="50">
        <v>51.348999999999997</v>
      </c>
      <c r="DT59" s="49">
        <f t="shared" si="151"/>
        <v>0</v>
      </c>
      <c r="EJ59" s="2"/>
      <c r="EZ59" s="203">
        <f t="shared" si="138"/>
        <v>11529.23</v>
      </c>
      <c r="FA59" s="205">
        <f t="shared" si="139"/>
        <v>11962.56</v>
      </c>
      <c r="FB59" s="201">
        <f t="shared" si="140"/>
        <v>23491.79</v>
      </c>
      <c r="FC59" s="16"/>
      <c r="FD59" s="167">
        <f t="shared" si="141"/>
        <v>22195.370000000003</v>
      </c>
      <c r="FE59" s="16"/>
      <c r="FF59" s="199">
        <v>0.5</v>
      </c>
      <c r="FG59" s="200">
        <v>0.5</v>
      </c>
      <c r="FH59" s="16">
        <f t="shared" si="142"/>
        <v>648.21</v>
      </c>
      <c r="FI59" s="179">
        <f t="shared" si="142"/>
        <v>648.21</v>
      </c>
      <c r="FJ59" s="179">
        <f t="shared" si="143"/>
        <v>11097.685000000001</v>
      </c>
      <c r="FK59" s="179">
        <f t="shared" si="144"/>
        <v>11097.685000000001</v>
      </c>
      <c r="FL59" s="204">
        <f t="shared" si="145"/>
        <v>11745.895</v>
      </c>
      <c r="FM59" s="206">
        <f t="shared" si="145"/>
        <v>11745.895</v>
      </c>
      <c r="FN59" s="202">
        <f t="shared" si="146"/>
        <v>23491.79</v>
      </c>
      <c r="FQ59" s="217"/>
      <c r="FR59" s="16">
        <v>16</v>
      </c>
      <c r="FS59" s="16">
        <v>791.4</v>
      </c>
      <c r="FT59" s="16"/>
      <c r="FU59" s="16">
        <f t="shared" si="133"/>
        <v>3799.9999999999545</v>
      </c>
      <c r="FV59" s="16">
        <f t="shared" si="134"/>
        <v>1899.9999999999773</v>
      </c>
      <c r="FW59" s="16">
        <f t="shared" si="135"/>
        <v>1899.9999999999773</v>
      </c>
      <c r="IH59" s="16">
        <v>15</v>
      </c>
      <c r="II59" s="144">
        <f>DailyAug!BX21+DailyAug!BY21-DailyAug!BZ21-DailyAug!CA21-DailyAug!CB21-DailyAug!CC21-DailyAug!CD21-DailyAug!CF21-DailyAug!CE21</f>
        <v>0</v>
      </c>
      <c r="IJ59" s="16">
        <v>-600</v>
      </c>
      <c r="IK59" s="16">
        <f t="shared" si="147"/>
        <v>-150</v>
      </c>
      <c r="IL59" s="16">
        <v>-150</v>
      </c>
      <c r="JN59">
        <f t="shared" si="131"/>
        <v>21124.999999999727</v>
      </c>
    </row>
    <row r="60" spans="1:274" x14ac:dyDescent="0.25">
      <c r="A60" s="35">
        <v>15</v>
      </c>
      <c r="B60" s="138">
        <v>0.37280000000000002</v>
      </c>
      <c r="C60" s="65"/>
      <c r="D60" s="37">
        <f t="shared" si="148"/>
        <v>0</v>
      </c>
      <c r="E60" s="16">
        <v>31554</v>
      </c>
      <c r="F60" s="16"/>
      <c r="G60" s="37">
        <f t="shared" si="136"/>
        <v>79000</v>
      </c>
      <c r="H60" s="138"/>
      <c r="I60" s="65"/>
      <c r="J60" s="37">
        <f t="shared" si="137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v>13</v>
      </c>
      <c r="DQ60" s="50">
        <v>8.2584</v>
      </c>
      <c r="DR60" s="49">
        <f t="shared" si="149"/>
        <v>0</v>
      </c>
      <c r="DS60" s="50">
        <v>51.348999999999997</v>
      </c>
      <c r="DT60" s="49">
        <f t="shared" si="151"/>
        <v>0</v>
      </c>
      <c r="EJ60" s="2"/>
      <c r="EZ60" s="203">
        <f t="shared" si="138"/>
        <v>10443.4</v>
      </c>
      <c r="FA60" s="205">
        <f t="shared" si="139"/>
        <v>12296.73</v>
      </c>
      <c r="FB60" s="201">
        <f t="shared" si="140"/>
        <v>22740.129999999997</v>
      </c>
      <c r="FC60" s="16"/>
      <c r="FD60" s="167">
        <f t="shared" si="141"/>
        <v>21443.71</v>
      </c>
      <c r="FE60" s="16"/>
      <c r="FF60" s="199">
        <v>0.5</v>
      </c>
      <c r="FG60" s="200">
        <v>0.5</v>
      </c>
      <c r="FH60" s="16">
        <f t="shared" si="142"/>
        <v>648.21</v>
      </c>
      <c r="FI60" s="179">
        <f t="shared" si="142"/>
        <v>648.21</v>
      </c>
      <c r="FJ60" s="179">
        <f t="shared" si="143"/>
        <v>10721.855</v>
      </c>
      <c r="FK60" s="179">
        <f t="shared" si="144"/>
        <v>10721.855</v>
      </c>
      <c r="FL60" s="204">
        <f t="shared" si="145"/>
        <v>11370.064999999999</v>
      </c>
      <c r="FM60" s="206">
        <f t="shared" si="145"/>
        <v>11370.064999999999</v>
      </c>
      <c r="FN60" s="202">
        <f t="shared" si="146"/>
        <v>22740.129999999997</v>
      </c>
      <c r="FQ60" s="217"/>
      <c r="FR60" s="16">
        <v>17</v>
      </c>
      <c r="FS60" s="16">
        <v>793.28</v>
      </c>
      <c r="FT60" s="16"/>
      <c r="FU60" s="16">
        <f t="shared" si="133"/>
        <v>1879.9999999999955</v>
      </c>
      <c r="FV60" s="16">
        <f t="shared" si="134"/>
        <v>939.99999999999773</v>
      </c>
      <c r="FW60" s="16">
        <f t="shared" si="135"/>
        <v>939.99999999999773</v>
      </c>
      <c r="IH60" s="16">
        <v>16</v>
      </c>
      <c r="II60" s="144">
        <f>DailyAug!BX22+DailyAug!BY22-DailyAug!BZ22-DailyAug!CA22-DailyAug!CB22-DailyAug!CC22-DailyAug!CD22-DailyAug!CF22-DailyAug!CE22</f>
        <v>-2.6921043172478676E-10</v>
      </c>
      <c r="IJ60" s="16">
        <v>-400</v>
      </c>
      <c r="IK60" s="16">
        <f t="shared" si="147"/>
        <v>-100</v>
      </c>
      <c r="IL60" s="16">
        <v>-100</v>
      </c>
      <c r="JN60">
        <f t="shared" si="131"/>
        <v>23625</v>
      </c>
    </row>
    <row r="61" spans="1:274" x14ac:dyDescent="0.25">
      <c r="A61" s="35">
        <v>16</v>
      </c>
      <c r="B61" s="138">
        <v>0.37280000000000002</v>
      </c>
      <c r="C61" s="65"/>
      <c r="D61" s="37">
        <f t="shared" si="148"/>
        <v>0</v>
      </c>
      <c r="E61" s="16">
        <v>31642</v>
      </c>
      <c r="F61" s="16"/>
      <c r="G61" s="37">
        <f t="shared" si="136"/>
        <v>88000</v>
      </c>
      <c r="H61" s="138"/>
      <c r="I61" s="65"/>
      <c r="J61" s="37">
        <f t="shared" si="137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v>14</v>
      </c>
      <c r="DQ61" s="50">
        <v>8.2584</v>
      </c>
      <c r="DR61" s="49">
        <f t="shared" si="149"/>
        <v>0</v>
      </c>
      <c r="DS61" s="50">
        <v>51.348999999999997</v>
      </c>
      <c r="DT61" s="49">
        <f t="shared" si="151"/>
        <v>0</v>
      </c>
      <c r="EJ61" s="2"/>
      <c r="EZ61" s="203">
        <f t="shared" si="138"/>
        <v>10924.77</v>
      </c>
      <c r="FA61" s="205">
        <f t="shared" si="139"/>
        <v>11704.77</v>
      </c>
      <c r="FB61" s="201">
        <f t="shared" si="140"/>
        <v>22629.54</v>
      </c>
      <c r="FC61" s="16"/>
      <c r="FD61" s="167">
        <f t="shared" si="141"/>
        <v>21333.120000000003</v>
      </c>
      <c r="FE61" s="16"/>
      <c r="FF61" s="199">
        <v>0.5</v>
      </c>
      <c r="FG61" s="200">
        <v>0.5</v>
      </c>
      <c r="FH61" s="16">
        <f t="shared" si="142"/>
        <v>648.21</v>
      </c>
      <c r="FI61" s="179">
        <f t="shared" si="142"/>
        <v>648.21</v>
      </c>
      <c r="FJ61" s="179">
        <f t="shared" si="143"/>
        <v>10666.560000000001</v>
      </c>
      <c r="FK61" s="179">
        <f t="shared" si="144"/>
        <v>10666.560000000001</v>
      </c>
      <c r="FL61" s="204">
        <f t="shared" si="145"/>
        <v>11314.77</v>
      </c>
      <c r="FM61" s="206">
        <f t="shared" si="145"/>
        <v>11314.77</v>
      </c>
      <c r="FN61" s="202">
        <f t="shared" si="146"/>
        <v>22629.54</v>
      </c>
      <c r="FQ61" s="217"/>
      <c r="FR61" s="16">
        <v>18</v>
      </c>
      <c r="FS61" s="16">
        <v>795.2</v>
      </c>
      <c r="FT61" s="16"/>
      <c r="FU61" s="16">
        <f t="shared" si="133"/>
        <v>1920.0000000000728</v>
      </c>
      <c r="FV61" s="16">
        <f t="shared" si="134"/>
        <v>960.00000000003638</v>
      </c>
      <c r="FW61" s="16">
        <f t="shared" si="135"/>
        <v>960.00000000003638</v>
      </c>
      <c r="IH61" s="16">
        <v>17</v>
      </c>
      <c r="II61" s="144">
        <f>DailyAug!BX23+DailyAug!BY23-DailyAug!BZ23-DailyAug!CA23-DailyAug!CB23-DailyAug!CC23-DailyAug!CD23-DailyAug!CF23-DailyAug!CE23</f>
        <v>-1.1641532182693481E-10</v>
      </c>
      <c r="IJ61" s="16">
        <v>390</v>
      </c>
      <c r="IK61" s="16">
        <f t="shared" si="147"/>
        <v>97.5</v>
      </c>
      <c r="IL61" s="16">
        <v>97.5</v>
      </c>
      <c r="JN61">
        <f t="shared" si="131"/>
        <v>24700</v>
      </c>
    </row>
    <row r="62" spans="1:274" x14ac:dyDescent="0.25">
      <c r="A62" s="35">
        <v>17</v>
      </c>
      <c r="B62" s="138">
        <v>0.37280000000000002</v>
      </c>
      <c r="C62" s="65"/>
      <c r="D62" s="37">
        <f t="shared" si="148"/>
        <v>0</v>
      </c>
      <c r="E62" s="16">
        <v>31730</v>
      </c>
      <c r="F62" s="16"/>
      <c r="G62" s="37">
        <f t="shared" si="136"/>
        <v>88000</v>
      </c>
      <c r="H62" s="138"/>
      <c r="I62" s="65"/>
      <c r="J62" s="37">
        <f t="shared" si="137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v>15</v>
      </c>
      <c r="DQ62" s="50">
        <v>8.2584</v>
      </c>
      <c r="DR62" s="49">
        <f t="shared" si="149"/>
        <v>0</v>
      </c>
      <c r="DS62" s="50">
        <v>51.348999999999997</v>
      </c>
      <c r="DT62" s="49">
        <f t="shared" si="151"/>
        <v>0</v>
      </c>
      <c r="EJ62" s="2"/>
      <c r="EZ62" s="203">
        <f t="shared" si="138"/>
        <v>12159.29</v>
      </c>
      <c r="FA62" s="205">
        <f t="shared" si="139"/>
        <v>11862.62</v>
      </c>
      <c r="FB62" s="201">
        <f t="shared" si="140"/>
        <v>24021.910000000003</v>
      </c>
      <c r="FC62" s="16"/>
      <c r="FD62" s="167">
        <f t="shared" si="141"/>
        <v>22725.490000000005</v>
      </c>
      <c r="FE62" s="16"/>
      <c r="FF62" s="199">
        <v>0.5</v>
      </c>
      <c r="FG62" s="200">
        <v>0.5</v>
      </c>
      <c r="FH62" s="16">
        <f t="shared" si="142"/>
        <v>648.21</v>
      </c>
      <c r="FI62" s="179">
        <f t="shared" si="142"/>
        <v>648.21</v>
      </c>
      <c r="FJ62" s="179">
        <f t="shared" si="143"/>
        <v>11362.745000000003</v>
      </c>
      <c r="FK62" s="179">
        <f t="shared" si="144"/>
        <v>11362.745000000003</v>
      </c>
      <c r="FL62" s="204">
        <f t="shared" si="145"/>
        <v>12010.955000000002</v>
      </c>
      <c r="FM62" s="206">
        <f t="shared" si="145"/>
        <v>12010.955000000002</v>
      </c>
      <c r="FN62" s="202">
        <f t="shared" si="146"/>
        <v>24021.910000000003</v>
      </c>
      <c r="FQ62" s="217"/>
      <c r="FR62" s="16">
        <v>19</v>
      </c>
      <c r="FS62" s="16">
        <v>796.98</v>
      </c>
      <c r="FT62" s="16"/>
      <c r="FU62" s="16">
        <f t="shared" si="133"/>
        <v>1779.9999999999727</v>
      </c>
      <c r="FV62" s="16">
        <f t="shared" si="134"/>
        <v>889.99999999998636</v>
      </c>
      <c r="FW62" s="16">
        <f t="shared" si="135"/>
        <v>889.99999999998636</v>
      </c>
      <c r="IH62" s="16">
        <v>18</v>
      </c>
      <c r="II62" s="144">
        <f>DailyAug!BX24+DailyAug!BY24-DailyAug!BZ24-DailyAug!CA24-DailyAug!CB24-DailyAug!CC24-DailyAug!CD24-DailyAug!CF24-DailyAug!CE24</f>
        <v>-5.9662852436304092E-10</v>
      </c>
      <c r="IJ62" s="16">
        <v>410</v>
      </c>
      <c r="IK62" s="16">
        <f t="shared" si="147"/>
        <v>102.5</v>
      </c>
      <c r="IL62" s="16">
        <v>102.5</v>
      </c>
      <c r="JN62">
        <f t="shared" si="131"/>
        <v>24925.000000000273</v>
      </c>
    </row>
    <row r="63" spans="1:274" x14ac:dyDescent="0.25">
      <c r="A63" s="35">
        <v>18</v>
      </c>
      <c r="B63" s="138">
        <v>0.37280000000000002</v>
      </c>
      <c r="C63" s="65"/>
      <c r="D63" s="37">
        <f t="shared" si="148"/>
        <v>0</v>
      </c>
      <c r="E63" s="16">
        <v>31817</v>
      </c>
      <c r="F63" s="16"/>
      <c r="G63" s="37">
        <f t="shared" si="136"/>
        <v>87000</v>
      </c>
      <c r="H63" s="138"/>
      <c r="I63" s="65"/>
      <c r="J63" s="37">
        <f t="shared" si="137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v>16</v>
      </c>
      <c r="DQ63" s="50">
        <v>8.2584</v>
      </c>
      <c r="DR63" s="49">
        <f t="shared" si="149"/>
        <v>0</v>
      </c>
      <c r="DS63" s="50">
        <v>51.348999999999997</v>
      </c>
      <c r="DT63" s="49">
        <f t="shared" si="151"/>
        <v>0</v>
      </c>
      <c r="EJ63" s="2"/>
      <c r="EZ63" s="203">
        <f t="shared" si="138"/>
        <v>10093.23</v>
      </c>
      <c r="FA63" s="205">
        <f t="shared" si="139"/>
        <v>11414.9</v>
      </c>
      <c r="FB63" s="201">
        <f t="shared" si="140"/>
        <v>21508.129999999997</v>
      </c>
      <c r="FC63" s="16"/>
      <c r="FD63" s="167">
        <f t="shared" si="141"/>
        <v>20211.71</v>
      </c>
      <c r="FE63" s="16"/>
      <c r="FF63" s="199">
        <v>0.5</v>
      </c>
      <c r="FG63" s="200">
        <v>0.5</v>
      </c>
      <c r="FH63" s="16">
        <f t="shared" si="142"/>
        <v>648.21</v>
      </c>
      <c r="FI63" s="179">
        <f t="shared" si="142"/>
        <v>648.21</v>
      </c>
      <c r="FJ63" s="179">
        <f t="shared" si="143"/>
        <v>10105.855</v>
      </c>
      <c r="FK63" s="179">
        <f t="shared" si="144"/>
        <v>10105.855</v>
      </c>
      <c r="FL63" s="204">
        <f t="shared" si="145"/>
        <v>10754.064999999999</v>
      </c>
      <c r="FM63" s="206">
        <f t="shared" si="145"/>
        <v>10754.064999999999</v>
      </c>
      <c r="FN63" s="202">
        <f t="shared" si="146"/>
        <v>21508.129999999997</v>
      </c>
      <c r="FQ63" s="217"/>
      <c r="FR63" s="16">
        <v>20</v>
      </c>
      <c r="FS63" s="16">
        <v>799.05</v>
      </c>
      <c r="FT63" s="16"/>
      <c r="FU63" s="16">
        <f t="shared" si="133"/>
        <v>2069.9999999999363</v>
      </c>
      <c r="FV63" s="16">
        <f t="shared" si="134"/>
        <v>1034.9999999999682</v>
      </c>
      <c r="FW63" s="16">
        <f t="shared" si="135"/>
        <v>1034.9999999999682</v>
      </c>
      <c r="IH63" s="16">
        <v>19</v>
      </c>
      <c r="II63" s="144">
        <f>DailyAug!BX25+DailyAug!BY25-DailyAug!BZ25-DailyAug!CA25-DailyAug!CB25-DailyAug!CC25-DailyAug!CD25-DailyAug!CF25-DailyAug!CE25</f>
        <v>6.3300831243395805E-10</v>
      </c>
      <c r="IJ63" s="16">
        <v>3500</v>
      </c>
      <c r="IK63" s="16">
        <f t="shared" si="147"/>
        <v>875</v>
      </c>
      <c r="IL63" s="16">
        <v>875</v>
      </c>
      <c r="JN63">
        <f t="shared" si="131"/>
        <v>24199.999999999727</v>
      </c>
    </row>
    <row r="64" spans="1:274" x14ac:dyDescent="0.25">
      <c r="A64" s="35">
        <v>19</v>
      </c>
      <c r="B64" s="138">
        <v>0.37280000000000002</v>
      </c>
      <c r="C64" s="65"/>
      <c r="D64" s="37">
        <f t="shared" si="148"/>
        <v>0</v>
      </c>
      <c r="E64" s="16">
        <v>31896</v>
      </c>
      <c r="F64" s="16"/>
      <c r="G64" s="37">
        <f t="shared" si="136"/>
        <v>79000</v>
      </c>
      <c r="H64" s="138"/>
      <c r="I64" s="65"/>
      <c r="J64" s="37">
        <f t="shared" si="137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v>17</v>
      </c>
      <c r="DQ64" s="50">
        <v>8.2584</v>
      </c>
      <c r="DR64" s="49">
        <f t="shared" si="149"/>
        <v>0</v>
      </c>
      <c r="DS64" s="50">
        <v>51.348999999999997</v>
      </c>
      <c r="DT64" s="49">
        <f t="shared" si="151"/>
        <v>0</v>
      </c>
      <c r="EZ64" s="203">
        <f t="shared" si="138"/>
        <v>11608.4</v>
      </c>
      <c r="FA64" s="205">
        <f t="shared" si="139"/>
        <v>11970.07</v>
      </c>
      <c r="FB64" s="201">
        <f t="shared" si="140"/>
        <v>23578.47</v>
      </c>
      <c r="FC64" s="16"/>
      <c r="FD64" s="167">
        <f t="shared" si="141"/>
        <v>22282.050000000003</v>
      </c>
      <c r="FE64" s="16"/>
      <c r="FF64" s="199">
        <v>0.5</v>
      </c>
      <c r="FG64" s="200">
        <v>0.5</v>
      </c>
      <c r="FH64" s="16">
        <f t="shared" si="142"/>
        <v>648.21</v>
      </c>
      <c r="FI64" s="179">
        <f t="shared" si="142"/>
        <v>648.21</v>
      </c>
      <c r="FJ64" s="179">
        <f t="shared" si="143"/>
        <v>11141.025000000001</v>
      </c>
      <c r="FK64" s="179">
        <f t="shared" si="144"/>
        <v>11141.025000000001</v>
      </c>
      <c r="FL64" s="204">
        <f t="shared" si="145"/>
        <v>11789.235000000001</v>
      </c>
      <c r="FM64" s="206">
        <f t="shared" si="145"/>
        <v>11789.235000000001</v>
      </c>
      <c r="FN64" s="202">
        <f t="shared" si="146"/>
        <v>23578.47</v>
      </c>
      <c r="FQ64" s="217"/>
      <c r="FR64" s="16">
        <v>21</v>
      </c>
      <c r="FS64" s="16">
        <v>800.88</v>
      </c>
      <c r="FT64" s="16"/>
      <c r="FU64" s="16">
        <f t="shared" si="133"/>
        <v>1830.0000000000409</v>
      </c>
      <c r="FV64" s="16">
        <f t="shared" si="134"/>
        <v>915.00000000002046</v>
      </c>
      <c r="FW64" s="16">
        <f t="shared" si="135"/>
        <v>915.00000000002046</v>
      </c>
      <c r="IH64" s="16">
        <v>20</v>
      </c>
      <c r="II64" s="144">
        <f>DailyAug!BX26+DailyAug!BY26-DailyAug!BZ26-DailyAug!CA26-DailyAug!CB26-DailyAug!CC26-DailyAug!CD26-DailyAug!CF26-DailyAug!CE26</f>
        <v>1.0186340659856796E-10</v>
      </c>
      <c r="IJ64" s="16">
        <v>-5590</v>
      </c>
      <c r="IK64" s="16">
        <f t="shared" si="147"/>
        <v>-1397.5</v>
      </c>
      <c r="IL64" s="16">
        <v>-1397.5</v>
      </c>
    </row>
    <row r="65" spans="1:246" x14ac:dyDescent="0.25">
      <c r="A65" s="35">
        <v>20</v>
      </c>
      <c r="B65" s="138">
        <v>0.37280000000000002</v>
      </c>
      <c r="C65" s="65"/>
      <c r="D65" s="37">
        <f t="shared" si="148"/>
        <v>0</v>
      </c>
      <c r="E65" s="16">
        <v>31979</v>
      </c>
      <c r="F65" s="16"/>
      <c r="G65" s="37">
        <f t="shared" si="136"/>
        <v>83000</v>
      </c>
      <c r="H65" s="138"/>
      <c r="I65" s="65"/>
      <c r="J65" s="37">
        <f t="shared" si="137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v>18</v>
      </c>
      <c r="DQ65" s="50">
        <v>8.2584</v>
      </c>
      <c r="DR65" s="49">
        <f t="shared" si="149"/>
        <v>0</v>
      </c>
      <c r="DS65" s="50">
        <v>51.348999999999997</v>
      </c>
      <c r="DT65" s="49">
        <f t="shared" si="151"/>
        <v>0</v>
      </c>
      <c r="EZ65" s="203">
        <f t="shared" si="138"/>
        <v>10070.950000000001</v>
      </c>
      <c r="FA65" s="205">
        <f t="shared" si="139"/>
        <v>11425.95</v>
      </c>
      <c r="FB65" s="201">
        <f t="shared" si="140"/>
        <v>21496.9</v>
      </c>
      <c r="FC65" s="16"/>
      <c r="FD65" s="167">
        <f t="shared" si="141"/>
        <v>20200.480000000003</v>
      </c>
      <c r="FE65" s="16"/>
      <c r="FF65" s="199">
        <v>0.5</v>
      </c>
      <c r="FG65" s="200">
        <v>0.5</v>
      </c>
      <c r="FH65" s="16">
        <f t="shared" si="142"/>
        <v>648.21</v>
      </c>
      <c r="FI65" s="179">
        <f t="shared" si="142"/>
        <v>648.21</v>
      </c>
      <c r="FJ65" s="179">
        <f t="shared" si="143"/>
        <v>10100.240000000002</v>
      </c>
      <c r="FK65" s="179">
        <f t="shared" si="144"/>
        <v>10100.240000000002</v>
      </c>
      <c r="FL65" s="204">
        <f t="shared" si="145"/>
        <v>10748.45</v>
      </c>
      <c r="FM65" s="206">
        <f t="shared" si="145"/>
        <v>10748.45</v>
      </c>
      <c r="FN65" s="202">
        <f t="shared" si="146"/>
        <v>21496.9</v>
      </c>
      <c r="FQ65" s="217"/>
      <c r="FR65" s="16">
        <v>22</v>
      </c>
      <c r="FS65" s="16">
        <v>802.75</v>
      </c>
      <c r="FT65" s="16"/>
      <c r="FU65" s="16">
        <f t="shared" si="133"/>
        <v>1870.0000000000045</v>
      </c>
      <c r="FV65" s="16">
        <f t="shared" si="134"/>
        <v>935.00000000000227</v>
      </c>
      <c r="FW65" s="16">
        <f t="shared" si="135"/>
        <v>935.00000000000227</v>
      </c>
      <c r="IH65" s="16">
        <v>21</v>
      </c>
      <c r="II65" s="144">
        <f>DailyAug!BX27+DailyAug!BY27-DailyAug!BZ27-DailyAug!CA27-DailyAug!CB27-DailyAug!CC27-DailyAug!CD27-DailyAug!CF27-DailyAug!CE27</f>
        <v>3.637978807091713E-10</v>
      </c>
      <c r="IJ65" s="16">
        <v>3790</v>
      </c>
      <c r="IK65" s="16">
        <f t="shared" si="147"/>
        <v>947.5</v>
      </c>
      <c r="IL65" s="16">
        <v>947.5</v>
      </c>
    </row>
    <row r="66" spans="1:246" x14ac:dyDescent="0.25">
      <c r="A66" s="35">
        <v>21</v>
      </c>
      <c r="B66" s="138">
        <v>0.37280000000000002</v>
      </c>
      <c r="C66" s="65"/>
      <c r="D66" s="37">
        <f t="shared" si="148"/>
        <v>0</v>
      </c>
      <c r="E66" s="16">
        <v>32057</v>
      </c>
      <c r="F66" s="16"/>
      <c r="G66" s="37">
        <f t="shared" si="136"/>
        <v>78000</v>
      </c>
      <c r="H66" s="138"/>
      <c r="I66" s="65"/>
      <c r="J66" s="37">
        <f t="shared" si="137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v>19</v>
      </c>
      <c r="DQ66" s="50">
        <v>8.2584</v>
      </c>
      <c r="DR66" s="49">
        <f t="shared" si="149"/>
        <v>0</v>
      </c>
      <c r="DS66" s="50">
        <v>51.348999999999997</v>
      </c>
      <c r="DT66" s="49">
        <f t="shared" si="151"/>
        <v>0</v>
      </c>
      <c r="EZ66" s="203">
        <f t="shared" si="138"/>
        <v>11057.56</v>
      </c>
      <c r="FA66" s="205">
        <f t="shared" si="139"/>
        <v>12407.56</v>
      </c>
      <c r="FB66" s="201">
        <f t="shared" si="140"/>
        <v>23465.119999999999</v>
      </c>
      <c r="FC66" s="16"/>
      <c r="FD66" s="167">
        <f t="shared" si="141"/>
        <v>22168.699999999997</v>
      </c>
      <c r="FE66" s="16"/>
      <c r="FF66" s="199">
        <v>0.5</v>
      </c>
      <c r="FG66" s="200">
        <v>0.5</v>
      </c>
      <c r="FH66" s="16">
        <f t="shared" si="142"/>
        <v>648.21</v>
      </c>
      <c r="FI66" s="179">
        <f t="shared" si="142"/>
        <v>648.21</v>
      </c>
      <c r="FJ66" s="179">
        <f t="shared" si="143"/>
        <v>11084.349999999999</v>
      </c>
      <c r="FK66" s="179">
        <f t="shared" si="144"/>
        <v>11084.349999999999</v>
      </c>
      <c r="FL66" s="204">
        <f t="shared" si="145"/>
        <v>11732.559999999998</v>
      </c>
      <c r="FM66" s="206">
        <f t="shared" si="145"/>
        <v>11732.559999999998</v>
      </c>
      <c r="FN66" s="202">
        <f t="shared" si="146"/>
        <v>23465.119999999995</v>
      </c>
      <c r="FQ66" s="217"/>
      <c r="FR66" s="16">
        <v>23</v>
      </c>
      <c r="FS66" s="16">
        <v>804.65</v>
      </c>
      <c r="FT66" s="16"/>
      <c r="FU66" s="16">
        <f t="shared" si="133"/>
        <v>1899.9999999999773</v>
      </c>
      <c r="FV66" s="16">
        <f t="shared" si="134"/>
        <v>949.99999999998863</v>
      </c>
      <c r="FW66" s="16">
        <f t="shared" si="135"/>
        <v>949.99999999998863</v>
      </c>
      <c r="IH66" s="16">
        <v>22</v>
      </c>
      <c r="II66" s="144">
        <f>DailyAug!BX28+DailyAug!BY28-DailyAug!BZ28-DailyAug!CA28-DailyAug!CB28-DailyAug!CC28-DailyAug!CD28-DailyAug!CF28-DailyAug!CE28</f>
        <v>1.8917489796876907E-10</v>
      </c>
      <c r="IJ66" s="16">
        <v>500</v>
      </c>
      <c r="IK66" s="16">
        <f t="shared" si="147"/>
        <v>125</v>
      </c>
      <c r="IL66" s="16">
        <v>125</v>
      </c>
    </row>
    <row r="67" spans="1:246" x14ac:dyDescent="0.25">
      <c r="A67" s="35">
        <v>22</v>
      </c>
      <c r="B67" s="138">
        <v>0.37280000000000002</v>
      </c>
      <c r="C67" s="65"/>
      <c r="D67" s="37">
        <f t="shared" si="148"/>
        <v>0</v>
      </c>
      <c r="E67" s="16">
        <v>32136</v>
      </c>
      <c r="F67" s="16"/>
      <c r="G67" s="37">
        <f t="shared" si="136"/>
        <v>79000</v>
      </c>
      <c r="H67" s="138"/>
      <c r="I67" s="65"/>
      <c r="J67" s="37">
        <f t="shared" si="137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v>20</v>
      </c>
      <c r="DQ67" s="50">
        <v>8.2584</v>
      </c>
      <c r="DR67" s="49">
        <f t="shared" si="149"/>
        <v>0</v>
      </c>
      <c r="DS67" s="50">
        <v>51.348999999999997</v>
      </c>
      <c r="DT67" s="49">
        <f t="shared" si="151"/>
        <v>0</v>
      </c>
      <c r="EZ67" s="203">
        <f t="shared" si="138"/>
        <v>10534.769999999127</v>
      </c>
      <c r="FA67" s="205">
        <f t="shared" si="139"/>
        <v>11003.1</v>
      </c>
      <c r="FB67" s="201">
        <f t="shared" si="140"/>
        <v>21537.86999999913</v>
      </c>
      <c r="FC67" s="16"/>
      <c r="FD67" s="167">
        <f t="shared" si="141"/>
        <v>20241.449999999131</v>
      </c>
      <c r="FE67" s="16"/>
      <c r="FF67" s="199">
        <v>0.5</v>
      </c>
      <c r="FG67" s="200">
        <v>0.5</v>
      </c>
      <c r="FH67" s="16">
        <f t="shared" si="142"/>
        <v>648.21</v>
      </c>
      <c r="FI67" s="179">
        <f t="shared" si="142"/>
        <v>648.21</v>
      </c>
      <c r="FJ67" s="179">
        <f t="shared" si="143"/>
        <v>10120.724999999566</v>
      </c>
      <c r="FK67" s="179">
        <f t="shared" si="144"/>
        <v>10120.724999999566</v>
      </c>
      <c r="FL67" s="204">
        <f t="shared" si="145"/>
        <v>10768.934999999565</v>
      </c>
      <c r="FM67" s="206">
        <f t="shared" si="145"/>
        <v>10768.934999999565</v>
      </c>
      <c r="FN67" s="202">
        <f t="shared" si="146"/>
        <v>21537.86999999913</v>
      </c>
      <c r="FQ67" s="217"/>
      <c r="FR67" s="16">
        <v>24</v>
      </c>
      <c r="FS67" s="16">
        <v>806.5</v>
      </c>
      <c r="FT67" s="16"/>
      <c r="FU67" s="226">
        <f t="shared" si="133"/>
        <v>1850.0000000000227</v>
      </c>
      <c r="FV67" s="16">
        <f t="shared" si="134"/>
        <v>925.00000000001137</v>
      </c>
      <c r="FW67" s="16">
        <f t="shared" si="135"/>
        <v>925.00000000001137</v>
      </c>
      <c r="IH67" s="16">
        <v>23</v>
      </c>
      <c r="II67" s="144">
        <f>DailyAug!BX29+DailyAug!BY29-DailyAug!BZ29-DailyAug!CA29-DailyAug!CB29-DailyAug!CC29-DailyAug!CD29-DailyAug!CF29-DailyAug!CE29</f>
        <v>-8.2945916801691055E-10</v>
      </c>
      <c r="IJ67" s="16">
        <v>800</v>
      </c>
      <c r="IK67" s="16">
        <f t="shared" si="147"/>
        <v>200</v>
      </c>
      <c r="IL67" s="16">
        <v>200</v>
      </c>
    </row>
    <row r="68" spans="1:246" x14ac:dyDescent="0.25">
      <c r="A68" s="35">
        <v>23</v>
      </c>
      <c r="B68" s="138">
        <v>0.37280000000000002</v>
      </c>
      <c r="C68" s="65"/>
      <c r="D68" s="37">
        <f t="shared" si="148"/>
        <v>0</v>
      </c>
      <c r="E68" s="16">
        <v>32218</v>
      </c>
      <c r="F68" s="16"/>
      <c r="G68" s="37">
        <f t="shared" si="136"/>
        <v>82000</v>
      </c>
      <c r="H68" s="138"/>
      <c r="I68" s="65"/>
      <c r="J68" s="37">
        <f t="shared" si="137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v>21</v>
      </c>
      <c r="DQ68" s="50">
        <v>8.2584</v>
      </c>
      <c r="DR68" s="49">
        <f t="shared" si="149"/>
        <v>0</v>
      </c>
      <c r="DS68" s="50">
        <v>51.348999999999997</v>
      </c>
      <c r="DT68" s="49">
        <f t="shared" si="151"/>
        <v>0</v>
      </c>
      <c r="EZ68" s="203">
        <f t="shared" si="138"/>
        <v>10671.560000001018</v>
      </c>
      <c r="FA68" s="205">
        <f t="shared" si="139"/>
        <v>11801.560000001455</v>
      </c>
      <c r="FB68" s="201">
        <f t="shared" si="140"/>
        <v>22473.120000002473</v>
      </c>
      <c r="FC68" s="16"/>
      <c r="FD68" s="167">
        <f t="shared" si="141"/>
        <v>21176.700000002471</v>
      </c>
      <c r="FE68" s="16"/>
      <c r="FF68" s="199">
        <v>0.5</v>
      </c>
      <c r="FG68" s="200">
        <v>0.5</v>
      </c>
      <c r="FH68" s="16">
        <f t="shared" si="142"/>
        <v>648.21</v>
      </c>
      <c r="FI68" s="179">
        <f t="shared" si="142"/>
        <v>648.21</v>
      </c>
      <c r="FJ68" s="179">
        <f t="shared" si="143"/>
        <v>10588.350000001235</v>
      </c>
      <c r="FK68" s="179">
        <f t="shared" si="144"/>
        <v>10588.350000001235</v>
      </c>
      <c r="FL68" s="204">
        <f t="shared" si="145"/>
        <v>11236.560000001235</v>
      </c>
      <c r="FM68" s="206">
        <f t="shared" si="145"/>
        <v>11236.560000001235</v>
      </c>
      <c r="FN68" s="202">
        <f t="shared" si="146"/>
        <v>22473.120000002469</v>
      </c>
      <c r="FQ68" s="217"/>
      <c r="FR68" s="16">
        <v>25</v>
      </c>
      <c r="FS68" s="16">
        <v>808.4</v>
      </c>
      <c r="FT68" s="16"/>
      <c r="FU68" s="16">
        <f t="shared" si="133"/>
        <v>1899.9999999999773</v>
      </c>
      <c r="FV68" s="16">
        <f t="shared" si="134"/>
        <v>949.99999999998863</v>
      </c>
      <c r="FW68" s="16">
        <f t="shared" si="135"/>
        <v>949.99999999998863</v>
      </c>
      <c r="IH68" s="16">
        <v>24</v>
      </c>
      <c r="II68" s="144">
        <f>DailyAug!BX30+DailyAug!BY30-DailyAug!BZ30-DailyAug!CA30-DailyAug!CB30-DailyAug!CC30-DailyAug!CD30-DailyAug!CF30-DailyAug!CE30</f>
        <v>6.5483618527650833E-10</v>
      </c>
      <c r="IJ68" s="16">
        <v>-700</v>
      </c>
      <c r="IK68" s="16">
        <f t="shared" si="147"/>
        <v>-175</v>
      </c>
      <c r="IL68" s="16">
        <v>-175</v>
      </c>
    </row>
    <row r="69" spans="1:246" x14ac:dyDescent="0.25">
      <c r="A69" s="35">
        <v>24</v>
      </c>
      <c r="B69" s="138">
        <v>0.37280000000000002</v>
      </c>
      <c r="C69" s="65"/>
      <c r="D69" s="37">
        <f t="shared" si="148"/>
        <v>0</v>
      </c>
      <c r="E69" s="16">
        <v>32299</v>
      </c>
      <c r="F69" s="16"/>
      <c r="G69" s="37">
        <f t="shared" si="136"/>
        <v>81000</v>
      </c>
      <c r="H69" s="138"/>
      <c r="I69" s="65"/>
      <c r="J69" s="37">
        <f t="shared" si="137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v>22</v>
      </c>
      <c r="DQ69" s="50">
        <v>8.2584</v>
      </c>
      <c r="DR69" s="49">
        <f t="shared" si="149"/>
        <v>0</v>
      </c>
      <c r="DS69" s="50">
        <v>51.348999999999997</v>
      </c>
      <c r="DT69" s="49">
        <f t="shared" si="151"/>
        <v>0</v>
      </c>
      <c r="EZ69" s="203">
        <f t="shared" si="138"/>
        <v>11654.589999999564</v>
      </c>
      <c r="FA69" s="205">
        <f t="shared" si="139"/>
        <v>12142.989999998545</v>
      </c>
      <c r="FB69" s="201">
        <f t="shared" si="140"/>
        <v>23797.57999999811</v>
      </c>
      <c r="FC69" s="16"/>
      <c r="FD69" s="167">
        <f t="shared" si="141"/>
        <v>22501.159999998112</v>
      </c>
      <c r="FE69" s="16"/>
      <c r="FF69" s="199">
        <v>0.5</v>
      </c>
      <c r="FG69" s="200">
        <v>0.5</v>
      </c>
      <c r="FH69" s="16">
        <f t="shared" si="142"/>
        <v>648.21</v>
      </c>
      <c r="FI69" s="179">
        <f t="shared" si="142"/>
        <v>648.21</v>
      </c>
      <c r="FJ69" s="179">
        <f t="shared" si="143"/>
        <v>11250.579999999056</v>
      </c>
      <c r="FK69" s="179">
        <f t="shared" si="144"/>
        <v>11250.579999999056</v>
      </c>
      <c r="FL69" s="204">
        <f t="shared" si="145"/>
        <v>11898.789999999055</v>
      </c>
      <c r="FM69" s="206">
        <f t="shared" si="145"/>
        <v>11898.789999999055</v>
      </c>
      <c r="FN69" s="202">
        <f t="shared" si="146"/>
        <v>23797.57999999811</v>
      </c>
      <c r="FQ69" s="217"/>
      <c r="FR69" s="16">
        <v>26</v>
      </c>
      <c r="FS69" s="16">
        <v>810.3</v>
      </c>
      <c r="FT69" s="16"/>
      <c r="FU69" s="227">
        <f t="shared" si="133"/>
        <v>1899.9999999999773</v>
      </c>
      <c r="FV69" s="16">
        <f t="shared" si="134"/>
        <v>949.99999999998863</v>
      </c>
      <c r="FW69" s="16">
        <f t="shared" si="135"/>
        <v>949.99999999998863</v>
      </c>
      <c r="IH69" s="16">
        <v>25</v>
      </c>
      <c r="II69" s="144">
        <f>DailyAug!BX31+DailyAug!BY31-DailyAug!BZ31-DailyAug!CA31-DailyAug!CB31-DailyAug!CC31-DailyAug!CD31-DailyAug!CF31-DailyAug!CE31</f>
        <v>-9.0221874415874481E-10</v>
      </c>
      <c r="IJ69" s="16">
        <v>500</v>
      </c>
      <c r="IK69" s="16">
        <f t="shared" si="147"/>
        <v>125</v>
      </c>
      <c r="IL69" s="16">
        <v>125</v>
      </c>
    </row>
    <row r="70" spans="1:246" x14ac:dyDescent="0.25">
      <c r="A70" s="35">
        <v>25</v>
      </c>
      <c r="B70" s="138">
        <v>0.37280000000000002</v>
      </c>
      <c r="C70" s="65"/>
      <c r="D70" s="37">
        <f t="shared" si="148"/>
        <v>0</v>
      </c>
      <c r="E70" s="16">
        <v>32381</v>
      </c>
      <c r="F70" s="16"/>
      <c r="G70" s="37">
        <f t="shared" si="136"/>
        <v>82000</v>
      </c>
      <c r="H70" s="138"/>
      <c r="I70" s="65"/>
      <c r="J70" s="37">
        <f t="shared" si="137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v>23</v>
      </c>
      <c r="DQ70" s="50">
        <v>8.2584</v>
      </c>
      <c r="DR70" s="49">
        <f t="shared" si="149"/>
        <v>0</v>
      </c>
      <c r="DS70" s="50">
        <v>51.348999999999997</v>
      </c>
      <c r="DT70" s="49">
        <f t="shared" si="151"/>
        <v>0</v>
      </c>
      <c r="EZ70" s="203">
        <f t="shared" si="138"/>
        <v>11686.529999999564</v>
      </c>
      <c r="FA70" s="205">
        <f t="shared" si="139"/>
        <v>11820.530000000728</v>
      </c>
      <c r="FB70" s="201">
        <f t="shared" si="140"/>
        <v>23507.060000000292</v>
      </c>
      <c r="FC70" s="16"/>
      <c r="FD70" s="167">
        <f t="shared" si="141"/>
        <v>22210.64000000029</v>
      </c>
      <c r="FE70" s="16"/>
      <c r="FF70" s="199">
        <v>0.5</v>
      </c>
      <c r="FG70" s="200">
        <v>0.5</v>
      </c>
      <c r="FH70" s="16">
        <f t="shared" si="142"/>
        <v>648.21</v>
      </c>
      <c r="FI70" s="179">
        <f t="shared" si="142"/>
        <v>648.21</v>
      </c>
      <c r="FJ70" s="179">
        <f t="shared" si="143"/>
        <v>11105.320000000145</v>
      </c>
      <c r="FK70" s="179">
        <f t="shared" si="144"/>
        <v>11105.320000000145</v>
      </c>
      <c r="FL70" s="204">
        <f t="shared" si="145"/>
        <v>11753.530000000144</v>
      </c>
      <c r="FM70" s="206">
        <f t="shared" si="145"/>
        <v>11753.530000000144</v>
      </c>
      <c r="FN70" s="202">
        <f t="shared" si="146"/>
        <v>23507.060000000289</v>
      </c>
      <c r="FQ70" s="217"/>
      <c r="FR70" s="16">
        <v>27</v>
      </c>
      <c r="FS70" s="16">
        <v>812.2</v>
      </c>
      <c r="FT70" s="16"/>
      <c r="FU70" s="16">
        <f t="shared" si="133"/>
        <v>1900.0000000000909</v>
      </c>
      <c r="FV70" s="16">
        <f t="shared" si="134"/>
        <v>950.00000000004547</v>
      </c>
      <c r="FW70" s="16">
        <f t="shared" si="135"/>
        <v>950.00000000004547</v>
      </c>
      <c r="IH70" s="16">
        <v>26</v>
      </c>
      <c r="II70" s="144">
        <f>DailyAug!BX32+DailyAug!BY32-DailyAug!BZ32-DailyAug!CA32-DailyAug!CB32-DailyAug!CC32-DailyAug!CD32-DailyAug!CF32-DailyAug!CE32</f>
        <v>1.0913936421275139E-9</v>
      </c>
      <c r="IJ70" s="16">
        <v>800</v>
      </c>
      <c r="IK70" s="16">
        <f t="shared" si="147"/>
        <v>200</v>
      </c>
      <c r="IL70" s="16">
        <v>200</v>
      </c>
    </row>
    <row r="71" spans="1:246" x14ac:dyDescent="0.25">
      <c r="A71" s="35">
        <v>26</v>
      </c>
      <c r="B71" s="138">
        <v>0.37280000000000002</v>
      </c>
      <c r="C71" s="65"/>
      <c r="D71" s="37">
        <f t="shared" si="148"/>
        <v>0</v>
      </c>
      <c r="E71" s="16">
        <v>32472</v>
      </c>
      <c r="F71" s="16"/>
      <c r="G71" s="37">
        <f t="shared" si="136"/>
        <v>91000</v>
      </c>
      <c r="H71" s="138"/>
      <c r="I71" s="65"/>
      <c r="J71" s="37">
        <f t="shared" si="137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v>24</v>
      </c>
      <c r="DQ71" s="50">
        <v>8.2584</v>
      </c>
      <c r="DR71" s="49">
        <f t="shared" si="149"/>
        <v>0</v>
      </c>
      <c r="DS71" s="50">
        <v>51.348999999999997</v>
      </c>
      <c r="DT71" s="49">
        <f t="shared" si="151"/>
        <v>0</v>
      </c>
      <c r="EZ71" s="203">
        <f t="shared" si="138"/>
        <v>11130.310000001455</v>
      </c>
      <c r="FA71" s="205">
        <f t="shared" si="139"/>
        <v>11960.65</v>
      </c>
      <c r="FB71" s="201">
        <f t="shared" si="140"/>
        <v>23090.960000001454</v>
      </c>
      <c r="FC71" s="16"/>
      <c r="FD71" s="167">
        <f t="shared" si="141"/>
        <v>21794.540000001456</v>
      </c>
      <c r="FE71" s="16"/>
      <c r="FF71" s="199">
        <v>0.5</v>
      </c>
      <c r="FG71" s="200">
        <v>0.5</v>
      </c>
      <c r="FH71" s="16">
        <f t="shared" si="142"/>
        <v>648.21</v>
      </c>
      <c r="FI71" s="179">
        <f t="shared" si="142"/>
        <v>648.21</v>
      </c>
      <c r="FJ71" s="179">
        <f t="shared" si="143"/>
        <v>10897.270000000728</v>
      </c>
      <c r="FK71" s="179">
        <f t="shared" si="144"/>
        <v>10897.270000000728</v>
      </c>
      <c r="FL71" s="204">
        <f t="shared" si="145"/>
        <v>11545.480000000727</v>
      </c>
      <c r="FM71" s="206">
        <f t="shared" si="145"/>
        <v>11545.480000000727</v>
      </c>
      <c r="FN71" s="202">
        <f t="shared" si="146"/>
        <v>23090.960000001454</v>
      </c>
      <c r="FQ71" s="217"/>
      <c r="FR71" s="16">
        <v>28</v>
      </c>
      <c r="FS71" s="16">
        <v>814.1</v>
      </c>
      <c r="FT71" s="16"/>
      <c r="FU71" s="16">
        <f t="shared" si="133"/>
        <v>1899.9999999999773</v>
      </c>
      <c r="FV71" s="16">
        <f t="shared" si="134"/>
        <v>949.99999999998863</v>
      </c>
      <c r="FW71" s="16">
        <f t="shared" si="135"/>
        <v>949.99999999998863</v>
      </c>
      <c r="IH71" s="16">
        <v>27</v>
      </c>
      <c r="II71" s="144">
        <f>DailyAug!BX33+DailyAug!BY33-DailyAug!BZ33-DailyAug!CA33-DailyAug!CB33-DailyAug!CC33-DailyAug!CD33-DailyAug!CF33-DailyAug!CE33</f>
        <v>-1.3678800314664841E-9</v>
      </c>
      <c r="IJ71" s="16">
        <v>2900</v>
      </c>
      <c r="IK71" s="16">
        <f t="shared" si="147"/>
        <v>725</v>
      </c>
      <c r="IL71" s="16">
        <v>725</v>
      </c>
    </row>
    <row r="72" spans="1:246" x14ac:dyDescent="0.25">
      <c r="A72" s="35">
        <v>27</v>
      </c>
      <c r="B72" s="138">
        <v>0.37280000000000002</v>
      </c>
      <c r="C72" s="65"/>
      <c r="D72" s="37">
        <f t="shared" si="148"/>
        <v>0</v>
      </c>
      <c r="E72" s="16">
        <v>32561</v>
      </c>
      <c r="F72" s="16"/>
      <c r="G72" s="37">
        <f t="shared" si="136"/>
        <v>89000</v>
      </c>
      <c r="H72" s="138"/>
      <c r="I72" s="65"/>
      <c r="J72" s="37">
        <f t="shared" si="137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v>25</v>
      </c>
      <c r="DQ72" s="50">
        <v>8.2584</v>
      </c>
      <c r="DR72" s="49">
        <f t="shared" si="149"/>
        <v>0</v>
      </c>
      <c r="DS72" s="50">
        <v>51.348999999999997</v>
      </c>
      <c r="DT72" s="49">
        <f t="shared" si="151"/>
        <v>0</v>
      </c>
      <c r="EZ72" s="203">
        <f t="shared" si="138"/>
        <v>9832.2999999995627</v>
      </c>
      <c r="FA72" s="205">
        <f t="shared" si="139"/>
        <v>11333.719999999272</v>
      </c>
      <c r="FB72" s="201">
        <f t="shared" si="140"/>
        <v>21166.019999998833</v>
      </c>
      <c r="FC72" s="16"/>
      <c r="FD72" s="167">
        <f t="shared" si="141"/>
        <v>19869.599999998834</v>
      </c>
      <c r="FE72" s="16"/>
      <c r="FF72" s="199">
        <v>0.5</v>
      </c>
      <c r="FG72" s="200">
        <v>0.5</v>
      </c>
      <c r="FH72" s="16">
        <f t="shared" si="142"/>
        <v>648.21</v>
      </c>
      <c r="FI72" s="179">
        <f t="shared" si="142"/>
        <v>648.21</v>
      </c>
      <c r="FJ72" s="179">
        <f t="shared" si="143"/>
        <v>9934.7999999994172</v>
      </c>
      <c r="FK72" s="179">
        <f t="shared" si="144"/>
        <v>9934.7999999994172</v>
      </c>
      <c r="FL72" s="204">
        <f t="shared" si="145"/>
        <v>10583.009999999416</v>
      </c>
      <c r="FM72" s="206">
        <f t="shared" si="145"/>
        <v>10583.009999999416</v>
      </c>
      <c r="FN72" s="202">
        <f t="shared" si="146"/>
        <v>21166.019999998833</v>
      </c>
      <c r="FQ72" s="217"/>
      <c r="FR72" s="16">
        <v>29</v>
      </c>
      <c r="FS72" s="228">
        <v>816</v>
      </c>
      <c r="FT72" s="16"/>
      <c r="FU72" s="16">
        <f t="shared" si="133"/>
        <v>1899.9999999999773</v>
      </c>
      <c r="FV72" s="16">
        <f t="shared" si="134"/>
        <v>949.99999999998863</v>
      </c>
      <c r="FW72" s="16">
        <f t="shared" si="135"/>
        <v>949.99999999998863</v>
      </c>
      <c r="IH72" s="16">
        <v>28</v>
      </c>
      <c r="II72" s="144">
        <f>DailyAug!BX34+DailyAug!BY34-DailyAug!BZ34-DailyAug!CA34-DailyAug!CB34-DailyAug!CC34-DailyAug!CD34-DailyAug!CF34-DailyAug!CE34</f>
        <v>1.7462298274040222E-9</v>
      </c>
      <c r="IJ72" s="16">
        <v>-400</v>
      </c>
      <c r="IK72" s="16">
        <f t="shared" si="147"/>
        <v>-100</v>
      </c>
      <c r="IL72" s="16">
        <v>-100</v>
      </c>
    </row>
    <row r="73" spans="1:246" x14ac:dyDescent="0.25">
      <c r="A73" s="35">
        <v>28</v>
      </c>
      <c r="B73" s="138">
        <v>0.37280000000000002</v>
      </c>
      <c r="C73" s="65"/>
      <c r="D73" s="37">
        <f t="shared" si="148"/>
        <v>0</v>
      </c>
      <c r="E73" s="16">
        <v>32647</v>
      </c>
      <c r="F73" s="16"/>
      <c r="G73" s="37">
        <f t="shared" si="136"/>
        <v>86000</v>
      </c>
      <c r="H73" s="138"/>
      <c r="I73" s="65"/>
      <c r="J73" s="37">
        <f t="shared" si="137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v>26</v>
      </c>
      <c r="DQ73" s="50">
        <v>8.2584</v>
      </c>
      <c r="DR73" s="49">
        <f t="shared" si="149"/>
        <v>0</v>
      </c>
      <c r="DS73" s="50">
        <v>51.348999999999997</v>
      </c>
      <c r="DT73" s="49">
        <f t="shared" si="151"/>
        <v>0</v>
      </c>
      <c r="EZ73" s="203">
        <f t="shared" si="138"/>
        <v>11200.339999999709</v>
      </c>
      <c r="FA73" s="205">
        <f t="shared" si="139"/>
        <v>11137</v>
      </c>
      <c r="FB73" s="201">
        <f t="shared" si="140"/>
        <v>22337.339999999709</v>
      </c>
      <c r="FC73" s="16"/>
      <c r="FD73" s="167">
        <f t="shared" si="141"/>
        <v>21040.919999999707</v>
      </c>
      <c r="FE73" s="16"/>
      <c r="FF73" s="199">
        <v>0.5</v>
      </c>
      <c r="FG73" s="200">
        <v>0.5</v>
      </c>
      <c r="FH73" s="16">
        <f t="shared" si="142"/>
        <v>648.21</v>
      </c>
      <c r="FI73" s="179">
        <f t="shared" si="142"/>
        <v>648.21</v>
      </c>
      <c r="FJ73" s="179">
        <f t="shared" si="143"/>
        <v>10520.459999999854</v>
      </c>
      <c r="FK73" s="179">
        <f t="shared" si="144"/>
        <v>10520.459999999854</v>
      </c>
      <c r="FL73" s="204">
        <f t="shared" si="145"/>
        <v>11168.669999999853</v>
      </c>
      <c r="FM73" s="206">
        <f t="shared" si="145"/>
        <v>11168.669999999853</v>
      </c>
      <c r="FN73" s="202">
        <f t="shared" si="146"/>
        <v>22337.339999999705</v>
      </c>
      <c r="FQ73" s="217"/>
      <c r="FR73" s="16">
        <v>30</v>
      </c>
      <c r="FS73" s="228">
        <v>817.91</v>
      </c>
      <c r="FT73" s="16"/>
      <c r="FU73" s="16">
        <f t="shared" si="133"/>
        <v>1909.9999999999682</v>
      </c>
      <c r="FV73" s="16">
        <f t="shared" si="134"/>
        <v>954.99999999998408</v>
      </c>
      <c r="FW73" s="16">
        <f t="shared" si="135"/>
        <v>954.99999999998408</v>
      </c>
      <c r="IH73" s="16">
        <v>29</v>
      </c>
      <c r="II73" s="144">
        <f>DailyAug!BX35+DailyAug!BY35-DailyAug!BZ35-DailyAug!CA35-DailyAug!CB35-DailyAug!CC35-DailyAug!CD35-DailyAug!CF35-DailyAug!CE35</f>
        <v>-8.7311491370201111E-11</v>
      </c>
      <c r="IJ73" s="16">
        <v>-1200</v>
      </c>
      <c r="IK73" s="16">
        <f t="shared" si="147"/>
        <v>-300</v>
      </c>
      <c r="IL73" s="16">
        <v>-300</v>
      </c>
    </row>
    <row r="74" spans="1:246" x14ac:dyDescent="0.25">
      <c r="A74" s="35">
        <v>29</v>
      </c>
      <c r="B74" s="138">
        <v>0.37280000000000002</v>
      </c>
      <c r="C74" s="65"/>
      <c r="D74" s="37">
        <f t="shared" si="148"/>
        <v>0</v>
      </c>
      <c r="E74" s="16">
        <v>32736</v>
      </c>
      <c r="F74" s="16"/>
      <c r="G74" s="37">
        <f t="shared" si="136"/>
        <v>89000</v>
      </c>
      <c r="H74" s="138"/>
      <c r="I74" s="65"/>
      <c r="J74" s="37">
        <f t="shared" si="137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v>27</v>
      </c>
      <c r="DQ74" s="50">
        <v>8.2584</v>
      </c>
      <c r="DR74" s="49">
        <f t="shared" si="149"/>
        <v>0</v>
      </c>
      <c r="DS74" s="50">
        <v>51.348999999999997</v>
      </c>
      <c r="DT74" s="49">
        <f t="shared" si="151"/>
        <v>0</v>
      </c>
      <c r="EZ74" s="203">
        <f t="shared" si="138"/>
        <v>10732.47</v>
      </c>
      <c r="FA74" s="205">
        <f t="shared" si="139"/>
        <v>11417.47</v>
      </c>
      <c r="FB74" s="201">
        <f t="shared" si="140"/>
        <v>22149.94</v>
      </c>
      <c r="FC74" s="16"/>
      <c r="FD74" s="167">
        <f t="shared" si="141"/>
        <v>20853.519999999997</v>
      </c>
      <c r="FE74" s="16"/>
      <c r="FF74" s="199">
        <v>0.5</v>
      </c>
      <c r="FG74" s="200">
        <v>0.5</v>
      </c>
      <c r="FH74" s="16">
        <f t="shared" si="142"/>
        <v>648.21</v>
      </c>
      <c r="FI74" s="179">
        <f t="shared" si="142"/>
        <v>648.21</v>
      </c>
      <c r="FJ74" s="179">
        <f t="shared" si="143"/>
        <v>10426.759999999998</v>
      </c>
      <c r="FK74" s="179">
        <f t="shared" si="144"/>
        <v>10426.759999999998</v>
      </c>
      <c r="FL74" s="204">
        <f t="shared" si="145"/>
        <v>11074.969999999998</v>
      </c>
      <c r="FM74" s="206">
        <f t="shared" si="145"/>
        <v>11074.969999999998</v>
      </c>
      <c r="FN74" s="202">
        <f t="shared" si="146"/>
        <v>22149.939999999995</v>
      </c>
      <c r="FQ74" s="217"/>
      <c r="FR74" s="16">
        <v>31</v>
      </c>
      <c r="FS74" s="16">
        <v>819.8</v>
      </c>
      <c r="FT74" s="16"/>
      <c r="FU74" s="16">
        <f t="shared" si="133"/>
        <v>1889.9999999999864</v>
      </c>
      <c r="FV74" s="16">
        <f t="shared" si="134"/>
        <v>944.99999999999318</v>
      </c>
      <c r="FW74" s="16">
        <f t="shared" si="135"/>
        <v>944.99999999999318</v>
      </c>
      <c r="IH74" s="34">
        <v>30</v>
      </c>
      <c r="II74" s="144">
        <f>DailyAug!BX36+DailyAug!BY36-DailyAug!BZ36-DailyAug!CA36-DailyAug!CB36-DailyAug!CC36-DailyAug!CD36-DailyAug!CF36-DailyAug!CE36</f>
        <v>-9.8953023552894592E-10</v>
      </c>
      <c r="IJ74" s="16">
        <v>-200</v>
      </c>
      <c r="IK74" s="16">
        <f t="shared" si="147"/>
        <v>-50</v>
      </c>
      <c r="IL74" s="16">
        <v>-50</v>
      </c>
    </row>
    <row r="75" spans="1:246" x14ac:dyDescent="0.25">
      <c r="A75" s="35">
        <v>30</v>
      </c>
      <c r="B75" s="138">
        <v>0.37280000000000002</v>
      </c>
      <c r="C75" s="65"/>
      <c r="D75" s="37">
        <f t="shared" si="148"/>
        <v>0</v>
      </c>
      <c r="E75" s="16">
        <v>32819</v>
      </c>
      <c r="F75" s="16"/>
      <c r="G75" s="37">
        <f t="shared" si="136"/>
        <v>83000</v>
      </c>
      <c r="H75" s="138"/>
      <c r="I75" s="65"/>
      <c r="J75" s="37">
        <f t="shared" si="137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28</v>
      </c>
      <c r="DQ75" s="50">
        <v>8.2584</v>
      </c>
      <c r="DR75" s="49">
        <f t="shared" si="149"/>
        <v>0</v>
      </c>
      <c r="DS75" s="50">
        <v>51.348999999999997</v>
      </c>
      <c r="DT75" s="49">
        <f t="shared" si="151"/>
        <v>0</v>
      </c>
      <c r="EZ75" s="167">
        <f t="shared" si="138"/>
        <v>11596.57</v>
      </c>
      <c r="FA75" s="167">
        <f t="shared" si="139"/>
        <v>11946.57</v>
      </c>
      <c r="FB75" s="167">
        <f t="shared" si="140"/>
        <v>23543.14</v>
      </c>
      <c r="FC75" s="16"/>
      <c r="FD75" s="167">
        <f t="shared" si="141"/>
        <v>22246.720000000001</v>
      </c>
      <c r="FE75" s="16"/>
      <c r="FF75" s="199">
        <v>0.5</v>
      </c>
      <c r="FG75" s="200">
        <v>0.5</v>
      </c>
      <c r="FH75" s="16">
        <f t="shared" si="142"/>
        <v>648.21</v>
      </c>
      <c r="FI75" s="179">
        <f t="shared" si="142"/>
        <v>648.21</v>
      </c>
      <c r="FJ75" s="179">
        <f t="shared" si="143"/>
        <v>11123.36</v>
      </c>
      <c r="FK75" s="179">
        <f t="shared" si="144"/>
        <v>11123.36</v>
      </c>
      <c r="FL75" s="204">
        <f t="shared" si="145"/>
        <v>11771.57</v>
      </c>
      <c r="FM75" s="206">
        <f t="shared" si="145"/>
        <v>11771.57</v>
      </c>
      <c r="FN75" s="202">
        <f t="shared" si="146"/>
        <v>23543.14</v>
      </c>
      <c r="FQ75" s="217"/>
      <c r="FR75" s="16">
        <v>1</v>
      </c>
      <c r="FS75" s="16">
        <v>821.7</v>
      </c>
      <c r="FT75" s="16"/>
      <c r="FU75" s="16">
        <f t="shared" si="133"/>
        <v>1900.0000000000909</v>
      </c>
      <c r="FV75" s="16">
        <f t="shared" si="134"/>
        <v>950.00000000004547</v>
      </c>
      <c r="FW75" s="16">
        <f t="shared" si="135"/>
        <v>950.00000000004547</v>
      </c>
      <c r="IH75" s="34">
        <v>1</v>
      </c>
      <c r="II75" s="144">
        <f>DailyAug!BX37+DailyAug!BY37-DailyAug!BZ37-DailyAug!CA37-DailyAug!CB37-DailyAug!CC37-DailyAug!CD37-DailyAug!CF37-DailyAug!CE37</f>
        <v>-3.637978807091713E-10</v>
      </c>
      <c r="IJ75" s="16">
        <v>2300</v>
      </c>
      <c r="IK75" s="16">
        <f t="shared" si="147"/>
        <v>575</v>
      </c>
      <c r="IL75" s="16">
        <v>575</v>
      </c>
    </row>
    <row r="76" spans="1:246" x14ac:dyDescent="0.25">
      <c r="A76" s="35">
        <v>31</v>
      </c>
      <c r="B76" s="138">
        <v>0.37280000000000002</v>
      </c>
      <c r="C76" s="65"/>
      <c r="D76" s="37">
        <f t="shared" si="148"/>
        <v>0</v>
      </c>
      <c r="E76" s="16">
        <v>32907</v>
      </c>
      <c r="F76" s="16"/>
      <c r="G76" s="37">
        <f t="shared" si="136"/>
        <v>88000</v>
      </c>
      <c r="H76" s="138"/>
      <c r="I76" s="65"/>
      <c r="J76" s="37">
        <f t="shared" si="137"/>
        <v>0</v>
      </c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29</v>
      </c>
      <c r="DQ76" s="50">
        <v>8.2584</v>
      </c>
      <c r="DR76" s="49">
        <f t="shared" si="149"/>
        <v>0</v>
      </c>
      <c r="DS76" s="50">
        <v>51.348999999999997</v>
      </c>
      <c r="DT76" s="49">
        <f t="shared" si="151"/>
        <v>0</v>
      </c>
      <c r="EZ76" s="91"/>
      <c r="IH76" s="16" t="s">
        <v>37</v>
      </c>
      <c r="II76" s="128">
        <f>SUM(II45:II75)</f>
        <v>-3.7107383832335472E-10</v>
      </c>
      <c r="IJ76" s="16"/>
      <c r="IK76" s="16"/>
      <c r="IL76" s="16"/>
    </row>
    <row r="77" spans="1:246" ht="15.75" thickBot="1" x14ac:dyDescent="0.3">
      <c r="A77" s="157">
        <v>1</v>
      </c>
      <c r="B77" s="138">
        <v>0.37280000000000002</v>
      </c>
      <c r="C77" s="65"/>
      <c r="D77" s="37">
        <f t="shared" si="148"/>
        <v>0</v>
      </c>
      <c r="E77" s="16">
        <v>32986</v>
      </c>
      <c r="F77" s="16"/>
      <c r="G77" s="37">
        <f t="shared" si="136"/>
        <v>79000</v>
      </c>
      <c r="H77" s="138"/>
      <c r="I77" s="65"/>
      <c r="J77" s="37">
        <f t="shared" si="137"/>
        <v>0</v>
      </c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30</v>
      </c>
      <c r="DQ77" s="50">
        <v>8.2584</v>
      </c>
      <c r="DR77" s="49">
        <f t="shared" si="149"/>
        <v>0</v>
      </c>
      <c r="DS77" s="50">
        <v>51.348999999999997</v>
      </c>
      <c r="DT77" s="49">
        <f t="shared" si="151"/>
        <v>0</v>
      </c>
      <c r="EZ77" s="91"/>
    </row>
    <row r="78" spans="1:246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2710000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v>8.2584</v>
      </c>
      <c r="DR78" s="49">
        <f t="shared" ref="DR78" si="152">IF((DQ78-DQ77)&lt;=0,0,(DQ78-DQ77))*10000</f>
        <v>0</v>
      </c>
      <c r="DS78" s="50">
        <v>51.348999999999997</v>
      </c>
      <c r="DT78" s="49">
        <f t="shared" ref="DT78" si="153">IF((DS78-DS77)&lt;=0,0,(DS78-DS77))*1000</f>
        <v>0</v>
      </c>
      <c r="EZ78" s="91"/>
    </row>
    <row r="79" spans="1:246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0</v>
      </c>
      <c r="DS79" s="84"/>
      <c r="DT79" s="85">
        <f>SUMIF(DT47:DT78,"&gt;0")</f>
        <v>0</v>
      </c>
      <c r="EZ79" s="91"/>
    </row>
    <row r="80" spans="1:246" x14ac:dyDescent="0.25">
      <c r="B80" t="s">
        <v>197</v>
      </c>
      <c r="F80" s="1" t="s">
        <v>198</v>
      </c>
      <c r="J80" s="189" t="s">
        <v>343</v>
      </c>
      <c r="K80" s="190"/>
      <c r="L80" s="191"/>
      <c r="M80" s="75"/>
      <c r="N80" s="189" t="s">
        <v>342</v>
      </c>
      <c r="O80" s="190"/>
      <c r="P80" s="191"/>
      <c r="Q80" s="75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B60</f>
        <v>0.37280000000000002</v>
      </c>
      <c r="F81" t="s">
        <v>173</v>
      </c>
      <c r="H81" s="146">
        <f>E77</f>
        <v>32986</v>
      </c>
      <c r="J81" s="192" t="s">
        <v>213</v>
      </c>
      <c r="K81" s="193"/>
      <c r="L81" s="194">
        <f>[8]Master!$AU$37</f>
        <v>659771</v>
      </c>
      <c r="M81" s="24"/>
      <c r="N81" s="192" t="s">
        <v>213</v>
      </c>
      <c r="O81" s="193"/>
      <c r="P81" s="194">
        <f>[8]Master!$BN$37</f>
        <v>70431</v>
      </c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f>0</f>
        <v>0</v>
      </c>
      <c r="F82" t="s">
        <v>174</v>
      </c>
      <c r="H82" s="148">
        <f>Jul!E76</f>
        <v>30276</v>
      </c>
      <c r="J82" s="192" t="s">
        <v>214</v>
      </c>
      <c r="K82" s="195"/>
      <c r="L82" s="196">
        <f>[9]Master!$AU$37</f>
        <v>635835</v>
      </c>
      <c r="M82" s="24"/>
      <c r="N82" s="192" t="s">
        <v>214</v>
      </c>
      <c r="O82" s="195"/>
      <c r="P82" s="196">
        <f>[9]Master!$BN$37</f>
        <v>55493</v>
      </c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(D81-D82)*1000000</f>
        <v>372800</v>
      </c>
      <c r="E83" t="s">
        <v>176</v>
      </c>
      <c r="F83" t="s">
        <v>175</v>
      </c>
      <c r="H83" s="104">
        <f>(H81-H82)*1000</f>
        <v>2710000</v>
      </c>
      <c r="I83" t="s">
        <v>176</v>
      </c>
      <c r="J83" s="192" t="s">
        <v>175</v>
      </c>
      <c r="K83" s="192"/>
      <c r="L83" s="197">
        <f>L81-L82</f>
        <v>23936</v>
      </c>
      <c r="M83" s="24" t="s">
        <v>215</v>
      </c>
      <c r="N83" s="192" t="s">
        <v>175</v>
      </c>
      <c r="O83" s="192"/>
      <c r="P83" s="197">
        <f>P81-P82</f>
        <v>14938</v>
      </c>
      <c r="Q83" s="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customSheetViews>
    <customSheetView guid="{48545DB9-4D9D-4699-ACEC-DA6E2D3586A8}" fitToPage="1" hiddenColumns="1">
      <pane xSplit="1" ySplit="6" topLeftCell="GF19" activePane="bottomRight" state="frozen"/>
      <selection pane="bottomRight" activeCell="EQ33" sqref="EQ29:GQ33"/>
      <pageMargins left="0.70866141732283472" right="0.70866141732283472" top="0.74803149606299213" bottom="0.74803149606299213" header="0.31496062992125984" footer="0.31496062992125984"/>
      <pageSetup scale="10" orientation="landscape" r:id="rId1"/>
    </customSheetView>
    <customSheetView guid="{32ABFE17-599B-4D0B-A1DB-D95B181877FC}" fitToPage="1" hiddenColumns="1">
      <pane xSplit="1" ySplit="6" topLeftCell="EI19" activePane="bottomRight" state="frozen"/>
      <selection pane="bottomRight" activeCell="FA1" sqref="FA1:FA1048576"/>
      <pageMargins left="0.70866141732283472" right="0.70866141732283472" top="0.74803149606299213" bottom="0.74803149606299213" header="0.31496062992125984" footer="0.31496062992125984"/>
      <pageSetup scale="10" orientation="landscape" r:id="rId2"/>
    </customSheetView>
  </customSheetViews>
  <mergeCells count="156">
    <mergeCell ref="AP48:AS48"/>
    <mergeCell ref="EE48:EG48"/>
    <mergeCell ref="EH48:EJ48"/>
    <mergeCell ref="EK48:EM48"/>
    <mergeCell ref="EV48:EW48"/>
    <mergeCell ref="FN42:FN44"/>
    <mergeCell ref="FO42:FQ44"/>
    <mergeCell ref="FR42:FR43"/>
    <mergeCell ref="FS42:FU42"/>
    <mergeCell ref="DQ43:DR45"/>
    <mergeCell ref="DS43:DT45"/>
    <mergeCell ref="EZ43:EZ44"/>
    <mergeCell ref="FA43:FA44"/>
    <mergeCell ref="FB43:FB44"/>
    <mergeCell ref="EW45:EX45"/>
    <mergeCell ref="ER41:ET41"/>
    <mergeCell ref="EU41:EZ41"/>
    <mergeCell ref="FE41:FG41"/>
    <mergeCell ref="FH41:FJ41"/>
    <mergeCell ref="FO41:FQ41"/>
    <mergeCell ref="DQ42:DT42"/>
    <mergeCell ref="FF42:FG43"/>
    <mergeCell ref="FH42:FI43"/>
    <mergeCell ref="FJ42:FK43"/>
    <mergeCell ref="FL42:FM43"/>
    <mergeCell ref="BU41:BW41"/>
    <mergeCell ref="BY41:CA41"/>
    <mergeCell ref="DU41:DW41"/>
    <mergeCell ref="DX41:DZ41"/>
    <mergeCell ref="EA41:EC41"/>
    <mergeCell ref="EO41:EQ41"/>
    <mergeCell ref="KC5:KE5"/>
    <mergeCell ref="FV6:FX6"/>
    <mergeCell ref="FY6:GA6"/>
    <mergeCell ref="GB6:GD6"/>
    <mergeCell ref="GE6:GG6"/>
    <mergeCell ref="GH6:GJ6"/>
    <mergeCell ref="GK6:GM6"/>
    <mergeCell ref="GU6:GX6"/>
    <mergeCell ref="GY6:HB6"/>
    <mergeCell ref="JK5:JM5"/>
    <mergeCell ref="JN5:JP5"/>
    <mergeCell ref="JQ5:JS5"/>
    <mergeCell ref="JT5:JV5"/>
    <mergeCell ref="JW5:JY5"/>
    <mergeCell ref="JZ5:KB5"/>
    <mergeCell ref="IS5:IU5"/>
    <mergeCell ref="IV5:IX5"/>
    <mergeCell ref="IY5:JA5"/>
    <mergeCell ref="JB5:JD5"/>
    <mergeCell ref="JE5:JG5"/>
    <mergeCell ref="JH5:JJ5"/>
    <mergeCell ref="HZ5:IB5"/>
    <mergeCell ref="IC5:IE5"/>
    <mergeCell ref="IF5:IH5"/>
    <mergeCell ref="IJ5:IL5"/>
    <mergeCell ref="IM5:IO5"/>
    <mergeCell ref="IP5:IR5"/>
    <mergeCell ref="FN5:FP5"/>
    <mergeCell ref="FQ5:FS5"/>
    <mergeCell ref="HN5:HP5"/>
    <mergeCell ref="HQ5:HS5"/>
    <mergeCell ref="HT5:HV5"/>
    <mergeCell ref="HW5:HY5"/>
    <mergeCell ref="EE5:EG5"/>
    <mergeCell ref="EH5:EJ5"/>
    <mergeCell ref="EK5:EM5"/>
    <mergeCell ref="EO5:EQ5"/>
    <mergeCell ref="ER5:ET5"/>
    <mergeCell ref="EU5:EW5"/>
    <mergeCell ref="DC5:DF5"/>
    <mergeCell ref="DU5:DW5"/>
    <mergeCell ref="DX5:DZ5"/>
    <mergeCell ref="EA5:EC5"/>
    <mergeCell ref="BA5:BC5"/>
    <mergeCell ref="BS5:BT5"/>
    <mergeCell ref="BU5:BX5"/>
    <mergeCell ref="BY5:CB5"/>
    <mergeCell ref="CC5:CD5"/>
    <mergeCell ref="CE5:CF5"/>
    <mergeCell ref="CG5:CH5"/>
    <mergeCell ref="CI5:CL5"/>
    <mergeCell ref="CM5:CP5"/>
    <mergeCell ref="CQ5:CT5"/>
    <mergeCell ref="IV4:JM4"/>
    <mergeCell ref="JN4:KE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AG5:AJ5"/>
    <mergeCell ref="AL5:AO5"/>
    <mergeCell ref="AP5:AS5"/>
    <mergeCell ref="HH3:KE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HN4:IH4"/>
    <mergeCell ref="II4:II5"/>
    <mergeCell ref="IJ4:IU4"/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EE4:EG4"/>
    <mergeCell ref="EH4:EJ4"/>
    <mergeCell ref="GQ3:GS3"/>
    <mergeCell ref="AT5:AU5"/>
    <mergeCell ref="AV5:AW5"/>
    <mergeCell ref="AX5:AZ5"/>
    <mergeCell ref="S5:T5"/>
    <mergeCell ref="U5:V5"/>
    <mergeCell ref="W5:X5"/>
    <mergeCell ref="Y5:Z5"/>
    <mergeCell ref="AA5:AB5"/>
    <mergeCell ref="AC5:AF5"/>
    <mergeCell ref="CU5:CX5"/>
    <mergeCell ref="CY5:DB5"/>
  </mergeCells>
  <pageMargins left="0.70866141732283472" right="0.70866141732283472" top="0.74803149606299213" bottom="0.74803149606299213" header="0.31496062992125984" footer="0.31496062992125984"/>
  <pageSetup scale="10" orientation="landscape" r:id="rId3"/>
  <drawing r:id="rId4"/>
  <legacy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2:CI72"/>
  <sheetViews>
    <sheetView zoomScale="90" zoomScaleNormal="90" zoomScaleSheetLayoutView="90" workbookViewId="0">
      <pane xSplit="1" ySplit="6" topLeftCell="AB13" activePane="bottomRight" state="frozen"/>
      <selection pane="topRight" activeCell="B1" sqref="B1"/>
      <selection pane="bottomLeft" activeCell="A7" sqref="A7"/>
      <selection pane="bottomRight" activeCell="BV37" sqref="BV37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customWidth="1"/>
    <col min="5" max="6" width="10.7109375" customWidth="1"/>
    <col min="7" max="10" width="11.28515625" customWidth="1"/>
    <col min="11" max="11" width="12" customWidth="1"/>
    <col min="12" max="12" width="11.28515625" customWidth="1"/>
    <col min="13" max="13" width="9.85546875" customWidth="1"/>
    <col min="14" max="14" width="12.42578125" bestFit="1" customWidth="1"/>
    <col min="15" max="15" width="11.28515625" customWidth="1"/>
    <col min="16" max="16" width="10.7109375" customWidth="1"/>
    <col min="17" max="17" width="10.85546875" customWidth="1"/>
    <col min="18" max="18" width="10.5703125" customWidth="1"/>
    <col min="19" max="19" width="11.28515625" customWidth="1"/>
    <col min="20" max="20" width="10.85546875" customWidth="1"/>
    <col min="21" max="21" width="11.28515625" customWidth="1"/>
    <col min="22" max="22" width="12.42578125" customWidth="1"/>
    <col min="23" max="23" width="10.85546875" customWidth="1"/>
    <col min="24" max="24" width="1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1" width="12.7109375" customWidth="1"/>
    <col min="32" max="32" width="10.42578125" customWidth="1"/>
    <col min="33" max="33" width="12.7109375" customWidth="1"/>
    <col min="34" max="34" width="10.85546875" customWidth="1"/>
    <col min="35" max="36" width="11.28515625" customWidth="1"/>
    <col min="37" max="37" width="12.42578125" bestFit="1" customWidth="1"/>
    <col min="38" max="38" width="12.42578125" customWidth="1"/>
    <col min="39" max="39" width="12.5703125" customWidth="1"/>
    <col min="40" max="40" width="10.140625" customWidth="1"/>
    <col min="41" max="41" width="12.42578125" bestFit="1" customWidth="1"/>
    <col min="42" max="42" width="11.28515625" customWidth="1"/>
    <col min="43" max="43" width="10.7109375" customWidth="1"/>
    <col min="44" max="44" width="11.28515625" customWidth="1"/>
    <col min="45" max="45" width="12.42578125" bestFit="1" customWidth="1"/>
    <col min="46" max="46" width="11.28515625" customWidth="1"/>
    <col min="47" max="47" width="11.42578125" customWidth="1"/>
    <col min="48" max="48" width="12" customWidth="1"/>
    <col min="49" max="50" width="11.28515625" customWidth="1"/>
    <col min="51" max="51" width="12.42578125" bestFit="1" customWidth="1"/>
    <col min="52" max="52" width="11.28515625" customWidth="1"/>
    <col min="53" max="53" width="11.42578125" customWidth="1"/>
    <col min="54" max="55" width="11.28515625" customWidth="1"/>
    <col min="56" max="56" width="12.42578125" bestFit="1" customWidth="1"/>
    <col min="57" max="59" width="12.42578125" customWidth="1"/>
    <col min="60" max="72" width="10.7109375" customWidth="1"/>
    <col min="73" max="73" width="14.42578125" bestFit="1" customWidth="1"/>
    <col min="74" max="74" width="58.42578125" customWidth="1"/>
    <col min="75" max="75" width="16.140625" customWidth="1"/>
    <col min="76" max="76" width="12.5703125" bestFit="1" customWidth="1"/>
    <col min="77" max="77" width="9.140625" customWidth="1"/>
    <col min="78" max="78" width="11.7109375" bestFit="1" customWidth="1"/>
    <col min="79" max="82" width="11.140625" bestFit="1" customWidth="1"/>
    <col min="83" max="83" width="10.5703125" customWidth="1"/>
    <col min="84" max="84" width="12.5703125" customWidth="1"/>
    <col min="85" max="89" width="9.140625" customWidth="1"/>
  </cols>
  <sheetData>
    <row r="2" spans="1:84" ht="26.25" x14ac:dyDescent="0.4">
      <c r="A2" s="499" t="s">
        <v>390</v>
      </c>
      <c r="B2" s="499"/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499"/>
      <c r="O2" s="499"/>
      <c r="P2" s="499"/>
      <c r="Q2" s="499"/>
      <c r="R2" s="499"/>
      <c r="S2" s="499"/>
      <c r="T2" s="499"/>
      <c r="U2" s="499"/>
      <c r="V2" s="499"/>
      <c r="W2" s="499"/>
      <c r="X2" s="499"/>
      <c r="Y2" s="499"/>
      <c r="Z2" s="499"/>
      <c r="AA2" s="499"/>
      <c r="AB2" s="499"/>
      <c r="AC2" s="499"/>
      <c r="AD2" s="499"/>
      <c r="AE2" s="499"/>
      <c r="AF2" s="499"/>
      <c r="AG2" s="499"/>
      <c r="AH2" s="499"/>
      <c r="AI2" s="499"/>
      <c r="AJ2" s="499"/>
      <c r="AK2" s="499"/>
      <c r="AL2" s="499"/>
      <c r="AM2" s="499"/>
      <c r="AN2" s="499"/>
      <c r="AO2" s="499"/>
      <c r="AP2" s="499"/>
      <c r="AQ2" s="499"/>
      <c r="AR2" s="499"/>
      <c r="AS2" s="499"/>
      <c r="AT2" s="499"/>
      <c r="AU2" s="499"/>
      <c r="AV2" s="499"/>
      <c r="AW2" s="499"/>
      <c r="AX2" s="499"/>
      <c r="AY2" s="499"/>
      <c r="AZ2" s="499"/>
      <c r="BA2" s="499"/>
      <c r="BB2" s="499"/>
      <c r="BC2" s="499"/>
      <c r="BD2" s="499"/>
      <c r="BE2" s="499"/>
      <c r="BF2" s="499"/>
      <c r="BG2" s="499"/>
      <c r="BH2" s="499"/>
      <c r="BI2" s="499"/>
      <c r="BJ2" s="499"/>
      <c r="BK2" s="499"/>
      <c r="BL2" s="499"/>
      <c r="BM2" s="499"/>
      <c r="BN2" s="499"/>
      <c r="BO2" s="499"/>
      <c r="BP2" s="499"/>
      <c r="BQ2" s="499"/>
      <c r="BR2" s="499"/>
      <c r="BS2" s="499"/>
      <c r="BT2" s="499"/>
      <c r="BU2" s="499"/>
    </row>
    <row r="4" spans="1:84" ht="15" customHeight="1" x14ac:dyDescent="0.25">
      <c r="A4" s="448" t="s">
        <v>1</v>
      </c>
      <c r="B4" s="455" t="s">
        <v>118</v>
      </c>
      <c r="C4" s="455" t="s">
        <v>119</v>
      </c>
      <c r="D4" s="465" t="s">
        <v>4</v>
      </c>
      <c r="E4" s="466"/>
      <c r="F4" s="466"/>
      <c r="G4" s="466"/>
      <c r="H4" s="466"/>
      <c r="I4" s="466"/>
      <c r="J4" s="466"/>
      <c r="K4" s="466"/>
      <c r="L4" s="466"/>
      <c r="M4" s="467"/>
      <c r="N4" s="468" t="s">
        <v>120</v>
      </c>
      <c r="O4" s="110"/>
      <c r="P4" s="110"/>
      <c r="Q4" s="110"/>
      <c r="R4" s="110"/>
      <c r="S4" s="110" t="s">
        <v>121</v>
      </c>
      <c r="T4" s="110"/>
      <c r="U4" s="110"/>
      <c r="V4" s="476" t="s">
        <v>121</v>
      </c>
      <c r="W4" s="460" t="s">
        <v>122</v>
      </c>
      <c r="X4" s="460"/>
      <c r="Y4" s="459" t="s">
        <v>123</v>
      </c>
      <c r="Z4" s="461" t="s">
        <v>124</v>
      </c>
      <c r="AA4" s="462" t="s">
        <v>125</v>
      </c>
      <c r="AB4" s="463" t="s">
        <v>126</v>
      </c>
      <c r="AC4" s="456" t="s">
        <v>127</v>
      </c>
      <c r="AD4" s="457" t="s">
        <v>200</v>
      </c>
      <c r="AE4" s="457" t="s">
        <v>223</v>
      </c>
      <c r="AF4" s="457" t="s">
        <v>248</v>
      </c>
      <c r="AG4" s="457" t="s">
        <v>249</v>
      </c>
      <c r="AH4" s="458" t="s">
        <v>128</v>
      </c>
      <c r="AI4" s="458"/>
      <c r="AJ4" s="458"/>
      <c r="AK4" s="454" t="s">
        <v>129</v>
      </c>
      <c r="AL4" s="454" t="s">
        <v>130</v>
      </c>
      <c r="AM4" s="454"/>
      <c r="AN4" s="454"/>
      <c r="AO4" s="454" t="s">
        <v>14</v>
      </c>
      <c r="AP4" s="459" t="s">
        <v>131</v>
      </c>
      <c r="AQ4" s="459"/>
      <c r="AR4" s="459"/>
      <c r="AS4" s="459" t="s">
        <v>17</v>
      </c>
      <c r="AT4" s="453" t="s">
        <v>132</v>
      </c>
      <c r="AU4" s="453"/>
      <c r="AV4" s="453"/>
      <c r="AW4" s="453"/>
      <c r="AX4" s="111"/>
      <c r="AY4" s="453" t="s">
        <v>15</v>
      </c>
      <c r="AZ4" s="453" t="s">
        <v>133</v>
      </c>
      <c r="BA4" s="453"/>
      <c r="BB4" s="453"/>
      <c r="BC4" s="111"/>
      <c r="BD4" s="453" t="s">
        <v>16</v>
      </c>
      <c r="BE4" s="505" t="s">
        <v>19</v>
      </c>
      <c r="BF4" s="506"/>
      <c r="BG4" s="459" t="s">
        <v>19</v>
      </c>
      <c r="BH4" s="477" t="s">
        <v>201</v>
      </c>
      <c r="BI4" s="478"/>
      <c r="BJ4" s="478"/>
      <c r="BK4" s="479"/>
      <c r="BL4" s="517" t="s">
        <v>134</v>
      </c>
      <c r="BM4" s="518"/>
      <c r="BN4" s="518"/>
      <c r="BO4" s="519"/>
      <c r="BP4" s="515" t="s">
        <v>335</v>
      </c>
      <c r="BQ4" s="501"/>
      <c r="BR4" s="501"/>
      <c r="BS4" s="502"/>
      <c r="BT4" s="511" t="s">
        <v>293</v>
      </c>
      <c r="BU4" s="511" t="s">
        <v>190</v>
      </c>
      <c r="BX4" s="511" t="s">
        <v>278</v>
      </c>
      <c r="BY4" s="511" t="s">
        <v>279</v>
      </c>
      <c r="BZ4" s="511" t="s">
        <v>204</v>
      </c>
      <c r="CA4" s="455" t="s">
        <v>260</v>
      </c>
      <c r="CB4" s="455" t="s">
        <v>261</v>
      </c>
      <c r="CC4" s="455" t="s">
        <v>318</v>
      </c>
      <c r="CD4" s="511" t="s">
        <v>346</v>
      </c>
      <c r="CE4" s="511" t="s">
        <v>357</v>
      </c>
      <c r="CF4" s="455" t="s">
        <v>280</v>
      </c>
    </row>
    <row r="5" spans="1:84" x14ac:dyDescent="0.25">
      <c r="A5" s="448"/>
      <c r="B5" s="455"/>
      <c r="C5" s="455"/>
      <c r="D5" s="471" t="s">
        <v>135</v>
      </c>
      <c r="E5" s="472"/>
      <c r="F5" s="472"/>
      <c r="G5" s="472"/>
      <c r="H5" s="472"/>
      <c r="I5" s="473"/>
      <c r="J5" s="474" t="s">
        <v>136</v>
      </c>
      <c r="K5" s="475"/>
      <c r="L5" s="474" t="s">
        <v>55</v>
      </c>
      <c r="M5" s="475"/>
      <c r="N5" s="469"/>
      <c r="O5" s="110"/>
      <c r="P5" s="110"/>
      <c r="Q5" s="110"/>
      <c r="R5" s="110"/>
      <c r="S5" s="110"/>
      <c r="T5" s="110"/>
      <c r="U5" s="110"/>
      <c r="V5" s="476"/>
      <c r="W5" s="460"/>
      <c r="X5" s="460"/>
      <c r="Y5" s="459"/>
      <c r="Z5" s="461"/>
      <c r="AA5" s="462"/>
      <c r="AB5" s="463"/>
      <c r="AC5" s="456"/>
      <c r="AD5" s="457"/>
      <c r="AE5" s="457"/>
      <c r="AF5" s="457"/>
      <c r="AG5" s="457"/>
      <c r="AH5" s="112"/>
      <c r="AI5" s="112"/>
      <c r="AJ5" s="112"/>
      <c r="AK5" s="454"/>
      <c r="AL5" s="113"/>
      <c r="AM5" s="113"/>
      <c r="AN5" s="113"/>
      <c r="AO5" s="454"/>
      <c r="AP5" s="114"/>
      <c r="AQ5" s="114"/>
      <c r="AR5" s="114"/>
      <c r="AS5" s="459"/>
      <c r="AT5" s="111"/>
      <c r="AU5" s="111"/>
      <c r="AV5" s="111"/>
      <c r="AW5" s="111"/>
      <c r="AX5" s="111"/>
      <c r="AY5" s="453"/>
      <c r="AZ5" s="111"/>
      <c r="BA5" s="111"/>
      <c r="BB5" s="111"/>
      <c r="BC5" s="111"/>
      <c r="BD5" s="453"/>
      <c r="BE5" s="218"/>
      <c r="BF5" s="218"/>
      <c r="BG5" s="459"/>
      <c r="BH5" s="480"/>
      <c r="BI5" s="481"/>
      <c r="BJ5" s="481"/>
      <c r="BK5" s="482"/>
      <c r="BL5" s="520"/>
      <c r="BM5" s="521"/>
      <c r="BN5" s="521"/>
      <c r="BO5" s="522"/>
      <c r="BP5" s="516"/>
      <c r="BQ5" s="503"/>
      <c r="BR5" s="503"/>
      <c r="BS5" s="504"/>
      <c r="BT5" s="512"/>
      <c r="BU5" s="512"/>
      <c r="BX5" s="512"/>
      <c r="BY5" s="512"/>
      <c r="BZ5" s="512"/>
      <c r="CA5" s="455"/>
      <c r="CB5" s="455"/>
      <c r="CC5" s="455"/>
      <c r="CD5" s="512"/>
      <c r="CE5" s="512"/>
      <c r="CF5" s="455"/>
    </row>
    <row r="6" spans="1:84" ht="60" x14ac:dyDescent="0.25">
      <c r="A6" s="448"/>
      <c r="B6" s="455"/>
      <c r="C6" s="455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70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76"/>
      <c r="W6" s="120" t="s">
        <v>62</v>
      </c>
      <c r="X6" s="121" t="s">
        <v>63</v>
      </c>
      <c r="Y6" s="459"/>
      <c r="Z6" s="461"/>
      <c r="AA6" s="462"/>
      <c r="AB6" s="463"/>
      <c r="AC6" s="456"/>
      <c r="AD6" s="457"/>
      <c r="AE6" s="457"/>
      <c r="AF6" s="457"/>
      <c r="AG6" s="457"/>
      <c r="AH6" s="112" t="s">
        <v>66</v>
      </c>
      <c r="AI6" s="112" t="s">
        <v>67</v>
      </c>
      <c r="AJ6" s="112" t="s">
        <v>147</v>
      </c>
      <c r="AK6" s="454"/>
      <c r="AL6" s="122" t="s">
        <v>148</v>
      </c>
      <c r="AM6" s="122" t="s">
        <v>149</v>
      </c>
      <c r="AN6" s="122" t="s">
        <v>150</v>
      </c>
      <c r="AO6" s="454"/>
      <c r="AP6" s="114" t="s">
        <v>99</v>
      </c>
      <c r="AQ6" s="114" t="s">
        <v>100</v>
      </c>
      <c r="AR6" s="114" t="s">
        <v>151</v>
      </c>
      <c r="AS6" s="459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453"/>
      <c r="AZ6" s="111" t="s">
        <v>152</v>
      </c>
      <c r="BA6" s="111" t="s">
        <v>153</v>
      </c>
      <c r="BB6" s="111" t="s">
        <v>155</v>
      </c>
      <c r="BC6" s="111" t="s">
        <v>151</v>
      </c>
      <c r="BD6" s="453"/>
      <c r="BE6" s="114" t="s">
        <v>202</v>
      </c>
      <c r="BF6" s="114" t="s">
        <v>330</v>
      </c>
      <c r="BG6" s="459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513"/>
      <c r="BU6" s="513"/>
      <c r="BX6" s="513"/>
      <c r="BY6" s="513"/>
      <c r="BZ6" s="513"/>
      <c r="CA6" s="455"/>
      <c r="CB6" s="455"/>
      <c r="CC6" s="455"/>
      <c r="CD6" s="513"/>
      <c r="CE6" s="513"/>
      <c r="CF6" s="455"/>
    </row>
    <row r="7" spans="1:84" x14ac:dyDescent="0.25">
      <c r="A7" s="124">
        <v>1</v>
      </c>
      <c r="B7" s="42">
        <f>Aug!G8</f>
        <v>405759.99999999115</v>
      </c>
      <c r="C7" s="42">
        <f>Aug!N8</f>
        <v>403000</v>
      </c>
      <c r="D7" s="42">
        <f>Aug!T8</f>
        <v>105.82000000029802</v>
      </c>
      <c r="E7" s="42">
        <f>Aug!V8</f>
        <v>0</v>
      </c>
      <c r="F7" s="42">
        <f>Aug!AB8</f>
        <v>0</v>
      </c>
      <c r="G7" s="42">
        <f>Aug!X8</f>
        <v>6494.1800000000658</v>
      </c>
      <c r="H7" s="42">
        <f>Aug!AE8</f>
        <v>1399.9999999996362</v>
      </c>
      <c r="I7" s="42">
        <f>Aug!AI8</f>
        <v>2453.009999998545</v>
      </c>
      <c r="J7" s="42">
        <f>Aug!AN8</f>
        <v>2033.0100000000139</v>
      </c>
      <c r="K7" s="42">
        <f>Aug!AR8</f>
        <v>2299.9999999992724</v>
      </c>
      <c r="L7" s="42">
        <f>Aug!AZ8</f>
        <v>100</v>
      </c>
      <c r="M7" s="42">
        <f>Aug!BC8</f>
        <v>230</v>
      </c>
      <c r="N7" s="125">
        <f t="shared" ref="N7" si="0">SUM(D7:M7)</f>
        <v>15116.019999997832</v>
      </c>
      <c r="O7" s="125">
        <f>Aug!CA8</f>
        <v>725.30000000000427</v>
      </c>
      <c r="P7" s="125">
        <f>Aug!CD8</f>
        <v>864.90000000002328</v>
      </c>
      <c r="Q7" s="125">
        <f>Aug!CF8</f>
        <v>7729</v>
      </c>
      <c r="R7" s="125">
        <f>Aug!CH8</f>
        <v>0</v>
      </c>
      <c r="S7" s="125">
        <f>Aug!CK8</f>
        <v>14597.709999999341</v>
      </c>
      <c r="T7" s="125">
        <f>Aug!CO8</f>
        <v>5281.0099999998838</v>
      </c>
      <c r="U7" s="125">
        <f>Aug!CS8</f>
        <v>5194.01</v>
      </c>
      <c r="V7" s="126">
        <f>SUM(O7:U7)</f>
        <v>34391.929999999258</v>
      </c>
      <c r="W7" s="126">
        <f>Aug!CW8</f>
        <v>20305</v>
      </c>
      <c r="X7" s="126">
        <f>Aug!DA8</f>
        <v>11262</v>
      </c>
      <c r="Y7" s="126">
        <f t="shared" ref="Y7:Y37" si="1">W7+X7</f>
        <v>31567</v>
      </c>
      <c r="Z7" s="42">
        <f>Aug!BR8</f>
        <v>699.99999999993179</v>
      </c>
      <c r="AA7" s="126">
        <f>Aug!BG8</f>
        <v>1600.0000000001364</v>
      </c>
      <c r="AB7" s="126">
        <f>Aug!BJ8</f>
        <v>8800.0000000010914</v>
      </c>
      <c r="AC7" s="126">
        <f>Aug!BL8+Aug!BN8</f>
        <v>4620.0000000000546</v>
      </c>
      <c r="AD7" s="126">
        <f>Aug!DR8</f>
        <v>9300</v>
      </c>
      <c r="AE7" s="127">
        <f>Aug!DT8-Aug!DR48-Aug!DT48</f>
        <v>20200</v>
      </c>
      <c r="AF7" s="127">
        <f>Aug!DR48+Aug!DT48</f>
        <v>0</v>
      </c>
      <c r="AG7" s="127">
        <f>Aug!HJ8-AE7</f>
        <v>150800</v>
      </c>
      <c r="AH7" s="127">
        <f>Aug!DW8</f>
        <v>4700.0000000007276</v>
      </c>
      <c r="AI7" s="127">
        <f>Aug!DZ8</f>
        <v>7853.01</v>
      </c>
      <c r="AJ7" s="127">
        <f>Aug!EC8</f>
        <v>25013.01</v>
      </c>
      <c r="AK7" s="127">
        <f>SUM(AH7:AJ7)</f>
        <v>37566.020000000724</v>
      </c>
      <c r="AL7" s="127">
        <f>Aug!EG8</f>
        <v>30013.01</v>
      </c>
      <c r="AM7" s="127">
        <f>Aug!EJ8</f>
        <v>11853.01</v>
      </c>
      <c r="AN7" s="127">
        <f>Aug!EM8</f>
        <v>930.00000000006366</v>
      </c>
      <c r="AO7" s="127">
        <f>SUM(AL7:AN7)</f>
        <v>42796.020000000062</v>
      </c>
      <c r="AP7" s="127">
        <f>Aug!FX8</f>
        <v>34177</v>
      </c>
      <c r="AQ7" s="127">
        <f>Aug!GA8</f>
        <v>7833.1999999999171</v>
      </c>
      <c r="AR7" s="127">
        <f>Aug!GG8</f>
        <v>8774.4999999994889</v>
      </c>
      <c r="AS7" s="127">
        <f>SUM(AP7:AR7)</f>
        <v>50784.699999999408</v>
      </c>
      <c r="AT7" s="127">
        <f>Aug!EQ8</f>
        <v>7043.0100000005095</v>
      </c>
      <c r="AU7" s="127">
        <f>Aug!ET8</f>
        <v>17210.000000000946</v>
      </c>
      <c r="AV7" s="127">
        <f>Aug!EW8</f>
        <v>10154.009999999476</v>
      </c>
      <c r="AW7" s="127">
        <f>Aug!FL45</f>
        <v>11191.344999999928</v>
      </c>
      <c r="AX7" s="127">
        <f>Aug!GJ8</f>
        <v>1862.5</v>
      </c>
      <c r="AY7" s="127">
        <f>SUM(AT7:AX7)</f>
        <v>47460.865000000864</v>
      </c>
      <c r="AZ7" s="127">
        <f>Aug!FG8</f>
        <v>9569.6800000007279</v>
      </c>
      <c r="BA7" s="127">
        <f>Aug!FJ8</f>
        <v>17869.679999999997</v>
      </c>
      <c r="BB7" s="127">
        <f>Aug!FM45</f>
        <v>11191.344999999928</v>
      </c>
      <c r="BC7" s="127">
        <f>Aug!GM8</f>
        <v>2.9999999999290594</v>
      </c>
      <c r="BD7" s="127">
        <f>SUM(AZ7:BC7)</f>
        <v>38633.705000000584</v>
      </c>
      <c r="BE7" s="127">
        <f>Aug!GP8</f>
        <v>1003</v>
      </c>
      <c r="BF7" s="127">
        <f>Aug!GS8</f>
        <v>420.79999999998836</v>
      </c>
      <c r="BG7" s="127">
        <f>BE7+BF7</f>
        <v>1423.7999999999884</v>
      </c>
      <c r="BH7" s="127">
        <f t="shared" ref="BH7:BH37" si="2">Y7</f>
        <v>31567</v>
      </c>
      <c r="BI7" s="127"/>
      <c r="BJ7" s="127"/>
      <c r="BK7" s="127"/>
      <c r="BL7" s="128"/>
      <c r="BM7" s="128">
        <f>AS7*49/100</f>
        <v>24884.50299999971</v>
      </c>
      <c r="BN7" s="128"/>
      <c r="BO7" s="128">
        <f>(AS7-BM7)</f>
        <v>25900.196999999698</v>
      </c>
      <c r="BP7" s="128"/>
      <c r="BQ7" s="128">
        <f>BG7*49/100</f>
        <v>697.66199999999435</v>
      </c>
      <c r="BR7" s="128"/>
      <c r="BS7" s="128">
        <f>BG7-BQ7</f>
        <v>726.13799999999401</v>
      </c>
      <c r="BT7" s="42">
        <f>[10]Aug!D46</f>
        <v>0</v>
      </c>
      <c r="BU7" s="42">
        <f>[10]Aug!G47</f>
        <v>90000</v>
      </c>
      <c r="BV7" t="s">
        <v>386</v>
      </c>
      <c r="BX7" s="42">
        <f>Aug!HJ8</f>
        <v>171000</v>
      </c>
      <c r="BY7" s="42">
        <f>Aug!HM8</f>
        <v>0</v>
      </c>
      <c r="BZ7" s="42">
        <f>Aug!HP8</f>
        <v>45425</v>
      </c>
      <c r="CA7" s="42">
        <f>Aug!HS8</f>
        <v>27524.999999999909</v>
      </c>
      <c r="CB7" s="42">
        <f>Aug!HV8</f>
        <v>23724.999999999727</v>
      </c>
      <c r="CC7" s="42">
        <f>Aug!HY8</f>
        <v>25225.000000000182</v>
      </c>
      <c r="CD7" s="42">
        <f>Aug!IB8</f>
        <v>28900</v>
      </c>
      <c r="CE7" s="42">
        <f>Aug!IE8</f>
        <v>0</v>
      </c>
      <c r="CF7" s="42">
        <f>Aug!IH8</f>
        <v>20200</v>
      </c>
    </row>
    <row r="8" spans="1:84" x14ac:dyDescent="0.25">
      <c r="A8" s="26">
        <f>A7+1</f>
        <v>2</v>
      </c>
      <c r="B8" s="42">
        <f>Aug!G9</f>
        <v>411520.00000001135</v>
      </c>
      <c r="C8" s="42">
        <f>Aug!N9</f>
        <v>409000</v>
      </c>
      <c r="D8" s="42">
        <f>Aug!T9</f>
        <v>325.44999999925494</v>
      </c>
      <c r="E8" s="42">
        <f>Aug!V9</f>
        <v>0</v>
      </c>
      <c r="F8" s="42">
        <f>Aug!AB9</f>
        <v>100</v>
      </c>
      <c r="G8" s="42">
        <f>Aug!X9</f>
        <v>17174.550000001109</v>
      </c>
      <c r="H8" s="42">
        <f>Aug!AE9</f>
        <v>4600.0000000003638</v>
      </c>
      <c r="I8" s="42">
        <f>Aug!AI9</f>
        <v>9290.7300000003634</v>
      </c>
      <c r="J8" s="42">
        <f>Aug!AN9</f>
        <v>5510.7299999986035</v>
      </c>
      <c r="K8" s="42">
        <f>Aug!AR9</f>
        <v>7700.0000000007276</v>
      </c>
      <c r="L8" s="42">
        <f>Aug!AZ9</f>
        <v>350</v>
      </c>
      <c r="M8" s="42">
        <f>Aug!BC9</f>
        <v>420</v>
      </c>
      <c r="N8" s="125">
        <f t="shared" ref="N8:N34" si="3">SUM(D8:M8)</f>
        <v>45471.460000000421</v>
      </c>
      <c r="O8" s="125">
        <f>Aug!CA9</f>
        <v>767.40000000000919</v>
      </c>
      <c r="P8" s="125">
        <f>Aug!CD9</f>
        <v>238.09999999997672</v>
      </c>
      <c r="Q8" s="125">
        <f>Aug!CF9</f>
        <v>6041</v>
      </c>
      <c r="R8" s="125">
        <f>Aug!CH9</f>
        <v>0</v>
      </c>
      <c r="S8" s="125">
        <f>Aug!CK9</f>
        <v>15303.330000001009</v>
      </c>
      <c r="T8" s="125">
        <f>Aug!CO9</f>
        <v>7388.7300000003197</v>
      </c>
      <c r="U8" s="125">
        <f>Aug!CS9</f>
        <v>6398.9300000000694</v>
      </c>
      <c r="V8" s="126">
        <f t="shared" ref="V8:V37" si="4">SUM(O8:U8)</f>
        <v>36137.490000001388</v>
      </c>
      <c r="W8" s="126">
        <f>Aug!CW9</f>
        <v>20330</v>
      </c>
      <c r="X8" s="126">
        <f>Aug!DA9</f>
        <v>11081</v>
      </c>
      <c r="Y8" s="126">
        <f t="shared" si="1"/>
        <v>31411</v>
      </c>
      <c r="Z8" s="42">
        <f>Aug!BR9</f>
        <v>500</v>
      </c>
      <c r="AA8" s="126">
        <f>Aug!BG9</f>
        <v>1599.9999999999091</v>
      </c>
      <c r="AB8" s="126">
        <f>Aug!BJ9</f>
        <v>8699.9999999989086</v>
      </c>
      <c r="AC8" s="126">
        <f>Aug!BL9+Aug!BN9</f>
        <v>4779.9999999999409</v>
      </c>
      <c r="AD8" s="126">
        <f>Aug!DR9</f>
        <v>8500</v>
      </c>
      <c r="AE8" s="127">
        <f>Aug!DT9-Aug!DR49-Aug!DT49</f>
        <v>22800</v>
      </c>
      <c r="AF8" s="127">
        <f>Aug!DR49+Aug!DT49</f>
        <v>0</v>
      </c>
      <c r="AG8" s="127">
        <f>Aug!HJ9-AE8</f>
        <v>123200</v>
      </c>
      <c r="AH8" s="127">
        <f>Aug!DW9</f>
        <v>4500</v>
      </c>
      <c r="AI8" s="127">
        <f>Aug!DZ9</f>
        <v>8690.73</v>
      </c>
      <c r="AJ8" s="127">
        <f>Aug!EC9</f>
        <v>25850.73</v>
      </c>
      <c r="AK8" s="127">
        <f t="shared" ref="AK8:AK37" si="5">SUM(AH8:AJ8)</f>
        <v>39041.46</v>
      </c>
      <c r="AL8" s="127">
        <f>Aug!EG9</f>
        <v>29850.73</v>
      </c>
      <c r="AM8" s="127">
        <f>Aug!EJ9</f>
        <v>11690.73</v>
      </c>
      <c r="AN8" s="127">
        <f>Aug!EM9</f>
        <v>669.99999999995907</v>
      </c>
      <c r="AO8" s="127">
        <f t="shared" ref="AO8:AO28" si="6">SUM(AL8:AN8)</f>
        <v>42211.459999999955</v>
      </c>
      <c r="AP8" s="127">
        <f>Aug!FX9</f>
        <v>31615</v>
      </c>
      <c r="AQ8" s="127">
        <f>Aug!GA9</f>
        <v>6817.2000000002372</v>
      </c>
      <c r="AR8" s="127">
        <f>Aug!GG9</f>
        <v>7959.500000000643</v>
      </c>
      <c r="AS8" s="127">
        <f t="shared" ref="AS8:AS37" si="7">SUM(AP8:AR8)</f>
        <v>46391.700000000877</v>
      </c>
      <c r="AT8" s="127">
        <f>Aug!EQ9</f>
        <v>7360.7300000008108</v>
      </c>
      <c r="AU8" s="127">
        <f>Aug!ET9</f>
        <v>16229.999999999563</v>
      </c>
      <c r="AV8" s="127">
        <f>Aug!EW9</f>
        <v>10313.730000000502</v>
      </c>
      <c r="AW8" s="127">
        <f>Aug!FL46</f>
        <v>11329.065000000108</v>
      </c>
      <c r="AX8" s="127">
        <f>Aug!GJ9</f>
        <v>1657.5000000000009</v>
      </c>
      <c r="AY8" s="127">
        <f t="shared" ref="AY8:AY34" si="8">SUM(AT8:AX8)</f>
        <v>46891.025000000984</v>
      </c>
      <c r="AZ8" s="127">
        <f>Aug!FG9</f>
        <v>10307.400000001444</v>
      </c>
      <c r="BA8" s="127">
        <f>Aug!FJ9</f>
        <v>16857.399999999638</v>
      </c>
      <c r="BB8" s="127">
        <f>Aug!FM46</f>
        <v>11329.065000000108</v>
      </c>
      <c r="BC8" s="127">
        <f>Aug!GM9</f>
        <v>3.0000000001564331</v>
      </c>
      <c r="BD8" s="127">
        <f t="shared" ref="BD8:BD34" si="9">SUM(AZ8:BC8)</f>
        <v>38496.865000001344</v>
      </c>
      <c r="BE8" s="127">
        <f>Aug!GP9</f>
        <v>1002.8000000000175</v>
      </c>
      <c r="BF8" s="127">
        <f>Aug!GS9</f>
        <v>384.79999999998836</v>
      </c>
      <c r="BG8" s="127">
        <f t="shared" ref="BG8:BG37" si="10">BE8+BF8</f>
        <v>1387.6000000000058</v>
      </c>
      <c r="BH8" s="127">
        <f t="shared" si="2"/>
        <v>31411</v>
      </c>
      <c r="BI8" s="127"/>
      <c r="BJ8" s="127"/>
      <c r="BK8" s="127"/>
      <c r="BL8" s="128"/>
      <c r="BM8" s="128">
        <f>AS8*51/100</f>
        <v>23659.767000000447</v>
      </c>
      <c r="BN8" s="128"/>
      <c r="BO8" s="128">
        <f t="shared" ref="BO8:BO37" si="11">(AS8-BM8)</f>
        <v>22731.93300000043</v>
      </c>
      <c r="BP8" s="128"/>
      <c r="BQ8" s="128">
        <f>BG8*51/100</f>
        <v>707.676000000003</v>
      </c>
      <c r="BR8" s="128"/>
      <c r="BS8" s="128">
        <f t="shared" ref="BS8:BS37" si="12">BG8-BQ8</f>
        <v>679.92400000000282</v>
      </c>
      <c r="BT8" s="42">
        <f>[10]Aug!D47</f>
        <v>0</v>
      </c>
      <c r="BU8" s="42">
        <f>[10]Aug!G48</f>
        <v>86000</v>
      </c>
      <c r="BV8" t="s">
        <v>384</v>
      </c>
      <c r="BX8" s="42">
        <f>Aug!HJ9</f>
        <v>146000</v>
      </c>
      <c r="BY8" s="42">
        <f>Aug!HM9</f>
        <v>0</v>
      </c>
      <c r="BZ8" s="42">
        <f>Aug!HP9</f>
        <v>40687.500000000546</v>
      </c>
      <c r="CA8" s="42">
        <f>Aug!HS9</f>
        <v>26437.500000000091</v>
      </c>
      <c r="CB8" s="42">
        <f>Aug!HV9</f>
        <v>24137.499999999909</v>
      </c>
      <c r="CC8" s="42">
        <f>Aug!HY9</f>
        <v>5037.5</v>
      </c>
      <c r="CD8" s="42">
        <f>Aug!IB9</f>
        <v>26900</v>
      </c>
      <c r="CE8" s="42">
        <f>Aug!IE9</f>
        <v>0</v>
      </c>
      <c r="CF8" s="42">
        <f>Aug!IH9</f>
        <v>22800</v>
      </c>
    </row>
    <row r="9" spans="1:84" x14ac:dyDescent="0.25">
      <c r="A9" s="26">
        <f t="shared" ref="A9:A37" si="13">A8+1</f>
        <v>3</v>
      </c>
      <c r="B9" s="42">
        <f>Aug!G10</f>
        <v>407039.9999999936</v>
      </c>
      <c r="C9" s="42">
        <f>Aug!N10</f>
        <v>400000</v>
      </c>
      <c r="D9" s="42">
        <f>Aug!T10</f>
        <v>224.27000000141561</v>
      </c>
      <c r="E9" s="42">
        <f>Aug!V10</f>
        <v>0</v>
      </c>
      <c r="F9" s="42">
        <f>Aug!AB10</f>
        <v>100</v>
      </c>
      <c r="G9" s="42">
        <f>Aug!X10</f>
        <v>17275.729999997129</v>
      </c>
      <c r="H9" s="42">
        <f>Aug!AE10</f>
        <v>5799.9999999992724</v>
      </c>
      <c r="I9" s="42">
        <f>Aug!AI10</f>
        <v>11656.749999999636</v>
      </c>
      <c r="J9" s="42">
        <f>Aug!AN10</f>
        <v>5376.7500000002547</v>
      </c>
      <c r="K9" s="42">
        <f>Aug!AR10</f>
        <v>7600.0000000003638</v>
      </c>
      <c r="L9" s="42">
        <f>Aug!AZ10</f>
        <v>370</v>
      </c>
      <c r="M9" s="42">
        <f>Aug!BC10</f>
        <v>450</v>
      </c>
      <c r="N9" s="125">
        <f t="shared" si="3"/>
        <v>48853.499999998072</v>
      </c>
      <c r="O9" s="125">
        <f>Aug!CA10</f>
        <v>849.49999999997772</v>
      </c>
      <c r="P9" s="125">
        <f>Aug!CD10</f>
        <v>0</v>
      </c>
      <c r="Q9" s="125">
        <f>Aug!CF10</f>
        <v>6243</v>
      </c>
      <c r="R9" s="125">
        <f>Aug!CH10</f>
        <v>0</v>
      </c>
      <c r="S9" s="125">
        <f>Aug!CK10</f>
        <v>15157.250000000022</v>
      </c>
      <c r="T9" s="125">
        <f>Aug!CO10</f>
        <v>7804.7499999997744</v>
      </c>
      <c r="U9" s="125">
        <f>Aug!CS10</f>
        <v>5951.4499999999534</v>
      </c>
      <c r="V9" s="126">
        <f t="shared" si="4"/>
        <v>36005.949999999728</v>
      </c>
      <c r="W9" s="126">
        <f>Aug!CW10</f>
        <v>16167</v>
      </c>
      <c r="X9" s="126">
        <f>Aug!DA10</f>
        <v>9225</v>
      </c>
      <c r="Y9" s="126">
        <f t="shared" si="1"/>
        <v>25392</v>
      </c>
      <c r="Z9" s="42">
        <f>Aug!BR10</f>
        <v>200.00000000004547</v>
      </c>
      <c r="AA9" s="126">
        <f>Aug!BG10</f>
        <v>1799.9999999999545</v>
      </c>
      <c r="AB9" s="126">
        <f>Aug!BJ10</f>
        <v>8400.0000000014552</v>
      </c>
      <c r="AC9" s="126">
        <f>Aug!BL10+Aug!BN10</f>
        <v>4780.0000000000637</v>
      </c>
      <c r="AD9" s="126">
        <f>Aug!DR10</f>
        <v>8800</v>
      </c>
      <c r="AE9" s="127">
        <f>Aug!DT10-Aug!DR50-Aug!DT50</f>
        <v>21300</v>
      </c>
      <c r="AF9" s="127">
        <f>Aug!DR50+Aug!DT50</f>
        <v>0</v>
      </c>
      <c r="AG9" s="127">
        <f>Aug!HJ10-AE9</f>
        <v>117700</v>
      </c>
      <c r="AH9" s="127">
        <f>Aug!DW10</f>
        <v>3399.9999999996362</v>
      </c>
      <c r="AI9" s="127">
        <f>Aug!DZ10</f>
        <v>6256.75</v>
      </c>
      <c r="AJ9" s="127">
        <f>Aug!EC10</f>
        <v>19416.75</v>
      </c>
      <c r="AK9" s="127">
        <f t="shared" si="5"/>
        <v>29073.499999999636</v>
      </c>
      <c r="AL9" s="127">
        <f>Aug!EG10</f>
        <v>31416.75</v>
      </c>
      <c r="AM9" s="127">
        <f>Aug!EJ10</f>
        <v>11256.75</v>
      </c>
      <c r="AN9" s="127">
        <f>Aug!EM10</f>
        <v>769.99999999998181</v>
      </c>
      <c r="AO9" s="127">
        <f t="shared" si="6"/>
        <v>43443.499999999985</v>
      </c>
      <c r="AP9" s="127">
        <f>Aug!FX10</f>
        <v>36754</v>
      </c>
      <c r="AQ9" s="127">
        <f>Aug!GA10</f>
        <v>6746.6999999996951</v>
      </c>
      <c r="AR9" s="127">
        <f>Aug!GG10</f>
        <v>9280.5999999989072</v>
      </c>
      <c r="AS9" s="127">
        <f t="shared" si="7"/>
        <v>52781.299999998599</v>
      </c>
      <c r="AT9" s="127">
        <f>Aug!EQ10</f>
        <v>7016.7499999983993</v>
      </c>
      <c r="AU9" s="127">
        <f>Aug!ET10</f>
        <v>17020.000000000437</v>
      </c>
      <c r="AV9" s="127">
        <f>Aug!EW10</f>
        <v>10302.750000000276</v>
      </c>
      <c r="AW9" s="127">
        <f>Aug!FL47</f>
        <v>11478.414999998946</v>
      </c>
      <c r="AX9" s="127">
        <f>Aug!GJ10</f>
        <v>1746.3999999999996</v>
      </c>
      <c r="AY9" s="127">
        <f t="shared" si="8"/>
        <v>47564.31499999806</v>
      </c>
      <c r="AZ9" s="127">
        <f>Aug!FG10</f>
        <v>10430.079999999272</v>
      </c>
      <c r="BA9" s="127">
        <f>Aug!FJ10</f>
        <v>16630.080000000002</v>
      </c>
      <c r="BB9" s="127">
        <f>Aug!FM47</f>
        <v>11478.414999998946</v>
      </c>
      <c r="BC9" s="127">
        <f>Aug!GM10</f>
        <v>2.9999999999290594</v>
      </c>
      <c r="BD9" s="127">
        <f t="shared" si="9"/>
        <v>38541.574999998149</v>
      </c>
      <c r="BE9" s="127">
        <f>Aug!GP10</f>
        <v>1003</v>
      </c>
      <c r="BF9" s="127">
        <f>Aug!GS10</f>
        <v>401.29999999998836</v>
      </c>
      <c r="BG9" s="127">
        <f t="shared" si="10"/>
        <v>1404.2999999999884</v>
      </c>
      <c r="BH9" s="127">
        <f t="shared" si="2"/>
        <v>25392</v>
      </c>
      <c r="BI9" s="127"/>
      <c r="BJ9" s="127"/>
      <c r="BK9" s="127"/>
      <c r="BL9" s="128"/>
      <c r="BM9" s="128">
        <f>AS9*50/100</f>
        <v>26390.649999999303</v>
      </c>
      <c r="BN9" s="128"/>
      <c r="BO9" s="128">
        <f t="shared" si="11"/>
        <v>26390.649999999296</v>
      </c>
      <c r="BP9" s="128"/>
      <c r="BQ9" s="128">
        <f>BG9*50/100</f>
        <v>702.14999999999418</v>
      </c>
      <c r="BR9" s="128"/>
      <c r="BS9" s="128">
        <f t="shared" si="12"/>
        <v>702.14999999999418</v>
      </c>
      <c r="BT9" s="42">
        <f>[10]Aug!D48</f>
        <v>0</v>
      </c>
      <c r="BU9" s="42">
        <f>[10]Aug!G49</f>
        <v>79000</v>
      </c>
      <c r="BV9" t="s">
        <v>385</v>
      </c>
      <c r="BX9" s="42">
        <f>Aug!HJ10</f>
        <v>139000</v>
      </c>
      <c r="BY9" s="42">
        <f>Aug!HM10</f>
        <v>0</v>
      </c>
      <c r="BZ9" s="42">
        <f>Aug!HP10</f>
        <v>38412.499999998909</v>
      </c>
      <c r="CA9" s="42">
        <f>Aug!HS10</f>
        <v>25662.500000000273</v>
      </c>
      <c r="CB9" s="42">
        <f>Aug!HV10</f>
        <v>25162.500000000273</v>
      </c>
      <c r="CC9" s="42">
        <f>Aug!HY10</f>
        <v>1562.4999999999091</v>
      </c>
      <c r="CD9" s="42">
        <f>Aug!IB10</f>
        <v>26900</v>
      </c>
      <c r="CE9" s="42">
        <f>Aug!IE10</f>
        <v>0</v>
      </c>
      <c r="CF9" s="42">
        <f>Aug!IH10</f>
        <v>21300</v>
      </c>
    </row>
    <row r="10" spans="1:84" x14ac:dyDescent="0.25">
      <c r="A10" s="26">
        <f t="shared" si="13"/>
        <v>4</v>
      </c>
      <c r="B10" s="42">
        <f>Aug!G11</f>
        <v>414720.00000000116</v>
      </c>
      <c r="C10" s="42">
        <f>Aug!N11</f>
        <v>416000</v>
      </c>
      <c r="D10" s="42">
        <f>Aug!T11</f>
        <v>347.5</v>
      </c>
      <c r="E10" s="42">
        <f>Aug!V11</f>
        <v>0</v>
      </c>
      <c r="F10" s="42">
        <f>Aug!AB11</f>
        <v>100</v>
      </c>
      <c r="G10" s="42">
        <f>Aug!X11</f>
        <v>17752.500000000728</v>
      </c>
      <c r="H10" s="42">
        <f>Aug!AE11</f>
        <v>6300.0000000001819</v>
      </c>
      <c r="I10" s="42">
        <f>Aug!AI11</f>
        <v>14232.230000000727</v>
      </c>
      <c r="J10" s="42">
        <f>Aug!AN11</f>
        <v>5392.2299999997722</v>
      </c>
      <c r="K10" s="42">
        <f>Aug!AR11</f>
        <v>7500</v>
      </c>
      <c r="L10" s="42">
        <f>Aug!AZ11</f>
        <v>370</v>
      </c>
      <c r="M10" s="42">
        <f>Aug!BC11</f>
        <v>570</v>
      </c>
      <c r="N10" s="125">
        <f t="shared" si="3"/>
        <v>52564.460000001411</v>
      </c>
      <c r="O10" s="125">
        <f>Aug!CA11</f>
        <v>758.30000000001974</v>
      </c>
      <c r="P10" s="125">
        <f>Aug!CD11</f>
        <v>1522.3000000000466</v>
      </c>
      <c r="Q10" s="125">
        <f>Aug!CF11</f>
        <v>6180</v>
      </c>
      <c r="R10" s="125">
        <f>Aug!CH11</f>
        <v>0</v>
      </c>
      <c r="S10" s="125">
        <f>Aug!CK11</f>
        <v>15843.929999999689</v>
      </c>
      <c r="T10" s="125">
        <f>Aug!CO11</f>
        <v>7694.2300000002615</v>
      </c>
      <c r="U10" s="125">
        <f>Aug!CS11</f>
        <v>5812.5300000000461</v>
      </c>
      <c r="V10" s="126">
        <f t="shared" si="4"/>
        <v>37811.290000000066</v>
      </c>
      <c r="W10" s="126">
        <f>Aug!CW11</f>
        <v>10913</v>
      </c>
      <c r="X10" s="126">
        <f>Aug!DA11</f>
        <v>5841</v>
      </c>
      <c r="Y10" s="126">
        <f t="shared" si="1"/>
        <v>16754</v>
      </c>
      <c r="Z10" s="42">
        <f>Aug!BR11</f>
        <v>699.99999999993179</v>
      </c>
      <c r="AA10" s="126">
        <f>Aug!BG11</f>
        <v>1799.9999999999545</v>
      </c>
      <c r="AB10" s="126">
        <f>Aug!BJ11</f>
        <v>8899.9999999996362</v>
      </c>
      <c r="AC10" s="126">
        <f>Aug!BL11+Aug!BN11</f>
        <v>4839.9999999999318</v>
      </c>
      <c r="AD10" s="126">
        <f>Aug!DR11</f>
        <v>9500</v>
      </c>
      <c r="AE10" s="127">
        <f>Aug!DT11-Aug!DR51-Aug!DT51</f>
        <v>25300</v>
      </c>
      <c r="AF10" s="127">
        <f>Aug!DR51+Aug!DT51</f>
        <v>0</v>
      </c>
      <c r="AG10" s="127">
        <f>Aug!HJ11-AE10</f>
        <v>134700</v>
      </c>
      <c r="AH10" s="127">
        <f>Aug!DW11</f>
        <v>4399.9999999996362</v>
      </c>
      <c r="AI10" s="127">
        <f>Aug!DZ11</f>
        <v>8032.23</v>
      </c>
      <c r="AJ10" s="127">
        <f>Aug!EC11</f>
        <v>24192.23</v>
      </c>
      <c r="AK10" s="127">
        <f t="shared" si="5"/>
        <v>36624.459999999635</v>
      </c>
      <c r="AL10" s="127">
        <f>Aug!EG11</f>
        <v>31192.23</v>
      </c>
      <c r="AM10" s="127">
        <f>Aug!EJ11</f>
        <v>12032.23</v>
      </c>
      <c r="AN10" s="127">
        <f>Aug!EM11</f>
        <v>690.00000000005457</v>
      </c>
      <c r="AO10" s="127">
        <f t="shared" si="6"/>
        <v>43914.46000000005</v>
      </c>
      <c r="AP10" s="127">
        <f>Aug!FX11</f>
        <v>29889</v>
      </c>
      <c r="AQ10" s="127">
        <f>Aug!GA11</f>
        <v>6736.9000000000924</v>
      </c>
      <c r="AR10" s="127">
        <f>Aug!GG11</f>
        <v>7494.100000001672</v>
      </c>
      <c r="AS10" s="127">
        <f t="shared" si="7"/>
        <v>44120.000000001768</v>
      </c>
      <c r="AT10" s="127">
        <f>Aug!EQ11</f>
        <v>6582.2300000000105</v>
      </c>
      <c r="AU10" s="127">
        <f>Aug!ET11</f>
        <v>16869.999999998981</v>
      </c>
      <c r="AV10" s="127">
        <f>Aug!EW11</f>
        <v>9958.2299999994757</v>
      </c>
      <c r="AW10" s="127">
        <f>Aug!FL48</f>
        <v>11148.894999999746</v>
      </c>
      <c r="AX10" s="127">
        <f>Aug!GJ11</f>
        <v>1742.8999999999996</v>
      </c>
      <c r="AY10" s="127">
        <f t="shared" si="8"/>
        <v>46302.254999998207</v>
      </c>
      <c r="AZ10" s="127">
        <f>Aug!FG11</f>
        <v>10205.559999999261</v>
      </c>
      <c r="BA10" s="127">
        <f>Aug!FJ11</f>
        <v>16155.560000000727</v>
      </c>
      <c r="BB10" s="127">
        <f>Aug!FM48</f>
        <v>11148.894999999746</v>
      </c>
      <c r="BC10" s="127">
        <f>Aug!GM11</f>
        <v>2.9999999999290594</v>
      </c>
      <c r="BD10" s="127">
        <f t="shared" si="9"/>
        <v>37513.014999999665</v>
      </c>
      <c r="BE10" s="127">
        <f>Aug!GP11</f>
        <v>1002.8999999999942</v>
      </c>
      <c r="BF10" s="127">
        <f>Aug!GS11</f>
        <v>373.10000000003492</v>
      </c>
      <c r="BG10" s="127">
        <f t="shared" si="10"/>
        <v>1376.0000000000291</v>
      </c>
      <c r="BH10" s="127">
        <f t="shared" si="2"/>
        <v>16754</v>
      </c>
      <c r="BI10" s="127"/>
      <c r="BJ10" s="127"/>
      <c r="BK10" s="127"/>
      <c r="BL10" s="128"/>
      <c r="BM10" s="128">
        <f>AS10*50/100</f>
        <v>22060.000000000884</v>
      </c>
      <c r="BN10" s="128"/>
      <c r="BO10" s="128">
        <f t="shared" si="11"/>
        <v>22060.000000000884</v>
      </c>
      <c r="BP10" s="128"/>
      <c r="BQ10" s="128">
        <f t="shared" ref="BQ10:BQ11" si="14">BG10*50/100</f>
        <v>688.00000000001455</v>
      </c>
      <c r="BR10" s="128"/>
      <c r="BS10" s="128">
        <f t="shared" si="12"/>
        <v>688.00000000001455</v>
      </c>
      <c r="BT10" s="42">
        <f>[10]Aug!D49</f>
        <v>0</v>
      </c>
      <c r="BU10" s="42">
        <f>[10]Aug!G50</f>
        <v>88000</v>
      </c>
      <c r="BV10" t="s">
        <v>385</v>
      </c>
      <c r="BX10" s="42">
        <f>Aug!HJ11</f>
        <v>160000</v>
      </c>
      <c r="BY10" s="42">
        <f>Aug!HM11</f>
        <v>0</v>
      </c>
      <c r="BZ10" s="42">
        <f>Aug!HP11</f>
        <v>40950.000000000728</v>
      </c>
      <c r="CA10" s="42">
        <f>Aug!HS11</f>
        <v>26449.999999999818</v>
      </c>
      <c r="CB10" s="42">
        <f>Aug!HV11</f>
        <v>25150.000000000091</v>
      </c>
      <c r="CC10" s="42">
        <f>Aug!HY11</f>
        <v>13349.999999999909</v>
      </c>
      <c r="CD10" s="42">
        <f>Aug!IB11</f>
        <v>28800</v>
      </c>
      <c r="CE10" s="42">
        <f>Aug!IE11</f>
        <v>0</v>
      </c>
      <c r="CF10" s="42">
        <f>Aug!IH11</f>
        <v>25300</v>
      </c>
    </row>
    <row r="11" spans="1:84" x14ac:dyDescent="0.25">
      <c r="A11" s="26">
        <f t="shared" si="13"/>
        <v>5</v>
      </c>
      <c r="B11" s="42">
        <f>Aug!G12</f>
        <v>387519.99999998225</v>
      </c>
      <c r="C11" s="42">
        <f>Aug!N12</f>
        <v>390000</v>
      </c>
      <c r="D11" s="42">
        <f>Aug!T12</f>
        <v>350.51999999955297</v>
      </c>
      <c r="E11" s="42">
        <f>Aug!V12</f>
        <v>0</v>
      </c>
      <c r="F11" s="42">
        <f>Aug!AB12</f>
        <v>0</v>
      </c>
      <c r="G11" s="42">
        <f>Aug!X12</f>
        <v>18249.480000000811</v>
      </c>
      <c r="H11" s="42">
        <f>Aug!AE12</f>
        <v>5400.0000000005457</v>
      </c>
      <c r="I11" s="42">
        <f>Aug!AI12</f>
        <v>12868.95</v>
      </c>
      <c r="J11" s="42">
        <f>Aug!AN12</f>
        <v>6378.9500000013422</v>
      </c>
      <c r="K11" s="42">
        <f>Aug!AR12</f>
        <v>12000</v>
      </c>
      <c r="L11" s="42">
        <f>Aug!AZ12</f>
        <v>390</v>
      </c>
      <c r="M11" s="42">
        <f>Aug!BC12</f>
        <v>670</v>
      </c>
      <c r="N11" s="125">
        <f t="shared" si="3"/>
        <v>56307.900000002257</v>
      </c>
      <c r="O11" s="125">
        <f>Aug!CA12</f>
        <v>203.59999999999445</v>
      </c>
      <c r="P11" s="125">
        <f>Aug!CD12</f>
        <v>277</v>
      </c>
      <c r="Q11" s="125">
        <f>Aug!CF12</f>
        <v>819</v>
      </c>
      <c r="R11" s="125">
        <f>Aug!CH12</f>
        <v>286.79999999998836</v>
      </c>
      <c r="S11" s="125">
        <f>Aug!CK12</f>
        <v>5505.3500000001513</v>
      </c>
      <c r="T11" s="125">
        <f>Aug!CO12</f>
        <v>1540.9500000000255</v>
      </c>
      <c r="U11" s="125">
        <f>Aug!CS12</f>
        <v>1424.45</v>
      </c>
      <c r="V11" s="126">
        <f t="shared" si="4"/>
        <v>10057.150000000162</v>
      </c>
      <c r="W11" s="126">
        <f>Aug!CW12</f>
        <v>493</v>
      </c>
      <c r="X11" s="126">
        <f>Aug!DA12</f>
        <v>134</v>
      </c>
      <c r="Y11" s="126">
        <f t="shared" si="1"/>
        <v>627</v>
      </c>
      <c r="Z11" s="42">
        <f>Aug!BR12</f>
        <v>800.00000000006821</v>
      </c>
      <c r="AA11" s="126">
        <f>Aug!BG12</f>
        <v>1500</v>
      </c>
      <c r="AB11" s="126">
        <f>Aug!BJ12</f>
        <v>8399.9999999996362</v>
      </c>
      <c r="AC11" s="126">
        <f>Aug!BL12+Aug!BN12</f>
        <v>4590.0000000000455</v>
      </c>
      <c r="AD11" s="126">
        <f>Aug!DR12</f>
        <v>9300</v>
      </c>
      <c r="AE11" s="127">
        <f>Aug!DT12-Aug!DR52-Aug!DT52</f>
        <v>23500</v>
      </c>
      <c r="AF11" s="127">
        <f>Aug!DR52+Aug!DT52</f>
        <v>0</v>
      </c>
      <c r="AG11" s="127">
        <f>Aug!HJ12-AE11</f>
        <v>144500</v>
      </c>
      <c r="AH11" s="127">
        <f>Aug!DW12</f>
        <v>4400.0000000014552</v>
      </c>
      <c r="AI11" s="127">
        <f>Aug!DZ12</f>
        <v>8368.9500000000007</v>
      </c>
      <c r="AJ11" s="127">
        <f>Aug!EC12</f>
        <v>23528.95</v>
      </c>
      <c r="AK11" s="127">
        <f t="shared" si="5"/>
        <v>36297.900000001457</v>
      </c>
      <c r="AL11" s="127">
        <f>Aug!EG12</f>
        <v>29528.95</v>
      </c>
      <c r="AM11" s="127">
        <f>Aug!EJ12</f>
        <v>10368.950000000001</v>
      </c>
      <c r="AN11" s="127">
        <f>Aug!EM12</f>
        <v>649.99999999997726</v>
      </c>
      <c r="AO11" s="127">
        <f t="shared" si="6"/>
        <v>40547.89999999998</v>
      </c>
      <c r="AP11" s="127">
        <f>Aug!FX12</f>
        <v>35620</v>
      </c>
      <c r="AQ11" s="127">
        <f>Aug!GA12</f>
        <v>6326.9</v>
      </c>
      <c r="AR11" s="127">
        <f>Aug!GG12</f>
        <v>9192.9999999991996</v>
      </c>
      <c r="AS11" s="127">
        <f t="shared" si="7"/>
        <v>51139.899999999201</v>
      </c>
      <c r="AT11" s="127">
        <f>Aug!EQ12</f>
        <v>6118.9500000007392</v>
      </c>
      <c r="AU11" s="127">
        <f>Aug!ET12</f>
        <v>15040.000000000873</v>
      </c>
      <c r="AV11" s="127">
        <f>Aug!EW12</f>
        <v>9473.9500000004737</v>
      </c>
      <c r="AW11" s="127">
        <f>Aug!FL49</f>
        <v>11193.950000000656</v>
      </c>
      <c r="AX11" s="127">
        <f>Aug!GJ12</f>
        <v>1687</v>
      </c>
      <c r="AY11" s="127">
        <f t="shared" si="8"/>
        <v>43513.850000002742</v>
      </c>
      <c r="AZ11" s="127">
        <f>Aug!FG12</f>
        <v>10908.94999999999</v>
      </c>
      <c r="BA11" s="127">
        <f>Aug!FJ12</f>
        <v>16958.95</v>
      </c>
      <c r="BB11" s="127">
        <f>Aug!FM49</f>
        <v>11193.950000000656</v>
      </c>
      <c r="BC11" s="127">
        <f>Aug!GM12</f>
        <v>0</v>
      </c>
      <c r="BD11" s="127">
        <f t="shared" si="9"/>
        <v>39061.850000000646</v>
      </c>
      <c r="BE11" s="127">
        <f>Aug!GP12</f>
        <v>0</v>
      </c>
      <c r="BF11" s="127">
        <f>Aug!GS12</f>
        <v>376.59999999997672</v>
      </c>
      <c r="BG11" s="127">
        <f t="shared" si="10"/>
        <v>376.59999999997672</v>
      </c>
      <c r="BH11" s="127">
        <f t="shared" si="2"/>
        <v>627</v>
      </c>
      <c r="BI11" s="127"/>
      <c r="BJ11" s="127"/>
      <c r="BK11" s="127"/>
      <c r="BL11" s="128"/>
      <c r="BM11" s="128">
        <f>AS11*50/100</f>
        <v>25569.949999999601</v>
      </c>
      <c r="BN11" s="128"/>
      <c r="BO11" s="128">
        <f t="shared" si="11"/>
        <v>25569.949999999601</v>
      </c>
      <c r="BP11" s="128"/>
      <c r="BQ11" s="128">
        <f t="shared" si="14"/>
        <v>188.29999999998836</v>
      </c>
      <c r="BR11" s="128"/>
      <c r="BS11" s="128">
        <f t="shared" si="12"/>
        <v>188.29999999998836</v>
      </c>
      <c r="BT11" s="42">
        <f>[10]Aug!D50</f>
        <v>0</v>
      </c>
      <c r="BU11" s="42">
        <f>[10]Aug!G51</f>
        <v>83000</v>
      </c>
      <c r="BV11" t="s">
        <v>391</v>
      </c>
      <c r="BX11" s="42">
        <f>Aug!HJ12</f>
        <v>168000</v>
      </c>
      <c r="BY11" s="42">
        <f>Aug!HM12</f>
        <v>0</v>
      </c>
      <c r="BZ11" s="42">
        <f>Aug!HP12</f>
        <v>40949.999999999454</v>
      </c>
      <c r="CA11" s="42">
        <f>Aug!HS12</f>
        <v>28350</v>
      </c>
      <c r="CB11" s="42">
        <f>Aug!HV12</f>
        <v>26249.999999999636</v>
      </c>
      <c r="CC11" s="42">
        <f>Aug!HY12</f>
        <v>19550.000000000273</v>
      </c>
      <c r="CD11" s="42">
        <f>Aug!IB12</f>
        <v>29400</v>
      </c>
      <c r="CE11" s="42">
        <f>Aug!IE12</f>
        <v>0</v>
      </c>
      <c r="CF11" s="42">
        <f>Aug!IH12</f>
        <v>23500</v>
      </c>
    </row>
    <row r="12" spans="1:84" x14ac:dyDescent="0.25">
      <c r="A12" s="26">
        <f t="shared" si="13"/>
        <v>6</v>
      </c>
      <c r="B12" s="42">
        <f>Aug!G13</f>
        <v>427200.00000002619</v>
      </c>
      <c r="C12" s="42">
        <f>Aug!N13</f>
        <v>422000</v>
      </c>
      <c r="D12" s="42">
        <f>Aug!T13</f>
        <v>346.29999999888241</v>
      </c>
      <c r="E12" s="42">
        <f>Aug!V13</f>
        <v>0</v>
      </c>
      <c r="F12" s="42">
        <f>Aug!AB13</f>
        <v>100</v>
      </c>
      <c r="G12" s="42">
        <f>Aug!X13</f>
        <v>18253.700000000026</v>
      </c>
      <c r="H12" s="42">
        <f>Aug!AE13</f>
        <v>4599.9999999994543</v>
      </c>
      <c r="I12" s="42">
        <f>Aug!AI13</f>
        <v>11719.490000000364</v>
      </c>
      <c r="J12" s="42">
        <f>Aug!AN13</f>
        <v>7209.4899999990357</v>
      </c>
      <c r="K12" s="42">
        <f>Aug!AR13</f>
        <v>13699.999999998909</v>
      </c>
      <c r="L12" s="42">
        <f>Aug!AZ13</f>
        <v>480</v>
      </c>
      <c r="M12" s="42">
        <f>Aug!BC13</f>
        <v>700</v>
      </c>
      <c r="N12" s="125">
        <f t="shared" si="3"/>
        <v>57108.979999996671</v>
      </c>
      <c r="O12" s="125">
        <f>Aug!CA13</f>
        <v>687.20000000001846</v>
      </c>
      <c r="P12" s="125">
        <f>Aug!CD13</f>
        <v>2712.6999999999534</v>
      </c>
      <c r="Q12" s="125">
        <f>Aug!CF13</f>
        <v>5723</v>
      </c>
      <c r="R12" s="125">
        <f>Aug!CH13</f>
        <v>2385.6000000000058</v>
      </c>
      <c r="S12" s="125">
        <f>Aug!CK13</f>
        <v>17442.290000000201</v>
      </c>
      <c r="T12" s="125">
        <f>Aug!CO13</f>
        <v>8138.4899999997779</v>
      </c>
      <c r="U12" s="125">
        <f>Aug!CS13</f>
        <v>8189.7899999999299</v>
      </c>
      <c r="V12" s="126">
        <f t="shared" si="4"/>
        <v>45279.069999999883</v>
      </c>
      <c r="W12" s="126">
        <f>Aug!CW13</f>
        <v>498</v>
      </c>
      <c r="X12" s="126">
        <f>Aug!DA13</f>
        <v>115</v>
      </c>
      <c r="Y12" s="126">
        <f t="shared" si="1"/>
        <v>613</v>
      </c>
      <c r="Z12" s="42">
        <f>Aug!BR13</f>
        <v>699.99999999993179</v>
      </c>
      <c r="AA12" s="126">
        <f>Aug!BG13</f>
        <v>1900.0000000000909</v>
      </c>
      <c r="AB12" s="126">
        <f>Aug!BJ13</f>
        <v>9000</v>
      </c>
      <c r="AC12" s="126">
        <f>Aug!BL13+Aug!BN13</f>
        <v>4909.9999999999409</v>
      </c>
      <c r="AD12" s="126">
        <f>Aug!DR13</f>
        <v>9000</v>
      </c>
      <c r="AE12" s="127">
        <f>Aug!DT13-Aug!DR53-Aug!DT53</f>
        <v>24000</v>
      </c>
      <c r="AF12" s="127">
        <f>Aug!DR53+Aug!DT53</f>
        <v>0</v>
      </c>
      <c r="AG12" s="127">
        <f>Aug!HJ13-AE12</f>
        <v>150000</v>
      </c>
      <c r="AH12" s="127">
        <f>Aug!DW13</f>
        <v>4699.9999999989086</v>
      </c>
      <c r="AI12" s="127">
        <f>Aug!DZ13</f>
        <v>8619.49</v>
      </c>
      <c r="AJ12" s="127">
        <f>Aug!EC13</f>
        <v>25779.49</v>
      </c>
      <c r="AK12" s="127">
        <f t="shared" si="5"/>
        <v>39098.979999998912</v>
      </c>
      <c r="AL12" s="127">
        <f>Aug!EG13</f>
        <v>30779.49</v>
      </c>
      <c r="AM12" s="127">
        <f>Aug!EJ13</f>
        <v>12619.49</v>
      </c>
      <c r="AN12" s="127">
        <f>Aug!EM13</f>
        <v>789.99999999996362</v>
      </c>
      <c r="AO12" s="127">
        <f t="shared" si="6"/>
        <v>44188.979999999967</v>
      </c>
      <c r="AP12" s="127">
        <f>Aug!FX13</f>
        <v>31000</v>
      </c>
      <c r="AQ12" s="127">
        <f>Aug!GA13</f>
        <v>7014.1</v>
      </c>
      <c r="AR12" s="127">
        <f>Aug!GG13</f>
        <v>7213</v>
      </c>
      <c r="AS12" s="127">
        <f t="shared" si="7"/>
        <v>45227.1</v>
      </c>
      <c r="AT12" s="127">
        <f>Aug!EQ13</f>
        <v>7679.4900000000016</v>
      </c>
      <c r="AU12" s="127">
        <f>Aug!ET13</f>
        <v>17000</v>
      </c>
      <c r="AV12" s="127">
        <f>Aug!EW13</f>
        <v>9819.4899999998179</v>
      </c>
      <c r="AW12" s="127">
        <f>Aug!FL50</f>
        <v>11129.489999999998</v>
      </c>
      <c r="AX12" s="127">
        <f>Aug!GJ13</f>
        <v>1787</v>
      </c>
      <c r="AY12" s="127">
        <f t="shared" si="8"/>
        <v>47415.469999999819</v>
      </c>
      <c r="AZ12" s="127">
        <f>Aug!FG13</f>
        <v>10579.489999999998</v>
      </c>
      <c r="BA12" s="127">
        <f>Aug!FJ13</f>
        <v>16639.490000000002</v>
      </c>
      <c r="BB12" s="127">
        <f>Aug!FM50</f>
        <v>11129.489999999998</v>
      </c>
      <c r="BC12" s="127">
        <f>Aug!GM13</f>
        <v>0</v>
      </c>
      <c r="BD12" s="127">
        <f t="shared" si="9"/>
        <v>38348.47</v>
      </c>
      <c r="BE12" s="127">
        <f>Aug!GP13</f>
        <v>10</v>
      </c>
      <c r="BF12" s="127">
        <f>Aug!GS13</f>
        <v>400</v>
      </c>
      <c r="BG12" s="127">
        <f t="shared" si="10"/>
        <v>410</v>
      </c>
      <c r="BH12" s="127">
        <f t="shared" si="2"/>
        <v>613</v>
      </c>
      <c r="BI12" s="127"/>
      <c r="BJ12" s="127"/>
      <c r="BK12" s="127"/>
      <c r="BL12" s="128"/>
      <c r="BM12" s="128">
        <f>AS12*51/100</f>
        <v>23065.821</v>
      </c>
      <c r="BN12" s="128"/>
      <c r="BO12" s="128">
        <f t="shared" si="11"/>
        <v>22161.278999999999</v>
      </c>
      <c r="BP12" s="128"/>
      <c r="BQ12" s="128">
        <f>BG12*51/100</f>
        <v>209.1</v>
      </c>
      <c r="BR12" s="128"/>
      <c r="BS12" s="128">
        <f t="shared" si="12"/>
        <v>200.9</v>
      </c>
      <c r="BT12" s="42">
        <f>[10]Aug!D51</f>
        <v>0</v>
      </c>
      <c r="BU12" s="42">
        <f>[10]Aug!G52</f>
        <v>90000</v>
      </c>
      <c r="BV12" t="s">
        <v>392</v>
      </c>
      <c r="BX12" s="42">
        <f>Aug!HJ13</f>
        <v>174000</v>
      </c>
      <c r="BY12" s="42">
        <f>Aug!HM13</f>
        <v>0</v>
      </c>
      <c r="BZ12" s="42">
        <f>Aug!HP13</f>
        <v>44125</v>
      </c>
      <c r="CA12" s="42">
        <f>Aug!HS13</f>
        <v>27724.999999999909</v>
      </c>
      <c r="CB12" s="42">
        <f>Aug!HV13</f>
        <v>26125</v>
      </c>
      <c r="CC12" s="42">
        <f>Aug!HY13</f>
        <v>21924.999999999727</v>
      </c>
      <c r="CD12" s="42">
        <f>Aug!IB13</f>
        <v>30100</v>
      </c>
      <c r="CE12" s="42">
        <f>Aug!IE13</f>
        <v>0</v>
      </c>
      <c r="CF12" s="42">
        <f>Aug!IH13</f>
        <v>24000</v>
      </c>
    </row>
    <row r="13" spans="1:84" x14ac:dyDescent="0.25">
      <c r="A13" s="26">
        <f t="shared" si="13"/>
        <v>7</v>
      </c>
      <c r="B13" s="42">
        <f>Aug!G14</f>
        <v>393599.99999999854</v>
      </c>
      <c r="C13" s="42">
        <f>Aug!N14</f>
        <v>391000</v>
      </c>
      <c r="D13" s="42">
        <f>Aug!T14</f>
        <v>320.98000000044703</v>
      </c>
      <c r="E13" s="42">
        <f>Aug!V14</f>
        <v>0</v>
      </c>
      <c r="F13" s="42">
        <f>Aug!AB14</f>
        <v>100</v>
      </c>
      <c r="G13" s="42">
        <f>Aug!X14</f>
        <v>17379.020000000644</v>
      </c>
      <c r="H13" s="42">
        <f>Aug!AE14</f>
        <v>4800.0000000001819</v>
      </c>
      <c r="I13" s="42">
        <f>Aug!AI14</f>
        <v>10699.670000000364</v>
      </c>
      <c r="J13" s="42">
        <f>Aug!AN14</f>
        <v>6909.6700000009732</v>
      </c>
      <c r="K13" s="42">
        <f>Aug!AR14</f>
        <v>13200.000000000728</v>
      </c>
      <c r="L13" s="42">
        <f>Aug!AZ14</f>
        <v>500</v>
      </c>
      <c r="M13" s="42">
        <f>Aug!BC14</f>
        <v>710</v>
      </c>
      <c r="N13" s="125">
        <f t="shared" si="3"/>
        <v>54619.340000003336</v>
      </c>
      <c r="O13" s="125">
        <f>Aug!CA14</f>
        <v>608.79999999997381</v>
      </c>
      <c r="P13" s="125">
        <f>Aug!CD14</f>
        <v>2052</v>
      </c>
      <c r="Q13" s="125">
        <f>Aug!CF14</f>
        <v>4404</v>
      </c>
      <c r="R13" s="125">
        <f>Aug!CH14</f>
        <v>1744</v>
      </c>
      <c r="S13" s="125">
        <f>Aug!CK14</f>
        <v>13830.870000000172</v>
      </c>
      <c r="T13" s="125">
        <f>Aug!CO14</f>
        <v>6567.6699999998473</v>
      </c>
      <c r="U13" s="125">
        <f>Aug!CS14</f>
        <v>5839.5700000000234</v>
      </c>
      <c r="V13" s="126">
        <f t="shared" si="4"/>
        <v>35046.910000000011</v>
      </c>
      <c r="W13" s="126">
        <f>Aug!CW14</f>
        <v>379</v>
      </c>
      <c r="X13" s="126">
        <f>Aug!DA14</f>
        <v>95</v>
      </c>
      <c r="Y13" s="126">
        <f t="shared" si="1"/>
        <v>474</v>
      </c>
      <c r="Z13" s="42">
        <f>Aug!BR14</f>
        <v>700.00000000004547</v>
      </c>
      <c r="AA13" s="126">
        <f>Aug!BG14</f>
        <v>1700.0000000000455</v>
      </c>
      <c r="AB13" s="126">
        <f>Aug!BJ14</f>
        <v>8899.9999999996362</v>
      </c>
      <c r="AC13" s="126">
        <f>Aug!BL14+Aug!BN14</f>
        <v>4790.0000000000728</v>
      </c>
      <c r="AD13" s="126">
        <f>Aug!DR14</f>
        <v>10100</v>
      </c>
      <c r="AE13" s="127">
        <f>Aug!DT14-Aug!DR54-Aug!DT54</f>
        <v>23400</v>
      </c>
      <c r="AF13" s="127">
        <f>Aug!DR54+Aug!DT54</f>
        <v>0</v>
      </c>
      <c r="AG13" s="127">
        <f>Aug!HJ14-AE13</f>
        <v>149600</v>
      </c>
      <c r="AH13" s="127">
        <f>Aug!DW14</f>
        <v>4399.9999999996362</v>
      </c>
      <c r="AI13" s="127">
        <f>Aug!DZ14</f>
        <v>8099.67</v>
      </c>
      <c r="AJ13" s="127">
        <f>Aug!EC14</f>
        <v>23259.67</v>
      </c>
      <c r="AK13" s="127">
        <f t="shared" si="5"/>
        <v>35759.339999999633</v>
      </c>
      <c r="AL13" s="127">
        <f>Aug!EG14</f>
        <v>26259.67</v>
      </c>
      <c r="AM13" s="127">
        <f>Aug!EJ14</f>
        <v>12099.67</v>
      </c>
      <c r="AN13" s="127">
        <f>Aug!EM14</f>
        <v>790.00000000007731</v>
      </c>
      <c r="AO13" s="127">
        <f t="shared" si="6"/>
        <v>39149.340000000077</v>
      </c>
      <c r="AP13" s="127">
        <f>Aug!FX14</f>
        <v>22100</v>
      </c>
      <c r="AQ13" s="127">
        <f>Aug!GA14</f>
        <v>4893</v>
      </c>
      <c r="AR13" s="127">
        <f>Aug!GG14</f>
        <v>4189</v>
      </c>
      <c r="AS13" s="127">
        <f t="shared" si="7"/>
        <v>31182</v>
      </c>
      <c r="AT13" s="127">
        <f>Aug!EQ14</f>
        <v>6189.6699999999746</v>
      </c>
      <c r="AU13" s="127">
        <f>Aug!ET14</f>
        <v>18000</v>
      </c>
      <c r="AV13" s="127">
        <f>Aug!EW14</f>
        <v>9399.670000000182</v>
      </c>
      <c r="AW13" s="127">
        <f>Aug!FL51</f>
        <v>10448.005000000001</v>
      </c>
      <c r="AX13" s="127">
        <f>Aug!GJ14</f>
        <v>1811</v>
      </c>
      <c r="AY13" s="127">
        <f t="shared" si="8"/>
        <v>45848.345000000161</v>
      </c>
      <c r="AZ13" s="127">
        <f>Aug!FG14</f>
        <v>8706.3400000000256</v>
      </c>
      <c r="BA13" s="127">
        <f>Aug!FJ14</f>
        <v>14796.34</v>
      </c>
      <c r="BB13" s="127">
        <f>Aug!FM51</f>
        <v>10448.005000000001</v>
      </c>
      <c r="BC13" s="127">
        <f>Aug!GM14</f>
        <v>0</v>
      </c>
      <c r="BD13" s="127">
        <f t="shared" si="9"/>
        <v>33950.685000000027</v>
      </c>
      <c r="BE13" s="127">
        <f>Aug!GP14</f>
        <v>0</v>
      </c>
      <c r="BF13" s="127">
        <f>Aug!GS14</f>
        <v>380</v>
      </c>
      <c r="BG13" s="127">
        <f t="shared" si="10"/>
        <v>380</v>
      </c>
      <c r="BH13" s="127">
        <f t="shared" si="2"/>
        <v>474</v>
      </c>
      <c r="BI13" s="127"/>
      <c r="BJ13" s="127"/>
      <c r="BK13" s="127"/>
      <c r="BL13" s="128"/>
      <c r="BM13" s="128">
        <f>AS13*56/100</f>
        <v>17461.919999999998</v>
      </c>
      <c r="BN13" s="128"/>
      <c r="BO13" s="128">
        <f t="shared" si="11"/>
        <v>13720.080000000002</v>
      </c>
      <c r="BP13" s="128"/>
      <c r="BQ13" s="128">
        <f t="shared" ref="BQ13" si="15">BG13*56/100</f>
        <v>212.8</v>
      </c>
      <c r="BR13" s="128"/>
      <c r="BS13" s="128">
        <f t="shared" si="12"/>
        <v>167.2</v>
      </c>
      <c r="BT13" s="42">
        <f>[10]Aug!D52</f>
        <v>0</v>
      </c>
      <c r="BU13" s="42">
        <f>[10]Aug!G53</f>
        <v>82000</v>
      </c>
      <c r="BV13" t="s">
        <v>394</v>
      </c>
      <c r="BX13" s="42">
        <f>Aug!HJ14</f>
        <v>173000</v>
      </c>
      <c r="BY13" s="42">
        <f>Aug!HM14</f>
        <v>0</v>
      </c>
      <c r="BZ13" s="42">
        <f>Aug!HP14</f>
        <v>43075</v>
      </c>
      <c r="CA13" s="42">
        <f>Aug!HS14</f>
        <v>28174.999999999909</v>
      </c>
      <c r="CB13" s="42">
        <f>Aug!HV14</f>
        <v>26075</v>
      </c>
      <c r="CC13" s="42">
        <f>Aug!HY14</f>
        <v>21775.000000000273</v>
      </c>
      <c r="CD13" s="42">
        <f>Aug!IB14</f>
        <v>30500</v>
      </c>
      <c r="CE13" s="42">
        <f>Aug!IE14</f>
        <v>0</v>
      </c>
      <c r="CF13" s="42">
        <f>Aug!IH14</f>
        <v>23400</v>
      </c>
    </row>
    <row r="14" spans="1:84" x14ac:dyDescent="0.25">
      <c r="A14" s="26">
        <f t="shared" si="13"/>
        <v>8</v>
      </c>
      <c r="B14" s="42">
        <f>Aug!G15</f>
        <v>352960.0000000064</v>
      </c>
      <c r="C14" s="42">
        <f>Aug!N15</f>
        <v>351000</v>
      </c>
      <c r="D14" s="42">
        <f>Aug!T15</f>
        <v>367.84999999962747</v>
      </c>
      <c r="E14" s="42">
        <f>Aug!V15</f>
        <v>0</v>
      </c>
      <c r="F14" s="42">
        <f>Aug!AB15</f>
        <v>100</v>
      </c>
      <c r="G14" s="42">
        <f>Aug!X15</f>
        <v>17832.149999999645</v>
      </c>
      <c r="H14" s="42">
        <f>Aug!AE15</f>
        <v>5199.9999999998181</v>
      </c>
      <c r="I14" s="42">
        <f>Aug!AI15</f>
        <v>12570.269999998545</v>
      </c>
      <c r="J14" s="42">
        <f>Aug!AN15</f>
        <v>6850.2699999986407</v>
      </c>
      <c r="K14" s="42">
        <f>Aug!AR15</f>
        <v>13799.999999999272</v>
      </c>
      <c r="L14" s="42">
        <f>Aug!AZ15</f>
        <v>530</v>
      </c>
      <c r="M14" s="42">
        <f>Aug!BC15</f>
        <v>750</v>
      </c>
      <c r="N14" s="125">
        <f t="shared" si="3"/>
        <v>58000.539999995548</v>
      </c>
      <c r="O14" s="125">
        <f>Aug!CA15</f>
        <v>757.0999999999799</v>
      </c>
      <c r="P14" s="125">
        <f>Aug!CD15</f>
        <v>2746.7000000000698</v>
      </c>
      <c r="Q14" s="125">
        <f>Aug!CF15</f>
        <v>5432</v>
      </c>
      <c r="R14" s="125">
        <f>Aug!CH15</f>
        <v>2323.3000000000029</v>
      </c>
      <c r="S14" s="125">
        <f>Aug!CK15</f>
        <v>17163.169999998929</v>
      </c>
      <c r="T14" s="125">
        <f>Aug!CO15</f>
        <v>8628.270000000357</v>
      </c>
      <c r="U14" s="125">
        <f>Aug!CS15</f>
        <v>6741.27</v>
      </c>
      <c r="V14" s="126">
        <f t="shared" si="4"/>
        <v>43791.809999999343</v>
      </c>
      <c r="W14" s="126">
        <f>Aug!CW15</f>
        <v>412</v>
      </c>
      <c r="X14" s="126">
        <f>Aug!DA15</f>
        <v>107</v>
      </c>
      <c r="Y14" s="126">
        <f t="shared" si="1"/>
        <v>519</v>
      </c>
      <c r="Z14" s="42">
        <f>Aug!BR15</f>
        <v>799.99999999995453</v>
      </c>
      <c r="AA14" s="126">
        <f>Aug!BG15</f>
        <v>1500</v>
      </c>
      <c r="AB14" s="126">
        <f>Aug!BJ15</f>
        <v>8700.0000000007276</v>
      </c>
      <c r="AC14" s="126">
        <f>Aug!BL15+Aug!BN15</f>
        <v>4919.99999999995</v>
      </c>
      <c r="AD14" s="126">
        <f>Aug!DR15</f>
        <v>9000</v>
      </c>
      <c r="AE14" s="127">
        <f>Aug!DT15-Aug!DR55-Aug!DT55</f>
        <v>22300</v>
      </c>
      <c r="AF14" s="127">
        <f>Aug!DR55+Aug!DT55</f>
        <v>0</v>
      </c>
      <c r="AG14" s="127">
        <f>Aug!HJ15-AE14</f>
        <v>147700</v>
      </c>
      <c r="AH14" s="127">
        <f>Aug!DW15</f>
        <v>4400.0000000014552</v>
      </c>
      <c r="AI14" s="127">
        <f>Aug!DZ15</f>
        <v>7970.27</v>
      </c>
      <c r="AJ14" s="127">
        <f>Aug!EC15</f>
        <v>23130.27</v>
      </c>
      <c r="AK14" s="127">
        <f t="shared" si="5"/>
        <v>35500.540000001456</v>
      </c>
      <c r="AL14" s="127">
        <f>Aug!EG15</f>
        <v>11130.27</v>
      </c>
      <c r="AM14" s="127">
        <f>Aug!EJ15</f>
        <v>7970.27</v>
      </c>
      <c r="AN14" s="127">
        <f>Aug!EM15</f>
        <v>209.99999999992269</v>
      </c>
      <c r="AO14" s="127">
        <f t="shared" si="6"/>
        <v>19310.539999999924</v>
      </c>
      <c r="AP14" s="127">
        <f>Aug!FX15</f>
        <v>500</v>
      </c>
      <c r="AQ14" s="127">
        <f>Aug!GA15</f>
        <v>161</v>
      </c>
      <c r="AR14" s="127">
        <f>Aug!GG15</f>
        <v>1004</v>
      </c>
      <c r="AS14" s="127">
        <f t="shared" si="7"/>
        <v>1665</v>
      </c>
      <c r="AT14" s="127">
        <f>Aug!EQ15</f>
        <v>6995.270000000035</v>
      </c>
      <c r="AU14" s="127">
        <f>Aug!ET15</f>
        <v>18000</v>
      </c>
      <c r="AV14" s="127">
        <f>Aug!EW15</f>
        <v>9370.2699999996366</v>
      </c>
      <c r="AW14" s="127">
        <f>Aug!FL52</f>
        <v>8307.77</v>
      </c>
      <c r="AX14" s="127">
        <f>Aug!GJ15</f>
        <v>1996</v>
      </c>
      <c r="AY14" s="127">
        <f t="shared" si="8"/>
        <v>44669.309999999678</v>
      </c>
      <c r="AZ14" s="127">
        <f>Aug!FG15</f>
        <v>3620.2699999999659</v>
      </c>
      <c r="BA14" s="127">
        <f>Aug!FJ15</f>
        <v>3645.27</v>
      </c>
      <c r="BB14" s="127">
        <f>Aug!FM52</f>
        <v>8307.77</v>
      </c>
      <c r="BC14" s="127">
        <f>Aug!GM15</f>
        <v>0</v>
      </c>
      <c r="BD14" s="127">
        <f t="shared" si="9"/>
        <v>15573.309999999967</v>
      </c>
      <c r="BE14" s="127">
        <f>Aug!GP15</f>
        <v>0</v>
      </c>
      <c r="BF14" s="127">
        <f>Aug!GS15</f>
        <v>10</v>
      </c>
      <c r="BG14" s="127">
        <f t="shared" si="10"/>
        <v>10</v>
      </c>
      <c r="BH14" s="127">
        <f t="shared" si="2"/>
        <v>519</v>
      </c>
      <c r="BI14" s="127"/>
      <c r="BJ14" s="127"/>
      <c r="BK14" s="127"/>
      <c r="BL14" s="128"/>
      <c r="BM14" s="128">
        <f t="shared" ref="BM14:BM22" si="16">AS14*50/100</f>
        <v>832.5</v>
      </c>
      <c r="BN14" s="128"/>
      <c r="BO14" s="128">
        <f t="shared" si="11"/>
        <v>832.5</v>
      </c>
      <c r="BP14" s="128"/>
      <c r="BQ14" s="128">
        <f>BG14*50/100</f>
        <v>5</v>
      </c>
      <c r="BR14" s="128"/>
      <c r="BS14" s="128">
        <f t="shared" si="12"/>
        <v>5</v>
      </c>
      <c r="BT14" s="42">
        <f>[10]Aug!D53</f>
        <v>0</v>
      </c>
      <c r="BU14" s="42">
        <f>[10]Aug!G54</f>
        <v>61000</v>
      </c>
      <c r="BV14" t="s">
        <v>393</v>
      </c>
      <c r="BX14" s="42">
        <f>Aug!HJ15</f>
        <v>170000</v>
      </c>
      <c r="BY14" s="42">
        <f>Aug!HM15</f>
        <v>0</v>
      </c>
      <c r="BZ14" s="42">
        <f>Aug!HP15</f>
        <v>42900</v>
      </c>
      <c r="CA14" s="42">
        <f>Aug!HS15</f>
        <v>26950.000000000182</v>
      </c>
      <c r="CB14" s="42">
        <f>Aug!HV15</f>
        <v>25000.000000000364</v>
      </c>
      <c r="CC14" s="42">
        <f>Aug!HY15</f>
        <v>22749.999999999909</v>
      </c>
      <c r="CD14" s="42">
        <f>Aug!IB15</f>
        <v>30100</v>
      </c>
      <c r="CE14" s="42">
        <f>Aug!IE15</f>
        <v>0</v>
      </c>
      <c r="CF14" s="42">
        <f>Aug!IH15</f>
        <v>22300</v>
      </c>
    </row>
    <row r="15" spans="1:84" x14ac:dyDescent="0.25">
      <c r="A15" s="26">
        <f t="shared" si="13"/>
        <v>9</v>
      </c>
      <c r="B15" s="42">
        <f>Aug!G16</f>
        <v>386239.99999997613</v>
      </c>
      <c r="C15" s="42">
        <f>Aug!N16</f>
        <v>385000</v>
      </c>
      <c r="D15" s="42">
        <f>Aug!T16</f>
        <v>329.33000000007451</v>
      </c>
      <c r="E15" s="42">
        <f>Aug!V16</f>
        <v>0</v>
      </c>
      <c r="F15" s="42">
        <f>Aug!AB16</f>
        <v>0</v>
      </c>
      <c r="G15" s="42">
        <f>Aug!X16</f>
        <v>17470.670000001017</v>
      </c>
      <c r="H15" s="42">
        <f>Aug!AE16</f>
        <v>5000</v>
      </c>
      <c r="I15" s="42">
        <f>Aug!AI16</f>
        <v>12326.710000000363</v>
      </c>
      <c r="J15" s="42">
        <f>Aug!AN16</f>
        <v>7566.710000000222</v>
      </c>
      <c r="K15" s="42">
        <f>Aug!AR16</f>
        <v>13900.000000001455</v>
      </c>
      <c r="L15" s="42">
        <f>Aug!AZ16</f>
        <v>520</v>
      </c>
      <c r="M15" s="42">
        <f>Aug!BC16</f>
        <v>740</v>
      </c>
      <c r="N15" s="125">
        <f t="shared" si="3"/>
        <v>57853.420000003134</v>
      </c>
      <c r="O15" s="125">
        <f>Aug!CA16</f>
        <v>805.3000000000452</v>
      </c>
      <c r="P15" s="125">
        <f>Aug!CD16</f>
        <v>2652.8999999999069</v>
      </c>
      <c r="Q15" s="125">
        <f>Aug!CF16</f>
        <v>5409</v>
      </c>
      <c r="R15" s="125">
        <f>Aug!CH16</f>
        <v>2299</v>
      </c>
      <c r="S15" s="125">
        <f>Aug!CK16</f>
        <v>17531.410000000535</v>
      </c>
      <c r="T15" s="125">
        <f>Aug!CO16</f>
        <v>9229.7099999997008</v>
      </c>
      <c r="U15" s="125">
        <f>Aug!CS16</f>
        <v>7396.1100000000233</v>
      </c>
      <c r="V15" s="126">
        <f t="shared" si="4"/>
        <v>45323.430000000211</v>
      </c>
      <c r="W15" s="126">
        <f>Aug!CW16</f>
        <v>358</v>
      </c>
      <c r="X15" s="126">
        <f>Aug!DA16</f>
        <v>93</v>
      </c>
      <c r="Y15" s="126">
        <f t="shared" si="1"/>
        <v>451</v>
      </c>
      <c r="Z15" s="42">
        <f>Aug!BR16</f>
        <v>300.00000000006821</v>
      </c>
      <c r="AA15" s="126">
        <f>Aug!BG16</f>
        <v>1599.9999999999091</v>
      </c>
      <c r="AB15" s="126">
        <f>Aug!BJ16</f>
        <v>8699.9999999989086</v>
      </c>
      <c r="AC15" s="126">
        <f>Aug!BL16+Aug!BN16</f>
        <v>4960.0000000000728</v>
      </c>
      <c r="AD15" s="126">
        <f>Aug!DR16</f>
        <v>10300</v>
      </c>
      <c r="AE15" s="127">
        <f>Aug!DT16-Aug!DR56-Aug!DT56</f>
        <v>22700</v>
      </c>
      <c r="AF15" s="127">
        <f>Aug!DR56+Aug!DT56</f>
        <v>0</v>
      </c>
      <c r="AG15" s="127">
        <f>Aug!HJ16-AE15</f>
        <v>149300</v>
      </c>
      <c r="AH15" s="127">
        <f>Aug!DW16</f>
        <v>4299.9999999992724</v>
      </c>
      <c r="AI15" s="127">
        <f>Aug!DZ16</f>
        <v>8226.7099999999991</v>
      </c>
      <c r="AJ15" s="127">
        <f>Aug!EC16</f>
        <v>26386.71</v>
      </c>
      <c r="AK15" s="127">
        <f t="shared" si="5"/>
        <v>38913.419999999271</v>
      </c>
      <c r="AL15" s="127">
        <f>Aug!EG16</f>
        <v>33386.71</v>
      </c>
      <c r="AM15" s="127">
        <f>Aug!EJ16</f>
        <v>10226.709999999999</v>
      </c>
      <c r="AN15" s="127">
        <f>Aug!EM16</f>
        <v>850.00000000002274</v>
      </c>
      <c r="AO15" s="127">
        <f t="shared" si="6"/>
        <v>44463.42000000002</v>
      </c>
      <c r="AP15" s="127">
        <f>Aug!FX16</f>
        <v>600</v>
      </c>
      <c r="AQ15" s="127">
        <f>Aug!GA16</f>
        <v>165</v>
      </c>
      <c r="AR15" s="127">
        <f>Aug!GG16</f>
        <v>1045.9999999999545</v>
      </c>
      <c r="AS15" s="127">
        <f t="shared" si="7"/>
        <v>1810.9999999999545</v>
      </c>
      <c r="AT15" s="127">
        <f>Aug!EQ16</f>
        <v>6276.7099999999546</v>
      </c>
      <c r="AU15" s="127">
        <f>Aug!ET16</f>
        <v>19000</v>
      </c>
      <c r="AV15" s="127">
        <f>Aug!EW16</f>
        <v>9426.7099999998172</v>
      </c>
      <c r="AW15" s="127">
        <f>Aug!FL53</f>
        <v>11901.71</v>
      </c>
      <c r="AX15" s="127">
        <f>Aug!GJ16</f>
        <v>1754</v>
      </c>
      <c r="AY15" s="127">
        <f t="shared" si="8"/>
        <v>48359.129999999772</v>
      </c>
      <c r="AZ15" s="127">
        <f>Aug!FG16</f>
        <v>10526.710000000045</v>
      </c>
      <c r="BA15" s="127">
        <f>Aug!FJ16</f>
        <v>17576.71</v>
      </c>
      <c r="BB15" s="127">
        <f>Aug!FM53</f>
        <v>11901.71</v>
      </c>
      <c r="BC15" s="127">
        <f>Aug!GM16</f>
        <v>1200.0000000000455</v>
      </c>
      <c r="BD15" s="127">
        <f t="shared" si="9"/>
        <v>41205.130000000085</v>
      </c>
      <c r="BE15" s="127">
        <f>Aug!GP16</f>
        <v>0</v>
      </c>
      <c r="BF15" s="127">
        <f>Aug!GS16</f>
        <v>0</v>
      </c>
      <c r="BG15" s="127">
        <f t="shared" si="10"/>
        <v>0</v>
      </c>
      <c r="BH15" s="127">
        <f t="shared" si="2"/>
        <v>451</v>
      </c>
      <c r="BI15" s="127"/>
      <c r="BJ15" s="127"/>
      <c r="BK15" s="127"/>
      <c r="BL15" s="128"/>
      <c r="BM15" s="128">
        <f t="shared" si="16"/>
        <v>905.49999999997726</v>
      </c>
      <c r="BN15" s="128"/>
      <c r="BO15" s="128">
        <f t="shared" si="11"/>
        <v>905.49999999997726</v>
      </c>
      <c r="BP15" s="128"/>
      <c r="BQ15" s="128">
        <f t="shared" ref="BQ15:BQ23" si="17">BG15*50/100</f>
        <v>0</v>
      </c>
      <c r="BR15" s="128"/>
      <c r="BS15" s="128">
        <f t="shared" si="12"/>
        <v>0</v>
      </c>
      <c r="BT15" s="42">
        <f>[10]Aug!D54</f>
        <v>0</v>
      </c>
      <c r="BU15" s="42">
        <f>[10]Aug!G55</f>
        <v>90000</v>
      </c>
      <c r="BV15" t="s">
        <v>393</v>
      </c>
      <c r="BW15" s="151"/>
      <c r="BX15" s="42">
        <f>Aug!HJ16</f>
        <v>172000</v>
      </c>
      <c r="BY15" s="42">
        <f>Aug!HM16</f>
        <v>0</v>
      </c>
      <c r="BZ15" s="42">
        <f>Aug!HP16</f>
        <v>43300</v>
      </c>
      <c r="CA15" s="42">
        <f>Aug!HS16</f>
        <v>27350.000000000182</v>
      </c>
      <c r="CB15" s="42">
        <f>Aug!HV16</f>
        <v>25399.999999999909</v>
      </c>
      <c r="CC15" s="42">
        <f>Aug!HY16</f>
        <v>23149.999999999909</v>
      </c>
      <c r="CD15" s="42">
        <f>Aug!IB16</f>
        <v>30100</v>
      </c>
      <c r="CE15" s="42">
        <f>Aug!IE16</f>
        <v>0</v>
      </c>
      <c r="CF15" s="42">
        <f>Aug!IH16</f>
        <v>22700</v>
      </c>
    </row>
    <row r="16" spans="1:84" x14ac:dyDescent="0.25">
      <c r="A16" s="26">
        <f t="shared" si="13"/>
        <v>10</v>
      </c>
      <c r="B16" s="42">
        <f>Aug!G17</f>
        <v>384640.00000002125</v>
      </c>
      <c r="C16" s="42">
        <f>Aug!N17</f>
        <v>381000</v>
      </c>
      <c r="D16" s="42">
        <f>Aug!T17</f>
        <v>240.3600000012666</v>
      </c>
      <c r="E16" s="42">
        <f>Aug!V17</f>
        <v>0</v>
      </c>
      <c r="F16" s="42">
        <f>Aug!AB17</f>
        <v>100</v>
      </c>
      <c r="G16" s="42">
        <f>Aug!X17</f>
        <v>17159.639999998733</v>
      </c>
      <c r="H16" s="42">
        <f>Aug!AE17</f>
        <v>4900.0000000005457</v>
      </c>
      <c r="I16" s="42">
        <f>Aug!AI17</f>
        <v>11571.269999999637</v>
      </c>
      <c r="J16" s="42">
        <f>Aug!AN17</f>
        <v>6801.270000001201</v>
      </c>
      <c r="K16" s="42">
        <f>Aug!AR17</f>
        <v>13199.999999998909</v>
      </c>
      <c r="L16" s="42">
        <f>Aug!AZ17</f>
        <v>480</v>
      </c>
      <c r="M16" s="42">
        <f>Aug!BC17</f>
        <v>730</v>
      </c>
      <c r="N16" s="125">
        <f t="shared" si="3"/>
        <v>55182.540000000285</v>
      </c>
      <c r="O16" s="125">
        <f>Aug!CA17</f>
        <v>760.49999999997908</v>
      </c>
      <c r="P16" s="125">
        <f>Aug!CD17</f>
        <v>2714.3000000000466</v>
      </c>
      <c r="Q16" s="125">
        <f>Aug!CF17</f>
        <v>6627</v>
      </c>
      <c r="R16" s="125">
        <f>Aug!CH17</f>
        <v>2370.3000000000029</v>
      </c>
      <c r="S16" s="125">
        <f>Aug!CK17</f>
        <v>17060.769999999658</v>
      </c>
      <c r="T16" s="125">
        <f>Aug!CO17</f>
        <v>8792.270000000095</v>
      </c>
      <c r="U16" s="125">
        <f>Aug!CS17</f>
        <v>7048.6700000000237</v>
      </c>
      <c r="V16" s="126">
        <f t="shared" si="4"/>
        <v>45373.809999999808</v>
      </c>
      <c r="W16" s="126">
        <f>Aug!CW17</f>
        <v>356</v>
      </c>
      <c r="X16" s="126">
        <f>Aug!DA17</f>
        <v>99</v>
      </c>
      <c r="Y16" s="126">
        <f t="shared" si="1"/>
        <v>455</v>
      </c>
      <c r="Z16" s="42">
        <f>Aug!BR17</f>
        <v>199.99999999993179</v>
      </c>
      <c r="AA16" s="126">
        <f>Aug!BG17</f>
        <v>1600.0000000001364</v>
      </c>
      <c r="AB16" s="126">
        <f>Aug!BJ17</f>
        <v>8600.0000000003638</v>
      </c>
      <c r="AC16" s="126">
        <f>Aug!BL17+Aug!BN17+Aug!BP17</f>
        <v>4969.9999999999591</v>
      </c>
      <c r="AD16" s="126">
        <f>Aug!DR17</f>
        <v>9200</v>
      </c>
      <c r="AE16" s="127">
        <f>Aug!DT17-Aug!DR57-Aug!DT57</f>
        <v>23500</v>
      </c>
      <c r="AF16" s="127">
        <f>Aug!DR57+Aug!DT57</f>
        <v>0</v>
      </c>
      <c r="AG16" s="127">
        <f>Aug!HJ17-AE16</f>
        <v>157500</v>
      </c>
      <c r="AH16" s="127">
        <f>Aug!DW17</f>
        <v>4200.0000000007276</v>
      </c>
      <c r="AI16" s="127">
        <f>Aug!DZ17</f>
        <v>7671.27</v>
      </c>
      <c r="AJ16" s="127">
        <f>Aug!EC17</f>
        <v>24831.27</v>
      </c>
      <c r="AK16" s="127">
        <f t="shared" si="5"/>
        <v>36702.540000000728</v>
      </c>
      <c r="AL16" s="127">
        <f>Aug!EG17</f>
        <v>32831.270000000004</v>
      </c>
      <c r="AM16" s="127">
        <f>Aug!EJ17</f>
        <v>9671.27</v>
      </c>
      <c r="AN16" s="127">
        <f>Aug!EM17</f>
        <v>710.00000000003638</v>
      </c>
      <c r="AO16" s="127">
        <f t="shared" si="6"/>
        <v>43212.540000000045</v>
      </c>
      <c r="AP16" s="127">
        <f>Aug!FX17</f>
        <v>500</v>
      </c>
      <c r="AQ16" s="127">
        <f>Aug!GA17</f>
        <v>156</v>
      </c>
      <c r="AR16" s="127">
        <f>Aug!GG17</f>
        <v>651</v>
      </c>
      <c r="AS16" s="127">
        <f t="shared" si="7"/>
        <v>1307</v>
      </c>
      <c r="AT16" s="127">
        <f>Aug!EQ17</f>
        <v>5721.2700000000114</v>
      </c>
      <c r="AU16" s="127">
        <f>Aug!ET17</f>
        <v>18000</v>
      </c>
      <c r="AV16" s="127">
        <f>Aug!EW17</f>
        <v>9071.2700000005461</v>
      </c>
      <c r="AW16" s="127">
        <f>Aug!FL54</f>
        <v>11346.27</v>
      </c>
      <c r="AX16" s="127">
        <f>Aug!GJ17</f>
        <v>1849</v>
      </c>
      <c r="AY16" s="127">
        <f t="shared" si="8"/>
        <v>45987.810000000565</v>
      </c>
      <c r="AZ16" s="127">
        <f>Aug!FG17</f>
        <v>9971.2699999999895</v>
      </c>
      <c r="BA16" s="127">
        <f>Aug!FJ17</f>
        <v>18021.27</v>
      </c>
      <c r="BB16" s="127">
        <f>Aug!FM54</f>
        <v>11346.27</v>
      </c>
      <c r="BC16" s="127">
        <f>Aug!GM17</f>
        <v>1500</v>
      </c>
      <c r="BD16" s="127">
        <f t="shared" si="9"/>
        <v>40838.80999999999</v>
      </c>
      <c r="BE16" s="127">
        <f>Aug!GP17</f>
        <v>10</v>
      </c>
      <c r="BF16" s="127">
        <f>Aug!GS17</f>
        <v>0</v>
      </c>
      <c r="BG16" s="127">
        <f t="shared" si="10"/>
        <v>10</v>
      </c>
      <c r="BH16" s="127">
        <f t="shared" si="2"/>
        <v>455</v>
      </c>
      <c r="BI16" s="127"/>
      <c r="BJ16" s="127"/>
      <c r="BK16" s="127"/>
      <c r="BL16" s="128"/>
      <c r="BM16" s="128">
        <f t="shared" si="16"/>
        <v>653.5</v>
      </c>
      <c r="BN16" s="128"/>
      <c r="BO16" s="128">
        <f t="shared" si="11"/>
        <v>653.5</v>
      </c>
      <c r="BP16" s="128"/>
      <c r="BQ16" s="128">
        <f t="shared" si="17"/>
        <v>5</v>
      </c>
      <c r="BR16" s="128"/>
      <c r="BS16" s="128">
        <f t="shared" si="12"/>
        <v>5</v>
      </c>
      <c r="BT16" s="42">
        <f>[10]Aug!D55</f>
        <v>0</v>
      </c>
      <c r="BU16" s="42">
        <f>[10]Aug!G56</f>
        <v>90000</v>
      </c>
      <c r="BV16" t="s">
        <v>393</v>
      </c>
      <c r="BX16" s="42">
        <f>Aug!HJ17</f>
        <v>181000</v>
      </c>
      <c r="BY16" s="42">
        <f>Aug!HM17</f>
        <v>0</v>
      </c>
      <c r="BZ16" s="42">
        <f>Aug!HP17</f>
        <v>46025</v>
      </c>
      <c r="CA16" s="42">
        <f>Aug!HS17</f>
        <v>28924.999999999636</v>
      </c>
      <c r="CB16" s="42">
        <f>Aug!HV17</f>
        <v>26824.999999999727</v>
      </c>
      <c r="CC16" s="42">
        <f>Aug!HY17</f>
        <v>24825.000000000182</v>
      </c>
      <c r="CD16" s="42">
        <f>Aug!IB17</f>
        <v>30900</v>
      </c>
      <c r="CE16" s="42">
        <f>Aug!IE17</f>
        <v>0</v>
      </c>
      <c r="CF16" s="42">
        <f>Aug!IH17</f>
        <v>23500</v>
      </c>
    </row>
    <row r="17" spans="1:84" x14ac:dyDescent="0.25">
      <c r="A17" s="26">
        <f t="shared" si="13"/>
        <v>11</v>
      </c>
      <c r="B17" s="42">
        <f>Aug!G18</f>
        <v>374079.99999999447</v>
      </c>
      <c r="C17" s="42">
        <f>Aug!N18</f>
        <v>371000</v>
      </c>
      <c r="D17" s="42">
        <f>Aug!T18</f>
        <v>370.69999999925494</v>
      </c>
      <c r="E17" s="42">
        <f>Aug!V18</f>
        <v>0</v>
      </c>
      <c r="F17" s="42">
        <f>Aug!AB18</f>
        <v>100</v>
      </c>
      <c r="G17" s="42">
        <f>Aug!X18</f>
        <v>16829.300000000017</v>
      </c>
      <c r="H17" s="42">
        <f>Aug!AE18</f>
        <v>4399.9999999996362</v>
      </c>
      <c r="I17" s="42">
        <f>Aug!AI18</f>
        <v>12534.110000000364</v>
      </c>
      <c r="J17" s="42">
        <f>Aug!AN18</f>
        <v>7164.1099999996231</v>
      </c>
      <c r="K17" s="42">
        <f>Aug!AR18</f>
        <v>13399.999999999636</v>
      </c>
      <c r="L17" s="42">
        <f>Aug!AZ18</f>
        <v>410</v>
      </c>
      <c r="M17" s="42">
        <f>Aug!BC18</f>
        <v>600</v>
      </c>
      <c r="N17" s="125">
        <f t="shared" si="3"/>
        <v>55808.219999998531</v>
      </c>
      <c r="O17" s="125">
        <f>Aug!CA18</f>
        <v>787.89999999997917</v>
      </c>
      <c r="P17" s="125">
        <f>Aug!CD18</f>
        <v>3192.0999999999767</v>
      </c>
      <c r="Q17" s="125">
        <f>Aug!CF18</f>
        <v>5008</v>
      </c>
      <c r="R17" s="125">
        <f>Aug!CH18</f>
        <v>2349.5</v>
      </c>
      <c r="S17" s="125">
        <f>Aug!CK18</f>
        <v>17486.210000000166</v>
      </c>
      <c r="T17" s="125">
        <f>Aug!CO18</f>
        <v>8882.109999999866</v>
      </c>
      <c r="U17" s="125">
        <f>Aug!CS18</f>
        <v>7824.9099999999298</v>
      </c>
      <c r="V17" s="126">
        <f t="shared" si="4"/>
        <v>45530.729999999923</v>
      </c>
      <c r="W17" s="126">
        <f>Aug!CW18</f>
        <v>355</v>
      </c>
      <c r="X17" s="126">
        <f>Aug!DA18</f>
        <v>104</v>
      </c>
      <c r="Y17" s="126">
        <f t="shared" si="1"/>
        <v>459</v>
      </c>
      <c r="Z17" s="42">
        <f>Aug!BR18</f>
        <v>700.00000000004547</v>
      </c>
      <c r="AA17" s="126">
        <f>Aug!BG18</f>
        <v>1500</v>
      </c>
      <c r="AB17" s="126">
        <f>Aug!BJ18</f>
        <v>8700.0000000007276</v>
      </c>
      <c r="AC17" s="126">
        <f>Aug!BL18+Aug!BN18+Aug!BP18</f>
        <v>4969.9999999999682</v>
      </c>
      <c r="AD17" s="126">
        <f>Aug!DR18</f>
        <v>10500</v>
      </c>
      <c r="AE17" s="127">
        <f>Aug!DT18-Aug!DR58-Aug!DT58</f>
        <v>20300</v>
      </c>
      <c r="AF17" s="127">
        <f>Aug!DR58+Aug!DT58</f>
        <v>0</v>
      </c>
      <c r="AG17" s="127">
        <f>Aug!HJ18-AE17</f>
        <v>137700</v>
      </c>
      <c r="AH17" s="127">
        <f>Aug!DW18</f>
        <v>4099.9999999985448</v>
      </c>
      <c r="AI17" s="127">
        <f>Aug!DZ18</f>
        <v>8434.11</v>
      </c>
      <c r="AJ17" s="127">
        <f>Aug!EC18</f>
        <v>26594.11</v>
      </c>
      <c r="AK17" s="127">
        <f t="shared" si="5"/>
        <v>39128.219999998546</v>
      </c>
      <c r="AL17" s="127">
        <f>Aug!EG18</f>
        <v>35594.11</v>
      </c>
      <c r="AM17" s="127">
        <f>Aug!EJ18</f>
        <v>11434.11</v>
      </c>
      <c r="AN17" s="127">
        <f>Aug!EM18</f>
        <v>669.99999999995907</v>
      </c>
      <c r="AO17" s="127">
        <f t="shared" si="6"/>
        <v>47698.219999999958</v>
      </c>
      <c r="AP17" s="127">
        <f>Aug!FX18</f>
        <v>700</v>
      </c>
      <c r="AQ17" s="127">
        <f>Aug!GA18</f>
        <v>156</v>
      </c>
      <c r="AR17" s="127">
        <f>Aug!GG18</f>
        <v>1537.0000000000909</v>
      </c>
      <c r="AS17" s="127">
        <f t="shared" si="7"/>
        <v>2393.0000000000909</v>
      </c>
      <c r="AT17" s="127">
        <f>Aug!EQ18</f>
        <v>7459.1100000000351</v>
      </c>
      <c r="AU17" s="127">
        <f>Aug!ET18</f>
        <v>19000</v>
      </c>
      <c r="AV17" s="127">
        <f>Aug!EW18</f>
        <v>10034.109999999455</v>
      </c>
      <c r="AW17" s="127">
        <f>Aug!FL55</f>
        <v>11938.275000000001</v>
      </c>
      <c r="AX17" s="127">
        <f>Aug!GJ18</f>
        <v>2363</v>
      </c>
      <c r="AY17" s="127">
        <f t="shared" si="8"/>
        <v>50794.494999999493</v>
      </c>
      <c r="AZ17" s="127">
        <f>Aug!FG18</f>
        <v>11417.439999999966</v>
      </c>
      <c r="BA17" s="127">
        <f>Aug!FJ18</f>
        <v>16442.439999999999</v>
      </c>
      <c r="BB17" s="127">
        <f>Aug!FM55</f>
        <v>11938.275000000001</v>
      </c>
      <c r="BC17" s="127">
        <f>Aug!GM18</f>
        <v>99.999999999909051</v>
      </c>
      <c r="BD17" s="127">
        <f t="shared" si="9"/>
        <v>39898.154999999882</v>
      </c>
      <c r="BE17" s="127">
        <f>Aug!GP18</f>
        <v>0</v>
      </c>
      <c r="BF17" s="127">
        <f>Aug!GS18</f>
        <v>0</v>
      </c>
      <c r="BG17" s="127">
        <f t="shared" si="10"/>
        <v>0</v>
      </c>
      <c r="BH17" s="127">
        <f t="shared" si="2"/>
        <v>459</v>
      </c>
      <c r="BI17" s="127"/>
      <c r="BJ17" s="127"/>
      <c r="BK17" s="127"/>
      <c r="BL17" s="128"/>
      <c r="BM17" s="128">
        <f t="shared" si="16"/>
        <v>1196.5000000000455</v>
      </c>
      <c r="BN17" s="128"/>
      <c r="BO17" s="128">
        <f t="shared" si="11"/>
        <v>1196.5000000000455</v>
      </c>
      <c r="BP17" s="128"/>
      <c r="BQ17" s="128">
        <f t="shared" si="17"/>
        <v>0</v>
      </c>
      <c r="BR17" s="128"/>
      <c r="BS17" s="128">
        <f t="shared" si="12"/>
        <v>0</v>
      </c>
      <c r="BT17" s="42">
        <f>[10]Aug!D56</f>
        <v>0</v>
      </c>
      <c r="BU17" s="42">
        <f>[10]Aug!G57</f>
        <v>92000</v>
      </c>
      <c r="BV17" t="s">
        <v>393</v>
      </c>
      <c r="BX17" s="42">
        <f>Aug!HJ18</f>
        <v>158000</v>
      </c>
      <c r="BY17" s="42">
        <f>Aug!HM18</f>
        <v>0</v>
      </c>
      <c r="BZ17" s="42">
        <f>Aug!HP18</f>
        <v>37350.000000000182</v>
      </c>
      <c r="CA17" s="42">
        <f>Aug!HS18</f>
        <v>25850.000000000182</v>
      </c>
      <c r="CB17" s="42">
        <f>Aug!HV18</f>
        <v>24350.000000000182</v>
      </c>
      <c r="CC17" s="42">
        <f>Aug!HY18</f>
        <v>22950.000000000091</v>
      </c>
      <c r="CD17" s="42">
        <f>Aug!IB18</f>
        <v>27200</v>
      </c>
      <c r="CE17" s="42">
        <f>Aug!IE18</f>
        <v>0</v>
      </c>
      <c r="CF17" s="42">
        <f>Aug!IH18</f>
        <v>20300</v>
      </c>
    </row>
    <row r="18" spans="1:84" x14ac:dyDescent="0.25">
      <c r="A18" s="26">
        <f t="shared" si="13"/>
        <v>12</v>
      </c>
      <c r="B18" s="42">
        <f>Aug!G19</f>
        <v>373439.9999999805</v>
      </c>
      <c r="C18" s="42">
        <f>Aug!N19</f>
        <v>371000</v>
      </c>
      <c r="D18" s="42">
        <f>Aug!T19</f>
        <v>365.69999999925494</v>
      </c>
      <c r="E18" s="42">
        <f>Aug!V19</f>
        <v>0</v>
      </c>
      <c r="F18" s="42">
        <f>Aug!AB19</f>
        <v>100</v>
      </c>
      <c r="G18" s="42">
        <f>Aug!X19</f>
        <v>17534.300000000745</v>
      </c>
      <c r="H18" s="42">
        <f>Aug!AE19</f>
        <v>3899.9999999996362</v>
      </c>
      <c r="I18" s="42">
        <f>Aug!AI19</f>
        <v>10701.760000001092</v>
      </c>
      <c r="J18" s="42">
        <f>Aug!AN19</f>
        <v>7411.7599999987906</v>
      </c>
      <c r="K18" s="42">
        <f>Aug!AR19</f>
        <v>12100.000000000364</v>
      </c>
      <c r="L18" s="42">
        <f>Aug!AZ19</f>
        <v>430</v>
      </c>
      <c r="M18" s="42">
        <f>Aug!BC19</f>
        <v>660</v>
      </c>
      <c r="N18" s="125">
        <f t="shared" si="3"/>
        <v>53203.519999999888</v>
      </c>
      <c r="O18" s="125">
        <f>Aug!CA19</f>
        <v>850.00000000002274</v>
      </c>
      <c r="P18" s="125">
        <f>Aug!CD19</f>
        <v>3409.2000000000698</v>
      </c>
      <c r="Q18" s="125">
        <f>Aug!CF19</f>
        <v>5143</v>
      </c>
      <c r="R18" s="125">
        <f>Aug!CH19</f>
        <v>2373.5</v>
      </c>
      <c r="S18" s="125">
        <f>Aug!CK19</f>
        <v>17571.760000000413</v>
      </c>
      <c r="T18" s="125">
        <f>Aug!CO19</f>
        <v>8948.7600000000257</v>
      </c>
      <c r="U18" s="125">
        <f>Aug!CS19</f>
        <v>7938.6600000000235</v>
      </c>
      <c r="V18" s="126">
        <f t="shared" si="4"/>
        <v>46234.880000000558</v>
      </c>
      <c r="W18" s="126">
        <f>Aug!CW19</f>
        <v>353</v>
      </c>
      <c r="X18" s="126">
        <f>Aug!DA19</f>
        <v>103</v>
      </c>
      <c r="Y18" s="126">
        <f t="shared" si="1"/>
        <v>456</v>
      </c>
      <c r="Z18" s="42">
        <f>Aug!BR19</f>
        <v>700.00000000004547</v>
      </c>
      <c r="AA18" s="126">
        <f>Aug!BG19</f>
        <v>1900.0000000000909</v>
      </c>
      <c r="AB18" s="126">
        <f>Aug!BJ19</f>
        <v>8000</v>
      </c>
      <c r="AC18" s="126">
        <f>Aug!BL19+Aug!BN19+Aug!BP19</f>
        <v>4990.0000000000728</v>
      </c>
      <c r="AD18" s="126">
        <f>Aug!DR19</f>
        <v>10200</v>
      </c>
      <c r="AE18" s="127">
        <f>Aug!DT19-Aug!DR59-Aug!DT59</f>
        <v>24300</v>
      </c>
      <c r="AF18" s="127">
        <f>Aug!DR59+Aug!DT59</f>
        <v>0</v>
      </c>
      <c r="AG18" s="127">
        <f>Aug!HJ19-AE18</f>
        <v>137700</v>
      </c>
      <c r="AH18" s="127">
        <f>Aug!DW19</f>
        <v>4400.0000000014552</v>
      </c>
      <c r="AI18" s="127">
        <f>Aug!DZ19</f>
        <v>8401.76</v>
      </c>
      <c r="AJ18" s="127">
        <f>Aug!EC19</f>
        <v>26561.759999999998</v>
      </c>
      <c r="AK18" s="127">
        <f t="shared" si="5"/>
        <v>39363.520000001452</v>
      </c>
      <c r="AL18" s="127">
        <f>Aug!EG19</f>
        <v>34561.759999999995</v>
      </c>
      <c r="AM18" s="127">
        <f>Aug!EJ19</f>
        <v>10401.76</v>
      </c>
      <c r="AN18" s="127">
        <f>Aug!EM19</f>
        <v>670.00000000007276</v>
      </c>
      <c r="AO18" s="127">
        <f t="shared" si="6"/>
        <v>45633.52000000007</v>
      </c>
      <c r="AP18" s="127">
        <f>Aug!FX19</f>
        <v>600</v>
      </c>
      <c r="AQ18" s="127">
        <f>Aug!GA19</f>
        <v>208</v>
      </c>
      <c r="AR18" s="127">
        <f>Aug!GG19</f>
        <v>561</v>
      </c>
      <c r="AS18" s="127">
        <f t="shared" si="7"/>
        <v>1369</v>
      </c>
      <c r="AT18" s="127">
        <f>Aug!EQ19</f>
        <v>7441.7599999999638</v>
      </c>
      <c r="AU18" s="127">
        <f>Aug!ET19</f>
        <v>17000</v>
      </c>
      <c r="AV18" s="127">
        <f>Aug!EW19</f>
        <v>9901.76</v>
      </c>
      <c r="AW18" s="127">
        <f>Aug!FL56</f>
        <v>12241.759999999998</v>
      </c>
      <c r="AX18" s="127">
        <f>Aug!GJ19</f>
        <v>2439</v>
      </c>
      <c r="AY18" s="127">
        <f t="shared" si="8"/>
        <v>49024.27999999997</v>
      </c>
      <c r="AZ18" s="127">
        <f>Aug!FG19</f>
        <v>11041.760000000037</v>
      </c>
      <c r="BA18" s="127">
        <f>Aug!FJ19</f>
        <v>19081.759999999998</v>
      </c>
      <c r="BB18" s="127">
        <f>Aug!FM56</f>
        <v>12241.759999999998</v>
      </c>
      <c r="BC18" s="127">
        <f>Aug!GM19</f>
        <v>0</v>
      </c>
      <c r="BD18" s="127">
        <f t="shared" si="9"/>
        <v>42365.280000000028</v>
      </c>
      <c r="BE18" s="127">
        <f>Aug!GP19</f>
        <v>0</v>
      </c>
      <c r="BF18" s="127">
        <f>Aug!GS19</f>
        <v>0</v>
      </c>
      <c r="BG18" s="127">
        <f t="shared" si="10"/>
        <v>0</v>
      </c>
      <c r="BH18" s="127">
        <f t="shared" si="2"/>
        <v>456</v>
      </c>
      <c r="BI18" s="127"/>
      <c r="BJ18" s="127"/>
      <c r="BK18" s="127"/>
      <c r="BL18" s="128"/>
      <c r="BM18" s="128">
        <f t="shared" si="16"/>
        <v>684.5</v>
      </c>
      <c r="BN18" s="128"/>
      <c r="BO18" s="128">
        <f t="shared" si="11"/>
        <v>684.5</v>
      </c>
      <c r="BP18" s="128"/>
      <c r="BQ18" s="128">
        <f t="shared" si="17"/>
        <v>0</v>
      </c>
      <c r="BR18" s="128"/>
      <c r="BS18" s="128">
        <f t="shared" si="12"/>
        <v>0</v>
      </c>
      <c r="BT18" s="42">
        <f>[10]Aug!D57</f>
        <v>0</v>
      </c>
      <c r="BU18" s="42">
        <f>[10]Aug!G58</f>
        <v>92000</v>
      </c>
      <c r="BV18" t="s">
        <v>393</v>
      </c>
      <c r="BX18" s="42">
        <f>Aug!HJ19</f>
        <v>162000</v>
      </c>
      <c r="BY18" s="42">
        <f>Aug!HM19</f>
        <v>0</v>
      </c>
      <c r="BZ18" s="42">
        <f>Aug!HP19</f>
        <v>37699.999999999636</v>
      </c>
      <c r="CA18" s="42">
        <f>Aug!HS19</f>
        <v>26600.000000000182</v>
      </c>
      <c r="CB18" s="42">
        <f>Aug!HV19</f>
        <v>24200.000000000091</v>
      </c>
      <c r="CC18" s="42">
        <f>Aug!HY19</f>
        <v>24899.999999999909</v>
      </c>
      <c r="CD18" s="42">
        <f>Aug!IB19</f>
        <v>24300</v>
      </c>
      <c r="CE18" s="42">
        <f>Aug!IE19</f>
        <v>0</v>
      </c>
      <c r="CF18" s="42">
        <f>Aug!IH19</f>
        <v>24300</v>
      </c>
    </row>
    <row r="19" spans="1:84" x14ac:dyDescent="0.25">
      <c r="A19" s="26">
        <f t="shared" si="13"/>
        <v>13</v>
      </c>
      <c r="B19" s="42">
        <f>Aug!G20</f>
        <v>387840.00000000378</v>
      </c>
      <c r="C19" s="42">
        <f>Aug!N20</f>
        <v>390000</v>
      </c>
      <c r="D19" s="42">
        <f>Aug!T20</f>
        <v>372.93000000156462</v>
      </c>
      <c r="E19" s="42">
        <f>Aug!V20</f>
        <v>0</v>
      </c>
      <c r="F19" s="42">
        <f>Aug!AB20</f>
        <v>30</v>
      </c>
      <c r="G19" s="42">
        <f>Aug!X20</f>
        <v>17597.069999998435</v>
      </c>
      <c r="H19" s="42">
        <f>Aug!AE20</f>
        <v>4600.0000000003638</v>
      </c>
      <c r="I19" s="42">
        <f>Aug!AI20</f>
        <v>12451.909999999272</v>
      </c>
      <c r="J19" s="42">
        <f>Aug!AN20</f>
        <v>7231.9100000007957</v>
      </c>
      <c r="K19" s="42">
        <f>Aug!AR20</f>
        <v>12399.999999999636</v>
      </c>
      <c r="L19" s="42">
        <f>Aug!AZ20</f>
        <v>476.76000000000931</v>
      </c>
      <c r="M19" s="42">
        <f>Aug!BC20</f>
        <v>673.72000000000116</v>
      </c>
      <c r="N19" s="125">
        <f t="shared" si="3"/>
        <v>55834.300000000083</v>
      </c>
      <c r="O19" s="125">
        <f>Aug!CA20</f>
        <v>794.19999999998936</v>
      </c>
      <c r="P19" s="125">
        <f>Aug!CD20</f>
        <v>2878.6999999999534</v>
      </c>
      <c r="Q19" s="125">
        <f>Aug!CF20</f>
        <v>4885</v>
      </c>
      <c r="R19" s="125">
        <f>Aug!CH20</f>
        <v>2355.3999999999942</v>
      </c>
      <c r="S19" s="125">
        <f>Aug!CK20</f>
        <v>17677.709999999719</v>
      </c>
      <c r="T19" s="125">
        <f>Aug!CO20</f>
        <v>9021.9100000003455</v>
      </c>
      <c r="U19" s="125">
        <f>Aug!CS20</f>
        <v>7881.91</v>
      </c>
      <c r="V19" s="126">
        <f t="shared" si="4"/>
        <v>45494.83</v>
      </c>
      <c r="W19" s="126">
        <f>Aug!CW20</f>
        <v>410</v>
      </c>
      <c r="X19" s="126">
        <f>Aug!DA20</f>
        <v>121</v>
      </c>
      <c r="Y19" s="126">
        <f t="shared" si="1"/>
        <v>531</v>
      </c>
      <c r="Z19" s="42">
        <f>Aug!BR20</f>
        <v>769.99999999998181</v>
      </c>
      <c r="AA19" s="126">
        <f>Aug!BG20</f>
        <v>1599.9999999999091</v>
      </c>
      <c r="AB19" s="126">
        <f>Aug!BJ20</f>
        <v>8699.9999999989086</v>
      </c>
      <c r="AC19" s="126">
        <f>Aug!BL20+Aug!BN20+Aug!BP20</f>
        <v>4849.99999999995</v>
      </c>
      <c r="AD19" s="126">
        <f>Aug!DR20</f>
        <v>10000</v>
      </c>
      <c r="AE19" s="127">
        <f>Aug!DT20-Aug!DR60-Aug!DT60</f>
        <v>22500</v>
      </c>
      <c r="AF19" s="127">
        <f>Aug!DR60+Aug!DT60</f>
        <v>0</v>
      </c>
      <c r="AG19" s="127">
        <f>Aug!HJ20-AE19</f>
        <v>157500</v>
      </c>
      <c r="AH19" s="127">
        <f>Aug!DW20</f>
        <v>4099.9999999985448</v>
      </c>
      <c r="AI19" s="127">
        <f>Aug!DZ20</f>
        <v>8151.91</v>
      </c>
      <c r="AJ19" s="127">
        <f>Aug!EC20</f>
        <v>25311.91</v>
      </c>
      <c r="AK19" s="127">
        <f t="shared" si="5"/>
        <v>37563.819999998545</v>
      </c>
      <c r="AL19" s="127">
        <f>Aug!EG20</f>
        <v>33311.910000000003</v>
      </c>
      <c r="AM19" s="127">
        <f>Aug!EJ20</f>
        <v>10151.91</v>
      </c>
      <c r="AN19" s="127">
        <f>Aug!EM20</f>
        <v>669.99999999995907</v>
      </c>
      <c r="AO19" s="127">
        <f t="shared" si="6"/>
        <v>44133.819999999963</v>
      </c>
      <c r="AP19" s="127">
        <f>Aug!FX20</f>
        <v>300</v>
      </c>
      <c r="AQ19" s="127">
        <f>Aug!GA20</f>
        <v>169</v>
      </c>
      <c r="AR19" s="127">
        <f>Aug!GG20</f>
        <v>1206</v>
      </c>
      <c r="AS19" s="127">
        <f t="shared" si="7"/>
        <v>1675</v>
      </c>
      <c r="AT19" s="127">
        <f>Aug!EQ20</f>
        <v>6221.9099999999926</v>
      </c>
      <c r="AU19" s="127">
        <f>Aug!ET20</f>
        <v>16000</v>
      </c>
      <c r="AV19" s="127">
        <f>Aug!EW20</f>
        <v>10053.66999999974</v>
      </c>
      <c r="AW19" s="127">
        <f>Aug!FL57</f>
        <v>10476.575000000001</v>
      </c>
      <c r="AX19" s="127">
        <f>Aug!GJ20</f>
        <v>2294</v>
      </c>
      <c r="AY19" s="127">
        <f t="shared" si="8"/>
        <v>45046.154999999737</v>
      </c>
      <c r="AZ19" s="127">
        <f>Aug!FG20</f>
        <v>10772.240000001084</v>
      </c>
      <c r="BA19" s="127">
        <f>Aug!FJ20</f>
        <v>17882.240000000133</v>
      </c>
      <c r="BB19" s="127">
        <f>Aug!FM57</f>
        <v>10476.575000000001</v>
      </c>
      <c r="BC19" s="127">
        <f>Aug!GM20</f>
        <v>500</v>
      </c>
      <c r="BD19" s="127">
        <f t="shared" si="9"/>
        <v>39631.055000001215</v>
      </c>
      <c r="BE19" s="127">
        <f>Aug!GP20</f>
        <v>10</v>
      </c>
      <c r="BF19" s="127">
        <f>Aug!GS20</f>
        <v>0</v>
      </c>
      <c r="BG19" s="127">
        <f t="shared" si="10"/>
        <v>10</v>
      </c>
      <c r="BH19" s="127">
        <f t="shared" si="2"/>
        <v>531</v>
      </c>
      <c r="BI19" s="127"/>
      <c r="BJ19" s="127"/>
      <c r="BK19" s="127"/>
      <c r="BL19" s="128"/>
      <c r="BM19" s="128">
        <f t="shared" si="16"/>
        <v>837.5</v>
      </c>
      <c r="BN19" s="128"/>
      <c r="BO19" s="128">
        <f t="shared" si="11"/>
        <v>837.5</v>
      </c>
      <c r="BP19" s="128"/>
      <c r="BQ19" s="128">
        <f t="shared" si="17"/>
        <v>5</v>
      </c>
      <c r="BR19" s="128"/>
      <c r="BS19" s="128">
        <f t="shared" si="12"/>
        <v>5</v>
      </c>
      <c r="BT19" s="42">
        <f>[10]Aug!D58</f>
        <v>0</v>
      </c>
      <c r="BU19" s="42">
        <f>[10]Aug!G59</f>
        <v>88000</v>
      </c>
      <c r="BV19" t="s">
        <v>393</v>
      </c>
      <c r="BW19" s="151"/>
      <c r="BX19" s="42">
        <f>Aug!HJ20</f>
        <v>180000</v>
      </c>
      <c r="BY19" s="42">
        <f>Aug!HM20</f>
        <v>0</v>
      </c>
      <c r="BZ19" s="42">
        <f>Aug!HP20</f>
        <v>44125.000000000364</v>
      </c>
      <c r="CA19" s="42">
        <f>Aug!HS20</f>
        <v>27624.999999999454</v>
      </c>
      <c r="CB19" s="42">
        <f>Aug!HV20</f>
        <v>27324.999999999727</v>
      </c>
      <c r="CC19" s="42">
        <f>Aug!HY20</f>
        <v>27724.999999999818</v>
      </c>
      <c r="CD19" s="42">
        <f>Aug!IB20</f>
        <v>30700</v>
      </c>
      <c r="CE19" s="42">
        <f>Aug!IE20</f>
        <v>0</v>
      </c>
      <c r="CF19" s="42">
        <f>Aug!IH20</f>
        <v>22500</v>
      </c>
    </row>
    <row r="20" spans="1:84" x14ac:dyDescent="0.25">
      <c r="A20" s="26">
        <f t="shared" si="13"/>
        <v>14</v>
      </c>
      <c r="B20" s="42">
        <f>Aug!G21</f>
        <v>380479.99999999593</v>
      </c>
      <c r="C20" s="42">
        <f>Aug!N21</f>
        <v>370000</v>
      </c>
      <c r="D20" s="42">
        <f>Aug!T21</f>
        <v>378.08000000007451</v>
      </c>
      <c r="E20" s="42">
        <f>Aug!V21</f>
        <v>0</v>
      </c>
      <c r="F20" s="42">
        <f>Aug!AB21</f>
        <v>70</v>
      </c>
      <c r="G20" s="42">
        <f>Aug!X21</f>
        <v>17551.919999999925</v>
      </c>
      <c r="H20" s="42">
        <f>Aug!AE21</f>
        <v>4899.9999999996362</v>
      </c>
      <c r="I20" s="42">
        <f>Aug!AI21</f>
        <v>13236.080000000728</v>
      </c>
      <c r="J20" s="42">
        <f>Aug!AN21</f>
        <v>6286.0799999996816</v>
      </c>
      <c r="K20" s="42">
        <f>Aug!AR21</f>
        <v>12300.000000001091</v>
      </c>
      <c r="L20" s="42">
        <f>Aug!AZ21</f>
        <v>513.23999999999069</v>
      </c>
      <c r="M20" s="42">
        <f>Aug!BC21</f>
        <v>696.27999999999884</v>
      </c>
      <c r="N20" s="125">
        <f t="shared" si="3"/>
        <v>55931.680000001128</v>
      </c>
      <c r="O20" s="125">
        <f>Aug!CA21</f>
        <v>845.10000000000218</v>
      </c>
      <c r="P20" s="125">
        <f>Aug!CD21</f>
        <v>1958.3000000000466</v>
      </c>
      <c r="Q20" s="125">
        <f>Aug!CF21</f>
        <v>4132</v>
      </c>
      <c r="R20" s="125">
        <f>Aug!CH21</f>
        <v>2187.8999999999942</v>
      </c>
      <c r="S20" s="125">
        <f>Aug!CK21</f>
        <v>16540.980000000363</v>
      </c>
      <c r="T20" s="125">
        <f>Aug!CO21</f>
        <v>8422.0799999995124</v>
      </c>
      <c r="U20" s="125">
        <f>Aug!CS21</f>
        <v>7379.8800000000465</v>
      </c>
      <c r="V20" s="126">
        <f t="shared" si="4"/>
        <v>41466.239999999969</v>
      </c>
      <c r="W20" s="126">
        <f>Aug!CW21</f>
        <v>304</v>
      </c>
      <c r="X20" s="126">
        <f>Aug!DA21</f>
        <v>59</v>
      </c>
      <c r="Y20" s="126">
        <f t="shared" si="1"/>
        <v>363</v>
      </c>
      <c r="Z20" s="42">
        <f>Aug!BR21</f>
        <v>629.99999999999545</v>
      </c>
      <c r="AA20" s="126">
        <f>Aug!BG21</f>
        <v>1500</v>
      </c>
      <c r="AB20" s="126">
        <f>Aug!BJ21</f>
        <v>9300.0000000010914</v>
      </c>
      <c r="AC20" s="126">
        <f>Aug!BL21+Aug!BN21+Aug!BP21</f>
        <v>5019.9999999999591</v>
      </c>
      <c r="AD20" s="126">
        <f>Aug!DR21</f>
        <v>8600</v>
      </c>
      <c r="AE20" s="127">
        <f>Aug!DT21-Aug!DR61-Aug!DT61</f>
        <v>24600</v>
      </c>
      <c r="AF20" s="127">
        <f>Aug!DR61+Aug!DT61</f>
        <v>0</v>
      </c>
      <c r="AG20" s="127">
        <f>Aug!HJ21-AE20</f>
        <v>143400</v>
      </c>
      <c r="AH20" s="127">
        <f>Aug!DW21</f>
        <v>4200.0000000007276</v>
      </c>
      <c r="AI20" s="127">
        <f>Aug!DZ21</f>
        <v>9036.08</v>
      </c>
      <c r="AJ20" s="127">
        <f>Aug!EC21</f>
        <v>25196.080000000002</v>
      </c>
      <c r="AK20" s="127">
        <f t="shared" si="5"/>
        <v>38432.160000000731</v>
      </c>
      <c r="AL20" s="127">
        <f>Aug!EG21</f>
        <v>23196.080000000002</v>
      </c>
      <c r="AM20" s="127">
        <f>Aug!EJ21</f>
        <v>10036.08</v>
      </c>
      <c r="AN20" s="127">
        <f>Aug!EM21</f>
        <v>549.99999999995453</v>
      </c>
      <c r="AO20" s="127">
        <f t="shared" si="6"/>
        <v>33782.15999999996</v>
      </c>
      <c r="AP20" s="127">
        <f>Aug!FX21</f>
        <v>0</v>
      </c>
      <c r="AQ20" s="127">
        <f>Aug!GA21</f>
        <v>150</v>
      </c>
      <c r="AR20" s="127">
        <f>Aug!GG21</f>
        <v>360.00000000009095</v>
      </c>
      <c r="AS20" s="127">
        <f t="shared" si="7"/>
        <v>510.00000000009095</v>
      </c>
      <c r="AT20" s="127">
        <f>Aug!EQ21</f>
        <v>8926.0799999996452</v>
      </c>
      <c r="AU20" s="127">
        <f>Aug!ET21</f>
        <v>17000</v>
      </c>
      <c r="AV20" s="127">
        <f>Aug!EW21</f>
        <v>9234.3200000006236</v>
      </c>
      <c r="AW20" s="127">
        <f>Aug!FL58</f>
        <v>14554.744999999999</v>
      </c>
      <c r="AX20" s="127">
        <f>Aug!GJ21</f>
        <v>2040</v>
      </c>
      <c r="AY20" s="127">
        <f t="shared" si="8"/>
        <v>51755.145000000266</v>
      </c>
      <c r="AZ20" s="127">
        <f>Aug!FG21</f>
        <v>9042.4099999989139</v>
      </c>
      <c r="BA20" s="127">
        <f>Aug!FJ21</f>
        <v>18992.409999999873</v>
      </c>
      <c r="BB20" s="127">
        <f>Aug!FM58</f>
        <v>14554.744999999999</v>
      </c>
      <c r="BC20" s="127">
        <f>Aug!GM21</f>
        <v>1599.9999999999091</v>
      </c>
      <c r="BD20" s="127">
        <f t="shared" si="9"/>
        <v>44189.564999998693</v>
      </c>
      <c r="BE20" s="127">
        <f>Aug!GP21</f>
        <v>0</v>
      </c>
      <c r="BF20" s="127">
        <f>Aug!GS21</f>
        <v>0</v>
      </c>
      <c r="BG20" s="127">
        <f t="shared" si="10"/>
        <v>0</v>
      </c>
      <c r="BH20" s="127">
        <f t="shared" si="2"/>
        <v>363</v>
      </c>
      <c r="BI20" s="127"/>
      <c r="BJ20" s="127"/>
      <c r="BK20" s="127"/>
      <c r="BL20" s="128"/>
      <c r="BM20" s="128">
        <f t="shared" si="16"/>
        <v>255.00000000004547</v>
      </c>
      <c r="BN20" s="128"/>
      <c r="BO20" s="128">
        <f t="shared" si="11"/>
        <v>255.00000000004547</v>
      </c>
      <c r="BP20" s="128"/>
      <c r="BQ20" s="128">
        <f t="shared" si="17"/>
        <v>0</v>
      </c>
      <c r="BR20" s="128"/>
      <c r="BS20" s="128">
        <f t="shared" si="12"/>
        <v>0</v>
      </c>
      <c r="BT20" s="42">
        <f>[10]Aug!D59</f>
        <v>0</v>
      </c>
      <c r="BU20" s="42">
        <f>[10]Aug!G60</f>
        <v>79000</v>
      </c>
      <c r="BV20" t="s">
        <v>393</v>
      </c>
      <c r="BX20" s="42">
        <f>Aug!HJ21</f>
        <v>168000</v>
      </c>
      <c r="BY20" s="42">
        <f>Aug!HM21</f>
        <v>0</v>
      </c>
      <c r="BZ20" s="42">
        <f>Aug!HP21</f>
        <v>38899.999999999636</v>
      </c>
      <c r="CA20" s="42">
        <f>Aug!HS21</f>
        <v>22800.000000000182</v>
      </c>
      <c r="CB20" s="42">
        <f>Aug!HV21</f>
        <v>25200.000000000273</v>
      </c>
      <c r="CC20" s="42">
        <f>Aug!HY21</f>
        <v>26200.000000000273</v>
      </c>
      <c r="CD20" s="42">
        <f>Aug!IB21</f>
        <v>30300</v>
      </c>
      <c r="CE20" s="42">
        <f>Aug!IE21</f>
        <v>0</v>
      </c>
      <c r="CF20" s="42">
        <f>Aug!IH21</f>
        <v>24600</v>
      </c>
    </row>
    <row r="21" spans="1:84" x14ac:dyDescent="0.25">
      <c r="A21" s="26">
        <f t="shared" si="13"/>
        <v>15</v>
      </c>
      <c r="B21" s="42">
        <f>Aug!G22</f>
        <v>354560.0000000195</v>
      </c>
      <c r="C21" s="42">
        <f>Aug!N22</f>
        <v>355000</v>
      </c>
      <c r="D21" s="42">
        <f>Aug!T22</f>
        <v>370.8099999986589</v>
      </c>
      <c r="E21" s="42">
        <f>Aug!V22</f>
        <v>0</v>
      </c>
      <c r="F21" s="42">
        <f>Aug!AB22</f>
        <v>100</v>
      </c>
      <c r="G21" s="42">
        <f>Aug!X22</f>
        <v>16529.190000001341</v>
      </c>
      <c r="H21" s="42">
        <f>Aug!AE22</f>
        <v>5200.0000000007276</v>
      </c>
      <c r="I21" s="42">
        <f>Aug!AI22</f>
        <v>14229.229999998908</v>
      </c>
      <c r="J21" s="42">
        <f>Aug!AN22</f>
        <v>7249.2299999995403</v>
      </c>
      <c r="K21" s="42">
        <f>Aug!AR22</f>
        <v>12699.999999998909</v>
      </c>
      <c r="L21" s="42">
        <f>Aug!AZ22</f>
        <v>510</v>
      </c>
      <c r="M21" s="42">
        <f>Aug!BC22</f>
        <v>700</v>
      </c>
      <c r="N21" s="125">
        <f t="shared" si="3"/>
        <v>57588.459999998078</v>
      </c>
      <c r="O21" s="125">
        <f>Aug!CA22</f>
        <v>844.20000000000073</v>
      </c>
      <c r="P21" s="125">
        <f>Aug!CD22</f>
        <v>2189.0999999999767</v>
      </c>
      <c r="Q21" s="125">
        <f>Aug!CF22</f>
        <v>5056</v>
      </c>
      <c r="R21" s="125">
        <f>Aug!CH22</f>
        <v>2377.7000000000116</v>
      </c>
      <c r="S21" s="125">
        <f>Aug!CK22</f>
        <v>17715.029999998835</v>
      </c>
      <c r="T21" s="125">
        <f>Aug!CO22</f>
        <v>9164.2300000002178</v>
      </c>
      <c r="U21" s="125">
        <f>Aug!CS22</f>
        <v>8098.0299999999297</v>
      </c>
      <c r="V21" s="126">
        <f t="shared" si="4"/>
        <v>45444.289999998975</v>
      </c>
      <c r="W21" s="126">
        <f>Aug!CW22</f>
        <v>350</v>
      </c>
      <c r="X21" s="126">
        <f>Aug!DA22</f>
        <v>94</v>
      </c>
      <c r="Y21" s="126">
        <f t="shared" si="1"/>
        <v>444</v>
      </c>
      <c r="Z21" s="42">
        <f>Aug!BR22</f>
        <v>600.00000000002274</v>
      </c>
      <c r="AA21" s="126">
        <f>Aug!BG22</f>
        <v>1500</v>
      </c>
      <c r="AB21" s="126">
        <f>Aug!BJ22</f>
        <v>8600.0000000003638</v>
      </c>
      <c r="AC21" s="126">
        <f>Aug!BL22+Aug!BN22+Aug!BP22</f>
        <v>5080.0000000000728</v>
      </c>
      <c r="AD21" s="126">
        <f>Aug!DR22</f>
        <v>9700</v>
      </c>
      <c r="AE21" s="127">
        <f>Aug!DT22-Aug!DR62-Aug!DT62</f>
        <v>22700</v>
      </c>
      <c r="AF21" s="127">
        <f>Aug!DR62+Aug!DT62</f>
        <v>0</v>
      </c>
      <c r="AG21" s="127">
        <f>Aug!HJ22-AE21</f>
        <v>114300</v>
      </c>
      <c r="AH21" s="127">
        <f>Aug!DW22</f>
        <v>4000</v>
      </c>
      <c r="AI21" s="127">
        <f>Aug!DZ22</f>
        <v>8529.23</v>
      </c>
      <c r="AJ21" s="127">
        <f>Aug!EC22</f>
        <v>24689.23</v>
      </c>
      <c r="AK21" s="127">
        <f t="shared" si="5"/>
        <v>37218.46</v>
      </c>
      <c r="AL21" s="127">
        <f>Aug!EG22</f>
        <v>34689.229999999996</v>
      </c>
      <c r="AM21" s="127">
        <f>Aug!EJ22</f>
        <v>11529.23</v>
      </c>
      <c r="AN21" s="127">
        <f>Aug!EM22</f>
        <v>730.00000000001819</v>
      </c>
      <c r="AO21" s="127">
        <f t="shared" si="6"/>
        <v>46948.460000000006</v>
      </c>
      <c r="AP21" s="127">
        <f>Aug!FX22</f>
        <v>500</v>
      </c>
      <c r="AQ21" s="127">
        <f>Aug!GA22</f>
        <v>161</v>
      </c>
      <c r="AR21" s="127">
        <f>Aug!GG22</f>
        <v>1463.9999999999545</v>
      </c>
      <c r="AS21" s="127">
        <f t="shared" si="7"/>
        <v>2124.9999999999545</v>
      </c>
      <c r="AT21" s="127">
        <f>Aug!EQ22</f>
        <v>6029.2299999996585</v>
      </c>
      <c r="AU21" s="127">
        <f>Aug!ET22</f>
        <v>18000</v>
      </c>
      <c r="AV21" s="127">
        <f>Aug!EW22</f>
        <v>10129.229999999454</v>
      </c>
      <c r="AW21" s="127">
        <f>Aug!FL59</f>
        <v>11745.895</v>
      </c>
      <c r="AX21" s="127">
        <f>Aug!GJ22</f>
        <v>2336</v>
      </c>
      <c r="AY21" s="127">
        <f t="shared" si="8"/>
        <v>48240.354999999108</v>
      </c>
      <c r="AZ21" s="127">
        <f>Aug!FG22</f>
        <v>10862.559999999976</v>
      </c>
      <c r="BA21" s="127">
        <f>Aug!FJ22</f>
        <v>19262.559999999274</v>
      </c>
      <c r="BB21" s="127">
        <f>Aug!FM59</f>
        <v>11745.895</v>
      </c>
      <c r="BC21" s="127">
        <f>Aug!GM22</f>
        <v>200.00000000004547</v>
      </c>
      <c r="BD21" s="127">
        <f t="shared" si="9"/>
        <v>42071.014999999294</v>
      </c>
      <c r="BE21" s="127">
        <f>Aug!GP22</f>
        <v>0</v>
      </c>
      <c r="BF21" s="127">
        <f>Aug!GS22</f>
        <v>0</v>
      </c>
      <c r="BG21" s="127">
        <f t="shared" si="10"/>
        <v>0</v>
      </c>
      <c r="BH21" s="127">
        <f t="shared" si="2"/>
        <v>444</v>
      </c>
      <c r="BI21" s="127"/>
      <c r="BJ21" s="127"/>
      <c r="BK21" s="127"/>
      <c r="BL21" s="128"/>
      <c r="BM21" s="128">
        <f t="shared" si="16"/>
        <v>1062.4999999999773</v>
      </c>
      <c r="BN21" s="128"/>
      <c r="BO21" s="128">
        <f t="shared" si="11"/>
        <v>1062.4999999999773</v>
      </c>
      <c r="BP21" s="128"/>
      <c r="BQ21" s="128">
        <f t="shared" si="17"/>
        <v>0</v>
      </c>
      <c r="BR21" s="128"/>
      <c r="BS21" s="128">
        <f t="shared" si="12"/>
        <v>0</v>
      </c>
      <c r="BT21" s="42">
        <f>[10]Aug!D60</f>
        <v>0</v>
      </c>
      <c r="BU21" s="42">
        <f>[10]Aug!G61</f>
        <v>88000</v>
      </c>
      <c r="BV21" t="s">
        <v>393</v>
      </c>
      <c r="BX21" s="42">
        <f>Aug!HJ22</f>
        <v>137000</v>
      </c>
      <c r="BY21" s="42">
        <f>Aug!HM22</f>
        <v>0</v>
      </c>
      <c r="BZ21" s="42">
        <f>Aug!HP22</f>
        <v>32750.000000000546</v>
      </c>
      <c r="CA21" s="42">
        <f>Aug!HS22</f>
        <v>5850</v>
      </c>
      <c r="CB21" s="42">
        <f>Aug!HV22</f>
        <v>23649.999999999727</v>
      </c>
      <c r="CC21" s="42">
        <f>Aug!HY22</f>
        <v>23649.999999999727</v>
      </c>
      <c r="CD21" s="42">
        <f>Aug!IB22</f>
        <v>28400</v>
      </c>
      <c r="CE21" s="42">
        <f>Aug!IE22</f>
        <v>0</v>
      </c>
      <c r="CF21" s="42">
        <f>Aug!IH22</f>
        <v>22700</v>
      </c>
    </row>
    <row r="22" spans="1:84" x14ac:dyDescent="0.25">
      <c r="A22" s="26">
        <f t="shared" si="13"/>
        <v>16</v>
      </c>
      <c r="B22" s="42">
        <f>Aug!G23</f>
        <v>353279.99999997701</v>
      </c>
      <c r="C22" s="42">
        <f>Aug!N23</f>
        <v>351000</v>
      </c>
      <c r="D22" s="42">
        <f>Aug!T23</f>
        <v>394.57000000029802</v>
      </c>
      <c r="E22" s="42">
        <f>Aug!V23</f>
        <v>0</v>
      </c>
      <c r="F22" s="42">
        <f>Aug!AB23</f>
        <v>100</v>
      </c>
      <c r="G22" s="42">
        <f>Aug!X23</f>
        <v>17505.429999999702</v>
      </c>
      <c r="H22" s="42">
        <f>Aug!AE23</f>
        <v>5199.9999999998181</v>
      </c>
      <c r="I22" s="42">
        <f>Aug!AI23</f>
        <v>14043.400000000363</v>
      </c>
      <c r="J22" s="42">
        <f>Aug!AN23</f>
        <v>7383.4000000000133</v>
      </c>
      <c r="K22" s="42">
        <f>Aug!AR23</f>
        <v>12500</v>
      </c>
      <c r="L22" s="42">
        <f>Aug!AZ23</f>
        <v>490</v>
      </c>
      <c r="M22" s="42">
        <f>Aug!BC23</f>
        <v>690</v>
      </c>
      <c r="N22" s="125">
        <f t="shared" si="3"/>
        <v>58306.800000000199</v>
      </c>
      <c r="O22" s="125">
        <f>Aug!CA23</f>
        <v>835.30000000001792</v>
      </c>
      <c r="P22" s="125">
        <f>Aug!CD23</f>
        <v>2327.4000000000233</v>
      </c>
      <c r="Q22" s="125">
        <f>Aug!CF23</f>
        <v>5278</v>
      </c>
      <c r="R22" s="125">
        <f>Aug!CH23</f>
        <v>2385.0999999999913</v>
      </c>
      <c r="S22" s="125">
        <f>Aug!CK23</f>
        <v>17608.099999999984</v>
      </c>
      <c r="T22" s="125">
        <f>Aug!CO23</f>
        <v>9007.4000000003052</v>
      </c>
      <c r="U22" s="125">
        <f>Aug!CS23</f>
        <v>8009.9</v>
      </c>
      <c r="V22" s="126">
        <f t="shared" si="4"/>
        <v>45451.200000000325</v>
      </c>
      <c r="W22" s="126">
        <f>Aug!CW23</f>
        <v>342</v>
      </c>
      <c r="X22" s="126">
        <f>Aug!DA23</f>
        <v>96</v>
      </c>
      <c r="Y22" s="126">
        <f t="shared" si="1"/>
        <v>438</v>
      </c>
      <c r="Z22" s="42">
        <f>Aug!BR23</f>
        <v>500</v>
      </c>
      <c r="AA22" s="126">
        <f>Aug!BG23</f>
        <v>1500</v>
      </c>
      <c r="AB22" s="126">
        <f>Aug!BJ23</f>
        <v>8899.9999999996362</v>
      </c>
      <c r="AC22" s="126">
        <f>Aug!BL23+Aug!BN23+Aug!BP23</f>
        <v>5059.9999999999864</v>
      </c>
      <c r="AD22" s="126">
        <f>Aug!DR23</f>
        <v>10000</v>
      </c>
      <c r="AE22" s="127">
        <f>Aug!DT23-Aug!DR63-Aug!DT63</f>
        <v>24300</v>
      </c>
      <c r="AF22" s="127">
        <f>Aug!DR63+Aug!DT63</f>
        <v>0</v>
      </c>
      <c r="AG22" s="127">
        <f>Aug!HJ23-AE22</f>
        <v>117700</v>
      </c>
      <c r="AH22" s="127">
        <f>Aug!DW23</f>
        <v>4000</v>
      </c>
      <c r="AI22" s="127">
        <f>Aug!DZ23</f>
        <v>8443.4</v>
      </c>
      <c r="AJ22" s="127">
        <f>Aug!EC23</f>
        <v>24603.4</v>
      </c>
      <c r="AK22" s="127">
        <f t="shared" si="5"/>
        <v>37046.800000000003</v>
      </c>
      <c r="AL22" s="127">
        <f>Aug!EG23</f>
        <v>30603.4</v>
      </c>
      <c r="AM22" s="127">
        <f>Aug!EJ23</f>
        <v>10443.4</v>
      </c>
      <c r="AN22" s="127">
        <f>Aug!EM23</f>
        <v>750</v>
      </c>
      <c r="AO22" s="127">
        <f t="shared" si="6"/>
        <v>41796.800000000003</v>
      </c>
      <c r="AP22" s="127">
        <f>Aug!FX23</f>
        <v>700</v>
      </c>
      <c r="AQ22" s="127">
        <f>Aug!GA23</f>
        <v>160</v>
      </c>
      <c r="AR22" s="127">
        <f>Aug!GG23</f>
        <v>1121.0000000007276</v>
      </c>
      <c r="AS22" s="127">
        <f t="shared" si="7"/>
        <v>1981.0000000007276</v>
      </c>
      <c r="AT22" s="127">
        <f>Aug!EQ23</f>
        <v>6203.4000000007291</v>
      </c>
      <c r="AU22" s="127">
        <f>Aug!ET23</f>
        <v>18000</v>
      </c>
      <c r="AV22" s="127">
        <f>Aug!EW23</f>
        <v>10043.400000000363</v>
      </c>
      <c r="AW22" s="127">
        <f>Aug!FL60</f>
        <v>11370.064999999999</v>
      </c>
      <c r="AX22" s="127">
        <f>Aug!GJ23</f>
        <v>2079</v>
      </c>
      <c r="AY22" s="127">
        <f t="shared" si="8"/>
        <v>47695.865000001097</v>
      </c>
      <c r="AZ22" s="127">
        <f>Aug!FG23</f>
        <v>10236.729999999998</v>
      </c>
      <c r="BA22" s="127">
        <f>Aug!FJ23</f>
        <v>18996.730000000731</v>
      </c>
      <c r="BB22" s="127">
        <f>Aug!FM60</f>
        <v>11370.064999999999</v>
      </c>
      <c r="BC22" s="127">
        <f>Aug!GM23</f>
        <v>0</v>
      </c>
      <c r="BD22" s="127">
        <f t="shared" si="9"/>
        <v>40603.525000000722</v>
      </c>
      <c r="BE22" s="127">
        <f>Aug!GP23</f>
        <v>0</v>
      </c>
      <c r="BF22" s="127">
        <f>Aug!GS23</f>
        <v>0</v>
      </c>
      <c r="BG22" s="127">
        <f t="shared" si="10"/>
        <v>0</v>
      </c>
      <c r="BH22" s="127">
        <f t="shared" si="2"/>
        <v>438</v>
      </c>
      <c r="BI22" s="127"/>
      <c r="BJ22" s="127"/>
      <c r="BK22" s="127"/>
      <c r="BL22" s="128"/>
      <c r="BM22" s="128">
        <f t="shared" si="16"/>
        <v>990.5000000003638</v>
      </c>
      <c r="BN22" s="128"/>
      <c r="BO22" s="128">
        <f t="shared" si="11"/>
        <v>990.5000000003638</v>
      </c>
      <c r="BP22" s="128"/>
      <c r="BQ22" s="128">
        <f t="shared" si="17"/>
        <v>0</v>
      </c>
      <c r="BR22" s="128"/>
      <c r="BS22" s="128">
        <f t="shared" si="12"/>
        <v>0</v>
      </c>
      <c r="BT22" s="42">
        <f>[10]Aug!D61</f>
        <v>0</v>
      </c>
      <c r="BU22" s="42">
        <f>[10]Aug!G62</f>
        <v>88000</v>
      </c>
      <c r="BV22" t="s">
        <v>393</v>
      </c>
      <c r="BW22" s="151"/>
      <c r="BX22" s="42">
        <f>Aug!HJ23</f>
        <v>142000</v>
      </c>
      <c r="BY22" s="42">
        <f>Aug!HM23</f>
        <v>0</v>
      </c>
      <c r="BZ22" s="42">
        <f>Aug!HP23</f>
        <v>33499.999999999454</v>
      </c>
      <c r="CA22" s="42">
        <f>Aug!HS23</f>
        <v>1000.0000000003638</v>
      </c>
      <c r="CB22" s="42">
        <f>Aug!HV23</f>
        <v>26600.000000000273</v>
      </c>
      <c r="CC22" s="42">
        <f>Aug!HY23</f>
        <v>25700.000000000182</v>
      </c>
      <c r="CD22" s="42">
        <f>Aug!IB23</f>
        <v>30900</v>
      </c>
      <c r="CE22" s="42">
        <f>Aug!IE23</f>
        <v>0</v>
      </c>
      <c r="CF22" s="42">
        <f>Aug!IH23</f>
        <v>24300</v>
      </c>
    </row>
    <row r="23" spans="1:84" x14ac:dyDescent="0.25">
      <c r="A23" s="26">
        <f t="shared" si="13"/>
        <v>17</v>
      </c>
      <c r="B23" s="42">
        <f>Aug!G24</f>
        <v>360959.99999999913</v>
      </c>
      <c r="C23" s="42">
        <f>Aug!N24</f>
        <v>362000</v>
      </c>
      <c r="D23" s="42">
        <f>Aug!T24</f>
        <v>250.93999999947846</v>
      </c>
      <c r="E23" s="42">
        <f>Aug!V24</f>
        <v>0</v>
      </c>
      <c r="F23" s="42">
        <f>Aug!AB24</f>
        <v>0</v>
      </c>
      <c r="G23" s="42">
        <f>Aug!X24</f>
        <v>17349.060000000885</v>
      </c>
      <c r="H23" s="42">
        <f>Aug!AE24</f>
        <v>6199.9999999998181</v>
      </c>
      <c r="I23" s="42">
        <f>Aug!AI24</f>
        <v>14524.770000000364</v>
      </c>
      <c r="J23" s="42">
        <f>Aug!AN24</f>
        <v>7184.7700000008372</v>
      </c>
      <c r="K23" s="42">
        <f>Aug!AR24</f>
        <v>11000</v>
      </c>
      <c r="L23" s="42">
        <f>Aug!AZ24</f>
        <v>450</v>
      </c>
      <c r="M23" s="42">
        <f>Aug!BC24</f>
        <v>640</v>
      </c>
      <c r="N23" s="125">
        <f t="shared" si="3"/>
        <v>57599.540000001376</v>
      </c>
      <c r="O23" s="125">
        <f>Aug!CA24</f>
        <v>872.50000000000227</v>
      </c>
      <c r="P23" s="125">
        <f>Aug!CD24</f>
        <v>1979.0999999999767</v>
      </c>
      <c r="Q23" s="125">
        <f>Aug!CF24</f>
        <v>5539</v>
      </c>
      <c r="R23" s="125">
        <f>Aug!CH24</f>
        <v>2387.9000000000087</v>
      </c>
      <c r="S23" s="125">
        <f>Aug!CK24</f>
        <v>16712.27000000167</v>
      </c>
      <c r="T23" s="125">
        <f>Aug!CO24</f>
        <v>8346.7699999995712</v>
      </c>
      <c r="U23" s="125">
        <f>Aug!CS24</f>
        <v>7347.1700000000237</v>
      </c>
      <c r="V23" s="126">
        <f t="shared" si="4"/>
        <v>43184.710000001258</v>
      </c>
      <c r="W23" s="126">
        <f>Aug!CW24</f>
        <v>335</v>
      </c>
      <c r="X23" s="126">
        <f>Aug!DA24</f>
        <v>87</v>
      </c>
      <c r="Y23" s="126">
        <f t="shared" si="1"/>
        <v>422</v>
      </c>
      <c r="Z23" s="42">
        <f>Aug!BR24</f>
        <v>199.99999999993179</v>
      </c>
      <c r="AA23" s="126">
        <f>Aug!BG24</f>
        <v>1699.9999999998181</v>
      </c>
      <c r="AB23" s="126">
        <f>Aug!BJ24</f>
        <v>9399.9999999996362</v>
      </c>
      <c r="AC23" s="126">
        <f>Aug!BL24+Aug!BN24+Aug!BP24</f>
        <v>4739.9999999999591</v>
      </c>
      <c r="AD23" s="126">
        <f>Aug!DR24</f>
        <v>7900</v>
      </c>
      <c r="AE23" s="127">
        <f>Aug!DT24-Aug!DR64-Aug!DT64</f>
        <v>20600</v>
      </c>
      <c r="AF23" s="127">
        <f>Aug!DR64+Aug!DT64</f>
        <v>0</v>
      </c>
      <c r="AG23" s="127">
        <f>Aug!HJ24-AE23</f>
        <v>117400</v>
      </c>
      <c r="AH23" s="127">
        <f>Aug!DW24</f>
        <v>4200.0000000007276</v>
      </c>
      <c r="AI23" s="127">
        <f>Aug!DZ24</f>
        <v>7924.77</v>
      </c>
      <c r="AJ23" s="127">
        <f>Aug!EC24</f>
        <v>25084.77</v>
      </c>
      <c r="AK23" s="127">
        <f t="shared" si="5"/>
        <v>37209.540000000728</v>
      </c>
      <c r="AL23" s="127">
        <f>Aug!EG24</f>
        <v>29084.77</v>
      </c>
      <c r="AM23" s="127">
        <f>Aug!EJ24</f>
        <v>9924.77</v>
      </c>
      <c r="AN23" s="127">
        <f>Aug!EM24</f>
        <v>800.00000000006821</v>
      </c>
      <c r="AO23" s="127">
        <f t="shared" si="6"/>
        <v>39809.540000000066</v>
      </c>
      <c r="AP23" s="127">
        <f>Aug!FX24</f>
        <v>13800</v>
      </c>
      <c r="AQ23" s="127">
        <f>Aug!GA24</f>
        <v>2806</v>
      </c>
      <c r="AR23" s="127">
        <f>Aug!GG24</f>
        <v>4005.9999999992724</v>
      </c>
      <c r="AS23" s="127">
        <f t="shared" si="7"/>
        <v>20611.999999999272</v>
      </c>
      <c r="AT23" s="127">
        <f>Aug!EQ24</f>
        <v>5964.7699999999641</v>
      </c>
      <c r="AU23" s="127">
        <f>Aug!ET24</f>
        <v>18000</v>
      </c>
      <c r="AV23" s="127">
        <f>Aug!EW24</f>
        <v>9424.77</v>
      </c>
      <c r="AW23" s="127">
        <f>Aug!FL61</f>
        <v>11314.77</v>
      </c>
      <c r="AX23" s="127">
        <f>Aug!GJ24</f>
        <v>2794</v>
      </c>
      <c r="AY23" s="127">
        <f t="shared" si="8"/>
        <v>47498.309999999969</v>
      </c>
      <c r="AZ23" s="127">
        <f>Aug!FG24</f>
        <v>9664.7700000000368</v>
      </c>
      <c r="BA23" s="127">
        <f>Aug!FJ24</f>
        <v>18704.77</v>
      </c>
      <c r="BB23" s="127">
        <f>Aug!FM61</f>
        <v>11314.77</v>
      </c>
      <c r="BC23" s="127">
        <f>Aug!GM24</f>
        <v>0</v>
      </c>
      <c r="BD23" s="127">
        <f t="shared" si="9"/>
        <v>39684.310000000041</v>
      </c>
      <c r="BE23" s="127">
        <f>Aug!GP24</f>
        <v>0</v>
      </c>
      <c r="BF23" s="127">
        <f>Aug!GS24</f>
        <v>0</v>
      </c>
      <c r="BG23" s="127">
        <f t="shared" si="10"/>
        <v>0</v>
      </c>
      <c r="BH23" s="127">
        <f t="shared" si="2"/>
        <v>422</v>
      </c>
      <c r="BI23" s="127"/>
      <c r="BJ23" s="127"/>
      <c r="BK23" s="127"/>
      <c r="BL23" s="128"/>
      <c r="BM23" s="128">
        <f t="shared" ref="BM23:BM32" si="18">AS23*100/100</f>
        <v>20611.999999999272</v>
      </c>
      <c r="BN23" s="128"/>
      <c r="BO23" s="128">
        <f t="shared" si="11"/>
        <v>0</v>
      </c>
      <c r="BP23" s="128"/>
      <c r="BQ23" s="128">
        <f t="shared" si="17"/>
        <v>0</v>
      </c>
      <c r="BR23" s="128"/>
      <c r="BS23" s="128">
        <f t="shared" si="12"/>
        <v>0</v>
      </c>
      <c r="BT23" s="42">
        <f>[10]Aug!D62</f>
        <v>0</v>
      </c>
      <c r="BU23" s="42">
        <f>[10]Aug!G63</f>
        <v>87000</v>
      </c>
      <c r="BV23" t="s">
        <v>393</v>
      </c>
      <c r="BX23" s="42">
        <f>Aug!HJ24</f>
        <v>138000</v>
      </c>
      <c r="BY23" s="42">
        <f>Aug!HM24</f>
        <v>0</v>
      </c>
      <c r="BZ23" s="42">
        <f>Aug!HP24</f>
        <v>32097.5</v>
      </c>
      <c r="CA23" s="42">
        <f>Aug!HS24</f>
        <v>1097.5</v>
      </c>
      <c r="CB23" s="42">
        <f>Aug!HV24</f>
        <v>27807.500000000036</v>
      </c>
      <c r="CC23" s="42">
        <f>Aug!HY24</f>
        <v>25497.500000000091</v>
      </c>
      <c r="CD23" s="42">
        <f>Aug!IB24</f>
        <v>30900</v>
      </c>
      <c r="CE23" s="42">
        <f>Aug!IE24</f>
        <v>0</v>
      </c>
      <c r="CF23" s="42">
        <f>Aug!IH24</f>
        <v>20600</v>
      </c>
    </row>
    <row r="24" spans="1:84" x14ac:dyDescent="0.25">
      <c r="A24" s="26">
        <f t="shared" si="13"/>
        <v>18</v>
      </c>
      <c r="B24" s="42">
        <f>Aug!G25</f>
        <v>389440.0000000096</v>
      </c>
      <c r="C24" s="42">
        <f>Aug!N25</f>
        <v>389000</v>
      </c>
      <c r="D24" s="42">
        <f>Aug!T25</f>
        <v>271.37000000104308</v>
      </c>
      <c r="E24" s="42">
        <f>Aug!V25</f>
        <v>0</v>
      </c>
      <c r="F24" s="42">
        <f>Aug!AB25</f>
        <v>100</v>
      </c>
      <c r="G24" s="42">
        <f>Aug!X25</f>
        <v>17628.629999998957</v>
      </c>
      <c r="H24" s="42">
        <f>Aug!AE25</f>
        <v>8000</v>
      </c>
      <c r="I24" s="42">
        <f>Aug!AI25</f>
        <v>18159.29</v>
      </c>
      <c r="J24" s="42">
        <f>Aug!AN25</f>
        <v>6129.2899999995416</v>
      </c>
      <c r="K24" s="42">
        <f>Aug!AR25</f>
        <v>9300.0000000010914</v>
      </c>
      <c r="L24" s="42">
        <f>Aug!AZ25</f>
        <v>390</v>
      </c>
      <c r="M24" s="42">
        <f>Aug!BC25</f>
        <v>650</v>
      </c>
      <c r="N24" s="125">
        <f t="shared" si="3"/>
        <v>60628.580000000635</v>
      </c>
      <c r="O24" s="125">
        <f>Aug!CA25</f>
        <v>732.89999999997235</v>
      </c>
      <c r="P24" s="125">
        <f>Aug!CD25</f>
        <v>1941.2999999999302</v>
      </c>
      <c r="Q24" s="125">
        <f>Aug!CF25</f>
        <v>6599</v>
      </c>
      <c r="R24" s="125">
        <f>Aug!CH25</f>
        <v>2485</v>
      </c>
      <c r="S24" s="125">
        <f>Aug!CK25</f>
        <v>17656.389999999592</v>
      </c>
      <c r="T24" s="125">
        <f>Aug!CO25</f>
        <v>9201.2900000003719</v>
      </c>
      <c r="U24" s="125">
        <f>Aug!CS25</f>
        <v>7726.5900000000465</v>
      </c>
      <c r="V24" s="126">
        <f t="shared" si="4"/>
        <v>46342.469999999914</v>
      </c>
      <c r="W24" s="126">
        <f>Aug!CW25</f>
        <v>347</v>
      </c>
      <c r="X24" s="126">
        <f>Aug!DA25</f>
        <v>104</v>
      </c>
      <c r="Y24" s="126">
        <f t="shared" si="1"/>
        <v>451</v>
      </c>
      <c r="Z24" s="42">
        <f>Aug!BR25</f>
        <v>700.00000000004547</v>
      </c>
      <c r="AA24" s="126">
        <f>Aug!BG25</f>
        <v>1700.0000000002728</v>
      </c>
      <c r="AB24" s="126">
        <f>Aug!BJ25</f>
        <v>8799.9999999992724</v>
      </c>
      <c r="AC24" s="126">
        <f>Aug!BL25+Aug!BN25+Aug!BP25</f>
        <v>5230.00000000005</v>
      </c>
      <c r="AD24" s="126">
        <f>Aug!DR25</f>
        <v>10100</v>
      </c>
      <c r="AE24" s="127">
        <f>Aug!DT25-Aug!DR65-Aug!DT65</f>
        <v>24400</v>
      </c>
      <c r="AF24" s="127">
        <f>Aug!DR65+Aug!DT65</f>
        <v>0</v>
      </c>
      <c r="AG24" s="127">
        <f>Aug!HJ25-AE24</f>
        <v>127600</v>
      </c>
      <c r="AH24" s="127">
        <f>Aug!DW25</f>
        <v>4000</v>
      </c>
      <c r="AI24" s="127">
        <f>Aug!DZ25</f>
        <v>8159.29</v>
      </c>
      <c r="AJ24" s="127">
        <f>Aug!EC25</f>
        <v>24319.29</v>
      </c>
      <c r="AK24" s="127">
        <f t="shared" si="5"/>
        <v>36478.58</v>
      </c>
      <c r="AL24" s="127">
        <f>Aug!EG25</f>
        <v>24319.29</v>
      </c>
      <c r="AM24" s="127">
        <f>Aug!EJ25</f>
        <v>11159.29</v>
      </c>
      <c r="AN24" s="127">
        <f>Aug!EM25</f>
        <v>739.99999999989541</v>
      </c>
      <c r="AO24" s="127">
        <f t="shared" si="6"/>
        <v>36218.5799999999</v>
      </c>
      <c r="AP24" s="127">
        <f>Aug!FX25</f>
        <v>13000</v>
      </c>
      <c r="AQ24" s="127">
        <f>Aug!GA25</f>
        <v>3295</v>
      </c>
      <c r="AR24" s="127">
        <f>Aug!GG25</f>
        <v>4483.9999999998636</v>
      </c>
      <c r="AS24" s="127">
        <f t="shared" si="7"/>
        <v>20778.999999999862</v>
      </c>
      <c r="AT24" s="127">
        <f>Aug!EQ25</f>
        <v>7269.2900000000136</v>
      </c>
      <c r="AU24" s="127">
        <f>Aug!ET25</f>
        <v>17000</v>
      </c>
      <c r="AV24" s="127">
        <f>Aug!EW25</f>
        <v>10459.290000000183</v>
      </c>
      <c r="AW24" s="127">
        <f>Aug!FL62</f>
        <v>12010.955000000002</v>
      </c>
      <c r="AX24" s="127">
        <f>Aug!GJ25</f>
        <v>2416</v>
      </c>
      <c r="AY24" s="127">
        <f t="shared" si="8"/>
        <v>49155.5350000002</v>
      </c>
      <c r="AZ24" s="127">
        <f>Aug!FG25</f>
        <v>9752.6199999999881</v>
      </c>
      <c r="BA24" s="127">
        <f>Aug!FJ25</f>
        <v>17862.620000000003</v>
      </c>
      <c r="BB24" s="127">
        <f>Aug!FM62</f>
        <v>12010.955000000002</v>
      </c>
      <c r="BC24" s="127">
        <f>Aug!GM25</f>
        <v>100.00000000013642</v>
      </c>
      <c r="BD24" s="127">
        <f t="shared" si="9"/>
        <v>39726.195000000131</v>
      </c>
      <c r="BE24" s="127">
        <f>Aug!GP25</f>
        <v>10</v>
      </c>
      <c r="BF24" s="127">
        <f>Aug!GS25</f>
        <v>120</v>
      </c>
      <c r="BG24" s="127">
        <f t="shared" si="10"/>
        <v>130</v>
      </c>
      <c r="BH24" s="127">
        <f t="shared" si="2"/>
        <v>451</v>
      </c>
      <c r="BI24" s="127"/>
      <c r="BJ24" s="127"/>
      <c r="BK24" s="127"/>
      <c r="BL24" s="128"/>
      <c r="BM24" s="128">
        <f t="shared" si="18"/>
        <v>20778.999999999862</v>
      </c>
      <c r="BN24" s="128"/>
      <c r="BO24" s="128">
        <f t="shared" si="11"/>
        <v>0</v>
      </c>
      <c r="BP24" s="128"/>
      <c r="BQ24" s="128">
        <f t="shared" ref="BQ24:BQ37" si="19">BG24*100/100</f>
        <v>130</v>
      </c>
      <c r="BR24" s="128"/>
      <c r="BS24" s="128">
        <f t="shared" si="12"/>
        <v>0</v>
      </c>
      <c r="BT24" s="42">
        <f>[10]Aug!D63</f>
        <v>0</v>
      </c>
      <c r="BU24" s="42">
        <f>[10]Aug!G64</f>
        <v>79000</v>
      </c>
      <c r="BV24" t="s">
        <v>395</v>
      </c>
      <c r="BX24" s="42">
        <f>Aug!HJ25</f>
        <v>152000</v>
      </c>
      <c r="BY24" s="42">
        <f>Aug!HM25</f>
        <v>0</v>
      </c>
      <c r="BZ24" s="42">
        <f>Aug!HP25</f>
        <v>34302.500000000728</v>
      </c>
      <c r="CA24" s="42">
        <f>Aug!HS25</f>
        <v>3902.5000000001819</v>
      </c>
      <c r="CB24" s="42">
        <f>Aug!HV25</f>
        <v>28892.499999999964</v>
      </c>
      <c r="CC24" s="42">
        <f>Aug!HY25</f>
        <v>27902.499999999727</v>
      </c>
      <c r="CD24" s="42">
        <f>Aug!IB25</f>
        <v>32600</v>
      </c>
      <c r="CE24" s="42">
        <f>Aug!IE25</f>
        <v>0</v>
      </c>
      <c r="CF24" s="42">
        <f>Aug!IH25</f>
        <v>24400</v>
      </c>
    </row>
    <row r="25" spans="1:84" x14ac:dyDescent="0.25">
      <c r="A25" s="26">
        <f t="shared" si="13"/>
        <v>19</v>
      </c>
      <c r="B25" s="42">
        <f>Aug!G26</f>
        <v>396799.99999999563</v>
      </c>
      <c r="C25" s="42">
        <f>Aug!N26</f>
        <v>383000</v>
      </c>
      <c r="D25" s="42">
        <f>Aug!T26</f>
        <v>340.25</v>
      </c>
      <c r="E25" s="42">
        <f>Aug!V26</f>
        <v>0</v>
      </c>
      <c r="F25" s="42">
        <f>Aug!AB26</f>
        <v>100</v>
      </c>
      <c r="G25" s="42">
        <f>Aug!X26</f>
        <v>17259.749999998909</v>
      </c>
      <c r="H25" s="42">
        <f>Aug!AE26</f>
        <v>7500</v>
      </c>
      <c r="I25" s="42">
        <f>Aug!AI26</f>
        <v>17793.229999998908</v>
      </c>
      <c r="J25" s="42">
        <f>Aug!AN26</f>
        <v>5493.2300000004179</v>
      </c>
      <c r="K25" s="42">
        <f>Aug!AR26</f>
        <v>9299.9999999992724</v>
      </c>
      <c r="L25" s="42">
        <f>Aug!AZ26</f>
        <v>400</v>
      </c>
      <c r="M25" s="42">
        <f>Aug!BC26</f>
        <v>620</v>
      </c>
      <c r="N25" s="125">
        <f t="shared" si="3"/>
        <v>58806.459999997503</v>
      </c>
      <c r="O25" s="125">
        <f>Aug!CA26</f>
        <v>660.20000000003165</v>
      </c>
      <c r="P25" s="125">
        <f>Aug!CD26</f>
        <v>4464.6000000000931</v>
      </c>
      <c r="Q25" s="125">
        <f>Aug!CF26</f>
        <v>6897</v>
      </c>
      <c r="R25" s="125">
        <f>Aug!CH26</f>
        <v>2418.8999999999942</v>
      </c>
      <c r="S25" s="125">
        <f>Aug!CK26</f>
        <v>17693.030000000188</v>
      </c>
      <c r="T25" s="125">
        <f>Aug!CO26</f>
        <v>8760.2299999994611</v>
      </c>
      <c r="U25" s="125">
        <f>Aug!CS26</f>
        <v>7215.3299999999763</v>
      </c>
      <c r="V25" s="126">
        <f t="shared" si="4"/>
        <v>48109.289999999746</v>
      </c>
      <c r="W25" s="126">
        <f>Aug!CW26</f>
        <v>339</v>
      </c>
      <c r="X25" s="126">
        <f>Aug!DA26</f>
        <v>109</v>
      </c>
      <c r="Y25" s="126">
        <f t="shared" si="1"/>
        <v>448</v>
      </c>
      <c r="Z25" s="42">
        <f>Aug!BR26</f>
        <v>699.99999999993179</v>
      </c>
      <c r="AA25" s="126">
        <f>Aug!BG26</f>
        <v>1699.9999999998181</v>
      </c>
      <c r="AB25" s="126">
        <f>Aug!BJ26</f>
        <v>9200.0000000007276</v>
      </c>
      <c r="AC25" s="126">
        <f>Aug!BL26+Aug!BN26+Aug!BP26</f>
        <v>5000.0000000000136</v>
      </c>
      <c r="AD25" s="126">
        <f>Aug!DR26</f>
        <v>10000</v>
      </c>
      <c r="AE25" s="127">
        <f>Aug!DT26-Aug!DR66-Aug!DT66</f>
        <v>21700</v>
      </c>
      <c r="AF25" s="127">
        <f>Aug!DR66+Aug!DT66</f>
        <v>0</v>
      </c>
      <c r="AG25" s="127">
        <f>Aug!HJ26-AE25</f>
        <v>132300</v>
      </c>
      <c r="AH25" s="127">
        <f>Aug!DW26</f>
        <v>4000</v>
      </c>
      <c r="AI25" s="127">
        <f>Aug!DZ26</f>
        <v>8093.23</v>
      </c>
      <c r="AJ25" s="127">
        <f>Aug!EC26</f>
        <v>22253.23</v>
      </c>
      <c r="AK25" s="127">
        <f t="shared" si="5"/>
        <v>34346.46</v>
      </c>
      <c r="AL25" s="127">
        <f>Aug!EG26</f>
        <v>28253.23</v>
      </c>
      <c r="AM25" s="127">
        <f>Aug!EJ26</f>
        <v>13093.23</v>
      </c>
      <c r="AN25" s="127">
        <f>Aug!EM26</f>
        <v>620.00000000000455</v>
      </c>
      <c r="AO25" s="127">
        <f t="shared" si="6"/>
        <v>41966.460000000006</v>
      </c>
      <c r="AP25" s="127">
        <f>Aug!FX26</f>
        <v>16300</v>
      </c>
      <c r="AQ25" s="127">
        <f>Aug!GA26</f>
        <v>3939</v>
      </c>
      <c r="AR25" s="127">
        <f>Aug!GG26</f>
        <v>3325.0000000001819</v>
      </c>
      <c r="AS25" s="127">
        <f t="shared" si="7"/>
        <v>23564.000000000182</v>
      </c>
      <c r="AT25" s="127">
        <f>Aug!EQ26</f>
        <v>6058.2300000000314</v>
      </c>
      <c r="AU25" s="127">
        <f>Aug!ET26</f>
        <v>19000</v>
      </c>
      <c r="AV25" s="127">
        <f>Aug!EW26</f>
        <v>10693.229999999454</v>
      </c>
      <c r="AW25" s="127">
        <f>Aug!FL63</f>
        <v>10754.064999999999</v>
      </c>
      <c r="AX25" s="127">
        <f>Aug!GJ26</f>
        <v>1975</v>
      </c>
      <c r="AY25" s="127">
        <f t="shared" si="8"/>
        <v>48480.524999999485</v>
      </c>
      <c r="AZ25" s="127">
        <f>Aug!FG26</f>
        <v>10449.899999999969</v>
      </c>
      <c r="BA25" s="127">
        <f>Aug!FJ26</f>
        <v>20414.899999999998</v>
      </c>
      <c r="BB25" s="127">
        <f>Aug!FM63</f>
        <v>10754.064999999999</v>
      </c>
      <c r="BC25" s="127">
        <f>Aug!GM26</f>
        <v>1699.9999999998181</v>
      </c>
      <c r="BD25" s="127">
        <f t="shared" si="9"/>
        <v>43318.86499999978</v>
      </c>
      <c r="BE25" s="127">
        <f>Aug!GP26</f>
        <v>0</v>
      </c>
      <c r="BF25" s="127">
        <f>Aug!GS26</f>
        <v>160</v>
      </c>
      <c r="BG25" s="127">
        <f t="shared" si="10"/>
        <v>160</v>
      </c>
      <c r="BH25" s="127">
        <f t="shared" si="2"/>
        <v>448</v>
      </c>
      <c r="BI25" s="127"/>
      <c r="BJ25" s="127"/>
      <c r="BK25" s="127"/>
      <c r="BL25" s="128"/>
      <c r="BM25" s="128">
        <f t="shared" si="18"/>
        <v>23564.000000000182</v>
      </c>
      <c r="BN25" s="128"/>
      <c r="BO25" s="128">
        <f t="shared" si="11"/>
        <v>0</v>
      </c>
      <c r="BP25" s="128"/>
      <c r="BQ25" s="128">
        <f t="shared" si="19"/>
        <v>160</v>
      </c>
      <c r="BR25" s="128"/>
      <c r="BS25" s="128">
        <f t="shared" si="12"/>
        <v>0</v>
      </c>
      <c r="BT25" s="42">
        <f>[10]Aug!D64</f>
        <v>0</v>
      </c>
      <c r="BU25" s="42">
        <f>[10]Aug!G65</f>
        <v>83000</v>
      </c>
      <c r="BV25" t="s">
        <v>395</v>
      </c>
      <c r="BX25" s="42">
        <f>Aug!HJ26</f>
        <v>154000</v>
      </c>
      <c r="BY25" s="42">
        <f>Aug!HM26</f>
        <v>0</v>
      </c>
      <c r="BZ25" s="42">
        <f>Aug!HP26</f>
        <v>35774.999999999636</v>
      </c>
      <c r="CA25" s="42">
        <f>Aug!HS26</f>
        <v>12474.999999999454</v>
      </c>
      <c r="CB25" s="42">
        <f>Aug!HV26</f>
        <v>28275.000000000091</v>
      </c>
      <c r="CC25" s="42">
        <f>Aug!HY26</f>
        <v>23675.000000000182</v>
      </c>
      <c r="CD25" s="42">
        <f>Aug!IB26</f>
        <v>32100</v>
      </c>
      <c r="CE25" s="42">
        <f>Aug!IE26</f>
        <v>0</v>
      </c>
      <c r="CF25" s="42">
        <f>Aug!IH26</f>
        <v>21700</v>
      </c>
    </row>
    <row r="26" spans="1:84" x14ac:dyDescent="0.25">
      <c r="A26" s="26">
        <f t="shared" si="13"/>
        <v>20</v>
      </c>
      <c r="B26" s="42">
        <f>Aug!G27</f>
        <v>409600.00000000582</v>
      </c>
      <c r="C26" s="42">
        <f>Aug!N27</f>
        <v>417000</v>
      </c>
      <c r="D26" s="42">
        <f>Aug!T27</f>
        <v>386.33000000007451</v>
      </c>
      <c r="E26" s="42">
        <f>Aug!V27</f>
        <v>0</v>
      </c>
      <c r="F26" s="42">
        <f>Aug!AB27</f>
        <v>0</v>
      </c>
      <c r="G26" s="42">
        <f>Aug!X27</f>
        <v>17813.670000000653</v>
      </c>
      <c r="H26" s="42">
        <f>Aug!AE27</f>
        <v>7800.0000000001819</v>
      </c>
      <c r="I26" s="42">
        <f>Aug!AI27</f>
        <v>17908.400000001093</v>
      </c>
      <c r="J26" s="42">
        <f>Aug!AN27</f>
        <v>5548.4000000006954</v>
      </c>
      <c r="K26" s="42">
        <f>Aug!AR27</f>
        <v>8700.0000000007276</v>
      </c>
      <c r="L26" s="42">
        <f>Aug!AZ27</f>
        <v>90</v>
      </c>
      <c r="M26" s="42">
        <f>Aug!BC27</f>
        <v>30</v>
      </c>
      <c r="N26" s="125">
        <f t="shared" si="3"/>
        <v>58276.800000003423</v>
      </c>
      <c r="O26" s="125">
        <f>Aug!CA27</f>
        <v>853.79999999997835</v>
      </c>
      <c r="P26" s="125">
        <f>Aug!CD27</f>
        <v>3994.5999999999767</v>
      </c>
      <c r="Q26" s="125">
        <f>Aug!CF27</f>
        <v>5546</v>
      </c>
      <c r="R26" s="125">
        <f>Aug!CH27</f>
        <v>2442.3999999999942</v>
      </c>
      <c r="S26" s="125">
        <f>Aug!CK27</f>
        <v>18294.599999999078</v>
      </c>
      <c r="T26" s="125">
        <f>Aug!CO27</f>
        <v>9511.400000000247</v>
      </c>
      <c r="U26" s="125">
        <f>Aug!CS27</f>
        <v>7646.4</v>
      </c>
      <c r="V26" s="126">
        <f t="shared" si="4"/>
        <v>48289.199999999277</v>
      </c>
      <c r="W26" s="126">
        <f>Aug!CW27</f>
        <v>348</v>
      </c>
      <c r="X26" s="126">
        <f>Aug!DA27</f>
        <v>100</v>
      </c>
      <c r="Y26" s="126">
        <f t="shared" si="1"/>
        <v>448</v>
      </c>
      <c r="Z26" s="42">
        <f>Aug!BR27</f>
        <v>700.00000000004547</v>
      </c>
      <c r="AA26" s="126">
        <f>Aug!BG27</f>
        <v>1500</v>
      </c>
      <c r="AB26" s="126">
        <f>Aug!BJ27</f>
        <v>8399.9999999996362</v>
      </c>
      <c r="AC26" s="126">
        <f>Aug!BL27+Aug!BN27+Aug!BP27</f>
        <v>5059.9999999999864</v>
      </c>
      <c r="AD26" s="126">
        <f>Aug!DR27</f>
        <v>10300</v>
      </c>
      <c r="AE26" s="127">
        <f>Aug!DT27-Aug!DR67-Aug!DT67</f>
        <v>22900</v>
      </c>
      <c r="AF26" s="127">
        <f>Aug!DR67+Aug!DT67</f>
        <v>0</v>
      </c>
      <c r="AG26" s="127">
        <f>Aug!HJ27-AE26</f>
        <v>131100</v>
      </c>
      <c r="AH26" s="127">
        <f>Aug!DW27</f>
        <v>4500</v>
      </c>
      <c r="AI26" s="127">
        <f>Aug!DZ27</f>
        <v>8608.4</v>
      </c>
      <c r="AJ26" s="127">
        <f>Aug!EC27</f>
        <v>23768.400000000001</v>
      </c>
      <c r="AK26" s="127">
        <f t="shared" si="5"/>
        <v>36876.800000000003</v>
      </c>
      <c r="AL26" s="127">
        <f>Aug!EG27</f>
        <v>22768.400000000001</v>
      </c>
      <c r="AM26" s="127">
        <f>Aug!EJ27</f>
        <v>12608.4</v>
      </c>
      <c r="AN26" s="127">
        <f>Aug!EM27</f>
        <v>730.00000000001819</v>
      </c>
      <c r="AO26" s="127">
        <f t="shared" si="6"/>
        <v>36106.800000000017</v>
      </c>
      <c r="AP26" s="127">
        <f>Aug!FX27</f>
        <v>23100</v>
      </c>
      <c r="AQ26" s="127">
        <f>Aug!GA27</f>
        <v>5347</v>
      </c>
      <c r="AR26" s="127">
        <f>Aug!GG27</f>
        <v>6435.9999999999545</v>
      </c>
      <c r="AS26" s="127">
        <f t="shared" si="7"/>
        <v>34882.999999999956</v>
      </c>
      <c r="AT26" s="127">
        <f>Aug!EQ27</f>
        <v>7693.3999999999796</v>
      </c>
      <c r="AU26" s="127">
        <f>Aug!ET27</f>
        <v>18000</v>
      </c>
      <c r="AV26" s="127">
        <f>Aug!EW27</f>
        <v>10908.400000000182</v>
      </c>
      <c r="AW26" s="127">
        <f>Aug!FL64</f>
        <v>11789.235000000001</v>
      </c>
      <c r="AX26" s="127">
        <f>Aug!GJ27</f>
        <v>1864</v>
      </c>
      <c r="AY26" s="127">
        <f t="shared" si="8"/>
        <v>50255.035000000164</v>
      </c>
      <c r="AZ26" s="127">
        <f>Aug!FG27</f>
        <v>9885.0700000000197</v>
      </c>
      <c r="BA26" s="127">
        <f>Aug!FJ27</f>
        <v>18970.07</v>
      </c>
      <c r="BB26" s="127">
        <f>Aug!FM64</f>
        <v>11789.235000000001</v>
      </c>
      <c r="BC26" s="127">
        <f>Aug!GM27</f>
        <v>1700.0000000000455</v>
      </c>
      <c r="BD26" s="127">
        <f t="shared" si="9"/>
        <v>42344.375000000065</v>
      </c>
      <c r="BE26" s="127">
        <f>Aug!GP27</f>
        <v>10</v>
      </c>
      <c r="BF26" s="127">
        <f>Aug!GS27</f>
        <v>150</v>
      </c>
      <c r="BG26" s="127">
        <f t="shared" si="10"/>
        <v>160</v>
      </c>
      <c r="BH26" s="127">
        <f t="shared" si="2"/>
        <v>448</v>
      </c>
      <c r="BI26" s="127"/>
      <c r="BJ26" s="127"/>
      <c r="BK26" s="127"/>
      <c r="BL26" s="128"/>
      <c r="BM26" s="128">
        <f t="shared" si="18"/>
        <v>34882.999999999956</v>
      </c>
      <c r="BN26" s="128"/>
      <c r="BO26" s="128">
        <f t="shared" si="11"/>
        <v>0</v>
      </c>
      <c r="BP26" s="128"/>
      <c r="BQ26" s="128">
        <f t="shared" si="19"/>
        <v>160</v>
      </c>
      <c r="BR26" s="128"/>
      <c r="BS26" s="128">
        <f t="shared" si="12"/>
        <v>0</v>
      </c>
      <c r="BT26" s="42">
        <f>[10]Aug!D65</f>
        <v>0</v>
      </c>
      <c r="BU26" s="42">
        <f>[10]Aug!G66</f>
        <v>78000</v>
      </c>
      <c r="BV26" t="s">
        <v>395</v>
      </c>
      <c r="BX26" s="42">
        <f>Aug!HJ27</f>
        <v>154000</v>
      </c>
      <c r="BY26" s="42">
        <f>Aug!HM27</f>
        <v>0</v>
      </c>
      <c r="BZ26" s="42">
        <f>Aug!HP27</f>
        <v>34602.5</v>
      </c>
      <c r="CA26" s="42">
        <f>Aug!HS27</f>
        <v>15402.500000000182</v>
      </c>
      <c r="CB26" s="42">
        <f>Aug!HV27</f>
        <v>22402.499999999727</v>
      </c>
      <c r="CC26" s="42">
        <f>Aug!HY27</f>
        <v>22102.5</v>
      </c>
      <c r="CD26" s="42">
        <f>Aug!IB27</f>
        <v>36590</v>
      </c>
      <c r="CE26" s="42">
        <f>Aug!IE27</f>
        <v>0</v>
      </c>
      <c r="CF26" s="42">
        <f>Aug!IH27</f>
        <v>22900</v>
      </c>
    </row>
    <row r="27" spans="1:84" x14ac:dyDescent="0.25">
      <c r="A27" s="26">
        <f t="shared" si="13"/>
        <v>21</v>
      </c>
      <c r="B27" s="42">
        <f>Aug!G28</f>
        <v>387840.00000000378</v>
      </c>
      <c r="C27" s="42">
        <f>Aug!N28</f>
        <v>384000</v>
      </c>
      <c r="D27" s="42">
        <f>Aug!T28</f>
        <v>393.77999999932945</v>
      </c>
      <c r="E27" s="42">
        <f>Aug!V28</f>
        <v>0</v>
      </c>
      <c r="F27" s="42">
        <f>Aug!AB28</f>
        <v>100</v>
      </c>
      <c r="G27" s="42">
        <f>Aug!X28</f>
        <v>16906.220000000307</v>
      </c>
      <c r="H27" s="42">
        <f>Aug!AE28</f>
        <v>7500</v>
      </c>
      <c r="I27" s="42">
        <f>Aug!AI28</f>
        <v>17070.95</v>
      </c>
      <c r="J27" s="42">
        <f>Aug!AN28</f>
        <v>4640.9499999995687</v>
      </c>
      <c r="K27" s="42">
        <f>Aug!AR28</f>
        <v>8600.0000000003638</v>
      </c>
      <c r="L27" s="42">
        <f>Aug!AZ28</f>
        <v>20</v>
      </c>
      <c r="M27" s="42">
        <f>Aug!BC28</f>
        <v>10</v>
      </c>
      <c r="N27" s="125">
        <f t="shared" si="3"/>
        <v>55241.899999999565</v>
      </c>
      <c r="O27" s="125">
        <f>Aug!CA28</f>
        <v>804.30000000001201</v>
      </c>
      <c r="P27" s="125">
        <f>Aug!CD28</f>
        <v>2472.4000000000233</v>
      </c>
      <c r="Q27" s="125">
        <f>Aug!CF28</f>
        <v>5068</v>
      </c>
      <c r="R27" s="125">
        <f>Aug!CH28</f>
        <v>2328.3000000000029</v>
      </c>
      <c r="S27" s="125">
        <f>Aug!CK28</f>
        <v>16876.650000000569</v>
      </c>
      <c r="T27" s="125">
        <f>Aug!CO28</f>
        <v>8512.950000000008</v>
      </c>
      <c r="U27" s="125">
        <f>Aug!CS28</f>
        <v>6855.0499999999765</v>
      </c>
      <c r="V27" s="126">
        <f t="shared" si="4"/>
        <v>42917.650000000591</v>
      </c>
      <c r="W27" s="126">
        <f>Aug!CW28</f>
        <v>333</v>
      </c>
      <c r="X27" s="126">
        <f>Aug!DA28</f>
        <v>93</v>
      </c>
      <c r="Y27" s="126">
        <f t="shared" si="1"/>
        <v>426</v>
      </c>
      <c r="Z27" s="42">
        <f>Aug!BR28</f>
        <v>700.00000000004547</v>
      </c>
      <c r="AA27" s="126">
        <f>Aug!BG28</f>
        <v>1500</v>
      </c>
      <c r="AB27" s="126">
        <f>Aug!BJ28</f>
        <v>8700.0000000007276</v>
      </c>
      <c r="AC27" s="126">
        <f>Aug!BL28+Aug!BN28+Aug!BP28</f>
        <v>4630.0000000000227</v>
      </c>
      <c r="AD27" s="126">
        <f>Aug!DR28</f>
        <v>10400</v>
      </c>
      <c r="AE27" s="127">
        <f>Aug!DT28-Aug!DR68-Aug!DT68</f>
        <v>24000</v>
      </c>
      <c r="AF27" s="127">
        <f>Aug!DR68+Aug!DT68</f>
        <v>0</v>
      </c>
      <c r="AG27" s="127">
        <f>Aug!HJ28-AE27</f>
        <v>130000</v>
      </c>
      <c r="AH27" s="127">
        <f>Aug!DW28</f>
        <v>4099.9999999985448</v>
      </c>
      <c r="AI27" s="127">
        <f>Aug!DZ28</f>
        <v>8070.95</v>
      </c>
      <c r="AJ27" s="127">
        <f>Aug!EC28</f>
        <v>23230.95</v>
      </c>
      <c r="AK27" s="127">
        <f t="shared" si="5"/>
        <v>35401.899999998546</v>
      </c>
      <c r="AL27" s="127">
        <f>Aug!EG28</f>
        <v>23230.95</v>
      </c>
      <c r="AM27" s="127">
        <f>Aug!EJ28</f>
        <v>12070.95</v>
      </c>
      <c r="AN27" s="127">
        <f>Aug!EM28</f>
        <v>710.00000000003638</v>
      </c>
      <c r="AO27" s="127">
        <f t="shared" si="6"/>
        <v>36011.900000000038</v>
      </c>
      <c r="AP27" s="127">
        <f>Aug!FX28</f>
        <v>20400</v>
      </c>
      <c r="AQ27" s="127">
        <f>Aug!GA28</f>
        <v>5070</v>
      </c>
      <c r="AR27" s="127">
        <f>Aug!GG28</f>
        <v>4704</v>
      </c>
      <c r="AS27" s="127">
        <f t="shared" si="7"/>
        <v>30174</v>
      </c>
      <c r="AT27" s="127">
        <f>Aug!EQ28</f>
        <v>6135.9499999999971</v>
      </c>
      <c r="AU27" s="127">
        <f>Aug!ET28</f>
        <v>18000</v>
      </c>
      <c r="AV27" s="127">
        <f>Aug!EW28</f>
        <v>9870.9500000001826</v>
      </c>
      <c r="AW27" s="127">
        <f>Aug!FL65</f>
        <v>10748.45</v>
      </c>
      <c r="AX27" s="127">
        <f>Aug!GJ28</f>
        <v>1796</v>
      </c>
      <c r="AY27" s="127">
        <f t="shared" si="8"/>
        <v>46551.35000000018</v>
      </c>
      <c r="AZ27" s="127">
        <f>Aug!FG28</f>
        <v>9360.9500000000025</v>
      </c>
      <c r="BA27" s="127">
        <f>Aug!FJ28</f>
        <v>18425.95</v>
      </c>
      <c r="BB27" s="127">
        <f>Aug!FM65</f>
        <v>10748.45</v>
      </c>
      <c r="BC27" s="127">
        <f>Aug!GM28</f>
        <v>1500</v>
      </c>
      <c r="BD27" s="127">
        <f t="shared" si="9"/>
        <v>40035.350000000006</v>
      </c>
      <c r="BE27" s="127">
        <f>Aug!GP28</f>
        <v>0</v>
      </c>
      <c r="BF27" s="127">
        <f>Aug!GS28</f>
        <v>150</v>
      </c>
      <c r="BG27" s="127">
        <f t="shared" si="10"/>
        <v>150</v>
      </c>
      <c r="BH27" s="127">
        <f t="shared" si="2"/>
        <v>426</v>
      </c>
      <c r="BI27" s="127"/>
      <c r="BJ27" s="127"/>
      <c r="BK27" s="127"/>
      <c r="BL27" s="128"/>
      <c r="BM27" s="128">
        <f t="shared" si="18"/>
        <v>30174</v>
      </c>
      <c r="BN27" s="128"/>
      <c r="BO27" s="128">
        <f t="shared" si="11"/>
        <v>0</v>
      </c>
      <c r="BP27" s="128"/>
      <c r="BQ27" s="128">
        <f t="shared" si="19"/>
        <v>150</v>
      </c>
      <c r="BR27" s="128"/>
      <c r="BS27" s="128">
        <f t="shared" si="12"/>
        <v>0</v>
      </c>
      <c r="BT27" s="42">
        <f>[10]Aug!D66</f>
        <v>0</v>
      </c>
      <c r="BU27" s="42">
        <f>[10]Aug!G67</f>
        <v>79000</v>
      </c>
      <c r="BV27" t="s">
        <v>395</v>
      </c>
      <c r="BX27" s="42">
        <f>Aug!HJ28</f>
        <v>154000</v>
      </c>
      <c r="BY27" s="42">
        <f>Aug!HM28</f>
        <v>0</v>
      </c>
      <c r="BZ27" s="42">
        <f>Aug!HP28</f>
        <v>37947.5</v>
      </c>
      <c r="CA27" s="42">
        <f>Aug!HS28</f>
        <v>19347.499999999636</v>
      </c>
      <c r="CB27" s="42">
        <f>Aug!HV28</f>
        <v>25047.499999999909</v>
      </c>
      <c r="CC27" s="42">
        <f>Aug!HY28</f>
        <v>24347.500000000091</v>
      </c>
      <c r="CD27" s="42">
        <f>Aug!IB28</f>
        <v>23310</v>
      </c>
      <c r="CE27" s="42">
        <f>Aug!IE28</f>
        <v>0</v>
      </c>
      <c r="CF27" s="42">
        <f>Aug!IH28</f>
        <v>24000</v>
      </c>
    </row>
    <row r="28" spans="1:84" x14ac:dyDescent="0.25">
      <c r="A28" s="26">
        <f t="shared" si="13"/>
        <v>22</v>
      </c>
      <c r="B28" s="42">
        <f>Aug!G29</f>
        <v>392319.99999999971</v>
      </c>
      <c r="C28" s="42">
        <f>Aug!N29</f>
        <v>389000</v>
      </c>
      <c r="D28" s="42">
        <f>Aug!T29</f>
        <v>348.80000000074506</v>
      </c>
      <c r="E28" s="42">
        <f>Aug!V29</f>
        <v>0</v>
      </c>
      <c r="F28" s="42">
        <f>Aug!AB29</f>
        <v>100</v>
      </c>
      <c r="G28" s="42">
        <f>Aug!X29</f>
        <v>17251.199999999983</v>
      </c>
      <c r="H28" s="42">
        <f>Aug!AE29</f>
        <v>7500</v>
      </c>
      <c r="I28" s="42">
        <f>Aug!AI29</f>
        <v>16557.560000000001</v>
      </c>
      <c r="J28" s="42">
        <f>Aug!AN29</f>
        <v>4857.5599999993356</v>
      </c>
      <c r="K28" s="42">
        <f>Aug!AR29</f>
        <v>8500</v>
      </c>
      <c r="L28" s="42">
        <f>Aug!AZ29</f>
        <v>160</v>
      </c>
      <c r="M28" s="42">
        <f>Aug!BC29</f>
        <v>80</v>
      </c>
      <c r="N28" s="125">
        <f t="shared" si="3"/>
        <v>55355.120000000061</v>
      </c>
      <c r="O28" s="125">
        <f>Aug!CA29</f>
        <v>791.29999999997835</v>
      </c>
      <c r="P28" s="125">
        <f>Aug!CD29</f>
        <v>2602.0999999999767</v>
      </c>
      <c r="Q28" s="125">
        <f>Aug!CF29</f>
        <v>5008</v>
      </c>
      <c r="R28" s="125">
        <f>Aug!CH29</f>
        <v>2385.6000000000058</v>
      </c>
      <c r="S28" s="125">
        <f>Aug!CK29</f>
        <v>17186.260000000097</v>
      </c>
      <c r="T28" s="125">
        <f>Aug!CO29</f>
        <v>8777.5600000002541</v>
      </c>
      <c r="U28" s="125">
        <f>Aug!CS29</f>
        <v>7011.4600000000237</v>
      </c>
      <c r="V28" s="126">
        <f t="shared" si="4"/>
        <v>43762.280000000334</v>
      </c>
      <c r="W28" s="126">
        <f>Aug!CW29</f>
        <v>342</v>
      </c>
      <c r="X28" s="126">
        <f>Aug!DA29</f>
        <v>100</v>
      </c>
      <c r="Y28" s="126">
        <f t="shared" si="1"/>
        <v>442</v>
      </c>
      <c r="Z28" s="42">
        <f>Aug!BR29</f>
        <v>699.99999999993179</v>
      </c>
      <c r="AA28" s="126">
        <f>Aug!BG29</f>
        <v>1500</v>
      </c>
      <c r="AB28" s="126">
        <f>Aug!BJ29</f>
        <v>9100.0000000003638</v>
      </c>
      <c r="AC28" s="126">
        <f>Aug!BL29+Aug!BN29+Aug!BP29</f>
        <v>4800.0000000000045</v>
      </c>
      <c r="AD28" s="126">
        <f>Aug!DR29</f>
        <v>9400</v>
      </c>
      <c r="AE28" s="127">
        <f>Aug!DT29-Aug!DR69-Aug!DT69</f>
        <v>21500</v>
      </c>
      <c r="AF28" s="127">
        <f>Aug!DR69+Aug!DT69</f>
        <v>0</v>
      </c>
      <c r="AG28" s="127">
        <f>Aug!HJ29-AE28</f>
        <v>136500</v>
      </c>
      <c r="AH28" s="127">
        <f>Aug!DW29</f>
        <v>4300.0000000010914</v>
      </c>
      <c r="AI28" s="127">
        <f>Aug!DZ29</f>
        <v>8057.56</v>
      </c>
      <c r="AJ28" s="127">
        <f>Aug!EC29</f>
        <v>25217.56</v>
      </c>
      <c r="AK28" s="127">
        <f t="shared" si="5"/>
        <v>37575.120000001094</v>
      </c>
      <c r="AL28" s="127">
        <f>Aug!EG29</f>
        <v>23217.56</v>
      </c>
      <c r="AM28" s="127">
        <f>Aug!EJ29</f>
        <v>12057.56</v>
      </c>
      <c r="AN28" s="127">
        <f>Aug!EM29</f>
        <v>750</v>
      </c>
      <c r="AO28" s="127">
        <f t="shared" si="6"/>
        <v>36025.120000000003</v>
      </c>
      <c r="AP28" s="127">
        <f>Aug!FX29</f>
        <v>18600</v>
      </c>
      <c r="AQ28" s="127">
        <f>Aug!GA29</f>
        <v>4495</v>
      </c>
      <c r="AR28" s="127">
        <f>Aug!GG29</f>
        <v>5397.9999999999545</v>
      </c>
      <c r="AS28" s="127">
        <f t="shared" si="7"/>
        <v>28492.999999999956</v>
      </c>
      <c r="AT28" s="127">
        <f>Aug!EQ29</f>
        <v>6107.5600000000122</v>
      </c>
      <c r="AU28" s="127">
        <f>Aug!ET29</f>
        <v>18000</v>
      </c>
      <c r="AV28" s="127">
        <f>Aug!EW29</f>
        <v>10057.56</v>
      </c>
      <c r="AW28" s="127">
        <f>Aug!FL66</f>
        <v>11732.559999999998</v>
      </c>
      <c r="AX28" s="127">
        <f>Aug!GJ29</f>
        <v>1902</v>
      </c>
      <c r="AY28" s="127">
        <f t="shared" si="8"/>
        <v>47799.680000000008</v>
      </c>
      <c r="AZ28" s="127">
        <f>Aug!FG29</f>
        <v>9357.5599999999886</v>
      </c>
      <c r="BA28" s="127">
        <f>Aug!FJ29</f>
        <v>18407.560000000001</v>
      </c>
      <c r="BB28" s="127">
        <f>Aug!FM66</f>
        <v>11732.559999999998</v>
      </c>
      <c r="BC28" s="127">
        <f>Aug!GM29</f>
        <v>1700.0000000000455</v>
      </c>
      <c r="BD28" s="127">
        <f t="shared" si="9"/>
        <v>41197.680000000029</v>
      </c>
      <c r="BE28" s="127">
        <f>Aug!GP29</f>
        <v>0</v>
      </c>
      <c r="BF28" s="127">
        <f>Aug!GS29</f>
        <v>170</v>
      </c>
      <c r="BG28" s="127">
        <f t="shared" si="10"/>
        <v>170</v>
      </c>
      <c r="BH28" s="127">
        <f t="shared" si="2"/>
        <v>442</v>
      </c>
      <c r="BI28" s="127"/>
      <c r="BJ28" s="127"/>
      <c r="BK28" s="127"/>
      <c r="BL28" s="128"/>
      <c r="BM28" s="128">
        <f t="shared" si="18"/>
        <v>28492.999999999956</v>
      </c>
      <c r="BN28" s="128"/>
      <c r="BO28" s="128">
        <f t="shared" si="11"/>
        <v>0</v>
      </c>
      <c r="BP28" s="128"/>
      <c r="BQ28" s="128">
        <f t="shared" si="19"/>
        <v>170</v>
      </c>
      <c r="BR28" s="128"/>
      <c r="BS28" s="128">
        <f t="shared" si="12"/>
        <v>0</v>
      </c>
      <c r="BT28" s="42">
        <f>[10]Aug!D67</f>
        <v>0</v>
      </c>
      <c r="BU28" s="42">
        <f>[10]Aug!G68</f>
        <v>82000</v>
      </c>
      <c r="BV28" t="s">
        <v>395</v>
      </c>
      <c r="BX28" s="42">
        <f>Aug!HJ29</f>
        <v>158000</v>
      </c>
      <c r="BY28" s="42">
        <f>Aug!HM29</f>
        <v>0</v>
      </c>
      <c r="BZ28" s="42">
        <f>Aug!HP29</f>
        <v>38625</v>
      </c>
      <c r="CA28" s="42">
        <f>Aug!HS29</f>
        <v>19425.000000000182</v>
      </c>
      <c r="CB28" s="42">
        <f>Aug!HV29</f>
        <v>26125</v>
      </c>
      <c r="CC28" s="42">
        <f>Aug!HY29</f>
        <v>24524.999999999636</v>
      </c>
      <c r="CD28" s="42">
        <f>Aug!IB29</f>
        <v>27800</v>
      </c>
      <c r="CE28" s="42">
        <f>Aug!IE29</f>
        <v>0</v>
      </c>
      <c r="CF28" s="42">
        <f>Aug!IH29</f>
        <v>21500</v>
      </c>
    </row>
    <row r="29" spans="1:84" x14ac:dyDescent="0.25">
      <c r="A29" s="26">
        <f t="shared" si="13"/>
        <v>23</v>
      </c>
      <c r="B29" s="42">
        <f>Aug!G30</f>
        <v>399360.00000000058</v>
      </c>
      <c r="C29" s="42">
        <f>Aug!N30</f>
        <v>388000</v>
      </c>
      <c r="D29" s="42">
        <f>Aug!T30</f>
        <v>370.50999999977648</v>
      </c>
      <c r="E29" s="42">
        <f>Aug!V30</f>
        <v>0</v>
      </c>
      <c r="F29" s="42">
        <f>Aug!AB30</f>
        <v>0</v>
      </c>
      <c r="G29" s="42">
        <f>Aug!X30</f>
        <v>16629.490000000224</v>
      </c>
      <c r="H29" s="42">
        <f>Aug!AE30</f>
        <v>5300.0000000001819</v>
      </c>
      <c r="I29" s="42">
        <f>Aug!AI30</f>
        <v>11324.77</v>
      </c>
      <c r="J29" s="42">
        <f>Aug!AN30</f>
        <v>6264.7700000004552</v>
      </c>
      <c r="K29" s="42">
        <f>Aug!AR30</f>
        <v>12299.999999999272</v>
      </c>
      <c r="L29" s="42">
        <f>Aug!AZ30</f>
        <v>360</v>
      </c>
      <c r="M29" s="42">
        <f>Aug!BC30</f>
        <v>560</v>
      </c>
      <c r="N29" s="125">
        <f t="shared" si="3"/>
        <v>53109.539999999906</v>
      </c>
      <c r="O29" s="125">
        <f>Aug!CA30</f>
        <v>599.30000000002792</v>
      </c>
      <c r="P29" s="125">
        <f>Aug!CD30</f>
        <v>3091.5</v>
      </c>
      <c r="Q29" s="125">
        <f>Aug!CF30</f>
        <v>5185</v>
      </c>
      <c r="R29" s="125">
        <f>Aug!CH30</f>
        <v>2296.3000000000029</v>
      </c>
      <c r="S29" s="125">
        <f>Aug!CK30</f>
        <v>16495.470000000409</v>
      </c>
      <c r="T29" s="125">
        <f>Aug!CO30</f>
        <v>8857.7699999994475</v>
      </c>
      <c r="U29" s="125">
        <f>Aug!CS30</f>
        <v>7026.0699999999306</v>
      </c>
      <c r="V29" s="126">
        <f t="shared" si="4"/>
        <v>43551.409999999814</v>
      </c>
      <c r="W29" s="126">
        <f>Aug!CW30</f>
        <v>171</v>
      </c>
      <c r="X29" s="126">
        <f>Aug!DA30</f>
        <v>98</v>
      </c>
      <c r="Y29" s="126">
        <f t="shared" si="1"/>
        <v>269</v>
      </c>
      <c r="Z29" s="42">
        <f>Aug!BR30</f>
        <v>500</v>
      </c>
      <c r="AA29" s="126">
        <f>Aug!BG30</f>
        <v>1699.9999999998181</v>
      </c>
      <c r="AB29" s="126">
        <f>Aug!BJ30</f>
        <v>9500</v>
      </c>
      <c r="AC29" s="126">
        <f>Aug!BL30+Aug!BN30+Aug!BP30</f>
        <v>4659.9999999999091</v>
      </c>
      <c r="AD29" s="126">
        <f>Aug!DR30</f>
        <v>9200</v>
      </c>
      <c r="AE29" s="127">
        <f>Aug!DT30-Aug!DR70-Aug!DT70</f>
        <v>25200</v>
      </c>
      <c r="AF29" s="127">
        <f>Aug!DR70+Aug!DT70</f>
        <v>0</v>
      </c>
      <c r="AG29" s="127">
        <f>Aug!HJ30-AE29</f>
        <v>139800</v>
      </c>
      <c r="AH29" s="127">
        <f>Aug!DW30</f>
        <v>4299.9999999992724</v>
      </c>
      <c r="AI29" s="127">
        <f>Aug!DZ30</f>
        <v>8324.77</v>
      </c>
      <c r="AJ29" s="127">
        <f>Aug!EC30</f>
        <v>24484.77</v>
      </c>
      <c r="AK29" s="127">
        <f t="shared" si="5"/>
        <v>37109.539999999273</v>
      </c>
      <c r="AL29" s="127">
        <f>Aug!EG30</f>
        <v>24484.77</v>
      </c>
      <c r="AM29" s="127">
        <f>Aug!EJ30</f>
        <v>13324.77</v>
      </c>
      <c r="AN29" s="127">
        <f>Aug!EM30</f>
        <v>769.99999999998181</v>
      </c>
      <c r="AO29" s="127">
        <f t="shared" ref="AO29:AO37" si="20">SUM(AL29:AN29)</f>
        <v>38579.539999999979</v>
      </c>
      <c r="AP29" s="127">
        <f>Aug!FX30</f>
        <v>20407</v>
      </c>
      <c r="AQ29" s="127">
        <f>Aug!GA30</f>
        <v>4422.1999999999971</v>
      </c>
      <c r="AR29" s="127">
        <f>Aug!GG30</f>
        <v>5909.2999999992026</v>
      </c>
      <c r="AS29" s="127">
        <f t="shared" si="7"/>
        <v>30738.4999999992</v>
      </c>
      <c r="AT29" s="127">
        <f>Aug!EQ30</f>
        <v>7039.7699999994074</v>
      </c>
      <c r="AU29" s="127">
        <f>Aug!ET30</f>
        <v>17440.000000000509</v>
      </c>
      <c r="AV29" s="127">
        <f>Aug!EW30</f>
        <v>10711.769999999717</v>
      </c>
      <c r="AW29" s="127">
        <f>Aug!FL67</f>
        <v>10768.934999999565</v>
      </c>
      <c r="AX29" s="127">
        <f>Aug!GJ30</f>
        <v>2345.6999999999971</v>
      </c>
      <c r="AY29" s="127">
        <f t="shared" si="8"/>
        <v>48306.174999999188</v>
      </c>
      <c r="AZ29" s="127">
        <f>Aug!FG30</f>
        <v>9628.1000000007389</v>
      </c>
      <c r="BA29" s="127">
        <f>Aug!FJ30</f>
        <v>17303.099999999275</v>
      </c>
      <c r="BB29" s="127">
        <f>Aug!FM67</f>
        <v>10768.934999999565</v>
      </c>
      <c r="BC29" s="127">
        <f>Aug!GM30</f>
        <v>295.00000000007276</v>
      </c>
      <c r="BD29" s="127">
        <f t="shared" si="9"/>
        <v>37995.134999999646</v>
      </c>
      <c r="BE29" s="127">
        <f>Aug!GP30</f>
        <v>4.5</v>
      </c>
      <c r="BF29" s="127">
        <f>Aug!GS30</f>
        <v>136.70000000001164</v>
      </c>
      <c r="BG29" s="127">
        <f t="shared" si="10"/>
        <v>141.20000000001164</v>
      </c>
      <c r="BH29" s="127">
        <f t="shared" si="2"/>
        <v>269</v>
      </c>
      <c r="BI29" s="127"/>
      <c r="BJ29" s="127"/>
      <c r="BK29" s="127"/>
      <c r="BL29" s="128"/>
      <c r="BM29" s="128">
        <f t="shared" si="18"/>
        <v>30738.4999999992</v>
      </c>
      <c r="BN29" s="128"/>
      <c r="BO29" s="128">
        <f t="shared" si="11"/>
        <v>0</v>
      </c>
      <c r="BP29" s="128"/>
      <c r="BQ29" s="128">
        <f t="shared" si="19"/>
        <v>141.20000000001164</v>
      </c>
      <c r="BR29" s="128"/>
      <c r="BS29" s="128">
        <f t="shared" si="12"/>
        <v>0</v>
      </c>
      <c r="BT29" s="42">
        <f>[10]Aug!D68</f>
        <v>0</v>
      </c>
      <c r="BU29" s="42">
        <f>[10]Aug!G69</f>
        <v>81000</v>
      </c>
      <c r="BV29" t="s">
        <v>395</v>
      </c>
      <c r="BX29" s="42">
        <f>Aug!HJ30</f>
        <v>165000</v>
      </c>
      <c r="BY29" s="42">
        <f>Aug!HM30</f>
        <v>0</v>
      </c>
      <c r="BZ29" s="42">
        <f>Aug!HP30</f>
        <v>37899.999999999818</v>
      </c>
      <c r="CA29" s="42">
        <f>Aug!HS30</f>
        <v>20500.000000000182</v>
      </c>
      <c r="CB29" s="42">
        <f>Aug!HV30</f>
        <v>28100.000000000546</v>
      </c>
      <c r="CC29" s="42">
        <f>Aug!HY30</f>
        <v>23900.000000000273</v>
      </c>
      <c r="CD29" s="42">
        <f>Aug!IB30</f>
        <v>29400</v>
      </c>
      <c r="CE29" s="42">
        <f>Aug!IE30</f>
        <v>0</v>
      </c>
      <c r="CF29" s="42">
        <f>Aug!IH30</f>
        <v>25200</v>
      </c>
    </row>
    <row r="30" spans="1:84" x14ac:dyDescent="0.25">
      <c r="A30" s="26">
        <f t="shared" si="13"/>
        <v>24</v>
      </c>
      <c r="B30" s="42">
        <f>Aug!G31</f>
        <v>399360.00000000786</v>
      </c>
      <c r="C30" s="42">
        <f>Aug!N31</f>
        <v>402000</v>
      </c>
      <c r="D30" s="42">
        <f>Aug!T31</f>
        <v>359.00999999977648</v>
      </c>
      <c r="E30" s="42">
        <f>Aug!V31</f>
        <v>0</v>
      </c>
      <c r="F30" s="42">
        <f>Aug!AB31</f>
        <v>100</v>
      </c>
      <c r="G30" s="42">
        <f>Aug!X31</f>
        <v>17240.989999999132</v>
      </c>
      <c r="H30" s="42">
        <f>Aug!AE31</f>
        <v>5599.9999999994543</v>
      </c>
      <c r="I30" s="42">
        <f>Aug!AI31</f>
        <v>12441.559999999636</v>
      </c>
      <c r="J30" s="42">
        <f>Aug!AN31</f>
        <v>6731.5599999992219</v>
      </c>
      <c r="K30" s="42">
        <f>Aug!AR31</f>
        <v>12600.000000000364</v>
      </c>
      <c r="L30" s="42">
        <f>Aug!AZ31</f>
        <v>430</v>
      </c>
      <c r="M30" s="42">
        <f>Aug!BC31</f>
        <v>650</v>
      </c>
      <c r="N30" s="125">
        <f t="shared" si="3"/>
        <v>56153.11999999758</v>
      </c>
      <c r="O30" s="125">
        <f>Aug!CA31</f>
        <v>546.40000000000555</v>
      </c>
      <c r="P30" s="125">
        <f>Aug!CD31</f>
        <v>2434.5999999999767</v>
      </c>
      <c r="Q30" s="125">
        <f>Aug!CF31</f>
        <v>4895</v>
      </c>
      <c r="R30" s="125">
        <f>Aug!CH31</f>
        <v>2413.3999999999942</v>
      </c>
      <c r="S30" s="125">
        <f>Aug!CK31</f>
        <v>16905.159999999851</v>
      </c>
      <c r="T30" s="125">
        <f>Aug!CO31</f>
        <v>8886.5600000002541</v>
      </c>
      <c r="U30" s="125">
        <f>Aug!CS31</f>
        <v>7046.7600000000702</v>
      </c>
      <c r="V30" s="126">
        <f t="shared" si="4"/>
        <v>43127.88000000015</v>
      </c>
      <c r="W30" s="126">
        <f>Aug!CW31</f>
        <v>555</v>
      </c>
      <c r="X30" s="126">
        <f>Aug!DA31</f>
        <v>181</v>
      </c>
      <c r="Y30" s="126">
        <f t="shared" si="1"/>
        <v>736</v>
      </c>
      <c r="Z30" s="42">
        <f>Aug!BR31</f>
        <v>200.00000000004547</v>
      </c>
      <c r="AA30" s="126">
        <f>Aug!BG31</f>
        <v>2100.0000000003638</v>
      </c>
      <c r="AB30" s="126">
        <f>Aug!BJ31</f>
        <v>9199.9999999989086</v>
      </c>
      <c r="AC30" s="126">
        <f>Aug!BL31+Aug!BN31+Aug!BP31</f>
        <v>4910.0000000000045</v>
      </c>
      <c r="AD30" s="126">
        <f>Aug!DR31</f>
        <v>7100</v>
      </c>
      <c r="AE30" s="127">
        <f>Aug!DT31-Aug!DR71-Aug!DT71</f>
        <v>25500</v>
      </c>
      <c r="AF30" s="127">
        <f>Aug!DR71+Aug!DT71</f>
        <v>0</v>
      </c>
      <c r="AG30" s="127">
        <f>Aug!HJ31-AE30</f>
        <v>139500</v>
      </c>
      <c r="AH30" s="127">
        <f>Aug!DW31</f>
        <v>4399.9999999996362</v>
      </c>
      <c r="AI30" s="127">
        <f>Aug!DZ31</f>
        <v>8041.56</v>
      </c>
      <c r="AJ30" s="127">
        <f>Aug!EC31</f>
        <v>24201.56</v>
      </c>
      <c r="AK30" s="127">
        <f t="shared" si="5"/>
        <v>36643.119999999639</v>
      </c>
      <c r="AL30" s="127">
        <f>Aug!EG31</f>
        <v>24201.56</v>
      </c>
      <c r="AM30" s="127">
        <f>Aug!EJ31</f>
        <v>12041.56</v>
      </c>
      <c r="AN30" s="127">
        <f>Aug!EM31</f>
        <v>720.00000000002728</v>
      </c>
      <c r="AO30" s="127">
        <f t="shared" si="20"/>
        <v>36963.120000000032</v>
      </c>
      <c r="AP30" s="127">
        <f>Aug!FX31</f>
        <v>21711</v>
      </c>
      <c r="AQ30" s="127">
        <f>Aug!GA31</f>
        <v>4917.4000000000015</v>
      </c>
      <c r="AR30" s="127">
        <f>Aug!GG31</f>
        <v>5842.3000000005522</v>
      </c>
      <c r="AS30" s="127">
        <f t="shared" si="7"/>
        <v>32470.700000000554</v>
      </c>
      <c r="AT30" s="127">
        <f>Aug!EQ31</f>
        <v>6711.5600000008126</v>
      </c>
      <c r="AU30" s="127">
        <f>Aug!ET31</f>
        <v>17670.000000000073</v>
      </c>
      <c r="AV30" s="127">
        <f>Aug!EW31</f>
        <v>10341.560000000181</v>
      </c>
      <c r="AW30" s="127">
        <f>Aug!FL68</f>
        <v>11236.560000001235</v>
      </c>
      <c r="AX30" s="127">
        <f>Aug!GJ31</f>
        <v>2345.7000000000044</v>
      </c>
      <c r="AY30" s="127">
        <f t="shared" si="8"/>
        <v>48305.380000002304</v>
      </c>
      <c r="AZ30" s="127">
        <f>Aug!FG31</f>
        <v>9551.5600000007162</v>
      </c>
      <c r="BA30" s="127">
        <f>Aug!FJ31</f>
        <v>17501.560000000365</v>
      </c>
      <c r="BB30" s="127">
        <f>Aug!FM68</f>
        <v>11236.560000001235</v>
      </c>
      <c r="BC30" s="127">
        <f>Aug!GM31</f>
        <v>1.9999999999527063</v>
      </c>
      <c r="BD30" s="127">
        <f t="shared" si="9"/>
        <v>38291.680000002263</v>
      </c>
      <c r="BE30" s="127">
        <f>Aug!GP31</f>
        <v>2.8999999999941792</v>
      </c>
      <c r="BF30" s="127">
        <f>Aug!GS31</f>
        <v>156.09999999997672</v>
      </c>
      <c r="BG30" s="127">
        <f t="shared" si="10"/>
        <v>158.9999999999709</v>
      </c>
      <c r="BH30" s="127">
        <f t="shared" si="2"/>
        <v>736</v>
      </c>
      <c r="BI30" s="127"/>
      <c r="BJ30" s="127"/>
      <c r="BK30" s="127"/>
      <c r="BL30" s="128"/>
      <c r="BM30" s="128">
        <f t="shared" si="18"/>
        <v>32470.700000000554</v>
      </c>
      <c r="BN30" s="128"/>
      <c r="BO30" s="128">
        <f t="shared" si="11"/>
        <v>0</v>
      </c>
      <c r="BP30" s="128"/>
      <c r="BQ30" s="128">
        <f t="shared" si="19"/>
        <v>158.9999999999709</v>
      </c>
      <c r="BR30" s="128"/>
      <c r="BS30" s="128">
        <f t="shared" si="12"/>
        <v>0</v>
      </c>
      <c r="BT30" s="42">
        <f>[10]Aug!D69</f>
        <v>0</v>
      </c>
      <c r="BU30" s="42">
        <f>[10]Aug!G70</f>
        <v>82000</v>
      </c>
      <c r="BV30" t="s">
        <v>395</v>
      </c>
      <c r="BX30" s="42">
        <f>Aug!HJ31</f>
        <v>165000</v>
      </c>
      <c r="BY30" s="42">
        <f>Aug!HM31</f>
        <v>0</v>
      </c>
      <c r="BZ30" s="42">
        <f>Aug!HP31</f>
        <v>38625.000000000182</v>
      </c>
      <c r="CA30" s="42">
        <f>Aug!HS31</f>
        <v>21625.000000000182</v>
      </c>
      <c r="CB30" s="42">
        <f>Aug!HV31</f>
        <v>27124.999999999272</v>
      </c>
      <c r="CC30" s="42">
        <f>Aug!HY31</f>
        <v>21124.999999999727</v>
      </c>
      <c r="CD30" s="42">
        <f>Aug!IB31</f>
        <v>31000</v>
      </c>
      <c r="CE30" s="42">
        <f>Aug!IE31</f>
        <v>0</v>
      </c>
      <c r="CF30" s="42">
        <f>Aug!IH31</f>
        <v>25500</v>
      </c>
    </row>
    <row r="31" spans="1:84" x14ac:dyDescent="0.25">
      <c r="A31" s="26">
        <f t="shared" si="13"/>
        <v>25</v>
      </c>
      <c r="B31" s="42">
        <f>Aug!G32</f>
        <v>409599.99999998399</v>
      </c>
      <c r="C31" s="42">
        <f>Aug!N32</f>
        <v>401000</v>
      </c>
      <c r="D31" s="42">
        <f>Aug!T32</f>
        <v>387.00999999977648</v>
      </c>
      <c r="E31" s="42">
        <f>Aug!V32</f>
        <v>0</v>
      </c>
      <c r="F31" s="42">
        <f>Aug!AB32</f>
        <v>100</v>
      </c>
      <c r="G31" s="42">
        <f>Aug!X32</f>
        <v>16912.990000001679</v>
      </c>
      <c r="H31" s="42">
        <f>Aug!AE32</f>
        <v>5600.0000000003638</v>
      </c>
      <c r="I31" s="42">
        <f>Aug!AI32</f>
        <v>13174.59</v>
      </c>
      <c r="J31" s="42">
        <f>Aug!AN32</f>
        <v>6724.5900000011325</v>
      </c>
      <c r="K31" s="42">
        <f>Aug!AR32</f>
        <v>12299.999999999272</v>
      </c>
      <c r="L31" s="42">
        <f>Aug!AZ32</f>
        <v>390</v>
      </c>
      <c r="M31" s="42">
        <f>Aug!BC32</f>
        <v>600</v>
      </c>
      <c r="N31" s="125">
        <f t="shared" si="3"/>
        <v>56189.180000002219</v>
      </c>
      <c r="O31" s="125">
        <f>Aug!CA32</f>
        <v>578.39999999998781</v>
      </c>
      <c r="P31" s="125">
        <f>Aug!CD32</f>
        <v>1905.1999999999534</v>
      </c>
      <c r="Q31" s="125">
        <f>Aug!CF32</f>
        <v>4095</v>
      </c>
      <c r="R31" s="125">
        <f>Aug!CH32</f>
        <v>2366.5</v>
      </c>
      <c r="S31" s="125">
        <f>Aug!CK32</f>
        <v>17336.189999999795</v>
      </c>
      <c r="T31" s="125">
        <f>Aug!CO32</f>
        <v>9410.5899999998765</v>
      </c>
      <c r="U31" s="125">
        <f>Aug!CS32</f>
        <v>7561.2899999999536</v>
      </c>
      <c r="V31" s="126">
        <f t="shared" si="4"/>
        <v>43253.169999999562</v>
      </c>
      <c r="W31" s="126">
        <f>Aug!CW32</f>
        <v>338</v>
      </c>
      <c r="X31" s="126">
        <f>Aug!DA32</f>
        <v>98</v>
      </c>
      <c r="Y31" s="126">
        <f t="shared" si="1"/>
        <v>436</v>
      </c>
      <c r="Z31" s="42">
        <f>Aug!BR32</f>
        <v>799.99999999995453</v>
      </c>
      <c r="AA31" s="126">
        <f>Aug!BG32</f>
        <v>2099.9999999999091</v>
      </c>
      <c r="AB31" s="126">
        <f>Aug!BJ32</f>
        <v>9399.9999999996362</v>
      </c>
      <c r="AC31" s="126">
        <f>Aug!BL32+Aug!BN32+Aug!BP32</f>
        <v>4950.0000000000045</v>
      </c>
      <c r="AD31" s="126">
        <f>Aug!DR32</f>
        <v>8600</v>
      </c>
      <c r="AE31" s="127">
        <f>Aug!DT32-Aug!DR72-Aug!DT72</f>
        <v>24800</v>
      </c>
      <c r="AF31" s="127">
        <f>Aug!DR72+Aug!DT72</f>
        <v>0</v>
      </c>
      <c r="AG31" s="127">
        <f>Aug!HJ32-AE31</f>
        <v>148200</v>
      </c>
      <c r="AH31" s="127">
        <f>Aug!DW32</f>
        <v>4300.0000000010914</v>
      </c>
      <c r="AI31" s="127">
        <f>Aug!DZ32</f>
        <v>8674.59</v>
      </c>
      <c r="AJ31" s="127">
        <f>Aug!EC32</f>
        <v>22674.59</v>
      </c>
      <c r="AK31" s="127">
        <f t="shared" si="5"/>
        <v>35649.180000001092</v>
      </c>
      <c r="AL31" s="127">
        <f>Aug!EG32</f>
        <v>29674.59</v>
      </c>
      <c r="AM31" s="127">
        <f>Aug!EJ32</f>
        <v>12674.59</v>
      </c>
      <c r="AN31" s="127">
        <f>Aug!EM32</f>
        <v>710.00000000003638</v>
      </c>
      <c r="AO31" s="127">
        <f t="shared" si="20"/>
        <v>43059.180000000037</v>
      </c>
      <c r="AP31" s="127">
        <f>Aug!FX32</f>
        <v>21865</v>
      </c>
      <c r="AQ31" s="127">
        <f>Aug!GA32</f>
        <v>4817.0999999999985</v>
      </c>
      <c r="AR31" s="127">
        <f>Aug!GG32</f>
        <v>5931.000000000362</v>
      </c>
      <c r="AS31" s="127">
        <f t="shared" si="7"/>
        <v>32613.100000000362</v>
      </c>
      <c r="AT31" s="127">
        <f>Aug!EQ32</f>
        <v>7394.5900000000838</v>
      </c>
      <c r="AU31" s="127">
        <f>Aug!ET32</f>
        <v>17289.999999999054</v>
      </c>
      <c r="AV31" s="127">
        <f>Aug!EW32</f>
        <v>10994.589999999709</v>
      </c>
      <c r="AW31" s="127">
        <f>Aug!FL69</f>
        <v>11898.789999999055</v>
      </c>
      <c r="AX31" s="127">
        <f>Aug!GJ32</f>
        <v>2496</v>
      </c>
      <c r="AY31" s="127">
        <f t="shared" si="8"/>
        <v>50073.969999997898</v>
      </c>
      <c r="AZ31" s="127">
        <f>Aug!FG32</f>
        <v>9692.9899999970785</v>
      </c>
      <c r="BA31" s="127">
        <f>Aug!FJ32</f>
        <v>18742.990000000729</v>
      </c>
      <c r="BB31" s="127">
        <f>Aug!FM69</f>
        <v>11898.789999999055</v>
      </c>
      <c r="BC31" s="127">
        <f>Aug!GM32</f>
        <v>2.9999999999290594</v>
      </c>
      <c r="BD31" s="127">
        <f t="shared" si="9"/>
        <v>40337.769999996788</v>
      </c>
      <c r="BE31" s="127">
        <f>Aug!GP32</f>
        <v>3</v>
      </c>
      <c r="BF31" s="127">
        <f>Aug!GS32</f>
        <v>135.5</v>
      </c>
      <c r="BG31" s="127">
        <f t="shared" si="10"/>
        <v>138.5</v>
      </c>
      <c r="BH31" s="127">
        <f t="shared" si="2"/>
        <v>436</v>
      </c>
      <c r="BI31" s="127"/>
      <c r="BJ31" s="127"/>
      <c r="BK31" s="127"/>
      <c r="BL31" s="128"/>
      <c r="BM31" s="128">
        <f t="shared" si="18"/>
        <v>32613.100000000362</v>
      </c>
      <c r="BN31" s="128"/>
      <c r="BO31" s="128">
        <f t="shared" si="11"/>
        <v>0</v>
      </c>
      <c r="BP31" s="128"/>
      <c r="BQ31" s="128">
        <f t="shared" si="19"/>
        <v>138.5</v>
      </c>
      <c r="BR31" s="128"/>
      <c r="BS31" s="128">
        <f t="shared" si="12"/>
        <v>0</v>
      </c>
      <c r="BT31" s="42">
        <f>[10]Aug!D70</f>
        <v>0</v>
      </c>
      <c r="BU31" s="42">
        <f>[10]Aug!G71</f>
        <v>91000</v>
      </c>
      <c r="BV31" t="s">
        <v>395</v>
      </c>
      <c r="BX31" s="42">
        <f>Aug!HJ32</f>
        <v>173000</v>
      </c>
      <c r="BY31" s="42">
        <f>Aug!HM32</f>
        <v>0</v>
      </c>
      <c r="BZ31" s="42">
        <f>Aug!HP32</f>
        <v>39225.000000000364</v>
      </c>
      <c r="CA31" s="42">
        <f>Aug!HS32</f>
        <v>25625</v>
      </c>
      <c r="CB31" s="42">
        <f>Aug!HV32</f>
        <v>28025.000000000546</v>
      </c>
      <c r="CC31" s="42">
        <f>Aug!HY32</f>
        <v>23625</v>
      </c>
      <c r="CD31" s="42">
        <f>Aug!IB32</f>
        <v>31700</v>
      </c>
      <c r="CE31" s="42">
        <f>Aug!IE32</f>
        <v>0</v>
      </c>
      <c r="CF31" s="42">
        <f>Aug!IH32</f>
        <v>24800</v>
      </c>
    </row>
    <row r="32" spans="1:84" x14ac:dyDescent="0.25">
      <c r="A32" s="26">
        <f t="shared" si="13"/>
        <v>26</v>
      </c>
      <c r="B32" s="42">
        <f>Aug!G33</f>
        <v>416000.00000001455</v>
      </c>
      <c r="C32" s="42">
        <f>Aug!N33</f>
        <v>419000</v>
      </c>
      <c r="D32" s="42">
        <f>Aug!T33</f>
        <v>365.92999999970198</v>
      </c>
      <c r="E32" s="42">
        <f>Aug!V33</f>
        <v>0</v>
      </c>
      <c r="F32" s="42">
        <f>Aug!AB33</f>
        <v>100</v>
      </c>
      <c r="G32" s="42">
        <f>Aug!X33</f>
        <v>17534.070000000298</v>
      </c>
      <c r="H32" s="42">
        <f>Aug!AE33</f>
        <v>5599.9999999994543</v>
      </c>
      <c r="I32" s="42">
        <f>Aug!AI33</f>
        <v>14006.529999999273</v>
      </c>
      <c r="J32" s="42">
        <f>Aug!AN33</f>
        <v>7556.5299999988692</v>
      </c>
      <c r="K32" s="42">
        <f>Aug!AR33</f>
        <v>12700.000000000728</v>
      </c>
      <c r="L32" s="42">
        <f>Aug!AZ33</f>
        <v>420</v>
      </c>
      <c r="M32" s="42">
        <f>Aug!BC33</f>
        <v>690</v>
      </c>
      <c r="N32" s="125">
        <f t="shared" si="3"/>
        <v>58973.059999998324</v>
      </c>
      <c r="O32" s="125">
        <f>Aug!CA33</f>
        <v>574.99999999998863</v>
      </c>
      <c r="P32" s="125">
        <f>Aug!CD33</f>
        <v>1805.5</v>
      </c>
      <c r="Q32" s="125">
        <f>Aug!CF33</f>
        <v>4162</v>
      </c>
      <c r="R32" s="125">
        <f>Aug!CH33</f>
        <v>2439.1000000000058</v>
      </c>
      <c r="S32" s="125">
        <f>Aug!CK33</f>
        <v>18241.529999998773</v>
      </c>
      <c r="T32" s="125">
        <f>Aug!CO33</f>
        <v>10196.530000000692</v>
      </c>
      <c r="U32" s="125">
        <f>Aug!CS33</f>
        <v>8269.3300000000472</v>
      </c>
      <c r="V32" s="126">
        <f t="shared" si="4"/>
        <v>45688.989999999503</v>
      </c>
      <c r="W32" s="126">
        <f>Aug!CW33</f>
        <v>349</v>
      </c>
      <c r="X32" s="126">
        <f>Aug!DA33</f>
        <v>102</v>
      </c>
      <c r="Y32" s="126">
        <f t="shared" si="1"/>
        <v>451</v>
      </c>
      <c r="Z32" s="42">
        <f>Aug!BR33</f>
        <v>700.00000000004547</v>
      </c>
      <c r="AA32" s="126">
        <f>Aug!BG33</f>
        <v>1699.9999999998181</v>
      </c>
      <c r="AB32" s="126">
        <f>Aug!BJ33</f>
        <v>8900.0000000014552</v>
      </c>
      <c r="AC32" s="126">
        <f>Aug!BL33+Aug!BN33+Aug!BP33</f>
        <v>5149.9999999999955</v>
      </c>
      <c r="AD32" s="126">
        <f>Aug!DR33</f>
        <v>9500</v>
      </c>
      <c r="AE32" s="127">
        <f>Aug!DT33-Aug!DR73-Aug!DT73</f>
        <v>23800</v>
      </c>
      <c r="AF32" s="127">
        <f>Aug!DR73+Aug!DT73</f>
        <v>0</v>
      </c>
      <c r="AG32" s="127">
        <f>Aug!HJ33-AE32</f>
        <v>153200</v>
      </c>
      <c r="AH32" s="127">
        <f>Aug!DW33</f>
        <v>4500</v>
      </c>
      <c r="AI32" s="127">
        <f>Aug!DZ33</f>
        <v>9206.5300000000007</v>
      </c>
      <c r="AJ32" s="127">
        <f>Aug!EC33</f>
        <v>24206.53</v>
      </c>
      <c r="AK32" s="127">
        <f t="shared" si="5"/>
        <v>37913.06</v>
      </c>
      <c r="AL32" s="127">
        <f>Aug!EG33</f>
        <v>31206.53</v>
      </c>
      <c r="AM32" s="127">
        <f>Aug!EJ33</f>
        <v>12206.53</v>
      </c>
      <c r="AN32" s="127">
        <f>Aug!EM33</f>
        <v>669.99999999995907</v>
      </c>
      <c r="AO32" s="127">
        <f t="shared" si="20"/>
        <v>44083.059999999954</v>
      </c>
      <c r="AP32" s="127">
        <f>Aug!FX33</f>
        <v>15737</v>
      </c>
      <c r="AQ32" s="127">
        <f>Aug!GA33</f>
        <v>3639.3000000000029</v>
      </c>
      <c r="AR32" s="127">
        <f>Aug!GG33</f>
        <v>5190.0999999994638</v>
      </c>
      <c r="AS32" s="127">
        <f t="shared" si="7"/>
        <v>24566.399999999467</v>
      </c>
      <c r="AT32" s="127">
        <f>Aug!EQ33</f>
        <v>7876.5299999989365</v>
      </c>
      <c r="AU32" s="127">
        <f>Aug!ET33</f>
        <v>17600.000000000364</v>
      </c>
      <c r="AV32" s="127">
        <f>Aug!EW33</f>
        <v>11069.530000000284</v>
      </c>
      <c r="AW32" s="127">
        <f>Aug!FL70</f>
        <v>11753.530000000144</v>
      </c>
      <c r="AX32" s="127">
        <f>Aug!GJ33</f>
        <v>2197.9000000000015</v>
      </c>
      <c r="AY32" s="127">
        <f t="shared" si="8"/>
        <v>50497.489999999729</v>
      </c>
      <c r="AZ32" s="127">
        <f>Aug!FG33</f>
        <v>9370.5300000029565</v>
      </c>
      <c r="BA32" s="127">
        <f>Aug!FJ33</f>
        <v>18620.53</v>
      </c>
      <c r="BB32" s="127">
        <f>Aug!FM70</f>
        <v>11753.530000000144</v>
      </c>
      <c r="BC32" s="127">
        <f>Aug!GM33</f>
        <v>1.9999999999527063</v>
      </c>
      <c r="BD32" s="127">
        <f t="shared" si="9"/>
        <v>39746.590000003052</v>
      </c>
      <c r="BE32" s="127">
        <f>Aug!GP33</f>
        <v>2.7000000000116415</v>
      </c>
      <c r="BF32" s="127">
        <f>Aug!GS33</f>
        <v>127.60000000003492</v>
      </c>
      <c r="BG32" s="127">
        <f t="shared" si="10"/>
        <v>130.30000000004657</v>
      </c>
      <c r="BH32" s="127">
        <f t="shared" si="2"/>
        <v>451</v>
      </c>
      <c r="BI32" s="127"/>
      <c r="BJ32" s="127"/>
      <c r="BK32" s="127"/>
      <c r="BL32" s="128"/>
      <c r="BM32" s="128">
        <f t="shared" si="18"/>
        <v>24566.399999999463</v>
      </c>
      <c r="BN32" s="128"/>
      <c r="BO32" s="128">
        <f t="shared" si="11"/>
        <v>3.637978807091713E-12</v>
      </c>
      <c r="BP32" s="128"/>
      <c r="BQ32" s="128">
        <f t="shared" si="19"/>
        <v>130.30000000004657</v>
      </c>
      <c r="BR32" s="128"/>
      <c r="BS32" s="128">
        <f t="shared" si="12"/>
        <v>0</v>
      </c>
      <c r="BT32" s="42">
        <f>[10]Aug!D71</f>
        <v>0</v>
      </c>
      <c r="BU32" s="42">
        <f>[10]Aug!G72</f>
        <v>89000</v>
      </c>
      <c r="BV32" t="s">
        <v>395</v>
      </c>
      <c r="BX32" s="42">
        <f>Aug!HJ33</f>
        <v>177000</v>
      </c>
      <c r="BY32" s="42">
        <f>Aug!HM33</f>
        <v>0</v>
      </c>
      <c r="BZ32" s="42">
        <f>Aug!HP33</f>
        <v>43399.999999999818</v>
      </c>
      <c r="CA32" s="42">
        <f>Aug!HS33</f>
        <v>26299.999999999454</v>
      </c>
      <c r="CB32" s="42">
        <f>Aug!HV33</f>
        <v>27599.999999999636</v>
      </c>
      <c r="CC32" s="42">
        <f>Aug!HY33</f>
        <v>24700</v>
      </c>
      <c r="CD32" s="42">
        <f>Aug!IB33</f>
        <v>31200</v>
      </c>
      <c r="CE32" s="42">
        <f>Aug!IE33</f>
        <v>0</v>
      </c>
      <c r="CF32" s="42">
        <f>Aug!IH33</f>
        <v>23800</v>
      </c>
    </row>
    <row r="33" spans="1:87" x14ac:dyDescent="0.25">
      <c r="A33" s="26">
        <f t="shared" si="13"/>
        <v>27</v>
      </c>
      <c r="B33" s="42">
        <f>Aug!G34</f>
        <v>429759.99999998021</v>
      </c>
      <c r="C33" s="42">
        <f>Aug!N34</f>
        <v>425000</v>
      </c>
      <c r="D33" s="42">
        <f>Aug!T34</f>
        <v>348.67999999970198</v>
      </c>
      <c r="E33" s="42">
        <f>Aug!V34</f>
        <v>0</v>
      </c>
      <c r="F33" s="42">
        <f>Aug!AB34</f>
        <v>100</v>
      </c>
      <c r="G33" s="42">
        <f>Aug!X34</f>
        <v>17051.320000000298</v>
      </c>
      <c r="H33" s="42">
        <f>Aug!AE34</f>
        <v>5400.0000000005457</v>
      </c>
      <c r="I33" s="42">
        <f>Aug!AI34</f>
        <v>12380.310000001455</v>
      </c>
      <c r="J33" s="42">
        <f>Aug!AN34</f>
        <v>5930.3100000004042</v>
      </c>
      <c r="K33" s="42">
        <f>Aug!AR34</f>
        <v>12699.999999998909</v>
      </c>
      <c r="L33" s="42">
        <f>Aug!AZ34</f>
        <v>410</v>
      </c>
      <c r="M33" s="42">
        <f>Aug!BC34</f>
        <v>660</v>
      </c>
      <c r="N33" s="125">
        <f t="shared" si="3"/>
        <v>54980.620000001312</v>
      </c>
      <c r="O33" s="125">
        <f>Aug!CA34</f>
        <v>773.30000000000609</v>
      </c>
      <c r="P33" s="125">
        <f>Aug!CD34</f>
        <v>304.20000000006985</v>
      </c>
      <c r="Q33" s="125">
        <f>Aug!CF34</f>
        <v>4949</v>
      </c>
      <c r="R33" s="125">
        <f>Aug!CH34</f>
        <v>420.89999999999418</v>
      </c>
      <c r="S33" s="125">
        <f>Aug!CK34</f>
        <v>15177.010000001157</v>
      </c>
      <c r="T33" s="125">
        <f>Aug!CO34</f>
        <v>8903.3099999997739</v>
      </c>
      <c r="U33" s="125">
        <f>Aug!CS34</f>
        <v>7277.9099999999771</v>
      </c>
      <c r="V33" s="126">
        <f t="shared" si="4"/>
        <v>37805.630000000972</v>
      </c>
      <c r="W33" s="126">
        <f>Aug!CW34</f>
        <v>5056</v>
      </c>
      <c r="X33" s="126">
        <f>Aug!DA34</f>
        <v>4188</v>
      </c>
      <c r="Y33" s="126">
        <f t="shared" si="1"/>
        <v>9244</v>
      </c>
      <c r="Z33" s="42">
        <f>Aug!BR34</f>
        <v>799.99999999995453</v>
      </c>
      <c r="AA33" s="126">
        <f>Aug!BG34</f>
        <v>1700.0000000002728</v>
      </c>
      <c r="AB33" s="126">
        <f>Aug!BJ34</f>
        <v>9000</v>
      </c>
      <c r="AC33" s="126">
        <f>Aug!BL34+Aug!BN34+Aug!BP34</f>
        <v>4850.0000000000045</v>
      </c>
      <c r="AD33" s="126">
        <f>Aug!DR34</f>
        <v>10000</v>
      </c>
      <c r="AE33" s="127">
        <f>Aug!DT34-Aug!DR74-Aug!DT74</f>
        <v>19600</v>
      </c>
      <c r="AF33" s="127">
        <f>Aug!DR74+Aug!DT74</f>
        <v>0</v>
      </c>
      <c r="AG33" s="127">
        <f>Aug!HJ34-AE33</f>
        <v>154400</v>
      </c>
      <c r="AH33" s="127">
        <f>Aug!DW34</f>
        <v>4600.0000000003638</v>
      </c>
      <c r="AI33" s="127">
        <f>Aug!DZ34</f>
        <v>8480.31</v>
      </c>
      <c r="AJ33" s="127">
        <f>Aug!EC34</f>
        <v>21480.31</v>
      </c>
      <c r="AK33" s="127">
        <f t="shared" si="5"/>
        <v>34560.620000000366</v>
      </c>
      <c r="AL33" s="127">
        <f>Aug!EG34</f>
        <v>28480.31</v>
      </c>
      <c r="AM33" s="127">
        <f>Aug!EJ34</f>
        <v>11480.31</v>
      </c>
      <c r="AN33" s="127">
        <f>Aug!EM34</f>
        <v>710.00000000003638</v>
      </c>
      <c r="AO33" s="127">
        <f t="shared" si="20"/>
        <v>40670.620000000039</v>
      </c>
      <c r="AP33" s="127">
        <f>Aug!FX34</f>
        <v>32695</v>
      </c>
      <c r="AQ33" s="127">
        <f>Aug!GA34</f>
        <v>7584.6999999999971</v>
      </c>
      <c r="AR33" s="127">
        <f>Aug!GG34</f>
        <v>8603.3999999999905</v>
      </c>
      <c r="AS33" s="127">
        <f t="shared" si="7"/>
        <v>48883.099999999991</v>
      </c>
      <c r="AT33" s="127">
        <f>Aug!EQ34</f>
        <v>7090.3100000013219</v>
      </c>
      <c r="AU33" s="127">
        <f>Aug!ET34</f>
        <v>16555.000000000291</v>
      </c>
      <c r="AV33" s="127">
        <f>Aug!EW34</f>
        <v>10983.309999999701</v>
      </c>
      <c r="AW33" s="127">
        <f>Aug!FL71</f>
        <v>11545.480000000727</v>
      </c>
      <c r="AX33" s="127">
        <f>Aug!GJ34+((Aug!GP34+Aug!GS34)*50/100)</f>
        <v>2555.5999999999985</v>
      </c>
      <c r="AY33" s="127">
        <f t="shared" si="8"/>
        <v>48729.700000002042</v>
      </c>
      <c r="AZ33" s="127">
        <f>Aug!FG34</f>
        <v>9810.6499999978059</v>
      </c>
      <c r="BA33" s="127">
        <f>Aug!FJ34</f>
        <v>18960.650000000001</v>
      </c>
      <c r="BB33" s="127">
        <f>Aug!FM71</f>
        <v>11545.480000000727</v>
      </c>
      <c r="BC33" s="127">
        <f>Aug!GM34+((Aug!GP34+Aug!GS34)*50/100)</f>
        <v>75.000000000156433</v>
      </c>
      <c r="BD33" s="127">
        <f t="shared" si="9"/>
        <v>40391.779999998689</v>
      </c>
      <c r="BE33" s="127">
        <f>Aug!GP34</f>
        <v>3</v>
      </c>
      <c r="BF33" s="127">
        <f>Aug!GS34</f>
        <v>141</v>
      </c>
      <c r="BG33" s="127">
        <f t="shared" si="10"/>
        <v>144</v>
      </c>
      <c r="BH33" s="127">
        <f t="shared" si="2"/>
        <v>9244</v>
      </c>
      <c r="BI33" s="127"/>
      <c r="BJ33" s="127"/>
      <c r="BK33" s="127"/>
      <c r="BL33" s="128">
        <f>(AS33-BM33)</f>
        <v>19553.239999999994</v>
      </c>
      <c r="BM33" s="128">
        <f>AS33*60/100</f>
        <v>29329.859999999997</v>
      </c>
      <c r="BN33" s="128"/>
      <c r="BO33" s="128">
        <v>0</v>
      </c>
      <c r="BP33" s="128"/>
      <c r="BQ33" s="128">
        <f t="shared" si="19"/>
        <v>144</v>
      </c>
      <c r="BR33" s="128"/>
      <c r="BS33" s="128">
        <f t="shared" si="12"/>
        <v>0</v>
      </c>
      <c r="BT33" s="42">
        <f>[10]Aug!D72</f>
        <v>0</v>
      </c>
      <c r="BU33" s="42">
        <f>[10]Aug!G73</f>
        <v>86000</v>
      </c>
      <c r="BV33" t="s">
        <v>409</v>
      </c>
      <c r="BX33" s="42">
        <f>Aug!HJ34</f>
        <v>174000</v>
      </c>
      <c r="BY33" s="42">
        <f>Aug!HM34</f>
        <v>0</v>
      </c>
      <c r="BZ33" s="42">
        <f>Aug!HP34</f>
        <v>45725</v>
      </c>
      <c r="CA33" s="42">
        <f>Aug!HS34</f>
        <v>25425.000000000728</v>
      </c>
      <c r="CB33" s="42">
        <f>Aug!HV34</f>
        <v>27825.000000000364</v>
      </c>
      <c r="CC33" s="42">
        <f>Aug!HY34</f>
        <v>24925.000000000273</v>
      </c>
      <c r="CD33" s="42">
        <f>Aug!IB34</f>
        <v>30500</v>
      </c>
      <c r="CE33" s="42">
        <f>Aug!IE34</f>
        <v>0</v>
      </c>
      <c r="CF33" s="42">
        <f>Aug!IH34</f>
        <v>19600</v>
      </c>
    </row>
    <row r="34" spans="1:87" x14ac:dyDescent="0.25">
      <c r="A34" s="26">
        <f t="shared" si="13"/>
        <v>28</v>
      </c>
      <c r="B34" s="42">
        <f>Aug!G35</f>
        <v>437760.00000001659</v>
      </c>
      <c r="C34" s="42">
        <f>Aug!N35</f>
        <v>431000</v>
      </c>
      <c r="D34" s="42">
        <f>Aug!T35</f>
        <v>336.33000000007451</v>
      </c>
      <c r="E34" s="42">
        <f>Aug!V35</f>
        <v>0</v>
      </c>
      <c r="F34" s="42">
        <f>Aug!AB35</f>
        <v>200</v>
      </c>
      <c r="G34" s="42">
        <f>Aug!X35</f>
        <v>17063.66999999847</v>
      </c>
      <c r="H34" s="42">
        <f>Aug!AE35</f>
        <v>6300.0000000001819</v>
      </c>
      <c r="I34" s="42">
        <f>Aug!AI35</f>
        <v>14352.3</v>
      </c>
      <c r="J34" s="42">
        <f>Aug!AN35</f>
        <v>6092.2999999999265</v>
      </c>
      <c r="K34" s="42">
        <f>Aug!AR35</f>
        <v>11400.000000001455</v>
      </c>
      <c r="L34" s="42">
        <f>Aug!AZ35</f>
        <v>420</v>
      </c>
      <c r="M34" s="42">
        <f>Aug!BC35</f>
        <v>650</v>
      </c>
      <c r="N34" s="125">
        <f t="shared" si="3"/>
        <v>56814.600000000108</v>
      </c>
      <c r="O34" s="125">
        <f>Aug!CA35</f>
        <v>732.10000000000264</v>
      </c>
      <c r="P34" s="125">
        <f>Aug!CD35</f>
        <v>0</v>
      </c>
      <c r="Q34" s="125">
        <f>Aug!CF35</f>
        <v>5290</v>
      </c>
      <c r="R34" s="125">
        <f>Aug!CH35</f>
        <v>0</v>
      </c>
      <c r="S34" s="125">
        <f>Aug!CK35</f>
        <v>14940.199999999706</v>
      </c>
      <c r="T34" s="125">
        <f>Aug!CO35</f>
        <v>7170.3000000002112</v>
      </c>
      <c r="U34" s="125">
        <f>Aug!CS35</f>
        <v>6319.6000000000467</v>
      </c>
      <c r="V34" s="126">
        <f t="shared" si="4"/>
        <v>34452.199999999968</v>
      </c>
      <c r="W34" s="126">
        <f>Aug!CW35</f>
        <v>18923</v>
      </c>
      <c r="X34" s="126">
        <f>Aug!DA35</f>
        <v>11292</v>
      </c>
      <c r="Y34" s="126">
        <f t="shared" si="1"/>
        <v>30215</v>
      </c>
      <c r="Z34" s="42">
        <f>Aug!BR35</f>
        <v>800.00000000006821</v>
      </c>
      <c r="AA34" s="126">
        <f>Aug!BG35</f>
        <v>1500</v>
      </c>
      <c r="AB34" s="126">
        <f>Aug!BJ35</f>
        <v>9599.9999999985448</v>
      </c>
      <c r="AC34" s="126">
        <f>Aug!BL35+Aug!BN35+Aug!BP35</f>
        <v>4960.0000000000045</v>
      </c>
      <c r="AD34" s="126">
        <f>Aug!DR35</f>
        <v>9500</v>
      </c>
      <c r="AE34" s="127">
        <f>Aug!DT35-Aug!DR75-Aug!DT75</f>
        <v>24700</v>
      </c>
      <c r="AF34" s="127">
        <f>Aug!DR75+Aug!DT75</f>
        <v>0</v>
      </c>
      <c r="AG34" s="127">
        <f>Aug!HJ35-AE34</f>
        <v>154300</v>
      </c>
      <c r="AH34" s="127">
        <f>Aug!DW35</f>
        <v>4399.9999999996362</v>
      </c>
      <c r="AI34" s="127">
        <f>Aug!DZ35</f>
        <v>9352.2999999999993</v>
      </c>
      <c r="AJ34" s="127">
        <f>Aug!EC35</f>
        <v>21352.3</v>
      </c>
      <c r="AK34" s="127">
        <f t="shared" si="5"/>
        <v>35104.599999999635</v>
      </c>
      <c r="AL34" s="127">
        <f>Aug!EG35</f>
        <v>29352.3</v>
      </c>
      <c r="AM34" s="127">
        <f>Aug!EJ35</f>
        <v>11352.3</v>
      </c>
      <c r="AN34" s="127">
        <f>Aug!EM35</f>
        <v>689.99999999994088</v>
      </c>
      <c r="AO34" s="127">
        <f t="shared" si="20"/>
        <v>41394.59999999994</v>
      </c>
      <c r="AP34" s="127">
        <f>Aug!FX35</f>
        <v>27263</v>
      </c>
      <c r="AQ34" s="127">
        <f>Aug!GA35</f>
        <v>6896</v>
      </c>
      <c r="AR34" s="127">
        <f>Aug!GG35</f>
        <v>7133.0000000010168</v>
      </c>
      <c r="AS34" s="127">
        <f t="shared" si="7"/>
        <v>41292.000000001019</v>
      </c>
      <c r="AT34" s="127">
        <f>Aug!EQ35</f>
        <v>6472.299999999721</v>
      </c>
      <c r="AU34" s="127">
        <f>Aug!ET35</f>
        <v>16555.000000000291</v>
      </c>
      <c r="AV34" s="127">
        <f>Aug!EW35</f>
        <v>9823.3000000004577</v>
      </c>
      <c r="AW34" s="127">
        <f>Aug!FL72</f>
        <v>10583.009999999416</v>
      </c>
      <c r="AX34" s="127">
        <f>Aug!GJ35+((Aug!GP35+Aug!GS35)*50/100)</f>
        <v>1702.9999999999854</v>
      </c>
      <c r="AY34" s="127">
        <f t="shared" si="8"/>
        <v>45136.60999999987</v>
      </c>
      <c r="AZ34" s="127">
        <f>Aug!FG35</f>
        <v>9183.720000000716</v>
      </c>
      <c r="BA34" s="127">
        <f>Aug!FJ35</f>
        <v>16833.71999999927</v>
      </c>
      <c r="BB34" s="127">
        <f>Aug!FM72</f>
        <v>10583.009999999416</v>
      </c>
      <c r="BC34" s="127">
        <f>Aug!GM35+((Aug!GP35+Aug!GS35)*50/100)</f>
        <v>131.99999999991451</v>
      </c>
      <c r="BD34" s="127">
        <f t="shared" si="9"/>
        <v>36732.449999999313</v>
      </c>
      <c r="BE34" s="127">
        <f>Aug!GP35</f>
        <v>2.8999999999941792</v>
      </c>
      <c r="BF34" s="127">
        <f>Aug!GS35</f>
        <v>255.09999999997672</v>
      </c>
      <c r="BG34" s="127">
        <f t="shared" si="10"/>
        <v>257.9999999999709</v>
      </c>
      <c r="BH34" s="127">
        <f t="shared" si="2"/>
        <v>30215</v>
      </c>
      <c r="BI34" s="127"/>
      <c r="BJ34" s="127"/>
      <c r="BK34" s="127"/>
      <c r="BL34" s="128"/>
      <c r="BM34" s="128">
        <f>AS34*51/100</f>
        <v>21058.920000000522</v>
      </c>
      <c r="BN34" s="128"/>
      <c r="BO34" s="128">
        <f t="shared" si="11"/>
        <v>20233.080000000497</v>
      </c>
      <c r="BP34" s="128"/>
      <c r="BQ34" s="128">
        <f t="shared" si="19"/>
        <v>257.9999999999709</v>
      </c>
      <c r="BR34" s="128"/>
      <c r="BS34" s="128">
        <f t="shared" si="12"/>
        <v>0</v>
      </c>
      <c r="BT34" s="42">
        <f>[10]Aug!D73</f>
        <v>0</v>
      </c>
      <c r="BU34" s="42">
        <f>[10]Aug!G74</f>
        <v>89000</v>
      </c>
      <c r="BV34" t="s">
        <v>410</v>
      </c>
      <c r="BX34" s="42">
        <f>Aug!HJ35</f>
        <v>179000</v>
      </c>
      <c r="BY34" s="42">
        <f>Aug!HM35</f>
        <v>0</v>
      </c>
      <c r="BZ34" s="42">
        <f>Aug!HP35</f>
        <v>45999.999999999454</v>
      </c>
      <c r="CA34" s="42">
        <f>Aug!HS35</f>
        <v>24999.999999999454</v>
      </c>
      <c r="CB34" s="42">
        <f>Aug!HV35</f>
        <v>27799.999999999636</v>
      </c>
      <c r="CC34" s="42">
        <f>Aug!HY35</f>
        <v>24199.999999999727</v>
      </c>
      <c r="CD34" s="42">
        <f>Aug!IB35</f>
        <v>31300</v>
      </c>
      <c r="CE34" s="42">
        <f>Aug!IE35</f>
        <v>0</v>
      </c>
      <c r="CF34" s="42">
        <f>Aug!IH35</f>
        <v>24700</v>
      </c>
    </row>
    <row r="35" spans="1:87" ht="15" customHeight="1" x14ac:dyDescent="0.25">
      <c r="A35" s="26">
        <f t="shared" si="13"/>
        <v>29</v>
      </c>
      <c r="B35" s="42">
        <f>Aug!G36</f>
        <v>453760.00000000204</v>
      </c>
      <c r="C35" s="42">
        <f>Aug!N36</f>
        <v>456000</v>
      </c>
      <c r="D35" s="42">
        <f>Aug!T36</f>
        <v>361.89000000059605</v>
      </c>
      <c r="E35" s="42">
        <f>Aug!V36</f>
        <v>0</v>
      </c>
      <c r="F35" s="42">
        <f>Aug!AB36</f>
        <v>0</v>
      </c>
      <c r="G35" s="42">
        <f>Aug!X36</f>
        <v>18038.110000000859</v>
      </c>
      <c r="H35" s="42">
        <f>Aug!AE36</f>
        <v>7699.9999999998181</v>
      </c>
      <c r="I35" s="42">
        <f>Aug!AI36</f>
        <v>17230.339999998545</v>
      </c>
      <c r="J35" s="42">
        <f>Aug!AN36</f>
        <v>7200.3400000003639</v>
      </c>
      <c r="K35" s="42">
        <f>Aug!AR36</f>
        <v>8899.9999999996362</v>
      </c>
      <c r="L35" s="42">
        <f>Aug!AZ36</f>
        <v>440</v>
      </c>
      <c r="M35" s="42">
        <f>Aug!BC36</f>
        <v>660</v>
      </c>
      <c r="N35" s="125">
        <f t="shared" ref="N35:N37" si="21">SUM(D35:M35)</f>
        <v>60530.679999999818</v>
      </c>
      <c r="O35" s="125">
        <f>Aug!CA36</f>
        <v>706.50000000000546</v>
      </c>
      <c r="P35" s="125">
        <f>Aug!CD36</f>
        <v>0</v>
      </c>
      <c r="Q35" s="125">
        <f>Aug!CF36</f>
        <v>6040</v>
      </c>
      <c r="R35" s="125">
        <f>Aug!CH36</f>
        <v>0</v>
      </c>
      <c r="S35" s="125">
        <f>Aug!CK36</f>
        <v>15403.839999999558</v>
      </c>
      <c r="T35" s="125">
        <f>Aug!CO36</f>
        <v>7450.3399999997091</v>
      </c>
      <c r="U35" s="125">
        <f>Aug!CS36</f>
        <v>5954.9399999999769</v>
      </c>
      <c r="V35" s="126">
        <f t="shared" si="4"/>
        <v>35555.619999999253</v>
      </c>
      <c r="W35" s="126">
        <f>Aug!CW36</f>
        <v>19575</v>
      </c>
      <c r="X35" s="126">
        <f>Aug!DA36</f>
        <v>11637</v>
      </c>
      <c r="Y35" s="126">
        <f t="shared" si="1"/>
        <v>31212</v>
      </c>
      <c r="Z35" s="42">
        <f>Aug!BR36</f>
        <v>699.99999999993179</v>
      </c>
      <c r="AA35" s="126">
        <f>Aug!BG36</f>
        <v>1500</v>
      </c>
      <c r="AB35" s="126">
        <f>Aug!BJ36</f>
        <v>8400.0000000014552</v>
      </c>
      <c r="AC35" s="126">
        <f>Aug!BL36+Aug!BN36+Aug!BP36</f>
        <v>5159.9999999999955</v>
      </c>
      <c r="AD35" s="126">
        <f>Aug!DR36</f>
        <v>8900</v>
      </c>
      <c r="AE35" s="127">
        <f>Aug!DT36-Aug!DR76-Aug!DT76</f>
        <v>25200</v>
      </c>
      <c r="AF35" s="127">
        <f>Aug!DR76+Aug!DT76</f>
        <v>0</v>
      </c>
      <c r="AG35" s="127">
        <f>Aug!HJ36-AE35</f>
        <v>145800</v>
      </c>
      <c r="AH35" s="127">
        <f>Aug!DW36</f>
        <v>4000</v>
      </c>
      <c r="AI35" s="127">
        <f>Aug!DZ36</f>
        <v>8630.34</v>
      </c>
      <c r="AJ35" s="127">
        <f>Aug!EC36</f>
        <v>21630.34</v>
      </c>
      <c r="AK35" s="127">
        <f t="shared" si="5"/>
        <v>34260.68</v>
      </c>
      <c r="AL35" s="127">
        <f>Aug!EG36</f>
        <v>27630.34</v>
      </c>
      <c r="AM35" s="127">
        <f>Aug!EJ36</f>
        <v>11630.34</v>
      </c>
      <c r="AN35" s="127">
        <f>Aug!EM36</f>
        <v>659.99999999996817</v>
      </c>
      <c r="AO35" s="127">
        <f t="shared" si="20"/>
        <v>39920.679999999971</v>
      </c>
      <c r="AP35" s="127">
        <f>Aug!FX36</f>
        <v>36322</v>
      </c>
      <c r="AQ35" s="127">
        <f>Aug!GA36</f>
        <v>8322.3000000000029</v>
      </c>
      <c r="AR35" s="127">
        <f>Aug!GG36</f>
        <v>8918.8999999994194</v>
      </c>
      <c r="AS35" s="127">
        <f t="shared" si="7"/>
        <v>53563.199999999422</v>
      </c>
      <c r="AT35" s="127">
        <f>Aug!EQ36</f>
        <v>7495.3399999997255</v>
      </c>
      <c r="AU35" s="127">
        <f>Aug!ET36</f>
        <v>16889.999999999418</v>
      </c>
      <c r="AV35" s="127">
        <f>Aug!EW36</f>
        <v>11186.339999999585</v>
      </c>
      <c r="AW35" s="127">
        <f>Aug!FL73</f>
        <v>11168.669999999853</v>
      </c>
      <c r="AX35" s="127">
        <f>Aug!GJ36+((Aug!GP36+Aug!GS36)*50/100)</f>
        <v>1870.5999999999985</v>
      </c>
      <c r="AY35" s="127">
        <f t="shared" ref="AY35:AY37" si="22">SUM(AT35:AX35)</f>
        <v>48610.949999998578</v>
      </c>
      <c r="AZ35" s="127">
        <f>Aug!FG36</f>
        <v>9591.9999999999836</v>
      </c>
      <c r="BA35" s="127">
        <f>Aug!FJ36</f>
        <v>16237.000000000364</v>
      </c>
      <c r="BB35" s="127">
        <f>Aug!FM73</f>
        <v>11168.669999999853</v>
      </c>
      <c r="BC35" s="127">
        <f>Aug!GM36+((Aug!GP36+Aug!GS36)*50/100)</f>
        <v>149.5</v>
      </c>
      <c r="BD35" s="127">
        <f t="shared" ref="BD35:BD37" si="23">SUM(AZ35:BC35)</f>
        <v>37147.170000000202</v>
      </c>
      <c r="BE35" s="127">
        <f>Aug!GP36</f>
        <v>1</v>
      </c>
      <c r="BF35" s="127">
        <f>Aug!GS36</f>
        <v>298</v>
      </c>
      <c r="BG35" s="127">
        <f t="shared" si="10"/>
        <v>299</v>
      </c>
      <c r="BH35" s="127">
        <f t="shared" si="2"/>
        <v>31212</v>
      </c>
      <c r="BI35" s="127"/>
      <c r="BJ35" s="127"/>
      <c r="BK35" s="127"/>
      <c r="BL35" s="128"/>
      <c r="BM35" s="128">
        <f>AS35*48/100</f>
        <v>25710.335999999723</v>
      </c>
      <c r="BN35" s="128"/>
      <c r="BO35" s="128">
        <f t="shared" si="11"/>
        <v>27852.863999999699</v>
      </c>
      <c r="BP35" s="128"/>
      <c r="BQ35" s="128">
        <f t="shared" si="19"/>
        <v>299</v>
      </c>
      <c r="BR35" s="128"/>
      <c r="BS35" s="128">
        <f t="shared" si="12"/>
        <v>0</v>
      </c>
      <c r="BT35" s="42">
        <f>[10]Aug!D74</f>
        <v>0</v>
      </c>
      <c r="BU35" s="42">
        <f>[10]Aug!G75</f>
        <v>83000</v>
      </c>
      <c r="BV35" t="s">
        <v>411</v>
      </c>
      <c r="BX35" s="42">
        <f>Aug!HJ36</f>
        <v>171000</v>
      </c>
      <c r="BY35" s="42">
        <f>Aug!HM36</f>
        <v>0</v>
      </c>
      <c r="BZ35" s="42">
        <f>Aug!HP36</f>
        <v>44500.000000000182</v>
      </c>
      <c r="CA35" s="42">
        <f>Aug!HS36</f>
        <v>19899.999999999818</v>
      </c>
      <c r="CB35" s="42">
        <f>Aug!HV36</f>
        <v>26700</v>
      </c>
      <c r="CC35" s="42">
        <f>Aug!HY36</f>
        <v>24100.000000000091</v>
      </c>
      <c r="CD35" s="42">
        <f>Aug!IB36</f>
        <v>30600</v>
      </c>
      <c r="CE35" s="42">
        <f>Aug!IE36</f>
        <v>0</v>
      </c>
      <c r="CF35" s="42">
        <f>Aug!IH36</f>
        <v>25200</v>
      </c>
    </row>
    <row r="36" spans="1:87" x14ac:dyDescent="0.25">
      <c r="A36" s="26">
        <f t="shared" si="13"/>
        <v>30</v>
      </c>
      <c r="B36" s="42">
        <f>Aug!G37</f>
        <v>453119.99999999534</v>
      </c>
      <c r="C36" s="42">
        <f>Aug!N37</f>
        <v>450000</v>
      </c>
      <c r="D36" s="42">
        <f>Aug!T37</f>
        <v>354.16999999992549</v>
      </c>
      <c r="E36" s="42">
        <f>Aug!V37</f>
        <v>0</v>
      </c>
      <c r="F36" s="42">
        <f>Aug!AB37</f>
        <v>100</v>
      </c>
      <c r="G36" s="42">
        <f>Aug!X37</f>
        <v>17745.829999998983</v>
      </c>
      <c r="H36" s="42">
        <f>Aug!AE37</f>
        <v>7699.9999999998181</v>
      </c>
      <c r="I36" s="42">
        <f>Aug!AI37</f>
        <v>16632.470000001456</v>
      </c>
      <c r="J36" s="42">
        <f>Aug!AN37</f>
        <v>5642.4700000007952</v>
      </c>
      <c r="K36" s="42">
        <f>Aug!AR37</f>
        <v>9399.9999999996362</v>
      </c>
      <c r="L36" s="42">
        <f>Aug!AZ37</f>
        <v>440</v>
      </c>
      <c r="M36" s="42">
        <f>Aug!BC37</f>
        <v>700</v>
      </c>
      <c r="N36" s="125">
        <f t="shared" si="21"/>
        <v>58714.940000000614</v>
      </c>
      <c r="O36" s="125">
        <f>Aug!CA37</f>
        <v>755.59999999995853</v>
      </c>
      <c r="P36" s="125">
        <f>Aug!CD37</f>
        <v>1359.6999999999534</v>
      </c>
      <c r="Q36" s="125">
        <f>Aug!CF37</f>
        <v>6812</v>
      </c>
      <c r="R36" s="125">
        <f>Aug!CH37</f>
        <v>0</v>
      </c>
      <c r="S36" s="125">
        <f>Aug!CK37</f>
        <v>15616.870000001278</v>
      </c>
      <c r="T36" s="125">
        <f>Aug!CO37</f>
        <v>5508.4699999998402</v>
      </c>
      <c r="U36" s="125">
        <f>Aug!CS37</f>
        <v>6162.6699999999537</v>
      </c>
      <c r="V36" s="126">
        <f t="shared" si="4"/>
        <v>36215.310000000987</v>
      </c>
      <c r="W36" s="126">
        <f>Aug!CW37</f>
        <v>20578</v>
      </c>
      <c r="X36" s="126">
        <f>Aug!DA37</f>
        <v>11924</v>
      </c>
      <c r="Y36" s="126">
        <f t="shared" si="1"/>
        <v>32502</v>
      </c>
      <c r="Z36" s="42">
        <f>Aug!BR37</f>
        <v>500</v>
      </c>
      <c r="AA36" s="126">
        <f>Aug!BG37</f>
        <v>1599.9999999999091</v>
      </c>
      <c r="AB36" s="126">
        <f>Aug!BJ37</f>
        <v>7799.9999999992724</v>
      </c>
      <c r="AC36" s="126">
        <f>Aug!BL37+Aug!BN37+Aug!BP37</f>
        <v>4960.0000000000045</v>
      </c>
      <c r="AD36" s="126">
        <f>Aug!DR37</f>
        <v>9400</v>
      </c>
      <c r="AE36" s="127">
        <f>Aug!DT37-Aug!DR77-Aug!DT77</f>
        <v>25800</v>
      </c>
      <c r="AF36" s="127">
        <f>Aug!DR77+Aug!DT77</f>
        <v>0</v>
      </c>
      <c r="AG36" s="127">
        <f>Aug!HJ37-AE36</f>
        <v>148200</v>
      </c>
      <c r="AH36" s="127">
        <f>Aug!DW37</f>
        <v>4199.9999999989086</v>
      </c>
      <c r="AI36" s="127">
        <f>Aug!DZ37</f>
        <v>9732.4699999999993</v>
      </c>
      <c r="AJ36" s="127">
        <f>Aug!EC37</f>
        <v>22732.47</v>
      </c>
      <c r="AK36" s="127">
        <f t="shared" si="5"/>
        <v>36664.939999998911</v>
      </c>
      <c r="AL36" s="127">
        <f>Aug!EG37</f>
        <v>30732.47</v>
      </c>
      <c r="AM36" s="127">
        <f>Aug!EJ37</f>
        <v>12732.47</v>
      </c>
      <c r="AN36" s="127">
        <f>Aug!EM37</f>
        <v>750</v>
      </c>
      <c r="AO36" s="127">
        <f t="shared" si="20"/>
        <v>44214.94</v>
      </c>
      <c r="AP36" s="127">
        <f>Aug!FX37</f>
        <v>30800</v>
      </c>
      <c r="AQ36" s="127">
        <f>Aug!GA37</f>
        <v>8118</v>
      </c>
      <c r="AR36" s="127">
        <f>Aug!GG37</f>
        <v>7216</v>
      </c>
      <c r="AS36" s="127">
        <f t="shared" si="7"/>
        <v>46134</v>
      </c>
      <c r="AT36" s="127">
        <f>Aug!EQ37</f>
        <v>6787.4700000000066</v>
      </c>
      <c r="AU36" s="127">
        <f>Aug!ET37</f>
        <v>18000</v>
      </c>
      <c r="AV36" s="127">
        <f>Aug!EW37</f>
        <v>11332.470000000363</v>
      </c>
      <c r="AW36" s="127">
        <f>Aug!FL74</f>
        <v>11074.969999999998</v>
      </c>
      <c r="AX36" s="127">
        <f>Aug!GJ37+((Aug!GP37+Aug!GS37)*50/100)</f>
        <v>1929</v>
      </c>
      <c r="AY36" s="127">
        <f t="shared" si="22"/>
        <v>49123.910000000367</v>
      </c>
      <c r="AZ36" s="127">
        <f>Aug!FG37</f>
        <v>10362.469999999992</v>
      </c>
      <c r="BA36" s="127">
        <f>Aug!FJ37</f>
        <v>17417.47</v>
      </c>
      <c r="BB36" s="127">
        <f>Aug!FM74</f>
        <v>11074.969999999998</v>
      </c>
      <c r="BC36" s="127">
        <f>Aug!GM37+((Aug!GP37+Aug!GS37)*50/100)</f>
        <v>145</v>
      </c>
      <c r="BD36" s="127">
        <f t="shared" si="23"/>
        <v>38999.909999999989</v>
      </c>
      <c r="BE36" s="127">
        <f>Aug!GP37</f>
        <v>0</v>
      </c>
      <c r="BF36" s="127">
        <f>Aug!GS37</f>
        <v>290</v>
      </c>
      <c r="BG36" s="127">
        <f t="shared" si="10"/>
        <v>290</v>
      </c>
      <c r="BH36" s="127">
        <f t="shared" si="2"/>
        <v>32502</v>
      </c>
      <c r="BI36" s="127"/>
      <c r="BJ36" s="127"/>
      <c r="BK36" s="127"/>
      <c r="BL36" s="128"/>
      <c r="BM36" s="128">
        <f>AS36*50/100</f>
        <v>23067</v>
      </c>
      <c r="BN36" s="128"/>
      <c r="BO36" s="128">
        <f t="shared" si="11"/>
        <v>23067</v>
      </c>
      <c r="BP36" s="128"/>
      <c r="BQ36" s="128">
        <f t="shared" si="19"/>
        <v>290</v>
      </c>
      <c r="BR36" s="128"/>
      <c r="BS36" s="128">
        <f t="shared" si="12"/>
        <v>0</v>
      </c>
      <c r="BT36" s="42">
        <f>[10]Aug!D75</f>
        <v>0</v>
      </c>
      <c r="BU36" s="42">
        <f>[10]Aug!G76</f>
        <v>88000</v>
      </c>
      <c r="BV36" t="s">
        <v>412</v>
      </c>
      <c r="BX36" s="42">
        <f>Aug!HJ37</f>
        <v>174000</v>
      </c>
      <c r="BY36" s="42">
        <f>Aug!HM37</f>
        <v>0</v>
      </c>
      <c r="BZ36" s="42">
        <f>Aug!HP37</f>
        <v>43250.000000000182</v>
      </c>
      <c r="CA36" s="42">
        <f>Aug!HS37</f>
        <v>24250.000000000182</v>
      </c>
      <c r="CB36" s="42">
        <f>Aug!HV37</f>
        <v>26550.000000000364</v>
      </c>
      <c r="CC36" s="42">
        <f>Aug!HY37</f>
        <v>23650.000000000273</v>
      </c>
      <c r="CD36" s="42">
        <f>Aug!IB37</f>
        <v>30500</v>
      </c>
      <c r="CE36" s="42">
        <f>Aug!IE37</f>
        <v>0</v>
      </c>
      <c r="CF36" s="42">
        <f>Aug!IH37</f>
        <v>25800</v>
      </c>
    </row>
    <row r="37" spans="1:87" x14ac:dyDescent="0.25">
      <c r="A37" s="26">
        <f t="shared" si="13"/>
        <v>31</v>
      </c>
      <c r="B37" s="42">
        <f>Aug!G38</f>
        <v>449920.00000000553</v>
      </c>
      <c r="C37" s="42">
        <f>Aug!N38</f>
        <v>444000</v>
      </c>
      <c r="D37" s="42">
        <f>Aug!T38</f>
        <v>293.41999999992549</v>
      </c>
      <c r="E37" s="42">
        <f>Aug!V38</f>
        <v>0</v>
      </c>
      <c r="F37" s="42">
        <f>Aug!AB38</f>
        <v>100</v>
      </c>
      <c r="G37" s="42">
        <f>Aug!X38</f>
        <v>17706.580000000438</v>
      </c>
      <c r="H37" s="42">
        <f>Aug!AE38</f>
        <v>7699.9999999998181</v>
      </c>
      <c r="I37" s="42">
        <f>Aug!AI38</f>
        <v>16796.569999998908</v>
      </c>
      <c r="J37" s="42">
        <f>Aug!AN38</f>
        <v>5646.5699999988356</v>
      </c>
      <c r="K37" s="42">
        <f>Aug!AR38</f>
        <v>9299.9999999992724</v>
      </c>
      <c r="L37" s="42">
        <f>Aug!AZ38</f>
        <v>460</v>
      </c>
      <c r="M37" s="42">
        <f>Aug!BC38</f>
        <v>710</v>
      </c>
      <c r="N37" s="125">
        <f t="shared" si="21"/>
        <v>58713.139999997198</v>
      </c>
      <c r="O37" s="125">
        <f>Aug!CA38</f>
        <v>634.30000000005293</v>
      </c>
      <c r="P37" s="125">
        <f>Aug!CD38</f>
        <v>0</v>
      </c>
      <c r="Q37" s="125">
        <f>Aug!CF38</f>
        <v>5202</v>
      </c>
      <c r="R37" s="125">
        <f>Aug!CH38</f>
        <v>0</v>
      </c>
      <c r="S37" s="125">
        <f>Aug!CK38</f>
        <v>14712.269999999946</v>
      </c>
      <c r="T37" s="125">
        <f>Aug!CO38</f>
        <v>5535.5700000003053</v>
      </c>
      <c r="U37" s="125">
        <f>Aug!CS38</f>
        <v>5990.07</v>
      </c>
      <c r="V37" s="126">
        <f t="shared" si="4"/>
        <v>32074.210000000305</v>
      </c>
      <c r="W37" s="126">
        <f>Aug!CW38</f>
        <v>20381</v>
      </c>
      <c r="X37" s="126">
        <f>Aug!DA38</f>
        <v>11045</v>
      </c>
      <c r="Y37" s="126">
        <f t="shared" si="1"/>
        <v>31426</v>
      </c>
      <c r="Z37" s="42">
        <f>Aug!BR38</f>
        <v>300.00000000006821</v>
      </c>
      <c r="AA37" s="126">
        <f>Aug!BG38</f>
        <v>1500</v>
      </c>
      <c r="AB37" s="126">
        <f>Aug!BJ38</f>
        <v>7700.0000000007276</v>
      </c>
      <c r="AC37" s="126">
        <f>Aug!BL38+Aug!BN38+Aug!BP38</f>
        <v>4850.0000000000045</v>
      </c>
      <c r="AD37" s="126">
        <f>Aug!DR38</f>
        <v>7000</v>
      </c>
      <c r="AE37" s="127">
        <f>Aug!DT38-Aug!DR78-Aug!DT78</f>
        <v>24800</v>
      </c>
      <c r="AF37" s="127">
        <f>Aug!DR78+Aug!DT78</f>
        <v>0</v>
      </c>
      <c r="AG37" s="127">
        <f>Aug!HJ38-AE37</f>
        <v>148200</v>
      </c>
      <c r="AH37" s="127">
        <f>Aug!DW38</f>
        <v>4000</v>
      </c>
      <c r="AI37" s="127">
        <f>Aug!DZ38</f>
        <v>8596.57</v>
      </c>
      <c r="AJ37" s="127">
        <f>Aug!EC38</f>
        <v>20596.57</v>
      </c>
      <c r="AK37" s="127">
        <f t="shared" si="5"/>
        <v>33193.14</v>
      </c>
      <c r="AL37" s="127">
        <f>Aug!EG38</f>
        <v>26596.57</v>
      </c>
      <c r="AM37" s="127">
        <f>Aug!EJ38</f>
        <v>11596.57</v>
      </c>
      <c r="AN37" s="127">
        <f>Aug!EM38</f>
        <v>720.00000000002728</v>
      </c>
      <c r="AO37" s="127">
        <f t="shared" si="20"/>
        <v>38913.140000000029</v>
      </c>
      <c r="AP37" s="127">
        <f>Aug!FX38</f>
        <v>33100</v>
      </c>
      <c r="AQ37" s="127">
        <f>Aug!GA38</f>
        <v>8481</v>
      </c>
      <c r="AR37" s="127">
        <f>Aug!GG38</f>
        <v>10228</v>
      </c>
      <c r="AS37" s="127">
        <f t="shared" si="7"/>
        <v>51809</v>
      </c>
      <c r="AT37" s="127">
        <f>Aug!EQ38</f>
        <v>7646.5699999999542</v>
      </c>
      <c r="AU37" s="127">
        <f>Aug!ET38</f>
        <v>17000</v>
      </c>
      <c r="AV37" s="127">
        <f>Aug!EW38</f>
        <v>10996.569999999636</v>
      </c>
      <c r="AW37" s="127">
        <f>Aug!FL75</f>
        <v>11771.57</v>
      </c>
      <c r="AX37" s="127">
        <f>Aug!GJ38+((Aug!GP38+Aug!GS38)*50/100)</f>
        <v>1932</v>
      </c>
      <c r="AY37" s="127">
        <f t="shared" si="22"/>
        <v>49346.709999999592</v>
      </c>
      <c r="AZ37" s="127">
        <f>Aug!FG38</f>
        <v>8896.5700000000452</v>
      </c>
      <c r="BA37" s="127">
        <f>Aug!FJ38</f>
        <v>17946.57</v>
      </c>
      <c r="BB37" s="127">
        <f>Aug!FM75</f>
        <v>11771.57</v>
      </c>
      <c r="BC37" s="127">
        <f>Aug!GM38+((Aug!GP38+Aug!GS38)*50/100)</f>
        <v>160</v>
      </c>
      <c r="BD37" s="127">
        <f t="shared" si="23"/>
        <v>38774.710000000043</v>
      </c>
      <c r="BE37" s="127">
        <f>Aug!GP38</f>
        <v>0</v>
      </c>
      <c r="BF37" s="127">
        <f>Aug!GS38</f>
        <v>320</v>
      </c>
      <c r="BG37" s="127">
        <f t="shared" si="10"/>
        <v>320</v>
      </c>
      <c r="BH37" s="127">
        <f t="shared" si="2"/>
        <v>31426</v>
      </c>
      <c r="BI37" s="127"/>
      <c r="BJ37" s="127"/>
      <c r="BK37" s="127"/>
      <c r="BL37" s="128"/>
      <c r="BM37" s="128">
        <f>AS37*49/100</f>
        <v>25386.41</v>
      </c>
      <c r="BN37" s="128"/>
      <c r="BO37" s="128">
        <f t="shared" si="11"/>
        <v>26422.59</v>
      </c>
      <c r="BP37" s="128"/>
      <c r="BQ37" s="128">
        <f t="shared" si="19"/>
        <v>320</v>
      </c>
      <c r="BR37" s="128"/>
      <c r="BS37" s="128">
        <f t="shared" si="12"/>
        <v>0</v>
      </c>
      <c r="BT37" s="42">
        <f>[10]Aug!D76</f>
        <v>0</v>
      </c>
      <c r="BU37" s="42">
        <f>[10]Aug!G77</f>
        <v>79000</v>
      </c>
      <c r="BV37" t="s">
        <v>410</v>
      </c>
      <c r="BX37" s="42">
        <f>Aug!HJ38</f>
        <v>173000</v>
      </c>
      <c r="BY37" s="42">
        <f>Aug!HM38</f>
        <v>0</v>
      </c>
      <c r="BZ37" s="42">
        <f>Aug!HS38</f>
        <v>24375.000000000182</v>
      </c>
      <c r="CA37" s="42">
        <f>Aug!HV38</f>
        <v>26774.999999999818</v>
      </c>
      <c r="CB37" s="42">
        <f>Aug!HY38</f>
        <v>24075</v>
      </c>
      <c r="CC37" s="42">
        <f>Aug!HP38</f>
        <v>42675.000000000364</v>
      </c>
      <c r="CD37" s="42">
        <f>Aug!IB38</f>
        <v>30300</v>
      </c>
      <c r="CE37" s="42"/>
      <c r="CF37" s="42">
        <f>Aug!IH38</f>
        <v>24800</v>
      </c>
    </row>
    <row r="38" spans="1:87" x14ac:dyDescent="0.25">
      <c r="A38" s="129" t="s">
        <v>37</v>
      </c>
      <c r="B38" s="130">
        <f t="shared" ref="B38:AJ38" si="24">SUM(B7:B37)</f>
        <v>12380479.999999998</v>
      </c>
      <c r="C38" s="130">
        <f t="shared" si="24"/>
        <v>12296000</v>
      </c>
      <c r="D38" s="130">
        <f t="shared" si="24"/>
        <v>10379.589999999851</v>
      </c>
      <c r="E38" s="130">
        <f t="shared" si="24"/>
        <v>0</v>
      </c>
      <c r="F38" s="130">
        <f t="shared" si="24"/>
        <v>2400</v>
      </c>
      <c r="G38" s="130">
        <f t="shared" si="24"/>
        <v>528720.41000000015</v>
      </c>
      <c r="H38" s="130">
        <f t="shared" si="24"/>
        <v>177599.99999999948</v>
      </c>
      <c r="I38" s="130">
        <f t="shared" si="24"/>
        <v>416939.20999999903</v>
      </c>
      <c r="J38" s="130">
        <f t="shared" si="24"/>
        <v>194399.20999999889</v>
      </c>
      <c r="K38" s="130">
        <f t="shared" si="24"/>
        <v>337299.9999999993</v>
      </c>
      <c r="L38" s="130">
        <f t="shared" si="24"/>
        <v>12200</v>
      </c>
      <c r="M38" s="130">
        <f t="shared" si="24"/>
        <v>17900</v>
      </c>
      <c r="N38" s="130">
        <f t="shared" si="24"/>
        <v>1697838.4199999967</v>
      </c>
      <c r="O38" s="130">
        <f t="shared" si="24"/>
        <v>22495.600000000024</v>
      </c>
      <c r="P38" s="130">
        <f t="shared" si="24"/>
        <v>60090.5</v>
      </c>
      <c r="Q38" s="130">
        <f t="shared" si="24"/>
        <v>165396</v>
      </c>
      <c r="R38" s="130">
        <f t="shared" si="24"/>
        <v>49822.399999999994</v>
      </c>
      <c r="S38" s="130">
        <f t="shared" si="24"/>
        <v>503283.61000000092</v>
      </c>
      <c r="T38" s="130">
        <f t="shared" si="24"/>
        <v>249542.21000000031</v>
      </c>
      <c r="U38" s="130">
        <f t="shared" si="24"/>
        <v>212540.70999999996</v>
      </c>
      <c r="V38" s="130">
        <f t="shared" si="24"/>
        <v>1263171.0300000012</v>
      </c>
      <c r="W38" s="130">
        <f t="shared" si="24"/>
        <v>160295</v>
      </c>
      <c r="X38" s="130">
        <f t="shared" si="24"/>
        <v>89787</v>
      </c>
      <c r="Y38" s="130">
        <f t="shared" si="24"/>
        <v>250082</v>
      </c>
      <c r="Z38" s="130">
        <f t="shared" si="24"/>
        <v>18500</v>
      </c>
      <c r="AA38" s="130">
        <f t="shared" si="24"/>
        <v>51100.000000000131</v>
      </c>
      <c r="AB38" s="130">
        <f t="shared" si="24"/>
        <v>272400.00000000151</v>
      </c>
      <c r="AC38" s="130">
        <f t="shared" si="24"/>
        <v>152040</v>
      </c>
      <c r="AD38" s="130">
        <f t="shared" si="24"/>
        <v>289300</v>
      </c>
      <c r="AE38" s="130">
        <f t="shared" si="24"/>
        <v>722200</v>
      </c>
      <c r="AF38" s="130">
        <f t="shared" si="24"/>
        <v>0</v>
      </c>
      <c r="AG38" s="130">
        <f t="shared" si="24"/>
        <v>4339800</v>
      </c>
      <c r="AH38" s="130">
        <f t="shared" si="24"/>
        <v>132000</v>
      </c>
      <c r="AI38" s="130">
        <f t="shared" si="24"/>
        <v>258739.21</v>
      </c>
      <c r="AJ38" s="130">
        <f t="shared" si="24"/>
        <v>741579.21000000008</v>
      </c>
      <c r="AK38" s="130">
        <f t="shared" ref="AK38:BU38" si="25">SUM(AK7:AK37)</f>
        <v>1132318.42</v>
      </c>
      <c r="AL38" s="130">
        <f t="shared" si="25"/>
        <v>881579.21000000008</v>
      </c>
      <c r="AM38" s="130">
        <f t="shared" si="25"/>
        <v>353739.21000000008</v>
      </c>
      <c r="AN38" s="130">
        <f t="shared" si="25"/>
        <v>21850.000000000022</v>
      </c>
      <c r="AO38" s="130">
        <f t="shared" si="25"/>
        <v>1257168.4200000002</v>
      </c>
      <c r="AP38" s="130">
        <f t="shared" si="25"/>
        <v>570655</v>
      </c>
      <c r="AQ38" s="130">
        <f t="shared" si="25"/>
        <v>130003.99999999996</v>
      </c>
      <c r="AR38" s="130">
        <f t="shared" si="25"/>
        <v>156378.69999999998</v>
      </c>
      <c r="AS38" s="130">
        <f t="shared" si="25"/>
        <v>857037.69999999984</v>
      </c>
      <c r="AT38" s="130">
        <f t="shared" si="25"/>
        <v>213009.21000000043</v>
      </c>
      <c r="AU38" s="130">
        <f t="shared" si="25"/>
        <v>540370.00000000081</v>
      </c>
      <c r="AV38" s="130">
        <f t="shared" si="25"/>
        <v>315540.20999999944</v>
      </c>
      <c r="AW38" s="130">
        <f t="shared" si="25"/>
        <v>351953.77999999939</v>
      </c>
      <c r="AX38" s="130">
        <f t="shared" si="25"/>
        <v>63566.799999999988</v>
      </c>
      <c r="AY38" s="130">
        <f t="shared" si="25"/>
        <v>1484440</v>
      </c>
      <c r="AZ38" s="90">
        <f>SUMIF(AZ7:AZ37,"&gt;0")</f>
        <v>302758.35000000079</v>
      </c>
      <c r="BA38" s="130">
        <f t="shared" si="25"/>
        <v>538158.35000000033</v>
      </c>
      <c r="BB38" s="130">
        <f t="shared" si="25"/>
        <v>351953.77999999939</v>
      </c>
      <c r="BC38" s="130">
        <f t="shared" si="25"/>
        <v>12775.499999999876</v>
      </c>
      <c r="BD38" s="130">
        <f t="shared" si="25"/>
        <v>1205645.98</v>
      </c>
      <c r="BE38" s="130">
        <f t="shared" si="25"/>
        <v>4081.7000000000116</v>
      </c>
      <c r="BF38" s="130">
        <f t="shared" si="25"/>
        <v>5356.5999999999767</v>
      </c>
      <c r="BG38" s="130">
        <f t="shared" si="25"/>
        <v>9438.2999999999884</v>
      </c>
      <c r="BH38" s="130">
        <f t="shared" si="25"/>
        <v>250082</v>
      </c>
      <c r="BI38" s="130">
        <f t="shared" si="25"/>
        <v>0</v>
      </c>
      <c r="BJ38" s="130">
        <f t="shared" si="25"/>
        <v>0</v>
      </c>
      <c r="BK38" s="130">
        <f t="shared" si="25"/>
        <v>0</v>
      </c>
      <c r="BL38" s="130">
        <f t="shared" si="25"/>
        <v>19553.239999999994</v>
      </c>
      <c r="BM38" s="130">
        <f t="shared" si="25"/>
        <v>573956.83699999936</v>
      </c>
      <c r="BN38" s="130">
        <f t="shared" si="25"/>
        <v>0</v>
      </c>
      <c r="BO38" s="130">
        <f t="shared" si="25"/>
        <v>263527.62300000055</v>
      </c>
      <c r="BP38" s="130">
        <f t="shared" si="25"/>
        <v>0</v>
      </c>
      <c r="BQ38" s="130">
        <f t="shared" si="25"/>
        <v>6070.6879999999946</v>
      </c>
      <c r="BR38" s="130">
        <f t="shared" si="25"/>
        <v>0</v>
      </c>
      <c r="BS38" s="130">
        <f t="shared" si="25"/>
        <v>3367.6119999999937</v>
      </c>
      <c r="BT38" s="130">
        <f t="shared" si="25"/>
        <v>0</v>
      </c>
      <c r="BU38" s="130">
        <f t="shared" si="25"/>
        <v>2622000</v>
      </c>
      <c r="BV38" s="164"/>
      <c r="BX38" s="130">
        <f t="shared" ref="BX38:CF38" si="26">SUM(BX7:BX37)</f>
        <v>5062000</v>
      </c>
      <c r="BY38" s="130">
        <f t="shared" si="26"/>
        <v>0</v>
      </c>
      <c r="BZ38" s="130">
        <f t="shared" si="26"/>
        <v>1226525.0000000002</v>
      </c>
      <c r="CA38" s="130">
        <f t="shared" si="26"/>
        <v>670324.99999999953</v>
      </c>
      <c r="CB38" s="130">
        <f t="shared" si="26"/>
        <v>807525.00000000012</v>
      </c>
      <c r="CC38" s="130">
        <f t="shared" si="26"/>
        <v>711225.0000000007</v>
      </c>
      <c r="CD38" s="130">
        <f t="shared" si="26"/>
        <v>924200</v>
      </c>
      <c r="CE38" s="130">
        <f t="shared" si="26"/>
        <v>0</v>
      </c>
      <c r="CF38" s="130">
        <f t="shared" si="26"/>
        <v>722200</v>
      </c>
    </row>
    <row r="39" spans="1:87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L40" s="91"/>
      <c r="BM40" s="91"/>
      <c r="BN40" s="91"/>
      <c r="BO40" s="91"/>
      <c r="BP40" s="91"/>
      <c r="BQ40" s="221"/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AV41" s="3"/>
      <c r="BP41" s="91"/>
      <c r="BQ41" s="221"/>
      <c r="BR41" s="91"/>
      <c r="BV41" s="91"/>
      <c r="BW41" t="s">
        <v>281</v>
      </c>
      <c r="BX41" s="91">
        <f>BX38</f>
        <v>5062000</v>
      </c>
      <c r="CH41" t="s">
        <v>336</v>
      </c>
      <c r="CI41">
        <f>$Y$38</f>
        <v>250082</v>
      </c>
    </row>
    <row r="42" spans="1:87" x14ac:dyDescent="0.25">
      <c r="B42" t="s">
        <v>106</v>
      </c>
      <c r="C42" s="24">
        <f>B38</f>
        <v>12380479.999999998</v>
      </c>
      <c r="D42" s="91"/>
      <c r="N42" s="132"/>
      <c r="O42" s="132"/>
      <c r="P42" s="132"/>
      <c r="Q42" s="132"/>
      <c r="R42" s="132"/>
      <c r="S42" s="132"/>
      <c r="T42" s="132"/>
      <c r="U42" s="132"/>
      <c r="V42" s="497">
        <v>45901</v>
      </c>
      <c r="W42" s="497"/>
      <c r="X42" s="497"/>
      <c r="Y42" s="497"/>
      <c r="Z42" s="497"/>
      <c r="AA42" s="497"/>
      <c r="AB42" s="497"/>
      <c r="AC42" s="497"/>
      <c r="AD42" s="497"/>
      <c r="AK42" s="3"/>
      <c r="AL42" s="3"/>
      <c r="AM42" s="3"/>
      <c r="AN42" s="3"/>
      <c r="AO42" s="3"/>
      <c r="AP42" s="3"/>
      <c r="AQ42" s="3"/>
      <c r="AR42" s="3"/>
      <c r="AV42" s="151"/>
      <c r="BQ42" s="221"/>
      <c r="BW42" t="s">
        <v>258</v>
      </c>
      <c r="BX42" s="91">
        <f>BY38</f>
        <v>0</v>
      </c>
      <c r="CH42" t="s">
        <v>17</v>
      </c>
      <c r="CI42">
        <f>$AS$38</f>
        <v>857037.69999999984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406" t="s">
        <v>158</v>
      </c>
      <c r="W43" s="406"/>
      <c r="X43" s="406"/>
      <c r="Y43" s="406"/>
      <c r="Z43" s="406"/>
      <c r="AA43" s="406" t="s">
        <v>159</v>
      </c>
      <c r="AB43" s="406"/>
      <c r="AC43" s="406"/>
      <c r="AD43" s="406"/>
      <c r="AK43" s="169"/>
      <c r="AL43" s="134"/>
      <c r="AM43" s="134"/>
      <c r="AN43" s="170"/>
      <c r="AO43" s="169"/>
      <c r="AP43" s="134"/>
      <c r="AQ43" s="134"/>
      <c r="AR43" s="134"/>
      <c r="BQ43" s="221"/>
      <c r="BW43" t="s">
        <v>204</v>
      </c>
      <c r="BX43" s="91">
        <f>BZ38</f>
        <v>1226525.0000000002</v>
      </c>
      <c r="CH43" t="s">
        <v>19</v>
      </c>
      <c r="CI43">
        <f>$BG$38</f>
        <v>9438.2999999999884</v>
      </c>
    </row>
    <row r="44" spans="1:87" x14ac:dyDescent="0.25">
      <c r="B44" t="s">
        <v>120</v>
      </c>
      <c r="C44" s="24">
        <f>N38</f>
        <v>1697838.4199999967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Q44" s="221"/>
      <c r="BW44" t="s">
        <v>260</v>
      </c>
      <c r="BX44" s="91">
        <f>CA38</f>
        <v>670324.99999999953</v>
      </c>
      <c r="CI44">
        <f>SUM(CI41:CI43)</f>
        <v>1116557.9999999998</v>
      </c>
    </row>
    <row r="45" spans="1:87" x14ac:dyDescent="0.25">
      <c r="B45" t="s">
        <v>157</v>
      </c>
      <c r="C45" s="24">
        <f>V38</f>
        <v>1263171.0300000012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Q45" s="221"/>
      <c r="BW45" t="s">
        <v>261</v>
      </c>
      <c r="BX45" s="91">
        <f>CB38</f>
        <v>807525.00000000012</v>
      </c>
      <c r="CH45" t="s">
        <v>337</v>
      </c>
      <c r="CI45">
        <f>SUM($BH$38:$BK$38)</f>
        <v>250082</v>
      </c>
    </row>
    <row r="46" spans="1:87" x14ac:dyDescent="0.25">
      <c r="B46" t="s">
        <v>160</v>
      </c>
      <c r="C46" s="24">
        <f>Y38</f>
        <v>250082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Q46" s="221"/>
      <c r="BW46" t="s">
        <v>318</v>
      </c>
      <c r="BX46" s="91">
        <f>$CC$38</f>
        <v>711225.0000000007</v>
      </c>
      <c r="CH46" t="s">
        <v>333</v>
      </c>
      <c r="CI46">
        <f>SUM($BL$38:$BO$38)</f>
        <v>857037.7</v>
      </c>
    </row>
    <row r="47" spans="1:87" x14ac:dyDescent="0.25">
      <c r="B47" t="s">
        <v>128</v>
      </c>
      <c r="C47" s="24">
        <f>AK38</f>
        <v>1132318.42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Q47" s="221"/>
      <c r="BW47" t="s">
        <v>346</v>
      </c>
      <c r="BX47" s="91">
        <f>$CD$38</f>
        <v>924200</v>
      </c>
      <c r="CH47" t="s">
        <v>331</v>
      </c>
      <c r="CI47">
        <f>SUM($BP$38:$BS$38)</f>
        <v>9438.2999999999884</v>
      </c>
    </row>
    <row r="48" spans="1:87" x14ac:dyDescent="0.25">
      <c r="B48" t="s">
        <v>130</v>
      </c>
      <c r="C48" s="24">
        <f>AO38</f>
        <v>1257168.4200000002</v>
      </c>
      <c r="D48" s="91"/>
      <c r="N48" s="132"/>
      <c r="O48" s="132"/>
      <c r="P48" s="132"/>
      <c r="Q48" s="132"/>
      <c r="R48" s="132"/>
      <c r="S48" s="132"/>
      <c r="T48" s="132"/>
      <c r="U48" s="132"/>
      <c r="V48" s="406" t="s">
        <v>396</v>
      </c>
      <c r="W48" s="406"/>
      <c r="X48" s="406"/>
      <c r="Y48" s="406"/>
      <c r="Z48" s="406"/>
      <c r="AA48" s="406" t="s">
        <v>161</v>
      </c>
      <c r="AB48" s="406"/>
      <c r="AC48" s="406" t="s">
        <v>162</v>
      </c>
      <c r="AD48" s="406"/>
      <c r="BQ48" s="221"/>
      <c r="BW48" t="s">
        <v>358</v>
      </c>
      <c r="BX48" s="91">
        <f>CE38</f>
        <v>0</v>
      </c>
      <c r="CI48">
        <f>SUM(CI45:CI47)</f>
        <v>1116558</v>
      </c>
    </row>
    <row r="49" spans="2:76" x14ac:dyDescent="0.25">
      <c r="B49" t="s">
        <v>132</v>
      </c>
      <c r="C49" s="24">
        <f>AY38</f>
        <v>1484440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Q49" s="221"/>
      <c r="BW49" t="s">
        <v>282</v>
      </c>
      <c r="BX49" s="91">
        <f>$CF$38</f>
        <v>722200</v>
      </c>
    </row>
    <row r="50" spans="2:76" x14ac:dyDescent="0.25">
      <c r="B50" t="s">
        <v>133</v>
      </c>
      <c r="C50" s="69">
        <f>BD38</f>
        <v>1205645.98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Q50" s="221"/>
      <c r="BX50" s="91"/>
    </row>
    <row r="51" spans="2:76" x14ac:dyDescent="0.25">
      <c r="B51" t="s">
        <v>131</v>
      </c>
      <c r="C51" s="24">
        <f>AS38</f>
        <v>857037.69999999984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Q51" s="221"/>
      <c r="BW51" t="s">
        <v>98</v>
      </c>
      <c r="BX51" s="91">
        <f>BX41+BX42-BX43-BX44-BX45-BX46-BX47-BX48-BX49</f>
        <v>0</v>
      </c>
    </row>
    <row r="52" spans="2:76" x14ac:dyDescent="0.25">
      <c r="B52" t="s">
        <v>19</v>
      </c>
      <c r="C52" s="24">
        <f>BG38</f>
        <v>9438.2999999999884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Q52" s="221"/>
    </row>
    <row r="53" spans="2:76" x14ac:dyDescent="0.25">
      <c r="B53" t="s">
        <v>163</v>
      </c>
      <c r="C53" s="24">
        <f>AA38</f>
        <v>51100.000000000131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Q53" s="221"/>
    </row>
    <row r="54" spans="2:76" x14ac:dyDescent="0.25">
      <c r="B54" t="s">
        <v>6</v>
      </c>
      <c r="C54" s="24">
        <f>AB38</f>
        <v>272400.00000000151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Q54" s="221"/>
    </row>
    <row r="55" spans="2:76" x14ac:dyDescent="0.25">
      <c r="B55" t="s">
        <v>164</v>
      </c>
      <c r="C55" s="24">
        <f>Z38</f>
        <v>18500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Q55" s="221"/>
    </row>
    <row r="56" spans="2:76" x14ac:dyDescent="0.25">
      <c r="B56" t="s">
        <v>165</v>
      </c>
      <c r="C56" s="24">
        <f>AC38</f>
        <v>152040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Q56" s="221"/>
    </row>
    <row r="57" spans="2:76" x14ac:dyDescent="0.25">
      <c r="B57" t="s">
        <v>181</v>
      </c>
      <c r="C57" s="24">
        <f>AD38</f>
        <v>289300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Q57" s="221"/>
    </row>
    <row r="58" spans="2:76" x14ac:dyDescent="0.25">
      <c r="B58" t="s">
        <v>166</v>
      </c>
      <c r="C58" s="24">
        <f>AE38</f>
        <v>722200</v>
      </c>
      <c r="D58" s="91"/>
      <c r="N58" s="91"/>
      <c r="O58" s="91"/>
      <c r="P58" s="91"/>
      <c r="Q58" s="91"/>
      <c r="R58" s="91"/>
      <c r="S58" s="91"/>
      <c r="T58" s="91"/>
      <c r="U58" s="91"/>
      <c r="BQ58" s="221"/>
    </row>
    <row r="59" spans="2:76" x14ac:dyDescent="0.25">
      <c r="B59" t="s">
        <v>250</v>
      </c>
      <c r="C59" s="24">
        <f>AF38</f>
        <v>0</v>
      </c>
      <c r="D59" s="91"/>
      <c r="N59" s="91"/>
      <c r="O59" s="91"/>
      <c r="P59" s="91"/>
      <c r="Q59" s="91"/>
      <c r="R59" s="91"/>
      <c r="S59" s="91"/>
      <c r="T59" s="91"/>
      <c r="U59" s="91"/>
      <c r="BQ59" s="221"/>
    </row>
    <row r="60" spans="2:76" x14ac:dyDescent="0.25">
      <c r="B60" t="s">
        <v>251</v>
      </c>
      <c r="C60" s="24">
        <f>AG38</f>
        <v>4339800</v>
      </c>
      <c r="D60" s="91"/>
      <c r="N60" s="91"/>
      <c r="O60" s="91"/>
      <c r="P60" s="91"/>
      <c r="Q60" s="91"/>
      <c r="R60" s="91"/>
      <c r="S60" s="91"/>
      <c r="T60" s="91"/>
      <c r="U60" s="91"/>
      <c r="BQ60" s="221"/>
    </row>
    <row r="61" spans="2:76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Q61" s="221"/>
    </row>
    <row r="62" spans="2:76" x14ac:dyDescent="0.25">
      <c r="B62" t="s">
        <v>192</v>
      </c>
      <c r="C62" s="24">
        <f>BU38</f>
        <v>2622000</v>
      </c>
      <c r="D62" s="91"/>
      <c r="N62" s="3"/>
      <c r="O62" s="3"/>
      <c r="P62" s="3"/>
      <c r="Q62" s="3"/>
      <c r="R62" s="3"/>
      <c r="S62" s="3"/>
      <c r="T62" s="3"/>
      <c r="U62" s="3"/>
      <c r="BQ62" s="221"/>
    </row>
    <row r="63" spans="2:76" x14ac:dyDescent="0.25">
      <c r="B63" t="s">
        <v>167</v>
      </c>
      <c r="C63" s="24">
        <f>C42-C44-C45-C46-C47-C48-C49-C50-C51-C52-C53-C54-C55-C56-C57-C58-C61+C62-C59-C60</f>
        <v>-0.26999999955296516</v>
      </c>
      <c r="D63" s="3"/>
      <c r="N63" s="3"/>
      <c r="O63" s="3"/>
      <c r="P63" s="3"/>
      <c r="Q63" s="3"/>
      <c r="R63" s="3"/>
      <c r="S63" s="3"/>
      <c r="T63" s="3"/>
      <c r="U63" s="3"/>
      <c r="BQ63" s="221"/>
    </row>
    <row r="64" spans="2:76" x14ac:dyDescent="0.25">
      <c r="BQ64" s="221"/>
    </row>
    <row r="65" spans="2:69" x14ac:dyDescent="0.25">
      <c r="BQ65" s="221"/>
    </row>
    <row r="66" spans="2:69" x14ac:dyDescent="0.25">
      <c r="B66" s="3"/>
      <c r="C66" s="3"/>
      <c r="D66" s="151"/>
      <c r="BQ66" s="221"/>
    </row>
    <row r="67" spans="2:69" x14ac:dyDescent="0.25">
      <c r="BQ67" s="221"/>
    </row>
    <row r="68" spans="2:69" x14ac:dyDescent="0.25">
      <c r="BQ68" s="221"/>
    </row>
    <row r="69" spans="2:69" x14ac:dyDescent="0.25">
      <c r="BQ69" s="221"/>
    </row>
    <row r="70" spans="2:69" x14ac:dyDescent="0.25">
      <c r="BQ70" s="221"/>
    </row>
    <row r="71" spans="2:69" x14ac:dyDescent="0.25">
      <c r="BQ71" s="221"/>
    </row>
    <row r="72" spans="2:69" x14ac:dyDescent="0.25">
      <c r="BQ72" s="221"/>
    </row>
  </sheetData>
  <customSheetViews>
    <customSheetView guid="{48545DB9-4D9D-4699-ACEC-DA6E2D3586A8}" scale="90" showPageBreaks="1" fitToPage="1" printArea="1">
      <pane xSplit="1" ySplit="6" topLeftCell="AB13" activePane="bottomRight" state="frozen"/>
      <selection pane="bottomRight" activeCell="BV37" sqref="BV37"/>
      <pageMargins left="0.11811023622047245" right="0" top="0.74803149606299213" bottom="0.35433070866141736" header="0.31496062992125984" footer="0.31496062992125984"/>
      <printOptions horizontalCentered="1"/>
      <pageSetup paperSize="9" scale="49" fitToWidth="0" orientation="landscape" r:id="rId1"/>
    </customSheetView>
    <customSheetView guid="{32ABFE17-599B-4D0B-A1DB-D95B181877FC}" scale="90" showPageBreaks="1" fitToPage="1" printArea="1">
      <pane xSplit="1" ySplit="6" topLeftCell="AB13" activePane="bottomRight" state="frozen"/>
      <selection pane="bottomRight" activeCell="BV37" sqref="BV37"/>
      <pageMargins left="0.11811023622047245" right="0" top="0.74803149606299213" bottom="0.35433070866141736" header="0.31496062992125984" footer="0.31496062992125984"/>
      <printOptions horizontalCentered="1"/>
      <pageSetup paperSize="9" scale="49" fitToWidth="0" orientation="landscape" r:id="rId2"/>
    </customSheetView>
  </customSheetViews>
  <mergeCells count="52">
    <mergeCell ref="V48:Z48"/>
    <mergeCell ref="AA48:AB48"/>
    <mergeCell ref="AC48:AD48"/>
    <mergeCell ref="V42:AD42"/>
    <mergeCell ref="V43:Z43"/>
    <mergeCell ref="AA43:AD43"/>
    <mergeCell ref="CD4:CD6"/>
    <mergeCell ref="CE4:CE6"/>
    <mergeCell ref="CF4:CF6"/>
    <mergeCell ref="D5:I5"/>
    <mergeCell ref="J5:K5"/>
    <mergeCell ref="L5:M5"/>
    <mergeCell ref="BX4:BX6"/>
    <mergeCell ref="BY4:BY6"/>
    <mergeCell ref="BZ4:BZ6"/>
    <mergeCell ref="CA4:CA6"/>
    <mergeCell ref="CB4:CB6"/>
    <mergeCell ref="CC4:CC6"/>
    <mergeCell ref="BG4:BG6"/>
    <mergeCell ref="BH4:BK5"/>
    <mergeCell ref="BL4:BO5"/>
    <mergeCell ref="AO4:AO6"/>
    <mergeCell ref="BP4:BS5"/>
    <mergeCell ref="BT4:BT6"/>
    <mergeCell ref="BU4:BU6"/>
    <mergeCell ref="AS4:AS6"/>
    <mergeCell ref="AT4:AW4"/>
    <mergeCell ref="AY4:AY6"/>
    <mergeCell ref="AZ4:BB4"/>
    <mergeCell ref="BD4:BD6"/>
    <mergeCell ref="BE4:BF4"/>
    <mergeCell ref="AF4:AF6"/>
    <mergeCell ref="AG4:AG6"/>
    <mergeCell ref="AH4:AJ4"/>
    <mergeCell ref="AK4:AK6"/>
    <mergeCell ref="AL4:AN4"/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P4:AR4"/>
    <mergeCell ref="AA4:AA6"/>
    <mergeCell ref="AB4:AB6"/>
    <mergeCell ref="AC4:AC6"/>
    <mergeCell ref="AD4:AD6"/>
    <mergeCell ref="AE4:AE6"/>
  </mergeCells>
  <printOptions horizontalCentered="1"/>
  <pageMargins left="0.11811023622047245" right="0" top="0.74803149606299213" bottom="0.35433070866141736" header="0.31496062992125984" footer="0.31496062992125984"/>
  <pageSetup paperSize="9" scale="49" fitToWidth="0" orientation="landscape" r:id="rId3"/>
  <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>
    <pageSetUpPr fitToPage="1"/>
  </sheetPr>
  <dimension ref="A1:XAU88"/>
  <sheetViews>
    <sheetView zoomScale="115" zoomScaleNormal="115" workbookViewId="0">
      <pane xSplit="1" ySplit="6" topLeftCell="B54" activePane="bottomRight" state="frozen"/>
      <selection pane="topRight" activeCell="B1" sqref="B1"/>
      <selection pane="bottomLeft" activeCell="A7" sqref="A7"/>
      <selection pane="bottomRight" activeCell="E75" sqref="E75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5" bestFit="1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425781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4.28515625" bestFit="1" customWidth="1"/>
    <col min="64" max="64" width="13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0" width="10.85546875" customWidth="1"/>
    <col min="71" max="71" width="11.5703125" bestFit="1" customWidth="1"/>
    <col min="72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2.42578125" bestFit="1" customWidth="1"/>
    <col min="82" max="82" width="10.85546875" bestFit="1" customWidth="1"/>
    <col min="83" max="83" width="13.85546875" bestFit="1" customWidth="1"/>
    <col min="84" max="84" width="10.85546875" bestFit="1" customWidth="1"/>
    <col min="85" max="85" width="12" bestFit="1" customWidth="1"/>
    <col min="86" max="86" width="9.28515625" customWidth="1"/>
    <col min="87" max="87" width="13.42578125" bestFit="1" customWidth="1"/>
    <col min="88" max="88" width="10.42578125" bestFit="1" customWidth="1"/>
    <col min="89" max="89" width="11.5703125" bestFit="1" customWidth="1"/>
    <col min="90" max="90" width="5.28515625" bestFit="1" customWidth="1"/>
    <col min="91" max="91" width="12.425781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5" width="15.85546875" customWidth="1"/>
    <col min="96" max="97" width="11.5703125" bestFit="1" customWidth="1"/>
    <col min="98" max="98" width="5.28515625" bestFit="1" customWidth="1"/>
    <col min="99" max="99" width="14.28515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57031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2.7109375" bestFit="1" customWidth="1"/>
    <col min="162" max="163" width="12.28515625" bestFit="1" customWidth="1"/>
    <col min="164" max="164" width="10.5703125" bestFit="1" customWidth="1"/>
    <col min="165" max="165" width="11" bestFit="1" customWidth="1"/>
    <col min="166" max="166" width="12.28515625" bestFit="1" customWidth="1"/>
    <col min="167" max="168" width="11.28515625" bestFit="1" customWidth="1"/>
    <col min="169" max="169" width="12.28515625" bestFit="1" customWidth="1"/>
    <col min="170" max="170" width="14.42578125" bestFit="1" customWidth="1"/>
    <col min="171" max="171" width="11.28515625" bestFit="1" customWidth="1"/>
    <col min="172" max="172" width="12.28515625" bestFit="1" customWidth="1"/>
    <col min="173" max="173" width="12.710937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42578125" bestFit="1" customWidth="1"/>
    <col min="182" max="182" width="11.5703125" bestFit="1" customWidth="1"/>
    <col min="183" max="183" width="13.85546875" customWidth="1"/>
    <col min="184" max="185" width="10.7109375" bestFit="1" customWidth="1"/>
    <col min="186" max="186" width="9.5703125" bestFit="1" customWidth="1"/>
    <col min="187" max="187" width="13.85546875" customWidth="1"/>
    <col min="188" max="188" width="12" bestFit="1" customWidth="1"/>
    <col min="189" max="201" width="13.85546875" customWidth="1"/>
    <col min="202" max="202" width="11.5703125" style="246" bestFit="1" customWidth="1"/>
    <col min="203" max="203" width="15.140625" customWidth="1"/>
    <col min="204" max="204" width="15" bestFit="1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style="246" customWidth="1"/>
    <col min="215" max="216" width="12" bestFit="1" customWidth="1"/>
    <col min="217" max="217" width="13" bestFit="1" customWidth="1"/>
    <col min="218" max="218" width="12" bestFit="1" customWidth="1"/>
    <col min="219" max="219" width="7.42578125" bestFit="1" customWidth="1"/>
    <col min="220" max="220" width="16.28515625" bestFit="1" customWidth="1"/>
    <col min="221" max="221" width="11" bestFit="1" customWidth="1"/>
    <col min="222" max="224" width="11" customWidth="1"/>
    <col min="225" max="225" width="8.5703125" bestFit="1" customWidth="1"/>
    <col min="226" max="226" width="8.140625" bestFit="1" customWidth="1"/>
    <col min="227" max="227" width="11" bestFit="1" customWidth="1"/>
    <col min="228" max="229" width="8.140625" bestFit="1" customWidth="1"/>
    <col min="230" max="230" width="11.7109375" bestFit="1" customWidth="1"/>
    <col min="231" max="232" width="8.140625" bestFit="1" customWidth="1"/>
    <col min="233" max="233" width="11" bestFit="1" customWidth="1"/>
    <col min="234" max="239" width="11" customWidth="1"/>
    <col min="240" max="240" width="5.5703125" bestFit="1" customWidth="1"/>
    <col min="241" max="241" width="7.28515625" bestFit="1" customWidth="1"/>
    <col min="242" max="242" width="12.42578125" bestFit="1" customWidth="1"/>
    <col min="243" max="243" width="24.140625" bestFit="1" customWidth="1"/>
    <col min="244" max="244" width="9.5703125" bestFit="1" customWidth="1"/>
    <col min="245" max="245" width="8.5703125" bestFit="1" customWidth="1"/>
    <col min="246" max="246" width="11" bestFit="1" customWidth="1"/>
    <col min="247" max="248" width="7.42578125" bestFit="1" customWidth="1"/>
    <col min="249" max="249" width="11" bestFit="1" customWidth="1"/>
    <col min="250" max="251" width="8.5703125" bestFit="1" customWidth="1"/>
    <col min="252" max="252" width="11" bestFit="1" customWidth="1"/>
    <col min="253" max="254" width="8.5703125" bestFit="1" customWidth="1"/>
    <col min="255" max="255" width="11" bestFit="1" customWidth="1"/>
    <col min="256" max="257" width="9.5703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8.5703125" bestFit="1" customWidth="1"/>
    <col min="263" max="263" width="7.42578125" bestFit="1" customWidth="1"/>
    <col min="264" max="264" width="11" bestFit="1" customWidth="1"/>
    <col min="265" max="265" width="9.5703125" bestFit="1" customWidth="1"/>
    <col min="266" max="266" width="8.5703125" bestFit="1" customWidth="1"/>
    <col min="267" max="267" width="11" bestFit="1" customWidth="1"/>
    <col min="268" max="268" width="9.5703125" bestFit="1" customWidth="1"/>
    <col min="269" max="269" width="7.42578125" bestFit="1" customWidth="1"/>
    <col min="270" max="270" width="11" bestFit="1" customWidth="1"/>
    <col min="271" max="272" width="8.5703125" bestFit="1" customWidth="1"/>
    <col min="273" max="273" width="11" bestFit="1" customWidth="1"/>
    <col min="274" max="275" width="9.5703125" bestFit="1" customWidth="1"/>
    <col min="276" max="276" width="11" bestFit="1" customWidth="1"/>
    <col min="277" max="277" width="9.5703125" bestFit="1" customWidth="1"/>
    <col min="278" max="278" width="8.5703125" bestFit="1" customWidth="1"/>
    <col min="279" max="279" width="11" bestFit="1" customWidth="1"/>
    <col min="280" max="281" width="8.5703125" bestFit="1" customWidth="1"/>
    <col min="282" max="282" width="11" bestFit="1" customWidth="1"/>
    <col min="283" max="283" width="9.5703125" bestFit="1" customWidth="1"/>
    <col min="284" max="284" width="10.5703125" bestFit="1" customWidth="1"/>
    <col min="285" max="285" width="11" bestFit="1" customWidth="1"/>
    <col min="286" max="286" width="7.42578125" bestFit="1" customWidth="1"/>
    <col min="287" max="287" width="7.28515625" bestFit="1" customWidth="1"/>
    <col min="288" max="288" width="11" bestFit="1" customWidth="1"/>
    <col min="289" max="289" width="8.5703125" bestFit="1" customWidth="1"/>
    <col min="290" max="290" width="7.42578125" bestFit="1" customWidth="1"/>
    <col min="291" max="291" width="11" bestFit="1" customWidth="1"/>
    <col min="292" max="292" width="12.140625" style="258" bestFit="1" customWidth="1"/>
    <col min="293" max="293" width="14.42578125" bestFit="1" customWidth="1"/>
    <col min="294" max="294" width="13.28515625" bestFit="1" customWidth="1"/>
    <col min="295" max="295" width="11.5703125" bestFit="1" customWidth="1"/>
    <col min="296" max="296" width="7.7109375" bestFit="1" customWidth="1"/>
    <col min="297" max="298" width="14.42578125" bestFit="1" customWidth="1"/>
    <col min="299" max="299" width="11.5703125" bestFit="1" customWidth="1"/>
    <col min="300" max="300" width="7.7109375" bestFit="1" customWidth="1"/>
    <col min="301" max="301" width="13.5703125" customWidth="1"/>
    <col min="302" max="302" width="15.28515625" customWidth="1"/>
    <col min="303" max="303" width="14.5703125" customWidth="1"/>
    <col min="304" max="304" width="13.28515625" bestFit="1" customWidth="1"/>
    <col min="305" max="305" width="7.7109375" bestFit="1" customWidth="1"/>
    <col min="306" max="306" width="12.7109375" bestFit="1" customWidth="1"/>
    <col min="307" max="307" width="11.7109375" bestFit="1" customWidth="1"/>
    <col min="308" max="308" width="11.5703125" bestFit="1" customWidth="1"/>
    <col min="309" max="309" width="5.28515625" bestFit="1" customWidth="1"/>
    <col min="310" max="310" width="13.28515625" bestFit="1" customWidth="1"/>
    <col min="311" max="311" width="13.5703125" bestFit="1" customWidth="1"/>
    <col min="312" max="312" width="10.5703125" bestFit="1" customWidth="1"/>
    <col min="313" max="313" width="13.28515625" bestFit="1" customWidth="1"/>
    <col min="314" max="314" width="11.5703125" bestFit="1" customWidth="1"/>
    <col min="315" max="315" width="10.5703125" bestFit="1" customWidth="1"/>
    <col min="316" max="316" width="16.140625" bestFit="1" customWidth="1"/>
    <col min="317" max="318" width="11.28515625" bestFit="1" customWidth="1"/>
    <col min="319" max="319" width="13.28515625" bestFit="1" customWidth="1"/>
    <col min="320" max="320" width="7.7109375" bestFit="1" customWidth="1"/>
    <col min="321" max="324" width="9.140625" hidden="1" customWidth="1"/>
    <col min="325" max="325" width="10.42578125" bestFit="1" customWidth="1"/>
    <col min="326" max="326" width="10.5703125" bestFit="1" customWidth="1"/>
    <col min="327" max="327" width="10.42578125" bestFit="1" customWidth="1"/>
    <col min="328" max="328" width="10.5703125" bestFit="1" customWidth="1"/>
    <col min="329" max="329" width="9.5703125" bestFit="1" customWidth="1"/>
    <col min="330" max="330" width="11.5703125" bestFit="1" customWidth="1"/>
    <col min="331" max="331" width="10.42578125" bestFit="1" customWidth="1"/>
    <col min="332" max="332" width="10.85546875" customWidth="1"/>
    <col min="333" max="334" width="9.85546875" bestFit="1" customWidth="1"/>
    <col min="335" max="335" width="13.5703125" bestFit="1" customWidth="1"/>
    <col min="336" max="336" width="7.7109375" bestFit="1" customWidth="1"/>
    <col min="337" max="337" width="13.28515625" bestFit="1" customWidth="1"/>
    <col min="338" max="338" width="11.5703125" bestFit="1" customWidth="1"/>
    <col min="339" max="339" width="10.42578125" bestFit="1" customWidth="1"/>
    <col min="340" max="340" width="7.7109375" bestFit="1" customWidth="1"/>
    <col min="341" max="341" width="11.5703125" bestFit="1" customWidth="1"/>
    <col min="342" max="342" width="10.85546875" bestFit="1" customWidth="1"/>
    <col min="343" max="343" width="13.28515625" bestFit="1" customWidth="1"/>
    <col min="344" max="344" width="10.85546875" bestFit="1" customWidth="1"/>
    <col min="345" max="346" width="7.5703125" bestFit="1" customWidth="1"/>
    <col min="347" max="348" width="10.42578125" bestFit="1" customWidth="1"/>
    <col min="349" max="349" width="11.5703125" bestFit="1" customWidth="1"/>
    <col min="350" max="350" width="5.28515625" bestFit="1" customWidth="1"/>
    <col min="351" max="351" width="10.28515625" bestFit="1" customWidth="1"/>
    <col min="352" max="352" width="10.42578125" bestFit="1" customWidth="1"/>
    <col min="353" max="353" width="11.5703125" bestFit="1" customWidth="1"/>
    <col min="354" max="354" width="5.28515625" bestFit="1" customWidth="1"/>
    <col min="355" max="357" width="11.5703125" bestFit="1" customWidth="1"/>
    <col min="358" max="358" width="5.28515625" bestFit="1" customWidth="1"/>
    <col min="359" max="360" width="10.42578125" bestFit="1" customWidth="1"/>
    <col min="361" max="361" width="11.5703125" bestFit="1" customWidth="1"/>
    <col min="362" max="362" width="5.28515625" bestFit="1" customWidth="1"/>
    <col min="363" max="363" width="14.28515625" bestFit="1" customWidth="1"/>
    <col min="364" max="364" width="13" bestFit="1" customWidth="1"/>
    <col min="365" max="365" width="11.5703125" bestFit="1" customWidth="1"/>
    <col min="366" max="366" width="8.85546875" bestFit="1" customWidth="1"/>
    <col min="367" max="367" width="14.42578125" bestFit="1" customWidth="1"/>
    <col min="368" max="368" width="10.42578125" bestFit="1" customWidth="1"/>
    <col min="369" max="369" width="12.28515625" bestFit="1" customWidth="1"/>
    <col min="370" max="370" width="13.85546875" bestFit="1" customWidth="1"/>
    <col min="371" max="371" width="11.28515625" customWidth="1"/>
    <col min="372" max="372" width="11.5703125" customWidth="1"/>
    <col min="373" max="373" width="13.42578125" bestFit="1" customWidth="1"/>
    <col min="374" max="374" width="10.42578125" customWidth="1"/>
    <col min="375" max="375" width="13.85546875" bestFit="1" customWidth="1"/>
    <col min="376" max="376" width="15.42578125" bestFit="1" customWidth="1"/>
    <col min="377" max="377" width="12.28515625" bestFit="1" customWidth="1"/>
    <col min="378" max="378" width="12.7109375" customWidth="1"/>
    <col min="379" max="379" width="10.7109375" bestFit="1" customWidth="1"/>
    <col min="380" max="380" width="9.85546875" customWidth="1"/>
    <col min="381" max="382" width="10.140625" bestFit="1" customWidth="1"/>
    <col min="383" max="383" width="7.5703125" bestFit="1" customWidth="1"/>
    <col min="384" max="384" width="9.42578125" bestFit="1" customWidth="1"/>
    <col min="385" max="385" width="14.5703125" bestFit="1" customWidth="1"/>
    <col min="386" max="386" width="14.85546875" customWidth="1"/>
    <col min="387" max="387" width="15.140625" bestFit="1" customWidth="1"/>
    <col min="388" max="388" width="12.140625" bestFit="1" customWidth="1"/>
    <col min="389" max="389" width="14.85546875" bestFit="1" customWidth="1"/>
    <col min="390" max="390" width="12.28515625" bestFit="1" customWidth="1"/>
    <col min="391" max="399" width="9.140625" hidden="1" customWidth="1"/>
    <col min="400" max="400" width="5.28515625" bestFit="1" customWidth="1"/>
    <col min="401" max="406" width="11.5703125" bestFit="1" customWidth="1"/>
    <col min="407" max="407" width="11.28515625" bestFit="1" customWidth="1"/>
    <col min="408" max="408" width="10.140625" bestFit="1" customWidth="1"/>
    <col min="409" max="409" width="11.5703125" bestFit="1" customWidth="1"/>
    <col min="410" max="410" width="16.140625" customWidth="1"/>
    <col min="411" max="411" width="13.42578125" customWidth="1"/>
    <col min="412" max="412" width="10.140625" bestFit="1" customWidth="1"/>
    <col min="413" max="413" width="12.85546875" bestFit="1" customWidth="1"/>
    <col min="414" max="414" width="12.28515625" bestFit="1" customWidth="1"/>
    <col min="415" max="415" width="11.28515625" bestFit="1" customWidth="1"/>
    <col min="416" max="416" width="11.5703125" bestFit="1" customWidth="1"/>
    <col min="417" max="417" width="10.85546875" bestFit="1" customWidth="1"/>
    <col min="418" max="418" width="11.28515625" bestFit="1" customWidth="1"/>
    <col min="419" max="419" width="10.140625" bestFit="1" customWidth="1"/>
    <col min="420" max="420" width="13.28515625" bestFit="1" customWidth="1"/>
    <col min="421" max="422" width="12.7109375" bestFit="1" customWidth="1"/>
    <col min="423" max="423" width="11" bestFit="1" customWidth="1"/>
    <col min="424" max="424" width="11.28515625" bestFit="1" customWidth="1"/>
    <col min="425" max="425" width="11.5703125" bestFit="1" customWidth="1"/>
    <col min="426" max="426" width="12.28515625" bestFit="1" customWidth="1"/>
    <col min="427" max="427" width="15.140625" bestFit="1" customWidth="1"/>
    <col min="428" max="428" width="14.42578125" bestFit="1" customWidth="1"/>
    <col min="429" max="429" width="12.28515625" bestFit="1" customWidth="1"/>
    <col min="430" max="430" width="15.140625" bestFit="1" customWidth="1"/>
    <col min="431" max="431" width="14.42578125" bestFit="1" customWidth="1"/>
    <col min="432" max="432" width="12.28515625" bestFit="1" customWidth="1"/>
    <col min="433" max="433" width="14.42578125" bestFit="1" customWidth="1"/>
    <col min="434" max="434" width="11.28515625" bestFit="1" customWidth="1"/>
    <col min="435" max="435" width="12.28515625" bestFit="1" customWidth="1"/>
    <col min="436" max="436" width="13" bestFit="1" customWidth="1"/>
    <col min="437" max="437" width="15.140625" bestFit="1" customWidth="1"/>
    <col min="438" max="438" width="12.28515625" bestFit="1" customWidth="1"/>
    <col min="439" max="439" width="13.85546875" bestFit="1" customWidth="1"/>
    <col min="440" max="440" width="11.28515625" bestFit="1" customWidth="1"/>
    <col min="441" max="441" width="12.28515625" bestFit="1" customWidth="1"/>
    <col min="442" max="442" width="13.85546875" bestFit="1" customWidth="1"/>
    <col min="443" max="444" width="15.140625" bestFit="1" customWidth="1"/>
    <col min="445" max="445" width="12.28515625" bestFit="1" customWidth="1"/>
    <col min="446" max="446" width="5.7109375" bestFit="1" customWidth="1"/>
    <col min="447" max="447" width="8.5703125" bestFit="1" customWidth="1"/>
    <col min="448" max="448" width="5.5703125" bestFit="1" customWidth="1"/>
    <col min="449" max="449" width="14.42578125" bestFit="1" customWidth="1"/>
    <col min="450" max="450" width="11.28515625" bestFit="1" customWidth="1"/>
    <col min="451" max="452" width="12.28515625" bestFit="1" customWidth="1"/>
    <col min="453" max="453" width="11.28515625" bestFit="1" customWidth="1"/>
    <col min="454" max="454" width="13.85546875" bestFit="1" customWidth="1"/>
    <col min="455" max="455" width="12" bestFit="1" customWidth="1"/>
    <col min="456" max="456" width="13.85546875" bestFit="1" customWidth="1"/>
    <col min="457" max="458" width="14.42578125" customWidth="1"/>
    <col min="459" max="459" width="10.140625" bestFit="1" customWidth="1"/>
    <col min="460" max="460" width="12.28515625" bestFit="1" customWidth="1"/>
    <col min="461" max="461" width="7.42578125" bestFit="1" customWidth="1"/>
    <col min="462" max="462" width="8.5703125" bestFit="1" customWidth="1"/>
    <col min="463" max="463" width="11.5703125" bestFit="1" customWidth="1"/>
    <col min="464" max="464" width="13.28515625" bestFit="1" customWidth="1"/>
    <col min="465" max="465" width="13.28515625" customWidth="1"/>
    <col min="466" max="466" width="13.140625" customWidth="1"/>
    <col min="467" max="467" width="12.7109375" bestFit="1" customWidth="1"/>
    <col min="468" max="468" width="13.28515625" bestFit="1" customWidth="1"/>
    <col min="469" max="471" width="13.28515625" customWidth="1"/>
    <col min="472" max="472" width="12.140625" bestFit="1" customWidth="1"/>
    <col min="473" max="473" width="12.7109375" bestFit="1" customWidth="1"/>
    <col min="474" max="474" width="11" customWidth="1"/>
    <col min="475" max="475" width="16.7109375" customWidth="1"/>
    <col min="476" max="476" width="17" customWidth="1"/>
    <col min="477" max="477" width="10.42578125" bestFit="1" customWidth="1"/>
    <col min="521" max="521" width="3.85546875" customWidth="1"/>
    <col min="522" max="522" width="15.28515625" bestFit="1" customWidth="1"/>
    <col min="523" max="523" width="12.28515625" customWidth="1"/>
    <col min="524" max="524" width="16.28515625" bestFit="1" customWidth="1"/>
    <col min="525" max="525" width="6.42578125" bestFit="1" customWidth="1"/>
    <col min="526" max="526" width="9.28515625" bestFit="1" customWidth="1"/>
    <col min="527" max="527" width="7.5703125" bestFit="1" customWidth="1"/>
    <col min="528" max="528" width="13.28515625" bestFit="1" customWidth="1"/>
    <col min="529" max="529" width="9.28515625" bestFit="1" customWidth="1"/>
    <col min="530" max="530" width="11.5703125" bestFit="1" customWidth="1"/>
    <col min="531" max="531" width="13.28515625" bestFit="1" customWidth="1"/>
    <col min="532" max="532" width="7.140625" bestFit="1" customWidth="1"/>
    <col min="533" max="533" width="12" bestFit="1" customWidth="1"/>
    <col min="534" max="534" width="13.28515625" bestFit="1" customWidth="1"/>
    <col min="535" max="535" width="7" bestFit="1" customWidth="1"/>
    <col min="536" max="536" width="12.7109375" bestFit="1" customWidth="1"/>
    <col min="537" max="537" width="11.5703125" bestFit="1" customWidth="1"/>
    <col min="538" max="538" width="10.5703125" bestFit="1" customWidth="1"/>
    <col min="539" max="540" width="15.7109375" bestFit="1" customWidth="1"/>
    <col min="541" max="541" width="11.5703125" bestFit="1" customWidth="1"/>
    <col min="542" max="542" width="7.7109375" bestFit="1" customWidth="1"/>
    <col min="543" max="543" width="15.140625" bestFit="1" customWidth="1"/>
    <col min="544" max="544" width="11.5703125" bestFit="1" customWidth="1"/>
    <col min="545" max="545" width="13.28515625" bestFit="1" customWidth="1"/>
    <col min="546" max="546" width="10.42578125" bestFit="1" customWidth="1"/>
    <col min="547" max="547" width="13.28515625" bestFit="1" customWidth="1"/>
    <col min="548" max="548" width="12.140625" bestFit="1" customWidth="1"/>
    <col min="549" max="549" width="14.42578125" bestFit="1" customWidth="1"/>
    <col min="550" max="550" width="13.28515625" bestFit="1" customWidth="1"/>
    <col min="551" max="551" width="11.5703125" bestFit="1" customWidth="1"/>
    <col min="552" max="552" width="7.7109375" bestFit="1" customWidth="1"/>
    <col min="553" max="554" width="14.42578125" bestFit="1" customWidth="1"/>
    <col min="555" max="555" width="11.5703125" bestFit="1" customWidth="1"/>
    <col min="556" max="556" width="7.7109375" bestFit="1" customWidth="1"/>
    <col min="557" max="557" width="13.5703125" customWidth="1"/>
    <col min="558" max="558" width="15.28515625" customWidth="1"/>
    <col min="559" max="559" width="14.5703125" customWidth="1"/>
    <col min="560" max="560" width="13.28515625" bestFit="1" customWidth="1"/>
    <col min="561" max="561" width="7.7109375" bestFit="1" customWidth="1"/>
    <col min="562" max="562" width="12.7109375" bestFit="1" customWidth="1"/>
    <col min="563" max="563" width="11.7109375" bestFit="1" customWidth="1"/>
    <col min="564" max="564" width="11.5703125" bestFit="1" customWidth="1"/>
    <col min="565" max="565" width="5.28515625" bestFit="1" customWidth="1"/>
    <col min="566" max="566" width="13.28515625" bestFit="1" customWidth="1"/>
    <col min="567" max="567" width="13.5703125" bestFit="1" customWidth="1"/>
    <col min="568" max="568" width="10.5703125" bestFit="1" customWidth="1"/>
    <col min="569" max="569" width="13.28515625" bestFit="1" customWidth="1"/>
    <col min="570" max="570" width="11.5703125" bestFit="1" customWidth="1"/>
    <col min="571" max="571" width="10.5703125" bestFit="1" customWidth="1"/>
    <col min="572" max="572" width="16.140625" bestFit="1" customWidth="1"/>
    <col min="573" max="574" width="11.28515625" bestFit="1" customWidth="1"/>
    <col min="575" max="575" width="13.28515625" bestFit="1" customWidth="1"/>
    <col min="576" max="576" width="7.7109375" bestFit="1" customWidth="1"/>
    <col min="577" max="580" width="9.140625" hidden="1" customWidth="1"/>
    <col min="581" max="581" width="10.42578125" bestFit="1" customWidth="1"/>
    <col min="582" max="582" width="10.5703125" bestFit="1" customWidth="1"/>
    <col min="583" max="583" width="10.42578125" bestFit="1" customWidth="1"/>
    <col min="584" max="584" width="10.5703125" bestFit="1" customWidth="1"/>
    <col min="585" max="585" width="9.5703125" bestFit="1" customWidth="1"/>
    <col min="586" max="586" width="11.5703125" bestFit="1" customWidth="1"/>
    <col min="587" max="587" width="10.42578125" bestFit="1" customWidth="1"/>
    <col min="588" max="588" width="10.85546875" customWidth="1"/>
    <col min="589" max="590" width="9.85546875" bestFit="1" customWidth="1"/>
    <col min="591" max="591" width="13.5703125" bestFit="1" customWidth="1"/>
    <col min="592" max="592" width="7.7109375" bestFit="1" customWidth="1"/>
    <col min="593" max="593" width="13.28515625" bestFit="1" customWidth="1"/>
    <col min="594" max="594" width="11.5703125" bestFit="1" customWidth="1"/>
    <col min="595" max="595" width="10.42578125" bestFit="1" customWidth="1"/>
    <col min="596" max="596" width="7.7109375" bestFit="1" customWidth="1"/>
    <col min="597" max="597" width="11.5703125" bestFit="1" customWidth="1"/>
    <col min="598" max="598" width="10.85546875" bestFit="1" customWidth="1"/>
    <col min="599" max="599" width="13.28515625" bestFit="1" customWidth="1"/>
    <col min="600" max="600" width="10.85546875" bestFit="1" customWidth="1"/>
    <col min="601" max="602" width="7.5703125" bestFit="1" customWidth="1"/>
    <col min="603" max="604" width="10.42578125" bestFit="1" customWidth="1"/>
    <col min="605" max="605" width="11.5703125" bestFit="1" customWidth="1"/>
    <col min="606" max="606" width="5.28515625" bestFit="1" customWidth="1"/>
    <col min="607" max="607" width="10.28515625" bestFit="1" customWidth="1"/>
    <col min="608" max="608" width="10.42578125" bestFit="1" customWidth="1"/>
    <col min="609" max="609" width="11.5703125" bestFit="1" customWidth="1"/>
    <col min="610" max="610" width="5.28515625" bestFit="1" customWidth="1"/>
    <col min="611" max="613" width="11.5703125" bestFit="1" customWidth="1"/>
    <col min="614" max="614" width="5.28515625" bestFit="1" customWidth="1"/>
    <col min="615" max="616" width="10.42578125" bestFit="1" customWidth="1"/>
    <col min="617" max="617" width="11.5703125" bestFit="1" customWidth="1"/>
    <col min="618" max="618" width="5.28515625" bestFit="1" customWidth="1"/>
    <col min="619" max="619" width="14.28515625" bestFit="1" customWidth="1"/>
    <col min="620" max="620" width="13" bestFit="1" customWidth="1"/>
    <col min="621" max="621" width="11.5703125" bestFit="1" customWidth="1"/>
    <col min="622" max="622" width="8.85546875" bestFit="1" customWidth="1"/>
    <col min="623" max="623" width="14.42578125" bestFit="1" customWidth="1"/>
    <col min="624" max="624" width="10.42578125" bestFit="1" customWidth="1"/>
    <col min="625" max="625" width="12.28515625" bestFit="1" customWidth="1"/>
    <col min="626" max="626" width="13.85546875" bestFit="1" customWidth="1"/>
    <col min="627" max="627" width="11.28515625" customWidth="1"/>
    <col min="628" max="628" width="11.5703125" customWidth="1"/>
    <col min="629" max="629" width="13.42578125" bestFit="1" customWidth="1"/>
    <col min="630" max="630" width="10.42578125" customWidth="1"/>
    <col min="631" max="631" width="13.85546875" bestFit="1" customWidth="1"/>
    <col min="632" max="632" width="15.42578125" bestFit="1" customWidth="1"/>
    <col min="633" max="633" width="12.28515625" bestFit="1" customWidth="1"/>
    <col min="634" max="634" width="12.7109375" customWidth="1"/>
    <col min="635" max="635" width="10.7109375" bestFit="1" customWidth="1"/>
    <col min="636" max="636" width="9.85546875" customWidth="1"/>
    <col min="637" max="638" width="10.140625" bestFit="1" customWidth="1"/>
    <col min="639" max="639" width="7.5703125" bestFit="1" customWidth="1"/>
    <col min="640" max="640" width="9.42578125" bestFit="1" customWidth="1"/>
    <col min="641" max="641" width="14.5703125" bestFit="1" customWidth="1"/>
    <col min="642" max="642" width="14.85546875" customWidth="1"/>
    <col min="643" max="643" width="15.140625" bestFit="1" customWidth="1"/>
    <col min="644" max="644" width="12.140625" bestFit="1" customWidth="1"/>
    <col min="645" max="645" width="14.85546875" bestFit="1" customWidth="1"/>
    <col min="646" max="646" width="12.28515625" bestFit="1" customWidth="1"/>
    <col min="647" max="655" width="9.140625" hidden="1" customWidth="1"/>
    <col min="656" max="656" width="5.28515625" bestFit="1" customWidth="1"/>
    <col min="657" max="662" width="11.5703125" bestFit="1" customWidth="1"/>
    <col min="663" max="663" width="11.28515625" bestFit="1" customWidth="1"/>
    <col min="664" max="664" width="10.140625" bestFit="1" customWidth="1"/>
    <col min="665" max="665" width="11.5703125" bestFit="1" customWidth="1"/>
    <col min="666" max="666" width="16.140625" customWidth="1"/>
    <col min="667" max="667" width="13.42578125" customWidth="1"/>
    <col min="668" max="668" width="10.140625" bestFit="1" customWidth="1"/>
    <col min="669" max="669" width="12.85546875" bestFit="1" customWidth="1"/>
    <col min="670" max="670" width="12.28515625" bestFit="1" customWidth="1"/>
    <col min="671" max="671" width="11.28515625" bestFit="1" customWidth="1"/>
    <col min="672" max="672" width="11.5703125" bestFit="1" customWidth="1"/>
    <col min="673" max="673" width="10.85546875" bestFit="1" customWidth="1"/>
    <col min="674" max="674" width="11.28515625" bestFit="1" customWidth="1"/>
    <col min="675" max="675" width="10.140625" bestFit="1" customWidth="1"/>
    <col min="676" max="676" width="13.28515625" bestFit="1" customWidth="1"/>
    <col min="677" max="678" width="12.7109375" bestFit="1" customWidth="1"/>
    <col min="679" max="679" width="11" bestFit="1" customWidth="1"/>
    <col min="680" max="680" width="11.28515625" bestFit="1" customWidth="1"/>
    <col min="681" max="681" width="11.5703125" bestFit="1" customWidth="1"/>
    <col min="682" max="682" width="12.28515625" bestFit="1" customWidth="1"/>
    <col min="683" max="683" width="15.140625" bestFit="1" customWidth="1"/>
    <col min="684" max="684" width="14.42578125" bestFit="1" customWidth="1"/>
    <col min="685" max="685" width="12.28515625" bestFit="1" customWidth="1"/>
    <col min="686" max="686" width="15.140625" bestFit="1" customWidth="1"/>
    <col min="687" max="687" width="14.42578125" bestFit="1" customWidth="1"/>
    <col min="688" max="688" width="12.28515625" bestFit="1" customWidth="1"/>
    <col min="689" max="689" width="14.42578125" bestFit="1" customWidth="1"/>
    <col min="690" max="690" width="11.28515625" bestFit="1" customWidth="1"/>
    <col min="691" max="691" width="12.28515625" bestFit="1" customWidth="1"/>
    <col min="692" max="692" width="13" bestFit="1" customWidth="1"/>
    <col min="693" max="693" width="15.140625" bestFit="1" customWidth="1"/>
    <col min="694" max="694" width="12.28515625" bestFit="1" customWidth="1"/>
    <col min="695" max="695" width="13.85546875" bestFit="1" customWidth="1"/>
    <col min="696" max="696" width="11.28515625" bestFit="1" customWidth="1"/>
    <col min="697" max="697" width="12.28515625" bestFit="1" customWidth="1"/>
    <col min="698" max="698" width="13.85546875" bestFit="1" customWidth="1"/>
    <col min="699" max="700" width="15.140625" bestFit="1" customWidth="1"/>
    <col min="701" max="701" width="12.28515625" bestFit="1" customWidth="1"/>
    <col min="702" max="702" width="5.7109375" bestFit="1" customWidth="1"/>
    <col min="703" max="703" width="8.5703125" bestFit="1" customWidth="1"/>
    <col min="704" max="704" width="5.5703125" bestFit="1" customWidth="1"/>
    <col min="705" max="705" width="14.42578125" bestFit="1" customWidth="1"/>
    <col min="706" max="706" width="11.28515625" bestFit="1" customWidth="1"/>
    <col min="707" max="708" width="12.28515625" bestFit="1" customWidth="1"/>
    <col min="709" max="709" width="11.28515625" bestFit="1" customWidth="1"/>
    <col min="710" max="710" width="13.85546875" bestFit="1" customWidth="1"/>
    <col min="711" max="711" width="12" bestFit="1" customWidth="1"/>
    <col min="712" max="712" width="13.85546875" bestFit="1" customWidth="1"/>
    <col min="713" max="714" width="14.42578125" customWidth="1"/>
    <col min="715" max="715" width="10.140625" bestFit="1" customWidth="1"/>
    <col min="716" max="716" width="12.28515625" bestFit="1" customWidth="1"/>
    <col min="717" max="717" width="7.42578125" bestFit="1" customWidth="1"/>
    <col min="718" max="718" width="8.5703125" bestFit="1" customWidth="1"/>
    <col min="719" max="719" width="11.5703125" bestFit="1" customWidth="1"/>
    <col min="720" max="720" width="13.28515625" bestFit="1" customWidth="1"/>
    <col min="721" max="721" width="13.28515625" customWidth="1"/>
    <col min="722" max="722" width="13.140625" customWidth="1"/>
    <col min="723" max="723" width="12.7109375" bestFit="1" customWidth="1"/>
    <col min="724" max="724" width="13.28515625" bestFit="1" customWidth="1"/>
    <col min="725" max="727" width="13.28515625" customWidth="1"/>
    <col min="728" max="728" width="12.140625" bestFit="1" customWidth="1"/>
    <col min="729" max="729" width="12.7109375" bestFit="1" customWidth="1"/>
    <col min="730" max="730" width="11" customWidth="1"/>
    <col min="731" max="731" width="16.7109375" customWidth="1"/>
    <col min="732" max="732" width="17" customWidth="1"/>
    <col min="733" max="733" width="10.42578125" bestFit="1" customWidth="1"/>
    <col min="777" max="777" width="3.85546875" customWidth="1"/>
    <col min="778" max="778" width="15.28515625" bestFit="1" customWidth="1"/>
    <col min="779" max="779" width="12.28515625" customWidth="1"/>
    <col min="780" max="780" width="16.28515625" bestFit="1" customWidth="1"/>
    <col min="781" max="781" width="6.42578125" bestFit="1" customWidth="1"/>
    <col min="782" max="782" width="9.28515625" bestFit="1" customWidth="1"/>
    <col min="783" max="783" width="7.5703125" bestFit="1" customWidth="1"/>
    <col min="784" max="784" width="13.28515625" bestFit="1" customWidth="1"/>
    <col min="785" max="785" width="9.28515625" bestFit="1" customWidth="1"/>
    <col min="786" max="786" width="11.5703125" bestFit="1" customWidth="1"/>
    <col min="787" max="787" width="13.28515625" bestFit="1" customWidth="1"/>
    <col min="788" max="788" width="7.140625" bestFit="1" customWidth="1"/>
    <col min="789" max="789" width="12" bestFit="1" customWidth="1"/>
    <col min="790" max="790" width="13.28515625" bestFit="1" customWidth="1"/>
    <col min="791" max="791" width="7" bestFit="1" customWidth="1"/>
    <col min="792" max="792" width="12.7109375" bestFit="1" customWidth="1"/>
    <col min="793" max="793" width="11.5703125" bestFit="1" customWidth="1"/>
    <col min="794" max="794" width="10.5703125" bestFit="1" customWidth="1"/>
    <col min="795" max="796" width="15.7109375" bestFit="1" customWidth="1"/>
    <col min="797" max="797" width="11.5703125" bestFit="1" customWidth="1"/>
    <col min="798" max="798" width="7.7109375" bestFit="1" customWidth="1"/>
    <col min="799" max="799" width="15.140625" bestFit="1" customWidth="1"/>
    <col min="800" max="800" width="11.5703125" bestFit="1" customWidth="1"/>
    <col min="801" max="801" width="13.28515625" bestFit="1" customWidth="1"/>
    <col min="802" max="802" width="10.42578125" bestFit="1" customWidth="1"/>
    <col min="803" max="803" width="13.28515625" bestFit="1" customWidth="1"/>
    <col min="804" max="804" width="12.140625" bestFit="1" customWidth="1"/>
    <col min="805" max="805" width="14.42578125" bestFit="1" customWidth="1"/>
    <col min="806" max="806" width="13.28515625" bestFit="1" customWidth="1"/>
    <col min="807" max="807" width="11.5703125" bestFit="1" customWidth="1"/>
    <col min="808" max="808" width="7.7109375" bestFit="1" customWidth="1"/>
    <col min="809" max="810" width="14.42578125" bestFit="1" customWidth="1"/>
    <col min="811" max="811" width="11.5703125" bestFit="1" customWidth="1"/>
    <col min="812" max="812" width="7.7109375" bestFit="1" customWidth="1"/>
    <col min="813" max="813" width="13.5703125" customWidth="1"/>
    <col min="814" max="814" width="15.28515625" customWidth="1"/>
    <col min="815" max="815" width="14.5703125" customWidth="1"/>
    <col min="816" max="816" width="13.28515625" bestFit="1" customWidth="1"/>
    <col min="817" max="817" width="7.7109375" bestFit="1" customWidth="1"/>
    <col min="818" max="818" width="12.7109375" bestFit="1" customWidth="1"/>
    <col min="819" max="819" width="11.7109375" bestFit="1" customWidth="1"/>
    <col min="820" max="820" width="11.5703125" bestFit="1" customWidth="1"/>
    <col min="821" max="821" width="5.28515625" bestFit="1" customWidth="1"/>
    <col min="822" max="822" width="13.28515625" bestFit="1" customWidth="1"/>
    <col min="823" max="823" width="13.5703125" bestFit="1" customWidth="1"/>
    <col min="824" max="824" width="10.5703125" bestFit="1" customWidth="1"/>
    <col min="825" max="825" width="13.28515625" bestFit="1" customWidth="1"/>
    <col min="826" max="826" width="11.5703125" bestFit="1" customWidth="1"/>
    <col min="827" max="827" width="10.5703125" bestFit="1" customWidth="1"/>
    <col min="828" max="828" width="16.140625" bestFit="1" customWidth="1"/>
    <col min="829" max="830" width="11.28515625" bestFit="1" customWidth="1"/>
    <col min="831" max="831" width="13.28515625" bestFit="1" customWidth="1"/>
    <col min="832" max="832" width="7.7109375" bestFit="1" customWidth="1"/>
    <col min="833" max="836" width="9.140625" hidden="1" customWidth="1"/>
    <col min="837" max="837" width="10.42578125" bestFit="1" customWidth="1"/>
    <col min="838" max="838" width="10.5703125" bestFit="1" customWidth="1"/>
    <col min="839" max="839" width="10.42578125" bestFit="1" customWidth="1"/>
    <col min="840" max="840" width="10.5703125" bestFit="1" customWidth="1"/>
    <col min="841" max="841" width="9.5703125" bestFit="1" customWidth="1"/>
    <col min="842" max="842" width="11.5703125" bestFit="1" customWidth="1"/>
    <col min="843" max="843" width="10.42578125" bestFit="1" customWidth="1"/>
    <col min="844" max="844" width="10.85546875" customWidth="1"/>
    <col min="845" max="846" width="9.85546875" bestFit="1" customWidth="1"/>
    <col min="847" max="847" width="13.5703125" bestFit="1" customWidth="1"/>
    <col min="848" max="848" width="7.7109375" bestFit="1" customWidth="1"/>
    <col min="849" max="849" width="13.28515625" bestFit="1" customWidth="1"/>
    <col min="850" max="850" width="11.5703125" bestFit="1" customWidth="1"/>
    <col min="851" max="851" width="10.42578125" bestFit="1" customWidth="1"/>
    <col min="852" max="852" width="7.7109375" bestFit="1" customWidth="1"/>
    <col min="853" max="853" width="11.5703125" bestFit="1" customWidth="1"/>
    <col min="854" max="854" width="10.85546875" bestFit="1" customWidth="1"/>
    <col min="855" max="855" width="13.28515625" bestFit="1" customWidth="1"/>
    <col min="856" max="856" width="10.85546875" bestFit="1" customWidth="1"/>
    <col min="857" max="858" width="7.5703125" bestFit="1" customWidth="1"/>
    <col min="859" max="860" width="10.42578125" bestFit="1" customWidth="1"/>
    <col min="861" max="861" width="11.5703125" bestFit="1" customWidth="1"/>
    <col min="862" max="862" width="5.28515625" bestFit="1" customWidth="1"/>
    <col min="863" max="863" width="10.28515625" bestFit="1" customWidth="1"/>
    <col min="864" max="864" width="10.42578125" bestFit="1" customWidth="1"/>
    <col min="865" max="865" width="11.5703125" bestFit="1" customWidth="1"/>
    <col min="866" max="866" width="5.28515625" bestFit="1" customWidth="1"/>
    <col min="867" max="869" width="11.5703125" bestFit="1" customWidth="1"/>
    <col min="870" max="870" width="5.28515625" bestFit="1" customWidth="1"/>
    <col min="871" max="872" width="10.42578125" bestFit="1" customWidth="1"/>
    <col min="873" max="873" width="11.5703125" bestFit="1" customWidth="1"/>
    <col min="874" max="874" width="5.28515625" bestFit="1" customWidth="1"/>
    <col min="875" max="875" width="14.28515625" bestFit="1" customWidth="1"/>
    <col min="876" max="876" width="13" bestFit="1" customWidth="1"/>
    <col min="877" max="877" width="11.5703125" bestFit="1" customWidth="1"/>
    <col min="878" max="878" width="8.85546875" bestFit="1" customWidth="1"/>
    <col min="879" max="879" width="14.42578125" bestFit="1" customWidth="1"/>
    <col min="880" max="880" width="10.42578125" bestFit="1" customWidth="1"/>
    <col min="881" max="881" width="12.28515625" bestFit="1" customWidth="1"/>
    <col min="882" max="882" width="13.85546875" bestFit="1" customWidth="1"/>
    <col min="883" max="883" width="11.28515625" customWidth="1"/>
    <col min="884" max="884" width="11.5703125" customWidth="1"/>
    <col min="885" max="885" width="13.42578125" bestFit="1" customWidth="1"/>
    <col min="886" max="886" width="10.42578125" customWidth="1"/>
    <col min="887" max="887" width="13.85546875" bestFit="1" customWidth="1"/>
    <col min="888" max="888" width="15.42578125" bestFit="1" customWidth="1"/>
    <col min="889" max="889" width="12.28515625" bestFit="1" customWidth="1"/>
    <col min="890" max="890" width="12.7109375" customWidth="1"/>
    <col min="891" max="891" width="10.7109375" bestFit="1" customWidth="1"/>
    <col min="892" max="892" width="9.85546875" customWidth="1"/>
    <col min="893" max="894" width="10.140625" bestFit="1" customWidth="1"/>
    <col min="895" max="895" width="7.5703125" bestFit="1" customWidth="1"/>
    <col min="896" max="896" width="9.42578125" bestFit="1" customWidth="1"/>
    <col min="897" max="897" width="14.5703125" bestFit="1" customWidth="1"/>
    <col min="898" max="898" width="14.85546875" customWidth="1"/>
    <col min="899" max="899" width="15.140625" bestFit="1" customWidth="1"/>
    <col min="900" max="900" width="12.140625" bestFit="1" customWidth="1"/>
    <col min="901" max="901" width="14.85546875" bestFit="1" customWidth="1"/>
    <col min="902" max="902" width="12.28515625" bestFit="1" customWidth="1"/>
    <col min="903" max="911" width="9.140625" hidden="1" customWidth="1"/>
    <col min="912" max="912" width="5.28515625" bestFit="1" customWidth="1"/>
    <col min="913" max="918" width="11.5703125" bestFit="1" customWidth="1"/>
    <col min="919" max="919" width="11.28515625" bestFit="1" customWidth="1"/>
    <col min="920" max="920" width="10.140625" bestFit="1" customWidth="1"/>
    <col min="921" max="921" width="11.5703125" bestFit="1" customWidth="1"/>
    <col min="922" max="922" width="16.140625" customWidth="1"/>
    <col min="923" max="923" width="13.42578125" customWidth="1"/>
    <col min="924" max="924" width="10.140625" bestFit="1" customWidth="1"/>
    <col min="925" max="925" width="12.85546875" bestFit="1" customWidth="1"/>
    <col min="926" max="926" width="12.28515625" bestFit="1" customWidth="1"/>
    <col min="927" max="927" width="11.28515625" bestFit="1" customWidth="1"/>
    <col min="928" max="928" width="11.5703125" bestFit="1" customWidth="1"/>
    <col min="929" max="929" width="10.85546875" bestFit="1" customWidth="1"/>
    <col min="930" max="930" width="11.28515625" bestFit="1" customWidth="1"/>
    <col min="931" max="931" width="10.140625" bestFit="1" customWidth="1"/>
    <col min="932" max="932" width="13.28515625" bestFit="1" customWidth="1"/>
    <col min="933" max="934" width="12.7109375" bestFit="1" customWidth="1"/>
    <col min="935" max="935" width="11" bestFit="1" customWidth="1"/>
    <col min="936" max="936" width="11.28515625" bestFit="1" customWidth="1"/>
    <col min="937" max="937" width="11.5703125" bestFit="1" customWidth="1"/>
    <col min="938" max="938" width="12.28515625" bestFit="1" customWidth="1"/>
    <col min="939" max="939" width="15.140625" bestFit="1" customWidth="1"/>
    <col min="940" max="940" width="14.42578125" bestFit="1" customWidth="1"/>
    <col min="941" max="941" width="12.28515625" bestFit="1" customWidth="1"/>
    <col min="942" max="942" width="15.140625" bestFit="1" customWidth="1"/>
    <col min="943" max="943" width="14.42578125" bestFit="1" customWidth="1"/>
    <col min="944" max="944" width="12.28515625" bestFit="1" customWidth="1"/>
    <col min="945" max="945" width="14.42578125" bestFit="1" customWidth="1"/>
    <col min="946" max="946" width="11.28515625" bestFit="1" customWidth="1"/>
    <col min="947" max="947" width="12.28515625" bestFit="1" customWidth="1"/>
    <col min="948" max="948" width="13" bestFit="1" customWidth="1"/>
    <col min="949" max="949" width="15.140625" bestFit="1" customWidth="1"/>
    <col min="950" max="950" width="12.28515625" bestFit="1" customWidth="1"/>
    <col min="951" max="951" width="13.85546875" bestFit="1" customWidth="1"/>
    <col min="952" max="952" width="11.28515625" bestFit="1" customWidth="1"/>
    <col min="953" max="953" width="12.28515625" bestFit="1" customWidth="1"/>
    <col min="954" max="954" width="13.85546875" bestFit="1" customWidth="1"/>
    <col min="955" max="956" width="15.140625" bestFit="1" customWidth="1"/>
    <col min="957" max="957" width="12.28515625" bestFit="1" customWidth="1"/>
    <col min="958" max="958" width="5.7109375" bestFit="1" customWidth="1"/>
    <col min="959" max="959" width="8.5703125" bestFit="1" customWidth="1"/>
    <col min="960" max="960" width="5.5703125" bestFit="1" customWidth="1"/>
    <col min="961" max="961" width="14.42578125" bestFit="1" customWidth="1"/>
    <col min="962" max="962" width="11.28515625" bestFit="1" customWidth="1"/>
    <col min="963" max="964" width="12.28515625" bestFit="1" customWidth="1"/>
    <col min="965" max="965" width="11.28515625" bestFit="1" customWidth="1"/>
    <col min="966" max="966" width="13.85546875" bestFit="1" customWidth="1"/>
    <col min="967" max="967" width="12" bestFit="1" customWidth="1"/>
    <col min="968" max="968" width="13.85546875" bestFit="1" customWidth="1"/>
    <col min="969" max="970" width="14.42578125" customWidth="1"/>
    <col min="971" max="971" width="10.140625" bestFit="1" customWidth="1"/>
    <col min="972" max="972" width="12.28515625" bestFit="1" customWidth="1"/>
    <col min="973" max="973" width="7.42578125" bestFit="1" customWidth="1"/>
    <col min="974" max="974" width="8.5703125" bestFit="1" customWidth="1"/>
    <col min="975" max="975" width="11.5703125" bestFit="1" customWidth="1"/>
    <col min="976" max="976" width="13.28515625" bestFit="1" customWidth="1"/>
    <col min="977" max="977" width="13.28515625" customWidth="1"/>
    <col min="978" max="978" width="13.140625" customWidth="1"/>
    <col min="979" max="979" width="12.7109375" bestFit="1" customWidth="1"/>
    <col min="980" max="980" width="13.28515625" bestFit="1" customWidth="1"/>
    <col min="981" max="983" width="13.28515625" customWidth="1"/>
    <col min="984" max="984" width="12.140625" bestFit="1" customWidth="1"/>
    <col min="985" max="985" width="12.7109375" bestFit="1" customWidth="1"/>
    <col min="986" max="986" width="11" customWidth="1"/>
    <col min="987" max="987" width="16.7109375" customWidth="1"/>
    <col min="988" max="988" width="17" customWidth="1"/>
    <col min="989" max="989" width="10.42578125" bestFit="1" customWidth="1"/>
    <col min="1033" max="1033" width="3.85546875" customWidth="1"/>
    <col min="1034" max="1034" width="15.28515625" bestFit="1" customWidth="1"/>
    <col min="1035" max="1035" width="12.28515625" customWidth="1"/>
    <col min="1036" max="1036" width="16.28515625" bestFit="1" customWidth="1"/>
    <col min="1037" max="1037" width="6.42578125" bestFit="1" customWidth="1"/>
    <col min="1038" max="1038" width="9.28515625" bestFit="1" customWidth="1"/>
    <col min="1039" max="1039" width="7.5703125" bestFit="1" customWidth="1"/>
    <col min="1040" max="1040" width="13.28515625" bestFit="1" customWidth="1"/>
    <col min="1041" max="1041" width="9.28515625" bestFit="1" customWidth="1"/>
    <col min="1042" max="1042" width="11.5703125" bestFit="1" customWidth="1"/>
    <col min="1043" max="1043" width="13.28515625" bestFit="1" customWidth="1"/>
    <col min="1044" max="1044" width="7.140625" bestFit="1" customWidth="1"/>
    <col min="1045" max="1045" width="12" bestFit="1" customWidth="1"/>
    <col min="1046" max="1046" width="13.28515625" bestFit="1" customWidth="1"/>
    <col min="1047" max="1047" width="7" bestFit="1" customWidth="1"/>
    <col min="1048" max="1048" width="12.7109375" bestFit="1" customWidth="1"/>
    <col min="1049" max="1049" width="11.5703125" bestFit="1" customWidth="1"/>
    <col min="1050" max="1050" width="10.5703125" bestFit="1" customWidth="1"/>
    <col min="1051" max="1052" width="15.7109375" bestFit="1" customWidth="1"/>
    <col min="1053" max="1053" width="11.5703125" bestFit="1" customWidth="1"/>
    <col min="1054" max="1054" width="7.7109375" bestFit="1" customWidth="1"/>
    <col min="1055" max="1055" width="15.140625" bestFit="1" customWidth="1"/>
    <col min="1056" max="1056" width="11.5703125" bestFit="1" customWidth="1"/>
    <col min="1057" max="1057" width="13.28515625" bestFit="1" customWidth="1"/>
    <col min="1058" max="1058" width="10.42578125" bestFit="1" customWidth="1"/>
    <col min="1059" max="1059" width="13.28515625" bestFit="1" customWidth="1"/>
    <col min="1060" max="1060" width="12.140625" bestFit="1" customWidth="1"/>
    <col min="1061" max="1061" width="14.42578125" bestFit="1" customWidth="1"/>
    <col min="1062" max="1062" width="13.28515625" bestFit="1" customWidth="1"/>
    <col min="1063" max="1063" width="11.5703125" bestFit="1" customWidth="1"/>
    <col min="1064" max="1064" width="7.7109375" bestFit="1" customWidth="1"/>
    <col min="1065" max="1066" width="14.42578125" bestFit="1" customWidth="1"/>
    <col min="1067" max="1067" width="11.5703125" bestFit="1" customWidth="1"/>
    <col min="1068" max="1068" width="7.7109375" bestFit="1" customWidth="1"/>
    <col min="1069" max="1069" width="13.5703125" customWidth="1"/>
    <col min="1070" max="1070" width="15.28515625" customWidth="1"/>
    <col min="1071" max="1071" width="14.5703125" customWidth="1"/>
    <col min="1072" max="1072" width="13.28515625" bestFit="1" customWidth="1"/>
    <col min="1073" max="1073" width="7.7109375" bestFit="1" customWidth="1"/>
    <col min="1074" max="1074" width="12.7109375" bestFit="1" customWidth="1"/>
    <col min="1075" max="1075" width="11.7109375" bestFit="1" customWidth="1"/>
    <col min="1076" max="1076" width="11.5703125" bestFit="1" customWidth="1"/>
    <col min="1077" max="1077" width="5.28515625" bestFit="1" customWidth="1"/>
    <col min="1078" max="1078" width="13.28515625" bestFit="1" customWidth="1"/>
    <col min="1079" max="1079" width="13.5703125" bestFit="1" customWidth="1"/>
    <col min="1080" max="1080" width="10.5703125" bestFit="1" customWidth="1"/>
    <col min="1081" max="1081" width="13.28515625" bestFit="1" customWidth="1"/>
    <col min="1082" max="1082" width="11.5703125" bestFit="1" customWidth="1"/>
    <col min="1083" max="1083" width="10.5703125" bestFit="1" customWidth="1"/>
    <col min="1084" max="1084" width="16.140625" bestFit="1" customWidth="1"/>
    <col min="1085" max="1086" width="11.28515625" bestFit="1" customWidth="1"/>
    <col min="1087" max="1087" width="13.28515625" bestFit="1" customWidth="1"/>
    <col min="1088" max="1088" width="7.7109375" bestFit="1" customWidth="1"/>
    <col min="1089" max="1092" width="9.140625" hidden="1" customWidth="1"/>
    <col min="1093" max="1093" width="10.42578125" bestFit="1" customWidth="1"/>
    <col min="1094" max="1094" width="10.5703125" bestFit="1" customWidth="1"/>
    <col min="1095" max="1095" width="10.42578125" bestFit="1" customWidth="1"/>
    <col min="1096" max="1096" width="10.5703125" bestFit="1" customWidth="1"/>
    <col min="1097" max="1097" width="9.5703125" bestFit="1" customWidth="1"/>
    <col min="1098" max="1098" width="11.5703125" bestFit="1" customWidth="1"/>
    <col min="1099" max="1099" width="10.42578125" bestFit="1" customWidth="1"/>
    <col min="1100" max="1100" width="10.85546875" customWidth="1"/>
    <col min="1101" max="1102" width="9.85546875" bestFit="1" customWidth="1"/>
    <col min="1103" max="1103" width="13.5703125" bestFit="1" customWidth="1"/>
    <col min="1104" max="1104" width="7.7109375" bestFit="1" customWidth="1"/>
    <col min="1105" max="1105" width="13.28515625" bestFit="1" customWidth="1"/>
    <col min="1106" max="1106" width="11.5703125" bestFit="1" customWidth="1"/>
    <col min="1107" max="1107" width="10.42578125" bestFit="1" customWidth="1"/>
    <col min="1108" max="1108" width="7.7109375" bestFit="1" customWidth="1"/>
    <col min="1109" max="1109" width="11.5703125" bestFit="1" customWidth="1"/>
    <col min="1110" max="1110" width="10.85546875" bestFit="1" customWidth="1"/>
    <col min="1111" max="1111" width="13.28515625" bestFit="1" customWidth="1"/>
    <col min="1112" max="1112" width="10.85546875" bestFit="1" customWidth="1"/>
    <col min="1113" max="1114" width="7.5703125" bestFit="1" customWidth="1"/>
    <col min="1115" max="1116" width="10.42578125" bestFit="1" customWidth="1"/>
    <col min="1117" max="1117" width="11.5703125" bestFit="1" customWidth="1"/>
    <col min="1118" max="1118" width="5.28515625" bestFit="1" customWidth="1"/>
    <col min="1119" max="1119" width="10.28515625" bestFit="1" customWidth="1"/>
    <col min="1120" max="1120" width="10.42578125" bestFit="1" customWidth="1"/>
    <col min="1121" max="1121" width="11.5703125" bestFit="1" customWidth="1"/>
    <col min="1122" max="1122" width="5.28515625" bestFit="1" customWidth="1"/>
    <col min="1123" max="1125" width="11.5703125" bestFit="1" customWidth="1"/>
    <col min="1126" max="1126" width="5.28515625" bestFit="1" customWidth="1"/>
    <col min="1127" max="1128" width="10.42578125" bestFit="1" customWidth="1"/>
    <col min="1129" max="1129" width="11.5703125" bestFit="1" customWidth="1"/>
    <col min="1130" max="1130" width="5.28515625" bestFit="1" customWidth="1"/>
    <col min="1131" max="1131" width="14.28515625" bestFit="1" customWidth="1"/>
    <col min="1132" max="1132" width="13" bestFit="1" customWidth="1"/>
    <col min="1133" max="1133" width="11.5703125" bestFit="1" customWidth="1"/>
    <col min="1134" max="1134" width="8.85546875" bestFit="1" customWidth="1"/>
    <col min="1135" max="1135" width="14.42578125" bestFit="1" customWidth="1"/>
    <col min="1136" max="1136" width="10.42578125" bestFit="1" customWidth="1"/>
    <col min="1137" max="1137" width="12.28515625" bestFit="1" customWidth="1"/>
    <col min="1138" max="1138" width="13.85546875" bestFit="1" customWidth="1"/>
    <col min="1139" max="1139" width="11.28515625" customWidth="1"/>
    <col min="1140" max="1140" width="11.5703125" customWidth="1"/>
    <col min="1141" max="1141" width="13.42578125" bestFit="1" customWidth="1"/>
    <col min="1142" max="1142" width="10.42578125" customWidth="1"/>
    <col min="1143" max="1143" width="13.85546875" bestFit="1" customWidth="1"/>
    <col min="1144" max="1144" width="15.42578125" bestFit="1" customWidth="1"/>
    <col min="1145" max="1145" width="12.28515625" bestFit="1" customWidth="1"/>
    <col min="1146" max="1146" width="12.7109375" customWidth="1"/>
    <col min="1147" max="1147" width="10.7109375" bestFit="1" customWidth="1"/>
    <col min="1148" max="1148" width="9.85546875" customWidth="1"/>
    <col min="1149" max="1150" width="10.140625" bestFit="1" customWidth="1"/>
    <col min="1151" max="1151" width="7.5703125" bestFit="1" customWidth="1"/>
    <col min="1152" max="1152" width="9.42578125" bestFit="1" customWidth="1"/>
    <col min="1153" max="1153" width="14.5703125" bestFit="1" customWidth="1"/>
    <col min="1154" max="1154" width="14.85546875" customWidth="1"/>
    <col min="1155" max="1155" width="15.140625" bestFit="1" customWidth="1"/>
    <col min="1156" max="1156" width="12.140625" bestFit="1" customWidth="1"/>
    <col min="1157" max="1157" width="14.85546875" bestFit="1" customWidth="1"/>
    <col min="1158" max="1158" width="12.28515625" bestFit="1" customWidth="1"/>
    <col min="1159" max="1167" width="9.140625" hidden="1" customWidth="1"/>
    <col min="1168" max="1168" width="5.28515625" bestFit="1" customWidth="1"/>
    <col min="1169" max="1174" width="11.5703125" bestFit="1" customWidth="1"/>
    <col min="1175" max="1175" width="11.28515625" bestFit="1" customWidth="1"/>
    <col min="1176" max="1176" width="10.140625" bestFit="1" customWidth="1"/>
    <col min="1177" max="1177" width="11.5703125" bestFit="1" customWidth="1"/>
    <col min="1178" max="1178" width="16.140625" customWidth="1"/>
    <col min="1179" max="1179" width="13.42578125" customWidth="1"/>
    <col min="1180" max="1180" width="10.140625" bestFit="1" customWidth="1"/>
    <col min="1181" max="1181" width="12.85546875" bestFit="1" customWidth="1"/>
    <col min="1182" max="1182" width="12.28515625" bestFit="1" customWidth="1"/>
    <col min="1183" max="1183" width="11.28515625" bestFit="1" customWidth="1"/>
    <col min="1184" max="1184" width="11.5703125" bestFit="1" customWidth="1"/>
    <col min="1185" max="1185" width="10.85546875" bestFit="1" customWidth="1"/>
    <col min="1186" max="1186" width="11.28515625" bestFit="1" customWidth="1"/>
    <col min="1187" max="1187" width="10.140625" bestFit="1" customWidth="1"/>
    <col min="1188" max="1188" width="13.28515625" bestFit="1" customWidth="1"/>
    <col min="1189" max="1190" width="12.7109375" bestFit="1" customWidth="1"/>
    <col min="1191" max="1191" width="11" bestFit="1" customWidth="1"/>
    <col min="1192" max="1192" width="11.28515625" bestFit="1" customWidth="1"/>
    <col min="1193" max="1193" width="11.5703125" bestFit="1" customWidth="1"/>
    <col min="1194" max="1194" width="12.28515625" bestFit="1" customWidth="1"/>
    <col min="1195" max="1195" width="15.140625" bestFit="1" customWidth="1"/>
    <col min="1196" max="1196" width="14.42578125" bestFit="1" customWidth="1"/>
    <col min="1197" max="1197" width="12.28515625" bestFit="1" customWidth="1"/>
    <col min="1198" max="1198" width="15.140625" bestFit="1" customWidth="1"/>
    <col min="1199" max="1199" width="14.42578125" bestFit="1" customWidth="1"/>
    <col min="1200" max="1200" width="12.28515625" bestFit="1" customWidth="1"/>
    <col min="1201" max="1201" width="14.42578125" bestFit="1" customWidth="1"/>
    <col min="1202" max="1202" width="11.28515625" bestFit="1" customWidth="1"/>
    <col min="1203" max="1203" width="12.28515625" bestFit="1" customWidth="1"/>
    <col min="1204" max="1204" width="13" bestFit="1" customWidth="1"/>
    <col min="1205" max="1205" width="15.140625" bestFit="1" customWidth="1"/>
    <col min="1206" max="1206" width="12.28515625" bestFit="1" customWidth="1"/>
    <col min="1207" max="1207" width="13.85546875" bestFit="1" customWidth="1"/>
    <col min="1208" max="1208" width="11.28515625" bestFit="1" customWidth="1"/>
    <col min="1209" max="1209" width="12.28515625" bestFit="1" customWidth="1"/>
    <col min="1210" max="1210" width="13.85546875" bestFit="1" customWidth="1"/>
    <col min="1211" max="1212" width="15.140625" bestFit="1" customWidth="1"/>
    <col min="1213" max="1213" width="12.28515625" bestFit="1" customWidth="1"/>
    <col min="1214" max="1214" width="5.7109375" bestFit="1" customWidth="1"/>
    <col min="1215" max="1215" width="8.5703125" bestFit="1" customWidth="1"/>
    <col min="1216" max="1216" width="5.5703125" bestFit="1" customWidth="1"/>
    <col min="1217" max="1217" width="14.42578125" bestFit="1" customWidth="1"/>
    <col min="1218" max="1218" width="11.28515625" bestFit="1" customWidth="1"/>
    <col min="1219" max="1220" width="12.28515625" bestFit="1" customWidth="1"/>
    <col min="1221" max="1221" width="11.28515625" bestFit="1" customWidth="1"/>
    <col min="1222" max="1222" width="13.85546875" bestFit="1" customWidth="1"/>
    <col min="1223" max="1223" width="12" bestFit="1" customWidth="1"/>
    <col min="1224" max="1224" width="13.85546875" bestFit="1" customWidth="1"/>
    <col min="1225" max="1226" width="14.42578125" customWidth="1"/>
    <col min="1227" max="1227" width="10.140625" bestFit="1" customWidth="1"/>
    <col min="1228" max="1228" width="12.28515625" bestFit="1" customWidth="1"/>
    <col min="1229" max="1229" width="7.42578125" bestFit="1" customWidth="1"/>
    <col min="1230" max="1230" width="8.5703125" bestFit="1" customWidth="1"/>
    <col min="1231" max="1231" width="11.5703125" bestFit="1" customWidth="1"/>
    <col min="1232" max="1232" width="13.28515625" bestFit="1" customWidth="1"/>
    <col min="1233" max="1233" width="13.28515625" customWidth="1"/>
    <col min="1234" max="1234" width="13.140625" customWidth="1"/>
    <col min="1235" max="1235" width="12.7109375" bestFit="1" customWidth="1"/>
    <col min="1236" max="1236" width="13.28515625" bestFit="1" customWidth="1"/>
    <col min="1237" max="1239" width="13.28515625" customWidth="1"/>
    <col min="1240" max="1240" width="12.140625" bestFit="1" customWidth="1"/>
    <col min="1241" max="1241" width="12.7109375" bestFit="1" customWidth="1"/>
    <col min="1242" max="1242" width="11" customWidth="1"/>
    <col min="1243" max="1243" width="16.7109375" customWidth="1"/>
    <col min="1244" max="1244" width="17" customWidth="1"/>
    <col min="1245" max="1245" width="10.42578125" bestFit="1" customWidth="1"/>
    <col min="1289" max="1289" width="3.85546875" customWidth="1"/>
    <col min="1290" max="1290" width="15.28515625" bestFit="1" customWidth="1"/>
    <col min="1291" max="1291" width="12.28515625" customWidth="1"/>
    <col min="1292" max="1292" width="16.28515625" bestFit="1" customWidth="1"/>
    <col min="1293" max="1293" width="6.42578125" bestFit="1" customWidth="1"/>
    <col min="1294" max="1294" width="9.28515625" bestFit="1" customWidth="1"/>
    <col min="1295" max="1295" width="7.5703125" bestFit="1" customWidth="1"/>
    <col min="1296" max="1296" width="13.28515625" bestFit="1" customWidth="1"/>
    <col min="1297" max="1297" width="9.28515625" bestFit="1" customWidth="1"/>
    <col min="1298" max="1298" width="11.5703125" bestFit="1" customWidth="1"/>
    <col min="1299" max="1299" width="13.28515625" bestFit="1" customWidth="1"/>
    <col min="1300" max="1300" width="7.140625" bestFit="1" customWidth="1"/>
    <col min="1301" max="1301" width="12" bestFit="1" customWidth="1"/>
    <col min="1302" max="1302" width="13.28515625" bestFit="1" customWidth="1"/>
    <col min="1303" max="1303" width="7" bestFit="1" customWidth="1"/>
    <col min="1304" max="1304" width="12.7109375" bestFit="1" customWidth="1"/>
    <col min="1305" max="1305" width="11.5703125" bestFit="1" customWidth="1"/>
    <col min="1306" max="1306" width="10.5703125" bestFit="1" customWidth="1"/>
    <col min="1307" max="1308" width="15.7109375" bestFit="1" customWidth="1"/>
    <col min="1309" max="1309" width="11.5703125" bestFit="1" customWidth="1"/>
    <col min="1310" max="1310" width="7.7109375" bestFit="1" customWidth="1"/>
    <col min="1311" max="1311" width="15.140625" bestFit="1" customWidth="1"/>
    <col min="1312" max="1312" width="11.5703125" bestFit="1" customWidth="1"/>
    <col min="1313" max="1313" width="13.28515625" bestFit="1" customWidth="1"/>
    <col min="1314" max="1314" width="10.42578125" bestFit="1" customWidth="1"/>
    <col min="1315" max="1315" width="13.28515625" bestFit="1" customWidth="1"/>
    <col min="1316" max="1316" width="12.140625" bestFit="1" customWidth="1"/>
    <col min="1317" max="1317" width="14.42578125" bestFit="1" customWidth="1"/>
    <col min="1318" max="1318" width="13.28515625" bestFit="1" customWidth="1"/>
    <col min="1319" max="1319" width="11.5703125" bestFit="1" customWidth="1"/>
    <col min="1320" max="1320" width="7.7109375" bestFit="1" customWidth="1"/>
    <col min="1321" max="1322" width="14.42578125" bestFit="1" customWidth="1"/>
    <col min="1323" max="1323" width="11.5703125" bestFit="1" customWidth="1"/>
    <col min="1324" max="1324" width="7.7109375" bestFit="1" customWidth="1"/>
    <col min="1325" max="1325" width="13.5703125" customWidth="1"/>
    <col min="1326" max="1326" width="15.28515625" customWidth="1"/>
    <col min="1327" max="1327" width="14.5703125" customWidth="1"/>
    <col min="1328" max="1328" width="13.28515625" bestFit="1" customWidth="1"/>
    <col min="1329" max="1329" width="7.7109375" bestFit="1" customWidth="1"/>
    <col min="1330" max="1330" width="12.7109375" bestFit="1" customWidth="1"/>
    <col min="1331" max="1331" width="11.7109375" bestFit="1" customWidth="1"/>
    <col min="1332" max="1332" width="11.5703125" bestFit="1" customWidth="1"/>
    <col min="1333" max="1333" width="5.28515625" bestFit="1" customWidth="1"/>
    <col min="1334" max="1334" width="13.28515625" bestFit="1" customWidth="1"/>
    <col min="1335" max="1335" width="13.5703125" bestFit="1" customWidth="1"/>
    <col min="1336" max="1336" width="10.5703125" bestFit="1" customWidth="1"/>
    <col min="1337" max="1337" width="13.28515625" bestFit="1" customWidth="1"/>
    <col min="1338" max="1338" width="11.5703125" bestFit="1" customWidth="1"/>
    <col min="1339" max="1339" width="10.5703125" bestFit="1" customWidth="1"/>
    <col min="1340" max="1340" width="16.140625" bestFit="1" customWidth="1"/>
    <col min="1341" max="1342" width="11.28515625" bestFit="1" customWidth="1"/>
    <col min="1343" max="1343" width="13.28515625" bestFit="1" customWidth="1"/>
    <col min="1344" max="1344" width="7.7109375" bestFit="1" customWidth="1"/>
    <col min="1345" max="1348" width="9.140625" hidden="1" customWidth="1"/>
    <col min="1349" max="1349" width="10.42578125" bestFit="1" customWidth="1"/>
    <col min="1350" max="1350" width="10.5703125" bestFit="1" customWidth="1"/>
    <col min="1351" max="1351" width="10.42578125" bestFit="1" customWidth="1"/>
    <col min="1352" max="1352" width="10.5703125" bestFit="1" customWidth="1"/>
    <col min="1353" max="1353" width="9.5703125" bestFit="1" customWidth="1"/>
    <col min="1354" max="1354" width="11.5703125" bestFit="1" customWidth="1"/>
    <col min="1355" max="1355" width="10.42578125" bestFit="1" customWidth="1"/>
    <col min="1356" max="1356" width="10.85546875" customWidth="1"/>
    <col min="1357" max="1358" width="9.85546875" bestFit="1" customWidth="1"/>
    <col min="1359" max="1359" width="13.5703125" bestFit="1" customWidth="1"/>
    <col min="1360" max="1360" width="7.7109375" bestFit="1" customWidth="1"/>
    <col min="1361" max="1361" width="13.28515625" bestFit="1" customWidth="1"/>
    <col min="1362" max="1362" width="11.5703125" bestFit="1" customWidth="1"/>
    <col min="1363" max="1363" width="10.42578125" bestFit="1" customWidth="1"/>
    <col min="1364" max="1364" width="7.7109375" bestFit="1" customWidth="1"/>
    <col min="1365" max="1365" width="11.5703125" bestFit="1" customWidth="1"/>
    <col min="1366" max="1366" width="10.85546875" bestFit="1" customWidth="1"/>
    <col min="1367" max="1367" width="13.28515625" bestFit="1" customWidth="1"/>
    <col min="1368" max="1368" width="10.85546875" bestFit="1" customWidth="1"/>
    <col min="1369" max="1370" width="7.5703125" bestFit="1" customWidth="1"/>
    <col min="1371" max="1372" width="10.42578125" bestFit="1" customWidth="1"/>
    <col min="1373" max="1373" width="11.5703125" bestFit="1" customWidth="1"/>
    <col min="1374" max="1374" width="5.28515625" bestFit="1" customWidth="1"/>
    <col min="1375" max="1375" width="10.28515625" bestFit="1" customWidth="1"/>
    <col min="1376" max="1376" width="10.42578125" bestFit="1" customWidth="1"/>
    <col min="1377" max="1377" width="11.5703125" bestFit="1" customWidth="1"/>
    <col min="1378" max="1378" width="5.28515625" bestFit="1" customWidth="1"/>
    <col min="1379" max="1381" width="11.5703125" bestFit="1" customWidth="1"/>
    <col min="1382" max="1382" width="5.28515625" bestFit="1" customWidth="1"/>
    <col min="1383" max="1384" width="10.42578125" bestFit="1" customWidth="1"/>
    <col min="1385" max="1385" width="11.5703125" bestFit="1" customWidth="1"/>
    <col min="1386" max="1386" width="5.28515625" bestFit="1" customWidth="1"/>
    <col min="1387" max="1387" width="14.28515625" bestFit="1" customWidth="1"/>
    <col min="1388" max="1388" width="13" bestFit="1" customWidth="1"/>
    <col min="1389" max="1389" width="11.5703125" bestFit="1" customWidth="1"/>
    <col min="1390" max="1390" width="8.85546875" bestFit="1" customWidth="1"/>
    <col min="1391" max="1391" width="14.42578125" bestFit="1" customWidth="1"/>
    <col min="1392" max="1392" width="10.42578125" bestFit="1" customWidth="1"/>
    <col min="1393" max="1393" width="12.28515625" bestFit="1" customWidth="1"/>
    <col min="1394" max="1394" width="13.85546875" bestFit="1" customWidth="1"/>
    <col min="1395" max="1395" width="11.28515625" customWidth="1"/>
    <col min="1396" max="1396" width="11.5703125" customWidth="1"/>
    <col min="1397" max="1397" width="13.42578125" bestFit="1" customWidth="1"/>
    <col min="1398" max="1398" width="10.42578125" customWidth="1"/>
    <col min="1399" max="1399" width="13.85546875" bestFit="1" customWidth="1"/>
    <col min="1400" max="1400" width="15.42578125" bestFit="1" customWidth="1"/>
    <col min="1401" max="1401" width="12.28515625" bestFit="1" customWidth="1"/>
    <col min="1402" max="1402" width="12.7109375" customWidth="1"/>
    <col min="1403" max="1403" width="10.7109375" bestFit="1" customWidth="1"/>
    <col min="1404" max="1404" width="9.85546875" customWidth="1"/>
    <col min="1405" max="1406" width="10.140625" bestFit="1" customWidth="1"/>
    <col min="1407" max="1407" width="7.5703125" bestFit="1" customWidth="1"/>
    <col min="1408" max="1408" width="9.42578125" bestFit="1" customWidth="1"/>
    <col min="1409" max="1409" width="14.5703125" bestFit="1" customWidth="1"/>
    <col min="1410" max="1410" width="14.85546875" customWidth="1"/>
    <col min="1411" max="1411" width="15.140625" bestFit="1" customWidth="1"/>
    <col min="1412" max="1412" width="12.140625" bestFit="1" customWidth="1"/>
    <col min="1413" max="1413" width="14.85546875" bestFit="1" customWidth="1"/>
    <col min="1414" max="1414" width="12.28515625" bestFit="1" customWidth="1"/>
    <col min="1415" max="1423" width="9.140625" hidden="1" customWidth="1"/>
    <col min="1424" max="1424" width="5.28515625" bestFit="1" customWidth="1"/>
    <col min="1425" max="1430" width="11.5703125" bestFit="1" customWidth="1"/>
    <col min="1431" max="1431" width="11.28515625" bestFit="1" customWidth="1"/>
    <col min="1432" max="1432" width="10.140625" bestFit="1" customWidth="1"/>
    <col min="1433" max="1433" width="11.5703125" bestFit="1" customWidth="1"/>
    <col min="1434" max="1434" width="16.140625" customWidth="1"/>
    <col min="1435" max="1435" width="13.42578125" customWidth="1"/>
    <col min="1436" max="1436" width="10.140625" bestFit="1" customWidth="1"/>
    <col min="1437" max="1437" width="12.85546875" bestFit="1" customWidth="1"/>
    <col min="1438" max="1438" width="12.28515625" bestFit="1" customWidth="1"/>
    <col min="1439" max="1439" width="11.28515625" bestFit="1" customWidth="1"/>
    <col min="1440" max="1440" width="11.5703125" bestFit="1" customWidth="1"/>
    <col min="1441" max="1441" width="10.85546875" bestFit="1" customWidth="1"/>
    <col min="1442" max="1442" width="11.28515625" bestFit="1" customWidth="1"/>
    <col min="1443" max="1443" width="10.140625" bestFit="1" customWidth="1"/>
    <col min="1444" max="1444" width="13.28515625" bestFit="1" customWidth="1"/>
    <col min="1445" max="1446" width="12.7109375" bestFit="1" customWidth="1"/>
    <col min="1447" max="1447" width="11" bestFit="1" customWidth="1"/>
    <col min="1448" max="1448" width="11.28515625" bestFit="1" customWidth="1"/>
    <col min="1449" max="1449" width="11.5703125" bestFit="1" customWidth="1"/>
    <col min="1450" max="1450" width="12.28515625" bestFit="1" customWidth="1"/>
    <col min="1451" max="1451" width="15.140625" bestFit="1" customWidth="1"/>
    <col min="1452" max="1452" width="14.42578125" bestFit="1" customWidth="1"/>
    <col min="1453" max="1453" width="12.28515625" bestFit="1" customWidth="1"/>
    <col min="1454" max="1454" width="15.140625" bestFit="1" customWidth="1"/>
    <col min="1455" max="1455" width="14.42578125" bestFit="1" customWidth="1"/>
    <col min="1456" max="1456" width="12.28515625" bestFit="1" customWidth="1"/>
    <col min="1457" max="1457" width="14.42578125" bestFit="1" customWidth="1"/>
    <col min="1458" max="1458" width="11.28515625" bestFit="1" customWidth="1"/>
    <col min="1459" max="1459" width="12.28515625" bestFit="1" customWidth="1"/>
    <col min="1460" max="1460" width="13" bestFit="1" customWidth="1"/>
    <col min="1461" max="1461" width="15.140625" bestFit="1" customWidth="1"/>
    <col min="1462" max="1462" width="12.28515625" bestFit="1" customWidth="1"/>
    <col min="1463" max="1463" width="13.85546875" bestFit="1" customWidth="1"/>
    <col min="1464" max="1464" width="11.28515625" bestFit="1" customWidth="1"/>
    <col min="1465" max="1465" width="12.28515625" bestFit="1" customWidth="1"/>
    <col min="1466" max="1466" width="13.85546875" bestFit="1" customWidth="1"/>
    <col min="1467" max="1468" width="15.140625" bestFit="1" customWidth="1"/>
    <col min="1469" max="1469" width="12.28515625" bestFit="1" customWidth="1"/>
    <col min="1470" max="1470" width="5.7109375" bestFit="1" customWidth="1"/>
    <col min="1471" max="1471" width="8.5703125" bestFit="1" customWidth="1"/>
    <col min="1472" max="1472" width="5.5703125" bestFit="1" customWidth="1"/>
    <col min="1473" max="1473" width="14.42578125" bestFit="1" customWidth="1"/>
    <col min="1474" max="1474" width="11.28515625" bestFit="1" customWidth="1"/>
    <col min="1475" max="1476" width="12.28515625" bestFit="1" customWidth="1"/>
    <col min="1477" max="1477" width="11.28515625" bestFit="1" customWidth="1"/>
    <col min="1478" max="1478" width="13.85546875" bestFit="1" customWidth="1"/>
    <col min="1479" max="1479" width="12" bestFit="1" customWidth="1"/>
    <col min="1480" max="1480" width="13.85546875" bestFit="1" customWidth="1"/>
    <col min="1481" max="1482" width="14.42578125" customWidth="1"/>
    <col min="1483" max="1483" width="10.140625" bestFit="1" customWidth="1"/>
    <col min="1484" max="1484" width="12.28515625" bestFit="1" customWidth="1"/>
    <col min="1485" max="1485" width="7.42578125" bestFit="1" customWidth="1"/>
    <col min="1486" max="1486" width="8.5703125" bestFit="1" customWidth="1"/>
    <col min="1487" max="1487" width="11.5703125" bestFit="1" customWidth="1"/>
    <col min="1488" max="1488" width="13.28515625" bestFit="1" customWidth="1"/>
    <col min="1489" max="1489" width="13.28515625" customWidth="1"/>
    <col min="1490" max="1490" width="13.140625" customWidth="1"/>
    <col min="1491" max="1491" width="12.7109375" bestFit="1" customWidth="1"/>
    <col min="1492" max="1492" width="13.28515625" bestFit="1" customWidth="1"/>
    <col min="1493" max="1495" width="13.28515625" customWidth="1"/>
    <col min="1496" max="1496" width="12.140625" bestFit="1" customWidth="1"/>
    <col min="1497" max="1497" width="12.7109375" bestFit="1" customWidth="1"/>
    <col min="1498" max="1498" width="11" customWidth="1"/>
    <col min="1499" max="1499" width="16.7109375" customWidth="1"/>
    <col min="1500" max="1500" width="17" customWidth="1"/>
    <col min="1501" max="1501" width="10.42578125" bestFit="1" customWidth="1"/>
    <col min="1545" max="1545" width="3.85546875" customWidth="1"/>
    <col min="1546" max="1546" width="15.28515625" bestFit="1" customWidth="1"/>
    <col min="1547" max="1547" width="12.28515625" customWidth="1"/>
    <col min="1548" max="1548" width="16.28515625" bestFit="1" customWidth="1"/>
    <col min="1549" max="1549" width="6.42578125" bestFit="1" customWidth="1"/>
    <col min="1550" max="1550" width="9.28515625" bestFit="1" customWidth="1"/>
    <col min="1551" max="1551" width="7.5703125" bestFit="1" customWidth="1"/>
    <col min="1552" max="1552" width="13.28515625" bestFit="1" customWidth="1"/>
    <col min="1553" max="1553" width="9.28515625" bestFit="1" customWidth="1"/>
    <col min="1554" max="1554" width="11.5703125" bestFit="1" customWidth="1"/>
    <col min="1555" max="1555" width="13.28515625" bestFit="1" customWidth="1"/>
    <col min="1556" max="1556" width="7.140625" bestFit="1" customWidth="1"/>
    <col min="1557" max="1557" width="12" bestFit="1" customWidth="1"/>
    <col min="1558" max="1558" width="13.28515625" bestFit="1" customWidth="1"/>
    <col min="1559" max="1559" width="7" bestFit="1" customWidth="1"/>
    <col min="1560" max="1560" width="12.7109375" bestFit="1" customWidth="1"/>
    <col min="1561" max="1561" width="11.5703125" bestFit="1" customWidth="1"/>
    <col min="1562" max="1562" width="10.5703125" bestFit="1" customWidth="1"/>
    <col min="1563" max="1564" width="15.7109375" bestFit="1" customWidth="1"/>
    <col min="1565" max="1565" width="11.5703125" bestFit="1" customWidth="1"/>
    <col min="1566" max="1566" width="7.7109375" bestFit="1" customWidth="1"/>
    <col min="1567" max="1567" width="15.140625" bestFit="1" customWidth="1"/>
    <col min="1568" max="1568" width="11.5703125" bestFit="1" customWidth="1"/>
    <col min="1569" max="1569" width="13.28515625" bestFit="1" customWidth="1"/>
    <col min="1570" max="1570" width="10.42578125" bestFit="1" customWidth="1"/>
    <col min="1571" max="1571" width="13.28515625" bestFit="1" customWidth="1"/>
    <col min="1572" max="1572" width="12.140625" bestFit="1" customWidth="1"/>
    <col min="1573" max="1573" width="14.42578125" bestFit="1" customWidth="1"/>
    <col min="1574" max="1574" width="13.28515625" bestFit="1" customWidth="1"/>
    <col min="1575" max="1575" width="11.5703125" bestFit="1" customWidth="1"/>
    <col min="1576" max="1576" width="7.7109375" bestFit="1" customWidth="1"/>
    <col min="1577" max="1578" width="14.42578125" bestFit="1" customWidth="1"/>
    <col min="1579" max="1579" width="11.5703125" bestFit="1" customWidth="1"/>
    <col min="1580" max="1580" width="7.7109375" bestFit="1" customWidth="1"/>
    <col min="1581" max="1581" width="13.5703125" customWidth="1"/>
    <col min="1582" max="1582" width="15.28515625" customWidth="1"/>
    <col min="1583" max="1583" width="14.5703125" customWidth="1"/>
    <col min="1584" max="1584" width="13.28515625" bestFit="1" customWidth="1"/>
    <col min="1585" max="1585" width="7.7109375" bestFit="1" customWidth="1"/>
    <col min="1586" max="1586" width="12.7109375" bestFit="1" customWidth="1"/>
    <col min="1587" max="1587" width="11.7109375" bestFit="1" customWidth="1"/>
    <col min="1588" max="1588" width="11.5703125" bestFit="1" customWidth="1"/>
    <col min="1589" max="1589" width="5.28515625" bestFit="1" customWidth="1"/>
    <col min="1590" max="1590" width="13.28515625" bestFit="1" customWidth="1"/>
    <col min="1591" max="1591" width="13.5703125" bestFit="1" customWidth="1"/>
    <col min="1592" max="1592" width="10.5703125" bestFit="1" customWidth="1"/>
    <col min="1593" max="1593" width="13.28515625" bestFit="1" customWidth="1"/>
    <col min="1594" max="1594" width="11.5703125" bestFit="1" customWidth="1"/>
    <col min="1595" max="1595" width="10.5703125" bestFit="1" customWidth="1"/>
    <col min="1596" max="1596" width="16.140625" bestFit="1" customWidth="1"/>
    <col min="1597" max="1598" width="11.28515625" bestFit="1" customWidth="1"/>
    <col min="1599" max="1599" width="13.28515625" bestFit="1" customWidth="1"/>
    <col min="1600" max="1600" width="7.7109375" bestFit="1" customWidth="1"/>
    <col min="1601" max="1604" width="9.140625" hidden="1" customWidth="1"/>
    <col min="1605" max="1605" width="10.42578125" bestFit="1" customWidth="1"/>
    <col min="1606" max="1606" width="10.5703125" bestFit="1" customWidth="1"/>
    <col min="1607" max="1607" width="10.42578125" bestFit="1" customWidth="1"/>
    <col min="1608" max="1608" width="10.5703125" bestFit="1" customWidth="1"/>
    <col min="1609" max="1609" width="9.5703125" bestFit="1" customWidth="1"/>
    <col min="1610" max="1610" width="11.5703125" bestFit="1" customWidth="1"/>
    <col min="1611" max="1611" width="10.42578125" bestFit="1" customWidth="1"/>
    <col min="1612" max="1612" width="10.85546875" customWidth="1"/>
    <col min="1613" max="1614" width="9.85546875" bestFit="1" customWidth="1"/>
    <col min="1615" max="1615" width="13.5703125" bestFit="1" customWidth="1"/>
    <col min="1616" max="1616" width="7.7109375" bestFit="1" customWidth="1"/>
    <col min="1617" max="1617" width="13.28515625" bestFit="1" customWidth="1"/>
    <col min="1618" max="1618" width="11.5703125" bestFit="1" customWidth="1"/>
    <col min="1619" max="1619" width="10.42578125" bestFit="1" customWidth="1"/>
    <col min="1620" max="1620" width="7.7109375" bestFit="1" customWidth="1"/>
    <col min="1621" max="1621" width="11.5703125" bestFit="1" customWidth="1"/>
    <col min="1622" max="1622" width="10.85546875" bestFit="1" customWidth="1"/>
    <col min="1623" max="1623" width="13.28515625" bestFit="1" customWidth="1"/>
    <col min="1624" max="1624" width="10.85546875" bestFit="1" customWidth="1"/>
    <col min="1625" max="1626" width="7.5703125" bestFit="1" customWidth="1"/>
    <col min="1627" max="1628" width="10.42578125" bestFit="1" customWidth="1"/>
    <col min="1629" max="1629" width="11.5703125" bestFit="1" customWidth="1"/>
    <col min="1630" max="1630" width="5.28515625" bestFit="1" customWidth="1"/>
    <col min="1631" max="1631" width="10.28515625" bestFit="1" customWidth="1"/>
    <col min="1632" max="1632" width="10.42578125" bestFit="1" customWidth="1"/>
    <col min="1633" max="1633" width="11.5703125" bestFit="1" customWidth="1"/>
    <col min="1634" max="1634" width="5.28515625" bestFit="1" customWidth="1"/>
    <col min="1635" max="1637" width="11.5703125" bestFit="1" customWidth="1"/>
    <col min="1638" max="1638" width="5.28515625" bestFit="1" customWidth="1"/>
    <col min="1639" max="1640" width="10.42578125" bestFit="1" customWidth="1"/>
    <col min="1641" max="1641" width="11.5703125" bestFit="1" customWidth="1"/>
    <col min="1642" max="1642" width="5.28515625" bestFit="1" customWidth="1"/>
    <col min="1643" max="1643" width="14.28515625" bestFit="1" customWidth="1"/>
    <col min="1644" max="1644" width="13" bestFit="1" customWidth="1"/>
    <col min="1645" max="1645" width="11.5703125" bestFit="1" customWidth="1"/>
    <col min="1646" max="1646" width="8.85546875" bestFit="1" customWidth="1"/>
    <col min="1647" max="1647" width="14.42578125" bestFit="1" customWidth="1"/>
    <col min="1648" max="1648" width="10.42578125" bestFit="1" customWidth="1"/>
    <col min="1649" max="1649" width="12.28515625" bestFit="1" customWidth="1"/>
    <col min="1650" max="1650" width="13.85546875" bestFit="1" customWidth="1"/>
    <col min="1651" max="1651" width="11.28515625" customWidth="1"/>
    <col min="1652" max="1652" width="11.5703125" customWidth="1"/>
    <col min="1653" max="1653" width="13.42578125" bestFit="1" customWidth="1"/>
    <col min="1654" max="1654" width="10.42578125" customWidth="1"/>
    <col min="1655" max="1655" width="13.85546875" bestFit="1" customWidth="1"/>
    <col min="1656" max="1656" width="15.42578125" bestFit="1" customWidth="1"/>
    <col min="1657" max="1657" width="12.28515625" bestFit="1" customWidth="1"/>
    <col min="1658" max="1658" width="12.7109375" customWidth="1"/>
    <col min="1659" max="1659" width="10.7109375" bestFit="1" customWidth="1"/>
    <col min="1660" max="1660" width="9.85546875" customWidth="1"/>
    <col min="1661" max="1662" width="10.140625" bestFit="1" customWidth="1"/>
    <col min="1663" max="1663" width="7.5703125" bestFit="1" customWidth="1"/>
    <col min="1664" max="1664" width="9.42578125" bestFit="1" customWidth="1"/>
    <col min="1665" max="1665" width="14.5703125" bestFit="1" customWidth="1"/>
    <col min="1666" max="1666" width="14.85546875" customWidth="1"/>
    <col min="1667" max="1667" width="15.140625" bestFit="1" customWidth="1"/>
    <col min="1668" max="1668" width="12.140625" bestFit="1" customWidth="1"/>
    <col min="1669" max="1669" width="14.85546875" bestFit="1" customWidth="1"/>
    <col min="1670" max="1670" width="12.28515625" bestFit="1" customWidth="1"/>
    <col min="1671" max="1679" width="9.140625" hidden="1" customWidth="1"/>
    <col min="1680" max="1680" width="5.28515625" bestFit="1" customWidth="1"/>
    <col min="1681" max="1686" width="11.5703125" bestFit="1" customWidth="1"/>
    <col min="1687" max="1687" width="11.28515625" bestFit="1" customWidth="1"/>
    <col min="1688" max="1688" width="10.140625" bestFit="1" customWidth="1"/>
    <col min="1689" max="1689" width="11.5703125" bestFit="1" customWidth="1"/>
    <col min="1690" max="1690" width="16.140625" customWidth="1"/>
    <col min="1691" max="1691" width="13.42578125" customWidth="1"/>
    <col min="1692" max="1692" width="10.140625" bestFit="1" customWidth="1"/>
    <col min="1693" max="1693" width="12.85546875" bestFit="1" customWidth="1"/>
    <col min="1694" max="1694" width="12.28515625" bestFit="1" customWidth="1"/>
    <col min="1695" max="1695" width="11.28515625" bestFit="1" customWidth="1"/>
    <col min="1696" max="1696" width="11.5703125" bestFit="1" customWidth="1"/>
    <col min="1697" max="1697" width="10.85546875" bestFit="1" customWidth="1"/>
    <col min="1698" max="1698" width="11.28515625" bestFit="1" customWidth="1"/>
    <col min="1699" max="1699" width="10.140625" bestFit="1" customWidth="1"/>
    <col min="1700" max="1700" width="13.28515625" bestFit="1" customWidth="1"/>
    <col min="1701" max="1702" width="12.7109375" bestFit="1" customWidth="1"/>
    <col min="1703" max="1703" width="11" bestFit="1" customWidth="1"/>
    <col min="1704" max="1704" width="11.28515625" bestFit="1" customWidth="1"/>
    <col min="1705" max="1705" width="11.5703125" bestFit="1" customWidth="1"/>
    <col min="1706" max="1706" width="12.28515625" bestFit="1" customWidth="1"/>
    <col min="1707" max="1707" width="15.140625" bestFit="1" customWidth="1"/>
    <col min="1708" max="1708" width="14.42578125" bestFit="1" customWidth="1"/>
    <col min="1709" max="1709" width="12.28515625" bestFit="1" customWidth="1"/>
    <col min="1710" max="1710" width="15.140625" bestFit="1" customWidth="1"/>
    <col min="1711" max="1711" width="14.42578125" bestFit="1" customWidth="1"/>
    <col min="1712" max="1712" width="12.28515625" bestFit="1" customWidth="1"/>
    <col min="1713" max="1713" width="14.42578125" bestFit="1" customWidth="1"/>
    <col min="1714" max="1714" width="11.28515625" bestFit="1" customWidth="1"/>
    <col min="1715" max="1715" width="12.28515625" bestFit="1" customWidth="1"/>
    <col min="1716" max="1716" width="13" bestFit="1" customWidth="1"/>
    <col min="1717" max="1717" width="15.140625" bestFit="1" customWidth="1"/>
    <col min="1718" max="1718" width="12.28515625" bestFit="1" customWidth="1"/>
    <col min="1719" max="1719" width="13.85546875" bestFit="1" customWidth="1"/>
    <col min="1720" max="1720" width="11.28515625" bestFit="1" customWidth="1"/>
    <col min="1721" max="1721" width="12.28515625" bestFit="1" customWidth="1"/>
    <col min="1722" max="1722" width="13.85546875" bestFit="1" customWidth="1"/>
    <col min="1723" max="1724" width="15.140625" bestFit="1" customWidth="1"/>
    <col min="1725" max="1725" width="12.28515625" bestFit="1" customWidth="1"/>
    <col min="1726" max="1726" width="5.7109375" bestFit="1" customWidth="1"/>
    <col min="1727" max="1727" width="8.5703125" bestFit="1" customWidth="1"/>
    <col min="1728" max="1728" width="5.5703125" bestFit="1" customWidth="1"/>
    <col min="1729" max="1729" width="14.42578125" bestFit="1" customWidth="1"/>
    <col min="1730" max="1730" width="11.28515625" bestFit="1" customWidth="1"/>
    <col min="1731" max="1732" width="12.28515625" bestFit="1" customWidth="1"/>
    <col min="1733" max="1733" width="11.28515625" bestFit="1" customWidth="1"/>
    <col min="1734" max="1734" width="13.85546875" bestFit="1" customWidth="1"/>
    <col min="1735" max="1735" width="12" bestFit="1" customWidth="1"/>
    <col min="1736" max="1736" width="13.85546875" bestFit="1" customWidth="1"/>
    <col min="1737" max="1738" width="14.42578125" customWidth="1"/>
    <col min="1739" max="1739" width="10.140625" bestFit="1" customWidth="1"/>
    <col min="1740" max="1740" width="12.28515625" bestFit="1" customWidth="1"/>
    <col min="1741" max="1741" width="7.42578125" bestFit="1" customWidth="1"/>
    <col min="1742" max="1742" width="8.5703125" bestFit="1" customWidth="1"/>
    <col min="1743" max="1743" width="11.5703125" bestFit="1" customWidth="1"/>
    <col min="1744" max="1744" width="13.28515625" bestFit="1" customWidth="1"/>
    <col min="1745" max="1745" width="13.28515625" customWidth="1"/>
    <col min="1746" max="1746" width="13.140625" customWidth="1"/>
    <col min="1747" max="1747" width="12.7109375" bestFit="1" customWidth="1"/>
    <col min="1748" max="1748" width="13.28515625" bestFit="1" customWidth="1"/>
    <col min="1749" max="1751" width="13.28515625" customWidth="1"/>
    <col min="1752" max="1752" width="12.140625" bestFit="1" customWidth="1"/>
    <col min="1753" max="1753" width="12.7109375" bestFit="1" customWidth="1"/>
    <col min="1754" max="1754" width="11" customWidth="1"/>
    <col min="1755" max="1755" width="16.7109375" customWidth="1"/>
    <col min="1756" max="1756" width="17" customWidth="1"/>
    <col min="1757" max="1757" width="10.42578125" bestFit="1" customWidth="1"/>
    <col min="1801" max="1801" width="3.85546875" customWidth="1"/>
    <col min="1802" max="1802" width="15.28515625" bestFit="1" customWidth="1"/>
    <col min="1803" max="1803" width="12.28515625" customWidth="1"/>
    <col min="1804" max="1804" width="16.28515625" bestFit="1" customWidth="1"/>
    <col min="1805" max="1805" width="6.42578125" bestFit="1" customWidth="1"/>
    <col min="1806" max="1806" width="9.28515625" bestFit="1" customWidth="1"/>
    <col min="1807" max="1807" width="7.5703125" bestFit="1" customWidth="1"/>
    <col min="1808" max="1808" width="13.28515625" bestFit="1" customWidth="1"/>
    <col min="1809" max="1809" width="9.28515625" bestFit="1" customWidth="1"/>
    <col min="1810" max="1810" width="11.5703125" bestFit="1" customWidth="1"/>
    <col min="1811" max="1811" width="13.28515625" bestFit="1" customWidth="1"/>
    <col min="1812" max="1812" width="7.140625" bestFit="1" customWidth="1"/>
    <col min="1813" max="1813" width="12" bestFit="1" customWidth="1"/>
    <col min="1814" max="1814" width="13.28515625" bestFit="1" customWidth="1"/>
    <col min="1815" max="1815" width="7" bestFit="1" customWidth="1"/>
    <col min="1816" max="1816" width="12.7109375" bestFit="1" customWidth="1"/>
    <col min="1817" max="1817" width="11.5703125" bestFit="1" customWidth="1"/>
    <col min="1818" max="1818" width="10.5703125" bestFit="1" customWidth="1"/>
    <col min="1819" max="1820" width="15.7109375" bestFit="1" customWidth="1"/>
    <col min="1821" max="1821" width="11.5703125" bestFit="1" customWidth="1"/>
    <col min="1822" max="1822" width="7.7109375" bestFit="1" customWidth="1"/>
    <col min="1823" max="1823" width="15.140625" bestFit="1" customWidth="1"/>
    <col min="1824" max="1824" width="11.5703125" bestFit="1" customWidth="1"/>
    <col min="1825" max="1825" width="13.28515625" bestFit="1" customWidth="1"/>
    <col min="1826" max="1826" width="10.42578125" bestFit="1" customWidth="1"/>
    <col min="1827" max="1827" width="13.28515625" bestFit="1" customWidth="1"/>
    <col min="1828" max="1828" width="12.140625" bestFit="1" customWidth="1"/>
    <col min="1829" max="1829" width="14.42578125" bestFit="1" customWidth="1"/>
    <col min="1830" max="1830" width="13.28515625" bestFit="1" customWidth="1"/>
    <col min="1831" max="1831" width="11.5703125" bestFit="1" customWidth="1"/>
    <col min="1832" max="1832" width="7.7109375" bestFit="1" customWidth="1"/>
    <col min="1833" max="1834" width="14.42578125" bestFit="1" customWidth="1"/>
    <col min="1835" max="1835" width="11.5703125" bestFit="1" customWidth="1"/>
    <col min="1836" max="1836" width="7.7109375" bestFit="1" customWidth="1"/>
    <col min="1837" max="1837" width="13.5703125" customWidth="1"/>
    <col min="1838" max="1838" width="15.28515625" customWidth="1"/>
    <col min="1839" max="1839" width="14.5703125" customWidth="1"/>
    <col min="1840" max="1840" width="13.28515625" bestFit="1" customWidth="1"/>
    <col min="1841" max="1841" width="7.7109375" bestFit="1" customWidth="1"/>
    <col min="1842" max="1842" width="12.7109375" bestFit="1" customWidth="1"/>
    <col min="1843" max="1843" width="11.7109375" bestFit="1" customWidth="1"/>
    <col min="1844" max="1844" width="11.5703125" bestFit="1" customWidth="1"/>
    <col min="1845" max="1845" width="5.28515625" bestFit="1" customWidth="1"/>
    <col min="1846" max="1846" width="13.28515625" bestFit="1" customWidth="1"/>
    <col min="1847" max="1847" width="13.5703125" bestFit="1" customWidth="1"/>
    <col min="1848" max="1848" width="10.5703125" bestFit="1" customWidth="1"/>
    <col min="1849" max="1849" width="13.28515625" bestFit="1" customWidth="1"/>
    <col min="1850" max="1850" width="11.5703125" bestFit="1" customWidth="1"/>
    <col min="1851" max="1851" width="10.5703125" bestFit="1" customWidth="1"/>
    <col min="1852" max="1852" width="16.140625" bestFit="1" customWidth="1"/>
    <col min="1853" max="1854" width="11.28515625" bestFit="1" customWidth="1"/>
    <col min="1855" max="1855" width="13.28515625" bestFit="1" customWidth="1"/>
    <col min="1856" max="1856" width="7.7109375" bestFit="1" customWidth="1"/>
    <col min="1857" max="1860" width="9.140625" hidden="1" customWidth="1"/>
    <col min="1861" max="1861" width="10.42578125" bestFit="1" customWidth="1"/>
    <col min="1862" max="1862" width="10.5703125" bestFit="1" customWidth="1"/>
    <col min="1863" max="1863" width="10.42578125" bestFit="1" customWidth="1"/>
    <col min="1864" max="1864" width="10.5703125" bestFit="1" customWidth="1"/>
    <col min="1865" max="1865" width="9.5703125" bestFit="1" customWidth="1"/>
    <col min="1866" max="1866" width="11.5703125" bestFit="1" customWidth="1"/>
    <col min="1867" max="1867" width="10.42578125" bestFit="1" customWidth="1"/>
    <col min="1868" max="1868" width="10.85546875" customWidth="1"/>
    <col min="1869" max="1870" width="9.85546875" bestFit="1" customWidth="1"/>
    <col min="1871" max="1871" width="13.5703125" bestFit="1" customWidth="1"/>
    <col min="1872" max="1872" width="7.7109375" bestFit="1" customWidth="1"/>
    <col min="1873" max="1873" width="13.28515625" bestFit="1" customWidth="1"/>
    <col min="1874" max="1874" width="11.5703125" bestFit="1" customWidth="1"/>
    <col min="1875" max="1875" width="10.42578125" bestFit="1" customWidth="1"/>
    <col min="1876" max="1876" width="7.7109375" bestFit="1" customWidth="1"/>
    <col min="1877" max="1877" width="11.5703125" bestFit="1" customWidth="1"/>
    <col min="1878" max="1878" width="10.85546875" bestFit="1" customWidth="1"/>
    <col min="1879" max="1879" width="13.28515625" bestFit="1" customWidth="1"/>
    <col min="1880" max="1880" width="10.85546875" bestFit="1" customWidth="1"/>
    <col min="1881" max="1882" width="7.5703125" bestFit="1" customWidth="1"/>
    <col min="1883" max="1884" width="10.42578125" bestFit="1" customWidth="1"/>
    <col min="1885" max="1885" width="11.5703125" bestFit="1" customWidth="1"/>
    <col min="1886" max="1886" width="5.28515625" bestFit="1" customWidth="1"/>
    <col min="1887" max="1887" width="10.28515625" bestFit="1" customWidth="1"/>
    <col min="1888" max="1888" width="10.42578125" bestFit="1" customWidth="1"/>
    <col min="1889" max="1889" width="11.5703125" bestFit="1" customWidth="1"/>
    <col min="1890" max="1890" width="5.28515625" bestFit="1" customWidth="1"/>
    <col min="1891" max="1893" width="11.5703125" bestFit="1" customWidth="1"/>
    <col min="1894" max="1894" width="5.28515625" bestFit="1" customWidth="1"/>
    <col min="1895" max="1896" width="10.42578125" bestFit="1" customWidth="1"/>
    <col min="1897" max="1897" width="11.5703125" bestFit="1" customWidth="1"/>
    <col min="1898" max="1898" width="5.28515625" bestFit="1" customWidth="1"/>
    <col min="1899" max="1899" width="14.28515625" bestFit="1" customWidth="1"/>
    <col min="1900" max="1900" width="13" bestFit="1" customWidth="1"/>
    <col min="1901" max="1901" width="11.5703125" bestFit="1" customWidth="1"/>
    <col min="1902" max="1902" width="8.85546875" bestFit="1" customWidth="1"/>
    <col min="1903" max="1903" width="14.42578125" bestFit="1" customWidth="1"/>
    <col min="1904" max="1904" width="10.42578125" bestFit="1" customWidth="1"/>
    <col min="1905" max="1905" width="12.28515625" bestFit="1" customWidth="1"/>
    <col min="1906" max="1906" width="13.85546875" bestFit="1" customWidth="1"/>
    <col min="1907" max="1907" width="11.28515625" customWidth="1"/>
    <col min="1908" max="1908" width="11.5703125" customWidth="1"/>
    <col min="1909" max="1909" width="13.42578125" bestFit="1" customWidth="1"/>
    <col min="1910" max="1910" width="10.42578125" customWidth="1"/>
    <col min="1911" max="1911" width="13.85546875" bestFit="1" customWidth="1"/>
    <col min="1912" max="1912" width="15.42578125" bestFit="1" customWidth="1"/>
    <col min="1913" max="1913" width="12.28515625" bestFit="1" customWidth="1"/>
    <col min="1914" max="1914" width="12.7109375" customWidth="1"/>
    <col min="1915" max="1915" width="10.7109375" bestFit="1" customWidth="1"/>
    <col min="1916" max="1916" width="9.85546875" customWidth="1"/>
    <col min="1917" max="1918" width="10.140625" bestFit="1" customWidth="1"/>
    <col min="1919" max="1919" width="7.5703125" bestFit="1" customWidth="1"/>
    <col min="1920" max="1920" width="9.42578125" bestFit="1" customWidth="1"/>
    <col min="1921" max="1921" width="14.5703125" bestFit="1" customWidth="1"/>
    <col min="1922" max="1922" width="14.85546875" customWidth="1"/>
    <col min="1923" max="1923" width="15.140625" bestFit="1" customWidth="1"/>
    <col min="1924" max="1924" width="12.140625" bestFit="1" customWidth="1"/>
    <col min="1925" max="1925" width="14.85546875" bestFit="1" customWidth="1"/>
    <col min="1926" max="1926" width="12.28515625" bestFit="1" customWidth="1"/>
    <col min="1927" max="1935" width="9.140625" hidden="1" customWidth="1"/>
    <col min="1936" max="1936" width="5.28515625" bestFit="1" customWidth="1"/>
    <col min="1937" max="1942" width="11.5703125" bestFit="1" customWidth="1"/>
    <col min="1943" max="1943" width="11.28515625" bestFit="1" customWidth="1"/>
    <col min="1944" max="1944" width="10.140625" bestFit="1" customWidth="1"/>
    <col min="1945" max="1945" width="11.5703125" bestFit="1" customWidth="1"/>
    <col min="1946" max="1946" width="16.140625" customWidth="1"/>
    <col min="1947" max="1947" width="13.42578125" customWidth="1"/>
    <col min="1948" max="1948" width="10.140625" bestFit="1" customWidth="1"/>
    <col min="1949" max="1949" width="12.85546875" bestFit="1" customWidth="1"/>
    <col min="1950" max="1950" width="12.28515625" bestFit="1" customWidth="1"/>
    <col min="1951" max="1951" width="11.28515625" bestFit="1" customWidth="1"/>
    <col min="1952" max="1952" width="11.5703125" bestFit="1" customWidth="1"/>
    <col min="1953" max="1953" width="10.85546875" bestFit="1" customWidth="1"/>
    <col min="1954" max="1954" width="11.28515625" bestFit="1" customWidth="1"/>
    <col min="1955" max="1955" width="10.140625" bestFit="1" customWidth="1"/>
    <col min="1956" max="1956" width="13.28515625" bestFit="1" customWidth="1"/>
    <col min="1957" max="1958" width="12.7109375" bestFit="1" customWidth="1"/>
    <col min="1959" max="1959" width="11" bestFit="1" customWidth="1"/>
    <col min="1960" max="1960" width="11.28515625" bestFit="1" customWidth="1"/>
    <col min="1961" max="1961" width="11.5703125" bestFit="1" customWidth="1"/>
    <col min="1962" max="1962" width="12.28515625" bestFit="1" customWidth="1"/>
    <col min="1963" max="1963" width="15.140625" bestFit="1" customWidth="1"/>
    <col min="1964" max="1964" width="14.42578125" bestFit="1" customWidth="1"/>
    <col min="1965" max="1965" width="12.28515625" bestFit="1" customWidth="1"/>
    <col min="1966" max="1966" width="15.140625" bestFit="1" customWidth="1"/>
    <col min="1967" max="1967" width="14.42578125" bestFit="1" customWidth="1"/>
    <col min="1968" max="1968" width="12.28515625" bestFit="1" customWidth="1"/>
    <col min="1969" max="1969" width="14.42578125" bestFit="1" customWidth="1"/>
    <col min="1970" max="1970" width="11.28515625" bestFit="1" customWidth="1"/>
    <col min="1971" max="1971" width="12.28515625" bestFit="1" customWidth="1"/>
    <col min="1972" max="1972" width="13" bestFit="1" customWidth="1"/>
    <col min="1973" max="1973" width="15.140625" bestFit="1" customWidth="1"/>
    <col min="1974" max="1974" width="12.28515625" bestFit="1" customWidth="1"/>
    <col min="1975" max="1975" width="13.85546875" bestFit="1" customWidth="1"/>
    <col min="1976" max="1976" width="11.28515625" bestFit="1" customWidth="1"/>
    <col min="1977" max="1977" width="12.28515625" bestFit="1" customWidth="1"/>
    <col min="1978" max="1978" width="13.85546875" bestFit="1" customWidth="1"/>
    <col min="1979" max="1980" width="15.140625" bestFit="1" customWidth="1"/>
    <col min="1981" max="1981" width="12.28515625" bestFit="1" customWidth="1"/>
    <col min="1982" max="1982" width="5.7109375" bestFit="1" customWidth="1"/>
    <col min="1983" max="1983" width="8.5703125" bestFit="1" customWidth="1"/>
    <col min="1984" max="1984" width="5.5703125" bestFit="1" customWidth="1"/>
    <col min="1985" max="1985" width="14.42578125" bestFit="1" customWidth="1"/>
    <col min="1986" max="1986" width="11.28515625" bestFit="1" customWidth="1"/>
    <col min="1987" max="1988" width="12.28515625" bestFit="1" customWidth="1"/>
    <col min="1989" max="1989" width="11.28515625" bestFit="1" customWidth="1"/>
    <col min="1990" max="1990" width="13.85546875" bestFit="1" customWidth="1"/>
    <col min="1991" max="1991" width="12" bestFit="1" customWidth="1"/>
    <col min="1992" max="1992" width="13.85546875" bestFit="1" customWidth="1"/>
    <col min="1993" max="1994" width="14.42578125" customWidth="1"/>
    <col min="1995" max="1995" width="10.140625" bestFit="1" customWidth="1"/>
    <col min="1996" max="1996" width="12.28515625" bestFit="1" customWidth="1"/>
    <col min="1997" max="1997" width="7.42578125" bestFit="1" customWidth="1"/>
    <col min="1998" max="1998" width="8.5703125" bestFit="1" customWidth="1"/>
    <col min="1999" max="1999" width="11.5703125" bestFit="1" customWidth="1"/>
    <col min="2000" max="2000" width="13.28515625" bestFit="1" customWidth="1"/>
    <col min="2001" max="2001" width="13.28515625" customWidth="1"/>
    <col min="2002" max="2002" width="13.140625" customWidth="1"/>
    <col min="2003" max="2003" width="12.7109375" bestFit="1" customWidth="1"/>
    <col min="2004" max="2004" width="13.28515625" bestFit="1" customWidth="1"/>
    <col min="2005" max="2007" width="13.28515625" customWidth="1"/>
    <col min="2008" max="2008" width="12.140625" bestFit="1" customWidth="1"/>
    <col min="2009" max="2009" width="12.7109375" bestFit="1" customWidth="1"/>
    <col min="2010" max="2010" width="11" customWidth="1"/>
    <col min="2011" max="2011" width="16.7109375" customWidth="1"/>
    <col min="2012" max="2012" width="17" customWidth="1"/>
    <col min="2013" max="2013" width="10.42578125" bestFit="1" customWidth="1"/>
    <col min="2057" max="2057" width="3.85546875" customWidth="1"/>
    <col min="2058" max="2058" width="15.28515625" bestFit="1" customWidth="1"/>
    <col min="2059" max="2059" width="12.28515625" customWidth="1"/>
    <col min="2060" max="2060" width="16.28515625" bestFit="1" customWidth="1"/>
    <col min="2061" max="2061" width="6.42578125" bestFit="1" customWidth="1"/>
    <col min="2062" max="2062" width="9.28515625" bestFit="1" customWidth="1"/>
    <col min="2063" max="2063" width="7.5703125" bestFit="1" customWidth="1"/>
    <col min="2064" max="2064" width="13.28515625" bestFit="1" customWidth="1"/>
    <col min="2065" max="2065" width="9.28515625" bestFit="1" customWidth="1"/>
    <col min="2066" max="2066" width="11.5703125" bestFit="1" customWidth="1"/>
    <col min="2067" max="2067" width="13.28515625" bestFit="1" customWidth="1"/>
    <col min="2068" max="2068" width="7.140625" bestFit="1" customWidth="1"/>
    <col min="2069" max="2069" width="12" bestFit="1" customWidth="1"/>
    <col min="2070" max="2070" width="13.28515625" bestFit="1" customWidth="1"/>
    <col min="2071" max="2071" width="7" bestFit="1" customWidth="1"/>
    <col min="2072" max="2072" width="12.7109375" bestFit="1" customWidth="1"/>
    <col min="2073" max="2073" width="11.5703125" bestFit="1" customWidth="1"/>
    <col min="2074" max="2074" width="10.5703125" bestFit="1" customWidth="1"/>
    <col min="2075" max="2076" width="15.7109375" bestFit="1" customWidth="1"/>
    <col min="2077" max="2077" width="11.5703125" bestFit="1" customWidth="1"/>
    <col min="2078" max="2078" width="7.7109375" bestFit="1" customWidth="1"/>
    <col min="2079" max="2079" width="15.140625" bestFit="1" customWidth="1"/>
    <col min="2080" max="2080" width="11.5703125" bestFit="1" customWidth="1"/>
    <col min="2081" max="2081" width="13.28515625" bestFit="1" customWidth="1"/>
    <col min="2082" max="2082" width="10.42578125" bestFit="1" customWidth="1"/>
    <col min="2083" max="2083" width="13.28515625" bestFit="1" customWidth="1"/>
    <col min="2084" max="2084" width="12.140625" bestFit="1" customWidth="1"/>
    <col min="2085" max="2085" width="14.42578125" bestFit="1" customWidth="1"/>
    <col min="2086" max="2086" width="13.28515625" bestFit="1" customWidth="1"/>
    <col min="2087" max="2087" width="11.5703125" bestFit="1" customWidth="1"/>
    <col min="2088" max="2088" width="7.7109375" bestFit="1" customWidth="1"/>
    <col min="2089" max="2090" width="14.42578125" bestFit="1" customWidth="1"/>
    <col min="2091" max="2091" width="11.5703125" bestFit="1" customWidth="1"/>
    <col min="2092" max="2092" width="7.7109375" bestFit="1" customWidth="1"/>
    <col min="2093" max="2093" width="13.5703125" customWidth="1"/>
    <col min="2094" max="2094" width="15.28515625" customWidth="1"/>
    <col min="2095" max="2095" width="14.5703125" customWidth="1"/>
    <col min="2096" max="2096" width="13.28515625" bestFit="1" customWidth="1"/>
    <col min="2097" max="2097" width="7.7109375" bestFit="1" customWidth="1"/>
    <col min="2098" max="2098" width="12.7109375" bestFit="1" customWidth="1"/>
    <col min="2099" max="2099" width="11.7109375" bestFit="1" customWidth="1"/>
    <col min="2100" max="2100" width="11.5703125" bestFit="1" customWidth="1"/>
    <col min="2101" max="2101" width="5.28515625" bestFit="1" customWidth="1"/>
    <col min="2102" max="2102" width="13.28515625" bestFit="1" customWidth="1"/>
    <col min="2103" max="2103" width="13.5703125" bestFit="1" customWidth="1"/>
    <col min="2104" max="2104" width="10.5703125" bestFit="1" customWidth="1"/>
    <col min="2105" max="2105" width="13.28515625" bestFit="1" customWidth="1"/>
    <col min="2106" max="2106" width="11.5703125" bestFit="1" customWidth="1"/>
    <col min="2107" max="2107" width="10.5703125" bestFit="1" customWidth="1"/>
    <col min="2108" max="2108" width="16.140625" bestFit="1" customWidth="1"/>
    <col min="2109" max="2110" width="11.28515625" bestFit="1" customWidth="1"/>
    <col min="2111" max="2111" width="13.28515625" bestFit="1" customWidth="1"/>
    <col min="2112" max="2112" width="7.7109375" bestFit="1" customWidth="1"/>
    <col min="2113" max="2116" width="9.140625" hidden="1" customWidth="1"/>
    <col min="2117" max="2117" width="10.42578125" bestFit="1" customWidth="1"/>
    <col min="2118" max="2118" width="10.5703125" bestFit="1" customWidth="1"/>
    <col min="2119" max="2119" width="10.42578125" bestFit="1" customWidth="1"/>
    <col min="2120" max="2120" width="10.5703125" bestFit="1" customWidth="1"/>
    <col min="2121" max="2121" width="9.5703125" bestFit="1" customWidth="1"/>
    <col min="2122" max="2122" width="11.5703125" bestFit="1" customWidth="1"/>
    <col min="2123" max="2123" width="10.42578125" bestFit="1" customWidth="1"/>
    <col min="2124" max="2124" width="10.85546875" customWidth="1"/>
    <col min="2125" max="2126" width="9.85546875" bestFit="1" customWidth="1"/>
    <col min="2127" max="2127" width="13.5703125" bestFit="1" customWidth="1"/>
    <col min="2128" max="2128" width="7.7109375" bestFit="1" customWidth="1"/>
    <col min="2129" max="2129" width="13.28515625" bestFit="1" customWidth="1"/>
    <col min="2130" max="2130" width="11.5703125" bestFit="1" customWidth="1"/>
    <col min="2131" max="2131" width="10.42578125" bestFit="1" customWidth="1"/>
    <col min="2132" max="2132" width="7.7109375" bestFit="1" customWidth="1"/>
    <col min="2133" max="2133" width="11.5703125" bestFit="1" customWidth="1"/>
    <col min="2134" max="2134" width="10.85546875" bestFit="1" customWidth="1"/>
    <col min="2135" max="2135" width="13.28515625" bestFit="1" customWidth="1"/>
    <col min="2136" max="2136" width="10.85546875" bestFit="1" customWidth="1"/>
    <col min="2137" max="2138" width="7.5703125" bestFit="1" customWidth="1"/>
    <col min="2139" max="2140" width="10.42578125" bestFit="1" customWidth="1"/>
    <col min="2141" max="2141" width="11.5703125" bestFit="1" customWidth="1"/>
    <col min="2142" max="2142" width="5.28515625" bestFit="1" customWidth="1"/>
    <col min="2143" max="2143" width="10.28515625" bestFit="1" customWidth="1"/>
    <col min="2144" max="2144" width="10.42578125" bestFit="1" customWidth="1"/>
    <col min="2145" max="2145" width="11.5703125" bestFit="1" customWidth="1"/>
    <col min="2146" max="2146" width="5.28515625" bestFit="1" customWidth="1"/>
    <col min="2147" max="2149" width="11.5703125" bestFit="1" customWidth="1"/>
    <col min="2150" max="2150" width="5.28515625" bestFit="1" customWidth="1"/>
    <col min="2151" max="2152" width="10.42578125" bestFit="1" customWidth="1"/>
    <col min="2153" max="2153" width="11.5703125" bestFit="1" customWidth="1"/>
    <col min="2154" max="2154" width="5.28515625" bestFit="1" customWidth="1"/>
    <col min="2155" max="2155" width="14.28515625" bestFit="1" customWidth="1"/>
    <col min="2156" max="2156" width="13" bestFit="1" customWidth="1"/>
    <col min="2157" max="2157" width="11.5703125" bestFit="1" customWidth="1"/>
    <col min="2158" max="2158" width="8.85546875" bestFit="1" customWidth="1"/>
    <col min="2159" max="2159" width="14.42578125" bestFit="1" customWidth="1"/>
    <col min="2160" max="2160" width="10.42578125" bestFit="1" customWidth="1"/>
    <col min="2161" max="2161" width="12.28515625" bestFit="1" customWidth="1"/>
    <col min="2162" max="2162" width="13.85546875" bestFit="1" customWidth="1"/>
    <col min="2163" max="2163" width="11.28515625" customWidth="1"/>
    <col min="2164" max="2164" width="11.5703125" customWidth="1"/>
    <col min="2165" max="2165" width="13.42578125" bestFit="1" customWidth="1"/>
    <col min="2166" max="2166" width="10.42578125" customWidth="1"/>
    <col min="2167" max="2167" width="13.85546875" bestFit="1" customWidth="1"/>
    <col min="2168" max="2168" width="15.42578125" bestFit="1" customWidth="1"/>
    <col min="2169" max="2169" width="12.28515625" bestFit="1" customWidth="1"/>
    <col min="2170" max="2170" width="12.7109375" customWidth="1"/>
    <col min="2171" max="2171" width="10.7109375" bestFit="1" customWidth="1"/>
    <col min="2172" max="2172" width="9.85546875" customWidth="1"/>
    <col min="2173" max="2174" width="10.140625" bestFit="1" customWidth="1"/>
    <col min="2175" max="2175" width="7.5703125" bestFit="1" customWidth="1"/>
    <col min="2176" max="2176" width="9.42578125" bestFit="1" customWidth="1"/>
    <col min="2177" max="2177" width="14.5703125" bestFit="1" customWidth="1"/>
    <col min="2178" max="2178" width="14.85546875" customWidth="1"/>
    <col min="2179" max="2179" width="15.140625" bestFit="1" customWidth="1"/>
    <col min="2180" max="2180" width="12.140625" bestFit="1" customWidth="1"/>
    <col min="2181" max="2181" width="14.85546875" bestFit="1" customWidth="1"/>
    <col min="2182" max="2182" width="12.28515625" bestFit="1" customWidth="1"/>
    <col min="2183" max="2191" width="9.140625" hidden="1" customWidth="1"/>
    <col min="2192" max="2192" width="5.28515625" bestFit="1" customWidth="1"/>
    <col min="2193" max="2198" width="11.5703125" bestFit="1" customWidth="1"/>
    <col min="2199" max="2199" width="11.28515625" bestFit="1" customWidth="1"/>
    <col min="2200" max="2200" width="10.140625" bestFit="1" customWidth="1"/>
    <col min="2201" max="2201" width="11.5703125" bestFit="1" customWidth="1"/>
    <col min="2202" max="2202" width="16.140625" customWidth="1"/>
    <col min="2203" max="2203" width="13.42578125" customWidth="1"/>
    <col min="2204" max="2204" width="10.140625" bestFit="1" customWidth="1"/>
    <col min="2205" max="2205" width="12.85546875" bestFit="1" customWidth="1"/>
    <col min="2206" max="2206" width="12.28515625" bestFit="1" customWidth="1"/>
    <col min="2207" max="2207" width="11.28515625" bestFit="1" customWidth="1"/>
    <col min="2208" max="2208" width="11.5703125" bestFit="1" customWidth="1"/>
    <col min="2209" max="2209" width="10.85546875" bestFit="1" customWidth="1"/>
    <col min="2210" max="2210" width="11.28515625" bestFit="1" customWidth="1"/>
    <col min="2211" max="2211" width="10.140625" bestFit="1" customWidth="1"/>
    <col min="2212" max="2212" width="13.28515625" bestFit="1" customWidth="1"/>
    <col min="2213" max="2214" width="12.7109375" bestFit="1" customWidth="1"/>
    <col min="2215" max="2215" width="11" bestFit="1" customWidth="1"/>
    <col min="2216" max="2216" width="11.28515625" bestFit="1" customWidth="1"/>
    <col min="2217" max="2217" width="11.5703125" bestFit="1" customWidth="1"/>
    <col min="2218" max="2218" width="12.28515625" bestFit="1" customWidth="1"/>
    <col min="2219" max="2219" width="15.140625" bestFit="1" customWidth="1"/>
    <col min="2220" max="2220" width="14.42578125" bestFit="1" customWidth="1"/>
    <col min="2221" max="2221" width="12.28515625" bestFit="1" customWidth="1"/>
    <col min="2222" max="2222" width="15.140625" bestFit="1" customWidth="1"/>
    <col min="2223" max="2223" width="14.42578125" bestFit="1" customWidth="1"/>
    <col min="2224" max="2224" width="12.28515625" bestFit="1" customWidth="1"/>
    <col min="2225" max="2225" width="14.42578125" bestFit="1" customWidth="1"/>
    <col min="2226" max="2226" width="11.28515625" bestFit="1" customWidth="1"/>
    <col min="2227" max="2227" width="12.28515625" bestFit="1" customWidth="1"/>
    <col min="2228" max="2228" width="13" bestFit="1" customWidth="1"/>
    <col min="2229" max="2229" width="15.140625" bestFit="1" customWidth="1"/>
    <col min="2230" max="2230" width="12.28515625" bestFit="1" customWidth="1"/>
    <col min="2231" max="2231" width="13.85546875" bestFit="1" customWidth="1"/>
    <col min="2232" max="2232" width="11.28515625" bestFit="1" customWidth="1"/>
    <col min="2233" max="2233" width="12.28515625" bestFit="1" customWidth="1"/>
    <col min="2234" max="2234" width="13.85546875" bestFit="1" customWidth="1"/>
    <col min="2235" max="2236" width="15.140625" bestFit="1" customWidth="1"/>
    <col min="2237" max="2237" width="12.28515625" bestFit="1" customWidth="1"/>
    <col min="2238" max="2238" width="5.7109375" bestFit="1" customWidth="1"/>
    <col min="2239" max="2239" width="8.5703125" bestFit="1" customWidth="1"/>
    <col min="2240" max="2240" width="5.5703125" bestFit="1" customWidth="1"/>
    <col min="2241" max="2241" width="14.42578125" bestFit="1" customWidth="1"/>
    <col min="2242" max="2242" width="11.28515625" bestFit="1" customWidth="1"/>
    <col min="2243" max="2244" width="12.28515625" bestFit="1" customWidth="1"/>
    <col min="2245" max="2245" width="11.28515625" bestFit="1" customWidth="1"/>
    <col min="2246" max="2246" width="13.85546875" bestFit="1" customWidth="1"/>
    <col min="2247" max="2247" width="12" bestFit="1" customWidth="1"/>
    <col min="2248" max="2248" width="13.85546875" bestFit="1" customWidth="1"/>
    <col min="2249" max="2250" width="14.42578125" customWidth="1"/>
    <col min="2251" max="2251" width="10.140625" bestFit="1" customWidth="1"/>
    <col min="2252" max="2252" width="12.28515625" bestFit="1" customWidth="1"/>
    <col min="2253" max="2253" width="7.42578125" bestFit="1" customWidth="1"/>
    <col min="2254" max="2254" width="8.5703125" bestFit="1" customWidth="1"/>
    <col min="2255" max="2255" width="11.5703125" bestFit="1" customWidth="1"/>
    <col min="2256" max="2256" width="13.28515625" bestFit="1" customWidth="1"/>
    <col min="2257" max="2257" width="13.28515625" customWidth="1"/>
    <col min="2258" max="2258" width="13.140625" customWidth="1"/>
    <col min="2259" max="2259" width="12.7109375" bestFit="1" customWidth="1"/>
    <col min="2260" max="2260" width="13.28515625" bestFit="1" customWidth="1"/>
    <col min="2261" max="2263" width="13.28515625" customWidth="1"/>
    <col min="2264" max="2264" width="12.140625" bestFit="1" customWidth="1"/>
    <col min="2265" max="2265" width="12.7109375" bestFit="1" customWidth="1"/>
    <col min="2266" max="2266" width="11" customWidth="1"/>
    <col min="2267" max="2267" width="16.7109375" customWidth="1"/>
    <col min="2268" max="2268" width="17" customWidth="1"/>
    <col min="2269" max="2269" width="10.42578125" bestFit="1" customWidth="1"/>
    <col min="2313" max="2313" width="3.85546875" customWidth="1"/>
    <col min="2314" max="2314" width="15.28515625" bestFit="1" customWidth="1"/>
    <col min="2315" max="2315" width="12.28515625" customWidth="1"/>
    <col min="2316" max="2316" width="16.28515625" bestFit="1" customWidth="1"/>
    <col min="2317" max="2317" width="6.42578125" bestFit="1" customWidth="1"/>
    <col min="2318" max="2318" width="9.28515625" bestFit="1" customWidth="1"/>
    <col min="2319" max="2319" width="7.5703125" bestFit="1" customWidth="1"/>
    <col min="2320" max="2320" width="13.28515625" bestFit="1" customWidth="1"/>
    <col min="2321" max="2321" width="9.28515625" bestFit="1" customWidth="1"/>
    <col min="2322" max="2322" width="11.5703125" bestFit="1" customWidth="1"/>
    <col min="2323" max="2323" width="13.28515625" bestFit="1" customWidth="1"/>
    <col min="2324" max="2324" width="7.140625" bestFit="1" customWidth="1"/>
    <col min="2325" max="2325" width="12" bestFit="1" customWidth="1"/>
    <col min="2326" max="2326" width="13.28515625" bestFit="1" customWidth="1"/>
    <col min="2327" max="2327" width="7" bestFit="1" customWidth="1"/>
    <col min="2328" max="2328" width="12.7109375" bestFit="1" customWidth="1"/>
    <col min="2329" max="2329" width="11.5703125" bestFit="1" customWidth="1"/>
    <col min="2330" max="2330" width="10.5703125" bestFit="1" customWidth="1"/>
    <col min="2331" max="2332" width="15.7109375" bestFit="1" customWidth="1"/>
    <col min="2333" max="2333" width="11.5703125" bestFit="1" customWidth="1"/>
    <col min="2334" max="2334" width="7.7109375" bestFit="1" customWidth="1"/>
    <col min="2335" max="2335" width="15.140625" bestFit="1" customWidth="1"/>
    <col min="2336" max="2336" width="11.5703125" bestFit="1" customWidth="1"/>
    <col min="2337" max="2337" width="13.28515625" bestFit="1" customWidth="1"/>
    <col min="2338" max="2338" width="10.42578125" bestFit="1" customWidth="1"/>
    <col min="2339" max="2339" width="13.28515625" bestFit="1" customWidth="1"/>
    <col min="2340" max="2340" width="12.140625" bestFit="1" customWidth="1"/>
    <col min="2341" max="2341" width="14.42578125" bestFit="1" customWidth="1"/>
    <col min="2342" max="2342" width="13.28515625" bestFit="1" customWidth="1"/>
    <col min="2343" max="2343" width="11.5703125" bestFit="1" customWidth="1"/>
    <col min="2344" max="2344" width="7.7109375" bestFit="1" customWidth="1"/>
    <col min="2345" max="2346" width="14.42578125" bestFit="1" customWidth="1"/>
    <col min="2347" max="2347" width="11.5703125" bestFit="1" customWidth="1"/>
    <col min="2348" max="2348" width="7.7109375" bestFit="1" customWidth="1"/>
    <col min="2349" max="2349" width="13.5703125" customWidth="1"/>
    <col min="2350" max="2350" width="15.28515625" customWidth="1"/>
    <col min="2351" max="2351" width="14.5703125" customWidth="1"/>
    <col min="2352" max="2352" width="13.28515625" bestFit="1" customWidth="1"/>
    <col min="2353" max="2353" width="7.7109375" bestFit="1" customWidth="1"/>
    <col min="2354" max="2354" width="12.7109375" bestFit="1" customWidth="1"/>
    <col min="2355" max="2355" width="11.7109375" bestFit="1" customWidth="1"/>
    <col min="2356" max="2356" width="11.5703125" bestFit="1" customWidth="1"/>
    <col min="2357" max="2357" width="5.28515625" bestFit="1" customWidth="1"/>
    <col min="2358" max="2358" width="13.28515625" bestFit="1" customWidth="1"/>
    <col min="2359" max="2359" width="13.5703125" bestFit="1" customWidth="1"/>
    <col min="2360" max="2360" width="10.5703125" bestFit="1" customWidth="1"/>
    <col min="2361" max="2361" width="13.28515625" bestFit="1" customWidth="1"/>
    <col min="2362" max="2362" width="11.5703125" bestFit="1" customWidth="1"/>
    <col min="2363" max="2363" width="10.5703125" bestFit="1" customWidth="1"/>
    <col min="2364" max="2364" width="16.140625" bestFit="1" customWidth="1"/>
    <col min="2365" max="2366" width="11.28515625" bestFit="1" customWidth="1"/>
    <col min="2367" max="2367" width="13.28515625" bestFit="1" customWidth="1"/>
    <col min="2368" max="2368" width="7.7109375" bestFit="1" customWidth="1"/>
    <col min="2369" max="2372" width="9.140625" hidden="1" customWidth="1"/>
    <col min="2373" max="2373" width="10.42578125" bestFit="1" customWidth="1"/>
    <col min="2374" max="2374" width="10.5703125" bestFit="1" customWidth="1"/>
    <col min="2375" max="2375" width="10.42578125" bestFit="1" customWidth="1"/>
    <col min="2376" max="2376" width="10.5703125" bestFit="1" customWidth="1"/>
    <col min="2377" max="2377" width="9.5703125" bestFit="1" customWidth="1"/>
    <col min="2378" max="2378" width="11.5703125" bestFit="1" customWidth="1"/>
    <col min="2379" max="2379" width="10.42578125" bestFit="1" customWidth="1"/>
    <col min="2380" max="2380" width="10.85546875" customWidth="1"/>
    <col min="2381" max="2382" width="9.85546875" bestFit="1" customWidth="1"/>
    <col min="2383" max="2383" width="13.5703125" bestFit="1" customWidth="1"/>
    <col min="2384" max="2384" width="7.7109375" bestFit="1" customWidth="1"/>
    <col min="2385" max="2385" width="13.28515625" bestFit="1" customWidth="1"/>
    <col min="2386" max="2386" width="11.5703125" bestFit="1" customWidth="1"/>
    <col min="2387" max="2387" width="10.42578125" bestFit="1" customWidth="1"/>
    <col min="2388" max="2388" width="7.7109375" bestFit="1" customWidth="1"/>
    <col min="2389" max="2389" width="11.5703125" bestFit="1" customWidth="1"/>
    <col min="2390" max="2390" width="10.85546875" bestFit="1" customWidth="1"/>
    <col min="2391" max="2391" width="13.28515625" bestFit="1" customWidth="1"/>
    <col min="2392" max="2392" width="10.85546875" bestFit="1" customWidth="1"/>
    <col min="2393" max="2394" width="7.5703125" bestFit="1" customWidth="1"/>
    <col min="2395" max="2396" width="10.42578125" bestFit="1" customWidth="1"/>
    <col min="2397" max="2397" width="11.5703125" bestFit="1" customWidth="1"/>
    <col min="2398" max="2398" width="5.28515625" bestFit="1" customWidth="1"/>
    <col min="2399" max="2399" width="10.28515625" bestFit="1" customWidth="1"/>
    <col min="2400" max="2400" width="10.42578125" bestFit="1" customWidth="1"/>
    <col min="2401" max="2401" width="11.5703125" bestFit="1" customWidth="1"/>
    <col min="2402" max="2402" width="5.28515625" bestFit="1" customWidth="1"/>
    <col min="2403" max="2405" width="11.5703125" bestFit="1" customWidth="1"/>
    <col min="2406" max="2406" width="5.28515625" bestFit="1" customWidth="1"/>
    <col min="2407" max="2408" width="10.42578125" bestFit="1" customWidth="1"/>
    <col min="2409" max="2409" width="11.5703125" bestFit="1" customWidth="1"/>
    <col min="2410" max="2410" width="5.28515625" bestFit="1" customWidth="1"/>
    <col min="2411" max="2411" width="14.28515625" bestFit="1" customWidth="1"/>
    <col min="2412" max="2412" width="13" bestFit="1" customWidth="1"/>
    <col min="2413" max="2413" width="11.5703125" bestFit="1" customWidth="1"/>
    <col min="2414" max="2414" width="8.85546875" bestFit="1" customWidth="1"/>
    <col min="2415" max="2415" width="14.42578125" bestFit="1" customWidth="1"/>
    <col min="2416" max="2416" width="10.42578125" bestFit="1" customWidth="1"/>
    <col min="2417" max="2417" width="12.28515625" bestFit="1" customWidth="1"/>
    <col min="2418" max="2418" width="13.85546875" bestFit="1" customWidth="1"/>
    <col min="2419" max="2419" width="11.28515625" customWidth="1"/>
    <col min="2420" max="2420" width="11.5703125" customWidth="1"/>
    <col min="2421" max="2421" width="13.42578125" bestFit="1" customWidth="1"/>
    <col min="2422" max="2422" width="10.42578125" customWidth="1"/>
    <col min="2423" max="2423" width="13.85546875" bestFit="1" customWidth="1"/>
    <col min="2424" max="2424" width="15.42578125" bestFit="1" customWidth="1"/>
    <col min="2425" max="2425" width="12.28515625" bestFit="1" customWidth="1"/>
    <col min="2426" max="2426" width="12.7109375" customWidth="1"/>
    <col min="2427" max="2427" width="10.7109375" bestFit="1" customWidth="1"/>
    <col min="2428" max="2428" width="9.85546875" customWidth="1"/>
    <col min="2429" max="2430" width="10.140625" bestFit="1" customWidth="1"/>
    <col min="2431" max="2431" width="7.5703125" bestFit="1" customWidth="1"/>
    <col min="2432" max="2432" width="9.42578125" bestFit="1" customWidth="1"/>
    <col min="2433" max="2433" width="14.5703125" bestFit="1" customWidth="1"/>
    <col min="2434" max="2434" width="14.85546875" customWidth="1"/>
    <col min="2435" max="2435" width="15.140625" bestFit="1" customWidth="1"/>
    <col min="2436" max="2436" width="12.140625" bestFit="1" customWidth="1"/>
    <col min="2437" max="2437" width="14.85546875" bestFit="1" customWidth="1"/>
    <col min="2438" max="2438" width="12.28515625" bestFit="1" customWidth="1"/>
    <col min="2439" max="2447" width="9.140625" hidden="1" customWidth="1"/>
    <col min="2448" max="2448" width="5.28515625" bestFit="1" customWidth="1"/>
    <col min="2449" max="2454" width="11.5703125" bestFit="1" customWidth="1"/>
    <col min="2455" max="2455" width="11.28515625" bestFit="1" customWidth="1"/>
    <col min="2456" max="2456" width="10.140625" bestFit="1" customWidth="1"/>
    <col min="2457" max="2457" width="11.5703125" bestFit="1" customWidth="1"/>
    <col min="2458" max="2458" width="16.140625" customWidth="1"/>
    <col min="2459" max="2459" width="13.42578125" customWidth="1"/>
    <col min="2460" max="2460" width="10.140625" bestFit="1" customWidth="1"/>
    <col min="2461" max="2461" width="12.85546875" bestFit="1" customWidth="1"/>
    <col min="2462" max="2462" width="12.28515625" bestFit="1" customWidth="1"/>
    <col min="2463" max="2463" width="11.28515625" bestFit="1" customWidth="1"/>
    <col min="2464" max="2464" width="11.5703125" bestFit="1" customWidth="1"/>
    <col min="2465" max="2465" width="10.85546875" bestFit="1" customWidth="1"/>
    <col min="2466" max="2466" width="11.28515625" bestFit="1" customWidth="1"/>
    <col min="2467" max="2467" width="10.140625" bestFit="1" customWidth="1"/>
    <col min="2468" max="2468" width="13.28515625" bestFit="1" customWidth="1"/>
    <col min="2469" max="2470" width="12.7109375" bestFit="1" customWidth="1"/>
    <col min="2471" max="2471" width="11" bestFit="1" customWidth="1"/>
    <col min="2472" max="2472" width="11.28515625" bestFit="1" customWidth="1"/>
    <col min="2473" max="2473" width="11.5703125" bestFit="1" customWidth="1"/>
    <col min="2474" max="2474" width="12.28515625" bestFit="1" customWidth="1"/>
    <col min="2475" max="2475" width="15.140625" bestFit="1" customWidth="1"/>
    <col min="2476" max="2476" width="14.42578125" bestFit="1" customWidth="1"/>
    <col min="2477" max="2477" width="12.28515625" bestFit="1" customWidth="1"/>
    <col min="2478" max="2478" width="15.140625" bestFit="1" customWidth="1"/>
    <col min="2479" max="2479" width="14.42578125" bestFit="1" customWidth="1"/>
    <col min="2480" max="2480" width="12.28515625" bestFit="1" customWidth="1"/>
    <col min="2481" max="2481" width="14.42578125" bestFit="1" customWidth="1"/>
    <col min="2482" max="2482" width="11.28515625" bestFit="1" customWidth="1"/>
    <col min="2483" max="2483" width="12.28515625" bestFit="1" customWidth="1"/>
    <col min="2484" max="2484" width="13" bestFit="1" customWidth="1"/>
    <col min="2485" max="2485" width="15.140625" bestFit="1" customWidth="1"/>
    <col min="2486" max="2486" width="12.28515625" bestFit="1" customWidth="1"/>
    <col min="2487" max="2487" width="13.85546875" bestFit="1" customWidth="1"/>
    <col min="2488" max="2488" width="11.28515625" bestFit="1" customWidth="1"/>
    <col min="2489" max="2489" width="12.28515625" bestFit="1" customWidth="1"/>
    <col min="2490" max="2490" width="13.85546875" bestFit="1" customWidth="1"/>
    <col min="2491" max="2492" width="15.140625" bestFit="1" customWidth="1"/>
    <col min="2493" max="2493" width="12.28515625" bestFit="1" customWidth="1"/>
    <col min="2494" max="2494" width="5.7109375" bestFit="1" customWidth="1"/>
    <col min="2495" max="2495" width="8.5703125" bestFit="1" customWidth="1"/>
    <col min="2496" max="2496" width="5.5703125" bestFit="1" customWidth="1"/>
    <col min="2497" max="2497" width="14.42578125" bestFit="1" customWidth="1"/>
    <col min="2498" max="2498" width="11.28515625" bestFit="1" customWidth="1"/>
    <col min="2499" max="2500" width="12.28515625" bestFit="1" customWidth="1"/>
    <col min="2501" max="2501" width="11.28515625" bestFit="1" customWidth="1"/>
    <col min="2502" max="2502" width="13.85546875" bestFit="1" customWidth="1"/>
    <col min="2503" max="2503" width="12" bestFit="1" customWidth="1"/>
    <col min="2504" max="2504" width="13.85546875" bestFit="1" customWidth="1"/>
    <col min="2505" max="2506" width="14.42578125" customWidth="1"/>
    <col min="2507" max="2507" width="10.140625" bestFit="1" customWidth="1"/>
    <col min="2508" max="2508" width="12.28515625" bestFit="1" customWidth="1"/>
    <col min="2509" max="2509" width="7.42578125" bestFit="1" customWidth="1"/>
    <col min="2510" max="2510" width="8.5703125" bestFit="1" customWidth="1"/>
    <col min="2511" max="2511" width="11.5703125" bestFit="1" customWidth="1"/>
    <col min="2512" max="2512" width="13.28515625" bestFit="1" customWidth="1"/>
    <col min="2513" max="2513" width="13.28515625" customWidth="1"/>
    <col min="2514" max="2514" width="13.140625" customWidth="1"/>
    <col min="2515" max="2515" width="12.7109375" bestFit="1" customWidth="1"/>
    <col min="2516" max="2516" width="13.28515625" bestFit="1" customWidth="1"/>
    <col min="2517" max="2519" width="13.28515625" customWidth="1"/>
    <col min="2520" max="2520" width="12.140625" bestFit="1" customWidth="1"/>
    <col min="2521" max="2521" width="12.7109375" bestFit="1" customWidth="1"/>
    <col min="2522" max="2522" width="11" customWidth="1"/>
    <col min="2523" max="2523" width="16.7109375" customWidth="1"/>
    <col min="2524" max="2524" width="17" customWidth="1"/>
    <col min="2525" max="2525" width="10.42578125" bestFit="1" customWidth="1"/>
    <col min="2569" max="2569" width="3.85546875" customWidth="1"/>
    <col min="2570" max="2570" width="15.28515625" bestFit="1" customWidth="1"/>
    <col min="2571" max="2571" width="12.28515625" customWidth="1"/>
    <col min="2572" max="2572" width="16.28515625" bestFit="1" customWidth="1"/>
    <col min="2573" max="2573" width="6.42578125" bestFit="1" customWidth="1"/>
    <col min="2574" max="2574" width="9.28515625" bestFit="1" customWidth="1"/>
    <col min="2575" max="2575" width="7.5703125" bestFit="1" customWidth="1"/>
    <col min="2576" max="2576" width="13.28515625" bestFit="1" customWidth="1"/>
    <col min="2577" max="2577" width="9.28515625" bestFit="1" customWidth="1"/>
    <col min="2578" max="2578" width="11.5703125" bestFit="1" customWidth="1"/>
    <col min="2579" max="2579" width="13.28515625" bestFit="1" customWidth="1"/>
    <col min="2580" max="2580" width="7.140625" bestFit="1" customWidth="1"/>
    <col min="2581" max="2581" width="12" bestFit="1" customWidth="1"/>
    <col min="2582" max="2582" width="13.28515625" bestFit="1" customWidth="1"/>
    <col min="2583" max="2583" width="7" bestFit="1" customWidth="1"/>
    <col min="2584" max="2584" width="12.7109375" bestFit="1" customWidth="1"/>
    <col min="2585" max="2585" width="11.5703125" bestFit="1" customWidth="1"/>
    <col min="2586" max="2586" width="10.5703125" bestFit="1" customWidth="1"/>
    <col min="2587" max="2588" width="15.7109375" bestFit="1" customWidth="1"/>
    <col min="2589" max="2589" width="11.5703125" bestFit="1" customWidth="1"/>
    <col min="2590" max="2590" width="7.7109375" bestFit="1" customWidth="1"/>
    <col min="2591" max="2591" width="15.140625" bestFit="1" customWidth="1"/>
    <col min="2592" max="2592" width="11.5703125" bestFit="1" customWidth="1"/>
    <col min="2593" max="2593" width="13.28515625" bestFit="1" customWidth="1"/>
    <col min="2594" max="2594" width="10.42578125" bestFit="1" customWidth="1"/>
    <col min="2595" max="2595" width="13.28515625" bestFit="1" customWidth="1"/>
    <col min="2596" max="2596" width="12.140625" bestFit="1" customWidth="1"/>
    <col min="2597" max="2597" width="14.42578125" bestFit="1" customWidth="1"/>
    <col min="2598" max="2598" width="13.28515625" bestFit="1" customWidth="1"/>
    <col min="2599" max="2599" width="11.5703125" bestFit="1" customWidth="1"/>
    <col min="2600" max="2600" width="7.7109375" bestFit="1" customWidth="1"/>
    <col min="2601" max="2602" width="14.42578125" bestFit="1" customWidth="1"/>
    <col min="2603" max="2603" width="11.5703125" bestFit="1" customWidth="1"/>
    <col min="2604" max="2604" width="7.7109375" bestFit="1" customWidth="1"/>
    <col min="2605" max="2605" width="13.5703125" customWidth="1"/>
    <col min="2606" max="2606" width="15.28515625" customWidth="1"/>
    <col min="2607" max="2607" width="14.5703125" customWidth="1"/>
    <col min="2608" max="2608" width="13.28515625" bestFit="1" customWidth="1"/>
    <col min="2609" max="2609" width="7.7109375" bestFit="1" customWidth="1"/>
    <col min="2610" max="2610" width="12.7109375" bestFit="1" customWidth="1"/>
    <col min="2611" max="2611" width="11.7109375" bestFit="1" customWidth="1"/>
    <col min="2612" max="2612" width="11.5703125" bestFit="1" customWidth="1"/>
    <col min="2613" max="2613" width="5.28515625" bestFit="1" customWidth="1"/>
    <col min="2614" max="2614" width="13.28515625" bestFit="1" customWidth="1"/>
    <col min="2615" max="2615" width="13.5703125" bestFit="1" customWidth="1"/>
    <col min="2616" max="2616" width="10.5703125" bestFit="1" customWidth="1"/>
    <col min="2617" max="2617" width="13.28515625" bestFit="1" customWidth="1"/>
    <col min="2618" max="2618" width="11.5703125" bestFit="1" customWidth="1"/>
    <col min="2619" max="2619" width="10.5703125" bestFit="1" customWidth="1"/>
    <col min="2620" max="2620" width="16.140625" bestFit="1" customWidth="1"/>
    <col min="2621" max="2622" width="11.28515625" bestFit="1" customWidth="1"/>
    <col min="2623" max="2623" width="13.28515625" bestFit="1" customWidth="1"/>
    <col min="2624" max="2624" width="7.7109375" bestFit="1" customWidth="1"/>
    <col min="2625" max="2628" width="9.140625" hidden="1" customWidth="1"/>
    <col min="2629" max="2629" width="10.42578125" bestFit="1" customWidth="1"/>
    <col min="2630" max="2630" width="10.5703125" bestFit="1" customWidth="1"/>
    <col min="2631" max="2631" width="10.42578125" bestFit="1" customWidth="1"/>
    <col min="2632" max="2632" width="10.5703125" bestFit="1" customWidth="1"/>
    <col min="2633" max="2633" width="9.5703125" bestFit="1" customWidth="1"/>
    <col min="2634" max="2634" width="11.5703125" bestFit="1" customWidth="1"/>
    <col min="2635" max="2635" width="10.42578125" bestFit="1" customWidth="1"/>
    <col min="2636" max="2636" width="10.85546875" customWidth="1"/>
    <col min="2637" max="2638" width="9.85546875" bestFit="1" customWidth="1"/>
    <col min="2639" max="2639" width="13.5703125" bestFit="1" customWidth="1"/>
    <col min="2640" max="2640" width="7.7109375" bestFit="1" customWidth="1"/>
    <col min="2641" max="2641" width="13.28515625" bestFit="1" customWidth="1"/>
    <col min="2642" max="2642" width="11.5703125" bestFit="1" customWidth="1"/>
    <col min="2643" max="2643" width="10.42578125" bestFit="1" customWidth="1"/>
    <col min="2644" max="2644" width="7.7109375" bestFit="1" customWidth="1"/>
    <col min="2645" max="2645" width="11.5703125" bestFit="1" customWidth="1"/>
    <col min="2646" max="2646" width="10.85546875" bestFit="1" customWidth="1"/>
    <col min="2647" max="2647" width="13.28515625" bestFit="1" customWidth="1"/>
    <col min="2648" max="2648" width="10.85546875" bestFit="1" customWidth="1"/>
    <col min="2649" max="2650" width="7.5703125" bestFit="1" customWidth="1"/>
    <col min="2651" max="2652" width="10.42578125" bestFit="1" customWidth="1"/>
    <col min="2653" max="2653" width="11.5703125" bestFit="1" customWidth="1"/>
    <col min="2654" max="2654" width="5.28515625" bestFit="1" customWidth="1"/>
    <col min="2655" max="2655" width="10.28515625" bestFit="1" customWidth="1"/>
    <col min="2656" max="2656" width="10.42578125" bestFit="1" customWidth="1"/>
    <col min="2657" max="2657" width="11.5703125" bestFit="1" customWidth="1"/>
    <col min="2658" max="2658" width="5.28515625" bestFit="1" customWidth="1"/>
    <col min="2659" max="2661" width="11.5703125" bestFit="1" customWidth="1"/>
    <col min="2662" max="2662" width="5.28515625" bestFit="1" customWidth="1"/>
    <col min="2663" max="2664" width="10.42578125" bestFit="1" customWidth="1"/>
    <col min="2665" max="2665" width="11.5703125" bestFit="1" customWidth="1"/>
    <col min="2666" max="2666" width="5.28515625" bestFit="1" customWidth="1"/>
    <col min="2667" max="2667" width="14.28515625" bestFit="1" customWidth="1"/>
    <col min="2668" max="2668" width="13" bestFit="1" customWidth="1"/>
    <col min="2669" max="2669" width="11.5703125" bestFit="1" customWidth="1"/>
    <col min="2670" max="2670" width="8.85546875" bestFit="1" customWidth="1"/>
    <col min="2671" max="2671" width="14.42578125" bestFit="1" customWidth="1"/>
    <col min="2672" max="2672" width="10.42578125" bestFit="1" customWidth="1"/>
    <col min="2673" max="2673" width="12.28515625" bestFit="1" customWidth="1"/>
    <col min="2674" max="2674" width="13.85546875" bestFit="1" customWidth="1"/>
    <col min="2675" max="2675" width="11.28515625" customWidth="1"/>
    <col min="2676" max="2676" width="11.5703125" customWidth="1"/>
    <col min="2677" max="2677" width="13.42578125" bestFit="1" customWidth="1"/>
    <col min="2678" max="2678" width="10.42578125" customWidth="1"/>
    <col min="2679" max="2679" width="13.85546875" bestFit="1" customWidth="1"/>
    <col min="2680" max="2680" width="15.42578125" bestFit="1" customWidth="1"/>
    <col min="2681" max="2681" width="12.28515625" bestFit="1" customWidth="1"/>
    <col min="2682" max="2682" width="12.7109375" customWidth="1"/>
    <col min="2683" max="2683" width="10.7109375" bestFit="1" customWidth="1"/>
    <col min="2684" max="2684" width="9.85546875" customWidth="1"/>
    <col min="2685" max="2686" width="10.140625" bestFit="1" customWidth="1"/>
    <col min="2687" max="2687" width="7.5703125" bestFit="1" customWidth="1"/>
    <col min="2688" max="2688" width="9.42578125" bestFit="1" customWidth="1"/>
    <col min="2689" max="2689" width="14.5703125" bestFit="1" customWidth="1"/>
    <col min="2690" max="2690" width="14.85546875" customWidth="1"/>
    <col min="2691" max="2691" width="15.140625" bestFit="1" customWidth="1"/>
    <col min="2692" max="2692" width="12.140625" bestFit="1" customWidth="1"/>
    <col min="2693" max="2693" width="14.85546875" bestFit="1" customWidth="1"/>
    <col min="2694" max="2694" width="12.28515625" bestFit="1" customWidth="1"/>
    <col min="2695" max="2703" width="9.140625" hidden="1" customWidth="1"/>
    <col min="2704" max="2704" width="5.28515625" bestFit="1" customWidth="1"/>
    <col min="2705" max="2710" width="11.5703125" bestFit="1" customWidth="1"/>
    <col min="2711" max="2711" width="11.28515625" bestFit="1" customWidth="1"/>
    <col min="2712" max="2712" width="10.140625" bestFit="1" customWidth="1"/>
    <col min="2713" max="2713" width="11.5703125" bestFit="1" customWidth="1"/>
    <col min="2714" max="2714" width="16.140625" customWidth="1"/>
    <col min="2715" max="2715" width="13.42578125" customWidth="1"/>
    <col min="2716" max="2716" width="10.140625" bestFit="1" customWidth="1"/>
    <col min="2717" max="2717" width="12.85546875" bestFit="1" customWidth="1"/>
    <col min="2718" max="2718" width="12.28515625" bestFit="1" customWidth="1"/>
    <col min="2719" max="2719" width="11.28515625" bestFit="1" customWidth="1"/>
    <col min="2720" max="2720" width="11.5703125" bestFit="1" customWidth="1"/>
    <col min="2721" max="2721" width="10.85546875" bestFit="1" customWidth="1"/>
    <col min="2722" max="2722" width="11.28515625" bestFit="1" customWidth="1"/>
    <col min="2723" max="2723" width="10.140625" bestFit="1" customWidth="1"/>
    <col min="2724" max="2724" width="13.28515625" bestFit="1" customWidth="1"/>
    <col min="2725" max="2726" width="12.7109375" bestFit="1" customWidth="1"/>
    <col min="2727" max="2727" width="11" bestFit="1" customWidth="1"/>
    <col min="2728" max="2728" width="11.28515625" bestFit="1" customWidth="1"/>
    <col min="2729" max="2729" width="11.5703125" bestFit="1" customWidth="1"/>
    <col min="2730" max="2730" width="12.28515625" bestFit="1" customWidth="1"/>
    <col min="2731" max="2731" width="15.140625" bestFit="1" customWidth="1"/>
    <col min="2732" max="2732" width="14.42578125" bestFit="1" customWidth="1"/>
    <col min="2733" max="2733" width="12.28515625" bestFit="1" customWidth="1"/>
    <col min="2734" max="2734" width="15.140625" bestFit="1" customWidth="1"/>
    <col min="2735" max="2735" width="14.42578125" bestFit="1" customWidth="1"/>
    <col min="2736" max="2736" width="12.28515625" bestFit="1" customWidth="1"/>
    <col min="2737" max="2737" width="14.42578125" bestFit="1" customWidth="1"/>
    <col min="2738" max="2738" width="11.28515625" bestFit="1" customWidth="1"/>
    <col min="2739" max="2739" width="12.28515625" bestFit="1" customWidth="1"/>
    <col min="2740" max="2740" width="13" bestFit="1" customWidth="1"/>
    <col min="2741" max="2741" width="15.140625" bestFit="1" customWidth="1"/>
    <col min="2742" max="2742" width="12.28515625" bestFit="1" customWidth="1"/>
    <col min="2743" max="2743" width="13.85546875" bestFit="1" customWidth="1"/>
    <col min="2744" max="2744" width="11.28515625" bestFit="1" customWidth="1"/>
    <col min="2745" max="2745" width="12.28515625" bestFit="1" customWidth="1"/>
    <col min="2746" max="2746" width="13.85546875" bestFit="1" customWidth="1"/>
    <col min="2747" max="2748" width="15.140625" bestFit="1" customWidth="1"/>
    <col min="2749" max="2749" width="12.28515625" bestFit="1" customWidth="1"/>
    <col min="2750" max="2750" width="5.7109375" bestFit="1" customWidth="1"/>
    <col min="2751" max="2751" width="8.5703125" bestFit="1" customWidth="1"/>
    <col min="2752" max="2752" width="5.5703125" bestFit="1" customWidth="1"/>
    <col min="2753" max="2753" width="14.42578125" bestFit="1" customWidth="1"/>
    <col min="2754" max="2754" width="11.28515625" bestFit="1" customWidth="1"/>
    <col min="2755" max="2756" width="12.28515625" bestFit="1" customWidth="1"/>
    <col min="2757" max="2757" width="11.28515625" bestFit="1" customWidth="1"/>
    <col min="2758" max="2758" width="13.85546875" bestFit="1" customWidth="1"/>
    <col min="2759" max="2759" width="12" bestFit="1" customWidth="1"/>
    <col min="2760" max="2760" width="13.85546875" bestFit="1" customWidth="1"/>
    <col min="2761" max="2762" width="14.42578125" customWidth="1"/>
    <col min="2763" max="2763" width="10.140625" bestFit="1" customWidth="1"/>
    <col min="2764" max="2764" width="12.28515625" bestFit="1" customWidth="1"/>
    <col min="2765" max="2765" width="7.42578125" bestFit="1" customWidth="1"/>
    <col min="2766" max="2766" width="8.5703125" bestFit="1" customWidth="1"/>
    <col min="2767" max="2767" width="11.5703125" bestFit="1" customWidth="1"/>
    <col min="2768" max="2768" width="13.28515625" bestFit="1" customWidth="1"/>
    <col min="2769" max="2769" width="13.28515625" customWidth="1"/>
    <col min="2770" max="2770" width="13.140625" customWidth="1"/>
    <col min="2771" max="2771" width="12.7109375" bestFit="1" customWidth="1"/>
    <col min="2772" max="2772" width="13.28515625" bestFit="1" customWidth="1"/>
    <col min="2773" max="2775" width="13.28515625" customWidth="1"/>
    <col min="2776" max="2776" width="12.140625" bestFit="1" customWidth="1"/>
    <col min="2777" max="2777" width="12.7109375" bestFit="1" customWidth="1"/>
    <col min="2778" max="2778" width="11" customWidth="1"/>
    <col min="2779" max="2779" width="16.7109375" customWidth="1"/>
    <col min="2780" max="2780" width="17" customWidth="1"/>
    <col min="2781" max="2781" width="10.42578125" bestFit="1" customWidth="1"/>
    <col min="2825" max="2825" width="3.85546875" customWidth="1"/>
    <col min="2826" max="2826" width="15.28515625" bestFit="1" customWidth="1"/>
    <col min="2827" max="2827" width="12.28515625" customWidth="1"/>
    <col min="2828" max="2828" width="16.28515625" bestFit="1" customWidth="1"/>
    <col min="2829" max="2829" width="6.42578125" bestFit="1" customWidth="1"/>
    <col min="2830" max="2830" width="9.28515625" bestFit="1" customWidth="1"/>
    <col min="2831" max="2831" width="7.5703125" bestFit="1" customWidth="1"/>
    <col min="2832" max="2832" width="13.28515625" bestFit="1" customWidth="1"/>
    <col min="2833" max="2833" width="9.28515625" bestFit="1" customWidth="1"/>
    <col min="2834" max="2834" width="11.5703125" bestFit="1" customWidth="1"/>
    <col min="2835" max="2835" width="13.28515625" bestFit="1" customWidth="1"/>
    <col min="2836" max="2836" width="7.140625" bestFit="1" customWidth="1"/>
    <col min="2837" max="2837" width="12" bestFit="1" customWidth="1"/>
    <col min="2838" max="2838" width="13.28515625" bestFit="1" customWidth="1"/>
    <col min="2839" max="2839" width="7" bestFit="1" customWidth="1"/>
    <col min="2840" max="2840" width="12.7109375" bestFit="1" customWidth="1"/>
    <col min="2841" max="2841" width="11.5703125" bestFit="1" customWidth="1"/>
    <col min="2842" max="2842" width="10.5703125" bestFit="1" customWidth="1"/>
    <col min="2843" max="2844" width="15.7109375" bestFit="1" customWidth="1"/>
    <col min="2845" max="2845" width="11.5703125" bestFit="1" customWidth="1"/>
    <col min="2846" max="2846" width="7.7109375" bestFit="1" customWidth="1"/>
    <col min="2847" max="2847" width="15.140625" bestFit="1" customWidth="1"/>
    <col min="2848" max="2848" width="11.5703125" bestFit="1" customWidth="1"/>
    <col min="2849" max="2849" width="13.28515625" bestFit="1" customWidth="1"/>
    <col min="2850" max="2850" width="10.42578125" bestFit="1" customWidth="1"/>
    <col min="2851" max="2851" width="13.28515625" bestFit="1" customWidth="1"/>
    <col min="2852" max="2852" width="12.140625" bestFit="1" customWidth="1"/>
    <col min="2853" max="2853" width="14.42578125" bestFit="1" customWidth="1"/>
    <col min="2854" max="2854" width="13.28515625" bestFit="1" customWidth="1"/>
    <col min="2855" max="2855" width="11.5703125" bestFit="1" customWidth="1"/>
    <col min="2856" max="2856" width="7.7109375" bestFit="1" customWidth="1"/>
    <col min="2857" max="2858" width="14.42578125" bestFit="1" customWidth="1"/>
    <col min="2859" max="2859" width="11.5703125" bestFit="1" customWidth="1"/>
    <col min="2860" max="2860" width="7.7109375" bestFit="1" customWidth="1"/>
    <col min="2861" max="2861" width="13.5703125" customWidth="1"/>
    <col min="2862" max="2862" width="15.28515625" customWidth="1"/>
    <col min="2863" max="2863" width="14.5703125" customWidth="1"/>
    <col min="2864" max="2864" width="13.28515625" bestFit="1" customWidth="1"/>
    <col min="2865" max="2865" width="7.7109375" bestFit="1" customWidth="1"/>
    <col min="2866" max="2866" width="12.7109375" bestFit="1" customWidth="1"/>
    <col min="2867" max="2867" width="11.7109375" bestFit="1" customWidth="1"/>
    <col min="2868" max="2868" width="11.5703125" bestFit="1" customWidth="1"/>
    <col min="2869" max="2869" width="5.28515625" bestFit="1" customWidth="1"/>
    <col min="2870" max="2870" width="13.28515625" bestFit="1" customWidth="1"/>
    <col min="2871" max="2871" width="13.5703125" bestFit="1" customWidth="1"/>
    <col min="2872" max="2872" width="10.5703125" bestFit="1" customWidth="1"/>
    <col min="2873" max="2873" width="13.28515625" bestFit="1" customWidth="1"/>
    <col min="2874" max="2874" width="11.5703125" bestFit="1" customWidth="1"/>
    <col min="2875" max="2875" width="10.5703125" bestFit="1" customWidth="1"/>
    <col min="2876" max="2876" width="16.140625" bestFit="1" customWidth="1"/>
    <col min="2877" max="2878" width="11.28515625" bestFit="1" customWidth="1"/>
    <col min="2879" max="2879" width="13.28515625" bestFit="1" customWidth="1"/>
    <col min="2880" max="2880" width="7.7109375" bestFit="1" customWidth="1"/>
    <col min="2881" max="2884" width="9.140625" hidden="1" customWidth="1"/>
    <col min="2885" max="2885" width="10.42578125" bestFit="1" customWidth="1"/>
    <col min="2886" max="2886" width="10.5703125" bestFit="1" customWidth="1"/>
    <col min="2887" max="2887" width="10.42578125" bestFit="1" customWidth="1"/>
    <col min="2888" max="2888" width="10.5703125" bestFit="1" customWidth="1"/>
    <col min="2889" max="2889" width="9.5703125" bestFit="1" customWidth="1"/>
    <col min="2890" max="2890" width="11.5703125" bestFit="1" customWidth="1"/>
    <col min="2891" max="2891" width="10.42578125" bestFit="1" customWidth="1"/>
    <col min="2892" max="2892" width="10.85546875" customWidth="1"/>
    <col min="2893" max="2894" width="9.85546875" bestFit="1" customWidth="1"/>
    <col min="2895" max="2895" width="13.5703125" bestFit="1" customWidth="1"/>
    <col min="2896" max="2896" width="7.7109375" bestFit="1" customWidth="1"/>
    <col min="2897" max="2897" width="13.28515625" bestFit="1" customWidth="1"/>
    <col min="2898" max="2898" width="11.5703125" bestFit="1" customWidth="1"/>
    <col min="2899" max="2899" width="10.42578125" bestFit="1" customWidth="1"/>
    <col min="2900" max="2900" width="7.7109375" bestFit="1" customWidth="1"/>
    <col min="2901" max="2901" width="11.5703125" bestFit="1" customWidth="1"/>
    <col min="2902" max="2902" width="10.85546875" bestFit="1" customWidth="1"/>
    <col min="2903" max="2903" width="13.28515625" bestFit="1" customWidth="1"/>
    <col min="2904" max="2904" width="10.85546875" bestFit="1" customWidth="1"/>
    <col min="2905" max="2906" width="7.5703125" bestFit="1" customWidth="1"/>
    <col min="2907" max="2908" width="10.42578125" bestFit="1" customWidth="1"/>
    <col min="2909" max="2909" width="11.5703125" bestFit="1" customWidth="1"/>
    <col min="2910" max="2910" width="5.28515625" bestFit="1" customWidth="1"/>
    <col min="2911" max="2911" width="10.28515625" bestFit="1" customWidth="1"/>
    <col min="2912" max="2912" width="10.42578125" bestFit="1" customWidth="1"/>
    <col min="2913" max="2913" width="11.5703125" bestFit="1" customWidth="1"/>
    <col min="2914" max="2914" width="5.28515625" bestFit="1" customWidth="1"/>
    <col min="2915" max="2917" width="11.5703125" bestFit="1" customWidth="1"/>
    <col min="2918" max="2918" width="5.28515625" bestFit="1" customWidth="1"/>
    <col min="2919" max="2920" width="10.42578125" bestFit="1" customWidth="1"/>
    <col min="2921" max="2921" width="11.5703125" bestFit="1" customWidth="1"/>
    <col min="2922" max="2922" width="5.28515625" bestFit="1" customWidth="1"/>
    <col min="2923" max="2923" width="14.28515625" bestFit="1" customWidth="1"/>
    <col min="2924" max="2924" width="13" bestFit="1" customWidth="1"/>
    <col min="2925" max="2925" width="11.5703125" bestFit="1" customWidth="1"/>
    <col min="2926" max="2926" width="8.85546875" bestFit="1" customWidth="1"/>
    <col min="2927" max="2927" width="14.42578125" bestFit="1" customWidth="1"/>
    <col min="2928" max="2928" width="10.42578125" bestFit="1" customWidth="1"/>
    <col min="2929" max="2929" width="12.28515625" bestFit="1" customWidth="1"/>
    <col min="2930" max="2930" width="13.85546875" bestFit="1" customWidth="1"/>
    <col min="2931" max="2931" width="11.28515625" customWidth="1"/>
    <col min="2932" max="2932" width="11.5703125" customWidth="1"/>
    <col min="2933" max="2933" width="13.42578125" bestFit="1" customWidth="1"/>
    <col min="2934" max="2934" width="10.42578125" customWidth="1"/>
    <col min="2935" max="2935" width="13.85546875" bestFit="1" customWidth="1"/>
    <col min="2936" max="2936" width="15.42578125" bestFit="1" customWidth="1"/>
    <col min="2937" max="2937" width="12.28515625" bestFit="1" customWidth="1"/>
    <col min="2938" max="2938" width="12.7109375" customWidth="1"/>
    <col min="2939" max="2939" width="10.7109375" bestFit="1" customWidth="1"/>
    <col min="2940" max="2940" width="9.85546875" customWidth="1"/>
    <col min="2941" max="2942" width="10.140625" bestFit="1" customWidth="1"/>
    <col min="2943" max="2943" width="7.5703125" bestFit="1" customWidth="1"/>
    <col min="2944" max="2944" width="9.42578125" bestFit="1" customWidth="1"/>
    <col min="2945" max="2945" width="14.5703125" bestFit="1" customWidth="1"/>
    <col min="2946" max="2946" width="14.85546875" customWidth="1"/>
    <col min="2947" max="2947" width="15.140625" bestFit="1" customWidth="1"/>
    <col min="2948" max="2948" width="12.140625" bestFit="1" customWidth="1"/>
    <col min="2949" max="2949" width="14.85546875" bestFit="1" customWidth="1"/>
    <col min="2950" max="2950" width="12.28515625" bestFit="1" customWidth="1"/>
    <col min="2951" max="2959" width="9.140625" hidden="1" customWidth="1"/>
    <col min="2960" max="2960" width="5.28515625" bestFit="1" customWidth="1"/>
    <col min="2961" max="2966" width="11.5703125" bestFit="1" customWidth="1"/>
    <col min="2967" max="2967" width="11.28515625" bestFit="1" customWidth="1"/>
    <col min="2968" max="2968" width="10.140625" bestFit="1" customWidth="1"/>
    <col min="2969" max="2969" width="11.5703125" bestFit="1" customWidth="1"/>
    <col min="2970" max="2970" width="16.140625" customWidth="1"/>
    <col min="2971" max="2971" width="13.42578125" customWidth="1"/>
    <col min="2972" max="2972" width="10.140625" bestFit="1" customWidth="1"/>
    <col min="2973" max="2973" width="12.85546875" bestFit="1" customWidth="1"/>
    <col min="2974" max="2974" width="12.28515625" bestFit="1" customWidth="1"/>
    <col min="2975" max="2975" width="11.28515625" bestFit="1" customWidth="1"/>
    <col min="2976" max="2976" width="11.5703125" bestFit="1" customWidth="1"/>
    <col min="2977" max="2977" width="10.85546875" bestFit="1" customWidth="1"/>
    <col min="2978" max="2978" width="11.28515625" bestFit="1" customWidth="1"/>
    <col min="2979" max="2979" width="10.140625" bestFit="1" customWidth="1"/>
    <col min="2980" max="2980" width="13.28515625" bestFit="1" customWidth="1"/>
    <col min="2981" max="2982" width="12.7109375" bestFit="1" customWidth="1"/>
    <col min="2983" max="2983" width="11" bestFit="1" customWidth="1"/>
    <col min="2984" max="2984" width="11.28515625" bestFit="1" customWidth="1"/>
    <col min="2985" max="2985" width="11.5703125" bestFit="1" customWidth="1"/>
    <col min="2986" max="2986" width="12.28515625" bestFit="1" customWidth="1"/>
    <col min="2987" max="2987" width="15.140625" bestFit="1" customWidth="1"/>
    <col min="2988" max="2988" width="14.42578125" bestFit="1" customWidth="1"/>
    <col min="2989" max="2989" width="12.28515625" bestFit="1" customWidth="1"/>
    <col min="2990" max="2990" width="15.140625" bestFit="1" customWidth="1"/>
    <col min="2991" max="2991" width="14.42578125" bestFit="1" customWidth="1"/>
    <col min="2992" max="2992" width="12.28515625" bestFit="1" customWidth="1"/>
    <col min="2993" max="2993" width="14.42578125" bestFit="1" customWidth="1"/>
    <col min="2994" max="2994" width="11.28515625" bestFit="1" customWidth="1"/>
    <col min="2995" max="2995" width="12.28515625" bestFit="1" customWidth="1"/>
    <col min="2996" max="2996" width="13" bestFit="1" customWidth="1"/>
    <col min="2997" max="2997" width="15.140625" bestFit="1" customWidth="1"/>
    <col min="2998" max="2998" width="12.28515625" bestFit="1" customWidth="1"/>
    <col min="2999" max="2999" width="13.85546875" bestFit="1" customWidth="1"/>
    <col min="3000" max="3000" width="11.28515625" bestFit="1" customWidth="1"/>
    <col min="3001" max="3001" width="12.28515625" bestFit="1" customWidth="1"/>
    <col min="3002" max="3002" width="13.85546875" bestFit="1" customWidth="1"/>
    <col min="3003" max="3004" width="15.140625" bestFit="1" customWidth="1"/>
    <col min="3005" max="3005" width="12.28515625" bestFit="1" customWidth="1"/>
    <col min="3006" max="3006" width="5.7109375" bestFit="1" customWidth="1"/>
    <col min="3007" max="3007" width="8.5703125" bestFit="1" customWidth="1"/>
    <col min="3008" max="3008" width="5.5703125" bestFit="1" customWidth="1"/>
    <col min="3009" max="3009" width="14.42578125" bestFit="1" customWidth="1"/>
    <col min="3010" max="3010" width="11.28515625" bestFit="1" customWidth="1"/>
    <col min="3011" max="3012" width="12.28515625" bestFit="1" customWidth="1"/>
    <col min="3013" max="3013" width="11.28515625" bestFit="1" customWidth="1"/>
    <col min="3014" max="3014" width="13.85546875" bestFit="1" customWidth="1"/>
    <col min="3015" max="3015" width="12" bestFit="1" customWidth="1"/>
    <col min="3016" max="3016" width="13.85546875" bestFit="1" customWidth="1"/>
    <col min="3017" max="3018" width="14.42578125" customWidth="1"/>
    <col min="3019" max="3019" width="10.140625" bestFit="1" customWidth="1"/>
    <col min="3020" max="3020" width="12.28515625" bestFit="1" customWidth="1"/>
    <col min="3021" max="3021" width="7.42578125" bestFit="1" customWidth="1"/>
    <col min="3022" max="3022" width="8.5703125" bestFit="1" customWidth="1"/>
    <col min="3023" max="3023" width="11.5703125" bestFit="1" customWidth="1"/>
    <col min="3024" max="3024" width="13.28515625" bestFit="1" customWidth="1"/>
    <col min="3025" max="3025" width="13.28515625" customWidth="1"/>
    <col min="3026" max="3026" width="13.140625" customWidth="1"/>
    <col min="3027" max="3027" width="12.7109375" bestFit="1" customWidth="1"/>
    <col min="3028" max="3028" width="13.28515625" bestFit="1" customWidth="1"/>
    <col min="3029" max="3031" width="13.28515625" customWidth="1"/>
    <col min="3032" max="3032" width="12.140625" bestFit="1" customWidth="1"/>
    <col min="3033" max="3033" width="12.7109375" bestFit="1" customWidth="1"/>
    <col min="3034" max="3034" width="11" customWidth="1"/>
    <col min="3035" max="3035" width="16.7109375" customWidth="1"/>
    <col min="3036" max="3036" width="17" customWidth="1"/>
    <col min="3037" max="3037" width="10.42578125" bestFit="1" customWidth="1"/>
    <col min="3081" max="3081" width="3.85546875" customWidth="1"/>
    <col min="3082" max="3082" width="15.28515625" bestFit="1" customWidth="1"/>
    <col min="3083" max="3083" width="12.28515625" customWidth="1"/>
    <col min="3084" max="3084" width="16.28515625" bestFit="1" customWidth="1"/>
    <col min="3085" max="3085" width="6.42578125" bestFit="1" customWidth="1"/>
    <col min="3086" max="3086" width="9.28515625" bestFit="1" customWidth="1"/>
    <col min="3087" max="3087" width="7.5703125" bestFit="1" customWidth="1"/>
    <col min="3088" max="3088" width="13.28515625" bestFit="1" customWidth="1"/>
    <col min="3089" max="3089" width="9.28515625" bestFit="1" customWidth="1"/>
    <col min="3090" max="3090" width="11.5703125" bestFit="1" customWidth="1"/>
    <col min="3091" max="3091" width="13.28515625" bestFit="1" customWidth="1"/>
    <col min="3092" max="3092" width="7.140625" bestFit="1" customWidth="1"/>
    <col min="3093" max="3093" width="12" bestFit="1" customWidth="1"/>
    <col min="3094" max="3094" width="13.28515625" bestFit="1" customWidth="1"/>
    <col min="3095" max="3095" width="7" bestFit="1" customWidth="1"/>
    <col min="3096" max="3096" width="12.7109375" bestFit="1" customWidth="1"/>
    <col min="3097" max="3097" width="11.5703125" bestFit="1" customWidth="1"/>
    <col min="3098" max="3098" width="10.5703125" bestFit="1" customWidth="1"/>
    <col min="3099" max="3100" width="15.7109375" bestFit="1" customWidth="1"/>
    <col min="3101" max="3101" width="11.5703125" bestFit="1" customWidth="1"/>
    <col min="3102" max="3102" width="7.7109375" bestFit="1" customWidth="1"/>
    <col min="3103" max="3103" width="15.140625" bestFit="1" customWidth="1"/>
    <col min="3104" max="3104" width="11.5703125" bestFit="1" customWidth="1"/>
    <col min="3105" max="3105" width="13.28515625" bestFit="1" customWidth="1"/>
    <col min="3106" max="3106" width="10.42578125" bestFit="1" customWidth="1"/>
    <col min="3107" max="3107" width="13.28515625" bestFit="1" customWidth="1"/>
    <col min="3108" max="3108" width="12.140625" bestFit="1" customWidth="1"/>
    <col min="3109" max="3109" width="14.42578125" bestFit="1" customWidth="1"/>
    <col min="3110" max="3110" width="13.28515625" bestFit="1" customWidth="1"/>
    <col min="3111" max="3111" width="11.5703125" bestFit="1" customWidth="1"/>
    <col min="3112" max="3112" width="7.7109375" bestFit="1" customWidth="1"/>
    <col min="3113" max="3114" width="14.42578125" bestFit="1" customWidth="1"/>
    <col min="3115" max="3115" width="11.5703125" bestFit="1" customWidth="1"/>
    <col min="3116" max="3116" width="7.7109375" bestFit="1" customWidth="1"/>
    <col min="3117" max="3117" width="13.5703125" customWidth="1"/>
    <col min="3118" max="3118" width="15.28515625" customWidth="1"/>
    <col min="3119" max="3119" width="14.5703125" customWidth="1"/>
    <col min="3120" max="3120" width="13.28515625" bestFit="1" customWidth="1"/>
    <col min="3121" max="3121" width="7.7109375" bestFit="1" customWidth="1"/>
    <col min="3122" max="3122" width="12.7109375" bestFit="1" customWidth="1"/>
    <col min="3123" max="3123" width="11.7109375" bestFit="1" customWidth="1"/>
    <col min="3124" max="3124" width="11.5703125" bestFit="1" customWidth="1"/>
    <col min="3125" max="3125" width="5.28515625" bestFit="1" customWidth="1"/>
    <col min="3126" max="3126" width="13.28515625" bestFit="1" customWidth="1"/>
    <col min="3127" max="3127" width="13.5703125" bestFit="1" customWidth="1"/>
    <col min="3128" max="3128" width="10.5703125" bestFit="1" customWidth="1"/>
    <col min="3129" max="3129" width="13.28515625" bestFit="1" customWidth="1"/>
    <col min="3130" max="3130" width="11.5703125" bestFit="1" customWidth="1"/>
    <col min="3131" max="3131" width="10.5703125" bestFit="1" customWidth="1"/>
    <col min="3132" max="3132" width="16.140625" bestFit="1" customWidth="1"/>
    <col min="3133" max="3134" width="11.28515625" bestFit="1" customWidth="1"/>
    <col min="3135" max="3135" width="13.28515625" bestFit="1" customWidth="1"/>
    <col min="3136" max="3136" width="7.7109375" bestFit="1" customWidth="1"/>
    <col min="3137" max="3140" width="9.140625" hidden="1" customWidth="1"/>
    <col min="3141" max="3141" width="10.42578125" bestFit="1" customWidth="1"/>
    <col min="3142" max="3142" width="10.5703125" bestFit="1" customWidth="1"/>
    <col min="3143" max="3143" width="10.42578125" bestFit="1" customWidth="1"/>
    <col min="3144" max="3144" width="10.5703125" bestFit="1" customWidth="1"/>
    <col min="3145" max="3145" width="9.5703125" bestFit="1" customWidth="1"/>
    <col min="3146" max="3146" width="11.5703125" bestFit="1" customWidth="1"/>
    <col min="3147" max="3147" width="10.42578125" bestFit="1" customWidth="1"/>
    <col min="3148" max="3148" width="10.85546875" customWidth="1"/>
    <col min="3149" max="3150" width="9.85546875" bestFit="1" customWidth="1"/>
    <col min="3151" max="3151" width="13.5703125" bestFit="1" customWidth="1"/>
    <col min="3152" max="3152" width="7.7109375" bestFit="1" customWidth="1"/>
    <col min="3153" max="3153" width="13.28515625" bestFit="1" customWidth="1"/>
    <col min="3154" max="3154" width="11.5703125" bestFit="1" customWidth="1"/>
    <col min="3155" max="3155" width="10.42578125" bestFit="1" customWidth="1"/>
    <col min="3156" max="3156" width="7.7109375" bestFit="1" customWidth="1"/>
    <col min="3157" max="3157" width="11.5703125" bestFit="1" customWidth="1"/>
    <col min="3158" max="3158" width="10.85546875" bestFit="1" customWidth="1"/>
    <col min="3159" max="3159" width="13.28515625" bestFit="1" customWidth="1"/>
    <col min="3160" max="3160" width="10.85546875" bestFit="1" customWidth="1"/>
    <col min="3161" max="3162" width="7.5703125" bestFit="1" customWidth="1"/>
    <col min="3163" max="3164" width="10.42578125" bestFit="1" customWidth="1"/>
    <col min="3165" max="3165" width="11.5703125" bestFit="1" customWidth="1"/>
    <col min="3166" max="3166" width="5.28515625" bestFit="1" customWidth="1"/>
    <col min="3167" max="3167" width="10.28515625" bestFit="1" customWidth="1"/>
    <col min="3168" max="3168" width="10.42578125" bestFit="1" customWidth="1"/>
    <col min="3169" max="3169" width="11.5703125" bestFit="1" customWidth="1"/>
    <col min="3170" max="3170" width="5.28515625" bestFit="1" customWidth="1"/>
    <col min="3171" max="3173" width="11.5703125" bestFit="1" customWidth="1"/>
    <col min="3174" max="3174" width="5.28515625" bestFit="1" customWidth="1"/>
    <col min="3175" max="3176" width="10.42578125" bestFit="1" customWidth="1"/>
    <col min="3177" max="3177" width="11.5703125" bestFit="1" customWidth="1"/>
    <col min="3178" max="3178" width="5.28515625" bestFit="1" customWidth="1"/>
    <col min="3179" max="3179" width="14.28515625" bestFit="1" customWidth="1"/>
    <col min="3180" max="3180" width="13" bestFit="1" customWidth="1"/>
    <col min="3181" max="3181" width="11.5703125" bestFit="1" customWidth="1"/>
    <col min="3182" max="3182" width="8.85546875" bestFit="1" customWidth="1"/>
    <col min="3183" max="3183" width="14.42578125" bestFit="1" customWidth="1"/>
    <col min="3184" max="3184" width="10.42578125" bestFit="1" customWidth="1"/>
    <col min="3185" max="3185" width="12.28515625" bestFit="1" customWidth="1"/>
    <col min="3186" max="3186" width="13.85546875" bestFit="1" customWidth="1"/>
    <col min="3187" max="3187" width="11.28515625" customWidth="1"/>
    <col min="3188" max="3188" width="11.5703125" customWidth="1"/>
    <col min="3189" max="3189" width="13.42578125" bestFit="1" customWidth="1"/>
    <col min="3190" max="3190" width="10.42578125" customWidth="1"/>
    <col min="3191" max="3191" width="13.85546875" bestFit="1" customWidth="1"/>
    <col min="3192" max="3192" width="15.42578125" bestFit="1" customWidth="1"/>
    <col min="3193" max="3193" width="12.28515625" bestFit="1" customWidth="1"/>
    <col min="3194" max="3194" width="12.7109375" customWidth="1"/>
    <col min="3195" max="3195" width="10.7109375" bestFit="1" customWidth="1"/>
    <col min="3196" max="3196" width="9.85546875" customWidth="1"/>
    <col min="3197" max="3198" width="10.140625" bestFit="1" customWidth="1"/>
    <col min="3199" max="3199" width="7.5703125" bestFit="1" customWidth="1"/>
    <col min="3200" max="3200" width="9.42578125" bestFit="1" customWidth="1"/>
    <col min="3201" max="3201" width="14.5703125" bestFit="1" customWidth="1"/>
    <col min="3202" max="3202" width="14.85546875" customWidth="1"/>
    <col min="3203" max="3203" width="15.140625" bestFit="1" customWidth="1"/>
    <col min="3204" max="3204" width="12.140625" bestFit="1" customWidth="1"/>
    <col min="3205" max="3205" width="14.85546875" bestFit="1" customWidth="1"/>
    <col min="3206" max="3206" width="12.28515625" bestFit="1" customWidth="1"/>
    <col min="3207" max="3215" width="9.140625" hidden="1" customWidth="1"/>
    <col min="3216" max="3216" width="5.28515625" bestFit="1" customWidth="1"/>
    <col min="3217" max="3222" width="11.5703125" bestFit="1" customWidth="1"/>
    <col min="3223" max="3223" width="11.28515625" bestFit="1" customWidth="1"/>
    <col min="3224" max="3224" width="10.140625" bestFit="1" customWidth="1"/>
    <col min="3225" max="3225" width="11.5703125" bestFit="1" customWidth="1"/>
    <col min="3226" max="3226" width="16.140625" customWidth="1"/>
    <col min="3227" max="3227" width="13.42578125" customWidth="1"/>
    <col min="3228" max="3228" width="10.140625" bestFit="1" customWidth="1"/>
    <col min="3229" max="3229" width="12.85546875" bestFit="1" customWidth="1"/>
    <col min="3230" max="3230" width="12.28515625" bestFit="1" customWidth="1"/>
    <col min="3231" max="3231" width="11.28515625" bestFit="1" customWidth="1"/>
    <col min="3232" max="3232" width="11.5703125" bestFit="1" customWidth="1"/>
    <col min="3233" max="3233" width="10.85546875" bestFit="1" customWidth="1"/>
    <col min="3234" max="3234" width="11.28515625" bestFit="1" customWidth="1"/>
    <col min="3235" max="3235" width="10.140625" bestFit="1" customWidth="1"/>
    <col min="3236" max="3236" width="13.28515625" bestFit="1" customWidth="1"/>
    <col min="3237" max="3238" width="12.7109375" bestFit="1" customWidth="1"/>
    <col min="3239" max="3239" width="11" bestFit="1" customWidth="1"/>
    <col min="3240" max="3240" width="11.28515625" bestFit="1" customWidth="1"/>
    <col min="3241" max="3241" width="11.5703125" bestFit="1" customWidth="1"/>
    <col min="3242" max="3242" width="12.28515625" bestFit="1" customWidth="1"/>
    <col min="3243" max="3243" width="15.140625" bestFit="1" customWidth="1"/>
    <col min="3244" max="3244" width="14.42578125" bestFit="1" customWidth="1"/>
    <col min="3245" max="3245" width="12.28515625" bestFit="1" customWidth="1"/>
    <col min="3246" max="3246" width="15.140625" bestFit="1" customWidth="1"/>
    <col min="3247" max="3247" width="14.42578125" bestFit="1" customWidth="1"/>
    <col min="3248" max="3248" width="12.28515625" bestFit="1" customWidth="1"/>
    <col min="3249" max="3249" width="14.42578125" bestFit="1" customWidth="1"/>
    <col min="3250" max="3250" width="11.28515625" bestFit="1" customWidth="1"/>
    <col min="3251" max="3251" width="12.28515625" bestFit="1" customWidth="1"/>
    <col min="3252" max="3252" width="13" bestFit="1" customWidth="1"/>
    <col min="3253" max="3253" width="15.140625" bestFit="1" customWidth="1"/>
    <col min="3254" max="3254" width="12.28515625" bestFit="1" customWidth="1"/>
    <col min="3255" max="3255" width="13.85546875" bestFit="1" customWidth="1"/>
    <col min="3256" max="3256" width="11.28515625" bestFit="1" customWidth="1"/>
    <col min="3257" max="3257" width="12.28515625" bestFit="1" customWidth="1"/>
    <col min="3258" max="3258" width="13.85546875" bestFit="1" customWidth="1"/>
    <col min="3259" max="3260" width="15.140625" bestFit="1" customWidth="1"/>
    <col min="3261" max="3261" width="12.28515625" bestFit="1" customWidth="1"/>
    <col min="3262" max="3262" width="5.7109375" bestFit="1" customWidth="1"/>
    <col min="3263" max="3263" width="8.5703125" bestFit="1" customWidth="1"/>
    <col min="3264" max="3264" width="5.5703125" bestFit="1" customWidth="1"/>
    <col min="3265" max="3265" width="14.42578125" bestFit="1" customWidth="1"/>
    <col min="3266" max="3266" width="11.28515625" bestFit="1" customWidth="1"/>
    <col min="3267" max="3268" width="12.28515625" bestFit="1" customWidth="1"/>
    <col min="3269" max="3269" width="11.28515625" bestFit="1" customWidth="1"/>
    <col min="3270" max="3270" width="13.85546875" bestFit="1" customWidth="1"/>
    <col min="3271" max="3271" width="12" bestFit="1" customWidth="1"/>
    <col min="3272" max="3272" width="13.85546875" bestFit="1" customWidth="1"/>
    <col min="3273" max="3274" width="14.42578125" customWidth="1"/>
    <col min="3275" max="3275" width="10.140625" bestFit="1" customWidth="1"/>
    <col min="3276" max="3276" width="12.28515625" bestFit="1" customWidth="1"/>
    <col min="3277" max="3277" width="7.42578125" bestFit="1" customWidth="1"/>
    <col min="3278" max="3278" width="8.5703125" bestFit="1" customWidth="1"/>
    <col min="3279" max="3279" width="11.5703125" bestFit="1" customWidth="1"/>
    <col min="3280" max="3280" width="13.28515625" bestFit="1" customWidth="1"/>
    <col min="3281" max="3281" width="13.28515625" customWidth="1"/>
    <col min="3282" max="3282" width="13.140625" customWidth="1"/>
    <col min="3283" max="3283" width="12.7109375" bestFit="1" customWidth="1"/>
    <col min="3284" max="3284" width="13.28515625" bestFit="1" customWidth="1"/>
    <col min="3285" max="3287" width="13.28515625" customWidth="1"/>
    <col min="3288" max="3288" width="12.140625" bestFit="1" customWidth="1"/>
    <col min="3289" max="3289" width="12.7109375" bestFit="1" customWidth="1"/>
    <col min="3290" max="3290" width="11" customWidth="1"/>
    <col min="3291" max="3291" width="16.7109375" customWidth="1"/>
    <col min="3292" max="3292" width="17" customWidth="1"/>
    <col min="3293" max="3293" width="10.42578125" bestFit="1" customWidth="1"/>
    <col min="3337" max="3337" width="3.85546875" customWidth="1"/>
    <col min="3338" max="3338" width="15.28515625" bestFit="1" customWidth="1"/>
    <col min="3339" max="3339" width="12.28515625" customWidth="1"/>
    <col min="3340" max="3340" width="16.28515625" bestFit="1" customWidth="1"/>
    <col min="3341" max="3341" width="6.42578125" bestFit="1" customWidth="1"/>
    <col min="3342" max="3342" width="9.28515625" bestFit="1" customWidth="1"/>
    <col min="3343" max="3343" width="7.5703125" bestFit="1" customWidth="1"/>
    <col min="3344" max="3344" width="13.28515625" bestFit="1" customWidth="1"/>
    <col min="3345" max="3345" width="9.28515625" bestFit="1" customWidth="1"/>
    <col min="3346" max="3346" width="11.5703125" bestFit="1" customWidth="1"/>
    <col min="3347" max="3347" width="13.28515625" bestFit="1" customWidth="1"/>
    <col min="3348" max="3348" width="7.140625" bestFit="1" customWidth="1"/>
    <col min="3349" max="3349" width="12" bestFit="1" customWidth="1"/>
    <col min="3350" max="3350" width="13.28515625" bestFit="1" customWidth="1"/>
    <col min="3351" max="3351" width="7" bestFit="1" customWidth="1"/>
    <col min="3352" max="3352" width="12.7109375" bestFit="1" customWidth="1"/>
    <col min="3353" max="3353" width="11.5703125" bestFit="1" customWidth="1"/>
    <col min="3354" max="3354" width="10.5703125" bestFit="1" customWidth="1"/>
    <col min="3355" max="3356" width="15.7109375" bestFit="1" customWidth="1"/>
    <col min="3357" max="3357" width="11.5703125" bestFit="1" customWidth="1"/>
    <col min="3358" max="3358" width="7.7109375" bestFit="1" customWidth="1"/>
    <col min="3359" max="3359" width="15.140625" bestFit="1" customWidth="1"/>
    <col min="3360" max="3360" width="11.5703125" bestFit="1" customWidth="1"/>
    <col min="3361" max="3361" width="13.28515625" bestFit="1" customWidth="1"/>
    <col min="3362" max="3362" width="10.42578125" bestFit="1" customWidth="1"/>
    <col min="3363" max="3363" width="13.28515625" bestFit="1" customWidth="1"/>
    <col min="3364" max="3364" width="12.140625" bestFit="1" customWidth="1"/>
    <col min="3365" max="3365" width="14.42578125" bestFit="1" customWidth="1"/>
    <col min="3366" max="3366" width="13.28515625" bestFit="1" customWidth="1"/>
    <col min="3367" max="3367" width="11.5703125" bestFit="1" customWidth="1"/>
    <col min="3368" max="3368" width="7.7109375" bestFit="1" customWidth="1"/>
    <col min="3369" max="3370" width="14.42578125" bestFit="1" customWidth="1"/>
    <col min="3371" max="3371" width="11.5703125" bestFit="1" customWidth="1"/>
    <col min="3372" max="3372" width="7.7109375" bestFit="1" customWidth="1"/>
    <col min="3373" max="3373" width="13.5703125" customWidth="1"/>
    <col min="3374" max="3374" width="15.28515625" customWidth="1"/>
    <col min="3375" max="3375" width="14.5703125" customWidth="1"/>
    <col min="3376" max="3376" width="13.28515625" bestFit="1" customWidth="1"/>
    <col min="3377" max="3377" width="7.7109375" bestFit="1" customWidth="1"/>
    <col min="3378" max="3378" width="12.7109375" bestFit="1" customWidth="1"/>
    <col min="3379" max="3379" width="11.7109375" bestFit="1" customWidth="1"/>
    <col min="3380" max="3380" width="11.5703125" bestFit="1" customWidth="1"/>
    <col min="3381" max="3381" width="5.28515625" bestFit="1" customWidth="1"/>
    <col min="3382" max="3382" width="13.28515625" bestFit="1" customWidth="1"/>
    <col min="3383" max="3383" width="13.5703125" bestFit="1" customWidth="1"/>
    <col min="3384" max="3384" width="10.5703125" bestFit="1" customWidth="1"/>
    <col min="3385" max="3385" width="13.28515625" bestFit="1" customWidth="1"/>
    <col min="3386" max="3386" width="11.5703125" bestFit="1" customWidth="1"/>
    <col min="3387" max="3387" width="10.5703125" bestFit="1" customWidth="1"/>
    <col min="3388" max="3388" width="16.140625" bestFit="1" customWidth="1"/>
    <col min="3389" max="3390" width="11.28515625" bestFit="1" customWidth="1"/>
    <col min="3391" max="3391" width="13.28515625" bestFit="1" customWidth="1"/>
    <col min="3392" max="3392" width="7.7109375" bestFit="1" customWidth="1"/>
    <col min="3393" max="3396" width="9.140625" hidden="1" customWidth="1"/>
    <col min="3397" max="3397" width="10.42578125" bestFit="1" customWidth="1"/>
    <col min="3398" max="3398" width="10.5703125" bestFit="1" customWidth="1"/>
    <col min="3399" max="3399" width="10.42578125" bestFit="1" customWidth="1"/>
    <col min="3400" max="3400" width="10.5703125" bestFit="1" customWidth="1"/>
    <col min="3401" max="3401" width="9.5703125" bestFit="1" customWidth="1"/>
    <col min="3402" max="3402" width="11.5703125" bestFit="1" customWidth="1"/>
    <col min="3403" max="3403" width="10.42578125" bestFit="1" customWidth="1"/>
    <col min="3404" max="3404" width="10.85546875" customWidth="1"/>
    <col min="3405" max="3406" width="9.85546875" bestFit="1" customWidth="1"/>
    <col min="3407" max="3407" width="13.5703125" bestFit="1" customWidth="1"/>
    <col min="3408" max="3408" width="7.7109375" bestFit="1" customWidth="1"/>
    <col min="3409" max="3409" width="13.28515625" bestFit="1" customWidth="1"/>
    <col min="3410" max="3410" width="11.5703125" bestFit="1" customWidth="1"/>
    <col min="3411" max="3411" width="10.42578125" bestFit="1" customWidth="1"/>
    <col min="3412" max="3412" width="7.7109375" bestFit="1" customWidth="1"/>
    <col min="3413" max="3413" width="11.5703125" bestFit="1" customWidth="1"/>
    <col min="3414" max="3414" width="10.85546875" bestFit="1" customWidth="1"/>
    <col min="3415" max="3415" width="13.28515625" bestFit="1" customWidth="1"/>
    <col min="3416" max="3416" width="10.85546875" bestFit="1" customWidth="1"/>
    <col min="3417" max="3418" width="7.5703125" bestFit="1" customWidth="1"/>
    <col min="3419" max="3420" width="10.42578125" bestFit="1" customWidth="1"/>
    <col min="3421" max="3421" width="11.5703125" bestFit="1" customWidth="1"/>
    <col min="3422" max="3422" width="5.28515625" bestFit="1" customWidth="1"/>
    <col min="3423" max="3423" width="10.28515625" bestFit="1" customWidth="1"/>
    <col min="3424" max="3424" width="10.42578125" bestFit="1" customWidth="1"/>
    <col min="3425" max="3425" width="11.5703125" bestFit="1" customWidth="1"/>
    <col min="3426" max="3426" width="5.28515625" bestFit="1" customWidth="1"/>
    <col min="3427" max="3429" width="11.5703125" bestFit="1" customWidth="1"/>
    <col min="3430" max="3430" width="5.28515625" bestFit="1" customWidth="1"/>
    <col min="3431" max="3432" width="10.42578125" bestFit="1" customWidth="1"/>
    <col min="3433" max="3433" width="11.5703125" bestFit="1" customWidth="1"/>
    <col min="3434" max="3434" width="5.28515625" bestFit="1" customWidth="1"/>
    <col min="3435" max="3435" width="14.28515625" bestFit="1" customWidth="1"/>
    <col min="3436" max="3436" width="13" bestFit="1" customWidth="1"/>
    <col min="3437" max="3437" width="11.5703125" bestFit="1" customWidth="1"/>
    <col min="3438" max="3438" width="8.85546875" bestFit="1" customWidth="1"/>
    <col min="3439" max="3439" width="14.42578125" bestFit="1" customWidth="1"/>
    <col min="3440" max="3440" width="10.42578125" bestFit="1" customWidth="1"/>
    <col min="3441" max="3441" width="12.28515625" bestFit="1" customWidth="1"/>
    <col min="3442" max="3442" width="13.85546875" bestFit="1" customWidth="1"/>
    <col min="3443" max="3443" width="11.28515625" customWidth="1"/>
    <col min="3444" max="3444" width="11.5703125" customWidth="1"/>
    <col min="3445" max="3445" width="13.42578125" bestFit="1" customWidth="1"/>
    <col min="3446" max="3446" width="10.42578125" customWidth="1"/>
    <col min="3447" max="3447" width="13.85546875" bestFit="1" customWidth="1"/>
    <col min="3448" max="3448" width="15.42578125" bestFit="1" customWidth="1"/>
    <col min="3449" max="3449" width="12.28515625" bestFit="1" customWidth="1"/>
    <col min="3450" max="3450" width="12.7109375" customWidth="1"/>
    <col min="3451" max="3451" width="10.7109375" bestFit="1" customWidth="1"/>
    <col min="3452" max="3452" width="9.85546875" customWidth="1"/>
    <col min="3453" max="3454" width="10.140625" bestFit="1" customWidth="1"/>
    <col min="3455" max="3455" width="7.5703125" bestFit="1" customWidth="1"/>
    <col min="3456" max="3456" width="9.42578125" bestFit="1" customWidth="1"/>
    <col min="3457" max="3457" width="14.5703125" bestFit="1" customWidth="1"/>
    <col min="3458" max="3458" width="14.85546875" customWidth="1"/>
    <col min="3459" max="3459" width="15.140625" bestFit="1" customWidth="1"/>
    <col min="3460" max="3460" width="12.140625" bestFit="1" customWidth="1"/>
    <col min="3461" max="3461" width="14.85546875" bestFit="1" customWidth="1"/>
    <col min="3462" max="3462" width="12.28515625" bestFit="1" customWidth="1"/>
    <col min="3463" max="3471" width="9.140625" hidden="1" customWidth="1"/>
    <col min="3472" max="3472" width="5.28515625" bestFit="1" customWidth="1"/>
    <col min="3473" max="3478" width="11.5703125" bestFit="1" customWidth="1"/>
    <col min="3479" max="3479" width="11.28515625" bestFit="1" customWidth="1"/>
    <col min="3480" max="3480" width="10.140625" bestFit="1" customWidth="1"/>
    <col min="3481" max="3481" width="11.5703125" bestFit="1" customWidth="1"/>
    <col min="3482" max="3482" width="16.140625" customWidth="1"/>
    <col min="3483" max="3483" width="13.42578125" customWidth="1"/>
    <col min="3484" max="3484" width="10.140625" bestFit="1" customWidth="1"/>
    <col min="3485" max="3485" width="12.85546875" bestFit="1" customWidth="1"/>
    <col min="3486" max="3486" width="12.28515625" bestFit="1" customWidth="1"/>
    <col min="3487" max="3487" width="11.28515625" bestFit="1" customWidth="1"/>
    <col min="3488" max="3488" width="11.5703125" bestFit="1" customWidth="1"/>
    <col min="3489" max="3489" width="10.85546875" bestFit="1" customWidth="1"/>
    <col min="3490" max="3490" width="11.28515625" bestFit="1" customWidth="1"/>
    <col min="3491" max="3491" width="10.140625" bestFit="1" customWidth="1"/>
    <col min="3492" max="3492" width="13.28515625" bestFit="1" customWidth="1"/>
    <col min="3493" max="3494" width="12.7109375" bestFit="1" customWidth="1"/>
    <col min="3495" max="3495" width="11" bestFit="1" customWidth="1"/>
    <col min="3496" max="3496" width="11.28515625" bestFit="1" customWidth="1"/>
    <col min="3497" max="3497" width="11.5703125" bestFit="1" customWidth="1"/>
    <col min="3498" max="3498" width="12.28515625" bestFit="1" customWidth="1"/>
    <col min="3499" max="3499" width="15.140625" bestFit="1" customWidth="1"/>
    <col min="3500" max="3500" width="14.42578125" bestFit="1" customWidth="1"/>
    <col min="3501" max="3501" width="12.28515625" bestFit="1" customWidth="1"/>
    <col min="3502" max="3502" width="15.140625" bestFit="1" customWidth="1"/>
    <col min="3503" max="3503" width="14.42578125" bestFit="1" customWidth="1"/>
    <col min="3504" max="3504" width="12.28515625" bestFit="1" customWidth="1"/>
    <col min="3505" max="3505" width="14.42578125" bestFit="1" customWidth="1"/>
    <col min="3506" max="3506" width="11.28515625" bestFit="1" customWidth="1"/>
    <col min="3507" max="3507" width="12.28515625" bestFit="1" customWidth="1"/>
    <col min="3508" max="3508" width="13" bestFit="1" customWidth="1"/>
    <col min="3509" max="3509" width="15.140625" bestFit="1" customWidth="1"/>
    <col min="3510" max="3510" width="12.28515625" bestFit="1" customWidth="1"/>
    <col min="3511" max="3511" width="13.85546875" bestFit="1" customWidth="1"/>
    <col min="3512" max="3512" width="11.28515625" bestFit="1" customWidth="1"/>
    <col min="3513" max="3513" width="12.28515625" bestFit="1" customWidth="1"/>
    <col min="3514" max="3514" width="13.85546875" bestFit="1" customWidth="1"/>
    <col min="3515" max="3516" width="15.140625" bestFit="1" customWidth="1"/>
    <col min="3517" max="3517" width="12.28515625" bestFit="1" customWidth="1"/>
    <col min="3518" max="3518" width="5.7109375" bestFit="1" customWidth="1"/>
    <col min="3519" max="3519" width="8.5703125" bestFit="1" customWidth="1"/>
    <col min="3520" max="3520" width="5.5703125" bestFit="1" customWidth="1"/>
    <col min="3521" max="3521" width="14.42578125" bestFit="1" customWidth="1"/>
    <col min="3522" max="3522" width="11.28515625" bestFit="1" customWidth="1"/>
    <col min="3523" max="3524" width="12.28515625" bestFit="1" customWidth="1"/>
    <col min="3525" max="3525" width="11.28515625" bestFit="1" customWidth="1"/>
    <col min="3526" max="3526" width="13.85546875" bestFit="1" customWidth="1"/>
    <col min="3527" max="3527" width="12" bestFit="1" customWidth="1"/>
    <col min="3528" max="3528" width="13.85546875" bestFit="1" customWidth="1"/>
    <col min="3529" max="3530" width="14.42578125" customWidth="1"/>
    <col min="3531" max="3531" width="10.140625" bestFit="1" customWidth="1"/>
    <col min="3532" max="3532" width="12.28515625" bestFit="1" customWidth="1"/>
    <col min="3533" max="3533" width="7.42578125" bestFit="1" customWidth="1"/>
    <col min="3534" max="3534" width="8.5703125" bestFit="1" customWidth="1"/>
    <col min="3535" max="3535" width="11.5703125" bestFit="1" customWidth="1"/>
    <col min="3536" max="3536" width="13.28515625" bestFit="1" customWidth="1"/>
    <col min="3537" max="3537" width="13.28515625" customWidth="1"/>
    <col min="3538" max="3538" width="13.140625" customWidth="1"/>
    <col min="3539" max="3539" width="12.7109375" bestFit="1" customWidth="1"/>
    <col min="3540" max="3540" width="13.28515625" bestFit="1" customWidth="1"/>
    <col min="3541" max="3543" width="13.28515625" customWidth="1"/>
    <col min="3544" max="3544" width="12.140625" bestFit="1" customWidth="1"/>
    <col min="3545" max="3545" width="12.7109375" bestFit="1" customWidth="1"/>
    <col min="3546" max="3546" width="11" customWidth="1"/>
    <col min="3547" max="3547" width="16.7109375" customWidth="1"/>
    <col min="3548" max="3548" width="17" customWidth="1"/>
    <col min="3549" max="3549" width="10.42578125" bestFit="1" customWidth="1"/>
    <col min="3593" max="3593" width="3.85546875" customWidth="1"/>
    <col min="3594" max="3594" width="15.28515625" bestFit="1" customWidth="1"/>
    <col min="3595" max="3595" width="12.28515625" customWidth="1"/>
    <col min="3596" max="3596" width="16.28515625" bestFit="1" customWidth="1"/>
    <col min="3597" max="3597" width="6.42578125" bestFit="1" customWidth="1"/>
    <col min="3598" max="3598" width="9.28515625" bestFit="1" customWidth="1"/>
    <col min="3599" max="3599" width="7.5703125" bestFit="1" customWidth="1"/>
    <col min="3600" max="3600" width="13.28515625" bestFit="1" customWidth="1"/>
    <col min="3601" max="3601" width="9.28515625" bestFit="1" customWidth="1"/>
    <col min="3602" max="3602" width="11.5703125" bestFit="1" customWidth="1"/>
    <col min="3603" max="3603" width="13.28515625" bestFit="1" customWidth="1"/>
    <col min="3604" max="3604" width="7.140625" bestFit="1" customWidth="1"/>
    <col min="3605" max="3605" width="12" bestFit="1" customWidth="1"/>
    <col min="3606" max="3606" width="13.28515625" bestFit="1" customWidth="1"/>
    <col min="3607" max="3607" width="7" bestFit="1" customWidth="1"/>
    <col min="3608" max="3608" width="12.7109375" bestFit="1" customWidth="1"/>
    <col min="3609" max="3609" width="11.5703125" bestFit="1" customWidth="1"/>
    <col min="3610" max="3610" width="10.5703125" bestFit="1" customWidth="1"/>
    <col min="3611" max="3612" width="15.7109375" bestFit="1" customWidth="1"/>
    <col min="3613" max="3613" width="11.5703125" bestFit="1" customWidth="1"/>
    <col min="3614" max="3614" width="7.7109375" bestFit="1" customWidth="1"/>
    <col min="3615" max="3615" width="15.140625" bestFit="1" customWidth="1"/>
    <col min="3616" max="3616" width="11.5703125" bestFit="1" customWidth="1"/>
    <col min="3617" max="3617" width="13.28515625" bestFit="1" customWidth="1"/>
    <col min="3618" max="3618" width="10.42578125" bestFit="1" customWidth="1"/>
    <col min="3619" max="3619" width="13.28515625" bestFit="1" customWidth="1"/>
    <col min="3620" max="3620" width="12.140625" bestFit="1" customWidth="1"/>
    <col min="3621" max="3621" width="14.42578125" bestFit="1" customWidth="1"/>
    <col min="3622" max="3622" width="13.28515625" bestFit="1" customWidth="1"/>
    <col min="3623" max="3623" width="11.5703125" bestFit="1" customWidth="1"/>
    <col min="3624" max="3624" width="7.7109375" bestFit="1" customWidth="1"/>
    <col min="3625" max="3626" width="14.42578125" bestFit="1" customWidth="1"/>
    <col min="3627" max="3627" width="11.5703125" bestFit="1" customWidth="1"/>
    <col min="3628" max="3628" width="7.7109375" bestFit="1" customWidth="1"/>
    <col min="3629" max="3629" width="13.5703125" customWidth="1"/>
    <col min="3630" max="3630" width="15.28515625" customWidth="1"/>
    <col min="3631" max="3631" width="14.5703125" customWidth="1"/>
    <col min="3632" max="3632" width="13.28515625" bestFit="1" customWidth="1"/>
    <col min="3633" max="3633" width="7.7109375" bestFit="1" customWidth="1"/>
    <col min="3634" max="3634" width="12.7109375" bestFit="1" customWidth="1"/>
    <col min="3635" max="3635" width="11.7109375" bestFit="1" customWidth="1"/>
    <col min="3636" max="3636" width="11.5703125" bestFit="1" customWidth="1"/>
    <col min="3637" max="3637" width="5.28515625" bestFit="1" customWidth="1"/>
    <col min="3638" max="3638" width="13.28515625" bestFit="1" customWidth="1"/>
    <col min="3639" max="3639" width="13.5703125" bestFit="1" customWidth="1"/>
    <col min="3640" max="3640" width="10.5703125" bestFit="1" customWidth="1"/>
    <col min="3641" max="3641" width="13.28515625" bestFit="1" customWidth="1"/>
    <col min="3642" max="3642" width="11.5703125" bestFit="1" customWidth="1"/>
    <col min="3643" max="3643" width="10.5703125" bestFit="1" customWidth="1"/>
    <col min="3644" max="3644" width="16.140625" bestFit="1" customWidth="1"/>
    <col min="3645" max="3646" width="11.28515625" bestFit="1" customWidth="1"/>
    <col min="3647" max="3647" width="13.28515625" bestFit="1" customWidth="1"/>
    <col min="3648" max="3648" width="7.7109375" bestFit="1" customWidth="1"/>
    <col min="3649" max="3652" width="9.140625" hidden="1" customWidth="1"/>
    <col min="3653" max="3653" width="10.42578125" bestFit="1" customWidth="1"/>
    <col min="3654" max="3654" width="10.5703125" bestFit="1" customWidth="1"/>
    <col min="3655" max="3655" width="10.42578125" bestFit="1" customWidth="1"/>
    <col min="3656" max="3656" width="10.5703125" bestFit="1" customWidth="1"/>
    <col min="3657" max="3657" width="9.5703125" bestFit="1" customWidth="1"/>
    <col min="3658" max="3658" width="11.5703125" bestFit="1" customWidth="1"/>
    <col min="3659" max="3659" width="10.42578125" bestFit="1" customWidth="1"/>
    <col min="3660" max="3660" width="10.85546875" customWidth="1"/>
    <col min="3661" max="3662" width="9.85546875" bestFit="1" customWidth="1"/>
    <col min="3663" max="3663" width="13.5703125" bestFit="1" customWidth="1"/>
    <col min="3664" max="3664" width="7.7109375" bestFit="1" customWidth="1"/>
    <col min="3665" max="3665" width="13.28515625" bestFit="1" customWidth="1"/>
    <col min="3666" max="3666" width="11.5703125" bestFit="1" customWidth="1"/>
    <col min="3667" max="3667" width="10.42578125" bestFit="1" customWidth="1"/>
    <col min="3668" max="3668" width="7.7109375" bestFit="1" customWidth="1"/>
    <col min="3669" max="3669" width="11.5703125" bestFit="1" customWidth="1"/>
    <col min="3670" max="3670" width="10.85546875" bestFit="1" customWidth="1"/>
    <col min="3671" max="3671" width="13.28515625" bestFit="1" customWidth="1"/>
    <col min="3672" max="3672" width="10.85546875" bestFit="1" customWidth="1"/>
    <col min="3673" max="3674" width="7.5703125" bestFit="1" customWidth="1"/>
    <col min="3675" max="3676" width="10.42578125" bestFit="1" customWidth="1"/>
    <col min="3677" max="3677" width="11.5703125" bestFit="1" customWidth="1"/>
    <col min="3678" max="3678" width="5.28515625" bestFit="1" customWidth="1"/>
    <col min="3679" max="3679" width="10.28515625" bestFit="1" customWidth="1"/>
    <col min="3680" max="3680" width="10.42578125" bestFit="1" customWidth="1"/>
    <col min="3681" max="3681" width="11.5703125" bestFit="1" customWidth="1"/>
    <col min="3682" max="3682" width="5.28515625" bestFit="1" customWidth="1"/>
    <col min="3683" max="3685" width="11.5703125" bestFit="1" customWidth="1"/>
    <col min="3686" max="3686" width="5.28515625" bestFit="1" customWidth="1"/>
    <col min="3687" max="3688" width="10.42578125" bestFit="1" customWidth="1"/>
    <col min="3689" max="3689" width="11.5703125" bestFit="1" customWidth="1"/>
    <col min="3690" max="3690" width="5.28515625" bestFit="1" customWidth="1"/>
    <col min="3691" max="3691" width="14.28515625" bestFit="1" customWidth="1"/>
    <col min="3692" max="3692" width="13" bestFit="1" customWidth="1"/>
    <col min="3693" max="3693" width="11.5703125" bestFit="1" customWidth="1"/>
    <col min="3694" max="3694" width="8.85546875" bestFit="1" customWidth="1"/>
    <col min="3695" max="3695" width="14.42578125" bestFit="1" customWidth="1"/>
    <col min="3696" max="3696" width="10.42578125" bestFit="1" customWidth="1"/>
    <col min="3697" max="3697" width="12.28515625" bestFit="1" customWidth="1"/>
    <col min="3698" max="3698" width="13.85546875" bestFit="1" customWidth="1"/>
    <col min="3699" max="3699" width="11.28515625" customWidth="1"/>
    <col min="3700" max="3700" width="11.5703125" customWidth="1"/>
    <col min="3701" max="3701" width="13.42578125" bestFit="1" customWidth="1"/>
    <col min="3702" max="3702" width="10.42578125" customWidth="1"/>
    <col min="3703" max="3703" width="13.85546875" bestFit="1" customWidth="1"/>
    <col min="3704" max="3704" width="15.42578125" bestFit="1" customWidth="1"/>
    <col min="3705" max="3705" width="12.28515625" bestFit="1" customWidth="1"/>
    <col min="3706" max="3706" width="12.7109375" customWidth="1"/>
    <col min="3707" max="3707" width="10.7109375" bestFit="1" customWidth="1"/>
    <col min="3708" max="3708" width="9.85546875" customWidth="1"/>
    <col min="3709" max="3710" width="10.140625" bestFit="1" customWidth="1"/>
    <col min="3711" max="3711" width="7.5703125" bestFit="1" customWidth="1"/>
    <col min="3712" max="3712" width="9.42578125" bestFit="1" customWidth="1"/>
    <col min="3713" max="3713" width="14.5703125" bestFit="1" customWidth="1"/>
    <col min="3714" max="3714" width="14.85546875" customWidth="1"/>
    <col min="3715" max="3715" width="15.140625" bestFit="1" customWidth="1"/>
    <col min="3716" max="3716" width="12.140625" bestFit="1" customWidth="1"/>
    <col min="3717" max="3717" width="14.85546875" bestFit="1" customWidth="1"/>
    <col min="3718" max="3718" width="12.28515625" bestFit="1" customWidth="1"/>
    <col min="3719" max="3727" width="9.140625" hidden="1" customWidth="1"/>
    <col min="3728" max="3728" width="5.28515625" bestFit="1" customWidth="1"/>
    <col min="3729" max="3734" width="11.5703125" bestFit="1" customWidth="1"/>
    <col min="3735" max="3735" width="11.28515625" bestFit="1" customWidth="1"/>
    <col min="3736" max="3736" width="10.140625" bestFit="1" customWidth="1"/>
    <col min="3737" max="3737" width="11.5703125" bestFit="1" customWidth="1"/>
    <col min="3738" max="3738" width="16.140625" customWidth="1"/>
    <col min="3739" max="3739" width="13.42578125" customWidth="1"/>
    <col min="3740" max="3740" width="10.140625" bestFit="1" customWidth="1"/>
    <col min="3741" max="3741" width="12.85546875" bestFit="1" customWidth="1"/>
    <col min="3742" max="3742" width="12.28515625" bestFit="1" customWidth="1"/>
    <col min="3743" max="3743" width="11.28515625" bestFit="1" customWidth="1"/>
    <col min="3744" max="3744" width="11.5703125" bestFit="1" customWidth="1"/>
    <col min="3745" max="3745" width="10.85546875" bestFit="1" customWidth="1"/>
    <col min="3746" max="3746" width="11.28515625" bestFit="1" customWidth="1"/>
    <col min="3747" max="3747" width="10.140625" bestFit="1" customWidth="1"/>
    <col min="3748" max="3748" width="13.28515625" bestFit="1" customWidth="1"/>
    <col min="3749" max="3750" width="12.7109375" bestFit="1" customWidth="1"/>
    <col min="3751" max="3751" width="11" bestFit="1" customWidth="1"/>
    <col min="3752" max="3752" width="11.28515625" bestFit="1" customWidth="1"/>
    <col min="3753" max="3753" width="11.5703125" bestFit="1" customWidth="1"/>
    <col min="3754" max="3754" width="12.28515625" bestFit="1" customWidth="1"/>
    <col min="3755" max="3755" width="15.140625" bestFit="1" customWidth="1"/>
    <col min="3756" max="3756" width="14.42578125" bestFit="1" customWidth="1"/>
    <col min="3757" max="3757" width="12.28515625" bestFit="1" customWidth="1"/>
    <col min="3758" max="3758" width="15.140625" bestFit="1" customWidth="1"/>
    <col min="3759" max="3759" width="14.42578125" bestFit="1" customWidth="1"/>
    <col min="3760" max="3760" width="12.28515625" bestFit="1" customWidth="1"/>
    <col min="3761" max="3761" width="14.42578125" bestFit="1" customWidth="1"/>
    <col min="3762" max="3762" width="11.28515625" bestFit="1" customWidth="1"/>
    <col min="3763" max="3763" width="12.28515625" bestFit="1" customWidth="1"/>
    <col min="3764" max="3764" width="13" bestFit="1" customWidth="1"/>
    <col min="3765" max="3765" width="15.140625" bestFit="1" customWidth="1"/>
    <col min="3766" max="3766" width="12.28515625" bestFit="1" customWidth="1"/>
    <col min="3767" max="3767" width="13.85546875" bestFit="1" customWidth="1"/>
    <col min="3768" max="3768" width="11.28515625" bestFit="1" customWidth="1"/>
    <col min="3769" max="3769" width="12.28515625" bestFit="1" customWidth="1"/>
    <col min="3770" max="3770" width="13.85546875" bestFit="1" customWidth="1"/>
    <col min="3771" max="3772" width="15.140625" bestFit="1" customWidth="1"/>
    <col min="3773" max="3773" width="12.28515625" bestFit="1" customWidth="1"/>
    <col min="3774" max="3774" width="5.7109375" bestFit="1" customWidth="1"/>
    <col min="3775" max="3775" width="8.5703125" bestFit="1" customWidth="1"/>
    <col min="3776" max="3776" width="5.5703125" bestFit="1" customWidth="1"/>
    <col min="3777" max="3777" width="14.42578125" bestFit="1" customWidth="1"/>
    <col min="3778" max="3778" width="11.28515625" bestFit="1" customWidth="1"/>
    <col min="3779" max="3780" width="12.28515625" bestFit="1" customWidth="1"/>
    <col min="3781" max="3781" width="11.28515625" bestFit="1" customWidth="1"/>
    <col min="3782" max="3782" width="13.85546875" bestFit="1" customWidth="1"/>
    <col min="3783" max="3783" width="12" bestFit="1" customWidth="1"/>
    <col min="3784" max="3784" width="13.85546875" bestFit="1" customWidth="1"/>
    <col min="3785" max="3786" width="14.42578125" customWidth="1"/>
    <col min="3787" max="3787" width="10.140625" bestFit="1" customWidth="1"/>
    <col min="3788" max="3788" width="12.28515625" bestFit="1" customWidth="1"/>
    <col min="3789" max="3789" width="7.42578125" bestFit="1" customWidth="1"/>
    <col min="3790" max="3790" width="8.5703125" bestFit="1" customWidth="1"/>
    <col min="3791" max="3791" width="11.5703125" bestFit="1" customWidth="1"/>
    <col min="3792" max="3792" width="13.28515625" bestFit="1" customWidth="1"/>
    <col min="3793" max="3793" width="13.28515625" customWidth="1"/>
    <col min="3794" max="3794" width="13.140625" customWidth="1"/>
    <col min="3795" max="3795" width="12.7109375" bestFit="1" customWidth="1"/>
    <col min="3796" max="3796" width="13.28515625" bestFit="1" customWidth="1"/>
    <col min="3797" max="3799" width="13.28515625" customWidth="1"/>
    <col min="3800" max="3800" width="12.140625" bestFit="1" customWidth="1"/>
    <col min="3801" max="3801" width="12.7109375" bestFit="1" customWidth="1"/>
    <col min="3802" max="3802" width="11" customWidth="1"/>
    <col min="3803" max="3803" width="16.7109375" customWidth="1"/>
    <col min="3804" max="3804" width="17" customWidth="1"/>
    <col min="3805" max="3805" width="10.42578125" bestFit="1" customWidth="1"/>
    <col min="3849" max="3849" width="3.85546875" customWidth="1"/>
    <col min="3850" max="3850" width="15.28515625" bestFit="1" customWidth="1"/>
    <col min="3851" max="3851" width="12.28515625" customWidth="1"/>
    <col min="3852" max="3852" width="16.28515625" bestFit="1" customWidth="1"/>
    <col min="3853" max="3853" width="6.42578125" bestFit="1" customWidth="1"/>
    <col min="3854" max="3854" width="9.28515625" bestFit="1" customWidth="1"/>
    <col min="3855" max="3855" width="7.5703125" bestFit="1" customWidth="1"/>
    <col min="3856" max="3856" width="13.28515625" bestFit="1" customWidth="1"/>
    <col min="3857" max="3857" width="9.28515625" bestFit="1" customWidth="1"/>
    <col min="3858" max="3858" width="11.5703125" bestFit="1" customWidth="1"/>
    <col min="3859" max="3859" width="13.28515625" bestFit="1" customWidth="1"/>
    <col min="3860" max="3860" width="7.140625" bestFit="1" customWidth="1"/>
    <col min="3861" max="3861" width="12" bestFit="1" customWidth="1"/>
    <col min="3862" max="3862" width="13.28515625" bestFit="1" customWidth="1"/>
    <col min="3863" max="3863" width="7" bestFit="1" customWidth="1"/>
    <col min="3864" max="3864" width="12.7109375" bestFit="1" customWidth="1"/>
    <col min="3865" max="3865" width="11.5703125" bestFit="1" customWidth="1"/>
    <col min="3866" max="3866" width="10.5703125" bestFit="1" customWidth="1"/>
    <col min="3867" max="3868" width="15.7109375" bestFit="1" customWidth="1"/>
    <col min="3869" max="3869" width="11.5703125" bestFit="1" customWidth="1"/>
    <col min="3870" max="3870" width="7.7109375" bestFit="1" customWidth="1"/>
    <col min="3871" max="3871" width="15.140625" bestFit="1" customWidth="1"/>
    <col min="3872" max="3872" width="11.5703125" bestFit="1" customWidth="1"/>
    <col min="3873" max="3873" width="13.28515625" bestFit="1" customWidth="1"/>
    <col min="3874" max="3874" width="10.42578125" bestFit="1" customWidth="1"/>
    <col min="3875" max="3875" width="13.28515625" bestFit="1" customWidth="1"/>
    <col min="3876" max="3876" width="12.140625" bestFit="1" customWidth="1"/>
    <col min="3877" max="3877" width="14.42578125" bestFit="1" customWidth="1"/>
    <col min="3878" max="3878" width="13.28515625" bestFit="1" customWidth="1"/>
    <col min="3879" max="3879" width="11.5703125" bestFit="1" customWidth="1"/>
    <col min="3880" max="3880" width="7.7109375" bestFit="1" customWidth="1"/>
    <col min="3881" max="3882" width="14.42578125" bestFit="1" customWidth="1"/>
    <col min="3883" max="3883" width="11.5703125" bestFit="1" customWidth="1"/>
    <col min="3884" max="3884" width="7.7109375" bestFit="1" customWidth="1"/>
    <col min="3885" max="3885" width="13.5703125" customWidth="1"/>
    <col min="3886" max="3886" width="15.28515625" customWidth="1"/>
    <col min="3887" max="3887" width="14.5703125" customWidth="1"/>
    <col min="3888" max="3888" width="13.28515625" bestFit="1" customWidth="1"/>
    <col min="3889" max="3889" width="7.7109375" bestFit="1" customWidth="1"/>
    <col min="3890" max="3890" width="12.7109375" bestFit="1" customWidth="1"/>
    <col min="3891" max="3891" width="11.7109375" bestFit="1" customWidth="1"/>
    <col min="3892" max="3892" width="11.5703125" bestFit="1" customWidth="1"/>
    <col min="3893" max="3893" width="5.28515625" bestFit="1" customWidth="1"/>
    <col min="3894" max="3894" width="13.28515625" bestFit="1" customWidth="1"/>
    <col min="3895" max="3895" width="13.5703125" bestFit="1" customWidth="1"/>
    <col min="3896" max="3896" width="10.5703125" bestFit="1" customWidth="1"/>
    <col min="3897" max="3897" width="13.28515625" bestFit="1" customWidth="1"/>
    <col min="3898" max="3898" width="11.5703125" bestFit="1" customWidth="1"/>
    <col min="3899" max="3899" width="10.5703125" bestFit="1" customWidth="1"/>
    <col min="3900" max="3900" width="16.140625" bestFit="1" customWidth="1"/>
    <col min="3901" max="3902" width="11.28515625" bestFit="1" customWidth="1"/>
    <col min="3903" max="3903" width="13.28515625" bestFit="1" customWidth="1"/>
    <col min="3904" max="3904" width="7.7109375" bestFit="1" customWidth="1"/>
    <col min="3905" max="3908" width="9.140625" hidden="1" customWidth="1"/>
    <col min="3909" max="3909" width="10.42578125" bestFit="1" customWidth="1"/>
    <col min="3910" max="3910" width="10.5703125" bestFit="1" customWidth="1"/>
    <col min="3911" max="3911" width="10.42578125" bestFit="1" customWidth="1"/>
    <col min="3912" max="3912" width="10.5703125" bestFit="1" customWidth="1"/>
    <col min="3913" max="3913" width="9.5703125" bestFit="1" customWidth="1"/>
    <col min="3914" max="3914" width="11.5703125" bestFit="1" customWidth="1"/>
    <col min="3915" max="3915" width="10.42578125" bestFit="1" customWidth="1"/>
    <col min="3916" max="3916" width="10.85546875" customWidth="1"/>
    <col min="3917" max="3918" width="9.85546875" bestFit="1" customWidth="1"/>
    <col min="3919" max="3919" width="13.5703125" bestFit="1" customWidth="1"/>
    <col min="3920" max="3920" width="7.7109375" bestFit="1" customWidth="1"/>
    <col min="3921" max="3921" width="13.28515625" bestFit="1" customWidth="1"/>
    <col min="3922" max="3922" width="11.5703125" bestFit="1" customWidth="1"/>
    <col min="3923" max="3923" width="10.42578125" bestFit="1" customWidth="1"/>
    <col min="3924" max="3924" width="7.7109375" bestFit="1" customWidth="1"/>
    <col min="3925" max="3925" width="11.5703125" bestFit="1" customWidth="1"/>
    <col min="3926" max="3926" width="10.85546875" bestFit="1" customWidth="1"/>
    <col min="3927" max="3927" width="13.28515625" bestFit="1" customWidth="1"/>
    <col min="3928" max="3928" width="10.85546875" bestFit="1" customWidth="1"/>
    <col min="3929" max="3930" width="7.5703125" bestFit="1" customWidth="1"/>
    <col min="3931" max="3932" width="10.42578125" bestFit="1" customWidth="1"/>
    <col min="3933" max="3933" width="11.5703125" bestFit="1" customWidth="1"/>
    <col min="3934" max="3934" width="5.28515625" bestFit="1" customWidth="1"/>
    <col min="3935" max="3935" width="10.28515625" bestFit="1" customWidth="1"/>
    <col min="3936" max="3936" width="10.42578125" bestFit="1" customWidth="1"/>
    <col min="3937" max="3937" width="11.5703125" bestFit="1" customWidth="1"/>
    <col min="3938" max="3938" width="5.28515625" bestFit="1" customWidth="1"/>
    <col min="3939" max="3941" width="11.5703125" bestFit="1" customWidth="1"/>
    <col min="3942" max="3942" width="5.28515625" bestFit="1" customWidth="1"/>
    <col min="3943" max="3944" width="10.42578125" bestFit="1" customWidth="1"/>
    <col min="3945" max="3945" width="11.5703125" bestFit="1" customWidth="1"/>
    <col min="3946" max="3946" width="5.28515625" bestFit="1" customWidth="1"/>
    <col min="3947" max="3947" width="14.28515625" bestFit="1" customWidth="1"/>
    <col min="3948" max="3948" width="13" bestFit="1" customWidth="1"/>
    <col min="3949" max="3949" width="11.5703125" bestFit="1" customWidth="1"/>
    <col min="3950" max="3950" width="8.85546875" bestFit="1" customWidth="1"/>
    <col min="3951" max="3951" width="14.42578125" bestFit="1" customWidth="1"/>
    <col min="3952" max="3952" width="10.42578125" bestFit="1" customWidth="1"/>
    <col min="3953" max="3953" width="12.28515625" bestFit="1" customWidth="1"/>
    <col min="3954" max="3954" width="13.85546875" bestFit="1" customWidth="1"/>
    <col min="3955" max="3955" width="11.28515625" customWidth="1"/>
    <col min="3956" max="3956" width="11.5703125" customWidth="1"/>
    <col min="3957" max="3957" width="13.42578125" bestFit="1" customWidth="1"/>
    <col min="3958" max="3958" width="10.42578125" customWidth="1"/>
    <col min="3959" max="3959" width="13.85546875" bestFit="1" customWidth="1"/>
    <col min="3960" max="3960" width="15.42578125" bestFit="1" customWidth="1"/>
    <col min="3961" max="3961" width="12.28515625" bestFit="1" customWidth="1"/>
    <col min="3962" max="3962" width="12.7109375" customWidth="1"/>
    <col min="3963" max="3963" width="10.7109375" bestFit="1" customWidth="1"/>
    <col min="3964" max="3964" width="9.85546875" customWidth="1"/>
    <col min="3965" max="3966" width="10.140625" bestFit="1" customWidth="1"/>
    <col min="3967" max="3967" width="7.5703125" bestFit="1" customWidth="1"/>
    <col min="3968" max="3968" width="9.42578125" bestFit="1" customWidth="1"/>
    <col min="3969" max="3969" width="14.5703125" bestFit="1" customWidth="1"/>
    <col min="3970" max="3970" width="14.85546875" customWidth="1"/>
    <col min="3971" max="3971" width="15.140625" bestFit="1" customWidth="1"/>
    <col min="3972" max="3972" width="12.140625" bestFit="1" customWidth="1"/>
    <col min="3973" max="3973" width="14.85546875" bestFit="1" customWidth="1"/>
    <col min="3974" max="3974" width="12.28515625" bestFit="1" customWidth="1"/>
    <col min="3975" max="3983" width="9.140625" hidden="1" customWidth="1"/>
    <col min="3984" max="3984" width="5.28515625" bestFit="1" customWidth="1"/>
    <col min="3985" max="3990" width="11.5703125" bestFit="1" customWidth="1"/>
    <col min="3991" max="3991" width="11.28515625" bestFit="1" customWidth="1"/>
    <col min="3992" max="3992" width="10.140625" bestFit="1" customWidth="1"/>
    <col min="3993" max="3993" width="11.5703125" bestFit="1" customWidth="1"/>
    <col min="3994" max="3994" width="16.140625" customWidth="1"/>
    <col min="3995" max="3995" width="13.42578125" customWidth="1"/>
    <col min="3996" max="3996" width="10.140625" bestFit="1" customWidth="1"/>
    <col min="3997" max="3997" width="12.85546875" bestFit="1" customWidth="1"/>
    <col min="3998" max="3998" width="12.28515625" bestFit="1" customWidth="1"/>
    <col min="3999" max="3999" width="11.28515625" bestFit="1" customWidth="1"/>
    <col min="4000" max="4000" width="11.5703125" bestFit="1" customWidth="1"/>
    <col min="4001" max="4001" width="10.85546875" bestFit="1" customWidth="1"/>
    <col min="4002" max="4002" width="11.28515625" bestFit="1" customWidth="1"/>
    <col min="4003" max="4003" width="10.140625" bestFit="1" customWidth="1"/>
    <col min="4004" max="4004" width="13.28515625" bestFit="1" customWidth="1"/>
    <col min="4005" max="4006" width="12.7109375" bestFit="1" customWidth="1"/>
    <col min="4007" max="4007" width="11" bestFit="1" customWidth="1"/>
    <col min="4008" max="4008" width="11.28515625" bestFit="1" customWidth="1"/>
    <col min="4009" max="4009" width="11.5703125" bestFit="1" customWidth="1"/>
    <col min="4010" max="4010" width="12.28515625" bestFit="1" customWidth="1"/>
    <col min="4011" max="4011" width="15.140625" bestFit="1" customWidth="1"/>
    <col min="4012" max="4012" width="14.42578125" bestFit="1" customWidth="1"/>
    <col min="4013" max="4013" width="12.28515625" bestFit="1" customWidth="1"/>
    <col min="4014" max="4014" width="15.140625" bestFit="1" customWidth="1"/>
    <col min="4015" max="4015" width="14.42578125" bestFit="1" customWidth="1"/>
    <col min="4016" max="4016" width="12.28515625" bestFit="1" customWidth="1"/>
    <col min="4017" max="4017" width="14.42578125" bestFit="1" customWidth="1"/>
    <col min="4018" max="4018" width="11.28515625" bestFit="1" customWidth="1"/>
    <col min="4019" max="4019" width="12.28515625" bestFit="1" customWidth="1"/>
    <col min="4020" max="4020" width="13" bestFit="1" customWidth="1"/>
    <col min="4021" max="4021" width="15.140625" bestFit="1" customWidth="1"/>
    <col min="4022" max="4022" width="12.28515625" bestFit="1" customWidth="1"/>
    <col min="4023" max="4023" width="13.85546875" bestFit="1" customWidth="1"/>
    <col min="4024" max="4024" width="11.28515625" bestFit="1" customWidth="1"/>
    <col min="4025" max="4025" width="12.28515625" bestFit="1" customWidth="1"/>
    <col min="4026" max="4026" width="13.85546875" bestFit="1" customWidth="1"/>
    <col min="4027" max="4028" width="15.140625" bestFit="1" customWidth="1"/>
    <col min="4029" max="4029" width="12.28515625" bestFit="1" customWidth="1"/>
    <col min="4030" max="4030" width="5.7109375" bestFit="1" customWidth="1"/>
    <col min="4031" max="4031" width="8.5703125" bestFit="1" customWidth="1"/>
    <col min="4032" max="4032" width="5.5703125" bestFit="1" customWidth="1"/>
    <col min="4033" max="4033" width="14.42578125" bestFit="1" customWidth="1"/>
    <col min="4034" max="4034" width="11.28515625" bestFit="1" customWidth="1"/>
    <col min="4035" max="4036" width="12.28515625" bestFit="1" customWidth="1"/>
    <col min="4037" max="4037" width="11.28515625" bestFit="1" customWidth="1"/>
    <col min="4038" max="4038" width="13.85546875" bestFit="1" customWidth="1"/>
    <col min="4039" max="4039" width="12" bestFit="1" customWidth="1"/>
    <col min="4040" max="4040" width="13.85546875" bestFit="1" customWidth="1"/>
    <col min="4041" max="4042" width="14.42578125" customWidth="1"/>
    <col min="4043" max="4043" width="10.140625" bestFit="1" customWidth="1"/>
    <col min="4044" max="4044" width="12.28515625" bestFit="1" customWidth="1"/>
    <col min="4045" max="4045" width="7.42578125" bestFit="1" customWidth="1"/>
    <col min="4046" max="4046" width="8.5703125" bestFit="1" customWidth="1"/>
    <col min="4047" max="4047" width="11.5703125" bestFit="1" customWidth="1"/>
    <col min="4048" max="4048" width="13.28515625" bestFit="1" customWidth="1"/>
    <col min="4049" max="4049" width="13.28515625" customWidth="1"/>
    <col min="4050" max="4050" width="13.140625" customWidth="1"/>
    <col min="4051" max="4051" width="12.7109375" bestFit="1" customWidth="1"/>
    <col min="4052" max="4052" width="13.28515625" bestFit="1" customWidth="1"/>
    <col min="4053" max="4055" width="13.28515625" customWidth="1"/>
    <col min="4056" max="4056" width="12.140625" bestFit="1" customWidth="1"/>
    <col min="4057" max="4057" width="12.7109375" bestFit="1" customWidth="1"/>
    <col min="4058" max="4058" width="11" customWidth="1"/>
    <col min="4059" max="4059" width="16.7109375" customWidth="1"/>
    <col min="4060" max="4060" width="17" customWidth="1"/>
    <col min="4061" max="4061" width="10.42578125" bestFit="1" customWidth="1"/>
    <col min="4105" max="4105" width="3.85546875" customWidth="1"/>
    <col min="4106" max="4106" width="15.28515625" bestFit="1" customWidth="1"/>
    <col min="4107" max="4107" width="12.28515625" customWidth="1"/>
    <col min="4108" max="4108" width="16.28515625" bestFit="1" customWidth="1"/>
    <col min="4109" max="4109" width="6.42578125" bestFit="1" customWidth="1"/>
    <col min="4110" max="4110" width="9.28515625" bestFit="1" customWidth="1"/>
    <col min="4111" max="4111" width="7.5703125" bestFit="1" customWidth="1"/>
    <col min="4112" max="4112" width="13.28515625" bestFit="1" customWidth="1"/>
    <col min="4113" max="4113" width="9.28515625" bestFit="1" customWidth="1"/>
    <col min="4114" max="4114" width="11.5703125" bestFit="1" customWidth="1"/>
    <col min="4115" max="4115" width="13.28515625" bestFit="1" customWidth="1"/>
    <col min="4116" max="4116" width="7.140625" bestFit="1" customWidth="1"/>
    <col min="4117" max="4117" width="12" bestFit="1" customWidth="1"/>
    <col min="4118" max="4118" width="13.28515625" bestFit="1" customWidth="1"/>
    <col min="4119" max="4119" width="7" bestFit="1" customWidth="1"/>
    <col min="4120" max="4120" width="12.7109375" bestFit="1" customWidth="1"/>
    <col min="4121" max="4121" width="11.5703125" bestFit="1" customWidth="1"/>
    <col min="4122" max="4122" width="10.5703125" bestFit="1" customWidth="1"/>
    <col min="4123" max="4124" width="15.7109375" bestFit="1" customWidth="1"/>
    <col min="4125" max="4125" width="11.5703125" bestFit="1" customWidth="1"/>
    <col min="4126" max="4126" width="7.7109375" bestFit="1" customWidth="1"/>
    <col min="4127" max="4127" width="15.140625" bestFit="1" customWidth="1"/>
    <col min="4128" max="4128" width="11.5703125" bestFit="1" customWidth="1"/>
    <col min="4129" max="4129" width="13.28515625" bestFit="1" customWidth="1"/>
    <col min="4130" max="4130" width="10.42578125" bestFit="1" customWidth="1"/>
    <col min="4131" max="4131" width="13.28515625" bestFit="1" customWidth="1"/>
    <col min="4132" max="4132" width="12.140625" bestFit="1" customWidth="1"/>
    <col min="4133" max="4133" width="14.42578125" bestFit="1" customWidth="1"/>
    <col min="4134" max="4134" width="13.28515625" bestFit="1" customWidth="1"/>
    <col min="4135" max="4135" width="11.5703125" bestFit="1" customWidth="1"/>
    <col min="4136" max="4136" width="7.7109375" bestFit="1" customWidth="1"/>
    <col min="4137" max="4138" width="14.42578125" bestFit="1" customWidth="1"/>
    <col min="4139" max="4139" width="11.5703125" bestFit="1" customWidth="1"/>
    <col min="4140" max="4140" width="7.7109375" bestFit="1" customWidth="1"/>
    <col min="4141" max="4141" width="13.5703125" customWidth="1"/>
    <col min="4142" max="4142" width="15.28515625" customWidth="1"/>
    <col min="4143" max="4143" width="14.5703125" customWidth="1"/>
    <col min="4144" max="4144" width="13.28515625" bestFit="1" customWidth="1"/>
    <col min="4145" max="4145" width="7.7109375" bestFit="1" customWidth="1"/>
    <col min="4146" max="4146" width="12.7109375" bestFit="1" customWidth="1"/>
    <col min="4147" max="4147" width="11.7109375" bestFit="1" customWidth="1"/>
    <col min="4148" max="4148" width="11.5703125" bestFit="1" customWidth="1"/>
    <col min="4149" max="4149" width="5.28515625" bestFit="1" customWidth="1"/>
    <col min="4150" max="4150" width="13.28515625" bestFit="1" customWidth="1"/>
    <col min="4151" max="4151" width="13.5703125" bestFit="1" customWidth="1"/>
    <col min="4152" max="4152" width="10.5703125" bestFit="1" customWidth="1"/>
    <col min="4153" max="4153" width="13.28515625" bestFit="1" customWidth="1"/>
    <col min="4154" max="4154" width="11.5703125" bestFit="1" customWidth="1"/>
    <col min="4155" max="4155" width="10.5703125" bestFit="1" customWidth="1"/>
    <col min="4156" max="4156" width="16.140625" bestFit="1" customWidth="1"/>
    <col min="4157" max="4158" width="11.28515625" bestFit="1" customWidth="1"/>
    <col min="4159" max="4159" width="13.28515625" bestFit="1" customWidth="1"/>
    <col min="4160" max="4160" width="7.7109375" bestFit="1" customWidth="1"/>
    <col min="4161" max="4164" width="9.140625" hidden="1" customWidth="1"/>
    <col min="4165" max="4165" width="10.42578125" bestFit="1" customWidth="1"/>
    <col min="4166" max="4166" width="10.5703125" bestFit="1" customWidth="1"/>
    <col min="4167" max="4167" width="10.42578125" bestFit="1" customWidth="1"/>
    <col min="4168" max="4168" width="10.5703125" bestFit="1" customWidth="1"/>
    <col min="4169" max="4169" width="9.5703125" bestFit="1" customWidth="1"/>
    <col min="4170" max="4170" width="11.5703125" bestFit="1" customWidth="1"/>
    <col min="4171" max="4171" width="10.42578125" bestFit="1" customWidth="1"/>
    <col min="4172" max="4172" width="10.85546875" customWidth="1"/>
    <col min="4173" max="4174" width="9.85546875" bestFit="1" customWidth="1"/>
    <col min="4175" max="4175" width="13.5703125" bestFit="1" customWidth="1"/>
    <col min="4176" max="4176" width="7.7109375" bestFit="1" customWidth="1"/>
    <col min="4177" max="4177" width="13.28515625" bestFit="1" customWidth="1"/>
    <col min="4178" max="4178" width="11.5703125" bestFit="1" customWidth="1"/>
    <col min="4179" max="4179" width="10.42578125" bestFit="1" customWidth="1"/>
    <col min="4180" max="4180" width="7.7109375" bestFit="1" customWidth="1"/>
    <col min="4181" max="4181" width="11.5703125" bestFit="1" customWidth="1"/>
    <col min="4182" max="4182" width="10.85546875" bestFit="1" customWidth="1"/>
    <col min="4183" max="4183" width="13.28515625" bestFit="1" customWidth="1"/>
    <col min="4184" max="4184" width="10.85546875" bestFit="1" customWidth="1"/>
    <col min="4185" max="4186" width="7.5703125" bestFit="1" customWidth="1"/>
    <col min="4187" max="4188" width="10.42578125" bestFit="1" customWidth="1"/>
    <col min="4189" max="4189" width="11.5703125" bestFit="1" customWidth="1"/>
    <col min="4190" max="4190" width="5.28515625" bestFit="1" customWidth="1"/>
    <col min="4191" max="4191" width="10.28515625" bestFit="1" customWidth="1"/>
    <col min="4192" max="4192" width="10.42578125" bestFit="1" customWidth="1"/>
    <col min="4193" max="4193" width="11.5703125" bestFit="1" customWidth="1"/>
    <col min="4194" max="4194" width="5.28515625" bestFit="1" customWidth="1"/>
    <col min="4195" max="4197" width="11.5703125" bestFit="1" customWidth="1"/>
    <col min="4198" max="4198" width="5.28515625" bestFit="1" customWidth="1"/>
    <col min="4199" max="4200" width="10.42578125" bestFit="1" customWidth="1"/>
    <col min="4201" max="4201" width="11.5703125" bestFit="1" customWidth="1"/>
    <col min="4202" max="4202" width="5.28515625" bestFit="1" customWidth="1"/>
    <col min="4203" max="4203" width="14.28515625" bestFit="1" customWidth="1"/>
    <col min="4204" max="4204" width="13" bestFit="1" customWidth="1"/>
    <col min="4205" max="4205" width="11.5703125" bestFit="1" customWidth="1"/>
    <col min="4206" max="4206" width="8.85546875" bestFit="1" customWidth="1"/>
    <col min="4207" max="4207" width="14.42578125" bestFit="1" customWidth="1"/>
    <col min="4208" max="4208" width="10.42578125" bestFit="1" customWidth="1"/>
    <col min="4209" max="4209" width="12.28515625" bestFit="1" customWidth="1"/>
    <col min="4210" max="4210" width="13.85546875" bestFit="1" customWidth="1"/>
    <col min="4211" max="4211" width="11.28515625" customWidth="1"/>
    <col min="4212" max="4212" width="11.5703125" customWidth="1"/>
    <col min="4213" max="4213" width="13.42578125" bestFit="1" customWidth="1"/>
    <col min="4214" max="4214" width="10.42578125" customWidth="1"/>
    <col min="4215" max="4215" width="13.85546875" bestFit="1" customWidth="1"/>
    <col min="4216" max="4216" width="15.42578125" bestFit="1" customWidth="1"/>
    <col min="4217" max="4217" width="12.28515625" bestFit="1" customWidth="1"/>
    <col min="4218" max="4218" width="12.7109375" customWidth="1"/>
    <col min="4219" max="4219" width="10.7109375" bestFit="1" customWidth="1"/>
    <col min="4220" max="4220" width="9.85546875" customWidth="1"/>
    <col min="4221" max="4222" width="10.140625" bestFit="1" customWidth="1"/>
    <col min="4223" max="4223" width="7.5703125" bestFit="1" customWidth="1"/>
    <col min="4224" max="4224" width="9.42578125" bestFit="1" customWidth="1"/>
    <col min="4225" max="4225" width="14.5703125" bestFit="1" customWidth="1"/>
    <col min="4226" max="4226" width="14.85546875" customWidth="1"/>
    <col min="4227" max="4227" width="15.140625" bestFit="1" customWidth="1"/>
    <col min="4228" max="4228" width="12.140625" bestFit="1" customWidth="1"/>
    <col min="4229" max="4229" width="14.85546875" bestFit="1" customWidth="1"/>
    <col min="4230" max="4230" width="12.28515625" bestFit="1" customWidth="1"/>
    <col min="4231" max="4239" width="9.140625" hidden="1" customWidth="1"/>
    <col min="4240" max="4240" width="5.28515625" bestFit="1" customWidth="1"/>
    <col min="4241" max="4246" width="11.5703125" bestFit="1" customWidth="1"/>
    <col min="4247" max="4247" width="11.28515625" bestFit="1" customWidth="1"/>
    <col min="4248" max="4248" width="10.140625" bestFit="1" customWidth="1"/>
    <col min="4249" max="4249" width="11.5703125" bestFit="1" customWidth="1"/>
    <col min="4250" max="4250" width="16.140625" customWidth="1"/>
    <col min="4251" max="4251" width="13.42578125" customWidth="1"/>
    <col min="4252" max="4252" width="10.140625" bestFit="1" customWidth="1"/>
    <col min="4253" max="4253" width="12.85546875" bestFit="1" customWidth="1"/>
    <col min="4254" max="4254" width="12.28515625" bestFit="1" customWidth="1"/>
    <col min="4255" max="4255" width="11.28515625" bestFit="1" customWidth="1"/>
    <col min="4256" max="4256" width="11.5703125" bestFit="1" customWidth="1"/>
    <col min="4257" max="4257" width="10.85546875" bestFit="1" customWidth="1"/>
    <col min="4258" max="4258" width="11.28515625" bestFit="1" customWidth="1"/>
    <col min="4259" max="4259" width="10.140625" bestFit="1" customWidth="1"/>
    <col min="4260" max="4260" width="13.28515625" bestFit="1" customWidth="1"/>
    <col min="4261" max="4262" width="12.7109375" bestFit="1" customWidth="1"/>
    <col min="4263" max="4263" width="11" bestFit="1" customWidth="1"/>
    <col min="4264" max="4264" width="11.28515625" bestFit="1" customWidth="1"/>
    <col min="4265" max="4265" width="11.5703125" bestFit="1" customWidth="1"/>
    <col min="4266" max="4266" width="12.28515625" bestFit="1" customWidth="1"/>
    <col min="4267" max="4267" width="15.140625" bestFit="1" customWidth="1"/>
    <col min="4268" max="4268" width="14.42578125" bestFit="1" customWidth="1"/>
    <col min="4269" max="4269" width="12.28515625" bestFit="1" customWidth="1"/>
    <col min="4270" max="4270" width="15.140625" bestFit="1" customWidth="1"/>
    <col min="4271" max="4271" width="14.42578125" bestFit="1" customWidth="1"/>
    <col min="4272" max="4272" width="12.28515625" bestFit="1" customWidth="1"/>
    <col min="4273" max="4273" width="14.42578125" bestFit="1" customWidth="1"/>
    <col min="4274" max="4274" width="11.28515625" bestFit="1" customWidth="1"/>
    <col min="4275" max="4275" width="12.28515625" bestFit="1" customWidth="1"/>
    <col min="4276" max="4276" width="13" bestFit="1" customWidth="1"/>
    <col min="4277" max="4277" width="15.140625" bestFit="1" customWidth="1"/>
    <col min="4278" max="4278" width="12.28515625" bestFit="1" customWidth="1"/>
    <col min="4279" max="4279" width="13.85546875" bestFit="1" customWidth="1"/>
    <col min="4280" max="4280" width="11.28515625" bestFit="1" customWidth="1"/>
    <col min="4281" max="4281" width="12.28515625" bestFit="1" customWidth="1"/>
    <col min="4282" max="4282" width="13.85546875" bestFit="1" customWidth="1"/>
    <col min="4283" max="4284" width="15.140625" bestFit="1" customWidth="1"/>
    <col min="4285" max="4285" width="12.28515625" bestFit="1" customWidth="1"/>
    <col min="4286" max="4286" width="5.7109375" bestFit="1" customWidth="1"/>
    <col min="4287" max="4287" width="8.5703125" bestFit="1" customWidth="1"/>
    <col min="4288" max="4288" width="5.5703125" bestFit="1" customWidth="1"/>
    <col min="4289" max="4289" width="14.42578125" bestFit="1" customWidth="1"/>
    <col min="4290" max="4290" width="11.28515625" bestFit="1" customWidth="1"/>
    <col min="4291" max="4292" width="12.28515625" bestFit="1" customWidth="1"/>
    <col min="4293" max="4293" width="11.28515625" bestFit="1" customWidth="1"/>
    <col min="4294" max="4294" width="13.85546875" bestFit="1" customWidth="1"/>
    <col min="4295" max="4295" width="12" bestFit="1" customWidth="1"/>
    <col min="4296" max="4296" width="13.85546875" bestFit="1" customWidth="1"/>
    <col min="4297" max="4298" width="14.42578125" customWidth="1"/>
    <col min="4299" max="4299" width="10.140625" bestFit="1" customWidth="1"/>
    <col min="4300" max="4300" width="12.28515625" bestFit="1" customWidth="1"/>
    <col min="4301" max="4301" width="7.42578125" bestFit="1" customWidth="1"/>
    <col min="4302" max="4302" width="8.5703125" bestFit="1" customWidth="1"/>
    <col min="4303" max="4303" width="11.5703125" bestFit="1" customWidth="1"/>
    <col min="4304" max="4304" width="13.28515625" bestFit="1" customWidth="1"/>
    <col min="4305" max="4305" width="13.28515625" customWidth="1"/>
    <col min="4306" max="4306" width="13.140625" customWidth="1"/>
    <col min="4307" max="4307" width="12.7109375" bestFit="1" customWidth="1"/>
    <col min="4308" max="4308" width="13.28515625" bestFit="1" customWidth="1"/>
    <col min="4309" max="4311" width="13.28515625" customWidth="1"/>
    <col min="4312" max="4312" width="12.140625" bestFit="1" customWidth="1"/>
    <col min="4313" max="4313" width="12.7109375" bestFit="1" customWidth="1"/>
    <col min="4314" max="4314" width="11" customWidth="1"/>
    <col min="4315" max="4315" width="16.7109375" customWidth="1"/>
    <col min="4316" max="4316" width="17" customWidth="1"/>
    <col min="4317" max="4317" width="10.42578125" bestFit="1" customWidth="1"/>
    <col min="4361" max="4361" width="3.85546875" customWidth="1"/>
    <col min="4362" max="4362" width="15.28515625" bestFit="1" customWidth="1"/>
    <col min="4363" max="4363" width="12.28515625" customWidth="1"/>
    <col min="4364" max="4364" width="16.28515625" bestFit="1" customWidth="1"/>
    <col min="4365" max="4365" width="6.42578125" bestFit="1" customWidth="1"/>
    <col min="4366" max="4366" width="9.28515625" bestFit="1" customWidth="1"/>
    <col min="4367" max="4367" width="7.5703125" bestFit="1" customWidth="1"/>
    <col min="4368" max="4368" width="13.28515625" bestFit="1" customWidth="1"/>
    <col min="4369" max="4369" width="9.28515625" bestFit="1" customWidth="1"/>
    <col min="4370" max="4370" width="11.5703125" bestFit="1" customWidth="1"/>
    <col min="4371" max="4371" width="13.28515625" bestFit="1" customWidth="1"/>
    <col min="4372" max="4372" width="7.140625" bestFit="1" customWidth="1"/>
    <col min="4373" max="4373" width="12" bestFit="1" customWidth="1"/>
    <col min="4374" max="4374" width="13.28515625" bestFit="1" customWidth="1"/>
    <col min="4375" max="4375" width="7" bestFit="1" customWidth="1"/>
    <col min="4376" max="4376" width="12.7109375" bestFit="1" customWidth="1"/>
    <col min="4377" max="4377" width="11.5703125" bestFit="1" customWidth="1"/>
    <col min="4378" max="4378" width="10.5703125" bestFit="1" customWidth="1"/>
    <col min="4379" max="4380" width="15.7109375" bestFit="1" customWidth="1"/>
    <col min="4381" max="4381" width="11.5703125" bestFit="1" customWidth="1"/>
    <col min="4382" max="4382" width="7.7109375" bestFit="1" customWidth="1"/>
    <col min="4383" max="4383" width="15.140625" bestFit="1" customWidth="1"/>
    <col min="4384" max="4384" width="11.5703125" bestFit="1" customWidth="1"/>
    <col min="4385" max="4385" width="13.28515625" bestFit="1" customWidth="1"/>
    <col min="4386" max="4386" width="10.42578125" bestFit="1" customWidth="1"/>
    <col min="4387" max="4387" width="13.28515625" bestFit="1" customWidth="1"/>
    <col min="4388" max="4388" width="12.140625" bestFit="1" customWidth="1"/>
    <col min="4389" max="4389" width="14.42578125" bestFit="1" customWidth="1"/>
    <col min="4390" max="4390" width="13.28515625" bestFit="1" customWidth="1"/>
    <col min="4391" max="4391" width="11.5703125" bestFit="1" customWidth="1"/>
    <col min="4392" max="4392" width="7.7109375" bestFit="1" customWidth="1"/>
    <col min="4393" max="4394" width="14.42578125" bestFit="1" customWidth="1"/>
    <col min="4395" max="4395" width="11.5703125" bestFit="1" customWidth="1"/>
    <col min="4396" max="4396" width="7.7109375" bestFit="1" customWidth="1"/>
    <col min="4397" max="4397" width="13.5703125" customWidth="1"/>
    <col min="4398" max="4398" width="15.28515625" customWidth="1"/>
    <col min="4399" max="4399" width="14.5703125" customWidth="1"/>
    <col min="4400" max="4400" width="13.28515625" bestFit="1" customWidth="1"/>
    <col min="4401" max="4401" width="7.7109375" bestFit="1" customWidth="1"/>
    <col min="4402" max="4402" width="12.7109375" bestFit="1" customWidth="1"/>
    <col min="4403" max="4403" width="11.7109375" bestFit="1" customWidth="1"/>
    <col min="4404" max="4404" width="11.5703125" bestFit="1" customWidth="1"/>
    <col min="4405" max="4405" width="5.28515625" bestFit="1" customWidth="1"/>
    <col min="4406" max="4406" width="13.28515625" bestFit="1" customWidth="1"/>
    <col min="4407" max="4407" width="13.5703125" bestFit="1" customWidth="1"/>
    <col min="4408" max="4408" width="10.5703125" bestFit="1" customWidth="1"/>
    <col min="4409" max="4409" width="13.28515625" bestFit="1" customWidth="1"/>
    <col min="4410" max="4410" width="11.5703125" bestFit="1" customWidth="1"/>
    <col min="4411" max="4411" width="10.5703125" bestFit="1" customWidth="1"/>
    <col min="4412" max="4412" width="16.140625" bestFit="1" customWidth="1"/>
    <col min="4413" max="4414" width="11.28515625" bestFit="1" customWidth="1"/>
    <col min="4415" max="4415" width="13.28515625" bestFit="1" customWidth="1"/>
    <col min="4416" max="4416" width="7.7109375" bestFit="1" customWidth="1"/>
    <col min="4417" max="4420" width="9.140625" hidden="1" customWidth="1"/>
    <col min="4421" max="4421" width="10.42578125" bestFit="1" customWidth="1"/>
    <col min="4422" max="4422" width="10.5703125" bestFit="1" customWidth="1"/>
    <col min="4423" max="4423" width="10.42578125" bestFit="1" customWidth="1"/>
    <col min="4424" max="4424" width="10.5703125" bestFit="1" customWidth="1"/>
    <col min="4425" max="4425" width="9.5703125" bestFit="1" customWidth="1"/>
    <col min="4426" max="4426" width="11.5703125" bestFit="1" customWidth="1"/>
    <col min="4427" max="4427" width="10.42578125" bestFit="1" customWidth="1"/>
    <col min="4428" max="4428" width="10.85546875" customWidth="1"/>
    <col min="4429" max="4430" width="9.85546875" bestFit="1" customWidth="1"/>
    <col min="4431" max="4431" width="13.5703125" bestFit="1" customWidth="1"/>
    <col min="4432" max="4432" width="7.7109375" bestFit="1" customWidth="1"/>
    <col min="4433" max="4433" width="13.28515625" bestFit="1" customWidth="1"/>
    <col min="4434" max="4434" width="11.5703125" bestFit="1" customWidth="1"/>
    <col min="4435" max="4435" width="10.42578125" bestFit="1" customWidth="1"/>
    <col min="4436" max="4436" width="7.7109375" bestFit="1" customWidth="1"/>
    <col min="4437" max="4437" width="11.5703125" bestFit="1" customWidth="1"/>
    <col min="4438" max="4438" width="10.85546875" bestFit="1" customWidth="1"/>
    <col min="4439" max="4439" width="13.28515625" bestFit="1" customWidth="1"/>
    <col min="4440" max="4440" width="10.85546875" bestFit="1" customWidth="1"/>
    <col min="4441" max="4442" width="7.5703125" bestFit="1" customWidth="1"/>
    <col min="4443" max="4444" width="10.42578125" bestFit="1" customWidth="1"/>
    <col min="4445" max="4445" width="11.5703125" bestFit="1" customWidth="1"/>
    <col min="4446" max="4446" width="5.28515625" bestFit="1" customWidth="1"/>
    <col min="4447" max="4447" width="10.28515625" bestFit="1" customWidth="1"/>
    <col min="4448" max="4448" width="10.42578125" bestFit="1" customWidth="1"/>
    <col min="4449" max="4449" width="11.5703125" bestFit="1" customWidth="1"/>
    <col min="4450" max="4450" width="5.28515625" bestFit="1" customWidth="1"/>
    <col min="4451" max="4453" width="11.5703125" bestFit="1" customWidth="1"/>
    <col min="4454" max="4454" width="5.28515625" bestFit="1" customWidth="1"/>
    <col min="4455" max="4456" width="10.42578125" bestFit="1" customWidth="1"/>
    <col min="4457" max="4457" width="11.5703125" bestFit="1" customWidth="1"/>
    <col min="4458" max="4458" width="5.28515625" bestFit="1" customWidth="1"/>
    <col min="4459" max="4459" width="14.28515625" bestFit="1" customWidth="1"/>
    <col min="4460" max="4460" width="13" bestFit="1" customWidth="1"/>
    <col min="4461" max="4461" width="11.5703125" bestFit="1" customWidth="1"/>
    <col min="4462" max="4462" width="8.85546875" bestFit="1" customWidth="1"/>
    <col min="4463" max="4463" width="14.42578125" bestFit="1" customWidth="1"/>
    <col min="4464" max="4464" width="10.42578125" bestFit="1" customWidth="1"/>
    <col min="4465" max="4465" width="12.28515625" bestFit="1" customWidth="1"/>
    <col min="4466" max="4466" width="13.85546875" bestFit="1" customWidth="1"/>
    <col min="4467" max="4467" width="11.28515625" customWidth="1"/>
    <col min="4468" max="4468" width="11.5703125" customWidth="1"/>
    <col min="4469" max="4469" width="13.42578125" bestFit="1" customWidth="1"/>
    <col min="4470" max="4470" width="10.42578125" customWidth="1"/>
    <col min="4471" max="4471" width="13.85546875" bestFit="1" customWidth="1"/>
    <col min="4472" max="4472" width="15.42578125" bestFit="1" customWidth="1"/>
    <col min="4473" max="4473" width="12.28515625" bestFit="1" customWidth="1"/>
    <col min="4474" max="4474" width="12.7109375" customWidth="1"/>
    <col min="4475" max="4475" width="10.7109375" bestFit="1" customWidth="1"/>
    <col min="4476" max="4476" width="9.85546875" customWidth="1"/>
    <col min="4477" max="4478" width="10.140625" bestFit="1" customWidth="1"/>
    <col min="4479" max="4479" width="7.5703125" bestFit="1" customWidth="1"/>
    <col min="4480" max="4480" width="9.42578125" bestFit="1" customWidth="1"/>
    <col min="4481" max="4481" width="14.5703125" bestFit="1" customWidth="1"/>
    <col min="4482" max="4482" width="14.85546875" customWidth="1"/>
    <col min="4483" max="4483" width="15.140625" bestFit="1" customWidth="1"/>
    <col min="4484" max="4484" width="12.140625" bestFit="1" customWidth="1"/>
    <col min="4485" max="4485" width="14.85546875" bestFit="1" customWidth="1"/>
    <col min="4486" max="4486" width="12.28515625" bestFit="1" customWidth="1"/>
    <col min="4487" max="4495" width="9.140625" hidden="1" customWidth="1"/>
    <col min="4496" max="4496" width="5.28515625" bestFit="1" customWidth="1"/>
    <col min="4497" max="4502" width="11.5703125" bestFit="1" customWidth="1"/>
    <col min="4503" max="4503" width="11.28515625" bestFit="1" customWidth="1"/>
    <col min="4504" max="4504" width="10.140625" bestFit="1" customWidth="1"/>
    <col min="4505" max="4505" width="11.5703125" bestFit="1" customWidth="1"/>
    <col min="4506" max="4506" width="16.140625" customWidth="1"/>
    <col min="4507" max="4507" width="13.42578125" customWidth="1"/>
    <col min="4508" max="4508" width="10.140625" bestFit="1" customWidth="1"/>
    <col min="4509" max="4509" width="12.85546875" bestFit="1" customWidth="1"/>
    <col min="4510" max="4510" width="12.28515625" bestFit="1" customWidth="1"/>
    <col min="4511" max="4511" width="11.28515625" bestFit="1" customWidth="1"/>
    <col min="4512" max="4512" width="11.5703125" bestFit="1" customWidth="1"/>
    <col min="4513" max="4513" width="10.85546875" bestFit="1" customWidth="1"/>
    <col min="4514" max="4514" width="11.28515625" bestFit="1" customWidth="1"/>
    <col min="4515" max="4515" width="10.140625" bestFit="1" customWidth="1"/>
    <col min="4516" max="4516" width="13.28515625" bestFit="1" customWidth="1"/>
    <col min="4517" max="4518" width="12.7109375" bestFit="1" customWidth="1"/>
    <col min="4519" max="4519" width="11" bestFit="1" customWidth="1"/>
    <col min="4520" max="4520" width="11.28515625" bestFit="1" customWidth="1"/>
    <col min="4521" max="4521" width="11.5703125" bestFit="1" customWidth="1"/>
    <col min="4522" max="4522" width="12.28515625" bestFit="1" customWidth="1"/>
    <col min="4523" max="4523" width="15.140625" bestFit="1" customWidth="1"/>
    <col min="4524" max="4524" width="14.42578125" bestFit="1" customWidth="1"/>
    <col min="4525" max="4525" width="12.28515625" bestFit="1" customWidth="1"/>
    <col min="4526" max="4526" width="15.140625" bestFit="1" customWidth="1"/>
    <col min="4527" max="4527" width="14.42578125" bestFit="1" customWidth="1"/>
    <col min="4528" max="4528" width="12.28515625" bestFit="1" customWidth="1"/>
    <col min="4529" max="4529" width="14.42578125" bestFit="1" customWidth="1"/>
    <col min="4530" max="4530" width="11.28515625" bestFit="1" customWidth="1"/>
    <col min="4531" max="4531" width="12.28515625" bestFit="1" customWidth="1"/>
    <col min="4532" max="4532" width="13" bestFit="1" customWidth="1"/>
    <col min="4533" max="4533" width="15.140625" bestFit="1" customWidth="1"/>
    <col min="4534" max="4534" width="12.28515625" bestFit="1" customWidth="1"/>
    <col min="4535" max="4535" width="13.85546875" bestFit="1" customWidth="1"/>
    <col min="4536" max="4536" width="11.28515625" bestFit="1" customWidth="1"/>
    <col min="4537" max="4537" width="12.28515625" bestFit="1" customWidth="1"/>
    <col min="4538" max="4538" width="13.85546875" bestFit="1" customWidth="1"/>
    <col min="4539" max="4540" width="15.140625" bestFit="1" customWidth="1"/>
    <col min="4541" max="4541" width="12.28515625" bestFit="1" customWidth="1"/>
    <col min="4542" max="4542" width="5.7109375" bestFit="1" customWidth="1"/>
    <col min="4543" max="4543" width="8.5703125" bestFit="1" customWidth="1"/>
    <col min="4544" max="4544" width="5.5703125" bestFit="1" customWidth="1"/>
    <col min="4545" max="4545" width="14.42578125" bestFit="1" customWidth="1"/>
    <col min="4546" max="4546" width="11.28515625" bestFit="1" customWidth="1"/>
    <col min="4547" max="4548" width="12.28515625" bestFit="1" customWidth="1"/>
    <col min="4549" max="4549" width="11.28515625" bestFit="1" customWidth="1"/>
    <col min="4550" max="4550" width="13.85546875" bestFit="1" customWidth="1"/>
    <col min="4551" max="4551" width="12" bestFit="1" customWidth="1"/>
    <col min="4552" max="4552" width="13.85546875" bestFit="1" customWidth="1"/>
    <col min="4553" max="4554" width="14.42578125" customWidth="1"/>
    <col min="4555" max="4555" width="10.140625" bestFit="1" customWidth="1"/>
    <col min="4556" max="4556" width="12.28515625" bestFit="1" customWidth="1"/>
    <col min="4557" max="4557" width="7.42578125" bestFit="1" customWidth="1"/>
    <col min="4558" max="4558" width="8.5703125" bestFit="1" customWidth="1"/>
    <col min="4559" max="4559" width="11.5703125" bestFit="1" customWidth="1"/>
    <col min="4560" max="4560" width="13.28515625" bestFit="1" customWidth="1"/>
    <col min="4561" max="4561" width="13.28515625" customWidth="1"/>
    <col min="4562" max="4562" width="13.140625" customWidth="1"/>
    <col min="4563" max="4563" width="12.7109375" bestFit="1" customWidth="1"/>
    <col min="4564" max="4564" width="13.28515625" bestFit="1" customWidth="1"/>
    <col min="4565" max="4567" width="13.28515625" customWidth="1"/>
    <col min="4568" max="4568" width="12.140625" bestFit="1" customWidth="1"/>
    <col min="4569" max="4569" width="12.7109375" bestFit="1" customWidth="1"/>
    <col min="4570" max="4570" width="11" customWidth="1"/>
    <col min="4571" max="4571" width="16.7109375" customWidth="1"/>
    <col min="4572" max="4572" width="17" customWidth="1"/>
    <col min="4573" max="4573" width="10.42578125" bestFit="1" customWidth="1"/>
    <col min="4617" max="4617" width="3.85546875" customWidth="1"/>
    <col min="4618" max="4618" width="15.28515625" bestFit="1" customWidth="1"/>
    <col min="4619" max="4619" width="12.28515625" customWidth="1"/>
    <col min="4620" max="4620" width="16.28515625" bestFit="1" customWidth="1"/>
    <col min="4621" max="4621" width="6.42578125" bestFit="1" customWidth="1"/>
    <col min="4622" max="4622" width="9.28515625" bestFit="1" customWidth="1"/>
    <col min="4623" max="4623" width="7.5703125" bestFit="1" customWidth="1"/>
    <col min="4624" max="4624" width="13.28515625" bestFit="1" customWidth="1"/>
    <col min="4625" max="4625" width="9.28515625" bestFit="1" customWidth="1"/>
    <col min="4626" max="4626" width="11.5703125" bestFit="1" customWidth="1"/>
    <col min="4627" max="4627" width="13.28515625" bestFit="1" customWidth="1"/>
    <col min="4628" max="4628" width="7.140625" bestFit="1" customWidth="1"/>
    <col min="4629" max="4629" width="12" bestFit="1" customWidth="1"/>
    <col min="4630" max="4630" width="13.28515625" bestFit="1" customWidth="1"/>
    <col min="4631" max="4631" width="7" bestFit="1" customWidth="1"/>
    <col min="4632" max="4632" width="12.7109375" bestFit="1" customWidth="1"/>
    <col min="4633" max="4633" width="11.5703125" bestFit="1" customWidth="1"/>
    <col min="4634" max="4634" width="10.5703125" bestFit="1" customWidth="1"/>
    <col min="4635" max="4636" width="15.7109375" bestFit="1" customWidth="1"/>
    <col min="4637" max="4637" width="11.5703125" bestFit="1" customWidth="1"/>
    <col min="4638" max="4638" width="7.7109375" bestFit="1" customWidth="1"/>
    <col min="4639" max="4639" width="15.140625" bestFit="1" customWidth="1"/>
    <col min="4640" max="4640" width="11.5703125" bestFit="1" customWidth="1"/>
    <col min="4641" max="4641" width="13.28515625" bestFit="1" customWidth="1"/>
    <col min="4642" max="4642" width="10.42578125" bestFit="1" customWidth="1"/>
    <col min="4643" max="4643" width="13.28515625" bestFit="1" customWidth="1"/>
    <col min="4644" max="4644" width="12.140625" bestFit="1" customWidth="1"/>
    <col min="4645" max="4645" width="14.42578125" bestFit="1" customWidth="1"/>
    <col min="4646" max="4646" width="13.28515625" bestFit="1" customWidth="1"/>
    <col min="4647" max="4647" width="11.5703125" bestFit="1" customWidth="1"/>
    <col min="4648" max="4648" width="7.7109375" bestFit="1" customWidth="1"/>
    <col min="4649" max="4650" width="14.42578125" bestFit="1" customWidth="1"/>
    <col min="4651" max="4651" width="11.5703125" bestFit="1" customWidth="1"/>
    <col min="4652" max="4652" width="7.7109375" bestFit="1" customWidth="1"/>
    <col min="4653" max="4653" width="13.5703125" customWidth="1"/>
    <col min="4654" max="4654" width="15.28515625" customWidth="1"/>
    <col min="4655" max="4655" width="14.5703125" customWidth="1"/>
    <col min="4656" max="4656" width="13.28515625" bestFit="1" customWidth="1"/>
    <col min="4657" max="4657" width="7.7109375" bestFit="1" customWidth="1"/>
    <col min="4658" max="4658" width="12.7109375" bestFit="1" customWidth="1"/>
    <col min="4659" max="4659" width="11.7109375" bestFit="1" customWidth="1"/>
    <col min="4660" max="4660" width="11.5703125" bestFit="1" customWidth="1"/>
    <col min="4661" max="4661" width="5.28515625" bestFit="1" customWidth="1"/>
    <col min="4662" max="4662" width="13.28515625" bestFit="1" customWidth="1"/>
    <col min="4663" max="4663" width="13.5703125" bestFit="1" customWidth="1"/>
    <col min="4664" max="4664" width="10.5703125" bestFit="1" customWidth="1"/>
    <col min="4665" max="4665" width="13.28515625" bestFit="1" customWidth="1"/>
    <col min="4666" max="4666" width="11.5703125" bestFit="1" customWidth="1"/>
    <col min="4667" max="4667" width="10.5703125" bestFit="1" customWidth="1"/>
    <col min="4668" max="4668" width="16.140625" bestFit="1" customWidth="1"/>
    <col min="4669" max="4670" width="11.28515625" bestFit="1" customWidth="1"/>
    <col min="4671" max="4671" width="13.28515625" bestFit="1" customWidth="1"/>
    <col min="4672" max="4672" width="7.7109375" bestFit="1" customWidth="1"/>
    <col min="4673" max="4676" width="9.140625" hidden="1" customWidth="1"/>
    <col min="4677" max="4677" width="10.42578125" bestFit="1" customWidth="1"/>
    <col min="4678" max="4678" width="10.5703125" bestFit="1" customWidth="1"/>
    <col min="4679" max="4679" width="10.42578125" bestFit="1" customWidth="1"/>
    <col min="4680" max="4680" width="10.5703125" bestFit="1" customWidth="1"/>
    <col min="4681" max="4681" width="9.5703125" bestFit="1" customWidth="1"/>
    <col min="4682" max="4682" width="11.5703125" bestFit="1" customWidth="1"/>
    <col min="4683" max="4683" width="10.42578125" bestFit="1" customWidth="1"/>
    <col min="4684" max="4684" width="10.85546875" customWidth="1"/>
    <col min="4685" max="4686" width="9.85546875" bestFit="1" customWidth="1"/>
    <col min="4687" max="4687" width="13.5703125" bestFit="1" customWidth="1"/>
    <col min="4688" max="4688" width="7.7109375" bestFit="1" customWidth="1"/>
    <col min="4689" max="4689" width="13.28515625" bestFit="1" customWidth="1"/>
    <col min="4690" max="4690" width="11.5703125" bestFit="1" customWidth="1"/>
    <col min="4691" max="4691" width="10.42578125" bestFit="1" customWidth="1"/>
    <col min="4692" max="4692" width="7.7109375" bestFit="1" customWidth="1"/>
    <col min="4693" max="4693" width="11.5703125" bestFit="1" customWidth="1"/>
    <col min="4694" max="4694" width="10.85546875" bestFit="1" customWidth="1"/>
    <col min="4695" max="4695" width="13.28515625" bestFit="1" customWidth="1"/>
    <col min="4696" max="4696" width="10.85546875" bestFit="1" customWidth="1"/>
    <col min="4697" max="4698" width="7.5703125" bestFit="1" customWidth="1"/>
    <col min="4699" max="4700" width="10.42578125" bestFit="1" customWidth="1"/>
    <col min="4701" max="4701" width="11.5703125" bestFit="1" customWidth="1"/>
    <col min="4702" max="4702" width="5.28515625" bestFit="1" customWidth="1"/>
    <col min="4703" max="4703" width="10.28515625" bestFit="1" customWidth="1"/>
    <col min="4704" max="4704" width="10.42578125" bestFit="1" customWidth="1"/>
    <col min="4705" max="4705" width="11.5703125" bestFit="1" customWidth="1"/>
    <col min="4706" max="4706" width="5.28515625" bestFit="1" customWidth="1"/>
    <col min="4707" max="4709" width="11.5703125" bestFit="1" customWidth="1"/>
    <col min="4710" max="4710" width="5.28515625" bestFit="1" customWidth="1"/>
    <col min="4711" max="4712" width="10.42578125" bestFit="1" customWidth="1"/>
    <col min="4713" max="4713" width="11.5703125" bestFit="1" customWidth="1"/>
    <col min="4714" max="4714" width="5.28515625" bestFit="1" customWidth="1"/>
    <col min="4715" max="4715" width="14.28515625" bestFit="1" customWidth="1"/>
    <col min="4716" max="4716" width="13" bestFit="1" customWidth="1"/>
    <col min="4717" max="4717" width="11.5703125" bestFit="1" customWidth="1"/>
    <col min="4718" max="4718" width="8.85546875" bestFit="1" customWidth="1"/>
    <col min="4719" max="4719" width="14.42578125" bestFit="1" customWidth="1"/>
    <col min="4720" max="4720" width="10.42578125" bestFit="1" customWidth="1"/>
    <col min="4721" max="4721" width="12.28515625" bestFit="1" customWidth="1"/>
    <col min="4722" max="4722" width="13.85546875" bestFit="1" customWidth="1"/>
    <col min="4723" max="4723" width="11.28515625" customWidth="1"/>
    <col min="4724" max="4724" width="11.5703125" customWidth="1"/>
    <col min="4725" max="4725" width="13.42578125" bestFit="1" customWidth="1"/>
    <col min="4726" max="4726" width="10.42578125" customWidth="1"/>
    <col min="4727" max="4727" width="13.85546875" bestFit="1" customWidth="1"/>
    <col min="4728" max="4728" width="15.42578125" bestFit="1" customWidth="1"/>
    <col min="4729" max="4729" width="12.28515625" bestFit="1" customWidth="1"/>
    <col min="4730" max="4730" width="12.7109375" customWidth="1"/>
    <col min="4731" max="4731" width="10.7109375" bestFit="1" customWidth="1"/>
    <col min="4732" max="4732" width="9.85546875" customWidth="1"/>
    <col min="4733" max="4734" width="10.140625" bestFit="1" customWidth="1"/>
    <col min="4735" max="4735" width="7.5703125" bestFit="1" customWidth="1"/>
    <col min="4736" max="4736" width="9.42578125" bestFit="1" customWidth="1"/>
    <col min="4737" max="4737" width="14.5703125" bestFit="1" customWidth="1"/>
    <col min="4738" max="4738" width="14.85546875" customWidth="1"/>
    <col min="4739" max="4739" width="15.140625" bestFit="1" customWidth="1"/>
    <col min="4740" max="4740" width="12.140625" bestFit="1" customWidth="1"/>
    <col min="4741" max="4741" width="14.85546875" bestFit="1" customWidth="1"/>
    <col min="4742" max="4742" width="12.28515625" bestFit="1" customWidth="1"/>
    <col min="4743" max="4751" width="9.140625" hidden="1" customWidth="1"/>
    <col min="4752" max="4752" width="5.28515625" bestFit="1" customWidth="1"/>
    <col min="4753" max="4758" width="11.5703125" bestFit="1" customWidth="1"/>
    <col min="4759" max="4759" width="11.28515625" bestFit="1" customWidth="1"/>
    <col min="4760" max="4760" width="10.140625" bestFit="1" customWidth="1"/>
    <col min="4761" max="4761" width="11.5703125" bestFit="1" customWidth="1"/>
    <col min="4762" max="4762" width="16.140625" customWidth="1"/>
    <col min="4763" max="4763" width="13.42578125" customWidth="1"/>
    <col min="4764" max="4764" width="10.140625" bestFit="1" customWidth="1"/>
    <col min="4765" max="4765" width="12.85546875" bestFit="1" customWidth="1"/>
    <col min="4766" max="4766" width="12.28515625" bestFit="1" customWidth="1"/>
    <col min="4767" max="4767" width="11.28515625" bestFit="1" customWidth="1"/>
    <col min="4768" max="4768" width="11.5703125" bestFit="1" customWidth="1"/>
    <col min="4769" max="4769" width="10.85546875" bestFit="1" customWidth="1"/>
    <col min="4770" max="4770" width="11.28515625" bestFit="1" customWidth="1"/>
    <col min="4771" max="4771" width="10.140625" bestFit="1" customWidth="1"/>
    <col min="4772" max="4772" width="13.28515625" bestFit="1" customWidth="1"/>
    <col min="4773" max="4774" width="12.7109375" bestFit="1" customWidth="1"/>
    <col min="4775" max="4775" width="11" bestFit="1" customWidth="1"/>
    <col min="4776" max="4776" width="11.28515625" bestFit="1" customWidth="1"/>
    <col min="4777" max="4777" width="11.5703125" bestFit="1" customWidth="1"/>
    <col min="4778" max="4778" width="12.28515625" bestFit="1" customWidth="1"/>
    <col min="4779" max="4779" width="15.140625" bestFit="1" customWidth="1"/>
    <col min="4780" max="4780" width="14.42578125" bestFit="1" customWidth="1"/>
    <col min="4781" max="4781" width="12.28515625" bestFit="1" customWidth="1"/>
    <col min="4782" max="4782" width="15.140625" bestFit="1" customWidth="1"/>
    <col min="4783" max="4783" width="14.42578125" bestFit="1" customWidth="1"/>
    <col min="4784" max="4784" width="12.28515625" bestFit="1" customWidth="1"/>
    <col min="4785" max="4785" width="14.42578125" bestFit="1" customWidth="1"/>
    <col min="4786" max="4786" width="11.28515625" bestFit="1" customWidth="1"/>
    <col min="4787" max="4787" width="12.28515625" bestFit="1" customWidth="1"/>
    <col min="4788" max="4788" width="13" bestFit="1" customWidth="1"/>
    <col min="4789" max="4789" width="15.140625" bestFit="1" customWidth="1"/>
    <col min="4790" max="4790" width="12.28515625" bestFit="1" customWidth="1"/>
    <col min="4791" max="4791" width="13.85546875" bestFit="1" customWidth="1"/>
    <col min="4792" max="4792" width="11.28515625" bestFit="1" customWidth="1"/>
    <col min="4793" max="4793" width="12.28515625" bestFit="1" customWidth="1"/>
    <col min="4794" max="4794" width="13.85546875" bestFit="1" customWidth="1"/>
    <col min="4795" max="4796" width="15.140625" bestFit="1" customWidth="1"/>
    <col min="4797" max="4797" width="12.28515625" bestFit="1" customWidth="1"/>
    <col min="4798" max="4798" width="5.7109375" bestFit="1" customWidth="1"/>
    <col min="4799" max="4799" width="8.5703125" bestFit="1" customWidth="1"/>
    <col min="4800" max="4800" width="5.5703125" bestFit="1" customWidth="1"/>
    <col min="4801" max="4801" width="14.42578125" bestFit="1" customWidth="1"/>
    <col min="4802" max="4802" width="11.28515625" bestFit="1" customWidth="1"/>
    <col min="4803" max="4804" width="12.28515625" bestFit="1" customWidth="1"/>
    <col min="4805" max="4805" width="11.28515625" bestFit="1" customWidth="1"/>
    <col min="4806" max="4806" width="13.85546875" bestFit="1" customWidth="1"/>
    <col min="4807" max="4807" width="12" bestFit="1" customWidth="1"/>
    <col min="4808" max="4808" width="13.85546875" bestFit="1" customWidth="1"/>
    <col min="4809" max="4810" width="14.42578125" customWidth="1"/>
    <col min="4811" max="4811" width="10.140625" bestFit="1" customWidth="1"/>
    <col min="4812" max="4812" width="12.28515625" bestFit="1" customWidth="1"/>
    <col min="4813" max="4813" width="7.42578125" bestFit="1" customWidth="1"/>
    <col min="4814" max="4814" width="8.5703125" bestFit="1" customWidth="1"/>
    <col min="4815" max="4815" width="11.5703125" bestFit="1" customWidth="1"/>
    <col min="4816" max="4816" width="13.28515625" bestFit="1" customWidth="1"/>
    <col min="4817" max="4817" width="13.28515625" customWidth="1"/>
    <col min="4818" max="4818" width="13.140625" customWidth="1"/>
    <col min="4819" max="4819" width="12.7109375" bestFit="1" customWidth="1"/>
    <col min="4820" max="4820" width="13.28515625" bestFit="1" customWidth="1"/>
    <col min="4821" max="4823" width="13.28515625" customWidth="1"/>
    <col min="4824" max="4824" width="12.140625" bestFit="1" customWidth="1"/>
    <col min="4825" max="4825" width="12.7109375" bestFit="1" customWidth="1"/>
    <col min="4826" max="4826" width="11" customWidth="1"/>
    <col min="4827" max="4827" width="16.7109375" customWidth="1"/>
    <col min="4828" max="4828" width="17" customWidth="1"/>
    <col min="4829" max="4829" width="10.42578125" bestFit="1" customWidth="1"/>
    <col min="4873" max="4873" width="3.85546875" customWidth="1"/>
    <col min="4874" max="4874" width="15.28515625" bestFit="1" customWidth="1"/>
    <col min="4875" max="4875" width="12.28515625" customWidth="1"/>
    <col min="4876" max="4876" width="16.28515625" bestFit="1" customWidth="1"/>
    <col min="4877" max="4877" width="6.42578125" bestFit="1" customWidth="1"/>
    <col min="4878" max="4878" width="9.28515625" bestFit="1" customWidth="1"/>
    <col min="4879" max="4879" width="7.5703125" bestFit="1" customWidth="1"/>
    <col min="4880" max="4880" width="13.28515625" bestFit="1" customWidth="1"/>
    <col min="4881" max="4881" width="9.28515625" bestFit="1" customWidth="1"/>
    <col min="4882" max="4882" width="11.5703125" bestFit="1" customWidth="1"/>
    <col min="4883" max="4883" width="13.28515625" bestFit="1" customWidth="1"/>
    <col min="4884" max="4884" width="7.140625" bestFit="1" customWidth="1"/>
    <col min="4885" max="4885" width="12" bestFit="1" customWidth="1"/>
    <col min="4886" max="4886" width="13.28515625" bestFit="1" customWidth="1"/>
    <col min="4887" max="4887" width="7" bestFit="1" customWidth="1"/>
    <col min="4888" max="4888" width="12.7109375" bestFit="1" customWidth="1"/>
    <col min="4889" max="4889" width="11.5703125" bestFit="1" customWidth="1"/>
    <col min="4890" max="4890" width="10.5703125" bestFit="1" customWidth="1"/>
    <col min="4891" max="4892" width="15.7109375" bestFit="1" customWidth="1"/>
    <col min="4893" max="4893" width="11.5703125" bestFit="1" customWidth="1"/>
    <col min="4894" max="4894" width="7.7109375" bestFit="1" customWidth="1"/>
    <col min="4895" max="4895" width="15.140625" bestFit="1" customWidth="1"/>
    <col min="4896" max="4896" width="11.5703125" bestFit="1" customWidth="1"/>
    <col min="4897" max="4897" width="13.28515625" bestFit="1" customWidth="1"/>
    <col min="4898" max="4898" width="10.42578125" bestFit="1" customWidth="1"/>
    <col min="4899" max="4899" width="13.28515625" bestFit="1" customWidth="1"/>
    <col min="4900" max="4900" width="12.140625" bestFit="1" customWidth="1"/>
    <col min="4901" max="4901" width="14.42578125" bestFit="1" customWidth="1"/>
    <col min="4902" max="4902" width="13.28515625" bestFit="1" customWidth="1"/>
    <col min="4903" max="4903" width="11.5703125" bestFit="1" customWidth="1"/>
    <col min="4904" max="4904" width="7.7109375" bestFit="1" customWidth="1"/>
    <col min="4905" max="4906" width="14.42578125" bestFit="1" customWidth="1"/>
    <col min="4907" max="4907" width="11.5703125" bestFit="1" customWidth="1"/>
    <col min="4908" max="4908" width="7.7109375" bestFit="1" customWidth="1"/>
    <col min="4909" max="4909" width="13.5703125" customWidth="1"/>
    <col min="4910" max="4910" width="15.28515625" customWidth="1"/>
    <col min="4911" max="4911" width="14.5703125" customWidth="1"/>
    <col min="4912" max="4912" width="13.28515625" bestFit="1" customWidth="1"/>
    <col min="4913" max="4913" width="7.7109375" bestFit="1" customWidth="1"/>
    <col min="4914" max="4914" width="12.7109375" bestFit="1" customWidth="1"/>
    <col min="4915" max="4915" width="11.7109375" bestFit="1" customWidth="1"/>
    <col min="4916" max="4916" width="11.5703125" bestFit="1" customWidth="1"/>
    <col min="4917" max="4917" width="5.28515625" bestFit="1" customWidth="1"/>
    <col min="4918" max="4918" width="13.28515625" bestFit="1" customWidth="1"/>
    <col min="4919" max="4919" width="13.5703125" bestFit="1" customWidth="1"/>
    <col min="4920" max="4920" width="10.5703125" bestFit="1" customWidth="1"/>
    <col min="4921" max="4921" width="13.28515625" bestFit="1" customWidth="1"/>
    <col min="4922" max="4922" width="11.5703125" bestFit="1" customWidth="1"/>
    <col min="4923" max="4923" width="10.5703125" bestFit="1" customWidth="1"/>
    <col min="4924" max="4924" width="16.140625" bestFit="1" customWidth="1"/>
    <col min="4925" max="4926" width="11.28515625" bestFit="1" customWidth="1"/>
    <col min="4927" max="4927" width="13.28515625" bestFit="1" customWidth="1"/>
    <col min="4928" max="4928" width="7.7109375" bestFit="1" customWidth="1"/>
    <col min="4929" max="4932" width="9.140625" hidden="1" customWidth="1"/>
    <col min="4933" max="4933" width="10.42578125" bestFit="1" customWidth="1"/>
    <col min="4934" max="4934" width="10.5703125" bestFit="1" customWidth="1"/>
    <col min="4935" max="4935" width="10.42578125" bestFit="1" customWidth="1"/>
    <col min="4936" max="4936" width="10.5703125" bestFit="1" customWidth="1"/>
    <col min="4937" max="4937" width="9.5703125" bestFit="1" customWidth="1"/>
    <col min="4938" max="4938" width="11.5703125" bestFit="1" customWidth="1"/>
    <col min="4939" max="4939" width="10.42578125" bestFit="1" customWidth="1"/>
    <col min="4940" max="4940" width="10.85546875" customWidth="1"/>
    <col min="4941" max="4942" width="9.85546875" bestFit="1" customWidth="1"/>
    <col min="4943" max="4943" width="13.5703125" bestFit="1" customWidth="1"/>
    <col min="4944" max="4944" width="7.7109375" bestFit="1" customWidth="1"/>
    <col min="4945" max="4945" width="13.28515625" bestFit="1" customWidth="1"/>
    <col min="4946" max="4946" width="11.5703125" bestFit="1" customWidth="1"/>
    <col min="4947" max="4947" width="10.42578125" bestFit="1" customWidth="1"/>
    <col min="4948" max="4948" width="7.7109375" bestFit="1" customWidth="1"/>
    <col min="4949" max="4949" width="11.5703125" bestFit="1" customWidth="1"/>
    <col min="4950" max="4950" width="10.85546875" bestFit="1" customWidth="1"/>
    <col min="4951" max="4951" width="13.28515625" bestFit="1" customWidth="1"/>
    <col min="4952" max="4952" width="10.85546875" bestFit="1" customWidth="1"/>
    <col min="4953" max="4954" width="7.5703125" bestFit="1" customWidth="1"/>
    <col min="4955" max="4956" width="10.42578125" bestFit="1" customWidth="1"/>
    <col min="4957" max="4957" width="11.5703125" bestFit="1" customWidth="1"/>
    <col min="4958" max="4958" width="5.28515625" bestFit="1" customWidth="1"/>
    <col min="4959" max="4959" width="10.28515625" bestFit="1" customWidth="1"/>
    <col min="4960" max="4960" width="10.42578125" bestFit="1" customWidth="1"/>
    <col min="4961" max="4961" width="11.5703125" bestFit="1" customWidth="1"/>
    <col min="4962" max="4962" width="5.28515625" bestFit="1" customWidth="1"/>
    <col min="4963" max="4965" width="11.5703125" bestFit="1" customWidth="1"/>
    <col min="4966" max="4966" width="5.28515625" bestFit="1" customWidth="1"/>
    <col min="4967" max="4968" width="10.42578125" bestFit="1" customWidth="1"/>
    <col min="4969" max="4969" width="11.5703125" bestFit="1" customWidth="1"/>
    <col min="4970" max="4970" width="5.28515625" bestFit="1" customWidth="1"/>
    <col min="4971" max="4971" width="14.28515625" bestFit="1" customWidth="1"/>
    <col min="4972" max="4972" width="13" bestFit="1" customWidth="1"/>
    <col min="4973" max="4973" width="11.5703125" bestFit="1" customWidth="1"/>
    <col min="4974" max="4974" width="8.85546875" bestFit="1" customWidth="1"/>
    <col min="4975" max="4975" width="14.42578125" bestFit="1" customWidth="1"/>
    <col min="4976" max="4976" width="10.42578125" bestFit="1" customWidth="1"/>
    <col min="4977" max="4977" width="12.28515625" bestFit="1" customWidth="1"/>
    <col min="4978" max="4978" width="13.85546875" bestFit="1" customWidth="1"/>
    <col min="4979" max="4979" width="11.28515625" customWidth="1"/>
    <col min="4980" max="4980" width="11.5703125" customWidth="1"/>
    <col min="4981" max="4981" width="13.42578125" bestFit="1" customWidth="1"/>
    <col min="4982" max="4982" width="10.42578125" customWidth="1"/>
    <col min="4983" max="4983" width="13.85546875" bestFit="1" customWidth="1"/>
    <col min="4984" max="4984" width="15.42578125" bestFit="1" customWidth="1"/>
    <col min="4985" max="4985" width="12.28515625" bestFit="1" customWidth="1"/>
    <col min="4986" max="4986" width="12.7109375" customWidth="1"/>
    <col min="4987" max="4987" width="10.7109375" bestFit="1" customWidth="1"/>
    <col min="4988" max="4988" width="9.85546875" customWidth="1"/>
    <col min="4989" max="4990" width="10.140625" bestFit="1" customWidth="1"/>
    <col min="4991" max="4991" width="7.5703125" bestFit="1" customWidth="1"/>
    <col min="4992" max="4992" width="9.42578125" bestFit="1" customWidth="1"/>
    <col min="4993" max="4993" width="14.5703125" bestFit="1" customWidth="1"/>
    <col min="4994" max="4994" width="14.85546875" customWidth="1"/>
    <col min="4995" max="4995" width="15.140625" bestFit="1" customWidth="1"/>
    <col min="4996" max="4996" width="12.140625" bestFit="1" customWidth="1"/>
    <col min="4997" max="4997" width="14.85546875" bestFit="1" customWidth="1"/>
    <col min="4998" max="4998" width="12.28515625" bestFit="1" customWidth="1"/>
    <col min="4999" max="5007" width="9.140625" hidden="1" customWidth="1"/>
    <col min="5008" max="5008" width="5.28515625" bestFit="1" customWidth="1"/>
    <col min="5009" max="5014" width="11.5703125" bestFit="1" customWidth="1"/>
    <col min="5015" max="5015" width="11.28515625" bestFit="1" customWidth="1"/>
    <col min="5016" max="5016" width="10.140625" bestFit="1" customWidth="1"/>
    <col min="5017" max="5017" width="11.5703125" bestFit="1" customWidth="1"/>
    <col min="5018" max="5018" width="16.140625" customWidth="1"/>
    <col min="5019" max="5019" width="13.42578125" customWidth="1"/>
    <col min="5020" max="5020" width="10.140625" bestFit="1" customWidth="1"/>
    <col min="5021" max="5021" width="12.85546875" bestFit="1" customWidth="1"/>
    <col min="5022" max="5022" width="12.28515625" bestFit="1" customWidth="1"/>
    <col min="5023" max="5023" width="11.28515625" bestFit="1" customWidth="1"/>
    <col min="5024" max="5024" width="11.5703125" bestFit="1" customWidth="1"/>
    <col min="5025" max="5025" width="10.85546875" bestFit="1" customWidth="1"/>
    <col min="5026" max="5026" width="11.28515625" bestFit="1" customWidth="1"/>
    <col min="5027" max="5027" width="10.140625" bestFit="1" customWidth="1"/>
    <col min="5028" max="5028" width="13.28515625" bestFit="1" customWidth="1"/>
    <col min="5029" max="5030" width="12.7109375" bestFit="1" customWidth="1"/>
    <col min="5031" max="5031" width="11" bestFit="1" customWidth="1"/>
    <col min="5032" max="5032" width="11.28515625" bestFit="1" customWidth="1"/>
    <col min="5033" max="5033" width="11.5703125" bestFit="1" customWidth="1"/>
    <col min="5034" max="5034" width="12.28515625" bestFit="1" customWidth="1"/>
    <col min="5035" max="5035" width="15.140625" bestFit="1" customWidth="1"/>
    <col min="5036" max="5036" width="14.42578125" bestFit="1" customWidth="1"/>
    <col min="5037" max="5037" width="12.28515625" bestFit="1" customWidth="1"/>
    <col min="5038" max="5038" width="15.140625" bestFit="1" customWidth="1"/>
    <col min="5039" max="5039" width="14.42578125" bestFit="1" customWidth="1"/>
    <col min="5040" max="5040" width="12.28515625" bestFit="1" customWidth="1"/>
    <col min="5041" max="5041" width="14.42578125" bestFit="1" customWidth="1"/>
    <col min="5042" max="5042" width="11.28515625" bestFit="1" customWidth="1"/>
    <col min="5043" max="5043" width="12.28515625" bestFit="1" customWidth="1"/>
    <col min="5044" max="5044" width="13" bestFit="1" customWidth="1"/>
    <col min="5045" max="5045" width="15.140625" bestFit="1" customWidth="1"/>
    <col min="5046" max="5046" width="12.28515625" bestFit="1" customWidth="1"/>
    <col min="5047" max="5047" width="13.85546875" bestFit="1" customWidth="1"/>
    <col min="5048" max="5048" width="11.28515625" bestFit="1" customWidth="1"/>
    <col min="5049" max="5049" width="12.28515625" bestFit="1" customWidth="1"/>
    <col min="5050" max="5050" width="13.85546875" bestFit="1" customWidth="1"/>
    <col min="5051" max="5052" width="15.140625" bestFit="1" customWidth="1"/>
    <col min="5053" max="5053" width="12.28515625" bestFit="1" customWidth="1"/>
    <col min="5054" max="5054" width="5.7109375" bestFit="1" customWidth="1"/>
    <col min="5055" max="5055" width="8.5703125" bestFit="1" customWidth="1"/>
    <col min="5056" max="5056" width="5.5703125" bestFit="1" customWidth="1"/>
    <col min="5057" max="5057" width="14.42578125" bestFit="1" customWidth="1"/>
    <col min="5058" max="5058" width="11.28515625" bestFit="1" customWidth="1"/>
    <col min="5059" max="5060" width="12.28515625" bestFit="1" customWidth="1"/>
    <col min="5061" max="5061" width="11.28515625" bestFit="1" customWidth="1"/>
    <col min="5062" max="5062" width="13.85546875" bestFit="1" customWidth="1"/>
    <col min="5063" max="5063" width="12" bestFit="1" customWidth="1"/>
    <col min="5064" max="5064" width="13.85546875" bestFit="1" customWidth="1"/>
    <col min="5065" max="5066" width="14.42578125" customWidth="1"/>
    <col min="5067" max="5067" width="10.140625" bestFit="1" customWidth="1"/>
    <col min="5068" max="5068" width="12.28515625" bestFit="1" customWidth="1"/>
    <col min="5069" max="5069" width="7.42578125" bestFit="1" customWidth="1"/>
    <col min="5070" max="5070" width="8.5703125" bestFit="1" customWidth="1"/>
    <col min="5071" max="5071" width="11.5703125" bestFit="1" customWidth="1"/>
    <col min="5072" max="5072" width="13.28515625" bestFit="1" customWidth="1"/>
    <col min="5073" max="5073" width="13.28515625" customWidth="1"/>
    <col min="5074" max="5074" width="13.140625" customWidth="1"/>
    <col min="5075" max="5075" width="12.7109375" bestFit="1" customWidth="1"/>
    <col min="5076" max="5076" width="13.28515625" bestFit="1" customWidth="1"/>
    <col min="5077" max="5079" width="13.28515625" customWidth="1"/>
    <col min="5080" max="5080" width="12.140625" bestFit="1" customWidth="1"/>
    <col min="5081" max="5081" width="12.7109375" bestFit="1" customWidth="1"/>
    <col min="5082" max="5082" width="11" customWidth="1"/>
    <col min="5083" max="5083" width="16.7109375" customWidth="1"/>
    <col min="5084" max="5084" width="17" customWidth="1"/>
    <col min="5085" max="5085" width="10.42578125" bestFit="1" customWidth="1"/>
    <col min="5129" max="5129" width="3.85546875" customWidth="1"/>
    <col min="5130" max="5130" width="15.28515625" bestFit="1" customWidth="1"/>
    <col min="5131" max="5131" width="12.28515625" customWidth="1"/>
    <col min="5132" max="5132" width="16.28515625" bestFit="1" customWidth="1"/>
    <col min="5133" max="5133" width="6.42578125" bestFit="1" customWidth="1"/>
    <col min="5134" max="5134" width="9.28515625" bestFit="1" customWidth="1"/>
    <col min="5135" max="5135" width="7.5703125" bestFit="1" customWidth="1"/>
    <col min="5136" max="5136" width="13.28515625" bestFit="1" customWidth="1"/>
    <col min="5137" max="5137" width="9.28515625" bestFit="1" customWidth="1"/>
    <col min="5138" max="5138" width="11.5703125" bestFit="1" customWidth="1"/>
    <col min="5139" max="5139" width="13.28515625" bestFit="1" customWidth="1"/>
    <col min="5140" max="5140" width="7.140625" bestFit="1" customWidth="1"/>
    <col min="5141" max="5141" width="12" bestFit="1" customWidth="1"/>
    <col min="5142" max="5142" width="13.28515625" bestFit="1" customWidth="1"/>
    <col min="5143" max="5143" width="7" bestFit="1" customWidth="1"/>
    <col min="5144" max="5144" width="12.7109375" bestFit="1" customWidth="1"/>
    <col min="5145" max="5145" width="11.5703125" bestFit="1" customWidth="1"/>
    <col min="5146" max="5146" width="10.5703125" bestFit="1" customWidth="1"/>
    <col min="5147" max="5148" width="15.7109375" bestFit="1" customWidth="1"/>
    <col min="5149" max="5149" width="11.5703125" bestFit="1" customWidth="1"/>
    <col min="5150" max="5150" width="7.7109375" bestFit="1" customWidth="1"/>
    <col min="5151" max="5151" width="15.140625" bestFit="1" customWidth="1"/>
    <col min="5152" max="5152" width="11.5703125" bestFit="1" customWidth="1"/>
    <col min="5153" max="5153" width="13.28515625" bestFit="1" customWidth="1"/>
    <col min="5154" max="5154" width="10.42578125" bestFit="1" customWidth="1"/>
    <col min="5155" max="5155" width="13.28515625" bestFit="1" customWidth="1"/>
    <col min="5156" max="5156" width="12.140625" bestFit="1" customWidth="1"/>
    <col min="5157" max="5157" width="14.42578125" bestFit="1" customWidth="1"/>
    <col min="5158" max="5158" width="13.28515625" bestFit="1" customWidth="1"/>
    <col min="5159" max="5159" width="11.5703125" bestFit="1" customWidth="1"/>
    <col min="5160" max="5160" width="7.7109375" bestFit="1" customWidth="1"/>
    <col min="5161" max="5162" width="14.42578125" bestFit="1" customWidth="1"/>
    <col min="5163" max="5163" width="11.5703125" bestFit="1" customWidth="1"/>
    <col min="5164" max="5164" width="7.7109375" bestFit="1" customWidth="1"/>
    <col min="5165" max="5165" width="13.5703125" customWidth="1"/>
    <col min="5166" max="5166" width="15.28515625" customWidth="1"/>
    <col min="5167" max="5167" width="14.5703125" customWidth="1"/>
    <col min="5168" max="5168" width="13.28515625" bestFit="1" customWidth="1"/>
    <col min="5169" max="5169" width="7.7109375" bestFit="1" customWidth="1"/>
    <col min="5170" max="5170" width="12.7109375" bestFit="1" customWidth="1"/>
    <col min="5171" max="5171" width="11.7109375" bestFit="1" customWidth="1"/>
    <col min="5172" max="5172" width="11.5703125" bestFit="1" customWidth="1"/>
    <col min="5173" max="5173" width="5.28515625" bestFit="1" customWidth="1"/>
    <col min="5174" max="5174" width="13.28515625" bestFit="1" customWidth="1"/>
    <col min="5175" max="5175" width="13.5703125" bestFit="1" customWidth="1"/>
    <col min="5176" max="5176" width="10.5703125" bestFit="1" customWidth="1"/>
    <col min="5177" max="5177" width="13.28515625" bestFit="1" customWidth="1"/>
    <col min="5178" max="5178" width="11.5703125" bestFit="1" customWidth="1"/>
    <col min="5179" max="5179" width="10.5703125" bestFit="1" customWidth="1"/>
    <col min="5180" max="5180" width="16.140625" bestFit="1" customWidth="1"/>
    <col min="5181" max="5182" width="11.28515625" bestFit="1" customWidth="1"/>
    <col min="5183" max="5183" width="13.28515625" bestFit="1" customWidth="1"/>
    <col min="5184" max="5184" width="7.7109375" bestFit="1" customWidth="1"/>
    <col min="5185" max="5188" width="9.140625" hidden="1" customWidth="1"/>
    <col min="5189" max="5189" width="10.42578125" bestFit="1" customWidth="1"/>
    <col min="5190" max="5190" width="10.5703125" bestFit="1" customWidth="1"/>
    <col min="5191" max="5191" width="10.42578125" bestFit="1" customWidth="1"/>
    <col min="5192" max="5192" width="10.5703125" bestFit="1" customWidth="1"/>
    <col min="5193" max="5193" width="9.5703125" bestFit="1" customWidth="1"/>
    <col min="5194" max="5194" width="11.5703125" bestFit="1" customWidth="1"/>
    <col min="5195" max="5195" width="10.42578125" bestFit="1" customWidth="1"/>
    <col min="5196" max="5196" width="10.85546875" customWidth="1"/>
    <col min="5197" max="5198" width="9.85546875" bestFit="1" customWidth="1"/>
    <col min="5199" max="5199" width="13.5703125" bestFit="1" customWidth="1"/>
    <col min="5200" max="5200" width="7.7109375" bestFit="1" customWidth="1"/>
    <col min="5201" max="5201" width="13.28515625" bestFit="1" customWidth="1"/>
    <col min="5202" max="5202" width="11.5703125" bestFit="1" customWidth="1"/>
    <col min="5203" max="5203" width="10.42578125" bestFit="1" customWidth="1"/>
    <col min="5204" max="5204" width="7.7109375" bestFit="1" customWidth="1"/>
    <col min="5205" max="5205" width="11.5703125" bestFit="1" customWidth="1"/>
    <col min="5206" max="5206" width="10.85546875" bestFit="1" customWidth="1"/>
    <col min="5207" max="5207" width="13.28515625" bestFit="1" customWidth="1"/>
    <col min="5208" max="5208" width="10.85546875" bestFit="1" customWidth="1"/>
    <col min="5209" max="5210" width="7.5703125" bestFit="1" customWidth="1"/>
    <col min="5211" max="5212" width="10.42578125" bestFit="1" customWidth="1"/>
    <col min="5213" max="5213" width="11.5703125" bestFit="1" customWidth="1"/>
    <col min="5214" max="5214" width="5.28515625" bestFit="1" customWidth="1"/>
    <col min="5215" max="5215" width="10.28515625" bestFit="1" customWidth="1"/>
    <col min="5216" max="5216" width="10.42578125" bestFit="1" customWidth="1"/>
    <col min="5217" max="5217" width="11.5703125" bestFit="1" customWidth="1"/>
    <col min="5218" max="5218" width="5.28515625" bestFit="1" customWidth="1"/>
    <col min="5219" max="5221" width="11.5703125" bestFit="1" customWidth="1"/>
    <col min="5222" max="5222" width="5.28515625" bestFit="1" customWidth="1"/>
    <col min="5223" max="5224" width="10.42578125" bestFit="1" customWidth="1"/>
    <col min="5225" max="5225" width="11.5703125" bestFit="1" customWidth="1"/>
    <col min="5226" max="5226" width="5.28515625" bestFit="1" customWidth="1"/>
    <col min="5227" max="5227" width="14.28515625" bestFit="1" customWidth="1"/>
    <col min="5228" max="5228" width="13" bestFit="1" customWidth="1"/>
    <col min="5229" max="5229" width="11.5703125" bestFit="1" customWidth="1"/>
    <col min="5230" max="5230" width="8.85546875" bestFit="1" customWidth="1"/>
    <col min="5231" max="5231" width="14.42578125" bestFit="1" customWidth="1"/>
    <col min="5232" max="5232" width="10.42578125" bestFit="1" customWidth="1"/>
    <col min="5233" max="5233" width="12.28515625" bestFit="1" customWidth="1"/>
    <col min="5234" max="5234" width="13.85546875" bestFit="1" customWidth="1"/>
    <col min="5235" max="5235" width="11.28515625" customWidth="1"/>
    <col min="5236" max="5236" width="11.5703125" customWidth="1"/>
    <col min="5237" max="5237" width="13.42578125" bestFit="1" customWidth="1"/>
    <col min="5238" max="5238" width="10.42578125" customWidth="1"/>
    <col min="5239" max="5239" width="13.85546875" bestFit="1" customWidth="1"/>
    <col min="5240" max="5240" width="15.42578125" bestFit="1" customWidth="1"/>
    <col min="5241" max="5241" width="12.28515625" bestFit="1" customWidth="1"/>
    <col min="5242" max="5242" width="12.7109375" customWidth="1"/>
    <col min="5243" max="5243" width="10.7109375" bestFit="1" customWidth="1"/>
    <col min="5244" max="5244" width="9.85546875" customWidth="1"/>
    <col min="5245" max="5246" width="10.140625" bestFit="1" customWidth="1"/>
    <col min="5247" max="5247" width="7.5703125" bestFit="1" customWidth="1"/>
    <col min="5248" max="5248" width="9.42578125" bestFit="1" customWidth="1"/>
    <col min="5249" max="5249" width="14.5703125" bestFit="1" customWidth="1"/>
    <col min="5250" max="5250" width="14.85546875" customWidth="1"/>
    <col min="5251" max="5251" width="15.140625" bestFit="1" customWidth="1"/>
    <col min="5252" max="5252" width="12.140625" bestFit="1" customWidth="1"/>
    <col min="5253" max="5253" width="14.85546875" bestFit="1" customWidth="1"/>
    <col min="5254" max="5254" width="12.28515625" bestFit="1" customWidth="1"/>
    <col min="5255" max="5263" width="9.140625" hidden="1" customWidth="1"/>
    <col min="5264" max="5264" width="5.28515625" bestFit="1" customWidth="1"/>
    <col min="5265" max="5270" width="11.5703125" bestFit="1" customWidth="1"/>
    <col min="5271" max="5271" width="11.28515625" bestFit="1" customWidth="1"/>
    <col min="5272" max="5272" width="10.140625" bestFit="1" customWidth="1"/>
    <col min="5273" max="5273" width="11.5703125" bestFit="1" customWidth="1"/>
    <col min="5274" max="5274" width="16.140625" customWidth="1"/>
    <col min="5275" max="5275" width="13.42578125" customWidth="1"/>
    <col min="5276" max="5276" width="10.140625" bestFit="1" customWidth="1"/>
    <col min="5277" max="5277" width="12.85546875" bestFit="1" customWidth="1"/>
    <col min="5278" max="5278" width="12.28515625" bestFit="1" customWidth="1"/>
    <col min="5279" max="5279" width="11.28515625" bestFit="1" customWidth="1"/>
    <col min="5280" max="5280" width="11.5703125" bestFit="1" customWidth="1"/>
    <col min="5281" max="5281" width="10.85546875" bestFit="1" customWidth="1"/>
    <col min="5282" max="5282" width="11.28515625" bestFit="1" customWidth="1"/>
    <col min="5283" max="5283" width="10.140625" bestFit="1" customWidth="1"/>
    <col min="5284" max="5284" width="13.28515625" bestFit="1" customWidth="1"/>
    <col min="5285" max="5286" width="12.7109375" bestFit="1" customWidth="1"/>
    <col min="5287" max="5287" width="11" bestFit="1" customWidth="1"/>
    <col min="5288" max="5288" width="11.28515625" bestFit="1" customWidth="1"/>
    <col min="5289" max="5289" width="11.5703125" bestFit="1" customWidth="1"/>
    <col min="5290" max="5290" width="12.28515625" bestFit="1" customWidth="1"/>
    <col min="5291" max="5291" width="15.140625" bestFit="1" customWidth="1"/>
    <col min="5292" max="5292" width="14.42578125" bestFit="1" customWidth="1"/>
    <col min="5293" max="5293" width="12.28515625" bestFit="1" customWidth="1"/>
    <col min="5294" max="5294" width="15.140625" bestFit="1" customWidth="1"/>
    <col min="5295" max="5295" width="14.42578125" bestFit="1" customWidth="1"/>
    <col min="5296" max="5296" width="12.28515625" bestFit="1" customWidth="1"/>
    <col min="5297" max="5297" width="14.42578125" bestFit="1" customWidth="1"/>
    <col min="5298" max="5298" width="11.28515625" bestFit="1" customWidth="1"/>
    <col min="5299" max="5299" width="12.28515625" bestFit="1" customWidth="1"/>
    <col min="5300" max="5300" width="13" bestFit="1" customWidth="1"/>
    <col min="5301" max="5301" width="15.140625" bestFit="1" customWidth="1"/>
    <col min="5302" max="5302" width="12.28515625" bestFit="1" customWidth="1"/>
    <col min="5303" max="5303" width="13.85546875" bestFit="1" customWidth="1"/>
    <col min="5304" max="5304" width="11.28515625" bestFit="1" customWidth="1"/>
    <col min="5305" max="5305" width="12.28515625" bestFit="1" customWidth="1"/>
    <col min="5306" max="5306" width="13.85546875" bestFit="1" customWidth="1"/>
    <col min="5307" max="5308" width="15.140625" bestFit="1" customWidth="1"/>
    <col min="5309" max="5309" width="12.28515625" bestFit="1" customWidth="1"/>
    <col min="5310" max="5310" width="5.7109375" bestFit="1" customWidth="1"/>
    <col min="5311" max="5311" width="8.5703125" bestFit="1" customWidth="1"/>
    <col min="5312" max="5312" width="5.5703125" bestFit="1" customWidth="1"/>
    <col min="5313" max="5313" width="14.42578125" bestFit="1" customWidth="1"/>
    <col min="5314" max="5314" width="11.28515625" bestFit="1" customWidth="1"/>
    <col min="5315" max="5316" width="12.28515625" bestFit="1" customWidth="1"/>
    <col min="5317" max="5317" width="11.28515625" bestFit="1" customWidth="1"/>
    <col min="5318" max="5318" width="13.85546875" bestFit="1" customWidth="1"/>
    <col min="5319" max="5319" width="12" bestFit="1" customWidth="1"/>
    <col min="5320" max="5320" width="13.85546875" bestFit="1" customWidth="1"/>
    <col min="5321" max="5322" width="14.42578125" customWidth="1"/>
    <col min="5323" max="5323" width="10.140625" bestFit="1" customWidth="1"/>
    <col min="5324" max="5324" width="12.28515625" bestFit="1" customWidth="1"/>
    <col min="5325" max="5325" width="7.42578125" bestFit="1" customWidth="1"/>
    <col min="5326" max="5326" width="8.5703125" bestFit="1" customWidth="1"/>
    <col min="5327" max="5327" width="11.5703125" bestFit="1" customWidth="1"/>
    <col min="5328" max="5328" width="13.28515625" bestFit="1" customWidth="1"/>
    <col min="5329" max="5329" width="13.28515625" customWidth="1"/>
    <col min="5330" max="5330" width="13.140625" customWidth="1"/>
    <col min="5331" max="5331" width="12.7109375" bestFit="1" customWidth="1"/>
    <col min="5332" max="5332" width="13.28515625" bestFit="1" customWidth="1"/>
    <col min="5333" max="5335" width="13.28515625" customWidth="1"/>
    <col min="5336" max="5336" width="12.140625" bestFit="1" customWidth="1"/>
    <col min="5337" max="5337" width="12.7109375" bestFit="1" customWidth="1"/>
    <col min="5338" max="5338" width="11" customWidth="1"/>
    <col min="5339" max="5339" width="16.7109375" customWidth="1"/>
    <col min="5340" max="5340" width="17" customWidth="1"/>
    <col min="5341" max="5341" width="10.42578125" bestFit="1" customWidth="1"/>
    <col min="5385" max="5385" width="3.85546875" customWidth="1"/>
    <col min="5386" max="5386" width="15.28515625" bestFit="1" customWidth="1"/>
    <col min="5387" max="5387" width="12.28515625" customWidth="1"/>
    <col min="5388" max="5388" width="16.28515625" bestFit="1" customWidth="1"/>
    <col min="5389" max="5389" width="6.42578125" bestFit="1" customWidth="1"/>
    <col min="5390" max="5390" width="9.28515625" bestFit="1" customWidth="1"/>
    <col min="5391" max="5391" width="7.5703125" bestFit="1" customWidth="1"/>
    <col min="5392" max="5392" width="13.28515625" bestFit="1" customWidth="1"/>
    <col min="5393" max="5393" width="9.28515625" bestFit="1" customWidth="1"/>
    <col min="5394" max="5394" width="11.5703125" bestFit="1" customWidth="1"/>
    <col min="5395" max="5395" width="13.28515625" bestFit="1" customWidth="1"/>
    <col min="5396" max="5396" width="7.140625" bestFit="1" customWidth="1"/>
    <col min="5397" max="5397" width="12" bestFit="1" customWidth="1"/>
    <col min="5398" max="5398" width="13.28515625" bestFit="1" customWidth="1"/>
    <col min="5399" max="5399" width="7" bestFit="1" customWidth="1"/>
    <col min="5400" max="5400" width="12.7109375" bestFit="1" customWidth="1"/>
    <col min="5401" max="5401" width="11.5703125" bestFit="1" customWidth="1"/>
    <col min="5402" max="5402" width="10.5703125" bestFit="1" customWidth="1"/>
    <col min="5403" max="5404" width="15.7109375" bestFit="1" customWidth="1"/>
    <col min="5405" max="5405" width="11.5703125" bestFit="1" customWidth="1"/>
    <col min="5406" max="5406" width="7.7109375" bestFit="1" customWidth="1"/>
    <col min="5407" max="5407" width="15.140625" bestFit="1" customWidth="1"/>
    <col min="5408" max="5408" width="11.5703125" bestFit="1" customWidth="1"/>
    <col min="5409" max="5409" width="13.28515625" bestFit="1" customWidth="1"/>
    <col min="5410" max="5410" width="10.42578125" bestFit="1" customWidth="1"/>
    <col min="5411" max="5411" width="13.28515625" bestFit="1" customWidth="1"/>
    <col min="5412" max="5412" width="12.140625" bestFit="1" customWidth="1"/>
    <col min="5413" max="5413" width="14.42578125" bestFit="1" customWidth="1"/>
    <col min="5414" max="5414" width="13.28515625" bestFit="1" customWidth="1"/>
    <col min="5415" max="5415" width="11.5703125" bestFit="1" customWidth="1"/>
    <col min="5416" max="5416" width="7.7109375" bestFit="1" customWidth="1"/>
    <col min="5417" max="5418" width="14.42578125" bestFit="1" customWidth="1"/>
    <col min="5419" max="5419" width="11.5703125" bestFit="1" customWidth="1"/>
    <col min="5420" max="5420" width="7.7109375" bestFit="1" customWidth="1"/>
    <col min="5421" max="5421" width="13.5703125" customWidth="1"/>
    <col min="5422" max="5422" width="15.28515625" customWidth="1"/>
    <col min="5423" max="5423" width="14.5703125" customWidth="1"/>
    <col min="5424" max="5424" width="13.28515625" bestFit="1" customWidth="1"/>
    <col min="5425" max="5425" width="7.7109375" bestFit="1" customWidth="1"/>
    <col min="5426" max="5426" width="12.7109375" bestFit="1" customWidth="1"/>
    <col min="5427" max="5427" width="11.7109375" bestFit="1" customWidth="1"/>
    <col min="5428" max="5428" width="11.5703125" bestFit="1" customWidth="1"/>
    <col min="5429" max="5429" width="5.28515625" bestFit="1" customWidth="1"/>
    <col min="5430" max="5430" width="13.28515625" bestFit="1" customWidth="1"/>
    <col min="5431" max="5431" width="13.5703125" bestFit="1" customWidth="1"/>
    <col min="5432" max="5432" width="10.5703125" bestFit="1" customWidth="1"/>
    <col min="5433" max="5433" width="13.28515625" bestFit="1" customWidth="1"/>
    <col min="5434" max="5434" width="11.5703125" bestFit="1" customWidth="1"/>
    <col min="5435" max="5435" width="10.5703125" bestFit="1" customWidth="1"/>
    <col min="5436" max="5436" width="16.140625" bestFit="1" customWidth="1"/>
    <col min="5437" max="5438" width="11.28515625" bestFit="1" customWidth="1"/>
    <col min="5439" max="5439" width="13.28515625" bestFit="1" customWidth="1"/>
    <col min="5440" max="5440" width="7.7109375" bestFit="1" customWidth="1"/>
    <col min="5441" max="5444" width="9.140625" hidden="1" customWidth="1"/>
    <col min="5445" max="5445" width="10.42578125" bestFit="1" customWidth="1"/>
    <col min="5446" max="5446" width="10.5703125" bestFit="1" customWidth="1"/>
    <col min="5447" max="5447" width="10.42578125" bestFit="1" customWidth="1"/>
    <col min="5448" max="5448" width="10.5703125" bestFit="1" customWidth="1"/>
    <col min="5449" max="5449" width="9.5703125" bestFit="1" customWidth="1"/>
    <col min="5450" max="5450" width="11.5703125" bestFit="1" customWidth="1"/>
    <col min="5451" max="5451" width="10.42578125" bestFit="1" customWidth="1"/>
    <col min="5452" max="5452" width="10.85546875" customWidth="1"/>
    <col min="5453" max="5454" width="9.85546875" bestFit="1" customWidth="1"/>
    <col min="5455" max="5455" width="13.5703125" bestFit="1" customWidth="1"/>
    <col min="5456" max="5456" width="7.7109375" bestFit="1" customWidth="1"/>
    <col min="5457" max="5457" width="13.28515625" bestFit="1" customWidth="1"/>
    <col min="5458" max="5458" width="11.5703125" bestFit="1" customWidth="1"/>
    <col min="5459" max="5459" width="10.42578125" bestFit="1" customWidth="1"/>
    <col min="5460" max="5460" width="7.7109375" bestFit="1" customWidth="1"/>
    <col min="5461" max="5461" width="11.5703125" bestFit="1" customWidth="1"/>
    <col min="5462" max="5462" width="10.85546875" bestFit="1" customWidth="1"/>
    <col min="5463" max="5463" width="13.28515625" bestFit="1" customWidth="1"/>
    <col min="5464" max="5464" width="10.85546875" bestFit="1" customWidth="1"/>
    <col min="5465" max="5466" width="7.5703125" bestFit="1" customWidth="1"/>
    <col min="5467" max="5468" width="10.42578125" bestFit="1" customWidth="1"/>
    <col min="5469" max="5469" width="11.5703125" bestFit="1" customWidth="1"/>
    <col min="5470" max="5470" width="5.28515625" bestFit="1" customWidth="1"/>
    <col min="5471" max="5471" width="10.28515625" bestFit="1" customWidth="1"/>
    <col min="5472" max="5472" width="10.42578125" bestFit="1" customWidth="1"/>
    <col min="5473" max="5473" width="11.5703125" bestFit="1" customWidth="1"/>
    <col min="5474" max="5474" width="5.28515625" bestFit="1" customWidth="1"/>
    <col min="5475" max="5477" width="11.5703125" bestFit="1" customWidth="1"/>
    <col min="5478" max="5478" width="5.28515625" bestFit="1" customWidth="1"/>
    <col min="5479" max="5480" width="10.42578125" bestFit="1" customWidth="1"/>
    <col min="5481" max="5481" width="11.5703125" bestFit="1" customWidth="1"/>
    <col min="5482" max="5482" width="5.28515625" bestFit="1" customWidth="1"/>
    <col min="5483" max="5483" width="14.28515625" bestFit="1" customWidth="1"/>
    <col min="5484" max="5484" width="13" bestFit="1" customWidth="1"/>
    <col min="5485" max="5485" width="11.5703125" bestFit="1" customWidth="1"/>
    <col min="5486" max="5486" width="8.85546875" bestFit="1" customWidth="1"/>
    <col min="5487" max="5487" width="14.42578125" bestFit="1" customWidth="1"/>
    <col min="5488" max="5488" width="10.42578125" bestFit="1" customWidth="1"/>
    <col min="5489" max="5489" width="12.28515625" bestFit="1" customWidth="1"/>
    <col min="5490" max="5490" width="13.85546875" bestFit="1" customWidth="1"/>
    <col min="5491" max="5491" width="11.28515625" customWidth="1"/>
    <col min="5492" max="5492" width="11.5703125" customWidth="1"/>
    <col min="5493" max="5493" width="13.42578125" bestFit="1" customWidth="1"/>
    <col min="5494" max="5494" width="10.42578125" customWidth="1"/>
    <col min="5495" max="5495" width="13.85546875" bestFit="1" customWidth="1"/>
    <col min="5496" max="5496" width="15.42578125" bestFit="1" customWidth="1"/>
    <col min="5497" max="5497" width="12.28515625" bestFit="1" customWidth="1"/>
    <col min="5498" max="5498" width="12.7109375" customWidth="1"/>
    <col min="5499" max="5499" width="10.7109375" bestFit="1" customWidth="1"/>
    <col min="5500" max="5500" width="9.85546875" customWidth="1"/>
    <col min="5501" max="5502" width="10.140625" bestFit="1" customWidth="1"/>
    <col min="5503" max="5503" width="7.5703125" bestFit="1" customWidth="1"/>
    <col min="5504" max="5504" width="9.42578125" bestFit="1" customWidth="1"/>
    <col min="5505" max="5505" width="14.5703125" bestFit="1" customWidth="1"/>
    <col min="5506" max="5506" width="14.85546875" customWidth="1"/>
    <col min="5507" max="5507" width="15.140625" bestFit="1" customWidth="1"/>
    <col min="5508" max="5508" width="12.140625" bestFit="1" customWidth="1"/>
    <col min="5509" max="5509" width="14.85546875" bestFit="1" customWidth="1"/>
    <col min="5510" max="5510" width="12.28515625" bestFit="1" customWidth="1"/>
    <col min="5511" max="5519" width="9.140625" hidden="1" customWidth="1"/>
    <col min="5520" max="5520" width="5.28515625" bestFit="1" customWidth="1"/>
    <col min="5521" max="5526" width="11.5703125" bestFit="1" customWidth="1"/>
    <col min="5527" max="5527" width="11.28515625" bestFit="1" customWidth="1"/>
    <col min="5528" max="5528" width="10.140625" bestFit="1" customWidth="1"/>
    <col min="5529" max="5529" width="11.5703125" bestFit="1" customWidth="1"/>
    <col min="5530" max="5530" width="16.140625" customWidth="1"/>
    <col min="5531" max="5531" width="13.42578125" customWidth="1"/>
    <col min="5532" max="5532" width="10.140625" bestFit="1" customWidth="1"/>
    <col min="5533" max="5533" width="12.85546875" bestFit="1" customWidth="1"/>
    <col min="5534" max="5534" width="12.28515625" bestFit="1" customWidth="1"/>
    <col min="5535" max="5535" width="11.28515625" bestFit="1" customWidth="1"/>
    <col min="5536" max="5536" width="11.5703125" bestFit="1" customWidth="1"/>
    <col min="5537" max="5537" width="10.85546875" bestFit="1" customWidth="1"/>
    <col min="5538" max="5538" width="11.28515625" bestFit="1" customWidth="1"/>
    <col min="5539" max="5539" width="10.140625" bestFit="1" customWidth="1"/>
    <col min="5540" max="5540" width="13.28515625" bestFit="1" customWidth="1"/>
    <col min="5541" max="5542" width="12.7109375" bestFit="1" customWidth="1"/>
    <col min="5543" max="5543" width="11" bestFit="1" customWidth="1"/>
    <col min="5544" max="5544" width="11.28515625" bestFit="1" customWidth="1"/>
    <col min="5545" max="5545" width="11.5703125" bestFit="1" customWidth="1"/>
    <col min="5546" max="5546" width="12.28515625" bestFit="1" customWidth="1"/>
    <col min="5547" max="5547" width="15.140625" bestFit="1" customWidth="1"/>
    <col min="5548" max="5548" width="14.42578125" bestFit="1" customWidth="1"/>
    <col min="5549" max="5549" width="12.28515625" bestFit="1" customWidth="1"/>
    <col min="5550" max="5550" width="15.140625" bestFit="1" customWidth="1"/>
    <col min="5551" max="5551" width="14.42578125" bestFit="1" customWidth="1"/>
    <col min="5552" max="5552" width="12.28515625" bestFit="1" customWidth="1"/>
    <col min="5553" max="5553" width="14.42578125" bestFit="1" customWidth="1"/>
    <col min="5554" max="5554" width="11.28515625" bestFit="1" customWidth="1"/>
    <col min="5555" max="5555" width="12.28515625" bestFit="1" customWidth="1"/>
    <col min="5556" max="5556" width="13" bestFit="1" customWidth="1"/>
    <col min="5557" max="5557" width="15.140625" bestFit="1" customWidth="1"/>
    <col min="5558" max="5558" width="12.28515625" bestFit="1" customWidth="1"/>
    <col min="5559" max="5559" width="13.85546875" bestFit="1" customWidth="1"/>
    <col min="5560" max="5560" width="11.28515625" bestFit="1" customWidth="1"/>
    <col min="5561" max="5561" width="12.28515625" bestFit="1" customWidth="1"/>
    <col min="5562" max="5562" width="13.85546875" bestFit="1" customWidth="1"/>
    <col min="5563" max="5564" width="15.140625" bestFit="1" customWidth="1"/>
    <col min="5565" max="5565" width="12.28515625" bestFit="1" customWidth="1"/>
    <col min="5566" max="5566" width="5.7109375" bestFit="1" customWidth="1"/>
    <col min="5567" max="5567" width="8.5703125" bestFit="1" customWidth="1"/>
    <col min="5568" max="5568" width="5.5703125" bestFit="1" customWidth="1"/>
    <col min="5569" max="5569" width="14.42578125" bestFit="1" customWidth="1"/>
    <col min="5570" max="5570" width="11.28515625" bestFit="1" customWidth="1"/>
    <col min="5571" max="5572" width="12.28515625" bestFit="1" customWidth="1"/>
    <col min="5573" max="5573" width="11.28515625" bestFit="1" customWidth="1"/>
    <col min="5574" max="5574" width="13.85546875" bestFit="1" customWidth="1"/>
    <col min="5575" max="5575" width="12" bestFit="1" customWidth="1"/>
    <col min="5576" max="5576" width="13.85546875" bestFit="1" customWidth="1"/>
    <col min="5577" max="5578" width="14.42578125" customWidth="1"/>
    <col min="5579" max="5579" width="10.140625" bestFit="1" customWidth="1"/>
    <col min="5580" max="5580" width="12.28515625" bestFit="1" customWidth="1"/>
    <col min="5581" max="5581" width="7.42578125" bestFit="1" customWidth="1"/>
    <col min="5582" max="5582" width="8.5703125" bestFit="1" customWidth="1"/>
    <col min="5583" max="5583" width="11.5703125" bestFit="1" customWidth="1"/>
    <col min="5584" max="5584" width="13.28515625" bestFit="1" customWidth="1"/>
    <col min="5585" max="5585" width="13.28515625" customWidth="1"/>
    <col min="5586" max="5586" width="13.140625" customWidth="1"/>
    <col min="5587" max="5587" width="12.7109375" bestFit="1" customWidth="1"/>
    <col min="5588" max="5588" width="13.28515625" bestFit="1" customWidth="1"/>
    <col min="5589" max="5591" width="13.28515625" customWidth="1"/>
    <col min="5592" max="5592" width="12.140625" bestFit="1" customWidth="1"/>
    <col min="5593" max="5593" width="12.7109375" bestFit="1" customWidth="1"/>
    <col min="5594" max="5594" width="11" customWidth="1"/>
    <col min="5595" max="5595" width="16.7109375" customWidth="1"/>
    <col min="5596" max="5596" width="17" customWidth="1"/>
    <col min="5597" max="5597" width="10.42578125" bestFit="1" customWidth="1"/>
    <col min="5641" max="5641" width="3.85546875" customWidth="1"/>
    <col min="5642" max="5642" width="15.28515625" bestFit="1" customWidth="1"/>
    <col min="5643" max="5643" width="12.28515625" customWidth="1"/>
    <col min="5644" max="5644" width="16.28515625" bestFit="1" customWidth="1"/>
    <col min="5645" max="5645" width="6.42578125" bestFit="1" customWidth="1"/>
    <col min="5646" max="5646" width="9.28515625" bestFit="1" customWidth="1"/>
    <col min="5647" max="5647" width="7.5703125" bestFit="1" customWidth="1"/>
    <col min="5648" max="5648" width="13.28515625" bestFit="1" customWidth="1"/>
    <col min="5649" max="5649" width="9.28515625" bestFit="1" customWidth="1"/>
    <col min="5650" max="5650" width="11.5703125" bestFit="1" customWidth="1"/>
    <col min="5651" max="5651" width="13.28515625" bestFit="1" customWidth="1"/>
    <col min="5652" max="5652" width="7.140625" bestFit="1" customWidth="1"/>
    <col min="5653" max="5653" width="12" bestFit="1" customWidth="1"/>
    <col min="5654" max="5654" width="13.28515625" bestFit="1" customWidth="1"/>
    <col min="5655" max="5655" width="7" bestFit="1" customWidth="1"/>
    <col min="5656" max="5656" width="12.7109375" bestFit="1" customWidth="1"/>
    <col min="5657" max="5657" width="11.5703125" bestFit="1" customWidth="1"/>
    <col min="5658" max="5658" width="10.5703125" bestFit="1" customWidth="1"/>
    <col min="5659" max="5660" width="15.7109375" bestFit="1" customWidth="1"/>
    <col min="5661" max="5661" width="11.5703125" bestFit="1" customWidth="1"/>
    <col min="5662" max="5662" width="7.7109375" bestFit="1" customWidth="1"/>
    <col min="5663" max="5663" width="15.140625" bestFit="1" customWidth="1"/>
    <col min="5664" max="5664" width="11.5703125" bestFit="1" customWidth="1"/>
    <col min="5665" max="5665" width="13.28515625" bestFit="1" customWidth="1"/>
    <col min="5666" max="5666" width="10.42578125" bestFit="1" customWidth="1"/>
    <col min="5667" max="5667" width="13.28515625" bestFit="1" customWidth="1"/>
    <col min="5668" max="5668" width="12.140625" bestFit="1" customWidth="1"/>
    <col min="5669" max="5669" width="14.42578125" bestFit="1" customWidth="1"/>
    <col min="5670" max="5670" width="13.28515625" bestFit="1" customWidth="1"/>
    <col min="5671" max="5671" width="11.5703125" bestFit="1" customWidth="1"/>
    <col min="5672" max="5672" width="7.7109375" bestFit="1" customWidth="1"/>
    <col min="5673" max="5674" width="14.42578125" bestFit="1" customWidth="1"/>
    <col min="5675" max="5675" width="11.5703125" bestFit="1" customWidth="1"/>
    <col min="5676" max="5676" width="7.7109375" bestFit="1" customWidth="1"/>
    <col min="5677" max="5677" width="13.5703125" customWidth="1"/>
    <col min="5678" max="5678" width="15.28515625" customWidth="1"/>
    <col min="5679" max="5679" width="14.5703125" customWidth="1"/>
    <col min="5680" max="5680" width="13.28515625" bestFit="1" customWidth="1"/>
    <col min="5681" max="5681" width="7.7109375" bestFit="1" customWidth="1"/>
    <col min="5682" max="5682" width="12.7109375" bestFit="1" customWidth="1"/>
    <col min="5683" max="5683" width="11.7109375" bestFit="1" customWidth="1"/>
    <col min="5684" max="5684" width="11.5703125" bestFit="1" customWidth="1"/>
    <col min="5685" max="5685" width="5.28515625" bestFit="1" customWidth="1"/>
    <col min="5686" max="5686" width="13.28515625" bestFit="1" customWidth="1"/>
    <col min="5687" max="5687" width="13.5703125" bestFit="1" customWidth="1"/>
    <col min="5688" max="5688" width="10.5703125" bestFit="1" customWidth="1"/>
    <col min="5689" max="5689" width="13.28515625" bestFit="1" customWidth="1"/>
    <col min="5690" max="5690" width="11.5703125" bestFit="1" customWidth="1"/>
    <col min="5691" max="5691" width="10.5703125" bestFit="1" customWidth="1"/>
    <col min="5692" max="5692" width="16.140625" bestFit="1" customWidth="1"/>
    <col min="5693" max="5694" width="11.28515625" bestFit="1" customWidth="1"/>
    <col min="5695" max="5695" width="13.28515625" bestFit="1" customWidth="1"/>
    <col min="5696" max="5696" width="7.7109375" bestFit="1" customWidth="1"/>
    <col min="5697" max="5700" width="9.140625" hidden="1" customWidth="1"/>
    <col min="5701" max="5701" width="10.42578125" bestFit="1" customWidth="1"/>
    <col min="5702" max="5702" width="10.5703125" bestFit="1" customWidth="1"/>
    <col min="5703" max="5703" width="10.42578125" bestFit="1" customWidth="1"/>
    <col min="5704" max="5704" width="10.5703125" bestFit="1" customWidth="1"/>
    <col min="5705" max="5705" width="9.5703125" bestFit="1" customWidth="1"/>
    <col min="5706" max="5706" width="11.5703125" bestFit="1" customWidth="1"/>
    <col min="5707" max="5707" width="10.42578125" bestFit="1" customWidth="1"/>
    <col min="5708" max="5708" width="10.85546875" customWidth="1"/>
    <col min="5709" max="5710" width="9.85546875" bestFit="1" customWidth="1"/>
    <col min="5711" max="5711" width="13.5703125" bestFit="1" customWidth="1"/>
    <col min="5712" max="5712" width="7.7109375" bestFit="1" customWidth="1"/>
    <col min="5713" max="5713" width="13.28515625" bestFit="1" customWidth="1"/>
    <col min="5714" max="5714" width="11.5703125" bestFit="1" customWidth="1"/>
    <col min="5715" max="5715" width="10.42578125" bestFit="1" customWidth="1"/>
    <col min="5716" max="5716" width="7.7109375" bestFit="1" customWidth="1"/>
    <col min="5717" max="5717" width="11.5703125" bestFit="1" customWidth="1"/>
    <col min="5718" max="5718" width="10.85546875" bestFit="1" customWidth="1"/>
    <col min="5719" max="5719" width="13.28515625" bestFit="1" customWidth="1"/>
    <col min="5720" max="5720" width="10.85546875" bestFit="1" customWidth="1"/>
    <col min="5721" max="5722" width="7.5703125" bestFit="1" customWidth="1"/>
    <col min="5723" max="5724" width="10.42578125" bestFit="1" customWidth="1"/>
    <col min="5725" max="5725" width="11.5703125" bestFit="1" customWidth="1"/>
    <col min="5726" max="5726" width="5.28515625" bestFit="1" customWidth="1"/>
    <col min="5727" max="5727" width="10.28515625" bestFit="1" customWidth="1"/>
    <col min="5728" max="5728" width="10.42578125" bestFit="1" customWidth="1"/>
    <col min="5729" max="5729" width="11.5703125" bestFit="1" customWidth="1"/>
    <col min="5730" max="5730" width="5.28515625" bestFit="1" customWidth="1"/>
    <col min="5731" max="5733" width="11.5703125" bestFit="1" customWidth="1"/>
    <col min="5734" max="5734" width="5.28515625" bestFit="1" customWidth="1"/>
    <col min="5735" max="5736" width="10.42578125" bestFit="1" customWidth="1"/>
    <col min="5737" max="5737" width="11.5703125" bestFit="1" customWidth="1"/>
    <col min="5738" max="5738" width="5.28515625" bestFit="1" customWidth="1"/>
    <col min="5739" max="5739" width="14.28515625" bestFit="1" customWidth="1"/>
    <col min="5740" max="5740" width="13" bestFit="1" customWidth="1"/>
    <col min="5741" max="5741" width="11.5703125" bestFit="1" customWidth="1"/>
    <col min="5742" max="5742" width="8.85546875" bestFit="1" customWidth="1"/>
    <col min="5743" max="5743" width="14.42578125" bestFit="1" customWidth="1"/>
    <col min="5744" max="5744" width="10.42578125" bestFit="1" customWidth="1"/>
    <col min="5745" max="5745" width="12.28515625" bestFit="1" customWidth="1"/>
    <col min="5746" max="5746" width="13.85546875" bestFit="1" customWidth="1"/>
    <col min="5747" max="5747" width="11.28515625" customWidth="1"/>
    <col min="5748" max="5748" width="11.5703125" customWidth="1"/>
    <col min="5749" max="5749" width="13.42578125" bestFit="1" customWidth="1"/>
    <col min="5750" max="5750" width="10.42578125" customWidth="1"/>
    <col min="5751" max="5751" width="13.85546875" bestFit="1" customWidth="1"/>
    <col min="5752" max="5752" width="15.42578125" bestFit="1" customWidth="1"/>
    <col min="5753" max="5753" width="12.28515625" bestFit="1" customWidth="1"/>
    <col min="5754" max="5754" width="12.7109375" customWidth="1"/>
    <col min="5755" max="5755" width="10.7109375" bestFit="1" customWidth="1"/>
    <col min="5756" max="5756" width="9.85546875" customWidth="1"/>
    <col min="5757" max="5758" width="10.140625" bestFit="1" customWidth="1"/>
    <col min="5759" max="5759" width="7.5703125" bestFit="1" customWidth="1"/>
    <col min="5760" max="5760" width="9.42578125" bestFit="1" customWidth="1"/>
    <col min="5761" max="5761" width="14.5703125" bestFit="1" customWidth="1"/>
    <col min="5762" max="5762" width="14.85546875" customWidth="1"/>
    <col min="5763" max="5763" width="15.140625" bestFit="1" customWidth="1"/>
    <col min="5764" max="5764" width="12.140625" bestFit="1" customWidth="1"/>
    <col min="5765" max="5765" width="14.85546875" bestFit="1" customWidth="1"/>
    <col min="5766" max="5766" width="12.28515625" bestFit="1" customWidth="1"/>
    <col min="5767" max="5775" width="9.140625" hidden="1" customWidth="1"/>
    <col min="5776" max="5776" width="5.28515625" bestFit="1" customWidth="1"/>
    <col min="5777" max="5782" width="11.5703125" bestFit="1" customWidth="1"/>
    <col min="5783" max="5783" width="11.28515625" bestFit="1" customWidth="1"/>
    <col min="5784" max="5784" width="10.140625" bestFit="1" customWidth="1"/>
    <col min="5785" max="5785" width="11.5703125" bestFit="1" customWidth="1"/>
    <col min="5786" max="5786" width="16.140625" customWidth="1"/>
    <col min="5787" max="5787" width="13.42578125" customWidth="1"/>
    <col min="5788" max="5788" width="10.140625" bestFit="1" customWidth="1"/>
    <col min="5789" max="5789" width="12.85546875" bestFit="1" customWidth="1"/>
    <col min="5790" max="5790" width="12.28515625" bestFit="1" customWidth="1"/>
    <col min="5791" max="5791" width="11.28515625" bestFit="1" customWidth="1"/>
    <col min="5792" max="5792" width="11.5703125" bestFit="1" customWidth="1"/>
    <col min="5793" max="5793" width="10.85546875" bestFit="1" customWidth="1"/>
    <col min="5794" max="5794" width="11.28515625" bestFit="1" customWidth="1"/>
    <col min="5795" max="5795" width="10.140625" bestFit="1" customWidth="1"/>
    <col min="5796" max="5796" width="13.28515625" bestFit="1" customWidth="1"/>
    <col min="5797" max="5798" width="12.7109375" bestFit="1" customWidth="1"/>
    <col min="5799" max="5799" width="11" bestFit="1" customWidth="1"/>
    <col min="5800" max="5800" width="11.28515625" bestFit="1" customWidth="1"/>
    <col min="5801" max="5801" width="11.5703125" bestFit="1" customWidth="1"/>
    <col min="5802" max="5802" width="12.28515625" bestFit="1" customWidth="1"/>
    <col min="5803" max="5803" width="15.140625" bestFit="1" customWidth="1"/>
    <col min="5804" max="5804" width="14.42578125" bestFit="1" customWidth="1"/>
    <col min="5805" max="5805" width="12.28515625" bestFit="1" customWidth="1"/>
    <col min="5806" max="5806" width="15.140625" bestFit="1" customWidth="1"/>
    <col min="5807" max="5807" width="14.42578125" bestFit="1" customWidth="1"/>
    <col min="5808" max="5808" width="12.28515625" bestFit="1" customWidth="1"/>
    <col min="5809" max="5809" width="14.42578125" bestFit="1" customWidth="1"/>
    <col min="5810" max="5810" width="11.28515625" bestFit="1" customWidth="1"/>
    <col min="5811" max="5811" width="12.28515625" bestFit="1" customWidth="1"/>
    <col min="5812" max="5812" width="13" bestFit="1" customWidth="1"/>
    <col min="5813" max="5813" width="15.140625" bestFit="1" customWidth="1"/>
    <col min="5814" max="5814" width="12.28515625" bestFit="1" customWidth="1"/>
    <col min="5815" max="5815" width="13.85546875" bestFit="1" customWidth="1"/>
    <col min="5816" max="5816" width="11.28515625" bestFit="1" customWidth="1"/>
    <col min="5817" max="5817" width="12.28515625" bestFit="1" customWidth="1"/>
    <col min="5818" max="5818" width="13.85546875" bestFit="1" customWidth="1"/>
    <col min="5819" max="5820" width="15.140625" bestFit="1" customWidth="1"/>
    <col min="5821" max="5821" width="12.28515625" bestFit="1" customWidth="1"/>
    <col min="5822" max="5822" width="5.7109375" bestFit="1" customWidth="1"/>
    <col min="5823" max="5823" width="8.5703125" bestFit="1" customWidth="1"/>
    <col min="5824" max="5824" width="5.5703125" bestFit="1" customWidth="1"/>
    <col min="5825" max="5825" width="14.42578125" bestFit="1" customWidth="1"/>
    <col min="5826" max="5826" width="11.28515625" bestFit="1" customWidth="1"/>
    <col min="5827" max="5828" width="12.28515625" bestFit="1" customWidth="1"/>
    <col min="5829" max="5829" width="11.28515625" bestFit="1" customWidth="1"/>
    <col min="5830" max="5830" width="13.85546875" bestFit="1" customWidth="1"/>
    <col min="5831" max="5831" width="12" bestFit="1" customWidth="1"/>
    <col min="5832" max="5832" width="13.85546875" bestFit="1" customWidth="1"/>
    <col min="5833" max="5834" width="14.42578125" customWidth="1"/>
    <col min="5835" max="5835" width="10.140625" bestFit="1" customWidth="1"/>
    <col min="5836" max="5836" width="12.28515625" bestFit="1" customWidth="1"/>
    <col min="5837" max="5837" width="7.42578125" bestFit="1" customWidth="1"/>
    <col min="5838" max="5838" width="8.5703125" bestFit="1" customWidth="1"/>
    <col min="5839" max="5839" width="11.5703125" bestFit="1" customWidth="1"/>
    <col min="5840" max="5840" width="13.28515625" bestFit="1" customWidth="1"/>
    <col min="5841" max="5841" width="13.28515625" customWidth="1"/>
    <col min="5842" max="5842" width="13.140625" customWidth="1"/>
    <col min="5843" max="5843" width="12.7109375" bestFit="1" customWidth="1"/>
    <col min="5844" max="5844" width="13.28515625" bestFit="1" customWidth="1"/>
    <col min="5845" max="5847" width="13.28515625" customWidth="1"/>
    <col min="5848" max="5848" width="12.140625" bestFit="1" customWidth="1"/>
    <col min="5849" max="5849" width="12.7109375" bestFit="1" customWidth="1"/>
    <col min="5850" max="5850" width="11" customWidth="1"/>
    <col min="5851" max="5851" width="16.7109375" customWidth="1"/>
    <col min="5852" max="5852" width="17" customWidth="1"/>
    <col min="5853" max="5853" width="10.42578125" bestFit="1" customWidth="1"/>
    <col min="5897" max="5897" width="3.85546875" customWidth="1"/>
    <col min="5898" max="5898" width="15.28515625" bestFit="1" customWidth="1"/>
    <col min="5899" max="5899" width="12.28515625" customWidth="1"/>
    <col min="5900" max="5900" width="16.28515625" bestFit="1" customWidth="1"/>
    <col min="5901" max="5901" width="6.42578125" bestFit="1" customWidth="1"/>
    <col min="5902" max="5902" width="9.28515625" bestFit="1" customWidth="1"/>
    <col min="5903" max="5903" width="7.5703125" bestFit="1" customWidth="1"/>
    <col min="5904" max="5904" width="13.28515625" bestFit="1" customWidth="1"/>
    <col min="5905" max="5905" width="9.28515625" bestFit="1" customWidth="1"/>
    <col min="5906" max="5906" width="11.5703125" bestFit="1" customWidth="1"/>
    <col min="5907" max="5907" width="13.28515625" bestFit="1" customWidth="1"/>
    <col min="5908" max="5908" width="7.140625" bestFit="1" customWidth="1"/>
    <col min="5909" max="5909" width="12" bestFit="1" customWidth="1"/>
    <col min="5910" max="5910" width="13.28515625" bestFit="1" customWidth="1"/>
    <col min="5911" max="5911" width="7" bestFit="1" customWidth="1"/>
    <col min="5912" max="5912" width="12.7109375" bestFit="1" customWidth="1"/>
    <col min="5913" max="5913" width="11.5703125" bestFit="1" customWidth="1"/>
    <col min="5914" max="5914" width="10.5703125" bestFit="1" customWidth="1"/>
    <col min="5915" max="5916" width="15.7109375" bestFit="1" customWidth="1"/>
    <col min="5917" max="5917" width="11.5703125" bestFit="1" customWidth="1"/>
    <col min="5918" max="5918" width="7.7109375" bestFit="1" customWidth="1"/>
    <col min="5919" max="5919" width="15.140625" bestFit="1" customWidth="1"/>
    <col min="5920" max="5920" width="11.5703125" bestFit="1" customWidth="1"/>
    <col min="5921" max="5921" width="13.28515625" bestFit="1" customWidth="1"/>
    <col min="5922" max="5922" width="10.42578125" bestFit="1" customWidth="1"/>
    <col min="5923" max="5923" width="13.28515625" bestFit="1" customWidth="1"/>
    <col min="5924" max="5924" width="12.140625" bestFit="1" customWidth="1"/>
    <col min="5925" max="5925" width="14.42578125" bestFit="1" customWidth="1"/>
    <col min="5926" max="5926" width="13.28515625" bestFit="1" customWidth="1"/>
    <col min="5927" max="5927" width="11.5703125" bestFit="1" customWidth="1"/>
    <col min="5928" max="5928" width="7.7109375" bestFit="1" customWidth="1"/>
    <col min="5929" max="5930" width="14.42578125" bestFit="1" customWidth="1"/>
    <col min="5931" max="5931" width="11.5703125" bestFit="1" customWidth="1"/>
    <col min="5932" max="5932" width="7.7109375" bestFit="1" customWidth="1"/>
    <col min="5933" max="5933" width="13.5703125" customWidth="1"/>
    <col min="5934" max="5934" width="15.28515625" customWidth="1"/>
    <col min="5935" max="5935" width="14.5703125" customWidth="1"/>
    <col min="5936" max="5936" width="13.28515625" bestFit="1" customWidth="1"/>
    <col min="5937" max="5937" width="7.7109375" bestFit="1" customWidth="1"/>
    <col min="5938" max="5938" width="12.7109375" bestFit="1" customWidth="1"/>
    <col min="5939" max="5939" width="11.7109375" bestFit="1" customWidth="1"/>
    <col min="5940" max="5940" width="11.5703125" bestFit="1" customWidth="1"/>
    <col min="5941" max="5941" width="5.28515625" bestFit="1" customWidth="1"/>
    <col min="5942" max="5942" width="13.28515625" bestFit="1" customWidth="1"/>
    <col min="5943" max="5943" width="13.5703125" bestFit="1" customWidth="1"/>
    <col min="5944" max="5944" width="10.5703125" bestFit="1" customWidth="1"/>
    <col min="5945" max="5945" width="13.28515625" bestFit="1" customWidth="1"/>
    <col min="5946" max="5946" width="11.5703125" bestFit="1" customWidth="1"/>
    <col min="5947" max="5947" width="10.5703125" bestFit="1" customWidth="1"/>
    <col min="5948" max="5948" width="16.140625" bestFit="1" customWidth="1"/>
    <col min="5949" max="5950" width="11.28515625" bestFit="1" customWidth="1"/>
    <col min="5951" max="5951" width="13.28515625" bestFit="1" customWidth="1"/>
    <col min="5952" max="5952" width="7.7109375" bestFit="1" customWidth="1"/>
    <col min="5953" max="5956" width="9.140625" hidden="1" customWidth="1"/>
    <col min="5957" max="5957" width="10.42578125" bestFit="1" customWidth="1"/>
    <col min="5958" max="5958" width="10.5703125" bestFit="1" customWidth="1"/>
    <col min="5959" max="5959" width="10.42578125" bestFit="1" customWidth="1"/>
    <col min="5960" max="5960" width="10.5703125" bestFit="1" customWidth="1"/>
    <col min="5961" max="5961" width="9.5703125" bestFit="1" customWidth="1"/>
    <col min="5962" max="5962" width="11.5703125" bestFit="1" customWidth="1"/>
    <col min="5963" max="5963" width="10.42578125" bestFit="1" customWidth="1"/>
    <col min="5964" max="5964" width="10.85546875" customWidth="1"/>
    <col min="5965" max="5966" width="9.85546875" bestFit="1" customWidth="1"/>
    <col min="5967" max="5967" width="13.5703125" bestFit="1" customWidth="1"/>
    <col min="5968" max="5968" width="7.7109375" bestFit="1" customWidth="1"/>
    <col min="5969" max="5969" width="13.28515625" bestFit="1" customWidth="1"/>
    <col min="5970" max="5970" width="11.5703125" bestFit="1" customWidth="1"/>
    <col min="5971" max="5971" width="10.42578125" bestFit="1" customWidth="1"/>
    <col min="5972" max="5972" width="7.7109375" bestFit="1" customWidth="1"/>
    <col min="5973" max="5973" width="11.5703125" bestFit="1" customWidth="1"/>
    <col min="5974" max="5974" width="10.85546875" bestFit="1" customWidth="1"/>
    <col min="5975" max="5975" width="13.28515625" bestFit="1" customWidth="1"/>
    <col min="5976" max="5976" width="10.85546875" bestFit="1" customWidth="1"/>
    <col min="5977" max="5978" width="7.5703125" bestFit="1" customWidth="1"/>
    <col min="5979" max="5980" width="10.42578125" bestFit="1" customWidth="1"/>
    <col min="5981" max="5981" width="11.5703125" bestFit="1" customWidth="1"/>
    <col min="5982" max="5982" width="5.28515625" bestFit="1" customWidth="1"/>
    <col min="5983" max="5983" width="10.28515625" bestFit="1" customWidth="1"/>
    <col min="5984" max="5984" width="10.42578125" bestFit="1" customWidth="1"/>
    <col min="5985" max="5985" width="11.5703125" bestFit="1" customWidth="1"/>
    <col min="5986" max="5986" width="5.28515625" bestFit="1" customWidth="1"/>
    <col min="5987" max="5989" width="11.5703125" bestFit="1" customWidth="1"/>
    <col min="5990" max="5990" width="5.28515625" bestFit="1" customWidth="1"/>
    <col min="5991" max="5992" width="10.42578125" bestFit="1" customWidth="1"/>
    <col min="5993" max="5993" width="11.5703125" bestFit="1" customWidth="1"/>
    <col min="5994" max="5994" width="5.28515625" bestFit="1" customWidth="1"/>
    <col min="5995" max="5995" width="14.28515625" bestFit="1" customWidth="1"/>
    <col min="5996" max="5996" width="13" bestFit="1" customWidth="1"/>
    <col min="5997" max="5997" width="11.5703125" bestFit="1" customWidth="1"/>
    <col min="5998" max="5998" width="8.85546875" bestFit="1" customWidth="1"/>
    <col min="5999" max="5999" width="14.42578125" bestFit="1" customWidth="1"/>
    <col min="6000" max="6000" width="10.42578125" bestFit="1" customWidth="1"/>
    <col min="6001" max="6001" width="12.28515625" bestFit="1" customWidth="1"/>
    <col min="6002" max="6002" width="13.85546875" bestFit="1" customWidth="1"/>
    <col min="6003" max="6003" width="11.28515625" customWidth="1"/>
    <col min="6004" max="6004" width="11.5703125" customWidth="1"/>
    <col min="6005" max="6005" width="13.42578125" bestFit="1" customWidth="1"/>
    <col min="6006" max="6006" width="10.42578125" customWidth="1"/>
    <col min="6007" max="6007" width="13.85546875" bestFit="1" customWidth="1"/>
    <col min="6008" max="6008" width="15.42578125" bestFit="1" customWidth="1"/>
    <col min="6009" max="6009" width="12.28515625" bestFit="1" customWidth="1"/>
    <col min="6010" max="6010" width="12.7109375" customWidth="1"/>
    <col min="6011" max="6011" width="10.7109375" bestFit="1" customWidth="1"/>
    <col min="6012" max="6012" width="9.85546875" customWidth="1"/>
    <col min="6013" max="6014" width="10.140625" bestFit="1" customWidth="1"/>
    <col min="6015" max="6015" width="7.5703125" bestFit="1" customWidth="1"/>
    <col min="6016" max="6016" width="9.42578125" bestFit="1" customWidth="1"/>
    <col min="6017" max="6017" width="14.5703125" bestFit="1" customWidth="1"/>
    <col min="6018" max="6018" width="14.85546875" customWidth="1"/>
    <col min="6019" max="6019" width="15.140625" bestFit="1" customWidth="1"/>
    <col min="6020" max="6020" width="12.140625" bestFit="1" customWidth="1"/>
    <col min="6021" max="6021" width="14.85546875" bestFit="1" customWidth="1"/>
    <col min="6022" max="6022" width="12.28515625" bestFit="1" customWidth="1"/>
    <col min="6023" max="6031" width="9.140625" hidden="1" customWidth="1"/>
    <col min="6032" max="6032" width="5.28515625" bestFit="1" customWidth="1"/>
    <col min="6033" max="6038" width="11.5703125" bestFit="1" customWidth="1"/>
    <col min="6039" max="6039" width="11.28515625" bestFit="1" customWidth="1"/>
    <col min="6040" max="6040" width="10.140625" bestFit="1" customWidth="1"/>
    <col min="6041" max="6041" width="11.5703125" bestFit="1" customWidth="1"/>
    <col min="6042" max="6042" width="16.140625" customWidth="1"/>
    <col min="6043" max="6043" width="13.42578125" customWidth="1"/>
    <col min="6044" max="6044" width="10.140625" bestFit="1" customWidth="1"/>
    <col min="6045" max="6045" width="12.85546875" bestFit="1" customWidth="1"/>
    <col min="6046" max="6046" width="12.28515625" bestFit="1" customWidth="1"/>
    <col min="6047" max="6047" width="11.28515625" bestFit="1" customWidth="1"/>
    <col min="6048" max="6048" width="11.5703125" bestFit="1" customWidth="1"/>
    <col min="6049" max="6049" width="10.85546875" bestFit="1" customWidth="1"/>
    <col min="6050" max="6050" width="11.28515625" bestFit="1" customWidth="1"/>
    <col min="6051" max="6051" width="10.140625" bestFit="1" customWidth="1"/>
    <col min="6052" max="6052" width="13.28515625" bestFit="1" customWidth="1"/>
    <col min="6053" max="6054" width="12.7109375" bestFit="1" customWidth="1"/>
    <col min="6055" max="6055" width="11" bestFit="1" customWidth="1"/>
    <col min="6056" max="6056" width="11.28515625" bestFit="1" customWidth="1"/>
    <col min="6057" max="6057" width="11.5703125" bestFit="1" customWidth="1"/>
    <col min="6058" max="6058" width="12.28515625" bestFit="1" customWidth="1"/>
    <col min="6059" max="6059" width="15.140625" bestFit="1" customWidth="1"/>
    <col min="6060" max="6060" width="14.42578125" bestFit="1" customWidth="1"/>
    <col min="6061" max="6061" width="12.28515625" bestFit="1" customWidth="1"/>
    <col min="6062" max="6062" width="15.140625" bestFit="1" customWidth="1"/>
    <col min="6063" max="6063" width="14.42578125" bestFit="1" customWidth="1"/>
    <col min="6064" max="6064" width="12.28515625" bestFit="1" customWidth="1"/>
    <col min="6065" max="6065" width="14.42578125" bestFit="1" customWidth="1"/>
    <col min="6066" max="6066" width="11.28515625" bestFit="1" customWidth="1"/>
    <col min="6067" max="6067" width="12.28515625" bestFit="1" customWidth="1"/>
    <col min="6068" max="6068" width="13" bestFit="1" customWidth="1"/>
    <col min="6069" max="6069" width="15.140625" bestFit="1" customWidth="1"/>
    <col min="6070" max="6070" width="12.28515625" bestFit="1" customWidth="1"/>
    <col min="6071" max="6071" width="13.85546875" bestFit="1" customWidth="1"/>
    <col min="6072" max="6072" width="11.28515625" bestFit="1" customWidth="1"/>
    <col min="6073" max="6073" width="12.28515625" bestFit="1" customWidth="1"/>
    <col min="6074" max="6074" width="13.85546875" bestFit="1" customWidth="1"/>
    <col min="6075" max="6076" width="15.140625" bestFit="1" customWidth="1"/>
    <col min="6077" max="6077" width="12.28515625" bestFit="1" customWidth="1"/>
    <col min="6078" max="6078" width="5.7109375" bestFit="1" customWidth="1"/>
    <col min="6079" max="6079" width="8.5703125" bestFit="1" customWidth="1"/>
    <col min="6080" max="6080" width="5.5703125" bestFit="1" customWidth="1"/>
    <col min="6081" max="6081" width="14.42578125" bestFit="1" customWidth="1"/>
    <col min="6082" max="6082" width="11.28515625" bestFit="1" customWidth="1"/>
    <col min="6083" max="6084" width="12.28515625" bestFit="1" customWidth="1"/>
    <col min="6085" max="6085" width="11.28515625" bestFit="1" customWidth="1"/>
    <col min="6086" max="6086" width="13.85546875" bestFit="1" customWidth="1"/>
    <col min="6087" max="6087" width="12" bestFit="1" customWidth="1"/>
    <col min="6088" max="6088" width="13.85546875" bestFit="1" customWidth="1"/>
    <col min="6089" max="6090" width="14.42578125" customWidth="1"/>
    <col min="6091" max="6091" width="10.140625" bestFit="1" customWidth="1"/>
    <col min="6092" max="6092" width="12.28515625" bestFit="1" customWidth="1"/>
    <col min="6093" max="6093" width="7.42578125" bestFit="1" customWidth="1"/>
    <col min="6094" max="6094" width="8.5703125" bestFit="1" customWidth="1"/>
    <col min="6095" max="6095" width="11.5703125" bestFit="1" customWidth="1"/>
    <col min="6096" max="6096" width="13.28515625" bestFit="1" customWidth="1"/>
    <col min="6097" max="6097" width="13.28515625" customWidth="1"/>
    <col min="6098" max="6098" width="13.140625" customWidth="1"/>
    <col min="6099" max="6099" width="12.7109375" bestFit="1" customWidth="1"/>
    <col min="6100" max="6100" width="13.28515625" bestFit="1" customWidth="1"/>
    <col min="6101" max="6103" width="13.28515625" customWidth="1"/>
    <col min="6104" max="6104" width="12.140625" bestFit="1" customWidth="1"/>
    <col min="6105" max="6105" width="12.7109375" bestFit="1" customWidth="1"/>
    <col min="6106" max="6106" width="11" customWidth="1"/>
    <col min="6107" max="6107" width="16.7109375" customWidth="1"/>
    <col min="6108" max="6108" width="17" customWidth="1"/>
    <col min="6109" max="6109" width="10.42578125" bestFit="1" customWidth="1"/>
    <col min="6153" max="6153" width="3.85546875" customWidth="1"/>
    <col min="6154" max="6154" width="15.28515625" bestFit="1" customWidth="1"/>
    <col min="6155" max="6155" width="12.28515625" customWidth="1"/>
    <col min="6156" max="6156" width="16.28515625" bestFit="1" customWidth="1"/>
    <col min="6157" max="6157" width="6.42578125" bestFit="1" customWidth="1"/>
    <col min="6158" max="6158" width="9.28515625" bestFit="1" customWidth="1"/>
    <col min="6159" max="6159" width="7.5703125" bestFit="1" customWidth="1"/>
    <col min="6160" max="6160" width="13.28515625" bestFit="1" customWidth="1"/>
    <col min="6161" max="6161" width="9.28515625" bestFit="1" customWidth="1"/>
    <col min="6162" max="6162" width="11.5703125" bestFit="1" customWidth="1"/>
    <col min="6163" max="6163" width="13.28515625" bestFit="1" customWidth="1"/>
    <col min="6164" max="6164" width="7.140625" bestFit="1" customWidth="1"/>
    <col min="6165" max="6165" width="12" bestFit="1" customWidth="1"/>
    <col min="6166" max="6166" width="13.28515625" bestFit="1" customWidth="1"/>
    <col min="6167" max="6167" width="7" bestFit="1" customWidth="1"/>
    <col min="6168" max="6168" width="12.7109375" bestFit="1" customWidth="1"/>
    <col min="6169" max="6169" width="11.5703125" bestFit="1" customWidth="1"/>
    <col min="6170" max="6170" width="10.5703125" bestFit="1" customWidth="1"/>
    <col min="6171" max="6172" width="15.7109375" bestFit="1" customWidth="1"/>
    <col min="6173" max="6173" width="11.5703125" bestFit="1" customWidth="1"/>
    <col min="6174" max="6174" width="7.7109375" bestFit="1" customWidth="1"/>
    <col min="6175" max="6175" width="15.140625" bestFit="1" customWidth="1"/>
    <col min="6176" max="6176" width="11.5703125" bestFit="1" customWidth="1"/>
    <col min="6177" max="6177" width="13.28515625" bestFit="1" customWidth="1"/>
    <col min="6178" max="6178" width="10.42578125" bestFit="1" customWidth="1"/>
    <col min="6179" max="6179" width="13.28515625" bestFit="1" customWidth="1"/>
    <col min="6180" max="6180" width="12.140625" bestFit="1" customWidth="1"/>
    <col min="6181" max="6181" width="14.42578125" bestFit="1" customWidth="1"/>
    <col min="6182" max="6182" width="13.28515625" bestFit="1" customWidth="1"/>
    <col min="6183" max="6183" width="11.5703125" bestFit="1" customWidth="1"/>
    <col min="6184" max="6184" width="7.7109375" bestFit="1" customWidth="1"/>
    <col min="6185" max="6186" width="14.42578125" bestFit="1" customWidth="1"/>
    <col min="6187" max="6187" width="11.5703125" bestFit="1" customWidth="1"/>
    <col min="6188" max="6188" width="7.7109375" bestFit="1" customWidth="1"/>
    <col min="6189" max="6189" width="13.5703125" customWidth="1"/>
    <col min="6190" max="6190" width="15.28515625" customWidth="1"/>
    <col min="6191" max="6191" width="14.5703125" customWidth="1"/>
    <col min="6192" max="6192" width="13.28515625" bestFit="1" customWidth="1"/>
    <col min="6193" max="6193" width="7.7109375" bestFit="1" customWidth="1"/>
    <col min="6194" max="6194" width="12.7109375" bestFit="1" customWidth="1"/>
    <col min="6195" max="6195" width="11.7109375" bestFit="1" customWidth="1"/>
    <col min="6196" max="6196" width="11.5703125" bestFit="1" customWidth="1"/>
    <col min="6197" max="6197" width="5.28515625" bestFit="1" customWidth="1"/>
    <col min="6198" max="6198" width="13.28515625" bestFit="1" customWidth="1"/>
    <col min="6199" max="6199" width="13.5703125" bestFit="1" customWidth="1"/>
    <col min="6200" max="6200" width="10.5703125" bestFit="1" customWidth="1"/>
    <col min="6201" max="6201" width="13.28515625" bestFit="1" customWidth="1"/>
    <col min="6202" max="6202" width="11.5703125" bestFit="1" customWidth="1"/>
    <col min="6203" max="6203" width="10.5703125" bestFit="1" customWidth="1"/>
    <col min="6204" max="6204" width="16.140625" bestFit="1" customWidth="1"/>
    <col min="6205" max="6206" width="11.28515625" bestFit="1" customWidth="1"/>
    <col min="6207" max="6207" width="13.28515625" bestFit="1" customWidth="1"/>
    <col min="6208" max="6208" width="7.7109375" bestFit="1" customWidth="1"/>
    <col min="6209" max="6212" width="9.140625" hidden="1" customWidth="1"/>
    <col min="6213" max="6213" width="10.42578125" bestFit="1" customWidth="1"/>
    <col min="6214" max="6214" width="10.5703125" bestFit="1" customWidth="1"/>
    <col min="6215" max="6215" width="10.42578125" bestFit="1" customWidth="1"/>
    <col min="6216" max="6216" width="10.5703125" bestFit="1" customWidth="1"/>
    <col min="6217" max="6217" width="9.5703125" bestFit="1" customWidth="1"/>
    <col min="6218" max="6218" width="11.5703125" bestFit="1" customWidth="1"/>
    <col min="6219" max="6219" width="10.42578125" bestFit="1" customWidth="1"/>
    <col min="6220" max="6220" width="10.85546875" customWidth="1"/>
    <col min="6221" max="6222" width="9.85546875" bestFit="1" customWidth="1"/>
    <col min="6223" max="6223" width="13.5703125" bestFit="1" customWidth="1"/>
    <col min="6224" max="6224" width="7.7109375" bestFit="1" customWidth="1"/>
    <col min="6225" max="6225" width="13.28515625" bestFit="1" customWidth="1"/>
    <col min="6226" max="6226" width="11.5703125" bestFit="1" customWidth="1"/>
    <col min="6227" max="6227" width="10.42578125" bestFit="1" customWidth="1"/>
    <col min="6228" max="6228" width="7.7109375" bestFit="1" customWidth="1"/>
    <col min="6229" max="6229" width="11.5703125" bestFit="1" customWidth="1"/>
    <col min="6230" max="6230" width="10.85546875" bestFit="1" customWidth="1"/>
    <col min="6231" max="6231" width="13.28515625" bestFit="1" customWidth="1"/>
    <col min="6232" max="6232" width="10.85546875" bestFit="1" customWidth="1"/>
    <col min="6233" max="6234" width="7.5703125" bestFit="1" customWidth="1"/>
    <col min="6235" max="6236" width="10.42578125" bestFit="1" customWidth="1"/>
    <col min="6237" max="6237" width="11.5703125" bestFit="1" customWidth="1"/>
    <col min="6238" max="6238" width="5.28515625" bestFit="1" customWidth="1"/>
    <col min="6239" max="6239" width="10.28515625" bestFit="1" customWidth="1"/>
    <col min="6240" max="6240" width="10.42578125" bestFit="1" customWidth="1"/>
    <col min="6241" max="6241" width="11.5703125" bestFit="1" customWidth="1"/>
    <col min="6242" max="6242" width="5.28515625" bestFit="1" customWidth="1"/>
    <col min="6243" max="6245" width="11.5703125" bestFit="1" customWidth="1"/>
    <col min="6246" max="6246" width="5.28515625" bestFit="1" customWidth="1"/>
    <col min="6247" max="6248" width="10.42578125" bestFit="1" customWidth="1"/>
    <col min="6249" max="6249" width="11.5703125" bestFit="1" customWidth="1"/>
    <col min="6250" max="6250" width="5.28515625" bestFit="1" customWidth="1"/>
    <col min="6251" max="6251" width="14.28515625" bestFit="1" customWidth="1"/>
    <col min="6252" max="6252" width="13" bestFit="1" customWidth="1"/>
    <col min="6253" max="6253" width="11.5703125" bestFit="1" customWidth="1"/>
    <col min="6254" max="6254" width="8.85546875" bestFit="1" customWidth="1"/>
    <col min="6255" max="6255" width="14.42578125" bestFit="1" customWidth="1"/>
    <col min="6256" max="6256" width="10.42578125" bestFit="1" customWidth="1"/>
    <col min="6257" max="6257" width="12.28515625" bestFit="1" customWidth="1"/>
    <col min="6258" max="6258" width="13.85546875" bestFit="1" customWidth="1"/>
    <col min="6259" max="6259" width="11.28515625" customWidth="1"/>
    <col min="6260" max="6260" width="11.5703125" customWidth="1"/>
    <col min="6261" max="6261" width="13.42578125" bestFit="1" customWidth="1"/>
    <col min="6262" max="6262" width="10.42578125" customWidth="1"/>
    <col min="6263" max="6263" width="13.85546875" bestFit="1" customWidth="1"/>
    <col min="6264" max="6264" width="15.42578125" bestFit="1" customWidth="1"/>
    <col min="6265" max="6265" width="12.28515625" bestFit="1" customWidth="1"/>
    <col min="6266" max="6266" width="12.7109375" customWidth="1"/>
    <col min="6267" max="6267" width="10.7109375" bestFit="1" customWidth="1"/>
    <col min="6268" max="6268" width="9.85546875" customWidth="1"/>
    <col min="6269" max="6270" width="10.140625" bestFit="1" customWidth="1"/>
    <col min="6271" max="6271" width="7.5703125" bestFit="1" customWidth="1"/>
    <col min="6272" max="6272" width="9.42578125" bestFit="1" customWidth="1"/>
    <col min="6273" max="6273" width="14.5703125" bestFit="1" customWidth="1"/>
    <col min="6274" max="6274" width="14.85546875" customWidth="1"/>
    <col min="6275" max="6275" width="15.140625" bestFit="1" customWidth="1"/>
    <col min="6276" max="6276" width="12.140625" bestFit="1" customWidth="1"/>
    <col min="6277" max="6277" width="14.85546875" bestFit="1" customWidth="1"/>
    <col min="6278" max="6278" width="12.28515625" bestFit="1" customWidth="1"/>
    <col min="6279" max="6287" width="9.140625" hidden="1" customWidth="1"/>
    <col min="6288" max="6288" width="5.28515625" bestFit="1" customWidth="1"/>
    <col min="6289" max="6294" width="11.5703125" bestFit="1" customWidth="1"/>
    <col min="6295" max="6295" width="11.28515625" bestFit="1" customWidth="1"/>
    <col min="6296" max="6296" width="10.140625" bestFit="1" customWidth="1"/>
    <col min="6297" max="6297" width="11.5703125" bestFit="1" customWidth="1"/>
    <col min="6298" max="6298" width="16.140625" customWidth="1"/>
    <col min="6299" max="6299" width="13.42578125" customWidth="1"/>
    <col min="6300" max="6300" width="10.140625" bestFit="1" customWidth="1"/>
    <col min="6301" max="6301" width="12.85546875" bestFit="1" customWidth="1"/>
    <col min="6302" max="6302" width="12.28515625" bestFit="1" customWidth="1"/>
    <col min="6303" max="6303" width="11.28515625" bestFit="1" customWidth="1"/>
    <col min="6304" max="6304" width="11.5703125" bestFit="1" customWidth="1"/>
    <col min="6305" max="6305" width="10.85546875" bestFit="1" customWidth="1"/>
    <col min="6306" max="6306" width="11.28515625" bestFit="1" customWidth="1"/>
    <col min="6307" max="6307" width="10.140625" bestFit="1" customWidth="1"/>
    <col min="6308" max="6308" width="13.28515625" bestFit="1" customWidth="1"/>
    <col min="6309" max="6310" width="12.7109375" bestFit="1" customWidth="1"/>
    <col min="6311" max="6311" width="11" bestFit="1" customWidth="1"/>
    <col min="6312" max="6312" width="11.28515625" bestFit="1" customWidth="1"/>
    <col min="6313" max="6313" width="11.5703125" bestFit="1" customWidth="1"/>
    <col min="6314" max="6314" width="12.28515625" bestFit="1" customWidth="1"/>
    <col min="6315" max="6315" width="15.140625" bestFit="1" customWidth="1"/>
    <col min="6316" max="6316" width="14.42578125" bestFit="1" customWidth="1"/>
    <col min="6317" max="6317" width="12.28515625" bestFit="1" customWidth="1"/>
    <col min="6318" max="6318" width="15.140625" bestFit="1" customWidth="1"/>
    <col min="6319" max="6319" width="14.42578125" bestFit="1" customWidth="1"/>
    <col min="6320" max="6320" width="12.28515625" bestFit="1" customWidth="1"/>
    <col min="6321" max="6321" width="14.42578125" bestFit="1" customWidth="1"/>
    <col min="6322" max="6322" width="11.28515625" bestFit="1" customWidth="1"/>
    <col min="6323" max="6323" width="12.28515625" bestFit="1" customWidth="1"/>
    <col min="6324" max="6324" width="13" bestFit="1" customWidth="1"/>
    <col min="6325" max="6325" width="15.140625" bestFit="1" customWidth="1"/>
    <col min="6326" max="6326" width="12.28515625" bestFit="1" customWidth="1"/>
    <col min="6327" max="6327" width="13.85546875" bestFit="1" customWidth="1"/>
    <col min="6328" max="6328" width="11.28515625" bestFit="1" customWidth="1"/>
    <col min="6329" max="6329" width="12.28515625" bestFit="1" customWidth="1"/>
    <col min="6330" max="6330" width="13.85546875" bestFit="1" customWidth="1"/>
    <col min="6331" max="6332" width="15.140625" bestFit="1" customWidth="1"/>
    <col min="6333" max="6333" width="12.28515625" bestFit="1" customWidth="1"/>
    <col min="6334" max="6334" width="5.7109375" bestFit="1" customWidth="1"/>
    <col min="6335" max="6335" width="8.5703125" bestFit="1" customWidth="1"/>
    <col min="6336" max="6336" width="5.5703125" bestFit="1" customWidth="1"/>
    <col min="6337" max="6337" width="14.42578125" bestFit="1" customWidth="1"/>
    <col min="6338" max="6338" width="11.28515625" bestFit="1" customWidth="1"/>
    <col min="6339" max="6340" width="12.28515625" bestFit="1" customWidth="1"/>
    <col min="6341" max="6341" width="11.28515625" bestFit="1" customWidth="1"/>
    <col min="6342" max="6342" width="13.85546875" bestFit="1" customWidth="1"/>
    <col min="6343" max="6343" width="12" bestFit="1" customWidth="1"/>
    <col min="6344" max="6344" width="13.85546875" bestFit="1" customWidth="1"/>
    <col min="6345" max="6346" width="14.42578125" customWidth="1"/>
    <col min="6347" max="6347" width="10.140625" bestFit="1" customWidth="1"/>
    <col min="6348" max="6348" width="12.28515625" bestFit="1" customWidth="1"/>
    <col min="6349" max="6349" width="7.42578125" bestFit="1" customWidth="1"/>
    <col min="6350" max="6350" width="8.5703125" bestFit="1" customWidth="1"/>
    <col min="6351" max="6351" width="11.5703125" bestFit="1" customWidth="1"/>
    <col min="6352" max="6352" width="13.28515625" bestFit="1" customWidth="1"/>
    <col min="6353" max="6353" width="13.28515625" customWidth="1"/>
    <col min="6354" max="6354" width="13.140625" customWidth="1"/>
    <col min="6355" max="6355" width="12.7109375" bestFit="1" customWidth="1"/>
    <col min="6356" max="6356" width="13.28515625" bestFit="1" customWidth="1"/>
    <col min="6357" max="6359" width="13.28515625" customWidth="1"/>
    <col min="6360" max="6360" width="12.140625" bestFit="1" customWidth="1"/>
    <col min="6361" max="6361" width="12.7109375" bestFit="1" customWidth="1"/>
    <col min="6362" max="6362" width="11" customWidth="1"/>
    <col min="6363" max="6363" width="16.7109375" customWidth="1"/>
    <col min="6364" max="6364" width="17" customWidth="1"/>
    <col min="6365" max="6365" width="10.42578125" bestFit="1" customWidth="1"/>
    <col min="6409" max="6409" width="3.85546875" customWidth="1"/>
    <col min="6410" max="6410" width="15.28515625" bestFit="1" customWidth="1"/>
    <col min="6411" max="6411" width="12.28515625" customWidth="1"/>
    <col min="6412" max="6412" width="16.28515625" bestFit="1" customWidth="1"/>
    <col min="6413" max="6413" width="6.42578125" bestFit="1" customWidth="1"/>
    <col min="6414" max="6414" width="9.28515625" bestFit="1" customWidth="1"/>
    <col min="6415" max="6415" width="7.5703125" bestFit="1" customWidth="1"/>
    <col min="6416" max="6416" width="13.28515625" bestFit="1" customWidth="1"/>
    <col min="6417" max="6417" width="9.28515625" bestFit="1" customWidth="1"/>
    <col min="6418" max="6418" width="11.5703125" bestFit="1" customWidth="1"/>
    <col min="6419" max="6419" width="13.28515625" bestFit="1" customWidth="1"/>
    <col min="6420" max="6420" width="7.140625" bestFit="1" customWidth="1"/>
    <col min="6421" max="6421" width="12" bestFit="1" customWidth="1"/>
    <col min="6422" max="6422" width="13.28515625" bestFit="1" customWidth="1"/>
    <col min="6423" max="6423" width="7" bestFit="1" customWidth="1"/>
    <col min="6424" max="6424" width="12.7109375" bestFit="1" customWidth="1"/>
    <col min="6425" max="6425" width="11.5703125" bestFit="1" customWidth="1"/>
    <col min="6426" max="6426" width="10.5703125" bestFit="1" customWidth="1"/>
    <col min="6427" max="6428" width="15.7109375" bestFit="1" customWidth="1"/>
    <col min="6429" max="6429" width="11.5703125" bestFit="1" customWidth="1"/>
    <col min="6430" max="6430" width="7.7109375" bestFit="1" customWidth="1"/>
    <col min="6431" max="6431" width="15.140625" bestFit="1" customWidth="1"/>
    <col min="6432" max="6432" width="11.5703125" bestFit="1" customWidth="1"/>
    <col min="6433" max="6433" width="13.28515625" bestFit="1" customWidth="1"/>
    <col min="6434" max="6434" width="10.42578125" bestFit="1" customWidth="1"/>
    <col min="6435" max="6435" width="13.28515625" bestFit="1" customWidth="1"/>
    <col min="6436" max="6436" width="12.140625" bestFit="1" customWidth="1"/>
    <col min="6437" max="6437" width="14.42578125" bestFit="1" customWidth="1"/>
    <col min="6438" max="6438" width="13.28515625" bestFit="1" customWidth="1"/>
    <col min="6439" max="6439" width="11.5703125" bestFit="1" customWidth="1"/>
    <col min="6440" max="6440" width="7.7109375" bestFit="1" customWidth="1"/>
    <col min="6441" max="6442" width="14.42578125" bestFit="1" customWidth="1"/>
    <col min="6443" max="6443" width="11.5703125" bestFit="1" customWidth="1"/>
    <col min="6444" max="6444" width="7.7109375" bestFit="1" customWidth="1"/>
    <col min="6445" max="6445" width="13.5703125" customWidth="1"/>
    <col min="6446" max="6446" width="15.28515625" customWidth="1"/>
    <col min="6447" max="6447" width="14.5703125" customWidth="1"/>
    <col min="6448" max="6448" width="13.28515625" bestFit="1" customWidth="1"/>
    <col min="6449" max="6449" width="7.7109375" bestFit="1" customWidth="1"/>
    <col min="6450" max="6450" width="12.7109375" bestFit="1" customWidth="1"/>
    <col min="6451" max="6451" width="11.7109375" bestFit="1" customWidth="1"/>
    <col min="6452" max="6452" width="11.5703125" bestFit="1" customWidth="1"/>
    <col min="6453" max="6453" width="5.28515625" bestFit="1" customWidth="1"/>
    <col min="6454" max="6454" width="13.28515625" bestFit="1" customWidth="1"/>
    <col min="6455" max="6455" width="13.5703125" bestFit="1" customWidth="1"/>
    <col min="6456" max="6456" width="10.5703125" bestFit="1" customWidth="1"/>
    <col min="6457" max="6457" width="13.28515625" bestFit="1" customWidth="1"/>
    <col min="6458" max="6458" width="11.5703125" bestFit="1" customWidth="1"/>
    <col min="6459" max="6459" width="10.5703125" bestFit="1" customWidth="1"/>
    <col min="6460" max="6460" width="16.140625" bestFit="1" customWidth="1"/>
    <col min="6461" max="6462" width="11.28515625" bestFit="1" customWidth="1"/>
    <col min="6463" max="6463" width="13.28515625" bestFit="1" customWidth="1"/>
    <col min="6464" max="6464" width="7.7109375" bestFit="1" customWidth="1"/>
    <col min="6465" max="6468" width="9.140625" hidden="1" customWidth="1"/>
    <col min="6469" max="6469" width="10.42578125" bestFit="1" customWidth="1"/>
    <col min="6470" max="6470" width="10.5703125" bestFit="1" customWidth="1"/>
    <col min="6471" max="6471" width="10.42578125" bestFit="1" customWidth="1"/>
    <col min="6472" max="6472" width="10.5703125" bestFit="1" customWidth="1"/>
    <col min="6473" max="6473" width="9.5703125" bestFit="1" customWidth="1"/>
    <col min="6474" max="6474" width="11.5703125" bestFit="1" customWidth="1"/>
    <col min="6475" max="6475" width="10.42578125" bestFit="1" customWidth="1"/>
    <col min="6476" max="6476" width="10.85546875" customWidth="1"/>
    <col min="6477" max="6478" width="9.85546875" bestFit="1" customWidth="1"/>
    <col min="6479" max="6479" width="13.5703125" bestFit="1" customWidth="1"/>
    <col min="6480" max="6480" width="7.7109375" bestFit="1" customWidth="1"/>
    <col min="6481" max="6481" width="13.28515625" bestFit="1" customWidth="1"/>
    <col min="6482" max="6482" width="11.5703125" bestFit="1" customWidth="1"/>
    <col min="6483" max="6483" width="10.42578125" bestFit="1" customWidth="1"/>
    <col min="6484" max="6484" width="7.7109375" bestFit="1" customWidth="1"/>
    <col min="6485" max="6485" width="11.5703125" bestFit="1" customWidth="1"/>
    <col min="6486" max="6486" width="10.85546875" bestFit="1" customWidth="1"/>
    <col min="6487" max="6487" width="13.28515625" bestFit="1" customWidth="1"/>
    <col min="6488" max="6488" width="10.85546875" bestFit="1" customWidth="1"/>
    <col min="6489" max="6490" width="7.5703125" bestFit="1" customWidth="1"/>
    <col min="6491" max="6492" width="10.42578125" bestFit="1" customWidth="1"/>
    <col min="6493" max="6493" width="11.5703125" bestFit="1" customWidth="1"/>
    <col min="6494" max="6494" width="5.28515625" bestFit="1" customWidth="1"/>
    <col min="6495" max="6495" width="10.28515625" bestFit="1" customWidth="1"/>
    <col min="6496" max="6496" width="10.42578125" bestFit="1" customWidth="1"/>
    <col min="6497" max="6497" width="11.5703125" bestFit="1" customWidth="1"/>
    <col min="6498" max="6498" width="5.28515625" bestFit="1" customWidth="1"/>
    <col min="6499" max="6501" width="11.5703125" bestFit="1" customWidth="1"/>
    <col min="6502" max="6502" width="5.28515625" bestFit="1" customWidth="1"/>
    <col min="6503" max="6504" width="10.42578125" bestFit="1" customWidth="1"/>
    <col min="6505" max="6505" width="11.5703125" bestFit="1" customWidth="1"/>
    <col min="6506" max="6506" width="5.28515625" bestFit="1" customWidth="1"/>
    <col min="6507" max="6507" width="14.28515625" bestFit="1" customWidth="1"/>
    <col min="6508" max="6508" width="13" bestFit="1" customWidth="1"/>
    <col min="6509" max="6509" width="11.5703125" bestFit="1" customWidth="1"/>
    <col min="6510" max="6510" width="8.85546875" bestFit="1" customWidth="1"/>
    <col min="6511" max="6511" width="14.42578125" bestFit="1" customWidth="1"/>
    <col min="6512" max="6512" width="10.42578125" bestFit="1" customWidth="1"/>
    <col min="6513" max="6513" width="12.28515625" bestFit="1" customWidth="1"/>
    <col min="6514" max="6514" width="13.85546875" bestFit="1" customWidth="1"/>
    <col min="6515" max="6515" width="11.28515625" customWidth="1"/>
    <col min="6516" max="6516" width="11.5703125" customWidth="1"/>
    <col min="6517" max="6517" width="13.42578125" bestFit="1" customWidth="1"/>
    <col min="6518" max="6518" width="10.42578125" customWidth="1"/>
    <col min="6519" max="6519" width="13.85546875" bestFit="1" customWidth="1"/>
    <col min="6520" max="6520" width="15.42578125" bestFit="1" customWidth="1"/>
    <col min="6521" max="6521" width="12.28515625" bestFit="1" customWidth="1"/>
    <col min="6522" max="6522" width="12.7109375" customWidth="1"/>
    <col min="6523" max="6523" width="10.7109375" bestFit="1" customWidth="1"/>
    <col min="6524" max="6524" width="9.85546875" customWidth="1"/>
    <col min="6525" max="6526" width="10.140625" bestFit="1" customWidth="1"/>
    <col min="6527" max="6527" width="7.5703125" bestFit="1" customWidth="1"/>
    <col min="6528" max="6528" width="9.42578125" bestFit="1" customWidth="1"/>
    <col min="6529" max="6529" width="14.5703125" bestFit="1" customWidth="1"/>
    <col min="6530" max="6530" width="14.85546875" customWidth="1"/>
    <col min="6531" max="6531" width="15.140625" bestFit="1" customWidth="1"/>
    <col min="6532" max="6532" width="12.140625" bestFit="1" customWidth="1"/>
    <col min="6533" max="6533" width="14.85546875" bestFit="1" customWidth="1"/>
    <col min="6534" max="6534" width="12.28515625" bestFit="1" customWidth="1"/>
    <col min="6535" max="6543" width="9.140625" hidden="1" customWidth="1"/>
    <col min="6544" max="6544" width="5.28515625" bestFit="1" customWidth="1"/>
    <col min="6545" max="6550" width="11.5703125" bestFit="1" customWidth="1"/>
    <col min="6551" max="6551" width="11.28515625" bestFit="1" customWidth="1"/>
    <col min="6552" max="6552" width="10.140625" bestFit="1" customWidth="1"/>
    <col min="6553" max="6553" width="11.5703125" bestFit="1" customWidth="1"/>
    <col min="6554" max="6554" width="16.140625" customWidth="1"/>
    <col min="6555" max="6555" width="13.42578125" customWidth="1"/>
    <col min="6556" max="6556" width="10.140625" bestFit="1" customWidth="1"/>
    <col min="6557" max="6557" width="12.85546875" bestFit="1" customWidth="1"/>
    <col min="6558" max="6558" width="12.28515625" bestFit="1" customWidth="1"/>
    <col min="6559" max="6559" width="11.28515625" bestFit="1" customWidth="1"/>
    <col min="6560" max="6560" width="11.5703125" bestFit="1" customWidth="1"/>
    <col min="6561" max="6561" width="10.85546875" bestFit="1" customWidth="1"/>
    <col min="6562" max="6562" width="11.28515625" bestFit="1" customWidth="1"/>
    <col min="6563" max="6563" width="10.140625" bestFit="1" customWidth="1"/>
    <col min="6564" max="6564" width="13.28515625" bestFit="1" customWidth="1"/>
    <col min="6565" max="6566" width="12.7109375" bestFit="1" customWidth="1"/>
    <col min="6567" max="6567" width="11" bestFit="1" customWidth="1"/>
    <col min="6568" max="6568" width="11.28515625" bestFit="1" customWidth="1"/>
    <col min="6569" max="6569" width="11.5703125" bestFit="1" customWidth="1"/>
    <col min="6570" max="6570" width="12.28515625" bestFit="1" customWidth="1"/>
    <col min="6571" max="6571" width="15.140625" bestFit="1" customWidth="1"/>
    <col min="6572" max="6572" width="14.42578125" bestFit="1" customWidth="1"/>
    <col min="6573" max="6573" width="12.28515625" bestFit="1" customWidth="1"/>
    <col min="6574" max="6574" width="15.140625" bestFit="1" customWidth="1"/>
    <col min="6575" max="6575" width="14.42578125" bestFit="1" customWidth="1"/>
    <col min="6576" max="6576" width="12.28515625" bestFit="1" customWidth="1"/>
    <col min="6577" max="6577" width="14.42578125" bestFit="1" customWidth="1"/>
    <col min="6578" max="6578" width="11.28515625" bestFit="1" customWidth="1"/>
    <col min="6579" max="6579" width="12.28515625" bestFit="1" customWidth="1"/>
    <col min="6580" max="6580" width="13" bestFit="1" customWidth="1"/>
    <col min="6581" max="6581" width="15.140625" bestFit="1" customWidth="1"/>
    <col min="6582" max="6582" width="12.28515625" bestFit="1" customWidth="1"/>
    <col min="6583" max="6583" width="13.85546875" bestFit="1" customWidth="1"/>
    <col min="6584" max="6584" width="11.28515625" bestFit="1" customWidth="1"/>
    <col min="6585" max="6585" width="12.28515625" bestFit="1" customWidth="1"/>
    <col min="6586" max="6586" width="13.85546875" bestFit="1" customWidth="1"/>
    <col min="6587" max="6588" width="15.140625" bestFit="1" customWidth="1"/>
    <col min="6589" max="6589" width="12.28515625" bestFit="1" customWidth="1"/>
    <col min="6590" max="6590" width="5.7109375" bestFit="1" customWidth="1"/>
    <col min="6591" max="6591" width="8.5703125" bestFit="1" customWidth="1"/>
    <col min="6592" max="6592" width="5.5703125" bestFit="1" customWidth="1"/>
    <col min="6593" max="6593" width="14.42578125" bestFit="1" customWidth="1"/>
    <col min="6594" max="6594" width="11.28515625" bestFit="1" customWidth="1"/>
    <col min="6595" max="6596" width="12.28515625" bestFit="1" customWidth="1"/>
    <col min="6597" max="6597" width="11.28515625" bestFit="1" customWidth="1"/>
    <col min="6598" max="6598" width="13.85546875" bestFit="1" customWidth="1"/>
    <col min="6599" max="6599" width="12" bestFit="1" customWidth="1"/>
    <col min="6600" max="6600" width="13.85546875" bestFit="1" customWidth="1"/>
    <col min="6601" max="6602" width="14.42578125" customWidth="1"/>
    <col min="6603" max="6603" width="10.140625" bestFit="1" customWidth="1"/>
    <col min="6604" max="6604" width="12.28515625" bestFit="1" customWidth="1"/>
    <col min="6605" max="6605" width="7.42578125" bestFit="1" customWidth="1"/>
    <col min="6606" max="6606" width="8.5703125" bestFit="1" customWidth="1"/>
    <col min="6607" max="6607" width="11.5703125" bestFit="1" customWidth="1"/>
    <col min="6608" max="6608" width="13.28515625" bestFit="1" customWidth="1"/>
    <col min="6609" max="6609" width="13.28515625" customWidth="1"/>
    <col min="6610" max="6610" width="13.140625" customWidth="1"/>
    <col min="6611" max="6611" width="12.7109375" bestFit="1" customWidth="1"/>
    <col min="6612" max="6612" width="13.28515625" bestFit="1" customWidth="1"/>
    <col min="6613" max="6615" width="13.28515625" customWidth="1"/>
    <col min="6616" max="6616" width="12.140625" bestFit="1" customWidth="1"/>
    <col min="6617" max="6617" width="12.7109375" bestFit="1" customWidth="1"/>
    <col min="6618" max="6618" width="11" customWidth="1"/>
    <col min="6619" max="6619" width="16.7109375" customWidth="1"/>
    <col min="6620" max="6620" width="17" customWidth="1"/>
    <col min="6621" max="6621" width="10.42578125" bestFit="1" customWidth="1"/>
    <col min="6665" max="6665" width="3.85546875" customWidth="1"/>
    <col min="6666" max="6666" width="15.28515625" bestFit="1" customWidth="1"/>
    <col min="6667" max="6667" width="12.28515625" customWidth="1"/>
    <col min="6668" max="6668" width="16.28515625" bestFit="1" customWidth="1"/>
    <col min="6669" max="6669" width="6.42578125" bestFit="1" customWidth="1"/>
    <col min="6670" max="6670" width="9.28515625" bestFit="1" customWidth="1"/>
    <col min="6671" max="6671" width="7.5703125" bestFit="1" customWidth="1"/>
    <col min="6672" max="6672" width="13.28515625" bestFit="1" customWidth="1"/>
    <col min="6673" max="6673" width="9.28515625" bestFit="1" customWidth="1"/>
    <col min="6674" max="6674" width="11.5703125" bestFit="1" customWidth="1"/>
    <col min="6675" max="6675" width="13.28515625" bestFit="1" customWidth="1"/>
    <col min="6676" max="6676" width="7.140625" bestFit="1" customWidth="1"/>
    <col min="6677" max="6677" width="12" bestFit="1" customWidth="1"/>
    <col min="6678" max="6678" width="13.28515625" bestFit="1" customWidth="1"/>
    <col min="6679" max="6679" width="7" bestFit="1" customWidth="1"/>
    <col min="6680" max="6680" width="12.7109375" bestFit="1" customWidth="1"/>
    <col min="6681" max="6681" width="11.5703125" bestFit="1" customWidth="1"/>
    <col min="6682" max="6682" width="10.5703125" bestFit="1" customWidth="1"/>
    <col min="6683" max="6684" width="15.7109375" bestFit="1" customWidth="1"/>
    <col min="6685" max="6685" width="11.5703125" bestFit="1" customWidth="1"/>
    <col min="6686" max="6686" width="7.7109375" bestFit="1" customWidth="1"/>
    <col min="6687" max="6687" width="15.140625" bestFit="1" customWidth="1"/>
    <col min="6688" max="6688" width="11.5703125" bestFit="1" customWidth="1"/>
    <col min="6689" max="6689" width="13.28515625" bestFit="1" customWidth="1"/>
    <col min="6690" max="6690" width="10.42578125" bestFit="1" customWidth="1"/>
    <col min="6691" max="6691" width="13.28515625" bestFit="1" customWidth="1"/>
    <col min="6692" max="6692" width="12.140625" bestFit="1" customWidth="1"/>
    <col min="6693" max="6693" width="14.42578125" bestFit="1" customWidth="1"/>
    <col min="6694" max="6694" width="13.28515625" bestFit="1" customWidth="1"/>
    <col min="6695" max="6695" width="11.5703125" bestFit="1" customWidth="1"/>
    <col min="6696" max="6696" width="7.7109375" bestFit="1" customWidth="1"/>
    <col min="6697" max="6698" width="14.42578125" bestFit="1" customWidth="1"/>
    <col min="6699" max="6699" width="11.5703125" bestFit="1" customWidth="1"/>
    <col min="6700" max="6700" width="7.7109375" bestFit="1" customWidth="1"/>
    <col min="6701" max="6701" width="13.5703125" customWidth="1"/>
    <col min="6702" max="6702" width="15.28515625" customWidth="1"/>
    <col min="6703" max="6703" width="14.5703125" customWidth="1"/>
    <col min="6704" max="6704" width="13.28515625" bestFit="1" customWidth="1"/>
    <col min="6705" max="6705" width="7.7109375" bestFit="1" customWidth="1"/>
    <col min="6706" max="6706" width="12.7109375" bestFit="1" customWidth="1"/>
    <col min="6707" max="6707" width="11.7109375" bestFit="1" customWidth="1"/>
    <col min="6708" max="6708" width="11.5703125" bestFit="1" customWidth="1"/>
    <col min="6709" max="6709" width="5.28515625" bestFit="1" customWidth="1"/>
    <col min="6710" max="6710" width="13.28515625" bestFit="1" customWidth="1"/>
    <col min="6711" max="6711" width="13.5703125" bestFit="1" customWidth="1"/>
    <col min="6712" max="6712" width="10.5703125" bestFit="1" customWidth="1"/>
    <col min="6713" max="6713" width="13.28515625" bestFit="1" customWidth="1"/>
    <col min="6714" max="6714" width="11.5703125" bestFit="1" customWidth="1"/>
    <col min="6715" max="6715" width="10.5703125" bestFit="1" customWidth="1"/>
    <col min="6716" max="6716" width="16.140625" bestFit="1" customWidth="1"/>
    <col min="6717" max="6718" width="11.28515625" bestFit="1" customWidth="1"/>
    <col min="6719" max="6719" width="13.28515625" bestFit="1" customWidth="1"/>
    <col min="6720" max="6720" width="7.7109375" bestFit="1" customWidth="1"/>
    <col min="6721" max="6724" width="9.140625" hidden="1" customWidth="1"/>
    <col min="6725" max="6725" width="10.42578125" bestFit="1" customWidth="1"/>
    <col min="6726" max="6726" width="10.5703125" bestFit="1" customWidth="1"/>
    <col min="6727" max="6727" width="10.42578125" bestFit="1" customWidth="1"/>
    <col min="6728" max="6728" width="10.5703125" bestFit="1" customWidth="1"/>
    <col min="6729" max="6729" width="9.5703125" bestFit="1" customWidth="1"/>
    <col min="6730" max="6730" width="11.5703125" bestFit="1" customWidth="1"/>
    <col min="6731" max="6731" width="10.42578125" bestFit="1" customWidth="1"/>
    <col min="6732" max="6732" width="10.85546875" customWidth="1"/>
    <col min="6733" max="6734" width="9.85546875" bestFit="1" customWidth="1"/>
    <col min="6735" max="6735" width="13.5703125" bestFit="1" customWidth="1"/>
    <col min="6736" max="6736" width="7.7109375" bestFit="1" customWidth="1"/>
    <col min="6737" max="6737" width="13.28515625" bestFit="1" customWidth="1"/>
    <col min="6738" max="6738" width="11.5703125" bestFit="1" customWidth="1"/>
    <col min="6739" max="6739" width="10.42578125" bestFit="1" customWidth="1"/>
    <col min="6740" max="6740" width="7.7109375" bestFit="1" customWidth="1"/>
    <col min="6741" max="6741" width="11.5703125" bestFit="1" customWidth="1"/>
    <col min="6742" max="6742" width="10.85546875" bestFit="1" customWidth="1"/>
    <col min="6743" max="6743" width="13.28515625" bestFit="1" customWidth="1"/>
    <col min="6744" max="6744" width="10.85546875" bestFit="1" customWidth="1"/>
    <col min="6745" max="6746" width="7.5703125" bestFit="1" customWidth="1"/>
    <col min="6747" max="6748" width="10.42578125" bestFit="1" customWidth="1"/>
    <col min="6749" max="6749" width="11.5703125" bestFit="1" customWidth="1"/>
    <col min="6750" max="6750" width="5.28515625" bestFit="1" customWidth="1"/>
    <col min="6751" max="6751" width="10.28515625" bestFit="1" customWidth="1"/>
    <col min="6752" max="6752" width="10.42578125" bestFit="1" customWidth="1"/>
    <col min="6753" max="6753" width="11.5703125" bestFit="1" customWidth="1"/>
    <col min="6754" max="6754" width="5.28515625" bestFit="1" customWidth="1"/>
    <col min="6755" max="6757" width="11.5703125" bestFit="1" customWidth="1"/>
    <col min="6758" max="6758" width="5.28515625" bestFit="1" customWidth="1"/>
    <col min="6759" max="6760" width="10.42578125" bestFit="1" customWidth="1"/>
    <col min="6761" max="6761" width="11.5703125" bestFit="1" customWidth="1"/>
    <col min="6762" max="6762" width="5.28515625" bestFit="1" customWidth="1"/>
    <col min="6763" max="6763" width="14.28515625" bestFit="1" customWidth="1"/>
    <col min="6764" max="6764" width="13" bestFit="1" customWidth="1"/>
    <col min="6765" max="6765" width="11.5703125" bestFit="1" customWidth="1"/>
    <col min="6766" max="6766" width="8.85546875" bestFit="1" customWidth="1"/>
    <col min="6767" max="6767" width="14.42578125" bestFit="1" customWidth="1"/>
    <col min="6768" max="6768" width="10.42578125" bestFit="1" customWidth="1"/>
    <col min="6769" max="6769" width="12.28515625" bestFit="1" customWidth="1"/>
    <col min="6770" max="6770" width="13.85546875" bestFit="1" customWidth="1"/>
    <col min="6771" max="6771" width="11.28515625" customWidth="1"/>
    <col min="6772" max="6772" width="11.5703125" customWidth="1"/>
    <col min="6773" max="6773" width="13.42578125" bestFit="1" customWidth="1"/>
    <col min="6774" max="6774" width="10.42578125" customWidth="1"/>
    <col min="6775" max="6775" width="13.85546875" bestFit="1" customWidth="1"/>
    <col min="6776" max="6776" width="15.42578125" bestFit="1" customWidth="1"/>
    <col min="6777" max="6777" width="12.28515625" bestFit="1" customWidth="1"/>
    <col min="6778" max="6778" width="12.7109375" customWidth="1"/>
    <col min="6779" max="6779" width="10.7109375" bestFit="1" customWidth="1"/>
    <col min="6780" max="6780" width="9.85546875" customWidth="1"/>
    <col min="6781" max="6782" width="10.140625" bestFit="1" customWidth="1"/>
    <col min="6783" max="6783" width="7.5703125" bestFit="1" customWidth="1"/>
    <col min="6784" max="6784" width="9.42578125" bestFit="1" customWidth="1"/>
    <col min="6785" max="6785" width="14.5703125" bestFit="1" customWidth="1"/>
    <col min="6786" max="6786" width="14.85546875" customWidth="1"/>
    <col min="6787" max="6787" width="15.140625" bestFit="1" customWidth="1"/>
    <col min="6788" max="6788" width="12.140625" bestFit="1" customWidth="1"/>
    <col min="6789" max="6789" width="14.85546875" bestFit="1" customWidth="1"/>
    <col min="6790" max="6790" width="12.28515625" bestFit="1" customWidth="1"/>
    <col min="6791" max="6799" width="9.140625" hidden="1" customWidth="1"/>
    <col min="6800" max="6800" width="5.28515625" bestFit="1" customWidth="1"/>
    <col min="6801" max="6806" width="11.5703125" bestFit="1" customWidth="1"/>
    <col min="6807" max="6807" width="11.28515625" bestFit="1" customWidth="1"/>
    <col min="6808" max="6808" width="10.140625" bestFit="1" customWidth="1"/>
    <col min="6809" max="6809" width="11.5703125" bestFit="1" customWidth="1"/>
    <col min="6810" max="6810" width="16.140625" customWidth="1"/>
    <col min="6811" max="6811" width="13.42578125" customWidth="1"/>
    <col min="6812" max="6812" width="10.140625" bestFit="1" customWidth="1"/>
    <col min="6813" max="6813" width="12.85546875" bestFit="1" customWidth="1"/>
    <col min="6814" max="6814" width="12.28515625" bestFit="1" customWidth="1"/>
    <col min="6815" max="6815" width="11.28515625" bestFit="1" customWidth="1"/>
    <col min="6816" max="6816" width="11.5703125" bestFit="1" customWidth="1"/>
    <col min="6817" max="6817" width="10.85546875" bestFit="1" customWidth="1"/>
    <col min="6818" max="6818" width="11.28515625" bestFit="1" customWidth="1"/>
    <col min="6819" max="6819" width="10.140625" bestFit="1" customWidth="1"/>
    <col min="6820" max="6820" width="13.28515625" bestFit="1" customWidth="1"/>
    <col min="6821" max="6822" width="12.7109375" bestFit="1" customWidth="1"/>
    <col min="6823" max="6823" width="11" bestFit="1" customWidth="1"/>
    <col min="6824" max="6824" width="11.28515625" bestFit="1" customWidth="1"/>
    <col min="6825" max="6825" width="11.5703125" bestFit="1" customWidth="1"/>
    <col min="6826" max="6826" width="12.28515625" bestFit="1" customWidth="1"/>
    <col min="6827" max="6827" width="15.140625" bestFit="1" customWidth="1"/>
    <col min="6828" max="6828" width="14.42578125" bestFit="1" customWidth="1"/>
    <col min="6829" max="6829" width="12.28515625" bestFit="1" customWidth="1"/>
    <col min="6830" max="6830" width="15.140625" bestFit="1" customWidth="1"/>
    <col min="6831" max="6831" width="14.42578125" bestFit="1" customWidth="1"/>
    <col min="6832" max="6832" width="12.28515625" bestFit="1" customWidth="1"/>
    <col min="6833" max="6833" width="14.42578125" bestFit="1" customWidth="1"/>
    <col min="6834" max="6834" width="11.28515625" bestFit="1" customWidth="1"/>
    <col min="6835" max="6835" width="12.28515625" bestFit="1" customWidth="1"/>
    <col min="6836" max="6836" width="13" bestFit="1" customWidth="1"/>
    <col min="6837" max="6837" width="15.140625" bestFit="1" customWidth="1"/>
    <col min="6838" max="6838" width="12.28515625" bestFit="1" customWidth="1"/>
    <col min="6839" max="6839" width="13.85546875" bestFit="1" customWidth="1"/>
    <col min="6840" max="6840" width="11.28515625" bestFit="1" customWidth="1"/>
    <col min="6841" max="6841" width="12.28515625" bestFit="1" customWidth="1"/>
    <col min="6842" max="6842" width="13.85546875" bestFit="1" customWidth="1"/>
    <col min="6843" max="6844" width="15.140625" bestFit="1" customWidth="1"/>
    <col min="6845" max="6845" width="12.28515625" bestFit="1" customWidth="1"/>
    <col min="6846" max="6846" width="5.7109375" bestFit="1" customWidth="1"/>
    <col min="6847" max="6847" width="8.5703125" bestFit="1" customWidth="1"/>
    <col min="6848" max="6848" width="5.5703125" bestFit="1" customWidth="1"/>
    <col min="6849" max="6849" width="14.42578125" bestFit="1" customWidth="1"/>
    <col min="6850" max="6850" width="11.28515625" bestFit="1" customWidth="1"/>
    <col min="6851" max="6852" width="12.28515625" bestFit="1" customWidth="1"/>
    <col min="6853" max="6853" width="11.28515625" bestFit="1" customWidth="1"/>
    <col min="6854" max="6854" width="13.85546875" bestFit="1" customWidth="1"/>
    <col min="6855" max="6855" width="12" bestFit="1" customWidth="1"/>
    <col min="6856" max="6856" width="13.85546875" bestFit="1" customWidth="1"/>
    <col min="6857" max="6858" width="14.42578125" customWidth="1"/>
    <col min="6859" max="6859" width="10.140625" bestFit="1" customWidth="1"/>
    <col min="6860" max="6860" width="12.28515625" bestFit="1" customWidth="1"/>
    <col min="6861" max="6861" width="7.42578125" bestFit="1" customWidth="1"/>
    <col min="6862" max="6862" width="8.5703125" bestFit="1" customWidth="1"/>
    <col min="6863" max="6863" width="11.5703125" bestFit="1" customWidth="1"/>
    <col min="6864" max="6864" width="13.28515625" bestFit="1" customWidth="1"/>
    <col min="6865" max="6865" width="13.28515625" customWidth="1"/>
    <col min="6866" max="6866" width="13.140625" customWidth="1"/>
    <col min="6867" max="6867" width="12.7109375" bestFit="1" customWidth="1"/>
    <col min="6868" max="6868" width="13.28515625" bestFit="1" customWidth="1"/>
    <col min="6869" max="6871" width="13.28515625" customWidth="1"/>
    <col min="6872" max="6872" width="12.140625" bestFit="1" customWidth="1"/>
    <col min="6873" max="6873" width="12.7109375" bestFit="1" customWidth="1"/>
    <col min="6874" max="6874" width="11" customWidth="1"/>
    <col min="6875" max="6875" width="16.7109375" customWidth="1"/>
    <col min="6876" max="6876" width="17" customWidth="1"/>
    <col min="6877" max="6877" width="10.42578125" bestFit="1" customWidth="1"/>
    <col min="6921" max="6921" width="3.85546875" customWidth="1"/>
    <col min="6922" max="6922" width="15.28515625" bestFit="1" customWidth="1"/>
    <col min="6923" max="6923" width="12.28515625" customWidth="1"/>
    <col min="6924" max="6924" width="16.28515625" bestFit="1" customWidth="1"/>
    <col min="6925" max="6925" width="6.42578125" bestFit="1" customWidth="1"/>
    <col min="6926" max="6926" width="9.28515625" bestFit="1" customWidth="1"/>
    <col min="6927" max="6927" width="7.5703125" bestFit="1" customWidth="1"/>
    <col min="6928" max="6928" width="13.28515625" bestFit="1" customWidth="1"/>
    <col min="6929" max="6929" width="9.28515625" bestFit="1" customWidth="1"/>
    <col min="6930" max="6930" width="11.5703125" bestFit="1" customWidth="1"/>
    <col min="6931" max="6931" width="13.28515625" bestFit="1" customWidth="1"/>
    <col min="6932" max="6932" width="7.140625" bestFit="1" customWidth="1"/>
    <col min="6933" max="6933" width="12" bestFit="1" customWidth="1"/>
    <col min="6934" max="6934" width="13.28515625" bestFit="1" customWidth="1"/>
    <col min="6935" max="6935" width="7" bestFit="1" customWidth="1"/>
    <col min="6936" max="6936" width="12.7109375" bestFit="1" customWidth="1"/>
    <col min="6937" max="6937" width="11.5703125" bestFit="1" customWidth="1"/>
    <col min="6938" max="6938" width="10.5703125" bestFit="1" customWidth="1"/>
    <col min="6939" max="6940" width="15.7109375" bestFit="1" customWidth="1"/>
    <col min="6941" max="6941" width="11.5703125" bestFit="1" customWidth="1"/>
    <col min="6942" max="6942" width="7.7109375" bestFit="1" customWidth="1"/>
    <col min="6943" max="6943" width="15.140625" bestFit="1" customWidth="1"/>
    <col min="6944" max="6944" width="11.5703125" bestFit="1" customWidth="1"/>
    <col min="6945" max="6945" width="13.28515625" bestFit="1" customWidth="1"/>
    <col min="6946" max="6946" width="10.42578125" bestFit="1" customWidth="1"/>
    <col min="6947" max="6947" width="13.28515625" bestFit="1" customWidth="1"/>
    <col min="6948" max="6948" width="12.140625" bestFit="1" customWidth="1"/>
    <col min="6949" max="6949" width="14.42578125" bestFit="1" customWidth="1"/>
    <col min="6950" max="6950" width="13.28515625" bestFit="1" customWidth="1"/>
    <col min="6951" max="6951" width="11.5703125" bestFit="1" customWidth="1"/>
    <col min="6952" max="6952" width="7.7109375" bestFit="1" customWidth="1"/>
    <col min="6953" max="6954" width="14.42578125" bestFit="1" customWidth="1"/>
    <col min="6955" max="6955" width="11.5703125" bestFit="1" customWidth="1"/>
    <col min="6956" max="6956" width="7.7109375" bestFit="1" customWidth="1"/>
    <col min="6957" max="6957" width="13.5703125" customWidth="1"/>
    <col min="6958" max="6958" width="15.28515625" customWidth="1"/>
    <col min="6959" max="6959" width="14.5703125" customWidth="1"/>
    <col min="6960" max="6960" width="13.28515625" bestFit="1" customWidth="1"/>
    <col min="6961" max="6961" width="7.7109375" bestFit="1" customWidth="1"/>
    <col min="6962" max="6962" width="12.7109375" bestFit="1" customWidth="1"/>
    <col min="6963" max="6963" width="11.7109375" bestFit="1" customWidth="1"/>
    <col min="6964" max="6964" width="11.5703125" bestFit="1" customWidth="1"/>
    <col min="6965" max="6965" width="5.28515625" bestFit="1" customWidth="1"/>
    <col min="6966" max="6966" width="13.28515625" bestFit="1" customWidth="1"/>
    <col min="6967" max="6967" width="13.5703125" bestFit="1" customWidth="1"/>
    <col min="6968" max="6968" width="10.5703125" bestFit="1" customWidth="1"/>
    <col min="6969" max="6969" width="13.28515625" bestFit="1" customWidth="1"/>
    <col min="6970" max="6970" width="11.5703125" bestFit="1" customWidth="1"/>
    <col min="6971" max="6971" width="10.5703125" bestFit="1" customWidth="1"/>
    <col min="6972" max="6972" width="16.140625" bestFit="1" customWidth="1"/>
    <col min="6973" max="6974" width="11.28515625" bestFit="1" customWidth="1"/>
    <col min="6975" max="6975" width="13.28515625" bestFit="1" customWidth="1"/>
    <col min="6976" max="6976" width="7.7109375" bestFit="1" customWidth="1"/>
    <col min="6977" max="6980" width="9.140625" hidden="1" customWidth="1"/>
    <col min="6981" max="6981" width="10.42578125" bestFit="1" customWidth="1"/>
    <col min="6982" max="6982" width="10.5703125" bestFit="1" customWidth="1"/>
    <col min="6983" max="6983" width="10.42578125" bestFit="1" customWidth="1"/>
    <col min="6984" max="6984" width="10.5703125" bestFit="1" customWidth="1"/>
    <col min="6985" max="6985" width="9.5703125" bestFit="1" customWidth="1"/>
    <col min="6986" max="6986" width="11.5703125" bestFit="1" customWidth="1"/>
    <col min="6987" max="6987" width="10.42578125" bestFit="1" customWidth="1"/>
    <col min="6988" max="6988" width="10.85546875" customWidth="1"/>
    <col min="6989" max="6990" width="9.85546875" bestFit="1" customWidth="1"/>
    <col min="6991" max="6991" width="13.5703125" bestFit="1" customWidth="1"/>
    <col min="6992" max="6992" width="7.7109375" bestFit="1" customWidth="1"/>
    <col min="6993" max="6993" width="13.28515625" bestFit="1" customWidth="1"/>
    <col min="6994" max="6994" width="11.5703125" bestFit="1" customWidth="1"/>
    <col min="6995" max="6995" width="10.42578125" bestFit="1" customWidth="1"/>
    <col min="6996" max="6996" width="7.7109375" bestFit="1" customWidth="1"/>
    <col min="6997" max="6997" width="11.5703125" bestFit="1" customWidth="1"/>
    <col min="6998" max="6998" width="10.85546875" bestFit="1" customWidth="1"/>
    <col min="6999" max="6999" width="13.28515625" bestFit="1" customWidth="1"/>
    <col min="7000" max="7000" width="10.85546875" bestFit="1" customWidth="1"/>
    <col min="7001" max="7002" width="7.5703125" bestFit="1" customWidth="1"/>
    <col min="7003" max="7004" width="10.42578125" bestFit="1" customWidth="1"/>
    <col min="7005" max="7005" width="11.5703125" bestFit="1" customWidth="1"/>
    <col min="7006" max="7006" width="5.28515625" bestFit="1" customWidth="1"/>
    <col min="7007" max="7007" width="10.28515625" bestFit="1" customWidth="1"/>
    <col min="7008" max="7008" width="10.42578125" bestFit="1" customWidth="1"/>
    <col min="7009" max="7009" width="11.5703125" bestFit="1" customWidth="1"/>
    <col min="7010" max="7010" width="5.28515625" bestFit="1" customWidth="1"/>
    <col min="7011" max="7013" width="11.5703125" bestFit="1" customWidth="1"/>
    <col min="7014" max="7014" width="5.28515625" bestFit="1" customWidth="1"/>
    <col min="7015" max="7016" width="10.42578125" bestFit="1" customWidth="1"/>
    <col min="7017" max="7017" width="11.5703125" bestFit="1" customWidth="1"/>
    <col min="7018" max="7018" width="5.28515625" bestFit="1" customWidth="1"/>
    <col min="7019" max="7019" width="14.28515625" bestFit="1" customWidth="1"/>
    <col min="7020" max="7020" width="13" bestFit="1" customWidth="1"/>
    <col min="7021" max="7021" width="11.5703125" bestFit="1" customWidth="1"/>
    <col min="7022" max="7022" width="8.85546875" bestFit="1" customWidth="1"/>
    <col min="7023" max="7023" width="14.42578125" bestFit="1" customWidth="1"/>
    <col min="7024" max="7024" width="10.42578125" bestFit="1" customWidth="1"/>
    <col min="7025" max="7025" width="12.28515625" bestFit="1" customWidth="1"/>
    <col min="7026" max="7026" width="13.85546875" bestFit="1" customWidth="1"/>
    <col min="7027" max="7027" width="11.28515625" customWidth="1"/>
    <col min="7028" max="7028" width="11.5703125" customWidth="1"/>
    <col min="7029" max="7029" width="13.42578125" bestFit="1" customWidth="1"/>
    <col min="7030" max="7030" width="10.42578125" customWidth="1"/>
    <col min="7031" max="7031" width="13.85546875" bestFit="1" customWidth="1"/>
    <col min="7032" max="7032" width="15.42578125" bestFit="1" customWidth="1"/>
    <col min="7033" max="7033" width="12.28515625" bestFit="1" customWidth="1"/>
    <col min="7034" max="7034" width="12.7109375" customWidth="1"/>
    <col min="7035" max="7035" width="10.7109375" bestFit="1" customWidth="1"/>
    <col min="7036" max="7036" width="9.85546875" customWidth="1"/>
    <col min="7037" max="7038" width="10.140625" bestFit="1" customWidth="1"/>
    <col min="7039" max="7039" width="7.5703125" bestFit="1" customWidth="1"/>
    <col min="7040" max="7040" width="9.42578125" bestFit="1" customWidth="1"/>
    <col min="7041" max="7041" width="14.5703125" bestFit="1" customWidth="1"/>
    <col min="7042" max="7042" width="14.85546875" customWidth="1"/>
    <col min="7043" max="7043" width="15.140625" bestFit="1" customWidth="1"/>
    <col min="7044" max="7044" width="12.140625" bestFit="1" customWidth="1"/>
    <col min="7045" max="7045" width="14.85546875" bestFit="1" customWidth="1"/>
    <col min="7046" max="7046" width="12.28515625" bestFit="1" customWidth="1"/>
    <col min="7047" max="7055" width="9.140625" hidden="1" customWidth="1"/>
    <col min="7056" max="7056" width="5.28515625" bestFit="1" customWidth="1"/>
    <col min="7057" max="7062" width="11.5703125" bestFit="1" customWidth="1"/>
    <col min="7063" max="7063" width="11.28515625" bestFit="1" customWidth="1"/>
    <col min="7064" max="7064" width="10.140625" bestFit="1" customWidth="1"/>
    <col min="7065" max="7065" width="11.5703125" bestFit="1" customWidth="1"/>
    <col min="7066" max="7066" width="16.140625" customWidth="1"/>
    <col min="7067" max="7067" width="13.42578125" customWidth="1"/>
    <col min="7068" max="7068" width="10.140625" bestFit="1" customWidth="1"/>
    <col min="7069" max="7069" width="12.85546875" bestFit="1" customWidth="1"/>
    <col min="7070" max="7070" width="12.28515625" bestFit="1" customWidth="1"/>
    <col min="7071" max="7071" width="11.28515625" bestFit="1" customWidth="1"/>
    <col min="7072" max="7072" width="11.5703125" bestFit="1" customWidth="1"/>
    <col min="7073" max="7073" width="10.85546875" bestFit="1" customWidth="1"/>
    <col min="7074" max="7074" width="11.28515625" bestFit="1" customWidth="1"/>
    <col min="7075" max="7075" width="10.140625" bestFit="1" customWidth="1"/>
    <col min="7076" max="7076" width="13.28515625" bestFit="1" customWidth="1"/>
    <col min="7077" max="7078" width="12.7109375" bestFit="1" customWidth="1"/>
    <col min="7079" max="7079" width="11" bestFit="1" customWidth="1"/>
    <col min="7080" max="7080" width="11.28515625" bestFit="1" customWidth="1"/>
    <col min="7081" max="7081" width="11.5703125" bestFit="1" customWidth="1"/>
    <col min="7082" max="7082" width="12.28515625" bestFit="1" customWidth="1"/>
    <col min="7083" max="7083" width="15.140625" bestFit="1" customWidth="1"/>
    <col min="7084" max="7084" width="14.42578125" bestFit="1" customWidth="1"/>
    <col min="7085" max="7085" width="12.28515625" bestFit="1" customWidth="1"/>
    <col min="7086" max="7086" width="15.140625" bestFit="1" customWidth="1"/>
    <col min="7087" max="7087" width="14.42578125" bestFit="1" customWidth="1"/>
    <col min="7088" max="7088" width="12.28515625" bestFit="1" customWidth="1"/>
    <col min="7089" max="7089" width="14.42578125" bestFit="1" customWidth="1"/>
    <col min="7090" max="7090" width="11.28515625" bestFit="1" customWidth="1"/>
    <col min="7091" max="7091" width="12.28515625" bestFit="1" customWidth="1"/>
    <col min="7092" max="7092" width="13" bestFit="1" customWidth="1"/>
    <col min="7093" max="7093" width="15.140625" bestFit="1" customWidth="1"/>
    <col min="7094" max="7094" width="12.28515625" bestFit="1" customWidth="1"/>
    <col min="7095" max="7095" width="13.85546875" bestFit="1" customWidth="1"/>
    <col min="7096" max="7096" width="11.28515625" bestFit="1" customWidth="1"/>
    <col min="7097" max="7097" width="12.28515625" bestFit="1" customWidth="1"/>
    <col min="7098" max="7098" width="13.85546875" bestFit="1" customWidth="1"/>
    <col min="7099" max="7100" width="15.140625" bestFit="1" customWidth="1"/>
    <col min="7101" max="7101" width="12.28515625" bestFit="1" customWidth="1"/>
    <col min="7102" max="7102" width="5.7109375" bestFit="1" customWidth="1"/>
    <col min="7103" max="7103" width="8.5703125" bestFit="1" customWidth="1"/>
    <col min="7104" max="7104" width="5.5703125" bestFit="1" customWidth="1"/>
    <col min="7105" max="7105" width="14.42578125" bestFit="1" customWidth="1"/>
    <col min="7106" max="7106" width="11.28515625" bestFit="1" customWidth="1"/>
    <col min="7107" max="7108" width="12.28515625" bestFit="1" customWidth="1"/>
    <col min="7109" max="7109" width="11.28515625" bestFit="1" customWidth="1"/>
    <col min="7110" max="7110" width="13.85546875" bestFit="1" customWidth="1"/>
    <col min="7111" max="7111" width="12" bestFit="1" customWidth="1"/>
    <col min="7112" max="7112" width="13.85546875" bestFit="1" customWidth="1"/>
    <col min="7113" max="7114" width="14.42578125" customWidth="1"/>
    <col min="7115" max="7115" width="10.140625" bestFit="1" customWidth="1"/>
    <col min="7116" max="7116" width="12.28515625" bestFit="1" customWidth="1"/>
    <col min="7117" max="7117" width="7.42578125" bestFit="1" customWidth="1"/>
    <col min="7118" max="7118" width="8.5703125" bestFit="1" customWidth="1"/>
    <col min="7119" max="7119" width="11.5703125" bestFit="1" customWidth="1"/>
    <col min="7120" max="7120" width="13.28515625" bestFit="1" customWidth="1"/>
    <col min="7121" max="7121" width="13.28515625" customWidth="1"/>
    <col min="7122" max="7122" width="13.140625" customWidth="1"/>
    <col min="7123" max="7123" width="12.7109375" bestFit="1" customWidth="1"/>
    <col min="7124" max="7124" width="13.28515625" bestFit="1" customWidth="1"/>
    <col min="7125" max="7127" width="13.28515625" customWidth="1"/>
    <col min="7128" max="7128" width="12.140625" bestFit="1" customWidth="1"/>
    <col min="7129" max="7129" width="12.7109375" bestFit="1" customWidth="1"/>
    <col min="7130" max="7130" width="11" customWidth="1"/>
    <col min="7131" max="7131" width="16.7109375" customWidth="1"/>
    <col min="7132" max="7132" width="17" customWidth="1"/>
    <col min="7133" max="7133" width="10.42578125" bestFit="1" customWidth="1"/>
    <col min="7177" max="7177" width="3.85546875" customWidth="1"/>
    <col min="7178" max="7178" width="15.28515625" bestFit="1" customWidth="1"/>
    <col min="7179" max="7179" width="12.28515625" customWidth="1"/>
    <col min="7180" max="7180" width="16.28515625" bestFit="1" customWidth="1"/>
    <col min="7181" max="7181" width="6.42578125" bestFit="1" customWidth="1"/>
    <col min="7182" max="7182" width="9.28515625" bestFit="1" customWidth="1"/>
    <col min="7183" max="7183" width="7.5703125" bestFit="1" customWidth="1"/>
    <col min="7184" max="7184" width="13.28515625" bestFit="1" customWidth="1"/>
    <col min="7185" max="7185" width="9.28515625" bestFit="1" customWidth="1"/>
    <col min="7186" max="7186" width="11.5703125" bestFit="1" customWidth="1"/>
    <col min="7187" max="7187" width="13.28515625" bestFit="1" customWidth="1"/>
    <col min="7188" max="7188" width="7.140625" bestFit="1" customWidth="1"/>
    <col min="7189" max="7189" width="12" bestFit="1" customWidth="1"/>
    <col min="7190" max="7190" width="13.28515625" bestFit="1" customWidth="1"/>
    <col min="7191" max="7191" width="7" bestFit="1" customWidth="1"/>
    <col min="7192" max="7192" width="12.7109375" bestFit="1" customWidth="1"/>
    <col min="7193" max="7193" width="11.5703125" bestFit="1" customWidth="1"/>
    <col min="7194" max="7194" width="10.5703125" bestFit="1" customWidth="1"/>
    <col min="7195" max="7196" width="15.7109375" bestFit="1" customWidth="1"/>
    <col min="7197" max="7197" width="11.5703125" bestFit="1" customWidth="1"/>
    <col min="7198" max="7198" width="7.7109375" bestFit="1" customWidth="1"/>
    <col min="7199" max="7199" width="15.140625" bestFit="1" customWidth="1"/>
    <col min="7200" max="7200" width="11.5703125" bestFit="1" customWidth="1"/>
    <col min="7201" max="7201" width="13.28515625" bestFit="1" customWidth="1"/>
    <col min="7202" max="7202" width="10.42578125" bestFit="1" customWidth="1"/>
    <col min="7203" max="7203" width="13.28515625" bestFit="1" customWidth="1"/>
    <col min="7204" max="7204" width="12.140625" bestFit="1" customWidth="1"/>
    <col min="7205" max="7205" width="14.42578125" bestFit="1" customWidth="1"/>
    <col min="7206" max="7206" width="13.28515625" bestFit="1" customWidth="1"/>
    <col min="7207" max="7207" width="11.5703125" bestFit="1" customWidth="1"/>
    <col min="7208" max="7208" width="7.7109375" bestFit="1" customWidth="1"/>
    <col min="7209" max="7210" width="14.42578125" bestFit="1" customWidth="1"/>
    <col min="7211" max="7211" width="11.5703125" bestFit="1" customWidth="1"/>
    <col min="7212" max="7212" width="7.7109375" bestFit="1" customWidth="1"/>
    <col min="7213" max="7213" width="13.5703125" customWidth="1"/>
    <col min="7214" max="7214" width="15.28515625" customWidth="1"/>
    <col min="7215" max="7215" width="14.5703125" customWidth="1"/>
    <col min="7216" max="7216" width="13.28515625" bestFit="1" customWidth="1"/>
    <col min="7217" max="7217" width="7.7109375" bestFit="1" customWidth="1"/>
    <col min="7218" max="7218" width="12.7109375" bestFit="1" customWidth="1"/>
    <col min="7219" max="7219" width="11.7109375" bestFit="1" customWidth="1"/>
    <col min="7220" max="7220" width="11.5703125" bestFit="1" customWidth="1"/>
    <col min="7221" max="7221" width="5.28515625" bestFit="1" customWidth="1"/>
    <col min="7222" max="7222" width="13.28515625" bestFit="1" customWidth="1"/>
    <col min="7223" max="7223" width="13.5703125" bestFit="1" customWidth="1"/>
    <col min="7224" max="7224" width="10.5703125" bestFit="1" customWidth="1"/>
    <col min="7225" max="7225" width="13.28515625" bestFit="1" customWidth="1"/>
    <col min="7226" max="7226" width="11.5703125" bestFit="1" customWidth="1"/>
    <col min="7227" max="7227" width="10.5703125" bestFit="1" customWidth="1"/>
    <col min="7228" max="7228" width="16.140625" bestFit="1" customWidth="1"/>
    <col min="7229" max="7230" width="11.28515625" bestFit="1" customWidth="1"/>
    <col min="7231" max="7231" width="13.28515625" bestFit="1" customWidth="1"/>
    <col min="7232" max="7232" width="7.7109375" bestFit="1" customWidth="1"/>
    <col min="7233" max="7236" width="9.140625" hidden="1" customWidth="1"/>
    <col min="7237" max="7237" width="10.42578125" bestFit="1" customWidth="1"/>
    <col min="7238" max="7238" width="10.5703125" bestFit="1" customWidth="1"/>
    <col min="7239" max="7239" width="10.42578125" bestFit="1" customWidth="1"/>
    <col min="7240" max="7240" width="10.5703125" bestFit="1" customWidth="1"/>
    <col min="7241" max="7241" width="9.5703125" bestFit="1" customWidth="1"/>
    <col min="7242" max="7242" width="11.5703125" bestFit="1" customWidth="1"/>
    <col min="7243" max="7243" width="10.42578125" bestFit="1" customWidth="1"/>
    <col min="7244" max="7244" width="10.85546875" customWidth="1"/>
    <col min="7245" max="7246" width="9.85546875" bestFit="1" customWidth="1"/>
    <col min="7247" max="7247" width="13.5703125" bestFit="1" customWidth="1"/>
    <col min="7248" max="7248" width="7.7109375" bestFit="1" customWidth="1"/>
    <col min="7249" max="7249" width="13.28515625" bestFit="1" customWidth="1"/>
    <col min="7250" max="7250" width="11.5703125" bestFit="1" customWidth="1"/>
    <col min="7251" max="7251" width="10.42578125" bestFit="1" customWidth="1"/>
    <col min="7252" max="7252" width="7.7109375" bestFit="1" customWidth="1"/>
    <col min="7253" max="7253" width="11.5703125" bestFit="1" customWidth="1"/>
    <col min="7254" max="7254" width="10.85546875" bestFit="1" customWidth="1"/>
    <col min="7255" max="7255" width="13.28515625" bestFit="1" customWidth="1"/>
    <col min="7256" max="7256" width="10.85546875" bestFit="1" customWidth="1"/>
    <col min="7257" max="7258" width="7.5703125" bestFit="1" customWidth="1"/>
    <col min="7259" max="7260" width="10.42578125" bestFit="1" customWidth="1"/>
    <col min="7261" max="7261" width="11.5703125" bestFit="1" customWidth="1"/>
    <col min="7262" max="7262" width="5.28515625" bestFit="1" customWidth="1"/>
    <col min="7263" max="7263" width="10.28515625" bestFit="1" customWidth="1"/>
    <col min="7264" max="7264" width="10.42578125" bestFit="1" customWidth="1"/>
    <col min="7265" max="7265" width="11.5703125" bestFit="1" customWidth="1"/>
    <col min="7266" max="7266" width="5.28515625" bestFit="1" customWidth="1"/>
    <col min="7267" max="7269" width="11.5703125" bestFit="1" customWidth="1"/>
    <col min="7270" max="7270" width="5.28515625" bestFit="1" customWidth="1"/>
    <col min="7271" max="7272" width="10.42578125" bestFit="1" customWidth="1"/>
    <col min="7273" max="7273" width="11.5703125" bestFit="1" customWidth="1"/>
    <col min="7274" max="7274" width="5.28515625" bestFit="1" customWidth="1"/>
    <col min="7275" max="7275" width="14.28515625" bestFit="1" customWidth="1"/>
    <col min="7276" max="7276" width="13" bestFit="1" customWidth="1"/>
    <col min="7277" max="7277" width="11.5703125" bestFit="1" customWidth="1"/>
    <col min="7278" max="7278" width="8.85546875" bestFit="1" customWidth="1"/>
    <col min="7279" max="7279" width="14.42578125" bestFit="1" customWidth="1"/>
    <col min="7280" max="7280" width="10.42578125" bestFit="1" customWidth="1"/>
    <col min="7281" max="7281" width="12.28515625" bestFit="1" customWidth="1"/>
    <col min="7282" max="7282" width="13.85546875" bestFit="1" customWidth="1"/>
    <col min="7283" max="7283" width="11.28515625" customWidth="1"/>
    <col min="7284" max="7284" width="11.5703125" customWidth="1"/>
    <col min="7285" max="7285" width="13.42578125" bestFit="1" customWidth="1"/>
    <col min="7286" max="7286" width="10.42578125" customWidth="1"/>
    <col min="7287" max="7287" width="13.85546875" bestFit="1" customWidth="1"/>
    <col min="7288" max="7288" width="15.42578125" bestFit="1" customWidth="1"/>
    <col min="7289" max="7289" width="12.28515625" bestFit="1" customWidth="1"/>
    <col min="7290" max="7290" width="12.7109375" customWidth="1"/>
    <col min="7291" max="7291" width="10.7109375" bestFit="1" customWidth="1"/>
    <col min="7292" max="7292" width="9.85546875" customWidth="1"/>
    <col min="7293" max="7294" width="10.140625" bestFit="1" customWidth="1"/>
    <col min="7295" max="7295" width="7.5703125" bestFit="1" customWidth="1"/>
    <col min="7296" max="7296" width="9.42578125" bestFit="1" customWidth="1"/>
    <col min="7297" max="7297" width="14.5703125" bestFit="1" customWidth="1"/>
    <col min="7298" max="7298" width="14.85546875" customWidth="1"/>
    <col min="7299" max="7299" width="15.140625" bestFit="1" customWidth="1"/>
    <col min="7300" max="7300" width="12.140625" bestFit="1" customWidth="1"/>
    <col min="7301" max="7301" width="14.85546875" bestFit="1" customWidth="1"/>
    <col min="7302" max="7302" width="12.28515625" bestFit="1" customWidth="1"/>
    <col min="7303" max="7311" width="9.140625" hidden="1" customWidth="1"/>
    <col min="7312" max="7312" width="5.28515625" bestFit="1" customWidth="1"/>
    <col min="7313" max="7318" width="11.5703125" bestFit="1" customWidth="1"/>
    <col min="7319" max="7319" width="11.28515625" bestFit="1" customWidth="1"/>
    <col min="7320" max="7320" width="10.140625" bestFit="1" customWidth="1"/>
    <col min="7321" max="7321" width="11.5703125" bestFit="1" customWidth="1"/>
    <col min="7322" max="7322" width="16.140625" customWidth="1"/>
    <col min="7323" max="7323" width="13.42578125" customWidth="1"/>
    <col min="7324" max="7324" width="10.140625" bestFit="1" customWidth="1"/>
    <col min="7325" max="7325" width="12.85546875" bestFit="1" customWidth="1"/>
    <col min="7326" max="7326" width="12.28515625" bestFit="1" customWidth="1"/>
    <col min="7327" max="7327" width="11.28515625" bestFit="1" customWidth="1"/>
    <col min="7328" max="7328" width="11.5703125" bestFit="1" customWidth="1"/>
    <col min="7329" max="7329" width="10.85546875" bestFit="1" customWidth="1"/>
    <col min="7330" max="7330" width="11.28515625" bestFit="1" customWidth="1"/>
    <col min="7331" max="7331" width="10.140625" bestFit="1" customWidth="1"/>
    <col min="7332" max="7332" width="13.28515625" bestFit="1" customWidth="1"/>
    <col min="7333" max="7334" width="12.7109375" bestFit="1" customWidth="1"/>
    <col min="7335" max="7335" width="11" bestFit="1" customWidth="1"/>
    <col min="7336" max="7336" width="11.28515625" bestFit="1" customWidth="1"/>
    <col min="7337" max="7337" width="11.5703125" bestFit="1" customWidth="1"/>
    <col min="7338" max="7338" width="12.28515625" bestFit="1" customWidth="1"/>
    <col min="7339" max="7339" width="15.140625" bestFit="1" customWidth="1"/>
    <col min="7340" max="7340" width="14.42578125" bestFit="1" customWidth="1"/>
    <col min="7341" max="7341" width="12.28515625" bestFit="1" customWidth="1"/>
    <col min="7342" max="7342" width="15.140625" bestFit="1" customWidth="1"/>
    <col min="7343" max="7343" width="14.42578125" bestFit="1" customWidth="1"/>
    <col min="7344" max="7344" width="12.28515625" bestFit="1" customWidth="1"/>
    <col min="7345" max="7345" width="14.42578125" bestFit="1" customWidth="1"/>
    <col min="7346" max="7346" width="11.28515625" bestFit="1" customWidth="1"/>
    <col min="7347" max="7347" width="12.28515625" bestFit="1" customWidth="1"/>
    <col min="7348" max="7348" width="13" bestFit="1" customWidth="1"/>
    <col min="7349" max="7349" width="15.140625" bestFit="1" customWidth="1"/>
    <col min="7350" max="7350" width="12.28515625" bestFit="1" customWidth="1"/>
    <col min="7351" max="7351" width="13.85546875" bestFit="1" customWidth="1"/>
    <col min="7352" max="7352" width="11.28515625" bestFit="1" customWidth="1"/>
    <col min="7353" max="7353" width="12.28515625" bestFit="1" customWidth="1"/>
    <col min="7354" max="7354" width="13.85546875" bestFit="1" customWidth="1"/>
    <col min="7355" max="7356" width="15.140625" bestFit="1" customWidth="1"/>
    <col min="7357" max="7357" width="12.28515625" bestFit="1" customWidth="1"/>
    <col min="7358" max="7358" width="5.7109375" bestFit="1" customWidth="1"/>
    <col min="7359" max="7359" width="8.5703125" bestFit="1" customWidth="1"/>
    <col min="7360" max="7360" width="5.5703125" bestFit="1" customWidth="1"/>
    <col min="7361" max="7361" width="14.42578125" bestFit="1" customWidth="1"/>
    <col min="7362" max="7362" width="11.28515625" bestFit="1" customWidth="1"/>
    <col min="7363" max="7364" width="12.28515625" bestFit="1" customWidth="1"/>
    <col min="7365" max="7365" width="11.28515625" bestFit="1" customWidth="1"/>
    <col min="7366" max="7366" width="13.85546875" bestFit="1" customWidth="1"/>
    <col min="7367" max="7367" width="12" bestFit="1" customWidth="1"/>
    <col min="7368" max="7368" width="13.85546875" bestFit="1" customWidth="1"/>
    <col min="7369" max="7370" width="14.42578125" customWidth="1"/>
    <col min="7371" max="7371" width="10.140625" bestFit="1" customWidth="1"/>
    <col min="7372" max="7372" width="12.28515625" bestFit="1" customWidth="1"/>
    <col min="7373" max="7373" width="7.42578125" bestFit="1" customWidth="1"/>
    <col min="7374" max="7374" width="8.5703125" bestFit="1" customWidth="1"/>
    <col min="7375" max="7375" width="11.5703125" bestFit="1" customWidth="1"/>
    <col min="7376" max="7376" width="13.28515625" bestFit="1" customWidth="1"/>
    <col min="7377" max="7377" width="13.28515625" customWidth="1"/>
    <col min="7378" max="7378" width="13.140625" customWidth="1"/>
    <col min="7379" max="7379" width="12.7109375" bestFit="1" customWidth="1"/>
    <col min="7380" max="7380" width="13.28515625" bestFit="1" customWidth="1"/>
    <col min="7381" max="7383" width="13.28515625" customWidth="1"/>
    <col min="7384" max="7384" width="12.140625" bestFit="1" customWidth="1"/>
    <col min="7385" max="7385" width="12.7109375" bestFit="1" customWidth="1"/>
    <col min="7386" max="7386" width="11" customWidth="1"/>
    <col min="7387" max="7387" width="16.7109375" customWidth="1"/>
    <col min="7388" max="7388" width="17" customWidth="1"/>
    <col min="7389" max="7389" width="10.42578125" bestFit="1" customWidth="1"/>
    <col min="7433" max="7433" width="3.85546875" customWidth="1"/>
    <col min="7434" max="7434" width="15.28515625" bestFit="1" customWidth="1"/>
    <col min="7435" max="7435" width="12.28515625" customWidth="1"/>
    <col min="7436" max="7436" width="16.28515625" bestFit="1" customWidth="1"/>
    <col min="7437" max="7437" width="6.42578125" bestFit="1" customWidth="1"/>
    <col min="7438" max="7438" width="9.28515625" bestFit="1" customWidth="1"/>
    <col min="7439" max="7439" width="7.5703125" bestFit="1" customWidth="1"/>
    <col min="7440" max="7440" width="13.28515625" bestFit="1" customWidth="1"/>
    <col min="7441" max="7441" width="9.28515625" bestFit="1" customWidth="1"/>
    <col min="7442" max="7442" width="11.5703125" bestFit="1" customWidth="1"/>
    <col min="7443" max="7443" width="13.28515625" bestFit="1" customWidth="1"/>
    <col min="7444" max="7444" width="7.140625" bestFit="1" customWidth="1"/>
    <col min="7445" max="7445" width="12" bestFit="1" customWidth="1"/>
    <col min="7446" max="7446" width="13.28515625" bestFit="1" customWidth="1"/>
    <col min="7447" max="7447" width="7" bestFit="1" customWidth="1"/>
    <col min="7448" max="7448" width="12.7109375" bestFit="1" customWidth="1"/>
    <col min="7449" max="7449" width="11.5703125" bestFit="1" customWidth="1"/>
    <col min="7450" max="7450" width="10.5703125" bestFit="1" customWidth="1"/>
    <col min="7451" max="7452" width="15.7109375" bestFit="1" customWidth="1"/>
    <col min="7453" max="7453" width="11.5703125" bestFit="1" customWidth="1"/>
    <col min="7454" max="7454" width="7.7109375" bestFit="1" customWidth="1"/>
    <col min="7455" max="7455" width="15.140625" bestFit="1" customWidth="1"/>
    <col min="7456" max="7456" width="11.5703125" bestFit="1" customWidth="1"/>
    <col min="7457" max="7457" width="13.28515625" bestFit="1" customWidth="1"/>
    <col min="7458" max="7458" width="10.42578125" bestFit="1" customWidth="1"/>
    <col min="7459" max="7459" width="13.28515625" bestFit="1" customWidth="1"/>
    <col min="7460" max="7460" width="12.140625" bestFit="1" customWidth="1"/>
    <col min="7461" max="7461" width="14.42578125" bestFit="1" customWidth="1"/>
    <col min="7462" max="7462" width="13.28515625" bestFit="1" customWidth="1"/>
    <col min="7463" max="7463" width="11.5703125" bestFit="1" customWidth="1"/>
    <col min="7464" max="7464" width="7.7109375" bestFit="1" customWidth="1"/>
    <col min="7465" max="7466" width="14.42578125" bestFit="1" customWidth="1"/>
    <col min="7467" max="7467" width="11.5703125" bestFit="1" customWidth="1"/>
    <col min="7468" max="7468" width="7.7109375" bestFit="1" customWidth="1"/>
    <col min="7469" max="7469" width="13.5703125" customWidth="1"/>
    <col min="7470" max="7470" width="15.28515625" customWidth="1"/>
    <col min="7471" max="7471" width="14.5703125" customWidth="1"/>
    <col min="7472" max="7472" width="13.28515625" bestFit="1" customWidth="1"/>
    <col min="7473" max="7473" width="7.7109375" bestFit="1" customWidth="1"/>
    <col min="7474" max="7474" width="12.7109375" bestFit="1" customWidth="1"/>
    <col min="7475" max="7475" width="11.7109375" bestFit="1" customWidth="1"/>
    <col min="7476" max="7476" width="11.5703125" bestFit="1" customWidth="1"/>
    <col min="7477" max="7477" width="5.28515625" bestFit="1" customWidth="1"/>
    <col min="7478" max="7478" width="13.28515625" bestFit="1" customWidth="1"/>
    <col min="7479" max="7479" width="13.5703125" bestFit="1" customWidth="1"/>
    <col min="7480" max="7480" width="10.5703125" bestFit="1" customWidth="1"/>
    <col min="7481" max="7481" width="13.28515625" bestFit="1" customWidth="1"/>
    <col min="7482" max="7482" width="11.5703125" bestFit="1" customWidth="1"/>
    <col min="7483" max="7483" width="10.5703125" bestFit="1" customWidth="1"/>
    <col min="7484" max="7484" width="16.140625" bestFit="1" customWidth="1"/>
    <col min="7485" max="7486" width="11.28515625" bestFit="1" customWidth="1"/>
    <col min="7487" max="7487" width="13.28515625" bestFit="1" customWidth="1"/>
    <col min="7488" max="7488" width="7.7109375" bestFit="1" customWidth="1"/>
    <col min="7489" max="7492" width="9.140625" hidden="1" customWidth="1"/>
    <col min="7493" max="7493" width="10.42578125" bestFit="1" customWidth="1"/>
    <col min="7494" max="7494" width="10.5703125" bestFit="1" customWidth="1"/>
    <col min="7495" max="7495" width="10.42578125" bestFit="1" customWidth="1"/>
    <col min="7496" max="7496" width="10.5703125" bestFit="1" customWidth="1"/>
    <col min="7497" max="7497" width="9.5703125" bestFit="1" customWidth="1"/>
    <col min="7498" max="7498" width="11.5703125" bestFit="1" customWidth="1"/>
    <col min="7499" max="7499" width="10.42578125" bestFit="1" customWidth="1"/>
    <col min="7500" max="7500" width="10.85546875" customWidth="1"/>
    <col min="7501" max="7502" width="9.85546875" bestFit="1" customWidth="1"/>
    <col min="7503" max="7503" width="13.5703125" bestFit="1" customWidth="1"/>
    <col min="7504" max="7504" width="7.7109375" bestFit="1" customWidth="1"/>
    <col min="7505" max="7505" width="13.28515625" bestFit="1" customWidth="1"/>
    <col min="7506" max="7506" width="11.5703125" bestFit="1" customWidth="1"/>
    <col min="7507" max="7507" width="10.42578125" bestFit="1" customWidth="1"/>
    <col min="7508" max="7508" width="7.7109375" bestFit="1" customWidth="1"/>
    <col min="7509" max="7509" width="11.5703125" bestFit="1" customWidth="1"/>
    <col min="7510" max="7510" width="10.85546875" bestFit="1" customWidth="1"/>
    <col min="7511" max="7511" width="13.28515625" bestFit="1" customWidth="1"/>
    <col min="7512" max="7512" width="10.85546875" bestFit="1" customWidth="1"/>
    <col min="7513" max="7514" width="7.5703125" bestFit="1" customWidth="1"/>
    <col min="7515" max="7516" width="10.42578125" bestFit="1" customWidth="1"/>
    <col min="7517" max="7517" width="11.5703125" bestFit="1" customWidth="1"/>
    <col min="7518" max="7518" width="5.28515625" bestFit="1" customWidth="1"/>
    <col min="7519" max="7519" width="10.28515625" bestFit="1" customWidth="1"/>
    <col min="7520" max="7520" width="10.42578125" bestFit="1" customWidth="1"/>
    <col min="7521" max="7521" width="11.5703125" bestFit="1" customWidth="1"/>
    <col min="7522" max="7522" width="5.28515625" bestFit="1" customWidth="1"/>
    <col min="7523" max="7525" width="11.5703125" bestFit="1" customWidth="1"/>
    <col min="7526" max="7526" width="5.28515625" bestFit="1" customWidth="1"/>
    <col min="7527" max="7528" width="10.42578125" bestFit="1" customWidth="1"/>
    <col min="7529" max="7529" width="11.5703125" bestFit="1" customWidth="1"/>
    <col min="7530" max="7530" width="5.28515625" bestFit="1" customWidth="1"/>
    <col min="7531" max="7531" width="14.28515625" bestFit="1" customWidth="1"/>
    <col min="7532" max="7532" width="13" bestFit="1" customWidth="1"/>
    <col min="7533" max="7533" width="11.5703125" bestFit="1" customWidth="1"/>
    <col min="7534" max="7534" width="8.85546875" bestFit="1" customWidth="1"/>
    <col min="7535" max="7535" width="14.42578125" bestFit="1" customWidth="1"/>
    <col min="7536" max="7536" width="10.42578125" bestFit="1" customWidth="1"/>
    <col min="7537" max="7537" width="12.28515625" bestFit="1" customWidth="1"/>
    <col min="7538" max="7538" width="13.85546875" bestFit="1" customWidth="1"/>
    <col min="7539" max="7539" width="11.28515625" customWidth="1"/>
    <col min="7540" max="7540" width="11.5703125" customWidth="1"/>
    <col min="7541" max="7541" width="13.42578125" bestFit="1" customWidth="1"/>
    <col min="7542" max="7542" width="10.42578125" customWidth="1"/>
    <col min="7543" max="7543" width="13.85546875" bestFit="1" customWidth="1"/>
    <col min="7544" max="7544" width="15.42578125" bestFit="1" customWidth="1"/>
    <col min="7545" max="7545" width="12.28515625" bestFit="1" customWidth="1"/>
    <col min="7546" max="7546" width="12.7109375" customWidth="1"/>
    <col min="7547" max="7547" width="10.7109375" bestFit="1" customWidth="1"/>
    <col min="7548" max="7548" width="9.85546875" customWidth="1"/>
    <col min="7549" max="7550" width="10.140625" bestFit="1" customWidth="1"/>
    <col min="7551" max="7551" width="7.5703125" bestFit="1" customWidth="1"/>
    <col min="7552" max="7552" width="9.42578125" bestFit="1" customWidth="1"/>
    <col min="7553" max="7553" width="14.5703125" bestFit="1" customWidth="1"/>
    <col min="7554" max="7554" width="14.85546875" customWidth="1"/>
    <col min="7555" max="7555" width="15.140625" bestFit="1" customWidth="1"/>
    <col min="7556" max="7556" width="12.140625" bestFit="1" customWidth="1"/>
    <col min="7557" max="7557" width="14.85546875" bestFit="1" customWidth="1"/>
    <col min="7558" max="7558" width="12.28515625" bestFit="1" customWidth="1"/>
    <col min="7559" max="7567" width="9.140625" hidden="1" customWidth="1"/>
    <col min="7568" max="7568" width="5.28515625" bestFit="1" customWidth="1"/>
    <col min="7569" max="7574" width="11.5703125" bestFit="1" customWidth="1"/>
    <col min="7575" max="7575" width="11.28515625" bestFit="1" customWidth="1"/>
    <col min="7576" max="7576" width="10.140625" bestFit="1" customWidth="1"/>
    <col min="7577" max="7577" width="11.5703125" bestFit="1" customWidth="1"/>
    <col min="7578" max="7578" width="16.140625" customWidth="1"/>
    <col min="7579" max="7579" width="13.42578125" customWidth="1"/>
    <col min="7580" max="7580" width="10.140625" bestFit="1" customWidth="1"/>
    <col min="7581" max="7581" width="12.85546875" bestFit="1" customWidth="1"/>
    <col min="7582" max="7582" width="12.28515625" bestFit="1" customWidth="1"/>
    <col min="7583" max="7583" width="11.28515625" bestFit="1" customWidth="1"/>
    <col min="7584" max="7584" width="11.5703125" bestFit="1" customWidth="1"/>
    <col min="7585" max="7585" width="10.85546875" bestFit="1" customWidth="1"/>
    <col min="7586" max="7586" width="11.28515625" bestFit="1" customWidth="1"/>
    <col min="7587" max="7587" width="10.140625" bestFit="1" customWidth="1"/>
    <col min="7588" max="7588" width="13.28515625" bestFit="1" customWidth="1"/>
    <col min="7589" max="7590" width="12.7109375" bestFit="1" customWidth="1"/>
    <col min="7591" max="7591" width="11" bestFit="1" customWidth="1"/>
    <col min="7592" max="7592" width="11.28515625" bestFit="1" customWidth="1"/>
    <col min="7593" max="7593" width="11.5703125" bestFit="1" customWidth="1"/>
    <col min="7594" max="7594" width="12.28515625" bestFit="1" customWidth="1"/>
    <col min="7595" max="7595" width="15.140625" bestFit="1" customWidth="1"/>
    <col min="7596" max="7596" width="14.42578125" bestFit="1" customWidth="1"/>
    <col min="7597" max="7597" width="12.28515625" bestFit="1" customWidth="1"/>
    <col min="7598" max="7598" width="15.140625" bestFit="1" customWidth="1"/>
    <col min="7599" max="7599" width="14.42578125" bestFit="1" customWidth="1"/>
    <col min="7600" max="7600" width="12.28515625" bestFit="1" customWidth="1"/>
    <col min="7601" max="7601" width="14.42578125" bestFit="1" customWidth="1"/>
    <col min="7602" max="7602" width="11.28515625" bestFit="1" customWidth="1"/>
    <col min="7603" max="7603" width="12.28515625" bestFit="1" customWidth="1"/>
    <col min="7604" max="7604" width="13" bestFit="1" customWidth="1"/>
    <col min="7605" max="7605" width="15.140625" bestFit="1" customWidth="1"/>
    <col min="7606" max="7606" width="12.28515625" bestFit="1" customWidth="1"/>
    <col min="7607" max="7607" width="13.85546875" bestFit="1" customWidth="1"/>
    <col min="7608" max="7608" width="11.28515625" bestFit="1" customWidth="1"/>
    <col min="7609" max="7609" width="12.28515625" bestFit="1" customWidth="1"/>
    <col min="7610" max="7610" width="13.85546875" bestFit="1" customWidth="1"/>
    <col min="7611" max="7612" width="15.140625" bestFit="1" customWidth="1"/>
    <col min="7613" max="7613" width="12.28515625" bestFit="1" customWidth="1"/>
    <col min="7614" max="7614" width="5.7109375" bestFit="1" customWidth="1"/>
    <col min="7615" max="7615" width="8.5703125" bestFit="1" customWidth="1"/>
    <col min="7616" max="7616" width="5.5703125" bestFit="1" customWidth="1"/>
    <col min="7617" max="7617" width="14.42578125" bestFit="1" customWidth="1"/>
    <col min="7618" max="7618" width="11.28515625" bestFit="1" customWidth="1"/>
    <col min="7619" max="7620" width="12.28515625" bestFit="1" customWidth="1"/>
    <col min="7621" max="7621" width="11.28515625" bestFit="1" customWidth="1"/>
    <col min="7622" max="7622" width="13.85546875" bestFit="1" customWidth="1"/>
    <col min="7623" max="7623" width="12" bestFit="1" customWidth="1"/>
    <col min="7624" max="7624" width="13.85546875" bestFit="1" customWidth="1"/>
    <col min="7625" max="7626" width="14.42578125" customWidth="1"/>
    <col min="7627" max="7627" width="10.140625" bestFit="1" customWidth="1"/>
    <col min="7628" max="7628" width="12.28515625" bestFit="1" customWidth="1"/>
    <col min="7629" max="7629" width="7.42578125" bestFit="1" customWidth="1"/>
    <col min="7630" max="7630" width="8.5703125" bestFit="1" customWidth="1"/>
    <col min="7631" max="7631" width="11.5703125" bestFit="1" customWidth="1"/>
    <col min="7632" max="7632" width="13.28515625" bestFit="1" customWidth="1"/>
    <col min="7633" max="7633" width="13.28515625" customWidth="1"/>
    <col min="7634" max="7634" width="13.140625" customWidth="1"/>
    <col min="7635" max="7635" width="12.7109375" bestFit="1" customWidth="1"/>
    <col min="7636" max="7636" width="13.28515625" bestFit="1" customWidth="1"/>
    <col min="7637" max="7639" width="13.28515625" customWidth="1"/>
    <col min="7640" max="7640" width="12.140625" bestFit="1" customWidth="1"/>
    <col min="7641" max="7641" width="12.7109375" bestFit="1" customWidth="1"/>
    <col min="7642" max="7642" width="11" customWidth="1"/>
    <col min="7643" max="7643" width="16.7109375" customWidth="1"/>
    <col min="7644" max="7644" width="17" customWidth="1"/>
    <col min="7645" max="7645" width="10.42578125" bestFit="1" customWidth="1"/>
    <col min="7689" max="7689" width="3.85546875" customWidth="1"/>
    <col min="7690" max="7690" width="15.28515625" bestFit="1" customWidth="1"/>
    <col min="7691" max="7691" width="12.28515625" customWidth="1"/>
    <col min="7692" max="7692" width="16.28515625" bestFit="1" customWidth="1"/>
    <col min="7693" max="7693" width="6.42578125" bestFit="1" customWidth="1"/>
    <col min="7694" max="7694" width="9.28515625" bestFit="1" customWidth="1"/>
    <col min="7695" max="7695" width="7.5703125" bestFit="1" customWidth="1"/>
    <col min="7696" max="7696" width="13.28515625" bestFit="1" customWidth="1"/>
    <col min="7697" max="7697" width="9.28515625" bestFit="1" customWidth="1"/>
    <col min="7698" max="7698" width="11.5703125" bestFit="1" customWidth="1"/>
    <col min="7699" max="7699" width="13.28515625" bestFit="1" customWidth="1"/>
    <col min="7700" max="7700" width="7.140625" bestFit="1" customWidth="1"/>
    <col min="7701" max="7701" width="12" bestFit="1" customWidth="1"/>
    <col min="7702" max="7702" width="13.28515625" bestFit="1" customWidth="1"/>
    <col min="7703" max="7703" width="7" bestFit="1" customWidth="1"/>
    <col min="7704" max="7704" width="12.7109375" bestFit="1" customWidth="1"/>
    <col min="7705" max="7705" width="11.5703125" bestFit="1" customWidth="1"/>
    <col min="7706" max="7706" width="10.5703125" bestFit="1" customWidth="1"/>
    <col min="7707" max="7708" width="15.7109375" bestFit="1" customWidth="1"/>
    <col min="7709" max="7709" width="11.5703125" bestFit="1" customWidth="1"/>
    <col min="7710" max="7710" width="7.7109375" bestFit="1" customWidth="1"/>
    <col min="7711" max="7711" width="15.140625" bestFit="1" customWidth="1"/>
    <col min="7712" max="7712" width="11.5703125" bestFit="1" customWidth="1"/>
    <col min="7713" max="7713" width="13.28515625" bestFit="1" customWidth="1"/>
    <col min="7714" max="7714" width="10.42578125" bestFit="1" customWidth="1"/>
    <col min="7715" max="7715" width="13.28515625" bestFit="1" customWidth="1"/>
    <col min="7716" max="7716" width="12.140625" bestFit="1" customWidth="1"/>
    <col min="7717" max="7717" width="14.42578125" bestFit="1" customWidth="1"/>
    <col min="7718" max="7718" width="13.28515625" bestFit="1" customWidth="1"/>
    <col min="7719" max="7719" width="11.5703125" bestFit="1" customWidth="1"/>
    <col min="7720" max="7720" width="7.7109375" bestFit="1" customWidth="1"/>
    <col min="7721" max="7722" width="14.42578125" bestFit="1" customWidth="1"/>
    <col min="7723" max="7723" width="11.5703125" bestFit="1" customWidth="1"/>
    <col min="7724" max="7724" width="7.7109375" bestFit="1" customWidth="1"/>
    <col min="7725" max="7725" width="13.5703125" customWidth="1"/>
    <col min="7726" max="7726" width="15.28515625" customWidth="1"/>
    <col min="7727" max="7727" width="14.5703125" customWidth="1"/>
    <col min="7728" max="7728" width="13.28515625" bestFit="1" customWidth="1"/>
    <col min="7729" max="7729" width="7.7109375" bestFit="1" customWidth="1"/>
    <col min="7730" max="7730" width="12.7109375" bestFit="1" customWidth="1"/>
    <col min="7731" max="7731" width="11.7109375" bestFit="1" customWidth="1"/>
    <col min="7732" max="7732" width="11.5703125" bestFit="1" customWidth="1"/>
    <col min="7733" max="7733" width="5.28515625" bestFit="1" customWidth="1"/>
    <col min="7734" max="7734" width="13.28515625" bestFit="1" customWidth="1"/>
    <col min="7735" max="7735" width="13.5703125" bestFit="1" customWidth="1"/>
    <col min="7736" max="7736" width="10.5703125" bestFit="1" customWidth="1"/>
    <col min="7737" max="7737" width="13.28515625" bestFit="1" customWidth="1"/>
    <col min="7738" max="7738" width="11.5703125" bestFit="1" customWidth="1"/>
    <col min="7739" max="7739" width="10.5703125" bestFit="1" customWidth="1"/>
    <col min="7740" max="7740" width="16.140625" bestFit="1" customWidth="1"/>
    <col min="7741" max="7742" width="11.28515625" bestFit="1" customWidth="1"/>
    <col min="7743" max="7743" width="13.28515625" bestFit="1" customWidth="1"/>
    <col min="7744" max="7744" width="7.7109375" bestFit="1" customWidth="1"/>
    <col min="7745" max="7748" width="9.140625" hidden="1" customWidth="1"/>
    <col min="7749" max="7749" width="10.42578125" bestFit="1" customWidth="1"/>
    <col min="7750" max="7750" width="10.5703125" bestFit="1" customWidth="1"/>
    <col min="7751" max="7751" width="10.42578125" bestFit="1" customWidth="1"/>
    <col min="7752" max="7752" width="10.5703125" bestFit="1" customWidth="1"/>
    <col min="7753" max="7753" width="9.5703125" bestFit="1" customWidth="1"/>
    <col min="7754" max="7754" width="11.5703125" bestFit="1" customWidth="1"/>
    <col min="7755" max="7755" width="10.42578125" bestFit="1" customWidth="1"/>
    <col min="7756" max="7756" width="10.85546875" customWidth="1"/>
    <col min="7757" max="7758" width="9.85546875" bestFit="1" customWidth="1"/>
    <col min="7759" max="7759" width="13.5703125" bestFit="1" customWidth="1"/>
    <col min="7760" max="7760" width="7.7109375" bestFit="1" customWidth="1"/>
    <col min="7761" max="7761" width="13.28515625" bestFit="1" customWidth="1"/>
    <col min="7762" max="7762" width="11.5703125" bestFit="1" customWidth="1"/>
    <col min="7763" max="7763" width="10.42578125" bestFit="1" customWidth="1"/>
    <col min="7764" max="7764" width="7.7109375" bestFit="1" customWidth="1"/>
    <col min="7765" max="7765" width="11.5703125" bestFit="1" customWidth="1"/>
    <col min="7766" max="7766" width="10.85546875" bestFit="1" customWidth="1"/>
    <col min="7767" max="7767" width="13.28515625" bestFit="1" customWidth="1"/>
    <col min="7768" max="7768" width="10.85546875" bestFit="1" customWidth="1"/>
    <col min="7769" max="7770" width="7.5703125" bestFit="1" customWidth="1"/>
    <col min="7771" max="7772" width="10.42578125" bestFit="1" customWidth="1"/>
    <col min="7773" max="7773" width="11.5703125" bestFit="1" customWidth="1"/>
    <col min="7774" max="7774" width="5.28515625" bestFit="1" customWidth="1"/>
    <col min="7775" max="7775" width="10.28515625" bestFit="1" customWidth="1"/>
    <col min="7776" max="7776" width="10.42578125" bestFit="1" customWidth="1"/>
    <col min="7777" max="7777" width="11.5703125" bestFit="1" customWidth="1"/>
    <col min="7778" max="7778" width="5.28515625" bestFit="1" customWidth="1"/>
    <col min="7779" max="7781" width="11.5703125" bestFit="1" customWidth="1"/>
    <col min="7782" max="7782" width="5.28515625" bestFit="1" customWidth="1"/>
    <col min="7783" max="7784" width="10.42578125" bestFit="1" customWidth="1"/>
    <col min="7785" max="7785" width="11.5703125" bestFit="1" customWidth="1"/>
    <col min="7786" max="7786" width="5.28515625" bestFit="1" customWidth="1"/>
    <col min="7787" max="7787" width="14.28515625" bestFit="1" customWidth="1"/>
    <col min="7788" max="7788" width="13" bestFit="1" customWidth="1"/>
    <col min="7789" max="7789" width="11.5703125" bestFit="1" customWidth="1"/>
    <col min="7790" max="7790" width="8.85546875" bestFit="1" customWidth="1"/>
    <col min="7791" max="7791" width="14.42578125" bestFit="1" customWidth="1"/>
    <col min="7792" max="7792" width="10.42578125" bestFit="1" customWidth="1"/>
    <col min="7793" max="7793" width="12.28515625" bestFit="1" customWidth="1"/>
    <col min="7794" max="7794" width="13.85546875" bestFit="1" customWidth="1"/>
    <col min="7795" max="7795" width="11.28515625" customWidth="1"/>
    <col min="7796" max="7796" width="11.5703125" customWidth="1"/>
    <col min="7797" max="7797" width="13.42578125" bestFit="1" customWidth="1"/>
    <col min="7798" max="7798" width="10.42578125" customWidth="1"/>
    <col min="7799" max="7799" width="13.85546875" bestFit="1" customWidth="1"/>
    <col min="7800" max="7800" width="15.42578125" bestFit="1" customWidth="1"/>
    <col min="7801" max="7801" width="12.28515625" bestFit="1" customWidth="1"/>
    <col min="7802" max="7802" width="12.7109375" customWidth="1"/>
    <col min="7803" max="7803" width="10.7109375" bestFit="1" customWidth="1"/>
    <col min="7804" max="7804" width="9.85546875" customWidth="1"/>
    <col min="7805" max="7806" width="10.140625" bestFit="1" customWidth="1"/>
    <col min="7807" max="7807" width="7.5703125" bestFit="1" customWidth="1"/>
    <col min="7808" max="7808" width="9.42578125" bestFit="1" customWidth="1"/>
    <col min="7809" max="7809" width="14.5703125" bestFit="1" customWidth="1"/>
    <col min="7810" max="7810" width="14.85546875" customWidth="1"/>
    <col min="7811" max="7811" width="15.140625" bestFit="1" customWidth="1"/>
    <col min="7812" max="7812" width="12.140625" bestFit="1" customWidth="1"/>
    <col min="7813" max="7813" width="14.85546875" bestFit="1" customWidth="1"/>
    <col min="7814" max="7814" width="12.28515625" bestFit="1" customWidth="1"/>
    <col min="7815" max="7823" width="9.140625" hidden="1" customWidth="1"/>
    <col min="7824" max="7824" width="5.28515625" bestFit="1" customWidth="1"/>
    <col min="7825" max="7830" width="11.5703125" bestFit="1" customWidth="1"/>
    <col min="7831" max="7831" width="11.28515625" bestFit="1" customWidth="1"/>
    <col min="7832" max="7832" width="10.140625" bestFit="1" customWidth="1"/>
    <col min="7833" max="7833" width="11.5703125" bestFit="1" customWidth="1"/>
    <col min="7834" max="7834" width="16.140625" customWidth="1"/>
    <col min="7835" max="7835" width="13.42578125" customWidth="1"/>
    <col min="7836" max="7836" width="10.140625" bestFit="1" customWidth="1"/>
    <col min="7837" max="7837" width="12.85546875" bestFit="1" customWidth="1"/>
    <col min="7838" max="7838" width="12.28515625" bestFit="1" customWidth="1"/>
    <col min="7839" max="7839" width="11.28515625" bestFit="1" customWidth="1"/>
    <col min="7840" max="7840" width="11.5703125" bestFit="1" customWidth="1"/>
    <col min="7841" max="7841" width="10.85546875" bestFit="1" customWidth="1"/>
    <col min="7842" max="7842" width="11.28515625" bestFit="1" customWidth="1"/>
    <col min="7843" max="7843" width="10.140625" bestFit="1" customWidth="1"/>
    <col min="7844" max="7844" width="13.28515625" bestFit="1" customWidth="1"/>
    <col min="7845" max="7846" width="12.7109375" bestFit="1" customWidth="1"/>
    <col min="7847" max="7847" width="11" bestFit="1" customWidth="1"/>
    <col min="7848" max="7848" width="11.28515625" bestFit="1" customWidth="1"/>
    <col min="7849" max="7849" width="11.5703125" bestFit="1" customWidth="1"/>
    <col min="7850" max="7850" width="12.28515625" bestFit="1" customWidth="1"/>
    <col min="7851" max="7851" width="15.140625" bestFit="1" customWidth="1"/>
    <col min="7852" max="7852" width="14.42578125" bestFit="1" customWidth="1"/>
    <col min="7853" max="7853" width="12.28515625" bestFit="1" customWidth="1"/>
    <col min="7854" max="7854" width="15.140625" bestFit="1" customWidth="1"/>
    <col min="7855" max="7855" width="14.42578125" bestFit="1" customWidth="1"/>
    <col min="7856" max="7856" width="12.28515625" bestFit="1" customWidth="1"/>
    <col min="7857" max="7857" width="14.42578125" bestFit="1" customWidth="1"/>
    <col min="7858" max="7858" width="11.28515625" bestFit="1" customWidth="1"/>
    <col min="7859" max="7859" width="12.28515625" bestFit="1" customWidth="1"/>
    <col min="7860" max="7860" width="13" bestFit="1" customWidth="1"/>
    <col min="7861" max="7861" width="15.140625" bestFit="1" customWidth="1"/>
    <col min="7862" max="7862" width="12.28515625" bestFit="1" customWidth="1"/>
    <col min="7863" max="7863" width="13.85546875" bestFit="1" customWidth="1"/>
    <col min="7864" max="7864" width="11.28515625" bestFit="1" customWidth="1"/>
    <col min="7865" max="7865" width="12.28515625" bestFit="1" customWidth="1"/>
    <col min="7866" max="7866" width="13.85546875" bestFit="1" customWidth="1"/>
    <col min="7867" max="7868" width="15.140625" bestFit="1" customWidth="1"/>
    <col min="7869" max="7869" width="12.28515625" bestFit="1" customWidth="1"/>
    <col min="7870" max="7870" width="5.7109375" bestFit="1" customWidth="1"/>
    <col min="7871" max="7871" width="8.5703125" bestFit="1" customWidth="1"/>
    <col min="7872" max="7872" width="5.5703125" bestFit="1" customWidth="1"/>
    <col min="7873" max="7873" width="14.42578125" bestFit="1" customWidth="1"/>
    <col min="7874" max="7874" width="11.28515625" bestFit="1" customWidth="1"/>
    <col min="7875" max="7876" width="12.28515625" bestFit="1" customWidth="1"/>
    <col min="7877" max="7877" width="11.28515625" bestFit="1" customWidth="1"/>
    <col min="7878" max="7878" width="13.85546875" bestFit="1" customWidth="1"/>
    <col min="7879" max="7879" width="12" bestFit="1" customWidth="1"/>
    <col min="7880" max="7880" width="13.85546875" bestFit="1" customWidth="1"/>
    <col min="7881" max="7882" width="14.42578125" customWidth="1"/>
    <col min="7883" max="7883" width="10.140625" bestFit="1" customWidth="1"/>
    <col min="7884" max="7884" width="12.28515625" bestFit="1" customWidth="1"/>
    <col min="7885" max="7885" width="7.42578125" bestFit="1" customWidth="1"/>
    <col min="7886" max="7886" width="8.5703125" bestFit="1" customWidth="1"/>
    <col min="7887" max="7887" width="11.5703125" bestFit="1" customWidth="1"/>
    <col min="7888" max="7888" width="13.28515625" bestFit="1" customWidth="1"/>
    <col min="7889" max="7889" width="13.28515625" customWidth="1"/>
    <col min="7890" max="7890" width="13.140625" customWidth="1"/>
    <col min="7891" max="7891" width="12.7109375" bestFit="1" customWidth="1"/>
    <col min="7892" max="7892" width="13.28515625" bestFit="1" customWidth="1"/>
    <col min="7893" max="7895" width="13.28515625" customWidth="1"/>
    <col min="7896" max="7896" width="12.140625" bestFit="1" customWidth="1"/>
    <col min="7897" max="7897" width="12.7109375" bestFit="1" customWidth="1"/>
    <col min="7898" max="7898" width="11" customWidth="1"/>
    <col min="7899" max="7899" width="16.7109375" customWidth="1"/>
    <col min="7900" max="7900" width="17" customWidth="1"/>
    <col min="7901" max="7901" width="10.42578125" bestFit="1" customWidth="1"/>
    <col min="7945" max="7945" width="3.85546875" customWidth="1"/>
    <col min="7946" max="7946" width="15.28515625" bestFit="1" customWidth="1"/>
    <col min="7947" max="7947" width="12.28515625" customWidth="1"/>
    <col min="7948" max="7948" width="16.28515625" bestFit="1" customWidth="1"/>
    <col min="7949" max="7949" width="6.42578125" bestFit="1" customWidth="1"/>
    <col min="7950" max="7950" width="9.28515625" bestFit="1" customWidth="1"/>
    <col min="7951" max="7951" width="7.5703125" bestFit="1" customWidth="1"/>
    <col min="7952" max="7952" width="13.28515625" bestFit="1" customWidth="1"/>
    <col min="7953" max="7953" width="9.28515625" bestFit="1" customWidth="1"/>
    <col min="7954" max="7954" width="11.5703125" bestFit="1" customWidth="1"/>
    <col min="7955" max="7955" width="13.28515625" bestFit="1" customWidth="1"/>
    <col min="7956" max="7956" width="7.140625" bestFit="1" customWidth="1"/>
    <col min="7957" max="7957" width="12" bestFit="1" customWidth="1"/>
    <col min="7958" max="7958" width="13.28515625" bestFit="1" customWidth="1"/>
    <col min="7959" max="7959" width="7" bestFit="1" customWidth="1"/>
    <col min="7960" max="7960" width="12.7109375" bestFit="1" customWidth="1"/>
    <col min="7961" max="7961" width="11.5703125" bestFit="1" customWidth="1"/>
    <col min="7962" max="7962" width="10.5703125" bestFit="1" customWidth="1"/>
    <col min="7963" max="7964" width="15.7109375" bestFit="1" customWidth="1"/>
    <col min="7965" max="7965" width="11.5703125" bestFit="1" customWidth="1"/>
    <col min="7966" max="7966" width="7.7109375" bestFit="1" customWidth="1"/>
    <col min="7967" max="7967" width="15.140625" bestFit="1" customWidth="1"/>
    <col min="7968" max="7968" width="11.5703125" bestFit="1" customWidth="1"/>
    <col min="7969" max="7969" width="13.28515625" bestFit="1" customWidth="1"/>
    <col min="7970" max="7970" width="10.42578125" bestFit="1" customWidth="1"/>
    <col min="7971" max="7971" width="13.28515625" bestFit="1" customWidth="1"/>
    <col min="7972" max="7972" width="12.140625" bestFit="1" customWidth="1"/>
    <col min="7973" max="7973" width="14.42578125" bestFit="1" customWidth="1"/>
    <col min="7974" max="7974" width="13.28515625" bestFit="1" customWidth="1"/>
    <col min="7975" max="7975" width="11.5703125" bestFit="1" customWidth="1"/>
    <col min="7976" max="7976" width="7.7109375" bestFit="1" customWidth="1"/>
    <col min="7977" max="7978" width="14.42578125" bestFit="1" customWidth="1"/>
    <col min="7979" max="7979" width="11.5703125" bestFit="1" customWidth="1"/>
    <col min="7980" max="7980" width="7.7109375" bestFit="1" customWidth="1"/>
    <col min="7981" max="7981" width="13.5703125" customWidth="1"/>
    <col min="7982" max="7982" width="15.28515625" customWidth="1"/>
    <col min="7983" max="7983" width="14.5703125" customWidth="1"/>
    <col min="7984" max="7984" width="13.28515625" bestFit="1" customWidth="1"/>
    <col min="7985" max="7985" width="7.7109375" bestFit="1" customWidth="1"/>
    <col min="7986" max="7986" width="12.7109375" bestFit="1" customWidth="1"/>
    <col min="7987" max="7987" width="11.7109375" bestFit="1" customWidth="1"/>
    <col min="7988" max="7988" width="11.5703125" bestFit="1" customWidth="1"/>
    <col min="7989" max="7989" width="5.28515625" bestFit="1" customWidth="1"/>
    <col min="7990" max="7990" width="13.28515625" bestFit="1" customWidth="1"/>
    <col min="7991" max="7991" width="13.5703125" bestFit="1" customWidth="1"/>
    <col min="7992" max="7992" width="10.5703125" bestFit="1" customWidth="1"/>
    <col min="7993" max="7993" width="13.28515625" bestFit="1" customWidth="1"/>
    <col min="7994" max="7994" width="11.5703125" bestFit="1" customWidth="1"/>
    <col min="7995" max="7995" width="10.5703125" bestFit="1" customWidth="1"/>
    <col min="7996" max="7996" width="16.140625" bestFit="1" customWidth="1"/>
    <col min="7997" max="7998" width="11.28515625" bestFit="1" customWidth="1"/>
    <col min="7999" max="7999" width="13.28515625" bestFit="1" customWidth="1"/>
    <col min="8000" max="8000" width="7.7109375" bestFit="1" customWidth="1"/>
    <col min="8001" max="8004" width="9.140625" hidden="1" customWidth="1"/>
    <col min="8005" max="8005" width="10.42578125" bestFit="1" customWidth="1"/>
    <col min="8006" max="8006" width="10.5703125" bestFit="1" customWidth="1"/>
    <col min="8007" max="8007" width="10.42578125" bestFit="1" customWidth="1"/>
    <col min="8008" max="8008" width="10.5703125" bestFit="1" customWidth="1"/>
    <col min="8009" max="8009" width="9.5703125" bestFit="1" customWidth="1"/>
    <col min="8010" max="8010" width="11.5703125" bestFit="1" customWidth="1"/>
    <col min="8011" max="8011" width="10.42578125" bestFit="1" customWidth="1"/>
    <col min="8012" max="8012" width="10.85546875" customWidth="1"/>
    <col min="8013" max="8014" width="9.85546875" bestFit="1" customWidth="1"/>
    <col min="8015" max="8015" width="13.5703125" bestFit="1" customWidth="1"/>
    <col min="8016" max="8016" width="7.7109375" bestFit="1" customWidth="1"/>
    <col min="8017" max="8017" width="13.28515625" bestFit="1" customWidth="1"/>
    <col min="8018" max="8018" width="11.5703125" bestFit="1" customWidth="1"/>
    <col min="8019" max="8019" width="10.42578125" bestFit="1" customWidth="1"/>
    <col min="8020" max="8020" width="7.7109375" bestFit="1" customWidth="1"/>
    <col min="8021" max="8021" width="11.5703125" bestFit="1" customWidth="1"/>
    <col min="8022" max="8022" width="10.85546875" bestFit="1" customWidth="1"/>
    <col min="8023" max="8023" width="13.28515625" bestFit="1" customWidth="1"/>
    <col min="8024" max="8024" width="10.85546875" bestFit="1" customWidth="1"/>
    <col min="8025" max="8026" width="7.5703125" bestFit="1" customWidth="1"/>
    <col min="8027" max="8028" width="10.42578125" bestFit="1" customWidth="1"/>
    <col min="8029" max="8029" width="11.5703125" bestFit="1" customWidth="1"/>
    <col min="8030" max="8030" width="5.28515625" bestFit="1" customWidth="1"/>
    <col min="8031" max="8031" width="10.28515625" bestFit="1" customWidth="1"/>
    <col min="8032" max="8032" width="10.42578125" bestFit="1" customWidth="1"/>
    <col min="8033" max="8033" width="11.5703125" bestFit="1" customWidth="1"/>
    <col min="8034" max="8034" width="5.28515625" bestFit="1" customWidth="1"/>
    <col min="8035" max="8037" width="11.5703125" bestFit="1" customWidth="1"/>
    <col min="8038" max="8038" width="5.28515625" bestFit="1" customWidth="1"/>
    <col min="8039" max="8040" width="10.42578125" bestFit="1" customWidth="1"/>
    <col min="8041" max="8041" width="11.5703125" bestFit="1" customWidth="1"/>
    <col min="8042" max="8042" width="5.28515625" bestFit="1" customWidth="1"/>
    <col min="8043" max="8043" width="14.28515625" bestFit="1" customWidth="1"/>
    <col min="8044" max="8044" width="13" bestFit="1" customWidth="1"/>
    <col min="8045" max="8045" width="11.5703125" bestFit="1" customWidth="1"/>
    <col min="8046" max="8046" width="8.85546875" bestFit="1" customWidth="1"/>
    <col min="8047" max="8047" width="14.42578125" bestFit="1" customWidth="1"/>
    <col min="8048" max="8048" width="10.42578125" bestFit="1" customWidth="1"/>
    <col min="8049" max="8049" width="12.28515625" bestFit="1" customWidth="1"/>
    <col min="8050" max="8050" width="13.85546875" bestFit="1" customWidth="1"/>
    <col min="8051" max="8051" width="11.28515625" customWidth="1"/>
    <col min="8052" max="8052" width="11.5703125" customWidth="1"/>
    <col min="8053" max="8053" width="13.42578125" bestFit="1" customWidth="1"/>
    <col min="8054" max="8054" width="10.42578125" customWidth="1"/>
    <col min="8055" max="8055" width="13.85546875" bestFit="1" customWidth="1"/>
    <col min="8056" max="8056" width="15.42578125" bestFit="1" customWidth="1"/>
    <col min="8057" max="8057" width="12.28515625" bestFit="1" customWidth="1"/>
    <col min="8058" max="8058" width="12.7109375" customWidth="1"/>
    <col min="8059" max="8059" width="10.7109375" bestFit="1" customWidth="1"/>
    <col min="8060" max="8060" width="9.85546875" customWidth="1"/>
    <col min="8061" max="8062" width="10.140625" bestFit="1" customWidth="1"/>
    <col min="8063" max="8063" width="7.5703125" bestFit="1" customWidth="1"/>
    <col min="8064" max="8064" width="9.42578125" bestFit="1" customWidth="1"/>
    <col min="8065" max="8065" width="14.5703125" bestFit="1" customWidth="1"/>
    <col min="8066" max="8066" width="14.85546875" customWidth="1"/>
    <col min="8067" max="8067" width="15.140625" bestFit="1" customWidth="1"/>
    <col min="8068" max="8068" width="12.140625" bestFit="1" customWidth="1"/>
    <col min="8069" max="8069" width="14.85546875" bestFit="1" customWidth="1"/>
    <col min="8070" max="8070" width="12.28515625" bestFit="1" customWidth="1"/>
    <col min="8071" max="8079" width="9.140625" hidden="1" customWidth="1"/>
    <col min="8080" max="8080" width="5.28515625" bestFit="1" customWidth="1"/>
    <col min="8081" max="8086" width="11.5703125" bestFit="1" customWidth="1"/>
    <col min="8087" max="8087" width="11.28515625" bestFit="1" customWidth="1"/>
    <col min="8088" max="8088" width="10.140625" bestFit="1" customWidth="1"/>
    <col min="8089" max="8089" width="11.5703125" bestFit="1" customWidth="1"/>
    <col min="8090" max="8090" width="16.140625" customWidth="1"/>
    <col min="8091" max="8091" width="13.42578125" customWidth="1"/>
    <col min="8092" max="8092" width="10.140625" bestFit="1" customWidth="1"/>
    <col min="8093" max="8093" width="12.85546875" bestFit="1" customWidth="1"/>
    <col min="8094" max="8094" width="12.28515625" bestFit="1" customWidth="1"/>
    <col min="8095" max="8095" width="11.28515625" bestFit="1" customWidth="1"/>
    <col min="8096" max="8096" width="11.5703125" bestFit="1" customWidth="1"/>
    <col min="8097" max="8097" width="10.85546875" bestFit="1" customWidth="1"/>
    <col min="8098" max="8098" width="11.28515625" bestFit="1" customWidth="1"/>
    <col min="8099" max="8099" width="10.140625" bestFit="1" customWidth="1"/>
    <col min="8100" max="8100" width="13.28515625" bestFit="1" customWidth="1"/>
    <col min="8101" max="8102" width="12.7109375" bestFit="1" customWidth="1"/>
    <col min="8103" max="8103" width="11" bestFit="1" customWidth="1"/>
    <col min="8104" max="8104" width="11.28515625" bestFit="1" customWidth="1"/>
    <col min="8105" max="8105" width="11.5703125" bestFit="1" customWidth="1"/>
    <col min="8106" max="8106" width="12.28515625" bestFit="1" customWidth="1"/>
    <col min="8107" max="8107" width="15.140625" bestFit="1" customWidth="1"/>
    <col min="8108" max="8108" width="14.42578125" bestFit="1" customWidth="1"/>
    <col min="8109" max="8109" width="12.28515625" bestFit="1" customWidth="1"/>
    <col min="8110" max="8110" width="15.140625" bestFit="1" customWidth="1"/>
    <col min="8111" max="8111" width="14.42578125" bestFit="1" customWidth="1"/>
    <col min="8112" max="8112" width="12.28515625" bestFit="1" customWidth="1"/>
    <col min="8113" max="8113" width="14.42578125" bestFit="1" customWidth="1"/>
    <col min="8114" max="8114" width="11.28515625" bestFit="1" customWidth="1"/>
    <col min="8115" max="8115" width="12.28515625" bestFit="1" customWidth="1"/>
    <col min="8116" max="8116" width="13" bestFit="1" customWidth="1"/>
    <col min="8117" max="8117" width="15.140625" bestFit="1" customWidth="1"/>
    <col min="8118" max="8118" width="12.28515625" bestFit="1" customWidth="1"/>
    <col min="8119" max="8119" width="13.85546875" bestFit="1" customWidth="1"/>
    <col min="8120" max="8120" width="11.28515625" bestFit="1" customWidth="1"/>
    <col min="8121" max="8121" width="12.28515625" bestFit="1" customWidth="1"/>
    <col min="8122" max="8122" width="13.85546875" bestFit="1" customWidth="1"/>
    <col min="8123" max="8124" width="15.140625" bestFit="1" customWidth="1"/>
    <col min="8125" max="8125" width="12.28515625" bestFit="1" customWidth="1"/>
    <col min="8126" max="8126" width="5.7109375" bestFit="1" customWidth="1"/>
    <col min="8127" max="8127" width="8.5703125" bestFit="1" customWidth="1"/>
    <col min="8128" max="8128" width="5.5703125" bestFit="1" customWidth="1"/>
    <col min="8129" max="8129" width="14.42578125" bestFit="1" customWidth="1"/>
    <col min="8130" max="8130" width="11.28515625" bestFit="1" customWidth="1"/>
    <col min="8131" max="8132" width="12.28515625" bestFit="1" customWidth="1"/>
    <col min="8133" max="8133" width="11.28515625" bestFit="1" customWidth="1"/>
    <col min="8134" max="8134" width="13.85546875" bestFit="1" customWidth="1"/>
    <col min="8135" max="8135" width="12" bestFit="1" customWidth="1"/>
    <col min="8136" max="8136" width="13.85546875" bestFit="1" customWidth="1"/>
    <col min="8137" max="8138" width="14.42578125" customWidth="1"/>
    <col min="8139" max="8139" width="10.140625" bestFit="1" customWidth="1"/>
    <col min="8140" max="8140" width="12.28515625" bestFit="1" customWidth="1"/>
    <col min="8141" max="8141" width="7.42578125" bestFit="1" customWidth="1"/>
    <col min="8142" max="8142" width="8.5703125" bestFit="1" customWidth="1"/>
    <col min="8143" max="8143" width="11.5703125" bestFit="1" customWidth="1"/>
    <col min="8144" max="8144" width="13.28515625" bestFit="1" customWidth="1"/>
    <col min="8145" max="8145" width="13.28515625" customWidth="1"/>
    <col min="8146" max="8146" width="13.140625" customWidth="1"/>
    <col min="8147" max="8147" width="12.7109375" bestFit="1" customWidth="1"/>
    <col min="8148" max="8148" width="13.28515625" bestFit="1" customWidth="1"/>
    <col min="8149" max="8151" width="13.28515625" customWidth="1"/>
    <col min="8152" max="8152" width="12.140625" bestFit="1" customWidth="1"/>
    <col min="8153" max="8153" width="12.7109375" bestFit="1" customWidth="1"/>
    <col min="8154" max="8154" width="11" customWidth="1"/>
    <col min="8155" max="8155" width="16.7109375" customWidth="1"/>
    <col min="8156" max="8156" width="17" customWidth="1"/>
    <col min="8157" max="8157" width="10.42578125" bestFit="1" customWidth="1"/>
    <col min="8201" max="8201" width="3.85546875" customWidth="1"/>
    <col min="8202" max="8202" width="15.28515625" bestFit="1" customWidth="1"/>
    <col min="8203" max="8203" width="12.28515625" customWidth="1"/>
    <col min="8204" max="8204" width="16.28515625" bestFit="1" customWidth="1"/>
    <col min="8205" max="8205" width="6.42578125" bestFit="1" customWidth="1"/>
    <col min="8206" max="8206" width="9.28515625" bestFit="1" customWidth="1"/>
    <col min="8207" max="8207" width="7.5703125" bestFit="1" customWidth="1"/>
    <col min="8208" max="8208" width="13.28515625" bestFit="1" customWidth="1"/>
    <col min="8209" max="8209" width="9.28515625" bestFit="1" customWidth="1"/>
    <col min="8210" max="8210" width="11.5703125" bestFit="1" customWidth="1"/>
    <col min="8211" max="8211" width="13.28515625" bestFit="1" customWidth="1"/>
    <col min="8212" max="8212" width="7.140625" bestFit="1" customWidth="1"/>
    <col min="8213" max="8213" width="12" bestFit="1" customWidth="1"/>
    <col min="8214" max="8214" width="13.28515625" bestFit="1" customWidth="1"/>
    <col min="8215" max="8215" width="7" bestFit="1" customWidth="1"/>
    <col min="8216" max="8216" width="12.7109375" bestFit="1" customWidth="1"/>
    <col min="8217" max="8217" width="11.5703125" bestFit="1" customWidth="1"/>
    <col min="8218" max="8218" width="10.5703125" bestFit="1" customWidth="1"/>
    <col min="8219" max="8220" width="15.7109375" bestFit="1" customWidth="1"/>
    <col min="8221" max="8221" width="11.5703125" bestFit="1" customWidth="1"/>
    <col min="8222" max="8222" width="7.7109375" bestFit="1" customWidth="1"/>
    <col min="8223" max="8223" width="15.140625" bestFit="1" customWidth="1"/>
    <col min="8224" max="8224" width="11.5703125" bestFit="1" customWidth="1"/>
    <col min="8225" max="8225" width="13.28515625" bestFit="1" customWidth="1"/>
    <col min="8226" max="8226" width="10.42578125" bestFit="1" customWidth="1"/>
    <col min="8227" max="8227" width="13.28515625" bestFit="1" customWidth="1"/>
    <col min="8228" max="8228" width="12.140625" bestFit="1" customWidth="1"/>
    <col min="8229" max="8229" width="14.42578125" bestFit="1" customWidth="1"/>
    <col min="8230" max="8230" width="13.28515625" bestFit="1" customWidth="1"/>
    <col min="8231" max="8231" width="11.5703125" bestFit="1" customWidth="1"/>
    <col min="8232" max="8232" width="7.7109375" bestFit="1" customWidth="1"/>
    <col min="8233" max="8234" width="14.42578125" bestFit="1" customWidth="1"/>
    <col min="8235" max="8235" width="11.5703125" bestFit="1" customWidth="1"/>
    <col min="8236" max="8236" width="7.7109375" bestFit="1" customWidth="1"/>
    <col min="8237" max="8237" width="13.5703125" customWidth="1"/>
    <col min="8238" max="8238" width="15.28515625" customWidth="1"/>
    <col min="8239" max="8239" width="14.5703125" customWidth="1"/>
    <col min="8240" max="8240" width="13.28515625" bestFit="1" customWidth="1"/>
    <col min="8241" max="8241" width="7.7109375" bestFit="1" customWidth="1"/>
    <col min="8242" max="8242" width="12.7109375" bestFit="1" customWidth="1"/>
    <col min="8243" max="8243" width="11.7109375" bestFit="1" customWidth="1"/>
    <col min="8244" max="8244" width="11.5703125" bestFit="1" customWidth="1"/>
    <col min="8245" max="8245" width="5.28515625" bestFit="1" customWidth="1"/>
    <col min="8246" max="8246" width="13.28515625" bestFit="1" customWidth="1"/>
    <col min="8247" max="8247" width="13.5703125" bestFit="1" customWidth="1"/>
    <col min="8248" max="8248" width="10.5703125" bestFit="1" customWidth="1"/>
    <col min="8249" max="8249" width="13.28515625" bestFit="1" customWidth="1"/>
    <col min="8250" max="8250" width="11.5703125" bestFit="1" customWidth="1"/>
    <col min="8251" max="8251" width="10.5703125" bestFit="1" customWidth="1"/>
    <col min="8252" max="8252" width="16.140625" bestFit="1" customWidth="1"/>
    <col min="8253" max="8254" width="11.28515625" bestFit="1" customWidth="1"/>
    <col min="8255" max="8255" width="13.28515625" bestFit="1" customWidth="1"/>
    <col min="8256" max="8256" width="7.7109375" bestFit="1" customWidth="1"/>
    <col min="8257" max="8260" width="9.140625" hidden="1" customWidth="1"/>
    <col min="8261" max="8261" width="10.42578125" bestFit="1" customWidth="1"/>
    <col min="8262" max="8262" width="10.5703125" bestFit="1" customWidth="1"/>
    <col min="8263" max="8263" width="10.42578125" bestFit="1" customWidth="1"/>
    <col min="8264" max="8264" width="10.5703125" bestFit="1" customWidth="1"/>
    <col min="8265" max="8265" width="9.5703125" bestFit="1" customWidth="1"/>
    <col min="8266" max="8266" width="11.5703125" bestFit="1" customWidth="1"/>
    <col min="8267" max="8267" width="10.42578125" bestFit="1" customWidth="1"/>
    <col min="8268" max="8268" width="10.85546875" customWidth="1"/>
    <col min="8269" max="8270" width="9.85546875" bestFit="1" customWidth="1"/>
    <col min="8271" max="8271" width="13.5703125" bestFit="1" customWidth="1"/>
    <col min="8272" max="8272" width="7.7109375" bestFit="1" customWidth="1"/>
    <col min="8273" max="8273" width="13.28515625" bestFit="1" customWidth="1"/>
    <col min="8274" max="8274" width="11.5703125" bestFit="1" customWidth="1"/>
    <col min="8275" max="8275" width="10.42578125" bestFit="1" customWidth="1"/>
    <col min="8276" max="8276" width="7.7109375" bestFit="1" customWidth="1"/>
    <col min="8277" max="8277" width="11.5703125" bestFit="1" customWidth="1"/>
    <col min="8278" max="8278" width="10.85546875" bestFit="1" customWidth="1"/>
    <col min="8279" max="8279" width="13.28515625" bestFit="1" customWidth="1"/>
    <col min="8280" max="8280" width="10.85546875" bestFit="1" customWidth="1"/>
    <col min="8281" max="8282" width="7.5703125" bestFit="1" customWidth="1"/>
    <col min="8283" max="8284" width="10.42578125" bestFit="1" customWidth="1"/>
    <col min="8285" max="8285" width="11.5703125" bestFit="1" customWidth="1"/>
    <col min="8286" max="8286" width="5.28515625" bestFit="1" customWidth="1"/>
    <col min="8287" max="8287" width="10.28515625" bestFit="1" customWidth="1"/>
    <col min="8288" max="8288" width="10.42578125" bestFit="1" customWidth="1"/>
    <col min="8289" max="8289" width="11.5703125" bestFit="1" customWidth="1"/>
    <col min="8290" max="8290" width="5.28515625" bestFit="1" customWidth="1"/>
    <col min="8291" max="8293" width="11.5703125" bestFit="1" customWidth="1"/>
    <col min="8294" max="8294" width="5.28515625" bestFit="1" customWidth="1"/>
    <col min="8295" max="8296" width="10.42578125" bestFit="1" customWidth="1"/>
    <col min="8297" max="8297" width="11.5703125" bestFit="1" customWidth="1"/>
    <col min="8298" max="8298" width="5.28515625" bestFit="1" customWidth="1"/>
    <col min="8299" max="8299" width="14.28515625" bestFit="1" customWidth="1"/>
    <col min="8300" max="8300" width="13" bestFit="1" customWidth="1"/>
    <col min="8301" max="8301" width="11.5703125" bestFit="1" customWidth="1"/>
    <col min="8302" max="8302" width="8.85546875" bestFit="1" customWidth="1"/>
    <col min="8303" max="8303" width="14.42578125" bestFit="1" customWidth="1"/>
    <col min="8304" max="8304" width="10.42578125" bestFit="1" customWidth="1"/>
    <col min="8305" max="8305" width="12.28515625" bestFit="1" customWidth="1"/>
    <col min="8306" max="8306" width="13.85546875" bestFit="1" customWidth="1"/>
    <col min="8307" max="8307" width="11.28515625" customWidth="1"/>
    <col min="8308" max="8308" width="11.5703125" customWidth="1"/>
    <col min="8309" max="8309" width="13.42578125" bestFit="1" customWidth="1"/>
    <col min="8310" max="8310" width="10.42578125" customWidth="1"/>
    <col min="8311" max="8311" width="13.85546875" bestFit="1" customWidth="1"/>
    <col min="8312" max="8312" width="15.42578125" bestFit="1" customWidth="1"/>
    <col min="8313" max="8313" width="12.28515625" bestFit="1" customWidth="1"/>
    <col min="8314" max="8314" width="12.7109375" customWidth="1"/>
    <col min="8315" max="8315" width="10.7109375" bestFit="1" customWidth="1"/>
    <col min="8316" max="8316" width="9.85546875" customWidth="1"/>
    <col min="8317" max="8318" width="10.140625" bestFit="1" customWidth="1"/>
    <col min="8319" max="8319" width="7.5703125" bestFit="1" customWidth="1"/>
    <col min="8320" max="8320" width="9.42578125" bestFit="1" customWidth="1"/>
    <col min="8321" max="8321" width="14.5703125" bestFit="1" customWidth="1"/>
    <col min="8322" max="8322" width="14.85546875" customWidth="1"/>
    <col min="8323" max="8323" width="15.140625" bestFit="1" customWidth="1"/>
    <col min="8324" max="8324" width="12.140625" bestFit="1" customWidth="1"/>
    <col min="8325" max="8325" width="14.85546875" bestFit="1" customWidth="1"/>
    <col min="8326" max="8326" width="12.28515625" bestFit="1" customWidth="1"/>
    <col min="8327" max="8335" width="9.140625" hidden="1" customWidth="1"/>
    <col min="8336" max="8336" width="5.28515625" bestFit="1" customWidth="1"/>
    <col min="8337" max="8342" width="11.5703125" bestFit="1" customWidth="1"/>
    <col min="8343" max="8343" width="11.28515625" bestFit="1" customWidth="1"/>
    <col min="8344" max="8344" width="10.140625" bestFit="1" customWidth="1"/>
    <col min="8345" max="8345" width="11.5703125" bestFit="1" customWidth="1"/>
    <col min="8346" max="8346" width="16.140625" customWidth="1"/>
    <col min="8347" max="8347" width="13.42578125" customWidth="1"/>
    <col min="8348" max="8348" width="10.140625" bestFit="1" customWidth="1"/>
    <col min="8349" max="8349" width="12.85546875" bestFit="1" customWidth="1"/>
    <col min="8350" max="8350" width="12.28515625" bestFit="1" customWidth="1"/>
    <col min="8351" max="8351" width="11.28515625" bestFit="1" customWidth="1"/>
    <col min="8352" max="8352" width="11.5703125" bestFit="1" customWidth="1"/>
    <col min="8353" max="8353" width="10.85546875" bestFit="1" customWidth="1"/>
    <col min="8354" max="8354" width="11.28515625" bestFit="1" customWidth="1"/>
    <col min="8355" max="8355" width="10.140625" bestFit="1" customWidth="1"/>
    <col min="8356" max="8356" width="13.28515625" bestFit="1" customWidth="1"/>
    <col min="8357" max="8358" width="12.7109375" bestFit="1" customWidth="1"/>
    <col min="8359" max="8359" width="11" bestFit="1" customWidth="1"/>
    <col min="8360" max="8360" width="11.28515625" bestFit="1" customWidth="1"/>
    <col min="8361" max="8361" width="11.5703125" bestFit="1" customWidth="1"/>
    <col min="8362" max="8362" width="12.28515625" bestFit="1" customWidth="1"/>
    <col min="8363" max="8363" width="15.140625" bestFit="1" customWidth="1"/>
    <col min="8364" max="8364" width="14.42578125" bestFit="1" customWidth="1"/>
    <col min="8365" max="8365" width="12.28515625" bestFit="1" customWidth="1"/>
    <col min="8366" max="8366" width="15.140625" bestFit="1" customWidth="1"/>
    <col min="8367" max="8367" width="14.42578125" bestFit="1" customWidth="1"/>
    <col min="8368" max="8368" width="12.28515625" bestFit="1" customWidth="1"/>
    <col min="8369" max="8369" width="14.42578125" bestFit="1" customWidth="1"/>
    <col min="8370" max="8370" width="11.28515625" bestFit="1" customWidth="1"/>
    <col min="8371" max="8371" width="12.28515625" bestFit="1" customWidth="1"/>
    <col min="8372" max="8372" width="13" bestFit="1" customWidth="1"/>
    <col min="8373" max="8373" width="15.140625" bestFit="1" customWidth="1"/>
    <col min="8374" max="8374" width="12.28515625" bestFit="1" customWidth="1"/>
    <col min="8375" max="8375" width="13.85546875" bestFit="1" customWidth="1"/>
    <col min="8376" max="8376" width="11.28515625" bestFit="1" customWidth="1"/>
    <col min="8377" max="8377" width="12.28515625" bestFit="1" customWidth="1"/>
    <col min="8378" max="8378" width="13.85546875" bestFit="1" customWidth="1"/>
    <col min="8379" max="8380" width="15.140625" bestFit="1" customWidth="1"/>
    <col min="8381" max="8381" width="12.28515625" bestFit="1" customWidth="1"/>
    <col min="8382" max="8382" width="5.7109375" bestFit="1" customWidth="1"/>
    <col min="8383" max="8383" width="8.5703125" bestFit="1" customWidth="1"/>
    <col min="8384" max="8384" width="5.5703125" bestFit="1" customWidth="1"/>
    <col min="8385" max="8385" width="14.42578125" bestFit="1" customWidth="1"/>
    <col min="8386" max="8386" width="11.28515625" bestFit="1" customWidth="1"/>
    <col min="8387" max="8388" width="12.28515625" bestFit="1" customWidth="1"/>
    <col min="8389" max="8389" width="11.28515625" bestFit="1" customWidth="1"/>
    <col min="8390" max="8390" width="13.85546875" bestFit="1" customWidth="1"/>
    <col min="8391" max="8391" width="12" bestFit="1" customWidth="1"/>
    <col min="8392" max="8392" width="13.85546875" bestFit="1" customWidth="1"/>
    <col min="8393" max="8394" width="14.42578125" customWidth="1"/>
    <col min="8395" max="8395" width="10.140625" bestFit="1" customWidth="1"/>
    <col min="8396" max="8396" width="12.28515625" bestFit="1" customWidth="1"/>
    <col min="8397" max="8397" width="7.42578125" bestFit="1" customWidth="1"/>
    <col min="8398" max="8398" width="8.5703125" bestFit="1" customWidth="1"/>
    <col min="8399" max="8399" width="11.5703125" bestFit="1" customWidth="1"/>
    <col min="8400" max="8400" width="13.28515625" bestFit="1" customWidth="1"/>
    <col min="8401" max="8401" width="13.28515625" customWidth="1"/>
    <col min="8402" max="8402" width="13.140625" customWidth="1"/>
    <col min="8403" max="8403" width="12.7109375" bestFit="1" customWidth="1"/>
    <col min="8404" max="8404" width="13.28515625" bestFit="1" customWidth="1"/>
    <col min="8405" max="8407" width="13.28515625" customWidth="1"/>
    <col min="8408" max="8408" width="12.140625" bestFit="1" customWidth="1"/>
    <col min="8409" max="8409" width="12.7109375" bestFit="1" customWidth="1"/>
    <col min="8410" max="8410" width="11" customWidth="1"/>
    <col min="8411" max="8411" width="16.7109375" customWidth="1"/>
    <col min="8412" max="8412" width="17" customWidth="1"/>
    <col min="8413" max="8413" width="10.42578125" bestFit="1" customWidth="1"/>
    <col min="8457" max="8457" width="3.85546875" customWidth="1"/>
    <col min="8458" max="8458" width="15.28515625" bestFit="1" customWidth="1"/>
    <col min="8459" max="8459" width="12.28515625" customWidth="1"/>
    <col min="8460" max="8460" width="16.28515625" bestFit="1" customWidth="1"/>
    <col min="8461" max="8461" width="6.42578125" bestFit="1" customWidth="1"/>
    <col min="8462" max="8462" width="9.28515625" bestFit="1" customWidth="1"/>
    <col min="8463" max="8463" width="7.5703125" bestFit="1" customWidth="1"/>
    <col min="8464" max="8464" width="13.28515625" bestFit="1" customWidth="1"/>
    <col min="8465" max="8465" width="9.28515625" bestFit="1" customWidth="1"/>
    <col min="8466" max="8466" width="11.5703125" bestFit="1" customWidth="1"/>
    <col min="8467" max="8467" width="13.28515625" bestFit="1" customWidth="1"/>
    <col min="8468" max="8468" width="7.140625" bestFit="1" customWidth="1"/>
    <col min="8469" max="8469" width="12" bestFit="1" customWidth="1"/>
    <col min="8470" max="8470" width="13.28515625" bestFit="1" customWidth="1"/>
    <col min="8471" max="8471" width="7" bestFit="1" customWidth="1"/>
    <col min="8472" max="8472" width="12.7109375" bestFit="1" customWidth="1"/>
    <col min="8473" max="8473" width="11.5703125" bestFit="1" customWidth="1"/>
    <col min="8474" max="8474" width="10.5703125" bestFit="1" customWidth="1"/>
    <col min="8475" max="8476" width="15.7109375" bestFit="1" customWidth="1"/>
    <col min="8477" max="8477" width="11.5703125" bestFit="1" customWidth="1"/>
    <col min="8478" max="8478" width="7.7109375" bestFit="1" customWidth="1"/>
    <col min="8479" max="8479" width="15.140625" bestFit="1" customWidth="1"/>
    <col min="8480" max="8480" width="11.5703125" bestFit="1" customWidth="1"/>
    <col min="8481" max="8481" width="13.28515625" bestFit="1" customWidth="1"/>
    <col min="8482" max="8482" width="10.42578125" bestFit="1" customWidth="1"/>
    <col min="8483" max="8483" width="13.28515625" bestFit="1" customWidth="1"/>
    <col min="8484" max="8484" width="12.140625" bestFit="1" customWidth="1"/>
    <col min="8485" max="8485" width="14.42578125" bestFit="1" customWidth="1"/>
    <col min="8486" max="8486" width="13.28515625" bestFit="1" customWidth="1"/>
    <col min="8487" max="8487" width="11.5703125" bestFit="1" customWidth="1"/>
    <col min="8488" max="8488" width="7.7109375" bestFit="1" customWidth="1"/>
    <col min="8489" max="8490" width="14.42578125" bestFit="1" customWidth="1"/>
    <col min="8491" max="8491" width="11.5703125" bestFit="1" customWidth="1"/>
    <col min="8492" max="8492" width="7.7109375" bestFit="1" customWidth="1"/>
    <col min="8493" max="8493" width="13.5703125" customWidth="1"/>
    <col min="8494" max="8494" width="15.28515625" customWidth="1"/>
    <col min="8495" max="8495" width="14.5703125" customWidth="1"/>
    <col min="8496" max="8496" width="13.28515625" bestFit="1" customWidth="1"/>
    <col min="8497" max="8497" width="7.7109375" bestFit="1" customWidth="1"/>
    <col min="8498" max="8498" width="12.7109375" bestFit="1" customWidth="1"/>
    <col min="8499" max="8499" width="11.7109375" bestFit="1" customWidth="1"/>
    <col min="8500" max="8500" width="11.5703125" bestFit="1" customWidth="1"/>
    <col min="8501" max="8501" width="5.28515625" bestFit="1" customWidth="1"/>
    <col min="8502" max="8502" width="13.28515625" bestFit="1" customWidth="1"/>
    <col min="8503" max="8503" width="13.5703125" bestFit="1" customWidth="1"/>
    <col min="8504" max="8504" width="10.5703125" bestFit="1" customWidth="1"/>
    <col min="8505" max="8505" width="13.28515625" bestFit="1" customWidth="1"/>
    <col min="8506" max="8506" width="11.5703125" bestFit="1" customWidth="1"/>
    <col min="8507" max="8507" width="10.5703125" bestFit="1" customWidth="1"/>
    <col min="8508" max="8508" width="16.140625" bestFit="1" customWidth="1"/>
    <col min="8509" max="8510" width="11.28515625" bestFit="1" customWidth="1"/>
    <col min="8511" max="8511" width="13.28515625" bestFit="1" customWidth="1"/>
    <col min="8512" max="8512" width="7.7109375" bestFit="1" customWidth="1"/>
    <col min="8513" max="8516" width="9.140625" hidden="1" customWidth="1"/>
    <col min="8517" max="8517" width="10.42578125" bestFit="1" customWidth="1"/>
    <col min="8518" max="8518" width="10.5703125" bestFit="1" customWidth="1"/>
    <col min="8519" max="8519" width="10.42578125" bestFit="1" customWidth="1"/>
    <col min="8520" max="8520" width="10.5703125" bestFit="1" customWidth="1"/>
    <col min="8521" max="8521" width="9.5703125" bestFit="1" customWidth="1"/>
    <col min="8522" max="8522" width="11.5703125" bestFit="1" customWidth="1"/>
    <col min="8523" max="8523" width="10.42578125" bestFit="1" customWidth="1"/>
    <col min="8524" max="8524" width="10.85546875" customWidth="1"/>
    <col min="8525" max="8526" width="9.85546875" bestFit="1" customWidth="1"/>
    <col min="8527" max="8527" width="13.5703125" bestFit="1" customWidth="1"/>
    <col min="8528" max="8528" width="7.7109375" bestFit="1" customWidth="1"/>
    <col min="8529" max="8529" width="13.28515625" bestFit="1" customWidth="1"/>
    <col min="8530" max="8530" width="11.5703125" bestFit="1" customWidth="1"/>
    <col min="8531" max="8531" width="10.42578125" bestFit="1" customWidth="1"/>
    <col min="8532" max="8532" width="7.7109375" bestFit="1" customWidth="1"/>
    <col min="8533" max="8533" width="11.5703125" bestFit="1" customWidth="1"/>
    <col min="8534" max="8534" width="10.85546875" bestFit="1" customWidth="1"/>
    <col min="8535" max="8535" width="13.28515625" bestFit="1" customWidth="1"/>
    <col min="8536" max="8536" width="10.85546875" bestFit="1" customWidth="1"/>
    <col min="8537" max="8538" width="7.5703125" bestFit="1" customWidth="1"/>
    <col min="8539" max="8540" width="10.42578125" bestFit="1" customWidth="1"/>
    <col min="8541" max="8541" width="11.5703125" bestFit="1" customWidth="1"/>
    <col min="8542" max="8542" width="5.28515625" bestFit="1" customWidth="1"/>
    <col min="8543" max="8543" width="10.28515625" bestFit="1" customWidth="1"/>
    <col min="8544" max="8544" width="10.42578125" bestFit="1" customWidth="1"/>
    <col min="8545" max="8545" width="11.5703125" bestFit="1" customWidth="1"/>
    <col min="8546" max="8546" width="5.28515625" bestFit="1" customWidth="1"/>
    <col min="8547" max="8549" width="11.5703125" bestFit="1" customWidth="1"/>
    <col min="8550" max="8550" width="5.28515625" bestFit="1" customWidth="1"/>
    <col min="8551" max="8552" width="10.42578125" bestFit="1" customWidth="1"/>
    <col min="8553" max="8553" width="11.5703125" bestFit="1" customWidth="1"/>
    <col min="8554" max="8554" width="5.28515625" bestFit="1" customWidth="1"/>
    <col min="8555" max="8555" width="14.28515625" bestFit="1" customWidth="1"/>
    <col min="8556" max="8556" width="13" bestFit="1" customWidth="1"/>
    <col min="8557" max="8557" width="11.5703125" bestFit="1" customWidth="1"/>
    <col min="8558" max="8558" width="8.85546875" bestFit="1" customWidth="1"/>
    <col min="8559" max="8559" width="14.42578125" bestFit="1" customWidth="1"/>
    <col min="8560" max="8560" width="10.42578125" bestFit="1" customWidth="1"/>
    <col min="8561" max="8561" width="12.28515625" bestFit="1" customWidth="1"/>
    <col min="8562" max="8562" width="13.85546875" bestFit="1" customWidth="1"/>
    <col min="8563" max="8563" width="11.28515625" customWidth="1"/>
    <col min="8564" max="8564" width="11.5703125" customWidth="1"/>
    <col min="8565" max="8565" width="13.42578125" bestFit="1" customWidth="1"/>
    <col min="8566" max="8566" width="10.42578125" customWidth="1"/>
    <col min="8567" max="8567" width="13.85546875" bestFit="1" customWidth="1"/>
    <col min="8568" max="8568" width="15.42578125" bestFit="1" customWidth="1"/>
    <col min="8569" max="8569" width="12.28515625" bestFit="1" customWidth="1"/>
    <col min="8570" max="8570" width="12.7109375" customWidth="1"/>
    <col min="8571" max="8571" width="10.7109375" bestFit="1" customWidth="1"/>
    <col min="8572" max="8572" width="9.85546875" customWidth="1"/>
    <col min="8573" max="8574" width="10.140625" bestFit="1" customWidth="1"/>
    <col min="8575" max="8575" width="7.5703125" bestFit="1" customWidth="1"/>
    <col min="8576" max="8576" width="9.42578125" bestFit="1" customWidth="1"/>
    <col min="8577" max="8577" width="14.5703125" bestFit="1" customWidth="1"/>
    <col min="8578" max="8578" width="14.85546875" customWidth="1"/>
    <col min="8579" max="8579" width="15.140625" bestFit="1" customWidth="1"/>
    <col min="8580" max="8580" width="12.140625" bestFit="1" customWidth="1"/>
    <col min="8581" max="8581" width="14.85546875" bestFit="1" customWidth="1"/>
    <col min="8582" max="8582" width="12.28515625" bestFit="1" customWidth="1"/>
    <col min="8583" max="8591" width="9.140625" hidden="1" customWidth="1"/>
    <col min="8592" max="8592" width="5.28515625" bestFit="1" customWidth="1"/>
    <col min="8593" max="8598" width="11.5703125" bestFit="1" customWidth="1"/>
    <col min="8599" max="8599" width="11.28515625" bestFit="1" customWidth="1"/>
    <col min="8600" max="8600" width="10.140625" bestFit="1" customWidth="1"/>
    <col min="8601" max="8601" width="11.5703125" bestFit="1" customWidth="1"/>
    <col min="8602" max="8602" width="16.140625" customWidth="1"/>
    <col min="8603" max="8603" width="13.42578125" customWidth="1"/>
    <col min="8604" max="8604" width="10.140625" bestFit="1" customWidth="1"/>
    <col min="8605" max="8605" width="12.85546875" bestFit="1" customWidth="1"/>
    <col min="8606" max="8606" width="12.28515625" bestFit="1" customWidth="1"/>
    <col min="8607" max="8607" width="11.28515625" bestFit="1" customWidth="1"/>
    <col min="8608" max="8608" width="11.5703125" bestFit="1" customWidth="1"/>
    <col min="8609" max="8609" width="10.85546875" bestFit="1" customWidth="1"/>
    <col min="8610" max="8610" width="11.28515625" bestFit="1" customWidth="1"/>
    <col min="8611" max="8611" width="10.140625" bestFit="1" customWidth="1"/>
    <col min="8612" max="8612" width="13.28515625" bestFit="1" customWidth="1"/>
    <col min="8613" max="8614" width="12.7109375" bestFit="1" customWidth="1"/>
    <col min="8615" max="8615" width="11" bestFit="1" customWidth="1"/>
    <col min="8616" max="8616" width="11.28515625" bestFit="1" customWidth="1"/>
    <col min="8617" max="8617" width="11.5703125" bestFit="1" customWidth="1"/>
    <col min="8618" max="8618" width="12.28515625" bestFit="1" customWidth="1"/>
    <col min="8619" max="8619" width="15.140625" bestFit="1" customWidth="1"/>
    <col min="8620" max="8620" width="14.42578125" bestFit="1" customWidth="1"/>
    <col min="8621" max="8621" width="12.28515625" bestFit="1" customWidth="1"/>
    <col min="8622" max="8622" width="15.140625" bestFit="1" customWidth="1"/>
    <col min="8623" max="8623" width="14.42578125" bestFit="1" customWidth="1"/>
    <col min="8624" max="8624" width="12.28515625" bestFit="1" customWidth="1"/>
    <col min="8625" max="8625" width="14.42578125" bestFit="1" customWidth="1"/>
    <col min="8626" max="8626" width="11.28515625" bestFit="1" customWidth="1"/>
    <col min="8627" max="8627" width="12.28515625" bestFit="1" customWidth="1"/>
    <col min="8628" max="8628" width="13" bestFit="1" customWidth="1"/>
    <col min="8629" max="8629" width="15.140625" bestFit="1" customWidth="1"/>
    <col min="8630" max="8630" width="12.28515625" bestFit="1" customWidth="1"/>
    <col min="8631" max="8631" width="13.85546875" bestFit="1" customWidth="1"/>
    <col min="8632" max="8632" width="11.28515625" bestFit="1" customWidth="1"/>
    <col min="8633" max="8633" width="12.28515625" bestFit="1" customWidth="1"/>
    <col min="8634" max="8634" width="13.85546875" bestFit="1" customWidth="1"/>
    <col min="8635" max="8636" width="15.140625" bestFit="1" customWidth="1"/>
    <col min="8637" max="8637" width="12.28515625" bestFit="1" customWidth="1"/>
    <col min="8638" max="8638" width="5.7109375" bestFit="1" customWidth="1"/>
    <col min="8639" max="8639" width="8.5703125" bestFit="1" customWidth="1"/>
    <col min="8640" max="8640" width="5.5703125" bestFit="1" customWidth="1"/>
    <col min="8641" max="8641" width="14.42578125" bestFit="1" customWidth="1"/>
    <col min="8642" max="8642" width="11.28515625" bestFit="1" customWidth="1"/>
    <col min="8643" max="8644" width="12.28515625" bestFit="1" customWidth="1"/>
    <col min="8645" max="8645" width="11.28515625" bestFit="1" customWidth="1"/>
    <col min="8646" max="8646" width="13.85546875" bestFit="1" customWidth="1"/>
    <col min="8647" max="8647" width="12" bestFit="1" customWidth="1"/>
    <col min="8648" max="8648" width="13.85546875" bestFit="1" customWidth="1"/>
    <col min="8649" max="8650" width="14.42578125" customWidth="1"/>
    <col min="8651" max="8651" width="10.140625" bestFit="1" customWidth="1"/>
    <col min="8652" max="8652" width="12.28515625" bestFit="1" customWidth="1"/>
    <col min="8653" max="8653" width="7.42578125" bestFit="1" customWidth="1"/>
    <col min="8654" max="8654" width="8.5703125" bestFit="1" customWidth="1"/>
    <col min="8655" max="8655" width="11.5703125" bestFit="1" customWidth="1"/>
    <col min="8656" max="8656" width="13.28515625" bestFit="1" customWidth="1"/>
    <col min="8657" max="8657" width="13.28515625" customWidth="1"/>
    <col min="8658" max="8658" width="13.140625" customWidth="1"/>
    <col min="8659" max="8659" width="12.7109375" bestFit="1" customWidth="1"/>
    <col min="8660" max="8660" width="13.28515625" bestFit="1" customWidth="1"/>
    <col min="8661" max="8663" width="13.28515625" customWidth="1"/>
    <col min="8664" max="8664" width="12.140625" bestFit="1" customWidth="1"/>
    <col min="8665" max="8665" width="12.7109375" bestFit="1" customWidth="1"/>
    <col min="8666" max="8666" width="11" customWidth="1"/>
    <col min="8667" max="8667" width="16.7109375" customWidth="1"/>
    <col min="8668" max="8668" width="17" customWidth="1"/>
    <col min="8669" max="8669" width="10.42578125" bestFit="1" customWidth="1"/>
    <col min="8713" max="8713" width="3.85546875" customWidth="1"/>
    <col min="8714" max="8714" width="15.28515625" bestFit="1" customWidth="1"/>
    <col min="8715" max="8715" width="12.28515625" customWidth="1"/>
    <col min="8716" max="8716" width="16.28515625" bestFit="1" customWidth="1"/>
    <col min="8717" max="8717" width="6.42578125" bestFit="1" customWidth="1"/>
    <col min="8718" max="8718" width="9.28515625" bestFit="1" customWidth="1"/>
    <col min="8719" max="8719" width="7.5703125" bestFit="1" customWidth="1"/>
    <col min="8720" max="8720" width="13.28515625" bestFit="1" customWidth="1"/>
    <col min="8721" max="8721" width="9.28515625" bestFit="1" customWidth="1"/>
    <col min="8722" max="8722" width="11.5703125" bestFit="1" customWidth="1"/>
    <col min="8723" max="8723" width="13.28515625" bestFit="1" customWidth="1"/>
    <col min="8724" max="8724" width="7.140625" bestFit="1" customWidth="1"/>
    <col min="8725" max="8725" width="12" bestFit="1" customWidth="1"/>
    <col min="8726" max="8726" width="13.28515625" bestFit="1" customWidth="1"/>
    <col min="8727" max="8727" width="7" bestFit="1" customWidth="1"/>
    <col min="8728" max="8728" width="12.7109375" bestFit="1" customWidth="1"/>
    <col min="8729" max="8729" width="11.5703125" bestFit="1" customWidth="1"/>
    <col min="8730" max="8730" width="10.5703125" bestFit="1" customWidth="1"/>
    <col min="8731" max="8732" width="15.7109375" bestFit="1" customWidth="1"/>
    <col min="8733" max="8733" width="11.5703125" bestFit="1" customWidth="1"/>
    <col min="8734" max="8734" width="7.7109375" bestFit="1" customWidth="1"/>
    <col min="8735" max="8735" width="15.140625" bestFit="1" customWidth="1"/>
    <col min="8736" max="8736" width="11.5703125" bestFit="1" customWidth="1"/>
    <col min="8737" max="8737" width="13.28515625" bestFit="1" customWidth="1"/>
    <col min="8738" max="8738" width="10.42578125" bestFit="1" customWidth="1"/>
    <col min="8739" max="8739" width="13.28515625" bestFit="1" customWidth="1"/>
    <col min="8740" max="8740" width="12.140625" bestFit="1" customWidth="1"/>
    <col min="8741" max="8741" width="14.42578125" bestFit="1" customWidth="1"/>
    <col min="8742" max="8742" width="13.28515625" bestFit="1" customWidth="1"/>
    <col min="8743" max="8743" width="11.5703125" bestFit="1" customWidth="1"/>
    <col min="8744" max="8744" width="7.7109375" bestFit="1" customWidth="1"/>
    <col min="8745" max="8746" width="14.42578125" bestFit="1" customWidth="1"/>
    <col min="8747" max="8747" width="11.5703125" bestFit="1" customWidth="1"/>
    <col min="8748" max="8748" width="7.7109375" bestFit="1" customWidth="1"/>
    <col min="8749" max="8749" width="13.5703125" customWidth="1"/>
    <col min="8750" max="8750" width="15.28515625" customWidth="1"/>
    <col min="8751" max="8751" width="14.5703125" customWidth="1"/>
    <col min="8752" max="8752" width="13.28515625" bestFit="1" customWidth="1"/>
    <col min="8753" max="8753" width="7.7109375" bestFit="1" customWidth="1"/>
    <col min="8754" max="8754" width="12.7109375" bestFit="1" customWidth="1"/>
    <col min="8755" max="8755" width="11.7109375" bestFit="1" customWidth="1"/>
    <col min="8756" max="8756" width="11.5703125" bestFit="1" customWidth="1"/>
    <col min="8757" max="8757" width="5.28515625" bestFit="1" customWidth="1"/>
    <col min="8758" max="8758" width="13.28515625" bestFit="1" customWidth="1"/>
    <col min="8759" max="8759" width="13.5703125" bestFit="1" customWidth="1"/>
    <col min="8760" max="8760" width="10.5703125" bestFit="1" customWidth="1"/>
    <col min="8761" max="8761" width="13.28515625" bestFit="1" customWidth="1"/>
    <col min="8762" max="8762" width="11.5703125" bestFit="1" customWidth="1"/>
    <col min="8763" max="8763" width="10.5703125" bestFit="1" customWidth="1"/>
    <col min="8764" max="8764" width="16.140625" bestFit="1" customWidth="1"/>
    <col min="8765" max="8766" width="11.28515625" bestFit="1" customWidth="1"/>
    <col min="8767" max="8767" width="13.28515625" bestFit="1" customWidth="1"/>
    <col min="8768" max="8768" width="7.7109375" bestFit="1" customWidth="1"/>
    <col min="8769" max="8772" width="9.140625" hidden="1" customWidth="1"/>
    <col min="8773" max="8773" width="10.42578125" bestFit="1" customWidth="1"/>
    <col min="8774" max="8774" width="10.5703125" bestFit="1" customWidth="1"/>
    <col min="8775" max="8775" width="10.42578125" bestFit="1" customWidth="1"/>
    <col min="8776" max="8776" width="10.5703125" bestFit="1" customWidth="1"/>
    <col min="8777" max="8777" width="9.5703125" bestFit="1" customWidth="1"/>
    <col min="8778" max="8778" width="11.5703125" bestFit="1" customWidth="1"/>
    <col min="8779" max="8779" width="10.42578125" bestFit="1" customWidth="1"/>
    <col min="8780" max="8780" width="10.85546875" customWidth="1"/>
    <col min="8781" max="8782" width="9.85546875" bestFit="1" customWidth="1"/>
    <col min="8783" max="8783" width="13.5703125" bestFit="1" customWidth="1"/>
    <col min="8784" max="8784" width="7.7109375" bestFit="1" customWidth="1"/>
    <col min="8785" max="8785" width="13.28515625" bestFit="1" customWidth="1"/>
    <col min="8786" max="8786" width="11.5703125" bestFit="1" customWidth="1"/>
    <col min="8787" max="8787" width="10.42578125" bestFit="1" customWidth="1"/>
    <col min="8788" max="8788" width="7.7109375" bestFit="1" customWidth="1"/>
    <col min="8789" max="8789" width="11.5703125" bestFit="1" customWidth="1"/>
    <col min="8790" max="8790" width="10.85546875" bestFit="1" customWidth="1"/>
    <col min="8791" max="8791" width="13.28515625" bestFit="1" customWidth="1"/>
    <col min="8792" max="8792" width="10.85546875" bestFit="1" customWidth="1"/>
    <col min="8793" max="8794" width="7.5703125" bestFit="1" customWidth="1"/>
    <col min="8795" max="8796" width="10.42578125" bestFit="1" customWidth="1"/>
    <col min="8797" max="8797" width="11.5703125" bestFit="1" customWidth="1"/>
    <col min="8798" max="8798" width="5.28515625" bestFit="1" customWidth="1"/>
    <col min="8799" max="8799" width="10.28515625" bestFit="1" customWidth="1"/>
    <col min="8800" max="8800" width="10.42578125" bestFit="1" customWidth="1"/>
    <col min="8801" max="8801" width="11.5703125" bestFit="1" customWidth="1"/>
    <col min="8802" max="8802" width="5.28515625" bestFit="1" customWidth="1"/>
    <col min="8803" max="8805" width="11.5703125" bestFit="1" customWidth="1"/>
    <col min="8806" max="8806" width="5.28515625" bestFit="1" customWidth="1"/>
    <col min="8807" max="8808" width="10.42578125" bestFit="1" customWidth="1"/>
    <col min="8809" max="8809" width="11.5703125" bestFit="1" customWidth="1"/>
    <col min="8810" max="8810" width="5.28515625" bestFit="1" customWidth="1"/>
    <col min="8811" max="8811" width="14.28515625" bestFit="1" customWidth="1"/>
    <col min="8812" max="8812" width="13" bestFit="1" customWidth="1"/>
    <col min="8813" max="8813" width="11.5703125" bestFit="1" customWidth="1"/>
    <col min="8814" max="8814" width="8.85546875" bestFit="1" customWidth="1"/>
    <col min="8815" max="8815" width="14.42578125" bestFit="1" customWidth="1"/>
    <col min="8816" max="8816" width="10.42578125" bestFit="1" customWidth="1"/>
    <col min="8817" max="8817" width="12.28515625" bestFit="1" customWidth="1"/>
    <col min="8818" max="8818" width="13.85546875" bestFit="1" customWidth="1"/>
    <col min="8819" max="8819" width="11.28515625" customWidth="1"/>
    <col min="8820" max="8820" width="11.5703125" customWidth="1"/>
    <col min="8821" max="8821" width="13.42578125" bestFit="1" customWidth="1"/>
    <col min="8822" max="8822" width="10.42578125" customWidth="1"/>
    <col min="8823" max="8823" width="13.85546875" bestFit="1" customWidth="1"/>
    <col min="8824" max="8824" width="15.42578125" bestFit="1" customWidth="1"/>
    <col min="8825" max="8825" width="12.28515625" bestFit="1" customWidth="1"/>
    <col min="8826" max="8826" width="12.7109375" customWidth="1"/>
    <col min="8827" max="8827" width="10.7109375" bestFit="1" customWidth="1"/>
    <col min="8828" max="8828" width="9.85546875" customWidth="1"/>
    <col min="8829" max="8830" width="10.140625" bestFit="1" customWidth="1"/>
    <col min="8831" max="8831" width="7.5703125" bestFit="1" customWidth="1"/>
    <col min="8832" max="8832" width="9.42578125" bestFit="1" customWidth="1"/>
    <col min="8833" max="8833" width="14.5703125" bestFit="1" customWidth="1"/>
    <col min="8834" max="8834" width="14.85546875" customWidth="1"/>
    <col min="8835" max="8835" width="15.140625" bestFit="1" customWidth="1"/>
    <col min="8836" max="8836" width="12.140625" bestFit="1" customWidth="1"/>
    <col min="8837" max="8837" width="14.85546875" bestFit="1" customWidth="1"/>
    <col min="8838" max="8838" width="12.28515625" bestFit="1" customWidth="1"/>
    <col min="8839" max="8847" width="9.140625" hidden="1" customWidth="1"/>
    <col min="8848" max="8848" width="5.28515625" bestFit="1" customWidth="1"/>
    <col min="8849" max="8854" width="11.5703125" bestFit="1" customWidth="1"/>
    <col min="8855" max="8855" width="11.28515625" bestFit="1" customWidth="1"/>
    <col min="8856" max="8856" width="10.140625" bestFit="1" customWidth="1"/>
    <col min="8857" max="8857" width="11.5703125" bestFit="1" customWidth="1"/>
    <col min="8858" max="8858" width="16.140625" customWidth="1"/>
    <col min="8859" max="8859" width="13.42578125" customWidth="1"/>
    <col min="8860" max="8860" width="10.140625" bestFit="1" customWidth="1"/>
    <col min="8861" max="8861" width="12.85546875" bestFit="1" customWidth="1"/>
    <col min="8862" max="8862" width="12.28515625" bestFit="1" customWidth="1"/>
    <col min="8863" max="8863" width="11.28515625" bestFit="1" customWidth="1"/>
    <col min="8864" max="8864" width="11.5703125" bestFit="1" customWidth="1"/>
    <col min="8865" max="8865" width="10.85546875" bestFit="1" customWidth="1"/>
    <col min="8866" max="8866" width="11.28515625" bestFit="1" customWidth="1"/>
    <col min="8867" max="8867" width="10.140625" bestFit="1" customWidth="1"/>
    <col min="8868" max="8868" width="13.28515625" bestFit="1" customWidth="1"/>
    <col min="8869" max="8870" width="12.7109375" bestFit="1" customWidth="1"/>
    <col min="8871" max="8871" width="11" bestFit="1" customWidth="1"/>
    <col min="8872" max="8872" width="11.28515625" bestFit="1" customWidth="1"/>
    <col min="8873" max="8873" width="11.5703125" bestFit="1" customWidth="1"/>
    <col min="8874" max="8874" width="12.28515625" bestFit="1" customWidth="1"/>
    <col min="8875" max="8875" width="15.140625" bestFit="1" customWidth="1"/>
    <col min="8876" max="8876" width="14.42578125" bestFit="1" customWidth="1"/>
    <col min="8877" max="8877" width="12.28515625" bestFit="1" customWidth="1"/>
    <col min="8878" max="8878" width="15.140625" bestFit="1" customWidth="1"/>
    <col min="8879" max="8879" width="14.42578125" bestFit="1" customWidth="1"/>
    <col min="8880" max="8880" width="12.28515625" bestFit="1" customWidth="1"/>
    <col min="8881" max="8881" width="14.42578125" bestFit="1" customWidth="1"/>
    <col min="8882" max="8882" width="11.28515625" bestFit="1" customWidth="1"/>
    <col min="8883" max="8883" width="12.28515625" bestFit="1" customWidth="1"/>
    <col min="8884" max="8884" width="13" bestFit="1" customWidth="1"/>
    <col min="8885" max="8885" width="15.140625" bestFit="1" customWidth="1"/>
    <col min="8886" max="8886" width="12.28515625" bestFit="1" customWidth="1"/>
    <col min="8887" max="8887" width="13.85546875" bestFit="1" customWidth="1"/>
    <col min="8888" max="8888" width="11.28515625" bestFit="1" customWidth="1"/>
    <col min="8889" max="8889" width="12.28515625" bestFit="1" customWidth="1"/>
    <col min="8890" max="8890" width="13.85546875" bestFit="1" customWidth="1"/>
    <col min="8891" max="8892" width="15.140625" bestFit="1" customWidth="1"/>
    <col min="8893" max="8893" width="12.28515625" bestFit="1" customWidth="1"/>
    <col min="8894" max="8894" width="5.7109375" bestFit="1" customWidth="1"/>
    <col min="8895" max="8895" width="8.5703125" bestFit="1" customWidth="1"/>
    <col min="8896" max="8896" width="5.5703125" bestFit="1" customWidth="1"/>
    <col min="8897" max="8897" width="14.42578125" bestFit="1" customWidth="1"/>
    <col min="8898" max="8898" width="11.28515625" bestFit="1" customWidth="1"/>
    <col min="8899" max="8900" width="12.28515625" bestFit="1" customWidth="1"/>
    <col min="8901" max="8901" width="11.28515625" bestFit="1" customWidth="1"/>
    <col min="8902" max="8902" width="13.85546875" bestFit="1" customWidth="1"/>
    <col min="8903" max="8903" width="12" bestFit="1" customWidth="1"/>
    <col min="8904" max="8904" width="13.85546875" bestFit="1" customWidth="1"/>
    <col min="8905" max="8906" width="14.42578125" customWidth="1"/>
    <col min="8907" max="8907" width="10.140625" bestFit="1" customWidth="1"/>
    <col min="8908" max="8908" width="12.28515625" bestFit="1" customWidth="1"/>
    <col min="8909" max="8909" width="7.42578125" bestFit="1" customWidth="1"/>
    <col min="8910" max="8910" width="8.5703125" bestFit="1" customWidth="1"/>
    <col min="8911" max="8911" width="11.5703125" bestFit="1" customWidth="1"/>
    <col min="8912" max="8912" width="13.28515625" bestFit="1" customWidth="1"/>
    <col min="8913" max="8913" width="13.28515625" customWidth="1"/>
    <col min="8914" max="8914" width="13.140625" customWidth="1"/>
    <col min="8915" max="8915" width="12.7109375" bestFit="1" customWidth="1"/>
    <col min="8916" max="8916" width="13.28515625" bestFit="1" customWidth="1"/>
    <col min="8917" max="8919" width="13.28515625" customWidth="1"/>
    <col min="8920" max="8920" width="12.140625" bestFit="1" customWidth="1"/>
    <col min="8921" max="8921" width="12.7109375" bestFit="1" customWidth="1"/>
    <col min="8922" max="8922" width="11" customWidth="1"/>
    <col min="8923" max="8923" width="16.7109375" customWidth="1"/>
    <col min="8924" max="8924" width="17" customWidth="1"/>
    <col min="8925" max="8925" width="10.42578125" bestFit="1" customWidth="1"/>
    <col min="8969" max="8969" width="3.85546875" customWidth="1"/>
    <col min="8970" max="8970" width="15.28515625" bestFit="1" customWidth="1"/>
    <col min="8971" max="8971" width="12.28515625" customWidth="1"/>
    <col min="8972" max="8972" width="16.28515625" bestFit="1" customWidth="1"/>
    <col min="8973" max="8973" width="6.42578125" bestFit="1" customWidth="1"/>
    <col min="8974" max="8974" width="9.28515625" bestFit="1" customWidth="1"/>
    <col min="8975" max="8975" width="7.5703125" bestFit="1" customWidth="1"/>
    <col min="8976" max="8976" width="13.28515625" bestFit="1" customWidth="1"/>
    <col min="8977" max="8977" width="9.28515625" bestFit="1" customWidth="1"/>
    <col min="8978" max="8978" width="11.5703125" bestFit="1" customWidth="1"/>
    <col min="8979" max="8979" width="13.28515625" bestFit="1" customWidth="1"/>
    <col min="8980" max="8980" width="7.140625" bestFit="1" customWidth="1"/>
    <col min="8981" max="8981" width="12" bestFit="1" customWidth="1"/>
    <col min="8982" max="8982" width="13.28515625" bestFit="1" customWidth="1"/>
    <col min="8983" max="8983" width="7" bestFit="1" customWidth="1"/>
    <col min="8984" max="8984" width="12.7109375" bestFit="1" customWidth="1"/>
    <col min="8985" max="8985" width="11.5703125" bestFit="1" customWidth="1"/>
    <col min="8986" max="8986" width="10.5703125" bestFit="1" customWidth="1"/>
    <col min="8987" max="8988" width="15.7109375" bestFit="1" customWidth="1"/>
    <col min="8989" max="8989" width="11.5703125" bestFit="1" customWidth="1"/>
    <col min="8990" max="8990" width="7.7109375" bestFit="1" customWidth="1"/>
    <col min="8991" max="8991" width="15.140625" bestFit="1" customWidth="1"/>
    <col min="8992" max="8992" width="11.5703125" bestFit="1" customWidth="1"/>
    <col min="8993" max="8993" width="13.28515625" bestFit="1" customWidth="1"/>
    <col min="8994" max="8994" width="10.42578125" bestFit="1" customWidth="1"/>
    <col min="8995" max="8995" width="13.28515625" bestFit="1" customWidth="1"/>
    <col min="8996" max="8996" width="12.140625" bestFit="1" customWidth="1"/>
    <col min="8997" max="8997" width="14.42578125" bestFit="1" customWidth="1"/>
    <col min="8998" max="8998" width="13.28515625" bestFit="1" customWidth="1"/>
    <col min="8999" max="8999" width="11.5703125" bestFit="1" customWidth="1"/>
    <col min="9000" max="9000" width="7.7109375" bestFit="1" customWidth="1"/>
    <col min="9001" max="9002" width="14.42578125" bestFit="1" customWidth="1"/>
    <col min="9003" max="9003" width="11.5703125" bestFit="1" customWidth="1"/>
    <col min="9004" max="9004" width="7.7109375" bestFit="1" customWidth="1"/>
    <col min="9005" max="9005" width="13.5703125" customWidth="1"/>
    <col min="9006" max="9006" width="15.28515625" customWidth="1"/>
    <col min="9007" max="9007" width="14.5703125" customWidth="1"/>
    <col min="9008" max="9008" width="13.28515625" bestFit="1" customWidth="1"/>
    <col min="9009" max="9009" width="7.7109375" bestFit="1" customWidth="1"/>
    <col min="9010" max="9010" width="12.7109375" bestFit="1" customWidth="1"/>
    <col min="9011" max="9011" width="11.7109375" bestFit="1" customWidth="1"/>
    <col min="9012" max="9012" width="11.5703125" bestFit="1" customWidth="1"/>
    <col min="9013" max="9013" width="5.28515625" bestFit="1" customWidth="1"/>
    <col min="9014" max="9014" width="13.28515625" bestFit="1" customWidth="1"/>
    <col min="9015" max="9015" width="13.5703125" bestFit="1" customWidth="1"/>
    <col min="9016" max="9016" width="10.5703125" bestFit="1" customWidth="1"/>
    <col min="9017" max="9017" width="13.28515625" bestFit="1" customWidth="1"/>
    <col min="9018" max="9018" width="11.5703125" bestFit="1" customWidth="1"/>
    <col min="9019" max="9019" width="10.5703125" bestFit="1" customWidth="1"/>
    <col min="9020" max="9020" width="16.140625" bestFit="1" customWidth="1"/>
    <col min="9021" max="9022" width="11.28515625" bestFit="1" customWidth="1"/>
    <col min="9023" max="9023" width="13.28515625" bestFit="1" customWidth="1"/>
    <col min="9024" max="9024" width="7.7109375" bestFit="1" customWidth="1"/>
    <col min="9025" max="9028" width="9.140625" hidden="1" customWidth="1"/>
    <col min="9029" max="9029" width="10.42578125" bestFit="1" customWidth="1"/>
    <col min="9030" max="9030" width="10.5703125" bestFit="1" customWidth="1"/>
    <col min="9031" max="9031" width="10.42578125" bestFit="1" customWidth="1"/>
    <col min="9032" max="9032" width="10.5703125" bestFit="1" customWidth="1"/>
    <col min="9033" max="9033" width="9.5703125" bestFit="1" customWidth="1"/>
    <col min="9034" max="9034" width="11.5703125" bestFit="1" customWidth="1"/>
    <col min="9035" max="9035" width="10.42578125" bestFit="1" customWidth="1"/>
    <col min="9036" max="9036" width="10.85546875" customWidth="1"/>
    <col min="9037" max="9038" width="9.85546875" bestFit="1" customWidth="1"/>
    <col min="9039" max="9039" width="13.5703125" bestFit="1" customWidth="1"/>
    <col min="9040" max="9040" width="7.7109375" bestFit="1" customWidth="1"/>
    <col min="9041" max="9041" width="13.28515625" bestFit="1" customWidth="1"/>
    <col min="9042" max="9042" width="11.5703125" bestFit="1" customWidth="1"/>
    <col min="9043" max="9043" width="10.42578125" bestFit="1" customWidth="1"/>
    <col min="9044" max="9044" width="7.7109375" bestFit="1" customWidth="1"/>
    <col min="9045" max="9045" width="11.5703125" bestFit="1" customWidth="1"/>
    <col min="9046" max="9046" width="10.85546875" bestFit="1" customWidth="1"/>
    <col min="9047" max="9047" width="13.28515625" bestFit="1" customWidth="1"/>
    <col min="9048" max="9048" width="10.85546875" bestFit="1" customWidth="1"/>
    <col min="9049" max="9050" width="7.5703125" bestFit="1" customWidth="1"/>
    <col min="9051" max="9052" width="10.42578125" bestFit="1" customWidth="1"/>
    <col min="9053" max="9053" width="11.5703125" bestFit="1" customWidth="1"/>
    <col min="9054" max="9054" width="5.28515625" bestFit="1" customWidth="1"/>
    <col min="9055" max="9055" width="10.28515625" bestFit="1" customWidth="1"/>
    <col min="9056" max="9056" width="10.42578125" bestFit="1" customWidth="1"/>
    <col min="9057" max="9057" width="11.5703125" bestFit="1" customWidth="1"/>
    <col min="9058" max="9058" width="5.28515625" bestFit="1" customWidth="1"/>
    <col min="9059" max="9061" width="11.5703125" bestFit="1" customWidth="1"/>
    <col min="9062" max="9062" width="5.28515625" bestFit="1" customWidth="1"/>
    <col min="9063" max="9064" width="10.42578125" bestFit="1" customWidth="1"/>
    <col min="9065" max="9065" width="11.5703125" bestFit="1" customWidth="1"/>
    <col min="9066" max="9066" width="5.28515625" bestFit="1" customWidth="1"/>
    <col min="9067" max="9067" width="14.28515625" bestFit="1" customWidth="1"/>
    <col min="9068" max="9068" width="13" bestFit="1" customWidth="1"/>
    <col min="9069" max="9069" width="11.5703125" bestFit="1" customWidth="1"/>
    <col min="9070" max="9070" width="8.85546875" bestFit="1" customWidth="1"/>
    <col min="9071" max="9071" width="14.42578125" bestFit="1" customWidth="1"/>
    <col min="9072" max="9072" width="10.42578125" bestFit="1" customWidth="1"/>
    <col min="9073" max="9073" width="12.28515625" bestFit="1" customWidth="1"/>
    <col min="9074" max="9074" width="13.85546875" bestFit="1" customWidth="1"/>
    <col min="9075" max="9075" width="11.28515625" customWidth="1"/>
    <col min="9076" max="9076" width="11.5703125" customWidth="1"/>
    <col min="9077" max="9077" width="13.42578125" bestFit="1" customWidth="1"/>
    <col min="9078" max="9078" width="10.42578125" customWidth="1"/>
    <col min="9079" max="9079" width="13.85546875" bestFit="1" customWidth="1"/>
    <col min="9080" max="9080" width="15.42578125" bestFit="1" customWidth="1"/>
    <col min="9081" max="9081" width="12.28515625" bestFit="1" customWidth="1"/>
    <col min="9082" max="9082" width="12.7109375" customWidth="1"/>
    <col min="9083" max="9083" width="10.7109375" bestFit="1" customWidth="1"/>
    <col min="9084" max="9084" width="9.85546875" customWidth="1"/>
    <col min="9085" max="9086" width="10.140625" bestFit="1" customWidth="1"/>
    <col min="9087" max="9087" width="7.5703125" bestFit="1" customWidth="1"/>
    <col min="9088" max="9088" width="9.42578125" bestFit="1" customWidth="1"/>
    <col min="9089" max="9089" width="14.5703125" bestFit="1" customWidth="1"/>
    <col min="9090" max="9090" width="14.85546875" customWidth="1"/>
    <col min="9091" max="9091" width="15.140625" bestFit="1" customWidth="1"/>
    <col min="9092" max="9092" width="12.140625" bestFit="1" customWidth="1"/>
    <col min="9093" max="9093" width="14.85546875" bestFit="1" customWidth="1"/>
    <col min="9094" max="9094" width="12.28515625" bestFit="1" customWidth="1"/>
    <col min="9095" max="9103" width="9.140625" hidden="1" customWidth="1"/>
    <col min="9104" max="9104" width="5.28515625" bestFit="1" customWidth="1"/>
    <col min="9105" max="9110" width="11.5703125" bestFit="1" customWidth="1"/>
    <col min="9111" max="9111" width="11.28515625" bestFit="1" customWidth="1"/>
    <col min="9112" max="9112" width="10.140625" bestFit="1" customWidth="1"/>
    <col min="9113" max="9113" width="11.5703125" bestFit="1" customWidth="1"/>
    <col min="9114" max="9114" width="16.140625" customWidth="1"/>
    <col min="9115" max="9115" width="13.42578125" customWidth="1"/>
    <col min="9116" max="9116" width="10.140625" bestFit="1" customWidth="1"/>
    <col min="9117" max="9117" width="12.85546875" bestFit="1" customWidth="1"/>
    <col min="9118" max="9118" width="12.28515625" bestFit="1" customWidth="1"/>
    <col min="9119" max="9119" width="11.28515625" bestFit="1" customWidth="1"/>
    <col min="9120" max="9120" width="11.5703125" bestFit="1" customWidth="1"/>
    <col min="9121" max="9121" width="10.85546875" bestFit="1" customWidth="1"/>
    <col min="9122" max="9122" width="11.28515625" bestFit="1" customWidth="1"/>
    <col min="9123" max="9123" width="10.140625" bestFit="1" customWidth="1"/>
    <col min="9124" max="9124" width="13.28515625" bestFit="1" customWidth="1"/>
    <col min="9125" max="9126" width="12.7109375" bestFit="1" customWidth="1"/>
    <col min="9127" max="9127" width="11" bestFit="1" customWidth="1"/>
    <col min="9128" max="9128" width="11.28515625" bestFit="1" customWidth="1"/>
    <col min="9129" max="9129" width="11.5703125" bestFit="1" customWidth="1"/>
    <col min="9130" max="9130" width="12.28515625" bestFit="1" customWidth="1"/>
    <col min="9131" max="9131" width="15.140625" bestFit="1" customWidth="1"/>
    <col min="9132" max="9132" width="14.42578125" bestFit="1" customWidth="1"/>
    <col min="9133" max="9133" width="12.28515625" bestFit="1" customWidth="1"/>
    <col min="9134" max="9134" width="15.140625" bestFit="1" customWidth="1"/>
    <col min="9135" max="9135" width="14.42578125" bestFit="1" customWidth="1"/>
    <col min="9136" max="9136" width="12.28515625" bestFit="1" customWidth="1"/>
    <col min="9137" max="9137" width="14.42578125" bestFit="1" customWidth="1"/>
    <col min="9138" max="9138" width="11.28515625" bestFit="1" customWidth="1"/>
    <col min="9139" max="9139" width="12.28515625" bestFit="1" customWidth="1"/>
    <col min="9140" max="9140" width="13" bestFit="1" customWidth="1"/>
    <col min="9141" max="9141" width="15.140625" bestFit="1" customWidth="1"/>
    <col min="9142" max="9142" width="12.28515625" bestFit="1" customWidth="1"/>
    <col min="9143" max="9143" width="13.85546875" bestFit="1" customWidth="1"/>
    <col min="9144" max="9144" width="11.28515625" bestFit="1" customWidth="1"/>
    <col min="9145" max="9145" width="12.28515625" bestFit="1" customWidth="1"/>
    <col min="9146" max="9146" width="13.85546875" bestFit="1" customWidth="1"/>
    <col min="9147" max="9148" width="15.140625" bestFit="1" customWidth="1"/>
    <col min="9149" max="9149" width="12.28515625" bestFit="1" customWidth="1"/>
    <col min="9150" max="9150" width="5.7109375" bestFit="1" customWidth="1"/>
    <col min="9151" max="9151" width="8.5703125" bestFit="1" customWidth="1"/>
    <col min="9152" max="9152" width="5.5703125" bestFit="1" customWidth="1"/>
    <col min="9153" max="9153" width="14.42578125" bestFit="1" customWidth="1"/>
    <col min="9154" max="9154" width="11.28515625" bestFit="1" customWidth="1"/>
    <col min="9155" max="9156" width="12.28515625" bestFit="1" customWidth="1"/>
    <col min="9157" max="9157" width="11.28515625" bestFit="1" customWidth="1"/>
    <col min="9158" max="9158" width="13.85546875" bestFit="1" customWidth="1"/>
    <col min="9159" max="9159" width="12" bestFit="1" customWidth="1"/>
    <col min="9160" max="9160" width="13.85546875" bestFit="1" customWidth="1"/>
    <col min="9161" max="9162" width="14.42578125" customWidth="1"/>
    <col min="9163" max="9163" width="10.140625" bestFit="1" customWidth="1"/>
    <col min="9164" max="9164" width="12.28515625" bestFit="1" customWidth="1"/>
    <col min="9165" max="9165" width="7.42578125" bestFit="1" customWidth="1"/>
    <col min="9166" max="9166" width="8.5703125" bestFit="1" customWidth="1"/>
    <col min="9167" max="9167" width="11.5703125" bestFit="1" customWidth="1"/>
    <col min="9168" max="9168" width="13.28515625" bestFit="1" customWidth="1"/>
    <col min="9169" max="9169" width="13.28515625" customWidth="1"/>
    <col min="9170" max="9170" width="13.140625" customWidth="1"/>
    <col min="9171" max="9171" width="12.7109375" bestFit="1" customWidth="1"/>
    <col min="9172" max="9172" width="13.28515625" bestFit="1" customWidth="1"/>
    <col min="9173" max="9175" width="13.28515625" customWidth="1"/>
    <col min="9176" max="9176" width="12.140625" bestFit="1" customWidth="1"/>
    <col min="9177" max="9177" width="12.7109375" bestFit="1" customWidth="1"/>
    <col min="9178" max="9178" width="11" customWidth="1"/>
    <col min="9179" max="9179" width="16.7109375" customWidth="1"/>
    <col min="9180" max="9180" width="17" customWidth="1"/>
    <col min="9181" max="9181" width="10.42578125" bestFit="1" customWidth="1"/>
    <col min="9225" max="9225" width="3.85546875" customWidth="1"/>
    <col min="9226" max="9226" width="15.28515625" bestFit="1" customWidth="1"/>
    <col min="9227" max="9227" width="12.28515625" customWidth="1"/>
    <col min="9228" max="9228" width="16.28515625" bestFit="1" customWidth="1"/>
    <col min="9229" max="9229" width="6.42578125" bestFit="1" customWidth="1"/>
    <col min="9230" max="9230" width="9.28515625" bestFit="1" customWidth="1"/>
    <col min="9231" max="9231" width="7.5703125" bestFit="1" customWidth="1"/>
    <col min="9232" max="9232" width="13.28515625" bestFit="1" customWidth="1"/>
    <col min="9233" max="9233" width="9.28515625" bestFit="1" customWidth="1"/>
    <col min="9234" max="9234" width="11.5703125" bestFit="1" customWidth="1"/>
    <col min="9235" max="9235" width="13.28515625" bestFit="1" customWidth="1"/>
    <col min="9236" max="9236" width="7.140625" bestFit="1" customWidth="1"/>
    <col min="9237" max="9237" width="12" bestFit="1" customWidth="1"/>
    <col min="9238" max="9238" width="13.28515625" bestFit="1" customWidth="1"/>
    <col min="9239" max="9239" width="7" bestFit="1" customWidth="1"/>
    <col min="9240" max="9240" width="12.7109375" bestFit="1" customWidth="1"/>
    <col min="9241" max="9241" width="11.5703125" bestFit="1" customWidth="1"/>
    <col min="9242" max="9242" width="10.5703125" bestFit="1" customWidth="1"/>
    <col min="9243" max="9244" width="15.7109375" bestFit="1" customWidth="1"/>
    <col min="9245" max="9245" width="11.5703125" bestFit="1" customWidth="1"/>
    <col min="9246" max="9246" width="7.7109375" bestFit="1" customWidth="1"/>
    <col min="9247" max="9247" width="15.140625" bestFit="1" customWidth="1"/>
    <col min="9248" max="9248" width="11.5703125" bestFit="1" customWidth="1"/>
    <col min="9249" max="9249" width="13.28515625" bestFit="1" customWidth="1"/>
    <col min="9250" max="9250" width="10.42578125" bestFit="1" customWidth="1"/>
    <col min="9251" max="9251" width="13.28515625" bestFit="1" customWidth="1"/>
    <col min="9252" max="9252" width="12.140625" bestFit="1" customWidth="1"/>
    <col min="9253" max="9253" width="14.42578125" bestFit="1" customWidth="1"/>
    <col min="9254" max="9254" width="13.28515625" bestFit="1" customWidth="1"/>
    <col min="9255" max="9255" width="11.5703125" bestFit="1" customWidth="1"/>
    <col min="9256" max="9256" width="7.7109375" bestFit="1" customWidth="1"/>
    <col min="9257" max="9258" width="14.42578125" bestFit="1" customWidth="1"/>
    <col min="9259" max="9259" width="11.5703125" bestFit="1" customWidth="1"/>
    <col min="9260" max="9260" width="7.7109375" bestFit="1" customWidth="1"/>
    <col min="9261" max="9261" width="13.5703125" customWidth="1"/>
    <col min="9262" max="9262" width="15.28515625" customWidth="1"/>
    <col min="9263" max="9263" width="14.5703125" customWidth="1"/>
    <col min="9264" max="9264" width="13.28515625" bestFit="1" customWidth="1"/>
    <col min="9265" max="9265" width="7.7109375" bestFit="1" customWidth="1"/>
    <col min="9266" max="9266" width="12.7109375" bestFit="1" customWidth="1"/>
    <col min="9267" max="9267" width="11.7109375" bestFit="1" customWidth="1"/>
    <col min="9268" max="9268" width="11.5703125" bestFit="1" customWidth="1"/>
    <col min="9269" max="9269" width="5.28515625" bestFit="1" customWidth="1"/>
    <col min="9270" max="9270" width="13.28515625" bestFit="1" customWidth="1"/>
    <col min="9271" max="9271" width="13.5703125" bestFit="1" customWidth="1"/>
    <col min="9272" max="9272" width="10.5703125" bestFit="1" customWidth="1"/>
    <col min="9273" max="9273" width="13.28515625" bestFit="1" customWidth="1"/>
    <col min="9274" max="9274" width="11.5703125" bestFit="1" customWidth="1"/>
    <col min="9275" max="9275" width="10.5703125" bestFit="1" customWidth="1"/>
    <col min="9276" max="9276" width="16.140625" bestFit="1" customWidth="1"/>
    <col min="9277" max="9278" width="11.28515625" bestFit="1" customWidth="1"/>
    <col min="9279" max="9279" width="13.28515625" bestFit="1" customWidth="1"/>
    <col min="9280" max="9280" width="7.7109375" bestFit="1" customWidth="1"/>
    <col min="9281" max="9284" width="9.140625" hidden="1" customWidth="1"/>
    <col min="9285" max="9285" width="10.42578125" bestFit="1" customWidth="1"/>
    <col min="9286" max="9286" width="10.5703125" bestFit="1" customWidth="1"/>
    <col min="9287" max="9287" width="10.42578125" bestFit="1" customWidth="1"/>
    <col min="9288" max="9288" width="10.5703125" bestFit="1" customWidth="1"/>
    <col min="9289" max="9289" width="9.5703125" bestFit="1" customWidth="1"/>
    <col min="9290" max="9290" width="11.5703125" bestFit="1" customWidth="1"/>
    <col min="9291" max="9291" width="10.42578125" bestFit="1" customWidth="1"/>
    <col min="9292" max="9292" width="10.85546875" customWidth="1"/>
    <col min="9293" max="9294" width="9.85546875" bestFit="1" customWidth="1"/>
    <col min="9295" max="9295" width="13.5703125" bestFit="1" customWidth="1"/>
    <col min="9296" max="9296" width="7.7109375" bestFit="1" customWidth="1"/>
    <col min="9297" max="9297" width="13.28515625" bestFit="1" customWidth="1"/>
    <col min="9298" max="9298" width="11.5703125" bestFit="1" customWidth="1"/>
    <col min="9299" max="9299" width="10.42578125" bestFit="1" customWidth="1"/>
    <col min="9300" max="9300" width="7.7109375" bestFit="1" customWidth="1"/>
    <col min="9301" max="9301" width="11.5703125" bestFit="1" customWidth="1"/>
    <col min="9302" max="9302" width="10.85546875" bestFit="1" customWidth="1"/>
    <col min="9303" max="9303" width="13.28515625" bestFit="1" customWidth="1"/>
    <col min="9304" max="9304" width="10.85546875" bestFit="1" customWidth="1"/>
    <col min="9305" max="9306" width="7.5703125" bestFit="1" customWidth="1"/>
    <col min="9307" max="9308" width="10.42578125" bestFit="1" customWidth="1"/>
    <col min="9309" max="9309" width="11.5703125" bestFit="1" customWidth="1"/>
    <col min="9310" max="9310" width="5.28515625" bestFit="1" customWidth="1"/>
    <col min="9311" max="9311" width="10.28515625" bestFit="1" customWidth="1"/>
    <col min="9312" max="9312" width="10.42578125" bestFit="1" customWidth="1"/>
    <col min="9313" max="9313" width="11.5703125" bestFit="1" customWidth="1"/>
    <col min="9314" max="9314" width="5.28515625" bestFit="1" customWidth="1"/>
    <col min="9315" max="9317" width="11.5703125" bestFit="1" customWidth="1"/>
    <col min="9318" max="9318" width="5.28515625" bestFit="1" customWidth="1"/>
    <col min="9319" max="9320" width="10.42578125" bestFit="1" customWidth="1"/>
    <col min="9321" max="9321" width="11.5703125" bestFit="1" customWidth="1"/>
    <col min="9322" max="9322" width="5.28515625" bestFit="1" customWidth="1"/>
    <col min="9323" max="9323" width="14.28515625" bestFit="1" customWidth="1"/>
    <col min="9324" max="9324" width="13" bestFit="1" customWidth="1"/>
    <col min="9325" max="9325" width="11.5703125" bestFit="1" customWidth="1"/>
    <col min="9326" max="9326" width="8.85546875" bestFit="1" customWidth="1"/>
    <col min="9327" max="9327" width="14.42578125" bestFit="1" customWidth="1"/>
    <col min="9328" max="9328" width="10.42578125" bestFit="1" customWidth="1"/>
    <col min="9329" max="9329" width="12.28515625" bestFit="1" customWidth="1"/>
    <col min="9330" max="9330" width="13.85546875" bestFit="1" customWidth="1"/>
    <col min="9331" max="9331" width="11.28515625" customWidth="1"/>
    <col min="9332" max="9332" width="11.5703125" customWidth="1"/>
    <col min="9333" max="9333" width="13.42578125" bestFit="1" customWidth="1"/>
    <col min="9334" max="9334" width="10.42578125" customWidth="1"/>
    <col min="9335" max="9335" width="13.85546875" bestFit="1" customWidth="1"/>
    <col min="9336" max="9336" width="15.42578125" bestFit="1" customWidth="1"/>
    <col min="9337" max="9337" width="12.28515625" bestFit="1" customWidth="1"/>
    <col min="9338" max="9338" width="12.7109375" customWidth="1"/>
    <col min="9339" max="9339" width="10.7109375" bestFit="1" customWidth="1"/>
    <col min="9340" max="9340" width="9.85546875" customWidth="1"/>
    <col min="9341" max="9342" width="10.140625" bestFit="1" customWidth="1"/>
    <col min="9343" max="9343" width="7.5703125" bestFit="1" customWidth="1"/>
    <col min="9344" max="9344" width="9.42578125" bestFit="1" customWidth="1"/>
    <col min="9345" max="9345" width="14.5703125" bestFit="1" customWidth="1"/>
    <col min="9346" max="9346" width="14.85546875" customWidth="1"/>
    <col min="9347" max="9347" width="15.140625" bestFit="1" customWidth="1"/>
    <col min="9348" max="9348" width="12.140625" bestFit="1" customWidth="1"/>
    <col min="9349" max="9349" width="14.85546875" bestFit="1" customWidth="1"/>
    <col min="9350" max="9350" width="12.28515625" bestFit="1" customWidth="1"/>
    <col min="9351" max="9359" width="9.140625" hidden="1" customWidth="1"/>
    <col min="9360" max="9360" width="5.28515625" bestFit="1" customWidth="1"/>
    <col min="9361" max="9366" width="11.5703125" bestFit="1" customWidth="1"/>
    <col min="9367" max="9367" width="11.28515625" bestFit="1" customWidth="1"/>
    <col min="9368" max="9368" width="10.140625" bestFit="1" customWidth="1"/>
    <col min="9369" max="9369" width="11.5703125" bestFit="1" customWidth="1"/>
    <col min="9370" max="9370" width="16.140625" customWidth="1"/>
    <col min="9371" max="9371" width="13.42578125" customWidth="1"/>
    <col min="9372" max="9372" width="10.140625" bestFit="1" customWidth="1"/>
    <col min="9373" max="9373" width="12.85546875" bestFit="1" customWidth="1"/>
    <col min="9374" max="9374" width="12.28515625" bestFit="1" customWidth="1"/>
    <col min="9375" max="9375" width="11.28515625" bestFit="1" customWidth="1"/>
    <col min="9376" max="9376" width="11.5703125" bestFit="1" customWidth="1"/>
    <col min="9377" max="9377" width="10.85546875" bestFit="1" customWidth="1"/>
    <col min="9378" max="9378" width="11.28515625" bestFit="1" customWidth="1"/>
    <col min="9379" max="9379" width="10.140625" bestFit="1" customWidth="1"/>
    <col min="9380" max="9380" width="13.28515625" bestFit="1" customWidth="1"/>
    <col min="9381" max="9382" width="12.7109375" bestFit="1" customWidth="1"/>
    <col min="9383" max="9383" width="11" bestFit="1" customWidth="1"/>
    <col min="9384" max="9384" width="11.28515625" bestFit="1" customWidth="1"/>
    <col min="9385" max="9385" width="11.5703125" bestFit="1" customWidth="1"/>
    <col min="9386" max="9386" width="12.28515625" bestFit="1" customWidth="1"/>
    <col min="9387" max="9387" width="15.140625" bestFit="1" customWidth="1"/>
    <col min="9388" max="9388" width="14.42578125" bestFit="1" customWidth="1"/>
    <col min="9389" max="9389" width="12.28515625" bestFit="1" customWidth="1"/>
    <col min="9390" max="9390" width="15.140625" bestFit="1" customWidth="1"/>
    <col min="9391" max="9391" width="14.42578125" bestFit="1" customWidth="1"/>
    <col min="9392" max="9392" width="12.28515625" bestFit="1" customWidth="1"/>
    <col min="9393" max="9393" width="14.42578125" bestFit="1" customWidth="1"/>
    <col min="9394" max="9394" width="11.28515625" bestFit="1" customWidth="1"/>
    <col min="9395" max="9395" width="12.28515625" bestFit="1" customWidth="1"/>
    <col min="9396" max="9396" width="13" bestFit="1" customWidth="1"/>
    <col min="9397" max="9397" width="15.140625" bestFit="1" customWidth="1"/>
    <col min="9398" max="9398" width="12.28515625" bestFit="1" customWidth="1"/>
    <col min="9399" max="9399" width="13.85546875" bestFit="1" customWidth="1"/>
    <col min="9400" max="9400" width="11.28515625" bestFit="1" customWidth="1"/>
    <col min="9401" max="9401" width="12.28515625" bestFit="1" customWidth="1"/>
    <col min="9402" max="9402" width="13.85546875" bestFit="1" customWidth="1"/>
    <col min="9403" max="9404" width="15.140625" bestFit="1" customWidth="1"/>
    <col min="9405" max="9405" width="12.28515625" bestFit="1" customWidth="1"/>
    <col min="9406" max="9406" width="5.7109375" bestFit="1" customWidth="1"/>
    <col min="9407" max="9407" width="8.5703125" bestFit="1" customWidth="1"/>
    <col min="9408" max="9408" width="5.5703125" bestFit="1" customWidth="1"/>
    <col min="9409" max="9409" width="14.42578125" bestFit="1" customWidth="1"/>
    <col min="9410" max="9410" width="11.28515625" bestFit="1" customWidth="1"/>
    <col min="9411" max="9412" width="12.28515625" bestFit="1" customWidth="1"/>
    <col min="9413" max="9413" width="11.28515625" bestFit="1" customWidth="1"/>
    <col min="9414" max="9414" width="13.85546875" bestFit="1" customWidth="1"/>
    <col min="9415" max="9415" width="12" bestFit="1" customWidth="1"/>
    <col min="9416" max="9416" width="13.85546875" bestFit="1" customWidth="1"/>
    <col min="9417" max="9418" width="14.42578125" customWidth="1"/>
    <col min="9419" max="9419" width="10.140625" bestFit="1" customWidth="1"/>
    <col min="9420" max="9420" width="12.28515625" bestFit="1" customWidth="1"/>
    <col min="9421" max="9421" width="7.42578125" bestFit="1" customWidth="1"/>
    <col min="9422" max="9422" width="8.5703125" bestFit="1" customWidth="1"/>
    <col min="9423" max="9423" width="11.5703125" bestFit="1" customWidth="1"/>
    <col min="9424" max="9424" width="13.28515625" bestFit="1" customWidth="1"/>
    <col min="9425" max="9425" width="13.28515625" customWidth="1"/>
    <col min="9426" max="9426" width="13.140625" customWidth="1"/>
    <col min="9427" max="9427" width="12.7109375" bestFit="1" customWidth="1"/>
    <col min="9428" max="9428" width="13.28515625" bestFit="1" customWidth="1"/>
    <col min="9429" max="9431" width="13.28515625" customWidth="1"/>
    <col min="9432" max="9432" width="12.140625" bestFit="1" customWidth="1"/>
    <col min="9433" max="9433" width="12.7109375" bestFit="1" customWidth="1"/>
    <col min="9434" max="9434" width="11" customWidth="1"/>
    <col min="9435" max="9435" width="16.7109375" customWidth="1"/>
    <col min="9436" max="9436" width="17" customWidth="1"/>
    <col min="9437" max="9437" width="10.42578125" bestFit="1" customWidth="1"/>
    <col min="9481" max="9481" width="3.85546875" customWidth="1"/>
    <col min="9482" max="9482" width="15.28515625" bestFit="1" customWidth="1"/>
    <col min="9483" max="9483" width="12.28515625" customWidth="1"/>
    <col min="9484" max="9484" width="16.28515625" bestFit="1" customWidth="1"/>
    <col min="9485" max="9485" width="6.42578125" bestFit="1" customWidth="1"/>
    <col min="9486" max="9486" width="9.28515625" bestFit="1" customWidth="1"/>
    <col min="9487" max="9487" width="7.5703125" bestFit="1" customWidth="1"/>
    <col min="9488" max="9488" width="13.28515625" bestFit="1" customWidth="1"/>
    <col min="9489" max="9489" width="9.28515625" bestFit="1" customWidth="1"/>
    <col min="9490" max="9490" width="11.5703125" bestFit="1" customWidth="1"/>
    <col min="9491" max="9491" width="13.28515625" bestFit="1" customWidth="1"/>
    <col min="9492" max="9492" width="7.140625" bestFit="1" customWidth="1"/>
    <col min="9493" max="9493" width="12" bestFit="1" customWidth="1"/>
    <col min="9494" max="9494" width="13.28515625" bestFit="1" customWidth="1"/>
    <col min="9495" max="9495" width="7" bestFit="1" customWidth="1"/>
    <col min="9496" max="9496" width="12.7109375" bestFit="1" customWidth="1"/>
    <col min="9497" max="9497" width="11.5703125" bestFit="1" customWidth="1"/>
    <col min="9498" max="9498" width="10.5703125" bestFit="1" customWidth="1"/>
    <col min="9499" max="9500" width="15.7109375" bestFit="1" customWidth="1"/>
    <col min="9501" max="9501" width="11.5703125" bestFit="1" customWidth="1"/>
    <col min="9502" max="9502" width="7.7109375" bestFit="1" customWidth="1"/>
    <col min="9503" max="9503" width="15.140625" bestFit="1" customWidth="1"/>
    <col min="9504" max="9504" width="11.5703125" bestFit="1" customWidth="1"/>
    <col min="9505" max="9505" width="13.28515625" bestFit="1" customWidth="1"/>
    <col min="9506" max="9506" width="10.42578125" bestFit="1" customWidth="1"/>
    <col min="9507" max="9507" width="13.28515625" bestFit="1" customWidth="1"/>
    <col min="9508" max="9508" width="12.140625" bestFit="1" customWidth="1"/>
    <col min="9509" max="9509" width="14.42578125" bestFit="1" customWidth="1"/>
    <col min="9510" max="9510" width="13.28515625" bestFit="1" customWidth="1"/>
    <col min="9511" max="9511" width="11.5703125" bestFit="1" customWidth="1"/>
    <col min="9512" max="9512" width="7.7109375" bestFit="1" customWidth="1"/>
    <col min="9513" max="9514" width="14.42578125" bestFit="1" customWidth="1"/>
    <col min="9515" max="9515" width="11.5703125" bestFit="1" customWidth="1"/>
    <col min="9516" max="9516" width="7.7109375" bestFit="1" customWidth="1"/>
    <col min="9517" max="9517" width="13.5703125" customWidth="1"/>
    <col min="9518" max="9518" width="15.28515625" customWidth="1"/>
    <col min="9519" max="9519" width="14.5703125" customWidth="1"/>
    <col min="9520" max="9520" width="13.28515625" bestFit="1" customWidth="1"/>
    <col min="9521" max="9521" width="7.7109375" bestFit="1" customWidth="1"/>
    <col min="9522" max="9522" width="12.7109375" bestFit="1" customWidth="1"/>
    <col min="9523" max="9523" width="11.7109375" bestFit="1" customWidth="1"/>
    <col min="9524" max="9524" width="11.5703125" bestFit="1" customWidth="1"/>
    <col min="9525" max="9525" width="5.28515625" bestFit="1" customWidth="1"/>
    <col min="9526" max="9526" width="13.28515625" bestFit="1" customWidth="1"/>
    <col min="9527" max="9527" width="13.5703125" bestFit="1" customWidth="1"/>
    <col min="9528" max="9528" width="10.5703125" bestFit="1" customWidth="1"/>
    <col min="9529" max="9529" width="13.28515625" bestFit="1" customWidth="1"/>
    <col min="9530" max="9530" width="11.5703125" bestFit="1" customWidth="1"/>
    <col min="9531" max="9531" width="10.5703125" bestFit="1" customWidth="1"/>
    <col min="9532" max="9532" width="16.140625" bestFit="1" customWidth="1"/>
    <col min="9533" max="9534" width="11.28515625" bestFit="1" customWidth="1"/>
    <col min="9535" max="9535" width="13.28515625" bestFit="1" customWidth="1"/>
    <col min="9536" max="9536" width="7.7109375" bestFit="1" customWidth="1"/>
    <col min="9537" max="9540" width="9.140625" hidden="1" customWidth="1"/>
    <col min="9541" max="9541" width="10.42578125" bestFit="1" customWidth="1"/>
    <col min="9542" max="9542" width="10.5703125" bestFit="1" customWidth="1"/>
    <col min="9543" max="9543" width="10.42578125" bestFit="1" customWidth="1"/>
    <col min="9544" max="9544" width="10.5703125" bestFit="1" customWidth="1"/>
    <col min="9545" max="9545" width="9.5703125" bestFit="1" customWidth="1"/>
    <col min="9546" max="9546" width="11.5703125" bestFit="1" customWidth="1"/>
    <col min="9547" max="9547" width="10.42578125" bestFit="1" customWidth="1"/>
    <col min="9548" max="9548" width="10.85546875" customWidth="1"/>
    <col min="9549" max="9550" width="9.85546875" bestFit="1" customWidth="1"/>
    <col min="9551" max="9551" width="13.5703125" bestFit="1" customWidth="1"/>
    <col min="9552" max="9552" width="7.7109375" bestFit="1" customWidth="1"/>
    <col min="9553" max="9553" width="13.28515625" bestFit="1" customWidth="1"/>
    <col min="9554" max="9554" width="11.5703125" bestFit="1" customWidth="1"/>
    <col min="9555" max="9555" width="10.42578125" bestFit="1" customWidth="1"/>
    <col min="9556" max="9556" width="7.7109375" bestFit="1" customWidth="1"/>
    <col min="9557" max="9557" width="11.5703125" bestFit="1" customWidth="1"/>
    <col min="9558" max="9558" width="10.85546875" bestFit="1" customWidth="1"/>
    <col min="9559" max="9559" width="13.28515625" bestFit="1" customWidth="1"/>
    <col min="9560" max="9560" width="10.85546875" bestFit="1" customWidth="1"/>
    <col min="9561" max="9562" width="7.5703125" bestFit="1" customWidth="1"/>
    <col min="9563" max="9564" width="10.42578125" bestFit="1" customWidth="1"/>
    <col min="9565" max="9565" width="11.5703125" bestFit="1" customWidth="1"/>
    <col min="9566" max="9566" width="5.28515625" bestFit="1" customWidth="1"/>
    <col min="9567" max="9567" width="10.28515625" bestFit="1" customWidth="1"/>
    <col min="9568" max="9568" width="10.42578125" bestFit="1" customWidth="1"/>
    <col min="9569" max="9569" width="11.5703125" bestFit="1" customWidth="1"/>
    <col min="9570" max="9570" width="5.28515625" bestFit="1" customWidth="1"/>
    <col min="9571" max="9573" width="11.5703125" bestFit="1" customWidth="1"/>
    <col min="9574" max="9574" width="5.28515625" bestFit="1" customWidth="1"/>
    <col min="9575" max="9576" width="10.42578125" bestFit="1" customWidth="1"/>
    <col min="9577" max="9577" width="11.5703125" bestFit="1" customWidth="1"/>
    <col min="9578" max="9578" width="5.28515625" bestFit="1" customWidth="1"/>
    <col min="9579" max="9579" width="14.28515625" bestFit="1" customWidth="1"/>
    <col min="9580" max="9580" width="13" bestFit="1" customWidth="1"/>
    <col min="9581" max="9581" width="11.5703125" bestFit="1" customWidth="1"/>
    <col min="9582" max="9582" width="8.85546875" bestFit="1" customWidth="1"/>
    <col min="9583" max="9583" width="14.42578125" bestFit="1" customWidth="1"/>
    <col min="9584" max="9584" width="10.42578125" bestFit="1" customWidth="1"/>
    <col min="9585" max="9585" width="12.28515625" bestFit="1" customWidth="1"/>
    <col min="9586" max="9586" width="13.85546875" bestFit="1" customWidth="1"/>
    <col min="9587" max="9587" width="11.28515625" customWidth="1"/>
    <col min="9588" max="9588" width="11.5703125" customWidth="1"/>
    <col min="9589" max="9589" width="13.42578125" bestFit="1" customWidth="1"/>
    <col min="9590" max="9590" width="10.42578125" customWidth="1"/>
    <col min="9591" max="9591" width="13.85546875" bestFit="1" customWidth="1"/>
    <col min="9592" max="9592" width="15.42578125" bestFit="1" customWidth="1"/>
    <col min="9593" max="9593" width="12.28515625" bestFit="1" customWidth="1"/>
    <col min="9594" max="9594" width="12.7109375" customWidth="1"/>
    <col min="9595" max="9595" width="10.7109375" bestFit="1" customWidth="1"/>
    <col min="9596" max="9596" width="9.85546875" customWidth="1"/>
    <col min="9597" max="9598" width="10.140625" bestFit="1" customWidth="1"/>
    <col min="9599" max="9599" width="7.5703125" bestFit="1" customWidth="1"/>
    <col min="9600" max="9600" width="9.42578125" bestFit="1" customWidth="1"/>
    <col min="9601" max="9601" width="14.5703125" bestFit="1" customWidth="1"/>
    <col min="9602" max="9602" width="14.85546875" customWidth="1"/>
    <col min="9603" max="9603" width="15.140625" bestFit="1" customWidth="1"/>
    <col min="9604" max="9604" width="12.140625" bestFit="1" customWidth="1"/>
    <col min="9605" max="9605" width="14.85546875" bestFit="1" customWidth="1"/>
    <col min="9606" max="9606" width="12.28515625" bestFit="1" customWidth="1"/>
    <col min="9607" max="9615" width="9.140625" hidden="1" customWidth="1"/>
    <col min="9616" max="9616" width="5.28515625" bestFit="1" customWidth="1"/>
    <col min="9617" max="9622" width="11.5703125" bestFit="1" customWidth="1"/>
    <col min="9623" max="9623" width="11.28515625" bestFit="1" customWidth="1"/>
    <col min="9624" max="9624" width="10.140625" bestFit="1" customWidth="1"/>
    <col min="9625" max="9625" width="11.5703125" bestFit="1" customWidth="1"/>
    <col min="9626" max="9626" width="16.140625" customWidth="1"/>
    <col min="9627" max="9627" width="13.42578125" customWidth="1"/>
    <col min="9628" max="9628" width="10.140625" bestFit="1" customWidth="1"/>
    <col min="9629" max="9629" width="12.85546875" bestFit="1" customWidth="1"/>
    <col min="9630" max="9630" width="12.28515625" bestFit="1" customWidth="1"/>
    <col min="9631" max="9631" width="11.28515625" bestFit="1" customWidth="1"/>
    <col min="9632" max="9632" width="11.5703125" bestFit="1" customWidth="1"/>
    <col min="9633" max="9633" width="10.85546875" bestFit="1" customWidth="1"/>
    <col min="9634" max="9634" width="11.28515625" bestFit="1" customWidth="1"/>
    <col min="9635" max="9635" width="10.140625" bestFit="1" customWidth="1"/>
    <col min="9636" max="9636" width="13.28515625" bestFit="1" customWidth="1"/>
    <col min="9637" max="9638" width="12.7109375" bestFit="1" customWidth="1"/>
    <col min="9639" max="9639" width="11" bestFit="1" customWidth="1"/>
    <col min="9640" max="9640" width="11.28515625" bestFit="1" customWidth="1"/>
    <col min="9641" max="9641" width="11.5703125" bestFit="1" customWidth="1"/>
    <col min="9642" max="9642" width="12.28515625" bestFit="1" customWidth="1"/>
    <col min="9643" max="9643" width="15.140625" bestFit="1" customWidth="1"/>
    <col min="9644" max="9644" width="14.42578125" bestFit="1" customWidth="1"/>
    <col min="9645" max="9645" width="12.28515625" bestFit="1" customWidth="1"/>
    <col min="9646" max="9646" width="15.140625" bestFit="1" customWidth="1"/>
    <col min="9647" max="9647" width="14.42578125" bestFit="1" customWidth="1"/>
    <col min="9648" max="9648" width="12.28515625" bestFit="1" customWidth="1"/>
    <col min="9649" max="9649" width="14.42578125" bestFit="1" customWidth="1"/>
    <col min="9650" max="9650" width="11.28515625" bestFit="1" customWidth="1"/>
    <col min="9651" max="9651" width="12.28515625" bestFit="1" customWidth="1"/>
    <col min="9652" max="9652" width="13" bestFit="1" customWidth="1"/>
    <col min="9653" max="9653" width="15.140625" bestFit="1" customWidth="1"/>
    <col min="9654" max="9654" width="12.28515625" bestFit="1" customWidth="1"/>
    <col min="9655" max="9655" width="13.85546875" bestFit="1" customWidth="1"/>
    <col min="9656" max="9656" width="11.28515625" bestFit="1" customWidth="1"/>
    <col min="9657" max="9657" width="12.28515625" bestFit="1" customWidth="1"/>
    <col min="9658" max="9658" width="13.85546875" bestFit="1" customWidth="1"/>
    <col min="9659" max="9660" width="15.140625" bestFit="1" customWidth="1"/>
    <col min="9661" max="9661" width="12.28515625" bestFit="1" customWidth="1"/>
    <col min="9662" max="9662" width="5.7109375" bestFit="1" customWidth="1"/>
    <col min="9663" max="9663" width="8.5703125" bestFit="1" customWidth="1"/>
    <col min="9664" max="9664" width="5.5703125" bestFit="1" customWidth="1"/>
    <col min="9665" max="9665" width="14.42578125" bestFit="1" customWidth="1"/>
    <col min="9666" max="9666" width="11.28515625" bestFit="1" customWidth="1"/>
    <col min="9667" max="9668" width="12.28515625" bestFit="1" customWidth="1"/>
    <col min="9669" max="9669" width="11.28515625" bestFit="1" customWidth="1"/>
    <col min="9670" max="9670" width="13.85546875" bestFit="1" customWidth="1"/>
    <col min="9671" max="9671" width="12" bestFit="1" customWidth="1"/>
    <col min="9672" max="9672" width="13.85546875" bestFit="1" customWidth="1"/>
    <col min="9673" max="9674" width="14.42578125" customWidth="1"/>
    <col min="9675" max="9675" width="10.140625" bestFit="1" customWidth="1"/>
    <col min="9676" max="9676" width="12.28515625" bestFit="1" customWidth="1"/>
    <col min="9677" max="9677" width="7.42578125" bestFit="1" customWidth="1"/>
    <col min="9678" max="9678" width="8.5703125" bestFit="1" customWidth="1"/>
    <col min="9679" max="9679" width="11.5703125" bestFit="1" customWidth="1"/>
    <col min="9680" max="9680" width="13.28515625" bestFit="1" customWidth="1"/>
    <col min="9681" max="9681" width="13.28515625" customWidth="1"/>
    <col min="9682" max="9682" width="13.140625" customWidth="1"/>
    <col min="9683" max="9683" width="12.7109375" bestFit="1" customWidth="1"/>
    <col min="9684" max="9684" width="13.28515625" bestFit="1" customWidth="1"/>
    <col min="9685" max="9687" width="13.28515625" customWidth="1"/>
    <col min="9688" max="9688" width="12.140625" bestFit="1" customWidth="1"/>
    <col min="9689" max="9689" width="12.7109375" bestFit="1" customWidth="1"/>
    <col min="9690" max="9690" width="11" customWidth="1"/>
    <col min="9691" max="9691" width="16.7109375" customWidth="1"/>
    <col min="9692" max="9692" width="17" customWidth="1"/>
    <col min="9693" max="9693" width="10.42578125" bestFit="1" customWidth="1"/>
    <col min="9737" max="9737" width="3.85546875" customWidth="1"/>
    <col min="9738" max="9738" width="15.28515625" bestFit="1" customWidth="1"/>
    <col min="9739" max="9739" width="12.28515625" customWidth="1"/>
    <col min="9740" max="9740" width="16.28515625" bestFit="1" customWidth="1"/>
    <col min="9741" max="9741" width="6.42578125" bestFit="1" customWidth="1"/>
    <col min="9742" max="9742" width="9.28515625" bestFit="1" customWidth="1"/>
    <col min="9743" max="9743" width="7.5703125" bestFit="1" customWidth="1"/>
    <col min="9744" max="9744" width="13.28515625" bestFit="1" customWidth="1"/>
    <col min="9745" max="9745" width="9.28515625" bestFit="1" customWidth="1"/>
    <col min="9746" max="9746" width="11.5703125" bestFit="1" customWidth="1"/>
    <col min="9747" max="9747" width="13.28515625" bestFit="1" customWidth="1"/>
    <col min="9748" max="9748" width="7.140625" bestFit="1" customWidth="1"/>
    <col min="9749" max="9749" width="12" bestFit="1" customWidth="1"/>
    <col min="9750" max="9750" width="13.28515625" bestFit="1" customWidth="1"/>
    <col min="9751" max="9751" width="7" bestFit="1" customWidth="1"/>
    <col min="9752" max="9752" width="12.7109375" bestFit="1" customWidth="1"/>
    <col min="9753" max="9753" width="11.5703125" bestFit="1" customWidth="1"/>
    <col min="9754" max="9754" width="10.5703125" bestFit="1" customWidth="1"/>
    <col min="9755" max="9756" width="15.7109375" bestFit="1" customWidth="1"/>
    <col min="9757" max="9757" width="11.5703125" bestFit="1" customWidth="1"/>
    <col min="9758" max="9758" width="7.7109375" bestFit="1" customWidth="1"/>
    <col min="9759" max="9759" width="15.140625" bestFit="1" customWidth="1"/>
    <col min="9760" max="9760" width="11.5703125" bestFit="1" customWidth="1"/>
    <col min="9761" max="9761" width="13.28515625" bestFit="1" customWidth="1"/>
    <col min="9762" max="9762" width="10.42578125" bestFit="1" customWidth="1"/>
    <col min="9763" max="9763" width="13.28515625" bestFit="1" customWidth="1"/>
    <col min="9764" max="9764" width="12.140625" bestFit="1" customWidth="1"/>
    <col min="9765" max="9765" width="14.42578125" bestFit="1" customWidth="1"/>
    <col min="9766" max="9766" width="13.28515625" bestFit="1" customWidth="1"/>
    <col min="9767" max="9767" width="11.5703125" bestFit="1" customWidth="1"/>
    <col min="9768" max="9768" width="7.7109375" bestFit="1" customWidth="1"/>
    <col min="9769" max="9770" width="14.42578125" bestFit="1" customWidth="1"/>
    <col min="9771" max="9771" width="11.5703125" bestFit="1" customWidth="1"/>
    <col min="9772" max="9772" width="7.7109375" bestFit="1" customWidth="1"/>
    <col min="9773" max="9773" width="13.5703125" customWidth="1"/>
    <col min="9774" max="9774" width="15.28515625" customWidth="1"/>
    <col min="9775" max="9775" width="14.5703125" customWidth="1"/>
    <col min="9776" max="9776" width="13.28515625" bestFit="1" customWidth="1"/>
    <col min="9777" max="9777" width="7.7109375" bestFit="1" customWidth="1"/>
    <col min="9778" max="9778" width="12.7109375" bestFit="1" customWidth="1"/>
    <col min="9779" max="9779" width="11.7109375" bestFit="1" customWidth="1"/>
    <col min="9780" max="9780" width="11.5703125" bestFit="1" customWidth="1"/>
    <col min="9781" max="9781" width="5.28515625" bestFit="1" customWidth="1"/>
    <col min="9782" max="9782" width="13.28515625" bestFit="1" customWidth="1"/>
    <col min="9783" max="9783" width="13.5703125" bestFit="1" customWidth="1"/>
    <col min="9784" max="9784" width="10.5703125" bestFit="1" customWidth="1"/>
    <col min="9785" max="9785" width="13.28515625" bestFit="1" customWidth="1"/>
    <col min="9786" max="9786" width="11.5703125" bestFit="1" customWidth="1"/>
    <col min="9787" max="9787" width="10.5703125" bestFit="1" customWidth="1"/>
    <col min="9788" max="9788" width="16.140625" bestFit="1" customWidth="1"/>
    <col min="9789" max="9790" width="11.28515625" bestFit="1" customWidth="1"/>
    <col min="9791" max="9791" width="13.28515625" bestFit="1" customWidth="1"/>
    <col min="9792" max="9792" width="7.7109375" bestFit="1" customWidth="1"/>
    <col min="9793" max="9796" width="9.140625" hidden="1" customWidth="1"/>
    <col min="9797" max="9797" width="10.42578125" bestFit="1" customWidth="1"/>
    <col min="9798" max="9798" width="10.5703125" bestFit="1" customWidth="1"/>
    <col min="9799" max="9799" width="10.42578125" bestFit="1" customWidth="1"/>
    <col min="9800" max="9800" width="10.5703125" bestFit="1" customWidth="1"/>
    <col min="9801" max="9801" width="9.5703125" bestFit="1" customWidth="1"/>
    <col min="9802" max="9802" width="11.5703125" bestFit="1" customWidth="1"/>
    <col min="9803" max="9803" width="10.42578125" bestFit="1" customWidth="1"/>
    <col min="9804" max="9804" width="10.85546875" customWidth="1"/>
    <col min="9805" max="9806" width="9.85546875" bestFit="1" customWidth="1"/>
    <col min="9807" max="9807" width="13.5703125" bestFit="1" customWidth="1"/>
    <col min="9808" max="9808" width="7.7109375" bestFit="1" customWidth="1"/>
    <col min="9809" max="9809" width="13.28515625" bestFit="1" customWidth="1"/>
    <col min="9810" max="9810" width="11.5703125" bestFit="1" customWidth="1"/>
    <col min="9811" max="9811" width="10.42578125" bestFit="1" customWidth="1"/>
    <col min="9812" max="9812" width="7.7109375" bestFit="1" customWidth="1"/>
    <col min="9813" max="9813" width="11.5703125" bestFit="1" customWidth="1"/>
    <col min="9814" max="9814" width="10.85546875" bestFit="1" customWidth="1"/>
    <col min="9815" max="9815" width="13.28515625" bestFit="1" customWidth="1"/>
    <col min="9816" max="9816" width="10.85546875" bestFit="1" customWidth="1"/>
    <col min="9817" max="9818" width="7.5703125" bestFit="1" customWidth="1"/>
    <col min="9819" max="9820" width="10.42578125" bestFit="1" customWidth="1"/>
    <col min="9821" max="9821" width="11.5703125" bestFit="1" customWidth="1"/>
    <col min="9822" max="9822" width="5.28515625" bestFit="1" customWidth="1"/>
    <col min="9823" max="9823" width="10.28515625" bestFit="1" customWidth="1"/>
    <col min="9824" max="9824" width="10.42578125" bestFit="1" customWidth="1"/>
    <col min="9825" max="9825" width="11.5703125" bestFit="1" customWidth="1"/>
    <col min="9826" max="9826" width="5.28515625" bestFit="1" customWidth="1"/>
    <col min="9827" max="9829" width="11.5703125" bestFit="1" customWidth="1"/>
    <col min="9830" max="9830" width="5.28515625" bestFit="1" customWidth="1"/>
    <col min="9831" max="9832" width="10.42578125" bestFit="1" customWidth="1"/>
    <col min="9833" max="9833" width="11.5703125" bestFit="1" customWidth="1"/>
    <col min="9834" max="9834" width="5.28515625" bestFit="1" customWidth="1"/>
    <col min="9835" max="9835" width="14.28515625" bestFit="1" customWidth="1"/>
    <col min="9836" max="9836" width="13" bestFit="1" customWidth="1"/>
    <col min="9837" max="9837" width="11.5703125" bestFit="1" customWidth="1"/>
    <col min="9838" max="9838" width="8.85546875" bestFit="1" customWidth="1"/>
    <col min="9839" max="9839" width="14.42578125" bestFit="1" customWidth="1"/>
    <col min="9840" max="9840" width="10.42578125" bestFit="1" customWidth="1"/>
    <col min="9841" max="9841" width="12.28515625" bestFit="1" customWidth="1"/>
    <col min="9842" max="9842" width="13.85546875" bestFit="1" customWidth="1"/>
    <col min="9843" max="9843" width="11.28515625" customWidth="1"/>
    <col min="9844" max="9844" width="11.5703125" customWidth="1"/>
    <col min="9845" max="9845" width="13.42578125" bestFit="1" customWidth="1"/>
    <col min="9846" max="9846" width="10.42578125" customWidth="1"/>
    <col min="9847" max="9847" width="13.85546875" bestFit="1" customWidth="1"/>
    <col min="9848" max="9848" width="15.42578125" bestFit="1" customWidth="1"/>
    <col min="9849" max="9849" width="12.28515625" bestFit="1" customWidth="1"/>
    <col min="9850" max="9850" width="12.7109375" customWidth="1"/>
    <col min="9851" max="9851" width="10.7109375" bestFit="1" customWidth="1"/>
    <col min="9852" max="9852" width="9.85546875" customWidth="1"/>
    <col min="9853" max="9854" width="10.140625" bestFit="1" customWidth="1"/>
    <col min="9855" max="9855" width="7.5703125" bestFit="1" customWidth="1"/>
    <col min="9856" max="9856" width="9.42578125" bestFit="1" customWidth="1"/>
    <col min="9857" max="9857" width="14.5703125" bestFit="1" customWidth="1"/>
    <col min="9858" max="9858" width="14.85546875" customWidth="1"/>
    <col min="9859" max="9859" width="15.140625" bestFit="1" customWidth="1"/>
    <col min="9860" max="9860" width="12.140625" bestFit="1" customWidth="1"/>
    <col min="9861" max="9861" width="14.85546875" bestFit="1" customWidth="1"/>
    <col min="9862" max="9862" width="12.28515625" bestFit="1" customWidth="1"/>
    <col min="9863" max="9871" width="9.140625" hidden="1" customWidth="1"/>
    <col min="9872" max="9872" width="5.28515625" bestFit="1" customWidth="1"/>
    <col min="9873" max="9878" width="11.5703125" bestFit="1" customWidth="1"/>
    <col min="9879" max="9879" width="11.28515625" bestFit="1" customWidth="1"/>
    <col min="9880" max="9880" width="10.140625" bestFit="1" customWidth="1"/>
    <col min="9881" max="9881" width="11.5703125" bestFit="1" customWidth="1"/>
    <col min="9882" max="9882" width="16.140625" customWidth="1"/>
    <col min="9883" max="9883" width="13.42578125" customWidth="1"/>
    <col min="9884" max="9884" width="10.140625" bestFit="1" customWidth="1"/>
    <col min="9885" max="9885" width="12.85546875" bestFit="1" customWidth="1"/>
    <col min="9886" max="9886" width="12.28515625" bestFit="1" customWidth="1"/>
    <col min="9887" max="9887" width="11.28515625" bestFit="1" customWidth="1"/>
    <col min="9888" max="9888" width="11.5703125" bestFit="1" customWidth="1"/>
    <col min="9889" max="9889" width="10.85546875" bestFit="1" customWidth="1"/>
    <col min="9890" max="9890" width="11.28515625" bestFit="1" customWidth="1"/>
    <col min="9891" max="9891" width="10.140625" bestFit="1" customWidth="1"/>
    <col min="9892" max="9892" width="13.28515625" bestFit="1" customWidth="1"/>
    <col min="9893" max="9894" width="12.7109375" bestFit="1" customWidth="1"/>
    <col min="9895" max="9895" width="11" bestFit="1" customWidth="1"/>
    <col min="9896" max="9896" width="11.28515625" bestFit="1" customWidth="1"/>
    <col min="9897" max="9897" width="11.5703125" bestFit="1" customWidth="1"/>
    <col min="9898" max="9898" width="12.28515625" bestFit="1" customWidth="1"/>
    <col min="9899" max="9899" width="15.140625" bestFit="1" customWidth="1"/>
    <col min="9900" max="9900" width="14.42578125" bestFit="1" customWidth="1"/>
    <col min="9901" max="9901" width="12.28515625" bestFit="1" customWidth="1"/>
    <col min="9902" max="9902" width="15.140625" bestFit="1" customWidth="1"/>
    <col min="9903" max="9903" width="14.42578125" bestFit="1" customWidth="1"/>
    <col min="9904" max="9904" width="12.28515625" bestFit="1" customWidth="1"/>
    <col min="9905" max="9905" width="14.42578125" bestFit="1" customWidth="1"/>
    <col min="9906" max="9906" width="11.28515625" bestFit="1" customWidth="1"/>
    <col min="9907" max="9907" width="12.28515625" bestFit="1" customWidth="1"/>
    <col min="9908" max="9908" width="13" bestFit="1" customWidth="1"/>
    <col min="9909" max="9909" width="15.140625" bestFit="1" customWidth="1"/>
    <col min="9910" max="9910" width="12.28515625" bestFit="1" customWidth="1"/>
    <col min="9911" max="9911" width="13.85546875" bestFit="1" customWidth="1"/>
    <col min="9912" max="9912" width="11.28515625" bestFit="1" customWidth="1"/>
    <col min="9913" max="9913" width="12.28515625" bestFit="1" customWidth="1"/>
    <col min="9914" max="9914" width="13.85546875" bestFit="1" customWidth="1"/>
    <col min="9915" max="9916" width="15.140625" bestFit="1" customWidth="1"/>
    <col min="9917" max="9917" width="12.28515625" bestFit="1" customWidth="1"/>
    <col min="9918" max="9918" width="5.7109375" bestFit="1" customWidth="1"/>
    <col min="9919" max="9919" width="8.5703125" bestFit="1" customWidth="1"/>
    <col min="9920" max="9920" width="5.5703125" bestFit="1" customWidth="1"/>
    <col min="9921" max="9921" width="14.42578125" bestFit="1" customWidth="1"/>
    <col min="9922" max="9922" width="11.28515625" bestFit="1" customWidth="1"/>
    <col min="9923" max="9924" width="12.28515625" bestFit="1" customWidth="1"/>
    <col min="9925" max="9925" width="11.28515625" bestFit="1" customWidth="1"/>
    <col min="9926" max="9926" width="13.85546875" bestFit="1" customWidth="1"/>
    <col min="9927" max="9927" width="12" bestFit="1" customWidth="1"/>
    <col min="9928" max="9928" width="13.85546875" bestFit="1" customWidth="1"/>
    <col min="9929" max="9930" width="14.42578125" customWidth="1"/>
    <col min="9931" max="9931" width="10.140625" bestFit="1" customWidth="1"/>
    <col min="9932" max="9932" width="12.28515625" bestFit="1" customWidth="1"/>
    <col min="9933" max="9933" width="7.42578125" bestFit="1" customWidth="1"/>
    <col min="9934" max="9934" width="8.5703125" bestFit="1" customWidth="1"/>
    <col min="9935" max="9935" width="11.5703125" bestFit="1" customWidth="1"/>
    <col min="9936" max="9936" width="13.28515625" bestFit="1" customWidth="1"/>
    <col min="9937" max="9937" width="13.28515625" customWidth="1"/>
    <col min="9938" max="9938" width="13.140625" customWidth="1"/>
    <col min="9939" max="9939" width="12.7109375" bestFit="1" customWidth="1"/>
    <col min="9940" max="9940" width="13.28515625" bestFit="1" customWidth="1"/>
    <col min="9941" max="9943" width="13.28515625" customWidth="1"/>
    <col min="9944" max="9944" width="12.140625" bestFit="1" customWidth="1"/>
    <col min="9945" max="9945" width="12.7109375" bestFit="1" customWidth="1"/>
    <col min="9946" max="9946" width="11" customWidth="1"/>
    <col min="9947" max="9947" width="16.7109375" customWidth="1"/>
    <col min="9948" max="9948" width="17" customWidth="1"/>
    <col min="9949" max="9949" width="10.42578125" bestFit="1" customWidth="1"/>
    <col min="9993" max="9993" width="3.85546875" customWidth="1"/>
    <col min="9994" max="9994" width="15.28515625" bestFit="1" customWidth="1"/>
    <col min="9995" max="9995" width="12.28515625" customWidth="1"/>
    <col min="9996" max="9996" width="16.28515625" bestFit="1" customWidth="1"/>
    <col min="9997" max="9997" width="6.42578125" bestFit="1" customWidth="1"/>
    <col min="9998" max="9998" width="9.28515625" bestFit="1" customWidth="1"/>
    <col min="9999" max="9999" width="7.5703125" bestFit="1" customWidth="1"/>
    <col min="10000" max="10000" width="13.28515625" bestFit="1" customWidth="1"/>
    <col min="10001" max="10001" width="9.28515625" bestFit="1" customWidth="1"/>
    <col min="10002" max="10002" width="11.5703125" bestFit="1" customWidth="1"/>
    <col min="10003" max="10003" width="13.28515625" bestFit="1" customWidth="1"/>
    <col min="10004" max="10004" width="7.140625" bestFit="1" customWidth="1"/>
    <col min="10005" max="10005" width="12" bestFit="1" customWidth="1"/>
    <col min="10006" max="10006" width="13.28515625" bestFit="1" customWidth="1"/>
    <col min="10007" max="10007" width="7" bestFit="1" customWidth="1"/>
    <col min="10008" max="10008" width="12.7109375" bestFit="1" customWidth="1"/>
    <col min="10009" max="10009" width="11.5703125" bestFit="1" customWidth="1"/>
    <col min="10010" max="10010" width="10.5703125" bestFit="1" customWidth="1"/>
    <col min="10011" max="10012" width="15.7109375" bestFit="1" customWidth="1"/>
    <col min="10013" max="10013" width="11.5703125" bestFit="1" customWidth="1"/>
    <col min="10014" max="10014" width="7.7109375" bestFit="1" customWidth="1"/>
    <col min="10015" max="10015" width="15.140625" bestFit="1" customWidth="1"/>
    <col min="10016" max="10016" width="11.5703125" bestFit="1" customWidth="1"/>
    <col min="10017" max="10017" width="13.28515625" bestFit="1" customWidth="1"/>
    <col min="10018" max="10018" width="10.42578125" bestFit="1" customWidth="1"/>
    <col min="10019" max="10019" width="13.28515625" bestFit="1" customWidth="1"/>
    <col min="10020" max="10020" width="12.140625" bestFit="1" customWidth="1"/>
    <col min="10021" max="10021" width="14.42578125" bestFit="1" customWidth="1"/>
    <col min="10022" max="10022" width="13.28515625" bestFit="1" customWidth="1"/>
    <col min="10023" max="10023" width="11.5703125" bestFit="1" customWidth="1"/>
    <col min="10024" max="10024" width="7.7109375" bestFit="1" customWidth="1"/>
    <col min="10025" max="10026" width="14.42578125" bestFit="1" customWidth="1"/>
    <col min="10027" max="10027" width="11.5703125" bestFit="1" customWidth="1"/>
    <col min="10028" max="10028" width="7.7109375" bestFit="1" customWidth="1"/>
    <col min="10029" max="10029" width="13.5703125" customWidth="1"/>
    <col min="10030" max="10030" width="15.28515625" customWidth="1"/>
    <col min="10031" max="10031" width="14.5703125" customWidth="1"/>
    <col min="10032" max="10032" width="13.28515625" bestFit="1" customWidth="1"/>
    <col min="10033" max="10033" width="7.7109375" bestFit="1" customWidth="1"/>
    <col min="10034" max="10034" width="12.7109375" bestFit="1" customWidth="1"/>
    <col min="10035" max="10035" width="11.7109375" bestFit="1" customWidth="1"/>
    <col min="10036" max="10036" width="11.5703125" bestFit="1" customWidth="1"/>
    <col min="10037" max="10037" width="5.28515625" bestFit="1" customWidth="1"/>
    <col min="10038" max="10038" width="13.28515625" bestFit="1" customWidth="1"/>
    <col min="10039" max="10039" width="13.5703125" bestFit="1" customWidth="1"/>
    <col min="10040" max="10040" width="10.5703125" bestFit="1" customWidth="1"/>
    <col min="10041" max="10041" width="13.28515625" bestFit="1" customWidth="1"/>
    <col min="10042" max="10042" width="11.5703125" bestFit="1" customWidth="1"/>
    <col min="10043" max="10043" width="10.5703125" bestFit="1" customWidth="1"/>
    <col min="10044" max="10044" width="16.140625" bestFit="1" customWidth="1"/>
    <col min="10045" max="10046" width="11.28515625" bestFit="1" customWidth="1"/>
    <col min="10047" max="10047" width="13.28515625" bestFit="1" customWidth="1"/>
    <col min="10048" max="10048" width="7.7109375" bestFit="1" customWidth="1"/>
    <col min="10049" max="10052" width="9.140625" hidden="1" customWidth="1"/>
    <col min="10053" max="10053" width="10.42578125" bestFit="1" customWidth="1"/>
    <col min="10054" max="10054" width="10.5703125" bestFit="1" customWidth="1"/>
    <col min="10055" max="10055" width="10.42578125" bestFit="1" customWidth="1"/>
    <col min="10056" max="10056" width="10.5703125" bestFit="1" customWidth="1"/>
    <col min="10057" max="10057" width="9.5703125" bestFit="1" customWidth="1"/>
    <col min="10058" max="10058" width="11.5703125" bestFit="1" customWidth="1"/>
    <col min="10059" max="10059" width="10.42578125" bestFit="1" customWidth="1"/>
    <col min="10060" max="10060" width="10.85546875" customWidth="1"/>
    <col min="10061" max="10062" width="9.85546875" bestFit="1" customWidth="1"/>
    <col min="10063" max="10063" width="13.5703125" bestFit="1" customWidth="1"/>
    <col min="10064" max="10064" width="7.7109375" bestFit="1" customWidth="1"/>
    <col min="10065" max="10065" width="13.28515625" bestFit="1" customWidth="1"/>
    <col min="10066" max="10066" width="11.5703125" bestFit="1" customWidth="1"/>
    <col min="10067" max="10067" width="10.42578125" bestFit="1" customWidth="1"/>
    <col min="10068" max="10068" width="7.7109375" bestFit="1" customWidth="1"/>
    <col min="10069" max="10069" width="11.5703125" bestFit="1" customWidth="1"/>
    <col min="10070" max="10070" width="10.85546875" bestFit="1" customWidth="1"/>
    <col min="10071" max="10071" width="13.28515625" bestFit="1" customWidth="1"/>
    <col min="10072" max="10072" width="10.85546875" bestFit="1" customWidth="1"/>
    <col min="10073" max="10074" width="7.5703125" bestFit="1" customWidth="1"/>
    <col min="10075" max="10076" width="10.42578125" bestFit="1" customWidth="1"/>
    <col min="10077" max="10077" width="11.5703125" bestFit="1" customWidth="1"/>
    <col min="10078" max="10078" width="5.28515625" bestFit="1" customWidth="1"/>
    <col min="10079" max="10079" width="10.28515625" bestFit="1" customWidth="1"/>
    <col min="10080" max="10080" width="10.42578125" bestFit="1" customWidth="1"/>
    <col min="10081" max="10081" width="11.5703125" bestFit="1" customWidth="1"/>
    <col min="10082" max="10082" width="5.28515625" bestFit="1" customWidth="1"/>
    <col min="10083" max="10085" width="11.5703125" bestFit="1" customWidth="1"/>
    <col min="10086" max="10086" width="5.28515625" bestFit="1" customWidth="1"/>
    <col min="10087" max="10088" width="10.42578125" bestFit="1" customWidth="1"/>
    <col min="10089" max="10089" width="11.5703125" bestFit="1" customWidth="1"/>
    <col min="10090" max="10090" width="5.28515625" bestFit="1" customWidth="1"/>
    <col min="10091" max="10091" width="14.28515625" bestFit="1" customWidth="1"/>
    <col min="10092" max="10092" width="13" bestFit="1" customWidth="1"/>
    <col min="10093" max="10093" width="11.5703125" bestFit="1" customWidth="1"/>
    <col min="10094" max="10094" width="8.85546875" bestFit="1" customWidth="1"/>
    <col min="10095" max="10095" width="14.42578125" bestFit="1" customWidth="1"/>
    <col min="10096" max="10096" width="10.42578125" bestFit="1" customWidth="1"/>
    <col min="10097" max="10097" width="12.28515625" bestFit="1" customWidth="1"/>
    <col min="10098" max="10098" width="13.85546875" bestFit="1" customWidth="1"/>
    <col min="10099" max="10099" width="11.28515625" customWidth="1"/>
    <col min="10100" max="10100" width="11.5703125" customWidth="1"/>
    <col min="10101" max="10101" width="13.42578125" bestFit="1" customWidth="1"/>
    <col min="10102" max="10102" width="10.42578125" customWidth="1"/>
    <col min="10103" max="10103" width="13.85546875" bestFit="1" customWidth="1"/>
    <col min="10104" max="10104" width="15.42578125" bestFit="1" customWidth="1"/>
    <col min="10105" max="10105" width="12.28515625" bestFit="1" customWidth="1"/>
    <col min="10106" max="10106" width="12.7109375" customWidth="1"/>
    <col min="10107" max="10107" width="10.7109375" bestFit="1" customWidth="1"/>
    <col min="10108" max="10108" width="9.85546875" customWidth="1"/>
    <col min="10109" max="10110" width="10.140625" bestFit="1" customWidth="1"/>
    <col min="10111" max="10111" width="7.5703125" bestFit="1" customWidth="1"/>
    <col min="10112" max="10112" width="9.42578125" bestFit="1" customWidth="1"/>
    <col min="10113" max="10113" width="14.5703125" bestFit="1" customWidth="1"/>
    <col min="10114" max="10114" width="14.85546875" customWidth="1"/>
    <col min="10115" max="10115" width="15.140625" bestFit="1" customWidth="1"/>
    <col min="10116" max="10116" width="12.140625" bestFit="1" customWidth="1"/>
    <col min="10117" max="10117" width="14.85546875" bestFit="1" customWidth="1"/>
    <col min="10118" max="10118" width="12.28515625" bestFit="1" customWidth="1"/>
    <col min="10119" max="10127" width="9.140625" hidden="1" customWidth="1"/>
    <col min="10128" max="10128" width="5.28515625" bestFit="1" customWidth="1"/>
    <col min="10129" max="10134" width="11.5703125" bestFit="1" customWidth="1"/>
    <col min="10135" max="10135" width="11.28515625" bestFit="1" customWidth="1"/>
    <col min="10136" max="10136" width="10.140625" bestFit="1" customWidth="1"/>
    <col min="10137" max="10137" width="11.5703125" bestFit="1" customWidth="1"/>
    <col min="10138" max="10138" width="16.140625" customWidth="1"/>
    <col min="10139" max="10139" width="13.42578125" customWidth="1"/>
    <col min="10140" max="10140" width="10.140625" bestFit="1" customWidth="1"/>
    <col min="10141" max="10141" width="12.85546875" bestFit="1" customWidth="1"/>
    <col min="10142" max="10142" width="12.28515625" bestFit="1" customWidth="1"/>
    <col min="10143" max="10143" width="11.28515625" bestFit="1" customWidth="1"/>
    <col min="10144" max="10144" width="11.5703125" bestFit="1" customWidth="1"/>
    <col min="10145" max="10145" width="10.85546875" bestFit="1" customWidth="1"/>
    <col min="10146" max="10146" width="11.28515625" bestFit="1" customWidth="1"/>
    <col min="10147" max="10147" width="10.140625" bestFit="1" customWidth="1"/>
    <col min="10148" max="10148" width="13.28515625" bestFit="1" customWidth="1"/>
    <col min="10149" max="10150" width="12.7109375" bestFit="1" customWidth="1"/>
    <col min="10151" max="10151" width="11" bestFit="1" customWidth="1"/>
    <col min="10152" max="10152" width="11.28515625" bestFit="1" customWidth="1"/>
    <col min="10153" max="10153" width="11.5703125" bestFit="1" customWidth="1"/>
    <col min="10154" max="10154" width="12.28515625" bestFit="1" customWidth="1"/>
    <col min="10155" max="10155" width="15.140625" bestFit="1" customWidth="1"/>
    <col min="10156" max="10156" width="14.42578125" bestFit="1" customWidth="1"/>
    <col min="10157" max="10157" width="12.28515625" bestFit="1" customWidth="1"/>
    <col min="10158" max="10158" width="15.140625" bestFit="1" customWidth="1"/>
    <col min="10159" max="10159" width="14.42578125" bestFit="1" customWidth="1"/>
    <col min="10160" max="10160" width="12.28515625" bestFit="1" customWidth="1"/>
    <col min="10161" max="10161" width="14.42578125" bestFit="1" customWidth="1"/>
    <col min="10162" max="10162" width="11.28515625" bestFit="1" customWidth="1"/>
    <col min="10163" max="10163" width="12.28515625" bestFit="1" customWidth="1"/>
    <col min="10164" max="10164" width="13" bestFit="1" customWidth="1"/>
    <col min="10165" max="10165" width="15.140625" bestFit="1" customWidth="1"/>
    <col min="10166" max="10166" width="12.28515625" bestFit="1" customWidth="1"/>
    <col min="10167" max="10167" width="13.85546875" bestFit="1" customWidth="1"/>
    <col min="10168" max="10168" width="11.28515625" bestFit="1" customWidth="1"/>
    <col min="10169" max="10169" width="12.28515625" bestFit="1" customWidth="1"/>
    <col min="10170" max="10170" width="13.85546875" bestFit="1" customWidth="1"/>
    <col min="10171" max="10172" width="15.140625" bestFit="1" customWidth="1"/>
    <col min="10173" max="10173" width="12.28515625" bestFit="1" customWidth="1"/>
    <col min="10174" max="10174" width="5.7109375" bestFit="1" customWidth="1"/>
    <col min="10175" max="10175" width="8.5703125" bestFit="1" customWidth="1"/>
    <col min="10176" max="10176" width="5.5703125" bestFit="1" customWidth="1"/>
    <col min="10177" max="10177" width="14.42578125" bestFit="1" customWidth="1"/>
    <col min="10178" max="10178" width="11.28515625" bestFit="1" customWidth="1"/>
    <col min="10179" max="10180" width="12.28515625" bestFit="1" customWidth="1"/>
    <col min="10181" max="10181" width="11.28515625" bestFit="1" customWidth="1"/>
    <col min="10182" max="10182" width="13.85546875" bestFit="1" customWidth="1"/>
    <col min="10183" max="10183" width="12" bestFit="1" customWidth="1"/>
    <col min="10184" max="10184" width="13.85546875" bestFit="1" customWidth="1"/>
    <col min="10185" max="10186" width="14.42578125" customWidth="1"/>
    <col min="10187" max="10187" width="10.140625" bestFit="1" customWidth="1"/>
    <col min="10188" max="10188" width="12.28515625" bestFit="1" customWidth="1"/>
    <col min="10189" max="10189" width="7.42578125" bestFit="1" customWidth="1"/>
    <col min="10190" max="10190" width="8.5703125" bestFit="1" customWidth="1"/>
    <col min="10191" max="10191" width="11.5703125" bestFit="1" customWidth="1"/>
    <col min="10192" max="10192" width="13.28515625" bestFit="1" customWidth="1"/>
    <col min="10193" max="10193" width="13.28515625" customWidth="1"/>
    <col min="10194" max="10194" width="13.140625" customWidth="1"/>
    <col min="10195" max="10195" width="12.7109375" bestFit="1" customWidth="1"/>
    <col min="10196" max="10196" width="13.28515625" bestFit="1" customWidth="1"/>
    <col min="10197" max="10199" width="13.28515625" customWidth="1"/>
    <col min="10200" max="10200" width="12.140625" bestFit="1" customWidth="1"/>
    <col min="10201" max="10201" width="12.7109375" bestFit="1" customWidth="1"/>
    <col min="10202" max="10202" width="11" customWidth="1"/>
    <col min="10203" max="10203" width="16.7109375" customWidth="1"/>
    <col min="10204" max="10204" width="17" customWidth="1"/>
    <col min="10205" max="10205" width="10.42578125" bestFit="1" customWidth="1"/>
    <col min="10249" max="10249" width="3.85546875" customWidth="1"/>
    <col min="10250" max="10250" width="15.28515625" bestFit="1" customWidth="1"/>
    <col min="10251" max="10251" width="12.28515625" customWidth="1"/>
    <col min="10252" max="10252" width="16.28515625" bestFit="1" customWidth="1"/>
    <col min="10253" max="10253" width="6.42578125" bestFit="1" customWidth="1"/>
    <col min="10254" max="10254" width="9.28515625" bestFit="1" customWidth="1"/>
    <col min="10255" max="10255" width="7.5703125" bestFit="1" customWidth="1"/>
    <col min="10256" max="10256" width="13.28515625" bestFit="1" customWidth="1"/>
    <col min="10257" max="10257" width="9.28515625" bestFit="1" customWidth="1"/>
    <col min="10258" max="10258" width="11.5703125" bestFit="1" customWidth="1"/>
    <col min="10259" max="10259" width="13.28515625" bestFit="1" customWidth="1"/>
    <col min="10260" max="10260" width="7.140625" bestFit="1" customWidth="1"/>
    <col min="10261" max="10261" width="12" bestFit="1" customWidth="1"/>
    <col min="10262" max="10262" width="13.28515625" bestFit="1" customWidth="1"/>
    <col min="10263" max="10263" width="7" bestFit="1" customWidth="1"/>
    <col min="10264" max="10264" width="12.7109375" bestFit="1" customWidth="1"/>
    <col min="10265" max="10265" width="11.5703125" bestFit="1" customWidth="1"/>
    <col min="10266" max="10266" width="10.5703125" bestFit="1" customWidth="1"/>
    <col min="10267" max="10268" width="15.7109375" bestFit="1" customWidth="1"/>
    <col min="10269" max="10269" width="11.5703125" bestFit="1" customWidth="1"/>
    <col min="10270" max="10270" width="7.7109375" bestFit="1" customWidth="1"/>
    <col min="10271" max="10271" width="15.140625" bestFit="1" customWidth="1"/>
    <col min="10272" max="10272" width="11.5703125" bestFit="1" customWidth="1"/>
    <col min="10273" max="10273" width="13.28515625" bestFit="1" customWidth="1"/>
    <col min="10274" max="10274" width="10.42578125" bestFit="1" customWidth="1"/>
    <col min="10275" max="10275" width="13.28515625" bestFit="1" customWidth="1"/>
    <col min="10276" max="10276" width="12.140625" bestFit="1" customWidth="1"/>
    <col min="10277" max="10277" width="14.42578125" bestFit="1" customWidth="1"/>
    <col min="10278" max="10278" width="13.28515625" bestFit="1" customWidth="1"/>
    <col min="10279" max="10279" width="11.5703125" bestFit="1" customWidth="1"/>
    <col min="10280" max="10280" width="7.7109375" bestFit="1" customWidth="1"/>
    <col min="10281" max="10282" width="14.42578125" bestFit="1" customWidth="1"/>
    <col min="10283" max="10283" width="11.5703125" bestFit="1" customWidth="1"/>
    <col min="10284" max="10284" width="7.7109375" bestFit="1" customWidth="1"/>
    <col min="10285" max="10285" width="13.5703125" customWidth="1"/>
    <col min="10286" max="10286" width="15.28515625" customWidth="1"/>
    <col min="10287" max="10287" width="14.5703125" customWidth="1"/>
    <col min="10288" max="10288" width="13.28515625" bestFit="1" customWidth="1"/>
    <col min="10289" max="10289" width="7.7109375" bestFit="1" customWidth="1"/>
    <col min="10290" max="10290" width="12.7109375" bestFit="1" customWidth="1"/>
    <col min="10291" max="10291" width="11.7109375" bestFit="1" customWidth="1"/>
    <col min="10292" max="10292" width="11.5703125" bestFit="1" customWidth="1"/>
    <col min="10293" max="10293" width="5.28515625" bestFit="1" customWidth="1"/>
    <col min="10294" max="10294" width="13.28515625" bestFit="1" customWidth="1"/>
    <col min="10295" max="10295" width="13.5703125" bestFit="1" customWidth="1"/>
    <col min="10296" max="10296" width="10.5703125" bestFit="1" customWidth="1"/>
    <col min="10297" max="10297" width="13.28515625" bestFit="1" customWidth="1"/>
    <col min="10298" max="10298" width="11.5703125" bestFit="1" customWidth="1"/>
    <col min="10299" max="10299" width="10.5703125" bestFit="1" customWidth="1"/>
    <col min="10300" max="10300" width="16.140625" bestFit="1" customWidth="1"/>
    <col min="10301" max="10302" width="11.28515625" bestFit="1" customWidth="1"/>
    <col min="10303" max="10303" width="13.28515625" bestFit="1" customWidth="1"/>
    <col min="10304" max="10304" width="7.7109375" bestFit="1" customWidth="1"/>
    <col min="10305" max="10308" width="9.140625" hidden="1" customWidth="1"/>
    <col min="10309" max="10309" width="10.42578125" bestFit="1" customWidth="1"/>
    <col min="10310" max="10310" width="10.5703125" bestFit="1" customWidth="1"/>
    <col min="10311" max="10311" width="10.42578125" bestFit="1" customWidth="1"/>
    <col min="10312" max="10312" width="10.5703125" bestFit="1" customWidth="1"/>
    <col min="10313" max="10313" width="9.5703125" bestFit="1" customWidth="1"/>
    <col min="10314" max="10314" width="11.5703125" bestFit="1" customWidth="1"/>
    <col min="10315" max="10315" width="10.42578125" bestFit="1" customWidth="1"/>
    <col min="10316" max="10316" width="10.85546875" customWidth="1"/>
    <col min="10317" max="10318" width="9.85546875" bestFit="1" customWidth="1"/>
    <col min="10319" max="10319" width="13.5703125" bestFit="1" customWidth="1"/>
    <col min="10320" max="10320" width="7.7109375" bestFit="1" customWidth="1"/>
    <col min="10321" max="10321" width="13.28515625" bestFit="1" customWidth="1"/>
    <col min="10322" max="10322" width="11.5703125" bestFit="1" customWidth="1"/>
    <col min="10323" max="10323" width="10.42578125" bestFit="1" customWidth="1"/>
    <col min="10324" max="10324" width="7.7109375" bestFit="1" customWidth="1"/>
    <col min="10325" max="10325" width="11.5703125" bestFit="1" customWidth="1"/>
    <col min="10326" max="10326" width="10.85546875" bestFit="1" customWidth="1"/>
    <col min="10327" max="10327" width="13.28515625" bestFit="1" customWidth="1"/>
    <col min="10328" max="10328" width="10.85546875" bestFit="1" customWidth="1"/>
    <col min="10329" max="10330" width="7.5703125" bestFit="1" customWidth="1"/>
    <col min="10331" max="10332" width="10.42578125" bestFit="1" customWidth="1"/>
    <col min="10333" max="10333" width="11.5703125" bestFit="1" customWidth="1"/>
    <col min="10334" max="10334" width="5.28515625" bestFit="1" customWidth="1"/>
    <col min="10335" max="10335" width="10.28515625" bestFit="1" customWidth="1"/>
    <col min="10336" max="10336" width="10.42578125" bestFit="1" customWidth="1"/>
    <col min="10337" max="10337" width="11.5703125" bestFit="1" customWidth="1"/>
    <col min="10338" max="10338" width="5.28515625" bestFit="1" customWidth="1"/>
    <col min="10339" max="10341" width="11.5703125" bestFit="1" customWidth="1"/>
    <col min="10342" max="10342" width="5.28515625" bestFit="1" customWidth="1"/>
    <col min="10343" max="10344" width="10.42578125" bestFit="1" customWidth="1"/>
    <col min="10345" max="10345" width="11.5703125" bestFit="1" customWidth="1"/>
    <col min="10346" max="10346" width="5.28515625" bestFit="1" customWidth="1"/>
    <col min="10347" max="10347" width="14.28515625" bestFit="1" customWidth="1"/>
    <col min="10348" max="10348" width="13" bestFit="1" customWidth="1"/>
    <col min="10349" max="10349" width="11.5703125" bestFit="1" customWidth="1"/>
    <col min="10350" max="10350" width="8.85546875" bestFit="1" customWidth="1"/>
    <col min="10351" max="10351" width="14.42578125" bestFit="1" customWidth="1"/>
    <col min="10352" max="10352" width="10.42578125" bestFit="1" customWidth="1"/>
    <col min="10353" max="10353" width="12.28515625" bestFit="1" customWidth="1"/>
    <col min="10354" max="10354" width="13.85546875" bestFit="1" customWidth="1"/>
    <col min="10355" max="10355" width="11.28515625" customWidth="1"/>
    <col min="10356" max="10356" width="11.5703125" customWidth="1"/>
    <col min="10357" max="10357" width="13.42578125" bestFit="1" customWidth="1"/>
    <col min="10358" max="10358" width="10.42578125" customWidth="1"/>
    <col min="10359" max="10359" width="13.85546875" bestFit="1" customWidth="1"/>
    <col min="10360" max="10360" width="15.42578125" bestFit="1" customWidth="1"/>
    <col min="10361" max="10361" width="12.28515625" bestFit="1" customWidth="1"/>
    <col min="10362" max="10362" width="12.7109375" customWidth="1"/>
    <col min="10363" max="10363" width="10.7109375" bestFit="1" customWidth="1"/>
    <col min="10364" max="10364" width="9.85546875" customWidth="1"/>
    <col min="10365" max="10366" width="10.140625" bestFit="1" customWidth="1"/>
    <col min="10367" max="10367" width="7.5703125" bestFit="1" customWidth="1"/>
    <col min="10368" max="10368" width="9.42578125" bestFit="1" customWidth="1"/>
    <col min="10369" max="10369" width="14.5703125" bestFit="1" customWidth="1"/>
    <col min="10370" max="10370" width="14.85546875" customWidth="1"/>
    <col min="10371" max="10371" width="15.140625" bestFit="1" customWidth="1"/>
    <col min="10372" max="10372" width="12.140625" bestFit="1" customWidth="1"/>
    <col min="10373" max="10373" width="14.85546875" bestFit="1" customWidth="1"/>
    <col min="10374" max="10374" width="12.28515625" bestFit="1" customWidth="1"/>
    <col min="10375" max="10383" width="9.140625" hidden="1" customWidth="1"/>
    <col min="10384" max="10384" width="5.28515625" bestFit="1" customWidth="1"/>
    <col min="10385" max="10390" width="11.5703125" bestFit="1" customWidth="1"/>
    <col min="10391" max="10391" width="11.28515625" bestFit="1" customWidth="1"/>
    <col min="10392" max="10392" width="10.140625" bestFit="1" customWidth="1"/>
    <col min="10393" max="10393" width="11.5703125" bestFit="1" customWidth="1"/>
    <col min="10394" max="10394" width="16.140625" customWidth="1"/>
    <col min="10395" max="10395" width="13.42578125" customWidth="1"/>
    <col min="10396" max="10396" width="10.140625" bestFit="1" customWidth="1"/>
    <col min="10397" max="10397" width="12.85546875" bestFit="1" customWidth="1"/>
    <col min="10398" max="10398" width="12.28515625" bestFit="1" customWidth="1"/>
    <col min="10399" max="10399" width="11.28515625" bestFit="1" customWidth="1"/>
    <col min="10400" max="10400" width="11.5703125" bestFit="1" customWidth="1"/>
    <col min="10401" max="10401" width="10.85546875" bestFit="1" customWidth="1"/>
    <col min="10402" max="10402" width="11.28515625" bestFit="1" customWidth="1"/>
    <col min="10403" max="10403" width="10.140625" bestFit="1" customWidth="1"/>
    <col min="10404" max="10404" width="13.28515625" bestFit="1" customWidth="1"/>
    <col min="10405" max="10406" width="12.7109375" bestFit="1" customWidth="1"/>
    <col min="10407" max="10407" width="11" bestFit="1" customWidth="1"/>
    <col min="10408" max="10408" width="11.28515625" bestFit="1" customWidth="1"/>
    <col min="10409" max="10409" width="11.5703125" bestFit="1" customWidth="1"/>
    <col min="10410" max="10410" width="12.28515625" bestFit="1" customWidth="1"/>
    <col min="10411" max="10411" width="15.140625" bestFit="1" customWidth="1"/>
    <col min="10412" max="10412" width="14.42578125" bestFit="1" customWidth="1"/>
    <col min="10413" max="10413" width="12.28515625" bestFit="1" customWidth="1"/>
    <col min="10414" max="10414" width="15.140625" bestFit="1" customWidth="1"/>
    <col min="10415" max="10415" width="14.42578125" bestFit="1" customWidth="1"/>
    <col min="10416" max="10416" width="12.28515625" bestFit="1" customWidth="1"/>
    <col min="10417" max="10417" width="14.42578125" bestFit="1" customWidth="1"/>
    <col min="10418" max="10418" width="11.28515625" bestFit="1" customWidth="1"/>
    <col min="10419" max="10419" width="12.28515625" bestFit="1" customWidth="1"/>
    <col min="10420" max="10420" width="13" bestFit="1" customWidth="1"/>
    <col min="10421" max="10421" width="15.140625" bestFit="1" customWidth="1"/>
    <col min="10422" max="10422" width="12.28515625" bestFit="1" customWidth="1"/>
    <col min="10423" max="10423" width="13.85546875" bestFit="1" customWidth="1"/>
    <col min="10424" max="10424" width="11.28515625" bestFit="1" customWidth="1"/>
    <col min="10425" max="10425" width="12.28515625" bestFit="1" customWidth="1"/>
    <col min="10426" max="10426" width="13.85546875" bestFit="1" customWidth="1"/>
    <col min="10427" max="10428" width="15.140625" bestFit="1" customWidth="1"/>
    <col min="10429" max="10429" width="12.28515625" bestFit="1" customWidth="1"/>
    <col min="10430" max="10430" width="5.7109375" bestFit="1" customWidth="1"/>
    <col min="10431" max="10431" width="8.5703125" bestFit="1" customWidth="1"/>
    <col min="10432" max="10432" width="5.5703125" bestFit="1" customWidth="1"/>
    <col min="10433" max="10433" width="14.42578125" bestFit="1" customWidth="1"/>
    <col min="10434" max="10434" width="11.28515625" bestFit="1" customWidth="1"/>
    <col min="10435" max="10436" width="12.28515625" bestFit="1" customWidth="1"/>
    <col min="10437" max="10437" width="11.28515625" bestFit="1" customWidth="1"/>
    <col min="10438" max="10438" width="13.85546875" bestFit="1" customWidth="1"/>
    <col min="10439" max="10439" width="12" bestFit="1" customWidth="1"/>
    <col min="10440" max="10440" width="13.85546875" bestFit="1" customWidth="1"/>
    <col min="10441" max="10442" width="14.42578125" customWidth="1"/>
    <col min="10443" max="10443" width="10.140625" bestFit="1" customWidth="1"/>
    <col min="10444" max="10444" width="12.28515625" bestFit="1" customWidth="1"/>
    <col min="10445" max="10445" width="7.42578125" bestFit="1" customWidth="1"/>
    <col min="10446" max="10446" width="8.5703125" bestFit="1" customWidth="1"/>
    <col min="10447" max="10447" width="11.5703125" bestFit="1" customWidth="1"/>
    <col min="10448" max="10448" width="13.28515625" bestFit="1" customWidth="1"/>
    <col min="10449" max="10449" width="13.28515625" customWidth="1"/>
    <col min="10450" max="10450" width="13.140625" customWidth="1"/>
    <col min="10451" max="10451" width="12.7109375" bestFit="1" customWidth="1"/>
    <col min="10452" max="10452" width="13.28515625" bestFit="1" customWidth="1"/>
    <col min="10453" max="10455" width="13.28515625" customWidth="1"/>
    <col min="10456" max="10456" width="12.140625" bestFit="1" customWidth="1"/>
    <col min="10457" max="10457" width="12.7109375" bestFit="1" customWidth="1"/>
    <col min="10458" max="10458" width="11" customWidth="1"/>
    <col min="10459" max="10459" width="16.7109375" customWidth="1"/>
    <col min="10460" max="10460" width="17" customWidth="1"/>
    <col min="10461" max="10461" width="10.42578125" bestFit="1" customWidth="1"/>
    <col min="10505" max="10505" width="3.85546875" customWidth="1"/>
    <col min="10506" max="10506" width="15.28515625" bestFit="1" customWidth="1"/>
    <col min="10507" max="10507" width="12.28515625" customWidth="1"/>
    <col min="10508" max="10508" width="16.28515625" bestFit="1" customWidth="1"/>
    <col min="10509" max="10509" width="6.42578125" bestFit="1" customWidth="1"/>
    <col min="10510" max="10510" width="9.28515625" bestFit="1" customWidth="1"/>
    <col min="10511" max="10511" width="7.5703125" bestFit="1" customWidth="1"/>
    <col min="10512" max="10512" width="13.28515625" bestFit="1" customWidth="1"/>
    <col min="10513" max="10513" width="9.28515625" bestFit="1" customWidth="1"/>
    <col min="10514" max="10514" width="11.5703125" bestFit="1" customWidth="1"/>
    <col min="10515" max="10515" width="13.28515625" bestFit="1" customWidth="1"/>
    <col min="10516" max="10516" width="7.140625" bestFit="1" customWidth="1"/>
    <col min="10517" max="10517" width="12" bestFit="1" customWidth="1"/>
    <col min="10518" max="10518" width="13.28515625" bestFit="1" customWidth="1"/>
    <col min="10519" max="10519" width="7" bestFit="1" customWidth="1"/>
    <col min="10520" max="10520" width="12.7109375" bestFit="1" customWidth="1"/>
    <col min="10521" max="10521" width="11.5703125" bestFit="1" customWidth="1"/>
    <col min="10522" max="10522" width="10.5703125" bestFit="1" customWidth="1"/>
    <col min="10523" max="10524" width="15.7109375" bestFit="1" customWidth="1"/>
    <col min="10525" max="10525" width="11.5703125" bestFit="1" customWidth="1"/>
    <col min="10526" max="10526" width="7.7109375" bestFit="1" customWidth="1"/>
    <col min="10527" max="10527" width="15.140625" bestFit="1" customWidth="1"/>
    <col min="10528" max="10528" width="11.5703125" bestFit="1" customWidth="1"/>
    <col min="10529" max="10529" width="13.28515625" bestFit="1" customWidth="1"/>
    <col min="10530" max="10530" width="10.42578125" bestFit="1" customWidth="1"/>
    <col min="10531" max="10531" width="13.28515625" bestFit="1" customWidth="1"/>
    <col min="10532" max="10532" width="12.140625" bestFit="1" customWidth="1"/>
    <col min="10533" max="10533" width="14.42578125" bestFit="1" customWidth="1"/>
    <col min="10534" max="10534" width="13.28515625" bestFit="1" customWidth="1"/>
    <col min="10535" max="10535" width="11.5703125" bestFit="1" customWidth="1"/>
    <col min="10536" max="10536" width="7.7109375" bestFit="1" customWidth="1"/>
    <col min="10537" max="10538" width="14.42578125" bestFit="1" customWidth="1"/>
    <col min="10539" max="10539" width="11.5703125" bestFit="1" customWidth="1"/>
    <col min="10540" max="10540" width="7.7109375" bestFit="1" customWidth="1"/>
    <col min="10541" max="10541" width="13.5703125" customWidth="1"/>
    <col min="10542" max="10542" width="15.28515625" customWidth="1"/>
    <col min="10543" max="10543" width="14.5703125" customWidth="1"/>
    <col min="10544" max="10544" width="13.28515625" bestFit="1" customWidth="1"/>
    <col min="10545" max="10545" width="7.7109375" bestFit="1" customWidth="1"/>
    <col min="10546" max="10546" width="12.7109375" bestFit="1" customWidth="1"/>
    <col min="10547" max="10547" width="11.7109375" bestFit="1" customWidth="1"/>
    <col min="10548" max="10548" width="11.5703125" bestFit="1" customWidth="1"/>
    <col min="10549" max="10549" width="5.28515625" bestFit="1" customWidth="1"/>
    <col min="10550" max="10550" width="13.28515625" bestFit="1" customWidth="1"/>
    <col min="10551" max="10551" width="13.5703125" bestFit="1" customWidth="1"/>
    <col min="10552" max="10552" width="10.5703125" bestFit="1" customWidth="1"/>
    <col min="10553" max="10553" width="13.28515625" bestFit="1" customWidth="1"/>
    <col min="10554" max="10554" width="11.5703125" bestFit="1" customWidth="1"/>
    <col min="10555" max="10555" width="10.5703125" bestFit="1" customWidth="1"/>
    <col min="10556" max="10556" width="16.140625" bestFit="1" customWidth="1"/>
    <col min="10557" max="10558" width="11.28515625" bestFit="1" customWidth="1"/>
    <col min="10559" max="10559" width="13.28515625" bestFit="1" customWidth="1"/>
    <col min="10560" max="10560" width="7.7109375" bestFit="1" customWidth="1"/>
    <col min="10561" max="10564" width="9.140625" hidden="1" customWidth="1"/>
    <col min="10565" max="10565" width="10.42578125" bestFit="1" customWidth="1"/>
    <col min="10566" max="10566" width="10.5703125" bestFit="1" customWidth="1"/>
    <col min="10567" max="10567" width="10.42578125" bestFit="1" customWidth="1"/>
    <col min="10568" max="10568" width="10.5703125" bestFit="1" customWidth="1"/>
    <col min="10569" max="10569" width="9.5703125" bestFit="1" customWidth="1"/>
    <col min="10570" max="10570" width="11.5703125" bestFit="1" customWidth="1"/>
    <col min="10571" max="10571" width="10.42578125" bestFit="1" customWidth="1"/>
    <col min="10572" max="10572" width="10.85546875" customWidth="1"/>
    <col min="10573" max="10574" width="9.85546875" bestFit="1" customWidth="1"/>
    <col min="10575" max="10575" width="13.5703125" bestFit="1" customWidth="1"/>
    <col min="10576" max="10576" width="7.7109375" bestFit="1" customWidth="1"/>
    <col min="10577" max="10577" width="13.28515625" bestFit="1" customWidth="1"/>
    <col min="10578" max="10578" width="11.5703125" bestFit="1" customWidth="1"/>
    <col min="10579" max="10579" width="10.42578125" bestFit="1" customWidth="1"/>
    <col min="10580" max="10580" width="7.7109375" bestFit="1" customWidth="1"/>
    <col min="10581" max="10581" width="11.5703125" bestFit="1" customWidth="1"/>
    <col min="10582" max="10582" width="10.85546875" bestFit="1" customWidth="1"/>
    <col min="10583" max="10583" width="13.28515625" bestFit="1" customWidth="1"/>
    <col min="10584" max="10584" width="10.85546875" bestFit="1" customWidth="1"/>
    <col min="10585" max="10586" width="7.5703125" bestFit="1" customWidth="1"/>
    <col min="10587" max="10588" width="10.42578125" bestFit="1" customWidth="1"/>
    <col min="10589" max="10589" width="11.5703125" bestFit="1" customWidth="1"/>
    <col min="10590" max="10590" width="5.28515625" bestFit="1" customWidth="1"/>
    <col min="10591" max="10591" width="10.28515625" bestFit="1" customWidth="1"/>
    <col min="10592" max="10592" width="10.42578125" bestFit="1" customWidth="1"/>
    <col min="10593" max="10593" width="11.5703125" bestFit="1" customWidth="1"/>
    <col min="10594" max="10594" width="5.28515625" bestFit="1" customWidth="1"/>
    <col min="10595" max="10597" width="11.5703125" bestFit="1" customWidth="1"/>
    <col min="10598" max="10598" width="5.28515625" bestFit="1" customWidth="1"/>
    <col min="10599" max="10600" width="10.42578125" bestFit="1" customWidth="1"/>
    <col min="10601" max="10601" width="11.5703125" bestFit="1" customWidth="1"/>
    <col min="10602" max="10602" width="5.28515625" bestFit="1" customWidth="1"/>
    <col min="10603" max="10603" width="14.28515625" bestFit="1" customWidth="1"/>
    <col min="10604" max="10604" width="13" bestFit="1" customWidth="1"/>
    <col min="10605" max="10605" width="11.5703125" bestFit="1" customWidth="1"/>
    <col min="10606" max="10606" width="8.85546875" bestFit="1" customWidth="1"/>
    <col min="10607" max="10607" width="14.42578125" bestFit="1" customWidth="1"/>
    <col min="10608" max="10608" width="10.42578125" bestFit="1" customWidth="1"/>
    <col min="10609" max="10609" width="12.28515625" bestFit="1" customWidth="1"/>
    <col min="10610" max="10610" width="13.85546875" bestFit="1" customWidth="1"/>
    <col min="10611" max="10611" width="11.28515625" customWidth="1"/>
    <col min="10612" max="10612" width="11.5703125" customWidth="1"/>
    <col min="10613" max="10613" width="13.42578125" bestFit="1" customWidth="1"/>
    <col min="10614" max="10614" width="10.42578125" customWidth="1"/>
    <col min="10615" max="10615" width="13.85546875" bestFit="1" customWidth="1"/>
    <col min="10616" max="10616" width="15.42578125" bestFit="1" customWidth="1"/>
    <col min="10617" max="10617" width="12.28515625" bestFit="1" customWidth="1"/>
    <col min="10618" max="10618" width="12.7109375" customWidth="1"/>
    <col min="10619" max="10619" width="10.7109375" bestFit="1" customWidth="1"/>
    <col min="10620" max="10620" width="9.85546875" customWidth="1"/>
    <col min="10621" max="10622" width="10.140625" bestFit="1" customWidth="1"/>
    <col min="10623" max="10623" width="7.5703125" bestFit="1" customWidth="1"/>
    <col min="10624" max="10624" width="9.42578125" bestFit="1" customWidth="1"/>
    <col min="10625" max="10625" width="14.5703125" bestFit="1" customWidth="1"/>
    <col min="10626" max="10626" width="14.85546875" customWidth="1"/>
    <col min="10627" max="10627" width="15.140625" bestFit="1" customWidth="1"/>
    <col min="10628" max="10628" width="12.140625" bestFit="1" customWidth="1"/>
    <col min="10629" max="10629" width="14.85546875" bestFit="1" customWidth="1"/>
    <col min="10630" max="10630" width="12.28515625" bestFit="1" customWidth="1"/>
    <col min="10631" max="10639" width="9.140625" hidden="1" customWidth="1"/>
    <col min="10640" max="10640" width="5.28515625" bestFit="1" customWidth="1"/>
    <col min="10641" max="10646" width="11.5703125" bestFit="1" customWidth="1"/>
    <col min="10647" max="10647" width="11.28515625" bestFit="1" customWidth="1"/>
    <col min="10648" max="10648" width="10.140625" bestFit="1" customWidth="1"/>
    <col min="10649" max="10649" width="11.5703125" bestFit="1" customWidth="1"/>
    <col min="10650" max="10650" width="16.140625" customWidth="1"/>
    <col min="10651" max="10651" width="13.42578125" customWidth="1"/>
    <col min="10652" max="10652" width="10.140625" bestFit="1" customWidth="1"/>
    <col min="10653" max="10653" width="12.85546875" bestFit="1" customWidth="1"/>
    <col min="10654" max="10654" width="12.28515625" bestFit="1" customWidth="1"/>
    <col min="10655" max="10655" width="11.28515625" bestFit="1" customWidth="1"/>
    <col min="10656" max="10656" width="11.5703125" bestFit="1" customWidth="1"/>
    <col min="10657" max="10657" width="10.85546875" bestFit="1" customWidth="1"/>
    <col min="10658" max="10658" width="11.28515625" bestFit="1" customWidth="1"/>
    <col min="10659" max="10659" width="10.140625" bestFit="1" customWidth="1"/>
    <col min="10660" max="10660" width="13.28515625" bestFit="1" customWidth="1"/>
    <col min="10661" max="10662" width="12.7109375" bestFit="1" customWidth="1"/>
    <col min="10663" max="10663" width="11" bestFit="1" customWidth="1"/>
    <col min="10664" max="10664" width="11.28515625" bestFit="1" customWidth="1"/>
    <col min="10665" max="10665" width="11.5703125" bestFit="1" customWidth="1"/>
    <col min="10666" max="10666" width="12.28515625" bestFit="1" customWidth="1"/>
    <col min="10667" max="10667" width="15.140625" bestFit="1" customWidth="1"/>
    <col min="10668" max="10668" width="14.42578125" bestFit="1" customWidth="1"/>
    <col min="10669" max="10669" width="12.28515625" bestFit="1" customWidth="1"/>
    <col min="10670" max="10670" width="15.140625" bestFit="1" customWidth="1"/>
    <col min="10671" max="10671" width="14.42578125" bestFit="1" customWidth="1"/>
    <col min="10672" max="10672" width="12.28515625" bestFit="1" customWidth="1"/>
    <col min="10673" max="10673" width="14.42578125" bestFit="1" customWidth="1"/>
    <col min="10674" max="10674" width="11.28515625" bestFit="1" customWidth="1"/>
    <col min="10675" max="10675" width="12.28515625" bestFit="1" customWidth="1"/>
    <col min="10676" max="10676" width="13" bestFit="1" customWidth="1"/>
    <col min="10677" max="10677" width="15.140625" bestFit="1" customWidth="1"/>
    <col min="10678" max="10678" width="12.28515625" bestFit="1" customWidth="1"/>
    <col min="10679" max="10679" width="13.85546875" bestFit="1" customWidth="1"/>
    <col min="10680" max="10680" width="11.28515625" bestFit="1" customWidth="1"/>
    <col min="10681" max="10681" width="12.28515625" bestFit="1" customWidth="1"/>
    <col min="10682" max="10682" width="13.85546875" bestFit="1" customWidth="1"/>
    <col min="10683" max="10684" width="15.140625" bestFit="1" customWidth="1"/>
    <col min="10685" max="10685" width="12.28515625" bestFit="1" customWidth="1"/>
    <col min="10686" max="10686" width="5.7109375" bestFit="1" customWidth="1"/>
    <col min="10687" max="10687" width="8.5703125" bestFit="1" customWidth="1"/>
    <col min="10688" max="10688" width="5.5703125" bestFit="1" customWidth="1"/>
    <col min="10689" max="10689" width="14.42578125" bestFit="1" customWidth="1"/>
    <col min="10690" max="10690" width="11.28515625" bestFit="1" customWidth="1"/>
    <col min="10691" max="10692" width="12.28515625" bestFit="1" customWidth="1"/>
    <col min="10693" max="10693" width="11.28515625" bestFit="1" customWidth="1"/>
    <col min="10694" max="10694" width="13.85546875" bestFit="1" customWidth="1"/>
    <col min="10695" max="10695" width="12" bestFit="1" customWidth="1"/>
    <col min="10696" max="10696" width="13.85546875" bestFit="1" customWidth="1"/>
    <col min="10697" max="10698" width="14.42578125" customWidth="1"/>
    <col min="10699" max="10699" width="10.140625" bestFit="1" customWidth="1"/>
    <col min="10700" max="10700" width="12.28515625" bestFit="1" customWidth="1"/>
    <col min="10701" max="10701" width="7.42578125" bestFit="1" customWidth="1"/>
    <col min="10702" max="10702" width="8.5703125" bestFit="1" customWidth="1"/>
    <col min="10703" max="10703" width="11.5703125" bestFit="1" customWidth="1"/>
    <col min="10704" max="10704" width="13.28515625" bestFit="1" customWidth="1"/>
    <col min="10705" max="10705" width="13.28515625" customWidth="1"/>
    <col min="10706" max="10706" width="13.140625" customWidth="1"/>
    <col min="10707" max="10707" width="12.7109375" bestFit="1" customWidth="1"/>
    <col min="10708" max="10708" width="13.28515625" bestFit="1" customWidth="1"/>
    <col min="10709" max="10711" width="13.28515625" customWidth="1"/>
    <col min="10712" max="10712" width="12.140625" bestFit="1" customWidth="1"/>
    <col min="10713" max="10713" width="12.7109375" bestFit="1" customWidth="1"/>
    <col min="10714" max="10714" width="11" customWidth="1"/>
    <col min="10715" max="10715" width="16.7109375" customWidth="1"/>
    <col min="10716" max="10716" width="17" customWidth="1"/>
    <col min="10717" max="10717" width="10.42578125" bestFit="1" customWidth="1"/>
    <col min="10761" max="10761" width="3.85546875" customWidth="1"/>
    <col min="10762" max="10762" width="15.28515625" bestFit="1" customWidth="1"/>
    <col min="10763" max="10763" width="12.28515625" customWidth="1"/>
    <col min="10764" max="10764" width="16.28515625" bestFit="1" customWidth="1"/>
    <col min="10765" max="10765" width="6.42578125" bestFit="1" customWidth="1"/>
    <col min="10766" max="10766" width="9.28515625" bestFit="1" customWidth="1"/>
    <col min="10767" max="10767" width="7.5703125" bestFit="1" customWidth="1"/>
    <col min="10768" max="10768" width="13.28515625" bestFit="1" customWidth="1"/>
    <col min="10769" max="10769" width="9.28515625" bestFit="1" customWidth="1"/>
    <col min="10770" max="10770" width="11.5703125" bestFit="1" customWidth="1"/>
    <col min="10771" max="10771" width="13.28515625" bestFit="1" customWidth="1"/>
    <col min="10772" max="10772" width="7.140625" bestFit="1" customWidth="1"/>
    <col min="10773" max="10773" width="12" bestFit="1" customWidth="1"/>
    <col min="10774" max="10774" width="13.28515625" bestFit="1" customWidth="1"/>
    <col min="10775" max="10775" width="7" bestFit="1" customWidth="1"/>
    <col min="10776" max="10776" width="12.7109375" bestFit="1" customWidth="1"/>
    <col min="10777" max="10777" width="11.5703125" bestFit="1" customWidth="1"/>
    <col min="10778" max="10778" width="10.5703125" bestFit="1" customWidth="1"/>
    <col min="10779" max="10780" width="15.7109375" bestFit="1" customWidth="1"/>
    <col min="10781" max="10781" width="11.5703125" bestFit="1" customWidth="1"/>
    <col min="10782" max="10782" width="7.7109375" bestFit="1" customWidth="1"/>
    <col min="10783" max="10783" width="15.140625" bestFit="1" customWidth="1"/>
    <col min="10784" max="10784" width="11.5703125" bestFit="1" customWidth="1"/>
    <col min="10785" max="10785" width="13.28515625" bestFit="1" customWidth="1"/>
    <col min="10786" max="10786" width="10.42578125" bestFit="1" customWidth="1"/>
    <col min="10787" max="10787" width="13.28515625" bestFit="1" customWidth="1"/>
    <col min="10788" max="10788" width="12.140625" bestFit="1" customWidth="1"/>
    <col min="10789" max="10789" width="14.42578125" bestFit="1" customWidth="1"/>
    <col min="10790" max="10790" width="13.28515625" bestFit="1" customWidth="1"/>
    <col min="10791" max="10791" width="11.5703125" bestFit="1" customWidth="1"/>
    <col min="10792" max="10792" width="7.7109375" bestFit="1" customWidth="1"/>
    <col min="10793" max="10794" width="14.42578125" bestFit="1" customWidth="1"/>
    <col min="10795" max="10795" width="11.5703125" bestFit="1" customWidth="1"/>
    <col min="10796" max="10796" width="7.7109375" bestFit="1" customWidth="1"/>
    <col min="10797" max="10797" width="13.5703125" customWidth="1"/>
    <col min="10798" max="10798" width="15.28515625" customWidth="1"/>
    <col min="10799" max="10799" width="14.5703125" customWidth="1"/>
    <col min="10800" max="10800" width="13.28515625" bestFit="1" customWidth="1"/>
    <col min="10801" max="10801" width="7.7109375" bestFit="1" customWidth="1"/>
    <col min="10802" max="10802" width="12.7109375" bestFit="1" customWidth="1"/>
    <col min="10803" max="10803" width="11.7109375" bestFit="1" customWidth="1"/>
    <col min="10804" max="10804" width="11.5703125" bestFit="1" customWidth="1"/>
    <col min="10805" max="10805" width="5.28515625" bestFit="1" customWidth="1"/>
    <col min="10806" max="10806" width="13.28515625" bestFit="1" customWidth="1"/>
    <col min="10807" max="10807" width="13.5703125" bestFit="1" customWidth="1"/>
    <col min="10808" max="10808" width="10.5703125" bestFit="1" customWidth="1"/>
    <col min="10809" max="10809" width="13.28515625" bestFit="1" customWidth="1"/>
    <col min="10810" max="10810" width="11.5703125" bestFit="1" customWidth="1"/>
    <col min="10811" max="10811" width="10.5703125" bestFit="1" customWidth="1"/>
    <col min="10812" max="10812" width="16.140625" bestFit="1" customWidth="1"/>
    <col min="10813" max="10814" width="11.28515625" bestFit="1" customWidth="1"/>
    <col min="10815" max="10815" width="13.28515625" bestFit="1" customWidth="1"/>
    <col min="10816" max="10816" width="7.7109375" bestFit="1" customWidth="1"/>
    <col min="10817" max="10820" width="9.140625" hidden="1" customWidth="1"/>
    <col min="10821" max="10821" width="10.42578125" bestFit="1" customWidth="1"/>
    <col min="10822" max="10822" width="10.5703125" bestFit="1" customWidth="1"/>
    <col min="10823" max="10823" width="10.42578125" bestFit="1" customWidth="1"/>
    <col min="10824" max="10824" width="10.5703125" bestFit="1" customWidth="1"/>
    <col min="10825" max="10825" width="9.5703125" bestFit="1" customWidth="1"/>
    <col min="10826" max="10826" width="11.5703125" bestFit="1" customWidth="1"/>
    <col min="10827" max="10827" width="10.42578125" bestFit="1" customWidth="1"/>
    <col min="10828" max="10828" width="10.85546875" customWidth="1"/>
    <col min="10829" max="10830" width="9.85546875" bestFit="1" customWidth="1"/>
    <col min="10831" max="10831" width="13.5703125" bestFit="1" customWidth="1"/>
    <col min="10832" max="10832" width="7.7109375" bestFit="1" customWidth="1"/>
    <col min="10833" max="10833" width="13.28515625" bestFit="1" customWidth="1"/>
    <col min="10834" max="10834" width="11.5703125" bestFit="1" customWidth="1"/>
    <col min="10835" max="10835" width="10.42578125" bestFit="1" customWidth="1"/>
    <col min="10836" max="10836" width="7.7109375" bestFit="1" customWidth="1"/>
    <col min="10837" max="10837" width="11.5703125" bestFit="1" customWidth="1"/>
    <col min="10838" max="10838" width="10.85546875" bestFit="1" customWidth="1"/>
    <col min="10839" max="10839" width="13.28515625" bestFit="1" customWidth="1"/>
    <col min="10840" max="10840" width="10.85546875" bestFit="1" customWidth="1"/>
    <col min="10841" max="10842" width="7.5703125" bestFit="1" customWidth="1"/>
    <col min="10843" max="10844" width="10.42578125" bestFit="1" customWidth="1"/>
    <col min="10845" max="10845" width="11.5703125" bestFit="1" customWidth="1"/>
    <col min="10846" max="10846" width="5.28515625" bestFit="1" customWidth="1"/>
    <col min="10847" max="10847" width="10.28515625" bestFit="1" customWidth="1"/>
    <col min="10848" max="10848" width="10.42578125" bestFit="1" customWidth="1"/>
    <col min="10849" max="10849" width="11.5703125" bestFit="1" customWidth="1"/>
    <col min="10850" max="10850" width="5.28515625" bestFit="1" customWidth="1"/>
    <col min="10851" max="10853" width="11.5703125" bestFit="1" customWidth="1"/>
    <col min="10854" max="10854" width="5.28515625" bestFit="1" customWidth="1"/>
    <col min="10855" max="10856" width="10.42578125" bestFit="1" customWidth="1"/>
    <col min="10857" max="10857" width="11.5703125" bestFit="1" customWidth="1"/>
    <col min="10858" max="10858" width="5.28515625" bestFit="1" customWidth="1"/>
    <col min="10859" max="10859" width="14.28515625" bestFit="1" customWidth="1"/>
    <col min="10860" max="10860" width="13" bestFit="1" customWidth="1"/>
    <col min="10861" max="10861" width="11.5703125" bestFit="1" customWidth="1"/>
    <col min="10862" max="10862" width="8.85546875" bestFit="1" customWidth="1"/>
    <col min="10863" max="10863" width="14.42578125" bestFit="1" customWidth="1"/>
    <col min="10864" max="10864" width="10.42578125" bestFit="1" customWidth="1"/>
    <col min="10865" max="10865" width="12.28515625" bestFit="1" customWidth="1"/>
    <col min="10866" max="10866" width="13.85546875" bestFit="1" customWidth="1"/>
    <col min="10867" max="10867" width="11.28515625" customWidth="1"/>
    <col min="10868" max="10868" width="11.5703125" customWidth="1"/>
    <col min="10869" max="10869" width="13.42578125" bestFit="1" customWidth="1"/>
    <col min="10870" max="10870" width="10.42578125" customWidth="1"/>
    <col min="10871" max="10871" width="13.85546875" bestFit="1" customWidth="1"/>
    <col min="10872" max="10872" width="15.42578125" bestFit="1" customWidth="1"/>
    <col min="10873" max="10873" width="12.28515625" bestFit="1" customWidth="1"/>
    <col min="10874" max="10874" width="12.7109375" customWidth="1"/>
    <col min="10875" max="10875" width="10.7109375" bestFit="1" customWidth="1"/>
    <col min="10876" max="10876" width="9.85546875" customWidth="1"/>
    <col min="10877" max="10878" width="10.140625" bestFit="1" customWidth="1"/>
    <col min="10879" max="10879" width="7.5703125" bestFit="1" customWidth="1"/>
    <col min="10880" max="10880" width="9.42578125" bestFit="1" customWidth="1"/>
    <col min="10881" max="10881" width="14.5703125" bestFit="1" customWidth="1"/>
    <col min="10882" max="10882" width="14.85546875" customWidth="1"/>
    <col min="10883" max="10883" width="15.140625" bestFit="1" customWidth="1"/>
    <col min="10884" max="10884" width="12.140625" bestFit="1" customWidth="1"/>
    <col min="10885" max="10885" width="14.85546875" bestFit="1" customWidth="1"/>
    <col min="10886" max="10886" width="12.28515625" bestFit="1" customWidth="1"/>
    <col min="10887" max="10895" width="9.140625" hidden="1" customWidth="1"/>
    <col min="10896" max="10896" width="5.28515625" bestFit="1" customWidth="1"/>
    <col min="10897" max="10902" width="11.5703125" bestFit="1" customWidth="1"/>
    <col min="10903" max="10903" width="11.28515625" bestFit="1" customWidth="1"/>
    <col min="10904" max="10904" width="10.140625" bestFit="1" customWidth="1"/>
    <col min="10905" max="10905" width="11.5703125" bestFit="1" customWidth="1"/>
    <col min="10906" max="10906" width="16.140625" customWidth="1"/>
    <col min="10907" max="10907" width="13.42578125" customWidth="1"/>
    <col min="10908" max="10908" width="10.140625" bestFit="1" customWidth="1"/>
    <col min="10909" max="10909" width="12.85546875" bestFit="1" customWidth="1"/>
    <col min="10910" max="10910" width="12.28515625" bestFit="1" customWidth="1"/>
    <col min="10911" max="10911" width="11.28515625" bestFit="1" customWidth="1"/>
    <col min="10912" max="10912" width="11.5703125" bestFit="1" customWidth="1"/>
    <col min="10913" max="10913" width="10.85546875" bestFit="1" customWidth="1"/>
    <col min="10914" max="10914" width="11.28515625" bestFit="1" customWidth="1"/>
    <col min="10915" max="10915" width="10.140625" bestFit="1" customWidth="1"/>
    <col min="10916" max="10916" width="13.28515625" bestFit="1" customWidth="1"/>
    <col min="10917" max="10918" width="12.7109375" bestFit="1" customWidth="1"/>
    <col min="10919" max="10919" width="11" bestFit="1" customWidth="1"/>
    <col min="10920" max="10920" width="11.28515625" bestFit="1" customWidth="1"/>
    <col min="10921" max="10921" width="11.5703125" bestFit="1" customWidth="1"/>
    <col min="10922" max="10922" width="12.28515625" bestFit="1" customWidth="1"/>
    <col min="10923" max="10923" width="15.140625" bestFit="1" customWidth="1"/>
    <col min="10924" max="10924" width="14.42578125" bestFit="1" customWidth="1"/>
    <col min="10925" max="10925" width="12.28515625" bestFit="1" customWidth="1"/>
    <col min="10926" max="10926" width="15.140625" bestFit="1" customWidth="1"/>
    <col min="10927" max="10927" width="14.42578125" bestFit="1" customWidth="1"/>
    <col min="10928" max="10928" width="12.28515625" bestFit="1" customWidth="1"/>
    <col min="10929" max="10929" width="14.42578125" bestFit="1" customWidth="1"/>
    <col min="10930" max="10930" width="11.28515625" bestFit="1" customWidth="1"/>
    <col min="10931" max="10931" width="12.28515625" bestFit="1" customWidth="1"/>
    <col min="10932" max="10932" width="13" bestFit="1" customWidth="1"/>
    <col min="10933" max="10933" width="15.140625" bestFit="1" customWidth="1"/>
    <col min="10934" max="10934" width="12.28515625" bestFit="1" customWidth="1"/>
    <col min="10935" max="10935" width="13.85546875" bestFit="1" customWidth="1"/>
    <col min="10936" max="10936" width="11.28515625" bestFit="1" customWidth="1"/>
    <col min="10937" max="10937" width="12.28515625" bestFit="1" customWidth="1"/>
    <col min="10938" max="10938" width="13.85546875" bestFit="1" customWidth="1"/>
    <col min="10939" max="10940" width="15.140625" bestFit="1" customWidth="1"/>
    <col min="10941" max="10941" width="12.28515625" bestFit="1" customWidth="1"/>
    <col min="10942" max="10942" width="5.7109375" bestFit="1" customWidth="1"/>
    <col min="10943" max="10943" width="8.5703125" bestFit="1" customWidth="1"/>
    <col min="10944" max="10944" width="5.5703125" bestFit="1" customWidth="1"/>
    <col min="10945" max="10945" width="14.42578125" bestFit="1" customWidth="1"/>
    <col min="10946" max="10946" width="11.28515625" bestFit="1" customWidth="1"/>
    <col min="10947" max="10948" width="12.28515625" bestFit="1" customWidth="1"/>
    <col min="10949" max="10949" width="11.28515625" bestFit="1" customWidth="1"/>
    <col min="10950" max="10950" width="13.85546875" bestFit="1" customWidth="1"/>
    <col min="10951" max="10951" width="12" bestFit="1" customWidth="1"/>
    <col min="10952" max="10952" width="13.85546875" bestFit="1" customWidth="1"/>
    <col min="10953" max="10954" width="14.42578125" customWidth="1"/>
    <col min="10955" max="10955" width="10.140625" bestFit="1" customWidth="1"/>
    <col min="10956" max="10956" width="12.28515625" bestFit="1" customWidth="1"/>
    <col min="10957" max="10957" width="7.42578125" bestFit="1" customWidth="1"/>
    <col min="10958" max="10958" width="8.5703125" bestFit="1" customWidth="1"/>
    <col min="10959" max="10959" width="11.5703125" bestFit="1" customWidth="1"/>
    <col min="10960" max="10960" width="13.28515625" bestFit="1" customWidth="1"/>
    <col min="10961" max="10961" width="13.28515625" customWidth="1"/>
    <col min="10962" max="10962" width="13.140625" customWidth="1"/>
    <col min="10963" max="10963" width="12.7109375" bestFit="1" customWidth="1"/>
    <col min="10964" max="10964" width="13.28515625" bestFit="1" customWidth="1"/>
    <col min="10965" max="10967" width="13.28515625" customWidth="1"/>
    <col min="10968" max="10968" width="12.140625" bestFit="1" customWidth="1"/>
    <col min="10969" max="10969" width="12.7109375" bestFit="1" customWidth="1"/>
    <col min="10970" max="10970" width="11" customWidth="1"/>
    <col min="10971" max="10971" width="16.7109375" customWidth="1"/>
    <col min="10972" max="10972" width="17" customWidth="1"/>
    <col min="10973" max="10973" width="10.42578125" bestFit="1" customWidth="1"/>
    <col min="11017" max="11017" width="3.85546875" customWidth="1"/>
    <col min="11018" max="11018" width="15.28515625" bestFit="1" customWidth="1"/>
    <col min="11019" max="11019" width="12.28515625" customWidth="1"/>
    <col min="11020" max="11020" width="16.28515625" bestFit="1" customWidth="1"/>
    <col min="11021" max="11021" width="6.42578125" bestFit="1" customWidth="1"/>
    <col min="11022" max="11022" width="9.28515625" bestFit="1" customWidth="1"/>
    <col min="11023" max="11023" width="7.5703125" bestFit="1" customWidth="1"/>
    <col min="11024" max="11024" width="13.28515625" bestFit="1" customWidth="1"/>
    <col min="11025" max="11025" width="9.28515625" bestFit="1" customWidth="1"/>
    <col min="11026" max="11026" width="11.5703125" bestFit="1" customWidth="1"/>
    <col min="11027" max="11027" width="13.28515625" bestFit="1" customWidth="1"/>
    <col min="11028" max="11028" width="7.140625" bestFit="1" customWidth="1"/>
    <col min="11029" max="11029" width="12" bestFit="1" customWidth="1"/>
    <col min="11030" max="11030" width="13.28515625" bestFit="1" customWidth="1"/>
    <col min="11031" max="11031" width="7" bestFit="1" customWidth="1"/>
    <col min="11032" max="11032" width="12.7109375" bestFit="1" customWidth="1"/>
    <col min="11033" max="11033" width="11.5703125" bestFit="1" customWidth="1"/>
    <col min="11034" max="11034" width="10.5703125" bestFit="1" customWidth="1"/>
    <col min="11035" max="11036" width="15.7109375" bestFit="1" customWidth="1"/>
    <col min="11037" max="11037" width="11.5703125" bestFit="1" customWidth="1"/>
    <col min="11038" max="11038" width="7.7109375" bestFit="1" customWidth="1"/>
    <col min="11039" max="11039" width="15.140625" bestFit="1" customWidth="1"/>
    <col min="11040" max="11040" width="11.5703125" bestFit="1" customWidth="1"/>
    <col min="11041" max="11041" width="13.28515625" bestFit="1" customWidth="1"/>
    <col min="11042" max="11042" width="10.42578125" bestFit="1" customWidth="1"/>
    <col min="11043" max="11043" width="13.28515625" bestFit="1" customWidth="1"/>
    <col min="11044" max="11044" width="12.140625" bestFit="1" customWidth="1"/>
    <col min="11045" max="11045" width="14.42578125" bestFit="1" customWidth="1"/>
    <col min="11046" max="11046" width="13.28515625" bestFit="1" customWidth="1"/>
    <col min="11047" max="11047" width="11.5703125" bestFit="1" customWidth="1"/>
    <col min="11048" max="11048" width="7.7109375" bestFit="1" customWidth="1"/>
    <col min="11049" max="11050" width="14.42578125" bestFit="1" customWidth="1"/>
    <col min="11051" max="11051" width="11.5703125" bestFit="1" customWidth="1"/>
    <col min="11052" max="11052" width="7.7109375" bestFit="1" customWidth="1"/>
    <col min="11053" max="11053" width="13.5703125" customWidth="1"/>
    <col min="11054" max="11054" width="15.28515625" customWidth="1"/>
    <col min="11055" max="11055" width="14.5703125" customWidth="1"/>
    <col min="11056" max="11056" width="13.28515625" bestFit="1" customWidth="1"/>
    <col min="11057" max="11057" width="7.7109375" bestFit="1" customWidth="1"/>
    <col min="11058" max="11058" width="12.7109375" bestFit="1" customWidth="1"/>
    <col min="11059" max="11059" width="11.7109375" bestFit="1" customWidth="1"/>
    <col min="11060" max="11060" width="11.5703125" bestFit="1" customWidth="1"/>
    <col min="11061" max="11061" width="5.28515625" bestFit="1" customWidth="1"/>
    <col min="11062" max="11062" width="13.28515625" bestFit="1" customWidth="1"/>
    <col min="11063" max="11063" width="13.5703125" bestFit="1" customWidth="1"/>
    <col min="11064" max="11064" width="10.5703125" bestFit="1" customWidth="1"/>
    <col min="11065" max="11065" width="13.28515625" bestFit="1" customWidth="1"/>
    <col min="11066" max="11066" width="11.5703125" bestFit="1" customWidth="1"/>
    <col min="11067" max="11067" width="10.5703125" bestFit="1" customWidth="1"/>
    <col min="11068" max="11068" width="16.140625" bestFit="1" customWidth="1"/>
    <col min="11069" max="11070" width="11.28515625" bestFit="1" customWidth="1"/>
    <col min="11071" max="11071" width="13.28515625" bestFit="1" customWidth="1"/>
    <col min="11072" max="11072" width="7.7109375" bestFit="1" customWidth="1"/>
    <col min="11073" max="11076" width="9.140625" hidden="1" customWidth="1"/>
    <col min="11077" max="11077" width="10.42578125" bestFit="1" customWidth="1"/>
    <col min="11078" max="11078" width="10.5703125" bestFit="1" customWidth="1"/>
    <col min="11079" max="11079" width="10.42578125" bestFit="1" customWidth="1"/>
    <col min="11080" max="11080" width="10.5703125" bestFit="1" customWidth="1"/>
    <col min="11081" max="11081" width="9.5703125" bestFit="1" customWidth="1"/>
    <col min="11082" max="11082" width="11.5703125" bestFit="1" customWidth="1"/>
    <col min="11083" max="11083" width="10.42578125" bestFit="1" customWidth="1"/>
    <col min="11084" max="11084" width="10.85546875" customWidth="1"/>
    <col min="11085" max="11086" width="9.85546875" bestFit="1" customWidth="1"/>
    <col min="11087" max="11087" width="13.5703125" bestFit="1" customWidth="1"/>
    <col min="11088" max="11088" width="7.7109375" bestFit="1" customWidth="1"/>
    <col min="11089" max="11089" width="13.28515625" bestFit="1" customWidth="1"/>
    <col min="11090" max="11090" width="11.5703125" bestFit="1" customWidth="1"/>
    <col min="11091" max="11091" width="10.42578125" bestFit="1" customWidth="1"/>
    <col min="11092" max="11092" width="7.7109375" bestFit="1" customWidth="1"/>
    <col min="11093" max="11093" width="11.5703125" bestFit="1" customWidth="1"/>
    <col min="11094" max="11094" width="10.85546875" bestFit="1" customWidth="1"/>
    <col min="11095" max="11095" width="13.28515625" bestFit="1" customWidth="1"/>
    <col min="11096" max="11096" width="10.85546875" bestFit="1" customWidth="1"/>
    <col min="11097" max="11098" width="7.5703125" bestFit="1" customWidth="1"/>
    <col min="11099" max="11100" width="10.42578125" bestFit="1" customWidth="1"/>
    <col min="11101" max="11101" width="11.5703125" bestFit="1" customWidth="1"/>
    <col min="11102" max="11102" width="5.28515625" bestFit="1" customWidth="1"/>
    <col min="11103" max="11103" width="10.28515625" bestFit="1" customWidth="1"/>
    <col min="11104" max="11104" width="10.42578125" bestFit="1" customWidth="1"/>
    <col min="11105" max="11105" width="11.5703125" bestFit="1" customWidth="1"/>
    <col min="11106" max="11106" width="5.28515625" bestFit="1" customWidth="1"/>
    <col min="11107" max="11109" width="11.5703125" bestFit="1" customWidth="1"/>
    <col min="11110" max="11110" width="5.28515625" bestFit="1" customWidth="1"/>
    <col min="11111" max="11112" width="10.42578125" bestFit="1" customWidth="1"/>
    <col min="11113" max="11113" width="11.5703125" bestFit="1" customWidth="1"/>
    <col min="11114" max="11114" width="5.28515625" bestFit="1" customWidth="1"/>
    <col min="11115" max="11115" width="14.28515625" bestFit="1" customWidth="1"/>
    <col min="11116" max="11116" width="13" bestFit="1" customWidth="1"/>
    <col min="11117" max="11117" width="11.5703125" bestFit="1" customWidth="1"/>
    <col min="11118" max="11118" width="8.85546875" bestFit="1" customWidth="1"/>
    <col min="11119" max="11119" width="14.42578125" bestFit="1" customWidth="1"/>
    <col min="11120" max="11120" width="10.42578125" bestFit="1" customWidth="1"/>
    <col min="11121" max="11121" width="12.28515625" bestFit="1" customWidth="1"/>
    <col min="11122" max="11122" width="13.85546875" bestFit="1" customWidth="1"/>
    <col min="11123" max="11123" width="11.28515625" customWidth="1"/>
    <col min="11124" max="11124" width="11.5703125" customWidth="1"/>
    <col min="11125" max="11125" width="13.42578125" bestFit="1" customWidth="1"/>
    <col min="11126" max="11126" width="10.42578125" customWidth="1"/>
    <col min="11127" max="11127" width="13.85546875" bestFit="1" customWidth="1"/>
    <col min="11128" max="11128" width="15.42578125" bestFit="1" customWidth="1"/>
    <col min="11129" max="11129" width="12.28515625" bestFit="1" customWidth="1"/>
    <col min="11130" max="11130" width="12.7109375" customWidth="1"/>
    <col min="11131" max="11131" width="10.7109375" bestFit="1" customWidth="1"/>
    <col min="11132" max="11132" width="9.85546875" customWidth="1"/>
    <col min="11133" max="11134" width="10.140625" bestFit="1" customWidth="1"/>
    <col min="11135" max="11135" width="7.5703125" bestFit="1" customWidth="1"/>
    <col min="11136" max="11136" width="9.42578125" bestFit="1" customWidth="1"/>
    <col min="11137" max="11137" width="14.5703125" bestFit="1" customWidth="1"/>
    <col min="11138" max="11138" width="14.85546875" customWidth="1"/>
    <col min="11139" max="11139" width="15.140625" bestFit="1" customWidth="1"/>
    <col min="11140" max="11140" width="12.140625" bestFit="1" customWidth="1"/>
    <col min="11141" max="11141" width="14.85546875" bestFit="1" customWidth="1"/>
    <col min="11142" max="11142" width="12.28515625" bestFit="1" customWidth="1"/>
    <col min="11143" max="11151" width="9.140625" hidden="1" customWidth="1"/>
    <col min="11152" max="11152" width="5.28515625" bestFit="1" customWidth="1"/>
    <col min="11153" max="11158" width="11.5703125" bestFit="1" customWidth="1"/>
    <col min="11159" max="11159" width="11.28515625" bestFit="1" customWidth="1"/>
    <col min="11160" max="11160" width="10.140625" bestFit="1" customWidth="1"/>
    <col min="11161" max="11161" width="11.5703125" bestFit="1" customWidth="1"/>
    <col min="11162" max="11162" width="16.140625" customWidth="1"/>
    <col min="11163" max="11163" width="13.42578125" customWidth="1"/>
    <col min="11164" max="11164" width="10.140625" bestFit="1" customWidth="1"/>
    <col min="11165" max="11165" width="12.85546875" bestFit="1" customWidth="1"/>
    <col min="11166" max="11166" width="12.28515625" bestFit="1" customWidth="1"/>
    <col min="11167" max="11167" width="11.28515625" bestFit="1" customWidth="1"/>
    <col min="11168" max="11168" width="11.5703125" bestFit="1" customWidth="1"/>
    <col min="11169" max="11169" width="10.85546875" bestFit="1" customWidth="1"/>
    <col min="11170" max="11170" width="11.28515625" bestFit="1" customWidth="1"/>
    <col min="11171" max="11171" width="10.140625" bestFit="1" customWidth="1"/>
    <col min="11172" max="11172" width="13.28515625" bestFit="1" customWidth="1"/>
    <col min="11173" max="11174" width="12.7109375" bestFit="1" customWidth="1"/>
    <col min="11175" max="11175" width="11" bestFit="1" customWidth="1"/>
    <col min="11176" max="11176" width="11.28515625" bestFit="1" customWidth="1"/>
    <col min="11177" max="11177" width="11.5703125" bestFit="1" customWidth="1"/>
    <col min="11178" max="11178" width="12.28515625" bestFit="1" customWidth="1"/>
    <col min="11179" max="11179" width="15.140625" bestFit="1" customWidth="1"/>
    <col min="11180" max="11180" width="14.42578125" bestFit="1" customWidth="1"/>
    <col min="11181" max="11181" width="12.28515625" bestFit="1" customWidth="1"/>
    <col min="11182" max="11182" width="15.140625" bestFit="1" customWidth="1"/>
    <col min="11183" max="11183" width="14.42578125" bestFit="1" customWidth="1"/>
    <col min="11184" max="11184" width="12.28515625" bestFit="1" customWidth="1"/>
    <col min="11185" max="11185" width="14.42578125" bestFit="1" customWidth="1"/>
    <col min="11186" max="11186" width="11.28515625" bestFit="1" customWidth="1"/>
    <col min="11187" max="11187" width="12.28515625" bestFit="1" customWidth="1"/>
    <col min="11188" max="11188" width="13" bestFit="1" customWidth="1"/>
    <col min="11189" max="11189" width="15.140625" bestFit="1" customWidth="1"/>
    <col min="11190" max="11190" width="12.28515625" bestFit="1" customWidth="1"/>
    <col min="11191" max="11191" width="13.85546875" bestFit="1" customWidth="1"/>
    <col min="11192" max="11192" width="11.28515625" bestFit="1" customWidth="1"/>
    <col min="11193" max="11193" width="12.28515625" bestFit="1" customWidth="1"/>
    <col min="11194" max="11194" width="13.85546875" bestFit="1" customWidth="1"/>
    <col min="11195" max="11196" width="15.140625" bestFit="1" customWidth="1"/>
    <col min="11197" max="11197" width="12.28515625" bestFit="1" customWidth="1"/>
    <col min="11198" max="11198" width="5.7109375" bestFit="1" customWidth="1"/>
    <col min="11199" max="11199" width="8.5703125" bestFit="1" customWidth="1"/>
    <col min="11200" max="11200" width="5.5703125" bestFit="1" customWidth="1"/>
    <col min="11201" max="11201" width="14.42578125" bestFit="1" customWidth="1"/>
    <col min="11202" max="11202" width="11.28515625" bestFit="1" customWidth="1"/>
    <col min="11203" max="11204" width="12.28515625" bestFit="1" customWidth="1"/>
    <col min="11205" max="11205" width="11.28515625" bestFit="1" customWidth="1"/>
    <col min="11206" max="11206" width="13.85546875" bestFit="1" customWidth="1"/>
    <col min="11207" max="11207" width="12" bestFit="1" customWidth="1"/>
    <col min="11208" max="11208" width="13.85546875" bestFit="1" customWidth="1"/>
    <col min="11209" max="11210" width="14.42578125" customWidth="1"/>
    <col min="11211" max="11211" width="10.140625" bestFit="1" customWidth="1"/>
    <col min="11212" max="11212" width="12.28515625" bestFit="1" customWidth="1"/>
    <col min="11213" max="11213" width="7.42578125" bestFit="1" customWidth="1"/>
    <col min="11214" max="11214" width="8.5703125" bestFit="1" customWidth="1"/>
    <col min="11215" max="11215" width="11.5703125" bestFit="1" customWidth="1"/>
    <col min="11216" max="11216" width="13.28515625" bestFit="1" customWidth="1"/>
    <col min="11217" max="11217" width="13.28515625" customWidth="1"/>
    <col min="11218" max="11218" width="13.140625" customWidth="1"/>
    <col min="11219" max="11219" width="12.7109375" bestFit="1" customWidth="1"/>
    <col min="11220" max="11220" width="13.28515625" bestFit="1" customWidth="1"/>
    <col min="11221" max="11223" width="13.28515625" customWidth="1"/>
    <col min="11224" max="11224" width="12.140625" bestFit="1" customWidth="1"/>
    <col min="11225" max="11225" width="12.7109375" bestFit="1" customWidth="1"/>
    <col min="11226" max="11226" width="11" customWidth="1"/>
    <col min="11227" max="11227" width="16.7109375" customWidth="1"/>
    <col min="11228" max="11228" width="17" customWidth="1"/>
    <col min="11229" max="11229" width="10.42578125" bestFit="1" customWidth="1"/>
    <col min="11273" max="11273" width="3.85546875" customWidth="1"/>
    <col min="11274" max="11274" width="15.28515625" bestFit="1" customWidth="1"/>
    <col min="11275" max="11275" width="12.28515625" customWidth="1"/>
    <col min="11276" max="11276" width="16.28515625" bestFit="1" customWidth="1"/>
    <col min="11277" max="11277" width="6.42578125" bestFit="1" customWidth="1"/>
    <col min="11278" max="11278" width="9.28515625" bestFit="1" customWidth="1"/>
    <col min="11279" max="11279" width="7.5703125" bestFit="1" customWidth="1"/>
    <col min="11280" max="11280" width="13.28515625" bestFit="1" customWidth="1"/>
    <col min="11281" max="11281" width="9.28515625" bestFit="1" customWidth="1"/>
    <col min="11282" max="11282" width="11.5703125" bestFit="1" customWidth="1"/>
    <col min="11283" max="11283" width="13.28515625" bestFit="1" customWidth="1"/>
    <col min="11284" max="11284" width="7.140625" bestFit="1" customWidth="1"/>
    <col min="11285" max="11285" width="12" bestFit="1" customWidth="1"/>
    <col min="11286" max="11286" width="13.28515625" bestFit="1" customWidth="1"/>
    <col min="11287" max="11287" width="7" bestFit="1" customWidth="1"/>
    <col min="11288" max="11288" width="12.7109375" bestFit="1" customWidth="1"/>
    <col min="11289" max="11289" width="11.5703125" bestFit="1" customWidth="1"/>
    <col min="11290" max="11290" width="10.5703125" bestFit="1" customWidth="1"/>
    <col min="11291" max="11292" width="15.7109375" bestFit="1" customWidth="1"/>
    <col min="11293" max="11293" width="11.5703125" bestFit="1" customWidth="1"/>
    <col min="11294" max="11294" width="7.7109375" bestFit="1" customWidth="1"/>
    <col min="11295" max="11295" width="15.140625" bestFit="1" customWidth="1"/>
    <col min="11296" max="11296" width="11.5703125" bestFit="1" customWidth="1"/>
    <col min="11297" max="11297" width="13.28515625" bestFit="1" customWidth="1"/>
    <col min="11298" max="11298" width="10.42578125" bestFit="1" customWidth="1"/>
    <col min="11299" max="11299" width="13.28515625" bestFit="1" customWidth="1"/>
    <col min="11300" max="11300" width="12.140625" bestFit="1" customWidth="1"/>
    <col min="11301" max="11301" width="14.42578125" bestFit="1" customWidth="1"/>
    <col min="11302" max="11302" width="13.28515625" bestFit="1" customWidth="1"/>
    <col min="11303" max="11303" width="11.5703125" bestFit="1" customWidth="1"/>
    <col min="11304" max="11304" width="7.7109375" bestFit="1" customWidth="1"/>
    <col min="11305" max="11306" width="14.42578125" bestFit="1" customWidth="1"/>
    <col min="11307" max="11307" width="11.5703125" bestFit="1" customWidth="1"/>
    <col min="11308" max="11308" width="7.7109375" bestFit="1" customWidth="1"/>
    <col min="11309" max="11309" width="13.5703125" customWidth="1"/>
    <col min="11310" max="11310" width="15.28515625" customWidth="1"/>
    <col min="11311" max="11311" width="14.5703125" customWidth="1"/>
    <col min="11312" max="11312" width="13.28515625" bestFit="1" customWidth="1"/>
    <col min="11313" max="11313" width="7.7109375" bestFit="1" customWidth="1"/>
    <col min="11314" max="11314" width="12.7109375" bestFit="1" customWidth="1"/>
    <col min="11315" max="11315" width="11.7109375" bestFit="1" customWidth="1"/>
    <col min="11316" max="11316" width="11.5703125" bestFit="1" customWidth="1"/>
    <col min="11317" max="11317" width="5.28515625" bestFit="1" customWidth="1"/>
    <col min="11318" max="11318" width="13.28515625" bestFit="1" customWidth="1"/>
    <col min="11319" max="11319" width="13.5703125" bestFit="1" customWidth="1"/>
    <col min="11320" max="11320" width="10.5703125" bestFit="1" customWidth="1"/>
    <col min="11321" max="11321" width="13.28515625" bestFit="1" customWidth="1"/>
    <col min="11322" max="11322" width="11.5703125" bestFit="1" customWidth="1"/>
    <col min="11323" max="11323" width="10.5703125" bestFit="1" customWidth="1"/>
    <col min="11324" max="11324" width="16.140625" bestFit="1" customWidth="1"/>
    <col min="11325" max="11326" width="11.28515625" bestFit="1" customWidth="1"/>
    <col min="11327" max="11327" width="13.28515625" bestFit="1" customWidth="1"/>
    <col min="11328" max="11328" width="7.7109375" bestFit="1" customWidth="1"/>
    <col min="11329" max="11332" width="9.140625" hidden="1" customWidth="1"/>
    <col min="11333" max="11333" width="10.42578125" bestFit="1" customWidth="1"/>
    <col min="11334" max="11334" width="10.5703125" bestFit="1" customWidth="1"/>
    <col min="11335" max="11335" width="10.42578125" bestFit="1" customWidth="1"/>
    <col min="11336" max="11336" width="10.5703125" bestFit="1" customWidth="1"/>
    <col min="11337" max="11337" width="9.5703125" bestFit="1" customWidth="1"/>
    <col min="11338" max="11338" width="11.5703125" bestFit="1" customWidth="1"/>
    <col min="11339" max="11339" width="10.42578125" bestFit="1" customWidth="1"/>
    <col min="11340" max="11340" width="10.85546875" customWidth="1"/>
    <col min="11341" max="11342" width="9.85546875" bestFit="1" customWidth="1"/>
    <col min="11343" max="11343" width="13.5703125" bestFit="1" customWidth="1"/>
    <col min="11344" max="11344" width="7.7109375" bestFit="1" customWidth="1"/>
    <col min="11345" max="11345" width="13.28515625" bestFit="1" customWidth="1"/>
    <col min="11346" max="11346" width="11.5703125" bestFit="1" customWidth="1"/>
    <col min="11347" max="11347" width="10.42578125" bestFit="1" customWidth="1"/>
    <col min="11348" max="11348" width="7.7109375" bestFit="1" customWidth="1"/>
    <col min="11349" max="11349" width="11.5703125" bestFit="1" customWidth="1"/>
    <col min="11350" max="11350" width="10.85546875" bestFit="1" customWidth="1"/>
    <col min="11351" max="11351" width="13.28515625" bestFit="1" customWidth="1"/>
    <col min="11352" max="11352" width="10.85546875" bestFit="1" customWidth="1"/>
    <col min="11353" max="11354" width="7.5703125" bestFit="1" customWidth="1"/>
    <col min="11355" max="11356" width="10.42578125" bestFit="1" customWidth="1"/>
    <col min="11357" max="11357" width="11.5703125" bestFit="1" customWidth="1"/>
    <col min="11358" max="11358" width="5.28515625" bestFit="1" customWidth="1"/>
    <col min="11359" max="11359" width="10.28515625" bestFit="1" customWidth="1"/>
    <col min="11360" max="11360" width="10.42578125" bestFit="1" customWidth="1"/>
    <col min="11361" max="11361" width="11.5703125" bestFit="1" customWidth="1"/>
    <col min="11362" max="11362" width="5.28515625" bestFit="1" customWidth="1"/>
    <col min="11363" max="11365" width="11.5703125" bestFit="1" customWidth="1"/>
    <col min="11366" max="11366" width="5.28515625" bestFit="1" customWidth="1"/>
    <col min="11367" max="11368" width="10.42578125" bestFit="1" customWidth="1"/>
    <col min="11369" max="11369" width="11.5703125" bestFit="1" customWidth="1"/>
    <col min="11370" max="11370" width="5.28515625" bestFit="1" customWidth="1"/>
    <col min="11371" max="11371" width="14.28515625" bestFit="1" customWidth="1"/>
    <col min="11372" max="11372" width="13" bestFit="1" customWidth="1"/>
    <col min="11373" max="11373" width="11.5703125" bestFit="1" customWidth="1"/>
    <col min="11374" max="11374" width="8.85546875" bestFit="1" customWidth="1"/>
    <col min="11375" max="11375" width="14.42578125" bestFit="1" customWidth="1"/>
    <col min="11376" max="11376" width="10.42578125" bestFit="1" customWidth="1"/>
    <col min="11377" max="11377" width="12.28515625" bestFit="1" customWidth="1"/>
    <col min="11378" max="11378" width="13.85546875" bestFit="1" customWidth="1"/>
    <col min="11379" max="11379" width="11.28515625" customWidth="1"/>
    <col min="11380" max="11380" width="11.5703125" customWidth="1"/>
    <col min="11381" max="11381" width="13.42578125" bestFit="1" customWidth="1"/>
    <col min="11382" max="11382" width="10.42578125" customWidth="1"/>
    <col min="11383" max="11383" width="13.85546875" bestFit="1" customWidth="1"/>
    <col min="11384" max="11384" width="15.42578125" bestFit="1" customWidth="1"/>
    <col min="11385" max="11385" width="12.28515625" bestFit="1" customWidth="1"/>
    <col min="11386" max="11386" width="12.7109375" customWidth="1"/>
    <col min="11387" max="11387" width="10.7109375" bestFit="1" customWidth="1"/>
    <col min="11388" max="11388" width="9.85546875" customWidth="1"/>
    <col min="11389" max="11390" width="10.140625" bestFit="1" customWidth="1"/>
    <col min="11391" max="11391" width="7.5703125" bestFit="1" customWidth="1"/>
    <col min="11392" max="11392" width="9.42578125" bestFit="1" customWidth="1"/>
    <col min="11393" max="11393" width="14.5703125" bestFit="1" customWidth="1"/>
    <col min="11394" max="11394" width="14.85546875" customWidth="1"/>
    <col min="11395" max="11395" width="15.140625" bestFit="1" customWidth="1"/>
    <col min="11396" max="11396" width="12.140625" bestFit="1" customWidth="1"/>
    <col min="11397" max="11397" width="14.85546875" bestFit="1" customWidth="1"/>
    <col min="11398" max="11398" width="12.28515625" bestFit="1" customWidth="1"/>
    <col min="11399" max="11407" width="9.140625" hidden="1" customWidth="1"/>
    <col min="11408" max="11408" width="5.28515625" bestFit="1" customWidth="1"/>
    <col min="11409" max="11414" width="11.5703125" bestFit="1" customWidth="1"/>
    <col min="11415" max="11415" width="11.28515625" bestFit="1" customWidth="1"/>
    <col min="11416" max="11416" width="10.140625" bestFit="1" customWidth="1"/>
    <col min="11417" max="11417" width="11.5703125" bestFit="1" customWidth="1"/>
    <col min="11418" max="11418" width="16.140625" customWidth="1"/>
    <col min="11419" max="11419" width="13.42578125" customWidth="1"/>
    <col min="11420" max="11420" width="10.140625" bestFit="1" customWidth="1"/>
    <col min="11421" max="11421" width="12.85546875" bestFit="1" customWidth="1"/>
    <col min="11422" max="11422" width="12.28515625" bestFit="1" customWidth="1"/>
    <col min="11423" max="11423" width="11.28515625" bestFit="1" customWidth="1"/>
    <col min="11424" max="11424" width="11.5703125" bestFit="1" customWidth="1"/>
    <col min="11425" max="11425" width="10.85546875" bestFit="1" customWidth="1"/>
    <col min="11426" max="11426" width="11.28515625" bestFit="1" customWidth="1"/>
    <col min="11427" max="11427" width="10.140625" bestFit="1" customWidth="1"/>
    <col min="11428" max="11428" width="13.28515625" bestFit="1" customWidth="1"/>
    <col min="11429" max="11430" width="12.7109375" bestFit="1" customWidth="1"/>
    <col min="11431" max="11431" width="11" bestFit="1" customWidth="1"/>
    <col min="11432" max="11432" width="11.28515625" bestFit="1" customWidth="1"/>
    <col min="11433" max="11433" width="11.5703125" bestFit="1" customWidth="1"/>
    <col min="11434" max="11434" width="12.28515625" bestFit="1" customWidth="1"/>
    <col min="11435" max="11435" width="15.140625" bestFit="1" customWidth="1"/>
    <col min="11436" max="11436" width="14.42578125" bestFit="1" customWidth="1"/>
    <col min="11437" max="11437" width="12.28515625" bestFit="1" customWidth="1"/>
    <col min="11438" max="11438" width="15.140625" bestFit="1" customWidth="1"/>
    <col min="11439" max="11439" width="14.42578125" bestFit="1" customWidth="1"/>
    <col min="11440" max="11440" width="12.28515625" bestFit="1" customWidth="1"/>
    <col min="11441" max="11441" width="14.42578125" bestFit="1" customWidth="1"/>
    <col min="11442" max="11442" width="11.28515625" bestFit="1" customWidth="1"/>
    <col min="11443" max="11443" width="12.28515625" bestFit="1" customWidth="1"/>
    <col min="11444" max="11444" width="13" bestFit="1" customWidth="1"/>
    <col min="11445" max="11445" width="15.140625" bestFit="1" customWidth="1"/>
    <col min="11446" max="11446" width="12.28515625" bestFit="1" customWidth="1"/>
    <col min="11447" max="11447" width="13.85546875" bestFit="1" customWidth="1"/>
    <col min="11448" max="11448" width="11.28515625" bestFit="1" customWidth="1"/>
    <col min="11449" max="11449" width="12.28515625" bestFit="1" customWidth="1"/>
    <col min="11450" max="11450" width="13.85546875" bestFit="1" customWidth="1"/>
    <col min="11451" max="11452" width="15.140625" bestFit="1" customWidth="1"/>
    <col min="11453" max="11453" width="12.28515625" bestFit="1" customWidth="1"/>
    <col min="11454" max="11454" width="5.7109375" bestFit="1" customWidth="1"/>
    <col min="11455" max="11455" width="8.5703125" bestFit="1" customWidth="1"/>
    <col min="11456" max="11456" width="5.5703125" bestFit="1" customWidth="1"/>
    <col min="11457" max="11457" width="14.42578125" bestFit="1" customWidth="1"/>
    <col min="11458" max="11458" width="11.28515625" bestFit="1" customWidth="1"/>
    <col min="11459" max="11460" width="12.28515625" bestFit="1" customWidth="1"/>
    <col min="11461" max="11461" width="11.28515625" bestFit="1" customWidth="1"/>
    <col min="11462" max="11462" width="13.85546875" bestFit="1" customWidth="1"/>
    <col min="11463" max="11463" width="12" bestFit="1" customWidth="1"/>
    <col min="11464" max="11464" width="13.85546875" bestFit="1" customWidth="1"/>
    <col min="11465" max="11466" width="14.42578125" customWidth="1"/>
    <col min="11467" max="11467" width="10.140625" bestFit="1" customWidth="1"/>
    <col min="11468" max="11468" width="12.28515625" bestFit="1" customWidth="1"/>
    <col min="11469" max="11469" width="7.42578125" bestFit="1" customWidth="1"/>
    <col min="11470" max="11470" width="8.5703125" bestFit="1" customWidth="1"/>
    <col min="11471" max="11471" width="11.5703125" bestFit="1" customWidth="1"/>
    <col min="11472" max="11472" width="13.28515625" bestFit="1" customWidth="1"/>
    <col min="11473" max="11473" width="13.28515625" customWidth="1"/>
    <col min="11474" max="11474" width="13.140625" customWidth="1"/>
    <col min="11475" max="11475" width="12.7109375" bestFit="1" customWidth="1"/>
    <col min="11476" max="11476" width="13.28515625" bestFit="1" customWidth="1"/>
    <col min="11477" max="11479" width="13.28515625" customWidth="1"/>
    <col min="11480" max="11480" width="12.140625" bestFit="1" customWidth="1"/>
    <col min="11481" max="11481" width="12.7109375" bestFit="1" customWidth="1"/>
    <col min="11482" max="11482" width="11" customWidth="1"/>
    <col min="11483" max="11483" width="16.7109375" customWidth="1"/>
    <col min="11484" max="11484" width="17" customWidth="1"/>
    <col min="11485" max="11485" width="10.42578125" bestFit="1" customWidth="1"/>
    <col min="11529" max="11529" width="3.85546875" customWidth="1"/>
    <col min="11530" max="11530" width="15.28515625" bestFit="1" customWidth="1"/>
    <col min="11531" max="11531" width="12.28515625" customWidth="1"/>
    <col min="11532" max="11532" width="16.28515625" bestFit="1" customWidth="1"/>
    <col min="11533" max="11533" width="6.42578125" bestFit="1" customWidth="1"/>
    <col min="11534" max="11534" width="9.28515625" bestFit="1" customWidth="1"/>
    <col min="11535" max="11535" width="7.5703125" bestFit="1" customWidth="1"/>
    <col min="11536" max="11536" width="13.28515625" bestFit="1" customWidth="1"/>
    <col min="11537" max="11537" width="9.28515625" bestFit="1" customWidth="1"/>
    <col min="11538" max="11538" width="11.5703125" bestFit="1" customWidth="1"/>
    <col min="11539" max="11539" width="13.28515625" bestFit="1" customWidth="1"/>
    <col min="11540" max="11540" width="7.140625" bestFit="1" customWidth="1"/>
    <col min="11541" max="11541" width="12" bestFit="1" customWidth="1"/>
    <col min="11542" max="11542" width="13.28515625" bestFit="1" customWidth="1"/>
    <col min="11543" max="11543" width="7" bestFit="1" customWidth="1"/>
    <col min="11544" max="11544" width="12.7109375" bestFit="1" customWidth="1"/>
    <col min="11545" max="11545" width="11.5703125" bestFit="1" customWidth="1"/>
    <col min="11546" max="11546" width="10.5703125" bestFit="1" customWidth="1"/>
    <col min="11547" max="11548" width="15.7109375" bestFit="1" customWidth="1"/>
    <col min="11549" max="11549" width="11.5703125" bestFit="1" customWidth="1"/>
    <col min="11550" max="11550" width="7.7109375" bestFit="1" customWidth="1"/>
    <col min="11551" max="11551" width="15.140625" bestFit="1" customWidth="1"/>
    <col min="11552" max="11552" width="11.5703125" bestFit="1" customWidth="1"/>
    <col min="11553" max="11553" width="13.28515625" bestFit="1" customWidth="1"/>
    <col min="11554" max="11554" width="10.42578125" bestFit="1" customWidth="1"/>
    <col min="11555" max="11555" width="13.28515625" bestFit="1" customWidth="1"/>
    <col min="11556" max="11556" width="12.140625" bestFit="1" customWidth="1"/>
    <col min="11557" max="11557" width="14.42578125" bestFit="1" customWidth="1"/>
    <col min="11558" max="11558" width="13.28515625" bestFit="1" customWidth="1"/>
    <col min="11559" max="11559" width="11.5703125" bestFit="1" customWidth="1"/>
    <col min="11560" max="11560" width="7.7109375" bestFit="1" customWidth="1"/>
    <col min="11561" max="11562" width="14.42578125" bestFit="1" customWidth="1"/>
    <col min="11563" max="11563" width="11.5703125" bestFit="1" customWidth="1"/>
    <col min="11564" max="11564" width="7.7109375" bestFit="1" customWidth="1"/>
    <col min="11565" max="11565" width="13.5703125" customWidth="1"/>
    <col min="11566" max="11566" width="15.28515625" customWidth="1"/>
    <col min="11567" max="11567" width="14.5703125" customWidth="1"/>
    <col min="11568" max="11568" width="13.28515625" bestFit="1" customWidth="1"/>
    <col min="11569" max="11569" width="7.7109375" bestFit="1" customWidth="1"/>
    <col min="11570" max="11570" width="12.7109375" bestFit="1" customWidth="1"/>
    <col min="11571" max="11571" width="11.7109375" bestFit="1" customWidth="1"/>
    <col min="11572" max="11572" width="11.5703125" bestFit="1" customWidth="1"/>
    <col min="11573" max="11573" width="5.28515625" bestFit="1" customWidth="1"/>
    <col min="11574" max="11574" width="13.28515625" bestFit="1" customWidth="1"/>
    <col min="11575" max="11575" width="13.5703125" bestFit="1" customWidth="1"/>
    <col min="11576" max="11576" width="10.5703125" bestFit="1" customWidth="1"/>
    <col min="11577" max="11577" width="13.28515625" bestFit="1" customWidth="1"/>
    <col min="11578" max="11578" width="11.5703125" bestFit="1" customWidth="1"/>
    <col min="11579" max="11579" width="10.5703125" bestFit="1" customWidth="1"/>
    <col min="11580" max="11580" width="16.140625" bestFit="1" customWidth="1"/>
    <col min="11581" max="11582" width="11.28515625" bestFit="1" customWidth="1"/>
    <col min="11583" max="11583" width="13.28515625" bestFit="1" customWidth="1"/>
    <col min="11584" max="11584" width="7.7109375" bestFit="1" customWidth="1"/>
    <col min="11585" max="11588" width="9.140625" hidden="1" customWidth="1"/>
    <col min="11589" max="11589" width="10.42578125" bestFit="1" customWidth="1"/>
    <col min="11590" max="11590" width="10.5703125" bestFit="1" customWidth="1"/>
    <col min="11591" max="11591" width="10.42578125" bestFit="1" customWidth="1"/>
    <col min="11592" max="11592" width="10.5703125" bestFit="1" customWidth="1"/>
    <col min="11593" max="11593" width="9.5703125" bestFit="1" customWidth="1"/>
    <col min="11594" max="11594" width="11.5703125" bestFit="1" customWidth="1"/>
    <col min="11595" max="11595" width="10.42578125" bestFit="1" customWidth="1"/>
    <col min="11596" max="11596" width="10.85546875" customWidth="1"/>
    <col min="11597" max="11598" width="9.85546875" bestFit="1" customWidth="1"/>
    <col min="11599" max="11599" width="13.5703125" bestFit="1" customWidth="1"/>
    <col min="11600" max="11600" width="7.7109375" bestFit="1" customWidth="1"/>
    <col min="11601" max="11601" width="13.28515625" bestFit="1" customWidth="1"/>
    <col min="11602" max="11602" width="11.5703125" bestFit="1" customWidth="1"/>
    <col min="11603" max="11603" width="10.42578125" bestFit="1" customWidth="1"/>
    <col min="11604" max="11604" width="7.7109375" bestFit="1" customWidth="1"/>
    <col min="11605" max="11605" width="11.5703125" bestFit="1" customWidth="1"/>
    <col min="11606" max="11606" width="10.85546875" bestFit="1" customWidth="1"/>
    <col min="11607" max="11607" width="13.28515625" bestFit="1" customWidth="1"/>
    <col min="11608" max="11608" width="10.85546875" bestFit="1" customWidth="1"/>
    <col min="11609" max="11610" width="7.5703125" bestFit="1" customWidth="1"/>
    <col min="11611" max="11612" width="10.42578125" bestFit="1" customWidth="1"/>
    <col min="11613" max="11613" width="11.5703125" bestFit="1" customWidth="1"/>
    <col min="11614" max="11614" width="5.28515625" bestFit="1" customWidth="1"/>
    <col min="11615" max="11615" width="10.28515625" bestFit="1" customWidth="1"/>
    <col min="11616" max="11616" width="10.42578125" bestFit="1" customWidth="1"/>
    <col min="11617" max="11617" width="11.5703125" bestFit="1" customWidth="1"/>
    <col min="11618" max="11618" width="5.28515625" bestFit="1" customWidth="1"/>
    <col min="11619" max="11621" width="11.5703125" bestFit="1" customWidth="1"/>
    <col min="11622" max="11622" width="5.28515625" bestFit="1" customWidth="1"/>
    <col min="11623" max="11624" width="10.42578125" bestFit="1" customWidth="1"/>
    <col min="11625" max="11625" width="11.5703125" bestFit="1" customWidth="1"/>
    <col min="11626" max="11626" width="5.28515625" bestFit="1" customWidth="1"/>
    <col min="11627" max="11627" width="14.28515625" bestFit="1" customWidth="1"/>
    <col min="11628" max="11628" width="13" bestFit="1" customWidth="1"/>
    <col min="11629" max="11629" width="11.5703125" bestFit="1" customWidth="1"/>
    <col min="11630" max="11630" width="8.85546875" bestFit="1" customWidth="1"/>
    <col min="11631" max="11631" width="14.42578125" bestFit="1" customWidth="1"/>
    <col min="11632" max="11632" width="10.42578125" bestFit="1" customWidth="1"/>
    <col min="11633" max="11633" width="12.28515625" bestFit="1" customWidth="1"/>
    <col min="11634" max="11634" width="13.85546875" bestFit="1" customWidth="1"/>
    <col min="11635" max="11635" width="11.28515625" customWidth="1"/>
    <col min="11636" max="11636" width="11.5703125" customWidth="1"/>
    <col min="11637" max="11637" width="13.42578125" bestFit="1" customWidth="1"/>
    <col min="11638" max="11638" width="10.42578125" customWidth="1"/>
    <col min="11639" max="11639" width="13.85546875" bestFit="1" customWidth="1"/>
    <col min="11640" max="11640" width="15.42578125" bestFit="1" customWidth="1"/>
    <col min="11641" max="11641" width="12.28515625" bestFit="1" customWidth="1"/>
    <col min="11642" max="11642" width="12.7109375" customWidth="1"/>
    <col min="11643" max="11643" width="10.7109375" bestFit="1" customWidth="1"/>
    <col min="11644" max="11644" width="9.85546875" customWidth="1"/>
    <col min="11645" max="11646" width="10.140625" bestFit="1" customWidth="1"/>
    <col min="11647" max="11647" width="7.5703125" bestFit="1" customWidth="1"/>
    <col min="11648" max="11648" width="9.42578125" bestFit="1" customWidth="1"/>
    <col min="11649" max="11649" width="14.5703125" bestFit="1" customWidth="1"/>
    <col min="11650" max="11650" width="14.85546875" customWidth="1"/>
    <col min="11651" max="11651" width="15.140625" bestFit="1" customWidth="1"/>
    <col min="11652" max="11652" width="12.140625" bestFit="1" customWidth="1"/>
    <col min="11653" max="11653" width="14.85546875" bestFit="1" customWidth="1"/>
    <col min="11654" max="11654" width="12.28515625" bestFit="1" customWidth="1"/>
    <col min="11655" max="11663" width="9.140625" hidden="1" customWidth="1"/>
    <col min="11664" max="11664" width="5.28515625" bestFit="1" customWidth="1"/>
    <col min="11665" max="11670" width="11.5703125" bestFit="1" customWidth="1"/>
    <col min="11671" max="11671" width="11.28515625" bestFit="1" customWidth="1"/>
    <col min="11672" max="11672" width="10.140625" bestFit="1" customWidth="1"/>
    <col min="11673" max="11673" width="11.5703125" bestFit="1" customWidth="1"/>
    <col min="11674" max="11674" width="16.140625" customWidth="1"/>
    <col min="11675" max="11675" width="13.42578125" customWidth="1"/>
    <col min="11676" max="11676" width="10.140625" bestFit="1" customWidth="1"/>
    <col min="11677" max="11677" width="12.85546875" bestFit="1" customWidth="1"/>
    <col min="11678" max="11678" width="12.28515625" bestFit="1" customWidth="1"/>
    <col min="11679" max="11679" width="11.28515625" bestFit="1" customWidth="1"/>
    <col min="11680" max="11680" width="11.5703125" bestFit="1" customWidth="1"/>
    <col min="11681" max="11681" width="10.85546875" bestFit="1" customWidth="1"/>
    <col min="11682" max="11682" width="11.28515625" bestFit="1" customWidth="1"/>
    <col min="11683" max="11683" width="10.140625" bestFit="1" customWidth="1"/>
    <col min="11684" max="11684" width="13.28515625" bestFit="1" customWidth="1"/>
    <col min="11685" max="11686" width="12.7109375" bestFit="1" customWidth="1"/>
    <col min="11687" max="11687" width="11" bestFit="1" customWidth="1"/>
    <col min="11688" max="11688" width="11.28515625" bestFit="1" customWidth="1"/>
    <col min="11689" max="11689" width="11.5703125" bestFit="1" customWidth="1"/>
    <col min="11690" max="11690" width="12.28515625" bestFit="1" customWidth="1"/>
    <col min="11691" max="11691" width="15.140625" bestFit="1" customWidth="1"/>
    <col min="11692" max="11692" width="14.42578125" bestFit="1" customWidth="1"/>
    <col min="11693" max="11693" width="12.28515625" bestFit="1" customWidth="1"/>
    <col min="11694" max="11694" width="15.140625" bestFit="1" customWidth="1"/>
    <col min="11695" max="11695" width="14.42578125" bestFit="1" customWidth="1"/>
    <col min="11696" max="11696" width="12.28515625" bestFit="1" customWidth="1"/>
    <col min="11697" max="11697" width="14.42578125" bestFit="1" customWidth="1"/>
    <col min="11698" max="11698" width="11.28515625" bestFit="1" customWidth="1"/>
    <col min="11699" max="11699" width="12.28515625" bestFit="1" customWidth="1"/>
    <col min="11700" max="11700" width="13" bestFit="1" customWidth="1"/>
    <col min="11701" max="11701" width="15.140625" bestFit="1" customWidth="1"/>
    <col min="11702" max="11702" width="12.28515625" bestFit="1" customWidth="1"/>
    <col min="11703" max="11703" width="13.85546875" bestFit="1" customWidth="1"/>
    <col min="11704" max="11704" width="11.28515625" bestFit="1" customWidth="1"/>
    <col min="11705" max="11705" width="12.28515625" bestFit="1" customWidth="1"/>
    <col min="11706" max="11706" width="13.85546875" bestFit="1" customWidth="1"/>
    <col min="11707" max="11708" width="15.140625" bestFit="1" customWidth="1"/>
    <col min="11709" max="11709" width="12.28515625" bestFit="1" customWidth="1"/>
    <col min="11710" max="11710" width="5.7109375" bestFit="1" customWidth="1"/>
    <col min="11711" max="11711" width="8.5703125" bestFit="1" customWidth="1"/>
    <col min="11712" max="11712" width="5.5703125" bestFit="1" customWidth="1"/>
    <col min="11713" max="11713" width="14.42578125" bestFit="1" customWidth="1"/>
    <col min="11714" max="11714" width="11.28515625" bestFit="1" customWidth="1"/>
    <col min="11715" max="11716" width="12.28515625" bestFit="1" customWidth="1"/>
    <col min="11717" max="11717" width="11.28515625" bestFit="1" customWidth="1"/>
    <col min="11718" max="11718" width="13.85546875" bestFit="1" customWidth="1"/>
    <col min="11719" max="11719" width="12" bestFit="1" customWidth="1"/>
    <col min="11720" max="11720" width="13.85546875" bestFit="1" customWidth="1"/>
    <col min="11721" max="11722" width="14.42578125" customWidth="1"/>
    <col min="11723" max="11723" width="10.140625" bestFit="1" customWidth="1"/>
    <col min="11724" max="11724" width="12.28515625" bestFit="1" customWidth="1"/>
    <col min="11725" max="11725" width="7.42578125" bestFit="1" customWidth="1"/>
    <col min="11726" max="11726" width="8.5703125" bestFit="1" customWidth="1"/>
    <col min="11727" max="11727" width="11.5703125" bestFit="1" customWidth="1"/>
    <col min="11728" max="11728" width="13.28515625" bestFit="1" customWidth="1"/>
    <col min="11729" max="11729" width="13.28515625" customWidth="1"/>
    <col min="11730" max="11730" width="13.140625" customWidth="1"/>
    <col min="11731" max="11731" width="12.7109375" bestFit="1" customWidth="1"/>
    <col min="11732" max="11732" width="13.28515625" bestFit="1" customWidth="1"/>
    <col min="11733" max="11735" width="13.28515625" customWidth="1"/>
    <col min="11736" max="11736" width="12.140625" bestFit="1" customWidth="1"/>
    <col min="11737" max="11737" width="12.7109375" bestFit="1" customWidth="1"/>
    <col min="11738" max="11738" width="11" customWidth="1"/>
    <col min="11739" max="11739" width="16.7109375" customWidth="1"/>
    <col min="11740" max="11740" width="17" customWidth="1"/>
    <col min="11741" max="11741" width="10.42578125" bestFit="1" customWidth="1"/>
    <col min="11785" max="11785" width="3.85546875" customWidth="1"/>
    <col min="11786" max="11786" width="15.28515625" bestFit="1" customWidth="1"/>
    <col min="11787" max="11787" width="12.28515625" customWidth="1"/>
    <col min="11788" max="11788" width="16.28515625" bestFit="1" customWidth="1"/>
    <col min="11789" max="11789" width="6.42578125" bestFit="1" customWidth="1"/>
    <col min="11790" max="11790" width="9.28515625" bestFit="1" customWidth="1"/>
    <col min="11791" max="11791" width="7.5703125" bestFit="1" customWidth="1"/>
    <col min="11792" max="11792" width="13.28515625" bestFit="1" customWidth="1"/>
    <col min="11793" max="11793" width="9.28515625" bestFit="1" customWidth="1"/>
    <col min="11794" max="11794" width="11.5703125" bestFit="1" customWidth="1"/>
    <col min="11795" max="11795" width="13.28515625" bestFit="1" customWidth="1"/>
    <col min="11796" max="11796" width="7.140625" bestFit="1" customWidth="1"/>
    <col min="11797" max="11797" width="12" bestFit="1" customWidth="1"/>
    <col min="11798" max="11798" width="13.28515625" bestFit="1" customWidth="1"/>
    <col min="11799" max="11799" width="7" bestFit="1" customWidth="1"/>
    <col min="11800" max="11800" width="12.7109375" bestFit="1" customWidth="1"/>
    <col min="11801" max="11801" width="11.5703125" bestFit="1" customWidth="1"/>
    <col min="11802" max="11802" width="10.5703125" bestFit="1" customWidth="1"/>
    <col min="11803" max="11804" width="15.7109375" bestFit="1" customWidth="1"/>
    <col min="11805" max="11805" width="11.5703125" bestFit="1" customWidth="1"/>
    <col min="11806" max="11806" width="7.7109375" bestFit="1" customWidth="1"/>
    <col min="11807" max="11807" width="15.140625" bestFit="1" customWidth="1"/>
    <col min="11808" max="11808" width="11.5703125" bestFit="1" customWidth="1"/>
    <col min="11809" max="11809" width="13.28515625" bestFit="1" customWidth="1"/>
    <col min="11810" max="11810" width="10.42578125" bestFit="1" customWidth="1"/>
    <col min="11811" max="11811" width="13.28515625" bestFit="1" customWidth="1"/>
    <col min="11812" max="11812" width="12.140625" bestFit="1" customWidth="1"/>
    <col min="11813" max="11813" width="14.42578125" bestFit="1" customWidth="1"/>
    <col min="11814" max="11814" width="13.28515625" bestFit="1" customWidth="1"/>
    <col min="11815" max="11815" width="11.5703125" bestFit="1" customWidth="1"/>
    <col min="11816" max="11816" width="7.7109375" bestFit="1" customWidth="1"/>
    <col min="11817" max="11818" width="14.42578125" bestFit="1" customWidth="1"/>
    <col min="11819" max="11819" width="11.5703125" bestFit="1" customWidth="1"/>
    <col min="11820" max="11820" width="7.7109375" bestFit="1" customWidth="1"/>
    <col min="11821" max="11821" width="13.5703125" customWidth="1"/>
    <col min="11822" max="11822" width="15.28515625" customWidth="1"/>
    <col min="11823" max="11823" width="14.5703125" customWidth="1"/>
    <col min="11824" max="11824" width="13.28515625" bestFit="1" customWidth="1"/>
    <col min="11825" max="11825" width="7.7109375" bestFit="1" customWidth="1"/>
    <col min="11826" max="11826" width="12.7109375" bestFit="1" customWidth="1"/>
    <col min="11827" max="11827" width="11.7109375" bestFit="1" customWidth="1"/>
    <col min="11828" max="11828" width="11.5703125" bestFit="1" customWidth="1"/>
    <col min="11829" max="11829" width="5.28515625" bestFit="1" customWidth="1"/>
    <col min="11830" max="11830" width="13.28515625" bestFit="1" customWidth="1"/>
    <col min="11831" max="11831" width="13.5703125" bestFit="1" customWidth="1"/>
    <col min="11832" max="11832" width="10.5703125" bestFit="1" customWidth="1"/>
    <col min="11833" max="11833" width="13.28515625" bestFit="1" customWidth="1"/>
    <col min="11834" max="11834" width="11.5703125" bestFit="1" customWidth="1"/>
    <col min="11835" max="11835" width="10.5703125" bestFit="1" customWidth="1"/>
    <col min="11836" max="11836" width="16.140625" bestFit="1" customWidth="1"/>
    <col min="11837" max="11838" width="11.28515625" bestFit="1" customWidth="1"/>
    <col min="11839" max="11839" width="13.28515625" bestFit="1" customWidth="1"/>
    <col min="11840" max="11840" width="7.7109375" bestFit="1" customWidth="1"/>
    <col min="11841" max="11844" width="9.140625" hidden="1" customWidth="1"/>
    <col min="11845" max="11845" width="10.42578125" bestFit="1" customWidth="1"/>
    <col min="11846" max="11846" width="10.5703125" bestFit="1" customWidth="1"/>
    <col min="11847" max="11847" width="10.42578125" bestFit="1" customWidth="1"/>
    <col min="11848" max="11848" width="10.5703125" bestFit="1" customWidth="1"/>
    <col min="11849" max="11849" width="9.5703125" bestFit="1" customWidth="1"/>
    <col min="11850" max="11850" width="11.5703125" bestFit="1" customWidth="1"/>
    <col min="11851" max="11851" width="10.42578125" bestFit="1" customWidth="1"/>
    <col min="11852" max="11852" width="10.85546875" customWidth="1"/>
    <col min="11853" max="11854" width="9.85546875" bestFit="1" customWidth="1"/>
    <col min="11855" max="11855" width="13.5703125" bestFit="1" customWidth="1"/>
    <col min="11856" max="11856" width="7.7109375" bestFit="1" customWidth="1"/>
    <col min="11857" max="11857" width="13.28515625" bestFit="1" customWidth="1"/>
    <col min="11858" max="11858" width="11.5703125" bestFit="1" customWidth="1"/>
    <col min="11859" max="11859" width="10.42578125" bestFit="1" customWidth="1"/>
    <col min="11860" max="11860" width="7.7109375" bestFit="1" customWidth="1"/>
    <col min="11861" max="11861" width="11.5703125" bestFit="1" customWidth="1"/>
    <col min="11862" max="11862" width="10.85546875" bestFit="1" customWidth="1"/>
    <col min="11863" max="11863" width="13.28515625" bestFit="1" customWidth="1"/>
    <col min="11864" max="11864" width="10.85546875" bestFit="1" customWidth="1"/>
    <col min="11865" max="11866" width="7.5703125" bestFit="1" customWidth="1"/>
    <col min="11867" max="11868" width="10.42578125" bestFit="1" customWidth="1"/>
    <col min="11869" max="11869" width="11.5703125" bestFit="1" customWidth="1"/>
    <col min="11870" max="11870" width="5.28515625" bestFit="1" customWidth="1"/>
    <col min="11871" max="11871" width="10.28515625" bestFit="1" customWidth="1"/>
    <col min="11872" max="11872" width="10.42578125" bestFit="1" customWidth="1"/>
    <col min="11873" max="11873" width="11.5703125" bestFit="1" customWidth="1"/>
    <col min="11874" max="11874" width="5.28515625" bestFit="1" customWidth="1"/>
    <col min="11875" max="11877" width="11.5703125" bestFit="1" customWidth="1"/>
    <col min="11878" max="11878" width="5.28515625" bestFit="1" customWidth="1"/>
    <col min="11879" max="11880" width="10.42578125" bestFit="1" customWidth="1"/>
    <col min="11881" max="11881" width="11.5703125" bestFit="1" customWidth="1"/>
    <col min="11882" max="11882" width="5.28515625" bestFit="1" customWidth="1"/>
    <col min="11883" max="11883" width="14.28515625" bestFit="1" customWidth="1"/>
    <col min="11884" max="11884" width="13" bestFit="1" customWidth="1"/>
    <col min="11885" max="11885" width="11.5703125" bestFit="1" customWidth="1"/>
    <col min="11886" max="11886" width="8.85546875" bestFit="1" customWidth="1"/>
    <col min="11887" max="11887" width="14.42578125" bestFit="1" customWidth="1"/>
    <col min="11888" max="11888" width="10.42578125" bestFit="1" customWidth="1"/>
    <col min="11889" max="11889" width="12.28515625" bestFit="1" customWidth="1"/>
    <col min="11890" max="11890" width="13.85546875" bestFit="1" customWidth="1"/>
    <col min="11891" max="11891" width="11.28515625" customWidth="1"/>
    <col min="11892" max="11892" width="11.5703125" customWidth="1"/>
    <col min="11893" max="11893" width="13.42578125" bestFit="1" customWidth="1"/>
    <col min="11894" max="11894" width="10.42578125" customWidth="1"/>
    <col min="11895" max="11895" width="13.85546875" bestFit="1" customWidth="1"/>
    <col min="11896" max="11896" width="15.42578125" bestFit="1" customWidth="1"/>
    <col min="11897" max="11897" width="12.28515625" bestFit="1" customWidth="1"/>
    <col min="11898" max="11898" width="12.7109375" customWidth="1"/>
    <col min="11899" max="11899" width="10.7109375" bestFit="1" customWidth="1"/>
    <col min="11900" max="11900" width="9.85546875" customWidth="1"/>
    <col min="11901" max="11902" width="10.140625" bestFit="1" customWidth="1"/>
    <col min="11903" max="11903" width="7.5703125" bestFit="1" customWidth="1"/>
    <col min="11904" max="11904" width="9.42578125" bestFit="1" customWidth="1"/>
    <col min="11905" max="11905" width="14.5703125" bestFit="1" customWidth="1"/>
    <col min="11906" max="11906" width="14.85546875" customWidth="1"/>
    <col min="11907" max="11907" width="15.140625" bestFit="1" customWidth="1"/>
    <col min="11908" max="11908" width="12.140625" bestFit="1" customWidth="1"/>
    <col min="11909" max="11909" width="14.85546875" bestFit="1" customWidth="1"/>
    <col min="11910" max="11910" width="12.28515625" bestFit="1" customWidth="1"/>
    <col min="11911" max="11919" width="9.140625" hidden="1" customWidth="1"/>
    <col min="11920" max="11920" width="5.28515625" bestFit="1" customWidth="1"/>
    <col min="11921" max="11926" width="11.5703125" bestFit="1" customWidth="1"/>
    <col min="11927" max="11927" width="11.28515625" bestFit="1" customWidth="1"/>
    <col min="11928" max="11928" width="10.140625" bestFit="1" customWidth="1"/>
    <col min="11929" max="11929" width="11.5703125" bestFit="1" customWidth="1"/>
    <col min="11930" max="11930" width="16.140625" customWidth="1"/>
    <col min="11931" max="11931" width="13.42578125" customWidth="1"/>
    <col min="11932" max="11932" width="10.140625" bestFit="1" customWidth="1"/>
    <col min="11933" max="11933" width="12.85546875" bestFit="1" customWidth="1"/>
    <col min="11934" max="11934" width="12.28515625" bestFit="1" customWidth="1"/>
    <col min="11935" max="11935" width="11.28515625" bestFit="1" customWidth="1"/>
    <col min="11936" max="11936" width="11.5703125" bestFit="1" customWidth="1"/>
    <col min="11937" max="11937" width="10.85546875" bestFit="1" customWidth="1"/>
    <col min="11938" max="11938" width="11.28515625" bestFit="1" customWidth="1"/>
    <col min="11939" max="11939" width="10.140625" bestFit="1" customWidth="1"/>
    <col min="11940" max="11940" width="13.28515625" bestFit="1" customWidth="1"/>
    <col min="11941" max="11942" width="12.7109375" bestFit="1" customWidth="1"/>
    <col min="11943" max="11943" width="11" bestFit="1" customWidth="1"/>
    <col min="11944" max="11944" width="11.28515625" bestFit="1" customWidth="1"/>
    <col min="11945" max="11945" width="11.5703125" bestFit="1" customWidth="1"/>
    <col min="11946" max="11946" width="12.28515625" bestFit="1" customWidth="1"/>
    <col min="11947" max="11947" width="15.140625" bestFit="1" customWidth="1"/>
    <col min="11948" max="11948" width="14.42578125" bestFit="1" customWidth="1"/>
    <col min="11949" max="11949" width="12.28515625" bestFit="1" customWidth="1"/>
    <col min="11950" max="11950" width="15.140625" bestFit="1" customWidth="1"/>
    <col min="11951" max="11951" width="14.42578125" bestFit="1" customWidth="1"/>
    <col min="11952" max="11952" width="12.28515625" bestFit="1" customWidth="1"/>
    <col min="11953" max="11953" width="14.42578125" bestFit="1" customWidth="1"/>
    <col min="11954" max="11954" width="11.28515625" bestFit="1" customWidth="1"/>
    <col min="11955" max="11955" width="12.28515625" bestFit="1" customWidth="1"/>
    <col min="11956" max="11956" width="13" bestFit="1" customWidth="1"/>
    <col min="11957" max="11957" width="15.140625" bestFit="1" customWidth="1"/>
    <col min="11958" max="11958" width="12.28515625" bestFit="1" customWidth="1"/>
    <col min="11959" max="11959" width="13.85546875" bestFit="1" customWidth="1"/>
    <col min="11960" max="11960" width="11.28515625" bestFit="1" customWidth="1"/>
    <col min="11961" max="11961" width="12.28515625" bestFit="1" customWidth="1"/>
    <col min="11962" max="11962" width="13.85546875" bestFit="1" customWidth="1"/>
    <col min="11963" max="11964" width="15.140625" bestFit="1" customWidth="1"/>
    <col min="11965" max="11965" width="12.28515625" bestFit="1" customWidth="1"/>
    <col min="11966" max="11966" width="5.7109375" bestFit="1" customWidth="1"/>
    <col min="11967" max="11967" width="8.5703125" bestFit="1" customWidth="1"/>
    <col min="11968" max="11968" width="5.5703125" bestFit="1" customWidth="1"/>
    <col min="11969" max="11969" width="14.42578125" bestFit="1" customWidth="1"/>
    <col min="11970" max="11970" width="11.28515625" bestFit="1" customWidth="1"/>
    <col min="11971" max="11972" width="12.28515625" bestFit="1" customWidth="1"/>
    <col min="11973" max="11973" width="11.28515625" bestFit="1" customWidth="1"/>
    <col min="11974" max="11974" width="13.85546875" bestFit="1" customWidth="1"/>
    <col min="11975" max="11975" width="12" bestFit="1" customWidth="1"/>
    <col min="11976" max="11976" width="13.85546875" bestFit="1" customWidth="1"/>
    <col min="11977" max="11978" width="14.42578125" customWidth="1"/>
    <col min="11979" max="11979" width="10.140625" bestFit="1" customWidth="1"/>
    <col min="11980" max="11980" width="12.28515625" bestFit="1" customWidth="1"/>
    <col min="11981" max="11981" width="7.42578125" bestFit="1" customWidth="1"/>
    <col min="11982" max="11982" width="8.5703125" bestFit="1" customWidth="1"/>
    <col min="11983" max="11983" width="11.5703125" bestFit="1" customWidth="1"/>
    <col min="11984" max="11984" width="13.28515625" bestFit="1" customWidth="1"/>
    <col min="11985" max="11985" width="13.28515625" customWidth="1"/>
    <col min="11986" max="11986" width="13.140625" customWidth="1"/>
    <col min="11987" max="11987" width="12.7109375" bestFit="1" customWidth="1"/>
    <col min="11988" max="11988" width="13.28515625" bestFit="1" customWidth="1"/>
    <col min="11989" max="11991" width="13.28515625" customWidth="1"/>
    <col min="11992" max="11992" width="12.140625" bestFit="1" customWidth="1"/>
    <col min="11993" max="11993" width="12.7109375" bestFit="1" customWidth="1"/>
    <col min="11994" max="11994" width="11" customWidth="1"/>
    <col min="11995" max="11995" width="16.7109375" customWidth="1"/>
    <col min="11996" max="11996" width="17" customWidth="1"/>
    <col min="11997" max="11997" width="10.42578125" bestFit="1" customWidth="1"/>
    <col min="12041" max="12041" width="3.85546875" customWidth="1"/>
    <col min="12042" max="12042" width="15.28515625" bestFit="1" customWidth="1"/>
    <col min="12043" max="12043" width="12.28515625" customWidth="1"/>
    <col min="12044" max="12044" width="16.28515625" bestFit="1" customWidth="1"/>
    <col min="12045" max="12045" width="6.42578125" bestFit="1" customWidth="1"/>
    <col min="12046" max="12046" width="9.28515625" bestFit="1" customWidth="1"/>
    <col min="12047" max="12047" width="7.5703125" bestFit="1" customWidth="1"/>
    <col min="12048" max="12048" width="13.28515625" bestFit="1" customWidth="1"/>
    <col min="12049" max="12049" width="9.28515625" bestFit="1" customWidth="1"/>
    <col min="12050" max="12050" width="11.5703125" bestFit="1" customWidth="1"/>
    <col min="12051" max="12051" width="13.28515625" bestFit="1" customWidth="1"/>
    <col min="12052" max="12052" width="7.140625" bestFit="1" customWidth="1"/>
    <col min="12053" max="12053" width="12" bestFit="1" customWidth="1"/>
    <col min="12054" max="12054" width="13.28515625" bestFit="1" customWidth="1"/>
    <col min="12055" max="12055" width="7" bestFit="1" customWidth="1"/>
    <col min="12056" max="12056" width="12.7109375" bestFit="1" customWidth="1"/>
    <col min="12057" max="12057" width="11.5703125" bestFit="1" customWidth="1"/>
    <col min="12058" max="12058" width="10.5703125" bestFit="1" customWidth="1"/>
    <col min="12059" max="12060" width="15.7109375" bestFit="1" customWidth="1"/>
    <col min="12061" max="12061" width="11.5703125" bestFit="1" customWidth="1"/>
    <col min="12062" max="12062" width="7.7109375" bestFit="1" customWidth="1"/>
    <col min="12063" max="12063" width="15.140625" bestFit="1" customWidth="1"/>
    <col min="12064" max="12064" width="11.5703125" bestFit="1" customWidth="1"/>
    <col min="12065" max="12065" width="13.28515625" bestFit="1" customWidth="1"/>
    <col min="12066" max="12066" width="10.42578125" bestFit="1" customWidth="1"/>
    <col min="12067" max="12067" width="13.28515625" bestFit="1" customWidth="1"/>
    <col min="12068" max="12068" width="12.140625" bestFit="1" customWidth="1"/>
    <col min="12069" max="12069" width="14.42578125" bestFit="1" customWidth="1"/>
    <col min="12070" max="12070" width="13.28515625" bestFit="1" customWidth="1"/>
    <col min="12071" max="12071" width="11.5703125" bestFit="1" customWidth="1"/>
    <col min="12072" max="12072" width="7.7109375" bestFit="1" customWidth="1"/>
    <col min="12073" max="12074" width="14.42578125" bestFit="1" customWidth="1"/>
    <col min="12075" max="12075" width="11.5703125" bestFit="1" customWidth="1"/>
    <col min="12076" max="12076" width="7.7109375" bestFit="1" customWidth="1"/>
    <col min="12077" max="12077" width="13.5703125" customWidth="1"/>
    <col min="12078" max="12078" width="15.28515625" customWidth="1"/>
    <col min="12079" max="12079" width="14.5703125" customWidth="1"/>
    <col min="12080" max="12080" width="13.28515625" bestFit="1" customWidth="1"/>
    <col min="12081" max="12081" width="7.7109375" bestFit="1" customWidth="1"/>
    <col min="12082" max="12082" width="12.7109375" bestFit="1" customWidth="1"/>
    <col min="12083" max="12083" width="11.7109375" bestFit="1" customWidth="1"/>
    <col min="12084" max="12084" width="11.5703125" bestFit="1" customWidth="1"/>
    <col min="12085" max="12085" width="5.28515625" bestFit="1" customWidth="1"/>
    <col min="12086" max="12086" width="13.28515625" bestFit="1" customWidth="1"/>
    <col min="12087" max="12087" width="13.5703125" bestFit="1" customWidth="1"/>
    <col min="12088" max="12088" width="10.5703125" bestFit="1" customWidth="1"/>
    <col min="12089" max="12089" width="13.28515625" bestFit="1" customWidth="1"/>
    <col min="12090" max="12090" width="11.5703125" bestFit="1" customWidth="1"/>
    <col min="12091" max="12091" width="10.5703125" bestFit="1" customWidth="1"/>
    <col min="12092" max="12092" width="16.140625" bestFit="1" customWidth="1"/>
    <col min="12093" max="12094" width="11.28515625" bestFit="1" customWidth="1"/>
    <col min="12095" max="12095" width="13.28515625" bestFit="1" customWidth="1"/>
    <col min="12096" max="12096" width="7.7109375" bestFit="1" customWidth="1"/>
    <col min="12097" max="12100" width="9.140625" hidden="1" customWidth="1"/>
    <col min="12101" max="12101" width="10.42578125" bestFit="1" customWidth="1"/>
    <col min="12102" max="12102" width="10.5703125" bestFit="1" customWidth="1"/>
    <col min="12103" max="12103" width="10.42578125" bestFit="1" customWidth="1"/>
    <col min="12104" max="12104" width="10.5703125" bestFit="1" customWidth="1"/>
    <col min="12105" max="12105" width="9.5703125" bestFit="1" customWidth="1"/>
    <col min="12106" max="12106" width="11.5703125" bestFit="1" customWidth="1"/>
    <col min="12107" max="12107" width="10.42578125" bestFit="1" customWidth="1"/>
    <col min="12108" max="12108" width="10.85546875" customWidth="1"/>
    <col min="12109" max="12110" width="9.85546875" bestFit="1" customWidth="1"/>
    <col min="12111" max="12111" width="13.5703125" bestFit="1" customWidth="1"/>
    <col min="12112" max="12112" width="7.7109375" bestFit="1" customWidth="1"/>
    <col min="12113" max="12113" width="13.28515625" bestFit="1" customWidth="1"/>
    <col min="12114" max="12114" width="11.5703125" bestFit="1" customWidth="1"/>
    <col min="12115" max="12115" width="10.42578125" bestFit="1" customWidth="1"/>
    <col min="12116" max="12116" width="7.7109375" bestFit="1" customWidth="1"/>
    <col min="12117" max="12117" width="11.5703125" bestFit="1" customWidth="1"/>
    <col min="12118" max="12118" width="10.85546875" bestFit="1" customWidth="1"/>
    <col min="12119" max="12119" width="13.28515625" bestFit="1" customWidth="1"/>
    <col min="12120" max="12120" width="10.85546875" bestFit="1" customWidth="1"/>
    <col min="12121" max="12122" width="7.5703125" bestFit="1" customWidth="1"/>
    <col min="12123" max="12124" width="10.42578125" bestFit="1" customWidth="1"/>
    <col min="12125" max="12125" width="11.5703125" bestFit="1" customWidth="1"/>
    <col min="12126" max="12126" width="5.28515625" bestFit="1" customWidth="1"/>
    <col min="12127" max="12127" width="10.28515625" bestFit="1" customWidth="1"/>
    <col min="12128" max="12128" width="10.42578125" bestFit="1" customWidth="1"/>
    <col min="12129" max="12129" width="11.5703125" bestFit="1" customWidth="1"/>
    <col min="12130" max="12130" width="5.28515625" bestFit="1" customWidth="1"/>
    <col min="12131" max="12133" width="11.5703125" bestFit="1" customWidth="1"/>
    <col min="12134" max="12134" width="5.28515625" bestFit="1" customWidth="1"/>
    <col min="12135" max="12136" width="10.42578125" bestFit="1" customWidth="1"/>
    <col min="12137" max="12137" width="11.5703125" bestFit="1" customWidth="1"/>
    <col min="12138" max="12138" width="5.28515625" bestFit="1" customWidth="1"/>
    <col min="12139" max="12139" width="14.28515625" bestFit="1" customWidth="1"/>
    <col min="12140" max="12140" width="13" bestFit="1" customWidth="1"/>
    <col min="12141" max="12141" width="11.5703125" bestFit="1" customWidth="1"/>
    <col min="12142" max="12142" width="8.85546875" bestFit="1" customWidth="1"/>
    <col min="12143" max="12143" width="14.42578125" bestFit="1" customWidth="1"/>
    <col min="12144" max="12144" width="10.42578125" bestFit="1" customWidth="1"/>
    <col min="12145" max="12145" width="12.28515625" bestFit="1" customWidth="1"/>
    <col min="12146" max="12146" width="13.85546875" bestFit="1" customWidth="1"/>
    <col min="12147" max="12147" width="11.28515625" customWidth="1"/>
    <col min="12148" max="12148" width="11.5703125" customWidth="1"/>
    <col min="12149" max="12149" width="13.42578125" bestFit="1" customWidth="1"/>
    <col min="12150" max="12150" width="10.42578125" customWidth="1"/>
    <col min="12151" max="12151" width="13.85546875" bestFit="1" customWidth="1"/>
    <col min="12152" max="12152" width="15.42578125" bestFit="1" customWidth="1"/>
    <col min="12153" max="12153" width="12.28515625" bestFit="1" customWidth="1"/>
    <col min="12154" max="12154" width="12.7109375" customWidth="1"/>
    <col min="12155" max="12155" width="10.7109375" bestFit="1" customWidth="1"/>
    <col min="12156" max="12156" width="9.85546875" customWidth="1"/>
    <col min="12157" max="12158" width="10.140625" bestFit="1" customWidth="1"/>
    <col min="12159" max="12159" width="7.5703125" bestFit="1" customWidth="1"/>
    <col min="12160" max="12160" width="9.42578125" bestFit="1" customWidth="1"/>
    <col min="12161" max="12161" width="14.5703125" bestFit="1" customWidth="1"/>
    <col min="12162" max="12162" width="14.85546875" customWidth="1"/>
    <col min="12163" max="12163" width="15.140625" bestFit="1" customWidth="1"/>
    <col min="12164" max="12164" width="12.140625" bestFit="1" customWidth="1"/>
    <col min="12165" max="12165" width="14.85546875" bestFit="1" customWidth="1"/>
    <col min="12166" max="12166" width="12.28515625" bestFit="1" customWidth="1"/>
    <col min="12167" max="12175" width="9.140625" hidden="1" customWidth="1"/>
    <col min="12176" max="12176" width="5.28515625" bestFit="1" customWidth="1"/>
    <col min="12177" max="12182" width="11.5703125" bestFit="1" customWidth="1"/>
    <col min="12183" max="12183" width="11.28515625" bestFit="1" customWidth="1"/>
    <col min="12184" max="12184" width="10.140625" bestFit="1" customWidth="1"/>
    <col min="12185" max="12185" width="11.5703125" bestFit="1" customWidth="1"/>
    <col min="12186" max="12186" width="16.140625" customWidth="1"/>
    <col min="12187" max="12187" width="13.42578125" customWidth="1"/>
    <col min="12188" max="12188" width="10.140625" bestFit="1" customWidth="1"/>
    <col min="12189" max="12189" width="12.85546875" bestFit="1" customWidth="1"/>
    <col min="12190" max="12190" width="12.28515625" bestFit="1" customWidth="1"/>
    <col min="12191" max="12191" width="11.28515625" bestFit="1" customWidth="1"/>
    <col min="12192" max="12192" width="11.5703125" bestFit="1" customWidth="1"/>
    <col min="12193" max="12193" width="10.85546875" bestFit="1" customWidth="1"/>
    <col min="12194" max="12194" width="11.28515625" bestFit="1" customWidth="1"/>
    <col min="12195" max="12195" width="10.140625" bestFit="1" customWidth="1"/>
    <col min="12196" max="12196" width="13.28515625" bestFit="1" customWidth="1"/>
    <col min="12197" max="12198" width="12.7109375" bestFit="1" customWidth="1"/>
    <col min="12199" max="12199" width="11" bestFit="1" customWidth="1"/>
    <col min="12200" max="12200" width="11.28515625" bestFit="1" customWidth="1"/>
    <col min="12201" max="12201" width="11.5703125" bestFit="1" customWidth="1"/>
    <col min="12202" max="12202" width="12.28515625" bestFit="1" customWidth="1"/>
    <col min="12203" max="12203" width="15.140625" bestFit="1" customWidth="1"/>
    <col min="12204" max="12204" width="14.42578125" bestFit="1" customWidth="1"/>
    <col min="12205" max="12205" width="12.28515625" bestFit="1" customWidth="1"/>
    <col min="12206" max="12206" width="15.140625" bestFit="1" customWidth="1"/>
    <col min="12207" max="12207" width="14.42578125" bestFit="1" customWidth="1"/>
    <col min="12208" max="12208" width="12.28515625" bestFit="1" customWidth="1"/>
    <col min="12209" max="12209" width="14.42578125" bestFit="1" customWidth="1"/>
    <col min="12210" max="12210" width="11.28515625" bestFit="1" customWidth="1"/>
    <col min="12211" max="12211" width="12.28515625" bestFit="1" customWidth="1"/>
    <col min="12212" max="12212" width="13" bestFit="1" customWidth="1"/>
    <col min="12213" max="12213" width="15.140625" bestFit="1" customWidth="1"/>
    <col min="12214" max="12214" width="12.28515625" bestFit="1" customWidth="1"/>
    <col min="12215" max="12215" width="13.85546875" bestFit="1" customWidth="1"/>
    <col min="12216" max="12216" width="11.28515625" bestFit="1" customWidth="1"/>
    <col min="12217" max="12217" width="12.28515625" bestFit="1" customWidth="1"/>
    <col min="12218" max="12218" width="13.85546875" bestFit="1" customWidth="1"/>
    <col min="12219" max="12220" width="15.140625" bestFit="1" customWidth="1"/>
    <col min="12221" max="12221" width="12.28515625" bestFit="1" customWidth="1"/>
    <col min="12222" max="12222" width="5.7109375" bestFit="1" customWidth="1"/>
    <col min="12223" max="12223" width="8.5703125" bestFit="1" customWidth="1"/>
    <col min="12224" max="12224" width="5.5703125" bestFit="1" customWidth="1"/>
    <col min="12225" max="12225" width="14.42578125" bestFit="1" customWidth="1"/>
    <col min="12226" max="12226" width="11.28515625" bestFit="1" customWidth="1"/>
    <col min="12227" max="12228" width="12.28515625" bestFit="1" customWidth="1"/>
    <col min="12229" max="12229" width="11.28515625" bestFit="1" customWidth="1"/>
    <col min="12230" max="12230" width="13.85546875" bestFit="1" customWidth="1"/>
    <col min="12231" max="12231" width="12" bestFit="1" customWidth="1"/>
    <col min="12232" max="12232" width="13.85546875" bestFit="1" customWidth="1"/>
    <col min="12233" max="12234" width="14.42578125" customWidth="1"/>
    <col min="12235" max="12235" width="10.140625" bestFit="1" customWidth="1"/>
    <col min="12236" max="12236" width="12.28515625" bestFit="1" customWidth="1"/>
    <col min="12237" max="12237" width="7.42578125" bestFit="1" customWidth="1"/>
    <col min="12238" max="12238" width="8.5703125" bestFit="1" customWidth="1"/>
    <col min="12239" max="12239" width="11.5703125" bestFit="1" customWidth="1"/>
    <col min="12240" max="12240" width="13.28515625" bestFit="1" customWidth="1"/>
    <col min="12241" max="12241" width="13.28515625" customWidth="1"/>
    <col min="12242" max="12242" width="13.140625" customWidth="1"/>
    <col min="12243" max="12243" width="12.7109375" bestFit="1" customWidth="1"/>
    <col min="12244" max="12244" width="13.28515625" bestFit="1" customWidth="1"/>
    <col min="12245" max="12247" width="13.28515625" customWidth="1"/>
    <col min="12248" max="12248" width="12.140625" bestFit="1" customWidth="1"/>
    <col min="12249" max="12249" width="12.7109375" bestFit="1" customWidth="1"/>
    <col min="12250" max="12250" width="11" customWidth="1"/>
    <col min="12251" max="12251" width="16.7109375" customWidth="1"/>
    <col min="12252" max="12252" width="17" customWidth="1"/>
    <col min="12253" max="12253" width="10.42578125" bestFit="1" customWidth="1"/>
    <col min="12297" max="12297" width="3.85546875" customWidth="1"/>
    <col min="12298" max="12298" width="15.28515625" bestFit="1" customWidth="1"/>
    <col min="12299" max="12299" width="12.28515625" customWidth="1"/>
    <col min="12300" max="12300" width="16.28515625" bestFit="1" customWidth="1"/>
    <col min="12301" max="12301" width="6.42578125" bestFit="1" customWidth="1"/>
    <col min="12302" max="12302" width="9.28515625" bestFit="1" customWidth="1"/>
    <col min="12303" max="12303" width="7.5703125" bestFit="1" customWidth="1"/>
    <col min="12304" max="12304" width="13.28515625" bestFit="1" customWidth="1"/>
    <col min="12305" max="12305" width="9.28515625" bestFit="1" customWidth="1"/>
    <col min="12306" max="12306" width="11.5703125" bestFit="1" customWidth="1"/>
    <col min="12307" max="12307" width="13.28515625" bestFit="1" customWidth="1"/>
    <col min="12308" max="12308" width="7.140625" bestFit="1" customWidth="1"/>
    <col min="12309" max="12309" width="12" bestFit="1" customWidth="1"/>
    <col min="12310" max="12310" width="13.28515625" bestFit="1" customWidth="1"/>
    <col min="12311" max="12311" width="7" bestFit="1" customWidth="1"/>
    <col min="12312" max="12312" width="12.7109375" bestFit="1" customWidth="1"/>
    <col min="12313" max="12313" width="11.5703125" bestFit="1" customWidth="1"/>
    <col min="12314" max="12314" width="10.5703125" bestFit="1" customWidth="1"/>
    <col min="12315" max="12316" width="15.7109375" bestFit="1" customWidth="1"/>
    <col min="12317" max="12317" width="11.5703125" bestFit="1" customWidth="1"/>
    <col min="12318" max="12318" width="7.7109375" bestFit="1" customWidth="1"/>
    <col min="12319" max="12319" width="15.140625" bestFit="1" customWidth="1"/>
    <col min="12320" max="12320" width="11.5703125" bestFit="1" customWidth="1"/>
    <col min="12321" max="12321" width="13.28515625" bestFit="1" customWidth="1"/>
    <col min="12322" max="12322" width="10.42578125" bestFit="1" customWidth="1"/>
    <col min="12323" max="12323" width="13.28515625" bestFit="1" customWidth="1"/>
    <col min="12324" max="12324" width="12.140625" bestFit="1" customWidth="1"/>
    <col min="12325" max="12325" width="14.42578125" bestFit="1" customWidth="1"/>
    <col min="12326" max="12326" width="13.28515625" bestFit="1" customWidth="1"/>
    <col min="12327" max="12327" width="11.5703125" bestFit="1" customWidth="1"/>
    <col min="12328" max="12328" width="7.7109375" bestFit="1" customWidth="1"/>
    <col min="12329" max="12330" width="14.42578125" bestFit="1" customWidth="1"/>
    <col min="12331" max="12331" width="11.5703125" bestFit="1" customWidth="1"/>
    <col min="12332" max="12332" width="7.7109375" bestFit="1" customWidth="1"/>
    <col min="12333" max="12333" width="13.5703125" customWidth="1"/>
    <col min="12334" max="12334" width="15.28515625" customWidth="1"/>
    <col min="12335" max="12335" width="14.5703125" customWidth="1"/>
    <col min="12336" max="12336" width="13.28515625" bestFit="1" customWidth="1"/>
    <col min="12337" max="12337" width="7.7109375" bestFit="1" customWidth="1"/>
    <col min="12338" max="12338" width="12.7109375" bestFit="1" customWidth="1"/>
    <col min="12339" max="12339" width="11.7109375" bestFit="1" customWidth="1"/>
    <col min="12340" max="12340" width="11.5703125" bestFit="1" customWidth="1"/>
    <col min="12341" max="12341" width="5.28515625" bestFit="1" customWidth="1"/>
    <col min="12342" max="12342" width="13.28515625" bestFit="1" customWidth="1"/>
    <col min="12343" max="12343" width="13.5703125" bestFit="1" customWidth="1"/>
    <col min="12344" max="12344" width="10.5703125" bestFit="1" customWidth="1"/>
    <col min="12345" max="12345" width="13.28515625" bestFit="1" customWidth="1"/>
    <col min="12346" max="12346" width="11.5703125" bestFit="1" customWidth="1"/>
    <col min="12347" max="12347" width="10.5703125" bestFit="1" customWidth="1"/>
    <col min="12348" max="12348" width="16.140625" bestFit="1" customWidth="1"/>
    <col min="12349" max="12350" width="11.28515625" bestFit="1" customWidth="1"/>
    <col min="12351" max="12351" width="13.28515625" bestFit="1" customWidth="1"/>
    <col min="12352" max="12352" width="7.7109375" bestFit="1" customWidth="1"/>
    <col min="12353" max="12356" width="9.140625" hidden="1" customWidth="1"/>
    <col min="12357" max="12357" width="10.42578125" bestFit="1" customWidth="1"/>
    <col min="12358" max="12358" width="10.5703125" bestFit="1" customWidth="1"/>
    <col min="12359" max="12359" width="10.42578125" bestFit="1" customWidth="1"/>
    <col min="12360" max="12360" width="10.5703125" bestFit="1" customWidth="1"/>
    <col min="12361" max="12361" width="9.5703125" bestFit="1" customWidth="1"/>
    <col min="12362" max="12362" width="11.5703125" bestFit="1" customWidth="1"/>
    <col min="12363" max="12363" width="10.42578125" bestFit="1" customWidth="1"/>
    <col min="12364" max="12364" width="10.85546875" customWidth="1"/>
    <col min="12365" max="12366" width="9.85546875" bestFit="1" customWidth="1"/>
    <col min="12367" max="12367" width="13.5703125" bestFit="1" customWidth="1"/>
    <col min="12368" max="12368" width="7.7109375" bestFit="1" customWidth="1"/>
    <col min="12369" max="12369" width="13.28515625" bestFit="1" customWidth="1"/>
    <col min="12370" max="12370" width="11.5703125" bestFit="1" customWidth="1"/>
    <col min="12371" max="12371" width="10.42578125" bestFit="1" customWidth="1"/>
    <col min="12372" max="12372" width="7.7109375" bestFit="1" customWidth="1"/>
    <col min="12373" max="12373" width="11.5703125" bestFit="1" customWidth="1"/>
    <col min="12374" max="12374" width="10.85546875" bestFit="1" customWidth="1"/>
    <col min="12375" max="12375" width="13.28515625" bestFit="1" customWidth="1"/>
    <col min="12376" max="12376" width="10.85546875" bestFit="1" customWidth="1"/>
    <col min="12377" max="12378" width="7.5703125" bestFit="1" customWidth="1"/>
    <col min="12379" max="12380" width="10.42578125" bestFit="1" customWidth="1"/>
    <col min="12381" max="12381" width="11.5703125" bestFit="1" customWidth="1"/>
    <col min="12382" max="12382" width="5.28515625" bestFit="1" customWidth="1"/>
    <col min="12383" max="12383" width="10.28515625" bestFit="1" customWidth="1"/>
    <col min="12384" max="12384" width="10.42578125" bestFit="1" customWidth="1"/>
    <col min="12385" max="12385" width="11.5703125" bestFit="1" customWidth="1"/>
    <col min="12386" max="12386" width="5.28515625" bestFit="1" customWidth="1"/>
    <col min="12387" max="12389" width="11.5703125" bestFit="1" customWidth="1"/>
    <col min="12390" max="12390" width="5.28515625" bestFit="1" customWidth="1"/>
    <col min="12391" max="12392" width="10.42578125" bestFit="1" customWidth="1"/>
    <col min="12393" max="12393" width="11.5703125" bestFit="1" customWidth="1"/>
    <col min="12394" max="12394" width="5.28515625" bestFit="1" customWidth="1"/>
    <col min="12395" max="12395" width="14.28515625" bestFit="1" customWidth="1"/>
    <col min="12396" max="12396" width="13" bestFit="1" customWidth="1"/>
    <col min="12397" max="12397" width="11.5703125" bestFit="1" customWidth="1"/>
    <col min="12398" max="12398" width="8.85546875" bestFit="1" customWidth="1"/>
    <col min="12399" max="12399" width="14.42578125" bestFit="1" customWidth="1"/>
    <col min="12400" max="12400" width="10.42578125" bestFit="1" customWidth="1"/>
    <col min="12401" max="12401" width="12.28515625" bestFit="1" customWidth="1"/>
    <col min="12402" max="12402" width="13.85546875" bestFit="1" customWidth="1"/>
    <col min="12403" max="12403" width="11.28515625" customWidth="1"/>
    <col min="12404" max="12404" width="11.5703125" customWidth="1"/>
    <col min="12405" max="12405" width="13.42578125" bestFit="1" customWidth="1"/>
    <col min="12406" max="12406" width="10.42578125" customWidth="1"/>
    <col min="12407" max="12407" width="13.85546875" bestFit="1" customWidth="1"/>
    <col min="12408" max="12408" width="15.42578125" bestFit="1" customWidth="1"/>
    <col min="12409" max="12409" width="12.28515625" bestFit="1" customWidth="1"/>
    <col min="12410" max="12410" width="12.7109375" customWidth="1"/>
    <col min="12411" max="12411" width="10.7109375" bestFit="1" customWidth="1"/>
    <col min="12412" max="12412" width="9.85546875" customWidth="1"/>
    <col min="12413" max="12414" width="10.140625" bestFit="1" customWidth="1"/>
    <col min="12415" max="12415" width="7.5703125" bestFit="1" customWidth="1"/>
    <col min="12416" max="12416" width="9.42578125" bestFit="1" customWidth="1"/>
    <col min="12417" max="12417" width="14.5703125" bestFit="1" customWidth="1"/>
    <col min="12418" max="12418" width="14.85546875" customWidth="1"/>
    <col min="12419" max="12419" width="15.140625" bestFit="1" customWidth="1"/>
    <col min="12420" max="12420" width="12.140625" bestFit="1" customWidth="1"/>
    <col min="12421" max="12421" width="14.85546875" bestFit="1" customWidth="1"/>
    <col min="12422" max="12422" width="12.28515625" bestFit="1" customWidth="1"/>
    <col min="12423" max="12431" width="9.140625" hidden="1" customWidth="1"/>
    <col min="12432" max="12432" width="5.28515625" bestFit="1" customWidth="1"/>
    <col min="12433" max="12438" width="11.5703125" bestFit="1" customWidth="1"/>
    <col min="12439" max="12439" width="11.28515625" bestFit="1" customWidth="1"/>
    <col min="12440" max="12440" width="10.140625" bestFit="1" customWidth="1"/>
    <col min="12441" max="12441" width="11.5703125" bestFit="1" customWidth="1"/>
    <col min="12442" max="12442" width="16.140625" customWidth="1"/>
    <col min="12443" max="12443" width="13.42578125" customWidth="1"/>
    <col min="12444" max="12444" width="10.140625" bestFit="1" customWidth="1"/>
    <col min="12445" max="12445" width="12.85546875" bestFit="1" customWidth="1"/>
    <col min="12446" max="12446" width="12.28515625" bestFit="1" customWidth="1"/>
    <col min="12447" max="12447" width="11.28515625" bestFit="1" customWidth="1"/>
    <col min="12448" max="12448" width="11.5703125" bestFit="1" customWidth="1"/>
    <col min="12449" max="12449" width="10.85546875" bestFit="1" customWidth="1"/>
    <col min="12450" max="12450" width="11.28515625" bestFit="1" customWidth="1"/>
    <col min="12451" max="12451" width="10.140625" bestFit="1" customWidth="1"/>
    <col min="12452" max="12452" width="13.28515625" bestFit="1" customWidth="1"/>
    <col min="12453" max="12454" width="12.7109375" bestFit="1" customWidth="1"/>
    <col min="12455" max="12455" width="11" bestFit="1" customWidth="1"/>
    <col min="12456" max="12456" width="11.28515625" bestFit="1" customWidth="1"/>
    <col min="12457" max="12457" width="11.5703125" bestFit="1" customWidth="1"/>
    <col min="12458" max="12458" width="12.28515625" bestFit="1" customWidth="1"/>
    <col min="12459" max="12459" width="15.140625" bestFit="1" customWidth="1"/>
    <col min="12460" max="12460" width="14.42578125" bestFit="1" customWidth="1"/>
    <col min="12461" max="12461" width="12.28515625" bestFit="1" customWidth="1"/>
    <col min="12462" max="12462" width="15.140625" bestFit="1" customWidth="1"/>
    <col min="12463" max="12463" width="14.42578125" bestFit="1" customWidth="1"/>
    <col min="12464" max="12464" width="12.28515625" bestFit="1" customWidth="1"/>
    <col min="12465" max="12465" width="14.42578125" bestFit="1" customWidth="1"/>
    <col min="12466" max="12466" width="11.28515625" bestFit="1" customWidth="1"/>
    <col min="12467" max="12467" width="12.28515625" bestFit="1" customWidth="1"/>
    <col min="12468" max="12468" width="13" bestFit="1" customWidth="1"/>
    <col min="12469" max="12469" width="15.140625" bestFit="1" customWidth="1"/>
    <col min="12470" max="12470" width="12.28515625" bestFit="1" customWidth="1"/>
    <col min="12471" max="12471" width="13.85546875" bestFit="1" customWidth="1"/>
    <col min="12472" max="12472" width="11.28515625" bestFit="1" customWidth="1"/>
    <col min="12473" max="12473" width="12.28515625" bestFit="1" customWidth="1"/>
    <col min="12474" max="12474" width="13.85546875" bestFit="1" customWidth="1"/>
    <col min="12475" max="12476" width="15.140625" bestFit="1" customWidth="1"/>
    <col min="12477" max="12477" width="12.28515625" bestFit="1" customWidth="1"/>
    <col min="12478" max="12478" width="5.7109375" bestFit="1" customWidth="1"/>
    <col min="12479" max="12479" width="8.5703125" bestFit="1" customWidth="1"/>
    <col min="12480" max="12480" width="5.5703125" bestFit="1" customWidth="1"/>
    <col min="12481" max="12481" width="14.42578125" bestFit="1" customWidth="1"/>
    <col min="12482" max="12482" width="11.28515625" bestFit="1" customWidth="1"/>
    <col min="12483" max="12484" width="12.28515625" bestFit="1" customWidth="1"/>
    <col min="12485" max="12485" width="11.28515625" bestFit="1" customWidth="1"/>
    <col min="12486" max="12486" width="13.85546875" bestFit="1" customWidth="1"/>
    <col min="12487" max="12487" width="12" bestFit="1" customWidth="1"/>
    <col min="12488" max="12488" width="13.85546875" bestFit="1" customWidth="1"/>
    <col min="12489" max="12490" width="14.42578125" customWidth="1"/>
    <col min="12491" max="12491" width="10.140625" bestFit="1" customWidth="1"/>
    <col min="12492" max="12492" width="12.28515625" bestFit="1" customWidth="1"/>
    <col min="12493" max="12493" width="7.42578125" bestFit="1" customWidth="1"/>
    <col min="12494" max="12494" width="8.5703125" bestFit="1" customWidth="1"/>
    <col min="12495" max="12495" width="11.5703125" bestFit="1" customWidth="1"/>
    <col min="12496" max="12496" width="13.28515625" bestFit="1" customWidth="1"/>
    <col min="12497" max="12497" width="13.28515625" customWidth="1"/>
    <col min="12498" max="12498" width="13.140625" customWidth="1"/>
    <col min="12499" max="12499" width="12.7109375" bestFit="1" customWidth="1"/>
    <col min="12500" max="12500" width="13.28515625" bestFit="1" customWidth="1"/>
    <col min="12501" max="12503" width="13.28515625" customWidth="1"/>
    <col min="12504" max="12504" width="12.140625" bestFit="1" customWidth="1"/>
    <col min="12505" max="12505" width="12.7109375" bestFit="1" customWidth="1"/>
    <col min="12506" max="12506" width="11" customWidth="1"/>
    <col min="12507" max="12507" width="16.7109375" customWidth="1"/>
    <col min="12508" max="12508" width="17" customWidth="1"/>
    <col min="12509" max="12509" width="10.42578125" bestFit="1" customWidth="1"/>
    <col min="12553" max="12553" width="3.85546875" customWidth="1"/>
    <col min="12554" max="12554" width="15.28515625" bestFit="1" customWidth="1"/>
    <col min="12555" max="12555" width="12.28515625" customWidth="1"/>
    <col min="12556" max="12556" width="16.28515625" bestFit="1" customWidth="1"/>
    <col min="12557" max="12557" width="6.42578125" bestFit="1" customWidth="1"/>
    <col min="12558" max="12558" width="9.28515625" bestFit="1" customWidth="1"/>
    <col min="12559" max="12559" width="7.5703125" bestFit="1" customWidth="1"/>
    <col min="12560" max="12560" width="13.28515625" bestFit="1" customWidth="1"/>
    <col min="12561" max="12561" width="9.28515625" bestFit="1" customWidth="1"/>
    <col min="12562" max="12562" width="11.5703125" bestFit="1" customWidth="1"/>
    <col min="12563" max="12563" width="13.28515625" bestFit="1" customWidth="1"/>
    <col min="12564" max="12564" width="7.140625" bestFit="1" customWidth="1"/>
    <col min="12565" max="12565" width="12" bestFit="1" customWidth="1"/>
    <col min="12566" max="12566" width="13.28515625" bestFit="1" customWidth="1"/>
    <col min="12567" max="12567" width="7" bestFit="1" customWidth="1"/>
    <col min="12568" max="12568" width="12.7109375" bestFit="1" customWidth="1"/>
    <col min="12569" max="12569" width="11.5703125" bestFit="1" customWidth="1"/>
    <col min="12570" max="12570" width="10.5703125" bestFit="1" customWidth="1"/>
    <col min="12571" max="12572" width="15.7109375" bestFit="1" customWidth="1"/>
    <col min="12573" max="12573" width="11.5703125" bestFit="1" customWidth="1"/>
    <col min="12574" max="12574" width="7.7109375" bestFit="1" customWidth="1"/>
    <col min="12575" max="12575" width="15.140625" bestFit="1" customWidth="1"/>
    <col min="12576" max="12576" width="11.5703125" bestFit="1" customWidth="1"/>
    <col min="12577" max="12577" width="13.28515625" bestFit="1" customWidth="1"/>
    <col min="12578" max="12578" width="10.42578125" bestFit="1" customWidth="1"/>
    <col min="12579" max="12579" width="13.28515625" bestFit="1" customWidth="1"/>
    <col min="12580" max="12580" width="12.140625" bestFit="1" customWidth="1"/>
    <col min="12581" max="12581" width="14.42578125" bestFit="1" customWidth="1"/>
    <col min="12582" max="12582" width="13.28515625" bestFit="1" customWidth="1"/>
    <col min="12583" max="12583" width="11.5703125" bestFit="1" customWidth="1"/>
    <col min="12584" max="12584" width="7.7109375" bestFit="1" customWidth="1"/>
    <col min="12585" max="12586" width="14.42578125" bestFit="1" customWidth="1"/>
    <col min="12587" max="12587" width="11.5703125" bestFit="1" customWidth="1"/>
    <col min="12588" max="12588" width="7.7109375" bestFit="1" customWidth="1"/>
    <col min="12589" max="12589" width="13.5703125" customWidth="1"/>
    <col min="12590" max="12590" width="15.28515625" customWidth="1"/>
    <col min="12591" max="12591" width="14.5703125" customWidth="1"/>
    <col min="12592" max="12592" width="13.28515625" bestFit="1" customWidth="1"/>
    <col min="12593" max="12593" width="7.7109375" bestFit="1" customWidth="1"/>
    <col min="12594" max="12594" width="12.7109375" bestFit="1" customWidth="1"/>
    <col min="12595" max="12595" width="11.7109375" bestFit="1" customWidth="1"/>
    <col min="12596" max="12596" width="11.5703125" bestFit="1" customWidth="1"/>
    <col min="12597" max="12597" width="5.28515625" bestFit="1" customWidth="1"/>
    <col min="12598" max="12598" width="13.28515625" bestFit="1" customWidth="1"/>
    <col min="12599" max="12599" width="13.5703125" bestFit="1" customWidth="1"/>
    <col min="12600" max="12600" width="10.5703125" bestFit="1" customWidth="1"/>
    <col min="12601" max="12601" width="13.28515625" bestFit="1" customWidth="1"/>
    <col min="12602" max="12602" width="11.5703125" bestFit="1" customWidth="1"/>
    <col min="12603" max="12603" width="10.5703125" bestFit="1" customWidth="1"/>
    <col min="12604" max="12604" width="16.140625" bestFit="1" customWidth="1"/>
    <col min="12605" max="12606" width="11.28515625" bestFit="1" customWidth="1"/>
    <col min="12607" max="12607" width="13.28515625" bestFit="1" customWidth="1"/>
    <col min="12608" max="12608" width="7.7109375" bestFit="1" customWidth="1"/>
    <col min="12609" max="12612" width="9.140625" hidden="1" customWidth="1"/>
    <col min="12613" max="12613" width="10.42578125" bestFit="1" customWidth="1"/>
    <col min="12614" max="12614" width="10.5703125" bestFit="1" customWidth="1"/>
    <col min="12615" max="12615" width="10.42578125" bestFit="1" customWidth="1"/>
    <col min="12616" max="12616" width="10.5703125" bestFit="1" customWidth="1"/>
    <col min="12617" max="12617" width="9.5703125" bestFit="1" customWidth="1"/>
    <col min="12618" max="12618" width="11.5703125" bestFit="1" customWidth="1"/>
    <col min="12619" max="12619" width="10.42578125" bestFit="1" customWidth="1"/>
    <col min="12620" max="12620" width="10.85546875" customWidth="1"/>
    <col min="12621" max="12622" width="9.85546875" bestFit="1" customWidth="1"/>
    <col min="12623" max="12623" width="13.5703125" bestFit="1" customWidth="1"/>
    <col min="12624" max="12624" width="7.7109375" bestFit="1" customWidth="1"/>
    <col min="12625" max="12625" width="13.28515625" bestFit="1" customWidth="1"/>
    <col min="12626" max="12626" width="11.5703125" bestFit="1" customWidth="1"/>
    <col min="12627" max="12627" width="10.42578125" bestFit="1" customWidth="1"/>
    <col min="12628" max="12628" width="7.7109375" bestFit="1" customWidth="1"/>
    <col min="12629" max="12629" width="11.5703125" bestFit="1" customWidth="1"/>
    <col min="12630" max="12630" width="10.85546875" bestFit="1" customWidth="1"/>
    <col min="12631" max="12631" width="13.28515625" bestFit="1" customWidth="1"/>
    <col min="12632" max="12632" width="10.85546875" bestFit="1" customWidth="1"/>
    <col min="12633" max="12634" width="7.5703125" bestFit="1" customWidth="1"/>
    <col min="12635" max="12636" width="10.42578125" bestFit="1" customWidth="1"/>
    <col min="12637" max="12637" width="11.5703125" bestFit="1" customWidth="1"/>
    <col min="12638" max="12638" width="5.28515625" bestFit="1" customWidth="1"/>
    <col min="12639" max="12639" width="10.28515625" bestFit="1" customWidth="1"/>
    <col min="12640" max="12640" width="10.42578125" bestFit="1" customWidth="1"/>
    <col min="12641" max="12641" width="11.5703125" bestFit="1" customWidth="1"/>
    <col min="12642" max="12642" width="5.28515625" bestFit="1" customWidth="1"/>
    <col min="12643" max="12645" width="11.5703125" bestFit="1" customWidth="1"/>
    <col min="12646" max="12646" width="5.28515625" bestFit="1" customWidth="1"/>
    <col min="12647" max="12648" width="10.42578125" bestFit="1" customWidth="1"/>
    <col min="12649" max="12649" width="11.5703125" bestFit="1" customWidth="1"/>
    <col min="12650" max="12650" width="5.28515625" bestFit="1" customWidth="1"/>
    <col min="12651" max="12651" width="14.28515625" bestFit="1" customWidth="1"/>
    <col min="12652" max="12652" width="13" bestFit="1" customWidth="1"/>
    <col min="12653" max="12653" width="11.5703125" bestFit="1" customWidth="1"/>
    <col min="12654" max="12654" width="8.85546875" bestFit="1" customWidth="1"/>
    <col min="12655" max="12655" width="14.42578125" bestFit="1" customWidth="1"/>
    <col min="12656" max="12656" width="10.42578125" bestFit="1" customWidth="1"/>
    <col min="12657" max="12657" width="12.28515625" bestFit="1" customWidth="1"/>
    <col min="12658" max="12658" width="13.85546875" bestFit="1" customWidth="1"/>
    <col min="12659" max="12659" width="11.28515625" customWidth="1"/>
    <col min="12660" max="12660" width="11.5703125" customWidth="1"/>
    <col min="12661" max="12661" width="13.42578125" bestFit="1" customWidth="1"/>
    <col min="12662" max="12662" width="10.42578125" customWidth="1"/>
    <col min="12663" max="12663" width="13.85546875" bestFit="1" customWidth="1"/>
    <col min="12664" max="12664" width="15.42578125" bestFit="1" customWidth="1"/>
    <col min="12665" max="12665" width="12.28515625" bestFit="1" customWidth="1"/>
    <col min="12666" max="12666" width="12.7109375" customWidth="1"/>
    <col min="12667" max="12667" width="10.7109375" bestFit="1" customWidth="1"/>
    <col min="12668" max="12668" width="9.85546875" customWidth="1"/>
    <col min="12669" max="12670" width="10.140625" bestFit="1" customWidth="1"/>
    <col min="12671" max="12671" width="7.5703125" bestFit="1" customWidth="1"/>
    <col min="12672" max="12672" width="9.42578125" bestFit="1" customWidth="1"/>
    <col min="12673" max="12673" width="14.5703125" bestFit="1" customWidth="1"/>
    <col min="12674" max="12674" width="14.85546875" customWidth="1"/>
    <col min="12675" max="12675" width="15.140625" bestFit="1" customWidth="1"/>
    <col min="12676" max="12676" width="12.140625" bestFit="1" customWidth="1"/>
    <col min="12677" max="12677" width="14.85546875" bestFit="1" customWidth="1"/>
    <col min="12678" max="12678" width="12.28515625" bestFit="1" customWidth="1"/>
    <col min="12679" max="12687" width="9.140625" hidden="1" customWidth="1"/>
    <col min="12688" max="12688" width="5.28515625" bestFit="1" customWidth="1"/>
    <col min="12689" max="12694" width="11.5703125" bestFit="1" customWidth="1"/>
    <col min="12695" max="12695" width="11.28515625" bestFit="1" customWidth="1"/>
    <col min="12696" max="12696" width="10.140625" bestFit="1" customWidth="1"/>
    <col min="12697" max="12697" width="11.5703125" bestFit="1" customWidth="1"/>
    <col min="12698" max="12698" width="16.140625" customWidth="1"/>
    <col min="12699" max="12699" width="13.42578125" customWidth="1"/>
    <col min="12700" max="12700" width="10.140625" bestFit="1" customWidth="1"/>
    <col min="12701" max="12701" width="12.85546875" bestFit="1" customWidth="1"/>
    <col min="12702" max="12702" width="12.28515625" bestFit="1" customWidth="1"/>
    <col min="12703" max="12703" width="11.28515625" bestFit="1" customWidth="1"/>
    <col min="12704" max="12704" width="11.5703125" bestFit="1" customWidth="1"/>
    <col min="12705" max="12705" width="10.85546875" bestFit="1" customWidth="1"/>
    <col min="12706" max="12706" width="11.28515625" bestFit="1" customWidth="1"/>
    <col min="12707" max="12707" width="10.140625" bestFit="1" customWidth="1"/>
    <col min="12708" max="12708" width="13.28515625" bestFit="1" customWidth="1"/>
    <col min="12709" max="12710" width="12.7109375" bestFit="1" customWidth="1"/>
    <col min="12711" max="12711" width="11" bestFit="1" customWidth="1"/>
    <col min="12712" max="12712" width="11.28515625" bestFit="1" customWidth="1"/>
    <col min="12713" max="12713" width="11.5703125" bestFit="1" customWidth="1"/>
    <col min="12714" max="12714" width="12.28515625" bestFit="1" customWidth="1"/>
    <col min="12715" max="12715" width="15.140625" bestFit="1" customWidth="1"/>
    <col min="12716" max="12716" width="14.42578125" bestFit="1" customWidth="1"/>
    <col min="12717" max="12717" width="12.28515625" bestFit="1" customWidth="1"/>
    <col min="12718" max="12718" width="15.140625" bestFit="1" customWidth="1"/>
    <col min="12719" max="12719" width="14.42578125" bestFit="1" customWidth="1"/>
    <col min="12720" max="12720" width="12.28515625" bestFit="1" customWidth="1"/>
    <col min="12721" max="12721" width="14.42578125" bestFit="1" customWidth="1"/>
    <col min="12722" max="12722" width="11.28515625" bestFit="1" customWidth="1"/>
    <col min="12723" max="12723" width="12.28515625" bestFit="1" customWidth="1"/>
    <col min="12724" max="12724" width="13" bestFit="1" customWidth="1"/>
    <col min="12725" max="12725" width="15.140625" bestFit="1" customWidth="1"/>
    <col min="12726" max="12726" width="12.28515625" bestFit="1" customWidth="1"/>
    <col min="12727" max="12727" width="13.85546875" bestFit="1" customWidth="1"/>
    <col min="12728" max="12728" width="11.28515625" bestFit="1" customWidth="1"/>
    <col min="12729" max="12729" width="12.28515625" bestFit="1" customWidth="1"/>
    <col min="12730" max="12730" width="13.85546875" bestFit="1" customWidth="1"/>
    <col min="12731" max="12732" width="15.140625" bestFit="1" customWidth="1"/>
    <col min="12733" max="12733" width="12.28515625" bestFit="1" customWidth="1"/>
    <col min="12734" max="12734" width="5.7109375" bestFit="1" customWidth="1"/>
    <col min="12735" max="12735" width="8.5703125" bestFit="1" customWidth="1"/>
    <col min="12736" max="12736" width="5.5703125" bestFit="1" customWidth="1"/>
    <col min="12737" max="12737" width="14.42578125" bestFit="1" customWidth="1"/>
    <col min="12738" max="12738" width="11.28515625" bestFit="1" customWidth="1"/>
    <col min="12739" max="12740" width="12.28515625" bestFit="1" customWidth="1"/>
    <col min="12741" max="12741" width="11.28515625" bestFit="1" customWidth="1"/>
    <col min="12742" max="12742" width="13.85546875" bestFit="1" customWidth="1"/>
    <col min="12743" max="12743" width="12" bestFit="1" customWidth="1"/>
    <col min="12744" max="12744" width="13.85546875" bestFit="1" customWidth="1"/>
    <col min="12745" max="12746" width="14.42578125" customWidth="1"/>
    <col min="12747" max="12747" width="10.140625" bestFit="1" customWidth="1"/>
    <col min="12748" max="12748" width="12.28515625" bestFit="1" customWidth="1"/>
    <col min="12749" max="12749" width="7.42578125" bestFit="1" customWidth="1"/>
    <col min="12750" max="12750" width="8.5703125" bestFit="1" customWidth="1"/>
    <col min="12751" max="12751" width="11.5703125" bestFit="1" customWidth="1"/>
    <col min="12752" max="12752" width="13.28515625" bestFit="1" customWidth="1"/>
    <col min="12753" max="12753" width="13.28515625" customWidth="1"/>
    <col min="12754" max="12754" width="13.140625" customWidth="1"/>
    <col min="12755" max="12755" width="12.7109375" bestFit="1" customWidth="1"/>
    <col min="12756" max="12756" width="13.28515625" bestFit="1" customWidth="1"/>
    <col min="12757" max="12759" width="13.28515625" customWidth="1"/>
    <col min="12760" max="12760" width="12.140625" bestFit="1" customWidth="1"/>
    <col min="12761" max="12761" width="12.7109375" bestFit="1" customWidth="1"/>
    <col min="12762" max="12762" width="11" customWidth="1"/>
    <col min="12763" max="12763" width="16.7109375" customWidth="1"/>
    <col min="12764" max="12764" width="17" customWidth="1"/>
    <col min="12765" max="12765" width="10.42578125" bestFit="1" customWidth="1"/>
    <col min="12809" max="12809" width="3.85546875" customWidth="1"/>
    <col min="12810" max="12810" width="15.28515625" bestFit="1" customWidth="1"/>
    <col min="12811" max="12811" width="12.28515625" customWidth="1"/>
    <col min="12812" max="12812" width="16.28515625" bestFit="1" customWidth="1"/>
    <col min="12813" max="12813" width="6.42578125" bestFit="1" customWidth="1"/>
    <col min="12814" max="12814" width="9.28515625" bestFit="1" customWidth="1"/>
    <col min="12815" max="12815" width="7.5703125" bestFit="1" customWidth="1"/>
    <col min="12816" max="12816" width="13.28515625" bestFit="1" customWidth="1"/>
    <col min="12817" max="12817" width="9.28515625" bestFit="1" customWidth="1"/>
    <col min="12818" max="12818" width="11.5703125" bestFit="1" customWidth="1"/>
    <col min="12819" max="12819" width="13.28515625" bestFit="1" customWidth="1"/>
    <col min="12820" max="12820" width="7.140625" bestFit="1" customWidth="1"/>
    <col min="12821" max="12821" width="12" bestFit="1" customWidth="1"/>
    <col min="12822" max="12822" width="13.28515625" bestFit="1" customWidth="1"/>
    <col min="12823" max="12823" width="7" bestFit="1" customWidth="1"/>
    <col min="12824" max="12824" width="12.7109375" bestFit="1" customWidth="1"/>
    <col min="12825" max="12825" width="11.5703125" bestFit="1" customWidth="1"/>
    <col min="12826" max="12826" width="10.5703125" bestFit="1" customWidth="1"/>
    <col min="12827" max="12828" width="15.7109375" bestFit="1" customWidth="1"/>
    <col min="12829" max="12829" width="11.5703125" bestFit="1" customWidth="1"/>
    <col min="12830" max="12830" width="7.7109375" bestFit="1" customWidth="1"/>
    <col min="12831" max="12831" width="15.140625" bestFit="1" customWidth="1"/>
    <col min="12832" max="12832" width="11.5703125" bestFit="1" customWidth="1"/>
    <col min="12833" max="12833" width="13.28515625" bestFit="1" customWidth="1"/>
    <col min="12834" max="12834" width="10.42578125" bestFit="1" customWidth="1"/>
    <col min="12835" max="12835" width="13.28515625" bestFit="1" customWidth="1"/>
    <col min="12836" max="12836" width="12.140625" bestFit="1" customWidth="1"/>
    <col min="12837" max="12837" width="14.42578125" bestFit="1" customWidth="1"/>
    <col min="12838" max="12838" width="13.28515625" bestFit="1" customWidth="1"/>
    <col min="12839" max="12839" width="11.5703125" bestFit="1" customWidth="1"/>
    <col min="12840" max="12840" width="7.7109375" bestFit="1" customWidth="1"/>
    <col min="12841" max="12842" width="14.42578125" bestFit="1" customWidth="1"/>
    <col min="12843" max="12843" width="11.5703125" bestFit="1" customWidth="1"/>
    <col min="12844" max="12844" width="7.7109375" bestFit="1" customWidth="1"/>
    <col min="12845" max="12845" width="13.5703125" customWidth="1"/>
    <col min="12846" max="12846" width="15.28515625" customWidth="1"/>
    <col min="12847" max="12847" width="14.5703125" customWidth="1"/>
    <col min="12848" max="12848" width="13.28515625" bestFit="1" customWidth="1"/>
    <col min="12849" max="12849" width="7.7109375" bestFit="1" customWidth="1"/>
    <col min="12850" max="12850" width="12.7109375" bestFit="1" customWidth="1"/>
    <col min="12851" max="12851" width="11.7109375" bestFit="1" customWidth="1"/>
    <col min="12852" max="12852" width="11.5703125" bestFit="1" customWidth="1"/>
    <col min="12853" max="12853" width="5.28515625" bestFit="1" customWidth="1"/>
    <col min="12854" max="12854" width="13.28515625" bestFit="1" customWidth="1"/>
    <col min="12855" max="12855" width="13.5703125" bestFit="1" customWidth="1"/>
    <col min="12856" max="12856" width="10.5703125" bestFit="1" customWidth="1"/>
    <col min="12857" max="12857" width="13.28515625" bestFit="1" customWidth="1"/>
    <col min="12858" max="12858" width="11.5703125" bestFit="1" customWidth="1"/>
    <col min="12859" max="12859" width="10.5703125" bestFit="1" customWidth="1"/>
    <col min="12860" max="12860" width="16.140625" bestFit="1" customWidth="1"/>
    <col min="12861" max="12862" width="11.28515625" bestFit="1" customWidth="1"/>
    <col min="12863" max="12863" width="13.28515625" bestFit="1" customWidth="1"/>
    <col min="12864" max="12864" width="7.7109375" bestFit="1" customWidth="1"/>
    <col min="12865" max="12868" width="9.140625" hidden="1" customWidth="1"/>
    <col min="12869" max="12869" width="10.42578125" bestFit="1" customWidth="1"/>
    <col min="12870" max="12870" width="10.5703125" bestFit="1" customWidth="1"/>
    <col min="12871" max="12871" width="10.42578125" bestFit="1" customWidth="1"/>
    <col min="12872" max="12872" width="10.5703125" bestFit="1" customWidth="1"/>
    <col min="12873" max="12873" width="9.5703125" bestFit="1" customWidth="1"/>
    <col min="12874" max="12874" width="11.5703125" bestFit="1" customWidth="1"/>
    <col min="12875" max="12875" width="10.42578125" bestFit="1" customWidth="1"/>
    <col min="12876" max="12876" width="10.85546875" customWidth="1"/>
    <col min="12877" max="12878" width="9.85546875" bestFit="1" customWidth="1"/>
    <col min="12879" max="12879" width="13.5703125" bestFit="1" customWidth="1"/>
    <col min="12880" max="12880" width="7.7109375" bestFit="1" customWidth="1"/>
    <col min="12881" max="12881" width="13.28515625" bestFit="1" customWidth="1"/>
    <col min="12882" max="12882" width="11.5703125" bestFit="1" customWidth="1"/>
    <col min="12883" max="12883" width="10.42578125" bestFit="1" customWidth="1"/>
    <col min="12884" max="12884" width="7.7109375" bestFit="1" customWidth="1"/>
    <col min="12885" max="12885" width="11.5703125" bestFit="1" customWidth="1"/>
    <col min="12886" max="12886" width="10.85546875" bestFit="1" customWidth="1"/>
    <col min="12887" max="12887" width="13.28515625" bestFit="1" customWidth="1"/>
    <col min="12888" max="12888" width="10.85546875" bestFit="1" customWidth="1"/>
    <col min="12889" max="12890" width="7.5703125" bestFit="1" customWidth="1"/>
    <col min="12891" max="12892" width="10.42578125" bestFit="1" customWidth="1"/>
    <col min="12893" max="12893" width="11.5703125" bestFit="1" customWidth="1"/>
    <col min="12894" max="12894" width="5.28515625" bestFit="1" customWidth="1"/>
    <col min="12895" max="12895" width="10.28515625" bestFit="1" customWidth="1"/>
    <col min="12896" max="12896" width="10.42578125" bestFit="1" customWidth="1"/>
    <col min="12897" max="12897" width="11.5703125" bestFit="1" customWidth="1"/>
    <col min="12898" max="12898" width="5.28515625" bestFit="1" customWidth="1"/>
    <col min="12899" max="12901" width="11.5703125" bestFit="1" customWidth="1"/>
    <col min="12902" max="12902" width="5.28515625" bestFit="1" customWidth="1"/>
    <col min="12903" max="12904" width="10.42578125" bestFit="1" customWidth="1"/>
    <col min="12905" max="12905" width="11.5703125" bestFit="1" customWidth="1"/>
    <col min="12906" max="12906" width="5.28515625" bestFit="1" customWidth="1"/>
    <col min="12907" max="12907" width="14.28515625" bestFit="1" customWidth="1"/>
    <col min="12908" max="12908" width="13" bestFit="1" customWidth="1"/>
    <col min="12909" max="12909" width="11.5703125" bestFit="1" customWidth="1"/>
    <col min="12910" max="12910" width="8.85546875" bestFit="1" customWidth="1"/>
    <col min="12911" max="12911" width="14.42578125" bestFit="1" customWidth="1"/>
    <col min="12912" max="12912" width="10.42578125" bestFit="1" customWidth="1"/>
    <col min="12913" max="12913" width="12.28515625" bestFit="1" customWidth="1"/>
    <col min="12914" max="12914" width="13.85546875" bestFit="1" customWidth="1"/>
    <col min="12915" max="12915" width="11.28515625" customWidth="1"/>
    <col min="12916" max="12916" width="11.5703125" customWidth="1"/>
    <col min="12917" max="12917" width="13.42578125" bestFit="1" customWidth="1"/>
    <col min="12918" max="12918" width="10.42578125" customWidth="1"/>
    <col min="12919" max="12919" width="13.85546875" bestFit="1" customWidth="1"/>
    <col min="12920" max="12920" width="15.42578125" bestFit="1" customWidth="1"/>
    <col min="12921" max="12921" width="12.28515625" bestFit="1" customWidth="1"/>
    <col min="12922" max="12922" width="12.7109375" customWidth="1"/>
    <col min="12923" max="12923" width="10.7109375" bestFit="1" customWidth="1"/>
    <col min="12924" max="12924" width="9.85546875" customWidth="1"/>
    <col min="12925" max="12926" width="10.140625" bestFit="1" customWidth="1"/>
    <col min="12927" max="12927" width="7.5703125" bestFit="1" customWidth="1"/>
    <col min="12928" max="12928" width="9.42578125" bestFit="1" customWidth="1"/>
    <col min="12929" max="12929" width="14.5703125" bestFit="1" customWidth="1"/>
    <col min="12930" max="12930" width="14.85546875" customWidth="1"/>
    <col min="12931" max="12931" width="15.140625" bestFit="1" customWidth="1"/>
    <col min="12932" max="12932" width="12.140625" bestFit="1" customWidth="1"/>
    <col min="12933" max="12933" width="14.85546875" bestFit="1" customWidth="1"/>
    <col min="12934" max="12934" width="12.28515625" bestFit="1" customWidth="1"/>
    <col min="12935" max="12943" width="9.140625" hidden="1" customWidth="1"/>
    <col min="12944" max="12944" width="5.28515625" bestFit="1" customWidth="1"/>
    <col min="12945" max="12950" width="11.5703125" bestFit="1" customWidth="1"/>
    <col min="12951" max="12951" width="11.28515625" bestFit="1" customWidth="1"/>
    <col min="12952" max="12952" width="10.140625" bestFit="1" customWidth="1"/>
    <col min="12953" max="12953" width="11.5703125" bestFit="1" customWidth="1"/>
    <col min="12954" max="12954" width="16.140625" customWidth="1"/>
    <col min="12955" max="12955" width="13.42578125" customWidth="1"/>
    <col min="12956" max="12956" width="10.140625" bestFit="1" customWidth="1"/>
    <col min="12957" max="12957" width="12.85546875" bestFit="1" customWidth="1"/>
    <col min="12958" max="12958" width="12.28515625" bestFit="1" customWidth="1"/>
    <col min="12959" max="12959" width="11.28515625" bestFit="1" customWidth="1"/>
    <col min="12960" max="12960" width="11.5703125" bestFit="1" customWidth="1"/>
    <col min="12961" max="12961" width="10.85546875" bestFit="1" customWidth="1"/>
    <col min="12962" max="12962" width="11.28515625" bestFit="1" customWidth="1"/>
    <col min="12963" max="12963" width="10.140625" bestFit="1" customWidth="1"/>
    <col min="12964" max="12964" width="13.28515625" bestFit="1" customWidth="1"/>
    <col min="12965" max="12966" width="12.7109375" bestFit="1" customWidth="1"/>
    <col min="12967" max="12967" width="11" bestFit="1" customWidth="1"/>
    <col min="12968" max="12968" width="11.28515625" bestFit="1" customWidth="1"/>
    <col min="12969" max="12969" width="11.5703125" bestFit="1" customWidth="1"/>
    <col min="12970" max="12970" width="12.28515625" bestFit="1" customWidth="1"/>
    <col min="12971" max="12971" width="15.140625" bestFit="1" customWidth="1"/>
    <col min="12972" max="12972" width="14.42578125" bestFit="1" customWidth="1"/>
    <col min="12973" max="12973" width="12.28515625" bestFit="1" customWidth="1"/>
    <col min="12974" max="12974" width="15.140625" bestFit="1" customWidth="1"/>
    <col min="12975" max="12975" width="14.42578125" bestFit="1" customWidth="1"/>
    <col min="12976" max="12976" width="12.28515625" bestFit="1" customWidth="1"/>
    <col min="12977" max="12977" width="14.42578125" bestFit="1" customWidth="1"/>
    <col min="12978" max="12978" width="11.28515625" bestFit="1" customWidth="1"/>
    <col min="12979" max="12979" width="12.28515625" bestFit="1" customWidth="1"/>
    <col min="12980" max="12980" width="13" bestFit="1" customWidth="1"/>
    <col min="12981" max="12981" width="15.140625" bestFit="1" customWidth="1"/>
    <col min="12982" max="12982" width="12.28515625" bestFit="1" customWidth="1"/>
    <col min="12983" max="12983" width="13.85546875" bestFit="1" customWidth="1"/>
    <col min="12984" max="12984" width="11.28515625" bestFit="1" customWidth="1"/>
    <col min="12985" max="12985" width="12.28515625" bestFit="1" customWidth="1"/>
    <col min="12986" max="12986" width="13.85546875" bestFit="1" customWidth="1"/>
    <col min="12987" max="12988" width="15.140625" bestFit="1" customWidth="1"/>
    <col min="12989" max="12989" width="12.28515625" bestFit="1" customWidth="1"/>
    <col min="12990" max="12990" width="5.7109375" bestFit="1" customWidth="1"/>
    <col min="12991" max="12991" width="8.5703125" bestFit="1" customWidth="1"/>
    <col min="12992" max="12992" width="5.5703125" bestFit="1" customWidth="1"/>
    <col min="12993" max="12993" width="14.42578125" bestFit="1" customWidth="1"/>
    <col min="12994" max="12994" width="11.28515625" bestFit="1" customWidth="1"/>
    <col min="12995" max="12996" width="12.28515625" bestFit="1" customWidth="1"/>
    <col min="12997" max="12997" width="11.28515625" bestFit="1" customWidth="1"/>
    <col min="12998" max="12998" width="13.85546875" bestFit="1" customWidth="1"/>
    <col min="12999" max="12999" width="12" bestFit="1" customWidth="1"/>
    <col min="13000" max="13000" width="13.85546875" bestFit="1" customWidth="1"/>
    <col min="13001" max="13002" width="14.42578125" customWidth="1"/>
    <col min="13003" max="13003" width="10.140625" bestFit="1" customWidth="1"/>
    <col min="13004" max="13004" width="12.28515625" bestFit="1" customWidth="1"/>
    <col min="13005" max="13005" width="7.42578125" bestFit="1" customWidth="1"/>
    <col min="13006" max="13006" width="8.5703125" bestFit="1" customWidth="1"/>
    <col min="13007" max="13007" width="11.5703125" bestFit="1" customWidth="1"/>
    <col min="13008" max="13008" width="13.28515625" bestFit="1" customWidth="1"/>
    <col min="13009" max="13009" width="13.28515625" customWidth="1"/>
    <col min="13010" max="13010" width="13.140625" customWidth="1"/>
    <col min="13011" max="13011" width="12.7109375" bestFit="1" customWidth="1"/>
    <col min="13012" max="13012" width="13.28515625" bestFit="1" customWidth="1"/>
    <col min="13013" max="13015" width="13.28515625" customWidth="1"/>
    <col min="13016" max="13016" width="12.140625" bestFit="1" customWidth="1"/>
    <col min="13017" max="13017" width="12.7109375" bestFit="1" customWidth="1"/>
    <col min="13018" max="13018" width="11" customWidth="1"/>
    <col min="13019" max="13019" width="16.7109375" customWidth="1"/>
    <col min="13020" max="13020" width="17" customWidth="1"/>
    <col min="13021" max="13021" width="10.42578125" bestFit="1" customWidth="1"/>
    <col min="13065" max="13065" width="3.85546875" customWidth="1"/>
    <col min="13066" max="13066" width="15.28515625" bestFit="1" customWidth="1"/>
    <col min="13067" max="13067" width="12.28515625" customWidth="1"/>
    <col min="13068" max="13068" width="16.28515625" bestFit="1" customWidth="1"/>
    <col min="13069" max="13069" width="6.42578125" bestFit="1" customWidth="1"/>
    <col min="13070" max="13070" width="9.28515625" bestFit="1" customWidth="1"/>
    <col min="13071" max="13071" width="7.5703125" bestFit="1" customWidth="1"/>
    <col min="13072" max="13072" width="13.28515625" bestFit="1" customWidth="1"/>
    <col min="13073" max="13073" width="9.28515625" bestFit="1" customWidth="1"/>
    <col min="13074" max="13074" width="11.5703125" bestFit="1" customWidth="1"/>
    <col min="13075" max="13075" width="13.28515625" bestFit="1" customWidth="1"/>
    <col min="13076" max="13076" width="7.140625" bestFit="1" customWidth="1"/>
    <col min="13077" max="13077" width="12" bestFit="1" customWidth="1"/>
    <col min="13078" max="13078" width="13.28515625" bestFit="1" customWidth="1"/>
    <col min="13079" max="13079" width="7" bestFit="1" customWidth="1"/>
    <col min="13080" max="13080" width="12.7109375" bestFit="1" customWidth="1"/>
    <col min="13081" max="13081" width="11.5703125" bestFit="1" customWidth="1"/>
    <col min="13082" max="13082" width="10.5703125" bestFit="1" customWidth="1"/>
    <col min="13083" max="13084" width="15.7109375" bestFit="1" customWidth="1"/>
    <col min="13085" max="13085" width="11.5703125" bestFit="1" customWidth="1"/>
    <col min="13086" max="13086" width="7.7109375" bestFit="1" customWidth="1"/>
    <col min="13087" max="13087" width="15.140625" bestFit="1" customWidth="1"/>
    <col min="13088" max="13088" width="11.5703125" bestFit="1" customWidth="1"/>
    <col min="13089" max="13089" width="13.28515625" bestFit="1" customWidth="1"/>
    <col min="13090" max="13090" width="10.42578125" bestFit="1" customWidth="1"/>
    <col min="13091" max="13091" width="13.28515625" bestFit="1" customWidth="1"/>
    <col min="13092" max="13092" width="12.140625" bestFit="1" customWidth="1"/>
    <col min="13093" max="13093" width="14.42578125" bestFit="1" customWidth="1"/>
    <col min="13094" max="13094" width="13.28515625" bestFit="1" customWidth="1"/>
    <col min="13095" max="13095" width="11.5703125" bestFit="1" customWidth="1"/>
    <col min="13096" max="13096" width="7.7109375" bestFit="1" customWidth="1"/>
    <col min="13097" max="13098" width="14.42578125" bestFit="1" customWidth="1"/>
    <col min="13099" max="13099" width="11.5703125" bestFit="1" customWidth="1"/>
    <col min="13100" max="13100" width="7.7109375" bestFit="1" customWidth="1"/>
    <col min="13101" max="13101" width="13.5703125" customWidth="1"/>
    <col min="13102" max="13102" width="15.28515625" customWidth="1"/>
    <col min="13103" max="13103" width="14.5703125" customWidth="1"/>
    <col min="13104" max="13104" width="13.28515625" bestFit="1" customWidth="1"/>
    <col min="13105" max="13105" width="7.7109375" bestFit="1" customWidth="1"/>
    <col min="13106" max="13106" width="12.7109375" bestFit="1" customWidth="1"/>
    <col min="13107" max="13107" width="11.7109375" bestFit="1" customWidth="1"/>
    <col min="13108" max="13108" width="11.5703125" bestFit="1" customWidth="1"/>
    <col min="13109" max="13109" width="5.28515625" bestFit="1" customWidth="1"/>
    <col min="13110" max="13110" width="13.28515625" bestFit="1" customWidth="1"/>
    <col min="13111" max="13111" width="13.5703125" bestFit="1" customWidth="1"/>
    <col min="13112" max="13112" width="10.5703125" bestFit="1" customWidth="1"/>
    <col min="13113" max="13113" width="13.28515625" bestFit="1" customWidth="1"/>
    <col min="13114" max="13114" width="11.5703125" bestFit="1" customWidth="1"/>
    <col min="13115" max="13115" width="10.5703125" bestFit="1" customWidth="1"/>
    <col min="13116" max="13116" width="16.140625" bestFit="1" customWidth="1"/>
    <col min="13117" max="13118" width="11.28515625" bestFit="1" customWidth="1"/>
    <col min="13119" max="13119" width="13.28515625" bestFit="1" customWidth="1"/>
    <col min="13120" max="13120" width="7.7109375" bestFit="1" customWidth="1"/>
    <col min="13121" max="13124" width="9.140625" hidden="1" customWidth="1"/>
    <col min="13125" max="13125" width="10.42578125" bestFit="1" customWidth="1"/>
    <col min="13126" max="13126" width="10.5703125" bestFit="1" customWidth="1"/>
    <col min="13127" max="13127" width="10.42578125" bestFit="1" customWidth="1"/>
    <col min="13128" max="13128" width="10.5703125" bestFit="1" customWidth="1"/>
    <col min="13129" max="13129" width="9.5703125" bestFit="1" customWidth="1"/>
    <col min="13130" max="13130" width="11.5703125" bestFit="1" customWidth="1"/>
    <col min="13131" max="13131" width="10.42578125" bestFit="1" customWidth="1"/>
    <col min="13132" max="13132" width="10.85546875" customWidth="1"/>
    <col min="13133" max="13134" width="9.85546875" bestFit="1" customWidth="1"/>
    <col min="13135" max="13135" width="13.5703125" bestFit="1" customWidth="1"/>
    <col min="13136" max="13136" width="7.7109375" bestFit="1" customWidth="1"/>
    <col min="13137" max="13137" width="13.28515625" bestFit="1" customWidth="1"/>
    <col min="13138" max="13138" width="11.5703125" bestFit="1" customWidth="1"/>
    <col min="13139" max="13139" width="10.42578125" bestFit="1" customWidth="1"/>
    <col min="13140" max="13140" width="7.7109375" bestFit="1" customWidth="1"/>
    <col min="13141" max="13141" width="11.5703125" bestFit="1" customWidth="1"/>
    <col min="13142" max="13142" width="10.85546875" bestFit="1" customWidth="1"/>
    <col min="13143" max="13143" width="13.28515625" bestFit="1" customWidth="1"/>
    <col min="13144" max="13144" width="10.85546875" bestFit="1" customWidth="1"/>
    <col min="13145" max="13146" width="7.5703125" bestFit="1" customWidth="1"/>
    <col min="13147" max="13148" width="10.42578125" bestFit="1" customWidth="1"/>
    <col min="13149" max="13149" width="11.5703125" bestFit="1" customWidth="1"/>
    <col min="13150" max="13150" width="5.28515625" bestFit="1" customWidth="1"/>
    <col min="13151" max="13151" width="10.28515625" bestFit="1" customWidth="1"/>
    <col min="13152" max="13152" width="10.42578125" bestFit="1" customWidth="1"/>
    <col min="13153" max="13153" width="11.5703125" bestFit="1" customWidth="1"/>
    <col min="13154" max="13154" width="5.28515625" bestFit="1" customWidth="1"/>
    <col min="13155" max="13157" width="11.5703125" bestFit="1" customWidth="1"/>
    <col min="13158" max="13158" width="5.28515625" bestFit="1" customWidth="1"/>
    <col min="13159" max="13160" width="10.42578125" bestFit="1" customWidth="1"/>
    <col min="13161" max="13161" width="11.5703125" bestFit="1" customWidth="1"/>
    <col min="13162" max="13162" width="5.28515625" bestFit="1" customWidth="1"/>
    <col min="13163" max="13163" width="14.28515625" bestFit="1" customWidth="1"/>
    <col min="13164" max="13164" width="13" bestFit="1" customWidth="1"/>
    <col min="13165" max="13165" width="11.5703125" bestFit="1" customWidth="1"/>
    <col min="13166" max="13166" width="8.85546875" bestFit="1" customWidth="1"/>
    <col min="13167" max="13167" width="14.42578125" bestFit="1" customWidth="1"/>
    <col min="13168" max="13168" width="10.42578125" bestFit="1" customWidth="1"/>
    <col min="13169" max="13169" width="12.28515625" bestFit="1" customWidth="1"/>
    <col min="13170" max="13170" width="13.85546875" bestFit="1" customWidth="1"/>
    <col min="13171" max="13171" width="11.28515625" customWidth="1"/>
    <col min="13172" max="13172" width="11.5703125" customWidth="1"/>
    <col min="13173" max="13173" width="13.42578125" bestFit="1" customWidth="1"/>
    <col min="13174" max="13174" width="10.42578125" customWidth="1"/>
    <col min="13175" max="13175" width="13.85546875" bestFit="1" customWidth="1"/>
    <col min="13176" max="13176" width="15.42578125" bestFit="1" customWidth="1"/>
    <col min="13177" max="13177" width="12.28515625" bestFit="1" customWidth="1"/>
    <col min="13178" max="13178" width="12.7109375" customWidth="1"/>
    <col min="13179" max="13179" width="10.7109375" bestFit="1" customWidth="1"/>
    <col min="13180" max="13180" width="9.85546875" customWidth="1"/>
    <col min="13181" max="13182" width="10.140625" bestFit="1" customWidth="1"/>
    <col min="13183" max="13183" width="7.5703125" bestFit="1" customWidth="1"/>
    <col min="13184" max="13184" width="9.42578125" bestFit="1" customWidth="1"/>
    <col min="13185" max="13185" width="14.5703125" bestFit="1" customWidth="1"/>
    <col min="13186" max="13186" width="14.85546875" customWidth="1"/>
    <col min="13187" max="13187" width="15.140625" bestFit="1" customWidth="1"/>
    <col min="13188" max="13188" width="12.140625" bestFit="1" customWidth="1"/>
    <col min="13189" max="13189" width="14.85546875" bestFit="1" customWidth="1"/>
    <col min="13190" max="13190" width="12.28515625" bestFit="1" customWidth="1"/>
    <col min="13191" max="13199" width="9.140625" hidden="1" customWidth="1"/>
    <col min="13200" max="13200" width="5.28515625" bestFit="1" customWidth="1"/>
    <col min="13201" max="13206" width="11.5703125" bestFit="1" customWidth="1"/>
    <col min="13207" max="13207" width="11.28515625" bestFit="1" customWidth="1"/>
    <col min="13208" max="13208" width="10.140625" bestFit="1" customWidth="1"/>
    <col min="13209" max="13209" width="11.5703125" bestFit="1" customWidth="1"/>
    <col min="13210" max="13210" width="16.140625" customWidth="1"/>
    <col min="13211" max="13211" width="13.42578125" customWidth="1"/>
    <col min="13212" max="13212" width="10.140625" bestFit="1" customWidth="1"/>
    <col min="13213" max="13213" width="12.85546875" bestFit="1" customWidth="1"/>
    <col min="13214" max="13214" width="12.28515625" bestFit="1" customWidth="1"/>
    <col min="13215" max="13215" width="11.28515625" bestFit="1" customWidth="1"/>
    <col min="13216" max="13216" width="11.5703125" bestFit="1" customWidth="1"/>
    <col min="13217" max="13217" width="10.85546875" bestFit="1" customWidth="1"/>
    <col min="13218" max="13218" width="11.28515625" bestFit="1" customWidth="1"/>
    <col min="13219" max="13219" width="10.140625" bestFit="1" customWidth="1"/>
    <col min="13220" max="13220" width="13.28515625" bestFit="1" customWidth="1"/>
    <col min="13221" max="13222" width="12.7109375" bestFit="1" customWidth="1"/>
    <col min="13223" max="13223" width="11" bestFit="1" customWidth="1"/>
    <col min="13224" max="13224" width="11.28515625" bestFit="1" customWidth="1"/>
    <col min="13225" max="13225" width="11.5703125" bestFit="1" customWidth="1"/>
    <col min="13226" max="13226" width="12.28515625" bestFit="1" customWidth="1"/>
    <col min="13227" max="13227" width="15.140625" bestFit="1" customWidth="1"/>
    <col min="13228" max="13228" width="14.42578125" bestFit="1" customWidth="1"/>
    <col min="13229" max="13229" width="12.28515625" bestFit="1" customWidth="1"/>
    <col min="13230" max="13230" width="15.140625" bestFit="1" customWidth="1"/>
    <col min="13231" max="13231" width="14.42578125" bestFit="1" customWidth="1"/>
    <col min="13232" max="13232" width="12.28515625" bestFit="1" customWidth="1"/>
    <col min="13233" max="13233" width="14.42578125" bestFit="1" customWidth="1"/>
    <col min="13234" max="13234" width="11.28515625" bestFit="1" customWidth="1"/>
    <col min="13235" max="13235" width="12.28515625" bestFit="1" customWidth="1"/>
    <col min="13236" max="13236" width="13" bestFit="1" customWidth="1"/>
    <col min="13237" max="13237" width="15.140625" bestFit="1" customWidth="1"/>
    <col min="13238" max="13238" width="12.28515625" bestFit="1" customWidth="1"/>
    <col min="13239" max="13239" width="13.85546875" bestFit="1" customWidth="1"/>
    <col min="13240" max="13240" width="11.28515625" bestFit="1" customWidth="1"/>
    <col min="13241" max="13241" width="12.28515625" bestFit="1" customWidth="1"/>
    <col min="13242" max="13242" width="13.85546875" bestFit="1" customWidth="1"/>
    <col min="13243" max="13244" width="15.140625" bestFit="1" customWidth="1"/>
    <col min="13245" max="13245" width="12.28515625" bestFit="1" customWidth="1"/>
    <col min="13246" max="13246" width="5.7109375" bestFit="1" customWidth="1"/>
    <col min="13247" max="13247" width="8.5703125" bestFit="1" customWidth="1"/>
    <col min="13248" max="13248" width="5.5703125" bestFit="1" customWidth="1"/>
    <col min="13249" max="13249" width="14.42578125" bestFit="1" customWidth="1"/>
    <col min="13250" max="13250" width="11.28515625" bestFit="1" customWidth="1"/>
    <col min="13251" max="13252" width="12.28515625" bestFit="1" customWidth="1"/>
    <col min="13253" max="13253" width="11.28515625" bestFit="1" customWidth="1"/>
    <col min="13254" max="13254" width="13.85546875" bestFit="1" customWidth="1"/>
    <col min="13255" max="13255" width="12" bestFit="1" customWidth="1"/>
    <col min="13256" max="13256" width="13.85546875" bestFit="1" customWidth="1"/>
    <col min="13257" max="13258" width="14.42578125" customWidth="1"/>
    <col min="13259" max="13259" width="10.140625" bestFit="1" customWidth="1"/>
    <col min="13260" max="13260" width="12.28515625" bestFit="1" customWidth="1"/>
    <col min="13261" max="13261" width="7.42578125" bestFit="1" customWidth="1"/>
    <col min="13262" max="13262" width="8.5703125" bestFit="1" customWidth="1"/>
    <col min="13263" max="13263" width="11.5703125" bestFit="1" customWidth="1"/>
    <col min="13264" max="13264" width="13.28515625" bestFit="1" customWidth="1"/>
    <col min="13265" max="13265" width="13.28515625" customWidth="1"/>
    <col min="13266" max="13266" width="13.140625" customWidth="1"/>
    <col min="13267" max="13267" width="12.7109375" bestFit="1" customWidth="1"/>
    <col min="13268" max="13268" width="13.28515625" bestFit="1" customWidth="1"/>
    <col min="13269" max="13271" width="13.28515625" customWidth="1"/>
    <col min="13272" max="13272" width="12.140625" bestFit="1" customWidth="1"/>
    <col min="13273" max="13273" width="12.7109375" bestFit="1" customWidth="1"/>
    <col min="13274" max="13274" width="11" customWidth="1"/>
    <col min="13275" max="13275" width="16.7109375" customWidth="1"/>
    <col min="13276" max="13276" width="17" customWidth="1"/>
    <col min="13277" max="13277" width="10.42578125" bestFit="1" customWidth="1"/>
    <col min="13321" max="13321" width="3.85546875" customWidth="1"/>
    <col min="13322" max="13322" width="15.28515625" bestFit="1" customWidth="1"/>
    <col min="13323" max="13323" width="12.28515625" customWidth="1"/>
    <col min="13324" max="13324" width="16.28515625" bestFit="1" customWidth="1"/>
    <col min="13325" max="13325" width="6.42578125" bestFit="1" customWidth="1"/>
    <col min="13326" max="13326" width="9.28515625" bestFit="1" customWidth="1"/>
    <col min="13327" max="13327" width="7.5703125" bestFit="1" customWidth="1"/>
    <col min="13328" max="13328" width="13.28515625" bestFit="1" customWidth="1"/>
    <col min="13329" max="13329" width="9.28515625" bestFit="1" customWidth="1"/>
    <col min="13330" max="13330" width="11.5703125" bestFit="1" customWidth="1"/>
    <col min="13331" max="13331" width="13.28515625" bestFit="1" customWidth="1"/>
    <col min="13332" max="13332" width="7.140625" bestFit="1" customWidth="1"/>
    <col min="13333" max="13333" width="12" bestFit="1" customWidth="1"/>
    <col min="13334" max="13334" width="13.28515625" bestFit="1" customWidth="1"/>
    <col min="13335" max="13335" width="7" bestFit="1" customWidth="1"/>
    <col min="13336" max="13336" width="12.7109375" bestFit="1" customWidth="1"/>
    <col min="13337" max="13337" width="11.5703125" bestFit="1" customWidth="1"/>
    <col min="13338" max="13338" width="10.5703125" bestFit="1" customWidth="1"/>
    <col min="13339" max="13340" width="15.7109375" bestFit="1" customWidth="1"/>
    <col min="13341" max="13341" width="11.5703125" bestFit="1" customWidth="1"/>
    <col min="13342" max="13342" width="7.7109375" bestFit="1" customWidth="1"/>
    <col min="13343" max="13343" width="15.140625" bestFit="1" customWidth="1"/>
    <col min="13344" max="13344" width="11.5703125" bestFit="1" customWidth="1"/>
    <col min="13345" max="13345" width="13.28515625" bestFit="1" customWidth="1"/>
    <col min="13346" max="13346" width="10.42578125" bestFit="1" customWidth="1"/>
    <col min="13347" max="13347" width="13.28515625" bestFit="1" customWidth="1"/>
    <col min="13348" max="13348" width="12.140625" bestFit="1" customWidth="1"/>
    <col min="13349" max="13349" width="14.42578125" bestFit="1" customWidth="1"/>
    <col min="13350" max="13350" width="13.28515625" bestFit="1" customWidth="1"/>
    <col min="13351" max="13351" width="11.5703125" bestFit="1" customWidth="1"/>
    <col min="13352" max="13352" width="7.7109375" bestFit="1" customWidth="1"/>
    <col min="13353" max="13354" width="14.42578125" bestFit="1" customWidth="1"/>
    <col min="13355" max="13355" width="11.5703125" bestFit="1" customWidth="1"/>
    <col min="13356" max="13356" width="7.7109375" bestFit="1" customWidth="1"/>
    <col min="13357" max="13357" width="13.5703125" customWidth="1"/>
    <col min="13358" max="13358" width="15.28515625" customWidth="1"/>
    <col min="13359" max="13359" width="14.5703125" customWidth="1"/>
    <col min="13360" max="13360" width="13.28515625" bestFit="1" customWidth="1"/>
    <col min="13361" max="13361" width="7.7109375" bestFit="1" customWidth="1"/>
    <col min="13362" max="13362" width="12.7109375" bestFit="1" customWidth="1"/>
    <col min="13363" max="13363" width="11.7109375" bestFit="1" customWidth="1"/>
    <col min="13364" max="13364" width="11.5703125" bestFit="1" customWidth="1"/>
    <col min="13365" max="13365" width="5.28515625" bestFit="1" customWidth="1"/>
    <col min="13366" max="13366" width="13.28515625" bestFit="1" customWidth="1"/>
    <col min="13367" max="13367" width="13.5703125" bestFit="1" customWidth="1"/>
    <col min="13368" max="13368" width="10.5703125" bestFit="1" customWidth="1"/>
    <col min="13369" max="13369" width="13.28515625" bestFit="1" customWidth="1"/>
    <col min="13370" max="13370" width="11.5703125" bestFit="1" customWidth="1"/>
    <col min="13371" max="13371" width="10.5703125" bestFit="1" customWidth="1"/>
    <col min="13372" max="13372" width="16.140625" bestFit="1" customWidth="1"/>
    <col min="13373" max="13374" width="11.28515625" bestFit="1" customWidth="1"/>
    <col min="13375" max="13375" width="13.28515625" bestFit="1" customWidth="1"/>
    <col min="13376" max="13376" width="7.7109375" bestFit="1" customWidth="1"/>
    <col min="13377" max="13380" width="9.140625" hidden="1" customWidth="1"/>
    <col min="13381" max="13381" width="10.42578125" bestFit="1" customWidth="1"/>
    <col min="13382" max="13382" width="10.5703125" bestFit="1" customWidth="1"/>
    <col min="13383" max="13383" width="10.42578125" bestFit="1" customWidth="1"/>
    <col min="13384" max="13384" width="10.5703125" bestFit="1" customWidth="1"/>
    <col min="13385" max="13385" width="9.5703125" bestFit="1" customWidth="1"/>
    <col min="13386" max="13386" width="11.5703125" bestFit="1" customWidth="1"/>
    <col min="13387" max="13387" width="10.42578125" bestFit="1" customWidth="1"/>
    <col min="13388" max="13388" width="10.85546875" customWidth="1"/>
    <col min="13389" max="13390" width="9.85546875" bestFit="1" customWidth="1"/>
    <col min="13391" max="13391" width="13.5703125" bestFit="1" customWidth="1"/>
    <col min="13392" max="13392" width="7.7109375" bestFit="1" customWidth="1"/>
    <col min="13393" max="13393" width="13.28515625" bestFit="1" customWidth="1"/>
    <col min="13394" max="13394" width="11.5703125" bestFit="1" customWidth="1"/>
    <col min="13395" max="13395" width="10.42578125" bestFit="1" customWidth="1"/>
    <col min="13396" max="13396" width="7.7109375" bestFit="1" customWidth="1"/>
    <col min="13397" max="13397" width="11.5703125" bestFit="1" customWidth="1"/>
    <col min="13398" max="13398" width="10.85546875" bestFit="1" customWidth="1"/>
    <col min="13399" max="13399" width="13.28515625" bestFit="1" customWidth="1"/>
    <col min="13400" max="13400" width="10.85546875" bestFit="1" customWidth="1"/>
    <col min="13401" max="13402" width="7.5703125" bestFit="1" customWidth="1"/>
    <col min="13403" max="13404" width="10.42578125" bestFit="1" customWidth="1"/>
    <col min="13405" max="13405" width="11.5703125" bestFit="1" customWidth="1"/>
    <col min="13406" max="13406" width="5.28515625" bestFit="1" customWidth="1"/>
    <col min="13407" max="13407" width="10.28515625" bestFit="1" customWidth="1"/>
    <col min="13408" max="13408" width="10.42578125" bestFit="1" customWidth="1"/>
    <col min="13409" max="13409" width="11.5703125" bestFit="1" customWidth="1"/>
    <col min="13410" max="13410" width="5.28515625" bestFit="1" customWidth="1"/>
    <col min="13411" max="13413" width="11.5703125" bestFit="1" customWidth="1"/>
    <col min="13414" max="13414" width="5.28515625" bestFit="1" customWidth="1"/>
    <col min="13415" max="13416" width="10.42578125" bestFit="1" customWidth="1"/>
    <col min="13417" max="13417" width="11.5703125" bestFit="1" customWidth="1"/>
    <col min="13418" max="13418" width="5.28515625" bestFit="1" customWidth="1"/>
    <col min="13419" max="13419" width="14.28515625" bestFit="1" customWidth="1"/>
    <col min="13420" max="13420" width="13" bestFit="1" customWidth="1"/>
    <col min="13421" max="13421" width="11.5703125" bestFit="1" customWidth="1"/>
    <col min="13422" max="13422" width="8.85546875" bestFit="1" customWidth="1"/>
    <col min="13423" max="13423" width="14.42578125" bestFit="1" customWidth="1"/>
    <col min="13424" max="13424" width="10.42578125" bestFit="1" customWidth="1"/>
    <col min="13425" max="13425" width="12.28515625" bestFit="1" customWidth="1"/>
    <col min="13426" max="13426" width="13.85546875" bestFit="1" customWidth="1"/>
    <col min="13427" max="13427" width="11.28515625" customWidth="1"/>
    <col min="13428" max="13428" width="11.5703125" customWidth="1"/>
    <col min="13429" max="13429" width="13.42578125" bestFit="1" customWidth="1"/>
    <col min="13430" max="13430" width="10.42578125" customWidth="1"/>
    <col min="13431" max="13431" width="13.85546875" bestFit="1" customWidth="1"/>
    <col min="13432" max="13432" width="15.42578125" bestFit="1" customWidth="1"/>
    <col min="13433" max="13433" width="12.28515625" bestFit="1" customWidth="1"/>
    <col min="13434" max="13434" width="12.7109375" customWidth="1"/>
    <col min="13435" max="13435" width="10.7109375" bestFit="1" customWidth="1"/>
    <col min="13436" max="13436" width="9.85546875" customWidth="1"/>
    <col min="13437" max="13438" width="10.140625" bestFit="1" customWidth="1"/>
    <col min="13439" max="13439" width="7.5703125" bestFit="1" customWidth="1"/>
    <col min="13440" max="13440" width="9.42578125" bestFit="1" customWidth="1"/>
    <col min="13441" max="13441" width="14.5703125" bestFit="1" customWidth="1"/>
    <col min="13442" max="13442" width="14.85546875" customWidth="1"/>
    <col min="13443" max="13443" width="15.140625" bestFit="1" customWidth="1"/>
    <col min="13444" max="13444" width="12.140625" bestFit="1" customWidth="1"/>
    <col min="13445" max="13445" width="14.85546875" bestFit="1" customWidth="1"/>
    <col min="13446" max="13446" width="12.28515625" bestFit="1" customWidth="1"/>
    <col min="13447" max="13455" width="9.140625" hidden="1" customWidth="1"/>
    <col min="13456" max="13456" width="5.28515625" bestFit="1" customWidth="1"/>
    <col min="13457" max="13462" width="11.5703125" bestFit="1" customWidth="1"/>
    <col min="13463" max="13463" width="11.28515625" bestFit="1" customWidth="1"/>
    <col min="13464" max="13464" width="10.140625" bestFit="1" customWidth="1"/>
    <col min="13465" max="13465" width="11.5703125" bestFit="1" customWidth="1"/>
    <col min="13466" max="13466" width="16.140625" customWidth="1"/>
    <col min="13467" max="13467" width="13.42578125" customWidth="1"/>
    <col min="13468" max="13468" width="10.140625" bestFit="1" customWidth="1"/>
    <col min="13469" max="13469" width="12.85546875" bestFit="1" customWidth="1"/>
    <col min="13470" max="13470" width="12.28515625" bestFit="1" customWidth="1"/>
    <col min="13471" max="13471" width="11.28515625" bestFit="1" customWidth="1"/>
    <col min="13472" max="13472" width="11.5703125" bestFit="1" customWidth="1"/>
    <col min="13473" max="13473" width="10.85546875" bestFit="1" customWidth="1"/>
    <col min="13474" max="13474" width="11.28515625" bestFit="1" customWidth="1"/>
    <col min="13475" max="13475" width="10.140625" bestFit="1" customWidth="1"/>
    <col min="13476" max="13476" width="13.28515625" bestFit="1" customWidth="1"/>
    <col min="13477" max="13478" width="12.7109375" bestFit="1" customWidth="1"/>
    <col min="13479" max="13479" width="11" bestFit="1" customWidth="1"/>
    <col min="13480" max="13480" width="11.28515625" bestFit="1" customWidth="1"/>
    <col min="13481" max="13481" width="11.5703125" bestFit="1" customWidth="1"/>
    <col min="13482" max="13482" width="12.28515625" bestFit="1" customWidth="1"/>
    <col min="13483" max="13483" width="15.140625" bestFit="1" customWidth="1"/>
    <col min="13484" max="13484" width="14.42578125" bestFit="1" customWidth="1"/>
    <col min="13485" max="13485" width="12.28515625" bestFit="1" customWidth="1"/>
    <col min="13486" max="13486" width="15.140625" bestFit="1" customWidth="1"/>
    <col min="13487" max="13487" width="14.42578125" bestFit="1" customWidth="1"/>
    <col min="13488" max="13488" width="12.28515625" bestFit="1" customWidth="1"/>
    <col min="13489" max="13489" width="14.42578125" bestFit="1" customWidth="1"/>
    <col min="13490" max="13490" width="11.28515625" bestFit="1" customWidth="1"/>
    <col min="13491" max="13491" width="12.28515625" bestFit="1" customWidth="1"/>
    <col min="13492" max="13492" width="13" bestFit="1" customWidth="1"/>
    <col min="13493" max="13493" width="15.140625" bestFit="1" customWidth="1"/>
    <col min="13494" max="13494" width="12.28515625" bestFit="1" customWidth="1"/>
    <col min="13495" max="13495" width="13.85546875" bestFit="1" customWidth="1"/>
    <col min="13496" max="13496" width="11.28515625" bestFit="1" customWidth="1"/>
    <col min="13497" max="13497" width="12.28515625" bestFit="1" customWidth="1"/>
    <col min="13498" max="13498" width="13.85546875" bestFit="1" customWidth="1"/>
    <col min="13499" max="13500" width="15.140625" bestFit="1" customWidth="1"/>
    <col min="13501" max="13501" width="12.28515625" bestFit="1" customWidth="1"/>
    <col min="13502" max="13502" width="5.7109375" bestFit="1" customWidth="1"/>
    <col min="13503" max="13503" width="8.5703125" bestFit="1" customWidth="1"/>
    <col min="13504" max="13504" width="5.5703125" bestFit="1" customWidth="1"/>
    <col min="13505" max="13505" width="14.42578125" bestFit="1" customWidth="1"/>
    <col min="13506" max="13506" width="11.28515625" bestFit="1" customWidth="1"/>
    <col min="13507" max="13508" width="12.28515625" bestFit="1" customWidth="1"/>
    <col min="13509" max="13509" width="11.28515625" bestFit="1" customWidth="1"/>
    <col min="13510" max="13510" width="13.85546875" bestFit="1" customWidth="1"/>
    <col min="13511" max="13511" width="12" bestFit="1" customWidth="1"/>
    <col min="13512" max="13512" width="13.85546875" bestFit="1" customWidth="1"/>
    <col min="13513" max="13514" width="14.42578125" customWidth="1"/>
    <col min="13515" max="13515" width="10.140625" bestFit="1" customWidth="1"/>
    <col min="13516" max="13516" width="12.28515625" bestFit="1" customWidth="1"/>
    <col min="13517" max="13517" width="7.42578125" bestFit="1" customWidth="1"/>
    <col min="13518" max="13518" width="8.5703125" bestFit="1" customWidth="1"/>
    <col min="13519" max="13519" width="11.5703125" bestFit="1" customWidth="1"/>
    <col min="13520" max="13520" width="13.28515625" bestFit="1" customWidth="1"/>
    <col min="13521" max="13521" width="13.28515625" customWidth="1"/>
    <col min="13522" max="13522" width="13.140625" customWidth="1"/>
    <col min="13523" max="13523" width="12.7109375" bestFit="1" customWidth="1"/>
    <col min="13524" max="13524" width="13.28515625" bestFit="1" customWidth="1"/>
    <col min="13525" max="13527" width="13.28515625" customWidth="1"/>
    <col min="13528" max="13528" width="12.140625" bestFit="1" customWidth="1"/>
    <col min="13529" max="13529" width="12.7109375" bestFit="1" customWidth="1"/>
    <col min="13530" max="13530" width="11" customWidth="1"/>
    <col min="13531" max="13531" width="16.7109375" customWidth="1"/>
    <col min="13532" max="13532" width="17" customWidth="1"/>
    <col min="13533" max="13533" width="10.42578125" bestFit="1" customWidth="1"/>
    <col min="13577" max="13577" width="3.85546875" customWidth="1"/>
    <col min="13578" max="13578" width="15.28515625" bestFit="1" customWidth="1"/>
    <col min="13579" max="13579" width="12.28515625" customWidth="1"/>
    <col min="13580" max="13580" width="16.28515625" bestFit="1" customWidth="1"/>
    <col min="13581" max="13581" width="6.42578125" bestFit="1" customWidth="1"/>
    <col min="13582" max="13582" width="9.28515625" bestFit="1" customWidth="1"/>
    <col min="13583" max="13583" width="7.5703125" bestFit="1" customWidth="1"/>
    <col min="13584" max="13584" width="13.28515625" bestFit="1" customWidth="1"/>
    <col min="13585" max="13585" width="9.28515625" bestFit="1" customWidth="1"/>
    <col min="13586" max="13586" width="11.5703125" bestFit="1" customWidth="1"/>
    <col min="13587" max="13587" width="13.28515625" bestFit="1" customWidth="1"/>
    <col min="13588" max="13588" width="7.140625" bestFit="1" customWidth="1"/>
    <col min="13589" max="13589" width="12" bestFit="1" customWidth="1"/>
    <col min="13590" max="13590" width="13.28515625" bestFit="1" customWidth="1"/>
    <col min="13591" max="13591" width="7" bestFit="1" customWidth="1"/>
    <col min="13592" max="13592" width="12.7109375" bestFit="1" customWidth="1"/>
    <col min="13593" max="13593" width="11.5703125" bestFit="1" customWidth="1"/>
    <col min="13594" max="13594" width="10.5703125" bestFit="1" customWidth="1"/>
    <col min="13595" max="13596" width="15.7109375" bestFit="1" customWidth="1"/>
    <col min="13597" max="13597" width="11.5703125" bestFit="1" customWidth="1"/>
    <col min="13598" max="13598" width="7.7109375" bestFit="1" customWidth="1"/>
    <col min="13599" max="13599" width="15.140625" bestFit="1" customWidth="1"/>
    <col min="13600" max="13600" width="11.5703125" bestFit="1" customWidth="1"/>
    <col min="13601" max="13601" width="13.28515625" bestFit="1" customWidth="1"/>
    <col min="13602" max="13602" width="10.42578125" bestFit="1" customWidth="1"/>
    <col min="13603" max="13603" width="13.28515625" bestFit="1" customWidth="1"/>
    <col min="13604" max="13604" width="12.140625" bestFit="1" customWidth="1"/>
    <col min="13605" max="13605" width="14.42578125" bestFit="1" customWidth="1"/>
    <col min="13606" max="13606" width="13.28515625" bestFit="1" customWidth="1"/>
    <col min="13607" max="13607" width="11.5703125" bestFit="1" customWidth="1"/>
    <col min="13608" max="13608" width="7.7109375" bestFit="1" customWidth="1"/>
    <col min="13609" max="13610" width="14.42578125" bestFit="1" customWidth="1"/>
    <col min="13611" max="13611" width="11.5703125" bestFit="1" customWidth="1"/>
    <col min="13612" max="13612" width="7.7109375" bestFit="1" customWidth="1"/>
    <col min="13613" max="13613" width="13.5703125" customWidth="1"/>
    <col min="13614" max="13614" width="15.28515625" customWidth="1"/>
    <col min="13615" max="13615" width="14.5703125" customWidth="1"/>
    <col min="13616" max="13616" width="13.28515625" bestFit="1" customWidth="1"/>
    <col min="13617" max="13617" width="7.7109375" bestFit="1" customWidth="1"/>
    <col min="13618" max="13618" width="12.7109375" bestFit="1" customWidth="1"/>
    <col min="13619" max="13619" width="11.7109375" bestFit="1" customWidth="1"/>
    <col min="13620" max="13620" width="11.5703125" bestFit="1" customWidth="1"/>
    <col min="13621" max="13621" width="5.28515625" bestFit="1" customWidth="1"/>
    <col min="13622" max="13622" width="13.28515625" bestFit="1" customWidth="1"/>
    <col min="13623" max="13623" width="13.5703125" bestFit="1" customWidth="1"/>
    <col min="13624" max="13624" width="10.5703125" bestFit="1" customWidth="1"/>
    <col min="13625" max="13625" width="13.28515625" bestFit="1" customWidth="1"/>
    <col min="13626" max="13626" width="11.5703125" bestFit="1" customWidth="1"/>
    <col min="13627" max="13627" width="10.5703125" bestFit="1" customWidth="1"/>
    <col min="13628" max="13628" width="16.140625" bestFit="1" customWidth="1"/>
    <col min="13629" max="13630" width="11.28515625" bestFit="1" customWidth="1"/>
    <col min="13631" max="13631" width="13.28515625" bestFit="1" customWidth="1"/>
    <col min="13632" max="13632" width="7.7109375" bestFit="1" customWidth="1"/>
    <col min="13633" max="13636" width="9.140625" hidden="1" customWidth="1"/>
    <col min="13637" max="13637" width="10.42578125" bestFit="1" customWidth="1"/>
    <col min="13638" max="13638" width="10.5703125" bestFit="1" customWidth="1"/>
    <col min="13639" max="13639" width="10.42578125" bestFit="1" customWidth="1"/>
    <col min="13640" max="13640" width="10.5703125" bestFit="1" customWidth="1"/>
    <col min="13641" max="13641" width="9.5703125" bestFit="1" customWidth="1"/>
    <col min="13642" max="13642" width="11.5703125" bestFit="1" customWidth="1"/>
    <col min="13643" max="13643" width="10.42578125" bestFit="1" customWidth="1"/>
    <col min="13644" max="13644" width="10.85546875" customWidth="1"/>
    <col min="13645" max="13646" width="9.85546875" bestFit="1" customWidth="1"/>
    <col min="13647" max="13647" width="13.5703125" bestFit="1" customWidth="1"/>
    <col min="13648" max="13648" width="7.7109375" bestFit="1" customWidth="1"/>
    <col min="13649" max="13649" width="13.28515625" bestFit="1" customWidth="1"/>
    <col min="13650" max="13650" width="11.5703125" bestFit="1" customWidth="1"/>
    <col min="13651" max="13651" width="10.42578125" bestFit="1" customWidth="1"/>
    <col min="13652" max="13652" width="7.7109375" bestFit="1" customWidth="1"/>
    <col min="13653" max="13653" width="11.5703125" bestFit="1" customWidth="1"/>
    <col min="13654" max="13654" width="10.85546875" bestFit="1" customWidth="1"/>
    <col min="13655" max="13655" width="13.28515625" bestFit="1" customWidth="1"/>
    <col min="13656" max="13656" width="10.85546875" bestFit="1" customWidth="1"/>
    <col min="13657" max="13658" width="7.5703125" bestFit="1" customWidth="1"/>
    <col min="13659" max="13660" width="10.42578125" bestFit="1" customWidth="1"/>
    <col min="13661" max="13661" width="11.5703125" bestFit="1" customWidth="1"/>
    <col min="13662" max="13662" width="5.28515625" bestFit="1" customWidth="1"/>
    <col min="13663" max="13663" width="10.28515625" bestFit="1" customWidth="1"/>
    <col min="13664" max="13664" width="10.42578125" bestFit="1" customWidth="1"/>
    <col min="13665" max="13665" width="11.5703125" bestFit="1" customWidth="1"/>
    <col min="13666" max="13666" width="5.28515625" bestFit="1" customWidth="1"/>
    <col min="13667" max="13669" width="11.5703125" bestFit="1" customWidth="1"/>
    <col min="13670" max="13670" width="5.28515625" bestFit="1" customWidth="1"/>
    <col min="13671" max="13672" width="10.42578125" bestFit="1" customWidth="1"/>
    <col min="13673" max="13673" width="11.5703125" bestFit="1" customWidth="1"/>
    <col min="13674" max="13674" width="5.28515625" bestFit="1" customWidth="1"/>
    <col min="13675" max="13675" width="14.28515625" bestFit="1" customWidth="1"/>
    <col min="13676" max="13676" width="13" bestFit="1" customWidth="1"/>
    <col min="13677" max="13677" width="11.5703125" bestFit="1" customWidth="1"/>
    <col min="13678" max="13678" width="8.85546875" bestFit="1" customWidth="1"/>
    <col min="13679" max="13679" width="14.42578125" bestFit="1" customWidth="1"/>
    <col min="13680" max="13680" width="10.42578125" bestFit="1" customWidth="1"/>
    <col min="13681" max="13681" width="12.28515625" bestFit="1" customWidth="1"/>
    <col min="13682" max="13682" width="13.85546875" bestFit="1" customWidth="1"/>
    <col min="13683" max="13683" width="11.28515625" customWidth="1"/>
    <col min="13684" max="13684" width="11.5703125" customWidth="1"/>
    <col min="13685" max="13685" width="13.42578125" bestFit="1" customWidth="1"/>
    <col min="13686" max="13686" width="10.42578125" customWidth="1"/>
    <col min="13687" max="13687" width="13.85546875" bestFit="1" customWidth="1"/>
    <col min="13688" max="13688" width="15.42578125" bestFit="1" customWidth="1"/>
    <col min="13689" max="13689" width="12.28515625" bestFit="1" customWidth="1"/>
    <col min="13690" max="13690" width="12.7109375" customWidth="1"/>
    <col min="13691" max="13691" width="10.7109375" bestFit="1" customWidth="1"/>
    <col min="13692" max="13692" width="9.85546875" customWidth="1"/>
    <col min="13693" max="13694" width="10.140625" bestFit="1" customWidth="1"/>
    <col min="13695" max="13695" width="7.5703125" bestFit="1" customWidth="1"/>
    <col min="13696" max="13696" width="9.42578125" bestFit="1" customWidth="1"/>
    <col min="13697" max="13697" width="14.5703125" bestFit="1" customWidth="1"/>
    <col min="13698" max="13698" width="14.85546875" customWidth="1"/>
    <col min="13699" max="13699" width="15.140625" bestFit="1" customWidth="1"/>
    <col min="13700" max="13700" width="12.140625" bestFit="1" customWidth="1"/>
    <col min="13701" max="13701" width="14.85546875" bestFit="1" customWidth="1"/>
    <col min="13702" max="13702" width="12.28515625" bestFit="1" customWidth="1"/>
    <col min="13703" max="13711" width="9.140625" hidden="1" customWidth="1"/>
    <col min="13712" max="13712" width="5.28515625" bestFit="1" customWidth="1"/>
    <col min="13713" max="13718" width="11.5703125" bestFit="1" customWidth="1"/>
    <col min="13719" max="13719" width="11.28515625" bestFit="1" customWidth="1"/>
    <col min="13720" max="13720" width="10.140625" bestFit="1" customWidth="1"/>
    <col min="13721" max="13721" width="11.5703125" bestFit="1" customWidth="1"/>
    <col min="13722" max="13722" width="16.140625" customWidth="1"/>
    <col min="13723" max="13723" width="13.42578125" customWidth="1"/>
    <col min="13724" max="13724" width="10.140625" bestFit="1" customWidth="1"/>
    <col min="13725" max="13725" width="12.85546875" bestFit="1" customWidth="1"/>
    <col min="13726" max="13726" width="12.28515625" bestFit="1" customWidth="1"/>
    <col min="13727" max="13727" width="11.28515625" bestFit="1" customWidth="1"/>
    <col min="13728" max="13728" width="11.5703125" bestFit="1" customWidth="1"/>
    <col min="13729" max="13729" width="10.85546875" bestFit="1" customWidth="1"/>
    <col min="13730" max="13730" width="11.28515625" bestFit="1" customWidth="1"/>
    <col min="13731" max="13731" width="10.140625" bestFit="1" customWidth="1"/>
    <col min="13732" max="13732" width="13.28515625" bestFit="1" customWidth="1"/>
    <col min="13733" max="13734" width="12.7109375" bestFit="1" customWidth="1"/>
    <col min="13735" max="13735" width="11" bestFit="1" customWidth="1"/>
    <col min="13736" max="13736" width="11.28515625" bestFit="1" customWidth="1"/>
    <col min="13737" max="13737" width="11.5703125" bestFit="1" customWidth="1"/>
    <col min="13738" max="13738" width="12.28515625" bestFit="1" customWidth="1"/>
    <col min="13739" max="13739" width="15.140625" bestFit="1" customWidth="1"/>
    <col min="13740" max="13740" width="14.42578125" bestFit="1" customWidth="1"/>
    <col min="13741" max="13741" width="12.28515625" bestFit="1" customWidth="1"/>
    <col min="13742" max="13742" width="15.140625" bestFit="1" customWidth="1"/>
    <col min="13743" max="13743" width="14.42578125" bestFit="1" customWidth="1"/>
    <col min="13744" max="13744" width="12.28515625" bestFit="1" customWidth="1"/>
    <col min="13745" max="13745" width="14.42578125" bestFit="1" customWidth="1"/>
    <col min="13746" max="13746" width="11.28515625" bestFit="1" customWidth="1"/>
    <col min="13747" max="13747" width="12.28515625" bestFit="1" customWidth="1"/>
    <col min="13748" max="13748" width="13" bestFit="1" customWidth="1"/>
    <col min="13749" max="13749" width="15.140625" bestFit="1" customWidth="1"/>
    <col min="13750" max="13750" width="12.28515625" bestFit="1" customWidth="1"/>
    <col min="13751" max="13751" width="13.85546875" bestFit="1" customWidth="1"/>
    <col min="13752" max="13752" width="11.28515625" bestFit="1" customWidth="1"/>
    <col min="13753" max="13753" width="12.28515625" bestFit="1" customWidth="1"/>
    <col min="13754" max="13754" width="13.85546875" bestFit="1" customWidth="1"/>
    <col min="13755" max="13756" width="15.140625" bestFit="1" customWidth="1"/>
    <col min="13757" max="13757" width="12.28515625" bestFit="1" customWidth="1"/>
    <col min="13758" max="13758" width="5.7109375" bestFit="1" customWidth="1"/>
    <col min="13759" max="13759" width="8.5703125" bestFit="1" customWidth="1"/>
    <col min="13760" max="13760" width="5.5703125" bestFit="1" customWidth="1"/>
    <col min="13761" max="13761" width="14.42578125" bestFit="1" customWidth="1"/>
    <col min="13762" max="13762" width="11.28515625" bestFit="1" customWidth="1"/>
    <col min="13763" max="13764" width="12.28515625" bestFit="1" customWidth="1"/>
    <col min="13765" max="13765" width="11.28515625" bestFit="1" customWidth="1"/>
    <col min="13766" max="13766" width="13.85546875" bestFit="1" customWidth="1"/>
    <col min="13767" max="13767" width="12" bestFit="1" customWidth="1"/>
    <col min="13768" max="13768" width="13.85546875" bestFit="1" customWidth="1"/>
    <col min="13769" max="13770" width="14.42578125" customWidth="1"/>
    <col min="13771" max="13771" width="10.140625" bestFit="1" customWidth="1"/>
    <col min="13772" max="13772" width="12.28515625" bestFit="1" customWidth="1"/>
    <col min="13773" max="13773" width="7.42578125" bestFit="1" customWidth="1"/>
    <col min="13774" max="13774" width="8.5703125" bestFit="1" customWidth="1"/>
    <col min="13775" max="13775" width="11.5703125" bestFit="1" customWidth="1"/>
    <col min="13776" max="13776" width="13.28515625" bestFit="1" customWidth="1"/>
    <col min="13777" max="13777" width="13.28515625" customWidth="1"/>
    <col min="13778" max="13778" width="13.140625" customWidth="1"/>
    <col min="13779" max="13779" width="12.7109375" bestFit="1" customWidth="1"/>
    <col min="13780" max="13780" width="13.28515625" bestFit="1" customWidth="1"/>
    <col min="13781" max="13783" width="13.28515625" customWidth="1"/>
    <col min="13784" max="13784" width="12.140625" bestFit="1" customWidth="1"/>
    <col min="13785" max="13785" width="12.7109375" bestFit="1" customWidth="1"/>
    <col min="13786" max="13786" width="11" customWidth="1"/>
    <col min="13787" max="13787" width="16.7109375" customWidth="1"/>
    <col min="13788" max="13788" width="17" customWidth="1"/>
    <col min="13789" max="13789" width="10.42578125" bestFit="1" customWidth="1"/>
    <col min="13833" max="13833" width="3.85546875" customWidth="1"/>
    <col min="13834" max="13834" width="15.28515625" bestFit="1" customWidth="1"/>
    <col min="13835" max="13835" width="12.28515625" customWidth="1"/>
    <col min="13836" max="13836" width="16.28515625" bestFit="1" customWidth="1"/>
    <col min="13837" max="13837" width="6.42578125" bestFit="1" customWidth="1"/>
    <col min="13838" max="13838" width="9.28515625" bestFit="1" customWidth="1"/>
    <col min="13839" max="13839" width="7.5703125" bestFit="1" customWidth="1"/>
    <col min="13840" max="13840" width="13.28515625" bestFit="1" customWidth="1"/>
    <col min="13841" max="13841" width="9.28515625" bestFit="1" customWidth="1"/>
    <col min="13842" max="13842" width="11.5703125" bestFit="1" customWidth="1"/>
    <col min="13843" max="13843" width="13.28515625" bestFit="1" customWidth="1"/>
    <col min="13844" max="13844" width="7.140625" bestFit="1" customWidth="1"/>
    <col min="13845" max="13845" width="12" bestFit="1" customWidth="1"/>
    <col min="13846" max="13846" width="13.28515625" bestFit="1" customWidth="1"/>
    <col min="13847" max="13847" width="7" bestFit="1" customWidth="1"/>
    <col min="13848" max="13848" width="12.7109375" bestFit="1" customWidth="1"/>
    <col min="13849" max="13849" width="11.5703125" bestFit="1" customWidth="1"/>
    <col min="13850" max="13850" width="10.5703125" bestFit="1" customWidth="1"/>
    <col min="13851" max="13852" width="15.7109375" bestFit="1" customWidth="1"/>
    <col min="13853" max="13853" width="11.5703125" bestFit="1" customWidth="1"/>
    <col min="13854" max="13854" width="7.7109375" bestFit="1" customWidth="1"/>
    <col min="13855" max="13855" width="15.140625" bestFit="1" customWidth="1"/>
    <col min="13856" max="13856" width="11.5703125" bestFit="1" customWidth="1"/>
    <col min="13857" max="13857" width="13.28515625" bestFit="1" customWidth="1"/>
    <col min="13858" max="13858" width="10.42578125" bestFit="1" customWidth="1"/>
    <col min="13859" max="13859" width="13.28515625" bestFit="1" customWidth="1"/>
    <col min="13860" max="13860" width="12.140625" bestFit="1" customWidth="1"/>
    <col min="13861" max="13861" width="14.42578125" bestFit="1" customWidth="1"/>
    <col min="13862" max="13862" width="13.28515625" bestFit="1" customWidth="1"/>
    <col min="13863" max="13863" width="11.5703125" bestFit="1" customWidth="1"/>
    <col min="13864" max="13864" width="7.7109375" bestFit="1" customWidth="1"/>
    <col min="13865" max="13866" width="14.42578125" bestFit="1" customWidth="1"/>
    <col min="13867" max="13867" width="11.5703125" bestFit="1" customWidth="1"/>
    <col min="13868" max="13868" width="7.7109375" bestFit="1" customWidth="1"/>
    <col min="13869" max="13869" width="13.5703125" customWidth="1"/>
    <col min="13870" max="13870" width="15.28515625" customWidth="1"/>
    <col min="13871" max="13871" width="14.5703125" customWidth="1"/>
    <col min="13872" max="13872" width="13.28515625" bestFit="1" customWidth="1"/>
    <col min="13873" max="13873" width="7.7109375" bestFit="1" customWidth="1"/>
    <col min="13874" max="13874" width="12.7109375" bestFit="1" customWidth="1"/>
    <col min="13875" max="13875" width="11.7109375" bestFit="1" customWidth="1"/>
    <col min="13876" max="13876" width="11.5703125" bestFit="1" customWidth="1"/>
    <col min="13877" max="13877" width="5.28515625" bestFit="1" customWidth="1"/>
    <col min="13878" max="13878" width="13.28515625" bestFit="1" customWidth="1"/>
    <col min="13879" max="13879" width="13.5703125" bestFit="1" customWidth="1"/>
    <col min="13880" max="13880" width="10.5703125" bestFit="1" customWidth="1"/>
    <col min="13881" max="13881" width="13.28515625" bestFit="1" customWidth="1"/>
    <col min="13882" max="13882" width="11.5703125" bestFit="1" customWidth="1"/>
    <col min="13883" max="13883" width="10.5703125" bestFit="1" customWidth="1"/>
    <col min="13884" max="13884" width="16.140625" bestFit="1" customWidth="1"/>
    <col min="13885" max="13886" width="11.28515625" bestFit="1" customWidth="1"/>
    <col min="13887" max="13887" width="13.28515625" bestFit="1" customWidth="1"/>
    <col min="13888" max="13888" width="7.7109375" bestFit="1" customWidth="1"/>
    <col min="13889" max="13892" width="9.140625" hidden="1" customWidth="1"/>
    <col min="13893" max="13893" width="10.42578125" bestFit="1" customWidth="1"/>
    <col min="13894" max="13894" width="10.5703125" bestFit="1" customWidth="1"/>
    <col min="13895" max="13895" width="10.42578125" bestFit="1" customWidth="1"/>
    <col min="13896" max="13896" width="10.5703125" bestFit="1" customWidth="1"/>
    <col min="13897" max="13897" width="9.5703125" bestFit="1" customWidth="1"/>
    <col min="13898" max="13898" width="11.5703125" bestFit="1" customWidth="1"/>
    <col min="13899" max="13899" width="10.42578125" bestFit="1" customWidth="1"/>
    <col min="13900" max="13900" width="10.85546875" customWidth="1"/>
    <col min="13901" max="13902" width="9.85546875" bestFit="1" customWidth="1"/>
    <col min="13903" max="13903" width="13.5703125" bestFit="1" customWidth="1"/>
    <col min="13904" max="13904" width="7.7109375" bestFit="1" customWidth="1"/>
    <col min="13905" max="13905" width="13.28515625" bestFit="1" customWidth="1"/>
    <col min="13906" max="13906" width="11.5703125" bestFit="1" customWidth="1"/>
    <col min="13907" max="13907" width="10.42578125" bestFit="1" customWidth="1"/>
    <col min="13908" max="13908" width="7.7109375" bestFit="1" customWidth="1"/>
    <col min="13909" max="13909" width="11.5703125" bestFit="1" customWidth="1"/>
    <col min="13910" max="13910" width="10.85546875" bestFit="1" customWidth="1"/>
    <col min="13911" max="13911" width="13.28515625" bestFit="1" customWidth="1"/>
    <col min="13912" max="13912" width="10.85546875" bestFit="1" customWidth="1"/>
    <col min="13913" max="13914" width="7.5703125" bestFit="1" customWidth="1"/>
    <col min="13915" max="13916" width="10.42578125" bestFit="1" customWidth="1"/>
    <col min="13917" max="13917" width="11.5703125" bestFit="1" customWidth="1"/>
    <col min="13918" max="13918" width="5.28515625" bestFit="1" customWidth="1"/>
    <col min="13919" max="13919" width="10.28515625" bestFit="1" customWidth="1"/>
    <col min="13920" max="13920" width="10.42578125" bestFit="1" customWidth="1"/>
    <col min="13921" max="13921" width="11.5703125" bestFit="1" customWidth="1"/>
    <col min="13922" max="13922" width="5.28515625" bestFit="1" customWidth="1"/>
    <col min="13923" max="13925" width="11.5703125" bestFit="1" customWidth="1"/>
    <col min="13926" max="13926" width="5.28515625" bestFit="1" customWidth="1"/>
    <col min="13927" max="13928" width="10.42578125" bestFit="1" customWidth="1"/>
    <col min="13929" max="13929" width="11.5703125" bestFit="1" customWidth="1"/>
    <col min="13930" max="13930" width="5.28515625" bestFit="1" customWidth="1"/>
    <col min="13931" max="13931" width="14.28515625" bestFit="1" customWidth="1"/>
    <col min="13932" max="13932" width="13" bestFit="1" customWidth="1"/>
    <col min="13933" max="13933" width="11.5703125" bestFit="1" customWidth="1"/>
    <col min="13934" max="13934" width="8.85546875" bestFit="1" customWidth="1"/>
    <col min="13935" max="13935" width="14.42578125" bestFit="1" customWidth="1"/>
    <col min="13936" max="13936" width="10.42578125" bestFit="1" customWidth="1"/>
    <col min="13937" max="13937" width="12.28515625" bestFit="1" customWidth="1"/>
    <col min="13938" max="13938" width="13.85546875" bestFit="1" customWidth="1"/>
    <col min="13939" max="13939" width="11.28515625" customWidth="1"/>
    <col min="13940" max="13940" width="11.5703125" customWidth="1"/>
    <col min="13941" max="13941" width="13.42578125" bestFit="1" customWidth="1"/>
    <col min="13942" max="13942" width="10.42578125" customWidth="1"/>
    <col min="13943" max="13943" width="13.85546875" bestFit="1" customWidth="1"/>
    <col min="13944" max="13944" width="15.42578125" bestFit="1" customWidth="1"/>
    <col min="13945" max="13945" width="12.28515625" bestFit="1" customWidth="1"/>
    <col min="13946" max="13946" width="12.7109375" customWidth="1"/>
    <col min="13947" max="13947" width="10.7109375" bestFit="1" customWidth="1"/>
    <col min="13948" max="13948" width="9.85546875" customWidth="1"/>
    <col min="13949" max="13950" width="10.140625" bestFit="1" customWidth="1"/>
    <col min="13951" max="13951" width="7.5703125" bestFit="1" customWidth="1"/>
    <col min="13952" max="13952" width="9.42578125" bestFit="1" customWidth="1"/>
    <col min="13953" max="13953" width="14.5703125" bestFit="1" customWidth="1"/>
    <col min="13954" max="13954" width="14.85546875" customWidth="1"/>
    <col min="13955" max="13955" width="15.140625" bestFit="1" customWidth="1"/>
    <col min="13956" max="13956" width="12.140625" bestFit="1" customWidth="1"/>
    <col min="13957" max="13957" width="14.85546875" bestFit="1" customWidth="1"/>
    <col min="13958" max="13958" width="12.28515625" bestFit="1" customWidth="1"/>
    <col min="13959" max="13967" width="9.140625" hidden="1" customWidth="1"/>
    <col min="13968" max="13968" width="5.28515625" bestFit="1" customWidth="1"/>
    <col min="13969" max="13974" width="11.5703125" bestFit="1" customWidth="1"/>
    <col min="13975" max="13975" width="11.28515625" bestFit="1" customWidth="1"/>
    <col min="13976" max="13976" width="10.140625" bestFit="1" customWidth="1"/>
    <col min="13977" max="13977" width="11.5703125" bestFit="1" customWidth="1"/>
    <col min="13978" max="13978" width="16.140625" customWidth="1"/>
    <col min="13979" max="13979" width="13.42578125" customWidth="1"/>
    <col min="13980" max="13980" width="10.140625" bestFit="1" customWidth="1"/>
    <col min="13981" max="13981" width="12.85546875" bestFit="1" customWidth="1"/>
    <col min="13982" max="13982" width="12.28515625" bestFit="1" customWidth="1"/>
    <col min="13983" max="13983" width="11.28515625" bestFit="1" customWidth="1"/>
    <col min="13984" max="13984" width="11.5703125" bestFit="1" customWidth="1"/>
    <col min="13985" max="13985" width="10.85546875" bestFit="1" customWidth="1"/>
    <col min="13986" max="13986" width="11.28515625" bestFit="1" customWidth="1"/>
    <col min="13987" max="13987" width="10.140625" bestFit="1" customWidth="1"/>
    <col min="13988" max="13988" width="13.28515625" bestFit="1" customWidth="1"/>
    <col min="13989" max="13990" width="12.7109375" bestFit="1" customWidth="1"/>
    <col min="13991" max="13991" width="11" bestFit="1" customWidth="1"/>
    <col min="13992" max="13992" width="11.28515625" bestFit="1" customWidth="1"/>
    <col min="13993" max="13993" width="11.5703125" bestFit="1" customWidth="1"/>
    <col min="13994" max="13994" width="12.28515625" bestFit="1" customWidth="1"/>
    <col min="13995" max="13995" width="15.140625" bestFit="1" customWidth="1"/>
    <col min="13996" max="13996" width="14.42578125" bestFit="1" customWidth="1"/>
    <col min="13997" max="13997" width="12.28515625" bestFit="1" customWidth="1"/>
    <col min="13998" max="13998" width="15.140625" bestFit="1" customWidth="1"/>
    <col min="13999" max="13999" width="14.42578125" bestFit="1" customWidth="1"/>
    <col min="14000" max="14000" width="12.28515625" bestFit="1" customWidth="1"/>
    <col min="14001" max="14001" width="14.42578125" bestFit="1" customWidth="1"/>
    <col min="14002" max="14002" width="11.28515625" bestFit="1" customWidth="1"/>
    <col min="14003" max="14003" width="12.28515625" bestFit="1" customWidth="1"/>
    <col min="14004" max="14004" width="13" bestFit="1" customWidth="1"/>
    <col min="14005" max="14005" width="15.140625" bestFit="1" customWidth="1"/>
    <col min="14006" max="14006" width="12.28515625" bestFit="1" customWidth="1"/>
    <col min="14007" max="14007" width="13.85546875" bestFit="1" customWidth="1"/>
    <col min="14008" max="14008" width="11.28515625" bestFit="1" customWidth="1"/>
    <col min="14009" max="14009" width="12.28515625" bestFit="1" customWidth="1"/>
    <col min="14010" max="14010" width="13.85546875" bestFit="1" customWidth="1"/>
    <col min="14011" max="14012" width="15.140625" bestFit="1" customWidth="1"/>
    <col min="14013" max="14013" width="12.28515625" bestFit="1" customWidth="1"/>
    <col min="14014" max="14014" width="5.7109375" bestFit="1" customWidth="1"/>
    <col min="14015" max="14015" width="8.5703125" bestFit="1" customWidth="1"/>
    <col min="14016" max="14016" width="5.5703125" bestFit="1" customWidth="1"/>
    <col min="14017" max="14017" width="14.42578125" bestFit="1" customWidth="1"/>
    <col min="14018" max="14018" width="11.28515625" bestFit="1" customWidth="1"/>
    <col min="14019" max="14020" width="12.28515625" bestFit="1" customWidth="1"/>
    <col min="14021" max="14021" width="11.28515625" bestFit="1" customWidth="1"/>
    <col min="14022" max="14022" width="13.85546875" bestFit="1" customWidth="1"/>
    <col min="14023" max="14023" width="12" bestFit="1" customWidth="1"/>
    <col min="14024" max="14024" width="13.85546875" bestFit="1" customWidth="1"/>
    <col min="14025" max="14026" width="14.42578125" customWidth="1"/>
    <col min="14027" max="14027" width="10.140625" bestFit="1" customWidth="1"/>
    <col min="14028" max="14028" width="12.28515625" bestFit="1" customWidth="1"/>
    <col min="14029" max="14029" width="7.42578125" bestFit="1" customWidth="1"/>
    <col min="14030" max="14030" width="8.5703125" bestFit="1" customWidth="1"/>
    <col min="14031" max="14031" width="11.5703125" bestFit="1" customWidth="1"/>
    <col min="14032" max="14032" width="13.28515625" bestFit="1" customWidth="1"/>
    <col min="14033" max="14033" width="13.28515625" customWidth="1"/>
    <col min="14034" max="14034" width="13.140625" customWidth="1"/>
    <col min="14035" max="14035" width="12.7109375" bestFit="1" customWidth="1"/>
    <col min="14036" max="14036" width="13.28515625" bestFit="1" customWidth="1"/>
    <col min="14037" max="14039" width="13.28515625" customWidth="1"/>
    <col min="14040" max="14040" width="12.140625" bestFit="1" customWidth="1"/>
    <col min="14041" max="14041" width="12.7109375" bestFit="1" customWidth="1"/>
    <col min="14042" max="14042" width="11" customWidth="1"/>
    <col min="14043" max="14043" width="16.7109375" customWidth="1"/>
    <col min="14044" max="14044" width="17" customWidth="1"/>
    <col min="14045" max="14045" width="10.42578125" bestFit="1" customWidth="1"/>
    <col min="14089" max="14089" width="3.85546875" customWidth="1"/>
    <col min="14090" max="14090" width="15.28515625" bestFit="1" customWidth="1"/>
    <col min="14091" max="14091" width="12.28515625" customWidth="1"/>
    <col min="14092" max="14092" width="16.28515625" bestFit="1" customWidth="1"/>
    <col min="14093" max="14093" width="6.42578125" bestFit="1" customWidth="1"/>
    <col min="14094" max="14094" width="9.28515625" bestFit="1" customWidth="1"/>
    <col min="14095" max="14095" width="7.5703125" bestFit="1" customWidth="1"/>
    <col min="14096" max="14096" width="13.28515625" bestFit="1" customWidth="1"/>
    <col min="14097" max="14097" width="9.28515625" bestFit="1" customWidth="1"/>
    <col min="14098" max="14098" width="11.5703125" bestFit="1" customWidth="1"/>
    <col min="14099" max="14099" width="13.28515625" bestFit="1" customWidth="1"/>
    <col min="14100" max="14100" width="7.140625" bestFit="1" customWidth="1"/>
    <col min="14101" max="14101" width="12" bestFit="1" customWidth="1"/>
    <col min="14102" max="14102" width="13.28515625" bestFit="1" customWidth="1"/>
    <col min="14103" max="14103" width="7" bestFit="1" customWidth="1"/>
    <col min="14104" max="14104" width="12.7109375" bestFit="1" customWidth="1"/>
    <col min="14105" max="14105" width="11.5703125" bestFit="1" customWidth="1"/>
    <col min="14106" max="14106" width="10.5703125" bestFit="1" customWidth="1"/>
    <col min="14107" max="14108" width="15.7109375" bestFit="1" customWidth="1"/>
    <col min="14109" max="14109" width="11.5703125" bestFit="1" customWidth="1"/>
    <col min="14110" max="14110" width="7.7109375" bestFit="1" customWidth="1"/>
    <col min="14111" max="14111" width="15.140625" bestFit="1" customWidth="1"/>
    <col min="14112" max="14112" width="11.5703125" bestFit="1" customWidth="1"/>
    <col min="14113" max="14113" width="13.28515625" bestFit="1" customWidth="1"/>
    <col min="14114" max="14114" width="10.42578125" bestFit="1" customWidth="1"/>
    <col min="14115" max="14115" width="13.28515625" bestFit="1" customWidth="1"/>
    <col min="14116" max="14116" width="12.140625" bestFit="1" customWidth="1"/>
    <col min="14117" max="14117" width="14.42578125" bestFit="1" customWidth="1"/>
    <col min="14118" max="14118" width="13.28515625" bestFit="1" customWidth="1"/>
    <col min="14119" max="14119" width="11.5703125" bestFit="1" customWidth="1"/>
    <col min="14120" max="14120" width="7.7109375" bestFit="1" customWidth="1"/>
    <col min="14121" max="14122" width="14.42578125" bestFit="1" customWidth="1"/>
    <col min="14123" max="14123" width="11.5703125" bestFit="1" customWidth="1"/>
    <col min="14124" max="14124" width="7.7109375" bestFit="1" customWidth="1"/>
    <col min="14125" max="14125" width="13.5703125" customWidth="1"/>
    <col min="14126" max="14126" width="15.28515625" customWidth="1"/>
    <col min="14127" max="14127" width="14.5703125" customWidth="1"/>
    <col min="14128" max="14128" width="13.28515625" bestFit="1" customWidth="1"/>
    <col min="14129" max="14129" width="7.7109375" bestFit="1" customWidth="1"/>
    <col min="14130" max="14130" width="12.7109375" bestFit="1" customWidth="1"/>
    <col min="14131" max="14131" width="11.7109375" bestFit="1" customWidth="1"/>
    <col min="14132" max="14132" width="11.5703125" bestFit="1" customWidth="1"/>
    <col min="14133" max="14133" width="5.28515625" bestFit="1" customWidth="1"/>
    <col min="14134" max="14134" width="13.28515625" bestFit="1" customWidth="1"/>
    <col min="14135" max="14135" width="13.5703125" bestFit="1" customWidth="1"/>
    <col min="14136" max="14136" width="10.5703125" bestFit="1" customWidth="1"/>
    <col min="14137" max="14137" width="13.28515625" bestFit="1" customWidth="1"/>
    <col min="14138" max="14138" width="11.5703125" bestFit="1" customWidth="1"/>
    <col min="14139" max="14139" width="10.5703125" bestFit="1" customWidth="1"/>
    <col min="14140" max="14140" width="16.140625" bestFit="1" customWidth="1"/>
    <col min="14141" max="14142" width="11.28515625" bestFit="1" customWidth="1"/>
    <col min="14143" max="14143" width="13.28515625" bestFit="1" customWidth="1"/>
    <col min="14144" max="14144" width="7.7109375" bestFit="1" customWidth="1"/>
    <col min="14145" max="14148" width="9.140625" hidden="1" customWidth="1"/>
    <col min="14149" max="14149" width="10.42578125" bestFit="1" customWidth="1"/>
    <col min="14150" max="14150" width="10.5703125" bestFit="1" customWidth="1"/>
    <col min="14151" max="14151" width="10.42578125" bestFit="1" customWidth="1"/>
    <col min="14152" max="14152" width="10.5703125" bestFit="1" customWidth="1"/>
    <col min="14153" max="14153" width="9.5703125" bestFit="1" customWidth="1"/>
    <col min="14154" max="14154" width="11.5703125" bestFit="1" customWidth="1"/>
    <col min="14155" max="14155" width="10.42578125" bestFit="1" customWidth="1"/>
    <col min="14156" max="14156" width="10.85546875" customWidth="1"/>
    <col min="14157" max="14158" width="9.85546875" bestFit="1" customWidth="1"/>
    <col min="14159" max="14159" width="13.5703125" bestFit="1" customWidth="1"/>
    <col min="14160" max="14160" width="7.7109375" bestFit="1" customWidth="1"/>
    <col min="14161" max="14161" width="13.28515625" bestFit="1" customWidth="1"/>
    <col min="14162" max="14162" width="11.5703125" bestFit="1" customWidth="1"/>
    <col min="14163" max="14163" width="10.42578125" bestFit="1" customWidth="1"/>
    <col min="14164" max="14164" width="7.7109375" bestFit="1" customWidth="1"/>
    <col min="14165" max="14165" width="11.5703125" bestFit="1" customWidth="1"/>
    <col min="14166" max="14166" width="10.85546875" bestFit="1" customWidth="1"/>
    <col min="14167" max="14167" width="13.28515625" bestFit="1" customWidth="1"/>
    <col min="14168" max="14168" width="10.85546875" bestFit="1" customWidth="1"/>
    <col min="14169" max="14170" width="7.5703125" bestFit="1" customWidth="1"/>
    <col min="14171" max="14172" width="10.42578125" bestFit="1" customWidth="1"/>
    <col min="14173" max="14173" width="11.5703125" bestFit="1" customWidth="1"/>
    <col min="14174" max="14174" width="5.28515625" bestFit="1" customWidth="1"/>
    <col min="14175" max="14175" width="10.28515625" bestFit="1" customWidth="1"/>
    <col min="14176" max="14176" width="10.42578125" bestFit="1" customWidth="1"/>
    <col min="14177" max="14177" width="11.5703125" bestFit="1" customWidth="1"/>
    <col min="14178" max="14178" width="5.28515625" bestFit="1" customWidth="1"/>
    <col min="14179" max="14181" width="11.5703125" bestFit="1" customWidth="1"/>
    <col min="14182" max="14182" width="5.28515625" bestFit="1" customWidth="1"/>
    <col min="14183" max="14184" width="10.42578125" bestFit="1" customWidth="1"/>
    <col min="14185" max="14185" width="11.5703125" bestFit="1" customWidth="1"/>
    <col min="14186" max="14186" width="5.28515625" bestFit="1" customWidth="1"/>
    <col min="14187" max="14187" width="14.28515625" bestFit="1" customWidth="1"/>
    <col min="14188" max="14188" width="13" bestFit="1" customWidth="1"/>
    <col min="14189" max="14189" width="11.5703125" bestFit="1" customWidth="1"/>
    <col min="14190" max="14190" width="8.85546875" bestFit="1" customWidth="1"/>
    <col min="14191" max="14191" width="14.42578125" bestFit="1" customWidth="1"/>
    <col min="14192" max="14192" width="10.42578125" bestFit="1" customWidth="1"/>
    <col min="14193" max="14193" width="12.28515625" bestFit="1" customWidth="1"/>
    <col min="14194" max="14194" width="13.85546875" bestFit="1" customWidth="1"/>
    <col min="14195" max="14195" width="11.28515625" customWidth="1"/>
    <col min="14196" max="14196" width="11.5703125" customWidth="1"/>
    <col min="14197" max="14197" width="13.42578125" bestFit="1" customWidth="1"/>
    <col min="14198" max="14198" width="10.42578125" customWidth="1"/>
    <col min="14199" max="14199" width="13.85546875" bestFit="1" customWidth="1"/>
    <col min="14200" max="14200" width="15.42578125" bestFit="1" customWidth="1"/>
    <col min="14201" max="14201" width="12.28515625" bestFit="1" customWidth="1"/>
    <col min="14202" max="14202" width="12.7109375" customWidth="1"/>
    <col min="14203" max="14203" width="10.7109375" bestFit="1" customWidth="1"/>
    <col min="14204" max="14204" width="9.85546875" customWidth="1"/>
    <col min="14205" max="14206" width="10.140625" bestFit="1" customWidth="1"/>
    <col min="14207" max="14207" width="7.5703125" bestFit="1" customWidth="1"/>
    <col min="14208" max="14208" width="9.42578125" bestFit="1" customWidth="1"/>
    <col min="14209" max="14209" width="14.5703125" bestFit="1" customWidth="1"/>
    <col min="14210" max="14210" width="14.85546875" customWidth="1"/>
    <col min="14211" max="14211" width="15.140625" bestFit="1" customWidth="1"/>
    <col min="14212" max="14212" width="12.140625" bestFit="1" customWidth="1"/>
    <col min="14213" max="14213" width="14.85546875" bestFit="1" customWidth="1"/>
    <col min="14214" max="14214" width="12.28515625" bestFit="1" customWidth="1"/>
    <col min="14215" max="14223" width="9.140625" hidden="1" customWidth="1"/>
    <col min="14224" max="14224" width="5.28515625" bestFit="1" customWidth="1"/>
    <col min="14225" max="14230" width="11.5703125" bestFit="1" customWidth="1"/>
    <col min="14231" max="14231" width="11.28515625" bestFit="1" customWidth="1"/>
    <col min="14232" max="14232" width="10.140625" bestFit="1" customWidth="1"/>
    <col min="14233" max="14233" width="11.5703125" bestFit="1" customWidth="1"/>
    <col min="14234" max="14234" width="16.140625" customWidth="1"/>
    <col min="14235" max="14235" width="13.42578125" customWidth="1"/>
    <col min="14236" max="14236" width="10.140625" bestFit="1" customWidth="1"/>
    <col min="14237" max="14237" width="12.85546875" bestFit="1" customWidth="1"/>
    <col min="14238" max="14238" width="12.28515625" bestFit="1" customWidth="1"/>
    <col min="14239" max="14239" width="11.28515625" bestFit="1" customWidth="1"/>
    <col min="14240" max="14240" width="11.5703125" bestFit="1" customWidth="1"/>
    <col min="14241" max="14241" width="10.85546875" bestFit="1" customWidth="1"/>
    <col min="14242" max="14242" width="11.28515625" bestFit="1" customWidth="1"/>
    <col min="14243" max="14243" width="10.140625" bestFit="1" customWidth="1"/>
    <col min="14244" max="14244" width="13.28515625" bestFit="1" customWidth="1"/>
    <col min="14245" max="14246" width="12.7109375" bestFit="1" customWidth="1"/>
    <col min="14247" max="14247" width="11" bestFit="1" customWidth="1"/>
    <col min="14248" max="14248" width="11.28515625" bestFit="1" customWidth="1"/>
    <col min="14249" max="14249" width="11.5703125" bestFit="1" customWidth="1"/>
    <col min="14250" max="14250" width="12.28515625" bestFit="1" customWidth="1"/>
    <col min="14251" max="14251" width="15.140625" bestFit="1" customWidth="1"/>
    <col min="14252" max="14252" width="14.42578125" bestFit="1" customWidth="1"/>
    <col min="14253" max="14253" width="12.28515625" bestFit="1" customWidth="1"/>
    <col min="14254" max="14254" width="15.140625" bestFit="1" customWidth="1"/>
    <col min="14255" max="14255" width="14.42578125" bestFit="1" customWidth="1"/>
    <col min="14256" max="14256" width="12.28515625" bestFit="1" customWidth="1"/>
    <col min="14257" max="14257" width="14.42578125" bestFit="1" customWidth="1"/>
    <col min="14258" max="14258" width="11.28515625" bestFit="1" customWidth="1"/>
    <col min="14259" max="14259" width="12.28515625" bestFit="1" customWidth="1"/>
    <col min="14260" max="14260" width="13" bestFit="1" customWidth="1"/>
    <col min="14261" max="14261" width="15.140625" bestFit="1" customWidth="1"/>
    <col min="14262" max="14262" width="12.28515625" bestFit="1" customWidth="1"/>
    <col min="14263" max="14263" width="13.85546875" bestFit="1" customWidth="1"/>
    <col min="14264" max="14264" width="11.28515625" bestFit="1" customWidth="1"/>
    <col min="14265" max="14265" width="12.28515625" bestFit="1" customWidth="1"/>
    <col min="14266" max="14266" width="13.85546875" bestFit="1" customWidth="1"/>
    <col min="14267" max="14268" width="15.140625" bestFit="1" customWidth="1"/>
    <col min="14269" max="14269" width="12.28515625" bestFit="1" customWidth="1"/>
    <col min="14270" max="14270" width="5.7109375" bestFit="1" customWidth="1"/>
    <col min="14271" max="14271" width="8.5703125" bestFit="1" customWidth="1"/>
    <col min="14272" max="14272" width="5.5703125" bestFit="1" customWidth="1"/>
    <col min="14273" max="14273" width="14.42578125" bestFit="1" customWidth="1"/>
    <col min="14274" max="14274" width="11.28515625" bestFit="1" customWidth="1"/>
    <col min="14275" max="14276" width="12.28515625" bestFit="1" customWidth="1"/>
    <col min="14277" max="14277" width="11.28515625" bestFit="1" customWidth="1"/>
    <col min="14278" max="14278" width="13.85546875" bestFit="1" customWidth="1"/>
    <col min="14279" max="14279" width="12" bestFit="1" customWidth="1"/>
    <col min="14280" max="14280" width="13.85546875" bestFit="1" customWidth="1"/>
    <col min="14281" max="14282" width="14.42578125" customWidth="1"/>
    <col min="14283" max="14283" width="10.140625" bestFit="1" customWidth="1"/>
    <col min="14284" max="14284" width="12.28515625" bestFit="1" customWidth="1"/>
    <col min="14285" max="14285" width="7.42578125" bestFit="1" customWidth="1"/>
    <col min="14286" max="14286" width="8.5703125" bestFit="1" customWidth="1"/>
    <col min="14287" max="14287" width="11.5703125" bestFit="1" customWidth="1"/>
    <col min="14288" max="14288" width="13.28515625" bestFit="1" customWidth="1"/>
    <col min="14289" max="14289" width="13.28515625" customWidth="1"/>
    <col min="14290" max="14290" width="13.140625" customWidth="1"/>
    <col min="14291" max="14291" width="12.7109375" bestFit="1" customWidth="1"/>
    <col min="14292" max="14292" width="13.28515625" bestFit="1" customWidth="1"/>
    <col min="14293" max="14295" width="13.28515625" customWidth="1"/>
    <col min="14296" max="14296" width="12.140625" bestFit="1" customWidth="1"/>
    <col min="14297" max="14297" width="12.7109375" bestFit="1" customWidth="1"/>
    <col min="14298" max="14298" width="11" customWidth="1"/>
    <col min="14299" max="14299" width="16.7109375" customWidth="1"/>
    <col min="14300" max="14300" width="17" customWidth="1"/>
    <col min="14301" max="14301" width="10.42578125" bestFit="1" customWidth="1"/>
    <col min="14345" max="14345" width="3.85546875" customWidth="1"/>
    <col min="14346" max="14346" width="15.28515625" bestFit="1" customWidth="1"/>
    <col min="14347" max="14347" width="12.28515625" customWidth="1"/>
    <col min="14348" max="14348" width="16.28515625" bestFit="1" customWidth="1"/>
    <col min="14349" max="14349" width="6.42578125" bestFit="1" customWidth="1"/>
    <col min="14350" max="14350" width="9.28515625" bestFit="1" customWidth="1"/>
    <col min="14351" max="14351" width="7.5703125" bestFit="1" customWidth="1"/>
    <col min="14352" max="14352" width="13.28515625" bestFit="1" customWidth="1"/>
    <col min="14353" max="14353" width="9.28515625" bestFit="1" customWidth="1"/>
    <col min="14354" max="14354" width="11.5703125" bestFit="1" customWidth="1"/>
    <col min="14355" max="14355" width="13.28515625" bestFit="1" customWidth="1"/>
    <col min="14356" max="14356" width="7.140625" bestFit="1" customWidth="1"/>
    <col min="14357" max="14357" width="12" bestFit="1" customWidth="1"/>
    <col min="14358" max="14358" width="13.28515625" bestFit="1" customWidth="1"/>
    <col min="14359" max="14359" width="7" bestFit="1" customWidth="1"/>
    <col min="14360" max="14360" width="12.7109375" bestFit="1" customWidth="1"/>
    <col min="14361" max="14361" width="11.5703125" bestFit="1" customWidth="1"/>
    <col min="14362" max="14362" width="10.5703125" bestFit="1" customWidth="1"/>
    <col min="14363" max="14364" width="15.7109375" bestFit="1" customWidth="1"/>
    <col min="14365" max="14365" width="11.5703125" bestFit="1" customWidth="1"/>
    <col min="14366" max="14366" width="7.7109375" bestFit="1" customWidth="1"/>
    <col min="14367" max="14367" width="15.140625" bestFit="1" customWidth="1"/>
    <col min="14368" max="14368" width="11.5703125" bestFit="1" customWidth="1"/>
    <col min="14369" max="14369" width="13.28515625" bestFit="1" customWidth="1"/>
    <col min="14370" max="14370" width="10.42578125" bestFit="1" customWidth="1"/>
    <col min="14371" max="14371" width="13.28515625" bestFit="1" customWidth="1"/>
    <col min="14372" max="14372" width="12.140625" bestFit="1" customWidth="1"/>
    <col min="14373" max="14373" width="14.42578125" bestFit="1" customWidth="1"/>
    <col min="14374" max="14374" width="13.28515625" bestFit="1" customWidth="1"/>
    <col min="14375" max="14375" width="11.5703125" bestFit="1" customWidth="1"/>
    <col min="14376" max="14376" width="7.7109375" bestFit="1" customWidth="1"/>
    <col min="14377" max="14378" width="14.42578125" bestFit="1" customWidth="1"/>
    <col min="14379" max="14379" width="11.5703125" bestFit="1" customWidth="1"/>
    <col min="14380" max="14380" width="7.7109375" bestFit="1" customWidth="1"/>
    <col min="14381" max="14381" width="13.5703125" customWidth="1"/>
    <col min="14382" max="14382" width="15.28515625" customWidth="1"/>
    <col min="14383" max="14383" width="14.5703125" customWidth="1"/>
    <col min="14384" max="14384" width="13.28515625" bestFit="1" customWidth="1"/>
    <col min="14385" max="14385" width="7.7109375" bestFit="1" customWidth="1"/>
    <col min="14386" max="14386" width="12.7109375" bestFit="1" customWidth="1"/>
    <col min="14387" max="14387" width="11.7109375" bestFit="1" customWidth="1"/>
    <col min="14388" max="14388" width="11.5703125" bestFit="1" customWidth="1"/>
    <col min="14389" max="14389" width="5.28515625" bestFit="1" customWidth="1"/>
    <col min="14390" max="14390" width="13.28515625" bestFit="1" customWidth="1"/>
    <col min="14391" max="14391" width="13.5703125" bestFit="1" customWidth="1"/>
    <col min="14392" max="14392" width="10.5703125" bestFit="1" customWidth="1"/>
    <col min="14393" max="14393" width="13.28515625" bestFit="1" customWidth="1"/>
    <col min="14394" max="14394" width="11.5703125" bestFit="1" customWidth="1"/>
    <col min="14395" max="14395" width="10.5703125" bestFit="1" customWidth="1"/>
    <col min="14396" max="14396" width="16.140625" bestFit="1" customWidth="1"/>
    <col min="14397" max="14398" width="11.28515625" bestFit="1" customWidth="1"/>
    <col min="14399" max="14399" width="13.28515625" bestFit="1" customWidth="1"/>
    <col min="14400" max="14400" width="7.7109375" bestFit="1" customWidth="1"/>
    <col min="14401" max="14404" width="9.140625" hidden="1" customWidth="1"/>
    <col min="14405" max="14405" width="10.42578125" bestFit="1" customWidth="1"/>
    <col min="14406" max="14406" width="10.5703125" bestFit="1" customWidth="1"/>
    <col min="14407" max="14407" width="10.42578125" bestFit="1" customWidth="1"/>
    <col min="14408" max="14408" width="10.5703125" bestFit="1" customWidth="1"/>
    <col min="14409" max="14409" width="9.5703125" bestFit="1" customWidth="1"/>
    <col min="14410" max="14410" width="11.5703125" bestFit="1" customWidth="1"/>
    <col min="14411" max="14411" width="10.42578125" bestFit="1" customWidth="1"/>
    <col min="14412" max="14412" width="10.85546875" customWidth="1"/>
    <col min="14413" max="14414" width="9.85546875" bestFit="1" customWidth="1"/>
    <col min="14415" max="14415" width="13.5703125" bestFit="1" customWidth="1"/>
    <col min="14416" max="14416" width="7.7109375" bestFit="1" customWidth="1"/>
    <col min="14417" max="14417" width="13.28515625" bestFit="1" customWidth="1"/>
    <col min="14418" max="14418" width="11.5703125" bestFit="1" customWidth="1"/>
    <col min="14419" max="14419" width="10.42578125" bestFit="1" customWidth="1"/>
    <col min="14420" max="14420" width="7.7109375" bestFit="1" customWidth="1"/>
    <col min="14421" max="14421" width="11.5703125" bestFit="1" customWidth="1"/>
    <col min="14422" max="14422" width="10.85546875" bestFit="1" customWidth="1"/>
    <col min="14423" max="14423" width="13.28515625" bestFit="1" customWidth="1"/>
    <col min="14424" max="14424" width="10.85546875" bestFit="1" customWidth="1"/>
    <col min="14425" max="14426" width="7.5703125" bestFit="1" customWidth="1"/>
    <col min="14427" max="14428" width="10.42578125" bestFit="1" customWidth="1"/>
    <col min="14429" max="14429" width="11.5703125" bestFit="1" customWidth="1"/>
    <col min="14430" max="14430" width="5.28515625" bestFit="1" customWidth="1"/>
    <col min="14431" max="14431" width="10.28515625" bestFit="1" customWidth="1"/>
    <col min="14432" max="14432" width="10.42578125" bestFit="1" customWidth="1"/>
    <col min="14433" max="14433" width="11.5703125" bestFit="1" customWidth="1"/>
    <col min="14434" max="14434" width="5.28515625" bestFit="1" customWidth="1"/>
    <col min="14435" max="14437" width="11.5703125" bestFit="1" customWidth="1"/>
    <col min="14438" max="14438" width="5.28515625" bestFit="1" customWidth="1"/>
    <col min="14439" max="14440" width="10.42578125" bestFit="1" customWidth="1"/>
    <col min="14441" max="14441" width="11.5703125" bestFit="1" customWidth="1"/>
    <col min="14442" max="14442" width="5.28515625" bestFit="1" customWidth="1"/>
    <col min="14443" max="14443" width="14.28515625" bestFit="1" customWidth="1"/>
    <col min="14444" max="14444" width="13" bestFit="1" customWidth="1"/>
    <col min="14445" max="14445" width="11.5703125" bestFit="1" customWidth="1"/>
    <col min="14446" max="14446" width="8.85546875" bestFit="1" customWidth="1"/>
    <col min="14447" max="14447" width="14.42578125" bestFit="1" customWidth="1"/>
    <col min="14448" max="14448" width="10.42578125" bestFit="1" customWidth="1"/>
    <col min="14449" max="14449" width="12.28515625" bestFit="1" customWidth="1"/>
    <col min="14450" max="14450" width="13.85546875" bestFit="1" customWidth="1"/>
    <col min="14451" max="14451" width="11.28515625" customWidth="1"/>
    <col min="14452" max="14452" width="11.5703125" customWidth="1"/>
    <col min="14453" max="14453" width="13.42578125" bestFit="1" customWidth="1"/>
    <col min="14454" max="14454" width="10.42578125" customWidth="1"/>
    <col min="14455" max="14455" width="13.85546875" bestFit="1" customWidth="1"/>
    <col min="14456" max="14456" width="15.42578125" bestFit="1" customWidth="1"/>
    <col min="14457" max="14457" width="12.28515625" bestFit="1" customWidth="1"/>
    <col min="14458" max="14458" width="12.7109375" customWidth="1"/>
    <col min="14459" max="14459" width="10.7109375" bestFit="1" customWidth="1"/>
    <col min="14460" max="14460" width="9.85546875" customWidth="1"/>
    <col min="14461" max="14462" width="10.140625" bestFit="1" customWidth="1"/>
    <col min="14463" max="14463" width="7.5703125" bestFit="1" customWidth="1"/>
    <col min="14464" max="14464" width="9.42578125" bestFit="1" customWidth="1"/>
    <col min="14465" max="14465" width="14.5703125" bestFit="1" customWidth="1"/>
    <col min="14466" max="14466" width="14.85546875" customWidth="1"/>
    <col min="14467" max="14467" width="15.140625" bestFit="1" customWidth="1"/>
    <col min="14468" max="14468" width="12.140625" bestFit="1" customWidth="1"/>
    <col min="14469" max="14469" width="14.85546875" bestFit="1" customWidth="1"/>
    <col min="14470" max="14470" width="12.28515625" bestFit="1" customWidth="1"/>
    <col min="14471" max="14479" width="9.140625" hidden="1" customWidth="1"/>
    <col min="14480" max="14480" width="5.28515625" bestFit="1" customWidth="1"/>
    <col min="14481" max="14486" width="11.5703125" bestFit="1" customWidth="1"/>
    <col min="14487" max="14487" width="11.28515625" bestFit="1" customWidth="1"/>
    <col min="14488" max="14488" width="10.140625" bestFit="1" customWidth="1"/>
    <col min="14489" max="14489" width="11.5703125" bestFit="1" customWidth="1"/>
    <col min="14490" max="14490" width="16.140625" customWidth="1"/>
    <col min="14491" max="14491" width="13.42578125" customWidth="1"/>
    <col min="14492" max="14492" width="10.140625" bestFit="1" customWidth="1"/>
    <col min="14493" max="14493" width="12.85546875" bestFit="1" customWidth="1"/>
    <col min="14494" max="14494" width="12.28515625" bestFit="1" customWidth="1"/>
    <col min="14495" max="14495" width="11.28515625" bestFit="1" customWidth="1"/>
    <col min="14496" max="14496" width="11.5703125" bestFit="1" customWidth="1"/>
    <col min="14497" max="14497" width="10.85546875" bestFit="1" customWidth="1"/>
    <col min="14498" max="14498" width="11.28515625" bestFit="1" customWidth="1"/>
    <col min="14499" max="14499" width="10.140625" bestFit="1" customWidth="1"/>
    <col min="14500" max="14500" width="13.28515625" bestFit="1" customWidth="1"/>
    <col min="14501" max="14502" width="12.7109375" bestFit="1" customWidth="1"/>
    <col min="14503" max="14503" width="11" bestFit="1" customWidth="1"/>
    <col min="14504" max="14504" width="11.28515625" bestFit="1" customWidth="1"/>
    <col min="14505" max="14505" width="11.5703125" bestFit="1" customWidth="1"/>
    <col min="14506" max="14506" width="12.28515625" bestFit="1" customWidth="1"/>
    <col min="14507" max="14507" width="15.140625" bestFit="1" customWidth="1"/>
    <col min="14508" max="14508" width="14.42578125" bestFit="1" customWidth="1"/>
    <col min="14509" max="14509" width="12.28515625" bestFit="1" customWidth="1"/>
    <col min="14510" max="14510" width="15.140625" bestFit="1" customWidth="1"/>
    <col min="14511" max="14511" width="14.42578125" bestFit="1" customWidth="1"/>
    <col min="14512" max="14512" width="12.28515625" bestFit="1" customWidth="1"/>
    <col min="14513" max="14513" width="14.42578125" bestFit="1" customWidth="1"/>
    <col min="14514" max="14514" width="11.28515625" bestFit="1" customWidth="1"/>
    <col min="14515" max="14515" width="12.28515625" bestFit="1" customWidth="1"/>
    <col min="14516" max="14516" width="13" bestFit="1" customWidth="1"/>
    <col min="14517" max="14517" width="15.140625" bestFit="1" customWidth="1"/>
    <col min="14518" max="14518" width="12.28515625" bestFit="1" customWidth="1"/>
    <col min="14519" max="14519" width="13.85546875" bestFit="1" customWidth="1"/>
    <col min="14520" max="14520" width="11.28515625" bestFit="1" customWidth="1"/>
    <col min="14521" max="14521" width="12.28515625" bestFit="1" customWidth="1"/>
    <col min="14522" max="14522" width="13.85546875" bestFit="1" customWidth="1"/>
    <col min="14523" max="14524" width="15.140625" bestFit="1" customWidth="1"/>
    <col min="14525" max="14525" width="12.28515625" bestFit="1" customWidth="1"/>
    <col min="14526" max="14526" width="5.7109375" bestFit="1" customWidth="1"/>
    <col min="14527" max="14527" width="8.5703125" bestFit="1" customWidth="1"/>
    <col min="14528" max="14528" width="5.5703125" bestFit="1" customWidth="1"/>
    <col min="14529" max="14529" width="14.42578125" bestFit="1" customWidth="1"/>
    <col min="14530" max="14530" width="11.28515625" bestFit="1" customWidth="1"/>
    <col min="14531" max="14532" width="12.28515625" bestFit="1" customWidth="1"/>
    <col min="14533" max="14533" width="11.28515625" bestFit="1" customWidth="1"/>
    <col min="14534" max="14534" width="13.85546875" bestFit="1" customWidth="1"/>
    <col min="14535" max="14535" width="12" bestFit="1" customWidth="1"/>
    <col min="14536" max="14536" width="13.85546875" bestFit="1" customWidth="1"/>
    <col min="14537" max="14538" width="14.42578125" customWidth="1"/>
    <col min="14539" max="14539" width="10.140625" bestFit="1" customWidth="1"/>
    <col min="14540" max="14540" width="12.28515625" bestFit="1" customWidth="1"/>
    <col min="14541" max="14541" width="7.42578125" bestFit="1" customWidth="1"/>
    <col min="14542" max="14542" width="8.5703125" bestFit="1" customWidth="1"/>
    <col min="14543" max="14543" width="11.5703125" bestFit="1" customWidth="1"/>
    <col min="14544" max="14544" width="13.28515625" bestFit="1" customWidth="1"/>
    <col min="14545" max="14545" width="13.28515625" customWidth="1"/>
    <col min="14546" max="14546" width="13.140625" customWidth="1"/>
    <col min="14547" max="14547" width="12.7109375" bestFit="1" customWidth="1"/>
    <col min="14548" max="14548" width="13.28515625" bestFit="1" customWidth="1"/>
    <col min="14549" max="14551" width="13.28515625" customWidth="1"/>
    <col min="14552" max="14552" width="12.140625" bestFit="1" customWidth="1"/>
    <col min="14553" max="14553" width="12.7109375" bestFit="1" customWidth="1"/>
    <col min="14554" max="14554" width="11" customWidth="1"/>
    <col min="14555" max="14555" width="16.7109375" customWidth="1"/>
    <col min="14556" max="14556" width="17" customWidth="1"/>
    <col min="14557" max="14557" width="10.42578125" bestFit="1" customWidth="1"/>
    <col min="14601" max="14601" width="3.85546875" customWidth="1"/>
    <col min="14602" max="14602" width="15.28515625" bestFit="1" customWidth="1"/>
    <col min="14603" max="14603" width="12.28515625" customWidth="1"/>
    <col min="14604" max="14604" width="16.28515625" bestFit="1" customWidth="1"/>
    <col min="14605" max="14605" width="6.42578125" bestFit="1" customWidth="1"/>
    <col min="14606" max="14606" width="9.28515625" bestFit="1" customWidth="1"/>
    <col min="14607" max="14607" width="7.5703125" bestFit="1" customWidth="1"/>
    <col min="14608" max="14608" width="13.28515625" bestFit="1" customWidth="1"/>
    <col min="14609" max="14609" width="9.28515625" bestFit="1" customWidth="1"/>
    <col min="14610" max="14610" width="11.5703125" bestFit="1" customWidth="1"/>
    <col min="14611" max="14611" width="13.28515625" bestFit="1" customWidth="1"/>
    <col min="14612" max="14612" width="7.140625" bestFit="1" customWidth="1"/>
    <col min="14613" max="14613" width="12" bestFit="1" customWidth="1"/>
    <col min="14614" max="14614" width="13.28515625" bestFit="1" customWidth="1"/>
    <col min="14615" max="14615" width="7" bestFit="1" customWidth="1"/>
    <col min="14616" max="14616" width="12.7109375" bestFit="1" customWidth="1"/>
    <col min="14617" max="14617" width="11.5703125" bestFit="1" customWidth="1"/>
    <col min="14618" max="14618" width="10.5703125" bestFit="1" customWidth="1"/>
    <col min="14619" max="14620" width="15.7109375" bestFit="1" customWidth="1"/>
    <col min="14621" max="14621" width="11.5703125" bestFit="1" customWidth="1"/>
    <col min="14622" max="14622" width="7.7109375" bestFit="1" customWidth="1"/>
    <col min="14623" max="14623" width="15.140625" bestFit="1" customWidth="1"/>
    <col min="14624" max="14624" width="11.5703125" bestFit="1" customWidth="1"/>
    <col min="14625" max="14625" width="13.28515625" bestFit="1" customWidth="1"/>
    <col min="14626" max="14626" width="10.42578125" bestFit="1" customWidth="1"/>
    <col min="14627" max="14627" width="13.28515625" bestFit="1" customWidth="1"/>
    <col min="14628" max="14628" width="12.140625" bestFit="1" customWidth="1"/>
    <col min="14629" max="14629" width="14.42578125" bestFit="1" customWidth="1"/>
    <col min="14630" max="14630" width="13.28515625" bestFit="1" customWidth="1"/>
    <col min="14631" max="14631" width="11.5703125" bestFit="1" customWidth="1"/>
    <col min="14632" max="14632" width="7.7109375" bestFit="1" customWidth="1"/>
    <col min="14633" max="14634" width="14.42578125" bestFit="1" customWidth="1"/>
    <col min="14635" max="14635" width="11.5703125" bestFit="1" customWidth="1"/>
    <col min="14636" max="14636" width="7.7109375" bestFit="1" customWidth="1"/>
    <col min="14637" max="14637" width="13.5703125" customWidth="1"/>
    <col min="14638" max="14638" width="15.28515625" customWidth="1"/>
    <col min="14639" max="14639" width="14.5703125" customWidth="1"/>
    <col min="14640" max="14640" width="13.28515625" bestFit="1" customWidth="1"/>
    <col min="14641" max="14641" width="7.7109375" bestFit="1" customWidth="1"/>
    <col min="14642" max="14642" width="12.7109375" bestFit="1" customWidth="1"/>
    <col min="14643" max="14643" width="11.7109375" bestFit="1" customWidth="1"/>
    <col min="14644" max="14644" width="11.5703125" bestFit="1" customWidth="1"/>
    <col min="14645" max="14645" width="5.28515625" bestFit="1" customWidth="1"/>
    <col min="14646" max="14646" width="13.28515625" bestFit="1" customWidth="1"/>
    <col min="14647" max="14647" width="13.5703125" bestFit="1" customWidth="1"/>
    <col min="14648" max="14648" width="10.5703125" bestFit="1" customWidth="1"/>
    <col min="14649" max="14649" width="13.28515625" bestFit="1" customWidth="1"/>
    <col min="14650" max="14650" width="11.5703125" bestFit="1" customWidth="1"/>
    <col min="14651" max="14651" width="10.5703125" bestFit="1" customWidth="1"/>
    <col min="14652" max="14652" width="16.140625" bestFit="1" customWidth="1"/>
    <col min="14653" max="14654" width="11.28515625" bestFit="1" customWidth="1"/>
    <col min="14655" max="14655" width="13.28515625" bestFit="1" customWidth="1"/>
    <col min="14656" max="14656" width="7.7109375" bestFit="1" customWidth="1"/>
    <col min="14657" max="14660" width="9.140625" hidden="1" customWidth="1"/>
    <col min="14661" max="14661" width="10.42578125" bestFit="1" customWidth="1"/>
    <col min="14662" max="14662" width="10.5703125" bestFit="1" customWidth="1"/>
    <col min="14663" max="14663" width="10.42578125" bestFit="1" customWidth="1"/>
    <col min="14664" max="14664" width="10.5703125" bestFit="1" customWidth="1"/>
    <col min="14665" max="14665" width="9.5703125" bestFit="1" customWidth="1"/>
    <col min="14666" max="14666" width="11.5703125" bestFit="1" customWidth="1"/>
    <col min="14667" max="14667" width="10.42578125" bestFit="1" customWidth="1"/>
    <col min="14668" max="14668" width="10.85546875" customWidth="1"/>
    <col min="14669" max="14670" width="9.85546875" bestFit="1" customWidth="1"/>
    <col min="14671" max="14671" width="13.5703125" bestFit="1" customWidth="1"/>
    <col min="14672" max="14672" width="7.7109375" bestFit="1" customWidth="1"/>
    <col min="14673" max="14673" width="13.28515625" bestFit="1" customWidth="1"/>
    <col min="14674" max="14674" width="11.5703125" bestFit="1" customWidth="1"/>
    <col min="14675" max="14675" width="10.42578125" bestFit="1" customWidth="1"/>
    <col min="14676" max="14676" width="7.7109375" bestFit="1" customWidth="1"/>
    <col min="14677" max="14677" width="11.5703125" bestFit="1" customWidth="1"/>
    <col min="14678" max="14678" width="10.85546875" bestFit="1" customWidth="1"/>
    <col min="14679" max="14679" width="13.28515625" bestFit="1" customWidth="1"/>
    <col min="14680" max="14680" width="10.85546875" bestFit="1" customWidth="1"/>
    <col min="14681" max="14682" width="7.5703125" bestFit="1" customWidth="1"/>
    <col min="14683" max="14684" width="10.42578125" bestFit="1" customWidth="1"/>
    <col min="14685" max="14685" width="11.5703125" bestFit="1" customWidth="1"/>
    <col min="14686" max="14686" width="5.28515625" bestFit="1" customWidth="1"/>
    <col min="14687" max="14687" width="10.28515625" bestFit="1" customWidth="1"/>
    <col min="14688" max="14688" width="10.42578125" bestFit="1" customWidth="1"/>
    <col min="14689" max="14689" width="11.5703125" bestFit="1" customWidth="1"/>
    <col min="14690" max="14690" width="5.28515625" bestFit="1" customWidth="1"/>
    <col min="14691" max="14693" width="11.5703125" bestFit="1" customWidth="1"/>
    <col min="14694" max="14694" width="5.28515625" bestFit="1" customWidth="1"/>
    <col min="14695" max="14696" width="10.42578125" bestFit="1" customWidth="1"/>
    <col min="14697" max="14697" width="11.5703125" bestFit="1" customWidth="1"/>
    <col min="14698" max="14698" width="5.28515625" bestFit="1" customWidth="1"/>
    <col min="14699" max="14699" width="14.28515625" bestFit="1" customWidth="1"/>
    <col min="14700" max="14700" width="13" bestFit="1" customWidth="1"/>
    <col min="14701" max="14701" width="11.5703125" bestFit="1" customWidth="1"/>
    <col min="14702" max="14702" width="8.85546875" bestFit="1" customWidth="1"/>
    <col min="14703" max="14703" width="14.42578125" bestFit="1" customWidth="1"/>
    <col min="14704" max="14704" width="10.42578125" bestFit="1" customWidth="1"/>
    <col min="14705" max="14705" width="12.28515625" bestFit="1" customWidth="1"/>
    <col min="14706" max="14706" width="13.85546875" bestFit="1" customWidth="1"/>
    <col min="14707" max="14707" width="11.28515625" customWidth="1"/>
    <col min="14708" max="14708" width="11.5703125" customWidth="1"/>
    <col min="14709" max="14709" width="13.42578125" bestFit="1" customWidth="1"/>
    <col min="14710" max="14710" width="10.42578125" customWidth="1"/>
    <col min="14711" max="14711" width="13.85546875" bestFit="1" customWidth="1"/>
    <col min="14712" max="14712" width="15.42578125" bestFit="1" customWidth="1"/>
    <col min="14713" max="14713" width="12.28515625" bestFit="1" customWidth="1"/>
    <col min="14714" max="14714" width="12.7109375" customWidth="1"/>
    <col min="14715" max="14715" width="10.7109375" bestFit="1" customWidth="1"/>
    <col min="14716" max="14716" width="9.85546875" customWidth="1"/>
    <col min="14717" max="14718" width="10.140625" bestFit="1" customWidth="1"/>
    <col min="14719" max="14719" width="7.5703125" bestFit="1" customWidth="1"/>
    <col min="14720" max="14720" width="9.42578125" bestFit="1" customWidth="1"/>
    <col min="14721" max="14721" width="14.5703125" bestFit="1" customWidth="1"/>
    <col min="14722" max="14722" width="14.85546875" customWidth="1"/>
    <col min="14723" max="14723" width="15.140625" bestFit="1" customWidth="1"/>
    <col min="14724" max="14724" width="12.140625" bestFit="1" customWidth="1"/>
    <col min="14725" max="14725" width="14.85546875" bestFit="1" customWidth="1"/>
    <col min="14726" max="14726" width="12.28515625" bestFit="1" customWidth="1"/>
    <col min="14727" max="14735" width="9.140625" hidden="1" customWidth="1"/>
    <col min="14736" max="14736" width="5.28515625" bestFit="1" customWidth="1"/>
    <col min="14737" max="14742" width="11.5703125" bestFit="1" customWidth="1"/>
    <col min="14743" max="14743" width="11.28515625" bestFit="1" customWidth="1"/>
    <col min="14744" max="14744" width="10.140625" bestFit="1" customWidth="1"/>
    <col min="14745" max="14745" width="11.5703125" bestFit="1" customWidth="1"/>
    <col min="14746" max="14746" width="16.140625" customWidth="1"/>
    <col min="14747" max="14747" width="13.42578125" customWidth="1"/>
    <col min="14748" max="14748" width="10.140625" bestFit="1" customWidth="1"/>
    <col min="14749" max="14749" width="12.85546875" bestFit="1" customWidth="1"/>
    <col min="14750" max="14750" width="12.28515625" bestFit="1" customWidth="1"/>
    <col min="14751" max="14751" width="11.28515625" bestFit="1" customWidth="1"/>
    <col min="14752" max="14752" width="11.5703125" bestFit="1" customWidth="1"/>
    <col min="14753" max="14753" width="10.85546875" bestFit="1" customWidth="1"/>
    <col min="14754" max="14754" width="11.28515625" bestFit="1" customWidth="1"/>
    <col min="14755" max="14755" width="10.140625" bestFit="1" customWidth="1"/>
    <col min="14756" max="14756" width="13.28515625" bestFit="1" customWidth="1"/>
    <col min="14757" max="14758" width="12.7109375" bestFit="1" customWidth="1"/>
    <col min="14759" max="14759" width="11" bestFit="1" customWidth="1"/>
    <col min="14760" max="14760" width="11.28515625" bestFit="1" customWidth="1"/>
    <col min="14761" max="14761" width="11.5703125" bestFit="1" customWidth="1"/>
    <col min="14762" max="14762" width="12.28515625" bestFit="1" customWidth="1"/>
    <col min="14763" max="14763" width="15.140625" bestFit="1" customWidth="1"/>
    <col min="14764" max="14764" width="14.42578125" bestFit="1" customWidth="1"/>
    <col min="14765" max="14765" width="12.28515625" bestFit="1" customWidth="1"/>
    <col min="14766" max="14766" width="15.140625" bestFit="1" customWidth="1"/>
    <col min="14767" max="14767" width="14.42578125" bestFit="1" customWidth="1"/>
    <col min="14768" max="14768" width="12.28515625" bestFit="1" customWidth="1"/>
    <col min="14769" max="14769" width="14.42578125" bestFit="1" customWidth="1"/>
    <col min="14770" max="14770" width="11.28515625" bestFit="1" customWidth="1"/>
    <col min="14771" max="14771" width="12.28515625" bestFit="1" customWidth="1"/>
    <col min="14772" max="14772" width="13" bestFit="1" customWidth="1"/>
    <col min="14773" max="14773" width="15.140625" bestFit="1" customWidth="1"/>
    <col min="14774" max="14774" width="12.28515625" bestFit="1" customWidth="1"/>
    <col min="14775" max="14775" width="13.85546875" bestFit="1" customWidth="1"/>
    <col min="14776" max="14776" width="11.28515625" bestFit="1" customWidth="1"/>
    <col min="14777" max="14777" width="12.28515625" bestFit="1" customWidth="1"/>
    <col min="14778" max="14778" width="13.85546875" bestFit="1" customWidth="1"/>
    <col min="14779" max="14780" width="15.140625" bestFit="1" customWidth="1"/>
    <col min="14781" max="14781" width="12.28515625" bestFit="1" customWidth="1"/>
    <col min="14782" max="14782" width="5.7109375" bestFit="1" customWidth="1"/>
    <col min="14783" max="14783" width="8.5703125" bestFit="1" customWidth="1"/>
    <col min="14784" max="14784" width="5.5703125" bestFit="1" customWidth="1"/>
    <col min="14785" max="14785" width="14.42578125" bestFit="1" customWidth="1"/>
    <col min="14786" max="14786" width="11.28515625" bestFit="1" customWidth="1"/>
    <col min="14787" max="14788" width="12.28515625" bestFit="1" customWidth="1"/>
    <col min="14789" max="14789" width="11.28515625" bestFit="1" customWidth="1"/>
    <col min="14790" max="14790" width="13.85546875" bestFit="1" customWidth="1"/>
    <col min="14791" max="14791" width="12" bestFit="1" customWidth="1"/>
    <col min="14792" max="14792" width="13.85546875" bestFit="1" customWidth="1"/>
    <col min="14793" max="14794" width="14.42578125" customWidth="1"/>
    <col min="14795" max="14795" width="10.140625" bestFit="1" customWidth="1"/>
    <col min="14796" max="14796" width="12.28515625" bestFit="1" customWidth="1"/>
    <col min="14797" max="14797" width="7.42578125" bestFit="1" customWidth="1"/>
    <col min="14798" max="14798" width="8.5703125" bestFit="1" customWidth="1"/>
    <col min="14799" max="14799" width="11.5703125" bestFit="1" customWidth="1"/>
    <col min="14800" max="14800" width="13.28515625" bestFit="1" customWidth="1"/>
    <col min="14801" max="14801" width="13.28515625" customWidth="1"/>
    <col min="14802" max="14802" width="13.140625" customWidth="1"/>
    <col min="14803" max="14803" width="12.7109375" bestFit="1" customWidth="1"/>
    <col min="14804" max="14804" width="13.28515625" bestFit="1" customWidth="1"/>
    <col min="14805" max="14807" width="13.28515625" customWidth="1"/>
    <col min="14808" max="14808" width="12.140625" bestFit="1" customWidth="1"/>
    <col min="14809" max="14809" width="12.7109375" bestFit="1" customWidth="1"/>
    <col min="14810" max="14810" width="11" customWidth="1"/>
    <col min="14811" max="14811" width="16.7109375" customWidth="1"/>
    <col min="14812" max="14812" width="17" customWidth="1"/>
    <col min="14813" max="14813" width="10.42578125" bestFit="1" customWidth="1"/>
    <col min="14857" max="14857" width="3.85546875" customWidth="1"/>
    <col min="14858" max="14858" width="15.28515625" bestFit="1" customWidth="1"/>
    <col min="14859" max="14859" width="12.28515625" customWidth="1"/>
    <col min="14860" max="14860" width="16.28515625" bestFit="1" customWidth="1"/>
    <col min="14861" max="14861" width="6.42578125" bestFit="1" customWidth="1"/>
    <col min="14862" max="14862" width="9.28515625" bestFit="1" customWidth="1"/>
    <col min="14863" max="14863" width="7.5703125" bestFit="1" customWidth="1"/>
    <col min="14864" max="14864" width="13.28515625" bestFit="1" customWidth="1"/>
    <col min="14865" max="14865" width="9.28515625" bestFit="1" customWidth="1"/>
    <col min="14866" max="14866" width="11.5703125" bestFit="1" customWidth="1"/>
    <col min="14867" max="14867" width="13.28515625" bestFit="1" customWidth="1"/>
    <col min="14868" max="14868" width="7.140625" bestFit="1" customWidth="1"/>
    <col min="14869" max="14869" width="12" bestFit="1" customWidth="1"/>
    <col min="14870" max="14870" width="13.28515625" bestFit="1" customWidth="1"/>
    <col min="14871" max="14871" width="7" bestFit="1" customWidth="1"/>
    <col min="14872" max="14872" width="12.7109375" bestFit="1" customWidth="1"/>
    <col min="14873" max="14873" width="11.5703125" bestFit="1" customWidth="1"/>
    <col min="14874" max="14874" width="10.5703125" bestFit="1" customWidth="1"/>
    <col min="14875" max="14876" width="15.7109375" bestFit="1" customWidth="1"/>
    <col min="14877" max="14877" width="11.5703125" bestFit="1" customWidth="1"/>
    <col min="14878" max="14878" width="7.7109375" bestFit="1" customWidth="1"/>
    <col min="14879" max="14879" width="15.140625" bestFit="1" customWidth="1"/>
    <col min="14880" max="14880" width="11.5703125" bestFit="1" customWidth="1"/>
    <col min="14881" max="14881" width="13.28515625" bestFit="1" customWidth="1"/>
    <col min="14882" max="14882" width="10.42578125" bestFit="1" customWidth="1"/>
    <col min="14883" max="14883" width="13.28515625" bestFit="1" customWidth="1"/>
    <col min="14884" max="14884" width="12.140625" bestFit="1" customWidth="1"/>
    <col min="14885" max="14885" width="14.42578125" bestFit="1" customWidth="1"/>
    <col min="14886" max="14886" width="13.28515625" bestFit="1" customWidth="1"/>
    <col min="14887" max="14887" width="11.5703125" bestFit="1" customWidth="1"/>
    <col min="14888" max="14888" width="7.7109375" bestFit="1" customWidth="1"/>
    <col min="14889" max="14890" width="14.42578125" bestFit="1" customWidth="1"/>
    <col min="14891" max="14891" width="11.5703125" bestFit="1" customWidth="1"/>
    <col min="14892" max="14892" width="7.7109375" bestFit="1" customWidth="1"/>
    <col min="14893" max="14893" width="13.5703125" customWidth="1"/>
    <col min="14894" max="14894" width="15.28515625" customWidth="1"/>
    <col min="14895" max="14895" width="14.5703125" customWidth="1"/>
    <col min="14896" max="14896" width="13.28515625" bestFit="1" customWidth="1"/>
    <col min="14897" max="14897" width="7.7109375" bestFit="1" customWidth="1"/>
    <col min="14898" max="14898" width="12.7109375" bestFit="1" customWidth="1"/>
    <col min="14899" max="14899" width="11.7109375" bestFit="1" customWidth="1"/>
    <col min="14900" max="14900" width="11.5703125" bestFit="1" customWidth="1"/>
    <col min="14901" max="14901" width="5.28515625" bestFit="1" customWidth="1"/>
    <col min="14902" max="14902" width="13.28515625" bestFit="1" customWidth="1"/>
    <col min="14903" max="14903" width="13.5703125" bestFit="1" customWidth="1"/>
    <col min="14904" max="14904" width="10.5703125" bestFit="1" customWidth="1"/>
    <col min="14905" max="14905" width="13.28515625" bestFit="1" customWidth="1"/>
    <col min="14906" max="14906" width="11.5703125" bestFit="1" customWidth="1"/>
    <col min="14907" max="14907" width="10.5703125" bestFit="1" customWidth="1"/>
    <col min="14908" max="14908" width="16.140625" bestFit="1" customWidth="1"/>
    <col min="14909" max="14910" width="11.28515625" bestFit="1" customWidth="1"/>
    <col min="14911" max="14911" width="13.28515625" bestFit="1" customWidth="1"/>
    <col min="14912" max="14912" width="7.7109375" bestFit="1" customWidth="1"/>
    <col min="14913" max="14916" width="9.140625" hidden="1" customWidth="1"/>
    <col min="14917" max="14917" width="10.42578125" bestFit="1" customWidth="1"/>
    <col min="14918" max="14918" width="10.5703125" bestFit="1" customWidth="1"/>
    <col min="14919" max="14919" width="10.42578125" bestFit="1" customWidth="1"/>
    <col min="14920" max="14920" width="10.5703125" bestFit="1" customWidth="1"/>
    <col min="14921" max="14921" width="9.5703125" bestFit="1" customWidth="1"/>
    <col min="14922" max="14922" width="11.5703125" bestFit="1" customWidth="1"/>
    <col min="14923" max="14923" width="10.42578125" bestFit="1" customWidth="1"/>
    <col min="14924" max="14924" width="10.85546875" customWidth="1"/>
    <col min="14925" max="14926" width="9.85546875" bestFit="1" customWidth="1"/>
    <col min="14927" max="14927" width="13.5703125" bestFit="1" customWidth="1"/>
    <col min="14928" max="14928" width="7.7109375" bestFit="1" customWidth="1"/>
    <col min="14929" max="14929" width="13.28515625" bestFit="1" customWidth="1"/>
    <col min="14930" max="14930" width="11.5703125" bestFit="1" customWidth="1"/>
    <col min="14931" max="14931" width="10.42578125" bestFit="1" customWidth="1"/>
    <col min="14932" max="14932" width="7.7109375" bestFit="1" customWidth="1"/>
    <col min="14933" max="14933" width="11.5703125" bestFit="1" customWidth="1"/>
    <col min="14934" max="14934" width="10.85546875" bestFit="1" customWidth="1"/>
    <col min="14935" max="14935" width="13.28515625" bestFit="1" customWidth="1"/>
    <col min="14936" max="14936" width="10.85546875" bestFit="1" customWidth="1"/>
    <col min="14937" max="14938" width="7.5703125" bestFit="1" customWidth="1"/>
    <col min="14939" max="14940" width="10.42578125" bestFit="1" customWidth="1"/>
    <col min="14941" max="14941" width="11.5703125" bestFit="1" customWidth="1"/>
    <col min="14942" max="14942" width="5.28515625" bestFit="1" customWidth="1"/>
    <col min="14943" max="14943" width="10.28515625" bestFit="1" customWidth="1"/>
    <col min="14944" max="14944" width="10.42578125" bestFit="1" customWidth="1"/>
    <col min="14945" max="14945" width="11.5703125" bestFit="1" customWidth="1"/>
    <col min="14946" max="14946" width="5.28515625" bestFit="1" customWidth="1"/>
    <col min="14947" max="14949" width="11.5703125" bestFit="1" customWidth="1"/>
    <col min="14950" max="14950" width="5.28515625" bestFit="1" customWidth="1"/>
    <col min="14951" max="14952" width="10.42578125" bestFit="1" customWidth="1"/>
    <col min="14953" max="14953" width="11.5703125" bestFit="1" customWidth="1"/>
    <col min="14954" max="14954" width="5.28515625" bestFit="1" customWidth="1"/>
    <col min="14955" max="14955" width="14.28515625" bestFit="1" customWidth="1"/>
    <col min="14956" max="14956" width="13" bestFit="1" customWidth="1"/>
    <col min="14957" max="14957" width="11.5703125" bestFit="1" customWidth="1"/>
    <col min="14958" max="14958" width="8.85546875" bestFit="1" customWidth="1"/>
    <col min="14959" max="14959" width="14.42578125" bestFit="1" customWidth="1"/>
    <col min="14960" max="14960" width="10.42578125" bestFit="1" customWidth="1"/>
    <col min="14961" max="14961" width="12.28515625" bestFit="1" customWidth="1"/>
    <col min="14962" max="14962" width="13.85546875" bestFit="1" customWidth="1"/>
    <col min="14963" max="14963" width="11.28515625" customWidth="1"/>
    <col min="14964" max="14964" width="11.5703125" customWidth="1"/>
    <col min="14965" max="14965" width="13.42578125" bestFit="1" customWidth="1"/>
    <col min="14966" max="14966" width="10.42578125" customWidth="1"/>
    <col min="14967" max="14967" width="13.85546875" bestFit="1" customWidth="1"/>
    <col min="14968" max="14968" width="15.42578125" bestFit="1" customWidth="1"/>
    <col min="14969" max="14969" width="12.28515625" bestFit="1" customWidth="1"/>
    <col min="14970" max="14970" width="12.7109375" customWidth="1"/>
    <col min="14971" max="14971" width="10.7109375" bestFit="1" customWidth="1"/>
    <col min="14972" max="14972" width="9.85546875" customWidth="1"/>
    <col min="14973" max="14974" width="10.140625" bestFit="1" customWidth="1"/>
    <col min="14975" max="14975" width="7.5703125" bestFit="1" customWidth="1"/>
    <col min="14976" max="14976" width="9.42578125" bestFit="1" customWidth="1"/>
    <col min="14977" max="14977" width="14.5703125" bestFit="1" customWidth="1"/>
    <col min="14978" max="14978" width="14.85546875" customWidth="1"/>
    <col min="14979" max="14979" width="15.140625" bestFit="1" customWidth="1"/>
    <col min="14980" max="14980" width="12.140625" bestFit="1" customWidth="1"/>
    <col min="14981" max="14981" width="14.85546875" bestFit="1" customWidth="1"/>
    <col min="14982" max="14982" width="12.28515625" bestFit="1" customWidth="1"/>
    <col min="14983" max="14991" width="9.140625" hidden="1" customWidth="1"/>
    <col min="14992" max="14992" width="5.28515625" bestFit="1" customWidth="1"/>
    <col min="14993" max="14998" width="11.5703125" bestFit="1" customWidth="1"/>
    <col min="14999" max="14999" width="11.28515625" bestFit="1" customWidth="1"/>
    <col min="15000" max="15000" width="10.140625" bestFit="1" customWidth="1"/>
    <col min="15001" max="15001" width="11.5703125" bestFit="1" customWidth="1"/>
    <col min="15002" max="15002" width="16.140625" customWidth="1"/>
    <col min="15003" max="15003" width="13.42578125" customWidth="1"/>
    <col min="15004" max="15004" width="10.140625" bestFit="1" customWidth="1"/>
    <col min="15005" max="15005" width="12.85546875" bestFit="1" customWidth="1"/>
    <col min="15006" max="15006" width="12.28515625" bestFit="1" customWidth="1"/>
    <col min="15007" max="15007" width="11.28515625" bestFit="1" customWidth="1"/>
    <col min="15008" max="15008" width="11.5703125" bestFit="1" customWidth="1"/>
    <col min="15009" max="15009" width="10.85546875" bestFit="1" customWidth="1"/>
    <col min="15010" max="15010" width="11.28515625" bestFit="1" customWidth="1"/>
    <col min="15011" max="15011" width="10.140625" bestFit="1" customWidth="1"/>
    <col min="15012" max="15012" width="13.28515625" bestFit="1" customWidth="1"/>
    <col min="15013" max="15014" width="12.7109375" bestFit="1" customWidth="1"/>
    <col min="15015" max="15015" width="11" bestFit="1" customWidth="1"/>
    <col min="15016" max="15016" width="11.28515625" bestFit="1" customWidth="1"/>
    <col min="15017" max="15017" width="11.5703125" bestFit="1" customWidth="1"/>
    <col min="15018" max="15018" width="12.28515625" bestFit="1" customWidth="1"/>
    <col min="15019" max="15019" width="15.140625" bestFit="1" customWidth="1"/>
    <col min="15020" max="15020" width="14.42578125" bestFit="1" customWidth="1"/>
    <col min="15021" max="15021" width="12.28515625" bestFit="1" customWidth="1"/>
    <col min="15022" max="15022" width="15.140625" bestFit="1" customWidth="1"/>
    <col min="15023" max="15023" width="14.42578125" bestFit="1" customWidth="1"/>
    <col min="15024" max="15024" width="12.28515625" bestFit="1" customWidth="1"/>
    <col min="15025" max="15025" width="14.42578125" bestFit="1" customWidth="1"/>
    <col min="15026" max="15026" width="11.28515625" bestFit="1" customWidth="1"/>
    <col min="15027" max="15027" width="12.28515625" bestFit="1" customWidth="1"/>
    <col min="15028" max="15028" width="13" bestFit="1" customWidth="1"/>
    <col min="15029" max="15029" width="15.140625" bestFit="1" customWidth="1"/>
    <col min="15030" max="15030" width="12.28515625" bestFit="1" customWidth="1"/>
    <col min="15031" max="15031" width="13.85546875" bestFit="1" customWidth="1"/>
    <col min="15032" max="15032" width="11.28515625" bestFit="1" customWidth="1"/>
    <col min="15033" max="15033" width="12.28515625" bestFit="1" customWidth="1"/>
    <col min="15034" max="15034" width="13.85546875" bestFit="1" customWidth="1"/>
    <col min="15035" max="15036" width="15.140625" bestFit="1" customWidth="1"/>
    <col min="15037" max="15037" width="12.28515625" bestFit="1" customWidth="1"/>
    <col min="15038" max="15038" width="5.7109375" bestFit="1" customWidth="1"/>
    <col min="15039" max="15039" width="8.5703125" bestFit="1" customWidth="1"/>
    <col min="15040" max="15040" width="5.5703125" bestFit="1" customWidth="1"/>
    <col min="15041" max="15041" width="14.42578125" bestFit="1" customWidth="1"/>
    <col min="15042" max="15042" width="11.28515625" bestFit="1" customWidth="1"/>
    <col min="15043" max="15044" width="12.28515625" bestFit="1" customWidth="1"/>
    <col min="15045" max="15045" width="11.28515625" bestFit="1" customWidth="1"/>
    <col min="15046" max="15046" width="13.85546875" bestFit="1" customWidth="1"/>
    <col min="15047" max="15047" width="12" bestFit="1" customWidth="1"/>
    <col min="15048" max="15048" width="13.85546875" bestFit="1" customWidth="1"/>
    <col min="15049" max="15050" width="14.42578125" customWidth="1"/>
    <col min="15051" max="15051" width="10.140625" bestFit="1" customWidth="1"/>
    <col min="15052" max="15052" width="12.28515625" bestFit="1" customWidth="1"/>
    <col min="15053" max="15053" width="7.42578125" bestFit="1" customWidth="1"/>
    <col min="15054" max="15054" width="8.5703125" bestFit="1" customWidth="1"/>
    <col min="15055" max="15055" width="11.5703125" bestFit="1" customWidth="1"/>
    <col min="15056" max="15056" width="13.28515625" bestFit="1" customWidth="1"/>
    <col min="15057" max="15057" width="13.28515625" customWidth="1"/>
    <col min="15058" max="15058" width="13.140625" customWidth="1"/>
    <col min="15059" max="15059" width="12.7109375" bestFit="1" customWidth="1"/>
    <col min="15060" max="15060" width="13.28515625" bestFit="1" customWidth="1"/>
    <col min="15061" max="15063" width="13.28515625" customWidth="1"/>
    <col min="15064" max="15064" width="12.140625" bestFit="1" customWidth="1"/>
    <col min="15065" max="15065" width="12.7109375" bestFit="1" customWidth="1"/>
    <col min="15066" max="15066" width="11" customWidth="1"/>
    <col min="15067" max="15067" width="16.7109375" customWidth="1"/>
    <col min="15068" max="15068" width="17" customWidth="1"/>
    <col min="15069" max="15069" width="10.42578125" bestFit="1" customWidth="1"/>
    <col min="15113" max="15113" width="3.85546875" customWidth="1"/>
    <col min="15114" max="15114" width="15.28515625" bestFit="1" customWidth="1"/>
    <col min="15115" max="15115" width="12.28515625" customWidth="1"/>
    <col min="15116" max="15116" width="16.28515625" bestFit="1" customWidth="1"/>
    <col min="15117" max="15117" width="6.42578125" bestFit="1" customWidth="1"/>
    <col min="15118" max="15118" width="9.28515625" bestFit="1" customWidth="1"/>
    <col min="15119" max="15119" width="7.5703125" bestFit="1" customWidth="1"/>
    <col min="15120" max="15120" width="13.28515625" bestFit="1" customWidth="1"/>
    <col min="15121" max="15121" width="9.28515625" bestFit="1" customWidth="1"/>
    <col min="15122" max="15122" width="11.5703125" bestFit="1" customWidth="1"/>
    <col min="15123" max="15123" width="13.28515625" bestFit="1" customWidth="1"/>
    <col min="15124" max="15124" width="7.140625" bestFit="1" customWidth="1"/>
    <col min="15125" max="15125" width="12" bestFit="1" customWidth="1"/>
    <col min="15126" max="15126" width="13.28515625" bestFit="1" customWidth="1"/>
    <col min="15127" max="15127" width="7" bestFit="1" customWidth="1"/>
    <col min="15128" max="15128" width="12.7109375" bestFit="1" customWidth="1"/>
    <col min="15129" max="15129" width="11.5703125" bestFit="1" customWidth="1"/>
    <col min="15130" max="15130" width="10.5703125" bestFit="1" customWidth="1"/>
    <col min="15131" max="15132" width="15.7109375" bestFit="1" customWidth="1"/>
    <col min="15133" max="15133" width="11.5703125" bestFit="1" customWidth="1"/>
    <col min="15134" max="15134" width="7.7109375" bestFit="1" customWidth="1"/>
    <col min="15135" max="15135" width="15.140625" bestFit="1" customWidth="1"/>
    <col min="15136" max="15136" width="11.5703125" bestFit="1" customWidth="1"/>
    <col min="15137" max="15137" width="13.28515625" bestFit="1" customWidth="1"/>
    <col min="15138" max="15138" width="10.42578125" bestFit="1" customWidth="1"/>
    <col min="15139" max="15139" width="13.28515625" bestFit="1" customWidth="1"/>
    <col min="15140" max="15140" width="12.140625" bestFit="1" customWidth="1"/>
    <col min="15141" max="15141" width="14.42578125" bestFit="1" customWidth="1"/>
    <col min="15142" max="15142" width="13.28515625" bestFit="1" customWidth="1"/>
    <col min="15143" max="15143" width="11.5703125" bestFit="1" customWidth="1"/>
    <col min="15144" max="15144" width="7.7109375" bestFit="1" customWidth="1"/>
    <col min="15145" max="15146" width="14.42578125" bestFit="1" customWidth="1"/>
    <col min="15147" max="15147" width="11.5703125" bestFit="1" customWidth="1"/>
    <col min="15148" max="15148" width="7.7109375" bestFit="1" customWidth="1"/>
    <col min="15149" max="15149" width="13.5703125" customWidth="1"/>
    <col min="15150" max="15150" width="15.28515625" customWidth="1"/>
    <col min="15151" max="15151" width="14.5703125" customWidth="1"/>
    <col min="15152" max="15152" width="13.28515625" bestFit="1" customWidth="1"/>
    <col min="15153" max="15153" width="7.7109375" bestFit="1" customWidth="1"/>
    <col min="15154" max="15154" width="12.7109375" bestFit="1" customWidth="1"/>
    <col min="15155" max="15155" width="11.7109375" bestFit="1" customWidth="1"/>
    <col min="15156" max="15156" width="11.5703125" bestFit="1" customWidth="1"/>
    <col min="15157" max="15157" width="5.28515625" bestFit="1" customWidth="1"/>
    <col min="15158" max="15158" width="13.28515625" bestFit="1" customWidth="1"/>
    <col min="15159" max="15159" width="13.5703125" bestFit="1" customWidth="1"/>
    <col min="15160" max="15160" width="10.5703125" bestFit="1" customWidth="1"/>
    <col min="15161" max="15161" width="13.28515625" bestFit="1" customWidth="1"/>
    <col min="15162" max="15162" width="11.5703125" bestFit="1" customWidth="1"/>
    <col min="15163" max="15163" width="10.5703125" bestFit="1" customWidth="1"/>
    <col min="15164" max="15164" width="16.140625" bestFit="1" customWidth="1"/>
    <col min="15165" max="15166" width="11.28515625" bestFit="1" customWidth="1"/>
    <col min="15167" max="15167" width="13.28515625" bestFit="1" customWidth="1"/>
    <col min="15168" max="15168" width="7.7109375" bestFit="1" customWidth="1"/>
    <col min="15169" max="15172" width="9.140625" hidden="1" customWidth="1"/>
    <col min="15173" max="15173" width="10.42578125" bestFit="1" customWidth="1"/>
    <col min="15174" max="15174" width="10.5703125" bestFit="1" customWidth="1"/>
    <col min="15175" max="15175" width="10.42578125" bestFit="1" customWidth="1"/>
    <col min="15176" max="15176" width="10.5703125" bestFit="1" customWidth="1"/>
    <col min="15177" max="15177" width="9.5703125" bestFit="1" customWidth="1"/>
    <col min="15178" max="15178" width="11.5703125" bestFit="1" customWidth="1"/>
    <col min="15179" max="15179" width="10.42578125" bestFit="1" customWidth="1"/>
    <col min="15180" max="15180" width="10.85546875" customWidth="1"/>
    <col min="15181" max="15182" width="9.85546875" bestFit="1" customWidth="1"/>
    <col min="15183" max="15183" width="13.5703125" bestFit="1" customWidth="1"/>
    <col min="15184" max="15184" width="7.7109375" bestFit="1" customWidth="1"/>
    <col min="15185" max="15185" width="13.28515625" bestFit="1" customWidth="1"/>
    <col min="15186" max="15186" width="11.5703125" bestFit="1" customWidth="1"/>
    <col min="15187" max="15187" width="10.42578125" bestFit="1" customWidth="1"/>
    <col min="15188" max="15188" width="7.7109375" bestFit="1" customWidth="1"/>
    <col min="15189" max="15189" width="11.5703125" bestFit="1" customWidth="1"/>
    <col min="15190" max="15190" width="10.85546875" bestFit="1" customWidth="1"/>
    <col min="15191" max="15191" width="13.28515625" bestFit="1" customWidth="1"/>
    <col min="15192" max="15192" width="10.85546875" bestFit="1" customWidth="1"/>
    <col min="15193" max="15194" width="7.5703125" bestFit="1" customWidth="1"/>
    <col min="15195" max="15196" width="10.42578125" bestFit="1" customWidth="1"/>
    <col min="15197" max="15197" width="11.5703125" bestFit="1" customWidth="1"/>
    <col min="15198" max="15198" width="5.28515625" bestFit="1" customWidth="1"/>
    <col min="15199" max="15199" width="10.28515625" bestFit="1" customWidth="1"/>
    <col min="15200" max="15200" width="10.42578125" bestFit="1" customWidth="1"/>
    <col min="15201" max="15201" width="11.5703125" bestFit="1" customWidth="1"/>
    <col min="15202" max="15202" width="5.28515625" bestFit="1" customWidth="1"/>
    <col min="15203" max="15205" width="11.5703125" bestFit="1" customWidth="1"/>
    <col min="15206" max="15206" width="5.28515625" bestFit="1" customWidth="1"/>
    <col min="15207" max="15208" width="10.42578125" bestFit="1" customWidth="1"/>
    <col min="15209" max="15209" width="11.5703125" bestFit="1" customWidth="1"/>
    <col min="15210" max="15210" width="5.28515625" bestFit="1" customWidth="1"/>
    <col min="15211" max="15211" width="14.28515625" bestFit="1" customWidth="1"/>
    <col min="15212" max="15212" width="13" bestFit="1" customWidth="1"/>
    <col min="15213" max="15213" width="11.5703125" bestFit="1" customWidth="1"/>
    <col min="15214" max="15214" width="8.85546875" bestFit="1" customWidth="1"/>
    <col min="15215" max="15215" width="14.42578125" bestFit="1" customWidth="1"/>
    <col min="15216" max="15216" width="10.42578125" bestFit="1" customWidth="1"/>
    <col min="15217" max="15217" width="12.28515625" bestFit="1" customWidth="1"/>
    <col min="15218" max="15218" width="13.85546875" bestFit="1" customWidth="1"/>
    <col min="15219" max="15219" width="11.28515625" customWidth="1"/>
    <col min="15220" max="15220" width="11.5703125" customWidth="1"/>
    <col min="15221" max="15221" width="13.42578125" bestFit="1" customWidth="1"/>
    <col min="15222" max="15222" width="10.42578125" customWidth="1"/>
    <col min="15223" max="15223" width="13.85546875" bestFit="1" customWidth="1"/>
    <col min="15224" max="15224" width="15.42578125" bestFit="1" customWidth="1"/>
    <col min="15225" max="15225" width="12.28515625" bestFit="1" customWidth="1"/>
    <col min="15226" max="15226" width="12.7109375" customWidth="1"/>
    <col min="15227" max="15227" width="10.7109375" bestFit="1" customWidth="1"/>
    <col min="15228" max="15228" width="9.85546875" customWidth="1"/>
    <col min="15229" max="15230" width="10.140625" bestFit="1" customWidth="1"/>
    <col min="15231" max="15231" width="7.5703125" bestFit="1" customWidth="1"/>
    <col min="15232" max="15232" width="9.42578125" bestFit="1" customWidth="1"/>
    <col min="15233" max="15233" width="14.5703125" bestFit="1" customWidth="1"/>
    <col min="15234" max="15234" width="14.85546875" customWidth="1"/>
    <col min="15235" max="15235" width="15.140625" bestFit="1" customWidth="1"/>
    <col min="15236" max="15236" width="12.140625" bestFit="1" customWidth="1"/>
    <col min="15237" max="15237" width="14.85546875" bestFit="1" customWidth="1"/>
    <col min="15238" max="15238" width="12.28515625" bestFit="1" customWidth="1"/>
    <col min="15239" max="15247" width="9.140625" hidden="1" customWidth="1"/>
    <col min="15248" max="15248" width="5.28515625" bestFit="1" customWidth="1"/>
    <col min="15249" max="15254" width="11.5703125" bestFit="1" customWidth="1"/>
    <col min="15255" max="15255" width="11.28515625" bestFit="1" customWidth="1"/>
    <col min="15256" max="15256" width="10.140625" bestFit="1" customWidth="1"/>
    <col min="15257" max="15257" width="11.5703125" bestFit="1" customWidth="1"/>
    <col min="15258" max="15258" width="16.140625" customWidth="1"/>
    <col min="15259" max="15259" width="13.42578125" customWidth="1"/>
    <col min="15260" max="15260" width="10.140625" bestFit="1" customWidth="1"/>
    <col min="15261" max="15261" width="12.85546875" bestFit="1" customWidth="1"/>
    <col min="15262" max="15262" width="12.28515625" bestFit="1" customWidth="1"/>
    <col min="15263" max="15263" width="11.28515625" bestFit="1" customWidth="1"/>
    <col min="15264" max="15264" width="11.5703125" bestFit="1" customWidth="1"/>
    <col min="15265" max="15265" width="10.85546875" bestFit="1" customWidth="1"/>
    <col min="15266" max="15266" width="11.28515625" bestFit="1" customWidth="1"/>
    <col min="15267" max="15267" width="10.140625" bestFit="1" customWidth="1"/>
    <col min="15268" max="15268" width="13.28515625" bestFit="1" customWidth="1"/>
    <col min="15269" max="15270" width="12.7109375" bestFit="1" customWidth="1"/>
    <col min="15271" max="15271" width="11" bestFit="1" customWidth="1"/>
    <col min="15272" max="15272" width="11.28515625" bestFit="1" customWidth="1"/>
    <col min="15273" max="15273" width="11.5703125" bestFit="1" customWidth="1"/>
    <col min="15274" max="15274" width="12.28515625" bestFit="1" customWidth="1"/>
    <col min="15275" max="15275" width="15.140625" bestFit="1" customWidth="1"/>
    <col min="15276" max="15276" width="14.42578125" bestFit="1" customWidth="1"/>
    <col min="15277" max="15277" width="12.28515625" bestFit="1" customWidth="1"/>
    <col min="15278" max="15278" width="15.140625" bestFit="1" customWidth="1"/>
    <col min="15279" max="15279" width="14.42578125" bestFit="1" customWidth="1"/>
    <col min="15280" max="15280" width="12.28515625" bestFit="1" customWidth="1"/>
    <col min="15281" max="15281" width="14.42578125" bestFit="1" customWidth="1"/>
    <col min="15282" max="15282" width="11.28515625" bestFit="1" customWidth="1"/>
    <col min="15283" max="15283" width="12.28515625" bestFit="1" customWidth="1"/>
    <col min="15284" max="15284" width="13" bestFit="1" customWidth="1"/>
    <col min="15285" max="15285" width="15.140625" bestFit="1" customWidth="1"/>
    <col min="15286" max="15286" width="12.28515625" bestFit="1" customWidth="1"/>
    <col min="15287" max="15287" width="13.85546875" bestFit="1" customWidth="1"/>
    <col min="15288" max="15288" width="11.28515625" bestFit="1" customWidth="1"/>
    <col min="15289" max="15289" width="12.28515625" bestFit="1" customWidth="1"/>
    <col min="15290" max="15290" width="13.85546875" bestFit="1" customWidth="1"/>
    <col min="15291" max="15292" width="15.140625" bestFit="1" customWidth="1"/>
    <col min="15293" max="15293" width="12.28515625" bestFit="1" customWidth="1"/>
    <col min="15294" max="15294" width="5.7109375" bestFit="1" customWidth="1"/>
    <col min="15295" max="15295" width="8.5703125" bestFit="1" customWidth="1"/>
    <col min="15296" max="15296" width="5.5703125" bestFit="1" customWidth="1"/>
    <col min="15297" max="15297" width="14.42578125" bestFit="1" customWidth="1"/>
    <col min="15298" max="15298" width="11.28515625" bestFit="1" customWidth="1"/>
    <col min="15299" max="15300" width="12.28515625" bestFit="1" customWidth="1"/>
    <col min="15301" max="15301" width="11.28515625" bestFit="1" customWidth="1"/>
    <col min="15302" max="15302" width="13.85546875" bestFit="1" customWidth="1"/>
    <col min="15303" max="15303" width="12" bestFit="1" customWidth="1"/>
    <col min="15304" max="15304" width="13.85546875" bestFit="1" customWidth="1"/>
    <col min="15305" max="15306" width="14.42578125" customWidth="1"/>
    <col min="15307" max="15307" width="10.140625" bestFit="1" customWidth="1"/>
    <col min="15308" max="15308" width="12.28515625" bestFit="1" customWidth="1"/>
    <col min="15309" max="15309" width="7.42578125" bestFit="1" customWidth="1"/>
    <col min="15310" max="15310" width="8.5703125" bestFit="1" customWidth="1"/>
    <col min="15311" max="15311" width="11.5703125" bestFit="1" customWidth="1"/>
    <col min="15312" max="15312" width="13.28515625" bestFit="1" customWidth="1"/>
    <col min="15313" max="15313" width="13.28515625" customWidth="1"/>
    <col min="15314" max="15314" width="13.140625" customWidth="1"/>
    <col min="15315" max="15315" width="12.7109375" bestFit="1" customWidth="1"/>
    <col min="15316" max="15316" width="13.28515625" bestFit="1" customWidth="1"/>
    <col min="15317" max="15319" width="13.28515625" customWidth="1"/>
    <col min="15320" max="15320" width="12.140625" bestFit="1" customWidth="1"/>
    <col min="15321" max="15321" width="12.7109375" bestFit="1" customWidth="1"/>
    <col min="15322" max="15322" width="11" customWidth="1"/>
    <col min="15323" max="15323" width="16.7109375" customWidth="1"/>
    <col min="15324" max="15324" width="17" customWidth="1"/>
    <col min="15325" max="15325" width="10.42578125" bestFit="1" customWidth="1"/>
    <col min="15369" max="15369" width="3.85546875" customWidth="1"/>
    <col min="15370" max="15370" width="15.28515625" bestFit="1" customWidth="1"/>
    <col min="15371" max="15371" width="12.28515625" customWidth="1"/>
    <col min="15372" max="15372" width="16.28515625" bestFit="1" customWidth="1"/>
    <col min="15373" max="15373" width="6.42578125" bestFit="1" customWidth="1"/>
    <col min="15374" max="15374" width="9.28515625" bestFit="1" customWidth="1"/>
    <col min="15375" max="15375" width="7.5703125" bestFit="1" customWidth="1"/>
    <col min="15376" max="15376" width="13.28515625" bestFit="1" customWidth="1"/>
    <col min="15377" max="15377" width="9.28515625" bestFit="1" customWidth="1"/>
    <col min="15378" max="15378" width="11.5703125" bestFit="1" customWidth="1"/>
    <col min="15379" max="15379" width="13.28515625" bestFit="1" customWidth="1"/>
    <col min="15380" max="15380" width="7.140625" bestFit="1" customWidth="1"/>
    <col min="15381" max="15381" width="12" bestFit="1" customWidth="1"/>
    <col min="15382" max="15382" width="13.28515625" bestFit="1" customWidth="1"/>
    <col min="15383" max="15383" width="7" bestFit="1" customWidth="1"/>
    <col min="15384" max="15384" width="12.7109375" bestFit="1" customWidth="1"/>
    <col min="15385" max="15385" width="11.5703125" bestFit="1" customWidth="1"/>
    <col min="15386" max="15386" width="10.5703125" bestFit="1" customWidth="1"/>
    <col min="15387" max="15388" width="15.7109375" bestFit="1" customWidth="1"/>
    <col min="15389" max="15389" width="11.5703125" bestFit="1" customWidth="1"/>
    <col min="15390" max="15390" width="7.7109375" bestFit="1" customWidth="1"/>
    <col min="15391" max="15391" width="15.140625" bestFit="1" customWidth="1"/>
    <col min="15392" max="15392" width="11.5703125" bestFit="1" customWidth="1"/>
    <col min="15393" max="15393" width="13.28515625" bestFit="1" customWidth="1"/>
    <col min="15394" max="15394" width="10.42578125" bestFit="1" customWidth="1"/>
    <col min="15395" max="15395" width="13.28515625" bestFit="1" customWidth="1"/>
    <col min="15396" max="15396" width="12.140625" bestFit="1" customWidth="1"/>
    <col min="15397" max="15397" width="14.42578125" bestFit="1" customWidth="1"/>
    <col min="15398" max="15398" width="13.28515625" bestFit="1" customWidth="1"/>
    <col min="15399" max="15399" width="11.5703125" bestFit="1" customWidth="1"/>
    <col min="15400" max="15400" width="7.7109375" bestFit="1" customWidth="1"/>
    <col min="15401" max="15402" width="14.42578125" bestFit="1" customWidth="1"/>
    <col min="15403" max="15403" width="11.5703125" bestFit="1" customWidth="1"/>
    <col min="15404" max="15404" width="7.7109375" bestFit="1" customWidth="1"/>
    <col min="15405" max="15405" width="13.5703125" customWidth="1"/>
    <col min="15406" max="15406" width="15.28515625" customWidth="1"/>
    <col min="15407" max="15407" width="14.5703125" customWidth="1"/>
    <col min="15408" max="15408" width="13.28515625" bestFit="1" customWidth="1"/>
    <col min="15409" max="15409" width="7.7109375" bestFit="1" customWidth="1"/>
    <col min="15410" max="15410" width="12.7109375" bestFit="1" customWidth="1"/>
    <col min="15411" max="15411" width="11.7109375" bestFit="1" customWidth="1"/>
    <col min="15412" max="15412" width="11.5703125" bestFit="1" customWidth="1"/>
    <col min="15413" max="15413" width="5.28515625" bestFit="1" customWidth="1"/>
    <col min="15414" max="15414" width="13.28515625" bestFit="1" customWidth="1"/>
    <col min="15415" max="15415" width="13.5703125" bestFit="1" customWidth="1"/>
    <col min="15416" max="15416" width="10.5703125" bestFit="1" customWidth="1"/>
    <col min="15417" max="15417" width="13.28515625" bestFit="1" customWidth="1"/>
    <col min="15418" max="15418" width="11.5703125" bestFit="1" customWidth="1"/>
    <col min="15419" max="15419" width="10.5703125" bestFit="1" customWidth="1"/>
    <col min="15420" max="15420" width="16.140625" bestFit="1" customWidth="1"/>
    <col min="15421" max="15422" width="11.28515625" bestFit="1" customWidth="1"/>
    <col min="15423" max="15423" width="13.28515625" bestFit="1" customWidth="1"/>
    <col min="15424" max="15424" width="7.7109375" bestFit="1" customWidth="1"/>
    <col min="15425" max="15428" width="9.140625" hidden="1" customWidth="1"/>
    <col min="15429" max="15429" width="10.42578125" bestFit="1" customWidth="1"/>
    <col min="15430" max="15430" width="10.5703125" bestFit="1" customWidth="1"/>
    <col min="15431" max="15431" width="10.42578125" bestFit="1" customWidth="1"/>
    <col min="15432" max="15432" width="10.5703125" bestFit="1" customWidth="1"/>
    <col min="15433" max="15433" width="9.5703125" bestFit="1" customWidth="1"/>
    <col min="15434" max="15434" width="11.5703125" bestFit="1" customWidth="1"/>
    <col min="15435" max="15435" width="10.42578125" bestFit="1" customWidth="1"/>
    <col min="15436" max="15436" width="10.85546875" customWidth="1"/>
    <col min="15437" max="15438" width="9.85546875" bestFit="1" customWidth="1"/>
    <col min="15439" max="15439" width="13.5703125" bestFit="1" customWidth="1"/>
    <col min="15440" max="15440" width="7.7109375" bestFit="1" customWidth="1"/>
    <col min="15441" max="15441" width="13.28515625" bestFit="1" customWidth="1"/>
    <col min="15442" max="15442" width="11.5703125" bestFit="1" customWidth="1"/>
    <col min="15443" max="15443" width="10.42578125" bestFit="1" customWidth="1"/>
    <col min="15444" max="15444" width="7.7109375" bestFit="1" customWidth="1"/>
    <col min="15445" max="15445" width="11.5703125" bestFit="1" customWidth="1"/>
    <col min="15446" max="15446" width="10.85546875" bestFit="1" customWidth="1"/>
    <col min="15447" max="15447" width="13.28515625" bestFit="1" customWidth="1"/>
    <col min="15448" max="15448" width="10.85546875" bestFit="1" customWidth="1"/>
    <col min="15449" max="15450" width="7.5703125" bestFit="1" customWidth="1"/>
    <col min="15451" max="15452" width="10.42578125" bestFit="1" customWidth="1"/>
    <col min="15453" max="15453" width="11.5703125" bestFit="1" customWidth="1"/>
    <col min="15454" max="15454" width="5.28515625" bestFit="1" customWidth="1"/>
    <col min="15455" max="15455" width="10.28515625" bestFit="1" customWidth="1"/>
    <col min="15456" max="15456" width="10.42578125" bestFit="1" customWidth="1"/>
    <col min="15457" max="15457" width="11.5703125" bestFit="1" customWidth="1"/>
    <col min="15458" max="15458" width="5.28515625" bestFit="1" customWidth="1"/>
    <col min="15459" max="15461" width="11.5703125" bestFit="1" customWidth="1"/>
    <col min="15462" max="15462" width="5.28515625" bestFit="1" customWidth="1"/>
    <col min="15463" max="15464" width="10.42578125" bestFit="1" customWidth="1"/>
    <col min="15465" max="15465" width="11.5703125" bestFit="1" customWidth="1"/>
    <col min="15466" max="15466" width="5.28515625" bestFit="1" customWidth="1"/>
    <col min="15467" max="15467" width="14.28515625" bestFit="1" customWidth="1"/>
    <col min="15468" max="15468" width="13" bestFit="1" customWidth="1"/>
    <col min="15469" max="15469" width="11.5703125" bestFit="1" customWidth="1"/>
    <col min="15470" max="15470" width="8.85546875" bestFit="1" customWidth="1"/>
    <col min="15471" max="15471" width="14.42578125" bestFit="1" customWidth="1"/>
    <col min="15472" max="15472" width="10.42578125" bestFit="1" customWidth="1"/>
    <col min="15473" max="15473" width="12.28515625" bestFit="1" customWidth="1"/>
    <col min="15474" max="15474" width="13.85546875" bestFit="1" customWidth="1"/>
    <col min="15475" max="15475" width="11.28515625" customWidth="1"/>
    <col min="15476" max="15476" width="11.5703125" customWidth="1"/>
    <col min="15477" max="15477" width="13.42578125" bestFit="1" customWidth="1"/>
    <col min="15478" max="15478" width="10.42578125" customWidth="1"/>
    <col min="15479" max="15479" width="13.85546875" bestFit="1" customWidth="1"/>
    <col min="15480" max="15480" width="15.42578125" bestFit="1" customWidth="1"/>
    <col min="15481" max="15481" width="12.28515625" bestFit="1" customWidth="1"/>
    <col min="15482" max="15482" width="12.7109375" customWidth="1"/>
    <col min="15483" max="15483" width="10.7109375" bestFit="1" customWidth="1"/>
    <col min="15484" max="15484" width="9.85546875" customWidth="1"/>
    <col min="15485" max="15486" width="10.140625" bestFit="1" customWidth="1"/>
    <col min="15487" max="15487" width="7.5703125" bestFit="1" customWidth="1"/>
    <col min="15488" max="15488" width="9.42578125" bestFit="1" customWidth="1"/>
    <col min="15489" max="15489" width="14.5703125" bestFit="1" customWidth="1"/>
    <col min="15490" max="15490" width="14.85546875" customWidth="1"/>
    <col min="15491" max="15491" width="15.140625" bestFit="1" customWidth="1"/>
    <col min="15492" max="15492" width="12.140625" bestFit="1" customWidth="1"/>
    <col min="15493" max="15493" width="14.85546875" bestFit="1" customWidth="1"/>
    <col min="15494" max="15494" width="12.28515625" bestFit="1" customWidth="1"/>
    <col min="15495" max="15503" width="9.140625" hidden="1" customWidth="1"/>
    <col min="15504" max="15504" width="5.28515625" bestFit="1" customWidth="1"/>
    <col min="15505" max="15510" width="11.5703125" bestFit="1" customWidth="1"/>
    <col min="15511" max="15511" width="11.28515625" bestFit="1" customWidth="1"/>
    <col min="15512" max="15512" width="10.140625" bestFit="1" customWidth="1"/>
    <col min="15513" max="15513" width="11.5703125" bestFit="1" customWidth="1"/>
    <col min="15514" max="15514" width="16.140625" customWidth="1"/>
    <col min="15515" max="15515" width="13.42578125" customWidth="1"/>
    <col min="15516" max="15516" width="10.140625" bestFit="1" customWidth="1"/>
    <col min="15517" max="15517" width="12.85546875" bestFit="1" customWidth="1"/>
    <col min="15518" max="15518" width="12.28515625" bestFit="1" customWidth="1"/>
    <col min="15519" max="15519" width="11.28515625" bestFit="1" customWidth="1"/>
    <col min="15520" max="15520" width="11.5703125" bestFit="1" customWidth="1"/>
    <col min="15521" max="15521" width="10.85546875" bestFit="1" customWidth="1"/>
    <col min="15522" max="15522" width="11.28515625" bestFit="1" customWidth="1"/>
    <col min="15523" max="15523" width="10.140625" bestFit="1" customWidth="1"/>
    <col min="15524" max="15524" width="13.28515625" bestFit="1" customWidth="1"/>
    <col min="15525" max="15526" width="12.7109375" bestFit="1" customWidth="1"/>
    <col min="15527" max="15527" width="11" bestFit="1" customWidth="1"/>
    <col min="15528" max="15528" width="11.28515625" bestFit="1" customWidth="1"/>
    <col min="15529" max="15529" width="11.5703125" bestFit="1" customWidth="1"/>
    <col min="15530" max="15530" width="12.28515625" bestFit="1" customWidth="1"/>
    <col min="15531" max="15531" width="15.140625" bestFit="1" customWidth="1"/>
    <col min="15532" max="15532" width="14.42578125" bestFit="1" customWidth="1"/>
    <col min="15533" max="15533" width="12.28515625" bestFit="1" customWidth="1"/>
    <col min="15534" max="15534" width="15.140625" bestFit="1" customWidth="1"/>
    <col min="15535" max="15535" width="14.42578125" bestFit="1" customWidth="1"/>
    <col min="15536" max="15536" width="12.28515625" bestFit="1" customWidth="1"/>
    <col min="15537" max="15537" width="14.42578125" bestFit="1" customWidth="1"/>
    <col min="15538" max="15538" width="11.28515625" bestFit="1" customWidth="1"/>
    <col min="15539" max="15539" width="12.28515625" bestFit="1" customWidth="1"/>
    <col min="15540" max="15540" width="13" bestFit="1" customWidth="1"/>
    <col min="15541" max="15541" width="15.140625" bestFit="1" customWidth="1"/>
    <col min="15542" max="15542" width="12.28515625" bestFit="1" customWidth="1"/>
    <col min="15543" max="15543" width="13.85546875" bestFit="1" customWidth="1"/>
    <col min="15544" max="15544" width="11.28515625" bestFit="1" customWidth="1"/>
    <col min="15545" max="15545" width="12.28515625" bestFit="1" customWidth="1"/>
    <col min="15546" max="15546" width="13.85546875" bestFit="1" customWidth="1"/>
    <col min="15547" max="15548" width="15.140625" bestFit="1" customWidth="1"/>
    <col min="15549" max="15549" width="12.28515625" bestFit="1" customWidth="1"/>
    <col min="15550" max="15550" width="5.7109375" bestFit="1" customWidth="1"/>
    <col min="15551" max="15551" width="8.5703125" bestFit="1" customWidth="1"/>
    <col min="15552" max="15552" width="5.5703125" bestFit="1" customWidth="1"/>
    <col min="15553" max="15553" width="14.42578125" bestFit="1" customWidth="1"/>
    <col min="15554" max="15554" width="11.28515625" bestFit="1" customWidth="1"/>
    <col min="15555" max="15556" width="12.28515625" bestFit="1" customWidth="1"/>
    <col min="15557" max="15557" width="11.28515625" bestFit="1" customWidth="1"/>
    <col min="15558" max="15558" width="13.85546875" bestFit="1" customWidth="1"/>
    <col min="15559" max="15559" width="12" bestFit="1" customWidth="1"/>
    <col min="15560" max="15560" width="13.85546875" bestFit="1" customWidth="1"/>
    <col min="15561" max="15562" width="14.42578125" customWidth="1"/>
    <col min="15563" max="15563" width="10.140625" bestFit="1" customWidth="1"/>
    <col min="15564" max="15564" width="12.28515625" bestFit="1" customWidth="1"/>
    <col min="15565" max="15565" width="7.42578125" bestFit="1" customWidth="1"/>
    <col min="15566" max="15566" width="8.5703125" bestFit="1" customWidth="1"/>
    <col min="15567" max="15567" width="11.5703125" bestFit="1" customWidth="1"/>
    <col min="15568" max="15568" width="13.28515625" bestFit="1" customWidth="1"/>
    <col min="15569" max="15569" width="13.28515625" customWidth="1"/>
    <col min="15570" max="15570" width="13.140625" customWidth="1"/>
    <col min="15571" max="15571" width="12.7109375" bestFit="1" customWidth="1"/>
    <col min="15572" max="15572" width="13.28515625" bestFit="1" customWidth="1"/>
    <col min="15573" max="15575" width="13.28515625" customWidth="1"/>
    <col min="15576" max="15576" width="12.140625" bestFit="1" customWidth="1"/>
    <col min="15577" max="15577" width="12.7109375" bestFit="1" customWidth="1"/>
    <col min="15578" max="15578" width="11" customWidth="1"/>
    <col min="15579" max="15579" width="16.7109375" customWidth="1"/>
    <col min="15580" max="15580" width="17" customWidth="1"/>
    <col min="15581" max="15581" width="10.42578125" bestFit="1" customWidth="1"/>
    <col min="15625" max="15625" width="3.85546875" customWidth="1"/>
    <col min="15626" max="15626" width="15.28515625" bestFit="1" customWidth="1"/>
    <col min="15627" max="15627" width="12.28515625" customWidth="1"/>
    <col min="15628" max="15628" width="16.28515625" bestFit="1" customWidth="1"/>
    <col min="15629" max="15629" width="6.42578125" bestFit="1" customWidth="1"/>
    <col min="15630" max="15630" width="9.28515625" bestFit="1" customWidth="1"/>
    <col min="15631" max="15631" width="7.5703125" bestFit="1" customWidth="1"/>
    <col min="15632" max="15632" width="13.28515625" bestFit="1" customWidth="1"/>
    <col min="15633" max="15633" width="9.28515625" bestFit="1" customWidth="1"/>
    <col min="15634" max="15634" width="11.5703125" bestFit="1" customWidth="1"/>
    <col min="15635" max="15635" width="13.28515625" bestFit="1" customWidth="1"/>
    <col min="15636" max="15636" width="7.140625" bestFit="1" customWidth="1"/>
    <col min="15637" max="15637" width="12" bestFit="1" customWidth="1"/>
    <col min="15638" max="15638" width="13.28515625" bestFit="1" customWidth="1"/>
    <col min="15639" max="15639" width="7" bestFit="1" customWidth="1"/>
    <col min="15640" max="15640" width="12.7109375" bestFit="1" customWidth="1"/>
    <col min="15641" max="15641" width="11.5703125" bestFit="1" customWidth="1"/>
    <col min="15642" max="15642" width="10.5703125" bestFit="1" customWidth="1"/>
    <col min="15643" max="15644" width="15.7109375" bestFit="1" customWidth="1"/>
    <col min="15645" max="15645" width="11.5703125" bestFit="1" customWidth="1"/>
    <col min="15646" max="15646" width="7.7109375" bestFit="1" customWidth="1"/>
    <col min="15647" max="15647" width="15.140625" bestFit="1" customWidth="1"/>
    <col min="15648" max="15648" width="11.5703125" bestFit="1" customWidth="1"/>
    <col min="15649" max="15649" width="13.28515625" bestFit="1" customWidth="1"/>
    <col min="15650" max="15650" width="10.42578125" bestFit="1" customWidth="1"/>
    <col min="15651" max="15651" width="13.28515625" bestFit="1" customWidth="1"/>
    <col min="15652" max="15652" width="12.140625" bestFit="1" customWidth="1"/>
    <col min="15653" max="15653" width="14.42578125" bestFit="1" customWidth="1"/>
    <col min="15654" max="15654" width="13.28515625" bestFit="1" customWidth="1"/>
    <col min="15655" max="15655" width="11.5703125" bestFit="1" customWidth="1"/>
    <col min="15656" max="15656" width="7.7109375" bestFit="1" customWidth="1"/>
    <col min="15657" max="15658" width="14.42578125" bestFit="1" customWidth="1"/>
    <col min="15659" max="15659" width="11.5703125" bestFit="1" customWidth="1"/>
    <col min="15660" max="15660" width="7.7109375" bestFit="1" customWidth="1"/>
    <col min="15661" max="15661" width="13.5703125" customWidth="1"/>
    <col min="15662" max="15662" width="15.28515625" customWidth="1"/>
    <col min="15663" max="15663" width="14.5703125" customWidth="1"/>
    <col min="15664" max="15664" width="13.28515625" bestFit="1" customWidth="1"/>
    <col min="15665" max="15665" width="7.7109375" bestFit="1" customWidth="1"/>
    <col min="15666" max="15666" width="12.7109375" bestFit="1" customWidth="1"/>
    <col min="15667" max="15667" width="11.7109375" bestFit="1" customWidth="1"/>
    <col min="15668" max="15668" width="11.5703125" bestFit="1" customWidth="1"/>
    <col min="15669" max="15669" width="5.28515625" bestFit="1" customWidth="1"/>
    <col min="15670" max="15670" width="13.28515625" bestFit="1" customWidth="1"/>
    <col min="15671" max="15671" width="13.5703125" bestFit="1" customWidth="1"/>
    <col min="15672" max="15672" width="10.5703125" bestFit="1" customWidth="1"/>
    <col min="15673" max="15673" width="13.28515625" bestFit="1" customWidth="1"/>
    <col min="15674" max="15674" width="11.5703125" bestFit="1" customWidth="1"/>
    <col min="15675" max="15675" width="10.5703125" bestFit="1" customWidth="1"/>
    <col min="15676" max="15676" width="16.140625" bestFit="1" customWidth="1"/>
    <col min="15677" max="15678" width="11.28515625" bestFit="1" customWidth="1"/>
    <col min="15679" max="15679" width="13.28515625" bestFit="1" customWidth="1"/>
    <col min="15680" max="15680" width="7.7109375" bestFit="1" customWidth="1"/>
    <col min="15681" max="15684" width="9.140625" hidden="1" customWidth="1"/>
    <col min="15685" max="15685" width="10.42578125" bestFit="1" customWidth="1"/>
    <col min="15686" max="15686" width="10.5703125" bestFit="1" customWidth="1"/>
    <col min="15687" max="15687" width="10.42578125" bestFit="1" customWidth="1"/>
    <col min="15688" max="15688" width="10.5703125" bestFit="1" customWidth="1"/>
    <col min="15689" max="15689" width="9.5703125" bestFit="1" customWidth="1"/>
    <col min="15690" max="15690" width="11.5703125" bestFit="1" customWidth="1"/>
    <col min="15691" max="15691" width="10.42578125" bestFit="1" customWidth="1"/>
    <col min="15692" max="15692" width="10.85546875" customWidth="1"/>
    <col min="15693" max="15694" width="9.85546875" bestFit="1" customWidth="1"/>
    <col min="15695" max="15695" width="13.5703125" bestFit="1" customWidth="1"/>
    <col min="15696" max="15696" width="7.7109375" bestFit="1" customWidth="1"/>
    <col min="15697" max="15697" width="13.28515625" bestFit="1" customWidth="1"/>
    <col min="15698" max="15698" width="11.5703125" bestFit="1" customWidth="1"/>
    <col min="15699" max="15699" width="10.42578125" bestFit="1" customWidth="1"/>
    <col min="15700" max="15700" width="7.7109375" bestFit="1" customWidth="1"/>
    <col min="15701" max="15701" width="11.5703125" bestFit="1" customWidth="1"/>
    <col min="15702" max="15702" width="10.85546875" bestFit="1" customWidth="1"/>
    <col min="15703" max="15703" width="13.28515625" bestFit="1" customWidth="1"/>
    <col min="15704" max="15704" width="10.85546875" bestFit="1" customWidth="1"/>
    <col min="15705" max="15706" width="7.5703125" bestFit="1" customWidth="1"/>
    <col min="15707" max="15708" width="10.42578125" bestFit="1" customWidth="1"/>
    <col min="15709" max="15709" width="11.5703125" bestFit="1" customWidth="1"/>
    <col min="15710" max="15710" width="5.28515625" bestFit="1" customWidth="1"/>
    <col min="15711" max="15711" width="10.28515625" bestFit="1" customWidth="1"/>
    <col min="15712" max="15712" width="10.42578125" bestFit="1" customWidth="1"/>
    <col min="15713" max="15713" width="11.5703125" bestFit="1" customWidth="1"/>
    <col min="15714" max="15714" width="5.28515625" bestFit="1" customWidth="1"/>
    <col min="15715" max="15717" width="11.5703125" bestFit="1" customWidth="1"/>
    <col min="15718" max="15718" width="5.28515625" bestFit="1" customWidth="1"/>
    <col min="15719" max="15720" width="10.42578125" bestFit="1" customWidth="1"/>
    <col min="15721" max="15721" width="11.5703125" bestFit="1" customWidth="1"/>
    <col min="15722" max="15722" width="5.28515625" bestFit="1" customWidth="1"/>
    <col min="15723" max="15723" width="14.28515625" bestFit="1" customWidth="1"/>
    <col min="15724" max="15724" width="13" bestFit="1" customWidth="1"/>
    <col min="15725" max="15725" width="11.5703125" bestFit="1" customWidth="1"/>
    <col min="15726" max="15726" width="8.85546875" bestFit="1" customWidth="1"/>
    <col min="15727" max="15727" width="14.42578125" bestFit="1" customWidth="1"/>
    <col min="15728" max="15728" width="10.42578125" bestFit="1" customWidth="1"/>
    <col min="15729" max="15729" width="12.28515625" bestFit="1" customWidth="1"/>
    <col min="15730" max="15730" width="13.85546875" bestFit="1" customWidth="1"/>
    <col min="15731" max="15731" width="11.28515625" customWidth="1"/>
    <col min="15732" max="15732" width="11.5703125" customWidth="1"/>
    <col min="15733" max="15733" width="13.42578125" bestFit="1" customWidth="1"/>
    <col min="15734" max="15734" width="10.42578125" customWidth="1"/>
    <col min="15735" max="15735" width="13.85546875" bestFit="1" customWidth="1"/>
    <col min="15736" max="15736" width="15.42578125" bestFit="1" customWidth="1"/>
    <col min="15737" max="15737" width="12.28515625" bestFit="1" customWidth="1"/>
    <col min="15738" max="15738" width="12.7109375" customWidth="1"/>
    <col min="15739" max="15739" width="10.7109375" bestFit="1" customWidth="1"/>
    <col min="15740" max="15740" width="9.85546875" customWidth="1"/>
    <col min="15741" max="15742" width="10.140625" bestFit="1" customWidth="1"/>
    <col min="15743" max="15743" width="7.5703125" bestFit="1" customWidth="1"/>
    <col min="15744" max="15744" width="9.42578125" bestFit="1" customWidth="1"/>
    <col min="15745" max="15745" width="14.5703125" bestFit="1" customWidth="1"/>
    <col min="15746" max="15746" width="14.85546875" customWidth="1"/>
    <col min="15747" max="15747" width="15.140625" bestFit="1" customWidth="1"/>
    <col min="15748" max="15748" width="12.140625" bestFit="1" customWidth="1"/>
    <col min="15749" max="15749" width="14.85546875" bestFit="1" customWidth="1"/>
    <col min="15750" max="15750" width="12.28515625" bestFit="1" customWidth="1"/>
    <col min="15751" max="15759" width="9.140625" hidden="1" customWidth="1"/>
    <col min="15760" max="15760" width="5.28515625" bestFit="1" customWidth="1"/>
    <col min="15761" max="15766" width="11.5703125" bestFit="1" customWidth="1"/>
    <col min="15767" max="15767" width="11.28515625" bestFit="1" customWidth="1"/>
    <col min="15768" max="15768" width="10.140625" bestFit="1" customWidth="1"/>
    <col min="15769" max="15769" width="11.5703125" bestFit="1" customWidth="1"/>
    <col min="15770" max="15770" width="16.140625" customWidth="1"/>
    <col min="15771" max="15771" width="13.42578125" customWidth="1"/>
    <col min="15772" max="15772" width="10.140625" bestFit="1" customWidth="1"/>
    <col min="15773" max="15773" width="12.85546875" bestFit="1" customWidth="1"/>
    <col min="15774" max="15774" width="12.28515625" bestFit="1" customWidth="1"/>
    <col min="15775" max="15775" width="11.28515625" bestFit="1" customWidth="1"/>
    <col min="15776" max="15776" width="11.5703125" bestFit="1" customWidth="1"/>
    <col min="15777" max="15777" width="10.85546875" bestFit="1" customWidth="1"/>
    <col min="15778" max="15778" width="11.28515625" bestFit="1" customWidth="1"/>
    <col min="15779" max="15779" width="10.140625" bestFit="1" customWidth="1"/>
    <col min="15780" max="15780" width="13.28515625" bestFit="1" customWidth="1"/>
    <col min="15781" max="15782" width="12.7109375" bestFit="1" customWidth="1"/>
    <col min="15783" max="15783" width="11" bestFit="1" customWidth="1"/>
    <col min="15784" max="15784" width="11.28515625" bestFit="1" customWidth="1"/>
    <col min="15785" max="15785" width="11.5703125" bestFit="1" customWidth="1"/>
    <col min="15786" max="15786" width="12.28515625" bestFit="1" customWidth="1"/>
    <col min="15787" max="15787" width="15.140625" bestFit="1" customWidth="1"/>
    <col min="15788" max="15788" width="14.42578125" bestFit="1" customWidth="1"/>
    <col min="15789" max="15789" width="12.28515625" bestFit="1" customWidth="1"/>
    <col min="15790" max="15790" width="15.140625" bestFit="1" customWidth="1"/>
    <col min="15791" max="15791" width="14.42578125" bestFit="1" customWidth="1"/>
    <col min="15792" max="15792" width="12.28515625" bestFit="1" customWidth="1"/>
    <col min="15793" max="15793" width="14.42578125" bestFit="1" customWidth="1"/>
    <col min="15794" max="15794" width="11.28515625" bestFit="1" customWidth="1"/>
    <col min="15795" max="15795" width="12.28515625" bestFit="1" customWidth="1"/>
    <col min="15796" max="15796" width="13" bestFit="1" customWidth="1"/>
    <col min="15797" max="15797" width="15.140625" bestFit="1" customWidth="1"/>
    <col min="15798" max="15798" width="12.28515625" bestFit="1" customWidth="1"/>
    <col min="15799" max="15799" width="13.85546875" bestFit="1" customWidth="1"/>
    <col min="15800" max="15800" width="11.28515625" bestFit="1" customWidth="1"/>
    <col min="15801" max="15801" width="12.28515625" bestFit="1" customWidth="1"/>
    <col min="15802" max="15802" width="13.85546875" bestFit="1" customWidth="1"/>
    <col min="15803" max="15804" width="15.140625" bestFit="1" customWidth="1"/>
    <col min="15805" max="15805" width="12.28515625" bestFit="1" customWidth="1"/>
    <col min="15806" max="15806" width="5.7109375" bestFit="1" customWidth="1"/>
    <col min="15807" max="15807" width="8.5703125" bestFit="1" customWidth="1"/>
    <col min="15808" max="15808" width="5.5703125" bestFit="1" customWidth="1"/>
    <col min="15809" max="15809" width="14.42578125" bestFit="1" customWidth="1"/>
    <col min="15810" max="15810" width="11.28515625" bestFit="1" customWidth="1"/>
    <col min="15811" max="15812" width="12.28515625" bestFit="1" customWidth="1"/>
    <col min="15813" max="15813" width="11.28515625" bestFit="1" customWidth="1"/>
    <col min="15814" max="15814" width="13.85546875" bestFit="1" customWidth="1"/>
    <col min="15815" max="15815" width="12" bestFit="1" customWidth="1"/>
    <col min="15816" max="15816" width="13.85546875" bestFit="1" customWidth="1"/>
    <col min="15817" max="15818" width="14.42578125" customWidth="1"/>
    <col min="15819" max="15819" width="10.140625" bestFit="1" customWidth="1"/>
    <col min="15820" max="15820" width="12.28515625" bestFit="1" customWidth="1"/>
    <col min="15821" max="15821" width="7.42578125" bestFit="1" customWidth="1"/>
    <col min="15822" max="15822" width="8.5703125" bestFit="1" customWidth="1"/>
    <col min="15823" max="15823" width="11.5703125" bestFit="1" customWidth="1"/>
    <col min="15824" max="15824" width="13.28515625" bestFit="1" customWidth="1"/>
    <col min="15825" max="15825" width="13.28515625" customWidth="1"/>
    <col min="15826" max="15826" width="13.140625" customWidth="1"/>
    <col min="15827" max="15827" width="12.7109375" bestFit="1" customWidth="1"/>
    <col min="15828" max="15828" width="13.28515625" bestFit="1" customWidth="1"/>
    <col min="15829" max="15831" width="13.28515625" customWidth="1"/>
    <col min="15832" max="15832" width="12.140625" bestFit="1" customWidth="1"/>
    <col min="15833" max="15833" width="12.7109375" bestFit="1" customWidth="1"/>
    <col min="15834" max="15834" width="11" customWidth="1"/>
    <col min="15835" max="15835" width="16.7109375" customWidth="1"/>
    <col min="15836" max="15836" width="17" customWidth="1"/>
    <col min="15837" max="15837" width="10.42578125" bestFit="1" customWidth="1"/>
    <col min="15881" max="15881" width="3.85546875" customWidth="1"/>
    <col min="15882" max="15882" width="15.28515625" bestFit="1" customWidth="1"/>
    <col min="15883" max="15883" width="12.28515625" customWidth="1"/>
    <col min="15884" max="15884" width="16.28515625" bestFit="1" customWidth="1"/>
    <col min="15885" max="15885" width="6.42578125" bestFit="1" customWidth="1"/>
    <col min="15886" max="15886" width="9.28515625" bestFit="1" customWidth="1"/>
    <col min="15887" max="15887" width="7.5703125" bestFit="1" customWidth="1"/>
    <col min="15888" max="15888" width="13.28515625" bestFit="1" customWidth="1"/>
    <col min="15889" max="15889" width="9.28515625" bestFit="1" customWidth="1"/>
    <col min="15890" max="15890" width="11.5703125" bestFit="1" customWidth="1"/>
    <col min="15891" max="15891" width="13.28515625" bestFit="1" customWidth="1"/>
    <col min="15892" max="15892" width="7.140625" bestFit="1" customWidth="1"/>
    <col min="15893" max="15893" width="12" bestFit="1" customWidth="1"/>
    <col min="15894" max="15894" width="13.28515625" bestFit="1" customWidth="1"/>
    <col min="15895" max="15895" width="7" bestFit="1" customWidth="1"/>
    <col min="15896" max="15896" width="12.7109375" bestFit="1" customWidth="1"/>
    <col min="15897" max="15897" width="11.5703125" bestFit="1" customWidth="1"/>
    <col min="15898" max="15898" width="10.5703125" bestFit="1" customWidth="1"/>
    <col min="15899" max="15900" width="15.7109375" bestFit="1" customWidth="1"/>
    <col min="15901" max="15901" width="11.5703125" bestFit="1" customWidth="1"/>
    <col min="15902" max="15902" width="7.7109375" bestFit="1" customWidth="1"/>
    <col min="15903" max="15903" width="15.140625" bestFit="1" customWidth="1"/>
    <col min="15904" max="15904" width="11.5703125" bestFit="1" customWidth="1"/>
    <col min="15905" max="15905" width="13.28515625" bestFit="1" customWidth="1"/>
    <col min="15906" max="15906" width="10.42578125" bestFit="1" customWidth="1"/>
    <col min="15907" max="15907" width="13.28515625" bestFit="1" customWidth="1"/>
    <col min="15908" max="15908" width="12.140625" bestFit="1" customWidth="1"/>
    <col min="15909" max="15909" width="14.42578125" bestFit="1" customWidth="1"/>
    <col min="15910" max="15910" width="13.28515625" bestFit="1" customWidth="1"/>
    <col min="15911" max="15911" width="11.5703125" bestFit="1" customWidth="1"/>
    <col min="15912" max="15912" width="7.7109375" bestFit="1" customWidth="1"/>
    <col min="15913" max="15914" width="14.42578125" bestFit="1" customWidth="1"/>
    <col min="15915" max="15915" width="11.5703125" bestFit="1" customWidth="1"/>
    <col min="15916" max="15916" width="7.7109375" bestFit="1" customWidth="1"/>
    <col min="15917" max="15917" width="13.5703125" customWidth="1"/>
    <col min="15918" max="15918" width="15.28515625" customWidth="1"/>
    <col min="15919" max="15919" width="14.5703125" customWidth="1"/>
    <col min="15920" max="15920" width="13.28515625" bestFit="1" customWidth="1"/>
    <col min="15921" max="15921" width="7.7109375" bestFit="1" customWidth="1"/>
    <col min="15922" max="15922" width="12.7109375" bestFit="1" customWidth="1"/>
    <col min="15923" max="15923" width="11.7109375" bestFit="1" customWidth="1"/>
    <col min="15924" max="15924" width="11.5703125" bestFit="1" customWidth="1"/>
    <col min="15925" max="15925" width="5.28515625" bestFit="1" customWidth="1"/>
    <col min="15926" max="15926" width="13.28515625" bestFit="1" customWidth="1"/>
    <col min="15927" max="15927" width="13.5703125" bestFit="1" customWidth="1"/>
    <col min="15928" max="15928" width="10.5703125" bestFit="1" customWidth="1"/>
    <col min="15929" max="15929" width="13.28515625" bestFit="1" customWidth="1"/>
    <col min="15930" max="15930" width="11.5703125" bestFit="1" customWidth="1"/>
    <col min="15931" max="15931" width="10.5703125" bestFit="1" customWidth="1"/>
    <col min="15932" max="15932" width="16.140625" bestFit="1" customWidth="1"/>
    <col min="15933" max="15934" width="11.28515625" bestFit="1" customWidth="1"/>
    <col min="15935" max="15935" width="13.28515625" bestFit="1" customWidth="1"/>
    <col min="15936" max="15936" width="7.7109375" bestFit="1" customWidth="1"/>
    <col min="15937" max="15940" width="9.140625" hidden="1" customWidth="1"/>
    <col min="15941" max="15941" width="10.42578125" bestFit="1" customWidth="1"/>
    <col min="15942" max="15942" width="10.5703125" bestFit="1" customWidth="1"/>
    <col min="15943" max="15943" width="10.42578125" bestFit="1" customWidth="1"/>
    <col min="15944" max="15944" width="10.5703125" bestFit="1" customWidth="1"/>
    <col min="15945" max="15945" width="9.5703125" bestFit="1" customWidth="1"/>
    <col min="15946" max="15946" width="11.5703125" bestFit="1" customWidth="1"/>
    <col min="15947" max="15947" width="10.42578125" bestFit="1" customWidth="1"/>
    <col min="15948" max="15948" width="10.85546875" customWidth="1"/>
    <col min="15949" max="15950" width="9.85546875" bestFit="1" customWidth="1"/>
    <col min="15951" max="15951" width="13.5703125" bestFit="1" customWidth="1"/>
    <col min="15952" max="15952" width="7.7109375" bestFit="1" customWidth="1"/>
    <col min="15953" max="15953" width="13.28515625" bestFit="1" customWidth="1"/>
    <col min="15954" max="15954" width="11.5703125" bestFit="1" customWidth="1"/>
    <col min="15955" max="15955" width="10.42578125" bestFit="1" customWidth="1"/>
    <col min="15956" max="15956" width="7.7109375" bestFit="1" customWidth="1"/>
    <col min="15957" max="15957" width="11.5703125" bestFit="1" customWidth="1"/>
    <col min="15958" max="15958" width="10.85546875" bestFit="1" customWidth="1"/>
    <col min="15959" max="15959" width="13.28515625" bestFit="1" customWidth="1"/>
    <col min="15960" max="15960" width="10.85546875" bestFit="1" customWidth="1"/>
    <col min="15961" max="15962" width="7.5703125" bestFit="1" customWidth="1"/>
    <col min="15963" max="15964" width="10.42578125" bestFit="1" customWidth="1"/>
    <col min="15965" max="15965" width="11.5703125" bestFit="1" customWidth="1"/>
    <col min="15966" max="15966" width="5.28515625" bestFit="1" customWidth="1"/>
    <col min="15967" max="15967" width="10.28515625" bestFit="1" customWidth="1"/>
    <col min="15968" max="15968" width="10.42578125" bestFit="1" customWidth="1"/>
    <col min="15969" max="15969" width="11.5703125" bestFit="1" customWidth="1"/>
    <col min="15970" max="15970" width="5.28515625" bestFit="1" customWidth="1"/>
    <col min="15971" max="15973" width="11.5703125" bestFit="1" customWidth="1"/>
    <col min="15974" max="15974" width="5.28515625" bestFit="1" customWidth="1"/>
    <col min="15975" max="15976" width="10.42578125" bestFit="1" customWidth="1"/>
    <col min="15977" max="15977" width="11.5703125" bestFit="1" customWidth="1"/>
    <col min="15978" max="15978" width="5.28515625" bestFit="1" customWidth="1"/>
    <col min="15979" max="15979" width="14.28515625" bestFit="1" customWidth="1"/>
    <col min="15980" max="15980" width="13" bestFit="1" customWidth="1"/>
    <col min="15981" max="15981" width="11.5703125" bestFit="1" customWidth="1"/>
    <col min="15982" max="15982" width="8.85546875" bestFit="1" customWidth="1"/>
    <col min="15983" max="15983" width="14.42578125" bestFit="1" customWidth="1"/>
    <col min="15984" max="15984" width="10.42578125" bestFit="1" customWidth="1"/>
    <col min="15985" max="15985" width="12.28515625" bestFit="1" customWidth="1"/>
    <col min="15986" max="15986" width="13.85546875" bestFit="1" customWidth="1"/>
    <col min="15987" max="15987" width="11.28515625" customWidth="1"/>
    <col min="15988" max="15988" width="11.5703125" customWidth="1"/>
    <col min="15989" max="15989" width="13.42578125" bestFit="1" customWidth="1"/>
    <col min="15990" max="15990" width="10.42578125" customWidth="1"/>
    <col min="15991" max="15991" width="13.85546875" bestFit="1" customWidth="1"/>
    <col min="15992" max="15992" width="15.42578125" bestFit="1" customWidth="1"/>
    <col min="15993" max="15993" width="12.28515625" bestFit="1" customWidth="1"/>
    <col min="15994" max="15994" width="12.7109375" customWidth="1"/>
    <col min="15995" max="15995" width="10.7109375" bestFit="1" customWidth="1"/>
    <col min="15996" max="15996" width="9.85546875" customWidth="1"/>
    <col min="15997" max="15998" width="10.140625" bestFit="1" customWidth="1"/>
    <col min="15999" max="15999" width="7.5703125" bestFit="1" customWidth="1"/>
    <col min="16000" max="16000" width="9.42578125" bestFit="1" customWidth="1"/>
    <col min="16001" max="16001" width="14.5703125" bestFit="1" customWidth="1"/>
    <col min="16002" max="16002" width="14.85546875" customWidth="1"/>
    <col min="16003" max="16003" width="15.140625" bestFit="1" customWidth="1"/>
    <col min="16004" max="16004" width="12.140625" bestFit="1" customWidth="1"/>
    <col min="16005" max="16005" width="14.85546875" bestFit="1" customWidth="1"/>
    <col min="16006" max="16006" width="12.28515625" bestFit="1" customWidth="1"/>
    <col min="16007" max="16015" width="9.140625" hidden="1" customWidth="1"/>
    <col min="16016" max="16016" width="5.28515625" bestFit="1" customWidth="1"/>
    <col min="16017" max="16022" width="11.5703125" bestFit="1" customWidth="1"/>
    <col min="16023" max="16023" width="11.28515625" bestFit="1" customWidth="1"/>
    <col min="16024" max="16024" width="10.140625" bestFit="1" customWidth="1"/>
    <col min="16025" max="16025" width="11.5703125" bestFit="1" customWidth="1"/>
    <col min="16026" max="16026" width="16.140625" customWidth="1"/>
    <col min="16027" max="16027" width="13.42578125" customWidth="1"/>
    <col min="16028" max="16028" width="10.140625" bestFit="1" customWidth="1"/>
    <col min="16029" max="16029" width="12.85546875" bestFit="1" customWidth="1"/>
    <col min="16030" max="16030" width="12.28515625" bestFit="1" customWidth="1"/>
    <col min="16031" max="16031" width="11.28515625" bestFit="1" customWidth="1"/>
    <col min="16032" max="16032" width="11.5703125" bestFit="1" customWidth="1"/>
    <col min="16033" max="16033" width="10.85546875" bestFit="1" customWidth="1"/>
    <col min="16034" max="16034" width="11.28515625" bestFit="1" customWidth="1"/>
    <col min="16035" max="16035" width="10.140625" bestFit="1" customWidth="1"/>
    <col min="16036" max="16036" width="13.28515625" bestFit="1" customWidth="1"/>
    <col min="16037" max="16038" width="12.7109375" bestFit="1" customWidth="1"/>
    <col min="16039" max="16039" width="11" bestFit="1" customWidth="1"/>
    <col min="16040" max="16040" width="11.28515625" bestFit="1" customWidth="1"/>
    <col min="16041" max="16041" width="11.5703125" bestFit="1" customWidth="1"/>
    <col min="16042" max="16042" width="12.28515625" bestFit="1" customWidth="1"/>
    <col min="16043" max="16043" width="15.140625" bestFit="1" customWidth="1"/>
    <col min="16044" max="16044" width="14.42578125" bestFit="1" customWidth="1"/>
    <col min="16045" max="16045" width="12.28515625" bestFit="1" customWidth="1"/>
    <col min="16046" max="16046" width="15.140625" bestFit="1" customWidth="1"/>
    <col min="16047" max="16047" width="14.42578125" bestFit="1" customWidth="1"/>
    <col min="16048" max="16048" width="12.28515625" bestFit="1" customWidth="1"/>
    <col min="16049" max="16049" width="14.42578125" bestFit="1" customWidth="1"/>
    <col min="16050" max="16050" width="11.28515625" bestFit="1" customWidth="1"/>
    <col min="16051" max="16051" width="12.28515625" bestFit="1" customWidth="1"/>
    <col min="16052" max="16052" width="13" bestFit="1" customWidth="1"/>
    <col min="16053" max="16053" width="15.140625" bestFit="1" customWidth="1"/>
    <col min="16054" max="16054" width="12.28515625" bestFit="1" customWidth="1"/>
    <col min="16055" max="16055" width="13.85546875" bestFit="1" customWidth="1"/>
    <col min="16056" max="16056" width="11.28515625" bestFit="1" customWidth="1"/>
    <col min="16057" max="16057" width="12.28515625" bestFit="1" customWidth="1"/>
    <col min="16058" max="16058" width="13.85546875" bestFit="1" customWidth="1"/>
    <col min="16059" max="16060" width="15.140625" bestFit="1" customWidth="1"/>
    <col min="16061" max="16061" width="12.28515625" bestFit="1" customWidth="1"/>
    <col min="16062" max="16062" width="5.7109375" bestFit="1" customWidth="1"/>
    <col min="16063" max="16063" width="8.5703125" bestFit="1" customWidth="1"/>
    <col min="16064" max="16064" width="5.5703125" bestFit="1" customWidth="1"/>
    <col min="16065" max="16065" width="14.42578125" bestFit="1" customWidth="1"/>
    <col min="16066" max="16066" width="11.28515625" bestFit="1" customWidth="1"/>
    <col min="16067" max="16068" width="12.28515625" bestFit="1" customWidth="1"/>
    <col min="16069" max="16069" width="11.28515625" bestFit="1" customWidth="1"/>
    <col min="16070" max="16070" width="13.85546875" bestFit="1" customWidth="1"/>
    <col min="16071" max="16071" width="12" bestFit="1" customWidth="1"/>
    <col min="16072" max="16072" width="13.85546875" bestFit="1" customWidth="1"/>
    <col min="16073" max="16074" width="14.42578125" customWidth="1"/>
    <col min="16075" max="16075" width="10.140625" bestFit="1" customWidth="1"/>
    <col min="16076" max="16076" width="12.28515625" bestFit="1" customWidth="1"/>
    <col min="16077" max="16077" width="7.42578125" bestFit="1" customWidth="1"/>
    <col min="16078" max="16078" width="8.5703125" bestFit="1" customWidth="1"/>
    <col min="16079" max="16079" width="11.5703125" bestFit="1" customWidth="1"/>
    <col min="16080" max="16080" width="13.28515625" bestFit="1" customWidth="1"/>
    <col min="16081" max="16081" width="13.28515625" customWidth="1"/>
    <col min="16082" max="16082" width="13.140625" customWidth="1"/>
    <col min="16083" max="16083" width="12.7109375" bestFit="1" customWidth="1"/>
    <col min="16084" max="16084" width="13.28515625" bestFit="1" customWidth="1"/>
    <col min="16085" max="16087" width="13.28515625" customWidth="1"/>
    <col min="16088" max="16088" width="12.140625" bestFit="1" customWidth="1"/>
    <col min="16089" max="16089" width="12.7109375" bestFit="1" customWidth="1"/>
    <col min="16090" max="16090" width="11" customWidth="1"/>
    <col min="16091" max="16091" width="16.7109375" customWidth="1"/>
    <col min="16092" max="16092" width="17" customWidth="1"/>
    <col min="16093" max="16093" width="10.42578125" bestFit="1" customWidth="1"/>
    <col min="16137" max="16137" width="3.85546875" customWidth="1"/>
    <col min="16138" max="16138" width="15.28515625" bestFit="1" customWidth="1"/>
    <col min="16139" max="16139" width="12.28515625" customWidth="1"/>
    <col min="16140" max="16140" width="16.28515625" bestFit="1" customWidth="1"/>
    <col min="16141" max="16141" width="6.42578125" bestFit="1" customWidth="1"/>
    <col min="16142" max="16142" width="9.28515625" bestFit="1" customWidth="1"/>
    <col min="16143" max="16143" width="7.5703125" bestFit="1" customWidth="1"/>
    <col min="16144" max="16144" width="13.28515625" bestFit="1" customWidth="1"/>
    <col min="16145" max="16145" width="9.28515625" bestFit="1" customWidth="1"/>
    <col min="16146" max="16146" width="11.5703125" bestFit="1" customWidth="1"/>
    <col min="16147" max="16147" width="13.28515625" bestFit="1" customWidth="1"/>
    <col min="16148" max="16148" width="7.140625" bestFit="1" customWidth="1"/>
    <col min="16149" max="16149" width="12" bestFit="1" customWidth="1"/>
    <col min="16150" max="16150" width="13.28515625" bestFit="1" customWidth="1"/>
    <col min="16151" max="16151" width="7" bestFit="1" customWidth="1"/>
    <col min="16152" max="16152" width="12.7109375" bestFit="1" customWidth="1"/>
    <col min="16153" max="16153" width="11.5703125" bestFit="1" customWidth="1"/>
    <col min="16154" max="16154" width="10.5703125" bestFit="1" customWidth="1"/>
    <col min="16155" max="16156" width="15.7109375" bestFit="1" customWidth="1"/>
    <col min="16157" max="16157" width="11.5703125" bestFit="1" customWidth="1"/>
    <col min="16158" max="16158" width="7.7109375" bestFit="1" customWidth="1"/>
    <col min="16159" max="16159" width="15.140625" bestFit="1" customWidth="1"/>
    <col min="16160" max="16160" width="11.5703125" bestFit="1" customWidth="1"/>
    <col min="16161" max="16161" width="13.28515625" bestFit="1" customWidth="1"/>
    <col min="16162" max="16162" width="10.42578125" bestFit="1" customWidth="1"/>
    <col min="16163" max="16163" width="13.28515625" bestFit="1" customWidth="1"/>
    <col min="16164" max="16164" width="12.140625" bestFit="1" customWidth="1"/>
    <col min="16165" max="16165" width="14.42578125" bestFit="1" customWidth="1"/>
    <col min="16166" max="16166" width="13.28515625" bestFit="1" customWidth="1"/>
    <col min="16167" max="16167" width="11.5703125" bestFit="1" customWidth="1"/>
    <col min="16168" max="16168" width="7.7109375" bestFit="1" customWidth="1"/>
    <col min="16169" max="16170" width="14.42578125" bestFit="1" customWidth="1"/>
    <col min="16171" max="16171" width="11.5703125" bestFit="1" customWidth="1"/>
    <col min="16172" max="16172" width="7.7109375" bestFit="1" customWidth="1"/>
    <col min="16173" max="16173" width="13.5703125" customWidth="1"/>
    <col min="16174" max="16174" width="15.28515625" customWidth="1"/>
    <col min="16175" max="16175" width="14.5703125" customWidth="1"/>
    <col min="16176" max="16176" width="13.28515625" bestFit="1" customWidth="1"/>
    <col min="16177" max="16177" width="7.7109375" bestFit="1" customWidth="1"/>
    <col min="16178" max="16178" width="12.7109375" bestFit="1" customWidth="1"/>
    <col min="16179" max="16179" width="11.7109375" bestFit="1" customWidth="1"/>
    <col min="16180" max="16180" width="11.5703125" bestFit="1" customWidth="1"/>
    <col min="16181" max="16181" width="5.28515625" bestFit="1" customWidth="1"/>
    <col min="16182" max="16182" width="13.28515625" bestFit="1" customWidth="1"/>
    <col min="16183" max="16183" width="13.5703125" bestFit="1" customWidth="1"/>
    <col min="16184" max="16184" width="10.5703125" bestFit="1" customWidth="1"/>
    <col min="16185" max="16185" width="13.28515625" bestFit="1" customWidth="1"/>
    <col min="16186" max="16186" width="11.5703125" bestFit="1" customWidth="1"/>
    <col min="16187" max="16187" width="10.5703125" bestFit="1" customWidth="1"/>
    <col min="16188" max="16188" width="16.140625" bestFit="1" customWidth="1"/>
    <col min="16189" max="16190" width="11.28515625" bestFit="1" customWidth="1"/>
    <col min="16191" max="16191" width="13.28515625" bestFit="1" customWidth="1"/>
    <col min="16192" max="16192" width="7.7109375" bestFit="1" customWidth="1"/>
    <col min="16193" max="16196" width="9.140625" hidden="1" customWidth="1"/>
    <col min="16197" max="16197" width="10.42578125" bestFit="1" customWidth="1"/>
    <col min="16198" max="16198" width="10.5703125" bestFit="1" customWidth="1"/>
    <col min="16199" max="16199" width="10.42578125" bestFit="1" customWidth="1"/>
    <col min="16200" max="16200" width="10.5703125" bestFit="1" customWidth="1"/>
    <col min="16201" max="16201" width="9.5703125" bestFit="1" customWidth="1"/>
    <col min="16202" max="16202" width="11.5703125" bestFit="1" customWidth="1"/>
    <col min="16203" max="16203" width="10.42578125" bestFit="1" customWidth="1"/>
    <col min="16204" max="16204" width="10.85546875" customWidth="1"/>
    <col min="16205" max="16206" width="9.85546875" bestFit="1" customWidth="1"/>
    <col min="16207" max="16207" width="13.5703125" bestFit="1" customWidth="1"/>
    <col min="16208" max="16208" width="7.7109375" bestFit="1" customWidth="1"/>
    <col min="16209" max="16209" width="13.28515625" bestFit="1" customWidth="1"/>
    <col min="16210" max="16210" width="11.5703125" bestFit="1" customWidth="1"/>
    <col min="16211" max="16211" width="10.42578125" bestFit="1" customWidth="1"/>
    <col min="16212" max="16212" width="7.7109375" bestFit="1" customWidth="1"/>
    <col min="16213" max="16213" width="11.5703125" bestFit="1" customWidth="1"/>
    <col min="16214" max="16214" width="10.85546875" bestFit="1" customWidth="1"/>
    <col min="16215" max="16215" width="13.28515625" bestFit="1" customWidth="1"/>
    <col min="16216" max="16216" width="10.85546875" bestFit="1" customWidth="1"/>
    <col min="16217" max="16218" width="7.5703125" bestFit="1" customWidth="1"/>
    <col min="16219" max="16220" width="10.42578125" bestFit="1" customWidth="1"/>
    <col min="16221" max="16221" width="11.5703125" bestFit="1" customWidth="1"/>
    <col min="16222" max="16222" width="5.28515625" bestFit="1" customWidth="1"/>
    <col min="16223" max="16223" width="10.28515625" bestFit="1" customWidth="1"/>
    <col min="16224" max="16224" width="10.42578125" bestFit="1" customWidth="1"/>
    <col min="16225" max="16225" width="11.5703125" bestFit="1" customWidth="1"/>
    <col min="16226" max="16226" width="5.28515625" bestFit="1" customWidth="1"/>
    <col min="16227" max="16229" width="11.5703125" bestFit="1" customWidth="1"/>
    <col min="16230" max="16230" width="5.28515625" bestFit="1" customWidth="1"/>
    <col min="16231" max="16232" width="10.42578125" bestFit="1" customWidth="1"/>
    <col min="16233" max="16233" width="11.5703125" bestFit="1" customWidth="1"/>
    <col min="16234" max="16234" width="5.28515625" bestFit="1" customWidth="1"/>
    <col min="16235" max="16235" width="14.28515625" bestFit="1" customWidth="1"/>
    <col min="16236" max="16236" width="13" bestFit="1" customWidth="1"/>
    <col min="16237" max="16237" width="11.5703125" bestFit="1" customWidth="1"/>
    <col min="16238" max="16238" width="8.85546875" bestFit="1" customWidth="1"/>
    <col min="16239" max="16239" width="14.42578125" bestFit="1" customWidth="1"/>
    <col min="16240" max="16240" width="10.42578125" bestFit="1" customWidth="1"/>
    <col min="16241" max="16241" width="12.28515625" bestFit="1" customWidth="1"/>
    <col min="16242" max="16242" width="13.85546875" bestFit="1" customWidth="1"/>
    <col min="16243" max="16243" width="11.28515625" customWidth="1"/>
    <col min="16244" max="16244" width="11.5703125" customWidth="1"/>
    <col min="16245" max="16245" width="13.42578125" bestFit="1" customWidth="1"/>
    <col min="16246" max="16246" width="10.42578125" customWidth="1"/>
    <col min="16247" max="16247" width="13.85546875" bestFit="1" customWidth="1"/>
    <col min="16248" max="16248" width="15.42578125" bestFit="1" customWidth="1"/>
    <col min="16249" max="16249" width="12.28515625" bestFit="1" customWidth="1"/>
    <col min="16250" max="16250" width="12.7109375" customWidth="1"/>
    <col min="16251" max="16251" width="10.7109375" bestFit="1" customWidth="1"/>
    <col min="16252" max="16252" width="9.85546875" customWidth="1"/>
    <col min="16253" max="16254" width="10.140625" bestFit="1" customWidth="1"/>
    <col min="16255" max="16255" width="7.5703125" bestFit="1" customWidth="1"/>
    <col min="16256" max="16256" width="9.42578125" bestFit="1" customWidth="1"/>
    <col min="16257" max="16257" width="14.5703125" bestFit="1" customWidth="1"/>
    <col min="16258" max="16258" width="14.85546875" customWidth="1"/>
    <col min="16259" max="16259" width="15.140625" bestFit="1" customWidth="1"/>
    <col min="16260" max="16260" width="12.140625" bestFit="1" customWidth="1"/>
    <col min="16261" max="16261" width="14.85546875" bestFit="1" customWidth="1"/>
    <col min="16262" max="16262" width="12.28515625" bestFit="1" customWidth="1"/>
    <col min="16263" max="16271" width="9.140625" hidden="1" customWidth="1"/>
    <col min="16272" max="16272" width="5.28515625" bestFit="1" customWidth="1"/>
    <col min="16273" max="16278" width="11.5703125" bestFit="1" customWidth="1"/>
    <col min="16279" max="16279" width="11.28515625" bestFit="1" customWidth="1"/>
    <col min="16280" max="16280" width="10.140625" bestFit="1" customWidth="1"/>
    <col min="16281" max="16281" width="11.5703125" bestFit="1" customWidth="1"/>
    <col min="16282" max="16282" width="16.140625" customWidth="1"/>
    <col min="16283" max="16283" width="13.42578125" customWidth="1"/>
    <col min="16284" max="16284" width="10.140625" bestFit="1" customWidth="1"/>
    <col min="16285" max="16285" width="12.85546875" bestFit="1" customWidth="1"/>
    <col min="16286" max="16286" width="12.28515625" bestFit="1" customWidth="1"/>
    <col min="16287" max="16287" width="11.28515625" bestFit="1" customWidth="1"/>
    <col min="16288" max="16288" width="11.5703125" bestFit="1" customWidth="1"/>
    <col min="16289" max="16289" width="10.85546875" bestFit="1" customWidth="1"/>
    <col min="16290" max="16290" width="11.28515625" bestFit="1" customWidth="1"/>
    <col min="16291" max="16291" width="10.140625" bestFit="1" customWidth="1"/>
    <col min="16292" max="16292" width="13.28515625" bestFit="1" customWidth="1"/>
    <col min="16293" max="16294" width="12.7109375" bestFit="1" customWidth="1"/>
    <col min="16295" max="16295" width="11" bestFit="1" customWidth="1"/>
    <col min="16296" max="16296" width="11.28515625" bestFit="1" customWidth="1"/>
    <col min="16297" max="16297" width="11.5703125" bestFit="1" customWidth="1"/>
    <col min="16298" max="16298" width="12.28515625" bestFit="1" customWidth="1"/>
    <col min="16299" max="16299" width="15.140625" bestFit="1" customWidth="1"/>
    <col min="16300" max="16300" width="14.42578125" bestFit="1" customWidth="1"/>
    <col min="16301" max="16301" width="12.28515625" bestFit="1" customWidth="1"/>
    <col min="16302" max="16302" width="15.140625" bestFit="1" customWidth="1"/>
    <col min="16303" max="16303" width="14.42578125" bestFit="1" customWidth="1"/>
    <col min="16304" max="16304" width="12.28515625" bestFit="1" customWidth="1"/>
    <col min="16305" max="16305" width="14.42578125" bestFit="1" customWidth="1"/>
    <col min="16306" max="16306" width="11.28515625" bestFit="1" customWidth="1"/>
    <col min="16307" max="16307" width="12.28515625" bestFit="1" customWidth="1"/>
    <col min="16308" max="16308" width="13" bestFit="1" customWidth="1"/>
    <col min="16309" max="16309" width="15.140625" bestFit="1" customWidth="1"/>
    <col min="16310" max="16310" width="12.28515625" bestFit="1" customWidth="1"/>
    <col min="16311" max="16311" width="13.85546875" bestFit="1" customWidth="1"/>
    <col min="16312" max="16312" width="11.28515625" bestFit="1" customWidth="1"/>
    <col min="16313" max="16313" width="12.28515625" bestFit="1" customWidth="1"/>
    <col min="16314" max="16314" width="13.85546875" bestFit="1" customWidth="1"/>
    <col min="16315" max="16316" width="15.140625" bestFit="1" customWidth="1"/>
    <col min="16317" max="16317" width="12.28515625" bestFit="1" customWidth="1"/>
    <col min="16318" max="16318" width="5.7109375" bestFit="1" customWidth="1"/>
    <col min="16319" max="16319" width="8.5703125" bestFit="1" customWidth="1"/>
    <col min="16320" max="16320" width="5.5703125" bestFit="1" customWidth="1"/>
    <col min="16321" max="16321" width="14.42578125" bestFit="1" customWidth="1"/>
    <col min="16322" max="16322" width="11.28515625" bestFit="1" customWidth="1"/>
    <col min="16323" max="16324" width="12.28515625" bestFit="1" customWidth="1"/>
    <col min="16325" max="16325" width="11.28515625" bestFit="1" customWidth="1"/>
    <col min="16326" max="16326" width="13.85546875" bestFit="1" customWidth="1"/>
    <col min="16327" max="16327" width="12" bestFit="1" customWidth="1"/>
    <col min="16328" max="16328" width="13.85546875" bestFit="1" customWidth="1"/>
    <col min="16329" max="16330" width="14.42578125" customWidth="1"/>
    <col min="16331" max="16331" width="10.140625" bestFit="1" customWidth="1"/>
    <col min="16332" max="16332" width="12.28515625" bestFit="1" customWidth="1"/>
    <col min="16333" max="16333" width="7.42578125" bestFit="1" customWidth="1"/>
    <col min="16334" max="16334" width="8.5703125" bestFit="1" customWidth="1"/>
    <col min="16335" max="16335" width="11.5703125" bestFit="1" customWidth="1"/>
    <col min="16336" max="16336" width="13.28515625" bestFit="1" customWidth="1"/>
    <col min="16337" max="16337" width="13.28515625" customWidth="1"/>
    <col min="16338" max="16338" width="13.140625" customWidth="1"/>
    <col min="16339" max="16339" width="12.7109375" bestFit="1" customWidth="1"/>
    <col min="16340" max="16340" width="13.28515625" bestFit="1" customWidth="1"/>
    <col min="16341" max="16343" width="13.28515625" customWidth="1"/>
    <col min="16344" max="16344" width="12.140625" bestFit="1" customWidth="1"/>
    <col min="16345" max="16345" width="12.7109375" bestFit="1" customWidth="1"/>
    <col min="16346" max="16346" width="11" customWidth="1"/>
    <col min="16347" max="16347" width="16.7109375" customWidth="1"/>
    <col min="16348" max="16348" width="17" customWidth="1"/>
    <col min="16349" max="16349" width="10.42578125" bestFit="1" customWidth="1"/>
  </cols>
  <sheetData>
    <row r="1" spans="1:293" ht="23.25" x14ac:dyDescent="0.25">
      <c r="A1" s="1" t="s">
        <v>0</v>
      </c>
      <c r="F1" s="288" t="s">
        <v>425</v>
      </c>
      <c r="H1" s="271" t="s">
        <v>422</v>
      </c>
      <c r="BH1" s="265" t="s">
        <v>418</v>
      </c>
      <c r="CE1" s="2"/>
      <c r="DW1" s="277" t="s">
        <v>429</v>
      </c>
      <c r="ED1" s="3"/>
      <c r="EE1" s="3"/>
      <c r="EN1" s="265" t="s">
        <v>419</v>
      </c>
      <c r="EP1" s="2"/>
      <c r="FD1" s="2"/>
      <c r="GT1" s="534" t="s">
        <v>398</v>
      </c>
      <c r="HF1" s="534" t="s">
        <v>397</v>
      </c>
      <c r="KF1" s="259"/>
    </row>
    <row r="2" spans="1:293" x14ac:dyDescent="0.25">
      <c r="A2" s="1" t="s">
        <v>184</v>
      </c>
      <c r="BH2" s="267" t="s">
        <v>15</v>
      </c>
      <c r="ED2" s="3"/>
      <c r="EN2" s="267" t="s">
        <v>433</v>
      </c>
      <c r="EP2" s="2"/>
      <c r="FF2" s="273" t="s">
        <v>426</v>
      </c>
      <c r="GA2" t="s">
        <v>211</v>
      </c>
      <c r="GP2" s="447" t="s">
        <v>210</v>
      </c>
      <c r="GQ2" s="447"/>
      <c r="GT2" s="534"/>
      <c r="HF2" s="534"/>
      <c r="ID2" s="282" t="s">
        <v>430</v>
      </c>
      <c r="KF2" s="259"/>
    </row>
    <row r="3" spans="1:293" x14ac:dyDescent="0.25">
      <c r="A3" s="448" t="s">
        <v>1</v>
      </c>
      <c r="B3" s="449" t="s">
        <v>2</v>
      </c>
      <c r="C3" s="449"/>
      <c r="D3" s="449"/>
      <c r="E3" s="449"/>
      <c r="F3" s="449"/>
      <c r="G3" s="449"/>
      <c r="H3" s="420" t="s">
        <v>3</v>
      </c>
      <c r="I3" s="420"/>
      <c r="J3" s="420"/>
      <c r="K3" s="420"/>
      <c r="L3" s="420"/>
      <c r="M3" s="420"/>
      <c r="N3" s="420"/>
      <c r="O3" s="420" t="s">
        <v>4</v>
      </c>
      <c r="P3" s="420"/>
      <c r="Q3" s="420"/>
      <c r="R3" s="420"/>
      <c r="S3" s="420"/>
      <c r="T3" s="420"/>
      <c r="U3" s="420"/>
      <c r="V3" s="420"/>
      <c r="W3" s="420"/>
      <c r="X3" s="420"/>
      <c r="Y3" s="420"/>
      <c r="Z3" s="420"/>
      <c r="AA3" s="420"/>
      <c r="AB3" s="420"/>
      <c r="AC3" s="420"/>
      <c r="AD3" s="420"/>
      <c r="AE3" s="420"/>
      <c r="AF3" s="420"/>
      <c r="AG3" s="420"/>
      <c r="AH3" s="420"/>
      <c r="AI3" s="420"/>
      <c r="AJ3" s="420"/>
      <c r="AK3" s="420"/>
      <c r="AL3" s="420"/>
      <c r="AM3" s="420"/>
      <c r="AN3" s="420"/>
      <c r="AO3" s="420"/>
      <c r="AP3" s="420"/>
      <c r="AQ3" s="420"/>
      <c r="AR3" s="420"/>
      <c r="AS3" s="420"/>
      <c r="AT3" s="420"/>
      <c r="AU3" s="420"/>
      <c r="AV3" s="420"/>
      <c r="AW3" s="420"/>
      <c r="AX3" s="420"/>
      <c r="AY3" s="420"/>
      <c r="AZ3" s="420"/>
      <c r="BA3" s="420"/>
      <c r="BB3" s="420"/>
      <c r="BC3" s="420"/>
      <c r="BD3" s="420"/>
      <c r="BE3" s="433" t="s">
        <v>405</v>
      </c>
      <c r="BF3" s="445"/>
      <c r="BG3" s="434"/>
      <c r="BH3" s="403" t="s">
        <v>6</v>
      </c>
      <c r="BI3" s="417"/>
      <c r="BJ3" s="404"/>
      <c r="BK3" s="433" t="s">
        <v>7</v>
      </c>
      <c r="BL3" s="445"/>
      <c r="BM3" s="445"/>
      <c r="BN3" s="445"/>
      <c r="BO3" s="445"/>
      <c r="BP3" s="434"/>
      <c r="BQ3" s="420" t="s">
        <v>8</v>
      </c>
      <c r="BR3" s="420"/>
      <c r="BS3" s="450"/>
      <c r="BT3" s="451"/>
      <c r="BU3" s="420" t="s">
        <v>9</v>
      </c>
      <c r="BV3" s="420"/>
      <c r="BW3" s="420"/>
      <c r="BX3" s="420"/>
      <c r="BY3" s="420"/>
      <c r="BZ3" s="420"/>
      <c r="CA3" s="420"/>
      <c r="CB3" s="420"/>
      <c r="CC3" s="420"/>
      <c r="CD3" s="420"/>
      <c r="CE3" s="420"/>
      <c r="CF3" s="420"/>
      <c r="CG3" s="420"/>
      <c r="CH3" s="420"/>
      <c r="CI3" s="420"/>
      <c r="CJ3" s="420"/>
      <c r="CK3" s="420"/>
      <c r="CL3" s="420"/>
      <c r="CM3" s="420"/>
      <c r="CN3" s="420"/>
      <c r="CO3" s="420"/>
      <c r="CP3" s="420"/>
      <c r="CQ3" s="420"/>
      <c r="CR3" s="420"/>
      <c r="CS3" s="420"/>
      <c r="CT3" s="420"/>
      <c r="CU3" s="420"/>
      <c r="CV3" s="420"/>
      <c r="CW3" s="420"/>
      <c r="CX3" s="420"/>
      <c r="CY3" s="420"/>
      <c r="CZ3" s="420"/>
      <c r="DA3" s="420"/>
      <c r="DB3" s="420"/>
      <c r="DC3" s="420"/>
      <c r="DD3" s="420"/>
      <c r="DE3" s="420"/>
      <c r="DF3" s="420"/>
      <c r="DG3" s="420"/>
      <c r="DH3" s="438" t="s">
        <v>10</v>
      </c>
      <c r="DI3" s="421" t="s">
        <v>11</v>
      </c>
      <c r="DJ3" s="421"/>
      <c r="DK3" s="421"/>
      <c r="DL3" s="421"/>
      <c r="DM3" s="421"/>
      <c r="DN3" s="421"/>
      <c r="DO3" s="421"/>
      <c r="DP3" s="421"/>
      <c r="DQ3" s="408" t="s">
        <v>400</v>
      </c>
      <c r="DR3" s="409"/>
      <c r="DS3" s="408" t="s">
        <v>399</v>
      </c>
      <c r="DT3" s="409"/>
      <c r="DU3" s="440" t="s">
        <v>13</v>
      </c>
      <c r="DV3" s="441"/>
      <c r="DW3" s="441"/>
      <c r="DX3" s="441"/>
      <c r="DY3" s="441"/>
      <c r="DZ3" s="441"/>
      <c r="EA3" s="441"/>
      <c r="EB3" s="441"/>
      <c r="EC3" s="442"/>
      <c r="ED3" s="4"/>
      <c r="EE3" s="440" t="s">
        <v>14</v>
      </c>
      <c r="EF3" s="441"/>
      <c r="EG3" s="441"/>
      <c r="EH3" s="441"/>
      <c r="EI3" s="441"/>
      <c r="EJ3" s="441"/>
      <c r="EK3" s="441"/>
      <c r="EL3" s="441"/>
      <c r="EM3" s="442"/>
      <c r="EN3" s="5"/>
      <c r="EO3" s="446" t="s">
        <v>15</v>
      </c>
      <c r="EP3" s="446"/>
      <c r="EQ3" s="446"/>
      <c r="ER3" s="446"/>
      <c r="ES3" s="446"/>
      <c r="ET3" s="446"/>
      <c r="EU3" s="446"/>
      <c r="EV3" s="446"/>
      <c r="EW3" s="446"/>
      <c r="EX3" s="446"/>
      <c r="EY3" s="446"/>
      <c r="EZ3" s="446"/>
      <c r="FA3" s="446"/>
      <c r="FB3" s="446"/>
      <c r="FC3" s="446"/>
      <c r="FD3" s="446"/>
      <c r="FE3" s="446" t="s">
        <v>16</v>
      </c>
      <c r="FF3" s="446"/>
      <c r="FG3" s="446"/>
      <c r="FH3" s="446"/>
      <c r="FI3" s="446"/>
      <c r="FJ3" s="446"/>
      <c r="FK3" s="446"/>
      <c r="FL3" s="446"/>
      <c r="FM3" s="446"/>
      <c r="FN3" s="446"/>
      <c r="FO3" s="446"/>
      <c r="FP3" s="446"/>
      <c r="FQ3" s="446"/>
      <c r="FR3" s="446"/>
      <c r="FS3" s="446"/>
      <c r="FT3" s="446"/>
      <c r="FU3" s="446"/>
      <c r="FV3" s="446" t="s">
        <v>17</v>
      </c>
      <c r="FW3" s="446"/>
      <c r="FX3" s="446"/>
      <c r="FY3" s="446"/>
      <c r="FZ3" s="446"/>
      <c r="GA3" s="446"/>
      <c r="GB3" s="446"/>
      <c r="GC3" s="446"/>
      <c r="GD3" s="446"/>
      <c r="GE3" s="446"/>
      <c r="GF3" s="446"/>
      <c r="GG3" s="446"/>
      <c r="GH3" s="404" t="s">
        <v>18</v>
      </c>
      <c r="GI3" s="402"/>
      <c r="GJ3" s="402"/>
      <c r="GK3" s="402"/>
      <c r="GL3" s="402"/>
      <c r="GM3" s="402"/>
      <c r="GN3" s="403" t="s">
        <v>202</v>
      </c>
      <c r="GO3" s="417"/>
      <c r="GP3" s="404"/>
      <c r="GQ3" s="403" t="s">
        <v>209</v>
      </c>
      <c r="GR3" s="417"/>
      <c r="GS3" s="404"/>
      <c r="GT3" s="534"/>
      <c r="GU3" s="273" t="s">
        <v>423</v>
      </c>
      <c r="HF3" s="534"/>
      <c r="HH3" s="406" t="s">
        <v>256</v>
      </c>
      <c r="HI3" s="406"/>
      <c r="HJ3" s="406"/>
      <c r="HK3" s="406"/>
      <c r="HL3" s="406"/>
      <c r="HM3" s="406"/>
      <c r="HN3" s="406"/>
      <c r="HO3" s="406"/>
      <c r="HP3" s="406"/>
      <c r="HQ3" s="406"/>
      <c r="HR3" s="406"/>
      <c r="HS3" s="406"/>
      <c r="HT3" s="406"/>
      <c r="HU3" s="406"/>
      <c r="HV3" s="406"/>
      <c r="HW3" s="406"/>
      <c r="HX3" s="406"/>
      <c r="HY3" s="406"/>
      <c r="HZ3" s="406"/>
      <c r="IA3" s="406"/>
      <c r="IB3" s="406"/>
      <c r="IC3" s="406"/>
      <c r="ID3" s="406"/>
      <c r="IE3" s="406"/>
      <c r="IF3" s="406"/>
      <c r="IG3" s="406"/>
      <c r="IH3" s="406"/>
      <c r="II3" s="406"/>
      <c r="IJ3" s="406"/>
      <c r="IK3" s="406"/>
      <c r="IL3" s="406"/>
      <c r="IM3" s="406"/>
      <c r="IN3" s="406"/>
      <c r="IO3" s="406"/>
      <c r="IP3" s="406"/>
      <c r="IQ3" s="406"/>
      <c r="IR3" s="406"/>
      <c r="IS3" s="406"/>
      <c r="IT3" s="406"/>
      <c r="IU3" s="406"/>
      <c r="IV3" s="406"/>
      <c r="IW3" s="406"/>
      <c r="IX3" s="406"/>
      <c r="IY3" s="406"/>
      <c r="IZ3" s="406"/>
      <c r="JA3" s="406"/>
      <c r="JB3" s="406"/>
      <c r="JC3" s="406"/>
      <c r="JD3" s="406"/>
      <c r="JE3" s="406"/>
      <c r="JF3" s="406"/>
      <c r="JG3" s="406"/>
      <c r="JH3" s="406"/>
      <c r="JI3" s="406"/>
      <c r="JJ3" s="406"/>
      <c r="JK3" s="406"/>
      <c r="JL3" s="406"/>
      <c r="JM3" s="406"/>
      <c r="JN3" s="406"/>
      <c r="JO3" s="406"/>
      <c r="JP3" s="406"/>
      <c r="JQ3" s="406"/>
      <c r="JR3" s="406"/>
      <c r="JS3" s="406"/>
      <c r="JT3" s="406"/>
      <c r="JU3" s="406"/>
      <c r="JV3" s="406"/>
      <c r="JW3" s="406"/>
      <c r="JX3" s="406"/>
      <c r="JY3" s="406"/>
      <c r="JZ3" s="406"/>
      <c r="KA3" s="406"/>
      <c r="KB3" s="406"/>
      <c r="KC3" s="406"/>
      <c r="KD3" s="406"/>
      <c r="KE3" s="406"/>
      <c r="KF3" s="259"/>
    </row>
    <row r="4" spans="1:293" x14ac:dyDescent="0.25">
      <c r="A4" s="448"/>
      <c r="B4" s="449"/>
      <c r="C4" s="449"/>
      <c r="D4" s="449"/>
      <c r="E4" s="449"/>
      <c r="F4" s="449"/>
      <c r="G4" s="449"/>
      <c r="H4" s="420"/>
      <c r="I4" s="420"/>
      <c r="J4" s="420"/>
      <c r="K4" s="420"/>
      <c r="L4" s="420"/>
      <c r="M4" s="420"/>
      <c r="N4" s="420"/>
      <c r="O4" s="420" t="s">
        <v>20</v>
      </c>
      <c r="P4" s="420"/>
      <c r="Q4" s="420"/>
      <c r="R4" s="420"/>
      <c r="S4" s="420"/>
      <c r="T4" s="420"/>
      <c r="U4" s="420"/>
      <c r="V4" s="420"/>
      <c r="W4" s="420"/>
      <c r="X4" s="420"/>
      <c r="Y4" s="420"/>
      <c r="Z4" s="420"/>
      <c r="AA4" s="420"/>
      <c r="AB4" s="420"/>
      <c r="AC4" s="420"/>
      <c r="AD4" s="420"/>
      <c r="AE4" s="420"/>
      <c r="AF4" s="420"/>
      <c r="AG4" s="420"/>
      <c r="AH4" s="420"/>
      <c r="AI4" s="420"/>
      <c r="AJ4" s="236"/>
      <c r="AK4" s="430" t="s">
        <v>21</v>
      </c>
      <c r="AL4" s="420" t="s">
        <v>22</v>
      </c>
      <c r="AM4" s="420"/>
      <c r="AN4" s="420"/>
      <c r="AO4" s="420"/>
      <c r="AP4" s="420"/>
      <c r="AQ4" s="420"/>
      <c r="AR4" s="420"/>
      <c r="AS4" s="420"/>
      <c r="AT4" s="420"/>
      <c r="AU4" s="420"/>
      <c r="AV4" s="420"/>
      <c r="AW4" s="420"/>
      <c r="AX4" s="420"/>
      <c r="AY4" s="420"/>
      <c r="AZ4" s="420"/>
      <c r="BA4" s="420"/>
      <c r="BB4" s="420"/>
      <c r="BC4" s="420"/>
      <c r="BD4" s="430" t="s">
        <v>23</v>
      </c>
      <c r="BE4" s="420" t="s">
        <v>24</v>
      </c>
      <c r="BF4" s="420"/>
      <c r="BG4" s="420"/>
      <c r="BH4" s="236"/>
      <c r="BI4" s="236"/>
      <c r="BJ4" s="236"/>
      <c r="BK4" s="420" t="s">
        <v>25</v>
      </c>
      <c r="BL4" s="420"/>
      <c r="BM4" s="420" t="s">
        <v>26</v>
      </c>
      <c r="BN4" s="420"/>
      <c r="BO4" s="427" t="s">
        <v>27</v>
      </c>
      <c r="BP4" s="427"/>
      <c r="BQ4" s="420"/>
      <c r="BR4" s="420"/>
      <c r="BS4" s="428" t="s">
        <v>28</v>
      </c>
      <c r="BT4" s="429"/>
      <c r="BU4" s="420"/>
      <c r="BV4" s="420"/>
      <c r="BW4" s="420"/>
      <c r="BX4" s="420"/>
      <c r="BY4" s="420"/>
      <c r="BZ4" s="420"/>
      <c r="CA4" s="420"/>
      <c r="CB4" s="420"/>
      <c r="CC4" s="420"/>
      <c r="CD4" s="420"/>
      <c r="CE4" s="420"/>
      <c r="CF4" s="420"/>
      <c r="CG4" s="420"/>
      <c r="CH4" s="420"/>
      <c r="CI4" s="420"/>
      <c r="CJ4" s="420"/>
      <c r="CK4" s="420"/>
      <c r="CL4" s="420"/>
      <c r="CM4" s="420"/>
      <c r="CN4" s="420"/>
      <c r="CO4" s="420"/>
      <c r="CP4" s="420"/>
      <c r="CQ4" s="420"/>
      <c r="CR4" s="420"/>
      <c r="CS4" s="420"/>
      <c r="CT4" s="420"/>
      <c r="CU4" s="420"/>
      <c r="CV4" s="420"/>
      <c r="CW4" s="420"/>
      <c r="CX4" s="420"/>
      <c r="CY4" s="420"/>
      <c r="CZ4" s="420"/>
      <c r="DA4" s="420"/>
      <c r="DB4" s="420"/>
      <c r="DC4" s="420"/>
      <c r="DD4" s="420"/>
      <c r="DE4" s="420"/>
      <c r="DF4" s="420"/>
      <c r="DG4" s="420"/>
      <c r="DH4" s="439"/>
      <c r="DI4" s="421"/>
      <c r="DJ4" s="421"/>
      <c r="DK4" s="421"/>
      <c r="DL4" s="421"/>
      <c r="DM4" s="421"/>
      <c r="DN4" s="421"/>
      <c r="DO4" s="421"/>
      <c r="DP4" s="421"/>
      <c r="DQ4" s="410"/>
      <c r="DR4" s="411"/>
      <c r="DS4" s="410"/>
      <c r="DT4" s="411"/>
      <c r="DU4" s="435" t="s">
        <v>29</v>
      </c>
      <c r="DV4" s="436"/>
      <c r="DW4" s="437"/>
      <c r="DX4" s="435" t="s">
        <v>30</v>
      </c>
      <c r="DY4" s="436"/>
      <c r="DZ4" s="437"/>
      <c r="EA4" s="435"/>
      <c r="EB4" s="436"/>
      <c r="EC4" s="437"/>
      <c r="ED4" s="8" t="s">
        <v>31</v>
      </c>
      <c r="EE4" s="435"/>
      <c r="EF4" s="436"/>
      <c r="EG4" s="437"/>
      <c r="EH4" s="435"/>
      <c r="EI4" s="436"/>
      <c r="EJ4" s="437"/>
      <c r="EK4" s="435"/>
      <c r="EL4" s="436"/>
      <c r="EM4" s="437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403" t="s">
        <v>33</v>
      </c>
      <c r="FW4" s="417"/>
      <c r="FX4" s="417"/>
      <c r="FY4" s="417" t="s">
        <v>33</v>
      </c>
      <c r="FZ4" s="417"/>
      <c r="GA4" s="417"/>
      <c r="GB4" s="417"/>
      <c r="GC4" s="417"/>
      <c r="GD4" s="417"/>
      <c r="GE4" s="417"/>
      <c r="GF4" s="417"/>
      <c r="GG4" s="404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GT4" s="534"/>
      <c r="HF4" s="534"/>
      <c r="HG4" s="535" t="s">
        <v>252</v>
      </c>
      <c r="HH4" s="541" t="s">
        <v>106</v>
      </c>
      <c r="HI4" s="541"/>
      <c r="HJ4" s="541"/>
      <c r="HK4" s="541" t="s">
        <v>258</v>
      </c>
      <c r="HL4" s="541"/>
      <c r="HM4" s="541"/>
      <c r="HN4" s="536" t="s">
        <v>259</v>
      </c>
      <c r="HO4" s="537"/>
      <c r="HP4" s="537"/>
      <c r="HQ4" s="537"/>
      <c r="HR4" s="537"/>
      <c r="HS4" s="537"/>
      <c r="HT4" s="537"/>
      <c r="HU4" s="537"/>
      <c r="HV4" s="537"/>
      <c r="HW4" s="537"/>
      <c r="HX4" s="537"/>
      <c r="HY4" s="537"/>
      <c r="HZ4" s="537"/>
      <c r="IA4" s="537"/>
      <c r="IB4" s="537"/>
      <c r="IC4" s="537"/>
      <c r="ID4" s="537"/>
      <c r="IE4" s="537"/>
      <c r="IF4" s="537"/>
      <c r="IG4" s="537"/>
      <c r="IH4" s="538"/>
      <c r="II4" s="539" t="s">
        <v>283</v>
      </c>
      <c r="IJ4" s="493" t="s">
        <v>204</v>
      </c>
      <c r="IK4" s="493"/>
      <c r="IL4" s="493"/>
      <c r="IM4" s="493"/>
      <c r="IN4" s="493"/>
      <c r="IO4" s="493"/>
      <c r="IP4" s="493"/>
      <c r="IQ4" s="493"/>
      <c r="IR4" s="493"/>
      <c r="IS4" s="493"/>
      <c r="IT4" s="493"/>
      <c r="IU4" s="493"/>
      <c r="IV4" s="492" t="s">
        <v>260</v>
      </c>
      <c r="IW4" s="492"/>
      <c r="IX4" s="492"/>
      <c r="IY4" s="492"/>
      <c r="IZ4" s="492"/>
      <c r="JA4" s="492"/>
      <c r="JB4" s="492"/>
      <c r="JC4" s="492"/>
      <c r="JD4" s="492"/>
      <c r="JE4" s="492"/>
      <c r="JF4" s="492"/>
      <c r="JG4" s="492"/>
      <c r="JH4" s="492"/>
      <c r="JI4" s="492"/>
      <c r="JJ4" s="492"/>
      <c r="JK4" s="492"/>
      <c r="JL4" s="492"/>
      <c r="JM4" s="492"/>
      <c r="JN4" s="496" t="s">
        <v>261</v>
      </c>
      <c r="JO4" s="496"/>
      <c r="JP4" s="496"/>
      <c r="JQ4" s="496"/>
      <c r="JR4" s="496"/>
      <c r="JS4" s="496"/>
      <c r="JT4" s="496"/>
      <c r="JU4" s="496"/>
      <c r="JV4" s="496"/>
      <c r="JW4" s="496"/>
      <c r="JX4" s="496"/>
      <c r="JY4" s="496"/>
      <c r="JZ4" s="496"/>
      <c r="KA4" s="496"/>
      <c r="KB4" s="496"/>
      <c r="KC4" s="496"/>
      <c r="KD4" s="496"/>
      <c r="KE4" s="496"/>
      <c r="KF4" s="259"/>
      <c r="KG4" t="s">
        <v>98</v>
      </c>
    </row>
    <row r="5" spans="1:293" x14ac:dyDescent="0.25">
      <c r="A5" s="448"/>
      <c r="B5" s="452" t="s">
        <v>35</v>
      </c>
      <c r="C5" s="452"/>
      <c r="D5" s="452"/>
      <c r="E5" s="452" t="s">
        <v>36</v>
      </c>
      <c r="F5" s="452"/>
      <c r="G5" s="239" t="s">
        <v>37</v>
      </c>
      <c r="H5" s="420" t="s">
        <v>38</v>
      </c>
      <c r="I5" s="420"/>
      <c r="J5" s="420"/>
      <c r="K5" s="420"/>
      <c r="L5" s="420" t="s">
        <v>39</v>
      </c>
      <c r="M5" s="420"/>
      <c r="N5" s="420"/>
      <c r="O5" s="420" t="s">
        <v>40</v>
      </c>
      <c r="P5" s="420"/>
      <c r="Q5" s="420"/>
      <c r="R5" s="236"/>
      <c r="S5" s="420" t="s">
        <v>41</v>
      </c>
      <c r="T5" s="420"/>
      <c r="U5" s="420" t="s">
        <v>42</v>
      </c>
      <c r="V5" s="420"/>
      <c r="W5" s="420" t="s">
        <v>43</v>
      </c>
      <c r="X5" s="420"/>
      <c r="Y5" s="431" t="s">
        <v>44</v>
      </c>
      <c r="Z5" s="432"/>
      <c r="AA5" s="433" t="s">
        <v>188</v>
      </c>
      <c r="AB5" s="434"/>
      <c r="AC5" s="420" t="s">
        <v>45</v>
      </c>
      <c r="AD5" s="420"/>
      <c r="AE5" s="420"/>
      <c r="AF5" s="420"/>
      <c r="AG5" s="420" t="s">
        <v>46</v>
      </c>
      <c r="AH5" s="420"/>
      <c r="AI5" s="420"/>
      <c r="AJ5" s="420"/>
      <c r="AK5" s="430"/>
      <c r="AL5" s="421" t="s">
        <v>47</v>
      </c>
      <c r="AM5" s="421"/>
      <c r="AN5" s="421"/>
      <c r="AO5" s="421"/>
      <c r="AP5" s="421" t="s">
        <v>48</v>
      </c>
      <c r="AQ5" s="421"/>
      <c r="AR5" s="421"/>
      <c r="AS5" s="421"/>
      <c r="AT5" s="422" t="s">
        <v>49</v>
      </c>
      <c r="AU5" s="423"/>
      <c r="AV5" s="422" t="s">
        <v>50</v>
      </c>
      <c r="AW5" s="423"/>
      <c r="AX5" s="421" t="s">
        <v>51</v>
      </c>
      <c r="AY5" s="421"/>
      <c r="AZ5" s="421"/>
      <c r="BA5" s="421" t="s">
        <v>52</v>
      </c>
      <c r="BB5" s="421"/>
      <c r="BC5" s="421"/>
      <c r="BD5" s="430"/>
      <c r="BE5" s="420"/>
      <c r="BF5" s="420"/>
      <c r="BG5" s="420"/>
      <c r="BH5" s="245"/>
      <c r="BI5" s="245"/>
      <c r="BJ5" s="245"/>
      <c r="BK5" s="420"/>
      <c r="BL5" s="420"/>
      <c r="BM5" s="420"/>
      <c r="BN5" s="420"/>
      <c r="BO5" s="427"/>
      <c r="BP5" s="427"/>
      <c r="BQ5" s="420"/>
      <c r="BR5" s="420"/>
      <c r="BS5" s="443" t="s">
        <v>53</v>
      </c>
      <c r="BT5" s="444"/>
      <c r="BU5" s="420" t="s">
        <v>54</v>
      </c>
      <c r="BV5" s="420"/>
      <c r="BW5" s="420"/>
      <c r="BX5" s="420"/>
      <c r="BY5" s="433" t="s">
        <v>55</v>
      </c>
      <c r="BZ5" s="445"/>
      <c r="CA5" s="445"/>
      <c r="CB5" s="434"/>
      <c r="CC5" s="420" t="s">
        <v>56</v>
      </c>
      <c r="CD5" s="420"/>
      <c r="CE5" s="420" t="s">
        <v>57</v>
      </c>
      <c r="CF5" s="420"/>
      <c r="CG5" s="420" t="s">
        <v>58</v>
      </c>
      <c r="CH5" s="420"/>
      <c r="CI5" s="420" t="s">
        <v>59</v>
      </c>
      <c r="CJ5" s="420"/>
      <c r="CK5" s="420"/>
      <c r="CL5" s="420"/>
      <c r="CM5" s="420" t="s">
        <v>60</v>
      </c>
      <c r="CN5" s="420"/>
      <c r="CO5" s="420"/>
      <c r="CP5" s="420"/>
      <c r="CQ5" s="421" t="s">
        <v>61</v>
      </c>
      <c r="CR5" s="421"/>
      <c r="CS5" s="421"/>
      <c r="CT5" s="421"/>
      <c r="CU5" s="421" t="s">
        <v>62</v>
      </c>
      <c r="CV5" s="421"/>
      <c r="CW5" s="421"/>
      <c r="CX5" s="421"/>
      <c r="CY5" s="421" t="s">
        <v>63</v>
      </c>
      <c r="CZ5" s="421"/>
      <c r="DA5" s="421"/>
      <c r="DB5" s="421"/>
      <c r="DC5" s="421" t="s">
        <v>64</v>
      </c>
      <c r="DD5" s="421"/>
      <c r="DE5" s="421"/>
      <c r="DF5" s="421"/>
      <c r="DG5" s="237" t="s">
        <v>65</v>
      </c>
      <c r="DH5" s="237"/>
      <c r="DI5" s="421"/>
      <c r="DJ5" s="421"/>
      <c r="DK5" s="421"/>
      <c r="DL5" s="421"/>
      <c r="DM5" s="421"/>
      <c r="DN5" s="421"/>
      <c r="DO5" s="421"/>
      <c r="DP5" s="421"/>
      <c r="DQ5" s="412"/>
      <c r="DR5" s="413"/>
      <c r="DS5" s="412"/>
      <c r="DT5" s="413"/>
      <c r="DU5" s="424" t="s">
        <v>66</v>
      </c>
      <c r="DV5" s="425"/>
      <c r="DW5" s="426"/>
      <c r="DX5" s="424" t="s">
        <v>67</v>
      </c>
      <c r="DY5" s="425"/>
      <c r="DZ5" s="426"/>
      <c r="EA5" s="424" t="s">
        <v>68</v>
      </c>
      <c r="EB5" s="425"/>
      <c r="EC5" s="426"/>
      <c r="ED5" s="18"/>
      <c r="EE5" s="424" t="s">
        <v>69</v>
      </c>
      <c r="EF5" s="425"/>
      <c r="EG5" s="426"/>
      <c r="EH5" s="424" t="s">
        <v>70</v>
      </c>
      <c r="EI5" s="425"/>
      <c r="EJ5" s="426"/>
      <c r="EK5" s="424" t="s">
        <v>71</v>
      </c>
      <c r="EL5" s="425"/>
      <c r="EM5" s="426"/>
      <c r="EN5" s="19"/>
      <c r="EO5" s="403" t="s">
        <v>72</v>
      </c>
      <c r="EP5" s="417"/>
      <c r="EQ5" s="404"/>
      <c r="ER5" s="403" t="s">
        <v>73</v>
      </c>
      <c r="ES5" s="417"/>
      <c r="ET5" s="404"/>
      <c r="EU5" s="403" t="s">
        <v>74</v>
      </c>
      <c r="EV5" s="417"/>
      <c r="EW5" s="404"/>
      <c r="EX5" s="403" t="s">
        <v>75</v>
      </c>
      <c r="EY5" s="417"/>
      <c r="EZ5" s="404"/>
      <c r="FA5" s="235"/>
      <c r="FB5" s="403" t="s">
        <v>76</v>
      </c>
      <c r="FC5" s="404"/>
      <c r="FD5" s="245" t="s">
        <v>77</v>
      </c>
      <c r="FE5" s="403" t="s">
        <v>72</v>
      </c>
      <c r="FF5" s="417"/>
      <c r="FG5" s="404"/>
      <c r="FH5" s="403" t="s">
        <v>73</v>
      </c>
      <c r="FI5" s="417"/>
      <c r="FJ5" s="404"/>
      <c r="FK5" s="10" t="s">
        <v>78</v>
      </c>
      <c r="FL5" s="11"/>
      <c r="FM5" s="21"/>
      <c r="FN5" s="403" t="s">
        <v>75</v>
      </c>
      <c r="FO5" s="417"/>
      <c r="FP5" s="404"/>
      <c r="FQ5" s="403" t="s">
        <v>79</v>
      </c>
      <c r="FR5" s="417"/>
      <c r="FS5" s="404"/>
      <c r="FT5" s="235"/>
      <c r="FU5" s="245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T5" s="534"/>
      <c r="GU5" s="24" t="s">
        <v>199</v>
      </c>
      <c r="HF5" s="534"/>
      <c r="HG5" s="535"/>
      <c r="HH5" s="61"/>
      <c r="HI5" s="61" t="s">
        <v>407</v>
      </c>
      <c r="HJ5" s="61"/>
      <c r="HK5" s="61"/>
      <c r="HL5" s="61" t="s">
        <v>408</v>
      </c>
      <c r="HM5" s="61"/>
      <c r="HN5" s="531" t="s">
        <v>406</v>
      </c>
      <c r="HO5" s="532"/>
      <c r="HP5" s="533"/>
      <c r="HQ5" s="531" t="s">
        <v>260</v>
      </c>
      <c r="HR5" s="532"/>
      <c r="HS5" s="533"/>
      <c r="HT5" s="531" t="s">
        <v>261</v>
      </c>
      <c r="HU5" s="532"/>
      <c r="HV5" s="533"/>
      <c r="HW5" s="531" t="s">
        <v>318</v>
      </c>
      <c r="HX5" s="532"/>
      <c r="HY5" s="533"/>
      <c r="HZ5" s="531" t="s">
        <v>346</v>
      </c>
      <c r="IA5" s="532"/>
      <c r="IB5" s="533"/>
      <c r="IC5" s="531" t="s">
        <v>357</v>
      </c>
      <c r="ID5" s="532"/>
      <c r="IE5" s="533"/>
      <c r="IF5" s="535" t="s">
        <v>65</v>
      </c>
      <c r="IG5" s="535"/>
      <c r="IH5" s="535"/>
      <c r="II5" s="540"/>
      <c r="IJ5" s="402" t="s">
        <v>262</v>
      </c>
      <c r="IK5" s="402"/>
      <c r="IL5" s="402"/>
      <c r="IM5" s="402" t="s">
        <v>263</v>
      </c>
      <c r="IN5" s="402"/>
      <c r="IO5" s="402"/>
      <c r="IP5" s="402" t="s">
        <v>264</v>
      </c>
      <c r="IQ5" s="402"/>
      <c r="IR5" s="402"/>
      <c r="IS5" s="402" t="s">
        <v>265</v>
      </c>
      <c r="IT5" s="402"/>
      <c r="IU5" s="402"/>
      <c r="IV5" s="402" t="s">
        <v>152</v>
      </c>
      <c r="IW5" s="402"/>
      <c r="IX5" s="402"/>
      <c r="IY5" s="402" t="s">
        <v>266</v>
      </c>
      <c r="IZ5" s="402"/>
      <c r="JA5" s="402"/>
      <c r="JB5" s="402" t="s">
        <v>165</v>
      </c>
      <c r="JC5" s="402"/>
      <c r="JD5" s="402"/>
      <c r="JE5" s="402" t="s">
        <v>267</v>
      </c>
      <c r="JF5" s="402"/>
      <c r="JG5" s="402"/>
      <c r="JH5" s="402" t="s">
        <v>268</v>
      </c>
      <c r="JI5" s="402"/>
      <c r="JJ5" s="402"/>
      <c r="JK5" s="402" t="s">
        <v>269</v>
      </c>
      <c r="JL5" s="402"/>
      <c r="JM5" s="402"/>
      <c r="JN5" s="402" t="s">
        <v>152</v>
      </c>
      <c r="JO5" s="402"/>
      <c r="JP5" s="402"/>
      <c r="JQ5" s="402" t="s">
        <v>266</v>
      </c>
      <c r="JR5" s="402"/>
      <c r="JS5" s="402"/>
      <c r="JT5" s="402" t="s">
        <v>165</v>
      </c>
      <c r="JU5" s="402"/>
      <c r="JV5" s="402"/>
      <c r="JW5" s="402" t="s">
        <v>267</v>
      </c>
      <c r="JX5" s="402"/>
      <c r="JY5" s="402"/>
      <c r="JZ5" s="402" t="s">
        <v>268</v>
      </c>
      <c r="KA5" s="402"/>
      <c r="KB5" s="402"/>
      <c r="KC5" s="402" t="s">
        <v>269</v>
      </c>
      <c r="KD5" s="402"/>
      <c r="KE5" s="402"/>
      <c r="KF5" s="259"/>
    </row>
    <row r="6" spans="1:293" x14ac:dyDescent="0.25">
      <c r="A6" s="448"/>
      <c r="B6" s="239" t="s">
        <v>85</v>
      </c>
      <c r="C6" s="239"/>
      <c r="D6" s="239" t="s">
        <v>179</v>
      </c>
      <c r="E6" s="239" t="s">
        <v>85</v>
      </c>
      <c r="F6" s="239" t="s">
        <v>179</v>
      </c>
      <c r="G6" s="239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414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415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415</v>
      </c>
      <c r="AY6" s="27" t="s">
        <v>83</v>
      </c>
      <c r="AZ6" s="27" t="s">
        <v>88</v>
      </c>
      <c r="BA6" s="27" t="s">
        <v>415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230" t="s">
        <v>82</v>
      </c>
      <c r="BI6" s="230" t="s">
        <v>83</v>
      </c>
      <c r="BJ6" s="245"/>
      <c r="BK6" s="27" t="s">
        <v>415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416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416</v>
      </c>
      <c r="CJ6" s="25" t="s">
        <v>83</v>
      </c>
      <c r="CK6" s="25" t="s">
        <v>88</v>
      </c>
      <c r="CL6" s="25"/>
      <c r="CM6" s="25" t="s">
        <v>416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238"/>
      <c r="DX6" s="25" t="s">
        <v>82</v>
      </c>
      <c r="DY6" s="25" t="s">
        <v>83</v>
      </c>
      <c r="DZ6" s="238"/>
      <c r="EA6" s="25" t="s">
        <v>82</v>
      </c>
      <c r="EB6" s="25" t="s">
        <v>83</v>
      </c>
      <c r="EC6" s="238"/>
      <c r="ED6" s="31"/>
      <c r="EE6" s="25" t="s">
        <v>82</v>
      </c>
      <c r="EF6" s="25" t="s">
        <v>83</v>
      </c>
      <c r="EG6" s="238"/>
      <c r="EH6" s="25" t="s">
        <v>82</v>
      </c>
      <c r="EI6" s="25" t="s">
        <v>83</v>
      </c>
      <c r="EJ6" s="238"/>
      <c r="EK6" s="25" t="s">
        <v>82</v>
      </c>
      <c r="EL6" s="25" t="s">
        <v>83</v>
      </c>
      <c r="EM6" s="238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245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245"/>
      <c r="FV6" s="403" t="s">
        <v>99</v>
      </c>
      <c r="FW6" s="417"/>
      <c r="FX6" s="404"/>
      <c r="FY6" s="403" t="s">
        <v>100</v>
      </c>
      <c r="FZ6" s="417"/>
      <c r="GA6" s="404"/>
      <c r="GB6" s="403" t="s">
        <v>404</v>
      </c>
      <c r="GC6" s="417"/>
      <c r="GD6" s="404"/>
      <c r="GE6" s="403" t="s">
        <v>102</v>
      </c>
      <c r="GF6" s="417"/>
      <c r="GG6" s="404"/>
      <c r="GH6" s="403" t="s">
        <v>103</v>
      </c>
      <c r="GI6" s="417"/>
      <c r="GJ6" s="404"/>
      <c r="GK6" s="403" t="s">
        <v>104</v>
      </c>
      <c r="GL6" s="417"/>
      <c r="GM6" s="404"/>
      <c r="GN6" s="231"/>
      <c r="GO6" s="231"/>
      <c r="GP6" s="231"/>
      <c r="GQ6" s="230"/>
      <c r="GR6" s="230"/>
      <c r="GS6" s="230"/>
      <c r="GT6" s="534"/>
      <c r="GU6" s="402" t="s">
        <v>105</v>
      </c>
      <c r="GV6" s="402"/>
      <c r="GW6" s="402"/>
      <c r="GX6" s="402"/>
      <c r="GY6" s="418"/>
      <c r="GZ6" s="406"/>
      <c r="HA6" s="406"/>
      <c r="HB6" s="406"/>
      <c r="HF6" s="534"/>
      <c r="HG6" s="535"/>
      <c r="HH6" s="26" t="s">
        <v>82</v>
      </c>
      <c r="HI6" s="26" t="s">
        <v>83</v>
      </c>
      <c r="HJ6" s="26" t="s">
        <v>257</v>
      </c>
      <c r="HK6" s="26" t="s">
        <v>82</v>
      </c>
      <c r="HL6" s="26" t="s">
        <v>83</v>
      </c>
      <c r="HM6" s="26" t="s">
        <v>257</v>
      </c>
      <c r="HN6" s="26" t="s">
        <v>82</v>
      </c>
      <c r="HO6" s="26" t="s">
        <v>83</v>
      </c>
      <c r="HP6" s="26" t="s">
        <v>257</v>
      </c>
      <c r="HQ6" s="26" t="s">
        <v>82</v>
      </c>
      <c r="HR6" s="26" t="s">
        <v>83</v>
      </c>
      <c r="HS6" s="26" t="s">
        <v>257</v>
      </c>
      <c r="HT6" s="26" t="s">
        <v>82</v>
      </c>
      <c r="HU6" s="26" t="s">
        <v>83</v>
      </c>
      <c r="HV6" s="26" t="s">
        <v>257</v>
      </c>
      <c r="HW6" s="26" t="s">
        <v>82</v>
      </c>
      <c r="HX6" s="26" t="s">
        <v>83</v>
      </c>
      <c r="HY6" s="26" t="s">
        <v>257</v>
      </c>
      <c r="HZ6" s="26" t="s">
        <v>82</v>
      </c>
      <c r="IA6" s="26" t="s">
        <v>83</v>
      </c>
      <c r="IB6" s="26" t="s">
        <v>257</v>
      </c>
      <c r="IC6" s="26" t="s">
        <v>82</v>
      </c>
      <c r="ID6" s="26" t="s">
        <v>83</v>
      </c>
      <c r="IE6" s="26" t="s">
        <v>257</v>
      </c>
      <c r="IF6" s="26" t="s">
        <v>82</v>
      </c>
      <c r="IG6" s="26" t="s">
        <v>83</v>
      </c>
      <c r="IH6" s="26" t="s">
        <v>257</v>
      </c>
      <c r="II6" s="278"/>
      <c r="IJ6" s="234" t="s">
        <v>82</v>
      </c>
      <c r="IK6" s="234" t="s">
        <v>83</v>
      </c>
      <c r="IL6" s="234" t="s">
        <v>257</v>
      </c>
      <c r="IM6" s="234" t="s">
        <v>82</v>
      </c>
      <c r="IN6" s="234" t="s">
        <v>83</v>
      </c>
      <c r="IO6" s="234" t="s">
        <v>257</v>
      </c>
      <c r="IP6" s="234" t="s">
        <v>82</v>
      </c>
      <c r="IQ6" s="234" t="s">
        <v>83</v>
      </c>
      <c r="IR6" s="234" t="s">
        <v>257</v>
      </c>
      <c r="IS6" s="234" t="s">
        <v>82</v>
      </c>
      <c r="IT6" s="234" t="s">
        <v>83</v>
      </c>
      <c r="IU6" s="234" t="s">
        <v>257</v>
      </c>
      <c r="IV6" s="234" t="s">
        <v>82</v>
      </c>
      <c r="IW6" s="234" t="s">
        <v>83</v>
      </c>
      <c r="IX6" s="234" t="s">
        <v>257</v>
      </c>
      <c r="IY6" s="234" t="s">
        <v>82</v>
      </c>
      <c r="IZ6" s="234" t="s">
        <v>83</v>
      </c>
      <c r="JA6" s="234" t="s">
        <v>257</v>
      </c>
      <c r="JB6" s="234" t="s">
        <v>82</v>
      </c>
      <c r="JC6" s="234" t="s">
        <v>83</v>
      </c>
      <c r="JD6" s="234" t="s">
        <v>257</v>
      </c>
      <c r="JE6" s="234" t="s">
        <v>82</v>
      </c>
      <c r="JF6" s="234" t="s">
        <v>83</v>
      </c>
      <c r="JG6" s="234" t="s">
        <v>257</v>
      </c>
      <c r="JH6" s="234" t="s">
        <v>82</v>
      </c>
      <c r="JI6" s="234" t="s">
        <v>83</v>
      </c>
      <c r="JJ6" s="234" t="s">
        <v>257</v>
      </c>
      <c r="JK6" s="234" t="s">
        <v>82</v>
      </c>
      <c r="JL6" s="234" t="s">
        <v>83</v>
      </c>
      <c r="JM6" s="234" t="s">
        <v>257</v>
      </c>
      <c r="JN6" s="234" t="s">
        <v>82</v>
      </c>
      <c r="JO6" s="234" t="s">
        <v>83</v>
      </c>
      <c r="JP6" s="234" t="s">
        <v>257</v>
      </c>
      <c r="JQ6" s="234" t="s">
        <v>82</v>
      </c>
      <c r="JR6" s="234" t="s">
        <v>83</v>
      </c>
      <c r="JS6" s="234" t="s">
        <v>257</v>
      </c>
      <c r="JT6" s="234" t="s">
        <v>82</v>
      </c>
      <c r="JU6" s="234" t="s">
        <v>83</v>
      </c>
      <c r="JV6" s="234" t="s">
        <v>257</v>
      </c>
      <c r="JW6" s="234" t="s">
        <v>82</v>
      </c>
      <c r="JX6" s="234" t="s">
        <v>83</v>
      </c>
      <c r="JY6" s="234" t="s">
        <v>257</v>
      </c>
      <c r="JZ6" s="234" t="s">
        <v>82</v>
      </c>
      <c r="KA6" s="234" t="s">
        <v>83</v>
      </c>
      <c r="KB6" s="234" t="s">
        <v>257</v>
      </c>
      <c r="KC6" s="234" t="s">
        <v>82</v>
      </c>
      <c r="KD6" s="234" t="s">
        <v>83</v>
      </c>
      <c r="KE6" s="234" t="s">
        <v>257</v>
      </c>
      <c r="KF6" s="259"/>
      <c r="KG6" s="208" t="s">
        <v>78</v>
      </c>
    </row>
    <row r="7" spans="1:293" x14ac:dyDescent="0.25">
      <c r="A7" s="35">
        <v>1</v>
      </c>
      <c r="B7" s="250">
        <v>5407.01</v>
      </c>
      <c r="C7" s="252">
        <v>11.680000000000291</v>
      </c>
      <c r="D7" s="252">
        <v>373760.00000000931</v>
      </c>
      <c r="E7" s="250">
        <v>1086.27</v>
      </c>
      <c r="F7" s="252">
        <v>76159.999999996217</v>
      </c>
      <c r="G7" s="252">
        <v>449920.00000000553</v>
      </c>
      <c r="H7" s="252"/>
      <c r="I7" s="252"/>
      <c r="J7" s="252"/>
      <c r="K7" s="252">
        <v>0</v>
      </c>
      <c r="L7" s="250">
        <v>17391600</v>
      </c>
      <c r="M7" s="252"/>
      <c r="N7" s="252"/>
      <c r="O7" s="250">
        <v>12807.5</v>
      </c>
      <c r="P7" s="252"/>
      <c r="Q7" s="252"/>
      <c r="R7" s="252"/>
      <c r="S7" s="250">
        <v>11267037.6</v>
      </c>
      <c r="T7" s="252"/>
      <c r="U7" s="250">
        <v>1523790.61</v>
      </c>
      <c r="V7" s="252"/>
      <c r="W7" s="250">
        <v>4582</v>
      </c>
      <c r="X7" s="252"/>
      <c r="Y7" s="183"/>
      <c r="Z7" s="183"/>
      <c r="AA7" s="250">
        <v>795200</v>
      </c>
      <c r="AB7" s="252"/>
      <c r="AC7" s="250">
        <v>4751.7</v>
      </c>
      <c r="AD7" s="37"/>
      <c r="AE7" s="252"/>
      <c r="AF7" s="252"/>
      <c r="AG7" s="250">
        <v>10311.9</v>
      </c>
      <c r="AH7" s="37"/>
      <c r="AI7" s="252"/>
      <c r="AJ7" s="252"/>
      <c r="AK7" s="252"/>
      <c r="AL7" s="250">
        <v>11991.4</v>
      </c>
      <c r="AM7" s="252"/>
      <c r="AN7" s="252"/>
      <c r="AO7" s="252"/>
      <c r="AP7" s="250">
        <v>9428.2999999999993</v>
      </c>
      <c r="AQ7" s="252"/>
      <c r="AR7" s="252"/>
      <c r="AS7" s="252"/>
      <c r="AT7" s="183"/>
      <c r="AU7" s="183"/>
      <c r="AV7" s="183"/>
      <c r="AW7" s="183"/>
      <c r="AX7" s="250">
        <v>525080</v>
      </c>
      <c r="AY7" s="252"/>
      <c r="AZ7" s="252"/>
      <c r="BA7" s="250">
        <v>208880</v>
      </c>
      <c r="BB7" s="252"/>
      <c r="BC7" s="252"/>
      <c r="BD7" s="252"/>
      <c r="BE7" s="250">
        <v>2082.9</v>
      </c>
      <c r="BF7" s="250">
        <v>1170</v>
      </c>
      <c r="BG7" s="252"/>
      <c r="BH7" s="250">
        <v>9830.7000000000007</v>
      </c>
      <c r="BI7" s="250">
        <v>6347.7</v>
      </c>
      <c r="BJ7" s="252"/>
      <c r="BK7" s="250">
        <v>1982400</v>
      </c>
      <c r="BL7" s="252"/>
      <c r="BM7" s="250">
        <v>937.77</v>
      </c>
      <c r="BN7" s="252"/>
      <c r="BO7" s="186"/>
      <c r="BP7" s="183">
        <v>0</v>
      </c>
      <c r="BQ7" s="250">
        <v>883.2</v>
      </c>
      <c r="BR7" s="252"/>
      <c r="BS7" s="250">
        <v>118982.81</v>
      </c>
      <c r="BT7" s="252"/>
      <c r="BU7" s="250">
        <v>3562530</v>
      </c>
      <c r="BV7" s="42"/>
      <c r="BW7" s="252"/>
      <c r="BX7" s="252"/>
      <c r="BY7" s="250">
        <v>412.46050000000002</v>
      </c>
      <c r="BZ7" s="43"/>
      <c r="CA7" s="252"/>
      <c r="CB7" s="252"/>
      <c r="CC7" s="250">
        <v>809979.6</v>
      </c>
      <c r="CD7" s="252"/>
      <c r="CE7" s="250">
        <v>1760653</v>
      </c>
      <c r="CF7" s="252"/>
      <c r="CG7" s="250">
        <v>122633</v>
      </c>
      <c r="CH7" s="252"/>
      <c r="CI7" s="250">
        <v>14405.29</v>
      </c>
      <c r="CJ7" s="252"/>
      <c r="CK7" s="252"/>
      <c r="CL7" s="252"/>
      <c r="CM7" s="250">
        <v>4238.4610000000002</v>
      </c>
      <c r="CN7" s="252"/>
      <c r="CO7" s="252"/>
      <c r="CP7" s="252"/>
      <c r="CQ7" s="250">
        <v>788956.1</v>
      </c>
      <c r="CR7" s="252"/>
      <c r="CS7" s="252"/>
      <c r="CT7" s="252"/>
      <c r="CU7" s="250">
        <v>4473166</v>
      </c>
      <c r="CV7" s="252"/>
      <c r="CW7" s="252"/>
      <c r="CX7" s="252"/>
      <c r="CY7" s="250">
        <v>2390007</v>
      </c>
      <c r="CZ7" s="252"/>
      <c r="DA7" s="252"/>
      <c r="DB7" s="252"/>
      <c r="DC7" s="252"/>
      <c r="DD7" s="252"/>
      <c r="DE7" s="252"/>
      <c r="DF7" s="252"/>
      <c r="DG7" s="252"/>
      <c r="DH7" s="252"/>
      <c r="DI7" s="46"/>
      <c r="DJ7" s="46"/>
      <c r="DK7" s="47"/>
      <c r="DL7" s="47"/>
      <c r="DM7" s="37"/>
      <c r="DN7" s="37"/>
      <c r="DO7" s="37"/>
      <c r="DP7" s="37"/>
      <c r="DQ7" s="250">
        <v>4449600</v>
      </c>
      <c r="DR7" s="252"/>
      <c r="DS7" s="250">
        <v>5781700</v>
      </c>
      <c r="DT7" s="252"/>
      <c r="DU7" s="250">
        <v>8412.7999999999993</v>
      </c>
      <c r="DV7" s="250">
        <v>4750.2</v>
      </c>
      <c r="DW7" s="252"/>
      <c r="DX7" s="250">
        <v>13923</v>
      </c>
      <c r="DY7" s="250">
        <v>8714.7000000000007</v>
      </c>
      <c r="DZ7" s="252"/>
      <c r="EA7" s="250">
        <v>32293</v>
      </c>
      <c r="EB7" s="250">
        <v>22.100999999999999</v>
      </c>
      <c r="EC7" s="252"/>
      <c r="ED7" s="256">
        <v>33193.14</v>
      </c>
      <c r="EE7" s="250">
        <v>48138</v>
      </c>
      <c r="EF7" s="250">
        <v>31.687000000000001</v>
      </c>
      <c r="EG7" s="252"/>
      <c r="EH7" s="250">
        <v>14216</v>
      </c>
      <c r="EI7" s="250">
        <v>2.0813999999999999</v>
      </c>
      <c r="EJ7" s="252"/>
      <c r="EK7" s="250">
        <v>865.52</v>
      </c>
      <c r="EL7" s="250">
        <v>1240.3</v>
      </c>
      <c r="EM7" s="252"/>
      <c r="EN7" s="257">
        <v>38913.140000000029</v>
      </c>
      <c r="EO7" s="250">
        <v>13738</v>
      </c>
      <c r="EP7" s="48"/>
      <c r="EQ7" s="252"/>
      <c r="ER7" s="250">
        <v>10970</v>
      </c>
      <c r="ES7" s="55"/>
      <c r="ET7" s="252"/>
      <c r="EU7" s="250">
        <v>4522.3999999999996</v>
      </c>
      <c r="EV7" s="48"/>
      <c r="EW7" s="252"/>
      <c r="EX7" s="250">
        <v>14640</v>
      </c>
      <c r="EY7" s="252"/>
      <c r="EZ7" s="252"/>
      <c r="FA7" s="252"/>
      <c r="FB7" s="250">
        <v>38760038</v>
      </c>
      <c r="FC7" s="252"/>
      <c r="FD7" s="252"/>
      <c r="FE7" s="250">
        <v>17925</v>
      </c>
      <c r="FF7" s="154"/>
      <c r="FG7" s="252"/>
      <c r="FH7" s="250">
        <v>10471</v>
      </c>
      <c r="FI7" s="252"/>
      <c r="FJ7" s="252"/>
      <c r="FK7" s="252"/>
      <c r="FL7" s="252"/>
      <c r="FM7" s="252"/>
      <c r="FN7" s="250">
        <v>17810</v>
      </c>
      <c r="FO7" s="252"/>
      <c r="FP7" s="252"/>
      <c r="FQ7" s="250">
        <v>62657</v>
      </c>
      <c r="FR7" s="252"/>
      <c r="FS7" s="252"/>
      <c r="FT7" s="252"/>
      <c r="FU7" s="252"/>
      <c r="FV7" s="250">
        <v>6729500</v>
      </c>
      <c r="FW7" s="253"/>
      <c r="FX7" s="252"/>
      <c r="FY7" s="250">
        <v>101870</v>
      </c>
      <c r="FZ7" s="254"/>
      <c r="GA7" s="252"/>
      <c r="GB7" s="250">
        <v>889.38</v>
      </c>
      <c r="GC7" s="254"/>
      <c r="GD7" s="252"/>
      <c r="GE7" s="250">
        <v>10962</v>
      </c>
      <c r="GF7" s="254"/>
      <c r="GG7" s="252"/>
      <c r="GH7" s="250">
        <v>67898</v>
      </c>
      <c r="GI7" s="56"/>
      <c r="GJ7" s="252"/>
      <c r="GK7" s="250">
        <v>1533.3</v>
      </c>
      <c r="GL7" s="44"/>
      <c r="GM7" s="252"/>
      <c r="GN7" s="250">
        <v>244080</v>
      </c>
      <c r="GO7" s="57"/>
      <c r="GP7" s="252"/>
      <c r="GQ7" s="250">
        <v>299080</v>
      </c>
      <c r="GR7" s="38"/>
      <c r="GS7" s="38"/>
      <c r="GT7" s="247"/>
      <c r="GU7" s="284"/>
      <c r="GV7" s="285" t="s">
        <v>431</v>
      </c>
      <c r="GW7" s="283">
        <v>0</v>
      </c>
      <c r="GX7" s="124" t="s">
        <v>432</v>
      </c>
      <c r="GY7" s="140"/>
      <c r="GZ7" s="74"/>
      <c r="HA7" s="62"/>
      <c r="HB7" s="62"/>
      <c r="HC7" s="74"/>
      <c r="HD7" s="74"/>
      <c r="HE7" s="24"/>
      <c r="HG7" s="279">
        <v>1</v>
      </c>
      <c r="HH7" s="292">
        <v>24808</v>
      </c>
      <c r="HI7" s="292">
        <v>9444.7999999999993</v>
      </c>
      <c r="HJ7" s="61">
        <v>173000</v>
      </c>
      <c r="HK7" s="260">
        <v>2.1432000000000002</v>
      </c>
      <c r="HL7" s="292">
        <v>807.23</v>
      </c>
      <c r="HM7" s="61">
        <v>0</v>
      </c>
      <c r="HN7" s="292">
        <v>6324.1</v>
      </c>
      <c r="HO7" s="292">
        <v>2707.1</v>
      </c>
      <c r="HP7" s="61">
        <v>42675.000000000364</v>
      </c>
      <c r="HQ7" s="292">
        <v>4468.5</v>
      </c>
      <c r="HR7" s="292">
        <v>1893.6</v>
      </c>
      <c r="HS7" s="61">
        <v>24375.000000000182</v>
      </c>
      <c r="HT7" s="292">
        <v>4385</v>
      </c>
      <c r="HU7" s="292">
        <v>1595.1</v>
      </c>
      <c r="HV7" s="61">
        <v>26774.999999999818</v>
      </c>
      <c r="HW7" s="292">
        <v>3097.3</v>
      </c>
      <c r="HX7" s="292">
        <v>1329.6</v>
      </c>
      <c r="HY7" s="61">
        <v>24075</v>
      </c>
      <c r="HZ7" s="260">
        <v>2295400</v>
      </c>
      <c r="IA7" s="260">
        <v>10042</v>
      </c>
      <c r="IB7" s="61">
        <v>30300</v>
      </c>
      <c r="IC7" s="292">
        <v>719.8</v>
      </c>
      <c r="ID7" s="292">
        <v>232.78</v>
      </c>
      <c r="IE7" s="61">
        <v>0</v>
      </c>
      <c r="IF7" s="61"/>
      <c r="IG7" s="61"/>
      <c r="IH7" s="280">
        <v>0</v>
      </c>
      <c r="II7" s="281">
        <v>24799.999999999636</v>
      </c>
      <c r="IJ7" s="245"/>
      <c r="IK7" s="245"/>
      <c r="IL7" s="245">
        <v>0</v>
      </c>
      <c r="IM7" s="245"/>
      <c r="IN7" s="245"/>
      <c r="IO7" s="245">
        <v>0</v>
      </c>
      <c r="IP7" s="245"/>
      <c r="IQ7" s="245"/>
      <c r="IR7" s="245">
        <v>0</v>
      </c>
      <c r="IS7" s="245"/>
      <c r="IT7" s="245"/>
      <c r="IU7" s="245">
        <v>0</v>
      </c>
      <c r="IV7" s="245"/>
      <c r="IW7" s="245"/>
      <c r="IX7" s="245">
        <v>0</v>
      </c>
      <c r="IY7" s="245"/>
      <c r="IZ7" s="245"/>
      <c r="JA7" s="245">
        <v>0</v>
      </c>
      <c r="JB7" s="245"/>
      <c r="JC7" s="245"/>
      <c r="JD7" s="245">
        <v>0</v>
      </c>
      <c r="JE7" s="245"/>
      <c r="JF7" s="245"/>
      <c r="JG7" s="245">
        <v>0</v>
      </c>
      <c r="JH7" s="245"/>
      <c r="JI7" s="245"/>
      <c r="JJ7" s="245">
        <v>0</v>
      </c>
      <c r="JK7" s="245"/>
      <c r="JL7" s="245"/>
      <c r="JM7" s="245">
        <v>0</v>
      </c>
      <c r="JN7" s="245"/>
      <c r="JO7" s="245"/>
      <c r="JP7" s="245">
        <v>0</v>
      </c>
      <c r="JQ7" s="245"/>
      <c r="JR7" s="245"/>
      <c r="JS7" s="245">
        <v>0</v>
      </c>
      <c r="JT7" s="245"/>
      <c r="JU7" s="245"/>
      <c r="JV7" s="245">
        <v>0</v>
      </c>
      <c r="JW7" s="245"/>
      <c r="JX7" s="245"/>
      <c r="JY7" s="245">
        <v>0</v>
      </c>
      <c r="JZ7" s="245"/>
      <c r="KA7" s="245"/>
      <c r="KB7" s="245">
        <v>0</v>
      </c>
      <c r="KC7" s="245"/>
      <c r="KD7" s="245"/>
      <c r="KE7" s="245">
        <v>0</v>
      </c>
    </row>
    <row r="8" spans="1:293" x14ac:dyDescent="0.25">
      <c r="A8" s="35">
        <f t="shared" ref="A8:A36" si="0">A7+1</f>
        <v>2</v>
      </c>
      <c r="B8" s="250">
        <v>5418.82</v>
      </c>
      <c r="C8" s="38">
        <f t="shared" ref="C8:C36" si="1">IF((B8-B7)&lt;=0,0,(B8-B7))</f>
        <v>11.809999999999491</v>
      </c>
      <c r="D8" s="38">
        <f t="shared" ref="D8:D36" si="2">IF((B8-B7)*32000&lt;=0,0,(B8-B7)*32000)</f>
        <v>377919.9999999837</v>
      </c>
      <c r="E8" s="250">
        <v>1088.6600000000001</v>
      </c>
      <c r="F8" s="38">
        <f t="shared" ref="F8:F36" si="3">IF((E8-E7)*32000&lt;=0,0,(E8-E7)*32000)</f>
        <v>76480.000000003201</v>
      </c>
      <c r="G8" s="38">
        <f t="shared" ref="G8:G36" si="4">D8+F8</f>
        <v>454399.9999999869</v>
      </c>
      <c r="H8" s="37"/>
      <c r="I8" s="39"/>
      <c r="J8" s="42"/>
      <c r="K8" s="37">
        <f>IF(J8&lt;=0,0,(J8/SQRT(J8^2+(I8-I7)^2)))</f>
        <v>0</v>
      </c>
      <c r="L8" s="250">
        <v>17436900</v>
      </c>
      <c r="M8" s="40"/>
      <c r="N8" s="37">
        <f>IF((L8-L7)&lt;=0,0,(L8-L7)*10)</f>
        <v>453000</v>
      </c>
      <c r="O8" s="250">
        <v>12825.4</v>
      </c>
      <c r="P8" s="37"/>
      <c r="Q8" s="37">
        <f t="shared" ref="Q8:Q21" si="5">IF((O8-O7)&lt;=0,0,(O8-O7))*1000</f>
        <v>17899.999999999636</v>
      </c>
      <c r="R8" s="37">
        <f>IF(Q8&lt;=0,0,(Q8/SQRT(Q8^2+(P8-P7)^2)))</f>
        <v>1</v>
      </c>
      <c r="S8" s="250">
        <v>11267366.09</v>
      </c>
      <c r="T8" s="37">
        <f t="shared" ref="T8:T36" si="6">IF((S8-S7)&lt;=0,0,(S8-S7))</f>
        <v>328.49000000022352</v>
      </c>
      <c r="U8" s="250">
        <v>1523790.61</v>
      </c>
      <c r="V8" s="37">
        <f t="shared" ref="V8:V35" si="7">IF((U8-U7)&lt;=0,0,(U8-U7))</f>
        <v>0</v>
      </c>
      <c r="W8" s="250">
        <v>4588.2</v>
      </c>
      <c r="X8" s="37">
        <f>Q8-T8-V8-AB8</f>
        <v>17571.509999999413</v>
      </c>
      <c r="Y8" s="183"/>
      <c r="Z8" s="183"/>
      <c r="AA8" s="250">
        <v>795200</v>
      </c>
      <c r="AB8" s="37">
        <f t="shared" ref="AB8:AB36" si="8">IF((AA8-AA7)&lt;=0,0,(AA8-AA7))</f>
        <v>0</v>
      </c>
      <c r="AC8" s="250">
        <v>4759.6000000000004</v>
      </c>
      <c r="AD8" s="37"/>
      <c r="AE8" s="37">
        <f t="shared" ref="AE8:AE21" si="9">IF((AC8-AC7)&lt;=0,0,(AC8-AC7))*1000</f>
        <v>7900.0000000005457</v>
      </c>
      <c r="AF8" s="37">
        <f>IF(AE8&lt;=0,0,(AE8/SQRT(AE8^2+(AD8-AD7)^2)))</f>
        <v>1</v>
      </c>
      <c r="AG8" s="250">
        <v>10328.5</v>
      </c>
      <c r="AH8" s="37"/>
      <c r="AI8" s="37">
        <f t="shared" ref="AI8:AI36" si="10">IF((AG8-AG7)&lt;=0,0,(AG8-AG7))*1000+GX8</f>
        <v>16508.500000000364</v>
      </c>
      <c r="AJ8" s="37">
        <f t="shared" ref="AJ8:AJ36" si="11">IF(AI8&lt;=0,0,(AI8/SQRT(AI8^2+(AH8-AH7)^2)))</f>
        <v>1</v>
      </c>
      <c r="AK8" s="37">
        <f t="shared" ref="AK8:AK36" si="12">T8+V8+X8+AE8+AI8</f>
        <v>42308.500000000546</v>
      </c>
      <c r="AL8" s="250">
        <v>12002.1</v>
      </c>
      <c r="AM8" s="42"/>
      <c r="AN8" s="37">
        <f>IF((AL8-AL7)&lt;=0,0,(AL8-AL7))*1000+GX8-BL8-BN8-BP8-BR8</f>
        <v>4938.5000000007685</v>
      </c>
      <c r="AO8" s="37">
        <f>IF(AN8&lt;=0,0,(AN8/SQRT(AN8^2+(AM8-AM7)^2)))</f>
        <v>1</v>
      </c>
      <c r="AP8" s="250">
        <v>9437.1</v>
      </c>
      <c r="AQ8" s="37"/>
      <c r="AR8" s="37">
        <f t="shared" ref="AR8:AR36" si="13">IF((AP8-AP7)&lt;=0,0,(AP8-AP7))*1000</f>
        <v>8800.0000000010914</v>
      </c>
      <c r="AS8" s="37">
        <f>IF(AR8&lt;=0,0,(AR8/SQRT(AR8^2+(AQ8-AQ7)^2)))</f>
        <v>1</v>
      </c>
      <c r="AT8" s="183"/>
      <c r="AU8" s="183"/>
      <c r="AV8" s="183"/>
      <c r="AW8" s="183"/>
      <c r="AX8" s="250">
        <v>525520</v>
      </c>
      <c r="AY8" s="37"/>
      <c r="AZ8" s="37">
        <f t="shared" ref="AZ8:AZ36" si="14">IF((AX8-AX7)&lt;=0,0,(AX8-AX7))</f>
        <v>440</v>
      </c>
      <c r="BA8" s="250">
        <v>209520</v>
      </c>
      <c r="BB8" s="37"/>
      <c r="BC8" s="37">
        <f t="shared" ref="BC8:BC36" si="15">IF((BA8-BA7)&lt;=0,0,(BA8-BA7))</f>
        <v>640</v>
      </c>
      <c r="BD8" s="37">
        <f>AN8+AR8+AZ8+BC8</f>
        <v>14818.500000001859</v>
      </c>
      <c r="BE8" s="250">
        <v>2084.5</v>
      </c>
      <c r="BF8" s="250">
        <v>1171.0999999999999</v>
      </c>
      <c r="BG8" s="37">
        <f t="shared" ref="BG8:BG36" si="16">IF((BE8-BE7)&lt;=0,0,(BE8-BE7))*1000</f>
        <v>1599.9999999999091</v>
      </c>
      <c r="BH8" s="250">
        <v>9839.7999999999993</v>
      </c>
      <c r="BI8" s="250">
        <v>6353.9</v>
      </c>
      <c r="BJ8" s="37">
        <f t="shared" ref="BJ8:BJ36" si="17">IF((BH8-BH7)&lt;=0,0,(BH8-BH7))*1000</f>
        <v>9099.9999999985448</v>
      </c>
      <c r="BK8" s="250">
        <v>1986650</v>
      </c>
      <c r="BL8" s="40">
        <f>IF((BK8-BK7)&lt;=0,0,(BK8-BK7))</f>
        <v>4250</v>
      </c>
      <c r="BM8" s="250">
        <v>938.39</v>
      </c>
      <c r="BN8" s="37">
        <f t="shared" ref="BN8:BN36" si="18">IF((BM8-BM7)&lt;=0,0,BM8-BM7)*1000</f>
        <v>620.00000000000455</v>
      </c>
      <c r="BO8" s="186"/>
      <c r="BP8" s="183">
        <f t="shared" ref="BP8:BP36" si="19">IF((BO8-BO7)&lt;=0,0,(BO8-BO7))*1000</f>
        <v>0</v>
      </c>
      <c r="BQ8" s="250">
        <v>884</v>
      </c>
      <c r="BR8" s="37">
        <f>IF((BQ8-BQ7)&lt;=0,0,(BQ8-BQ7))*1000</f>
        <v>799.99999999995453</v>
      </c>
      <c r="BS8" s="250">
        <v>119215.94</v>
      </c>
      <c r="BT8" s="37">
        <f t="shared" ref="BT8:BT36" si="20">IF((BS8-BS7)&lt;=0,0,(BS8-BS7))</f>
        <v>233.13000000000466</v>
      </c>
      <c r="BU8" s="250">
        <v>3568490</v>
      </c>
      <c r="BV8" s="42"/>
      <c r="BW8" s="37">
        <f t="shared" ref="BW8:BW36" si="21">IF((BU8-BU7)&lt;=0,0,(BU8-BU7))</f>
        <v>5960</v>
      </c>
      <c r="BX8" s="37">
        <f>IF(BW8&lt;=0,0,(BW8/SQRT(BW8^2+(BV8-BV7)^2)))</f>
        <v>1</v>
      </c>
      <c r="BY8" s="250">
        <v>413.18119999999999</v>
      </c>
      <c r="BZ8" s="43"/>
      <c r="CA8" s="37">
        <f t="shared" ref="CA8:CA16" si="22">IF((BY8-BY7)&lt;=0,0,(BY8-BY7)*1000)</f>
        <v>720.69999999996526</v>
      </c>
      <c r="CB8" s="37">
        <f>IF(CA8&lt;=0,0,(CA8/SQRT(CA8^2+(BZ8-BZ7)^2)))</f>
        <v>1</v>
      </c>
      <c r="CC8" s="250">
        <v>810370.3</v>
      </c>
      <c r="CD8" s="37">
        <f t="shared" ref="CD8:CD36" si="23">IF((CC8-CC7)&lt;=0,0,(CC8-CC7))</f>
        <v>390.70000000006985</v>
      </c>
      <c r="CE8" s="250">
        <v>1766027</v>
      </c>
      <c r="CF8" s="37">
        <f t="shared" ref="CF8:CF36" si="24">IF((CE8-CE7)&lt;=0,0,(CE8-CE7))</f>
        <v>5374</v>
      </c>
      <c r="CG8" s="250">
        <v>122633</v>
      </c>
      <c r="CH8" s="37">
        <f>IF((CG8-CG7)&lt;=0,0,(CG8-CG7))</f>
        <v>0</v>
      </c>
      <c r="CI8" s="250">
        <v>14420.45</v>
      </c>
      <c r="CJ8" s="40"/>
      <c r="CK8" s="37">
        <f>IF((CI8-CI7)*1000&lt;=0,0,(CI8-CI7)*1000)+GX8-CA8</f>
        <v>14347.79999999989</v>
      </c>
      <c r="CL8" s="37">
        <f t="shared" ref="CL8:CL36" si="25">IF(CK8&lt;=0,0,(CK8/SQRT(CK8^2+(CJ8-CJ7)^2)))</f>
        <v>1</v>
      </c>
      <c r="CM8" s="250">
        <v>4243.8530000000001</v>
      </c>
      <c r="CN8" s="37"/>
      <c r="CO8" s="37">
        <f t="shared" ref="CO8:CO36" si="26">IF((CM8-CM7)&lt;=0,0,(CM8-CM7))*1000+GX8</f>
        <v>5300.4999999998254</v>
      </c>
      <c r="CP8" s="37">
        <f>IF(CO8&lt;=0,0,(CO8/SQRT(CO8^2+(CN8-CN7)^2)))</f>
        <v>1</v>
      </c>
      <c r="CQ8" s="250">
        <v>794568.9</v>
      </c>
      <c r="CR8" s="45"/>
      <c r="CS8" s="37">
        <f>IF((CQ8-CQ7)&lt;=0,0,(CQ8-CQ7))+GX8</f>
        <v>5521.3000000000466</v>
      </c>
      <c r="CT8" s="37">
        <f>IF(CS8&lt;=0,0,(CS8/SQRT(CS8^2+(CR8-CR7)^2)))</f>
        <v>1</v>
      </c>
      <c r="CU8" s="250">
        <v>4493685</v>
      </c>
      <c r="CV8" s="37"/>
      <c r="CW8" s="38">
        <f t="shared" ref="CW8:CW36" si="27">IF((CU8-CU7)&lt;=0,0,(CU8-CU7))</f>
        <v>20519</v>
      </c>
      <c r="CX8" s="37">
        <f>IF(CW8&lt;=0,0,(CW8/SQRT(CW8^2+(CV8-CV7)^2)))</f>
        <v>1</v>
      </c>
      <c r="CY8" s="250">
        <v>2401481</v>
      </c>
      <c r="CZ8" s="37"/>
      <c r="DA8" s="37">
        <f t="shared" ref="DA8:DA26" si="28">IF((CY8-CY7)&lt;=0,0,(CY8-CY7))</f>
        <v>11474</v>
      </c>
      <c r="DB8" s="37">
        <f>IF(DA8&lt;=0,0,(DA8/SQRT(DA8^2+(CZ8-CZ7)^2)))</f>
        <v>1</v>
      </c>
      <c r="DC8" s="37"/>
      <c r="DD8" s="40"/>
      <c r="DE8" s="37">
        <f t="shared" ref="DE8:DE33" si="29">IF((DC8-DC7)&lt;=0,0,(DC8-DC7))</f>
        <v>0</v>
      </c>
      <c r="DF8" s="37">
        <f>IF(DE8&lt;=0,0,(DE8/SQRT(DE8^2+(DD8-DD7)^2)))</f>
        <v>0</v>
      </c>
      <c r="DG8" s="37">
        <f t="shared" ref="DG8:DG36" si="30">(DE8)-DA8-CW8-CS8-CO8-CK8-BW8</f>
        <v>-63122.599999999758</v>
      </c>
      <c r="DH8" s="37">
        <f t="shared" ref="DH8:DH36" si="31">DE8+BG8+AK8+N8</f>
        <v>496908.50000000047</v>
      </c>
      <c r="DI8" s="46"/>
      <c r="DJ8" s="46"/>
      <c r="DK8" s="47"/>
      <c r="DL8" s="47"/>
      <c r="DM8" s="37"/>
      <c r="DN8" s="37"/>
      <c r="DO8" s="37"/>
      <c r="DP8" s="37"/>
      <c r="DQ8" s="250">
        <v>4459900</v>
      </c>
      <c r="DR8" s="49">
        <f>IF((DQ8-DQ7)&lt;=0,0,(DQ8-DQ7))</f>
        <v>10300</v>
      </c>
      <c r="DS8" s="250">
        <v>5809000</v>
      </c>
      <c r="DT8" s="49">
        <f>IF((DS8-DS7)&lt;=0,0,(DS8-DS7))</f>
        <v>27300</v>
      </c>
      <c r="DU8" s="250">
        <v>8417.2000000000007</v>
      </c>
      <c r="DV8" s="250">
        <v>4751.5</v>
      </c>
      <c r="DW8" s="37">
        <f>IF((DU8-DU7)*1000&lt;=0,0,(DU8-DU7)*1000)</f>
        <v>4400.0000000014552</v>
      </c>
      <c r="DX8" s="250">
        <v>13931</v>
      </c>
      <c r="DY8" s="250">
        <v>8720</v>
      </c>
      <c r="DZ8" s="37">
        <f t="shared" ref="DZ8:DZ36" si="32">IF((DX8-DX7)*1000&lt;=0,0,(DX8-DX7)*1000)+GX8</f>
        <v>7908.5</v>
      </c>
      <c r="EA8" s="250">
        <v>32314</v>
      </c>
      <c r="EB8" s="250">
        <v>22.111000000000001</v>
      </c>
      <c r="EC8" s="37">
        <f t="shared" ref="EC8:EC36" si="33">IF((EA8-EA7)*1000&lt;=0,0,(EA8-EA7)*1000)+GX8+$EE$40</f>
        <v>23068.5</v>
      </c>
      <c r="ED8" s="53">
        <f t="shared" ref="ED8:ED36" si="34">DW8+DZ8+EC8</f>
        <v>35377.000000001455</v>
      </c>
      <c r="EE8" s="250">
        <v>48161</v>
      </c>
      <c r="EF8" s="250">
        <v>31.707000000000001</v>
      </c>
      <c r="EG8" s="37">
        <f t="shared" ref="EG8:EG36" si="35">IF((EE8-EE7)*1000&lt;=0,0,(EE8-EE7)*1000)+GX8+$EE$40</f>
        <v>25068.5</v>
      </c>
      <c r="EH8" s="250">
        <v>14227</v>
      </c>
      <c r="EI8" s="250">
        <v>2.0846</v>
      </c>
      <c r="EJ8" s="37">
        <f t="shared" ref="EJ8:EJ36" si="36">IF((EH8-EH7)*1000&lt;=0,0,(EH8-EH7)*1000)+GX8</f>
        <v>10908.5</v>
      </c>
      <c r="EK8" s="250">
        <v>866.33</v>
      </c>
      <c r="EL8" s="250">
        <v>1241.5</v>
      </c>
      <c r="EM8" s="37">
        <f>IF((EK8-EK7)&lt;=0,0,(EK8-EK7))*1000</f>
        <v>810.00000000005912</v>
      </c>
      <c r="EN8" s="54">
        <f>EG8+EJ8+EM8</f>
        <v>36787.000000000058</v>
      </c>
      <c r="EO8" s="250">
        <v>13746</v>
      </c>
      <c r="EP8" s="48"/>
      <c r="EQ8" s="37">
        <f>IF((EO8-EO7)*1000&lt;=0,0,(EO8-EO7)*1000)+GX8-FU45+FV45</f>
        <v>7063.5000000000291</v>
      </c>
      <c r="ER8" s="250">
        <v>10985</v>
      </c>
      <c r="ES8" s="48"/>
      <c r="ET8" s="49">
        <f t="shared" ref="ET8:ET14" si="37">IF((ER8-ER7)&lt;=0,0,(ER8-ER7))*1000</f>
        <v>15000</v>
      </c>
      <c r="EU8" s="250">
        <v>4532.8</v>
      </c>
      <c r="EV8" s="48"/>
      <c r="EW8" s="49">
        <f t="shared" ref="EW8:EW36" si="38">IF((EU8-EU7)&lt;=0,0,(EU8-EU7))*1000+GX8</f>
        <v>10308.500000000546</v>
      </c>
      <c r="EX8" s="250">
        <v>14651</v>
      </c>
      <c r="EY8" s="48"/>
      <c r="EZ8" s="37">
        <f t="shared" ref="EZ8:EZ36" si="39">IF((EX8-EX7)&lt;=0,0,(EX8-EX7))*1000+GX8</f>
        <v>10908.5</v>
      </c>
      <c r="FA8" s="48">
        <f>FC8-EQ8-ET8-EW8-EZ8</f>
        <v>-21150.500000000575</v>
      </c>
      <c r="FB8" s="250">
        <v>38782168</v>
      </c>
      <c r="FC8" s="49">
        <f>IF((FB8-FB7)&lt;=0,0,(FB8-FB7))</f>
        <v>22130</v>
      </c>
      <c r="FD8" s="48">
        <f>EQ8+ET8+EW8+EZ8+GJ8</f>
        <v>45119.500000000575</v>
      </c>
      <c r="FE8" s="250">
        <v>17933</v>
      </c>
      <c r="FF8" s="48"/>
      <c r="FG8" s="37">
        <f>IF((FE8-FE7)*1000&lt;=0,0,(FE8-FE7)*1000)+FL8+GX8+FW45</f>
        <v>8753.4999999999709</v>
      </c>
      <c r="FH8" s="250">
        <v>10487</v>
      </c>
      <c r="FI8" s="48"/>
      <c r="FJ8" s="49">
        <f t="shared" ref="FJ8:FJ36" si="40">IF((FH8-FH7)&lt;=0,0,(FH8-FH7))*1000+FL8+GX8</f>
        <v>15908.5</v>
      </c>
      <c r="FK8" s="48"/>
      <c r="FL8" s="58"/>
      <c r="FM8" s="48">
        <f>FT8/3</f>
        <v>143.16666666667638</v>
      </c>
      <c r="FN8" s="250">
        <v>17820</v>
      </c>
      <c r="FO8" s="48"/>
      <c r="FP8" s="37">
        <f>IF((FN8-FN7)*1000&lt;=0,0,(FN8-FN7)*1000)+FL8+GX8</f>
        <v>9908.5</v>
      </c>
      <c r="FQ8" s="250">
        <v>62692</v>
      </c>
      <c r="FR8" s="48"/>
      <c r="FS8" s="37">
        <f t="shared" ref="FS8:FS34" si="41">IF((FQ8-FQ7)*1000&lt;=0,0,(FQ8-FQ7)*1000)</f>
        <v>35000</v>
      </c>
      <c r="FT8" s="48">
        <f>FS8-FG8-FJ8-FP8</f>
        <v>429.5000000000291</v>
      </c>
      <c r="FU8" s="48">
        <f>FG8+FJ8+FP8+GM8</f>
        <v>34570.499999999971</v>
      </c>
      <c r="FV8" s="250">
        <v>6766000</v>
      </c>
      <c r="FW8" s="44"/>
      <c r="FX8" s="37">
        <f t="shared" ref="FX8:FX36" si="42">IF((FV8-FV7)*1000&lt;=0,0,(FV8-FV7))</f>
        <v>36500</v>
      </c>
      <c r="FY8" s="250">
        <v>112990</v>
      </c>
      <c r="FZ8" s="56"/>
      <c r="GA8" s="37">
        <f t="shared" ref="GA8:GA36" si="43">IF((FY8-FY7)*1000&lt;=0,0,(FY8-FY7))</f>
        <v>11120</v>
      </c>
      <c r="GB8" s="250">
        <v>890.49</v>
      </c>
      <c r="GC8" s="56"/>
      <c r="GD8" s="37">
        <f t="shared" ref="GD8:GD36" si="44">IF((GB8-GB7)*1000&lt;=0,0,(GB8-GB7)*1000)</f>
        <v>1110.0000000000136</v>
      </c>
      <c r="GE8" s="250">
        <v>10972</v>
      </c>
      <c r="GF8" s="63"/>
      <c r="GG8" s="37">
        <f t="shared" ref="GG8:GG36" si="45">IF((GE8-GE7)*1000&lt;=0,0,(GE8-GE7)*1000)-GJ8-GM8</f>
        <v>8161</v>
      </c>
      <c r="GH8" s="250">
        <v>69737</v>
      </c>
      <c r="GI8" s="56"/>
      <c r="GJ8" s="38">
        <f>IF((GH8-GH7)&lt;=0,0,(GH8-GH7))</f>
        <v>1839</v>
      </c>
      <c r="GK8" s="250">
        <v>1533.3</v>
      </c>
      <c r="GL8" s="44"/>
      <c r="GM8" s="38">
        <f t="shared" ref="GM8:GM36" si="46">IF((GK8-GK7)&lt;=0,0,(GK8-GK7))*1000</f>
        <v>0</v>
      </c>
      <c r="GN8" s="250">
        <v>244090</v>
      </c>
      <c r="GO8" s="57"/>
      <c r="GP8" s="38">
        <f t="shared" ref="GP8:GP11" si="47">IF((GN8-GN7)&lt;=0,0,(GN8-GN7))</f>
        <v>10</v>
      </c>
      <c r="GQ8" s="250">
        <v>299390</v>
      </c>
      <c r="GR8" s="38"/>
      <c r="GS8" s="38">
        <f>IF((GQ8-GQ7)&lt;=0,0,(GQ8-GQ7))</f>
        <v>310</v>
      </c>
      <c r="GT8" s="247"/>
      <c r="GU8" s="144">
        <f>DailySep!B7-DailySep!N7-DailySep!V7-DailySep!Y7-DailySep!Z7-DailySep!AA7-DailySep!AB7-DailySep!AC7-DailySep!AD7-DailySep!AE7-DailySep!AK7-DailySep!AO7-DailySep!AS7-DailySep!AY7-DailySep!BD7+DailySep!BU7-DailySep!BG7-DailySep!BT7-DailySep!AF7-DailySep!AG7</f>
        <v>-1.5686964616179466E-8</v>
      </c>
      <c r="GV8" s="261">
        <v>1372.5</v>
      </c>
      <c r="GW8" s="60">
        <f t="shared" ref="GW8:GW36" si="48">GV8/15</f>
        <v>91.5</v>
      </c>
      <c r="GX8" s="260">
        <v>-91.5</v>
      </c>
      <c r="GY8" s="140"/>
      <c r="GZ8" s="527" t="s">
        <v>402</v>
      </c>
      <c r="HA8" s="528"/>
      <c r="HB8" s="528"/>
      <c r="HC8" s="528"/>
      <c r="HD8" s="74"/>
      <c r="HE8" s="24">
        <f t="shared" ref="HE8:HE35" si="49">HC8-HA8</f>
        <v>0</v>
      </c>
      <c r="HG8" s="279">
        <v>2</v>
      </c>
      <c r="HH8" s="292">
        <v>24986</v>
      </c>
      <c r="HI8" s="292">
        <v>9511.7999999999993</v>
      </c>
      <c r="HJ8" s="61">
        <f t="shared" ref="HJ8:HJ36" si="50">IF((HH8-HH7)&lt;=0,0,(HH8-HH7)*1000)</f>
        <v>178000</v>
      </c>
      <c r="HK8" s="260">
        <v>2.1432000000000002</v>
      </c>
      <c r="HL8" s="292">
        <v>807.23</v>
      </c>
      <c r="HM8" s="61">
        <f t="shared" ref="HM8:HM14" si="51">IF((HK8-HK7)&lt;=0,0,(HK8-HK7))</f>
        <v>0</v>
      </c>
      <c r="HN8" s="292">
        <v>6368.8</v>
      </c>
      <c r="HO8" s="292">
        <v>2724.7</v>
      </c>
      <c r="HP8" s="61">
        <f t="shared" ref="HP8:HP36" si="52">IF((HN8-HN7)&lt;=0,0,(HN8-HN7)*1000)+IL45</f>
        <v>44374.999999999818</v>
      </c>
      <c r="HQ8" s="292">
        <v>4493.2</v>
      </c>
      <c r="HR8" s="292">
        <v>1903.3</v>
      </c>
      <c r="HS8" s="61">
        <f t="shared" ref="HS8:HS36" si="53">IF((HQ8-HQ7)&lt;=0,0,(HQ8-HQ7)*1000)+IL45</f>
        <v>24374.999999999818</v>
      </c>
      <c r="HT8" s="292">
        <v>4411.8</v>
      </c>
      <c r="HU8" s="292">
        <v>1604.1</v>
      </c>
      <c r="HV8" s="61">
        <f t="shared" ref="HV8:HV35" si="54">IF((HT8-HT7)&lt;=0,0,(HT8-HT7)*1000)+IL45</f>
        <v>26475.000000000182</v>
      </c>
      <c r="HW8" s="292">
        <v>3121.6</v>
      </c>
      <c r="HX8" s="292">
        <v>1339.7</v>
      </c>
      <c r="HY8" s="61">
        <f t="shared" ref="HY8:HY36" si="55">IF((HW8-HW7)&lt;=0,0,(HW8-HW7)*1000)+IL45</f>
        <v>23974.999999999727</v>
      </c>
      <c r="HZ8" s="260">
        <v>2326900</v>
      </c>
      <c r="IA8" s="260">
        <v>10170</v>
      </c>
      <c r="IB8" s="61">
        <f t="shared" ref="IB8:IB36" si="56">IF((HZ8-HZ7)&lt;=0,0,(HZ8-HZ7))</f>
        <v>31500</v>
      </c>
      <c r="IC8" s="292">
        <v>719.8</v>
      </c>
      <c r="ID8" s="292">
        <v>232.78</v>
      </c>
      <c r="IE8" s="61">
        <v>0</v>
      </c>
      <c r="IF8" s="61"/>
      <c r="IG8" s="61"/>
      <c r="IH8" s="280">
        <f t="shared" ref="IH8:IH36" si="57">DT8</f>
        <v>27300</v>
      </c>
      <c r="II8" s="281">
        <f t="shared" ref="II8:II28" si="58">HJ8+HM8-HS8-HV8-HY8-IH8-HP8-IB8-IE8</f>
        <v>4.5838532969355583E-10</v>
      </c>
      <c r="IJ8" s="245"/>
      <c r="IK8" s="245"/>
      <c r="IL8" s="245"/>
      <c r="IM8" s="245"/>
      <c r="IN8" s="245"/>
      <c r="IO8" s="245"/>
      <c r="IP8" s="245"/>
      <c r="IQ8" s="245"/>
      <c r="IR8" s="245"/>
      <c r="IS8" s="245"/>
      <c r="IT8" s="245"/>
      <c r="IU8" s="245"/>
      <c r="IV8" s="245"/>
      <c r="IW8" s="245"/>
      <c r="IX8" s="245"/>
      <c r="IY8" s="245"/>
      <c r="IZ8" s="245"/>
      <c r="JA8" s="245"/>
      <c r="JB8" s="245"/>
      <c r="JC8" s="245"/>
      <c r="JD8" s="245"/>
      <c r="JE8" s="245"/>
      <c r="JF8" s="245"/>
      <c r="JG8" s="245"/>
      <c r="JH8" s="245"/>
      <c r="JI8" s="245"/>
      <c r="JJ8" s="245"/>
      <c r="JK8" s="245"/>
      <c r="JL8" s="245"/>
      <c r="JM8" s="245"/>
      <c r="JN8" s="245"/>
      <c r="JO8" s="245"/>
      <c r="JP8" s="245"/>
      <c r="JQ8" s="245"/>
      <c r="JR8" s="245"/>
      <c r="JS8" s="245"/>
      <c r="JT8" s="245"/>
      <c r="JU8" s="245"/>
      <c r="JV8" s="245"/>
      <c r="JW8" s="245"/>
      <c r="JX8" s="245"/>
      <c r="JY8" s="245"/>
      <c r="JZ8" s="245"/>
      <c r="KA8" s="245"/>
      <c r="KB8" s="245"/>
      <c r="KC8" s="245"/>
      <c r="KD8" s="245"/>
      <c r="KE8" s="245"/>
      <c r="KG8" s="151">
        <f t="shared" ref="KG8:KG36" si="59">HJ8+HM8-HS8-HV8-HY8-IH8</f>
        <v>75875.000000000276</v>
      </c>
    </row>
    <row r="9" spans="1:293" x14ac:dyDescent="0.25">
      <c r="A9" s="35">
        <f t="shared" si="0"/>
        <v>3</v>
      </c>
      <c r="B9" s="250">
        <v>5429.93</v>
      </c>
      <c r="C9" s="38">
        <f t="shared" si="1"/>
        <v>11.110000000000582</v>
      </c>
      <c r="D9" s="38">
        <f t="shared" si="2"/>
        <v>355520.00000001863</v>
      </c>
      <c r="E9" s="250">
        <v>1090.9100000000001</v>
      </c>
      <c r="F9" s="38">
        <f t="shared" si="3"/>
        <v>72000</v>
      </c>
      <c r="G9" s="38">
        <f t="shared" si="4"/>
        <v>427520.00000001863</v>
      </c>
      <c r="H9" s="37"/>
      <c r="I9" s="39"/>
      <c r="J9" s="42"/>
      <c r="K9" s="37">
        <f>IF(J9&lt;=0,0,(J9/SQRT(J9^2+(I9-I8)^2)))</f>
        <v>0</v>
      </c>
      <c r="L9" s="250">
        <v>17479400</v>
      </c>
      <c r="M9" s="40"/>
      <c r="N9" s="37">
        <f>IF((L9-L8)&lt;=0,0,(L9-L8)*10)</f>
        <v>425000</v>
      </c>
      <c r="O9" s="250">
        <v>12842.9</v>
      </c>
      <c r="P9" s="37"/>
      <c r="Q9" s="37">
        <f t="shared" si="5"/>
        <v>17500</v>
      </c>
      <c r="R9" s="37">
        <f>IF(Q9&lt;=0,0,(Q9/SQRT(Q9^2+(P9-P8)^2)))</f>
        <v>1</v>
      </c>
      <c r="S9" s="250">
        <v>11267701.4</v>
      </c>
      <c r="T9" s="37">
        <f t="shared" si="6"/>
        <v>335.31000000052154</v>
      </c>
      <c r="U9" s="250">
        <v>1523790.61</v>
      </c>
      <c r="V9" s="37">
        <f t="shared" si="7"/>
        <v>0</v>
      </c>
      <c r="W9" s="250">
        <v>4594.3</v>
      </c>
      <c r="X9" s="37">
        <f>Q9-T9-V9-AB9</f>
        <v>16964.689999999478</v>
      </c>
      <c r="Y9" s="183"/>
      <c r="Z9" s="183"/>
      <c r="AA9" s="250">
        <v>795400</v>
      </c>
      <c r="AB9" s="37">
        <f t="shared" si="8"/>
        <v>200</v>
      </c>
      <c r="AC9" s="250">
        <v>4764.8999999999996</v>
      </c>
      <c r="AD9" s="37"/>
      <c r="AE9" s="37">
        <f t="shared" si="9"/>
        <v>5299.9999999992724</v>
      </c>
      <c r="AF9" s="37">
        <f>IF(AE9&lt;=0,0,(AE9/SQRT(AE9^2+(AD9-AD8)^2)))</f>
        <v>1</v>
      </c>
      <c r="AG9" s="250">
        <v>10339.5</v>
      </c>
      <c r="AH9" s="37"/>
      <c r="AI9" s="37">
        <f t="shared" si="10"/>
        <v>11026.15</v>
      </c>
      <c r="AJ9" s="37">
        <f t="shared" si="11"/>
        <v>1</v>
      </c>
      <c r="AK9" s="37">
        <f t="shared" si="12"/>
        <v>33626.149999999274</v>
      </c>
      <c r="AL9" s="250">
        <v>12014.4</v>
      </c>
      <c r="AM9" s="42"/>
      <c r="AN9" s="37">
        <f t="shared" ref="AN9:AN36" si="60">IF((AL9-AL8)&lt;=0,0,(AL9-AL8))*1000+GX9-BL9-BN9-BP9-BR9</f>
        <v>6516.1499999993221</v>
      </c>
      <c r="AO9" s="37">
        <f>IF(AN9&lt;=0,0,(AN9/SQRT(AN9^2+(AM9-AM8)^2)))</f>
        <v>1</v>
      </c>
      <c r="AP9" s="250">
        <v>9449</v>
      </c>
      <c r="AQ9" s="37"/>
      <c r="AR9" s="37">
        <f t="shared" si="13"/>
        <v>11899.999999999636</v>
      </c>
      <c r="AS9" s="37">
        <f>IF(AR9&lt;=0,0,(AR9/SQRT(AR9^2+(AQ9-AQ8)^2)))</f>
        <v>1</v>
      </c>
      <c r="AT9" s="183"/>
      <c r="AU9" s="183"/>
      <c r="AV9" s="183"/>
      <c r="AW9" s="183"/>
      <c r="AX9" s="250">
        <v>525930</v>
      </c>
      <c r="AY9" s="37"/>
      <c r="AZ9" s="37">
        <f t="shared" si="14"/>
        <v>410</v>
      </c>
      <c r="BA9" s="250">
        <v>210170</v>
      </c>
      <c r="BB9" s="37"/>
      <c r="BC9" s="37">
        <f t="shared" si="15"/>
        <v>650</v>
      </c>
      <c r="BD9" s="37">
        <f>AN9+AR9+AZ9+BC9</f>
        <v>19476.149999998957</v>
      </c>
      <c r="BE9" s="250">
        <v>2085.9</v>
      </c>
      <c r="BF9" s="250">
        <v>1172</v>
      </c>
      <c r="BG9" s="37">
        <f t="shared" si="16"/>
        <v>1400.0000000000909</v>
      </c>
      <c r="BH9" s="250">
        <v>9849.1</v>
      </c>
      <c r="BI9" s="250">
        <v>6360</v>
      </c>
      <c r="BJ9" s="37">
        <f t="shared" si="17"/>
        <v>9300.0000000010914</v>
      </c>
      <c r="BK9" s="250">
        <v>1991030</v>
      </c>
      <c r="BL9" s="40">
        <f>IF((BK9-BK8)&lt;=0,0,(BK9-BK8))</f>
        <v>4380</v>
      </c>
      <c r="BM9" s="250">
        <v>939.02</v>
      </c>
      <c r="BN9" s="37">
        <f t="shared" si="18"/>
        <v>629.99999999999545</v>
      </c>
      <c r="BO9" s="186"/>
      <c r="BP9" s="183">
        <f t="shared" si="19"/>
        <v>0</v>
      </c>
      <c r="BQ9" s="250">
        <v>884.8</v>
      </c>
      <c r="BR9" s="37">
        <f t="shared" ref="BR9:BR36" si="61">IF((BQ9-BQ8)&lt;=0,0,(BQ9-BQ8))*1000</f>
        <v>799.99999999995453</v>
      </c>
      <c r="BS9" s="250">
        <v>119448.22</v>
      </c>
      <c r="BT9" s="37">
        <f t="shared" si="20"/>
        <v>232.27999999999884</v>
      </c>
      <c r="BU9" s="250">
        <v>3576074</v>
      </c>
      <c r="BV9" s="42"/>
      <c r="BW9" s="37">
        <f t="shared" si="21"/>
        <v>7584</v>
      </c>
      <c r="BX9" s="37">
        <f>IF(BW9&lt;=0,0,(BW9/SQRT(BW9^2+(BV9-BV8)^2)))</f>
        <v>1</v>
      </c>
      <c r="BY9" s="250">
        <v>413.84230000000002</v>
      </c>
      <c r="BZ9" s="43"/>
      <c r="CA9" s="37">
        <f t="shared" si="22"/>
        <v>661.10000000003311</v>
      </c>
      <c r="CB9" s="37">
        <f t="shared" ref="CB9:CB36" si="62">IF(CA9&lt;=0,0,(CA9/SQRT(CA9^2+(BZ9-BZ8)^2)))</f>
        <v>1</v>
      </c>
      <c r="CC9" s="250">
        <v>812007</v>
      </c>
      <c r="CD9" s="37">
        <f t="shared" si="23"/>
        <v>1636.6999999999534</v>
      </c>
      <c r="CE9" s="250">
        <v>1771720</v>
      </c>
      <c r="CF9" s="37">
        <f t="shared" si="24"/>
        <v>5693</v>
      </c>
      <c r="CG9" s="250">
        <v>122633</v>
      </c>
      <c r="CH9" s="37">
        <f t="shared" ref="CH9:CH36" si="63">IF((CG9-CG8)&lt;=0,0,(CG9-CG8))</f>
        <v>0</v>
      </c>
      <c r="CI9" s="250">
        <v>14436.44</v>
      </c>
      <c r="CJ9" s="40"/>
      <c r="CK9" s="37">
        <f t="shared" ref="CK9:CK36" si="64">IF((CI9-CI8)*1000&lt;=0,0,(CI9-CI8)*1000)+GX9-CA9</f>
        <v>15355.049999999748</v>
      </c>
      <c r="CL9" s="37">
        <f t="shared" si="25"/>
        <v>1</v>
      </c>
      <c r="CM9" s="250">
        <v>4250.7439999999997</v>
      </c>
      <c r="CN9" s="37"/>
      <c r="CO9" s="37">
        <f t="shared" si="26"/>
        <v>6917.1499999996213</v>
      </c>
      <c r="CP9" s="37">
        <f>IF(CO9&lt;=0,0,(CO9/SQRT(CO9^2+(CN9-CN8)^2)))</f>
        <v>1</v>
      </c>
      <c r="CQ9" s="250">
        <v>800782.9</v>
      </c>
      <c r="CR9" s="45"/>
      <c r="CS9" s="37">
        <f t="shared" ref="CS9:CS36" si="65">IF((CQ9-CQ8)&lt;=0,0,(CQ9-CQ8))+GX9</f>
        <v>6240.15</v>
      </c>
      <c r="CT9" s="37">
        <f t="shared" ref="CT9:CT36" si="66">IF(CS9&lt;=0,0,(CS9/SQRT(CS9^2+(CR9-CR8)^2)))</f>
        <v>1</v>
      </c>
      <c r="CU9" s="250">
        <v>4508467</v>
      </c>
      <c r="CV9" s="37"/>
      <c r="CW9" s="38">
        <f t="shared" si="27"/>
        <v>14782</v>
      </c>
      <c r="CX9" s="37">
        <f>IF(CW9&lt;=0,0,(CW9/SQRT(CW9^2+(CV9-CV8)^2)))</f>
        <v>1</v>
      </c>
      <c r="CY9" s="250">
        <v>2410102</v>
      </c>
      <c r="CZ9" s="37"/>
      <c r="DA9" s="37">
        <f t="shared" si="28"/>
        <v>8621</v>
      </c>
      <c r="DB9" s="37">
        <f>IF(DA9&lt;=0,0,(DA9/SQRT(DA9^2+(CZ9-CZ8)^2)))</f>
        <v>1</v>
      </c>
      <c r="DC9" s="37"/>
      <c r="DD9" s="40"/>
      <c r="DE9" s="37">
        <f t="shared" si="29"/>
        <v>0</v>
      </c>
      <c r="DF9" s="37">
        <f>IF(DE9&lt;=0,0,(DE9/SQRT(DE9^2+(DD9-DD8)^2)))</f>
        <v>0</v>
      </c>
      <c r="DG9" s="37">
        <f t="shared" si="30"/>
        <v>-59499.349999999373</v>
      </c>
      <c r="DH9" s="37">
        <f t="shared" si="31"/>
        <v>460026.14999999938</v>
      </c>
      <c r="DI9" s="46"/>
      <c r="DJ9" s="46"/>
      <c r="DK9" s="47"/>
      <c r="DL9" s="47"/>
      <c r="DM9" s="37"/>
      <c r="DN9" s="37"/>
      <c r="DO9" s="37"/>
      <c r="DP9" s="37"/>
      <c r="DQ9" s="250">
        <v>4470400</v>
      </c>
      <c r="DR9" s="49">
        <f t="shared" ref="DR9:DR36" si="67">IF((DQ9-DQ8)&lt;=0,0,(DQ9-DQ8))</f>
        <v>10500</v>
      </c>
      <c r="DS9" s="250">
        <v>5833900</v>
      </c>
      <c r="DT9" s="49">
        <f t="shared" ref="DT9:DT36" si="68">IF((DS9-DS8)&lt;=0,0,(DS9-DS8))</f>
        <v>24900</v>
      </c>
      <c r="DU9" s="250">
        <v>8421.4</v>
      </c>
      <c r="DV9" s="250">
        <v>4752.7</v>
      </c>
      <c r="DW9" s="37">
        <f>IF((DU9-DU8)*1000&lt;=0,0,(DU9-DU8)*1000)</f>
        <v>4199.9999999989086</v>
      </c>
      <c r="DX9" s="250">
        <v>13939</v>
      </c>
      <c r="DY9" s="250">
        <v>8725.2000000000007</v>
      </c>
      <c r="DZ9" s="37">
        <f t="shared" si="32"/>
        <v>8026.15</v>
      </c>
      <c r="EA9" s="250">
        <v>32335</v>
      </c>
      <c r="EB9" s="250">
        <v>22.122</v>
      </c>
      <c r="EC9" s="37">
        <f t="shared" si="33"/>
        <v>23186.15</v>
      </c>
      <c r="ED9" s="53">
        <f t="shared" si="34"/>
        <v>35412.299999998912</v>
      </c>
      <c r="EE9" s="250">
        <v>48188</v>
      </c>
      <c r="EF9" s="250">
        <v>31.728999999999999</v>
      </c>
      <c r="EG9" s="37">
        <f t="shared" si="35"/>
        <v>29186.15</v>
      </c>
      <c r="EH9" s="250">
        <v>14239</v>
      </c>
      <c r="EI9" s="250">
        <v>2.0878999999999999</v>
      </c>
      <c r="EJ9" s="37">
        <f t="shared" si="36"/>
        <v>12026.15</v>
      </c>
      <c r="EK9" s="250">
        <v>867.06</v>
      </c>
      <c r="EL9" s="250">
        <v>1242.5</v>
      </c>
      <c r="EM9" s="37">
        <f t="shared" ref="EM9:EM36" si="69">IF((EK9-EK8)&lt;=0,0,(EK9-EK8))*1000</f>
        <v>729.9999999999045</v>
      </c>
      <c r="EN9" s="54">
        <f t="shared" ref="EN9:EN36" si="70">EG9+EJ9+EM9</f>
        <v>41942.299999999908</v>
      </c>
      <c r="EO9" s="250">
        <v>13753</v>
      </c>
      <c r="EP9" s="48"/>
      <c r="EQ9" s="37">
        <f>IF((EO9-EO8)*1000&lt;=0,0,(EO9-EO8)*1000)+GX9-FU46+FV46</f>
        <v>5971.1499999999924</v>
      </c>
      <c r="ER9" s="250">
        <v>10999</v>
      </c>
      <c r="ES9" s="48"/>
      <c r="ET9" s="49">
        <f t="shared" si="37"/>
        <v>14000</v>
      </c>
      <c r="EU9" s="250">
        <v>4543.3</v>
      </c>
      <c r="EV9" s="48"/>
      <c r="EW9" s="49">
        <f t="shared" si="38"/>
        <v>10526.15</v>
      </c>
      <c r="EX9" s="250">
        <v>14660</v>
      </c>
      <c r="EY9" s="48"/>
      <c r="EZ9" s="37">
        <f t="shared" si="39"/>
        <v>9026.15</v>
      </c>
      <c r="FA9" s="48">
        <f t="shared" ref="FA9:FA36" si="71">FC9-EQ9-ET9-EW9-EZ9</f>
        <v>-17566.44999999999</v>
      </c>
      <c r="FB9" s="250">
        <v>38804125</v>
      </c>
      <c r="FC9" s="49">
        <f>IF((FB9-FB8)&lt;=0,0,(FB9-FB8))</f>
        <v>21957</v>
      </c>
      <c r="FD9" s="48">
        <f t="shared" ref="FD9:FD36" si="72">EQ9+ET9+EW9+EZ9+GJ9</f>
        <v>41299.449999999997</v>
      </c>
      <c r="FE9" s="250">
        <v>17941</v>
      </c>
      <c r="FF9" s="48"/>
      <c r="FG9" s="37">
        <f t="shared" ref="FG9:FG36" si="73">IF((FE9-FE8)*1000&lt;=0,0,(FE9-FE8)*1000)+FL9+GX9+FW46</f>
        <v>9081.1500000000069</v>
      </c>
      <c r="FH9" s="250">
        <v>10503</v>
      </c>
      <c r="FI9" s="48"/>
      <c r="FJ9" s="49">
        <f t="shared" si="40"/>
        <v>16026.15</v>
      </c>
      <c r="FK9" s="48"/>
      <c r="FL9" s="58"/>
      <c r="FM9" s="48">
        <f>FT9/3</f>
        <v>-44.483333333335999</v>
      </c>
      <c r="FN9" s="250">
        <v>17829</v>
      </c>
      <c r="FO9" s="48"/>
      <c r="FP9" s="37">
        <f t="shared" ref="FP9:FP36" si="74">IF((FN9-FN8)*1000&lt;=0,0,(FN9-FN8)*1000)+FL9+GX9</f>
        <v>9026.15</v>
      </c>
      <c r="FQ9" s="250">
        <v>62726</v>
      </c>
      <c r="FR9" s="48"/>
      <c r="FS9" s="37">
        <f t="shared" si="41"/>
        <v>34000</v>
      </c>
      <c r="FT9" s="48">
        <f t="shared" ref="FT9:FT36" si="75">FS9-FG9-FJ9-FP9</f>
        <v>-133.450000000008</v>
      </c>
      <c r="FU9" s="48">
        <f t="shared" ref="FU9:FU36" si="76">FG9+FJ9+FP9+GM9</f>
        <v>34133.450000000004</v>
      </c>
      <c r="FV9" s="250">
        <v>6798400</v>
      </c>
      <c r="FW9" s="44"/>
      <c r="FX9" s="37">
        <f t="shared" si="42"/>
        <v>32400</v>
      </c>
      <c r="FY9" s="250">
        <v>121550</v>
      </c>
      <c r="FZ9" s="56"/>
      <c r="GA9" s="37">
        <f t="shared" si="43"/>
        <v>8560</v>
      </c>
      <c r="GB9" s="250">
        <v>891.55</v>
      </c>
      <c r="GC9" s="56"/>
      <c r="GD9" s="37">
        <f t="shared" si="44"/>
        <v>1059.9999999999454</v>
      </c>
      <c r="GE9" s="250">
        <v>10983</v>
      </c>
      <c r="GF9" s="56"/>
      <c r="GG9" s="37">
        <f t="shared" si="45"/>
        <v>9224</v>
      </c>
      <c r="GH9" s="250">
        <v>71513</v>
      </c>
      <c r="GI9" s="56"/>
      <c r="GJ9" s="38">
        <f t="shared" ref="GJ9:GJ36" si="77">IF((GH9-GH8)&lt;=0,0,(GH9-GH8))</f>
        <v>1776</v>
      </c>
      <c r="GK9" s="250">
        <v>1533.3</v>
      </c>
      <c r="GL9" s="44"/>
      <c r="GM9" s="38">
        <f t="shared" si="46"/>
        <v>0</v>
      </c>
      <c r="GN9" s="250">
        <v>244090</v>
      </c>
      <c r="GO9" s="57"/>
      <c r="GP9" s="38">
        <f t="shared" si="47"/>
        <v>0</v>
      </c>
      <c r="GQ9" s="250">
        <v>299720</v>
      </c>
      <c r="GR9" s="38"/>
      <c r="GS9" s="38">
        <f t="shared" ref="GS9:GS36" si="78">IF((GQ9-GQ8)&lt;=0,0,(GQ9-GQ8))</f>
        <v>330</v>
      </c>
      <c r="GT9" s="247"/>
      <c r="GU9" s="144">
        <f>DailySep!B8-DailySep!N8-DailySep!V8-DailySep!Y8-DailySep!Z8-DailySep!AA8-DailySep!AB8-DailySep!AC8-DailySep!AD8-DailySep!AE8-DailySep!AK8-DailySep!AO8-DailySep!AS8-DailySep!AY8-DailySep!BD8+DailySep!BU8-DailySep!BG8-DailySep!BT8-DailySep!AF8-DailySep!AG8</f>
        <v>5.0000021030427888E-2</v>
      </c>
      <c r="GV9" s="261">
        <v>392.3</v>
      </c>
      <c r="GW9" s="60">
        <f t="shared" si="48"/>
        <v>26.153333333333332</v>
      </c>
      <c r="GX9" s="260">
        <v>26.15</v>
      </c>
      <c r="GY9" s="140"/>
      <c r="GZ9" s="528"/>
      <c r="HA9" s="528"/>
      <c r="HB9" s="528"/>
      <c r="HC9" s="528"/>
      <c r="HD9" s="74"/>
      <c r="HE9" s="24">
        <f t="shared" si="49"/>
        <v>0</v>
      </c>
      <c r="HG9" s="279">
        <v>3</v>
      </c>
      <c r="HH9" s="292">
        <v>25155</v>
      </c>
      <c r="HI9" s="292">
        <v>9575.9</v>
      </c>
      <c r="HJ9" s="61">
        <f t="shared" si="50"/>
        <v>169000</v>
      </c>
      <c r="HK9" s="260">
        <v>2.1432000000000002</v>
      </c>
      <c r="HL9" s="292">
        <v>807.23</v>
      </c>
      <c r="HM9" s="61">
        <f t="shared" si="51"/>
        <v>0</v>
      </c>
      <c r="HN9" s="292">
        <v>6413.4</v>
      </c>
      <c r="HO9" s="292">
        <v>2742.7</v>
      </c>
      <c r="HP9" s="61">
        <f t="shared" si="52"/>
        <v>45174.999999999454</v>
      </c>
      <c r="HQ9" s="292">
        <v>4519.6000000000004</v>
      </c>
      <c r="HR9" s="292">
        <v>1913.9</v>
      </c>
      <c r="HS9" s="61">
        <f t="shared" si="53"/>
        <v>26975.000000000546</v>
      </c>
      <c r="HT9" s="292">
        <v>4439</v>
      </c>
      <c r="HU9" s="292">
        <v>1613.4</v>
      </c>
      <c r="HV9" s="61">
        <f t="shared" si="54"/>
        <v>27774.999999999818</v>
      </c>
      <c r="HW9" s="292">
        <v>3147.5</v>
      </c>
      <c r="HX9" s="292">
        <v>1350.7</v>
      </c>
      <c r="HY9" s="61">
        <f t="shared" si="55"/>
        <v>26475.000000000091</v>
      </c>
      <c r="HZ9" s="260">
        <v>2344600</v>
      </c>
      <c r="IA9" s="260">
        <v>10247</v>
      </c>
      <c r="IB9" s="61">
        <f t="shared" si="56"/>
        <v>17700</v>
      </c>
      <c r="IC9" s="292">
        <v>719.8</v>
      </c>
      <c r="ID9" s="292">
        <v>232.78</v>
      </c>
      <c r="IE9" s="61">
        <f t="shared" ref="IE9:IE36" si="79">IF((IC9-IC8)&lt;=0,0,(IC9-IC8))</f>
        <v>0</v>
      </c>
      <c r="IF9" s="61"/>
      <c r="IG9" s="61"/>
      <c r="IH9" s="280">
        <f t="shared" si="57"/>
        <v>24900</v>
      </c>
      <c r="II9" s="281">
        <f t="shared" si="58"/>
        <v>8.0035533756017685E-11</v>
      </c>
      <c r="IJ9" s="245"/>
      <c r="IK9" s="245"/>
      <c r="IL9" s="245"/>
      <c r="IM9" s="245"/>
      <c r="IN9" s="245"/>
      <c r="IO9" s="245"/>
      <c r="IP9" s="245"/>
      <c r="IQ9" s="245"/>
      <c r="IR9" s="245"/>
      <c r="IS9" s="245"/>
      <c r="IT9" s="245"/>
      <c r="IU9" s="245"/>
      <c r="IV9" s="245"/>
      <c r="IW9" s="245"/>
      <c r="IX9" s="245"/>
      <c r="IY9" s="245"/>
      <c r="IZ9" s="245"/>
      <c r="JA9" s="245"/>
      <c r="JB9" s="245"/>
      <c r="JC9" s="245"/>
      <c r="JD9" s="245"/>
      <c r="JE9" s="245"/>
      <c r="JF9" s="245"/>
      <c r="JG9" s="245"/>
      <c r="JH9" s="245"/>
      <c r="JI9" s="245"/>
      <c r="JJ9" s="245"/>
      <c r="JK9" s="245"/>
      <c r="JL9" s="245"/>
      <c r="JM9" s="245"/>
      <c r="JN9" s="245"/>
      <c r="JO9" s="245"/>
      <c r="JP9" s="245"/>
      <c r="JQ9" s="245"/>
      <c r="JR9" s="245"/>
      <c r="JS9" s="245"/>
      <c r="JT9" s="245"/>
      <c r="JU9" s="245"/>
      <c r="JV9" s="245"/>
      <c r="JW9" s="245"/>
      <c r="JX9" s="245"/>
      <c r="JY9" s="245"/>
      <c r="JZ9" s="245"/>
      <c r="KA9" s="245"/>
      <c r="KB9" s="245"/>
      <c r="KC9" s="245"/>
      <c r="KD9" s="245"/>
      <c r="KE9" s="245"/>
      <c r="KG9" s="151">
        <f t="shared" si="59"/>
        <v>62874.999999999534</v>
      </c>
    </row>
    <row r="10" spans="1:293" x14ac:dyDescent="0.25">
      <c r="A10" s="35">
        <f t="shared" si="0"/>
        <v>4</v>
      </c>
      <c r="B10" s="250">
        <v>5440.64</v>
      </c>
      <c r="C10" s="38">
        <f t="shared" si="1"/>
        <v>10.710000000000036</v>
      </c>
      <c r="D10" s="38">
        <f t="shared" si="2"/>
        <v>342720.00000000116</v>
      </c>
      <c r="E10" s="250">
        <v>1093.21</v>
      </c>
      <c r="F10" s="38">
        <f t="shared" si="3"/>
        <v>73599.999999998545</v>
      </c>
      <c r="G10" s="38">
        <f t="shared" si="4"/>
        <v>416319.99999999971</v>
      </c>
      <c r="H10" s="37"/>
      <c r="I10" s="39"/>
      <c r="J10" s="42"/>
      <c r="K10" s="37">
        <f t="shared" ref="K10:K34" si="80">IF(J10&lt;=0,0,(J10/SQRT(J10^2+(I10-I9)^2)))</f>
        <v>0</v>
      </c>
      <c r="L10" s="250">
        <v>17520800</v>
      </c>
      <c r="M10" s="40"/>
      <c r="N10" s="37">
        <f t="shared" ref="N10:N36" si="81">IF((L10-L9)&lt;=0,0,(L10-L9)*10)</f>
        <v>414000</v>
      </c>
      <c r="O10" s="250">
        <v>12860.5</v>
      </c>
      <c r="P10" s="37"/>
      <c r="Q10" s="37">
        <f t="shared" si="5"/>
        <v>17600.000000000364</v>
      </c>
      <c r="R10" s="37">
        <f t="shared" ref="R10:R34" si="82">IF(Q10&lt;=0,0,(Q10/SQRT(Q10^2+(P10-P9)^2)))</f>
        <v>1</v>
      </c>
      <c r="S10" s="250">
        <v>11268034.470000001</v>
      </c>
      <c r="T10" s="37">
        <f t="shared" si="6"/>
        <v>333.07000000029802</v>
      </c>
      <c r="U10" s="250">
        <v>1523790.61</v>
      </c>
      <c r="V10" s="37">
        <f t="shared" si="7"/>
        <v>0</v>
      </c>
      <c r="W10" s="250">
        <v>4600.3</v>
      </c>
      <c r="X10" s="37">
        <f>Q10-T10-V10-AB10</f>
        <v>17166.930000000066</v>
      </c>
      <c r="Y10" s="183"/>
      <c r="Z10" s="183"/>
      <c r="AA10" s="250">
        <v>795500</v>
      </c>
      <c r="AB10" s="37">
        <f t="shared" si="8"/>
        <v>100</v>
      </c>
      <c r="AC10" s="250">
        <v>4769.2</v>
      </c>
      <c r="AD10" s="37"/>
      <c r="AE10" s="37">
        <f t="shared" si="9"/>
        <v>4300.0000000001819</v>
      </c>
      <c r="AF10" s="37">
        <f t="shared" ref="AF10:AF34" si="83">IF(AE10&lt;=0,0,(AE10/SQRT(AE10^2+(AD10-AD9)^2)))</f>
        <v>1</v>
      </c>
      <c r="AG10" s="250">
        <v>10349.1</v>
      </c>
      <c r="AH10" s="37"/>
      <c r="AI10" s="37">
        <f t="shared" si="10"/>
        <v>8130.050000000364</v>
      </c>
      <c r="AJ10" s="37">
        <f t="shared" si="11"/>
        <v>1</v>
      </c>
      <c r="AK10" s="37">
        <f t="shared" si="12"/>
        <v>29930.050000000909</v>
      </c>
      <c r="AL10" s="250">
        <v>12027</v>
      </c>
      <c r="AM10" s="42"/>
      <c r="AN10" s="37">
        <f t="shared" si="60"/>
        <v>5470.0500000002903</v>
      </c>
      <c r="AO10" s="37">
        <f t="shared" ref="AO10:AO34" si="84">IF(AN10&lt;=0,0,(AN10/SQRT(AN10^2+(AM10-AM9)^2)))</f>
        <v>1</v>
      </c>
      <c r="AP10" s="250">
        <v>9463.2999999999993</v>
      </c>
      <c r="AQ10" s="37"/>
      <c r="AR10" s="37">
        <f t="shared" si="13"/>
        <v>14299.999999999272</v>
      </c>
      <c r="AS10" s="37">
        <f t="shared" ref="AS10:AS34" si="85">IF(AR10&lt;=0,0,(AR10/SQRT(AR10^2+(AQ10-AQ9)^2)))</f>
        <v>1</v>
      </c>
      <c r="AT10" s="183"/>
      <c r="AU10" s="183"/>
      <c r="AV10" s="183"/>
      <c r="AW10" s="183"/>
      <c r="AX10" s="250">
        <v>526330</v>
      </c>
      <c r="AY10" s="37"/>
      <c r="AZ10" s="37">
        <f t="shared" si="14"/>
        <v>400</v>
      </c>
      <c r="BA10" s="250">
        <v>210780</v>
      </c>
      <c r="BB10" s="37"/>
      <c r="BC10" s="37">
        <f t="shared" si="15"/>
        <v>610</v>
      </c>
      <c r="BD10" s="37">
        <f t="shared" ref="BD10:BD34" si="86">AN10+AR10+AZ10+BC10</f>
        <v>20780.049999999563</v>
      </c>
      <c r="BE10" s="250">
        <v>2087.1</v>
      </c>
      <c r="BF10" s="250">
        <v>1172.9000000000001</v>
      </c>
      <c r="BG10" s="37">
        <f t="shared" si="16"/>
        <v>1199.9999999998181</v>
      </c>
      <c r="BH10" s="250">
        <v>9858.5</v>
      </c>
      <c r="BI10" s="250">
        <v>6366.1</v>
      </c>
      <c r="BJ10" s="37">
        <f t="shared" si="17"/>
        <v>9399.9999999996362</v>
      </c>
      <c r="BK10" s="250">
        <v>1995270</v>
      </c>
      <c r="BL10" s="40">
        <f t="shared" ref="BL10:BL36" si="87">IF((BK10-BK9)&lt;=0,0,(BK10-BK9))</f>
        <v>4240</v>
      </c>
      <c r="BM10" s="250">
        <v>939.64</v>
      </c>
      <c r="BN10" s="37">
        <f t="shared" si="18"/>
        <v>620.00000000000455</v>
      </c>
      <c r="BO10" s="186"/>
      <c r="BP10" s="183">
        <f t="shared" si="19"/>
        <v>0</v>
      </c>
      <c r="BQ10" s="250">
        <v>885.6</v>
      </c>
      <c r="BR10" s="37">
        <f t="shared" si="61"/>
        <v>800.00000000006821</v>
      </c>
      <c r="BS10" s="250">
        <v>119688.54</v>
      </c>
      <c r="BT10" s="37">
        <f t="shared" si="20"/>
        <v>240.31999999999243</v>
      </c>
      <c r="BU10" s="250">
        <v>3582717</v>
      </c>
      <c r="BV10" s="42"/>
      <c r="BW10" s="37">
        <f t="shared" si="21"/>
        <v>6643</v>
      </c>
      <c r="BX10" s="37">
        <f t="shared" ref="BX10:BX33" si="88">IF(BW10&lt;=0,0,(BW10/SQRT(BW10^2+(BV10-BV9)^2)))</f>
        <v>1</v>
      </c>
      <c r="BY10" s="250">
        <v>414.54349999999999</v>
      </c>
      <c r="BZ10" s="43"/>
      <c r="CA10" s="37">
        <f t="shared" si="22"/>
        <v>701.19999999997162</v>
      </c>
      <c r="CB10" s="37">
        <f t="shared" si="62"/>
        <v>1</v>
      </c>
      <c r="CC10" s="250">
        <v>812966.40000000002</v>
      </c>
      <c r="CD10" s="37">
        <f t="shared" si="23"/>
        <v>959.40000000002328</v>
      </c>
      <c r="CE10" s="250">
        <v>1777065</v>
      </c>
      <c r="CF10" s="37">
        <f t="shared" si="24"/>
        <v>5345</v>
      </c>
      <c r="CG10" s="250">
        <v>122633</v>
      </c>
      <c r="CH10" s="37">
        <f t="shared" si="63"/>
        <v>0</v>
      </c>
      <c r="CI10" s="250">
        <v>14452.09</v>
      </c>
      <c r="CJ10" s="40"/>
      <c r="CK10" s="37">
        <f t="shared" si="64"/>
        <v>13478.849999999664</v>
      </c>
      <c r="CL10" s="37">
        <f t="shared" si="25"/>
        <v>1</v>
      </c>
      <c r="CM10" s="250">
        <v>4258.6289999999999</v>
      </c>
      <c r="CN10" s="37"/>
      <c r="CO10" s="37">
        <f t="shared" si="26"/>
        <v>6415.0500000002185</v>
      </c>
      <c r="CP10" s="37">
        <f t="shared" ref="CP10:CP34" si="89">IF(CO10&lt;=0,0,(CO10/SQRT(CO10^2+(CN10-CN9)^2)))</f>
        <v>1</v>
      </c>
      <c r="CQ10" s="250">
        <v>807139.7</v>
      </c>
      <c r="CR10" s="45"/>
      <c r="CS10" s="37">
        <f t="shared" si="65"/>
        <v>4886.8499999999303</v>
      </c>
      <c r="CT10" s="37">
        <f t="shared" si="66"/>
        <v>1</v>
      </c>
      <c r="CU10" s="250">
        <v>4526010</v>
      </c>
      <c r="CV10" s="37"/>
      <c r="CW10" s="38">
        <f t="shared" si="27"/>
        <v>17543</v>
      </c>
      <c r="CX10" s="37">
        <f t="shared" ref="CX10:CX36" si="90">IF(CW10&lt;=0,0,(CW10/SQRT(CW10^2+(CV10-CV9)^2)))</f>
        <v>1</v>
      </c>
      <c r="CY10" s="250">
        <v>2419732</v>
      </c>
      <c r="CZ10" s="37"/>
      <c r="DA10" s="37">
        <f t="shared" si="28"/>
        <v>9630</v>
      </c>
      <c r="DB10" s="37">
        <f t="shared" ref="DB10:DB34" si="91">IF(DA10&lt;=0,0,(DA10/SQRT(DA10^2+(CZ10-CZ9)^2)))</f>
        <v>1</v>
      </c>
      <c r="DC10" s="37"/>
      <c r="DD10" s="40"/>
      <c r="DE10" s="37">
        <f t="shared" si="29"/>
        <v>0</v>
      </c>
      <c r="DF10" s="37">
        <f>IF(DE10&lt;=0,0,(DE10/SQRT(DE10^2+(DD10-DD9)^2)))</f>
        <v>0</v>
      </c>
      <c r="DG10" s="37">
        <f t="shared" si="30"/>
        <v>-58596.749999999811</v>
      </c>
      <c r="DH10" s="37">
        <f t="shared" si="31"/>
        <v>445130.05000000075</v>
      </c>
      <c r="DI10" s="46"/>
      <c r="DJ10" s="46"/>
      <c r="DK10" s="47"/>
      <c r="DL10" s="47"/>
      <c r="DM10" s="37"/>
      <c r="DN10" s="37"/>
      <c r="DO10" s="37"/>
      <c r="DP10" s="37"/>
      <c r="DQ10" s="250">
        <v>4481100</v>
      </c>
      <c r="DR10" s="49">
        <f t="shared" si="67"/>
        <v>10700</v>
      </c>
      <c r="DS10" s="250">
        <v>5858700</v>
      </c>
      <c r="DT10" s="49">
        <f t="shared" si="68"/>
        <v>24800</v>
      </c>
      <c r="DU10" s="250">
        <v>8425.7999999999993</v>
      </c>
      <c r="DV10" s="250">
        <v>4753.8999999999996</v>
      </c>
      <c r="DW10" s="37">
        <f t="shared" ref="DW10:DW36" si="92">IF((DU10-DU9)*1000&lt;=0,0,(DU10-DU9)*1000)</f>
        <v>4399.9999999996362</v>
      </c>
      <c r="DX10" s="250">
        <v>13947</v>
      </c>
      <c r="DY10" s="250">
        <v>8730.2000000000007</v>
      </c>
      <c r="DZ10" s="37">
        <f t="shared" si="32"/>
        <v>6530.05</v>
      </c>
      <c r="EA10" s="250">
        <v>32357</v>
      </c>
      <c r="EB10" s="250">
        <v>22.132000000000001</v>
      </c>
      <c r="EC10" s="37">
        <f t="shared" si="33"/>
        <v>22690.05</v>
      </c>
      <c r="ED10" s="53">
        <f t="shared" si="34"/>
        <v>33620.099999999635</v>
      </c>
      <c r="EE10" s="250">
        <v>48215</v>
      </c>
      <c r="EF10" s="250">
        <v>31.751000000000001</v>
      </c>
      <c r="EG10" s="37">
        <f t="shared" si="35"/>
        <v>27690.05</v>
      </c>
      <c r="EH10" s="250">
        <v>14249</v>
      </c>
      <c r="EI10" s="250">
        <v>2.0908000000000002</v>
      </c>
      <c r="EJ10" s="37">
        <f t="shared" si="36"/>
        <v>8530.0499999999993</v>
      </c>
      <c r="EK10" s="250">
        <v>867.76</v>
      </c>
      <c r="EL10" s="250">
        <v>1243.5999999999999</v>
      </c>
      <c r="EM10" s="37">
        <f t="shared" si="69"/>
        <v>700.00000000004547</v>
      </c>
      <c r="EN10" s="54">
        <f t="shared" si="70"/>
        <v>36920.100000000042</v>
      </c>
      <c r="EO10" s="250">
        <v>13760</v>
      </c>
      <c r="EP10" s="48"/>
      <c r="EQ10" s="37">
        <f>IF((EO10-EO9)*1000&lt;=0,0,(EO10-EO9)*1000)+GX10-FU47+FV47</f>
        <v>4180.0499999999774</v>
      </c>
      <c r="ER10" s="250">
        <v>11004</v>
      </c>
      <c r="ES10" s="48"/>
      <c r="ET10" s="49">
        <f t="shared" si="37"/>
        <v>5000</v>
      </c>
      <c r="EU10" s="250">
        <v>4574.8999999999996</v>
      </c>
      <c r="EV10" s="48"/>
      <c r="EW10" s="49">
        <f t="shared" si="38"/>
        <v>30130.049999999454</v>
      </c>
      <c r="EX10" s="250">
        <v>14667</v>
      </c>
      <c r="EY10" s="48"/>
      <c r="EZ10" s="37">
        <f t="shared" si="39"/>
        <v>5530.05</v>
      </c>
      <c r="FA10" s="48">
        <f t="shared" si="71"/>
        <v>-33506.149999999434</v>
      </c>
      <c r="FB10" s="250">
        <v>38815459</v>
      </c>
      <c r="FC10" s="49">
        <f t="shared" ref="FC10:FC35" si="93">IF((FB10-FB9)&lt;=0,0,(FB10-FB9))</f>
        <v>11334</v>
      </c>
      <c r="FD10" s="48">
        <f t="shared" si="72"/>
        <v>45543.149999999434</v>
      </c>
      <c r="FE10" s="250">
        <v>17949</v>
      </c>
      <c r="FF10" s="48"/>
      <c r="FG10" s="37">
        <f t="shared" si="73"/>
        <v>7880.0500000000229</v>
      </c>
      <c r="FH10" s="250">
        <v>10520</v>
      </c>
      <c r="FI10" s="48"/>
      <c r="FJ10" s="49">
        <f t="shared" si="40"/>
        <v>15530.05</v>
      </c>
      <c r="FK10" s="48"/>
      <c r="FL10" s="58"/>
      <c r="FM10" s="48">
        <f t="shared" ref="FM10:FM36" si="94">FT10/3</f>
        <v>1353.2833333333256</v>
      </c>
      <c r="FN10" s="250">
        <v>17839</v>
      </c>
      <c r="FO10" s="48"/>
      <c r="FP10" s="37">
        <f t="shared" si="74"/>
        <v>8530.0499999999993</v>
      </c>
      <c r="FQ10" s="250">
        <v>62762</v>
      </c>
      <c r="FR10" s="48"/>
      <c r="FS10" s="37">
        <f t="shared" si="41"/>
        <v>36000</v>
      </c>
      <c r="FT10" s="48">
        <f t="shared" si="75"/>
        <v>4059.8499999999767</v>
      </c>
      <c r="FU10" s="48">
        <f t="shared" si="76"/>
        <v>31940.15000000002</v>
      </c>
      <c r="FV10" s="250">
        <v>6830100</v>
      </c>
      <c r="FW10" s="44"/>
      <c r="FX10" s="37">
        <f t="shared" si="42"/>
        <v>31700</v>
      </c>
      <c r="FY10" s="250">
        <v>129810</v>
      </c>
      <c r="FZ10" s="56"/>
      <c r="GA10" s="37">
        <f t="shared" si="43"/>
        <v>8260</v>
      </c>
      <c r="GB10" s="250">
        <v>892.57</v>
      </c>
      <c r="GC10" s="56"/>
      <c r="GD10" s="37">
        <f t="shared" si="44"/>
        <v>1020.0000000000955</v>
      </c>
      <c r="GE10" s="250">
        <v>10993</v>
      </c>
      <c r="GF10" s="56"/>
      <c r="GG10" s="37">
        <f t="shared" si="45"/>
        <v>9297</v>
      </c>
      <c r="GH10" s="250">
        <v>72216</v>
      </c>
      <c r="GI10" s="162"/>
      <c r="GJ10" s="38">
        <f t="shared" si="77"/>
        <v>703</v>
      </c>
      <c r="GK10" s="250">
        <v>1533.3</v>
      </c>
      <c r="GL10" s="163"/>
      <c r="GM10" s="38">
        <f t="shared" si="46"/>
        <v>0</v>
      </c>
      <c r="GN10" s="250">
        <v>244100</v>
      </c>
      <c r="GO10" s="57"/>
      <c r="GP10" s="38">
        <f t="shared" si="47"/>
        <v>10</v>
      </c>
      <c r="GQ10" s="250">
        <v>300020</v>
      </c>
      <c r="GR10" s="38"/>
      <c r="GS10" s="38">
        <f t="shared" si="78"/>
        <v>300</v>
      </c>
      <c r="GT10" s="247"/>
      <c r="GU10" s="144">
        <f>DailySep!B9-DailySep!N9-DailySep!V9-DailySep!Y9-DailySep!Z9-DailySep!AA9-DailySep!AB9-DailySep!AC9-DailySep!AD9-DailySep!AE9-DailySep!AK9-DailySep!AO9-DailySep!AS9-DailySep!AY9-DailySep!BD9+DailySep!BU9-DailySep!BG9-DailySep!BT9-DailySep!AF9-DailySep!AG9</f>
        <v>5.000000074505806E-2</v>
      </c>
      <c r="GV10" s="261">
        <v>22049.200000000001</v>
      </c>
      <c r="GW10" s="60">
        <f t="shared" si="48"/>
        <v>1469.9466666666667</v>
      </c>
      <c r="GX10" s="260">
        <v>-1469.95</v>
      </c>
      <c r="GY10" s="140"/>
      <c r="GZ10" s="528"/>
      <c r="HA10" s="528"/>
      <c r="HB10" s="528"/>
      <c r="HC10" s="528"/>
      <c r="HD10" s="74"/>
      <c r="HE10" s="24">
        <f t="shared" si="49"/>
        <v>0</v>
      </c>
      <c r="HG10" s="279">
        <v>4</v>
      </c>
      <c r="HH10" s="292">
        <v>25321</v>
      </c>
      <c r="HI10" s="292">
        <v>9638.1</v>
      </c>
      <c r="HJ10" s="61">
        <f t="shared" si="50"/>
        <v>166000</v>
      </c>
      <c r="HK10" s="260">
        <v>2.1432000000000002</v>
      </c>
      <c r="HL10" s="292">
        <v>807.23</v>
      </c>
      <c r="HM10" s="61">
        <f t="shared" si="51"/>
        <v>0</v>
      </c>
      <c r="HN10" s="292">
        <v>6455.8</v>
      </c>
      <c r="HO10" s="292">
        <v>2760.1</v>
      </c>
      <c r="HP10" s="61">
        <f t="shared" si="52"/>
        <v>42450.000000000546</v>
      </c>
      <c r="HQ10" s="292">
        <v>4545.1000000000004</v>
      </c>
      <c r="HR10" s="292">
        <v>1923.9</v>
      </c>
      <c r="HS10" s="61">
        <f t="shared" si="53"/>
        <v>25550</v>
      </c>
      <c r="HT10" s="292">
        <v>4464.7</v>
      </c>
      <c r="HU10" s="292">
        <v>1621.8</v>
      </c>
      <c r="HV10" s="61">
        <f t="shared" si="54"/>
        <v>25749.999999999818</v>
      </c>
      <c r="HW10" s="292">
        <v>3170.8</v>
      </c>
      <c r="HX10" s="292">
        <v>1360.8</v>
      </c>
      <c r="HY10" s="61">
        <f t="shared" si="55"/>
        <v>23350.000000000182</v>
      </c>
      <c r="HZ10" s="260">
        <v>2368700</v>
      </c>
      <c r="IA10" s="260">
        <v>10352</v>
      </c>
      <c r="IB10" s="61">
        <f t="shared" si="56"/>
        <v>24100</v>
      </c>
      <c r="IC10" s="292">
        <v>719.8</v>
      </c>
      <c r="ID10" s="292">
        <v>232.78</v>
      </c>
      <c r="IE10" s="61">
        <f t="shared" si="79"/>
        <v>0</v>
      </c>
      <c r="IF10" s="61"/>
      <c r="IG10" s="61"/>
      <c r="IH10" s="280">
        <f t="shared" si="57"/>
        <v>24800</v>
      </c>
      <c r="II10" s="281">
        <f t="shared" si="58"/>
        <v>-5.4569682106375694E-10</v>
      </c>
      <c r="IJ10" s="245"/>
      <c r="IK10" s="245"/>
      <c r="IL10" s="245"/>
      <c r="IM10" s="245"/>
      <c r="IN10" s="245"/>
      <c r="IO10" s="245"/>
      <c r="IP10" s="245"/>
      <c r="IQ10" s="245"/>
      <c r="IR10" s="245"/>
      <c r="IS10" s="245"/>
      <c r="IT10" s="245"/>
      <c r="IU10" s="245"/>
      <c r="IV10" s="245"/>
      <c r="IW10" s="245"/>
      <c r="IX10" s="245"/>
      <c r="IY10" s="245"/>
      <c r="IZ10" s="245"/>
      <c r="JA10" s="245"/>
      <c r="JB10" s="245"/>
      <c r="JC10" s="245"/>
      <c r="JD10" s="245"/>
      <c r="JE10" s="245"/>
      <c r="JF10" s="245"/>
      <c r="JG10" s="245"/>
      <c r="JH10" s="245"/>
      <c r="JI10" s="245"/>
      <c r="JJ10" s="245"/>
      <c r="JK10" s="245"/>
      <c r="JL10" s="245"/>
      <c r="JM10" s="245"/>
      <c r="JN10" s="245"/>
      <c r="JO10" s="245"/>
      <c r="JP10" s="245"/>
      <c r="JQ10" s="245"/>
      <c r="JR10" s="245"/>
      <c r="JS10" s="245"/>
      <c r="JT10" s="245"/>
      <c r="JU10" s="245"/>
      <c r="JV10" s="245"/>
      <c r="JW10" s="245"/>
      <c r="JX10" s="245"/>
      <c r="JY10" s="245"/>
      <c r="JZ10" s="245"/>
      <c r="KA10" s="245"/>
      <c r="KB10" s="245"/>
      <c r="KC10" s="245"/>
      <c r="KD10" s="245"/>
      <c r="KE10" s="245"/>
      <c r="KG10" s="151">
        <f t="shared" si="59"/>
        <v>66550</v>
      </c>
    </row>
    <row r="11" spans="1:293" x14ac:dyDescent="0.25">
      <c r="A11" s="35">
        <f t="shared" si="0"/>
        <v>5</v>
      </c>
      <c r="B11" s="250">
        <v>5452.64</v>
      </c>
      <c r="C11" s="38">
        <f t="shared" si="1"/>
        <v>12</v>
      </c>
      <c r="D11" s="38">
        <f t="shared" si="2"/>
        <v>384000</v>
      </c>
      <c r="E11" s="250">
        <v>1095.51</v>
      </c>
      <c r="F11" s="38">
        <f t="shared" si="3"/>
        <v>73599.999999998545</v>
      </c>
      <c r="G11" s="38">
        <f t="shared" si="4"/>
        <v>457599.99999999854</v>
      </c>
      <c r="H11" s="37"/>
      <c r="I11" s="39"/>
      <c r="J11" s="42"/>
      <c r="K11" s="37">
        <f t="shared" si="80"/>
        <v>0</v>
      </c>
      <c r="L11" s="250">
        <v>17566200</v>
      </c>
      <c r="M11" s="40"/>
      <c r="N11" s="37">
        <f t="shared" si="81"/>
        <v>454000</v>
      </c>
      <c r="O11" s="250">
        <v>12879</v>
      </c>
      <c r="P11" s="37"/>
      <c r="Q11" s="37">
        <f t="shared" si="5"/>
        <v>18500</v>
      </c>
      <c r="R11" s="37">
        <f t="shared" si="82"/>
        <v>1</v>
      </c>
      <c r="S11" s="250">
        <v>11268383.17</v>
      </c>
      <c r="T11" s="37">
        <f t="shared" si="6"/>
        <v>348.69999999925494</v>
      </c>
      <c r="U11" s="250">
        <v>1523790.61</v>
      </c>
      <c r="V11" s="37">
        <f t="shared" si="7"/>
        <v>0</v>
      </c>
      <c r="W11" s="250">
        <v>4606.6000000000004</v>
      </c>
      <c r="X11" s="37">
        <f t="shared" ref="X11:X36" si="95">Q11-T11-V11-AB11</f>
        <v>18051.300000000745</v>
      </c>
      <c r="Y11" s="183"/>
      <c r="Z11" s="183"/>
      <c r="AA11" s="250">
        <v>795600</v>
      </c>
      <c r="AB11" s="37">
        <f t="shared" si="8"/>
        <v>100</v>
      </c>
      <c r="AC11" s="250">
        <v>4774.7</v>
      </c>
      <c r="AD11" s="37"/>
      <c r="AE11" s="37">
        <f t="shared" si="9"/>
        <v>5500</v>
      </c>
      <c r="AF11" s="37">
        <f t="shared" si="83"/>
        <v>1</v>
      </c>
      <c r="AG11" s="250">
        <v>10361.299999999999</v>
      </c>
      <c r="AH11" s="37"/>
      <c r="AI11" s="37">
        <f t="shared" si="10"/>
        <v>13714.959999998908</v>
      </c>
      <c r="AJ11" s="37">
        <f t="shared" si="11"/>
        <v>1</v>
      </c>
      <c r="AK11" s="37">
        <f t="shared" si="12"/>
        <v>37614.959999998908</v>
      </c>
      <c r="AL11" s="250">
        <v>12040.2</v>
      </c>
      <c r="AM11" s="2"/>
      <c r="AN11" s="37">
        <f t="shared" si="60"/>
        <v>8984.9600000008104</v>
      </c>
      <c r="AO11" s="37">
        <f t="shared" si="84"/>
        <v>1</v>
      </c>
      <c r="AP11" s="250">
        <v>9478.6</v>
      </c>
      <c r="AQ11" s="37"/>
      <c r="AR11" s="37">
        <f t="shared" si="13"/>
        <v>15300.000000001091</v>
      </c>
      <c r="AS11" s="37">
        <f t="shared" si="85"/>
        <v>1</v>
      </c>
      <c r="AT11" s="183"/>
      <c r="AU11" s="183"/>
      <c r="AV11" s="183"/>
      <c r="AW11" s="183"/>
      <c r="AX11" s="250">
        <v>526770</v>
      </c>
      <c r="AY11" s="37"/>
      <c r="AZ11" s="37">
        <f t="shared" si="14"/>
        <v>440</v>
      </c>
      <c r="BA11" s="250">
        <v>211460</v>
      </c>
      <c r="BB11" s="37"/>
      <c r="BC11" s="37">
        <f t="shared" si="15"/>
        <v>680</v>
      </c>
      <c r="BD11" s="37">
        <f t="shared" si="86"/>
        <v>25404.960000001902</v>
      </c>
      <c r="BE11" s="250">
        <v>2088.5</v>
      </c>
      <c r="BF11" s="250">
        <v>1173.8</v>
      </c>
      <c r="BG11" s="37">
        <f t="shared" si="16"/>
        <v>1400.0000000000909</v>
      </c>
      <c r="BH11" s="250">
        <v>9867.6</v>
      </c>
      <c r="BI11" s="250">
        <v>6372.1</v>
      </c>
      <c r="BJ11" s="37">
        <f t="shared" si="17"/>
        <v>9100.0000000003638</v>
      </c>
      <c r="BK11" s="250">
        <v>1999660</v>
      </c>
      <c r="BL11" s="40">
        <f t="shared" si="87"/>
        <v>4390</v>
      </c>
      <c r="BM11" s="250">
        <v>940.28</v>
      </c>
      <c r="BN11" s="37">
        <f t="shared" si="18"/>
        <v>639.99999999998636</v>
      </c>
      <c r="BO11" s="186"/>
      <c r="BP11" s="183">
        <f t="shared" si="19"/>
        <v>0</v>
      </c>
      <c r="BQ11" s="250">
        <v>886.3</v>
      </c>
      <c r="BR11" s="37">
        <f t="shared" si="61"/>
        <v>699.99999999993179</v>
      </c>
      <c r="BS11" s="250">
        <v>119910.46</v>
      </c>
      <c r="BT11" s="37">
        <f t="shared" si="20"/>
        <v>221.92000000001281</v>
      </c>
      <c r="BU11" s="250">
        <v>3589575</v>
      </c>
      <c r="BV11" s="42"/>
      <c r="BW11" s="37">
        <f t="shared" si="21"/>
        <v>6858</v>
      </c>
      <c r="BX11" s="37">
        <f t="shared" si="88"/>
        <v>1</v>
      </c>
      <c r="BY11" s="250">
        <v>415.17829999999998</v>
      </c>
      <c r="BZ11" s="43"/>
      <c r="CA11" s="37">
        <f t="shared" si="22"/>
        <v>634.79999999998427</v>
      </c>
      <c r="CB11" s="37">
        <f t="shared" si="62"/>
        <v>1</v>
      </c>
      <c r="CC11" s="250">
        <v>814365.4</v>
      </c>
      <c r="CD11" s="37">
        <f t="shared" si="23"/>
        <v>1399</v>
      </c>
      <c r="CE11" s="250">
        <v>1782174</v>
      </c>
      <c r="CF11" s="37">
        <f t="shared" si="24"/>
        <v>5109</v>
      </c>
      <c r="CG11" s="250">
        <v>122633</v>
      </c>
      <c r="CH11" s="37">
        <f t="shared" si="63"/>
        <v>0</v>
      </c>
      <c r="CI11" s="250">
        <v>14469.06</v>
      </c>
      <c r="CJ11" s="40"/>
      <c r="CK11" s="37">
        <f t="shared" si="64"/>
        <v>17850.15999999936</v>
      </c>
      <c r="CL11" s="37">
        <f t="shared" si="25"/>
        <v>1</v>
      </c>
      <c r="CM11" s="250">
        <v>4267.0640000000003</v>
      </c>
      <c r="CN11" s="37"/>
      <c r="CO11" s="37">
        <f t="shared" si="26"/>
        <v>9949.9600000003993</v>
      </c>
      <c r="CP11" s="37">
        <f>IF(CO11&lt;=0,0,(CO11/SQRT(CO11^2+(CN11-CN10)^2)))</f>
        <v>1</v>
      </c>
      <c r="CQ11" s="250">
        <v>813672.3</v>
      </c>
      <c r="CR11" s="45"/>
      <c r="CS11" s="37">
        <f t="shared" si="65"/>
        <v>8047.5600000000932</v>
      </c>
      <c r="CT11" s="37">
        <f t="shared" si="66"/>
        <v>1</v>
      </c>
      <c r="CU11" s="250">
        <v>4541514</v>
      </c>
      <c r="CV11" s="37"/>
      <c r="CW11" s="38">
        <f t="shared" si="27"/>
        <v>15504</v>
      </c>
      <c r="CX11" s="37">
        <f t="shared" si="90"/>
        <v>1</v>
      </c>
      <c r="CY11" s="250">
        <v>2428258</v>
      </c>
      <c r="CZ11" s="37"/>
      <c r="DA11" s="37">
        <f t="shared" si="28"/>
        <v>8526</v>
      </c>
      <c r="DB11" s="37">
        <f t="shared" si="91"/>
        <v>1</v>
      </c>
      <c r="DC11" s="37"/>
      <c r="DD11" s="40"/>
      <c r="DE11" s="37">
        <f t="shared" si="29"/>
        <v>0</v>
      </c>
      <c r="DF11" s="37">
        <f t="shared" ref="DF11:DF33" si="96">IF(DE11&lt;=0,0,(DE11/SQRT(DE11^2+(DD11-DD10)^2)))</f>
        <v>0</v>
      </c>
      <c r="DG11" s="37">
        <f t="shared" si="30"/>
        <v>-66735.679999999847</v>
      </c>
      <c r="DH11" s="37">
        <f t="shared" si="31"/>
        <v>493014.95999999903</v>
      </c>
      <c r="DI11" s="46"/>
      <c r="DJ11" s="46"/>
      <c r="DK11" s="47"/>
      <c r="DL11" s="47"/>
      <c r="DM11" s="37"/>
      <c r="DN11" s="37"/>
      <c r="DO11" s="37"/>
      <c r="DP11" s="37"/>
      <c r="DQ11" s="250">
        <v>4491500</v>
      </c>
      <c r="DR11" s="49">
        <f t="shared" si="67"/>
        <v>10400</v>
      </c>
      <c r="DS11" s="250">
        <v>5883300</v>
      </c>
      <c r="DT11" s="49">
        <f t="shared" si="68"/>
        <v>24600</v>
      </c>
      <c r="DU11" s="250">
        <v>8430.1</v>
      </c>
      <c r="DV11" s="250">
        <v>4755</v>
      </c>
      <c r="DW11" s="37">
        <f t="shared" si="92"/>
        <v>4300.0000000010914</v>
      </c>
      <c r="DX11" s="250">
        <v>13955</v>
      </c>
      <c r="DY11" s="250">
        <v>8735.2000000000007</v>
      </c>
      <c r="DZ11" s="37">
        <f t="shared" si="32"/>
        <v>9514.9599999999991</v>
      </c>
      <c r="EA11" s="250">
        <v>32377</v>
      </c>
      <c r="EB11" s="250">
        <v>22.141999999999999</v>
      </c>
      <c r="EC11" s="37">
        <f t="shared" si="33"/>
        <v>23674.959999999999</v>
      </c>
      <c r="ED11" s="53">
        <f t="shared" si="34"/>
        <v>37489.92000000109</v>
      </c>
      <c r="EE11" s="250">
        <v>48241</v>
      </c>
      <c r="EF11" s="250">
        <v>31.771999999999998</v>
      </c>
      <c r="EG11" s="37">
        <f t="shared" si="35"/>
        <v>29674.959999999999</v>
      </c>
      <c r="EH11" s="250">
        <v>14260</v>
      </c>
      <c r="EI11" s="250">
        <v>2.0937000000000001</v>
      </c>
      <c r="EJ11" s="37">
        <f t="shared" si="36"/>
        <v>12514.96</v>
      </c>
      <c r="EK11" s="250">
        <v>868.4</v>
      </c>
      <c r="EL11" s="250">
        <v>1244.4000000000001</v>
      </c>
      <c r="EM11" s="37">
        <f t="shared" si="69"/>
        <v>639.99999999998636</v>
      </c>
      <c r="EN11" s="54">
        <f t="shared" si="70"/>
        <v>42829.919999999984</v>
      </c>
      <c r="EO11" s="250">
        <v>13768</v>
      </c>
      <c r="EP11" s="48"/>
      <c r="EQ11" s="37">
        <f t="shared" ref="EQ11:EQ36" si="97">IF((EO11-EO10)*1000&lt;=0,0,(EO11-EO10)*1000)+GX11-FU48+FV48</f>
        <v>8214.9600000000446</v>
      </c>
      <c r="ER11" s="250">
        <v>11019</v>
      </c>
      <c r="ES11" s="48"/>
      <c r="ET11" s="49">
        <f t="shared" si="37"/>
        <v>15000</v>
      </c>
      <c r="EU11" s="250">
        <v>4556.8999999999996</v>
      </c>
      <c r="EV11" s="48"/>
      <c r="EW11" s="49">
        <f t="shared" si="38"/>
        <v>1514.96</v>
      </c>
      <c r="EX11" s="250">
        <v>14667</v>
      </c>
      <c r="EY11" s="48"/>
      <c r="EZ11" s="37">
        <f t="shared" si="39"/>
        <v>1514.96</v>
      </c>
      <c r="FA11" s="48">
        <f t="shared" si="71"/>
        <v>-4427.8800000000447</v>
      </c>
      <c r="FB11" s="250">
        <v>38837276</v>
      </c>
      <c r="FC11" s="49">
        <f t="shared" si="93"/>
        <v>21817</v>
      </c>
      <c r="FD11" s="48">
        <f t="shared" si="72"/>
        <v>28013.880000000041</v>
      </c>
      <c r="FE11" s="250">
        <v>17957</v>
      </c>
      <c r="FF11" s="48"/>
      <c r="FG11" s="37">
        <f t="shared" si="73"/>
        <v>10814.959999999954</v>
      </c>
      <c r="FH11" s="250">
        <v>10538</v>
      </c>
      <c r="FI11" s="48"/>
      <c r="FJ11" s="49">
        <f t="shared" si="40"/>
        <v>19514.96</v>
      </c>
      <c r="FK11" s="48"/>
      <c r="FL11" s="58"/>
      <c r="FM11" s="48">
        <f t="shared" si="94"/>
        <v>-1614.9599999999846</v>
      </c>
      <c r="FN11" s="250">
        <v>17850</v>
      </c>
      <c r="FO11" s="48"/>
      <c r="FP11" s="37">
        <f t="shared" si="74"/>
        <v>12514.96</v>
      </c>
      <c r="FQ11" s="250">
        <v>62800</v>
      </c>
      <c r="FR11" s="48"/>
      <c r="FS11" s="37">
        <f t="shared" si="41"/>
        <v>38000</v>
      </c>
      <c r="FT11" s="48">
        <f t="shared" si="75"/>
        <v>-4844.8799999999537</v>
      </c>
      <c r="FU11" s="48">
        <f>FG11+FJ11+FP11+GM11</f>
        <v>42844.879999999954</v>
      </c>
      <c r="FV11" s="250">
        <v>6861400</v>
      </c>
      <c r="FW11" s="44"/>
      <c r="FX11" s="37">
        <f t="shared" si="42"/>
        <v>31300</v>
      </c>
      <c r="FY11" s="250">
        <v>137900</v>
      </c>
      <c r="FZ11" s="56"/>
      <c r="GA11" s="37">
        <f t="shared" si="43"/>
        <v>8090</v>
      </c>
      <c r="GB11" s="250">
        <v>893.46</v>
      </c>
      <c r="GC11" s="56"/>
      <c r="GD11" s="37">
        <f t="shared" si="44"/>
        <v>889.99999999998636</v>
      </c>
      <c r="GE11" s="250">
        <v>11002</v>
      </c>
      <c r="GF11" s="63"/>
      <c r="GG11" s="37">
        <f t="shared" si="45"/>
        <v>7231</v>
      </c>
      <c r="GH11" s="250">
        <v>73985</v>
      </c>
      <c r="GI11" s="162"/>
      <c r="GJ11" s="38">
        <f t="shared" si="77"/>
        <v>1769</v>
      </c>
      <c r="GK11" s="250">
        <v>1533.3</v>
      </c>
      <c r="GL11" s="163"/>
      <c r="GM11" s="38">
        <f t="shared" si="46"/>
        <v>0</v>
      </c>
      <c r="GN11" s="250">
        <v>244100</v>
      </c>
      <c r="GO11" s="57"/>
      <c r="GP11" s="38">
        <f t="shared" si="47"/>
        <v>0</v>
      </c>
      <c r="GQ11" s="250">
        <v>300050</v>
      </c>
      <c r="GR11" s="38"/>
      <c r="GS11" s="38">
        <f t="shared" si="78"/>
        <v>30</v>
      </c>
      <c r="GT11" s="247"/>
      <c r="GU11" s="144">
        <f>DailySep!B10-DailySep!N10-DailySep!V10-DailySep!Y10-DailySep!Z10-DailySep!AA10-DailySep!AB10-DailySep!AC10-DailySep!AD10-DailySep!AE10-DailySep!AK10-DailySep!AO10-DailySep!AS10-DailySep!AY10-DailySep!BD10+DailySep!BU10-DailySep!BG10-DailySep!BT10-DailySep!AF10-DailySep!AG10</f>
        <v>-3.5797711461782455E-9</v>
      </c>
      <c r="GV11" s="261">
        <v>22724.400000000001</v>
      </c>
      <c r="GW11" s="60">
        <f t="shared" si="48"/>
        <v>1514.96</v>
      </c>
      <c r="GX11" s="260">
        <v>1514.96</v>
      </c>
      <c r="GY11" s="140"/>
      <c r="GZ11" s="528"/>
      <c r="HA11" s="528"/>
      <c r="HB11" s="528"/>
      <c r="HC11" s="528"/>
      <c r="HD11" s="74"/>
      <c r="HE11" s="24">
        <f t="shared" si="49"/>
        <v>0</v>
      </c>
      <c r="HG11" s="279">
        <v>5</v>
      </c>
      <c r="HH11" s="292">
        <v>25505</v>
      </c>
      <c r="HI11" s="292">
        <v>9707.7999999999993</v>
      </c>
      <c r="HJ11" s="61">
        <f t="shared" si="50"/>
        <v>184000</v>
      </c>
      <c r="HK11" s="260">
        <v>2.1432000000000002</v>
      </c>
      <c r="HL11" s="292">
        <v>807.23</v>
      </c>
      <c r="HM11" s="61">
        <f t="shared" si="51"/>
        <v>0</v>
      </c>
      <c r="HN11" s="292">
        <v>6499.9</v>
      </c>
      <c r="HO11" s="292">
        <v>2778.6</v>
      </c>
      <c r="HP11" s="61">
        <f t="shared" si="52"/>
        <v>44624.999999999454</v>
      </c>
      <c r="HQ11" s="292">
        <v>4572.3</v>
      </c>
      <c r="HR11" s="292">
        <v>1934.7</v>
      </c>
      <c r="HS11" s="61">
        <f t="shared" si="53"/>
        <v>27724.999999999818</v>
      </c>
      <c r="HT11" s="292">
        <v>4492.8999999999996</v>
      </c>
      <c r="HU11" s="292">
        <v>1631.2</v>
      </c>
      <c r="HV11" s="61">
        <f t="shared" si="54"/>
        <v>28724.999999999818</v>
      </c>
      <c r="HW11" s="292">
        <v>3196.2</v>
      </c>
      <c r="HX11" s="292">
        <v>1371.2</v>
      </c>
      <c r="HY11" s="61">
        <f t="shared" si="55"/>
        <v>25924.999999999636</v>
      </c>
      <c r="HZ11" s="260">
        <v>2401100</v>
      </c>
      <c r="IA11" s="260">
        <v>10482</v>
      </c>
      <c r="IB11" s="61">
        <f t="shared" si="56"/>
        <v>32400</v>
      </c>
      <c r="IC11" s="292">
        <v>719.8</v>
      </c>
      <c r="ID11" s="292">
        <v>232.78</v>
      </c>
      <c r="IE11" s="61">
        <f t="shared" si="79"/>
        <v>0</v>
      </c>
      <c r="IF11" s="61"/>
      <c r="IG11" s="61"/>
      <c r="IH11" s="280">
        <f t="shared" si="57"/>
        <v>24600</v>
      </c>
      <c r="II11" s="281">
        <f t="shared" si="58"/>
        <v>1.2587406672537327E-9</v>
      </c>
      <c r="IJ11" s="245"/>
      <c r="IK11" s="245"/>
      <c r="IL11" s="245"/>
      <c r="IM11" s="245"/>
      <c r="IN11" s="245"/>
      <c r="IO11" s="245"/>
      <c r="IP11" s="245"/>
      <c r="IQ11" s="245"/>
      <c r="IR11" s="245"/>
      <c r="IS11" s="245"/>
      <c r="IT11" s="245"/>
      <c r="IU11" s="245"/>
      <c r="IV11" s="245"/>
      <c r="IW11" s="245"/>
      <c r="IX11" s="245"/>
      <c r="IY11" s="245"/>
      <c r="IZ11" s="245"/>
      <c r="JA11" s="245"/>
      <c r="JB11" s="245"/>
      <c r="JC11" s="245"/>
      <c r="JD11" s="245"/>
      <c r="JE11" s="245"/>
      <c r="JF11" s="245"/>
      <c r="JG11" s="245"/>
      <c r="JH11" s="245"/>
      <c r="JI11" s="245"/>
      <c r="JJ11" s="245"/>
      <c r="JK11" s="245"/>
      <c r="JL11" s="245"/>
      <c r="JM11" s="245"/>
      <c r="JN11" s="245"/>
      <c r="JO11" s="245"/>
      <c r="JP11" s="245"/>
      <c r="JQ11" s="245"/>
      <c r="JR11" s="245"/>
      <c r="JS11" s="245"/>
      <c r="JT11" s="245"/>
      <c r="JU11" s="245"/>
      <c r="JV11" s="245"/>
      <c r="JW11" s="245"/>
      <c r="JX11" s="245"/>
      <c r="JY11" s="245"/>
      <c r="JZ11" s="245"/>
      <c r="KA11" s="245"/>
      <c r="KB11" s="245"/>
      <c r="KC11" s="245"/>
      <c r="KD11" s="245"/>
      <c r="KE11" s="245"/>
      <c r="KG11" s="151">
        <f t="shared" si="59"/>
        <v>77025.000000000713</v>
      </c>
    </row>
    <row r="12" spans="1:293" x14ac:dyDescent="0.25">
      <c r="A12" s="35">
        <f t="shared" si="0"/>
        <v>6</v>
      </c>
      <c r="B12" s="250">
        <v>5464.04</v>
      </c>
      <c r="C12" s="38">
        <f t="shared" si="1"/>
        <v>11.399999999999636</v>
      </c>
      <c r="D12" s="38">
        <f t="shared" si="2"/>
        <v>364799.99999998836</v>
      </c>
      <c r="E12" s="250">
        <v>1097.67</v>
      </c>
      <c r="F12" s="38">
        <f t="shared" si="3"/>
        <v>69120.000000002619</v>
      </c>
      <c r="G12" s="38">
        <f t="shared" si="4"/>
        <v>433919.99999999098</v>
      </c>
      <c r="H12" s="37"/>
      <c r="I12" s="39"/>
      <c r="J12" s="42"/>
      <c r="K12" s="37">
        <f>IF(J12&lt;=0,0,(J12/SQRT(J12^2+(I12-I11)^2)))</f>
        <v>0</v>
      </c>
      <c r="L12" s="250">
        <v>17609400</v>
      </c>
      <c r="M12" s="40"/>
      <c r="N12" s="37">
        <f t="shared" si="81"/>
        <v>432000</v>
      </c>
      <c r="O12" s="250">
        <v>12897</v>
      </c>
      <c r="P12" s="37"/>
      <c r="Q12" s="37">
        <f t="shared" si="5"/>
        <v>18000</v>
      </c>
      <c r="R12" s="37">
        <f>IF(Q12&lt;=0,0,(Q12/SQRT(Q12^2+(P12-P11)^2)))</f>
        <v>1</v>
      </c>
      <c r="S12" s="250">
        <v>11268762.949999999</v>
      </c>
      <c r="T12" s="37">
        <f t="shared" si="6"/>
        <v>379.77999999932945</v>
      </c>
      <c r="U12" s="250">
        <v>1523790.61</v>
      </c>
      <c r="V12" s="37">
        <f t="shared" si="7"/>
        <v>0</v>
      </c>
      <c r="W12" s="250">
        <v>4612.7</v>
      </c>
      <c r="X12" s="37">
        <f t="shared" si="95"/>
        <v>17620.220000000671</v>
      </c>
      <c r="Y12" s="183"/>
      <c r="Z12" s="183"/>
      <c r="AA12" s="250">
        <v>795600</v>
      </c>
      <c r="AB12" s="37">
        <f t="shared" si="8"/>
        <v>0</v>
      </c>
      <c r="AC12" s="250">
        <v>4780</v>
      </c>
      <c r="AD12" s="2"/>
      <c r="AE12" s="37">
        <f t="shared" si="9"/>
        <v>5300.0000000001819</v>
      </c>
      <c r="AF12" s="37">
        <f>IF(AE12&lt;=0,0,(AE12/SQRT(AE12^2+(AD12-AD11)^2)))</f>
        <v>1</v>
      </c>
      <c r="AG12" s="250">
        <v>10373.799999999999</v>
      </c>
      <c r="AH12" s="48"/>
      <c r="AI12" s="37">
        <f t="shared" si="10"/>
        <v>12269.73</v>
      </c>
      <c r="AJ12" s="37">
        <f t="shared" si="11"/>
        <v>1</v>
      </c>
      <c r="AK12" s="37">
        <f t="shared" si="12"/>
        <v>35569.730000000185</v>
      </c>
      <c r="AL12" s="250">
        <v>12052.4</v>
      </c>
      <c r="AM12" s="42"/>
      <c r="AN12" s="37">
        <f t="shared" si="60"/>
        <v>6649.7299999988127</v>
      </c>
      <c r="AO12" s="37">
        <f>IF(AN12&lt;=0,0,(AN12/SQRT(AN12^2+(AM12-AM11)^2)))</f>
        <v>1</v>
      </c>
      <c r="AP12" s="250">
        <v>9492.9</v>
      </c>
      <c r="AQ12" s="37"/>
      <c r="AR12" s="37">
        <f t="shared" si="13"/>
        <v>14299.999999999272</v>
      </c>
      <c r="AS12" s="37">
        <f>IF(AR12&lt;=0,0,(AR12/SQRT(AR12^2+(AQ12-AQ11)^2)))</f>
        <v>1</v>
      </c>
      <c r="AT12" s="183"/>
      <c r="AU12" s="183"/>
      <c r="AV12" s="183"/>
      <c r="AW12" s="183"/>
      <c r="AX12" s="250">
        <v>527250</v>
      </c>
      <c r="AY12" s="37"/>
      <c r="AZ12" s="37">
        <f t="shared" si="14"/>
        <v>480</v>
      </c>
      <c r="BA12" s="250">
        <v>212150</v>
      </c>
      <c r="BB12" s="37"/>
      <c r="BC12" s="37">
        <f t="shared" si="15"/>
        <v>690</v>
      </c>
      <c r="BD12" s="37">
        <f t="shared" si="86"/>
        <v>22119.729999998086</v>
      </c>
      <c r="BE12" s="250">
        <v>2090.1999999999998</v>
      </c>
      <c r="BF12" s="250">
        <v>1174.9000000000001</v>
      </c>
      <c r="BG12" s="37">
        <f t="shared" si="16"/>
        <v>1699.9999999998181</v>
      </c>
      <c r="BH12" s="250">
        <v>9876.9</v>
      </c>
      <c r="BI12" s="250">
        <v>6378.3</v>
      </c>
      <c r="BJ12" s="37">
        <f t="shared" si="17"/>
        <v>9299.9999999992724</v>
      </c>
      <c r="BK12" s="250">
        <v>2003960</v>
      </c>
      <c r="BL12" s="40">
        <f t="shared" si="87"/>
        <v>4300</v>
      </c>
      <c r="BM12" s="250">
        <v>940.9</v>
      </c>
      <c r="BN12" s="37">
        <f t="shared" si="18"/>
        <v>620.00000000000455</v>
      </c>
      <c r="BO12" s="186"/>
      <c r="BP12" s="183">
        <f t="shared" si="19"/>
        <v>0</v>
      </c>
      <c r="BQ12" s="250">
        <v>886.7</v>
      </c>
      <c r="BR12" s="37">
        <f t="shared" si="61"/>
        <v>400.00000000009095</v>
      </c>
      <c r="BS12" s="250">
        <v>120152.62</v>
      </c>
      <c r="BT12" s="37">
        <f t="shared" si="20"/>
        <v>242.15999999998894</v>
      </c>
      <c r="BU12" s="250">
        <v>3596450</v>
      </c>
      <c r="BV12" s="42"/>
      <c r="BW12" s="37">
        <f t="shared" si="21"/>
        <v>6875</v>
      </c>
      <c r="BX12" s="37">
        <f>IF(BW12&lt;=0,0,(BW12/SQRT(BW12^2+(BV12-BV11)^2)))</f>
        <v>1</v>
      </c>
      <c r="BY12" s="250">
        <v>415.81229999999999</v>
      </c>
      <c r="BZ12" s="43"/>
      <c r="CA12" s="37">
        <f t="shared" si="22"/>
        <v>634.00000000001455</v>
      </c>
      <c r="CB12" s="37">
        <f t="shared" si="62"/>
        <v>1</v>
      </c>
      <c r="CC12" s="250">
        <v>815949.7</v>
      </c>
      <c r="CD12" s="37">
        <f t="shared" si="23"/>
        <v>1584.2999999999302</v>
      </c>
      <c r="CE12" s="250">
        <v>1787127</v>
      </c>
      <c r="CF12" s="37">
        <f t="shared" si="24"/>
        <v>4953</v>
      </c>
      <c r="CG12" s="250">
        <v>122633</v>
      </c>
      <c r="CH12" s="37">
        <f t="shared" si="63"/>
        <v>0</v>
      </c>
      <c r="CI12" s="250">
        <v>14485.67</v>
      </c>
      <c r="CJ12" s="40"/>
      <c r="CK12" s="37">
        <f t="shared" si="64"/>
        <v>15745.730000000567</v>
      </c>
      <c r="CL12" s="37">
        <f t="shared" si="25"/>
        <v>1</v>
      </c>
      <c r="CM12" s="250">
        <v>4275.3969999999999</v>
      </c>
      <c r="CN12" s="37"/>
      <c r="CO12" s="37">
        <f t="shared" si="26"/>
        <v>8102.7299999996285</v>
      </c>
      <c r="CP12" s="37">
        <f>IF(CO12&lt;=0,0,(CO12/SQRT(CO12^2+(CN12-CN11)^2)))</f>
        <v>1</v>
      </c>
      <c r="CQ12" s="250">
        <v>819982.1</v>
      </c>
      <c r="CR12" s="45"/>
      <c r="CS12" s="37">
        <f t="shared" si="65"/>
        <v>6079.5299999999297</v>
      </c>
      <c r="CT12" s="37">
        <f t="shared" si="66"/>
        <v>1</v>
      </c>
      <c r="CU12" s="250">
        <v>4555045</v>
      </c>
      <c r="CV12" s="37"/>
      <c r="CW12" s="38">
        <f t="shared" si="27"/>
        <v>13531</v>
      </c>
      <c r="CX12" s="37">
        <f>IF(CW12&lt;=0,0,(CW12/SQRT(CW12^2+(CV12-CV11)^2)))</f>
        <v>1</v>
      </c>
      <c r="CY12" s="250">
        <v>2436308</v>
      </c>
      <c r="CZ12" s="37"/>
      <c r="DA12" s="37">
        <f t="shared" si="28"/>
        <v>8050</v>
      </c>
      <c r="DB12" s="37">
        <f>IF(DA12&lt;=0,0,(DA12/SQRT(DA12^2+(CZ12-CZ11)^2)))</f>
        <v>1</v>
      </c>
      <c r="DC12" s="37"/>
      <c r="DD12" s="40"/>
      <c r="DE12" s="37">
        <f t="shared" si="29"/>
        <v>0</v>
      </c>
      <c r="DF12" s="37">
        <f>IF(DE12&lt;=0,0,(DE12/SQRT(DE12^2+(DD12-DD11)^2)))</f>
        <v>0</v>
      </c>
      <c r="DG12" s="37">
        <f t="shared" si="30"/>
        <v>-58383.990000000122</v>
      </c>
      <c r="DH12" s="37">
        <f t="shared" si="31"/>
        <v>469269.73</v>
      </c>
      <c r="DI12" s="46"/>
      <c r="DJ12" s="46"/>
      <c r="DK12" s="47"/>
      <c r="DL12" s="47"/>
      <c r="DM12" s="37"/>
      <c r="DN12" s="37"/>
      <c r="DO12" s="37"/>
      <c r="DP12" s="37"/>
      <c r="DQ12" s="250">
        <v>4497900</v>
      </c>
      <c r="DR12" s="49">
        <f t="shared" si="67"/>
        <v>6400</v>
      </c>
      <c r="DS12" s="250">
        <v>5905100</v>
      </c>
      <c r="DT12" s="49">
        <f t="shared" si="68"/>
        <v>21800</v>
      </c>
      <c r="DU12" s="250">
        <v>8434.5</v>
      </c>
      <c r="DV12" s="250">
        <v>4756.3</v>
      </c>
      <c r="DW12" s="37">
        <f t="shared" si="92"/>
        <v>4399.9999999996362</v>
      </c>
      <c r="DX12" s="250">
        <v>13963</v>
      </c>
      <c r="DY12" s="250">
        <v>8740.2999999999993</v>
      </c>
      <c r="DZ12" s="37">
        <f t="shared" si="32"/>
        <v>7769.73</v>
      </c>
      <c r="EA12" s="250">
        <v>32397</v>
      </c>
      <c r="EB12" s="250">
        <v>22.152999999999999</v>
      </c>
      <c r="EC12" s="37">
        <f t="shared" si="33"/>
        <v>21929.73</v>
      </c>
      <c r="ED12" s="53">
        <f t="shared" si="34"/>
        <v>34099.459999999635</v>
      </c>
      <c r="EE12" s="250">
        <v>48266</v>
      </c>
      <c r="EF12" s="250">
        <v>31.792999999999999</v>
      </c>
      <c r="EG12" s="37">
        <f t="shared" si="35"/>
        <v>26929.73</v>
      </c>
      <c r="EH12" s="250">
        <v>14271</v>
      </c>
      <c r="EI12" s="250">
        <v>2.0966999999999998</v>
      </c>
      <c r="EJ12" s="37">
        <f t="shared" si="36"/>
        <v>10769.73</v>
      </c>
      <c r="EK12" s="250">
        <v>869.03</v>
      </c>
      <c r="EL12" s="250">
        <v>1245.3</v>
      </c>
      <c r="EM12" s="37">
        <f t="shared" si="69"/>
        <v>629.99999999999545</v>
      </c>
      <c r="EN12" s="54">
        <f t="shared" si="70"/>
        <v>38329.459999999992</v>
      </c>
      <c r="EO12" s="250">
        <v>13776</v>
      </c>
      <c r="EP12" s="48"/>
      <c r="EQ12" s="37">
        <f t="shared" si="97"/>
        <v>7719.7299999999886</v>
      </c>
      <c r="ER12" s="250">
        <v>11036</v>
      </c>
      <c r="ES12" s="48"/>
      <c r="ET12" s="49">
        <f t="shared" si="37"/>
        <v>17000</v>
      </c>
      <c r="EU12" s="250">
        <v>4565.6000000000004</v>
      </c>
      <c r="EV12" s="48"/>
      <c r="EW12" s="49">
        <f t="shared" si="38"/>
        <v>8469.7300000007272</v>
      </c>
      <c r="EX12" s="250">
        <v>14687</v>
      </c>
      <c r="EY12" s="48"/>
      <c r="EZ12" s="37">
        <f t="shared" si="39"/>
        <v>19769.73</v>
      </c>
      <c r="FA12" s="48">
        <f t="shared" si="71"/>
        <v>-30357.190000000715</v>
      </c>
      <c r="FB12" s="250">
        <v>38859878</v>
      </c>
      <c r="FC12" s="49">
        <f t="shared" si="93"/>
        <v>22602</v>
      </c>
      <c r="FD12" s="48">
        <f t="shared" si="72"/>
        <v>54677.190000000715</v>
      </c>
      <c r="FE12" s="250">
        <v>17965</v>
      </c>
      <c r="FF12" s="48"/>
      <c r="FG12" s="37">
        <f t="shared" si="73"/>
        <v>7819.7300000000105</v>
      </c>
      <c r="FH12" s="250">
        <v>10554</v>
      </c>
      <c r="FI12" s="48"/>
      <c r="FJ12" s="49">
        <f t="shared" si="40"/>
        <v>15769.73</v>
      </c>
      <c r="FK12" s="48"/>
      <c r="FL12" s="58"/>
      <c r="FM12" s="48">
        <f t="shared" si="94"/>
        <v>413.60333333284507</v>
      </c>
      <c r="FN12" s="250">
        <v>17859</v>
      </c>
      <c r="FO12" s="48"/>
      <c r="FP12" s="37">
        <f t="shared" si="74"/>
        <v>8769.73</v>
      </c>
      <c r="FQ12" s="250">
        <v>62833.599999999999</v>
      </c>
      <c r="FR12" s="48"/>
      <c r="FS12" s="37">
        <f>IF((FQ12-FQ11)*1000&lt;=0,0,(FQ12-FQ11)*1000)</f>
        <v>33599.999999998545</v>
      </c>
      <c r="FT12" s="48">
        <f t="shared" si="75"/>
        <v>1240.8099999985352</v>
      </c>
      <c r="FU12" s="48">
        <f>FG12+FJ12+FP12+GM12</f>
        <v>32359.19000000001</v>
      </c>
      <c r="FV12" s="250">
        <v>6892700</v>
      </c>
      <c r="FW12" s="65"/>
      <c r="FX12" s="37">
        <f t="shared" si="42"/>
        <v>31300</v>
      </c>
      <c r="FY12" s="250">
        <v>145713</v>
      </c>
      <c r="FZ12" s="56"/>
      <c r="GA12" s="37">
        <f t="shared" si="43"/>
        <v>7813</v>
      </c>
      <c r="GB12" s="250">
        <v>894.38300000000004</v>
      </c>
      <c r="GC12" s="63"/>
      <c r="GD12" s="37">
        <f t="shared" si="44"/>
        <v>923.00000000000182</v>
      </c>
      <c r="GE12" s="250">
        <v>11012.4</v>
      </c>
      <c r="GF12" s="56"/>
      <c r="GG12" s="37">
        <f t="shared" si="45"/>
        <v>8681.9999999996362</v>
      </c>
      <c r="GH12" s="250">
        <v>75703</v>
      </c>
      <c r="GI12" s="162"/>
      <c r="GJ12" s="38">
        <f t="shared" si="77"/>
        <v>1718</v>
      </c>
      <c r="GK12" s="250">
        <v>1533.3</v>
      </c>
      <c r="GL12" s="163"/>
      <c r="GM12" s="38">
        <f t="shared" si="46"/>
        <v>0</v>
      </c>
      <c r="GN12" s="250">
        <v>244100</v>
      </c>
      <c r="GO12" s="57"/>
      <c r="GP12" s="38">
        <f t="shared" ref="GP12:GP36" si="98">IF((GN12-GN11)&lt;=0,0,(GN12-GN11))</f>
        <v>0</v>
      </c>
      <c r="GQ12" s="250">
        <v>300620</v>
      </c>
      <c r="GR12" s="38"/>
      <c r="GS12" s="38">
        <f t="shared" si="78"/>
        <v>570</v>
      </c>
      <c r="GT12" s="247"/>
      <c r="GU12" s="144">
        <f>DailySep!B11-DailySep!N11-DailySep!V11-DailySep!Y11-DailySep!Z11-DailySep!AA11-DailySep!AB11-DailySep!AC11-DailySep!AD11-DailySep!AE11-DailySep!AK11-DailySep!AO11-DailySep!AS11-DailySep!AY11-DailySep!BD11+DailySep!BU11-DailySep!BG11-DailySep!BT11-DailySep!AF11-DailySep!AG11</f>
        <v>-5.0000006536720321E-2</v>
      </c>
      <c r="GV12" s="261">
        <v>-3454.1</v>
      </c>
      <c r="GW12" s="60">
        <f t="shared" si="48"/>
        <v>-230.27333333333334</v>
      </c>
      <c r="GX12" s="260">
        <v>-230.27</v>
      </c>
      <c r="GY12" s="140"/>
      <c r="GZ12" s="528"/>
      <c r="HA12" s="528"/>
      <c r="HB12" s="528"/>
      <c r="HC12" s="528"/>
      <c r="HD12" s="74"/>
      <c r="HE12" s="24">
        <f t="shared" si="49"/>
        <v>0</v>
      </c>
      <c r="HG12" s="279">
        <v>6</v>
      </c>
      <c r="HH12" s="292">
        <v>25675</v>
      </c>
      <c r="HI12" s="292">
        <v>9772.9</v>
      </c>
      <c r="HJ12" s="61">
        <f t="shared" si="50"/>
        <v>170000</v>
      </c>
      <c r="HK12" s="260">
        <v>2.1432000000000002</v>
      </c>
      <c r="HL12" s="292">
        <v>807.23</v>
      </c>
      <c r="HM12" s="61">
        <f t="shared" si="51"/>
        <v>0</v>
      </c>
      <c r="HN12" s="292">
        <v>6541.3</v>
      </c>
      <c r="HO12" s="292">
        <v>2795.9</v>
      </c>
      <c r="HP12" s="61">
        <f t="shared" si="52"/>
        <v>41600.000000000546</v>
      </c>
      <c r="HQ12" s="292">
        <v>4598.1000000000004</v>
      </c>
      <c r="HR12" s="292">
        <v>1945.1</v>
      </c>
      <c r="HS12" s="61">
        <f t="shared" si="53"/>
        <v>26000.000000000182</v>
      </c>
      <c r="HT12" s="292">
        <v>4519.6000000000004</v>
      </c>
      <c r="HU12" s="292">
        <v>1640.4</v>
      </c>
      <c r="HV12" s="61">
        <f t="shared" si="54"/>
        <v>26900.000000000728</v>
      </c>
      <c r="HW12" s="292">
        <v>3220.4</v>
      </c>
      <c r="HX12" s="292">
        <v>1381.6</v>
      </c>
      <c r="HY12" s="61">
        <f t="shared" si="55"/>
        <v>24400.000000000273</v>
      </c>
      <c r="HZ12" s="260">
        <v>2430400</v>
      </c>
      <c r="IA12" s="260">
        <v>10604</v>
      </c>
      <c r="IB12" s="61">
        <f t="shared" si="56"/>
        <v>29300</v>
      </c>
      <c r="IC12" s="292">
        <v>719.8</v>
      </c>
      <c r="ID12" s="292">
        <v>232.78</v>
      </c>
      <c r="IE12" s="61">
        <f t="shared" si="79"/>
        <v>0</v>
      </c>
      <c r="IF12" s="61"/>
      <c r="IG12" s="61"/>
      <c r="IH12" s="280">
        <f t="shared" si="57"/>
        <v>21800</v>
      </c>
      <c r="II12" s="281">
        <f t="shared" si="58"/>
        <v>-1.7244019545614719E-9</v>
      </c>
      <c r="IJ12" s="245"/>
      <c r="IK12" s="245"/>
      <c r="IL12" s="245"/>
      <c r="IM12" s="245"/>
      <c r="IN12" s="245"/>
      <c r="IO12" s="245"/>
      <c r="IP12" s="245"/>
      <c r="IQ12" s="245"/>
      <c r="IR12" s="245"/>
      <c r="IS12" s="245"/>
      <c r="IT12" s="245"/>
      <c r="IU12" s="245"/>
      <c r="IV12" s="245"/>
      <c r="IW12" s="245"/>
      <c r="IX12" s="245"/>
      <c r="IY12" s="245"/>
      <c r="IZ12" s="245"/>
      <c r="JA12" s="245"/>
      <c r="JB12" s="245"/>
      <c r="JC12" s="245"/>
      <c r="JD12" s="245"/>
      <c r="JE12" s="245"/>
      <c r="JF12" s="245"/>
      <c r="JG12" s="245"/>
      <c r="JH12" s="245"/>
      <c r="JI12" s="245"/>
      <c r="JJ12" s="245"/>
      <c r="JK12" s="245"/>
      <c r="JL12" s="245"/>
      <c r="JM12" s="245"/>
      <c r="JN12" s="245"/>
      <c r="JO12" s="245"/>
      <c r="JP12" s="245"/>
      <c r="JQ12" s="245"/>
      <c r="JR12" s="245"/>
      <c r="JS12" s="245"/>
      <c r="JT12" s="245"/>
      <c r="JU12" s="245"/>
      <c r="JV12" s="245"/>
      <c r="JW12" s="245"/>
      <c r="JX12" s="245"/>
      <c r="JY12" s="245"/>
      <c r="JZ12" s="245"/>
      <c r="KA12" s="245"/>
      <c r="KB12" s="245"/>
      <c r="KC12" s="245"/>
      <c r="KD12" s="245"/>
      <c r="KE12" s="245"/>
      <c r="KG12" s="151">
        <f t="shared" si="59"/>
        <v>70899.999999998821</v>
      </c>
    </row>
    <row r="13" spans="1:293" x14ac:dyDescent="0.25">
      <c r="A13" s="35">
        <f t="shared" si="0"/>
        <v>7</v>
      </c>
      <c r="B13" s="250">
        <v>5474.14</v>
      </c>
      <c r="C13" s="38">
        <f t="shared" si="1"/>
        <v>10.100000000000364</v>
      </c>
      <c r="D13" s="38">
        <f t="shared" si="2"/>
        <v>323200.00000001164</v>
      </c>
      <c r="E13" s="250">
        <v>1099.97</v>
      </c>
      <c r="F13" s="38">
        <f t="shared" si="3"/>
        <v>73599.999999998545</v>
      </c>
      <c r="G13" s="38">
        <f t="shared" si="4"/>
        <v>396800.00000001019</v>
      </c>
      <c r="H13" s="37"/>
      <c r="I13" s="39"/>
      <c r="J13" s="42"/>
      <c r="K13" s="37">
        <f t="shared" si="80"/>
        <v>0</v>
      </c>
      <c r="L13" s="250">
        <v>17648500</v>
      </c>
      <c r="M13" s="40"/>
      <c r="N13" s="37">
        <f t="shared" si="81"/>
        <v>391000</v>
      </c>
      <c r="O13" s="250">
        <v>12902</v>
      </c>
      <c r="P13" s="37"/>
      <c r="Q13" s="37">
        <f t="shared" si="5"/>
        <v>5000</v>
      </c>
      <c r="R13" s="37">
        <f t="shared" si="82"/>
        <v>1</v>
      </c>
      <c r="S13" s="250">
        <v>11268762.949999999</v>
      </c>
      <c r="T13" s="37">
        <f t="shared" si="6"/>
        <v>0</v>
      </c>
      <c r="U13" s="250">
        <v>1523790.61</v>
      </c>
      <c r="V13" s="37">
        <f t="shared" si="7"/>
        <v>0</v>
      </c>
      <c r="W13" s="250">
        <v>4617.3999999999996</v>
      </c>
      <c r="X13" s="37">
        <f t="shared" si="95"/>
        <v>900</v>
      </c>
      <c r="Y13" s="183"/>
      <c r="Z13" s="183"/>
      <c r="AA13" s="250">
        <v>799700</v>
      </c>
      <c r="AB13" s="37">
        <f t="shared" si="8"/>
        <v>4100</v>
      </c>
      <c r="AC13" s="250">
        <v>4782.6000000000004</v>
      </c>
      <c r="AD13" s="37"/>
      <c r="AE13" s="37">
        <f t="shared" si="9"/>
        <v>2600.0000000003638</v>
      </c>
      <c r="AF13" s="37">
        <f t="shared" si="83"/>
        <v>1</v>
      </c>
      <c r="AG13" s="250">
        <v>10380.6</v>
      </c>
      <c r="AH13" s="48"/>
      <c r="AI13" s="37">
        <f t="shared" si="10"/>
        <v>6603.1000000010918</v>
      </c>
      <c r="AJ13" s="37">
        <f t="shared" si="11"/>
        <v>1</v>
      </c>
      <c r="AK13" s="37">
        <f t="shared" si="12"/>
        <v>10103.100000001456</v>
      </c>
      <c r="AL13" s="250">
        <v>12062.6</v>
      </c>
      <c r="AM13" s="42"/>
      <c r="AN13" s="37">
        <f t="shared" si="60"/>
        <v>4793.1000000007962</v>
      </c>
      <c r="AO13" s="37">
        <f t="shared" si="84"/>
        <v>1</v>
      </c>
      <c r="AP13" s="250">
        <v>9502.4</v>
      </c>
      <c r="AQ13" s="37"/>
      <c r="AR13" s="37">
        <f t="shared" si="13"/>
        <v>9500</v>
      </c>
      <c r="AS13" s="37">
        <f t="shared" si="85"/>
        <v>1</v>
      </c>
      <c r="AT13" s="183"/>
      <c r="AU13" s="183"/>
      <c r="AV13" s="183"/>
      <c r="AW13" s="183"/>
      <c r="AX13" s="250">
        <v>527580</v>
      </c>
      <c r="AY13" s="37"/>
      <c r="AZ13" s="37">
        <f t="shared" si="14"/>
        <v>330</v>
      </c>
      <c r="BA13" s="250">
        <v>212680</v>
      </c>
      <c r="BB13" s="37"/>
      <c r="BC13" s="37">
        <f t="shared" si="15"/>
        <v>530</v>
      </c>
      <c r="BD13" s="37">
        <f t="shared" si="86"/>
        <v>15153.100000000795</v>
      </c>
      <c r="BE13" s="250">
        <v>2091.6</v>
      </c>
      <c r="BF13" s="250">
        <v>1175.8</v>
      </c>
      <c r="BG13" s="37">
        <f t="shared" si="16"/>
        <v>1400.0000000000909</v>
      </c>
      <c r="BH13" s="250">
        <v>9884.7999999999993</v>
      </c>
      <c r="BI13" s="250">
        <v>6383.9</v>
      </c>
      <c r="BJ13" s="37">
        <f t="shared" si="17"/>
        <v>7899.9999999996362</v>
      </c>
      <c r="BK13" s="250">
        <v>2007970</v>
      </c>
      <c r="BL13" s="40">
        <f t="shared" si="87"/>
        <v>4010</v>
      </c>
      <c r="BM13" s="250">
        <v>941.5</v>
      </c>
      <c r="BN13" s="37">
        <f t="shared" si="18"/>
        <v>600.00000000002274</v>
      </c>
      <c r="BO13" s="186"/>
      <c r="BP13" s="183">
        <f t="shared" si="19"/>
        <v>0</v>
      </c>
      <c r="BQ13" s="250">
        <v>887.3</v>
      </c>
      <c r="BR13" s="37">
        <f t="shared" si="61"/>
        <v>599.99999999990905</v>
      </c>
      <c r="BS13" s="250">
        <v>120345.77</v>
      </c>
      <c r="BT13" s="37">
        <f t="shared" si="20"/>
        <v>193.15000000000873</v>
      </c>
      <c r="BU13" s="250">
        <v>3602642</v>
      </c>
      <c r="BV13" s="42"/>
      <c r="BW13" s="37">
        <f t="shared" si="21"/>
        <v>6192</v>
      </c>
      <c r="BX13" s="37">
        <f t="shared" si="88"/>
        <v>1</v>
      </c>
      <c r="BY13" s="250">
        <v>416.45</v>
      </c>
      <c r="BZ13" s="37"/>
      <c r="CA13" s="37">
        <f t="shared" si="22"/>
        <v>637.69999999999527</v>
      </c>
      <c r="CB13" s="37">
        <f t="shared" si="62"/>
        <v>1</v>
      </c>
      <c r="CC13" s="250">
        <v>816996.8</v>
      </c>
      <c r="CD13" s="37">
        <f t="shared" si="23"/>
        <v>1047.1000000000931</v>
      </c>
      <c r="CE13" s="250">
        <v>1792001</v>
      </c>
      <c r="CF13" s="37">
        <f t="shared" si="24"/>
        <v>4874</v>
      </c>
      <c r="CG13" s="250">
        <v>122633</v>
      </c>
      <c r="CH13" s="37">
        <f t="shared" si="63"/>
        <v>0</v>
      </c>
      <c r="CI13" s="250">
        <v>14501.25</v>
      </c>
      <c r="CJ13" s="40"/>
      <c r="CK13" s="37">
        <f t="shared" si="64"/>
        <v>14745.399999999932</v>
      </c>
      <c r="CL13" s="37">
        <f t="shared" si="25"/>
        <v>1</v>
      </c>
      <c r="CM13" s="250">
        <v>4283.3940000000002</v>
      </c>
      <c r="CN13" s="37"/>
      <c r="CO13" s="37">
        <f t="shared" si="26"/>
        <v>7800.1000000002987</v>
      </c>
      <c r="CP13" s="37">
        <f t="shared" si="89"/>
        <v>1</v>
      </c>
      <c r="CQ13" s="250">
        <v>825988.5</v>
      </c>
      <c r="CR13" s="45"/>
      <c r="CS13" s="37">
        <f t="shared" si="65"/>
        <v>5809.5000000000236</v>
      </c>
      <c r="CT13" s="37">
        <f t="shared" si="66"/>
        <v>1</v>
      </c>
      <c r="CU13" s="250">
        <v>4566593</v>
      </c>
      <c r="CV13" s="37"/>
      <c r="CW13" s="38">
        <f t="shared" si="27"/>
        <v>11548</v>
      </c>
      <c r="CX13" s="37">
        <f t="shared" si="90"/>
        <v>1</v>
      </c>
      <c r="CY13" s="250">
        <v>2443267</v>
      </c>
      <c r="CZ13" s="37"/>
      <c r="DA13" s="37">
        <f t="shared" si="28"/>
        <v>6959</v>
      </c>
      <c r="DB13" s="37">
        <f t="shared" si="91"/>
        <v>1</v>
      </c>
      <c r="DC13" s="37"/>
      <c r="DD13" s="40"/>
      <c r="DE13" s="37">
        <f t="shared" si="29"/>
        <v>0</v>
      </c>
      <c r="DF13" s="37">
        <f t="shared" si="96"/>
        <v>0</v>
      </c>
      <c r="DG13" s="37">
        <f t="shared" si="30"/>
        <v>-53054.000000000247</v>
      </c>
      <c r="DH13" s="37">
        <f t="shared" si="31"/>
        <v>402503.10000000155</v>
      </c>
      <c r="DI13" s="46"/>
      <c r="DJ13" s="46"/>
      <c r="DK13" s="47"/>
      <c r="DL13" s="47"/>
      <c r="DM13" s="37"/>
      <c r="DN13" s="37"/>
      <c r="DO13" s="37"/>
      <c r="DP13" s="37"/>
      <c r="DQ13" s="250">
        <v>4510000</v>
      </c>
      <c r="DR13" s="49">
        <f t="shared" si="67"/>
        <v>12100</v>
      </c>
      <c r="DS13" s="250">
        <v>5931400</v>
      </c>
      <c r="DT13" s="49">
        <f t="shared" si="68"/>
        <v>26300</v>
      </c>
      <c r="DU13" s="250">
        <v>8437.5</v>
      </c>
      <c r="DV13" s="250">
        <v>4757.2</v>
      </c>
      <c r="DW13" s="37">
        <f t="shared" si="92"/>
        <v>3000</v>
      </c>
      <c r="DX13" s="250">
        <v>13968</v>
      </c>
      <c r="DY13" s="250">
        <v>8744.5</v>
      </c>
      <c r="DZ13" s="37">
        <f t="shared" si="32"/>
        <v>4803.1000000000004</v>
      </c>
      <c r="EA13" s="250">
        <v>32411</v>
      </c>
      <c r="EB13" s="250">
        <v>22.16</v>
      </c>
      <c r="EC13" s="37">
        <f t="shared" si="33"/>
        <v>15963.1</v>
      </c>
      <c r="ED13" s="53">
        <f t="shared" si="34"/>
        <v>23766.2</v>
      </c>
      <c r="EE13" s="250">
        <v>48290</v>
      </c>
      <c r="EF13" s="250">
        <v>31.814</v>
      </c>
      <c r="EG13" s="37">
        <f t="shared" si="35"/>
        <v>25963.1</v>
      </c>
      <c r="EH13" s="250">
        <v>14282</v>
      </c>
      <c r="EI13" s="250">
        <v>2.0994999999999999</v>
      </c>
      <c r="EJ13" s="37">
        <f t="shared" si="36"/>
        <v>10803.1</v>
      </c>
      <c r="EK13" s="250">
        <v>869.62</v>
      </c>
      <c r="EL13" s="250">
        <v>1246</v>
      </c>
      <c r="EM13" s="37">
        <f t="shared" si="69"/>
        <v>590.00000000003183</v>
      </c>
      <c r="EN13" s="54">
        <f t="shared" si="70"/>
        <v>37356.200000000026</v>
      </c>
      <c r="EO13" s="250">
        <v>13785</v>
      </c>
      <c r="EP13" s="48"/>
      <c r="EQ13" s="37">
        <f t="shared" si="97"/>
        <v>6053.1</v>
      </c>
      <c r="ER13" s="250">
        <v>11045</v>
      </c>
      <c r="ES13" s="48"/>
      <c r="ET13" s="49">
        <f t="shared" si="37"/>
        <v>9000</v>
      </c>
      <c r="EU13" s="250">
        <v>4574.8999999999996</v>
      </c>
      <c r="EV13" s="48"/>
      <c r="EW13" s="49">
        <f t="shared" si="38"/>
        <v>9103.0999999992728</v>
      </c>
      <c r="EX13" s="250">
        <v>14697.6</v>
      </c>
      <c r="EY13" s="48"/>
      <c r="EZ13" s="37">
        <f t="shared" si="39"/>
        <v>10403.100000000364</v>
      </c>
      <c r="FA13" s="48">
        <f>FC13-EQ13-ET13-EW13-EZ13</f>
        <v>-10868.299999999635</v>
      </c>
      <c r="FB13" s="250">
        <v>38883569</v>
      </c>
      <c r="FC13" s="49">
        <f t="shared" si="93"/>
        <v>23691</v>
      </c>
      <c r="FD13" s="48">
        <f t="shared" si="72"/>
        <v>36283.299999999639</v>
      </c>
      <c r="FE13" s="250">
        <v>17974</v>
      </c>
      <c r="FF13" s="48"/>
      <c r="FG13" s="37">
        <f t="shared" si="73"/>
        <v>11553.1</v>
      </c>
      <c r="FH13" s="250">
        <v>10568</v>
      </c>
      <c r="FI13" s="48"/>
      <c r="FJ13" s="49">
        <f t="shared" si="40"/>
        <v>13803.1</v>
      </c>
      <c r="FK13" s="48"/>
      <c r="FL13" s="58"/>
      <c r="FM13" s="48">
        <f t="shared" si="94"/>
        <v>-919.76666666618132</v>
      </c>
      <c r="FN13" s="250">
        <v>17870</v>
      </c>
      <c r="FO13" s="48"/>
      <c r="FP13" s="37">
        <f t="shared" si="74"/>
        <v>10803.1</v>
      </c>
      <c r="FQ13" s="250">
        <v>62867</v>
      </c>
      <c r="FR13" s="48"/>
      <c r="FS13" s="37">
        <f t="shared" si="41"/>
        <v>33400.000000001455</v>
      </c>
      <c r="FT13" s="48">
        <f t="shared" si="75"/>
        <v>-2759.2999999985441</v>
      </c>
      <c r="FU13" s="48">
        <f>FG13+FJ13+FP13+GM13</f>
        <v>36159.300000000003</v>
      </c>
      <c r="FV13" s="250">
        <v>6920500</v>
      </c>
      <c r="FW13" s="44"/>
      <c r="FX13" s="37">
        <f t="shared" si="42"/>
        <v>27800</v>
      </c>
      <c r="FY13" s="250">
        <v>152865</v>
      </c>
      <c r="FZ13" s="56"/>
      <c r="GA13" s="37">
        <f t="shared" si="43"/>
        <v>7152</v>
      </c>
      <c r="GB13" s="250">
        <v>895.35199999999998</v>
      </c>
      <c r="GC13" s="56"/>
      <c r="GD13" s="37">
        <f t="shared" si="44"/>
        <v>968.99999999993724</v>
      </c>
      <c r="GE13" s="250">
        <v>11021</v>
      </c>
      <c r="GF13" s="56"/>
      <c r="GG13" s="37">
        <f t="shared" si="45"/>
        <v>6876.0000000003638</v>
      </c>
      <c r="GH13" s="250">
        <v>77427</v>
      </c>
      <c r="GI13" s="162"/>
      <c r="GJ13" s="38">
        <f t="shared" si="77"/>
        <v>1724</v>
      </c>
      <c r="GK13" s="250">
        <v>1533.3</v>
      </c>
      <c r="GL13" s="163"/>
      <c r="GM13" s="38">
        <f t="shared" si="46"/>
        <v>0</v>
      </c>
      <c r="GN13" s="250">
        <v>244100</v>
      </c>
      <c r="GO13" s="57"/>
      <c r="GP13" s="38">
        <f t="shared" si="98"/>
        <v>0</v>
      </c>
      <c r="GQ13" s="250">
        <v>300640</v>
      </c>
      <c r="GR13" s="38"/>
      <c r="GS13" s="38">
        <f t="shared" si="78"/>
        <v>20</v>
      </c>
      <c r="GT13" s="247"/>
      <c r="GU13" s="144">
        <f>DailySep!B12-DailySep!N12-DailySep!V12-DailySep!Y12-DailySep!Z12-DailySep!AA12-DailySep!AB12-DailySep!AC12-DailySep!AD12-DailySep!AE12-DailySep!AK12-DailySep!AO12-DailySep!AS12-DailySep!AY12-DailySep!BD12+DailySep!BU12-DailySep!BG12-DailySep!BT12-DailySep!AF12-DailySep!AG12</f>
        <v>7.9744495451450348E-9</v>
      </c>
      <c r="GV13" s="261">
        <v>-2953.5</v>
      </c>
      <c r="GW13" s="60">
        <f t="shared" si="48"/>
        <v>-196.9</v>
      </c>
      <c r="GX13" s="260">
        <v>-196.9</v>
      </c>
      <c r="GY13" s="140"/>
      <c r="GZ13" s="528"/>
      <c r="HA13" s="528"/>
      <c r="HB13" s="528"/>
      <c r="HC13" s="528"/>
      <c r="HD13" s="74"/>
      <c r="HE13" s="24">
        <f t="shared" si="49"/>
        <v>0</v>
      </c>
      <c r="HG13" s="279">
        <v>7</v>
      </c>
      <c r="HH13" s="292">
        <v>25855</v>
      </c>
      <c r="HI13" s="292">
        <v>9841.5</v>
      </c>
      <c r="HJ13" s="61">
        <f t="shared" si="50"/>
        <v>180000</v>
      </c>
      <c r="HK13" s="260">
        <v>2.1432000000000002</v>
      </c>
      <c r="HL13" s="292">
        <v>807.23</v>
      </c>
      <c r="HM13" s="61">
        <f t="shared" si="51"/>
        <v>0</v>
      </c>
      <c r="HN13" s="292">
        <v>6586.3</v>
      </c>
      <c r="HO13" s="292">
        <v>2814.7</v>
      </c>
      <c r="HP13" s="61">
        <f t="shared" si="52"/>
        <v>44775</v>
      </c>
      <c r="HQ13" s="292">
        <v>4624.3</v>
      </c>
      <c r="HR13" s="292">
        <v>1955.6</v>
      </c>
      <c r="HS13" s="61">
        <f t="shared" si="53"/>
        <v>25974.999999999818</v>
      </c>
      <c r="HT13" s="292">
        <v>4547.8999999999996</v>
      </c>
      <c r="HU13" s="292">
        <v>1649.7</v>
      </c>
      <c r="HV13" s="61">
        <f t="shared" si="54"/>
        <v>28074.999999999272</v>
      </c>
      <c r="HW13" s="292">
        <v>3245.7</v>
      </c>
      <c r="HX13" s="292">
        <v>1392.3</v>
      </c>
      <c r="HY13" s="61">
        <f t="shared" si="55"/>
        <v>25074.999999999727</v>
      </c>
      <c r="HZ13" s="260">
        <v>2460200</v>
      </c>
      <c r="IA13" s="260">
        <v>10728</v>
      </c>
      <c r="IB13" s="61">
        <f t="shared" si="56"/>
        <v>29800</v>
      </c>
      <c r="IC13" s="292">
        <v>719.8</v>
      </c>
      <c r="ID13" s="292">
        <v>232.78</v>
      </c>
      <c r="IE13" s="61">
        <f t="shared" si="79"/>
        <v>0</v>
      </c>
      <c r="IF13" s="61"/>
      <c r="IG13" s="61"/>
      <c r="IH13" s="280">
        <f t="shared" si="57"/>
        <v>26300</v>
      </c>
      <c r="II13" s="281">
        <f t="shared" si="58"/>
        <v>1.178705133497715E-9</v>
      </c>
      <c r="IJ13" s="245"/>
      <c r="IK13" s="245"/>
      <c r="IL13" s="245"/>
      <c r="IM13" s="245"/>
      <c r="IN13" s="245"/>
      <c r="IO13" s="245"/>
      <c r="IP13" s="245"/>
      <c r="IQ13" s="245"/>
      <c r="IR13" s="245"/>
      <c r="IS13" s="245"/>
      <c r="IT13" s="245"/>
      <c r="IU13" s="245"/>
      <c r="IV13" s="245"/>
      <c r="IW13" s="245"/>
      <c r="IX13" s="245"/>
      <c r="IY13" s="245"/>
      <c r="IZ13" s="245"/>
      <c r="JA13" s="245"/>
      <c r="JB13" s="245"/>
      <c r="JC13" s="245"/>
      <c r="JD13" s="245"/>
      <c r="JE13" s="245"/>
      <c r="JF13" s="245"/>
      <c r="JG13" s="245"/>
      <c r="JH13" s="245"/>
      <c r="JI13" s="245"/>
      <c r="JJ13" s="245"/>
      <c r="JK13" s="245"/>
      <c r="JL13" s="245"/>
      <c r="JM13" s="245"/>
      <c r="JN13" s="245"/>
      <c r="JO13" s="245"/>
      <c r="JP13" s="245"/>
      <c r="JQ13" s="245"/>
      <c r="JR13" s="245"/>
      <c r="JS13" s="245"/>
      <c r="JT13" s="245"/>
      <c r="JU13" s="245"/>
      <c r="JV13" s="245"/>
      <c r="JW13" s="245"/>
      <c r="JX13" s="245"/>
      <c r="JY13" s="245"/>
      <c r="JZ13" s="245"/>
      <c r="KA13" s="245"/>
      <c r="KB13" s="245"/>
      <c r="KC13" s="245"/>
      <c r="KD13" s="245"/>
      <c r="KE13" s="245"/>
      <c r="KG13" s="151">
        <f t="shared" si="59"/>
        <v>74575.000000001179</v>
      </c>
    </row>
    <row r="14" spans="1:293" x14ac:dyDescent="0.25">
      <c r="A14" s="35">
        <f t="shared" si="0"/>
        <v>8</v>
      </c>
      <c r="B14" s="250">
        <v>5485.37</v>
      </c>
      <c r="C14" s="38">
        <f t="shared" si="1"/>
        <v>11.229999999999563</v>
      </c>
      <c r="D14" s="38">
        <f t="shared" si="2"/>
        <v>359359.99999998603</v>
      </c>
      <c r="E14" s="250">
        <v>1102.1300000000001</v>
      </c>
      <c r="F14" s="38">
        <f t="shared" si="3"/>
        <v>69120.000000002619</v>
      </c>
      <c r="G14" s="38">
        <f t="shared" si="4"/>
        <v>428479.99999998865</v>
      </c>
      <c r="H14" s="37"/>
      <c r="I14" s="39"/>
      <c r="J14" s="42"/>
      <c r="K14" s="37">
        <f>IF(J14&lt;=0,0,(J14/SQRT(J14^2+(I14-I13)^2)))</f>
        <v>0</v>
      </c>
      <c r="L14" s="250">
        <v>17691200</v>
      </c>
      <c r="M14" s="40"/>
      <c r="N14" s="37">
        <f t="shared" si="81"/>
        <v>427000</v>
      </c>
      <c r="O14" s="250">
        <v>12919</v>
      </c>
      <c r="P14" s="37"/>
      <c r="Q14" s="37">
        <f t="shared" si="5"/>
        <v>17000</v>
      </c>
      <c r="R14" s="37">
        <f t="shared" si="82"/>
        <v>1</v>
      </c>
      <c r="S14" s="250">
        <v>11268762.949999999</v>
      </c>
      <c r="T14" s="37">
        <f t="shared" si="6"/>
        <v>0</v>
      </c>
      <c r="U14" s="250">
        <v>1523790.61</v>
      </c>
      <c r="V14" s="37">
        <f t="shared" si="7"/>
        <v>0</v>
      </c>
      <c r="W14" s="250">
        <v>4623.3999999999996</v>
      </c>
      <c r="X14" s="37">
        <f t="shared" si="95"/>
        <v>11900</v>
      </c>
      <c r="Y14" s="183"/>
      <c r="Z14" s="183"/>
      <c r="AA14" s="250">
        <v>804800</v>
      </c>
      <c r="AB14" s="37">
        <f t="shared" si="8"/>
        <v>5100</v>
      </c>
      <c r="AC14" s="250">
        <v>4786.5</v>
      </c>
      <c r="AD14" s="37"/>
      <c r="AE14" s="37">
        <f t="shared" si="9"/>
        <v>3899.9999999996362</v>
      </c>
      <c r="AF14" s="37">
        <f t="shared" si="83"/>
        <v>1</v>
      </c>
      <c r="AG14" s="250">
        <v>10391</v>
      </c>
      <c r="AH14" s="48"/>
      <c r="AI14" s="37">
        <f t="shared" si="10"/>
        <v>11132.789999999637</v>
      </c>
      <c r="AJ14" s="37">
        <f t="shared" si="11"/>
        <v>1</v>
      </c>
      <c r="AK14" s="37">
        <f t="shared" si="12"/>
        <v>26932.789999999273</v>
      </c>
      <c r="AL14" s="250">
        <v>12070</v>
      </c>
      <c r="AM14" s="42"/>
      <c r="AN14" s="37">
        <f t="shared" si="60"/>
        <v>2832.7899999995498</v>
      </c>
      <c r="AO14" s="37">
        <f t="shared" si="84"/>
        <v>1</v>
      </c>
      <c r="AP14" s="250">
        <v>9515.7000000000007</v>
      </c>
      <c r="AQ14" s="37"/>
      <c r="AR14" s="37">
        <f t="shared" si="13"/>
        <v>13300.000000001091</v>
      </c>
      <c r="AS14" s="37">
        <f t="shared" si="85"/>
        <v>1</v>
      </c>
      <c r="AT14" s="183"/>
      <c r="AU14" s="183"/>
      <c r="AV14" s="183"/>
      <c r="AW14" s="183"/>
      <c r="AX14" s="250">
        <v>527940</v>
      </c>
      <c r="AY14" s="37"/>
      <c r="AZ14" s="37">
        <f t="shared" si="14"/>
        <v>360</v>
      </c>
      <c r="BA14" s="250">
        <v>213370</v>
      </c>
      <c r="BB14" s="37"/>
      <c r="BC14" s="37">
        <f t="shared" si="15"/>
        <v>690</v>
      </c>
      <c r="BD14" s="37">
        <f t="shared" si="86"/>
        <v>17182.790000000641</v>
      </c>
      <c r="BE14" s="250">
        <v>2093.1</v>
      </c>
      <c r="BF14" s="250">
        <v>1176.8</v>
      </c>
      <c r="BG14" s="37">
        <f t="shared" si="16"/>
        <v>1500</v>
      </c>
      <c r="BH14" s="250">
        <v>9893.4</v>
      </c>
      <c r="BI14" s="250">
        <v>6389.8</v>
      </c>
      <c r="BJ14" s="37">
        <f t="shared" si="17"/>
        <v>8600.0000000003638</v>
      </c>
      <c r="BK14" s="250">
        <v>2012240</v>
      </c>
      <c r="BL14" s="40">
        <f t="shared" si="87"/>
        <v>4270</v>
      </c>
      <c r="BM14" s="250">
        <v>942.13</v>
      </c>
      <c r="BN14" s="37">
        <f t="shared" si="18"/>
        <v>629.99999999999545</v>
      </c>
      <c r="BO14" s="186"/>
      <c r="BP14" s="183">
        <f t="shared" si="19"/>
        <v>0</v>
      </c>
      <c r="BQ14" s="250">
        <v>887.7</v>
      </c>
      <c r="BR14" s="37">
        <f t="shared" si="61"/>
        <v>400.00000000009095</v>
      </c>
      <c r="BS14" s="250">
        <v>120549</v>
      </c>
      <c r="BT14" s="37">
        <f t="shared" si="20"/>
        <v>203.22999999999593</v>
      </c>
      <c r="BU14" s="250">
        <v>3608955</v>
      </c>
      <c r="BV14" s="42"/>
      <c r="BW14" s="37">
        <f t="shared" si="21"/>
        <v>6313</v>
      </c>
      <c r="BX14" s="37">
        <f t="shared" si="88"/>
        <v>1</v>
      </c>
      <c r="BY14" s="250">
        <v>417.14</v>
      </c>
      <c r="BZ14" s="40"/>
      <c r="CA14" s="37">
        <f t="shared" si="22"/>
        <v>689.99999999999773</v>
      </c>
      <c r="CB14" s="37">
        <f t="shared" si="62"/>
        <v>1</v>
      </c>
      <c r="CC14" s="250">
        <v>817898.8</v>
      </c>
      <c r="CD14" s="37">
        <f t="shared" si="23"/>
        <v>902</v>
      </c>
      <c r="CE14" s="250">
        <v>1797073</v>
      </c>
      <c r="CF14" s="37">
        <f t="shared" si="24"/>
        <v>5072</v>
      </c>
      <c r="CG14" s="250">
        <v>122633</v>
      </c>
      <c r="CH14" s="37">
        <f t="shared" si="63"/>
        <v>0</v>
      </c>
      <c r="CI14" s="250">
        <v>14517.52</v>
      </c>
      <c r="CJ14" s="40"/>
      <c r="CK14" s="37">
        <f t="shared" si="64"/>
        <v>16312.790000000439</v>
      </c>
      <c r="CL14" s="37">
        <f t="shared" si="25"/>
        <v>1</v>
      </c>
      <c r="CM14" s="250">
        <v>4291.7529999999997</v>
      </c>
      <c r="CN14" s="37"/>
      <c r="CO14" s="37">
        <f t="shared" si="26"/>
        <v>9091.7899999994697</v>
      </c>
      <c r="CP14" s="37">
        <f t="shared" si="89"/>
        <v>1</v>
      </c>
      <c r="CQ14" s="250">
        <v>832310.6</v>
      </c>
      <c r="CR14" s="45"/>
      <c r="CS14" s="37">
        <f t="shared" si="65"/>
        <v>7054.8899999999767</v>
      </c>
      <c r="CT14" s="37">
        <f t="shared" si="66"/>
        <v>1</v>
      </c>
      <c r="CU14" s="250">
        <v>4580782</v>
      </c>
      <c r="CV14" s="37"/>
      <c r="CW14" s="38">
        <f t="shared" si="27"/>
        <v>14189</v>
      </c>
      <c r="CX14" s="37">
        <f t="shared" si="90"/>
        <v>1</v>
      </c>
      <c r="CY14" s="250">
        <v>2451206</v>
      </c>
      <c r="CZ14" s="37"/>
      <c r="DA14" s="37">
        <f t="shared" si="28"/>
        <v>7939</v>
      </c>
      <c r="DB14" s="37">
        <f t="shared" si="91"/>
        <v>1</v>
      </c>
      <c r="DC14" s="37"/>
      <c r="DD14" s="40"/>
      <c r="DE14" s="37">
        <f t="shared" si="29"/>
        <v>0</v>
      </c>
      <c r="DF14" s="37">
        <f t="shared" si="96"/>
        <v>0</v>
      </c>
      <c r="DG14" s="37">
        <f t="shared" si="30"/>
        <v>-60900.469999999885</v>
      </c>
      <c r="DH14" s="37">
        <f t="shared" si="31"/>
        <v>455432.78999999928</v>
      </c>
      <c r="DI14" s="46"/>
      <c r="DJ14" s="46"/>
      <c r="DK14" s="47"/>
      <c r="DL14" s="47"/>
      <c r="DM14" s="37"/>
      <c r="DN14" s="37"/>
      <c r="DO14" s="37"/>
      <c r="DP14" s="37"/>
      <c r="DQ14" s="250">
        <v>4517300</v>
      </c>
      <c r="DR14" s="49">
        <f t="shared" si="67"/>
        <v>7300</v>
      </c>
      <c r="DS14" s="250">
        <v>5956000</v>
      </c>
      <c r="DT14" s="49">
        <f t="shared" si="68"/>
        <v>24600</v>
      </c>
      <c r="DU14" s="250">
        <v>8441.7999999999993</v>
      </c>
      <c r="DV14" s="250">
        <v>4758.5</v>
      </c>
      <c r="DW14" s="37">
        <f t="shared" si="92"/>
        <v>4299.9999999992724</v>
      </c>
      <c r="DX14" s="250">
        <v>13976</v>
      </c>
      <c r="DY14" s="250">
        <v>8749.5</v>
      </c>
      <c r="DZ14" s="37">
        <f t="shared" si="32"/>
        <v>8732.7900000000009</v>
      </c>
      <c r="EA14" s="250">
        <v>32431</v>
      </c>
      <c r="EB14" s="250">
        <v>22.17</v>
      </c>
      <c r="EC14" s="37">
        <f t="shared" si="33"/>
        <v>22892.79</v>
      </c>
      <c r="ED14" s="53">
        <f t="shared" si="34"/>
        <v>35925.579999999274</v>
      </c>
      <c r="EE14" s="250">
        <v>48315</v>
      </c>
      <c r="EF14" s="250">
        <v>31.835000000000001</v>
      </c>
      <c r="EG14" s="37">
        <f t="shared" si="35"/>
        <v>27892.79</v>
      </c>
      <c r="EH14" s="250">
        <v>14292</v>
      </c>
      <c r="EI14" s="250">
        <v>2.1019000000000001</v>
      </c>
      <c r="EJ14" s="37">
        <f t="shared" si="36"/>
        <v>10732.79</v>
      </c>
      <c r="EK14" s="250">
        <v>870.27</v>
      </c>
      <c r="EL14" s="250">
        <v>1246.9000000000001</v>
      </c>
      <c r="EM14" s="37">
        <f t="shared" si="69"/>
        <v>649.99999999997726</v>
      </c>
      <c r="EN14" s="54">
        <f t="shared" si="70"/>
        <v>39275.57999999998</v>
      </c>
      <c r="EO14" s="250">
        <v>13794</v>
      </c>
      <c r="EP14" s="48"/>
      <c r="EQ14" s="37">
        <f t="shared" si="97"/>
        <v>8332.7899999999663</v>
      </c>
      <c r="ER14" s="250">
        <v>11071</v>
      </c>
      <c r="ES14" s="48"/>
      <c r="ET14" s="49">
        <f t="shared" si="37"/>
        <v>26000</v>
      </c>
      <c r="EU14" s="250">
        <v>4583</v>
      </c>
      <c r="EV14" s="48"/>
      <c r="EW14" s="49">
        <f t="shared" si="38"/>
        <v>8832.7900000003647</v>
      </c>
      <c r="EX14" s="250">
        <v>14707</v>
      </c>
      <c r="EY14" s="48"/>
      <c r="EZ14" s="37">
        <f t="shared" si="39"/>
        <v>10132.789999999637</v>
      </c>
      <c r="FA14" s="48">
        <f t="shared" si="71"/>
        <v>-30712.369999999966</v>
      </c>
      <c r="FB14" s="250">
        <v>38906155</v>
      </c>
      <c r="FC14" s="49">
        <f t="shared" si="93"/>
        <v>22586</v>
      </c>
      <c r="FD14" s="48">
        <f t="shared" si="72"/>
        <v>55080.369999999966</v>
      </c>
      <c r="FE14" s="250">
        <v>17983</v>
      </c>
      <c r="FF14" s="48"/>
      <c r="FG14" s="37">
        <f t="shared" si="73"/>
        <v>11132.790000000035</v>
      </c>
      <c r="FH14" s="250">
        <v>10586</v>
      </c>
      <c r="FI14" s="48"/>
      <c r="FJ14" s="49">
        <f t="shared" si="40"/>
        <v>18732.79</v>
      </c>
      <c r="FK14" s="48"/>
      <c r="FL14" s="58"/>
      <c r="FM14" s="48">
        <f t="shared" si="94"/>
        <v>-766.12333333237621</v>
      </c>
      <c r="FN14" s="250">
        <v>17880</v>
      </c>
      <c r="FO14" s="48"/>
      <c r="FP14" s="37">
        <f t="shared" si="74"/>
        <v>10732.79</v>
      </c>
      <c r="FQ14" s="250">
        <v>62905.3</v>
      </c>
      <c r="FR14" s="48"/>
      <c r="FS14" s="37">
        <f t="shared" si="41"/>
        <v>38300.00000000291</v>
      </c>
      <c r="FT14" s="48">
        <f t="shared" si="75"/>
        <v>-2298.3699999971286</v>
      </c>
      <c r="FU14" s="48">
        <f t="shared" si="76"/>
        <v>40598.370000000039</v>
      </c>
      <c r="FV14" s="250">
        <v>6953700</v>
      </c>
      <c r="FW14" s="44"/>
      <c r="FX14" s="37">
        <f t="shared" si="42"/>
        <v>33200</v>
      </c>
      <c r="FY14" s="250">
        <v>161319</v>
      </c>
      <c r="FZ14" s="56"/>
      <c r="GA14" s="37">
        <f t="shared" si="43"/>
        <v>8454</v>
      </c>
      <c r="GB14" s="250">
        <v>896.33</v>
      </c>
      <c r="GC14" s="56"/>
      <c r="GD14" s="37">
        <f t="shared" si="44"/>
        <v>978.00000000006548</v>
      </c>
      <c r="GE14" s="250">
        <v>11032</v>
      </c>
      <c r="GF14" s="56"/>
      <c r="GG14" s="37">
        <f t="shared" si="45"/>
        <v>9218</v>
      </c>
      <c r="GH14" s="250">
        <v>79209</v>
      </c>
      <c r="GI14" s="162"/>
      <c r="GJ14" s="38">
        <f t="shared" si="77"/>
        <v>1782</v>
      </c>
      <c r="GK14" s="250">
        <v>1533.3</v>
      </c>
      <c r="GL14" s="163"/>
      <c r="GM14" s="38">
        <f t="shared" si="46"/>
        <v>0</v>
      </c>
      <c r="GN14" s="250">
        <v>244100</v>
      </c>
      <c r="GO14" s="57"/>
      <c r="GP14" s="38">
        <f t="shared" si="98"/>
        <v>0</v>
      </c>
      <c r="GQ14" s="250">
        <v>301201</v>
      </c>
      <c r="GR14" s="38"/>
      <c r="GS14" s="38">
        <f t="shared" si="78"/>
        <v>561</v>
      </c>
      <c r="GT14" s="247"/>
      <c r="GU14" s="144">
        <f>DailySep!B13-DailySep!N13-DailySep!V13-DailySep!Y13-DailySep!Z13-DailySep!AA13-DailySep!AB13-DailySep!AC13-DailySep!AD13-DailySep!AE13-DailySep!AK13-DailySep!AO13-DailySep!AS13-DailySep!AY13-DailySep!BD13+DailySep!BU13-DailySep!BG13-DailySep!BT13-DailySep!AF13-DailySep!AG13</f>
        <v>4.9999989190837368E-2</v>
      </c>
      <c r="GV14" s="261">
        <v>10991.9</v>
      </c>
      <c r="GW14" s="60">
        <f t="shared" si="48"/>
        <v>732.79333333333329</v>
      </c>
      <c r="GX14" s="260">
        <v>732.79</v>
      </c>
      <c r="GY14" s="140"/>
      <c r="GZ14" s="528"/>
      <c r="HA14" s="528"/>
      <c r="HB14" s="528"/>
      <c r="HC14" s="528"/>
      <c r="HD14" s="74"/>
      <c r="HE14" s="24">
        <f t="shared" si="49"/>
        <v>0</v>
      </c>
      <c r="HG14" s="279">
        <v>8</v>
      </c>
      <c r="HH14" s="292">
        <v>26007</v>
      </c>
      <c r="HI14" s="292">
        <v>9898.6</v>
      </c>
      <c r="HJ14" s="61">
        <f t="shared" si="50"/>
        <v>152000</v>
      </c>
      <c r="HK14" s="260">
        <v>2.1432000000000002</v>
      </c>
      <c r="HL14" s="292">
        <v>807.23</v>
      </c>
      <c r="HM14" s="61">
        <f t="shared" si="51"/>
        <v>0</v>
      </c>
      <c r="HN14" s="292">
        <v>6625.5</v>
      </c>
      <c r="HO14" s="292">
        <v>2829.3</v>
      </c>
      <c r="HP14" s="61">
        <f t="shared" si="52"/>
        <v>38849.999999999818</v>
      </c>
      <c r="HQ14" s="292">
        <v>4647.6000000000004</v>
      </c>
      <c r="HR14" s="292">
        <v>1963.9</v>
      </c>
      <c r="HS14" s="61">
        <f t="shared" si="53"/>
        <v>22950.000000000182</v>
      </c>
      <c r="HT14" s="292">
        <v>4572.6000000000004</v>
      </c>
      <c r="HU14" s="292">
        <v>1657.2</v>
      </c>
      <c r="HV14" s="61">
        <f t="shared" si="54"/>
        <v>24350.000000000728</v>
      </c>
      <c r="HW14" s="292">
        <v>3268</v>
      </c>
      <c r="HX14" s="292">
        <v>1401.8</v>
      </c>
      <c r="HY14" s="61">
        <f t="shared" si="55"/>
        <v>21950.000000000182</v>
      </c>
      <c r="HZ14" s="260">
        <v>2479500</v>
      </c>
      <c r="IA14" s="260">
        <v>10814</v>
      </c>
      <c r="IB14" s="61">
        <f t="shared" si="56"/>
        <v>19300</v>
      </c>
      <c r="IC14" s="292">
        <v>719.8</v>
      </c>
      <c r="ID14" s="292">
        <v>232.78</v>
      </c>
      <c r="IE14" s="61">
        <f t="shared" si="79"/>
        <v>0</v>
      </c>
      <c r="IF14" s="61"/>
      <c r="IG14" s="61"/>
      <c r="IH14" s="280">
        <f t="shared" si="57"/>
        <v>24600</v>
      </c>
      <c r="II14" s="281">
        <f t="shared" si="58"/>
        <v>-8.9494278654456139E-10</v>
      </c>
      <c r="IJ14" s="245"/>
      <c r="IK14" s="245"/>
      <c r="IL14" s="245"/>
      <c r="IM14" s="245"/>
      <c r="IN14" s="245"/>
      <c r="IO14" s="245"/>
      <c r="IP14" s="245"/>
      <c r="IQ14" s="245"/>
      <c r="IR14" s="245"/>
      <c r="IS14" s="245"/>
      <c r="IT14" s="245"/>
      <c r="IU14" s="245"/>
      <c r="IV14" s="245"/>
      <c r="IW14" s="245"/>
      <c r="IX14" s="245"/>
      <c r="IY14" s="245"/>
      <c r="IZ14" s="245"/>
      <c r="JA14" s="245"/>
      <c r="JB14" s="245"/>
      <c r="JC14" s="245"/>
      <c r="JD14" s="245"/>
      <c r="JE14" s="245"/>
      <c r="JF14" s="245"/>
      <c r="JG14" s="245"/>
      <c r="JH14" s="245"/>
      <c r="JI14" s="245"/>
      <c r="JJ14" s="245"/>
      <c r="JK14" s="245"/>
      <c r="JL14" s="245"/>
      <c r="JM14" s="245"/>
      <c r="JN14" s="245"/>
      <c r="JO14" s="245"/>
      <c r="JP14" s="245"/>
      <c r="JQ14" s="245"/>
      <c r="JR14" s="245"/>
      <c r="JS14" s="245"/>
      <c r="JT14" s="245"/>
      <c r="JU14" s="245"/>
      <c r="JV14" s="245"/>
      <c r="JW14" s="245"/>
      <c r="JX14" s="245"/>
      <c r="JY14" s="245"/>
      <c r="JZ14" s="245"/>
      <c r="KA14" s="245"/>
      <c r="KB14" s="245"/>
      <c r="KC14" s="245"/>
      <c r="KD14" s="245"/>
      <c r="KE14" s="245"/>
      <c r="KG14" s="151">
        <f t="shared" si="59"/>
        <v>58149.999999998923</v>
      </c>
    </row>
    <row r="15" spans="1:293" x14ac:dyDescent="0.25">
      <c r="A15" s="215">
        <f t="shared" si="0"/>
        <v>9</v>
      </c>
      <c r="B15" s="250">
        <v>5496.59</v>
      </c>
      <c r="C15" s="38">
        <f t="shared" si="1"/>
        <v>11.220000000000255</v>
      </c>
      <c r="D15" s="38">
        <f t="shared" si="2"/>
        <v>359040.00000000815</v>
      </c>
      <c r="E15" s="250">
        <v>1104.47</v>
      </c>
      <c r="F15" s="38">
        <f t="shared" si="3"/>
        <v>74879.999999997381</v>
      </c>
      <c r="G15" s="38">
        <f t="shared" si="4"/>
        <v>433920.00000000553</v>
      </c>
      <c r="H15" s="37"/>
      <c r="I15" s="39"/>
      <c r="J15" s="42"/>
      <c r="K15" s="37">
        <f>IF(J15&lt;=0,0,(J15/SQRT(J15^2+(I15-I14)^2)))</f>
        <v>0</v>
      </c>
      <c r="L15" s="250">
        <v>17734200</v>
      </c>
      <c r="M15" s="40"/>
      <c r="N15" s="37">
        <f t="shared" si="81"/>
        <v>430000</v>
      </c>
      <c r="O15" s="250">
        <v>12932</v>
      </c>
      <c r="P15" s="2"/>
      <c r="Q15" s="37">
        <f t="shared" si="5"/>
        <v>13000</v>
      </c>
      <c r="R15" s="37">
        <f>IF(Q15&lt;=0,0,(Q15/SQRT(Q15^2+(P15-P14)^2)))</f>
        <v>1</v>
      </c>
      <c r="S15" s="250">
        <v>11268762.949999999</v>
      </c>
      <c r="T15" s="37">
        <f t="shared" si="6"/>
        <v>0</v>
      </c>
      <c r="U15" s="250">
        <v>1523790.61</v>
      </c>
      <c r="V15" s="37">
        <f t="shared" si="7"/>
        <v>0</v>
      </c>
      <c r="W15" s="250">
        <v>4629.3</v>
      </c>
      <c r="X15" s="37">
        <f t="shared" si="95"/>
        <v>7800</v>
      </c>
      <c r="Y15" s="183"/>
      <c r="Z15" s="183"/>
      <c r="AA15" s="250">
        <v>810000</v>
      </c>
      <c r="AB15" s="37">
        <f t="shared" si="8"/>
        <v>5200</v>
      </c>
      <c r="AC15" s="250">
        <v>4792</v>
      </c>
      <c r="AD15" s="37"/>
      <c r="AE15" s="37">
        <f t="shared" si="9"/>
        <v>5500</v>
      </c>
      <c r="AF15" s="37">
        <f>IF(AE15&lt;=0,0,(AE15/SQRT(AE15^2+(AD15-AD14)^2)))</f>
        <v>1</v>
      </c>
      <c r="AG15" s="250">
        <v>10404.200000000001</v>
      </c>
      <c r="AH15" s="48"/>
      <c r="AI15" s="37">
        <f t="shared" si="10"/>
        <v>13138.850000000728</v>
      </c>
      <c r="AJ15" s="37">
        <f t="shared" si="11"/>
        <v>1</v>
      </c>
      <c r="AK15" s="37">
        <f t="shared" si="12"/>
        <v>26438.850000000726</v>
      </c>
      <c r="AL15" s="250">
        <v>12087</v>
      </c>
      <c r="AM15" s="42"/>
      <c r="AN15" s="37">
        <f t="shared" si="60"/>
        <v>11268.850000000064</v>
      </c>
      <c r="AO15" s="37">
        <f>IF(AN15&lt;=0,0,(AN15/SQRT(AN15^2+(AM15-AM14)^2)))</f>
        <v>1</v>
      </c>
      <c r="AP15" s="250">
        <v>9526.7999999999993</v>
      </c>
      <c r="AQ15" s="37"/>
      <c r="AR15" s="37">
        <f t="shared" si="13"/>
        <v>11099.999999998545</v>
      </c>
      <c r="AS15" s="37">
        <f>IF(AR15&lt;=0,0,(AR15/SQRT(AR15^2+(AQ15-AQ14)^2)))</f>
        <v>1</v>
      </c>
      <c r="AT15" s="183"/>
      <c r="AU15" s="183"/>
      <c r="AV15" s="183"/>
      <c r="AW15" s="183"/>
      <c r="AX15" s="250">
        <v>528410</v>
      </c>
      <c r="AY15" s="37"/>
      <c r="AZ15" s="37">
        <f t="shared" si="14"/>
        <v>470</v>
      </c>
      <c r="BA15" s="250">
        <v>214070</v>
      </c>
      <c r="BB15" s="37"/>
      <c r="BC15" s="37">
        <f t="shared" si="15"/>
        <v>700</v>
      </c>
      <c r="BD15" s="37">
        <f t="shared" si="86"/>
        <v>23538.849999998609</v>
      </c>
      <c r="BE15" s="250">
        <v>2094.6999999999998</v>
      </c>
      <c r="BF15" s="250">
        <v>1177.7</v>
      </c>
      <c r="BG15" s="37">
        <f t="shared" si="16"/>
        <v>1599.9999999999091</v>
      </c>
      <c r="BH15" s="250">
        <v>9902.5</v>
      </c>
      <c r="BI15" s="250">
        <v>6395.9</v>
      </c>
      <c r="BJ15" s="37">
        <f t="shared" si="17"/>
        <v>9100.0000000003638</v>
      </c>
      <c r="BK15" s="250">
        <v>2016590</v>
      </c>
      <c r="BL15" s="40">
        <f t="shared" si="87"/>
        <v>4350</v>
      </c>
      <c r="BM15" s="250">
        <v>942.75</v>
      </c>
      <c r="BN15" s="37">
        <f t="shared" si="18"/>
        <v>620.00000000000455</v>
      </c>
      <c r="BO15" s="186"/>
      <c r="BP15" s="183">
        <f t="shared" si="19"/>
        <v>0</v>
      </c>
      <c r="BQ15" s="250">
        <v>888.4</v>
      </c>
      <c r="BR15" s="37">
        <f t="shared" si="61"/>
        <v>699.99999999993179</v>
      </c>
      <c r="BS15" s="250">
        <v>120765.22</v>
      </c>
      <c r="BT15" s="37">
        <f t="shared" si="20"/>
        <v>216.22000000000116</v>
      </c>
      <c r="BU15" s="250">
        <v>3615663</v>
      </c>
      <c r="BV15" s="42"/>
      <c r="BW15" s="37">
        <f t="shared" si="21"/>
        <v>6708</v>
      </c>
      <c r="BX15" s="37">
        <f>IF(BW15&lt;=0,0,(BW15/SQRT(BW15^2+(BV15-BV14)^2)))</f>
        <v>1</v>
      </c>
      <c r="BY15" s="250">
        <v>417.76990000000001</v>
      </c>
      <c r="BZ15" s="37"/>
      <c r="CA15" s="37">
        <f t="shared" si="22"/>
        <v>629.90000000002055</v>
      </c>
      <c r="CB15" s="37">
        <f t="shared" si="62"/>
        <v>1</v>
      </c>
      <c r="CC15" s="250">
        <v>819246.9</v>
      </c>
      <c r="CD15" s="37">
        <f t="shared" si="23"/>
        <v>1348.0999999999767</v>
      </c>
      <c r="CE15" s="250">
        <v>1802092</v>
      </c>
      <c r="CF15" s="37">
        <f t="shared" si="24"/>
        <v>5019</v>
      </c>
      <c r="CG15" s="250">
        <v>122633</v>
      </c>
      <c r="CH15" s="37">
        <f t="shared" si="63"/>
        <v>0</v>
      </c>
      <c r="CI15" s="250">
        <v>14533.5</v>
      </c>
      <c r="CJ15" s="40"/>
      <c r="CK15" s="37">
        <f t="shared" si="64"/>
        <v>15288.949999999542</v>
      </c>
      <c r="CL15" s="37">
        <f t="shared" si="25"/>
        <v>1</v>
      </c>
      <c r="CM15" s="250">
        <v>4299.9409999999998</v>
      </c>
      <c r="CN15" s="37"/>
      <c r="CO15" s="37">
        <f t="shared" si="26"/>
        <v>8126.8500000001022</v>
      </c>
      <c r="CP15" s="37">
        <f>IF(CO15&lt;=0,0,(CO15/SQRT(CO15^2+(CN15-CN14)^2)))</f>
        <v>1</v>
      </c>
      <c r="CQ15" s="250">
        <v>838492.8</v>
      </c>
      <c r="CR15" s="45"/>
      <c r="CS15" s="37">
        <f t="shared" si="65"/>
        <v>6121.0500000000702</v>
      </c>
      <c r="CT15" s="37">
        <f t="shared" si="66"/>
        <v>1</v>
      </c>
      <c r="CU15" s="250">
        <v>4594777</v>
      </c>
      <c r="CV15" s="37"/>
      <c r="CW15" s="38">
        <f t="shared" si="27"/>
        <v>13995</v>
      </c>
      <c r="CX15" s="37">
        <f t="shared" si="90"/>
        <v>1</v>
      </c>
      <c r="CY15" s="250">
        <v>2459316</v>
      </c>
      <c r="CZ15" s="37"/>
      <c r="DA15" s="37">
        <f t="shared" si="28"/>
        <v>8110</v>
      </c>
      <c r="DB15" s="37">
        <f>IF(DA15&lt;=0,0,(DA15/SQRT(DA15^2+(CZ15-CZ14)^2)))</f>
        <v>1</v>
      </c>
      <c r="DC15" s="37"/>
      <c r="DD15" s="40"/>
      <c r="DE15" s="37">
        <f t="shared" si="29"/>
        <v>0</v>
      </c>
      <c r="DF15" s="37">
        <f>IF(DE15&lt;=0,0,(DE15/SQRT(DE15^2+(DD15-DD14)^2)))</f>
        <v>0</v>
      </c>
      <c r="DG15" s="37">
        <f t="shared" si="30"/>
        <v>-58349.849999999715</v>
      </c>
      <c r="DH15" s="37">
        <f t="shared" si="31"/>
        <v>458038.85000000062</v>
      </c>
      <c r="DI15" s="46"/>
      <c r="DJ15" s="46"/>
      <c r="DK15" s="47"/>
      <c r="DL15" s="47"/>
      <c r="DM15" s="37"/>
      <c r="DN15" s="37"/>
      <c r="DO15" s="37"/>
      <c r="DP15" s="37"/>
      <c r="DQ15" s="250">
        <v>4527300</v>
      </c>
      <c r="DR15" s="49">
        <f t="shared" si="67"/>
        <v>10000</v>
      </c>
      <c r="DS15" s="250">
        <v>5977700</v>
      </c>
      <c r="DT15" s="49">
        <f t="shared" si="68"/>
        <v>21700</v>
      </c>
      <c r="DU15" s="250">
        <v>8442.5</v>
      </c>
      <c r="DV15" s="250">
        <v>4758.7</v>
      </c>
      <c r="DW15" s="37">
        <f t="shared" si="92"/>
        <v>700.0000000007276</v>
      </c>
      <c r="DX15" s="250">
        <v>13977</v>
      </c>
      <c r="DY15" s="250">
        <v>8751.2000000000007</v>
      </c>
      <c r="DZ15" s="37">
        <f t="shared" si="32"/>
        <v>938.85</v>
      </c>
      <c r="EA15" s="250">
        <v>32434</v>
      </c>
      <c r="EB15" s="250">
        <v>22.170999999999999</v>
      </c>
      <c r="EC15" s="37">
        <f t="shared" si="33"/>
        <v>5098.8500000000004</v>
      </c>
      <c r="ED15" s="53">
        <f t="shared" si="34"/>
        <v>6737.7000000007283</v>
      </c>
      <c r="EE15" s="250">
        <v>48342</v>
      </c>
      <c r="EF15" s="250">
        <v>31.856999999999999</v>
      </c>
      <c r="EG15" s="37">
        <f t="shared" si="35"/>
        <v>29098.85</v>
      </c>
      <c r="EH15" s="250">
        <v>14303</v>
      </c>
      <c r="EI15" s="250">
        <v>2.105</v>
      </c>
      <c r="EJ15" s="37">
        <f t="shared" si="36"/>
        <v>10938.85</v>
      </c>
      <c r="EK15" s="250">
        <v>870.87</v>
      </c>
      <c r="EL15" s="250">
        <v>1247.7</v>
      </c>
      <c r="EM15" s="37">
        <f t="shared" si="69"/>
        <v>600.00000000002274</v>
      </c>
      <c r="EN15" s="54">
        <f t="shared" si="70"/>
        <v>40637.700000000019</v>
      </c>
      <c r="EO15" s="250">
        <v>13801</v>
      </c>
      <c r="EP15" s="48"/>
      <c r="EQ15" s="37">
        <f t="shared" si="97"/>
        <v>5988.8500000000113</v>
      </c>
      <c r="ER15" s="250">
        <v>11088</v>
      </c>
      <c r="ES15" s="48"/>
      <c r="ET15" s="49">
        <f>IF((ER15-ER14)&lt;=0,0,(ER15-ER14))*1000</f>
        <v>17000</v>
      </c>
      <c r="EU15" s="250">
        <v>4592</v>
      </c>
      <c r="EV15" s="48"/>
      <c r="EW15" s="49">
        <f t="shared" si="38"/>
        <v>8938.85</v>
      </c>
      <c r="EX15" s="250">
        <v>14716</v>
      </c>
      <c r="EY15" s="48"/>
      <c r="EZ15" s="37">
        <f t="shared" si="39"/>
        <v>8938.85</v>
      </c>
      <c r="FA15" s="48">
        <f t="shared" si="71"/>
        <v>-18822.55000000001</v>
      </c>
      <c r="FB15" s="250">
        <v>38928199</v>
      </c>
      <c r="FC15" s="49">
        <f>IF((FB15-FB14)&lt;=0,0,(FB15-FB14))</f>
        <v>22044</v>
      </c>
      <c r="FD15" s="48">
        <f t="shared" si="72"/>
        <v>42538.55000000001</v>
      </c>
      <c r="FE15" s="250">
        <v>17991</v>
      </c>
      <c r="FF15" s="48"/>
      <c r="FG15" s="37">
        <f t="shared" si="73"/>
        <v>8888.8499999999894</v>
      </c>
      <c r="FH15" s="250">
        <v>10605</v>
      </c>
      <c r="FI15" s="48"/>
      <c r="FJ15" s="49">
        <f t="shared" si="40"/>
        <v>18938.849999999999</v>
      </c>
      <c r="FK15" s="48"/>
      <c r="FL15" s="58"/>
      <c r="FM15" s="48">
        <f>FT15/3</f>
        <v>-22.183333334300187</v>
      </c>
      <c r="FN15" s="250">
        <v>17891</v>
      </c>
      <c r="FO15" s="48"/>
      <c r="FP15" s="37">
        <f t="shared" si="74"/>
        <v>10938.85</v>
      </c>
      <c r="FQ15" s="250">
        <v>62944</v>
      </c>
      <c r="FR15" s="48"/>
      <c r="FS15" s="37">
        <f t="shared" si="41"/>
        <v>38699.99999999709</v>
      </c>
      <c r="FT15" s="48">
        <f t="shared" si="75"/>
        <v>-66.550000002900561</v>
      </c>
      <c r="FU15" s="48">
        <f t="shared" si="76"/>
        <v>38766.549999999988</v>
      </c>
      <c r="FV15" s="250">
        <v>6986300</v>
      </c>
      <c r="FW15" s="44"/>
      <c r="FX15" s="37">
        <f t="shared" si="42"/>
        <v>32600</v>
      </c>
      <c r="FY15" s="250">
        <v>166130</v>
      </c>
      <c r="FZ15" s="56"/>
      <c r="GA15" s="37">
        <f t="shared" si="43"/>
        <v>4811</v>
      </c>
      <c r="GB15" s="250">
        <v>897.28</v>
      </c>
      <c r="GC15" s="56"/>
      <c r="GD15" s="37">
        <f t="shared" si="44"/>
        <v>949.99999999993179</v>
      </c>
      <c r="GE15" s="250">
        <v>11042</v>
      </c>
      <c r="GF15" s="56"/>
      <c r="GG15" s="37">
        <f t="shared" si="45"/>
        <v>8328</v>
      </c>
      <c r="GH15" s="250">
        <v>80881</v>
      </c>
      <c r="GI15" s="162"/>
      <c r="GJ15" s="38">
        <f t="shared" si="77"/>
        <v>1672</v>
      </c>
      <c r="GK15" s="250">
        <v>1533.3</v>
      </c>
      <c r="GL15" s="163"/>
      <c r="GM15" s="38">
        <f t="shared" si="46"/>
        <v>0</v>
      </c>
      <c r="GN15" s="250">
        <v>244110</v>
      </c>
      <c r="GO15" s="57"/>
      <c r="GP15" s="38">
        <f t="shared" si="98"/>
        <v>10</v>
      </c>
      <c r="GQ15" s="250">
        <v>301505</v>
      </c>
      <c r="GR15" s="38"/>
      <c r="GS15" s="38">
        <f t="shared" si="78"/>
        <v>304</v>
      </c>
      <c r="GT15" s="247"/>
      <c r="GU15" s="144">
        <f>DailySep!B14-DailySep!N14-DailySep!V14-DailySep!Y14-DailySep!Z14-DailySep!AA14-DailySep!AB14-DailySep!AC14-DailySep!AD14-DailySep!AE14-DailySep!AK14-DailySep!AO14-DailySep!AS14-DailySep!AY14-DailySep!BD14+DailySep!BU14-DailySep!BG14-DailySep!BT14-DailySep!AF14-DailySep!AG14</f>
        <v>-4.999999437131919E-2</v>
      </c>
      <c r="GV15" s="261">
        <v>-917.3</v>
      </c>
      <c r="GW15" s="60">
        <f t="shared" si="48"/>
        <v>-61.153333333333329</v>
      </c>
      <c r="GX15" s="260">
        <v>-61.15</v>
      </c>
      <c r="GY15" s="140"/>
      <c r="GZ15" s="528"/>
      <c r="HA15" s="528"/>
      <c r="HB15" s="528"/>
      <c r="HC15" s="528"/>
      <c r="HD15" s="74"/>
      <c r="HE15" s="24">
        <f t="shared" si="49"/>
        <v>0</v>
      </c>
      <c r="HF15" s="255"/>
      <c r="HG15" s="279">
        <v>9</v>
      </c>
      <c r="HH15" s="292">
        <v>26183</v>
      </c>
      <c r="HI15" s="292">
        <v>9967.2999999999993</v>
      </c>
      <c r="HJ15" s="61">
        <f t="shared" ref="HJ15" si="99">IF((HH15-HH14)&lt;=0,0,(HH15-HH14)*1000)</f>
        <v>176000</v>
      </c>
      <c r="HK15" s="260">
        <v>2.1432000000000002</v>
      </c>
      <c r="HL15" s="292">
        <v>807.23</v>
      </c>
      <c r="HM15" s="61">
        <f t="shared" ref="HM15" si="100">IF((HK15-HK14)&lt;=0,0,(HK15-HK14))</f>
        <v>0</v>
      </c>
      <c r="HN15" s="292">
        <v>6668.2</v>
      </c>
      <c r="HO15" s="292">
        <v>2849.4</v>
      </c>
      <c r="HP15" s="61">
        <f t="shared" ref="HP15" si="101">IF((HN15-HN14)&lt;=0,0,(HN15-HN14)*1000)+IL52</f>
        <v>43299.999999999818</v>
      </c>
      <c r="HQ15" s="292">
        <v>4673.8999999999996</v>
      </c>
      <c r="HR15" s="292">
        <v>1975.6</v>
      </c>
      <c r="HS15" s="61">
        <f t="shared" ref="HS15" si="102">IF((HQ15-HQ14)&lt;=0,0,(HQ15-HQ14)*1000)+IL52</f>
        <v>26899.999999999272</v>
      </c>
      <c r="HT15" s="292">
        <v>4600.2</v>
      </c>
      <c r="HU15" s="292">
        <v>1667.4</v>
      </c>
      <c r="HV15" s="61">
        <f t="shared" ref="HV15" si="103">IF((HT15-HT14)&lt;=0,0,(HT15-HT14)*1000)+IL52</f>
        <v>28199.999999999454</v>
      </c>
      <c r="HW15" s="292">
        <v>3293.2</v>
      </c>
      <c r="HX15" s="292">
        <v>1081.4000000000001</v>
      </c>
      <c r="HY15" s="61">
        <f t="shared" ref="HY15" si="104">IF((HW15-HW14)&lt;=0,0,(HW15-HW14)*1000)+IL52</f>
        <v>25799.999999999818</v>
      </c>
      <c r="HZ15" s="260">
        <v>2509600</v>
      </c>
      <c r="IA15" s="260">
        <v>10941</v>
      </c>
      <c r="IB15" s="61">
        <f t="shared" ref="IB15" si="105">IF((HZ15-HZ14)&lt;=0,0,(HZ15-HZ14))</f>
        <v>30100</v>
      </c>
      <c r="IC15" s="292">
        <v>719.8</v>
      </c>
      <c r="ID15" s="292">
        <v>232.78</v>
      </c>
      <c r="IE15" s="61">
        <f t="shared" si="79"/>
        <v>0</v>
      </c>
      <c r="IF15" s="61"/>
      <c r="IG15" s="61"/>
      <c r="IH15" s="280">
        <f t="shared" si="57"/>
        <v>21700</v>
      </c>
      <c r="II15" s="281">
        <f t="shared" si="58"/>
        <v>1.6370904631912708E-9</v>
      </c>
      <c r="IJ15" s="245"/>
      <c r="IK15" s="245"/>
      <c r="IL15" s="245"/>
      <c r="IM15" s="245"/>
      <c r="IN15" s="245"/>
      <c r="IO15" s="245"/>
      <c r="IP15" s="245"/>
      <c r="IQ15" s="245"/>
      <c r="IR15" s="245"/>
      <c r="IS15" s="245"/>
      <c r="IT15" s="245"/>
      <c r="IU15" s="245"/>
      <c r="IV15" s="245"/>
      <c r="IW15" s="245"/>
      <c r="IX15" s="245"/>
      <c r="IY15" s="245"/>
      <c r="IZ15" s="245"/>
      <c r="JA15" s="245"/>
      <c r="JB15" s="245"/>
      <c r="JC15" s="245"/>
      <c r="JD15" s="245"/>
      <c r="JE15" s="245"/>
      <c r="JF15" s="245"/>
      <c r="JG15" s="245"/>
      <c r="JH15" s="245"/>
      <c r="JI15" s="245"/>
      <c r="JJ15" s="245"/>
      <c r="JK15" s="245"/>
      <c r="JL15" s="245"/>
      <c r="JM15" s="245"/>
      <c r="JN15" s="245"/>
      <c r="JO15" s="245"/>
      <c r="JP15" s="245"/>
      <c r="JQ15" s="245"/>
      <c r="JR15" s="245"/>
      <c r="JS15" s="245"/>
      <c r="JT15" s="245"/>
      <c r="JU15" s="245"/>
      <c r="JV15" s="245"/>
      <c r="JW15" s="245"/>
      <c r="JX15" s="245"/>
      <c r="JY15" s="245"/>
      <c r="JZ15" s="245"/>
      <c r="KA15" s="245"/>
      <c r="KB15" s="245"/>
      <c r="KC15" s="245"/>
      <c r="KD15" s="245"/>
      <c r="KE15" s="245"/>
      <c r="KG15" s="151">
        <f t="shared" si="59"/>
        <v>73400.000000001455</v>
      </c>
    </row>
    <row r="16" spans="1:293" x14ac:dyDescent="0.25">
      <c r="A16" s="35">
        <f t="shared" si="0"/>
        <v>10</v>
      </c>
      <c r="B16" s="250">
        <v>5508.79</v>
      </c>
      <c r="C16" s="38">
        <f t="shared" si="1"/>
        <v>12.199999999999818</v>
      </c>
      <c r="D16" s="38">
        <f t="shared" si="2"/>
        <v>390399.99999999418</v>
      </c>
      <c r="E16" s="250">
        <v>1106.6099999999999</v>
      </c>
      <c r="F16" s="38">
        <f t="shared" si="3"/>
        <v>68479.999999995925</v>
      </c>
      <c r="G16" s="38">
        <f t="shared" si="4"/>
        <v>458879.9999999901</v>
      </c>
      <c r="H16" s="37"/>
      <c r="I16" s="39"/>
      <c r="J16" s="42"/>
      <c r="K16" s="37">
        <f t="shared" si="80"/>
        <v>0</v>
      </c>
      <c r="L16" s="250">
        <v>17779900</v>
      </c>
      <c r="M16" s="40"/>
      <c r="N16" s="37">
        <f t="shared" si="81"/>
        <v>457000</v>
      </c>
      <c r="O16" s="250">
        <v>12945</v>
      </c>
      <c r="P16" s="48"/>
      <c r="Q16" s="37">
        <f t="shared" si="5"/>
        <v>13000</v>
      </c>
      <c r="R16" s="37">
        <f t="shared" si="82"/>
        <v>1</v>
      </c>
      <c r="S16" s="250">
        <v>11268762.949999999</v>
      </c>
      <c r="T16" s="37">
        <f t="shared" si="6"/>
        <v>0</v>
      </c>
      <c r="U16" s="250">
        <v>1523790.61</v>
      </c>
      <c r="V16" s="37">
        <f t="shared" si="7"/>
        <v>0</v>
      </c>
      <c r="W16" s="250">
        <v>4635.7</v>
      </c>
      <c r="X16" s="37">
        <f t="shared" si="95"/>
        <v>6800</v>
      </c>
      <c r="Y16" s="183"/>
      <c r="Z16" s="183"/>
      <c r="AA16" s="250">
        <v>816200</v>
      </c>
      <c r="AB16" s="37">
        <f t="shared" si="8"/>
        <v>6200</v>
      </c>
      <c r="AC16" s="250">
        <v>4799.3</v>
      </c>
      <c r="AD16" s="37"/>
      <c r="AE16" s="37">
        <f t="shared" si="9"/>
        <v>7300.0000000001819</v>
      </c>
      <c r="AF16" s="37">
        <f t="shared" si="83"/>
        <v>1</v>
      </c>
      <c r="AG16" s="250">
        <v>10420.5</v>
      </c>
      <c r="AH16" s="37"/>
      <c r="AI16" s="37">
        <f t="shared" si="10"/>
        <v>17349.809999999274</v>
      </c>
      <c r="AJ16" s="37">
        <f t="shared" si="11"/>
        <v>1</v>
      </c>
      <c r="AK16" s="37">
        <f t="shared" si="12"/>
        <v>31449.809999999456</v>
      </c>
      <c r="AL16" s="250">
        <v>12099.2</v>
      </c>
      <c r="AM16" s="42"/>
      <c r="AN16" s="37">
        <f t="shared" si="60"/>
        <v>6839.8100000007771</v>
      </c>
      <c r="AO16" s="37">
        <f t="shared" si="84"/>
        <v>1</v>
      </c>
      <c r="AP16" s="250">
        <v>9537</v>
      </c>
      <c r="AQ16" s="37"/>
      <c r="AR16" s="37">
        <f t="shared" si="13"/>
        <v>10200.000000000728</v>
      </c>
      <c r="AS16" s="37">
        <f t="shared" si="85"/>
        <v>1</v>
      </c>
      <c r="AT16" s="183"/>
      <c r="AU16" s="183"/>
      <c r="AV16" s="183"/>
      <c r="AW16" s="183"/>
      <c r="AX16" s="250">
        <v>528820</v>
      </c>
      <c r="AY16" s="37"/>
      <c r="AZ16" s="37">
        <f t="shared" si="14"/>
        <v>410</v>
      </c>
      <c r="BA16" s="250">
        <v>214690</v>
      </c>
      <c r="BB16" s="37"/>
      <c r="BC16" s="37">
        <f t="shared" si="15"/>
        <v>620</v>
      </c>
      <c r="BD16" s="37">
        <f t="shared" si="86"/>
        <v>18069.810000001504</v>
      </c>
      <c r="BE16" s="250">
        <v>2096.1999999999998</v>
      </c>
      <c r="BF16" s="250">
        <v>1178.7</v>
      </c>
      <c r="BG16" s="37">
        <f t="shared" si="16"/>
        <v>1500</v>
      </c>
      <c r="BH16" s="250">
        <v>9911.2000000000007</v>
      </c>
      <c r="BI16" s="250">
        <v>6401.7</v>
      </c>
      <c r="BJ16" s="37">
        <f t="shared" si="17"/>
        <v>8700.0000000007276</v>
      </c>
      <c r="BK16" s="250">
        <v>2021320</v>
      </c>
      <c r="BL16" s="40">
        <f t="shared" si="87"/>
        <v>4730</v>
      </c>
      <c r="BM16" s="250">
        <v>943.43</v>
      </c>
      <c r="BN16" s="37">
        <f t="shared" si="18"/>
        <v>679.99999999994998</v>
      </c>
      <c r="BO16" s="186"/>
      <c r="BP16" s="183">
        <f t="shared" si="19"/>
        <v>0</v>
      </c>
      <c r="BQ16" s="250">
        <v>889.4</v>
      </c>
      <c r="BR16" s="37">
        <f t="shared" si="61"/>
        <v>1000</v>
      </c>
      <c r="BS16" s="250">
        <v>120993.9</v>
      </c>
      <c r="BT16" s="37">
        <f t="shared" si="20"/>
        <v>228.67999999999302</v>
      </c>
      <c r="BU16" s="250">
        <v>3622834</v>
      </c>
      <c r="BV16" s="42"/>
      <c r="BW16" s="37">
        <f t="shared" si="21"/>
        <v>7171</v>
      </c>
      <c r="BX16" s="37">
        <f t="shared" si="88"/>
        <v>1</v>
      </c>
      <c r="BY16" s="250">
        <v>418.39479999999998</v>
      </c>
      <c r="BZ16" s="37"/>
      <c r="CA16" s="37">
        <f t="shared" si="22"/>
        <v>624.89999999996826</v>
      </c>
      <c r="CB16" s="37">
        <f t="shared" si="62"/>
        <v>1</v>
      </c>
      <c r="CC16" s="250">
        <v>820913.5</v>
      </c>
      <c r="CD16" s="37">
        <f t="shared" si="23"/>
        <v>1666.5999999999767</v>
      </c>
      <c r="CE16" s="250">
        <v>1807254</v>
      </c>
      <c r="CF16" s="37">
        <f t="shared" si="24"/>
        <v>5162</v>
      </c>
      <c r="CG16" s="250">
        <v>122633</v>
      </c>
      <c r="CH16" s="37">
        <f t="shared" si="63"/>
        <v>0</v>
      </c>
      <c r="CI16" s="250">
        <v>14550.19</v>
      </c>
      <c r="CJ16" s="40"/>
      <c r="CK16" s="37">
        <f t="shared" si="64"/>
        <v>17114.910000000542</v>
      </c>
      <c r="CL16" s="37">
        <f t="shared" si="25"/>
        <v>1</v>
      </c>
      <c r="CM16" s="250">
        <v>4308.5684000000001</v>
      </c>
      <c r="CN16" s="37"/>
      <c r="CO16" s="37">
        <f t="shared" si="26"/>
        <v>9677.2100000003065</v>
      </c>
      <c r="CP16" s="37">
        <f t="shared" si="89"/>
        <v>1</v>
      </c>
      <c r="CQ16" s="250">
        <v>844840.6</v>
      </c>
      <c r="CR16" s="45"/>
      <c r="CS16" s="37">
        <f t="shared" si="65"/>
        <v>7397.6099999999296</v>
      </c>
      <c r="CT16" s="37">
        <f t="shared" si="66"/>
        <v>1</v>
      </c>
      <c r="CU16" s="250">
        <v>4609628</v>
      </c>
      <c r="CV16" s="37"/>
      <c r="CW16" s="38">
        <f t="shared" si="27"/>
        <v>14851</v>
      </c>
      <c r="CX16" s="37">
        <f t="shared" si="90"/>
        <v>1</v>
      </c>
      <c r="CY16" s="250">
        <v>2467479</v>
      </c>
      <c r="CZ16" s="37"/>
      <c r="DA16" s="37">
        <f t="shared" si="28"/>
        <v>8163</v>
      </c>
      <c r="DB16" s="37">
        <f t="shared" si="91"/>
        <v>1</v>
      </c>
      <c r="DC16" s="37"/>
      <c r="DD16" s="40"/>
      <c r="DE16" s="37">
        <f t="shared" si="29"/>
        <v>0</v>
      </c>
      <c r="DF16" s="37">
        <f t="shared" si="96"/>
        <v>0</v>
      </c>
      <c r="DG16" s="37">
        <f t="shared" si="30"/>
        <v>-64374.730000000774</v>
      </c>
      <c r="DH16" s="37">
        <f t="shared" si="31"/>
        <v>489949.80999999947</v>
      </c>
      <c r="DI16" s="46"/>
      <c r="DJ16" s="46"/>
      <c r="DK16" s="47"/>
      <c r="DL16" s="47"/>
      <c r="DM16" s="37"/>
      <c r="DN16" s="37"/>
      <c r="DO16" s="37"/>
      <c r="DP16" s="37"/>
      <c r="DQ16" s="250">
        <v>4537500</v>
      </c>
      <c r="DR16" s="49">
        <f t="shared" si="67"/>
        <v>10200</v>
      </c>
      <c r="DS16" s="250">
        <v>6002700</v>
      </c>
      <c r="DT16" s="49">
        <f t="shared" si="68"/>
        <v>25000</v>
      </c>
      <c r="DU16" s="250">
        <v>8446.9</v>
      </c>
      <c r="DV16" s="250">
        <v>4760.1000000000004</v>
      </c>
      <c r="DW16" s="37">
        <f t="shared" si="92"/>
        <v>4399.9999999996362</v>
      </c>
      <c r="DX16" s="250">
        <v>13984</v>
      </c>
      <c r="DY16" s="250">
        <v>8756.4</v>
      </c>
      <c r="DZ16" s="37">
        <f t="shared" si="32"/>
        <v>8049.8099999999995</v>
      </c>
      <c r="EA16" s="250">
        <v>32454</v>
      </c>
      <c r="EB16" s="250">
        <v>22.181000000000001</v>
      </c>
      <c r="EC16" s="37">
        <f t="shared" si="33"/>
        <v>23209.81</v>
      </c>
      <c r="ED16" s="53">
        <f t="shared" si="34"/>
        <v>35659.619999999639</v>
      </c>
      <c r="EE16" s="250">
        <v>48363</v>
      </c>
      <c r="EF16" s="250">
        <v>31.873999999999999</v>
      </c>
      <c r="EG16" s="37">
        <f t="shared" si="35"/>
        <v>24209.81</v>
      </c>
      <c r="EH16" s="250">
        <v>14313</v>
      </c>
      <c r="EI16" s="250">
        <v>2.1074000000000002</v>
      </c>
      <c r="EJ16" s="37">
        <f t="shared" si="36"/>
        <v>11049.81</v>
      </c>
      <c r="EK16" s="250">
        <v>871.52</v>
      </c>
      <c r="EL16" s="250">
        <v>1248.5999999999999</v>
      </c>
      <c r="EM16" s="37">
        <f t="shared" si="69"/>
        <v>649.99999999997726</v>
      </c>
      <c r="EN16" s="54">
        <f t="shared" si="70"/>
        <v>35909.619999999981</v>
      </c>
      <c r="EO16" s="250">
        <v>13810</v>
      </c>
      <c r="EP16" s="48"/>
      <c r="EQ16" s="37">
        <f t="shared" si="97"/>
        <v>8599.8100000000104</v>
      </c>
      <c r="ER16" s="250">
        <v>11107</v>
      </c>
      <c r="ES16" s="48"/>
      <c r="ET16" s="49">
        <f t="shared" ref="ET16:ET36" si="106">IF((ER16-ER15)&lt;=0,0,(ER16-ER15))*1000</f>
        <v>19000</v>
      </c>
      <c r="EU16" s="250">
        <v>4602</v>
      </c>
      <c r="EV16" s="48"/>
      <c r="EW16" s="49">
        <f t="shared" si="38"/>
        <v>11049.81</v>
      </c>
      <c r="EX16" s="250">
        <v>14727</v>
      </c>
      <c r="EY16" s="48"/>
      <c r="EZ16" s="37">
        <f t="shared" si="39"/>
        <v>12049.81</v>
      </c>
      <c r="FA16" s="48">
        <f t="shared" si="71"/>
        <v>-27974.430000000008</v>
      </c>
      <c r="FB16" s="250">
        <v>38950924</v>
      </c>
      <c r="FC16" s="49">
        <f t="shared" si="93"/>
        <v>22725</v>
      </c>
      <c r="FD16" s="48">
        <f t="shared" si="72"/>
        <v>52297.430000000008</v>
      </c>
      <c r="FE16" s="250">
        <v>18000</v>
      </c>
      <c r="FF16" s="48"/>
      <c r="FG16" s="37">
        <f t="shared" si="73"/>
        <v>11499.809999999989</v>
      </c>
      <c r="FH16" s="250">
        <v>10622</v>
      </c>
      <c r="FI16" s="48"/>
      <c r="FJ16" s="49">
        <f t="shared" si="40"/>
        <v>18049.810000000001</v>
      </c>
      <c r="FK16" s="48"/>
      <c r="FL16" s="58"/>
      <c r="FM16" s="48">
        <f t="shared" si="94"/>
        <v>-1199.809999999997</v>
      </c>
      <c r="FN16" s="250">
        <v>17901</v>
      </c>
      <c r="FO16" s="48"/>
      <c r="FP16" s="37">
        <f t="shared" si="74"/>
        <v>11049.81</v>
      </c>
      <c r="FQ16" s="250">
        <v>62981</v>
      </c>
      <c r="FR16" s="48"/>
      <c r="FS16" s="37">
        <f t="shared" si="41"/>
        <v>37000</v>
      </c>
      <c r="FT16" s="48">
        <f t="shared" si="75"/>
        <v>-3599.4299999999912</v>
      </c>
      <c r="FU16" s="48">
        <f t="shared" si="76"/>
        <v>40599.429999999986</v>
      </c>
      <c r="FV16" s="250">
        <v>7015200</v>
      </c>
      <c r="FW16" s="44"/>
      <c r="FX16" s="37">
        <f t="shared" si="42"/>
        <v>28900</v>
      </c>
      <c r="FY16" s="250">
        <v>176810</v>
      </c>
      <c r="FZ16" s="56"/>
      <c r="GA16" s="37">
        <f t="shared" si="43"/>
        <v>10680</v>
      </c>
      <c r="GB16" s="250">
        <v>898.15</v>
      </c>
      <c r="GC16" s="56"/>
      <c r="GD16" s="37">
        <f t="shared" si="44"/>
        <v>870.00000000000455</v>
      </c>
      <c r="GE16" s="250">
        <v>11051</v>
      </c>
      <c r="GF16" s="56"/>
      <c r="GG16" s="37">
        <f t="shared" si="45"/>
        <v>7402</v>
      </c>
      <c r="GH16" s="250">
        <v>82479</v>
      </c>
      <c r="GI16" s="162"/>
      <c r="GJ16" s="38">
        <f t="shared" si="77"/>
        <v>1598</v>
      </c>
      <c r="GK16" s="250">
        <v>1533.3</v>
      </c>
      <c r="GL16" s="163"/>
      <c r="GM16" s="38">
        <f t="shared" si="46"/>
        <v>0</v>
      </c>
      <c r="GN16" s="250">
        <v>244110</v>
      </c>
      <c r="GO16" s="57"/>
      <c r="GP16" s="38">
        <f t="shared" si="98"/>
        <v>0</v>
      </c>
      <c r="GQ16" s="250">
        <v>301750</v>
      </c>
      <c r="GR16" s="38"/>
      <c r="GS16" s="38">
        <f t="shared" si="78"/>
        <v>245</v>
      </c>
      <c r="GT16" s="247"/>
      <c r="GU16" s="144">
        <f>DailySep!B15-DailySep!N15-DailySep!V15-DailySep!Y15-DailySep!Z15-DailySep!AA15-DailySep!AB15-DailySep!AC15-DailySep!AD15-DailySep!AE15-DailySep!AK15-DailySep!AO15-DailySep!AS15-DailySep!AY15-DailySep!BD15+DailySep!BU15-DailySep!BG15-DailySep!BT15-DailySep!AF15-DailySep!AG15</f>
        <v>4.9999988113995641E-2</v>
      </c>
      <c r="GV16" s="261">
        <v>15747.2</v>
      </c>
      <c r="GW16" s="60">
        <f t="shared" si="48"/>
        <v>1049.8133333333333</v>
      </c>
      <c r="GX16" s="260">
        <v>1049.81</v>
      </c>
      <c r="GY16" s="140"/>
      <c r="GZ16" s="528"/>
      <c r="HA16" s="528"/>
      <c r="HB16" s="528"/>
      <c r="HC16" s="528"/>
      <c r="HD16" s="74"/>
      <c r="HE16" s="24">
        <f t="shared" si="49"/>
        <v>0</v>
      </c>
      <c r="HF16" s="255"/>
      <c r="HG16" s="279">
        <v>10</v>
      </c>
      <c r="HH16" s="292">
        <v>26357</v>
      </c>
      <c r="HI16" s="292">
        <v>10032</v>
      </c>
      <c r="HJ16" s="61">
        <f t="shared" si="50"/>
        <v>174000</v>
      </c>
      <c r="HK16" s="260">
        <v>2.1432000000000002</v>
      </c>
      <c r="HL16" s="292">
        <v>807.23</v>
      </c>
      <c r="HM16" s="61">
        <f t="shared" ref="HM16:HM36" si="107">IF((HK16-HK15)&lt;=0,0,(HK16-HK15))</f>
        <v>0</v>
      </c>
      <c r="HN16" s="292">
        <v>6711.3</v>
      </c>
      <c r="HO16" s="292">
        <v>2866.6</v>
      </c>
      <c r="HP16" s="61">
        <f t="shared" si="52"/>
        <v>42975.000000000364</v>
      </c>
      <c r="HQ16" s="292">
        <v>4699.1000000000004</v>
      </c>
      <c r="HR16" s="292">
        <v>1985.5</v>
      </c>
      <c r="HS16" s="61">
        <f t="shared" si="53"/>
        <v>25075.000000000728</v>
      </c>
      <c r="HT16" s="292">
        <v>4627.3999999999996</v>
      </c>
      <c r="HU16" s="292">
        <v>1676.1</v>
      </c>
      <c r="HV16" s="61">
        <f t="shared" si="54"/>
        <v>27074.999999999818</v>
      </c>
      <c r="HW16" s="292">
        <v>3317.6</v>
      </c>
      <c r="HX16" s="292">
        <v>1422.8</v>
      </c>
      <c r="HY16" s="61">
        <f t="shared" si="55"/>
        <v>24275.000000000091</v>
      </c>
      <c r="HZ16" s="260">
        <v>2539200</v>
      </c>
      <c r="IA16" s="260">
        <v>11062</v>
      </c>
      <c r="IB16" s="61">
        <f t="shared" si="56"/>
        <v>29600</v>
      </c>
      <c r="IC16" s="292">
        <v>719.8</v>
      </c>
      <c r="ID16" s="292">
        <v>232.78</v>
      </c>
      <c r="IE16" s="61">
        <f t="shared" si="79"/>
        <v>0</v>
      </c>
      <c r="IF16" s="61"/>
      <c r="IG16" s="61"/>
      <c r="IH16" s="280">
        <f t="shared" si="57"/>
        <v>25000</v>
      </c>
      <c r="II16" s="281">
        <f t="shared" si="58"/>
        <v>-1.0040821507573128E-9</v>
      </c>
      <c r="IJ16" s="245"/>
      <c r="IK16" s="245"/>
      <c r="IL16" s="245"/>
      <c r="IM16" s="245"/>
      <c r="IN16" s="245"/>
      <c r="IO16" s="245"/>
      <c r="IP16" s="245"/>
      <c r="IQ16" s="245"/>
      <c r="IR16" s="245"/>
      <c r="IS16" s="245"/>
      <c r="IT16" s="245"/>
      <c r="IU16" s="245"/>
      <c r="IV16" s="245"/>
      <c r="IW16" s="245"/>
      <c r="IX16" s="245"/>
      <c r="IY16" s="245"/>
      <c r="IZ16" s="245"/>
      <c r="JA16" s="245"/>
      <c r="JB16" s="245"/>
      <c r="JC16" s="245"/>
      <c r="JD16" s="245"/>
      <c r="JE16" s="245"/>
      <c r="JF16" s="245"/>
      <c r="JG16" s="245"/>
      <c r="JH16" s="245"/>
      <c r="JI16" s="245"/>
      <c r="JJ16" s="245"/>
      <c r="JK16" s="245"/>
      <c r="JL16" s="245"/>
      <c r="JM16" s="245"/>
      <c r="JN16" s="245"/>
      <c r="JO16" s="245"/>
      <c r="JP16" s="245"/>
      <c r="JQ16" s="245"/>
      <c r="JR16" s="245"/>
      <c r="JS16" s="245"/>
      <c r="JT16" s="245"/>
      <c r="JU16" s="245"/>
      <c r="JV16" s="245"/>
      <c r="JW16" s="245"/>
      <c r="JX16" s="245"/>
      <c r="JY16" s="245"/>
      <c r="JZ16" s="245"/>
      <c r="KA16" s="245"/>
      <c r="KB16" s="245"/>
      <c r="KC16" s="245"/>
      <c r="KD16" s="245"/>
      <c r="KE16" s="245"/>
      <c r="KG16" s="151">
        <f t="shared" si="59"/>
        <v>72574.99999999936</v>
      </c>
    </row>
    <row r="17" spans="1:293" x14ac:dyDescent="0.25">
      <c r="A17" s="35">
        <f t="shared" si="0"/>
        <v>11</v>
      </c>
      <c r="B17" s="250">
        <v>5518.39</v>
      </c>
      <c r="C17" s="38">
        <f t="shared" si="1"/>
        <v>9.6000000000003638</v>
      </c>
      <c r="D17" s="38">
        <f t="shared" si="2"/>
        <v>307200.00000001164</v>
      </c>
      <c r="E17" s="250">
        <v>1108.69</v>
      </c>
      <c r="F17" s="38">
        <f t="shared" si="3"/>
        <v>66560.000000004948</v>
      </c>
      <c r="G17" s="38">
        <f t="shared" si="4"/>
        <v>373760.00000001659</v>
      </c>
      <c r="H17" s="37"/>
      <c r="I17" s="39"/>
      <c r="J17" s="42"/>
      <c r="K17" s="37">
        <f t="shared" si="80"/>
        <v>0</v>
      </c>
      <c r="L17" s="250">
        <v>17818000</v>
      </c>
      <c r="M17" s="40"/>
      <c r="N17" s="37">
        <f t="shared" si="81"/>
        <v>381000</v>
      </c>
      <c r="O17" s="250">
        <v>12961</v>
      </c>
      <c r="P17" s="37"/>
      <c r="Q17" s="37">
        <f t="shared" si="5"/>
        <v>16000</v>
      </c>
      <c r="R17" s="37">
        <f t="shared" si="82"/>
        <v>1</v>
      </c>
      <c r="S17" s="250">
        <v>11268762.949999999</v>
      </c>
      <c r="T17" s="37">
        <f t="shared" si="6"/>
        <v>0</v>
      </c>
      <c r="U17" s="250">
        <v>1523790.61</v>
      </c>
      <c r="V17" s="37">
        <f>IF((U17-U16)&lt;=0,0,(U17-U16))</f>
        <v>0</v>
      </c>
      <c r="W17" s="250">
        <v>4641.3</v>
      </c>
      <c r="X17" s="37">
        <f t="shared" si="95"/>
        <v>10740</v>
      </c>
      <c r="Y17" s="183"/>
      <c r="Z17" s="183"/>
      <c r="AA17" s="250">
        <v>821460</v>
      </c>
      <c r="AB17" s="37">
        <f t="shared" si="8"/>
        <v>5260</v>
      </c>
      <c r="AC17" s="250">
        <v>4805.7</v>
      </c>
      <c r="AD17" s="37"/>
      <c r="AE17" s="37">
        <f t="shared" si="9"/>
        <v>6399.9999999996362</v>
      </c>
      <c r="AF17" s="37">
        <f t="shared" si="83"/>
        <v>1</v>
      </c>
      <c r="AG17" s="250">
        <v>10435</v>
      </c>
      <c r="AH17" s="37"/>
      <c r="AI17" s="37">
        <f t="shared" si="10"/>
        <v>12711.57</v>
      </c>
      <c r="AJ17" s="37">
        <f t="shared" si="11"/>
        <v>1</v>
      </c>
      <c r="AK17" s="37">
        <f t="shared" si="12"/>
        <v>29851.569999999636</v>
      </c>
      <c r="AL17" s="250">
        <v>12109</v>
      </c>
      <c r="AM17" s="42"/>
      <c r="AN17" s="37">
        <f t="shared" si="60"/>
        <v>2701.5699999991402</v>
      </c>
      <c r="AO17" s="37">
        <f t="shared" si="84"/>
        <v>1</v>
      </c>
      <c r="AP17" s="250">
        <v>9546.2000000000007</v>
      </c>
      <c r="AQ17" s="37"/>
      <c r="AR17" s="37">
        <f t="shared" si="13"/>
        <v>9200.0000000007276</v>
      </c>
      <c r="AS17" s="37">
        <f t="shared" si="85"/>
        <v>1</v>
      </c>
      <c r="AT17" s="183"/>
      <c r="AU17" s="183"/>
      <c r="AV17" s="183"/>
      <c r="AW17" s="183"/>
      <c r="AX17" s="250">
        <v>529200</v>
      </c>
      <c r="AY17" s="37"/>
      <c r="AZ17" s="37">
        <f t="shared" si="14"/>
        <v>380</v>
      </c>
      <c r="BA17" s="250">
        <v>215300</v>
      </c>
      <c r="BB17" s="37"/>
      <c r="BC17" s="37">
        <f t="shared" si="15"/>
        <v>610</v>
      </c>
      <c r="BD17" s="37">
        <f t="shared" si="86"/>
        <v>12891.569999999869</v>
      </c>
      <c r="BE17" s="250">
        <v>2097.6999999999998</v>
      </c>
      <c r="BF17" s="250">
        <v>1179.7</v>
      </c>
      <c r="BG17" s="37">
        <f t="shared" si="16"/>
        <v>1500</v>
      </c>
      <c r="BH17" s="250">
        <v>9920</v>
      </c>
      <c r="BI17" s="250">
        <v>6407.6</v>
      </c>
      <c r="BJ17" s="37">
        <f t="shared" si="17"/>
        <v>8799.9999999992724</v>
      </c>
      <c r="BK17" s="250">
        <v>2025400</v>
      </c>
      <c r="BL17" s="40">
        <f t="shared" si="87"/>
        <v>4080</v>
      </c>
      <c r="BM17" s="250">
        <v>943.99</v>
      </c>
      <c r="BN17" s="37">
        <f t="shared" si="18"/>
        <v>560.00000000005912</v>
      </c>
      <c r="BO17" s="186"/>
      <c r="BP17" s="183">
        <f t="shared" si="19"/>
        <v>0</v>
      </c>
      <c r="BQ17" s="250">
        <v>890.07</v>
      </c>
      <c r="BR17" s="37">
        <f t="shared" si="61"/>
        <v>670.00000000007276</v>
      </c>
      <c r="BS17" s="250">
        <v>121208.66</v>
      </c>
      <c r="BT17" s="37">
        <f t="shared" si="20"/>
        <v>214.76000000000931</v>
      </c>
      <c r="BU17" s="250">
        <v>3628200</v>
      </c>
      <c r="BV17" s="42"/>
      <c r="BW17" s="37">
        <f t="shared" si="21"/>
        <v>5366</v>
      </c>
      <c r="BX17" s="37">
        <f t="shared" si="88"/>
        <v>1</v>
      </c>
      <c r="BY17" s="250">
        <v>419.17</v>
      </c>
      <c r="BZ17" s="43"/>
      <c r="CA17" s="37">
        <f>IF((BY17-BY16)&lt;=0,0,(BY17-BY16)*1000)</f>
        <v>775.20000000004075</v>
      </c>
      <c r="CB17" s="37">
        <f t="shared" si="62"/>
        <v>1</v>
      </c>
      <c r="CC17" s="250">
        <v>821360</v>
      </c>
      <c r="CD17" s="37">
        <f t="shared" si="23"/>
        <v>446.5</v>
      </c>
      <c r="CE17" s="250">
        <v>1811900</v>
      </c>
      <c r="CF17" s="37">
        <f t="shared" si="24"/>
        <v>4646</v>
      </c>
      <c r="CG17" s="250">
        <v>122633</v>
      </c>
      <c r="CH17" s="37">
        <f t="shared" si="63"/>
        <v>0</v>
      </c>
      <c r="CI17" s="250">
        <v>14565</v>
      </c>
      <c r="CJ17" s="40"/>
      <c r="CK17" s="37">
        <f t="shared" si="64"/>
        <v>12246.36999999945</v>
      </c>
      <c r="CL17" s="37">
        <f t="shared" si="25"/>
        <v>1</v>
      </c>
      <c r="CM17" s="250">
        <v>4316.5</v>
      </c>
      <c r="CN17" s="37"/>
      <c r="CO17" s="37">
        <f t="shared" si="26"/>
        <v>6143.1699999998891</v>
      </c>
      <c r="CP17" s="37">
        <f t="shared" si="89"/>
        <v>1</v>
      </c>
      <c r="CQ17" s="250">
        <v>850640</v>
      </c>
      <c r="CR17" s="45"/>
      <c r="CS17" s="37">
        <f t="shared" si="65"/>
        <v>4010.970000000023</v>
      </c>
      <c r="CT17" s="37">
        <f t="shared" si="66"/>
        <v>1</v>
      </c>
      <c r="CU17" s="250">
        <v>4629000</v>
      </c>
      <c r="CV17" s="37"/>
      <c r="CW17" s="38">
        <f t="shared" si="27"/>
        <v>19372</v>
      </c>
      <c r="CX17" s="37">
        <f t="shared" si="90"/>
        <v>1</v>
      </c>
      <c r="CY17" s="250">
        <v>2477200</v>
      </c>
      <c r="CZ17" s="37"/>
      <c r="DA17" s="37">
        <f t="shared" si="28"/>
        <v>9721</v>
      </c>
      <c r="DB17" s="37">
        <f t="shared" si="91"/>
        <v>1</v>
      </c>
      <c r="DC17" s="37"/>
      <c r="DD17" s="40"/>
      <c r="DE17" s="37">
        <f t="shared" si="29"/>
        <v>0</v>
      </c>
      <c r="DF17" s="37">
        <f t="shared" si="96"/>
        <v>0</v>
      </c>
      <c r="DG17" s="37">
        <f t="shared" si="30"/>
        <v>-56859.509999999362</v>
      </c>
      <c r="DH17" s="37">
        <f t="shared" si="31"/>
        <v>412351.56999999966</v>
      </c>
      <c r="DI17" s="46"/>
      <c r="DJ17" s="46"/>
      <c r="DK17" s="47"/>
      <c r="DL17" s="47"/>
      <c r="DM17" s="37"/>
      <c r="DN17" s="37"/>
      <c r="DO17" s="37"/>
      <c r="DP17" s="37"/>
      <c r="DQ17" s="250">
        <v>4548000</v>
      </c>
      <c r="DR17" s="49">
        <f t="shared" si="67"/>
        <v>10500</v>
      </c>
      <c r="DS17" s="250">
        <v>6027900</v>
      </c>
      <c r="DT17" s="49">
        <f t="shared" si="68"/>
        <v>25200</v>
      </c>
      <c r="DU17" s="250">
        <v>8451.5</v>
      </c>
      <c r="DV17" s="250">
        <v>4761.3999999999996</v>
      </c>
      <c r="DW17" s="37">
        <f t="shared" si="92"/>
        <v>4600.0000000003638</v>
      </c>
      <c r="DX17" s="250">
        <v>13992</v>
      </c>
      <c r="DY17" s="250">
        <v>8761.6</v>
      </c>
      <c r="DZ17" s="37">
        <f t="shared" si="32"/>
        <v>6211.57</v>
      </c>
      <c r="EA17" s="250">
        <v>32477</v>
      </c>
      <c r="EB17" s="250">
        <v>22.192</v>
      </c>
      <c r="EC17" s="37">
        <f t="shared" si="33"/>
        <v>23371.57</v>
      </c>
      <c r="ED17" s="53">
        <f t="shared" si="34"/>
        <v>34183.140000000363</v>
      </c>
      <c r="EE17" s="250">
        <v>48372</v>
      </c>
      <c r="EF17" s="250">
        <v>31.88</v>
      </c>
      <c r="EG17" s="37">
        <f t="shared" si="35"/>
        <v>9371.57</v>
      </c>
      <c r="EH17" s="250">
        <v>14320</v>
      </c>
      <c r="EI17" s="250">
        <v>2.1088</v>
      </c>
      <c r="EJ17" s="37">
        <f t="shared" si="36"/>
        <v>5211.57</v>
      </c>
      <c r="EK17" s="250">
        <v>871.89</v>
      </c>
      <c r="EL17" s="250">
        <v>1249.0999999999999</v>
      </c>
      <c r="EM17" s="37">
        <f t="shared" si="69"/>
        <v>370.00000000000455</v>
      </c>
      <c r="EN17" s="54">
        <f t="shared" si="70"/>
        <v>14953.140000000003</v>
      </c>
      <c r="EO17" s="250">
        <v>13819</v>
      </c>
      <c r="EP17" s="48"/>
      <c r="EQ17" s="37">
        <f t="shared" si="97"/>
        <v>7211.57</v>
      </c>
      <c r="ER17" s="250">
        <v>11124</v>
      </c>
      <c r="ES17" s="48"/>
      <c r="ET17" s="49">
        <f t="shared" si="106"/>
        <v>17000</v>
      </c>
      <c r="EU17" s="250">
        <v>4611</v>
      </c>
      <c r="EV17" s="48"/>
      <c r="EW17" s="49">
        <f t="shared" si="38"/>
        <v>7211.57</v>
      </c>
      <c r="EX17" s="250">
        <v>14737</v>
      </c>
      <c r="EY17" s="48"/>
      <c r="EZ17" s="37">
        <f t="shared" si="39"/>
        <v>8211.57</v>
      </c>
      <c r="FA17" s="48">
        <f t="shared" si="71"/>
        <v>-14873.71</v>
      </c>
      <c r="FB17" s="250">
        <v>38975685</v>
      </c>
      <c r="FC17" s="49">
        <f t="shared" si="93"/>
        <v>24761</v>
      </c>
      <c r="FD17" s="48">
        <f t="shared" si="72"/>
        <v>41297.71</v>
      </c>
      <c r="FE17" s="250">
        <v>18008</v>
      </c>
      <c r="FF17" s="48"/>
      <c r="FG17" s="37">
        <f t="shared" si="73"/>
        <v>6211.57</v>
      </c>
      <c r="FH17" s="250">
        <v>10637</v>
      </c>
      <c r="FI17" s="48"/>
      <c r="FJ17" s="49">
        <f t="shared" si="40"/>
        <v>13211.57</v>
      </c>
      <c r="FK17" s="48"/>
      <c r="FL17" s="58"/>
      <c r="FM17" s="48">
        <f t="shared" si="94"/>
        <v>1788.4300000000003</v>
      </c>
      <c r="FN17" s="250">
        <v>17910</v>
      </c>
      <c r="FO17" s="48"/>
      <c r="FP17" s="37">
        <f t="shared" si="74"/>
        <v>7211.57</v>
      </c>
      <c r="FQ17" s="250">
        <v>63013</v>
      </c>
      <c r="FR17" s="48"/>
      <c r="FS17" s="37">
        <f t="shared" si="41"/>
        <v>32000</v>
      </c>
      <c r="FT17" s="48">
        <f t="shared" si="75"/>
        <v>5365.2900000000009</v>
      </c>
      <c r="FU17" s="48">
        <f t="shared" si="76"/>
        <v>26734.710000000137</v>
      </c>
      <c r="FV17" s="250">
        <v>7029900</v>
      </c>
      <c r="FW17" s="44"/>
      <c r="FX17" s="37">
        <f t="shared" si="42"/>
        <v>14700</v>
      </c>
      <c r="FY17" s="250">
        <v>180860</v>
      </c>
      <c r="FZ17" s="56"/>
      <c r="GA17" s="37">
        <f t="shared" si="43"/>
        <v>4050</v>
      </c>
      <c r="GB17" s="250">
        <v>898.67</v>
      </c>
      <c r="GC17" s="56"/>
      <c r="GD17" s="37">
        <f t="shared" si="44"/>
        <v>519.99999999998181</v>
      </c>
      <c r="GE17" s="250">
        <v>11057</v>
      </c>
      <c r="GF17" s="56"/>
      <c r="GG17" s="37">
        <f t="shared" si="45"/>
        <v>4236.9999999998636</v>
      </c>
      <c r="GH17" s="250">
        <v>84142</v>
      </c>
      <c r="GI17" s="162"/>
      <c r="GJ17" s="38">
        <f t="shared" si="77"/>
        <v>1663</v>
      </c>
      <c r="GK17" s="250">
        <v>1533.4</v>
      </c>
      <c r="GL17" s="163"/>
      <c r="GM17" s="38">
        <f t="shared" si="46"/>
        <v>100.00000000013642</v>
      </c>
      <c r="GN17" s="250">
        <v>244110</v>
      </c>
      <c r="GO17" s="57"/>
      <c r="GP17" s="38">
        <f t="shared" si="98"/>
        <v>0</v>
      </c>
      <c r="GQ17" s="250">
        <v>301880</v>
      </c>
      <c r="GR17" s="38"/>
      <c r="GS17" s="38">
        <f t="shared" si="78"/>
        <v>130</v>
      </c>
      <c r="GT17" s="247"/>
      <c r="GU17" s="144">
        <f>DailySep!B16-DailySep!N16-DailySep!V16-DailySep!Y16-DailySep!Z16-DailySep!AA16-DailySep!AB16-DailySep!AC16-DailySep!AD16-DailySep!AE16-DailySep!AK16-DailySep!AO16-DailySep!AS16-DailySep!AY16-DailySep!BD16+DailySep!BU16-DailySep!BG16-DailySep!BT16-DailySep!AF16-DailySep!AG16</f>
        <v>-4.9999982031295076E-2</v>
      </c>
      <c r="GV17" s="261">
        <v>-26826.499999982072</v>
      </c>
      <c r="GW17" s="60">
        <f t="shared" si="48"/>
        <v>-1788.4333333321381</v>
      </c>
      <c r="GX17" s="260">
        <v>-1788.43</v>
      </c>
      <c r="GY17" s="140"/>
      <c r="GZ17" s="528"/>
      <c r="HA17" s="528"/>
      <c r="HB17" s="528"/>
      <c r="HC17" s="528"/>
      <c r="HD17" s="74"/>
      <c r="HE17" s="24">
        <f t="shared" si="49"/>
        <v>0</v>
      </c>
      <c r="HF17" s="255"/>
      <c r="HG17" s="279">
        <v>11</v>
      </c>
      <c r="HH17" s="292">
        <v>26523</v>
      </c>
      <c r="HI17" s="292">
        <v>10094</v>
      </c>
      <c r="HJ17" s="61">
        <f t="shared" si="50"/>
        <v>166000</v>
      </c>
      <c r="HK17" s="260">
        <v>2.1432000000000002</v>
      </c>
      <c r="HL17" s="292">
        <v>807.23</v>
      </c>
      <c r="HM17" s="61">
        <f t="shared" si="107"/>
        <v>0</v>
      </c>
      <c r="HN17" s="292">
        <v>6752.2</v>
      </c>
      <c r="HO17" s="292">
        <v>2883.7</v>
      </c>
      <c r="HP17" s="61">
        <f t="shared" si="52"/>
        <v>40849.999999999636</v>
      </c>
      <c r="HQ17" s="292">
        <v>4721.1000000000004</v>
      </c>
      <c r="HR17" s="292">
        <v>1994.3</v>
      </c>
      <c r="HS17" s="61">
        <f t="shared" si="53"/>
        <v>21950</v>
      </c>
      <c r="HT17" s="292">
        <v>4653.2</v>
      </c>
      <c r="HU17" s="292">
        <v>1684.7</v>
      </c>
      <c r="HV17" s="61">
        <f t="shared" si="54"/>
        <v>25750.000000000182</v>
      </c>
      <c r="HW17" s="292">
        <v>3341.1</v>
      </c>
      <c r="HX17" s="292">
        <v>1432.6</v>
      </c>
      <c r="HY17" s="61">
        <f t="shared" si="55"/>
        <v>23450</v>
      </c>
      <c r="HZ17" s="260">
        <v>2568000</v>
      </c>
      <c r="IA17" s="260">
        <v>11179</v>
      </c>
      <c r="IB17" s="61">
        <f t="shared" si="56"/>
        <v>28800</v>
      </c>
      <c r="IC17" s="292">
        <v>719.8</v>
      </c>
      <c r="ID17" s="292">
        <v>232.78</v>
      </c>
      <c r="IE17" s="61">
        <f t="shared" si="79"/>
        <v>0</v>
      </c>
      <c r="IF17" s="61"/>
      <c r="IG17" s="61"/>
      <c r="IH17" s="280">
        <f t="shared" si="57"/>
        <v>25200</v>
      </c>
      <c r="II17" s="281">
        <f t="shared" si="58"/>
        <v>1.8917489796876907E-10</v>
      </c>
      <c r="IJ17" s="245"/>
      <c r="IK17" s="245"/>
      <c r="IL17" s="245"/>
      <c r="IM17" s="245"/>
      <c r="IN17" s="245"/>
      <c r="IO17" s="245"/>
      <c r="IP17" s="245"/>
      <c r="IQ17" s="245"/>
      <c r="IR17" s="245"/>
      <c r="IS17" s="245"/>
      <c r="IT17" s="245"/>
      <c r="IU17" s="245"/>
      <c r="IV17" s="245"/>
      <c r="IW17" s="245"/>
      <c r="IX17" s="245"/>
      <c r="IY17" s="245"/>
      <c r="IZ17" s="245"/>
      <c r="JA17" s="245"/>
      <c r="JB17" s="245"/>
      <c r="JC17" s="245"/>
      <c r="JD17" s="245"/>
      <c r="JE17" s="245"/>
      <c r="JF17" s="245"/>
      <c r="JG17" s="245"/>
      <c r="JH17" s="245"/>
      <c r="JI17" s="245"/>
      <c r="JJ17" s="245"/>
      <c r="JK17" s="245"/>
      <c r="JL17" s="245"/>
      <c r="JM17" s="245"/>
      <c r="JN17" s="245"/>
      <c r="JO17" s="245"/>
      <c r="JP17" s="245"/>
      <c r="JQ17" s="245"/>
      <c r="JR17" s="245"/>
      <c r="JS17" s="245"/>
      <c r="JT17" s="245"/>
      <c r="JU17" s="245"/>
      <c r="JV17" s="245"/>
      <c r="JW17" s="245"/>
      <c r="JX17" s="245"/>
      <c r="JY17" s="245"/>
      <c r="JZ17" s="245"/>
      <c r="KA17" s="245"/>
      <c r="KB17" s="245"/>
      <c r="KC17" s="245"/>
      <c r="KD17" s="245"/>
      <c r="KE17" s="245"/>
      <c r="KG17" s="151">
        <f t="shared" si="59"/>
        <v>69649.999999999825</v>
      </c>
    </row>
    <row r="18" spans="1:293" x14ac:dyDescent="0.25">
      <c r="A18" s="35">
        <f t="shared" si="0"/>
        <v>12</v>
      </c>
      <c r="B18" s="250">
        <v>5528.59</v>
      </c>
      <c r="C18" s="38">
        <f t="shared" si="1"/>
        <v>10.199999999999818</v>
      </c>
      <c r="D18" s="38">
        <f t="shared" si="2"/>
        <v>326399.99999999418</v>
      </c>
      <c r="E18" s="250">
        <v>1110.6500000000001</v>
      </c>
      <c r="F18" s="38">
        <f t="shared" si="3"/>
        <v>62720.000000001164</v>
      </c>
      <c r="G18" s="38">
        <f t="shared" si="4"/>
        <v>389119.99999999534</v>
      </c>
      <c r="H18" s="37"/>
      <c r="I18" s="39"/>
      <c r="J18" s="42"/>
      <c r="K18" s="37">
        <f t="shared" si="80"/>
        <v>0</v>
      </c>
      <c r="L18" s="250">
        <v>17856000</v>
      </c>
      <c r="M18" s="40"/>
      <c r="N18" s="37">
        <f t="shared" si="81"/>
        <v>380000</v>
      </c>
      <c r="O18" s="250">
        <v>12972.6</v>
      </c>
      <c r="P18" s="37"/>
      <c r="Q18" s="37">
        <f t="shared" ref="Q18" si="108">IF((O18-O17)&lt;=0,0,(O18-O17))*1000</f>
        <v>11600.000000000364</v>
      </c>
      <c r="R18" s="37">
        <f t="shared" ref="R18" si="109">IF(Q18&lt;=0,0,(Q18/SQRT(Q18^2+(P18-P17)^2)))</f>
        <v>1</v>
      </c>
      <c r="S18" s="250">
        <v>11268762.949999999</v>
      </c>
      <c r="T18" s="37">
        <f t="shared" ref="T18" si="110">IF((S18-S17)&lt;=0,0,(S18-S17))</f>
        <v>0</v>
      </c>
      <c r="U18" s="250">
        <v>1523790.61</v>
      </c>
      <c r="V18" s="37">
        <f>IF((U18-U17)&lt;=0,0,(U18-U17))</f>
        <v>0</v>
      </c>
      <c r="W18" s="250">
        <v>4647.5</v>
      </c>
      <c r="X18" s="37">
        <f t="shared" si="95"/>
        <v>5260.0000000003638</v>
      </c>
      <c r="Y18" s="183"/>
      <c r="Z18" s="183"/>
      <c r="AA18" s="250">
        <v>827800</v>
      </c>
      <c r="AB18" s="37">
        <f t="shared" si="8"/>
        <v>6340</v>
      </c>
      <c r="AC18" s="250">
        <v>4811.1000000000004</v>
      </c>
      <c r="AD18" s="37"/>
      <c r="AE18" s="37">
        <f t="shared" si="9"/>
        <v>5400.0000000005457</v>
      </c>
      <c r="AF18" s="37">
        <f t="shared" si="83"/>
        <v>1</v>
      </c>
      <c r="AG18" s="250">
        <v>10447.700000000001</v>
      </c>
      <c r="AH18" s="37"/>
      <c r="AI18" s="37">
        <f t="shared" si="10"/>
        <v>13579.480000000727</v>
      </c>
      <c r="AJ18" s="37">
        <f t="shared" si="11"/>
        <v>1</v>
      </c>
      <c r="AK18" s="37">
        <f t="shared" si="12"/>
        <v>24239.480000001637</v>
      </c>
      <c r="AL18" s="250">
        <v>12121.9</v>
      </c>
      <c r="AM18" s="66"/>
      <c r="AN18" s="37">
        <f>IF((AL18-AL17)&lt;=0,0,(AL18-AL17))*1000+GX18-BL18-BN18-BP18-BR18</f>
        <v>8149.4799999997822</v>
      </c>
      <c r="AO18" s="37">
        <f t="shared" si="84"/>
        <v>1</v>
      </c>
      <c r="AP18" s="250">
        <v>9559.5</v>
      </c>
      <c r="AQ18" s="37"/>
      <c r="AR18" s="37">
        <f t="shared" si="13"/>
        <v>13299.999999999272</v>
      </c>
      <c r="AS18" s="37">
        <f t="shared" si="85"/>
        <v>1</v>
      </c>
      <c r="AT18" s="183"/>
      <c r="AU18" s="183"/>
      <c r="AV18" s="183"/>
      <c r="AW18" s="183"/>
      <c r="AX18" s="250">
        <v>529720</v>
      </c>
      <c r="AY18" s="37"/>
      <c r="AZ18" s="37">
        <f t="shared" si="14"/>
        <v>520</v>
      </c>
      <c r="BA18" s="250">
        <v>215960</v>
      </c>
      <c r="BB18" s="37"/>
      <c r="BC18" s="37">
        <f t="shared" si="15"/>
        <v>660</v>
      </c>
      <c r="BD18" s="37">
        <f t="shared" si="86"/>
        <v>22629.479999999054</v>
      </c>
      <c r="BE18" s="250">
        <v>2099.1999999999998</v>
      </c>
      <c r="BF18" s="250">
        <v>1180.5999999999999</v>
      </c>
      <c r="BG18" s="37">
        <f t="shared" si="16"/>
        <v>1500</v>
      </c>
      <c r="BH18" s="250">
        <v>9928.9</v>
      </c>
      <c r="BI18" s="250">
        <v>6413.7</v>
      </c>
      <c r="BJ18" s="37">
        <f t="shared" si="17"/>
        <v>8899.9999999996362</v>
      </c>
      <c r="BK18" s="250">
        <v>2029620</v>
      </c>
      <c r="BL18" s="40">
        <f t="shared" si="87"/>
        <v>4220</v>
      </c>
      <c r="BM18" s="250">
        <v>944.67</v>
      </c>
      <c r="BN18" s="37">
        <f t="shared" si="18"/>
        <v>679.99999999994998</v>
      </c>
      <c r="BO18" s="186"/>
      <c r="BP18" s="183">
        <f t="shared" si="19"/>
        <v>0</v>
      </c>
      <c r="BQ18" s="250">
        <v>890.8</v>
      </c>
      <c r="BR18" s="37">
        <f t="shared" si="61"/>
        <v>729.9999999999045</v>
      </c>
      <c r="BS18" s="250">
        <v>121415.47</v>
      </c>
      <c r="BT18" s="37">
        <f t="shared" si="20"/>
        <v>206.80999999999767</v>
      </c>
      <c r="BU18" s="250">
        <v>3634711</v>
      </c>
      <c r="BV18" s="42"/>
      <c r="BW18" s="37">
        <f t="shared" si="21"/>
        <v>6511</v>
      </c>
      <c r="BX18" s="37">
        <f t="shared" si="88"/>
        <v>1</v>
      </c>
      <c r="BY18" s="250">
        <v>419.83510000000001</v>
      </c>
      <c r="BZ18" s="43"/>
      <c r="CA18" s="37">
        <f>IF((BY18-BY17)&lt;=0,0,(BY18-BY17)*1000)</f>
        <v>665.09999999999536</v>
      </c>
      <c r="CB18" s="37">
        <f t="shared" si="62"/>
        <v>1</v>
      </c>
      <c r="CC18" s="250">
        <v>822797.5</v>
      </c>
      <c r="CD18" s="37">
        <f t="shared" si="23"/>
        <v>1437.5</v>
      </c>
      <c r="CE18" s="250">
        <v>1816595</v>
      </c>
      <c r="CF18" s="37">
        <f t="shared" si="24"/>
        <v>4695</v>
      </c>
      <c r="CG18" s="250">
        <v>122633</v>
      </c>
      <c r="CH18" s="37">
        <f t="shared" si="63"/>
        <v>0</v>
      </c>
      <c r="CI18" s="250">
        <v>14580.75</v>
      </c>
      <c r="CJ18" s="40"/>
      <c r="CK18" s="37">
        <f t="shared" si="64"/>
        <v>15964.380000000005</v>
      </c>
      <c r="CL18" s="37">
        <f t="shared" si="25"/>
        <v>1</v>
      </c>
      <c r="CM18" s="250">
        <v>4324.3670000000002</v>
      </c>
      <c r="CN18" s="37"/>
      <c r="CO18" s="37">
        <f t="shared" si="26"/>
        <v>8746.4800000001887</v>
      </c>
      <c r="CP18" s="37">
        <f t="shared" si="89"/>
        <v>1</v>
      </c>
      <c r="CQ18" s="250">
        <v>856688.3</v>
      </c>
      <c r="CR18" s="39"/>
      <c r="CS18" s="37">
        <f t="shared" si="65"/>
        <v>6927.7800000000461</v>
      </c>
      <c r="CT18" s="37">
        <f t="shared" si="66"/>
        <v>1</v>
      </c>
      <c r="CU18" s="250">
        <v>4645723</v>
      </c>
      <c r="CV18" s="37"/>
      <c r="CW18" s="38">
        <f t="shared" si="27"/>
        <v>16723</v>
      </c>
      <c r="CX18" s="37">
        <f t="shared" si="90"/>
        <v>1</v>
      </c>
      <c r="CY18" s="250">
        <v>2486417</v>
      </c>
      <c r="CZ18" s="37"/>
      <c r="DA18" s="37">
        <f t="shared" si="28"/>
        <v>9217</v>
      </c>
      <c r="DB18" s="37">
        <f t="shared" si="91"/>
        <v>1</v>
      </c>
      <c r="DC18" s="37"/>
      <c r="DD18" s="40"/>
      <c r="DE18" s="37">
        <f>IF((DC18-DC17)&lt;=0,0,(DC18-DC17))</f>
        <v>0</v>
      </c>
      <c r="DF18" s="37">
        <f t="shared" si="96"/>
        <v>0</v>
      </c>
      <c r="DG18" s="37">
        <f t="shared" si="30"/>
        <v>-64089.640000000232</v>
      </c>
      <c r="DH18" s="37">
        <f t="shared" si="31"/>
        <v>405739.48000000161</v>
      </c>
      <c r="DI18" s="46"/>
      <c r="DJ18" s="46"/>
      <c r="DK18" s="46"/>
      <c r="DL18" s="47"/>
      <c r="DM18" s="37"/>
      <c r="DN18" s="37"/>
      <c r="DO18" s="37"/>
      <c r="DP18" s="37"/>
      <c r="DQ18" s="250">
        <v>4558200</v>
      </c>
      <c r="DR18" s="49">
        <f t="shared" si="67"/>
        <v>10200</v>
      </c>
      <c r="DS18" s="250">
        <v>6054600</v>
      </c>
      <c r="DT18" s="49">
        <f t="shared" si="68"/>
        <v>26700</v>
      </c>
      <c r="DU18" s="250">
        <v>8455.7999999999993</v>
      </c>
      <c r="DV18" s="250">
        <v>4762.7</v>
      </c>
      <c r="DW18" s="37">
        <f t="shared" si="92"/>
        <v>4299.9999999992724</v>
      </c>
      <c r="DX18" s="250">
        <v>13999</v>
      </c>
      <c r="DY18" s="250">
        <v>8766.4</v>
      </c>
      <c r="DZ18" s="37">
        <f t="shared" si="32"/>
        <v>7879.48</v>
      </c>
      <c r="EA18" s="250">
        <v>32499</v>
      </c>
      <c r="EB18" s="250">
        <v>22.202999999999999</v>
      </c>
      <c r="EC18" s="37">
        <f t="shared" si="33"/>
        <v>25039.48</v>
      </c>
      <c r="ED18" s="53">
        <f t="shared" si="34"/>
        <v>37218.959999999272</v>
      </c>
      <c r="EE18" s="250">
        <v>48395</v>
      </c>
      <c r="EF18" s="250">
        <v>31.899000000000001</v>
      </c>
      <c r="EG18" s="37">
        <f t="shared" si="35"/>
        <v>26039.48</v>
      </c>
      <c r="EH18" s="250">
        <v>14330</v>
      </c>
      <c r="EI18" s="250">
        <v>2.1110000000000002</v>
      </c>
      <c r="EJ18" s="37">
        <f t="shared" si="36"/>
        <v>10879.48</v>
      </c>
      <c r="EK18" s="250">
        <v>872.55</v>
      </c>
      <c r="EL18" s="250">
        <v>1250</v>
      </c>
      <c r="EM18" s="37">
        <f t="shared" si="69"/>
        <v>659.99999999996817</v>
      </c>
      <c r="EN18" s="54">
        <f t="shared" si="70"/>
        <v>37578.95999999997</v>
      </c>
      <c r="EO18" s="250">
        <v>13827</v>
      </c>
      <c r="EP18" s="48"/>
      <c r="EQ18" s="37">
        <f t="shared" si="97"/>
        <v>6069.4799999999977</v>
      </c>
      <c r="ER18" s="250">
        <v>11140</v>
      </c>
      <c r="ES18" s="48"/>
      <c r="ET18" s="49">
        <f t="shared" si="106"/>
        <v>16000</v>
      </c>
      <c r="EU18" s="250">
        <v>4621.5</v>
      </c>
      <c r="EV18" s="48"/>
      <c r="EW18" s="49">
        <f t="shared" si="38"/>
        <v>11379.48</v>
      </c>
      <c r="EX18" s="250">
        <v>14747</v>
      </c>
      <c r="EY18" s="48"/>
      <c r="EZ18" s="37">
        <f t="shared" si="39"/>
        <v>10879.48</v>
      </c>
      <c r="FA18" s="48">
        <f t="shared" si="71"/>
        <v>-21892.439999999995</v>
      </c>
      <c r="FB18" s="250">
        <v>38998121</v>
      </c>
      <c r="FC18" s="49">
        <f>IF((FB18-FB17)&lt;=0,0,(FB18-FB17))</f>
        <v>22436</v>
      </c>
      <c r="FD18" s="48">
        <f t="shared" si="72"/>
        <v>46126.439999999988</v>
      </c>
      <c r="FE18" s="250">
        <v>18016</v>
      </c>
      <c r="FF18" s="48"/>
      <c r="FG18" s="37">
        <f t="shared" si="73"/>
        <v>11689.480000000001</v>
      </c>
      <c r="FH18" s="250">
        <v>10650</v>
      </c>
      <c r="FI18" s="48"/>
      <c r="FJ18" s="49">
        <f t="shared" si="40"/>
        <v>13879.48</v>
      </c>
      <c r="FK18" s="48"/>
      <c r="FL18" s="58"/>
      <c r="FM18" s="48">
        <f>FT18/3</f>
        <v>-2149.4800000000009</v>
      </c>
      <c r="FN18" s="250">
        <v>17919</v>
      </c>
      <c r="FO18" s="48"/>
      <c r="FP18" s="37">
        <f t="shared" si="74"/>
        <v>9879.48</v>
      </c>
      <c r="FQ18" s="250">
        <v>63042</v>
      </c>
      <c r="FR18" s="48"/>
      <c r="FS18" s="37">
        <f>IF((FQ18-FQ17)*1000&lt;=0,0,(FQ18-FQ17)*1000)</f>
        <v>29000</v>
      </c>
      <c r="FT18" s="48">
        <f t="shared" si="75"/>
        <v>-6448.4400000000023</v>
      </c>
      <c r="FU18" s="48">
        <f t="shared" si="76"/>
        <v>35948.44</v>
      </c>
      <c r="FV18" s="250">
        <v>7039900</v>
      </c>
      <c r="FW18" s="44"/>
      <c r="FX18" s="37">
        <f t="shared" si="42"/>
        <v>10000</v>
      </c>
      <c r="FY18" s="250">
        <v>183450</v>
      </c>
      <c r="FZ18" s="56"/>
      <c r="GA18" s="37">
        <f t="shared" si="43"/>
        <v>2590</v>
      </c>
      <c r="GB18" s="250">
        <v>899.15</v>
      </c>
      <c r="GC18" s="56"/>
      <c r="GD18" s="37">
        <f t="shared" si="44"/>
        <v>480.00000000001819</v>
      </c>
      <c r="GE18" s="250">
        <v>11062</v>
      </c>
      <c r="GF18" s="56"/>
      <c r="GG18" s="37">
        <f t="shared" si="45"/>
        <v>2702</v>
      </c>
      <c r="GH18" s="250">
        <v>85940</v>
      </c>
      <c r="GI18" s="162"/>
      <c r="GJ18" s="38">
        <f t="shared" si="77"/>
        <v>1798</v>
      </c>
      <c r="GK18" s="250">
        <v>1533.9</v>
      </c>
      <c r="GL18" s="163"/>
      <c r="GM18" s="38">
        <f t="shared" si="46"/>
        <v>500</v>
      </c>
      <c r="GN18" s="250">
        <v>244120</v>
      </c>
      <c r="GO18" s="57"/>
      <c r="GP18" s="38">
        <f t="shared" si="98"/>
        <v>10</v>
      </c>
      <c r="GQ18" s="250">
        <v>302010</v>
      </c>
      <c r="GR18" s="38"/>
      <c r="GS18" s="38">
        <f t="shared" si="78"/>
        <v>130</v>
      </c>
      <c r="GT18" s="247"/>
      <c r="GU18" s="144">
        <f>DailySep!B17-DailySep!N17-DailySep!V17-DailySep!Y17-DailySep!Z17-DailySep!AA17-DailySep!AB17-DailySep!AC17-DailySep!AD17-DailySep!AE17-DailySep!AK17-DailySep!AO17-DailySep!AS17-DailySep!AY17-DailySep!BD17+DailySep!BU17-DailySep!BG17-DailySep!BT17-DailySep!AF17-DailySep!AG17</f>
        <v>-4.2346073314547539E-9</v>
      </c>
      <c r="GV18" s="261">
        <v>13192.2</v>
      </c>
      <c r="GW18" s="60">
        <f t="shared" si="48"/>
        <v>879.48</v>
      </c>
      <c r="GX18" s="260">
        <v>879.48</v>
      </c>
      <c r="GY18" s="140"/>
      <c r="GZ18" s="528"/>
      <c r="HA18" s="528"/>
      <c r="HB18" s="528"/>
      <c r="HC18" s="528"/>
      <c r="HD18" s="74"/>
      <c r="HE18" s="24">
        <f t="shared" si="49"/>
        <v>0</v>
      </c>
      <c r="HF18" s="255"/>
      <c r="HG18" s="279">
        <v>12</v>
      </c>
      <c r="HH18" s="292">
        <v>26675</v>
      </c>
      <c r="HI18" s="292">
        <v>10152</v>
      </c>
      <c r="HJ18" s="61">
        <f t="shared" si="50"/>
        <v>152000</v>
      </c>
      <c r="HK18" s="260">
        <v>2.1432000000000002</v>
      </c>
      <c r="HL18" s="292">
        <v>807.23</v>
      </c>
      <c r="HM18" s="61">
        <f t="shared" si="107"/>
        <v>0</v>
      </c>
      <c r="HN18" s="292">
        <v>6788.8</v>
      </c>
      <c r="HO18" s="292">
        <v>2898.8</v>
      </c>
      <c r="HP18" s="61">
        <f t="shared" si="52"/>
        <v>36675.000000000364</v>
      </c>
      <c r="HQ18" s="292">
        <v>4746.5</v>
      </c>
      <c r="HR18" s="292">
        <v>2004.4</v>
      </c>
      <c r="HS18" s="61">
        <f t="shared" si="53"/>
        <v>25474.999999999636</v>
      </c>
      <c r="HT18" s="292">
        <v>4680.1000000000004</v>
      </c>
      <c r="HU18" s="292">
        <v>1693.7</v>
      </c>
      <c r="HV18" s="61">
        <f t="shared" si="54"/>
        <v>26975.000000000546</v>
      </c>
      <c r="HW18" s="292">
        <v>3365</v>
      </c>
      <c r="HX18" s="292">
        <v>1442.7</v>
      </c>
      <c r="HY18" s="61">
        <f t="shared" si="55"/>
        <v>23975.000000000091</v>
      </c>
      <c r="HZ18" s="260">
        <v>2580200</v>
      </c>
      <c r="IA18" s="260">
        <v>11237</v>
      </c>
      <c r="IB18" s="61">
        <f t="shared" si="56"/>
        <v>12200</v>
      </c>
      <c r="IC18" s="292">
        <v>719.8</v>
      </c>
      <c r="ID18" s="292">
        <v>232.78</v>
      </c>
      <c r="IE18" s="61">
        <f t="shared" si="79"/>
        <v>0</v>
      </c>
      <c r="IF18" s="61"/>
      <c r="IG18" s="61"/>
      <c r="IH18" s="280">
        <f t="shared" si="57"/>
        <v>26700</v>
      </c>
      <c r="II18" s="281">
        <f t="shared" si="58"/>
        <v>-6.2573235481977463E-10</v>
      </c>
      <c r="IJ18" s="245"/>
      <c r="IK18" s="245"/>
      <c r="IL18" s="245"/>
      <c r="IM18" s="245"/>
      <c r="IN18" s="245"/>
      <c r="IO18" s="245"/>
      <c r="IP18" s="245"/>
      <c r="IQ18" s="245"/>
      <c r="IR18" s="245"/>
      <c r="IS18" s="245"/>
      <c r="IT18" s="245"/>
      <c r="IU18" s="245"/>
      <c r="IV18" s="245"/>
      <c r="IW18" s="245"/>
      <c r="IX18" s="245"/>
      <c r="IY18" s="245"/>
      <c r="IZ18" s="245"/>
      <c r="JA18" s="245"/>
      <c r="JB18" s="245"/>
      <c r="JC18" s="245"/>
      <c r="JD18" s="245"/>
      <c r="JE18" s="245"/>
      <c r="JF18" s="245"/>
      <c r="JG18" s="245"/>
      <c r="JH18" s="245"/>
      <c r="JI18" s="245"/>
      <c r="JJ18" s="245"/>
      <c r="JK18" s="245"/>
      <c r="JL18" s="245"/>
      <c r="JM18" s="245"/>
      <c r="JN18" s="245"/>
      <c r="JO18" s="245"/>
      <c r="JP18" s="245"/>
      <c r="JQ18" s="245"/>
      <c r="JR18" s="245"/>
      <c r="JS18" s="245"/>
      <c r="JT18" s="245"/>
      <c r="JU18" s="245"/>
      <c r="JV18" s="245"/>
      <c r="JW18" s="245"/>
      <c r="JX18" s="245"/>
      <c r="JY18" s="245"/>
      <c r="JZ18" s="245"/>
      <c r="KA18" s="245"/>
      <c r="KB18" s="245"/>
      <c r="KC18" s="245"/>
      <c r="KD18" s="245"/>
      <c r="KE18" s="245"/>
      <c r="KG18" s="151">
        <f t="shared" si="59"/>
        <v>48874.999999999738</v>
      </c>
    </row>
    <row r="19" spans="1:293" x14ac:dyDescent="0.25">
      <c r="A19" s="35">
        <f t="shared" si="0"/>
        <v>13</v>
      </c>
      <c r="B19" s="250">
        <v>5538.8</v>
      </c>
      <c r="C19" s="38">
        <f t="shared" si="1"/>
        <v>10.210000000000036</v>
      </c>
      <c r="D19" s="38">
        <f t="shared" si="2"/>
        <v>326720.00000000116</v>
      </c>
      <c r="E19" s="250">
        <v>1112.5899999999999</v>
      </c>
      <c r="F19" s="38">
        <f t="shared" si="3"/>
        <v>62079.99999999447</v>
      </c>
      <c r="G19" s="38">
        <f t="shared" si="4"/>
        <v>388799.99999999563</v>
      </c>
      <c r="H19" s="37"/>
      <c r="I19" s="39"/>
      <c r="J19" s="42"/>
      <c r="K19" s="37">
        <f t="shared" si="80"/>
        <v>0</v>
      </c>
      <c r="L19" s="250">
        <v>17894600</v>
      </c>
      <c r="M19" s="40"/>
      <c r="N19" s="37">
        <f t="shared" si="81"/>
        <v>386000</v>
      </c>
      <c r="O19" s="250">
        <v>12986.7</v>
      </c>
      <c r="P19" s="37"/>
      <c r="Q19" s="37">
        <f t="shared" si="5"/>
        <v>14100.000000000364</v>
      </c>
      <c r="R19" s="37">
        <f t="shared" si="82"/>
        <v>1</v>
      </c>
      <c r="S19" s="250">
        <v>11268762.949999999</v>
      </c>
      <c r="T19" s="37">
        <f t="shared" si="6"/>
        <v>0</v>
      </c>
      <c r="U19" s="250">
        <v>1523790.61</v>
      </c>
      <c r="V19" s="37">
        <f t="shared" si="7"/>
        <v>0</v>
      </c>
      <c r="W19" s="250">
        <v>4653.6000000000004</v>
      </c>
      <c r="X19" s="37">
        <f t="shared" si="95"/>
        <v>7600.0000000003638</v>
      </c>
      <c r="Y19" s="183"/>
      <c r="Z19" s="183"/>
      <c r="AA19" s="250">
        <v>834300</v>
      </c>
      <c r="AB19" s="37">
        <f t="shared" si="8"/>
        <v>6500</v>
      </c>
      <c r="AC19" s="250">
        <v>4816.2</v>
      </c>
      <c r="AD19" s="37"/>
      <c r="AE19" s="37">
        <f t="shared" si="9"/>
        <v>5099.9999999994543</v>
      </c>
      <c r="AF19" s="37">
        <f t="shared" si="83"/>
        <v>1</v>
      </c>
      <c r="AG19" s="250">
        <v>10460.299999999999</v>
      </c>
      <c r="AH19" s="67"/>
      <c r="AI19" s="37">
        <f t="shared" si="10"/>
        <v>12655.299999998544</v>
      </c>
      <c r="AJ19" s="37">
        <f t="shared" si="11"/>
        <v>1</v>
      </c>
      <c r="AK19" s="37">
        <f t="shared" si="12"/>
        <v>25355.299999998362</v>
      </c>
      <c r="AL19" s="250">
        <v>12134.6</v>
      </c>
      <c r="AM19" s="66"/>
      <c r="AN19" s="37">
        <f t="shared" si="60"/>
        <v>7135.3000000005859</v>
      </c>
      <c r="AO19" s="37">
        <f t="shared" si="84"/>
        <v>1</v>
      </c>
      <c r="AP19" s="250">
        <v>9573.6</v>
      </c>
      <c r="AQ19" s="37"/>
      <c r="AR19" s="37">
        <f t="shared" si="13"/>
        <v>14100.000000000364</v>
      </c>
      <c r="AS19" s="37">
        <f t="shared" si="85"/>
        <v>1</v>
      </c>
      <c r="AT19" s="183"/>
      <c r="AU19" s="183"/>
      <c r="AV19" s="183"/>
      <c r="AW19" s="183"/>
      <c r="AX19" s="250">
        <v>530150</v>
      </c>
      <c r="AY19" s="37"/>
      <c r="AZ19" s="37">
        <f t="shared" si="14"/>
        <v>430</v>
      </c>
      <c r="BA19" s="250">
        <v>216670</v>
      </c>
      <c r="BB19" s="37"/>
      <c r="BC19" s="37">
        <f t="shared" si="15"/>
        <v>710</v>
      </c>
      <c r="BD19" s="37">
        <f>AN19+AR19+AZ19+BC19</f>
        <v>22375.300000000949</v>
      </c>
      <c r="BE19" s="250">
        <v>2100.6999999999998</v>
      </c>
      <c r="BF19" s="250">
        <v>1181.5999999999999</v>
      </c>
      <c r="BG19" s="37">
        <f t="shared" si="16"/>
        <v>1500</v>
      </c>
      <c r="BH19" s="250">
        <v>9937.9</v>
      </c>
      <c r="BI19" s="250">
        <v>6419.8</v>
      </c>
      <c r="BJ19" s="37">
        <f t="shared" si="17"/>
        <v>9000</v>
      </c>
      <c r="BK19" s="250">
        <v>2033770</v>
      </c>
      <c r="BL19" s="40">
        <f t="shared" si="87"/>
        <v>4150</v>
      </c>
      <c r="BM19" s="250">
        <v>945.34</v>
      </c>
      <c r="BN19" s="37">
        <f t="shared" si="18"/>
        <v>670.00000000007276</v>
      </c>
      <c r="BO19" s="186"/>
      <c r="BP19" s="183">
        <f t="shared" si="19"/>
        <v>0</v>
      </c>
      <c r="BQ19" s="250">
        <v>891.6</v>
      </c>
      <c r="BR19" s="37">
        <f t="shared" si="61"/>
        <v>800.00000000006821</v>
      </c>
      <c r="BS19" s="250">
        <v>121640.33</v>
      </c>
      <c r="BT19" s="37">
        <f t="shared" si="20"/>
        <v>224.86000000000058</v>
      </c>
      <c r="BU19" s="250">
        <v>3641677</v>
      </c>
      <c r="BV19" s="42"/>
      <c r="BW19" s="37">
        <f t="shared" si="21"/>
        <v>6966</v>
      </c>
      <c r="BX19" s="37">
        <f t="shared" si="88"/>
        <v>1</v>
      </c>
      <c r="BY19" s="250">
        <v>420.43099999999998</v>
      </c>
      <c r="BZ19" s="43"/>
      <c r="CA19" s="37">
        <f>IF((BY19-BY18)&lt;=0,0,(BY19-BY18)*1000)</f>
        <v>595.8999999999719</v>
      </c>
      <c r="CB19" s="37">
        <f t="shared" si="62"/>
        <v>1</v>
      </c>
      <c r="CC19" s="250">
        <v>824411.7</v>
      </c>
      <c r="CD19" s="37">
        <f t="shared" si="23"/>
        <v>1614.1999999999534</v>
      </c>
      <c r="CE19" s="250">
        <v>1821556</v>
      </c>
      <c r="CF19" s="37">
        <f t="shared" si="24"/>
        <v>4961</v>
      </c>
      <c r="CG19" s="250">
        <v>122633</v>
      </c>
      <c r="CH19" s="37">
        <f t="shared" si="63"/>
        <v>0</v>
      </c>
      <c r="CI19" s="250">
        <v>14596.59</v>
      </c>
      <c r="CJ19" s="40"/>
      <c r="CK19" s="37">
        <f t="shared" si="64"/>
        <v>15299.400000000172</v>
      </c>
      <c r="CL19" s="37">
        <f t="shared" si="25"/>
        <v>1</v>
      </c>
      <c r="CM19" s="250">
        <v>4332.5010000000002</v>
      </c>
      <c r="CN19" s="37"/>
      <c r="CO19" s="37">
        <f t="shared" si="26"/>
        <v>8189.3000000000147</v>
      </c>
      <c r="CP19" s="37">
        <f t="shared" si="89"/>
        <v>1</v>
      </c>
      <c r="CQ19" s="250">
        <v>862928.6</v>
      </c>
      <c r="CR19" s="39"/>
      <c r="CS19" s="37">
        <f t="shared" si="65"/>
        <v>6295.5999999999303</v>
      </c>
      <c r="CT19" s="37">
        <f t="shared" si="66"/>
        <v>1</v>
      </c>
      <c r="CU19" s="250">
        <v>4660873</v>
      </c>
      <c r="CV19" s="37"/>
      <c r="CW19" s="38">
        <f t="shared" si="27"/>
        <v>15150</v>
      </c>
      <c r="CX19" s="37">
        <f t="shared" si="90"/>
        <v>1</v>
      </c>
      <c r="CY19" s="250">
        <v>2494808</v>
      </c>
      <c r="CZ19" s="37"/>
      <c r="DA19" s="37">
        <f t="shared" si="28"/>
        <v>8391</v>
      </c>
      <c r="DB19" s="37">
        <f t="shared" si="91"/>
        <v>1</v>
      </c>
      <c r="DC19" s="37"/>
      <c r="DD19" s="40"/>
      <c r="DE19" s="37">
        <f t="shared" si="29"/>
        <v>0</v>
      </c>
      <c r="DF19" s="37">
        <f t="shared" si="96"/>
        <v>0</v>
      </c>
      <c r="DG19" s="37">
        <f t="shared" si="30"/>
        <v>-60291.300000000119</v>
      </c>
      <c r="DH19" s="37">
        <f t="shared" si="31"/>
        <v>412855.29999999836</v>
      </c>
      <c r="DI19" s="46"/>
      <c r="DJ19" s="46"/>
      <c r="DK19" s="47"/>
      <c r="DL19" s="47"/>
      <c r="DM19" s="37"/>
      <c r="DN19" s="37"/>
      <c r="DO19" s="37"/>
      <c r="DP19" s="37"/>
      <c r="DQ19" s="250">
        <v>4568000</v>
      </c>
      <c r="DR19" s="49">
        <f t="shared" si="67"/>
        <v>9800</v>
      </c>
      <c r="DS19" s="250">
        <v>6077800</v>
      </c>
      <c r="DT19" s="49">
        <f t="shared" si="68"/>
        <v>23200</v>
      </c>
      <c r="DU19" s="250">
        <v>8460.4</v>
      </c>
      <c r="DV19" s="250">
        <v>4764</v>
      </c>
      <c r="DW19" s="37">
        <f t="shared" si="92"/>
        <v>4600.0000000003638</v>
      </c>
      <c r="DX19" s="250">
        <v>14007</v>
      </c>
      <c r="DY19" s="250">
        <v>8771.5</v>
      </c>
      <c r="DZ19" s="37">
        <f t="shared" si="32"/>
        <v>8055.3</v>
      </c>
      <c r="EA19" s="250">
        <v>32524</v>
      </c>
      <c r="EB19" s="250">
        <v>22.215</v>
      </c>
      <c r="EC19" s="37">
        <f t="shared" si="33"/>
        <v>27215.3</v>
      </c>
      <c r="ED19" s="53">
        <f t="shared" si="34"/>
        <v>39870.600000000362</v>
      </c>
      <c r="EE19" s="250">
        <v>48425</v>
      </c>
      <c r="EF19" s="250">
        <v>31.920999999999999</v>
      </c>
      <c r="EG19" s="37">
        <f t="shared" si="35"/>
        <v>32215.3</v>
      </c>
      <c r="EH19" s="250">
        <v>14340</v>
      </c>
      <c r="EI19" s="250">
        <v>2.1137000000000001</v>
      </c>
      <c r="EJ19" s="37">
        <f t="shared" si="36"/>
        <v>10055.299999999999</v>
      </c>
      <c r="EK19" s="250">
        <v>873.3</v>
      </c>
      <c r="EL19" s="250">
        <v>1251.0999999999999</v>
      </c>
      <c r="EM19" s="37">
        <f t="shared" si="69"/>
        <v>750</v>
      </c>
      <c r="EN19" s="54">
        <f t="shared" si="70"/>
        <v>43020.6</v>
      </c>
      <c r="EO19" s="250">
        <v>13837</v>
      </c>
      <c r="EP19" s="48"/>
      <c r="EQ19" s="37">
        <f t="shared" si="97"/>
        <v>8590.3000000000247</v>
      </c>
      <c r="ER19" s="250">
        <v>11158</v>
      </c>
      <c r="ES19" s="48"/>
      <c r="ET19" s="49">
        <f t="shared" si="106"/>
        <v>18000</v>
      </c>
      <c r="EU19" s="250">
        <v>4632</v>
      </c>
      <c r="EV19" s="48"/>
      <c r="EW19" s="49">
        <f t="shared" si="38"/>
        <v>10555.3</v>
      </c>
      <c r="EX19" s="250">
        <v>14759</v>
      </c>
      <c r="EY19" s="48"/>
      <c r="EZ19" s="37">
        <f t="shared" si="39"/>
        <v>12055.3</v>
      </c>
      <c r="FA19" s="48">
        <f t="shared" si="71"/>
        <v>-23265.900000000023</v>
      </c>
      <c r="FB19" s="250">
        <v>39024056</v>
      </c>
      <c r="FC19" s="49">
        <f t="shared" si="93"/>
        <v>25935</v>
      </c>
      <c r="FD19" s="48">
        <f t="shared" si="72"/>
        <v>51068.900000000023</v>
      </c>
      <c r="FE19" s="250">
        <v>18024</v>
      </c>
      <c r="FF19" s="48"/>
      <c r="FG19" s="37">
        <f t="shared" si="73"/>
        <v>9520.2999999999756</v>
      </c>
      <c r="FH19" s="250">
        <v>10665</v>
      </c>
      <c r="FI19" s="48"/>
      <c r="FJ19" s="49">
        <f t="shared" si="40"/>
        <v>15055.3</v>
      </c>
      <c r="FK19" s="48"/>
      <c r="FL19" s="58"/>
      <c r="FM19" s="48">
        <f t="shared" si="94"/>
        <v>-210.29999999999077</v>
      </c>
      <c r="FN19" s="250">
        <v>17929</v>
      </c>
      <c r="FO19" s="48"/>
      <c r="FP19" s="37">
        <f t="shared" si="74"/>
        <v>10055.299999999999</v>
      </c>
      <c r="FQ19" s="250">
        <v>63076</v>
      </c>
      <c r="FR19" s="48"/>
      <c r="FS19" s="37">
        <f t="shared" si="41"/>
        <v>34000</v>
      </c>
      <c r="FT19" s="48">
        <f t="shared" si="75"/>
        <v>-630.89999999997235</v>
      </c>
      <c r="FU19" s="48">
        <f t="shared" si="76"/>
        <v>34630.89999999998</v>
      </c>
      <c r="FV19" s="250">
        <v>7056900</v>
      </c>
      <c r="FW19" s="44"/>
      <c r="FX19" s="37">
        <f t="shared" si="42"/>
        <v>17000</v>
      </c>
      <c r="FY19" s="250">
        <v>187730</v>
      </c>
      <c r="FZ19" s="63"/>
      <c r="GA19" s="37">
        <f t="shared" si="43"/>
        <v>4280</v>
      </c>
      <c r="GB19" s="250">
        <v>899.8</v>
      </c>
      <c r="GC19" s="56"/>
      <c r="GD19" s="37">
        <f t="shared" si="44"/>
        <v>649.99999999997726</v>
      </c>
      <c r="GE19" s="250">
        <v>11069</v>
      </c>
      <c r="GF19" s="56"/>
      <c r="GG19" s="37">
        <f t="shared" si="45"/>
        <v>5132</v>
      </c>
      <c r="GH19" s="250">
        <v>87808</v>
      </c>
      <c r="GI19" s="162"/>
      <c r="GJ19" s="38">
        <f t="shared" si="77"/>
        <v>1868</v>
      </c>
      <c r="GK19" s="250">
        <v>1533.9</v>
      </c>
      <c r="GL19" s="163"/>
      <c r="GM19" s="38">
        <f t="shared" si="46"/>
        <v>0</v>
      </c>
      <c r="GN19" s="250">
        <v>244120</v>
      </c>
      <c r="GO19" s="57"/>
      <c r="GP19" s="38">
        <f t="shared" si="98"/>
        <v>0</v>
      </c>
      <c r="GQ19" s="250">
        <v>302160</v>
      </c>
      <c r="GR19" s="38"/>
      <c r="GS19" s="38">
        <f t="shared" si="78"/>
        <v>150</v>
      </c>
      <c r="GT19" s="247"/>
      <c r="GU19" s="144">
        <f>DailySep!B18-DailySep!N18-DailySep!V18-DailySep!Y18-DailySep!Z18-DailySep!AA18-DailySep!AB18-DailySep!AC18-DailySep!AD18-DailySep!AE18-DailySep!AK18-DailySep!AO18-DailySep!AS18-DailySep!AY18-DailySep!BD18+DailySep!BU18-DailySep!BG18-DailySep!BT18-DailySep!AF18-DailySep!AG18</f>
        <v>-4.2055035009980202E-9</v>
      </c>
      <c r="GV19" s="261">
        <v>829.5</v>
      </c>
      <c r="GW19" s="60">
        <f t="shared" si="48"/>
        <v>55.3</v>
      </c>
      <c r="GX19" s="260">
        <v>55.3</v>
      </c>
      <c r="GY19" s="140"/>
      <c r="GZ19" s="528"/>
      <c r="HA19" s="528"/>
      <c r="HB19" s="528"/>
      <c r="HC19" s="528"/>
      <c r="HD19" s="74"/>
      <c r="HE19" s="24">
        <f t="shared" si="49"/>
        <v>0</v>
      </c>
      <c r="HF19" s="255"/>
      <c r="HG19" s="279">
        <v>13</v>
      </c>
      <c r="HH19" s="292">
        <v>26819</v>
      </c>
      <c r="HI19" s="292">
        <v>10208</v>
      </c>
      <c r="HJ19" s="61">
        <f t="shared" si="50"/>
        <v>144000</v>
      </c>
      <c r="HK19" s="260">
        <v>2.1432000000000002</v>
      </c>
      <c r="HL19" s="292">
        <v>807.23</v>
      </c>
      <c r="HM19" s="61">
        <f t="shared" si="107"/>
        <v>0</v>
      </c>
      <c r="HN19" s="292">
        <v>6825.4</v>
      </c>
      <c r="HO19" s="292">
        <v>2914</v>
      </c>
      <c r="HP19" s="61">
        <f t="shared" si="52"/>
        <v>36699.999999999454</v>
      </c>
      <c r="HQ19" s="292">
        <v>4771.3</v>
      </c>
      <c r="HR19" s="292">
        <v>2014.2</v>
      </c>
      <c r="HS19" s="61">
        <f t="shared" si="53"/>
        <v>24900.000000000182</v>
      </c>
      <c r="HT19" s="292">
        <v>4691.3999999999996</v>
      </c>
      <c r="HU19" s="292">
        <v>1698</v>
      </c>
      <c r="HV19" s="61">
        <f t="shared" si="54"/>
        <v>11399.999999999272</v>
      </c>
      <c r="HW19" s="292">
        <v>3387.9</v>
      </c>
      <c r="HX19" s="292">
        <v>1452.5</v>
      </c>
      <c r="HY19" s="61">
        <f t="shared" si="55"/>
        <v>23000.000000000091</v>
      </c>
      <c r="HZ19" s="260">
        <v>2605000</v>
      </c>
      <c r="IA19" s="260">
        <v>11340</v>
      </c>
      <c r="IB19" s="61">
        <f t="shared" si="56"/>
        <v>24800</v>
      </c>
      <c r="IC19" s="292">
        <v>719.8</v>
      </c>
      <c r="ID19" s="292">
        <v>232.78</v>
      </c>
      <c r="IE19" s="61">
        <f t="shared" si="79"/>
        <v>0</v>
      </c>
      <c r="IF19" s="61"/>
      <c r="IG19" s="61"/>
      <c r="IH19" s="280">
        <f t="shared" si="57"/>
        <v>23200</v>
      </c>
      <c r="II19" s="281">
        <f t="shared" si="58"/>
        <v>1.0113581083714962E-9</v>
      </c>
      <c r="IJ19" s="245"/>
      <c r="IK19" s="245"/>
      <c r="IL19" s="245">
        <f t="shared" ref="IL19:IL36" si="111">IF((IJ19-IJ18)&lt;=0,0,(IJ19-IJ18))</f>
        <v>0</v>
      </c>
      <c r="IM19" s="245"/>
      <c r="IN19" s="245"/>
      <c r="IO19" s="245">
        <f t="shared" ref="IO19:IO36" si="112">IF((IM19-IM18)&lt;=0,0,(IM19-IM18)*1000)</f>
        <v>0</v>
      </c>
      <c r="IP19" s="245"/>
      <c r="IQ19" s="245"/>
      <c r="IR19" s="245">
        <f t="shared" ref="IR19:IR36" si="113">IF((IP19-IP18)&lt;=0,0,(IP19-IP18))</f>
        <v>0</v>
      </c>
      <c r="IS19" s="245"/>
      <c r="IT19" s="245"/>
      <c r="IU19" s="245">
        <f t="shared" ref="IU19:IU36" si="114">IF((IS19-IS18)&lt;=0,0,(IS19-IS18))</f>
        <v>0</v>
      </c>
      <c r="IV19" s="245"/>
      <c r="IW19" s="245"/>
      <c r="IX19" s="245">
        <f t="shared" ref="IX19:IX36" si="115">IF((IV19-IV18)&lt;=0,0,(IV19-IV18))</f>
        <v>0</v>
      </c>
      <c r="IY19" s="245"/>
      <c r="IZ19" s="245"/>
      <c r="JA19" s="245">
        <f t="shared" ref="JA19:JA36" si="116">IF((IY19-IY18)&lt;=0,0,(IY19-IY18))</f>
        <v>0</v>
      </c>
      <c r="JB19" s="245"/>
      <c r="JC19" s="245"/>
      <c r="JD19" s="245">
        <f t="shared" ref="JD19:JD36" si="117">IF((JB19-JB18)&lt;=0,0,(JB19-JB18))</f>
        <v>0</v>
      </c>
      <c r="JE19" s="245"/>
      <c r="JF19" s="245"/>
      <c r="JG19" s="245">
        <f t="shared" ref="JG19:JG36" si="118">IF((JE19-JE18)&lt;=0,0,(JE19-JE18))</f>
        <v>0</v>
      </c>
      <c r="JH19" s="245"/>
      <c r="JI19" s="245"/>
      <c r="JJ19" s="245">
        <f t="shared" ref="JJ19:JJ36" si="119">IF((JH19-JH18)&lt;=0,0,(JH19-JH18))</f>
        <v>0</v>
      </c>
      <c r="JK19" s="245"/>
      <c r="JL19" s="245"/>
      <c r="JM19" s="245">
        <f t="shared" ref="JM19:JM36" si="120">IF((JK19-JK18)&lt;=0,0,(JK19-JK18))</f>
        <v>0</v>
      </c>
      <c r="JN19" s="245"/>
      <c r="JO19" s="245"/>
      <c r="JP19" s="245">
        <f t="shared" ref="JP19:JP36" si="121">IF((JN19-JN18)&lt;=0,0,(JN19-JN18))</f>
        <v>0</v>
      </c>
      <c r="JQ19" s="245"/>
      <c r="JR19" s="245"/>
      <c r="JS19" s="245">
        <f t="shared" ref="JS19:JS36" si="122">IF((JQ19-JQ18)&lt;=0,0,(JQ19-JQ18))</f>
        <v>0</v>
      </c>
      <c r="JT19" s="245"/>
      <c r="JU19" s="245"/>
      <c r="JV19" s="245">
        <f t="shared" ref="JV19:JV36" si="123">IF((JT19-JT18)&lt;=0,0,(JT19-JT18))</f>
        <v>0</v>
      </c>
      <c r="JW19" s="245"/>
      <c r="JX19" s="245"/>
      <c r="JY19" s="245">
        <f t="shared" ref="JY19:JY36" si="124">IF((JW19-JW18)&lt;=0,0,(JW19-JW18))</f>
        <v>0</v>
      </c>
      <c r="JZ19" s="245"/>
      <c r="KA19" s="245"/>
      <c r="KB19" s="245">
        <f t="shared" ref="KB19:KB36" si="125">IF((JZ19-JZ18)&lt;=0,0,(JZ19-JZ18))</f>
        <v>0</v>
      </c>
      <c r="KC19" s="245"/>
      <c r="KD19" s="245"/>
      <c r="KE19" s="245">
        <f t="shared" ref="KE19:KE36" si="126">IF((KC19-KC18)&lt;=0,0,(KC19-KC18))</f>
        <v>0</v>
      </c>
      <c r="KG19" s="151">
        <f t="shared" si="59"/>
        <v>61500.000000000466</v>
      </c>
    </row>
    <row r="20" spans="1:293" x14ac:dyDescent="0.25">
      <c r="A20" s="35">
        <f t="shared" si="0"/>
        <v>14</v>
      </c>
      <c r="B20" s="250">
        <v>5549.66</v>
      </c>
      <c r="C20" s="38">
        <f t="shared" si="1"/>
        <v>10.859999999999673</v>
      </c>
      <c r="D20" s="38">
        <f t="shared" si="2"/>
        <v>347519.99999998952</v>
      </c>
      <c r="E20" s="250">
        <v>1114.47</v>
      </c>
      <c r="F20" s="38">
        <f t="shared" si="3"/>
        <v>60160.000000003492</v>
      </c>
      <c r="G20" s="38">
        <f t="shared" si="4"/>
        <v>407679.99999999302</v>
      </c>
      <c r="H20" s="37"/>
      <c r="I20" s="39"/>
      <c r="J20" s="42"/>
      <c r="K20" s="37">
        <f t="shared" si="80"/>
        <v>0</v>
      </c>
      <c r="L20" s="250">
        <v>17935000</v>
      </c>
      <c r="M20" s="40"/>
      <c r="N20" s="37">
        <f t="shared" si="81"/>
        <v>404000</v>
      </c>
      <c r="O20" s="250">
        <v>13001.5</v>
      </c>
      <c r="P20" s="37"/>
      <c r="Q20" s="37">
        <f t="shared" si="5"/>
        <v>14799.999999999272</v>
      </c>
      <c r="R20" s="37">
        <f t="shared" si="82"/>
        <v>1</v>
      </c>
      <c r="S20" s="250">
        <v>11268762.949999999</v>
      </c>
      <c r="T20" s="37">
        <f t="shared" si="6"/>
        <v>0</v>
      </c>
      <c r="U20" s="250">
        <v>1523790.61</v>
      </c>
      <c r="V20" s="37">
        <f t="shared" si="7"/>
        <v>0</v>
      </c>
      <c r="W20" s="250">
        <v>4660</v>
      </c>
      <c r="X20" s="37">
        <f t="shared" si="95"/>
        <v>8099.9999999992724</v>
      </c>
      <c r="Y20" s="183"/>
      <c r="Z20" s="183"/>
      <c r="AA20" s="250">
        <v>841000</v>
      </c>
      <c r="AB20" s="37">
        <f t="shared" si="8"/>
        <v>6700</v>
      </c>
      <c r="AC20" s="250">
        <v>4821.3999999999996</v>
      </c>
      <c r="AD20" s="37"/>
      <c r="AE20" s="37">
        <f t="shared" si="9"/>
        <v>5199.9999999998181</v>
      </c>
      <c r="AF20" s="37">
        <f t="shared" si="83"/>
        <v>1</v>
      </c>
      <c r="AG20" s="250">
        <v>10473</v>
      </c>
      <c r="AH20" s="67"/>
      <c r="AI20" s="37">
        <f t="shared" si="10"/>
        <v>13575.430000000728</v>
      </c>
      <c r="AJ20" s="37">
        <f t="shared" si="11"/>
        <v>1</v>
      </c>
      <c r="AK20" s="37">
        <f t="shared" si="12"/>
        <v>26875.429999999818</v>
      </c>
      <c r="AL20" s="250">
        <v>12147.6</v>
      </c>
      <c r="AM20" s="66"/>
      <c r="AN20" s="37">
        <f t="shared" si="60"/>
        <v>8315.4300000000585</v>
      </c>
      <c r="AO20" s="37">
        <f t="shared" si="84"/>
        <v>1</v>
      </c>
      <c r="AP20" s="250">
        <v>9587.7000000000007</v>
      </c>
      <c r="AQ20" s="37"/>
      <c r="AR20" s="37">
        <f t="shared" si="13"/>
        <v>14100.000000000364</v>
      </c>
      <c r="AS20" s="37">
        <f t="shared" si="85"/>
        <v>1</v>
      </c>
      <c r="AT20" s="183"/>
      <c r="AU20" s="183"/>
      <c r="AV20" s="183"/>
      <c r="AW20" s="183"/>
      <c r="AX20" s="250">
        <v>530630</v>
      </c>
      <c r="AY20" s="37"/>
      <c r="AZ20" s="37">
        <f t="shared" si="14"/>
        <v>480</v>
      </c>
      <c r="BA20" s="250">
        <v>217460</v>
      </c>
      <c r="BB20" s="37"/>
      <c r="BC20" s="37">
        <f t="shared" si="15"/>
        <v>790</v>
      </c>
      <c r="BD20" s="37">
        <f t="shared" si="86"/>
        <v>23685.430000000422</v>
      </c>
      <c r="BE20" s="250">
        <v>2102.1999999999998</v>
      </c>
      <c r="BF20" s="250">
        <v>1182.5</v>
      </c>
      <c r="BG20" s="37">
        <f t="shared" si="16"/>
        <v>1500</v>
      </c>
      <c r="BH20" s="250">
        <v>9946.5</v>
      </c>
      <c r="BI20" s="250">
        <v>6425.7</v>
      </c>
      <c r="BJ20" s="37">
        <f t="shared" si="17"/>
        <v>8600.0000000003638</v>
      </c>
      <c r="BK20" s="250">
        <v>2038140</v>
      </c>
      <c r="BL20" s="40">
        <f t="shared" si="87"/>
        <v>4370</v>
      </c>
      <c r="BM20" s="250">
        <v>946.03</v>
      </c>
      <c r="BN20" s="37">
        <f t="shared" si="18"/>
        <v>689.99999999994088</v>
      </c>
      <c r="BO20" s="186"/>
      <c r="BP20" s="183">
        <f t="shared" si="19"/>
        <v>0</v>
      </c>
      <c r="BQ20" s="250">
        <v>892.1</v>
      </c>
      <c r="BR20" s="37">
        <f t="shared" si="61"/>
        <v>500</v>
      </c>
      <c r="BS20" s="250">
        <v>121868.45</v>
      </c>
      <c r="BT20" s="37">
        <f t="shared" si="20"/>
        <v>228.11999999999534</v>
      </c>
      <c r="BU20" s="250">
        <v>3649267</v>
      </c>
      <c r="BV20" s="42"/>
      <c r="BW20" s="37">
        <f t="shared" si="21"/>
        <v>7590</v>
      </c>
      <c r="BX20" s="37">
        <f t="shared" si="88"/>
        <v>1</v>
      </c>
      <c r="BY20" s="250">
        <v>421.0908</v>
      </c>
      <c r="BZ20" s="43"/>
      <c r="CA20" s="37">
        <f>IF((BY20-BY19)&lt;=0,0,(BY20-BY19)*1000)</f>
        <v>659.80000000001837</v>
      </c>
      <c r="CB20" s="37">
        <f t="shared" si="62"/>
        <v>1</v>
      </c>
      <c r="CC20" s="250">
        <v>826000.1</v>
      </c>
      <c r="CD20" s="37">
        <f t="shared" si="23"/>
        <v>1588.4000000000233</v>
      </c>
      <c r="CE20" s="250">
        <v>1827348</v>
      </c>
      <c r="CF20" s="37">
        <f t="shared" si="24"/>
        <v>5792</v>
      </c>
      <c r="CG20" s="250">
        <v>122633</v>
      </c>
      <c r="CH20" s="37">
        <f t="shared" si="63"/>
        <v>0</v>
      </c>
      <c r="CI20" s="250">
        <v>14613.19</v>
      </c>
      <c r="CJ20" s="40"/>
      <c r="CK20" s="37">
        <f t="shared" si="64"/>
        <v>16815.630000000347</v>
      </c>
      <c r="CL20" s="37">
        <f t="shared" si="25"/>
        <v>1</v>
      </c>
      <c r="CM20" s="250">
        <v>4341.1819999999998</v>
      </c>
      <c r="CN20" s="37"/>
      <c r="CO20" s="37">
        <f t="shared" si="26"/>
        <v>9556.4299999995856</v>
      </c>
      <c r="CP20" s="37">
        <f t="shared" si="89"/>
        <v>1</v>
      </c>
      <c r="CQ20" s="250">
        <v>869464.7</v>
      </c>
      <c r="CR20" s="39"/>
      <c r="CS20" s="37">
        <f t="shared" si="65"/>
        <v>7411.529999999977</v>
      </c>
      <c r="CT20" s="37">
        <f t="shared" si="66"/>
        <v>1</v>
      </c>
      <c r="CU20" s="250">
        <v>4676417</v>
      </c>
      <c r="CV20" s="37"/>
      <c r="CW20" s="38">
        <f t="shared" si="27"/>
        <v>15544</v>
      </c>
      <c r="CX20" s="37">
        <f t="shared" si="90"/>
        <v>1</v>
      </c>
      <c r="CY20" s="250">
        <v>2503825</v>
      </c>
      <c r="CZ20" s="37"/>
      <c r="DA20" s="37">
        <f t="shared" si="28"/>
        <v>9017</v>
      </c>
      <c r="DB20" s="37">
        <f t="shared" si="91"/>
        <v>1</v>
      </c>
      <c r="DC20" s="37"/>
      <c r="DD20" s="40"/>
      <c r="DE20" s="37">
        <f t="shared" si="29"/>
        <v>0</v>
      </c>
      <c r="DF20" s="37">
        <f t="shared" si="96"/>
        <v>0</v>
      </c>
      <c r="DG20" s="37">
        <f t="shared" si="30"/>
        <v>-65934.589999999909</v>
      </c>
      <c r="DH20" s="37">
        <f t="shared" si="31"/>
        <v>432375.42999999982</v>
      </c>
      <c r="DI20" s="46"/>
      <c r="DJ20" s="46"/>
      <c r="DK20" s="47"/>
      <c r="DL20" s="47"/>
      <c r="DM20" s="37"/>
      <c r="DN20" s="37"/>
      <c r="DO20" s="37"/>
      <c r="DP20" s="37"/>
      <c r="DQ20" s="250">
        <v>4578500</v>
      </c>
      <c r="DR20" s="49">
        <f t="shared" si="67"/>
        <v>10500</v>
      </c>
      <c r="DS20" s="250">
        <v>6100600</v>
      </c>
      <c r="DT20" s="49">
        <f t="shared" si="68"/>
        <v>22800</v>
      </c>
      <c r="DU20" s="250">
        <v>8462.6</v>
      </c>
      <c r="DV20" s="250">
        <v>4764.7</v>
      </c>
      <c r="DW20" s="37">
        <f t="shared" si="92"/>
        <v>2200.0000000007276</v>
      </c>
      <c r="DX20" s="250">
        <v>14011</v>
      </c>
      <c r="DY20" s="250">
        <v>8773.1</v>
      </c>
      <c r="DZ20" s="37">
        <f t="shared" si="32"/>
        <v>4875.43</v>
      </c>
      <c r="EA20" s="250">
        <v>32535</v>
      </c>
      <c r="EB20" s="250">
        <v>22.221</v>
      </c>
      <c r="EC20" s="37">
        <f t="shared" si="33"/>
        <v>14035.43</v>
      </c>
      <c r="ED20" s="53">
        <f t="shared" si="34"/>
        <v>21110.860000000728</v>
      </c>
      <c r="EE20" s="250">
        <v>48455</v>
      </c>
      <c r="EF20" s="250">
        <v>31.942</v>
      </c>
      <c r="EG20" s="37">
        <f t="shared" si="35"/>
        <v>33035.43</v>
      </c>
      <c r="EH20" s="250">
        <v>14349</v>
      </c>
      <c r="EI20" s="250">
        <v>2.1162000000000001</v>
      </c>
      <c r="EJ20" s="37">
        <f t="shared" si="36"/>
        <v>9875.43</v>
      </c>
      <c r="EK20" s="250">
        <v>873.96</v>
      </c>
      <c r="EL20" s="250">
        <v>1251.9000000000001</v>
      </c>
      <c r="EM20" s="37">
        <f t="shared" si="69"/>
        <v>660.00000000008185</v>
      </c>
      <c r="EN20" s="54">
        <f t="shared" si="70"/>
        <v>43570.860000000081</v>
      </c>
      <c r="EO20" s="250">
        <v>13844</v>
      </c>
      <c r="EP20" s="48"/>
      <c r="EQ20" s="37">
        <f t="shared" si="97"/>
        <v>6425.4299999999548</v>
      </c>
      <c r="ER20" s="250">
        <v>11173</v>
      </c>
      <c r="ES20" s="48"/>
      <c r="ET20" s="49">
        <f t="shared" si="106"/>
        <v>15000</v>
      </c>
      <c r="EU20" s="250">
        <v>4641</v>
      </c>
      <c r="EV20" s="48"/>
      <c r="EW20" s="49">
        <f t="shared" si="38"/>
        <v>9875.43</v>
      </c>
      <c r="EX20" s="250">
        <v>14770</v>
      </c>
      <c r="EY20" s="48"/>
      <c r="EZ20" s="37">
        <f t="shared" si="39"/>
        <v>11875.43</v>
      </c>
      <c r="FA20" s="48">
        <f t="shared" si="71"/>
        <v>-21323.289999999957</v>
      </c>
      <c r="FB20" s="250">
        <v>39045909</v>
      </c>
      <c r="FC20" s="49">
        <f t="shared" si="93"/>
        <v>21853</v>
      </c>
      <c r="FD20" s="48">
        <f t="shared" si="72"/>
        <v>44927.289999999957</v>
      </c>
      <c r="FE20" s="250">
        <v>18032</v>
      </c>
      <c r="FF20" s="48"/>
      <c r="FG20" s="37">
        <f t="shared" si="73"/>
        <v>10325.430000000046</v>
      </c>
      <c r="FH20" s="250">
        <v>10680</v>
      </c>
      <c r="FI20" s="48"/>
      <c r="FJ20" s="49">
        <f t="shared" si="40"/>
        <v>15875.43</v>
      </c>
      <c r="FK20" s="48"/>
      <c r="FL20" s="58"/>
      <c r="FM20" s="48">
        <f t="shared" si="94"/>
        <v>-692.09666666668147</v>
      </c>
      <c r="FN20" s="250">
        <v>17939</v>
      </c>
      <c r="FO20" s="48"/>
      <c r="FP20" s="37">
        <f t="shared" si="74"/>
        <v>10875.43</v>
      </c>
      <c r="FQ20" s="250">
        <v>63111</v>
      </c>
      <c r="FR20" s="48"/>
      <c r="FS20" s="37">
        <f t="shared" si="41"/>
        <v>35000</v>
      </c>
      <c r="FT20" s="48">
        <f t="shared" si="75"/>
        <v>-2076.2900000000445</v>
      </c>
      <c r="FU20" s="48">
        <f t="shared" si="76"/>
        <v>37076.290000000045</v>
      </c>
      <c r="FV20" s="250">
        <v>7073700</v>
      </c>
      <c r="FW20" s="44"/>
      <c r="FX20" s="37">
        <f t="shared" si="42"/>
        <v>16800</v>
      </c>
      <c r="FY20" s="250">
        <v>191860</v>
      </c>
      <c r="FZ20" s="63"/>
      <c r="GA20" s="37">
        <f t="shared" si="43"/>
        <v>4130</v>
      </c>
      <c r="GB20" s="250">
        <v>900.41</v>
      </c>
      <c r="GC20" s="56"/>
      <c r="GD20" s="37">
        <f t="shared" si="44"/>
        <v>610.00000000001364</v>
      </c>
      <c r="GE20" s="250">
        <v>11076</v>
      </c>
      <c r="GF20" s="56"/>
      <c r="GG20" s="37">
        <f t="shared" si="45"/>
        <v>5249</v>
      </c>
      <c r="GH20" s="250">
        <v>89559</v>
      </c>
      <c r="GI20" s="162"/>
      <c r="GJ20" s="38">
        <f t="shared" si="77"/>
        <v>1751</v>
      </c>
      <c r="GK20" s="250">
        <v>1533.9</v>
      </c>
      <c r="GL20" s="163"/>
      <c r="GM20" s="38">
        <f t="shared" si="46"/>
        <v>0</v>
      </c>
      <c r="GN20" s="250">
        <v>244130</v>
      </c>
      <c r="GO20" s="57"/>
      <c r="GP20" s="38">
        <f t="shared" si="98"/>
        <v>10</v>
      </c>
      <c r="GQ20" s="250">
        <v>302160</v>
      </c>
      <c r="GR20" s="38"/>
      <c r="GS20" s="38">
        <f t="shared" si="78"/>
        <v>0</v>
      </c>
      <c r="GT20" s="247"/>
      <c r="GU20" s="144">
        <f>DailySep!B19-DailySep!N19-DailySep!V19-DailySep!Y19-DailySep!Z19-DailySep!AA19-DailySep!AB19-DailySep!AC19-DailySep!AD19-DailySep!AE19-DailySep!AK19-DailySep!AO19-DailySep!AS19-DailySep!AY19-DailySep!BD19+DailySep!BU19-DailySep!BG19-DailySep!BT19-DailySep!AF19-DailySep!AG19</f>
        <v>4.9999991781078279E-2</v>
      </c>
      <c r="GV20" s="261">
        <v>13131.5</v>
      </c>
      <c r="GW20" s="60">
        <f t="shared" si="48"/>
        <v>875.43333333333328</v>
      </c>
      <c r="GX20" s="260">
        <v>875.43</v>
      </c>
      <c r="GY20" s="140"/>
      <c r="GZ20" s="528"/>
      <c r="HA20" s="528"/>
      <c r="HB20" s="528"/>
      <c r="HC20" s="528"/>
      <c r="HD20" s="74"/>
      <c r="HE20" s="24">
        <f t="shared" si="49"/>
        <v>0</v>
      </c>
      <c r="HF20" s="255"/>
      <c r="HG20" s="279">
        <v>14</v>
      </c>
      <c r="HH20" s="292">
        <v>26972</v>
      </c>
      <c r="HI20" s="292">
        <v>10269</v>
      </c>
      <c r="HJ20" s="61">
        <f t="shared" si="50"/>
        <v>153000</v>
      </c>
      <c r="HK20" s="260">
        <v>2.1432000000000002</v>
      </c>
      <c r="HL20" s="292">
        <v>807.23</v>
      </c>
      <c r="HM20" s="61">
        <f t="shared" si="107"/>
        <v>0</v>
      </c>
      <c r="HN20" s="292">
        <v>6864.5</v>
      </c>
      <c r="HO20" s="292">
        <v>2930</v>
      </c>
      <c r="HP20" s="61">
        <f t="shared" si="52"/>
        <v>38950.000000000364</v>
      </c>
      <c r="HQ20" s="292">
        <v>4796.8</v>
      </c>
      <c r="HR20" s="292">
        <v>2024.5</v>
      </c>
      <c r="HS20" s="61">
        <f t="shared" si="53"/>
        <v>25350</v>
      </c>
      <c r="HT20" s="292">
        <v>4708.7</v>
      </c>
      <c r="HU20" s="292">
        <v>1704.5</v>
      </c>
      <c r="HV20" s="61">
        <f t="shared" si="54"/>
        <v>17150.000000000182</v>
      </c>
      <c r="HW20" s="292">
        <v>3411.3</v>
      </c>
      <c r="HX20" s="292">
        <v>1462.6</v>
      </c>
      <c r="HY20" s="61">
        <f t="shared" si="55"/>
        <v>23250.000000000091</v>
      </c>
      <c r="HZ20" s="260">
        <v>2630500</v>
      </c>
      <c r="IA20" s="260">
        <v>11452</v>
      </c>
      <c r="IB20" s="61">
        <f t="shared" si="56"/>
        <v>25500</v>
      </c>
      <c r="IC20" s="292">
        <v>719.8</v>
      </c>
      <c r="ID20" s="292">
        <v>232.78</v>
      </c>
      <c r="IE20" s="61">
        <f t="shared" si="79"/>
        <v>0</v>
      </c>
      <c r="IF20" s="61"/>
      <c r="IG20" s="61"/>
      <c r="IH20" s="280">
        <f t="shared" si="57"/>
        <v>22800</v>
      </c>
      <c r="II20" s="281">
        <f t="shared" si="58"/>
        <v>-6.2573235481977463E-10</v>
      </c>
      <c r="IJ20" s="245"/>
      <c r="IK20" s="245"/>
      <c r="IL20" s="245">
        <f t="shared" si="111"/>
        <v>0</v>
      </c>
      <c r="IM20" s="245"/>
      <c r="IN20" s="245"/>
      <c r="IO20" s="245">
        <f t="shared" si="112"/>
        <v>0</v>
      </c>
      <c r="IP20" s="245"/>
      <c r="IQ20" s="245"/>
      <c r="IR20" s="245">
        <f t="shared" si="113"/>
        <v>0</v>
      </c>
      <c r="IS20" s="245"/>
      <c r="IT20" s="245"/>
      <c r="IU20" s="245">
        <f t="shared" si="114"/>
        <v>0</v>
      </c>
      <c r="IV20" s="245"/>
      <c r="IW20" s="245"/>
      <c r="IX20" s="245">
        <f t="shared" si="115"/>
        <v>0</v>
      </c>
      <c r="IY20" s="245"/>
      <c r="IZ20" s="245"/>
      <c r="JA20" s="245">
        <f t="shared" si="116"/>
        <v>0</v>
      </c>
      <c r="JB20" s="245"/>
      <c r="JC20" s="245"/>
      <c r="JD20" s="245">
        <f t="shared" si="117"/>
        <v>0</v>
      </c>
      <c r="JE20" s="245"/>
      <c r="JF20" s="245"/>
      <c r="JG20" s="245">
        <f t="shared" si="118"/>
        <v>0</v>
      </c>
      <c r="JH20" s="245"/>
      <c r="JI20" s="245"/>
      <c r="JJ20" s="245">
        <f t="shared" si="119"/>
        <v>0</v>
      </c>
      <c r="JK20" s="245"/>
      <c r="JL20" s="245"/>
      <c r="JM20" s="245">
        <f t="shared" si="120"/>
        <v>0</v>
      </c>
      <c r="JN20" s="245"/>
      <c r="JO20" s="245"/>
      <c r="JP20" s="245">
        <f t="shared" si="121"/>
        <v>0</v>
      </c>
      <c r="JQ20" s="245"/>
      <c r="JR20" s="245"/>
      <c r="JS20" s="245">
        <f t="shared" si="122"/>
        <v>0</v>
      </c>
      <c r="JT20" s="245"/>
      <c r="JU20" s="245"/>
      <c r="JV20" s="245">
        <f t="shared" si="123"/>
        <v>0</v>
      </c>
      <c r="JW20" s="245"/>
      <c r="JX20" s="245"/>
      <c r="JY20" s="245">
        <f t="shared" si="124"/>
        <v>0</v>
      </c>
      <c r="JZ20" s="245"/>
      <c r="KA20" s="245"/>
      <c r="KB20" s="245">
        <f t="shared" si="125"/>
        <v>0</v>
      </c>
      <c r="KC20" s="245"/>
      <c r="KD20" s="245"/>
      <c r="KE20" s="245">
        <f t="shared" si="126"/>
        <v>0</v>
      </c>
      <c r="KG20" s="151">
        <f t="shared" si="59"/>
        <v>64449.999999999738</v>
      </c>
    </row>
    <row r="21" spans="1:293" x14ac:dyDescent="0.25">
      <c r="A21" s="35">
        <f t="shared" si="0"/>
        <v>15</v>
      </c>
      <c r="B21" s="250">
        <v>5558.6</v>
      </c>
      <c r="C21" s="38">
        <f t="shared" si="1"/>
        <v>8.9400000000005093</v>
      </c>
      <c r="D21" s="38">
        <f t="shared" si="2"/>
        <v>286080.0000000163</v>
      </c>
      <c r="E21" s="250">
        <v>1116.1600000000001</v>
      </c>
      <c r="F21" s="38">
        <f t="shared" si="3"/>
        <v>54080.000000001746</v>
      </c>
      <c r="G21" s="38">
        <f t="shared" si="4"/>
        <v>340160.00000001804</v>
      </c>
      <c r="H21" s="37"/>
      <c r="I21" s="39"/>
      <c r="J21" s="42"/>
      <c r="K21" s="37">
        <f t="shared" si="80"/>
        <v>0</v>
      </c>
      <c r="L21" s="250">
        <v>17968800</v>
      </c>
      <c r="M21" s="40"/>
      <c r="N21" s="37">
        <f t="shared" si="81"/>
        <v>338000</v>
      </c>
      <c r="O21" s="250">
        <v>13015</v>
      </c>
      <c r="P21" s="37"/>
      <c r="Q21" s="37">
        <f t="shared" si="5"/>
        <v>13500</v>
      </c>
      <c r="R21" s="37">
        <f t="shared" si="82"/>
        <v>1</v>
      </c>
      <c r="S21" s="250">
        <v>11268762.949999999</v>
      </c>
      <c r="T21" s="37">
        <f t="shared" si="6"/>
        <v>0</v>
      </c>
      <c r="U21" s="250">
        <v>1523790.61</v>
      </c>
      <c r="V21" s="37">
        <f t="shared" si="7"/>
        <v>0</v>
      </c>
      <c r="W21" s="250">
        <v>4665.8999999999996</v>
      </c>
      <c r="X21" s="37">
        <f t="shared" si="95"/>
        <v>7400</v>
      </c>
      <c r="Y21" s="183"/>
      <c r="Z21" s="183"/>
      <c r="AA21" s="250">
        <v>847100</v>
      </c>
      <c r="AB21" s="37">
        <f t="shared" si="8"/>
        <v>6100</v>
      </c>
      <c r="AC21" s="250">
        <v>4826.1000000000004</v>
      </c>
      <c r="AD21" s="37"/>
      <c r="AE21" s="37">
        <f t="shared" si="9"/>
        <v>4700.0000000007276</v>
      </c>
      <c r="AF21" s="37">
        <f t="shared" si="83"/>
        <v>1</v>
      </c>
      <c r="AG21" s="250">
        <v>10484.799999999999</v>
      </c>
      <c r="AH21" s="67"/>
      <c r="AI21" s="37">
        <f t="shared" si="10"/>
        <v>11865.869999999273</v>
      </c>
      <c r="AJ21" s="37">
        <f t="shared" si="11"/>
        <v>1</v>
      </c>
      <c r="AK21" s="37">
        <f t="shared" si="12"/>
        <v>23965.870000000003</v>
      </c>
      <c r="AL21" s="250">
        <v>12159.4</v>
      </c>
      <c r="AM21" s="42"/>
      <c r="AN21" s="37">
        <f t="shared" si="60"/>
        <v>6945.8699999993323</v>
      </c>
      <c r="AO21" s="37">
        <f t="shared" si="84"/>
        <v>1</v>
      </c>
      <c r="AP21" s="250">
        <v>9601.2000000000007</v>
      </c>
      <c r="AQ21" s="37"/>
      <c r="AR21" s="37">
        <f t="shared" si="13"/>
        <v>13500</v>
      </c>
      <c r="AS21" s="37">
        <f t="shared" si="85"/>
        <v>1</v>
      </c>
      <c r="AT21" s="183"/>
      <c r="AU21" s="183"/>
      <c r="AV21" s="183"/>
      <c r="AW21" s="183"/>
      <c r="AX21" s="250">
        <v>531080</v>
      </c>
      <c r="AY21" s="37"/>
      <c r="AZ21" s="37">
        <f t="shared" si="14"/>
        <v>450</v>
      </c>
      <c r="BA21" s="250">
        <v>218190</v>
      </c>
      <c r="BB21" s="37"/>
      <c r="BC21" s="37">
        <f t="shared" si="15"/>
        <v>730</v>
      </c>
      <c r="BD21" s="37">
        <f t="shared" si="86"/>
        <v>21625.869999999333</v>
      </c>
      <c r="BE21" s="250">
        <v>2103.8000000000002</v>
      </c>
      <c r="BF21" s="250">
        <v>1183.5</v>
      </c>
      <c r="BG21" s="37">
        <f t="shared" si="16"/>
        <v>1600.0000000003638</v>
      </c>
      <c r="BH21" s="250">
        <v>9955.4</v>
      </c>
      <c r="BI21" s="250">
        <v>6431.9</v>
      </c>
      <c r="BJ21" s="37">
        <f t="shared" si="17"/>
        <v>8899.9999999996362</v>
      </c>
      <c r="BK21" s="250">
        <v>2042120</v>
      </c>
      <c r="BL21" s="40">
        <f t="shared" si="87"/>
        <v>3980</v>
      </c>
      <c r="BM21" s="250">
        <v>946.67</v>
      </c>
      <c r="BN21" s="37">
        <f t="shared" si="18"/>
        <v>639.99999999998636</v>
      </c>
      <c r="BO21" s="186"/>
      <c r="BP21" s="183">
        <f t="shared" si="19"/>
        <v>0</v>
      </c>
      <c r="BQ21" s="250">
        <v>892.4</v>
      </c>
      <c r="BR21" s="37">
        <f>IF((BQ21-BQ20)&lt;=0,0,(BQ21-BQ20))*1000</f>
        <v>299.99999999995453</v>
      </c>
      <c r="BS21" s="250">
        <v>122100.66</v>
      </c>
      <c r="BT21" s="37">
        <f t="shared" si="20"/>
        <v>232.2100000000064</v>
      </c>
      <c r="BU21" s="250">
        <v>3656280</v>
      </c>
      <c r="BV21" s="42"/>
      <c r="BW21" s="37">
        <f t="shared" si="21"/>
        <v>7013</v>
      </c>
      <c r="BX21" s="37">
        <f t="shared" si="88"/>
        <v>1</v>
      </c>
      <c r="BY21" s="250">
        <v>421.72269999999997</v>
      </c>
      <c r="BZ21" s="43"/>
      <c r="CA21" s="37">
        <f t="shared" ref="CA21:CA36" si="127">IF((BY21-BY20)&lt;=0,0,(BY21-BY20)*1000)</f>
        <v>631.89999999997326</v>
      </c>
      <c r="CB21" s="37">
        <f t="shared" si="62"/>
        <v>1</v>
      </c>
      <c r="CC21" s="250">
        <v>827493.9</v>
      </c>
      <c r="CD21" s="37">
        <f t="shared" si="23"/>
        <v>1493.8000000000466</v>
      </c>
      <c r="CE21" s="250">
        <v>1832707</v>
      </c>
      <c r="CF21" s="37">
        <f t="shared" si="24"/>
        <v>5359</v>
      </c>
      <c r="CG21" s="250">
        <v>122633</v>
      </c>
      <c r="CH21" s="37">
        <f t="shared" si="63"/>
        <v>0</v>
      </c>
      <c r="CI21" s="250">
        <v>14628.4</v>
      </c>
      <c r="CJ21" s="40"/>
      <c r="CK21" s="37">
        <f t="shared" si="64"/>
        <v>14643.969999999154</v>
      </c>
      <c r="CL21" s="37">
        <f t="shared" si="25"/>
        <v>1</v>
      </c>
      <c r="CM21" s="250">
        <v>4349.3459999999995</v>
      </c>
      <c r="CN21" s="37"/>
      <c r="CO21" s="37">
        <f t="shared" si="26"/>
        <v>8229.8699999997607</v>
      </c>
      <c r="CP21" s="37">
        <f t="shared" si="89"/>
        <v>1</v>
      </c>
      <c r="CQ21" s="250">
        <v>875506.8</v>
      </c>
      <c r="CR21" s="39"/>
      <c r="CS21" s="37">
        <f t="shared" si="65"/>
        <v>6107.970000000093</v>
      </c>
      <c r="CT21" s="37">
        <f t="shared" si="66"/>
        <v>1</v>
      </c>
      <c r="CU21" s="250">
        <v>4690625</v>
      </c>
      <c r="CV21" s="37"/>
      <c r="CW21" s="38">
        <f t="shared" si="27"/>
        <v>14208</v>
      </c>
      <c r="CX21" s="37">
        <f t="shared" si="90"/>
        <v>1</v>
      </c>
      <c r="CY21" s="250">
        <v>2511890</v>
      </c>
      <c r="CZ21" s="37"/>
      <c r="DA21" s="37">
        <f t="shared" si="28"/>
        <v>8065</v>
      </c>
      <c r="DB21" s="37">
        <f t="shared" si="91"/>
        <v>1</v>
      </c>
      <c r="DC21" s="37"/>
      <c r="DD21" s="40"/>
      <c r="DE21" s="37">
        <f t="shared" si="29"/>
        <v>0</v>
      </c>
      <c r="DF21" s="37">
        <f t="shared" si="96"/>
        <v>0</v>
      </c>
      <c r="DG21" s="37">
        <f t="shared" si="30"/>
        <v>-58267.809999999008</v>
      </c>
      <c r="DH21" s="37">
        <f t="shared" si="31"/>
        <v>363565.87000000034</v>
      </c>
      <c r="DI21" s="46"/>
      <c r="DJ21" s="46"/>
      <c r="DK21" s="47"/>
      <c r="DL21" s="47"/>
      <c r="DM21" s="37"/>
      <c r="DN21" s="37"/>
      <c r="DO21" s="37"/>
      <c r="DP21" s="37"/>
      <c r="DQ21" s="250">
        <v>4586500</v>
      </c>
      <c r="DR21" s="49">
        <f t="shared" si="67"/>
        <v>8000</v>
      </c>
      <c r="DS21" s="250">
        <v>6123700</v>
      </c>
      <c r="DT21" s="49">
        <f t="shared" si="68"/>
        <v>23100</v>
      </c>
      <c r="DU21" s="250">
        <v>8463.1</v>
      </c>
      <c r="DV21" s="250">
        <v>4765</v>
      </c>
      <c r="DW21" s="37">
        <f t="shared" si="92"/>
        <v>500</v>
      </c>
      <c r="DX21" s="250">
        <v>14011</v>
      </c>
      <c r="DY21" s="250">
        <v>8773.1</v>
      </c>
      <c r="DZ21" s="37">
        <f t="shared" si="32"/>
        <v>65.87</v>
      </c>
      <c r="EA21" s="250">
        <v>32539</v>
      </c>
      <c r="EB21" s="250">
        <v>22.222000000000001</v>
      </c>
      <c r="EC21" s="37">
        <f t="shared" si="33"/>
        <v>6225.87</v>
      </c>
      <c r="ED21" s="53">
        <f t="shared" si="34"/>
        <v>6791.74</v>
      </c>
      <c r="EE21" s="250">
        <v>48481</v>
      </c>
      <c r="EF21" s="250">
        <v>31.96</v>
      </c>
      <c r="EG21" s="37">
        <f t="shared" si="35"/>
        <v>28225.87</v>
      </c>
      <c r="EH21" s="250">
        <v>14359</v>
      </c>
      <c r="EI21" s="250">
        <v>2.1187999999999998</v>
      </c>
      <c r="EJ21" s="37">
        <f t="shared" si="36"/>
        <v>10065.870000000001</v>
      </c>
      <c r="EK21" s="250">
        <v>874.55</v>
      </c>
      <c r="EL21" s="250">
        <v>1252.7</v>
      </c>
      <c r="EM21" s="37">
        <f t="shared" si="69"/>
        <v>589.99999999991815</v>
      </c>
      <c r="EN21" s="54">
        <f t="shared" si="70"/>
        <v>38881.739999999918</v>
      </c>
      <c r="EO21" s="250">
        <v>13852</v>
      </c>
      <c r="EP21" s="48"/>
      <c r="EQ21" s="37">
        <f t="shared" si="97"/>
        <v>6780.8700000000317</v>
      </c>
      <c r="ER21" s="250">
        <v>11190</v>
      </c>
      <c r="ES21" s="48"/>
      <c r="ET21" s="49">
        <f t="shared" si="106"/>
        <v>17000</v>
      </c>
      <c r="EU21" s="250">
        <v>4651</v>
      </c>
      <c r="EV21" s="48"/>
      <c r="EW21" s="49">
        <f t="shared" si="38"/>
        <v>10065.870000000001</v>
      </c>
      <c r="EX21" s="250">
        <v>14782</v>
      </c>
      <c r="EY21" s="48"/>
      <c r="EZ21" s="37">
        <f t="shared" si="39"/>
        <v>12065.87</v>
      </c>
      <c r="FA21" s="48">
        <f t="shared" si="71"/>
        <v>-21399.610000000033</v>
      </c>
      <c r="FB21" s="250">
        <v>39070422</v>
      </c>
      <c r="FC21" s="49">
        <f t="shared" si="93"/>
        <v>24513</v>
      </c>
      <c r="FD21" s="48">
        <f t="shared" si="72"/>
        <v>47572.610000000037</v>
      </c>
      <c r="FE21" s="250">
        <v>18040</v>
      </c>
      <c r="FF21" s="48"/>
      <c r="FG21" s="37">
        <f t="shared" si="73"/>
        <v>9350.8699999999681</v>
      </c>
      <c r="FH21" s="250">
        <v>10697</v>
      </c>
      <c r="FI21" s="48"/>
      <c r="FJ21" s="49">
        <f t="shared" si="40"/>
        <v>17065.87</v>
      </c>
      <c r="FK21" s="48"/>
      <c r="FL21" s="58"/>
      <c r="FM21" s="48">
        <f t="shared" si="94"/>
        <v>-494.20333333332201</v>
      </c>
      <c r="FN21" s="250">
        <v>17949</v>
      </c>
      <c r="FO21" s="48"/>
      <c r="FP21" s="37">
        <f t="shared" si="74"/>
        <v>10065.870000000001</v>
      </c>
      <c r="FQ21" s="250">
        <v>63146</v>
      </c>
      <c r="FR21" s="48"/>
      <c r="FS21" s="37">
        <f t="shared" si="41"/>
        <v>35000</v>
      </c>
      <c r="FT21" s="48">
        <f t="shared" si="75"/>
        <v>-1482.609999999966</v>
      </c>
      <c r="FU21" s="48">
        <f>FG21+FJ21+FP21+GM21</f>
        <v>36482.609999999971</v>
      </c>
      <c r="FV21" s="250">
        <v>7089600</v>
      </c>
      <c r="FW21" s="44"/>
      <c r="FX21" s="37">
        <f t="shared" si="42"/>
        <v>15900</v>
      </c>
      <c r="FY21" s="250">
        <v>195870</v>
      </c>
      <c r="FZ21" s="56"/>
      <c r="GA21" s="37">
        <f t="shared" si="43"/>
        <v>4010</v>
      </c>
      <c r="GB21" s="250">
        <v>900.97</v>
      </c>
      <c r="GC21" s="56"/>
      <c r="GD21" s="37">
        <f t="shared" si="44"/>
        <v>560.00000000005912</v>
      </c>
      <c r="GE21" s="250">
        <v>11082</v>
      </c>
      <c r="GF21" s="56"/>
      <c r="GG21" s="37">
        <f t="shared" si="45"/>
        <v>4340</v>
      </c>
      <c r="GH21" s="250">
        <v>91219</v>
      </c>
      <c r="GI21" s="162"/>
      <c r="GJ21" s="38">
        <f t="shared" si="77"/>
        <v>1660</v>
      </c>
      <c r="GK21" s="250">
        <v>1533.9</v>
      </c>
      <c r="GL21" s="163"/>
      <c r="GM21" s="38">
        <f t="shared" si="46"/>
        <v>0</v>
      </c>
      <c r="GN21" s="250">
        <v>244130</v>
      </c>
      <c r="GO21" s="57"/>
      <c r="GP21" s="38">
        <f t="shared" si="98"/>
        <v>0</v>
      </c>
      <c r="GQ21" s="250">
        <v>302490</v>
      </c>
      <c r="GR21" s="38"/>
      <c r="GS21" s="38">
        <f t="shared" si="78"/>
        <v>330</v>
      </c>
      <c r="GT21" s="247"/>
      <c r="GU21" s="144">
        <f>DailySep!B20-DailySep!N20-DailySep!V20-DailySep!Y20-DailySep!Z20-DailySep!AA20-DailySep!AB20-DailySep!AC20-DailySep!AD20-DailySep!AE20-DailySep!AK20-DailySep!AO20-DailySep!AS20-DailySep!AY20-DailySep!BD20+DailySep!BU20-DailySep!BG20-DailySep!BT20-DailySep!AF20-DailySep!AG20</f>
        <v>5.0000019808067009E-2</v>
      </c>
      <c r="GV21" s="261">
        <v>988.1</v>
      </c>
      <c r="GW21" s="60">
        <f t="shared" si="48"/>
        <v>65.873333333333335</v>
      </c>
      <c r="GX21" s="260">
        <v>65.87</v>
      </c>
      <c r="GY21" s="140"/>
      <c r="GZ21" s="528"/>
      <c r="HA21" s="528"/>
      <c r="HB21" s="528"/>
      <c r="HC21" s="528"/>
      <c r="HD21" s="74"/>
      <c r="HE21" s="24">
        <f t="shared" si="49"/>
        <v>0</v>
      </c>
      <c r="HF21" s="255"/>
      <c r="HG21" s="279">
        <v>15</v>
      </c>
      <c r="HH21" s="292">
        <v>27126</v>
      </c>
      <c r="HI21" s="292">
        <v>10328</v>
      </c>
      <c r="HJ21" s="61">
        <f t="shared" si="50"/>
        <v>154000</v>
      </c>
      <c r="HK21" s="260">
        <v>2.1432000000000002</v>
      </c>
      <c r="HL21" s="292">
        <v>807.23</v>
      </c>
      <c r="HM21" s="61">
        <f t="shared" si="107"/>
        <v>0</v>
      </c>
      <c r="HN21" s="292">
        <v>6903.6</v>
      </c>
      <c r="HO21" s="292">
        <v>2946.1</v>
      </c>
      <c r="HP21" s="61">
        <f t="shared" si="52"/>
        <v>39175.000000000364</v>
      </c>
      <c r="HQ21" s="292">
        <v>4821.3</v>
      </c>
      <c r="HR21" s="292">
        <v>2034.2</v>
      </c>
      <c r="HS21" s="61">
        <f t="shared" si="53"/>
        <v>24575</v>
      </c>
      <c r="HT21" s="292">
        <v>4729.1000000000004</v>
      </c>
      <c r="HU21" s="292">
        <v>1711.8</v>
      </c>
      <c r="HV21" s="61">
        <f t="shared" si="54"/>
        <v>20475.000000000546</v>
      </c>
      <c r="HW21" s="292">
        <v>3432.9</v>
      </c>
      <c r="HX21" s="292">
        <v>1471.8</v>
      </c>
      <c r="HY21" s="61">
        <f t="shared" si="55"/>
        <v>21674.999999999909</v>
      </c>
      <c r="HZ21" s="260">
        <v>2655500</v>
      </c>
      <c r="IA21" s="260">
        <v>11557</v>
      </c>
      <c r="IB21" s="61">
        <f t="shared" si="56"/>
        <v>25000</v>
      </c>
      <c r="IC21" s="292">
        <v>719.8</v>
      </c>
      <c r="ID21" s="292">
        <v>232.78</v>
      </c>
      <c r="IE21" s="61">
        <f t="shared" si="79"/>
        <v>0</v>
      </c>
      <c r="IF21" s="61"/>
      <c r="IG21" s="61"/>
      <c r="IH21" s="280">
        <f t="shared" si="57"/>
        <v>23100</v>
      </c>
      <c r="II21" s="281">
        <f t="shared" si="58"/>
        <v>-8.2945916801691055E-10</v>
      </c>
      <c r="IJ21" s="245"/>
      <c r="IK21" s="245"/>
      <c r="IL21" s="245">
        <f t="shared" si="111"/>
        <v>0</v>
      </c>
      <c r="IM21" s="245"/>
      <c r="IN21" s="245"/>
      <c r="IO21" s="245">
        <f t="shared" si="112"/>
        <v>0</v>
      </c>
      <c r="IP21" s="245"/>
      <c r="IQ21" s="245"/>
      <c r="IR21" s="245">
        <f t="shared" si="113"/>
        <v>0</v>
      </c>
      <c r="IS21" s="245"/>
      <c r="IT21" s="245"/>
      <c r="IU21" s="245">
        <f t="shared" si="114"/>
        <v>0</v>
      </c>
      <c r="IV21" s="245"/>
      <c r="IW21" s="245"/>
      <c r="IX21" s="245">
        <f t="shared" si="115"/>
        <v>0</v>
      </c>
      <c r="IY21" s="245"/>
      <c r="IZ21" s="245"/>
      <c r="JA21" s="245">
        <f t="shared" si="116"/>
        <v>0</v>
      </c>
      <c r="JB21" s="245"/>
      <c r="JC21" s="245"/>
      <c r="JD21" s="245">
        <f t="shared" si="117"/>
        <v>0</v>
      </c>
      <c r="JE21" s="245"/>
      <c r="JF21" s="245"/>
      <c r="JG21" s="245">
        <f t="shared" si="118"/>
        <v>0</v>
      </c>
      <c r="JH21" s="245"/>
      <c r="JI21" s="245"/>
      <c r="JJ21" s="245">
        <f t="shared" si="119"/>
        <v>0</v>
      </c>
      <c r="JK21" s="245"/>
      <c r="JL21" s="245"/>
      <c r="JM21" s="245">
        <f t="shared" si="120"/>
        <v>0</v>
      </c>
      <c r="JN21" s="245"/>
      <c r="JO21" s="245"/>
      <c r="JP21" s="245">
        <f t="shared" si="121"/>
        <v>0</v>
      </c>
      <c r="JQ21" s="245"/>
      <c r="JR21" s="245"/>
      <c r="JS21" s="245">
        <f t="shared" si="122"/>
        <v>0</v>
      </c>
      <c r="JT21" s="245"/>
      <c r="JU21" s="245"/>
      <c r="JV21" s="245">
        <f t="shared" si="123"/>
        <v>0</v>
      </c>
      <c r="JW21" s="245"/>
      <c r="JX21" s="245"/>
      <c r="JY21" s="245">
        <f t="shared" si="124"/>
        <v>0</v>
      </c>
      <c r="JZ21" s="245"/>
      <c r="KA21" s="245"/>
      <c r="KB21" s="245">
        <f t="shared" si="125"/>
        <v>0</v>
      </c>
      <c r="KC21" s="245"/>
      <c r="KD21" s="245"/>
      <c r="KE21" s="245">
        <f t="shared" si="126"/>
        <v>0</v>
      </c>
      <c r="KG21" s="151">
        <f t="shared" si="59"/>
        <v>64174.999999999534</v>
      </c>
    </row>
    <row r="22" spans="1:293" x14ac:dyDescent="0.25">
      <c r="A22" s="35">
        <f t="shared" si="0"/>
        <v>16</v>
      </c>
      <c r="B22" s="250">
        <v>5568.28</v>
      </c>
      <c r="C22" s="38">
        <f t="shared" si="1"/>
        <v>9.6799999999993815</v>
      </c>
      <c r="D22" s="38">
        <f t="shared" si="2"/>
        <v>309759.99999998021</v>
      </c>
      <c r="E22" s="250">
        <v>1117.95</v>
      </c>
      <c r="F22" s="38">
        <f t="shared" si="3"/>
        <v>57279.999999998836</v>
      </c>
      <c r="G22" s="38">
        <f t="shared" si="4"/>
        <v>367039.99999997905</v>
      </c>
      <c r="H22" s="37"/>
      <c r="I22" s="39"/>
      <c r="J22" s="42"/>
      <c r="K22" s="37">
        <f>IF(J22&lt;=0,0,(J22/SQRT(J22^2+(I22-I21)^2)))</f>
        <v>0</v>
      </c>
      <c r="L22" s="250">
        <v>18006900</v>
      </c>
      <c r="M22" s="40"/>
      <c r="N22" s="37">
        <f t="shared" si="81"/>
        <v>381000</v>
      </c>
      <c r="O22" s="250">
        <v>13030</v>
      </c>
      <c r="P22" s="37"/>
      <c r="Q22" s="37">
        <f>IF((O22-O21)&lt;=0,0,(O22-O21))*1000</f>
        <v>15000</v>
      </c>
      <c r="R22" s="37">
        <f>IF(Q22&lt;=0,0,(Q22/SQRT(Q22^2+(P22-P21)^2)))</f>
        <v>1</v>
      </c>
      <c r="S22" s="250">
        <v>11268762.949999999</v>
      </c>
      <c r="T22" s="37">
        <f t="shared" si="6"/>
        <v>0</v>
      </c>
      <c r="U22" s="250">
        <v>1523790.61</v>
      </c>
      <c r="V22" s="37">
        <f t="shared" si="7"/>
        <v>0</v>
      </c>
      <c r="W22" s="250">
        <v>4672.3</v>
      </c>
      <c r="X22" s="37">
        <f t="shared" si="95"/>
        <v>8000</v>
      </c>
      <c r="Y22" s="183"/>
      <c r="Z22" s="183"/>
      <c r="AA22" s="250">
        <v>854100</v>
      </c>
      <c r="AB22" s="37">
        <f t="shared" si="8"/>
        <v>7000</v>
      </c>
      <c r="AC22" s="250">
        <v>4831.7</v>
      </c>
      <c r="AD22" s="37"/>
      <c r="AE22" s="37">
        <f>IF((AC22-AC21)&lt;=0,0,(AC22-AC21))*1000</f>
        <v>5599.9999999994543</v>
      </c>
      <c r="AF22" s="37">
        <f>IF(AE22&lt;=0,0,(AE22/SQRT(AE22^2+(AD22-AD21)^2)))</f>
        <v>1</v>
      </c>
      <c r="AG22" s="250">
        <v>10497.8</v>
      </c>
      <c r="AH22" s="37"/>
      <c r="AI22" s="37">
        <f t="shared" si="10"/>
        <v>12527.53</v>
      </c>
      <c r="AJ22" s="37">
        <f t="shared" si="11"/>
        <v>1</v>
      </c>
      <c r="AK22" s="37">
        <f t="shared" si="12"/>
        <v>26127.529999999453</v>
      </c>
      <c r="AL22" s="250">
        <v>12172.6</v>
      </c>
      <c r="AM22" s="42"/>
      <c r="AN22" s="37">
        <f t="shared" si="60"/>
        <v>7057.5300000006373</v>
      </c>
      <c r="AO22" s="37">
        <f t="shared" si="84"/>
        <v>1</v>
      </c>
      <c r="AP22" s="250">
        <v>9615.1</v>
      </c>
      <c r="AQ22" s="37"/>
      <c r="AR22" s="37">
        <f t="shared" si="13"/>
        <v>13899.999999999636</v>
      </c>
      <c r="AS22" s="37">
        <f t="shared" si="85"/>
        <v>1</v>
      </c>
      <c r="AT22" s="183"/>
      <c r="AU22" s="183"/>
      <c r="AV22" s="183"/>
      <c r="AW22" s="183"/>
      <c r="AX22" s="250">
        <v>531560</v>
      </c>
      <c r="AY22" s="37"/>
      <c r="AZ22" s="37">
        <f t="shared" si="14"/>
        <v>480</v>
      </c>
      <c r="BA22" s="250">
        <v>218910</v>
      </c>
      <c r="BB22" s="37"/>
      <c r="BC22" s="37">
        <f t="shared" si="15"/>
        <v>720</v>
      </c>
      <c r="BD22" s="37">
        <f t="shared" si="86"/>
        <v>22157.530000000275</v>
      </c>
      <c r="BE22" s="250">
        <v>2105.3000000000002</v>
      </c>
      <c r="BF22" s="250">
        <v>1184.4000000000001</v>
      </c>
      <c r="BG22" s="37">
        <f t="shared" si="16"/>
        <v>1500</v>
      </c>
      <c r="BH22" s="250">
        <v>9964</v>
      </c>
      <c r="BI22" s="250">
        <v>6437.7</v>
      </c>
      <c r="BJ22" s="37">
        <f t="shared" si="17"/>
        <v>8600.0000000003638</v>
      </c>
      <c r="BK22" s="250">
        <v>2046390</v>
      </c>
      <c r="BL22" s="40">
        <f t="shared" si="87"/>
        <v>4270</v>
      </c>
      <c r="BM22" s="250">
        <v>947.37</v>
      </c>
      <c r="BN22" s="37">
        <f t="shared" si="18"/>
        <v>700.00000000004547</v>
      </c>
      <c r="BO22" s="186"/>
      <c r="BP22" s="183">
        <f t="shared" si="19"/>
        <v>0</v>
      </c>
      <c r="BQ22" s="250">
        <v>893.1</v>
      </c>
      <c r="BR22" s="37">
        <f t="shared" si="61"/>
        <v>700.00000000004547</v>
      </c>
      <c r="BS22" s="250">
        <v>122338.57</v>
      </c>
      <c r="BT22" s="37">
        <f t="shared" si="20"/>
        <v>237.91000000000349</v>
      </c>
      <c r="BU22" s="250">
        <v>3662695</v>
      </c>
      <c r="BV22" s="42"/>
      <c r="BW22" s="37">
        <f t="shared" si="21"/>
        <v>6415</v>
      </c>
      <c r="BX22" s="37">
        <f t="shared" si="88"/>
        <v>1</v>
      </c>
      <c r="BY22" s="250">
        <v>422.53219999999999</v>
      </c>
      <c r="BZ22" s="43"/>
      <c r="CA22" s="37">
        <f t="shared" si="127"/>
        <v>809.5000000000141</v>
      </c>
      <c r="CB22" s="37">
        <f t="shared" si="62"/>
        <v>1</v>
      </c>
      <c r="CC22" s="250">
        <v>827892.3</v>
      </c>
      <c r="CD22" s="37">
        <f t="shared" si="23"/>
        <v>398.40000000002328</v>
      </c>
      <c r="CE22" s="250">
        <v>1838234</v>
      </c>
      <c r="CF22" s="37">
        <f t="shared" si="24"/>
        <v>5527</v>
      </c>
      <c r="CG22" s="250">
        <v>122633</v>
      </c>
      <c r="CH22" s="37">
        <f t="shared" si="63"/>
        <v>0</v>
      </c>
      <c r="CI22" s="250">
        <v>14644.47</v>
      </c>
      <c r="CJ22" s="40"/>
      <c r="CK22" s="37">
        <f t="shared" si="64"/>
        <v>14788.029999999695</v>
      </c>
      <c r="CL22" s="37">
        <f t="shared" si="25"/>
        <v>1</v>
      </c>
      <c r="CM22" s="250">
        <v>4358.1080000000002</v>
      </c>
      <c r="CN22" s="37"/>
      <c r="CO22" s="37">
        <f t="shared" si="26"/>
        <v>8289.5300000006264</v>
      </c>
      <c r="CP22" s="37">
        <f t="shared" si="89"/>
        <v>1</v>
      </c>
      <c r="CQ22" s="250">
        <v>882004.5</v>
      </c>
      <c r="CR22" s="39"/>
      <c r="CS22" s="37">
        <f t="shared" si="65"/>
        <v>6025.2299999999532</v>
      </c>
      <c r="CT22" s="37">
        <f t="shared" si="66"/>
        <v>1</v>
      </c>
      <c r="CU22" s="250">
        <v>4711504</v>
      </c>
      <c r="CV22" s="37"/>
      <c r="CW22" s="38">
        <f t="shared" si="27"/>
        <v>20879</v>
      </c>
      <c r="CX22" s="37">
        <f t="shared" si="90"/>
        <v>1</v>
      </c>
      <c r="CY22" s="250">
        <v>2523183</v>
      </c>
      <c r="CZ22" s="37"/>
      <c r="DA22" s="37">
        <f t="shared" si="28"/>
        <v>11293</v>
      </c>
      <c r="DB22" s="37">
        <f t="shared" si="91"/>
        <v>1</v>
      </c>
      <c r="DC22" s="37"/>
      <c r="DD22" s="40"/>
      <c r="DE22" s="37">
        <f t="shared" si="29"/>
        <v>0</v>
      </c>
      <c r="DF22" s="37">
        <f t="shared" si="96"/>
        <v>0</v>
      </c>
      <c r="DG22" s="37">
        <f t="shared" si="30"/>
        <v>-67689.79000000027</v>
      </c>
      <c r="DH22" s="37">
        <f t="shared" si="31"/>
        <v>408627.52999999945</v>
      </c>
      <c r="DI22" s="46"/>
      <c r="DJ22" s="46"/>
      <c r="DK22" s="47"/>
      <c r="DL22" s="47"/>
      <c r="DM22" s="37"/>
      <c r="DN22" s="37"/>
      <c r="DO22" s="37"/>
      <c r="DP22" s="37"/>
      <c r="DQ22" s="250">
        <v>4597200</v>
      </c>
      <c r="DR22" s="49">
        <f t="shared" si="67"/>
        <v>10700</v>
      </c>
      <c r="DS22" s="250">
        <v>6149400</v>
      </c>
      <c r="DT22" s="49">
        <f>IF((DS22-DS21)&lt;=0,0,(DS22-DS21))</f>
        <v>25700</v>
      </c>
      <c r="DU22" s="250">
        <v>8463.9</v>
      </c>
      <c r="DV22" s="250">
        <v>4765.2</v>
      </c>
      <c r="DW22" s="37">
        <f t="shared" si="92"/>
        <v>799.9999999992724</v>
      </c>
      <c r="DX22" s="250">
        <v>14012</v>
      </c>
      <c r="DY22" s="250">
        <v>8773.2000000000007</v>
      </c>
      <c r="DZ22" s="37">
        <f t="shared" si="32"/>
        <v>527.53</v>
      </c>
      <c r="EA22" s="250">
        <v>32542</v>
      </c>
      <c r="EB22" s="250">
        <v>22.222999999999999</v>
      </c>
      <c r="EC22" s="37">
        <f t="shared" si="33"/>
        <v>4687.53</v>
      </c>
      <c r="ED22" s="53">
        <f t="shared" si="34"/>
        <v>6015.0599999992719</v>
      </c>
      <c r="EE22" s="250">
        <v>48511</v>
      </c>
      <c r="EF22" s="250">
        <v>31.981000000000002</v>
      </c>
      <c r="EG22" s="37">
        <f t="shared" si="35"/>
        <v>31687.53</v>
      </c>
      <c r="EH22" s="250">
        <v>14369</v>
      </c>
      <c r="EI22" s="250">
        <v>2.1215999999999999</v>
      </c>
      <c r="EJ22" s="37">
        <f t="shared" si="36"/>
        <v>9527.5300000000007</v>
      </c>
      <c r="EK22" s="250">
        <v>875.23</v>
      </c>
      <c r="EL22" s="250">
        <v>1253.5999999999999</v>
      </c>
      <c r="EM22" s="37">
        <f t="shared" si="69"/>
        <v>680.00000000006366</v>
      </c>
      <c r="EN22" s="54">
        <f t="shared" si="70"/>
        <v>41895.060000000063</v>
      </c>
      <c r="EO22" s="250">
        <v>13860</v>
      </c>
      <c r="EP22" s="48"/>
      <c r="EQ22" s="37">
        <f t="shared" si="97"/>
        <v>6412.5299999999907</v>
      </c>
      <c r="ER22" s="250">
        <v>11208</v>
      </c>
      <c r="ES22" s="48"/>
      <c r="ET22" s="49">
        <f t="shared" si="106"/>
        <v>18000</v>
      </c>
      <c r="EU22" s="250">
        <v>4662.3</v>
      </c>
      <c r="EV22" s="48"/>
      <c r="EW22" s="49">
        <f t="shared" si="38"/>
        <v>10827.530000000183</v>
      </c>
      <c r="EX22" s="250">
        <v>14794</v>
      </c>
      <c r="EY22" s="48"/>
      <c r="EZ22" s="37">
        <f t="shared" si="39"/>
        <v>11527.53</v>
      </c>
      <c r="FA22" s="48">
        <f t="shared" si="71"/>
        <v>-22620.590000000175</v>
      </c>
      <c r="FB22" s="250">
        <v>39094569</v>
      </c>
      <c r="FC22" s="49">
        <f t="shared" si="93"/>
        <v>24147</v>
      </c>
      <c r="FD22" s="48">
        <f t="shared" si="72"/>
        <v>48363.590000000171</v>
      </c>
      <c r="FE22" s="250">
        <v>18049</v>
      </c>
      <c r="FF22" s="48"/>
      <c r="FG22" s="37">
        <f t="shared" si="73"/>
        <v>9642.5300000000097</v>
      </c>
      <c r="FH22" s="250">
        <v>10714</v>
      </c>
      <c r="FI22" s="48"/>
      <c r="FJ22" s="49">
        <f t="shared" si="40"/>
        <v>16527.53</v>
      </c>
      <c r="FK22" s="48"/>
      <c r="FL22" s="58"/>
      <c r="FM22" s="48">
        <f t="shared" si="94"/>
        <v>1100.8033333333306</v>
      </c>
      <c r="FN22" s="250">
        <v>17957</v>
      </c>
      <c r="FO22" s="48"/>
      <c r="FP22" s="37">
        <f t="shared" si="74"/>
        <v>7527.53</v>
      </c>
      <c r="FQ22" s="250">
        <v>63183</v>
      </c>
      <c r="FR22" s="48"/>
      <c r="FS22" s="37">
        <f t="shared" si="41"/>
        <v>37000</v>
      </c>
      <c r="FT22" s="48">
        <f t="shared" si="75"/>
        <v>3302.4099999999917</v>
      </c>
      <c r="FU22" s="48">
        <f t="shared" si="76"/>
        <v>33697.590000000011</v>
      </c>
      <c r="FV22" s="250">
        <v>7107200</v>
      </c>
      <c r="FW22" s="44"/>
      <c r="FX22" s="37">
        <f t="shared" si="42"/>
        <v>17600</v>
      </c>
      <c r="FY22" s="250">
        <v>200000</v>
      </c>
      <c r="FZ22" s="56"/>
      <c r="GA22" s="37">
        <f t="shared" si="43"/>
        <v>4130</v>
      </c>
      <c r="GB22" s="250">
        <v>901.63</v>
      </c>
      <c r="GC22" s="56"/>
      <c r="GD22" s="37">
        <f t="shared" si="44"/>
        <v>659.99999999996817</v>
      </c>
      <c r="GE22" s="250">
        <v>11088</v>
      </c>
      <c r="GF22" s="56"/>
      <c r="GG22" s="37">
        <f t="shared" si="45"/>
        <v>4404</v>
      </c>
      <c r="GH22" s="250">
        <v>92815</v>
      </c>
      <c r="GI22" s="162"/>
      <c r="GJ22" s="38">
        <f t="shared" si="77"/>
        <v>1596</v>
      </c>
      <c r="GK22" s="250">
        <v>1533.9</v>
      </c>
      <c r="GL22" s="163"/>
      <c r="GM22" s="38">
        <f t="shared" si="46"/>
        <v>0</v>
      </c>
      <c r="GN22" s="250">
        <v>244130</v>
      </c>
      <c r="GO22" s="57"/>
      <c r="GP22" s="38">
        <f t="shared" si="98"/>
        <v>0</v>
      </c>
      <c r="GQ22" s="250">
        <v>302660</v>
      </c>
      <c r="GR22" s="38"/>
      <c r="GS22" s="38">
        <f t="shared" si="78"/>
        <v>170</v>
      </c>
      <c r="GT22" s="247"/>
      <c r="GU22" s="144">
        <f>DailySep!B21-DailySep!N21-DailySep!V21-DailySep!Y21-DailySep!Z21-DailySep!AA21-DailySep!AB21-DailySep!AC21-DailySep!AD21-DailySep!AE21-DailySep!AK21-DailySep!AO21-DailySep!AS21-DailySep!AY21-DailySep!BD21+DailySep!BU21-DailySep!BG21-DailySep!BT21-DailySep!AF21-DailySep!AG21</f>
        <v>-5.0000020943116397E-2</v>
      </c>
      <c r="GV22" s="261">
        <v>-7087.1</v>
      </c>
      <c r="GW22" s="60">
        <f t="shared" si="48"/>
        <v>-472.47333333333336</v>
      </c>
      <c r="GX22" s="260">
        <v>-472.47</v>
      </c>
      <c r="GY22" s="140"/>
      <c r="GZ22" s="528"/>
      <c r="HA22" s="528"/>
      <c r="HB22" s="528"/>
      <c r="HC22" s="528"/>
      <c r="HD22" s="74"/>
      <c r="HE22" s="24">
        <f t="shared" si="49"/>
        <v>0</v>
      </c>
      <c r="HF22" s="255"/>
      <c r="HG22" s="279">
        <v>16</v>
      </c>
      <c r="HH22" s="292">
        <v>27291</v>
      </c>
      <c r="HI22" s="292">
        <v>10391</v>
      </c>
      <c r="HJ22" s="61">
        <f t="shared" si="50"/>
        <v>165000</v>
      </c>
      <c r="HK22" s="260">
        <v>2.1432000000000002</v>
      </c>
      <c r="HL22" s="292">
        <v>807.23</v>
      </c>
      <c r="HM22" s="61">
        <f t="shared" si="107"/>
        <v>0</v>
      </c>
      <c r="HN22" s="292">
        <v>6947.9</v>
      </c>
      <c r="HO22" s="292">
        <v>2962.9</v>
      </c>
      <c r="HP22" s="61">
        <f t="shared" si="52"/>
        <v>43174.999999999272</v>
      </c>
      <c r="HQ22" s="292">
        <v>4847.3999999999996</v>
      </c>
      <c r="HR22" s="292">
        <v>2044.4</v>
      </c>
      <c r="HS22" s="61">
        <f t="shared" si="53"/>
        <v>24974.999999999454</v>
      </c>
      <c r="HT22" s="292">
        <v>4751.6000000000004</v>
      </c>
      <c r="HU22" s="292">
        <v>1719.7</v>
      </c>
      <c r="HV22" s="61">
        <f t="shared" si="54"/>
        <v>21375</v>
      </c>
      <c r="HW22" s="292">
        <v>3455.2</v>
      </c>
      <c r="HX22" s="292">
        <v>1481.2</v>
      </c>
      <c r="HY22" s="61">
        <f t="shared" si="55"/>
        <v>21174.999999999727</v>
      </c>
      <c r="HZ22" s="260">
        <v>2684100</v>
      </c>
      <c r="IA22" s="260">
        <v>11676</v>
      </c>
      <c r="IB22" s="61">
        <f t="shared" si="56"/>
        <v>28600</v>
      </c>
      <c r="IC22" s="292">
        <v>719.8</v>
      </c>
      <c r="ID22" s="292">
        <v>232.78</v>
      </c>
      <c r="IE22" s="61">
        <f t="shared" si="79"/>
        <v>0</v>
      </c>
      <c r="IF22" s="61"/>
      <c r="IG22" s="61"/>
      <c r="IH22" s="280">
        <f t="shared" si="57"/>
        <v>25700</v>
      </c>
      <c r="II22" s="281">
        <f t="shared" si="58"/>
        <v>1.5570549294352531E-9</v>
      </c>
      <c r="IJ22" s="245"/>
      <c r="IK22" s="245"/>
      <c r="IL22" s="245">
        <f t="shared" si="111"/>
        <v>0</v>
      </c>
      <c r="IM22" s="245"/>
      <c r="IN22" s="245"/>
      <c r="IO22" s="245">
        <f t="shared" si="112"/>
        <v>0</v>
      </c>
      <c r="IP22" s="245"/>
      <c r="IQ22" s="245"/>
      <c r="IR22" s="245">
        <f t="shared" si="113"/>
        <v>0</v>
      </c>
      <c r="IS22" s="245"/>
      <c r="IT22" s="245"/>
      <c r="IU22" s="245">
        <f t="shared" si="114"/>
        <v>0</v>
      </c>
      <c r="IV22" s="245"/>
      <c r="IW22" s="245"/>
      <c r="IX22" s="245">
        <f t="shared" si="115"/>
        <v>0</v>
      </c>
      <c r="IY22" s="245"/>
      <c r="IZ22" s="245"/>
      <c r="JA22" s="245">
        <f t="shared" si="116"/>
        <v>0</v>
      </c>
      <c r="JB22" s="245"/>
      <c r="JC22" s="245"/>
      <c r="JD22" s="245">
        <f t="shared" si="117"/>
        <v>0</v>
      </c>
      <c r="JE22" s="245"/>
      <c r="JF22" s="245"/>
      <c r="JG22" s="245">
        <f t="shared" si="118"/>
        <v>0</v>
      </c>
      <c r="JH22" s="245"/>
      <c r="JI22" s="245"/>
      <c r="JJ22" s="245">
        <f t="shared" si="119"/>
        <v>0</v>
      </c>
      <c r="JK22" s="245"/>
      <c r="JL22" s="245"/>
      <c r="JM22" s="245">
        <f t="shared" si="120"/>
        <v>0</v>
      </c>
      <c r="JN22" s="245"/>
      <c r="JO22" s="245"/>
      <c r="JP22" s="245">
        <f t="shared" si="121"/>
        <v>0</v>
      </c>
      <c r="JQ22" s="245"/>
      <c r="JR22" s="245"/>
      <c r="JS22" s="245">
        <f t="shared" si="122"/>
        <v>0</v>
      </c>
      <c r="JT22" s="245"/>
      <c r="JU22" s="245"/>
      <c r="JV22" s="245">
        <f t="shared" si="123"/>
        <v>0</v>
      </c>
      <c r="JW22" s="245"/>
      <c r="JX22" s="245"/>
      <c r="JY22" s="245">
        <f t="shared" si="124"/>
        <v>0</v>
      </c>
      <c r="JZ22" s="245"/>
      <c r="KA22" s="245"/>
      <c r="KB22" s="245">
        <f t="shared" si="125"/>
        <v>0</v>
      </c>
      <c r="KC22" s="245"/>
      <c r="KD22" s="245"/>
      <c r="KE22" s="245">
        <f t="shared" si="126"/>
        <v>0</v>
      </c>
      <c r="KG22" s="151">
        <f t="shared" si="59"/>
        <v>71775.000000000829</v>
      </c>
    </row>
    <row r="23" spans="1:293" x14ac:dyDescent="0.25">
      <c r="A23" s="35">
        <f t="shared" si="0"/>
        <v>17</v>
      </c>
      <c r="B23" s="250">
        <v>5577.46</v>
      </c>
      <c r="C23" s="38">
        <f t="shared" si="1"/>
        <v>9.180000000000291</v>
      </c>
      <c r="D23" s="38">
        <f t="shared" si="2"/>
        <v>293760.00000000931</v>
      </c>
      <c r="E23" s="250">
        <v>1119.6600000000001</v>
      </c>
      <c r="F23" s="38">
        <f t="shared" si="3"/>
        <v>54720.000000001164</v>
      </c>
      <c r="G23" s="38">
        <f t="shared" si="4"/>
        <v>348480.00000001048</v>
      </c>
      <c r="H23" s="37"/>
      <c r="I23" s="39"/>
      <c r="J23" s="42"/>
      <c r="K23" s="37">
        <f t="shared" ref="K23:K24" si="128">IF(J23&lt;=0,0,(J23/SQRT(J23^2+(I23-I22)^2)))</f>
        <v>0</v>
      </c>
      <c r="L23" s="250">
        <v>18039300</v>
      </c>
      <c r="M23" s="40"/>
      <c r="N23" s="37">
        <f t="shared" si="81"/>
        <v>324000</v>
      </c>
      <c r="O23" s="250">
        <v>13043.5</v>
      </c>
      <c r="P23" s="37"/>
      <c r="Q23" s="37">
        <f t="shared" ref="Q23:Q36" si="129">IF((O23-O22)&lt;=0,0,(O23-O22))*1000</f>
        <v>13500</v>
      </c>
      <c r="R23" s="37">
        <f t="shared" ref="R23:R24" si="130">IF(Q23&lt;=0,0,(Q23/SQRT(Q23^2+(P23-P22)^2)))</f>
        <v>1</v>
      </c>
      <c r="S23" s="250">
        <v>11268762.560000001</v>
      </c>
      <c r="T23" s="37">
        <f t="shared" si="6"/>
        <v>0</v>
      </c>
      <c r="U23" s="250">
        <v>1523790.61</v>
      </c>
      <c r="V23" s="37">
        <f t="shared" si="7"/>
        <v>0</v>
      </c>
      <c r="W23" s="250">
        <v>4677.8999999999996</v>
      </c>
      <c r="X23" s="37">
        <f t="shared" si="95"/>
        <v>7100</v>
      </c>
      <c r="Y23" s="183"/>
      <c r="Z23" s="183"/>
      <c r="AA23" s="250">
        <v>860500</v>
      </c>
      <c r="AB23" s="37">
        <f t="shared" si="8"/>
        <v>6400</v>
      </c>
      <c r="AC23" s="250">
        <v>4838.5</v>
      </c>
      <c r="AD23" s="37"/>
      <c r="AE23" s="37">
        <f t="shared" ref="AE23:AE36" si="131">IF((AC23-AC22)&lt;=0,0,(AC23-AC22))*1000</f>
        <v>6800.0000000001819</v>
      </c>
      <c r="AF23" s="37">
        <f t="shared" ref="AF23:AF24" si="132">IF(AE23&lt;=0,0,(AE23/SQRT(AE23^2+(AD23-AD22)^2)))</f>
        <v>1</v>
      </c>
      <c r="AG23" s="250">
        <v>10513.2</v>
      </c>
      <c r="AH23" s="70"/>
      <c r="AI23" s="37">
        <f t="shared" si="10"/>
        <v>16252.210000001454</v>
      </c>
      <c r="AJ23" s="37">
        <f t="shared" si="11"/>
        <v>1</v>
      </c>
      <c r="AK23" s="37">
        <f t="shared" si="12"/>
        <v>30152.210000001636</v>
      </c>
      <c r="AL23" s="250">
        <v>12184.5</v>
      </c>
      <c r="AM23" s="42"/>
      <c r="AN23" s="37">
        <f t="shared" si="60"/>
        <v>7622.2099999997072</v>
      </c>
      <c r="AO23" s="37">
        <f t="shared" si="84"/>
        <v>1</v>
      </c>
      <c r="AP23" s="250">
        <v>9623.7000000000007</v>
      </c>
      <c r="AQ23" s="37"/>
      <c r="AR23" s="37">
        <f t="shared" si="13"/>
        <v>8600.0000000003638</v>
      </c>
      <c r="AS23" s="37">
        <f t="shared" si="85"/>
        <v>1</v>
      </c>
      <c r="AT23" s="183"/>
      <c r="AU23" s="183"/>
      <c r="AV23" s="183"/>
      <c r="AW23" s="183"/>
      <c r="AX23" s="250">
        <v>531910</v>
      </c>
      <c r="AY23" s="37"/>
      <c r="AZ23" s="37">
        <f t="shared" si="14"/>
        <v>350</v>
      </c>
      <c r="BA23" s="250">
        <v>219470</v>
      </c>
      <c r="BB23" s="37"/>
      <c r="BC23" s="37">
        <f t="shared" si="15"/>
        <v>560</v>
      </c>
      <c r="BD23" s="37">
        <f t="shared" si="86"/>
        <v>17132.210000000072</v>
      </c>
      <c r="BE23" s="250">
        <v>2106.8000000000002</v>
      </c>
      <c r="BF23" s="250">
        <v>1185.4000000000001</v>
      </c>
      <c r="BG23" s="37">
        <f t="shared" si="16"/>
        <v>1500</v>
      </c>
      <c r="BH23" s="250">
        <v>9972.9</v>
      </c>
      <c r="BI23" s="250">
        <v>6443.7</v>
      </c>
      <c r="BJ23" s="37">
        <f t="shared" si="17"/>
        <v>8899.9999999996362</v>
      </c>
      <c r="BK23" s="250">
        <v>2050190</v>
      </c>
      <c r="BL23" s="40">
        <f t="shared" si="87"/>
        <v>3800</v>
      </c>
      <c r="BM23" s="250">
        <v>948</v>
      </c>
      <c r="BN23" s="37">
        <f t="shared" si="18"/>
        <v>629.99999999999545</v>
      </c>
      <c r="BO23" s="186"/>
      <c r="BP23" s="183">
        <f t="shared" si="19"/>
        <v>0</v>
      </c>
      <c r="BQ23" s="250">
        <v>893.8</v>
      </c>
      <c r="BR23" s="37">
        <f t="shared" si="61"/>
        <v>699.99999999993179</v>
      </c>
      <c r="BS23" s="250">
        <v>122536.05</v>
      </c>
      <c r="BT23" s="37">
        <f t="shared" si="20"/>
        <v>197.47999999999593</v>
      </c>
      <c r="BU23" s="250">
        <v>3668339</v>
      </c>
      <c r="BV23" s="42"/>
      <c r="BW23" s="37">
        <f t="shared" si="21"/>
        <v>5644</v>
      </c>
      <c r="BX23" s="37">
        <f t="shared" si="88"/>
        <v>1</v>
      </c>
      <c r="BY23" s="250">
        <v>423.19</v>
      </c>
      <c r="BZ23" s="43"/>
      <c r="CA23" s="37">
        <f t="shared" si="127"/>
        <v>657.80000000000882</v>
      </c>
      <c r="CB23" s="37">
        <f t="shared" si="62"/>
        <v>1</v>
      </c>
      <c r="CC23" s="250">
        <v>827892.3</v>
      </c>
      <c r="CD23" s="37">
        <f t="shared" si="23"/>
        <v>0</v>
      </c>
      <c r="CE23" s="250">
        <v>1843801</v>
      </c>
      <c r="CF23" s="37">
        <f t="shared" si="24"/>
        <v>5567</v>
      </c>
      <c r="CG23" s="250">
        <v>122633</v>
      </c>
      <c r="CH23" s="37">
        <f t="shared" si="63"/>
        <v>0</v>
      </c>
      <c r="CI23" s="250">
        <v>14659.06</v>
      </c>
      <c r="CJ23" s="40"/>
      <c r="CK23" s="37">
        <f t="shared" si="64"/>
        <v>14784.410000000136</v>
      </c>
      <c r="CL23" s="37">
        <f t="shared" si="25"/>
        <v>1</v>
      </c>
      <c r="CM23" s="250">
        <v>4365.84</v>
      </c>
      <c r="CN23" s="37"/>
      <c r="CO23" s="37">
        <f t="shared" si="26"/>
        <v>8584.20999999997</v>
      </c>
      <c r="CP23" s="37">
        <f t="shared" si="89"/>
        <v>1</v>
      </c>
      <c r="CQ23" s="250">
        <v>887789.1</v>
      </c>
      <c r="CR23" s="39"/>
      <c r="CS23" s="37">
        <f t="shared" si="65"/>
        <v>6636.8099999999768</v>
      </c>
      <c r="CT23" s="37">
        <f t="shared" si="66"/>
        <v>1</v>
      </c>
      <c r="CU23" s="250">
        <v>4730326</v>
      </c>
      <c r="CV23" s="37"/>
      <c r="CW23" s="38">
        <f t="shared" si="27"/>
        <v>18822</v>
      </c>
      <c r="CX23" s="37">
        <f t="shared" si="90"/>
        <v>1</v>
      </c>
      <c r="CY23" s="250">
        <v>2533686</v>
      </c>
      <c r="CZ23" s="37"/>
      <c r="DA23" s="37">
        <f t="shared" si="28"/>
        <v>10503</v>
      </c>
      <c r="DB23" s="37">
        <f t="shared" si="91"/>
        <v>1</v>
      </c>
      <c r="DC23" s="37"/>
      <c r="DD23" s="40"/>
      <c r="DE23" s="37">
        <f t="shared" si="29"/>
        <v>0</v>
      </c>
      <c r="DF23" s="37">
        <f t="shared" si="96"/>
        <v>0</v>
      </c>
      <c r="DG23" s="37">
        <f t="shared" si="30"/>
        <v>-64974.43000000008</v>
      </c>
      <c r="DH23" s="37">
        <f t="shared" si="31"/>
        <v>355652.21000000165</v>
      </c>
      <c r="DI23" s="46"/>
      <c r="DJ23" s="46"/>
      <c r="DK23" s="47"/>
      <c r="DL23" s="47"/>
      <c r="DM23" s="37"/>
      <c r="DN23" s="37"/>
      <c r="DO23" s="37"/>
      <c r="DP23" s="37"/>
      <c r="DQ23" s="250">
        <v>4607700</v>
      </c>
      <c r="DR23" s="49">
        <f t="shared" si="67"/>
        <v>10500</v>
      </c>
      <c r="DS23" s="250">
        <v>6175600</v>
      </c>
      <c r="DT23" s="49">
        <f>IF((DS23-DS22)&lt;=0,0,(DS23-DS22))</f>
        <v>26200</v>
      </c>
      <c r="DU23" s="250">
        <v>8464.5</v>
      </c>
      <c r="DV23" s="250">
        <v>4765.3999999999996</v>
      </c>
      <c r="DW23" s="37">
        <f t="shared" si="92"/>
        <v>600.0000000003638</v>
      </c>
      <c r="DX23" s="250">
        <v>14013</v>
      </c>
      <c r="DY23" s="250">
        <v>8773.6</v>
      </c>
      <c r="DZ23" s="37">
        <f t="shared" si="32"/>
        <v>1852.21</v>
      </c>
      <c r="EA23" s="250">
        <v>32545</v>
      </c>
      <c r="EB23" s="250">
        <v>22.22</v>
      </c>
      <c r="EC23" s="37">
        <f t="shared" si="33"/>
        <v>6012.21</v>
      </c>
      <c r="ED23" s="53">
        <f t="shared" si="34"/>
        <v>8464.4200000003639</v>
      </c>
      <c r="EE23" s="250">
        <v>48543</v>
      </c>
      <c r="EF23" s="250">
        <v>32</v>
      </c>
      <c r="EG23" s="37">
        <f t="shared" si="35"/>
        <v>35012.21</v>
      </c>
      <c r="EH23" s="250">
        <v>14379</v>
      </c>
      <c r="EI23" s="250">
        <v>2.12</v>
      </c>
      <c r="EJ23" s="37">
        <f t="shared" si="36"/>
        <v>10852.21</v>
      </c>
      <c r="EK23" s="250">
        <v>875.88</v>
      </c>
      <c r="EL23" s="250">
        <v>1254.5</v>
      </c>
      <c r="EM23" s="37">
        <f t="shared" si="69"/>
        <v>649.99999999997726</v>
      </c>
      <c r="EN23" s="54">
        <f t="shared" si="70"/>
        <v>46514.419999999976</v>
      </c>
      <c r="EO23" s="250">
        <v>13867</v>
      </c>
      <c r="EP23" s="48"/>
      <c r="EQ23" s="37">
        <f t="shared" si="97"/>
        <v>6727.21</v>
      </c>
      <c r="ER23" s="250">
        <v>11225</v>
      </c>
      <c r="ES23" s="48"/>
      <c r="ET23" s="49">
        <f t="shared" si="106"/>
        <v>17000</v>
      </c>
      <c r="EU23" s="250">
        <v>4672.33</v>
      </c>
      <c r="EV23" s="48"/>
      <c r="EW23" s="49">
        <f t="shared" si="38"/>
        <v>10882.209999999744</v>
      </c>
      <c r="EX23" s="250">
        <v>14805</v>
      </c>
      <c r="EY23" s="48"/>
      <c r="EZ23" s="37">
        <f t="shared" si="39"/>
        <v>11852.21</v>
      </c>
      <c r="FA23" s="48">
        <f t="shared" si="71"/>
        <v>-22121.629999999743</v>
      </c>
      <c r="FB23" s="250">
        <v>39118909</v>
      </c>
      <c r="FC23" s="49">
        <f t="shared" si="93"/>
        <v>24340</v>
      </c>
      <c r="FD23" s="48">
        <f t="shared" si="72"/>
        <v>48016.32999999974</v>
      </c>
      <c r="FE23" s="250">
        <v>18057</v>
      </c>
      <c r="FF23" s="48"/>
      <c r="FG23" s="37">
        <f t="shared" si="73"/>
        <v>9977.2099999999991</v>
      </c>
      <c r="FH23" s="250">
        <v>10727</v>
      </c>
      <c r="FI23" s="48"/>
      <c r="FJ23" s="49">
        <f t="shared" si="40"/>
        <v>13852.21</v>
      </c>
      <c r="FK23" s="48"/>
      <c r="FL23" s="58"/>
      <c r="FM23" s="48">
        <f t="shared" si="94"/>
        <v>-1617.2099999994171</v>
      </c>
      <c r="FN23" s="250">
        <v>17968</v>
      </c>
      <c r="FO23" s="48"/>
      <c r="FP23" s="37">
        <f t="shared" si="74"/>
        <v>11852.21</v>
      </c>
      <c r="FQ23" s="250">
        <v>63213.83</v>
      </c>
      <c r="FR23" s="48"/>
      <c r="FS23" s="37">
        <f t="shared" si="41"/>
        <v>30830.000000001746</v>
      </c>
      <c r="FT23" s="48">
        <f t="shared" si="75"/>
        <v>-4851.6299999982512</v>
      </c>
      <c r="FU23" s="48">
        <f t="shared" si="76"/>
        <v>35728.629999999794</v>
      </c>
      <c r="FV23" s="250">
        <v>7124049</v>
      </c>
      <c r="FW23" s="44"/>
      <c r="FX23" s="37">
        <f t="shared" si="42"/>
        <v>16849</v>
      </c>
      <c r="FY23" s="250">
        <v>204011</v>
      </c>
      <c r="FZ23" s="56"/>
      <c r="GA23" s="37">
        <f t="shared" si="43"/>
        <v>4011</v>
      </c>
      <c r="GB23" s="250">
        <v>902.36</v>
      </c>
      <c r="GC23" s="56"/>
      <c r="GD23" s="37">
        <f t="shared" si="44"/>
        <v>730.00000000001819</v>
      </c>
      <c r="GE23" s="250">
        <v>11095.06</v>
      </c>
      <c r="GF23" s="56"/>
      <c r="GG23" s="37">
        <f t="shared" si="45"/>
        <v>5458.2999999996955</v>
      </c>
      <c r="GH23" s="250">
        <v>94369.7</v>
      </c>
      <c r="GI23" s="162"/>
      <c r="GJ23" s="38">
        <f t="shared" si="77"/>
        <v>1554.6999999999971</v>
      </c>
      <c r="GK23" s="250">
        <v>1533.9469999999999</v>
      </c>
      <c r="GL23" s="163"/>
      <c r="GM23" s="38">
        <f t="shared" si="46"/>
        <v>46.999999999798092</v>
      </c>
      <c r="GN23" s="250">
        <v>244134.2</v>
      </c>
      <c r="GO23" s="57"/>
      <c r="GP23" s="38">
        <f t="shared" si="98"/>
        <v>4.2000000000116415</v>
      </c>
      <c r="GQ23" s="250">
        <v>302824.09999999998</v>
      </c>
      <c r="GR23" s="38"/>
      <c r="GS23" s="38">
        <f t="shared" si="78"/>
        <v>164.09999999997672</v>
      </c>
      <c r="GT23" s="247"/>
      <c r="GU23" s="144">
        <f>DailySep!B22-DailySep!N22-DailySep!V22-DailySep!Y22-DailySep!Z22-DailySep!AA22-DailySep!AB22-DailySep!AC22-DailySep!AD22-DailySep!AE22-DailySep!AK22-DailySep!AO22-DailySep!AS22-DailySep!AY22-DailySep!BD22+DailySep!BU22-DailySep!BG22-DailySep!BT22-DailySep!AF22-DailySep!AG22</f>
        <v>-4.9999990500509739E-2</v>
      </c>
      <c r="GV23" s="261">
        <v>12783.1</v>
      </c>
      <c r="GW23" s="60">
        <f t="shared" si="48"/>
        <v>852.20666666666671</v>
      </c>
      <c r="GX23" s="260">
        <v>852.21</v>
      </c>
      <c r="GY23" s="140"/>
      <c r="GZ23" s="528"/>
      <c r="HA23" s="528"/>
      <c r="HB23" s="528"/>
      <c r="HC23" s="528"/>
      <c r="HD23" s="74"/>
      <c r="HE23" s="24">
        <f t="shared" si="49"/>
        <v>0</v>
      </c>
      <c r="HF23" s="255"/>
      <c r="HG23" s="279">
        <v>17</v>
      </c>
      <c r="HH23" s="292">
        <v>27438</v>
      </c>
      <c r="HI23" s="292">
        <v>10447</v>
      </c>
      <c r="HJ23" s="61">
        <f t="shared" si="50"/>
        <v>147000</v>
      </c>
      <c r="HK23" s="260">
        <v>2.1432000000000002</v>
      </c>
      <c r="HL23" s="292">
        <v>807.23</v>
      </c>
      <c r="HM23" s="61">
        <f t="shared" si="107"/>
        <v>0</v>
      </c>
      <c r="HN23" s="292">
        <v>6978</v>
      </c>
      <c r="HO23" s="292">
        <v>2977.6</v>
      </c>
      <c r="HP23" s="61">
        <f t="shared" si="52"/>
        <v>31625.000000000364</v>
      </c>
      <c r="HQ23" s="292">
        <v>4871.8</v>
      </c>
      <c r="HR23" s="292">
        <v>2054.1</v>
      </c>
      <c r="HS23" s="61">
        <f t="shared" si="53"/>
        <v>25925.000000000546</v>
      </c>
      <c r="HT23" s="292">
        <v>4774.6000000000004</v>
      </c>
      <c r="HU23" s="292">
        <v>1728</v>
      </c>
      <c r="HV23" s="61">
        <f t="shared" si="54"/>
        <v>24525</v>
      </c>
      <c r="HW23" s="292">
        <v>3463</v>
      </c>
      <c r="HX23" s="292">
        <v>1485.2</v>
      </c>
      <c r="HY23" s="61">
        <f t="shared" si="55"/>
        <v>9325.0000000001819</v>
      </c>
      <c r="HZ23" s="260">
        <v>2713500</v>
      </c>
      <c r="IA23" s="260">
        <v>11798</v>
      </c>
      <c r="IB23" s="61">
        <f t="shared" si="56"/>
        <v>29400</v>
      </c>
      <c r="IC23" s="292">
        <v>719.8</v>
      </c>
      <c r="ID23" s="292">
        <v>232.78</v>
      </c>
      <c r="IE23" s="61">
        <f t="shared" si="79"/>
        <v>0</v>
      </c>
      <c r="IF23" s="61"/>
      <c r="IG23" s="61"/>
      <c r="IH23" s="280">
        <f t="shared" si="57"/>
        <v>26200</v>
      </c>
      <c r="II23" s="281">
        <f t="shared" si="58"/>
        <v>-1.0913936421275139E-9</v>
      </c>
      <c r="IJ23" s="245"/>
      <c r="IK23" s="245"/>
      <c r="IL23" s="245">
        <f t="shared" si="111"/>
        <v>0</v>
      </c>
      <c r="IM23" s="245"/>
      <c r="IN23" s="245"/>
      <c r="IO23" s="245">
        <f t="shared" si="112"/>
        <v>0</v>
      </c>
      <c r="IP23" s="245"/>
      <c r="IQ23" s="245"/>
      <c r="IR23" s="245">
        <f t="shared" si="113"/>
        <v>0</v>
      </c>
      <c r="IS23" s="245"/>
      <c r="IT23" s="245"/>
      <c r="IU23" s="245">
        <f t="shared" si="114"/>
        <v>0</v>
      </c>
      <c r="IV23" s="245"/>
      <c r="IW23" s="245"/>
      <c r="IX23" s="245">
        <f t="shared" si="115"/>
        <v>0</v>
      </c>
      <c r="IY23" s="245"/>
      <c r="IZ23" s="245"/>
      <c r="JA23" s="245">
        <f t="shared" si="116"/>
        <v>0</v>
      </c>
      <c r="JB23" s="245"/>
      <c r="JC23" s="245"/>
      <c r="JD23" s="245">
        <f t="shared" si="117"/>
        <v>0</v>
      </c>
      <c r="JE23" s="245"/>
      <c r="JF23" s="245"/>
      <c r="JG23" s="245">
        <f t="shared" si="118"/>
        <v>0</v>
      </c>
      <c r="JH23" s="245"/>
      <c r="JI23" s="245"/>
      <c r="JJ23" s="245">
        <f t="shared" si="119"/>
        <v>0</v>
      </c>
      <c r="JK23" s="245"/>
      <c r="JL23" s="245"/>
      <c r="JM23" s="245">
        <f t="shared" si="120"/>
        <v>0</v>
      </c>
      <c r="JN23" s="245"/>
      <c r="JO23" s="245"/>
      <c r="JP23" s="245">
        <f t="shared" si="121"/>
        <v>0</v>
      </c>
      <c r="JQ23" s="245"/>
      <c r="JR23" s="245"/>
      <c r="JS23" s="245">
        <f t="shared" si="122"/>
        <v>0</v>
      </c>
      <c r="JT23" s="245"/>
      <c r="JU23" s="245"/>
      <c r="JV23" s="245">
        <f t="shared" si="123"/>
        <v>0</v>
      </c>
      <c r="JW23" s="245"/>
      <c r="JX23" s="245"/>
      <c r="JY23" s="245">
        <f t="shared" si="124"/>
        <v>0</v>
      </c>
      <c r="JZ23" s="245"/>
      <c r="KA23" s="245"/>
      <c r="KB23" s="245">
        <f t="shared" si="125"/>
        <v>0</v>
      </c>
      <c r="KC23" s="245"/>
      <c r="KD23" s="245"/>
      <c r="KE23" s="245">
        <f t="shared" si="126"/>
        <v>0</v>
      </c>
      <c r="KG23" s="151">
        <f t="shared" si="59"/>
        <v>61024.999999999272</v>
      </c>
    </row>
    <row r="24" spans="1:293" x14ac:dyDescent="0.25">
      <c r="A24" s="35">
        <f t="shared" si="0"/>
        <v>18</v>
      </c>
      <c r="B24" s="250">
        <v>5586.89</v>
      </c>
      <c r="C24" s="38">
        <f t="shared" si="1"/>
        <v>9.430000000000291</v>
      </c>
      <c r="D24" s="38">
        <f t="shared" si="2"/>
        <v>301760.00000000931</v>
      </c>
      <c r="E24" s="250">
        <v>1121.29</v>
      </c>
      <c r="F24" s="38">
        <f t="shared" si="3"/>
        <v>52159.999999996217</v>
      </c>
      <c r="G24" s="38">
        <f t="shared" si="4"/>
        <v>353920.00000000553</v>
      </c>
      <c r="H24" s="37"/>
      <c r="I24" s="39"/>
      <c r="J24" s="42"/>
      <c r="K24" s="37">
        <f t="shared" si="128"/>
        <v>0</v>
      </c>
      <c r="L24" s="250">
        <v>18074500</v>
      </c>
      <c r="M24" s="40"/>
      <c r="N24" s="37">
        <f t="shared" si="81"/>
        <v>352000</v>
      </c>
      <c r="O24" s="250">
        <v>13058.1</v>
      </c>
      <c r="P24" s="37"/>
      <c r="Q24" s="37">
        <f t="shared" si="129"/>
        <v>14600.000000000364</v>
      </c>
      <c r="R24" s="37">
        <f t="shared" si="130"/>
        <v>1</v>
      </c>
      <c r="S24" s="250">
        <v>11268762.560000001</v>
      </c>
      <c r="T24" s="37">
        <f t="shared" si="6"/>
        <v>0</v>
      </c>
      <c r="U24" s="250">
        <v>1523790.61</v>
      </c>
      <c r="V24" s="37">
        <f t="shared" si="7"/>
        <v>0</v>
      </c>
      <c r="W24" s="250">
        <v>4684</v>
      </c>
      <c r="X24" s="37">
        <f t="shared" si="95"/>
        <v>7800.0000000003638</v>
      </c>
      <c r="Y24" s="183"/>
      <c r="Z24" s="183"/>
      <c r="AA24" s="250">
        <v>867300</v>
      </c>
      <c r="AB24" s="37">
        <f t="shared" si="8"/>
        <v>6800</v>
      </c>
      <c r="AC24" s="250">
        <v>4845.6000000000004</v>
      </c>
      <c r="AD24" s="37"/>
      <c r="AE24" s="37">
        <f t="shared" si="131"/>
        <v>7100.0000000003638</v>
      </c>
      <c r="AF24" s="37">
        <f t="shared" si="132"/>
        <v>1</v>
      </c>
      <c r="AG24" s="250">
        <v>10528.5</v>
      </c>
      <c r="AH24" s="37"/>
      <c r="AI24" s="37">
        <f t="shared" si="10"/>
        <v>15195.359999999273</v>
      </c>
      <c r="AJ24" s="37">
        <f t="shared" si="11"/>
        <v>1</v>
      </c>
      <c r="AK24" s="37">
        <f t="shared" si="12"/>
        <v>30095.360000000001</v>
      </c>
      <c r="AL24" s="250">
        <v>12195.9</v>
      </c>
      <c r="AM24" s="42"/>
      <c r="AN24" s="37">
        <f t="shared" si="60"/>
        <v>5675.3599999996095</v>
      </c>
      <c r="AO24" s="37">
        <f t="shared" si="84"/>
        <v>1</v>
      </c>
      <c r="AP24" s="250">
        <v>9632.7999999999993</v>
      </c>
      <c r="AQ24" s="37"/>
      <c r="AR24" s="37">
        <f t="shared" si="13"/>
        <v>9099.9999999985448</v>
      </c>
      <c r="AS24" s="37">
        <f t="shared" si="85"/>
        <v>1</v>
      </c>
      <c r="AT24" s="183"/>
      <c r="AU24" s="183"/>
      <c r="AV24" s="183"/>
      <c r="AW24" s="183"/>
      <c r="AX24" s="250">
        <v>532280</v>
      </c>
      <c r="AY24" s="37"/>
      <c r="AZ24" s="37">
        <f t="shared" si="14"/>
        <v>370</v>
      </c>
      <c r="BA24" s="250">
        <v>219970</v>
      </c>
      <c r="BB24" s="37"/>
      <c r="BC24" s="37">
        <f t="shared" si="15"/>
        <v>500</v>
      </c>
      <c r="BD24" s="37">
        <f>AN24+AR24+AZ24+BC24</f>
        <v>15645.359999998154</v>
      </c>
      <c r="BE24" s="250">
        <v>2108.3000000000002</v>
      </c>
      <c r="BF24" s="250">
        <v>1186.3</v>
      </c>
      <c r="BG24" s="37">
        <f t="shared" si="16"/>
        <v>1500</v>
      </c>
      <c r="BH24" s="250">
        <v>9981.9</v>
      </c>
      <c r="BI24" s="250">
        <v>6449.8</v>
      </c>
      <c r="BJ24" s="37">
        <f t="shared" si="17"/>
        <v>9000</v>
      </c>
      <c r="BK24" s="250">
        <v>2054340</v>
      </c>
      <c r="BL24" s="40">
        <f t="shared" si="87"/>
        <v>4150</v>
      </c>
      <c r="BM24" s="250">
        <v>948.67</v>
      </c>
      <c r="BN24" s="37">
        <f t="shared" si="18"/>
        <v>669.99999999995907</v>
      </c>
      <c r="BO24" s="186"/>
      <c r="BP24" s="183">
        <f t="shared" si="19"/>
        <v>0</v>
      </c>
      <c r="BQ24" s="250">
        <v>894.6</v>
      </c>
      <c r="BR24" s="37">
        <f t="shared" si="61"/>
        <v>800.00000000006821</v>
      </c>
      <c r="BS24" s="250">
        <v>122767.88</v>
      </c>
      <c r="BT24" s="37">
        <f t="shared" si="20"/>
        <v>231.83000000000175</v>
      </c>
      <c r="BU24" s="250">
        <v>3674137</v>
      </c>
      <c r="BV24" s="42"/>
      <c r="BW24" s="37">
        <f t="shared" si="21"/>
        <v>5798</v>
      </c>
      <c r="BX24" s="37">
        <f t="shared" si="88"/>
        <v>1</v>
      </c>
      <c r="BY24" s="250">
        <v>423.99200000000002</v>
      </c>
      <c r="BZ24" s="37"/>
      <c r="CA24" s="37">
        <f t="shared" si="127"/>
        <v>802.00000000002092</v>
      </c>
      <c r="CB24" s="37">
        <f t="shared" si="62"/>
        <v>1</v>
      </c>
      <c r="CC24" s="250">
        <v>827892.3</v>
      </c>
      <c r="CD24" s="37">
        <f t="shared" si="23"/>
        <v>0</v>
      </c>
      <c r="CE24" s="250">
        <v>1849495</v>
      </c>
      <c r="CF24" s="37">
        <f t="shared" si="24"/>
        <v>5694</v>
      </c>
      <c r="CG24" s="250">
        <v>122633</v>
      </c>
      <c r="CH24" s="37">
        <f t="shared" si="63"/>
        <v>0</v>
      </c>
      <c r="CI24" s="250">
        <v>14674.97</v>
      </c>
      <c r="CJ24" s="40"/>
      <c r="CK24" s="37">
        <f t="shared" si="64"/>
        <v>15003.359999999833</v>
      </c>
      <c r="CL24" s="37">
        <f t="shared" si="25"/>
        <v>1</v>
      </c>
      <c r="CM24" s="250">
        <v>4373.0879999999997</v>
      </c>
      <c r="CN24" s="37"/>
      <c r="CO24" s="37">
        <f t="shared" si="26"/>
        <v>7143.3599999995922</v>
      </c>
      <c r="CP24" s="37">
        <f t="shared" si="89"/>
        <v>1</v>
      </c>
      <c r="CQ24" s="250">
        <v>893628.1</v>
      </c>
      <c r="CR24" s="39"/>
      <c r="CS24" s="37">
        <f t="shared" si="65"/>
        <v>5734.36</v>
      </c>
      <c r="CT24" s="37">
        <f t="shared" si="66"/>
        <v>1</v>
      </c>
      <c r="CU24" s="250">
        <v>4750587</v>
      </c>
      <c r="CV24" s="37"/>
      <c r="CW24" s="38">
        <f t="shared" si="27"/>
        <v>20261</v>
      </c>
      <c r="CX24" s="37">
        <f t="shared" si="90"/>
        <v>1</v>
      </c>
      <c r="CY24" s="250">
        <v>2544129</v>
      </c>
      <c r="CZ24" s="37"/>
      <c r="DA24" s="37">
        <f t="shared" si="28"/>
        <v>10443</v>
      </c>
      <c r="DB24" s="37">
        <f t="shared" si="91"/>
        <v>1</v>
      </c>
      <c r="DC24" s="37"/>
      <c r="DD24" s="40"/>
      <c r="DE24" s="37">
        <f t="shared" si="29"/>
        <v>0</v>
      </c>
      <c r="DF24" s="37">
        <f t="shared" si="96"/>
        <v>0</v>
      </c>
      <c r="DG24" s="37">
        <f t="shared" si="30"/>
        <v>-64383.079999999427</v>
      </c>
      <c r="DH24" s="37">
        <f t="shared" si="31"/>
        <v>383595.36</v>
      </c>
      <c r="DI24" s="46"/>
      <c r="DJ24" s="46"/>
      <c r="DK24" s="47"/>
      <c r="DL24" s="47"/>
      <c r="DM24" s="37"/>
      <c r="DN24" s="37"/>
      <c r="DO24" s="37"/>
      <c r="DP24" s="37"/>
      <c r="DQ24" s="250">
        <v>4617400</v>
      </c>
      <c r="DR24" s="49">
        <f t="shared" si="67"/>
        <v>9700</v>
      </c>
      <c r="DS24" s="250">
        <v>6198700</v>
      </c>
      <c r="DT24" s="49">
        <f>IF((DS24-DS23)&lt;=0,0,(DS24-DS23))</f>
        <v>23100</v>
      </c>
      <c r="DU24" s="250">
        <v>8464.9</v>
      </c>
      <c r="DV24" s="250">
        <v>4765.8999999999996</v>
      </c>
      <c r="DW24" s="37">
        <f t="shared" si="92"/>
        <v>399.9999999996362</v>
      </c>
      <c r="DX24" s="250">
        <v>14014</v>
      </c>
      <c r="DY24" s="250">
        <v>8773.7000000000007</v>
      </c>
      <c r="DZ24" s="37">
        <f t="shared" si="32"/>
        <v>895.36</v>
      </c>
      <c r="EA24" s="250">
        <v>32549</v>
      </c>
      <c r="EB24" s="250">
        <v>22.225999999999999</v>
      </c>
      <c r="EC24" s="37">
        <f t="shared" si="33"/>
        <v>6055.3600000000006</v>
      </c>
      <c r="ED24" s="53">
        <f t="shared" si="34"/>
        <v>7350.7199999996374</v>
      </c>
      <c r="EE24" s="250">
        <v>48576</v>
      </c>
      <c r="EF24" s="250">
        <v>32.026000000000003</v>
      </c>
      <c r="EG24" s="37">
        <f t="shared" si="35"/>
        <v>35055.360000000001</v>
      </c>
      <c r="EH24" s="250">
        <v>14389</v>
      </c>
      <c r="EI24" s="250">
        <v>2.1267999999999998</v>
      </c>
      <c r="EJ24" s="37">
        <f t="shared" si="36"/>
        <v>9895.36</v>
      </c>
      <c r="EK24" s="250">
        <v>876.52</v>
      </c>
      <c r="EL24" s="250">
        <v>1255.3</v>
      </c>
      <c r="EM24" s="37">
        <f t="shared" si="69"/>
        <v>639.99999999998636</v>
      </c>
      <c r="EN24" s="54">
        <f t="shared" si="70"/>
        <v>45590.719999999987</v>
      </c>
      <c r="EO24" s="250">
        <v>13876.13</v>
      </c>
      <c r="EP24" s="48"/>
      <c r="EQ24" s="37">
        <f t="shared" si="97"/>
        <v>7625.359999999223</v>
      </c>
      <c r="ER24" s="250">
        <v>11241.7</v>
      </c>
      <c r="ES24" s="48"/>
      <c r="ET24" s="49">
        <f t="shared" si="106"/>
        <v>16700.000000000728</v>
      </c>
      <c r="EU24" s="250">
        <v>4682.8649999999998</v>
      </c>
      <c r="EV24" s="48"/>
      <c r="EW24" s="49">
        <f t="shared" si="38"/>
        <v>10430.359999999855</v>
      </c>
      <c r="EX24" s="250">
        <v>14818.65</v>
      </c>
      <c r="EY24" s="48"/>
      <c r="EZ24" s="37">
        <f t="shared" si="39"/>
        <v>13545.359999999637</v>
      </c>
      <c r="FA24" s="48">
        <f t="shared" si="71"/>
        <v>-24535.079999999441</v>
      </c>
      <c r="FB24" s="250">
        <v>39142675</v>
      </c>
      <c r="FC24" s="49">
        <f t="shared" si="93"/>
        <v>23766</v>
      </c>
      <c r="FD24" s="48">
        <f t="shared" si="72"/>
        <v>50139.879999999444</v>
      </c>
      <c r="FE24" s="250">
        <v>18065.7</v>
      </c>
      <c r="FF24" s="48"/>
      <c r="FG24" s="37">
        <f t="shared" si="73"/>
        <v>9995.3600000007063</v>
      </c>
      <c r="FH24" s="250">
        <v>10743.2</v>
      </c>
      <c r="FI24" s="48"/>
      <c r="FJ24" s="49">
        <f t="shared" si="40"/>
        <v>16095.360000000728</v>
      </c>
      <c r="FK24" s="48"/>
      <c r="FL24" s="58"/>
      <c r="FM24" s="48">
        <f t="shared" si="94"/>
        <v>-658.6933333355579</v>
      </c>
      <c r="FN24" s="250">
        <v>17979.5</v>
      </c>
      <c r="FO24" s="48"/>
      <c r="FP24" s="37">
        <f t="shared" si="74"/>
        <v>11395.36</v>
      </c>
      <c r="FQ24" s="250">
        <v>63249.34</v>
      </c>
      <c r="FR24" s="48"/>
      <c r="FS24" s="37">
        <f t="shared" si="41"/>
        <v>35509.999999994761</v>
      </c>
      <c r="FT24" s="48">
        <f t="shared" si="75"/>
        <v>-1976.0800000066738</v>
      </c>
      <c r="FU24" s="48">
        <f t="shared" si="76"/>
        <v>37489.080000001588</v>
      </c>
      <c r="FV24" s="250">
        <v>7141300</v>
      </c>
      <c r="FW24" s="44"/>
      <c r="FX24" s="37">
        <f t="shared" si="42"/>
        <v>17251</v>
      </c>
      <c r="FY24" s="250">
        <v>208170.8</v>
      </c>
      <c r="FZ24" s="56"/>
      <c r="GA24" s="37">
        <f t="shared" si="43"/>
        <v>4159.7999999999884</v>
      </c>
      <c r="GB24" s="250">
        <v>902.98</v>
      </c>
      <c r="GC24" s="56"/>
      <c r="GD24" s="37">
        <f t="shared" si="44"/>
        <v>620.00000000000455</v>
      </c>
      <c r="GE24" s="250">
        <v>11101.166999999999</v>
      </c>
      <c r="GF24" s="56"/>
      <c r="GG24" s="37">
        <f t="shared" si="45"/>
        <v>4265.1999999998116</v>
      </c>
      <c r="GH24" s="250">
        <v>96208.5</v>
      </c>
      <c r="GI24" s="159"/>
      <c r="GJ24" s="38">
        <f t="shared" si="77"/>
        <v>1838.8000000000029</v>
      </c>
      <c r="GK24" s="250">
        <v>1533.95</v>
      </c>
      <c r="GL24" s="160"/>
      <c r="GM24" s="38">
        <f t="shared" si="46"/>
        <v>3.0000000001564331</v>
      </c>
      <c r="GN24" s="250">
        <v>244137.1</v>
      </c>
      <c r="GO24" s="57"/>
      <c r="GP24" s="38">
        <f t="shared" si="98"/>
        <v>2.8999999999941792</v>
      </c>
      <c r="GQ24" s="250">
        <v>303053</v>
      </c>
      <c r="GR24" s="38"/>
      <c r="GS24" s="38">
        <f t="shared" si="78"/>
        <v>228.90000000002328</v>
      </c>
      <c r="GT24" s="247"/>
      <c r="GU24" s="144">
        <f>DailySep!B23-DailySep!N23-DailySep!V23-DailySep!Y23-DailySep!Z23-DailySep!AA23-DailySep!AB23-DailySep!AC23-DailySep!AD23-DailySep!AE23-DailySep!AK23-DailySep!AO23-DailySep!AS23-DailySep!AY23-DailySep!BD23+DailySep!BU23-DailySep!BG23-DailySep!BT23-DailySep!AF23-DailySep!AG23</f>
        <v>7.4214767664670944E-9</v>
      </c>
      <c r="GV24" s="261">
        <v>-1569.6</v>
      </c>
      <c r="GW24" s="60">
        <f t="shared" si="48"/>
        <v>-104.64</v>
      </c>
      <c r="GX24" s="260">
        <v>-104.64</v>
      </c>
      <c r="GY24" s="140"/>
      <c r="GZ24" s="528"/>
      <c r="HA24" s="528"/>
      <c r="HB24" s="528"/>
      <c r="HC24" s="528"/>
      <c r="HD24" s="74"/>
      <c r="HE24" s="24">
        <f t="shared" si="49"/>
        <v>0</v>
      </c>
      <c r="HF24" s="255"/>
      <c r="HG24" s="279">
        <v>18</v>
      </c>
      <c r="HH24" s="292">
        <v>27592</v>
      </c>
      <c r="HI24" s="292">
        <v>10506</v>
      </c>
      <c r="HJ24" s="61">
        <f t="shared" si="50"/>
        <v>154000</v>
      </c>
      <c r="HK24" s="260">
        <v>2.1432000000000002</v>
      </c>
      <c r="HL24" s="292">
        <v>807.23</v>
      </c>
      <c r="HM24" s="61">
        <f t="shared" si="107"/>
        <v>0</v>
      </c>
      <c r="HN24" s="292">
        <v>7015</v>
      </c>
      <c r="HO24" s="292">
        <v>2993.2</v>
      </c>
      <c r="HP24" s="61">
        <f t="shared" si="52"/>
        <v>37500</v>
      </c>
      <c r="HQ24" s="292">
        <v>4896.1000000000004</v>
      </c>
      <c r="HR24" s="292">
        <v>2063.6999999999998</v>
      </c>
      <c r="HS24" s="61">
        <f t="shared" si="53"/>
        <v>24800.000000000182</v>
      </c>
      <c r="HT24" s="292">
        <v>4798.8</v>
      </c>
      <c r="HU24" s="292">
        <v>1736.6</v>
      </c>
      <c r="HV24" s="61">
        <f t="shared" si="54"/>
        <v>24699.999999999818</v>
      </c>
      <c r="HW24" s="292">
        <v>3482.5</v>
      </c>
      <c r="HX24" s="292">
        <v>1493.7</v>
      </c>
      <c r="HY24" s="61">
        <f t="shared" si="55"/>
        <v>20000</v>
      </c>
      <c r="HZ24" s="260">
        <v>2737400</v>
      </c>
      <c r="IA24" s="260">
        <v>11899</v>
      </c>
      <c r="IB24" s="61">
        <f t="shared" si="56"/>
        <v>23900</v>
      </c>
      <c r="IC24" s="292">
        <v>719.8</v>
      </c>
      <c r="ID24" s="292">
        <v>232.78</v>
      </c>
      <c r="IE24" s="61">
        <f t="shared" si="79"/>
        <v>0</v>
      </c>
      <c r="IF24" s="61"/>
      <c r="IG24" s="61"/>
      <c r="IH24" s="280">
        <f t="shared" si="57"/>
        <v>23100</v>
      </c>
      <c r="II24" s="281">
        <f t="shared" si="58"/>
        <v>0</v>
      </c>
      <c r="IJ24" s="245"/>
      <c r="IK24" s="245"/>
      <c r="IL24" s="245">
        <f t="shared" si="111"/>
        <v>0</v>
      </c>
      <c r="IM24" s="245"/>
      <c r="IN24" s="245"/>
      <c r="IO24" s="245">
        <f t="shared" si="112"/>
        <v>0</v>
      </c>
      <c r="IP24" s="245"/>
      <c r="IQ24" s="245"/>
      <c r="IR24" s="245">
        <f t="shared" si="113"/>
        <v>0</v>
      </c>
      <c r="IS24" s="245"/>
      <c r="IT24" s="245"/>
      <c r="IU24" s="245">
        <f t="shared" si="114"/>
        <v>0</v>
      </c>
      <c r="IV24" s="245"/>
      <c r="IW24" s="245"/>
      <c r="IX24" s="245">
        <f t="shared" si="115"/>
        <v>0</v>
      </c>
      <c r="IY24" s="245"/>
      <c r="IZ24" s="245"/>
      <c r="JA24" s="245">
        <f t="shared" si="116"/>
        <v>0</v>
      </c>
      <c r="JB24" s="245"/>
      <c r="JC24" s="245"/>
      <c r="JD24" s="245">
        <f t="shared" si="117"/>
        <v>0</v>
      </c>
      <c r="JE24" s="245"/>
      <c r="JF24" s="245"/>
      <c r="JG24" s="245">
        <f t="shared" si="118"/>
        <v>0</v>
      </c>
      <c r="JH24" s="245"/>
      <c r="JI24" s="245"/>
      <c r="JJ24" s="245">
        <f t="shared" si="119"/>
        <v>0</v>
      </c>
      <c r="JK24" s="245"/>
      <c r="JL24" s="245"/>
      <c r="JM24" s="245">
        <f t="shared" si="120"/>
        <v>0</v>
      </c>
      <c r="JN24" s="245"/>
      <c r="JO24" s="245"/>
      <c r="JP24" s="245">
        <f t="shared" si="121"/>
        <v>0</v>
      </c>
      <c r="JQ24" s="245"/>
      <c r="JR24" s="245"/>
      <c r="JS24" s="245">
        <f t="shared" si="122"/>
        <v>0</v>
      </c>
      <c r="JT24" s="245"/>
      <c r="JU24" s="245"/>
      <c r="JV24" s="245">
        <f t="shared" si="123"/>
        <v>0</v>
      </c>
      <c r="JW24" s="245"/>
      <c r="JX24" s="245"/>
      <c r="JY24" s="245">
        <f t="shared" si="124"/>
        <v>0</v>
      </c>
      <c r="JZ24" s="245"/>
      <c r="KA24" s="245"/>
      <c r="KB24" s="245">
        <f t="shared" si="125"/>
        <v>0</v>
      </c>
      <c r="KC24" s="245"/>
      <c r="KD24" s="245"/>
      <c r="KE24" s="245">
        <f t="shared" si="126"/>
        <v>0</v>
      </c>
      <c r="KG24" s="151">
        <f t="shared" si="59"/>
        <v>61400</v>
      </c>
    </row>
    <row r="25" spans="1:293" x14ac:dyDescent="0.25">
      <c r="A25" s="35">
        <f t="shared" si="0"/>
        <v>19</v>
      </c>
      <c r="B25" s="250">
        <v>5597.15</v>
      </c>
      <c r="C25" s="38">
        <f t="shared" si="1"/>
        <v>10.259999999999309</v>
      </c>
      <c r="D25" s="38">
        <f t="shared" si="2"/>
        <v>328319.99999997788</v>
      </c>
      <c r="E25" s="250">
        <v>1123.6600000000001</v>
      </c>
      <c r="F25" s="38">
        <f t="shared" si="3"/>
        <v>75840.000000003783</v>
      </c>
      <c r="G25" s="38">
        <f t="shared" si="4"/>
        <v>404159.99999998166</v>
      </c>
      <c r="H25" s="37"/>
      <c r="I25" s="39"/>
      <c r="J25" s="42"/>
      <c r="K25" s="37">
        <f t="shared" si="80"/>
        <v>0</v>
      </c>
      <c r="L25" s="250">
        <v>18115000</v>
      </c>
      <c r="M25" s="40"/>
      <c r="N25" s="37">
        <f t="shared" si="81"/>
        <v>405000</v>
      </c>
      <c r="O25" s="250">
        <v>13073</v>
      </c>
      <c r="P25" s="70"/>
      <c r="Q25" s="37">
        <f t="shared" si="129"/>
        <v>14899.999999999636</v>
      </c>
      <c r="R25" s="37">
        <f t="shared" si="82"/>
        <v>1</v>
      </c>
      <c r="S25" s="250">
        <v>11269024.51</v>
      </c>
      <c r="T25" s="37">
        <f t="shared" si="6"/>
        <v>261.94999999925494</v>
      </c>
      <c r="U25" s="250">
        <v>1523792.57</v>
      </c>
      <c r="V25" s="37">
        <f t="shared" si="7"/>
        <v>1.9599999999627471</v>
      </c>
      <c r="W25" s="250">
        <v>4689.3999999999996</v>
      </c>
      <c r="X25" s="37">
        <f t="shared" si="95"/>
        <v>13306.090000000419</v>
      </c>
      <c r="Y25" s="183"/>
      <c r="Z25" s="183"/>
      <c r="AA25" s="250">
        <v>868630</v>
      </c>
      <c r="AB25" s="37">
        <f t="shared" si="8"/>
        <v>1330</v>
      </c>
      <c r="AC25" s="250">
        <v>4851.3</v>
      </c>
      <c r="AD25" s="37"/>
      <c r="AE25" s="37">
        <f t="shared" si="131"/>
        <v>5699.9999999998181</v>
      </c>
      <c r="AF25" s="37">
        <f t="shared" si="83"/>
        <v>1</v>
      </c>
      <c r="AG25" s="250">
        <v>10542</v>
      </c>
      <c r="AH25" s="37"/>
      <c r="AI25" s="37">
        <f t="shared" si="10"/>
        <v>13295.93</v>
      </c>
      <c r="AJ25" s="37">
        <f t="shared" si="11"/>
        <v>1</v>
      </c>
      <c r="AK25" s="37">
        <f t="shared" si="12"/>
        <v>32565.929999999455</v>
      </c>
      <c r="AL25" s="250">
        <v>12206</v>
      </c>
      <c r="AM25" s="42"/>
      <c r="AN25" s="37">
        <f t="shared" si="60"/>
        <v>4425.9300000002822</v>
      </c>
      <c r="AO25" s="37">
        <f t="shared" si="84"/>
        <v>1</v>
      </c>
      <c r="AP25" s="250">
        <v>9640.7000000000007</v>
      </c>
      <c r="AQ25" s="37"/>
      <c r="AR25" s="37">
        <f t="shared" si="13"/>
        <v>7900.0000000014552</v>
      </c>
      <c r="AS25" s="37">
        <f t="shared" si="85"/>
        <v>1</v>
      </c>
      <c r="AT25" s="183"/>
      <c r="AU25" s="183"/>
      <c r="AV25" s="183"/>
      <c r="AW25" s="183"/>
      <c r="AX25" s="250">
        <v>532615.19999999995</v>
      </c>
      <c r="AY25" s="37"/>
      <c r="AZ25" s="37">
        <f t="shared" si="14"/>
        <v>335.19999999995343</v>
      </c>
      <c r="BA25" s="250">
        <v>220435.08</v>
      </c>
      <c r="BB25" s="37"/>
      <c r="BC25" s="37">
        <f t="shared" si="15"/>
        <v>465.07999999998719</v>
      </c>
      <c r="BD25" s="37">
        <f t="shared" si="86"/>
        <v>13126.210000001678</v>
      </c>
      <c r="BE25" s="250">
        <v>2109.8000000000002</v>
      </c>
      <c r="BF25" s="250">
        <v>1187.3</v>
      </c>
      <c r="BG25" s="37">
        <f t="shared" si="16"/>
        <v>1500</v>
      </c>
      <c r="BH25" s="250">
        <v>9990.7999999999993</v>
      </c>
      <c r="BI25" s="250">
        <v>6455.8</v>
      </c>
      <c r="BJ25" s="37">
        <f t="shared" si="17"/>
        <v>8899.9999999996362</v>
      </c>
      <c r="BK25" s="250">
        <v>2058400</v>
      </c>
      <c r="BL25" s="40">
        <f t="shared" si="87"/>
        <v>4060</v>
      </c>
      <c r="BM25" s="250">
        <v>949.34</v>
      </c>
      <c r="BN25" s="37">
        <f t="shared" si="18"/>
        <v>670.00000000007276</v>
      </c>
      <c r="BO25" s="186"/>
      <c r="BP25" s="183">
        <f t="shared" si="19"/>
        <v>0</v>
      </c>
      <c r="BQ25" s="250">
        <v>895.34</v>
      </c>
      <c r="BR25" s="37">
        <f t="shared" si="61"/>
        <v>740.00000000000909</v>
      </c>
      <c r="BS25" s="250">
        <v>122992.8</v>
      </c>
      <c r="BT25" s="37">
        <f t="shared" si="20"/>
        <v>224.91999999999825</v>
      </c>
      <c r="BU25" s="250">
        <v>3679300</v>
      </c>
      <c r="BV25" s="42"/>
      <c r="BW25" s="37">
        <f t="shared" si="21"/>
        <v>5163</v>
      </c>
      <c r="BX25" s="37">
        <f t="shared" si="88"/>
        <v>1</v>
      </c>
      <c r="BY25" s="250">
        <v>424.68</v>
      </c>
      <c r="BZ25" s="37"/>
      <c r="CA25" s="37">
        <f t="shared" si="127"/>
        <v>687.99999999998818</v>
      </c>
      <c r="CB25" s="37">
        <f t="shared" si="62"/>
        <v>1</v>
      </c>
      <c r="CC25" s="250">
        <v>827892.3</v>
      </c>
      <c r="CD25" s="37">
        <f t="shared" si="23"/>
        <v>0</v>
      </c>
      <c r="CE25" s="250">
        <v>1854200</v>
      </c>
      <c r="CF25" s="37">
        <f t="shared" si="24"/>
        <v>4705</v>
      </c>
      <c r="CG25" s="250">
        <v>122633</v>
      </c>
      <c r="CH25" s="37">
        <f t="shared" si="63"/>
        <v>0</v>
      </c>
      <c r="CI25" s="250">
        <v>14689</v>
      </c>
      <c r="CJ25" s="40"/>
      <c r="CK25" s="37">
        <f t="shared" si="64"/>
        <v>13137.930000000666</v>
      </c>
      <c r="CL25" s="37">
        <f t="shared" si="25"/>
        <v>1</v>
      </c>
      <c r="CM25" s="250">
        <v>4377.3999999999996</v>
      </c>
      <c r="CN25" s="37"/>
      <c r="CO25" s="37">
        <f t="shared" si="26"/>
        <v>4107.9299999998984</v>
      </c>
      <c r="CP25" s="37">
        <f t="shared" si="89"/>
        <v>1</v>
      </c>
      <c r="CQ25" s="250">
        <v>898480</v>
      </c>
      <c r="CR25" s="39"/>
      <c r="CS25" s="37">
        <f t="shared" si="65"/>
        <v>4647.8300000000236</v>
      </c>
      <c r="CT25" s="37">
        <f t="shared" si="66"/>
        <v>1</v>
      </c>
      <c r="CU25" s="250">
        <v>4770700</v>
      </c>
      <c r="CV25" s="37"/>
      <c r="CW25" s="38">
        <f t="shared" si="27"/>
        <v>20113</v>
      </c>
      <c r="CX25" s="37">
        <f t="shared" si="90"/>
        <v>1</v>
      </c>
      <c r="CY25" s="250">
        <v>2555000</v>
      </c>
      <c r="CZ25" s="37"/>
      <c r="DA25" s="37">
        <f t="shared" si="28"/>
        <v>10871</v>
      </c>
      <c r="DB25" s="37">
        <f t="shared" si="91"/>
        <v>1</v>
      </c>
      <c r="DC25" s="37"/>
      <c r="DD25" s="40"/>
      <c r="DE25" s="37">
        <f t="shared" si="29"/>
        <v>0</v>
      </c>
      <c r="DF25" s="37">
        <f t="shared" si="96"/>
        <v>0</v>
      </c>
      <c r="DG25" s="37">
        <f t="shared" si="30"/>
        <v>-58040.690000000584</v>
      </c>
      <c r="DH25" s="37">
        <f t="shared" si="31"/>
        <v>439065.92999999947</v>
      </c>
      <c r="DI25" s="46"/>
      <c r="DJ25" s="46"/>
      <c r="DK25" s="47"/>
      <c r="DL25" s="47"/>
      <c r="DM25" s="37"/>
      <c r="DN25" s="37"/>
      <c r="DO25" s="37"/>
      <c r="DP25" s="37"/>
      <c r="DQ25" s="250">
        <v>4627000</v>
      </c>
      <c r="DR25" s="49">
        <f t="shared" si="67"/>
        <v>9600</v>
      </c>
      <c r="DS25" s="250">
        <v>6225200</v>
      </c>
      <c r="DT25" s="49">
        <f t="shared" si="68"/>
        <v>26500</v>
      </c>
      <c r="DU25" s="250">
        <v>8465.2999999999993</v>
      </c>
      <c r="DV25" s="250">
        <v>4766.2</v>
      </c>
      <c r="DW25" s="37">
        <f t="shared" si="92"/>
        <v>399.9999999996362</v>
      </c>
      <c r="DX25" s="250">
        <v>14014</v>
      </c>
      <c r="DY25" s="250">
        <v>8773.7999999999993</v>
      </c>
      <c r="DZ25" s="37">
        <f t="shared" si="32"/>
        <v>-204.07</v>
      </c>
      <c r="EA25" s="250">
        <v>32552</v>
      </c>
      <c r="EB25" s="250">
        <v>22.227</v>
      </c>
      <c r="EC25" s="37">
        <f t="shared" si="33"/>
        <v>4955.93</v>
      </c>
      <c r="ED25" s="53">
        <f t="shared" si="34"/>
        <v>5151.8599999996368</v>
      </c>
      <c r="EE25" s="250">
        <v>48604</v>
      </c>
      <c r="EF25" s="250">
        <v>32.045000000000002</v>
      </c>
      <c r="EG25" s="37">
        <f t="shared" si="35"/>
        <v>29955.93</v>
      </c>
      <c r="EH25" s="250">
        <v>14399</v>
      </c>
      <c r="EI25" s="250">
        <v>2.1288999999999998</v>
      </c>
      <c r="EJ25" s="37">
        <f t="shared" si="36"/>
        <v>9795.93</v>
      </c>
      <c r="EK25" s="250">
        <v>877.15</v>
      </c>
      <c r="EL25" s="250">
        <v>1256.2</v>
      </c>
      <c r="EM25" s="37">
        <f t="shared" si="69"/>
        <v>629.99999999999545</v>
      </c>
      <c r="EN25" s="54">
        <f t="shared" si="70"/>
        <v>40381.859999999993</v>
      </c>
      <c r="EO25" s="250">
        <v>13884.25</v>
      </c>
      <c r="EP25" s="48"/>
      <c r="EQ25" s="37">
        <f t="shared" si="97"/>
        <v>6565.9300000007779</v>
      </c>
      <c r="ER25" s="250">
        <v>11256.12</v>
      </c>
      <c r="ES25" s="48"/>
      <c r="ET25" s="49">
        <f t="shared" si="106"/>
        <v>14420.000000000073</v>
      </c>
      <c r="EU25" s="250">
        <v>4692.1639999999998</v>
      </c>
      <c r="EV25" s="48"/>
      <c r="EW25" s="49">
        <f t="shared" si="38"/>
        <v>9094.9299999999785</v>
      </c>
      <c r="EX25" s="250">
        <v>14830.66</v>
      </c>
      <c r="EY25" s="48"/>
      <c r="EZ25" s="37">
        <f t="shared" si="39"/>
        <v>11805.930000000219</v>
      </c>
      <c r="FA25" s="48">
        <f t="shared" si="71"/>
        <v>-19438.790000001049</v>
      </c>
      <c r="FB25" s="250">
        <v>39165123</v>
      </c>
      <c r="FC25" s="49">
        <f t="shared" si="93"/>
        <v>22448</v>
      </c>
      <c r="FD25" s="48">
        <f t="shared" si="72"/>
        <v>43450.090000001052</v>
      </c>
      <c r="FE25" s="250">
        <v>18073.599999999999</v>
      </c>
      <c r="FF25" s="48"/>
      <c r="FG25" s="37">
        <f t="shared" si="73"/>
        <v>9045.9299999978393</v>
      </c>
      <c r="FH25" s="250">
        <v>10758.2</v>
      </c>
      <c r="FI25" s="48"/>
      <c r="FJ25" s="49">
        <f t="shared" si="40"/>
        <v>14795.93</v>
      </c>
      <c r="FK25" s="48"/>
      <c r="FL25" s="58"/>
      <c r="FM25" s="48">
        <f t="shared" si="94"/>
        <v>-92.596666663327298</v>
      </c>
      <c r="FN25" s="250">
        <v>17989.099999999999</v>
      </c>
      <c r="FO25" s="48"/>
      <c r="FP25" s="37">
        <f t="shared" si="74"/>
        <v>9395.9299999985451</v>
      </c>
      <c r="FQ25" s="250">
        <v>63282.3</v>
      </c>
      <c r="FR25" s="48"/>
      <c r="FS25" s="37">
        <f t="shared" si="41"/>
        <v>32960.000000006403</v>
      </c>
      <c r="FT25" s="48">
        <f t="shared" si="75"/>
        <v>-277.78999998998188</v>
      </c>
      <c r="FU25" s="48">
        <f>FG25+FJ25+FP25+GM25</f>
        <v>33237.789999996385</v>
      </c>
      <c r="FV25" s="250">
        <v>7155203</v>
      </c>
      <c r="FW25" s="44"/>
      <c r="FX25" s="37">
        <f t="shared" si="42"/>
        <v>13903</v>
      </c>
      <c r="FY25" s="250">
        <v>211789.9</v>
      </c>
      <c r="FZ25" s="56"/>
      <c r="GA25" s="37">
        <f t="shared" si="43"/>
        <v>3619.1000000000058</v>
      </c>
      <c r="GB25" s="250">
        <v>903.61279999999999</v>
      </c>
      <c r="GC25" s="56"/>
      <c r="GD25" s="37">
        <f t="shared" si="44"/>
        <v>632.79999999997472</v>
      </c>
      <c r="GE25" s="250">
        <v>11107.24</v>
      </c>
      <c r="GF25" s="56"/>
      <c r="GG25" s="37">
        <f t="shared" si="45"/>
        <v>4509.7000000003172</v>
      </c>
      <c r="GH25" s="250">
        <v>97771.8</v>
      </c>
      <c r="GI25" s="159"/>
      <c r="GJ25" s="38">
        <f t="shared" si="77"/>
        <v>1563.3000000000029</v>
      </c>
      <c r="GK25" s="250">
        <v>1533.95</v>
      </c>
      <c r="GL25" s="160"/>
      <c r="GM25" s="38">
        <f t="shared" si="46"/>
        <v>0</v>
      </c>
      <c r="GN25" s="250">
        <v>244140</v>
      </c>
      <c r="GO25" s="57"/>
      <c r="GP25" s="38">
        <f t="shared" si="98"/>
        <v>2.8999999999941792</v>
      </c>
      <c r="GQ25" s="250">
        <v>303193.90000000002</v>
      </c>
      <c r="GR25" s="38"/>
      <c r="GS25" s="38">
        <f t="shared" si="78"/>
        <v>140.90000000002328</v>
      </c>
      <c r="GT25" s="247"/>
      <c r="GU25" s="144">
        <f>DailySep!B24-DailySep!N24-DailySep!V24-DailySep!Y24-DailySep!Z24-DailySep!AA24-DailySep!AB24-DailySep!AC24-DailySep!AD24-DailySep!AE24-DailySep!AK24-DailySep!AO24-DailySep!AS24-DailySep!AY24-DailySep!BD24+DailySep!BU24-DailySep!BG24-DailySep!BT24-DailySep!AF24-DailySep!AG24</f>
        <v>-3.0000017140991986E-2</v>
      </c>
      <c r="GV25" s="261">
        <v>-3061.08</v>
      </c>
      <c r="GW25" s="60">
        <f t="shared" si="48"/>
        <v>-204.072</v>
      </c>
      <c r="GX25" s="260">
        <v>-204.07</v>
      </c>
      <c r="GY25" s="140"/>
      <c r="GZ25" s="528"/>
      <c r="HA25" s="528"/>
      <c r="HB25" s="528"/>
      <c r="HC25" s="528"/>
      <c r="HD25" s="74"/>
      <c r="HE25" s="24">
        <f t="shared" si="49"/>
        <v>0</v>
      </c>
      <c r="HF25" s="255"/>
      <c r="HG25" s="279">
        <v>19</v>
      </c>
      <c r="HH25" s="292">
        <v>27738</v>
      </c>
      <c r="HI25" s="292">
        <v>10562</v>
      </c>
      <c r="HJ25" s="61">
        <f t="shared" si="50"/>
        <v>146000</v>
      </c>
      <c r="HK25" s="260">
        <v>2.1432000000000002</v>
      </c>
      <c r="HL25" s="292">
        <v>807.23</v>
      </c>
      <c r="HM25" s="61">
        <f t="shared" si="107"/>
        <v>0</v>
      </c>
      <c r="HN25" s="292">
        <v>7050.2</v>
      </c>
      <c r="HO25" s="292">
        <v>3007.9</v>
      </c>
      <c r="HP25" s="61">
        <f t="shared" si="52"/>
        <v>34749.999999999818</v>
      </c>
      <c r="HQ25" s="292">
        <v>4919</v>
      </c>
      <c r="HR25" s="292">
        <v>2072.8000000000002</v>
      </c>
      <c r="HS25" s="61">
        <f t="shared" si="53"/>
        <v>22449.999999999636</v>
      </c>
      <c r="HT25" s="292">
        <v>4818.8999999999996</v>
      </c>
      <c r="HU25" s="292">
        <v>1743.9</v>
      </c>
      <c r="HV25" s="61">
        <f t="shared" si="54"/>
        <v>19649.999999999454</v>
      </c>
      <c r="HW25" s="292">
        <v>3501.5</v>
      </c>
      <c r="HX25" s="292">
        <v>1502.1</v>
      </c>
      <c r="HY25" s="61">
        <f t="shared" si="55"/>
        <v>18550</v>
      </c>
      <c r="HZ25" s="260">
        <v>2761500</v>
      </c>
      <c r="IA25" s="260">
        <v>12002</v>
      </c>
      <c r="IB25" s="61">
        <f t="shared" si="56"/>
        <v>24100</v>
      </c>
      <c r="IC25" s="292">
        <v>719.8</v>
      </c>
      <c r="ID25" s="292">
        <v>232.78</v>
      </c>
      <c r="IE25" s="61">
        <f t="shared" si="79"/>
        <v>0</v>
      </c>
      <c r="IF25" s="61"/>
      <c r="IG25" s="61"/>
      <c r="IH25" s="280">
        <f t="shared" si="57"/>
        <v>26500</v>
      </c>
      <c r="II25" s="281">
        <f t="shared" si="58"/>
        <v>1.0841176845133305E-9</v>
      </c>
      <c r="IJ25" s="245"/>
      <c r="IK25" s="245"/>
      <c r="IL25" s="245">
        <f t="shared" si="111"/>
        <v>0</v>
      </c>
      <c r="IM25" s="245"/>
      <c r="IN25" s="245"/>
      <c r="IO25" s="245">
        <f t="shared" si="112"/>
        <v>0</v>
      </c>
      <c r="IP25" s="245"/>
      <c r="IQ25" s="245"/>
      <c r="IR25" s="245">
        <f t="shared" si="113"/>
        <v>0</v>
      </c>
      <c r="IS25" s="245"/>
      <c r="IT25" s="245"/>
      <c r="IU25" s="245">
        <f t="shared" si="114"/>
        <v>0</v>
      </c>
      <c r="IV25" s="245"/>
      <c r="IW25" s="245"/>
      <c r="IX25" s="245">
        <f t="shared" si="115"/>
        <v>0</v>
      </c>
      <c r="IY25" s="245"/>
      <c r="IZ25" s="245"/>
      <c r="JA25" s="245">
        <f t="shared" si="116"/>
        <v>0</v>
      </c>
      <c r="JB25" s="245"/>
      <c r="JC25" s="245"/>
      <c r="JD25" s="245">
        <f t="shared" si="117"/>
        <v>0</v>
      </c>
      <c r="JE25" s="245"/>
      <c r="JF25" s="245"/>
      <c r="JG25" s="245">
        <f t="shared" si="118"/>
        <v>0</v>
      </c>
      <c r="JH25" s="245"/>
      <c r="JI25" s="245"/>
      <c r="JJ25" s="245">
        <f t="shared" si="119"/>
        <v>0</v>
      </c>
      <c r="JK25" s="245"/>
      <c r="JL25" s="245"/>
      <c r="JM25" s="245">
        <f t="shared" si="120"/>
        <v>0</v>
      </c>
      <c r="JN25" s="245"/>
      <c r="JO25" s="245"/>
      <c r="JP25" s="245">
        <f t="shared" si="121"/>
        <v>0</v>
      </c>
      <c r="JQ25" s="245"/>
      <c r="JR25" s="245"/>
      <c r="JS25" s="245">
        <f t="shared" si="122"/>
        <v>0</v>
      </c>
      <c r="JT25" s="245"/>
      <c r="JU25" s="245"/>
      <c r="JV25" s="245">
        <f t="shared" si="123"/>
        <v>0</v>
      </c>
      <c r="JW25" s="245"/>
      <c r="JX25" s="245"/>
      <c r="JY25" s="245">
        <f t="shared" si="124"/>
        <v>0</v>
      </c>
      <c r="JZ25" s="245"/>
      <c r="KA25" s="245"/>
      <c r="KB25" s="245">
        <f t="shared" si="125"/>
        <v>0</v>
      </c>
      <c r="KC25" s="245"/>
      <c r="KD25" s="245"/>
      <c r="KE25" s="245">
        <f t="shared" si="126"/>
        <v>0</v>
      </c>
      <c r="KG25" s="151">
        <f t="shared" si="59"/>
        <v>58850.000000000902</v>
      </c>
    </row>
    <row r="26" spans="1:293" x14ac:dyDescent="0.25">
      <c r="A26" s="35">
        <f t="shared" si="0"/>
        <v>20</v>
      </c>
      <c r="B26" s="250">
        <v>5609.4</v>
      </c>
      <c r="C26" s="38">
        <f t="shared" si="1"/>
        <v>12.25</v>
      </c>
      <c r="D26" s="38">
        <f t="shared" si="2"/>
        <v>392000</v>
      </c>
      <c r="E26" s="250">
        <v>1126.04</v>
      </c>
      <c r="F26" s="38">
        <f t="shared" si="3"/>
        <v>76159.999999996217</v>
      </c>
      <c r="G26" s="38">
        <f t="shared" si="4"/>
        <v>468159.99999999622</v>
      </c>
      <c r="H26" s="37"/>
      <c r="I26" s="39"/>
      <c r="J26" s="42"/>
      <c r="K26" s="37">
        <f t="shared" si="80"/>
        <v>0</v>
      </c>
      <c r="L26" s="250">
        <v>18161300</v>
      </c>
      <c r="M26" s="40"/>
      <c r="N26" s="37">
        <f t="shared" si="81"/>
        <v>463000</v>
      </c>
      <c r="O26" s="250">
        <v>13090</v>
      </c>
      <c r="P26" s="37"/>
      <c r="Q26" s="37">
        <f t="shared" si="129"/>
        <v>17000</v>
      </c>
      <c r="R26" s="37">
        <f t="shared" si="82"/>
        <v>1</v>
      </c>
      <c r="S26" s="250">
        <v>11269352.640000001</v>
      </c>
      <c r="T26" s="37">
        <f t="shared" si="6"/>
        <v>328.13000000081956</v>
      </c>
      <c r="U26" s="250">
        <v>1523792.57</v>
      </c>
      <c r="V26" s="37">
        <f t="shared" si="7"/>
        <v>0</v>
      </c>
      <c r="W26" s="250">
        <v>4695.5</v>
      </c>
      <c r="X26" s="37">
        <f t="shared" si="95"/>
        <v>16601.86999999918</v>
      </c>
      <c r="Y26" s="183"/>
      <c r="Z26" s="183"/>
      <c r="AA26" s="250">
        <v>868700</v>
      </c>
      <c r="AB26" s="37">
        <f t="shared" si="8"/>
        <v>70</v>
      </c>
      <c r="AC26" s="250">
        <v>4858.5</v>
      </c>
      <c r="AD26" s="37"/>
      <c r="AE26" s="37">
        <f t="shared" si="131"/>
        <v>7199.9999999998181</v>
      </c>
      <c r="AF26" s="37">
        <f>IF(AE26&lt;=0,0,(AE26/SQRT(AE26^2+(AD26-AD25)^2)))</f>
        <v>1</v>
      </c>
      <c r="AG26" s="250">
        <v>10558.6</v>
      </c>
      <c r="AH26" s="37"/>
      <c r="AI26" s="37">
        <f t="shared" si="10"/>
        <v>16893.550000000363</v>
      </c>
      <c r="AJ26" s="37">
        <f t="shared" si="11"/>
        <v>1</v>
      </c>
      <c r="AK26" s="37">
        <f t="shared" si="12"/>
        <v>41023.550000000178</v>
      </c>
      <c r="AL26" s="250">
        <v>12217.4</v>
      </c>
      <c r="AM26" s="42"/>
      <c r="AN26" s="37">
        <f t="shared" si="60"/>
        <v>5973.5499999996855</v>
      </c>
      <c r="AO26" s="37">
        <f t="shared" si="84"/>
        <v>1</v>
      </c>
      <c r="AP26" s="250">
        <v>9650.2999999999993</v>
      </c>
      <c r="AQ26" s="37"/>
      <c r="AR26" s="37">
        <f t="shared" si="13"/>
        <v>9599.9999999985448</v>
      </c>
      <c r="AS26" s="37">
        <f t="shared" si="85"/>
        <v>1</v>
      </c>
      <c r="AT26" s="183"/>
      <c r="AU26" s="183"/>
      <c r="AV26" s="183"/>
      <c r="AW26" s="183"/>
      <c r="AX26" s="250">
        <v>532960</v>
      </c>
      <c r="AY26" s="37"/>
      <c r="AZ26" s="37">
        <f t="shared" si="14"/>
        <v>344.80000000004657</v>
      </c>
      <c r="BA26" s="250">
        <v>220990</v>
      </c>
      <c r="BB26" s="37"/>
      <c r="BC26" s="37">
        <f t="shared" si="15"/>
        <v>554.92000000001281</v>
      </c>
      <c r="BD26" s="37">
        <f t="shared" si="86"/>
        <v>16473.269999998291</v>
      </c>
      <c r="BE26" s="250">
        <v>2111.4</v>
      </c>
      <c r="BF26" s="250">
        <v>1188.2</v>
      </c>
      <c r="BG26" s="37">
        <f t="shared" si="16"/>
        <v>1599.9999999999091</v>
      </c>
      <c r="BH26" s="250">
        <v>10000</v>
      </c>
      <c r="BI26" s="250">
        <v>6461.7</v>
      </c>
      <c r="BJ26" s="37">
        <f t="shared" si="17"/>
        <v>9200.0000000007276</v>
      </c>
      <c r="BK26" s="250">
        <v>2062690</v>
      </c>
      <c r="BL26" s="40">
        <f t="shared" si="87"/>
        <v>4290</v>
      </c>
      <c r="BM26" s="250">
        <v>950.01</v>
      </c>
      <c r="BN26" s="37">
        <f t="shared" si="18"/>
        <v>669.99999999995907</v>
      </c>
      <c r="BO26" s="186"/>
      <c r="BP26" s="183">
        <f t="shared" si="19"/>
        <v>0</v>
      </c>
      <c r="BQ26" s="250">
        <v>896.1</v>
      </c>
      <c r="BR26" s="37">
        <f t="shared" si="61"/>
        <v>759.99999999999091</v>
      </c>
      <c r="BS26" s="250">
        <v>123244.65</v>
      </c>
      <c r="BT26" s="37">
        <f t="shared" si="20"/>
        <v>251.84999999999127</v>
      </c>
      <c r="BU26" s="250">
        <v>3684720</v>
      </c>
      <c r="BV26" s="42"/>
      <c r="BW26" s="37">
        <f t="shared" si="21"/>
        <v>5420</v>
      </c>
      <c r="BX26" s="37">
        <f t="shared" si="88"/>
        <v>1</v>
      </c>
      <c r="BY26" s="250">
        <v>425.3485</v>
      </c>
      <c r="BZ26" s="37"/>
      <c r="CA26" s="37">
        <f t="shared" si="127"/>
        <v>668.49999999999454</v>
      </c>
      <c r="CB26" s="37">
        <f t="shared" si="62"/>
        <v>1</v>
      </c>
      <c r="CC26" s="250">
        <v>827892.3</v>
      </c>
      <c r="CD26" s="37">
        <f t="shared" si="23"/>
        <v>0</v>
      </c>
      <c r="CE26" s="250">
        <v>1859095</v>
      </c>
      <c r="CF26" s="37">
        <f t="shared" si="24"/>
        <v>4895</v>
      </c>
      <c r="CG26" s="250">
        <v>122633</v>
      </c>
      <c r="CH26" s="37">
        <f t="shared" si="63"/>
        <v>0</v>
      </c>
      <c r="CI26" s="250">
        <v>14704.16</v>
      </c>
      <c r="CJ26" s="40"/>
      <c r="CK26" s="37">
        <f t="shared" si="64"/>
        <v>14785.049999999859</v>
      </c>
      <c r="CL26" s="37">
        <f t="shared" si="25"/>
        <v>1</v>
      </c>
      <c r="CM26" s="250">
        <v>4381.7579999999998</v>
      </c>
      <c r="CN26" s="37"/>
      <c r="CO26" s="37">
        <f t="shared" si="26"/>
        <v>4651.5500000001748</v>
      </c>
      <c r="CP26" s="37">
        <f t="shared" si="89"/>
        <v>1</v>
      </c>
      <c r="CQ26" s="250">
        <v>903660.9</v>
      </c>
      <c r="CR26" s="39"/>
      <c r="CS26" s="37">
        <f t="shared" si="65"/>
        <v>5474.4500000000235</v>
      </c>
      <c r="CT26" s="37">
        <f t="shared" si="66"/>
        <v>1</v>
      </c>
      <c r="CU26" s="250">
        <v>4790669</v>
      </c>
      <c r="CV26" s="37"/>
      <c r="CW26" s="38">
        <f t="shared" si="27"/>
        <v>19969</v>
      </c>
      <c r="CX26" s="37">
        <f t="shared" si="90"/>
        <v>1</v>
      </c>
      <c r="CY26" s="250">
        <v>2565655</v>
      </c>
      <c r="CZ26" s="37"/>
      <c r="DA26" s="37">
        <f t="shared" si="28"/>
        <v>10655</v>
      </c>
      <c r="DB26" s="37">
        <f t="shared" si="91"/>
        <v>1</v>
      </c>
      <c r="DC26" s="37"/>
      <c r="DD26" s="40"/>
      <c r="DE26" s="37">
        <f t="shared" si="29"/>
        <v>0</v>
      </c>
      <c r="DF26" s="37">
        <f t="shared" si="96"/>
        <v>0</v>
      </c>
      <c r="DG26" s="37">
        <f t="shared" si="30"/>
        <v>-60955.050000000061</v>
      </c>
      <c r="DH26" s="37">
        <f t="shared" si="31"/>
        <v>505623.5500000001</v>
      </c>
      <c r="DI26" s="46"/>
      <c r="DJ26" s="46"/>
      <c r="DK26" s="47"/>
      <c r="DL26" s="47"/>
      <c r="DM26" s="37"/>
      <c r="DN26" s="37"/>
      <c r="DO26" s="37"/>
      <c r="DP26" s="37"/>
      <c r="DQ26" s="250">
        <v>4636300</v>
      </c>
      <c r="DR26" s="49">
        <f t="shared" si="67"/>
        <v>9300</v>
      </c>
      <c r="DS26" s="250">
        <v>6251900</v>
      </c>
      <c r="DT26" s="49">
        <f t="shared" si="68"/>
        <v>26700</v>
      </c>
      <c r="DU26" s="250">
        <v>8465.7000000000007</v>
      </c>
      <c r="DV26" s="250">
        <v>4776.3999999999996</v>
      </c>
      <c r="DW26" s="37">
        <f t="shared" si="92"/>
        <v>400.00000000145519</v>
      </c>
      <c r="DX26" s="250">
        <v>14015</v>
      </c>
      <c r="DY26" s="250">
        <v>8773.7999999999993</v>
      </c>
      <c r="DZ26" s="37">
        <f t="shared" si="32"/>
        <v>1293.55</v>
      </c>
      <c r="EA26" s="250">
        <v>32555</v>
      </c>
      <c r="EB26" s="250">
        <v>22.227</v>
      </c>
      <c r="EC26" s="37">
        <f t="shared" si="33"/>
        <v>5453.55</v>
      </c>
      <c r="ED26" s="53">
        <f t="shared" si="34"/>
        <v>7147.1000000014556</v>
      </c>
      <c r="EE26" s="250">
        <v>48634</v>
      </c>
      <c r="EF26" s="250">
        <v>32.064999999999998</v>
      </c>
      <c r="EG26" s="37">
        <f t="shared" si="35"/>
        <v>32453.55</v>
      </c>
      <c r="EH26" s="250">
        <v>14409</v>
      </c>
      <c r="EI26" s="250">
        <v>2.1312000000000002</v>
      </c>
      <c r="EJ26" s="37">
        <f t="shared" si="36"/>
        <v>10293.549999999999</v>
      </c>
      <c r="EK26" s="250">
        <v>877.94</v>
      </c>
      <c r="EL26" s="250">
        <v>1257.3</v>
      </c>
      <c r="EM26" s="37">
        <f t="shared" si="69"/>
        <v>790.00000000007731</v>
      </c>
      <c r="EN26" s="54">
        <f t="shared" si="70"/>
        <v>43537.100000000079</v>
      </c>
      <c r="EO26" s="250">
        <v>13892.89</v>
      </c>
      <c r="EP26" s="48"/>
      <c r="EQ26" s="37">
        <f t="shared" si="97"/>
        <v>7533.5499999994399</v>
      </c>
      <c r="ER26" s="250">
        <v>11272.41</v>
      </c>
      <c r="ES26" s="48"/>
      <c r="ET26" s="49">
        <f t="shared" si="106"/>
        <v>16289.999999999054</v>
      </c>
      <c r="EU26" s="250">
        <v>4702.4930000000004</v>
      </c>
      <c r="EV26" s="48"/>
      <c r="EW26" s="49">
        <f t="shared" si="38"/>
        <v>10622.550000000632</v>
      </c>
      <c r="EX26" s="250">
        <v>14844.54</v>
      </c>
      <c r="EY26" s="48"/>
      <c r="EZ26" s="37">
        <f t="shared" si="39"/>
        <v>14173.550000001018</v>
      </c>
      <c r="FA26" s="48">
        <f t="shared" si="71"/>
        <v>-23508.650000000143</v>
      </c>
      <c r="FB26" s="250">
        <v>39190234</v>
      </c>
      <c r="FC26" s="49">
        <f t="shared" si="93"/>
        <v>25111</v>
      </c>
      <c r="FD26" s="48">
        <f t="shared" si="72"/>
        <v>50409.250000000131</v>
      </c>
      <c r="FE26" s="250">
        <v>18082.3</v>
      </c>
      <c r="FF26" s="48"/>
      <c r="FG26" s="37">
        <f t="shared" si="73"/>
        <v>10393.550000000705</v>
      </c>
      <c r="FH26" s="250">
        <v>10774.4</v>
      </c>
      <c r="FI26" s="48"/>
      <c r="FJ26" s="49">
        <f t="shared" si="40"/>
        <v>16493.549999998908</v>
      </c>
      <c r="FK26" s="48"/>
      <c r="FL26" s="58"/>
      <c r="FM26" s="48">
        <f t="shared" si="94"/>
        <v>-513.55000000249004</v>
      </c>
      <c r="FN26" s="250">
        <v>17999.900000000001</v>
      </c>
      <c r="FO26" s="48"/>
      <c r="FP26" s="37">
        <f t="shared" si="74"/>
        <v>11093.55000000291</v>
      </c>
      <c r="FQ26" s="250">
        <v>63318.74</v>
      </c>
      <c r="FR26" s="48"/>
      <c r="FS26" s="37">
        <f t="shared" si="41"/>
        <v>36439.999999995052</v>
      </c>
      <c r="FT26" s="48">
        <f t="shared" si="75"/>
        <v>-1540.6500000074702</v>
      </c>
      <c r="FU26" s="48">
        <f t="shared" si="76"/>
        <v>37988.850000002516</v>
      </c>
      <c r="FV26" s="250">
        <v>7170899</v>
      </c>
      <c r="FW26" s="44"/>
      <c r="FX26" s="37">
        <f t="shared" si="42"/>
        <v>15696</v>
      </c>
      <c r="FY26" s="250">
        <v>215976.8</v>
      </c>
      <c r="FZ26" s="56"/>
      <c r="GA26" s="37">
        <f t="shared" si="43"/>
        <v>4186.8999999999942</v>
      </c>
      <c r="GB26" s="250">
        <v>904.25919999999996</v>
      </c>
      <c r="GC26" s="56"/>
      <c r="GD26" s="37">
        <f t="shared" si="44"/>
        <v>646.39999999997144</v>
      </c>
      <c r="GE26" s="250">
        <v>11113.57</v>
      </c>
      <c r="GF26" s="56"/>
      <c r="GG26" s="37">
        <f t="shared" si="45"/>
        <v>4532.199999999948</v>
      </c>
      <c r="GH26" s="250">
        <v>99561.4</v>
      </c>
      <c r="GI26" s="159"/>
      <c r="GJ26" s="38">
        <f t="shared" si="77"/>
        <v>1789.5999999999913</v>
      </c>
      <c r="GK26" s="250">
        <v>1533.9582</v>
      </c>
      <c r="GL26" s="160"/>
      <c r="GM26" s="38">
        <f t="shared" si="46"/>
        <v>8.1999999999879947</v>
      </c>
      <c r="GN26" s="250">
        <v>244142.9</v>
      </c>
      <c r="GO26" s="57"/>
      <c r="GP26" s="38">
        <f t="shared" si="98"/>
        <v>2.8999999999941792</v>
      </c>
      <c r="GQ26" s="250">
        <v>303365.90000000002</v>
      </c>
      <c r="GR26" s="38"/>
      <c r="GS26" s="38">
        <f t="shared" si="78"/>
        <v>172</v>
      </c>
      <c r="GT26" s="247"/>
      <c r="GU26" s="144">
        <f>DailySep!B25-DailySep!N25-DailySep!V25-DailySep!Y25-DailySep!Z25-DailySep!AA25-DailySep!AB25-DailySep!AC25-DailySep!AD25-DailySep!AE25-DailySep!AK25-DailySep!AO25-DailySep!AS25-DailySep!AY25-DailySep!BD25+DailySep!BU25-DailySep!BG25-DailySep!BT25-DailySep!AF25-DailySep!AG25</f>
        <v>2.3299999930313788</v>
      </c>
      <c r="GV26" s="261">
        <v>4403.28</v>
      </c>
      <c r="GW26" s="60">
        <f t="shared" si="48"/>
        <v>293.55199999999996</v>
      </c>
      <c r="GX26" s="260">
        <v>293.55</v>
      </c>
      <c r="GY26" s="140"/>
      <c r="GZ26" s="528"/>
      <c r="HA26" s="528"/>
      <c r="HB26" s="528"/>
      <c r="HC26" s="528"/>
      <c r="HD26" s="74"/>
      <c r="HE26" s="24">
        <f t="shared" si="49"/>
        <v>0</v>
      </c>
      <c r="HF26" s="255"/>
      <c r="HG26" s="279">
        <v>20</v>
      </c>
      <c r="HH26" s="292">
        <v>27898</v>
      </c>
      <c r="HI26" s="292">
        <v>10621</v>
      </c>
      <c r="HJ26" s="61">
        <f t="shared" si="50"/>
        <v>160000</v>
      </c>
      <c r="HK26" s="260">
        <v>2.1432000000000002</v>
      </c>
      <c r="HL26" s="292">
        <v>807.23</v>
      </c>
      <c r="HM26" s="61">
        <f t="shared" si="107"/>
        <v>0</v>
      </c>
      <c r="HN26" s="292">
        <v>7087.7</v>
      </c>
      <c r="HO26" s="292">
        <v>3023</v>
      </c>
      <c r="HP26" s="61">
        <f t="shared" si="52"/>
        <v>37500</v>
      </c>
      <c r="HQ26" s="292">
        <v>4945.3</v>
      </c>
      <c r="HR26" s="292">
        <v>2083</v>
      </c>
      <c r="HS26" s="61">
        <f t="shared" si="53"/>
        <v>26300.000000000182</v>
      </c>
      <c r="HT26" s="292">
        <v>4844</v>
      </c>
      <c r="HU26" s="292">
        <v>1752.4</v>
      </c>
      <c r="HV26" s="61">
        <f t="shared" si="54"/>
        <v>25100.000000000364</v>
      </c>
      <c r="HW26" s="292">
        <v>3521.8</v>
      </c>
      <c r="HX26" s="292">
        <v>1510.8</v>
      </c>
      <c r="HY26" s="61">
        <f t="shared" si="55"/>
        <v>20300.000000000182</v>
      </c>
      <c r="HZ26" s="260">
        <v>2785600</v>
      </c>
      <c r="IA26" s="260">
        <v>12102</v>
      </c>
      <c r="IB26" s="61">
        <f t="shared" si="56"/>
        <v>24100</v>
      </c>
      <c r="IC26" s="292">
        <v>719.8</v>
      </c>
      <c r="ID26" s="292">
        <v>232.78</v>
      </c>
      <c r="IE26" s="61">
        <f t="shared" si="79"/>
        <v>0</v>
      </c>
      <c r="IF26" s="61"/>
      <c r="IG26" s="61"/>
      <c r="IH26" s="280">
        <f t="shared" si="57"/>
        <v>26700</v>
      </c>
      <c r="II26" s="281">
        <f t="shared" si="58"/>
        <v>-7.2759576141834259E-10</v>
      </c>
      <c r="IJ26" s="245"/>
      <c r="IK26" s="245"/>
      <c r="IL26" s="245">
        <f t="shared" si="111"/>
        <v>0</v>
      </c>
      <c r="IM26" s="245"/>
      <c r="IN26" s="245"/>
      <c r="IO26" s="245">
        <f t="shared" si="112"/>
        <v>0</v>
      </c>
      <c r="IP26" s="245"/>
      <c r="IQ26" s="245"/>
      <c r="IR26" s="245">
        <f t="shared" si="113"/>
        <v>0</v>
      </c>
      <c r="IS26" s="245"/>
      <c r="IT26" s="245"/>
      <c r="IU26" s="245">
        <f t="shared" si="114"/>
        <v>0</v>
      </c>
      <c r="IV26" s="245"/>
      <c r="IW26" s="245"/>
      <c r="IX26" s="245">
        <f t="shared" si="115"/>
        <v>0</v>
      </c>
      <c r="IY26" s="245"/>
      <c r="IZ26" s="245"/>
      <c r="JA26" s="245">
        <f t="shared" si="116"/>
        <v>0</v>
      </c>
      <c r="JB26" s="245"/>
      <c r="JC26" s="245"/>
      <c r="JD26" s="245">
        <f t="shared" si="117"/>
        <v>0</v>
      </c>
      <c r="JE26" s="245"/>
      <c r="JF26" s="245"/>
      <c r="JG26" s="245">
        <f t="shared" si="118"/>
        <v>0</v>
      </c>
      <c r="JH26" s="245"/>
      <c r="JI26" s="245"/>
      <c r="JJ26" s="245">
        <f t="shared" si="119"/>
        <v>0</v>
      </c>
      <c r="JK26" s="245"/>
      <c r="JL26" s="245"/>
      <c r="JM26" s="245">
        <f t="shared" si="120"/>
        <v>0</v>
      </c>
      <c r="JN26" s="245"/>
      <c r="JO26" s="245"/>
      <c r="JP26" s="245">
        <f t="shared" si="121"/>
        <v>0</v>
      </c>
      <c r="JQ26" s="245"/>
      <c r="JR26" s="245"/>
      <c r="JS26" s="245">
        <f t="shared" si="122"/>
        <v>0</v>
      </c>
      <c r="JT26" s="245"/>
      <c r="JU26" s="245"/>
      <c r="JV26" s="245">
        <f t="shared" si="123"/>
        <v>0</v>
      </c>
      <c r="JW26" s="245"/>
      <c r="JX26" s="245"/>
      <c r="JY26" s="245">
        <f t="shared" si="124"/>
        <v>0</v>
      </c>
      <c r="JZ26" s="245"/>
      <c r="KA26" s="245"/>
      <c r="KB26" s="245">
        <f t="shared" si="125"/>
        <v>0</v>
      </c>
      <c r="KC26" s="245"/>
      <c r="KD26" s="245"/>
      <c r="KE26" s="245">
        <f t="shared" si="126"/>
        <v>0</v>
      </c>
      <c r="KG26" s="151">
        <f t="shared" si="59"/>
        <v>61599.999999999272</v>
      </c>
    </row>
    <row r="27" spans="1:293" x14ac:dyDescent="0.25">
      <c r="A27" s="35">
        <f t="shared" si="0"/>
        <v>21</v>
      </c>
      <c r="B27" s="250">
        <v>5619.07</v>
      </c>
      <c r="C27" s="38">
        <f t="shared" si="1"/>
        <v>9.6700000000000728</v>
      </c>
      <c r="D27" s="38">
        <f t="shared" si="2"/>
        <v>309440.00000000233</v>
      </c>
      <c r="E27" s="250">
        <v>1127.68</v>
      </c>
      <c r="F27" s="38">
        <f t="shared" si="3"/>
        <v>52480.000000003201</v>
      </c>
      <c r="G27" s="38">
        <f t="shared" si="4"/>
        <v>361920.00000000553</v>
      </c>
      <c r="H27" s="37"/>
      <c r="I27" s="39"/>
      <c r="J27" s="42"/>
      <c r="K27" s="37">
        <f t="shared" si="80"/>
        <v>0</v>
      </c>
      <c r="L27" s="250">
        <v>18197200</v>
      </c>
      <c r="M27" s="40"/>
      <c r="N27" s="37">
        <f t="shared" si="81"/>
        <v>359000</v>
      </c>
      <c r="O27" s="250">
        <v>13108.6</v>
      </c>
      <c r="P27" s="37"/>
      <c r="Q27" s="37">
        <f t="shared" si="129"/>
        <v>18600.000000000364</v>
      </c>
      <c r="R27" s="37">
        <f t="shared" si="82"/>
        <v>1</v>
      </c>
      <c r="S27" s="250">
        <v>11269718.439999999</v>
      </c>
      <c r="T27" s="37">
        <f t="shared" si="6"/>
        <v>365.79999999888241</v>
      </c>
      <c r="U27" s="250">
        <v>1523792.57</v>
      </c>
      <c r="V27" s="37">
        <f t="shared" si="7"/>
        <v>0</v>
      </c>
      <c r="W27" s="250">
        <v>4701.5</v>
      </c>
      <c r="X27" s="37">
        <f t="shared" si="95"/>
        <v>18134.200000001481</v>
      </c>
      <c r="Y27" s="183"/>
      <c r="Z27" s="183"/>
      <c r="AA27" s="250">
        <v>868800</v>
      </c>
      <c r="AB27" s="37">
        <f t="shared" si="8"/>
        <v>100</v>
      </c>
      <c r="AC27" s="250">
        <v>4865.8</v>
      </c>
      <c r="AD27" s="37"/>
      <c r="AE27" s="37">
        <f t="shared" si="131"/>
        <v>7300.0000000001819</v>
      </c>
      <c r="AF27" s="37">
        <f t="shared" si="83"/>
        <v>1</v>
      </c>
      <c r="AG27" s="250">
        <v>10574.6</v>
      </c>
      <c r="AH27" s="37"/>
      <c r="AI27" s="37">
        <f t="shared" si="10"/>
        <v>16464.54</v>
      </c>
      <c r="AJ27" s="37">
        <f t="shared" si="11"/>
        <v>1</v>
      </c>
      <c r="AK27" s="37">
        <f t="shared" si="12"/>
        <v>42264.540000000547</v>
      </c>
      <c r="AL27" s="250">
        <v>12228.1</v>
      </c>
      <c r="AM27" s="42"/>
      <c r="AN27" s="37">
        <f t="shared" si="60"/>
        <v>5854.5400000006648</v>
      </c>
      <c r="AO27" s="37">
        <f t="shared" si="84"/>
        <v>1</v>
      </c>
      <c r="AP27" s="250">
        <v>9658.9</v>
      </c>
      <c r="AQ27" s="37"/>
      <c r="AR27" s="37">
        <f t="shared" si="13"/>
        <v>8600.0000000003638</v>
      </c>
      <c r="AS27" s="37">
        <f t="shared" si="85"/>
        <v>1</v>
      </c>
      <c r="AT27" s="183"/>
      <c r="AU27" s="183"/>
      <c r="AV27" s="183"/>
      <c r="AW27" s="183"/>
      <c r="AX27" s="250">
        <v>533320</v>
      </c>
      <c r="AY27" s="37"/>
      <c r="AZ27" s="37">
        <f t="shared" si="14"/>
        <v>360</v>
      </c>
      <c r="BA27" s="250">
        <v>221560</v>
      </c>
      <c r="BB27" s="37"/>
      <c r="BC27" s="37">
        <f t="shared" si="15"/>
        <v>570</v>
      </c>
      <c r="BD27" s="37">
        <f t="shared" si="86"/>
        <v>15384.540000001029</v>
      </c>
      <c r="BE27" s="250">
        <v>2113</v>
      </c>
      <c r="BF27" s="250">
        <v>1189.2</v>
      </c>
      <c r="BG27" s="37">
        <f t="shared" si="16"/>
        <v>1599.9999999999091</v>
      </c>
      <c r="BH27" s="250">
        <v>10008</v>
      </c>
      <c r="BI27" s="250">
        <v>6467.3</v>
      </c>
      <c r="BJ27" s="37">
        <f t="shared" si="17"/>
        <v>8000</v>
      </c>
      <c r="BK27" s="250">
        <v>2066820</v>
      </c>
      <c r="BL27" s="40">
        <f t="shared" si="87"/>
        <v>4130</v>
      </c>
      <c r="BM27" s="250">
        <v>950.69</v>
      </c>
      <c r="BN27" s="37">
        <f t="shared" si="18"/>
        <v>680.00000000006366</v>
      </c>
      <c r="BO27" s="186"/>
      <c r="BP27" s="183">
        <f t="shared" si="19"/>
        <v>0</v>
      </c>
      <c r="BQ27" s="250">
        <v>896.6</v>
      </c>
      <c r="BR27" s="37">
        <f t="shared" si="61"/>
        <v>500</v>
      </c>
      <c r="BS27" s="250">
        <v>123488.69</v>
      </c>
      <c r="BT27" s="37">
        <f t="shared" si="20"/>
        <v>244.04000000000815</v>
      </c>
      <c r="BU27" s="250">
        <v>3690544</v>
      </c>
      <c r="BV27" s="42"/>
      <c r="BW27" s="37">
        <f t="shared" si="21"/>
        <v>5824</v>
      </c>
      <c r="BX27" s="37">
        <f t="shared" si="88"/>
        <v>1</v>
      </c>
      <c r="BY27" s="250">
        <v>426.01100000000002</v>
      </c>
      <c r="BZ27" s="37"/>
      <c r="CA27" s="37">
        <f t="shared" si="127"/>
        <v>662.50000000002274</v>
      </c>
      <c r="CB27" s="37">
        <f t="shared" si="62"/>
        <v>1</v>
      </c>
      <c r="CC27" s="250">
        <v>827892.3</v>
      </c>
      <c r="CD27" s="37">
        <f t="shared" si="23"/>
        <v>0</v>
      </c>
      <c r="CE27" s="250">
        <v>1864774.8</v>
      </c>
      <c r="CF27" s="37">
        <f t="shared" si="24"/>
        <v>5679.8000000000466</v>
      </c>
      <c r="CG27" s="250">
        <v>122633</v>
      </c>
      <c r="CH27" s="37">
        <f t="shared" si="63"/>
        <v>0</v>
      </c>
      <c r="CI27" s="250">
        <v>14719.14</v>
      </c>
      <c r="CJ27" s="40"/>
      <c r="CK27" s="37">
        <f t="shared" si="64"/>
        <v>14782.039999999542</v>
      </c>
      <c r="CL27" s="37">
        <f t="shared" si="25"/>
        <v>1</v>
      </c>
      <c r="CM27" s="250">
        <v>4386.0649999999996</v>
      </c>
      <c r="CN27" s="37"/>
      <c r="CO27" s="37">
        <f t="shared" si="26"/>
        <v>4771.539999999789</v>
      </c>
      <c r="CP27" s="37">
        <f t="shared" si="89"/>
        <v>1</v>
      </c>
      <c r="CQ27" s="250">
        <v>908872.3</v>
      </c>
      <c r="CR27" s="39"/>
      <c r="CS27" s="37">
        <f t="shared" si="65"/>
        <v>5675.9400000000232</v>
      </c>
      <c r="CT27" s="37">
        <f t="shared" si="66"/>
        <v>1</v>
      </c>
      <c r="CU27" s="250">
        <v>4810981</v>
      </c>
      <c r="CV27" s="37"/>
      <c r="CW27" s="38">
        <f t="shared" si="27"/>
        <v>20312</v>
      </c>
      <c r="CX27" s="37">
        <f t="shared" si="90"/>
        <v>1</v>
      </c>
      <c r="CY27" s="250">
        <v>2576950</v>
      </c>
      <c r="CZ27" s="37"/>
      <c r="DA27" s="37">
        <f t="shared" ref="DA27:DA36" si="133">IF((CY27-CY26)&lt;=0,0,(CY27-CY26))/1</f>
        <v>11295</v>
      </c>
      <c r="DB27" s="37">
        <f t="shared" si="91"/>
        <v>1</v>
      </c>
      <c r="DC27" s="37"/>
      <c r="DD27" s="40"/>
      <c r="DE27" s="37">
        <f t="shared" si="29"/>
        <v>0</v>
      </c>
      <c r="DF27" s="37">
        <f t="shared" si="96"/>
        <v>0</v>
      </c>
      <c r="DG27" s="37">
        <f t="shared" si="30"/>
        <v>-62660.519999999357</v>
      </c>
      <c r="DH27" s="37">
        <f t="shared" si="31"/>
        <v>402864.54000000044</v>
      </c>
      <c r="DI27" s="46"/>
      <c r="DJ27" s="46"/>
      <c r="DK27" s="47"/>
      <c r="DL27" s="47"/>
      <c r="DM27" s="37"/>
      <c r="DN27" s="37"/>
      <c r="DO27" s="37"/>
      <c r="DP27" s="37"/>
      <c r="DQ27" s="250">
        <v>4645400</v>
      </c>
      <c r="DR27" s="49">
        <f t="shared" si="67"/>
        <v>9100</v>
      </c>
      <c r="DS27" s="250">
        <v>6278100</v>
      </c>
      <c r="DT27" s="49">
        <f t="shared" si="68"/>
        <v>26200</v>
      </c>
      <c r="DU27" s="250">
        <v>8466</v>
      </c>
      <c r="DV27" s="250">
        <v>4766.6000000000004</v>
      </c>
      <c r="DW27" s="37">
        <f t="shared" si="92"/>
        <v>299.9999999992724</v>
      </c>
      <c r="DX27" s="250">
        <v>14015</v>
      </c>
      <c r="DY27" s="250">
        <v>8773.9</v>
      </c>
      <c r="DZ27" s="37">
        <f t="shared" si="32"/>
        <v>464.54</v>
      </c>
      <c r="EA27" s="250">
        <v>32558</v>
      </c>
      <c r="EB27" s="250">
        <v>22.228999999999999</v>
      </c>
      <c r="EC27" s="37">
        <f t="shared" si="33"/>
        <v>5624.54</v>
      </c>
      <c r="ED27" s="53">
        <f t="shared" si="34"/>
        <v>6389.0799999992723</v>
      </c>
      <c r="EE27" s="250">
        <v>48665</v>
      </c>
      <c r="EF27" s="250">
        <v>32.087000000000003</v>
      </c>
      <c r="EG27" s="37">
        <f t="shared" si="35"/>
        <v>33624.54</v>
      </c>
      <c r="EH27" s="250">
        <v>14418</v>
      </c>
      <c r="EI27" s="250">
        <v>2.1331000000000002</v>
      </c>
      <c r="EJ27" s="37">
        <f t="shared" si="36"/>
        <v>9464.5400000000009</v>
      </c>
      <c r="EK27" s="250">
        <v>878.76</v>
      </c>
      <c r="EL27" s="250">
        <v>1258.5</v>
      </c>
      <c r="EM27" s="37">
        <f t="shared" si="69"/>
        <v>819.99999999993634</v>
      </c>
      <c r="EN27" s="54">
        <f t="shared" si="70"/>
        <v>43909.079999999936</v>
      </c>
      <c r="EO27" s="250">
        <v>13901.08</v>
      </c>
      <c r="EP27" s="48"/>
      <c r="EQ27" s="37">
        <f t="shared" si="97"/>
        <v>7354.5400000004993</v>
      </c>
      <c r="ER27" s="250">
        <v>11288.37</v>
      </c>
      <c r="ES27" s="48"/>
      <c r="ET27" s="49">
        <f t="shared" si="106"/>
        <v>15960.000000000946</v>
      </c>
      <c r="EU27" s="250">
        <v>4712.7659999999996</v>
      </c>
      <c r="EV27" s="48"/>
      <c r="EW27" s="49">
        <f t="shared" si="38"/>
        <v>10737.53999999923</v>
      </c>
      <c r="EX27" s="250">
        <v>14857.74</v>
      </c>
      <c r="EY27" s="48"/>
      <c r="EZ27" s="37">
        <f t="shared" si="39"/>
        <v>13664.539999998909</v>
      </c>
      <c r="FA27" s="48">
        <f t="shared" si="71"/>
        <v>-23396.619999999584</v>
      </c>
      <c r="FB27" s="250">
        <v>39214554</v>
      </c>
      <c r="FC27" s="49">
        <f t="shared" si="93"/>
        <v>24320</v>
      </c>
      <c r="FD27" s="48">
        <f t="shared" si="72"/>
        <v>49319.519999999589</v>
      </c>
      <c r="FE27" s="250">
        <v>18089.900000000001</v>
      </c>
      <c r="FF27" s="48"/>
      <c r="FG27" s="37">
        <f t="shared" si="73"/>
        <v>9364.5400000021946</v>
      </c>
      <c r="FH27" s="250">
        <v>10788.1</v>
      </c>
      <c r="FI27" s="48"/>
      <c r="FJ27" s="49">
        <f t="shared" si="40"/>
        <v>14164.540000000728</v>
      </c>
      <c r="FK27" s="48"/>
      <c r="FL27" s="58"/>
      <c r="FM27" s="48">
        <f t="shared" si="94"/>
        <v>-731.20666666667114</v>
      </c>
      <c r="FN27" s="250">
        <v>18009.5</v>
      </c>
      <c r="FO27" s="48"/>
      <c r="FP27" s="37">
        <f t="shared" si="74"/>
        <v>10064.539999998546</v>
      </c>
      <c r="FQ27" s="250">
        <v>63350.14</v>
      </c>
      <c r="FR27" s="55"/>
      <c r="FS27" s="37">
        <f t="shared" si="41"/>
        <v>31400.000000001455</v>
      </c>
      <c r="FT27" s="48">
        <f t="shared" si="75"/>
        <v>-2193.6200000000135</v>
      </c>
      <c r="FU27" s="48">
        <f t="shared" si="76"/>
        <v>33596.420000001446</v>
      </c>
      <c r="FV27" s="250">
        <v>7186390</v>
      </c>
      <c r="FW27" s="44"/>
      <c r="FX27" s="37">
        <f t="shared" si="42"/>
        <v>15491</v>
      </c>
      <c r="FY27" s="250">
        <v>219954.5</v>
      </c>
      <c r="FZ27" s="56"/>
      <c r="GA27" s="37">
        <f t="shared" si="43"/>
        <v>3977.7000000000116</v>
      </c>
      <c r="GB27" s="250">
        <v>904.83799999999997</v>
      </c>
      <c r="GC27" s="56"/>
      <c r="GD27" s="37">
        <f t="shared" si="44"/>
        <v>578.80000000000109</v>
      </c>
      <c r="GE27" s="250">
        <v>11119.32</v>
      </c>
      <c r="GF27" s="56"/>
      <c r="GG27" s="37">
        <f t="shared" si="45"/>
        <v>4144.300000000012</v>
      </c>
      <c r="GH27" s="250">
        <v>101164.3</v>
      </c>
      <c r="GI27" s="159"/>
      <c r="GJ27" s="38">
        <f t="shared" si="77"/>
        <v>1602.9000000000087</v>
      </c>
      <c r="GK27" s="250">
        <v>1533.961</v>
      </c>
      <c r="GL27" s="160"/>
      <c r="GM27" s="38">
        <f t="shared" si="46"/>
        <v>2.7999999999792635</v>
      </c>
      <c r="GN27" s="250">
        <v>244145.9</v>
      </c>
      <c r="GO27" s="57"/>
      <c r="GP27" s="38">
        <f t="shared" si="98"/>
        <v>3</v>
      </c>
      <c r="GQ27" s="250">
        <v>303517.90000000002</v>
      </c>
      <c r="GR27" s="38"/>
      <c r="GS27" s="38">
        <f t="shared" si="78"/>
        <v>152</v>
      </c>
      <c r="GT27" s="248"/>
      <c r="GU27" s="144">
        <f>DailySep!B26-DailySep!N26-DailySep!V26-DailySep!Y26-DailySep!Z26-DailySep!AA26-DailySep!AB26-DailySep!AC26-DailySep!AD26-DailySep!AE26-DailySep!AK26-DailySep!AO26-DailySep!AS26-DailySep!AY26-DailySep!BD26+DailySep!BU26-DailySep!BG26-DailySep!BT26-DailySep!AF26-DailySep!AG26</f>
        <v>4.2782630771398544E-9</v>
      </c>
      <c r="GV27" s="261">
        <v>6968.1</v>
      </c>
      <c r="GW27" s="60">
        <f t="shared" si="48"/>
        <v>464.54</v>
      </c>
      <c r="GX27" s="260">
        <v>464.54</v>
      </c>
      <c r="GY27" s="140"/>
      <c r="GZ27" s="528"/>
      <c r="HA27" s="528"/>
      <c r="HB27" s="528"/>
      <c r="HC27" s="528"/>
      <c r="HD27" s="62"/>
      <c r="HE27" s="24">
        <f t="shared" si="49"/>
        <v>0</v>
      </c>
      <c r="HF27" s="249"/>
      <c r="HG27" s="279">
        <v>21</v>
      </c>
      <c r="HH27" s="292">
        <v>28039</v>
      </c>
      <c r="HI27" s="292">
        <v>10673</v>
      </c>
      <c r="HJ27" s="61">
        <f t="shared" si="50"/>
        <v>141000</v>
      </c>
      <c r="HK27" s="260">
        <v>2.1432000000000002</v>
      </c>
      <c r="HL27" s="260">
        <v>802.19</v>
      </c>
      <c r="HM27" s="61">
        <f t="shared" si="107"/>
        <v>0</v>
      </c>
      <c r="HN27" s="292">
        <v>7120.8</v>
      </c>
      <c r="HO27" s="292">
        <v>3035.6</v>
      </c>
      <c r="HP27" s="61">
        <f t="shared" si="52"/>
        <v>33275.000000000364</v>
      </c>
      <c r="HQ27" s="292">
        <v>4968.5</v>
      </c>
      <c r="HR27" s="292">
        <v>2091.3000000000002</v>
      </c>
      <c r="HS27" s="61">
        <f t="shared" si="53"/>
        <v>23374.999999999818</v>
      </c>
      <c r="HT27" s="292">
        <v>4869.6000000000004</v>
      </c>
      <c r="HU27" s="292">
        <v>1760.7</v>
      </c>
      <c r="HV27" s="61">
        <f t="shared" si="54"/>
        <v>25775.000000000364</v>
      </c>
      <c r="HW27" s="292">
        <v>3543.7</v>
      </c>
      <c r="HX27" s="292">
        <v>1519.5</v>
      </c>
      <c r="HY27" s="61">
        <f t="shared" si="55"/>
        <v>22074.999999999636</v>
      </c>
      <c r="HZ27" s="260">
        <v>2795900</v>
      </c>
      <c r="IA27" s="260">
        <v>12151</v>
      </c>
      <c r="IB27" s="61">
        <f t="shared" si="56"/>
        <v>10300</v>
      </c>
      <c r="IC27" s="292">
        <v>719.8</v>
      </c>
      <c r="ID27" s="292">
        <v>232.78</v>
      </c>
      <c r="IE27" s="61">
        <f t="shared" si="79"/>
        <v>0</v>
      </c>
      <c r="IF27" s="61"/>
      <c r="IG27" s="61"/>
      <c r="IH27" s="280">
        <f t="shared" si="57"/>
        <v>26200</v>
      </c>
      <c r="II27" s="281">
        <f t="shared" si="58"/>
        <v>-1.8917489796876907E-10</v>
      </c>
      <c r="IJ27" s="245"/>
      <c r="IK27" s="245"/>
      <c r="IL27" s="245">
        <f t="shared" si="111"/>
        <v>0</v>
      </c>
      <c r="IM27" s="245"/>
      <c r="IN27" s="245"/>
      <c r="IO27" s="245">
        <f t="shared" si="112"/>
        <v>0</v>
      </c>
      <c r="IP27" s="245"/>
      <c r="IQ27" s="245"/>
      <c r="IR27" s="245">
        <f t="shared" si="113"/>
        <v>0</v>
      </c>
      <c r="IS27" s="245"/>
      <c r="IT27" s="245"/>
      <c r="IU27" s="245">
        <f t="shared" si="114"/>
        <v>0</v>
      </c>
      <c r="IV27" s="245"/>
      <c r="IW27" s="245"/>
      <c r="IX27" s="245">
        <f t="shared" si="115"/>
        <v>0</v>
      </c>
      <c r="IY27" s="245"/>
      <c r="IZ27" s="245"/>
      <c r="JA27" s="245">
        <f t="shared" si="116"/>
        <v>0</v>
      </c>
      <c r="JB27" s="245"/>
      <c r="JC27" s="245"/>
      <c r="JD27" s="245">
        <f t="shared" si="117"/>
        <v>0</v>
      </c>
      <c r="JE27" s="245"/>
      <c r="JF27" s="245"/>
      <c r="JG27" s="245">
        <f t="shared" si="118"/>
        <v>0</v>
      </c>
      <c r="JH27" s="245"/>
      <c r="JI27" s="245"/>
      <c r="JJ27" s="245">
        <f t="shared" si="119"/>
        <v>0</v>
      </c>
      <c r="JK27" s="245"/>
      <c r="JL27" s="245"/>
      <c r="JM27" s="245">
        <f t="shared" si="120"/>
        <v>0</v>
      </c>
      <c r="JN27" s="245"/>
      <c r="JO27" s="245"/>
      <c r="JP27" s="245">
        <f t="shared" si="121"/>
        <v>0</v>
      </c>
      <c r="JQ27" s="245"/>
      <c r="JR27" s="245"/>
      <c r="JS27" s="245">
        <f t="shared" si="122"/>
        <v>0</v>
      </c>
      <c r="JT27" s="245"/>
      <c r="JU27" s="245"/>
      <c r="JV27" s="245">
        <f t="shared" si="123"/>
        <v>0</v>
      </c>
      <c r="JW27" s="245"/>
      <c r="JX27" s="245"/>
      <c r="JY27" s="245">
        <f t="shared" si="124"/>
        <v>0</v>
      </c>
      <c r="JZ27" s="245"/>
      <c r="KA27" s="245"/>
      <c r="KB27" s="245">
        <f t="shared" si="125"/>
        <v>0</v>
      </c>
      <c r="KC27" s="245"/>
      <c r="KD27" s="245"/>
      <c r="KE27" s="245">
        <f t="shared" si="126"/>
        <v>0</v>
      </c>
      <c r="KG27" s="151">
        <f t="shared" si="59"/>
        <v>43575.000000000175</v>
      </c>
    </row>
    <row r="28" spans="1:293" x14ac:dyDescent="0.25">
      <c r="A28" s="35">
        <f t="shared" si="0"/>
        <v>22</v>
      </c>
      <c r="B28" s="250">
        <v>5629.1</v>
      </c>
      <c r="C28" s="38">
        <f t="shared" si="1"/>
        <v>10.030000000000655</v>
      </c>
      <c r="D28" s="38">
        <f t="shared" si="2"/>
        <v>320960.00000002095</v>
      </c>
      <c r="E28" s="250">
        <v>1129.58</v>
      </c>
      <c r="F28" s="38">
        <f t="shared" si="3"/>
        <v>60799.999999995634</v>
      </c>
      <c r="G28" s="38">
        <f t="shared" si="4"/>
        <v>381760.00000001659</v>
      </c>
      <c r="H28" s="37"/>
      <c r="I28" s="39"/>
      <c r="J28" s="42"/>
      <c r="K28" s="37">
        <f t="shared" si="80"/>
        <v>0</v>
      </c>
      <c r="L28" s="250">
        <v>18234300</v>
      </c>
      <c r="M28" s="40"/>
      <c r="N28" s="37">
        <f t="shared" si="81"/>
        <v>371000</v>
      </c>
      <c r="O28" s="250">
        <v>13126.1</v>
      </c>
      <c r="P28" s="37"/>
      <c r="Q28" s="37">
        <f t="shared" si="129"/>
        <v>17500</v>
      </c>
      <c r="R28" s="37">
        <f t="shared" si="82"/>
        <v>1</v>
      </c>
      <c r="S28" s="250">
        <v>11270069.6</v>
      </c>
      <c r="T28" s="37">
        <f t="shared" si="6"/>
        <v>351.16000000014901</v>
      </c>
      <c r="U28" s="250">
        <v>1523792.57</v>
      </c>
      <c r="V28" s="37">
        <f>IF((U28-U27)&lt;=0,0,(U28-U27))</f>
        <v>0</v>
      </c>
      <c r="W28" s="250">
        <v>4707.3999999999996</v>
      </c>
      <c r="X28" s="37">
        <f t="shared" si="95"/>
        <v>17148.839999999851</v>
      </c>
      <c r="Y28" s="183"/>
      <c r="Z28" s="183"/>
      <c r="AA28" s="250">
        <v>868800</v>
      </c>
      <c r="AB28" s="37">
        <f t="shared" si="8"/>
        <v>0</v>
      </c>
      <c r="AC28" s="250">
        <v>4873.2</v>
      </c>
      <c r="AD28" s="37"/>
      <c r="AE28" s="37">
        <f t="shared" si="131"/>
        <v>7399.9999999996362</v>
      </c>
      <c r="AF28" s="37">
        <f t="shared" si="83"/>
        <v>1</v>
      </c>
      <c r="AG28" s="250">
        <v>10591</v>
      </c>
      <c r="AH28" s="37"/>
      <c r="AI28" s="37">
        <f t="shared" si="10"/>
        <v>17202.739999999638</v>
      </c>
      <c r="AJ28" s="37">
        <f t="shared" si="11"/>
        <v>1</v>
      </c>
      <c r="AK28" s="37">
        <f t="shared" si="12"/>
        <v>42102.739999999278</v>
      </c>
      <c r="AL28" s="250">
        <v>12238.7</v>
      </c>
      <c r="AM28" s="2"/>
      <c r="AN28" s="37">
        <f t="shared" si="60"/>
        <v>6362.74000000045</v>
      </c>
      <c r="AO28" s="37">
        <f t="shared" si="84"/>
        <v>1</v>
      </c>
      <c r="AP28" s="250">
        <v>9667.5</v>
      </c>
      <c r="AQ28" s="37"/>
      <c r="AR28" s="37">
        <f t="shared" si="13"/>
        <v>8600.0000000003638</v>
      </c>
      <c r="AS28" s="37">
        <f t="shared" si="85"/>
        <v>1</v>
      </c>
      <c r="AT28" s="183"/>
      <c r="AU28" s="183"/>
      <c r="AV28" s="183"/>
      <c r="AW28" s="183"/>
      <c r="AX28" s="250">
        <v>533720</v>
      </c>
      <c r="AY28" s="37"/>
      <c r="AZ28" s="37">
        <f t="shared" si="14"/>
        <v>400</v>
      </c>
      <c r="BA28" s="250">
        <v>222090</v>
      </c>
      <c r="BB28" s="37"/>
      <c r="BC28" s="37">
        <f t="shared" si="15"/>
        <v>530</v>
      </c>
      <c r="BD28" s="37">
        <f t="shared" si="86"/>
        <v>15892.740000000813</v>
      </c>
      <c r="BE28" s="250">
        <v>2114.5</v>
      </c>
      <c r="BF28" s="250">
        <v>1190.2</v>
      </c>
      <c r="BG28" s="37">
        <f t="shared" si="16"/>
        <v>1500</v>
      </c>
      <c r="BH28" s="250">
        <v>10017</v>
      </c>
      <c r="BI28" s="250">
        <v>6473.3</v>
      </c>
      <c r="BJ28" s="37">
        <f t="shared" si="17"/>
        <v>9000</v>
      </c>
      <c r="BK28" s="250">
        <v>2070890</v>
      </c>
      <c r="BL28" s="40">
        <f t="shared" si="87"/>
        <v>4070</v>
      </c>
      <c r="BM28" s="250">
        <v>951.36</v>
      </c>
      <c r="BN28" s="37">
        <f t="shared" si="18"/>
        <v>669.99999999995907</v>
      </c>
      <c r="BO28" s="186"/>
      <c r="BP28" s="183">
        <f t="shared" si="19"/>
        <v>0</v>
      </c>
      <c r="BQ28" s="250">
        <v>896.9</v>
      </c>
      <c r="BR28" s="37">
        <f t="shared" si="61"/>
        <v>299.99999999995453</v>
      </c>
      <c r="BS28" s="250">
        <v>123708.01</v>
      </c>
      <c r="BT28" s="37">
        <f t="shared" si="20"/>
        <v>219.31999999999243</v>
      </c>
      <c r="BU28" s="250">
        <v>3696754</v>
      </c>
      <c r="BV28" s="42"/>
      <c r="BW28" s="37">
        <f t="shared" si="21"/>
        <v>6210</v>
      </c>
      <c r="BX28" s="37">
        <f t="shared" si="88"/>
        <v>1</v>
      </c>
      <c r="BY28" s="250">
        <v>426.67450000000002</v>
      </c>
      <c r="BZ28" s="37"/>
      <c r="CA28" s="37">
        <f t="shared" si="127"/>
        <v>663.49999999999909</v>
      </c>
      <c r="CB28" s="37">
        <f t="shared" si="62"/>
        <v>1</v>
      </c>
      <c r="CC28" s="250">
        <v>828170.4</v>
      </c>
      <c r="CD28" s="37">
        <f t="shared" si="23"/>
        <v>278.09999999997672</v>
      </c>
      <c r="CE28" s="250">
        <v>1870484</v>
      </c>
      <c r="CF28" s="37">
        <f t="shared" si="24"/>
        <v>5709.1999999999534</v>
      </c>
      <c r="CG28" s="250">
        <v>122633</v>
      </c>
      <c r="CH28" s="37">
        <f t="shared" si="63"/>
        <v>0</v>
      </c>
      <c r="CI28" s="250">
        <v>14733.83</v>
      </c>
      <c r="CJ28" s="40"/>
      <c r="CK28" s="37">
        <f t="shared" si="64"/>
        <v>14829.240000000511</v>
      </c>
      <c r="CL28" s="37">
        <f t="shared" si="25"/>
        <v>1</v>
      </c>
      <c r="CM28" s="250">
        <v>4390.2</v>
      </c>
      <c r="CN28" s="37"/>
      <c r="CO28" s="37">
        <f t="shared" si="26"/>
        <v>4937.7400000002181</v>
      </c>
      <c r="CP28" s="37">
        <f t="shared" si="89"/>
        <v>1</v>
      </c>
      <c r="CQ28" s="250">
        <v>913856.6</v>
      </c>
      <c r="CR28" s="39"/>
      <c r="CS28" s="37">
        <f t="shared" si="65"/>
        <v>5787.0399999999299</v>
      </c>
      <c r="CT28" s="37">
        <f t="shared" si="66"/>
        <v>1</v>
      </c>
      <c r="CU28" s="250">
        <v>4830889</v>
      </c>
      <c r="CV28" s="37"/>
      <c r="CW28" s="38">
        <f t="shared" si="27"/>
        <v>19908</v>
      </c>
      <c r="CX28" s="37">
        <f t="shared" si="90"/>
        <v>1</v>
      </c>
      <c r="CY28" s="250">
        <v>2587868</v>
      </c>
      <c r="CZ28" s="37"/>
      <c r="DA28" s="37">
        <f t="shared" si="133"/>
        <v>10918</v>
      </c>
      <c r="DB28" s="37">
        <f>IF(DA28&lt;=0,0,(DA28/SQRT(DA28^2+(CZ28-CZ27)^2)))</f>
        <v>1</v>
      </c>
      <c r="DC28" s="37"/>
      <c r="DD28" s="40"/>
      <c r="DE28" s="37">
        <f t="shared" si="29"/>
        <v>0</v>
      </c>
      <c r="DF28" s="37">
        <f t="shared" si="96"/>
        <v>0</v>
      </c>
      <c r="DG28" s="37">
        <f t="shared" si="30"/>
        <v>-62590.020000000659</v>
      </c>
      <c r="DH28" s="37">
        <f t="shared" si="31"/>
        <v>414602.73999999929</v>
      </c>
      <c r="DI28" s="46"/>
      <c r="DJ28" s="46"/>
      <c r="DK28" s="47"/>
      <c r="DL28" s="47"/>
      <c r="DM28" s="37"/>
      <c r="DN28" s="37"/>
      <c r="DO28" s="37"/>
      <c r="DP28" s="37"/>
      <c r="DQ28" s="250">
        <v>4653200</v>
      </c>
      <c r="DR28" s="49">
        <f t="shared" si="67"/>
        <v>7800</v>
      </c>
      <c r="DS28" s="250">
        <v>6303900</v>
      </c>
      <c r="DT28" s="49">
        <f t="shared" si="68"/>
        <v>25800</v>
      </c>
      <c r="DU28" s="250">
        <v>8466.4</v>
      </c>
      <c r="DV28" s="250">
        <v>4766.8</v>
      </c>
      <c r="DW28" s="37">
        <f t="shared" si="92"/>
        <v>399.9999999996362</v>
      </c>
      <c r="DX28" s="250">
        <v>14016</v>
      </c>
      <c r="DY28" s="250">
        <v>8774</v>
      </c>
      <c r="DZ28" s="37">
        <f t="shared" si="32"/>
        <v>1802.74</v>
      </c>
      <c r="EA28" s="250">
        <v>32562</v>
      </c>
      <c r="EB28" s="250">
        <v>22.23</v>
      </c>
      <c r="EC28" s="37">
        <f t="shared" si="33"/>
        <v>6962.74</v>
      </c>
      <c r="ED28" s="53">
        <f t="shared" si="34"/>
        <v>9165.4799999996358</v>
      </c>
      <c r="EE28" s="250">
        <v>48696</v>
      </c>
      <c r="EF28" s="250">
        <v>32.109000000000002</v>
      </c>
      <c r="EG28" s="37">
        <f t="shared" si="35"/>
        <v>33962.740000000005</v>
      </c>
      <c r="EH28" s="250">
        <v>14427</v>
      </c>
      <c r="EI28" s="250">
        <v>2.1353</v>
      </c>
      <c r="EJ28" s="37">
        <f t="shared" si="36"/>
        <v>9802.74</v>
      </c>
      <c r="EK28" s="250">
        <v>879.64</v>
      </c>
      <c r="EL28" s="250">
        <v>1259.9000000000001</v>
      </c>
      <c r="EM28" s="37">
        <f t="shared" si="69"/>
        <v>879.99999999999545</v>
      </c>
      <c r="EN28" s="54">
        <f t="shared" si="70"/>
        <v>44645.479999999996</v>
      </c>
      <c r="EO28" s="250">
        <v>13909.33</v>
      </c>
      <c r="EP28" s="48"/>
      <c r="EQ28" s="37">
        <f t="shared" si="97"/>
        <v>7702.739999999977</v>
      </c>
      <c r="ER28" s="250">
        <v>11303.41</v>
      </c>
      <c r="ES28" s="48"/>
      <c r="ET28" s="49">
        <f t="shared" si="106"/>
        <v>15039.999999999054</v>
      </c>
      <c r="EU28" s="250">
        <v>4723.1989999999996</v>
      </c>
      <c r="EV28" s="48"/>
      <c r="EW28" s="49">
        <f t="shared" si="38"/>
        <v>11235.739999999993</v>
      </c>
      <c r="EX28" s="250">
        <v>14869.92</v>
      </c>
      <c r="EY28" s="48"/>
      <c r="EZ28" s="37">
        <f t="shared" si="39"/>
        <v>12982.740000000291</v>
      </c>
      <c r="FA28" s="48">
        <f t="shared" si="71"/>
        <v>-23509.219999999314</v>
      </c>
      <c r="FB28" s="250">
        <v>39238006</v>
      </c>
      <c r="FC28" s="49">
        <f t="shared" si="93"/>
        <v>23452</v>
      </c>
      <c r="FD28" s="48">
        <f t="shared" si="72"/>
        <v>48567.619999999304</v>
      </c>
      <c r="FE28" s="250">
        <v>18098.2</v>
      </c>
      <c r="FF28" s="48"/>
      <c r="FG28" s="37">
        <f t="shared" si="73"/>
        <v>10452.739999999296</v>
      </c>
      <c r="FH28" s="250">
        <v>10803.2</v>
      </c>
      <c r="FI28" s="48"/>
      <c r="FJ28" s="49">
        <f t="shared" si="40"/>
        <v>15902.740000000364</v>
      </c>
      <c r="FK28" s="48"/>
      <c r="FL28" s="58"/>
      <c r="FM28" s="48">
        <f t="shared" si="94"/>
        <v>-1069.4066666675233</v>
      </c>
      <c r="FN28" s="250">
        <v>18020</v>
      </c>
      <c r="FO28" s="48"/>
      <c r="FP28" s="37">
        <f t="shared" si="74"/>
        <v>11302.74</v>
      </c>
      <c r="FQ28" s="250">
        <v>63384.59</v>
      </c>
      <c r="FR28" s="48"/>
      <c r="FS28" s="37">
        <f t="shared" si="41"/>
        <v>34449.99999999709</v>
      </c>
      <c r="FT28" s="48">
        <f t="shared" si="75"/>
        <v>-3208.2200000025696</v>
      </c>
      <c r="FU28" s="48">
        <f t="shared" si="76"/>
        <v>37660.219999999608</v>
      </c>
      <c r="FV28" s="250">
        <v>7202113</v>
      </c>
      <c r="FW28" s="44"/>
      <c r="FX28" s="37">
        <f t="shared" si="42"/>
        <v>15723</v>
      </c>
      <c r="FY28" s="250">
        <v>224010.9</v>
      </c>
      <c r="FZ28" s="56"/>
      <c r="GA28" s="37">
        <f t="shared" si="43"/>
        <v>4056.3999999999942</v>
      </c>
      <c r="GB28" s="250">
        <v>905.49699999999996</v>
      </c>
      <c r="GC28" s="56"/>
      <c r="GD28" s="37">
        <f t="shared" si="44"/>
        <v>658.99999999999181</v>
      </c>
      <c r="GE28" s="250">
        <v>11125.33</v>
      </c>
      <c r="GF28" s="56"/>
      <c r="GG28" s="37">
        <f t="shared" si="45"/>
        <v>4401.6000000002714</v>
      </c>
      <c r="GH28" s="250">
        <v>102770.7</v>
      </c>
      <c r="GI28" s="159"/>
      <c r="GJ28" s="38">
        <f t="shared" si="77"/>
        <v>1606.3999999999942</v>
      </c>
      <c r="GK28" s="250">
        <v>1533.963</v>
      </c>
      <c r="GL28" s="160"/>
      <c r="GM28" s="38">
        <f>IF((GK28-GK27)&lt;=0,0,(GK28-GK27))*1000</f>
        <v>1.9999999999527063</v>
      </c>
      <c r="GN28" s="250">
        <v>244148.7</v>
      </c>
      <c r="GO28" s="57"/>
      <c r="GP28" s="38">
        <f t="shared" si="98"/>
        <v>2.8000000000174623</v>
      </c>
      <c r="GQ28" s="250">
        <v>303691.8</v>
      </c>
      <c r="GR28" s="38"/>
      <c r="GS28" s="38">
        <f t="shared" si="78"/>
        <v>173.89999999996508</v>
      </c>
      <c r="GT28" s="247"/>
      <c r="GU28" s="144">
        <f>DailySep!B27-DailySep!N27-DailySep!V27-DailySep!Y27-DailySep!Z27-DailySep!AA27-DailySep!AB27-DailySep!AC27-DailySep!AD27-DailySep!AE27-DailySep!AK27-DailySep!AO27-DailySep!AS27-DailySep!AY27-DailySep!BD27+DailySep!BU27-DailySep!BG27-DailySep!BT27-DailySep!AF27-DailySep!AG27</f>
        <v>-2.7999999827879947</v>
      </c>
      <c r="GV28" s="261">
        <v>12041.1</v>
      </c>
      <c r="GW28" s="60">
        <f t="shared" si="48"/>
        <v>802.74</v>
      </c>
      <c r="GX28" s="260">
        <v>802.74</v>
      </c>
      <c r="GY28" s="140"/>
      <c r="GZ28" s="528"/>
      <c r="HA28" s="528"/>
      <c r="HB28" s="528"/>
      <c r="HC28" s="528"/>
      <c r="HD28" s="74"/>
      <c r="HE28" s="24">
        <f t="shared" si="49"/>
        <v>0</v>
      </c>
      <c r="HF28" s="255"/>
      <c r="HG28" s="279">
        <v>22</v>
      </c>
      <c r="HH28" s="292">
        <v>28205</v>
      </c>
      <c r="HI28" s="292">
        <v>10737</v>
      </c>
      <c r="HJ28" s="61">
        <f t="shared" si="50"/>
        <v>166000</v>
      </c>
      <c r="HK28" s="260">
        <v>2.1432000000000002</v>
      </c>
      <c r="HL28" s="260">
        <v>802.19</v>
      </c>
      <c r="HM28" s="61">
        <f t="shared" si="107"/>
        <v>0</v>
      </c>
      <c r="HN28" s="292">
        <v>7162.9</v>
      </c>
      <c r="HO28" s="292">
        <v>3053.3</v>
      </c>
      <c r="HP28" s="61">
        <f t="shared" si="52"/>
        <v>41949.999999999454</v>
      </c>
      <c r="HQ28" s="292">
        <v>4992</v>
      </c>
      <c r="HR28" s="292">
        <v>2100.8000000000002</v>
      </c>
      <c r="HS28" s="61">
        <f t="shared" si="53"/>
        <v>23350</v>
      </c>
      <c r="HT28" s="292">
        <v>4894.8999999999996</v>
      </c>
      <c r="HU28" s="292">
        <v>1769.6</v>
      </c>
      <c r="HV28" s="61">
        <f t="shared" si="54"/>
        <v>25149.999999999272</v>
      </c>
      <c r="HW28" s="292">
        <v>3566.4</v>
      </c>
      <c r="HX28" s="292">
        <v>1528.7</v>
      </c>
      <c r="HY28" s="61">
        <f t="shared" si="55"/>
        <v>22550.000000000273</v>
      </c>
      <c r="HZ28" s="260">
        <v>2823100</v>
      </c>
      <c r="IA28" s="260">
        <v>12265</v>
      </c>
      <c r="IB28" s="61">
        <f t="shared" si="56"/>
        <v>27200</v>
      </c>
      <c r="IC28" s="292">
        <v>719.8</v>
      </c>
      <c r="ID28" s="292">
        <v>232.78</v>
      </c>
      <c r="IE28" s="61">
        <f t="shared" si="79"/>
        <v>0</v>
      </c>
      <c r="IF28" s="61"/>
      <c r="IG28" s="61"/>
      <c r="IH28" s="280">
        <f t="shared" si="57"/>
        <v>25800</v>
      </c>
      <c r="II28" s="281">
        <f t="shared" si="58"/>
        <v>9.9680619314312935E-10</v>
      </c>
      <c r="IJ28" s="245"/>
      <c r="IK28" s="245"/>
      <c r="IL28" s="245">
        <f t="shared" si="111"/>
        <v>0</v>
      </c>
      <c r="IM28" s="245"/>
      <c r="IN28" s="245"/>
      <c r="IO28" s="245">
        <f t="shared" si="112"/>
        <v>0</v>
      </c>
      <c r="IP28" s="245"/>
      <c r="IQ28" s="245"/>
      <c r="IR28" s="245">
        <f t="shared" si="113"/>
        <v>0</v>
      </c>
      <c r="IS28" s="245"/>
      <c r="IT28" s="245"/>
      <c r="IU28" s="245">
        <f t="shared" si="114"/>
        <v>0</v>
      </c>
      <c r="IV28" s="245"/>
      <c r="IW28" s="245"/>
      <c r="IX28" s="245">
        <f t="shared" si="115"/>
        <v>0</v>
      </c>
      <c r="IY28" s="245"/>
      <c r="IZ28" s="245"/>
      <c r="JA28" s="245">
        <f t="shared" si="116"/>
        <v>0</v>
      </c>
      <c r="JB28" s="245"/>
      <c r="JC28" s="245"/>
      <c r="JD28" s="245">
        <f t="shared" si="117"/>
        <v>0</v>
      </c>
      <c r="JE28" s="245"/>
      <c r="JF28" s="245"/>
      <c r="JG28" s="245">
        <f t="shared" si="118"/>
        <v>0</v>
      </c>
      <c r="JH28" s="245"/>
      <c r="JI28" s="245"/>
      <c r="JJ28" s="245">
        <f t="shared" si="119"/>
        <v>0</v>
      </c>
      <c r="JK28" s="245"/>
      <c r="JL28" s="245"/>
      <c r="JM28" s="245">
        <f t="shared" si="120"/>
        <v>0</v>
      </c>
      <c r="JN28" s="245"/>
      <c r="JO28" s="245"/>
      <c r="JP28" s="245">
        <f t="shared" si="121"/>
        <v>0</v>
      </c>
      <c r="JQ28" s="245"/>
      <c r="JR28" s="245"/>
      <c r="JS28" s="245">
        <f t="shared" si="122"/>
        <v>0</v>
      </c>
      <c r="JT28" s="245"/>
      <c r="JU28" s="245"/>
      <c r="JV28" s="245">
        <f t="shared" si="123"/>
        <v>0</v>
      </c>
      <c r="JW28" s="245"/>
      <c r="JX28" s="245"/>
      <c r="JY28" s="245">
        <f t="shared" si="124"/>
        <v>0</v>
      </c>
      <c r="JZ28" s="245"/>
      <c r="KA28" s="245"/>
      <c r="KB28" s="245">
        <f t="shared" si="125"/>
        <v>0</v>
      </c>
      <c r="KC28" s="245"/>
      <c r="KD28" s="245"/>
      <c r="KE28" s="245">
        <f t="shared" si="126"/>
        <v>0</v>
      </c>
      <c r="KG28" s="151">
        <f t="shared" si="59"/>
        <v>69150.000000000451</v>
      </c>
    </row>
    <row r="29" spans="1:293" x14ac:dyDescent="0.25">
      <c r="A29" s="35">
        <f t="shared" si="0"/>
        <v>23</v>
      </c>
      <c r="B29" s="250">
        <v>5639.57</v>
      </c>
      <c r="C29" s="38">
        <f t="shared" si="1"/>
        <v>10.469999999999345</v>
      </c>
      <c r="D29" s="38">
        <f t="shared" si="2"/>
        <v>335039.99999997905</v>
      </c>
      <c r="E29" s="250">
        <v>1131.49</v>
      </c>
      <c r="F29" s="38">
        <f t="shared" si="3"/>
        <v>61120.000000002619</v>
      </c>
      <c r="G29" s="38">
        <f t="shared" si="4"/>
        <v>396159.99999998166</v>
      </c>
      <c r="H29" s="37"/>
      <c r="I29" s="39"/>
      <c r="J29" s="42"/>
      <c r="K29" s="37">
        <f t="shared" si="80"/>
        <v>0</v>
      </c>
      <c r="L29" s="250">
        <v>18274600</v>
      </c>
      <c r="M29" s="40"/>
      <c r="N29" s="37">
        <f t="shared" si="81"/>
        <v>403000</v>
      </c>
      <c r="O29" s="250">
        <v>13144.6</v>
      </c>
      <c r="P29" s="37"/>
      <c r="Q29" s="37">
        <f t="shared" si="129"/>
        <v>18500</v>
      </c>
      <c r="R29" s="37">
        <f t="shared" si="82"/>
        <v>1</v>
      </c>
      <c r="S29" s="250">
        <v>11270407.57</v>
      </c>
      <c r="T29" s="37">
        <f t="shared" si="6"/>
        <v>337.97000000067055</v>
      </c>
      <c r="U29" s="250">
        <v>1523792.57</v>
      </c>
      <c r="V29" s="37">
        <f t="shared" si="7"/>
        <v>0</v>
      </c>
      <c r="W29" s="250">
        <v>4713.5</v>
      </c>
      <c r="X29" s="37">
        <f t="shared" si="95"/>
        <v>17662.029999999329</v>
      </c>
      <c r="Y29" s="183"/>
      <c r="Z29" s="183"/>
      <c r="AA29" s="250">
        <v>869300</v>
      </c>
      <c r="AB29" s="37">
        <f t="shared" si="8"/>
        <v>500</v>
      </c>
      <c r="AC29" s="250">
        <v>4881.1000000000004</v>
      </c>
      <c r="AD29" s="37"/>
      <c r="AE29" s="37">
        <f t="shared" si="131"/>
        <v>7900.0000000005457</v>
      </c>
      <c r="AF29" s="37">
        <f t="shared" si="83"/>
        <v>1</v>
      </c>
      <c r="AG29" s="250">
        <v>10608.7</v>
      </c>
      <c r="AH29" s="37"/>
      <c r="AI29" s="37">
        <f t="shared" si="10"/>
        <v>17128.810000000729</v>
      </c>
      <c r="AJ29" s="37">
        <f t="shared" si="11"/>
        <v>1</v>
      </c>
      <c r="AK29" s="37">
        <f t="shared" si="12"/>
        <v>43028.810000001278</v>
      </c>
      <c r="AL29" s="250">
        <v>12250.2</v>
      </c>
      <c r="AM29" s="42"/>
      <c r="AN29" s="37">
        <f t="shared" si="60"/>
        <v>5118.8099999999904</v>
      </c>
      <c r="AO29" s="37">
        <f t="shared" si="84"/>
        <v>1</v>
      </c>
      <c r="AP29" s="250">
        <v>9676.5</v>
      </c>
      <c r="AQ29" s="37"/>
      <c r="AR29" s="37">
        <f t="shared" si="13"/>
        <v>9000</v>
      </c>
      <c r="AS29" s="37">
        <f t="shared" si="85"/>
        <v>1</v>
      </c>
      <c r="AT29" s="183"/>
      <c r="AU29" s="183"/>
      <c r="AV29" s="183"/>
      <c r="AW29" s="183"/>
      <c r="AX29" s="250">
        <v>534120</v>
      </c>
      <c r="AY29" s="37"/>
      <c r="AZ29" s="37">
        <f t="shared" si="14"/>
        <v>400</v>
      </c>
      <c r="BA29" s="250">
        <v>222650</v>
      </c>
      <c r="BB29" s="37"/>
      <c r="BC29" s="37">
        <f t="shared" si="15"/>
        <v>560</v>
      </c>
      <c r="BD29" s="37">
        <f t="shared" si="86"/>
        <v>15078.80999999999</v>
      </c>
      <c r="BE29" s="250">
        <v>2115.9</v>
      </c>
      <c r="BF29" s="250">
        <v>1191.0999999999999</v>
      </c>
      <c r="BG29" s="37">
        <f t="shared" si="16"/>
        <v>1400.0000000000909</v>
      </c>
      <c r="BH29" s="250">
        <v>10025</v>
      </c>
      <c r="BI29" s="250">
        <v>6479</v>
      </c>
      <c r="BJ29" s="37">
        <f t="shared" si="17"/>
        <v>8000</v>
      </c>
      <c r="BK29" s="250">
        <v>2075210</v>
      </c>
      <c r="BL29" s="40">
        <f t="shared" si="87"/>
        <v>4320</v>
      </c>
      <c r="BM29" s="250">
        <v>952.05</v>
      </c>
      <c r="BN29" s="37">
        <f t="shared" si="18"/>
        <v>689.99999999994088</v>
      </c>
      <c r="BO29" s="186"/>
      <c r="BP29" s="183">
        <f t="shared" si="19"/>
        <v>0</v>
      </c>
      <c r="BQ29" s="250">
        <v>897.7</v>
      </c>
      <c r="BR29" s="37">
        <f t="shared" si="61"/>
        <v>800.00000000006821</v>
      </c>
      <c r="BS29" s="250">
        <v>123957.15</v>
      </c>
      <c r="BT29" s="37">
        <f t="shared" si="20"/>
        <v>249.13999999999942</v>
      </c>
      <c r="BU29" s="250">
        <v>3703175</v>
      </c>
      <c r="BV29" s="42"/>
      <c r="BW29" s="37">
        <f t="shared" si="21"/>
        <v>6421</v>
      </c>
      <c r="BX29" s="37">
        <f t="shared" si="88"/>
        <v>1</v>
      </c>
      <c r="BY29" s="250">
        <v>427.3338</v>
      </c>
      <c r="BZ29" s="43"/>
      <c r="CA29" s="37">
        <f t="shared" si="127"/>
        <v>659.29999999997335</v>
      </c>
      <c r="CB29" s="37">
        <f t="shared" si="62"/>
        <v>1</v>
      </c>
      <c r="CC29" s="250">
        <v>828609.8</v>
      </c>
      <c r="CD29" s="37">
        <f t="shared" si="23"/>
        <v>439.40000000002328</v>
      </c>
      <c r="CE29" s="250">
        <v>1876173.3</v>
      </c>
      <c r="CF29" s="37">
        <f t="shared" si="24"/>
        <v>5689.3000000000466</v>
      </c>
      <c r="CG29" s="250">
        <v>122633</v>
      </c>
      <c r="CH29" s="37">
        <f t="shared" si="63"/>
        <v>0</v>
      </c>
      <c r="CI29" s="250">
        <v>14749.07</v>
      </c>
      <c r="CJ29" s="40"/>
      <c r="CK29" s="37">
        <f t="shared" si="64"/>
        <v>14009.509999999807</v>
      </c>
      <c r="CL29" s="37">
        <f t="shared" si="25"/>
        <v>1</v>
      </c>
      <c r="CM29" s="250">
        <v>4394.7759999999998</v>
      </c>
      <c r="CN29" s="37"/>
      <c r="CO29" s="37">
        <f t="shared" si="26"/>
        <v>4004.8100000000218</v>
      </c>
      <c r="CP29" s="37">
        <f t="shared" si="89"/>
        <v>1</v>
      </c>
      <c r="CQ29" s="250">
        <v>919162.1</v>
      </c>
      <c r="CR29" s="39"/>
      <c r="CS29" s="37">
        <f t="shared" si="65"/>
        <v>4734.3099999999995</v>
      </c>
      <c r="CT29" s="37">
        <f t="shared" si="66"/>
        <v>1</v>
      </c>
      <c r="CU29" s="250">
        <v>4851571</v>
      </c>
      <c r="CV29" s="37"/>
      <c r="CW29" s="38">
        <f t="shared" si="27"/>
        <v>20682</v>
      </c>
      <c r="CX29" s="37">
        <f t="shared" si="90"/>
        <v>1</v>
      </c>
      <c r="CY29" s="250">
        <v>2599697</v>
      </c>
      <c r="CZ29" s="37"/>
      <c r="DA29" s="37">
        <f t="shared" si="133"/>
        <v>11829</v>
      </c>
      <c r="DB29" s="37">
        <f t="shared" si="91"/>
        <v>1</v>
      </c>
      <c r="DC29" s="37"/>
      <c r="DD29" s="40"/>
      <c r="DE29" s="37">
        <f t="shared" si="29"/>
        <v>0</v>
      </c>
      <c r="DF29" s="37">
        <f t="shared" si="96"/>
        <v>0</v>
      </c>
      <c r="DG29" s="37">
        <f t="shared" si="30"/>
        <v>-61680.629999999823</v>
      </c>
      <c r="DH29" s="37">
        <f t="shared" si="31"/>
        <v>447428.81000000134</v>
      </c>
      <c r="DI29" s="46"/>
      <c r="DJ29" s="46"/>
      <c r="DK29" s="47"/>
      <c r="DL29" s="47"/>
      <c r="DM29" s="37"/>
      <c r="DN29" s="37"/>
      <c r="DO29" s="37"/>
      <c r="DP29" s="37"/>
      <c r="DQ29" s="250">
        <v>4662600</v>
      </c>
      <c r="DR29" s="49">
        <f t="shared" si="67"/>
        <v>9400</v>
      </c>
      <c r="DS29" s="250">
        <v>6329700</v>
      </c>
      <c r="DT29" s="49">
        <f t="shared" si="68"/>
        <v>25800</v>
      </c>
      <c r="DU29" s="250">
        <v>8466.7999999999993</v>
      </c>
      <c r="DV29" s="250">
        <v>4767.1000000000004</v>
      </c>
      <c r="DW29" s="37">
        <f t="shared" si="92"/>
        <v>399.9999999996362</v>
      </c>
      <c r="DX29" s="250">
        <v>14017</v>
      </c>
      <c r="DY29" s="250">
        <v>8774.2000000000007</v>
      </c>
      <c r="DZ29" s="37">
        <f t="shared" si="32"/>
        <v>428.80999999999995</v>
      </c>
      <c r="EA29" s="250">
        <v>32565</v>
      </c>
      <c r="EB29" s="250">
        <v>22.231000000000002</v>
      </c>
      <c r="EC29" s="37">
        <f t="shared" si="33"/>
        <v>4588.8099999999995</v>
      </c>
      <c r="ED29" s="53">
        <f t="shared" si="34"/>
        <v>5417.6199999996352</v>
      </c>
      <c r="EE29" s="250">
        <v>48727</v>
      </c>
      <c r="EF29" s="250">
        <v>32.131</v>
      </c>
      <c r="EG29" s="37">
        <f t="shared" si="35"/>
        <v>32588.81</v>
      </c>
      <c r="EH29" s="250">
        <v>14436</v>
      </c>
      <c r="EI29" s="250">
        <v>2.1379000000000001</v>
      </c>
      <c r="EJ29" s="37">
        <f t="shared" si="36"/>
        <v>8428.81</v>
      </c>
      <c r="EK29" s="250">
        <v>880.48</v>
      </c>
      <c r="EL29" s="250">
        <v>1261.0999999999999</v>
      </c>
      <c r="EM29" s="37">
        <f t="shared" si="69"/>
        <v>840.00000000003183</v>
      </c>
      <c r="EN29" s="54">
        <f t="shared" si="70"/>
        <v>41857.620000000032</v>
      </c>
      <c r="EO29" s="250">
        <v>13918</v>
      </c>
      <c r="EP29" s="48"/>
      <c r="EQ29" s="37">
        <f t="shared" si="97"/>
        <v>6798.8100000000613</v>
      </c>
      <c r="ER29" s="250">
        <v>11320</v>
      </c>
      <c r="ES29" s="48"/>
      <c r="ET29" s="49">
        <f t="shared" si="106"/>
        <v>16590.000000000146</v>
      </c>
      <c r="EU29" s="250">
        <v>4734</v>
      </c>
      <c r="EV29" s="48"/>
      <c r="EW29" s="49">
        <f t="shared" si="38"/>
        <v>10229.810000000385</v>
      </c>
      <c r="EX29" s="250">
        <v>14882</v>
      </c>
      <c r="EY29" s="55"/>
      <c r="EZ29" s="37">
        <f t="shared" si="39"/>
        <v>11508.809999999927</v>
      </c>
      <c r="FA29" s="48">
        <f t="shared" si="71"/>
        <v>-20384.430000000521</v>
      </c>
      <c r="FB29" s="250">
        <v>39262749</v>
      </c>
      <c r="FC29" s="49">
        <f t="shared" si="93"/>
        <v>24743</v>
      </c>
      <c r="FD29" s="48">
        <f t="shared" si="72"/>
        <v>46836.73000000052</v>
      </c>
      <c r="FE29" s="250">
        <v>18107</v>
      </c>
      <c r="FF29" s="48"/>
      <c r="FG29" s="37">
        <f t="shared" si="73"/>
        <v>9528.8099999992828</v>
      </c>
      <c r="FH29" s="250">
        <v>10818</v>
      </c>
      <c r="FI29" s="48"/>
      <c r="FJ29" s="49">
        <f t="shared" si="40"/>
        <v>14228.809999999272</v>
      </c>
      <c r="FK29" s="48"/>
      <c r="FL29" s="58"/>
      <c r="FM29" s="48">
        <f t="shared" si="94"/>
        <v>407.85666666831213</v>
      </c>
      <c r="FN29" s="250">
        <v>18031</v>
      </c>
      <c r="FO29" s="48"/>
      <c r="FP29" s="37">
        <f t="shared" si="74"/>
        <v>10428.81</v>
      </c>
      <c r="FQ29" s="250">
        <v>63420</v>
      </c>
      <c r="FR29" s="48"/>
      <c r="FS29" s="37">
        <f t="shared" si="41"/>
        <v>35410.000000003492</v>
      </c>
      <c r="FT29" s="48">
        <f t="shared" si="75"/>
        <v>1223.5700000049364</v>
      </c>
      <c r="FU29" s="48">
        <f t="shared" si="76"/>
        <v>34223.429999998589</v>
      </c>
      <c r="FV29" s="250">
        <v>7223200</v>
      </c>
      <c r="FW29" s="65"/>
      <c r="FX29" s="37">
        <f t="shared" si="42"/>
        <v>21087</v>
      </c>
      <c r="FY29" s="250">
        <v>229330</v>
      </c>
      <c r="FZ29" s="56"/>
      <c r="GA29" s="37">
        <f t="shared" si="43"/>
        <v>5319.1000000000058</v>
      </c>
      <c r="GB29" s="250">
        <v>906.15</v>
      </c>
      <c r="GC29" s="56"/>
      <c r="GD29" s="37">
        <f t="shared" si="44"/>
        <v>653.00000000002001</v>
      </c>
      <c r="GE29" s="250">
        <v>11133</v>
      </c>
      <c r="GF29" s="56"/>
      <c r="GG29" s="37">
        <f t="shared" si="45"/>
        <v>5923.7000000000353</v>
      </c>
      <c r="GH29" s="250">
        <v>104480</v>
      </c>
      <c r="GI29" s="159"/>
      <c r="GJ29" s="38">
        <f t="shared" si="77"/>
        <v>1709.3000000000029</v>
      </c>
      <c r="GK29" s="250">
        <v>1534</v>
      </c>
      <c r="GL29" s="160"/>
      <c r="GM29" s="38">
        <f t="shared" si="46"/>
        <v>37.000000000034561</v>
      </c>
      <c r="GN29" s="250">
        <v>244150</v>
      </c>
      <c r="GO29" s="57"/>
      <c r="GP29" s="38">
        <f t="shared" si="98"/>
        <v>1.2999999999883585</v>
      </c>
      <c r="GQ29" s="250">
        <v>303920</v>
      </c>
      <c r="GR29" s="38"/>
      <c r="GS29" s="38">
        <f t="shared" si="78"/>
        <v>228.20000000001164</v>
      </c>
      <c r="GT29" s="247"/>
      <c r="GU29" s="144">
        <f>DailySep!B28-DailySep!N28-DailySep!V28-DailySep!Y28-DailySep!Z28-DailySep!AA28-DailySep!AB28-DailySep!AC28-DailySep!AD28-DailySep!AE28-DailySep!AK28-DailySep!AO28-DailySep!AS28-DailySep!AY28-DailySep!BD28+DailySep!BU28-DailySep!BG28-DailySep!BT28-DailySep!AF28-DailySep!AG28</f>
        <v>4.9999981536529958E-2</v>
      </c>
      <c r="GV29" s="261">
        <v>-8567.7999999999993</v>
      </c>
      <c r="GW29" s="60">
        <f t="shared" si="48"/>
        <v>-571.18666666666661</v>
      </c>
      <c r="GX29" s="260">
        <v>-571.19000000000005</v>
      </c>
      <c r="GY29" s="140"/>
      <c r="GZ29" s="528"/>
      <c r="HA29" s="528"/>
      <c r="HB29" s="528"/>
      <c r="HC29" s="528"/>
      <c r="HD29" s="74"/>
      <c r="HE29" s="24">
        <f t="shared" si="49"/>
        <v>0</v>
      </c>
      <c r="HG29" s="279">
        <v>23</v>
      </c>
      <c r="HH29" s="292">
        <v>28384</v>
      </c>
      <c r="HI29" s="292">
        <v>10804</v>
      </c>
      <c r="HJ29" s="61">
        <f t="shared" si="50"/>
        <v>179000</v>
      </c>
      <c r="HK29" s="260">
        <v>2.1432000000000002</v>
      </c>
      <c r="HL29" s="260">
        <v>807.23</v>
      </c>
      <c r="HM29" s="61">
        <f t="shared" si="107"/>
        <v>0</v>
      </c>
      <c r="HN29" s="292">
        <v>7205.8</v>
      </c>
      <c r="HO29" s="292">
        <v>3072.7</v>
      </c>
      <c r="HP29" s="61">
        <f t="shared" si="52"/>
        <v>43500.000000000546</v>
      </c>
      <c r="HQ29" s="292">
        <v>5016.3</v>
      </c>
      <c r="HR29" s="292">
        <v>2111.6</v>
      </c>
      <c r="HS29" s="61">
        <f t="shared" si="53"/>
        <v>24900.000000000182</v>
      </c>
      <c r="HT29" s="292">
        <v>4923.1000000000004</v>
      </c>
      <c r="HU29" s="292">
        <v>1779.6</v>
      </c>
      <c r="HV29" s="61">
        <f t="shared" si="54"/>
        <v>28800.000000000728</v>
      </c>
      <c r="HW29" s="292">
        <v>3590.5</v>
      </c>
      <c r="HX29" s="292">
        <v>1538.4</v>
      </c>
      <c r="HY29" s="61">
        <f t="shared" si="55"/>
        <v>24699.999999999909</v>
      </c>
      <c r="HZ29" s="260">
        <v>2854400</v>
      </c>
      <c r="IA29" s="260">
        <v>12394</v>
      </c>
      <c r="IB29" s="61">
        <f t="shared" si="56"/>
        <v>31300</v>
      </c>
      <c r="IC29" s="292">
        <v>719.8</v>
      </c>
      <c r="ID29" s="292">
        <v>232.78</v>
      </c>
      <c r="IE29" s="61">
        <f t="shared" si="79"/>
        <v>0</v>
      </c>
      <c r="IF29" s="61"/>
      <c r="IG29" s="61"/>
      <c r="IH29" s="280">
        <f t="shared" si="57"/>
        <v>25800</v>
      </c>
      <c r="II29" s="281">
        <f>HJ29+HM29-HS29-HV29-HY29-IH29-HP29-IB29-IE29</f>
        <v>-1.3606040738523006E-9</v>
      </c>
      <c r="IJ29" s="245"/>
      <c r="IK29" s="245"/>
      <c r="IL29" s="245">
        <f t="shared" si="111"/>
        <v>0</v>
      </c>
      <c r="IM29" s="245"/>
      <c r="IN29" s="245"/>
      <c r="IO29" s="245">
        <f t="shared" si="112"/>
        <v>0</v>
      </c>
      <c r="IP29" s="245"/>
      <c r="IQ29" s="245"/>
      <c r="IR29" s="245">
        <f t="shared" si="113"/>
        <v>0</v>
      </c>
      <c r="IS29" s="245"/>
      <c r="IT29" s="245"/>
      <c r="IU29" s="245">
        <f t="shared" si="114"/>
        <v>0</v>
      </c>
      <c r="IV29" s="245"/>
      <c r="IW29" s="245"/>
      <c r="IX29" s="245">
        <f t="shared" si="115"/>
        <v>0</v>
      </c>
      <c r="IY29" s="245"/>
      <c r="IZ29" s="245"/>
      <c r="JA29" s="245">
        <f t="shared" si="116"/>
        <v>0</v>
      </c>
      <c r="JB29" s="245"/>
      <c r="JC29" s="245"/>
      <c r="JD29" s="245">
        <f t="shared" si="117"/>
        <v>0</v>
      </c>
      <c r="JE29" s="245"/>
      <c r="JF29" s="245"/>
      <c r="JG29" s="245">
        <f t="shared" si="118"/>
        <v>0</v>
      </c>
      <c r="JH29" s="245"/>
      <c r="JI29" s="245"/>
      <c r="JJ29" s="245">
        <f t="shared" si="119"/>
        <v>0</v>
      </c>
      <c r="JK29" s="245"/>
      <c r="JL29" s="245"/>
      <c r="JM29" s="245">
        <f t="shared" si="120"/>
        <v>0</v>
      </c>
      <c r="JN29" s="245"/>
      <c r="JO29" s="245"/>
      <c r="JP29" s="245">
        <f t="shared" si="121"/>
        <v>0</v>
      </c>
      <c r="JQ29" s="245"/>
      <c r="JR29" s="245"/>
      <c r="JS29" s="245">
        <f t="shared" si="122"/>
        <v>0</v>
      </c>
      <c r="JT29" s="245"/>
      <c r="JU29" s="245"/>
      <c r="JV29" s="245">
        <f t="shared" si="123"/>
        <v>0</v>
      </c>
      <c r="JW29" s="245"/>
      <c r="JX29" s="245"/>
      <c r="JY29" s="245">
        <f t="shared" si="124"/>
        <v>0</v>
      </c>
      <c r="JZ29" s="245"/>
      <c r="KA29" s="245"/>
      <c r="KB29" s="245">
        <f t="shared" si="125"/>
        <v>0</v>
      </c>
      <c r="KC29" s="245"/>
      <c r="KD29" s="245"/>
      <c r="KE29" s="245">
        <f t="shared" si="126"/>
        <v>0</v>
      </c>
      <c r="KG29" s="151">
        <f t="shared" si="59"/>
        <v>74799.999999999185</v>
      </c>
    </row>
    <row r="30" spans="1:293" x14ac:dyDescent="0.25">
      <c r="A30" s="35">
        <f t="shared" si="0"/>
        <v>24</v>
      </c>
      <c r="B30" s="250">
        <v>5649.76</v>
      </c>
      <c r="C30" s="38">
        <f t="shared" si="1"/>
        <v>10.190000000000509</v>
      </c>
      <c r="D30" s="38">
        <f t="shared" si="2"/>
        <v>326080.0000000163</v>
      </c>
      <c r="E30" s="250">
        <v>1133.3900000000001</v>
      </c>
      <c r="F30" s="38">
        <f t="shared" si="3"/>
        <v>60800.00000000291</v>
      </c>
      <c r="G30" s="38">
        <f t="shared" si="4"/>
        <v>386880.00000001921</v>
      </c>
      <c r="H30" s="37"/>
      <c r="I30" s="39"/>
      <c r="J30" s="42"/>
      <c r="K30" s="37">
        <f>IF(J30&lt;=0,0,(J30/SQRT(J30^2+(I30-I29)^2)))</f>
        <v>0</v>
      </c>
      <c r="L30" s="250">
        <v>18312800</v>
      </c>
      <c r="M30" s="40"/>
      <c r="N30" s="37">
        <f t="shared" si="81"/>
        <v>382000</v>
      </c>
      <c r="O30" s="250">
        <v>13162.2</v>
      </c>
      <c r="P30" s="37"/>
      <c r="Q30" s="37">
        <f t="shared" si="129"/>
        <v>17600.000000000364</v>
      </c>
      <c r="R30" s="37">
        <f>IF(Q30&lt;=0,0,(Q30/SQRT(Q30^2+(P30-P29)^2)))</f>
        <v>1</v>
      </c>
      <c r="S30" s="250">
        <v>11270763.43</v>
      </c>
      <c r="T30" s="37">
        <f t="shared" si="6"/>
        <v>355.85999999940395</v>
      </c>
      <c r="U30" s="250">
        <v>1523792.57</v>
      </c>
      <c r="V30" s="37">
        <f t="shared" si="7"/>
        <v>0</v>
      </c>
      <c r="W30" s="250">
        <v>4719.3999999999996</v>
      </c>
      <c r="X30" s="37">
        <f t="shared" si="95"/>
        <v>17144.14000000096</v>
      </c>
      <c r="Y30" s="183"/>
      <c r="Z30" s="183"/>
      <c r="AA30" s="250">
        <v>869400</v>
      </c>
      <c r="AB30" s="37">
        <f t="shared" si="8"/>
        <v>100</v>
      </c>
      <c r="AC30" s="250">
        <v>4888.7</v>
      </c>
      <c r="AD30" s="37"/>
      <c r="AE30" s="37">
        <f t="shared" si="131"/>
        <v>7599.9999999994543</v>
      </c>
      <c r="AF30" s="37">
        <f>IF(AE30&lt;=0,0,(AE30/SQRT(AE30^2+(AD30-AD29)^2)))</f>
        <v>1</v>
      </c>
      <c r="AG30" s="250">
        <v>10625.6</v>
      </c>
      <c r="AH30" s="37"/>
      <c r="AI30" s="37">
        <f t="shared" si="10"/>
        <v>17839.949999999637</v>
      </c>
      <c r="AJ30" s="37">
        <f t="shared" si="11"/>
        <v>1</v>
      </c>
      <c r="AK30" s="37">
        <f t="shared" si="12"/>
        <v>42939.949999999459</v>
      </c>
      <c r="AL30" s="250">
        <v>12261.2</v>
      </c>
      <c r="AM30" s="42"/>
      <c r="AN30" s="37">
        <f t="shared" si="60"/>
        <v>6329.9499999999825</v>
      </c>
      <c r="AO30" s="37">
        <f>IF(AN30&lt;=0,0,(AN30/SQRT(AN30^2+(AM30-AM29)^2)))</f>
        <v>1</v>
      </c>
      <c r="AP30" s="250">
        <v>9684.7999999999993</v>
      </c>
      <c r="AQ30" s="37"/>
      <c r="AR30" s="37">
        <f t="shared" si="13"/>
        <v>8299.9999999992724</v>
      </c>
      <c r="AS30" s="37">
        <f>IF(AR30&lt;=0,0,(AR30/SQRT(AR30^2+(AQ30-AQ29)^2)))</f>
        <v>1</v>
      </c>
      <c r="AT30" s="183"/>
      <c r="AU30" s="183"/>
      <c r="AV30" s="183"/>
      <c r="AW30" s="183"/>
      <c r="AX30" s="250">
        <v>534510</v>
      </c>
      <c r="AY30" s="37"/>
      <c r="AZ30" s="37">
        <f t="shared" si="14"/>
        <v>390</v>
      </c>
      <c r="BA30" s="250">
        <v>223230</v>
      </c>
      <c r="BB30" s="37"/>
      <c r="BC30" s="37">
        <f t="shared" si="15"/>
        <v>580</v>
      </c>
      <c r="BD30" s="37">
        <f>AN30+AR30+AZ30+BC30</f>
        <v>15599.949999999255</v>
      </c>
      <c r="BE30" s="250">
        <v>2117.4</v>
      </c>
      <c r="BF30" s="250">
        <v>1192</v>
      </c>
      <c r="BG30" s="37">
        <f t="shared" si="16"/>
        <v>1500</v>
      </c>
      <c r="BH30" s="250">
        <v>10034</v>
      </c>
      <c r="BI30" s="250">
        <v>6484.9</v>
      </c>
      <c r="BJ30" s="37">
        <f t="shared" si="17"/>
        <v>9000</v>
      </c>
      <c r="BK30" s="250">
        <v>2079340</v>
      </c>
      <c r="BL30" s="40">
        <f t="shared" si="87"/>
        <v>4130</v>
      </c>
      <c r="BM30" s="250">
        <v>952.73</v>
      </c>
      <c r="BN30" s="37">
        <f t="shared" si="18"/>
        <v>680.00000000006366</v>
      </c>
      <c r="BO30" s="186"/>
      <c r="BP30" s="183">
        <f t="shared" si="19"/>
        <v>0</v>
      </c>
      <c r="BQ30" s="250">
        <v>898.5</v>
      </c>
      <c r="BR30" s="37">
        <f t="shared" si="61"/>
        <v>799.99999999995453</v>
      </c>
      <c r="BS30" s="250">
        <v>124211</v>
      </c>
      <c r="BT30" s="37">
        <f t="shared" si="20"/>
        <v>253.85000000000582</v>
      </c>
      <c r="BU30" s="250">
        <v>3709645</v>
      </c>
      <c r="BV30" s="42"/>
      <c r="BW30" s="37">
        <f t="shared" si="21"/>
        <v>6470</v>
      </c>
      <c r="BX30" s="37">
        <f>IF(BW30&lt;=0,0,(BW30/SQRT(BW30^2+(BV30-BV29)^2)))</f>
        <v>1</v>
      </c>
      <c r="BY30" s="250">
        <v>427.96980000000002</v>
      </c>
      <c r="BZ30" s="37"/>
      <c r="CA30" s="37">
        <f t="shared" si="127"/>
        <v>636.0000000000241</v>
      </c>
      <c r="CB30" s="37">
        <f t="shared" si="62"/>
        <v>1</v>
      </c>
      <c r="CC30" s="250">
        <v>828810.7</v>
      </c>
      <c r="CD30" s="37">
        <f t="shared" si="23"/>
        <v>200.89999999990687</v>
      </c>
      <c r="CE30" s="250">
        <v>1882012</v>
      </c>
      <c r="CF30" s="37">
        <f t="shared" si="24"/>
        <v>5838.6999999999534</v>
      </c>
      <c r="CG30" s="250">
        <v>122633</v>
      </c>
      <c r="CH30" s="37">
        <f t="shared" si="63"/>
        <v>0</v>
      </c>
      <c r="CI30" s="250">
        <v>14763.82</v>
      </c>
      <c r="CJ30" s="40"/>
      <c r="CK30" s="37">
        <f t="shared" si="64"/>
        <v>15053.949999999977</v>
      </c>
      <c r="CL30" s="37">
        <f t="shared" si="25"/>
        <v>1</v>
      </c>
      <c r="CM30" s="250">
        <v>4398.8180000000002</v>
      </c>
      <c r="CN30" s="37"/>
      <c r="CO30" s="37">
        <f t="shared" si="26"/>
        <v>4981.9500000003709</v>
      </c>
      <c r="CP30" s="37">
        <f>IF(CO30&lt;=0,0,(CO30/SQRT(CO30^2+(CN30-CN29)^2)))</f>
        <v>1</v>
      </c>
      <c r="CQ30" s="250">
        <v>924180.3</v>
      </c>
      <c r="CR30" s="39"/>
      <c r="CS30" s="37">
        <f t="shared" si="65"/>
        <v>5958.1500000000697</v>
      </c>
      <c r="CT30" s="37">
        <f t="shared" si="66"/>
        <v>1</v>
      </c>
      <c r="CU30" s="250">
        <v>4871528</v>
      </c>
      <c r="CV30" s="37"/>
      <c r="CW30" s="38">
        <f t="shared" si="27"/>
        <v>19957</v>
      </c>
      <c r="CX30" s="37">
        <f>IF(CW30&lt;=0,0,(CW30/SQRT(CW30^2+(CV30-CV29)^2)))</f>
        <v>1</v>
      </c>
      <c r="CY30" s="250">
        <v>2610291</v>
      </c>
      <c r="CZ30" s="37"/>
      <c r="DA30" s="37">
        <f t="shared" si="133"/>
        <v>10594</v>
      </c>
      <c r="DB30" s="37">
        <f t="shared" si="91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0"/>
        <v>-63015.05000000041</v>
      </c>
      <c r="DH30" s="37">
        <f t="shared" si="31"/>
        <v>426439.94999999949</v>
      </c>
      <c r="DI30" s="46"/>
      <c r="DJ30" s="46"/>
      <c r="DK30" s="47"/>
      <c r="DL30" s="47"/>
      <c r="DM30" s="37"/>
      <c r="DN30" s="37"/>
      <c r="DO30" s="37"/>
      <c r="DP30" s="37"/>
      <c r="DQ30" s="250">
        <v>4672700</v>
      </c>
      <c r="DR30" s="49">
        <f t="shared" si="67"/>
        <v>10100</v>
      </c>
      <c r="DS30" s="250">
        <v>6354800</v>
      </c>
      <c r="DT30" s="49">
        <f t="shared" si="68"/>
        <v>25100</v>
      </c>
      <c r="DU30" s="250">
        <v>8467.2000000000007</v>
      </c>
      <c r="DV30" s="250">
        <v>4767.3</v>
      </c>
      <c r="DW30" s="37">
        <f t="shared" si="92"/>
        <v>400.00000000145519</v>
      </c>
      <c r="DX30" s="250">
        <v>14017</v>
      </c>
      <c r="DY30" s="250">
        <v>8774.2999999999993</v>
      </c>
      <c r="DZ30" s="37">
        <f t="shared" si="32"/>
        <v>939.95</v>
      </c>
      <c r="EA30" s="250">
        <v>32568</v>
      </c>
      <c r="EB30" s="250">
        <v>22.233000000000001</v>
      </c>
      <c r="EC30" s="37">
        <f t="shared" si="33"/>
        <v>6099.95</v>
      </c>
      <c r="ED30" s="53">
        <f t="shared" si="34"/>
        <v>7439.9000000014548</v>
      </c>
      <c r="EE30" s="250">
        <v>48756</v>
      </c>
      <c r="EF30" s="250">
        <v>32.152999999999999</v>
      </c>
      <c r="EG30" s="37">
        <f t="shared" si="35"/>
        <v>32099.95</v>
      </c>
      <c r="EH30" s="250">
        <v>14446</v>
      </c>
      <c r="EI30" s="250">
        <v>2.1404999999999998</v>
      </c>
      <c r="EJ30" s="37">
        <f t="shared" si="36"/>
        <v>10939.95</v>
      </c>
      <c r="EK30" s="250">
        <v>881.08</v>
      </c>
      <c r="EL30" s="250">
        <v>1261.9000000000001</v>
      </c>
      <c r="EM30" s="37">
        <f t="shared" si="69"/>
        <v>600.00000000002274</v>
      </c>
      <c r="EN30" s="54">
        <f t="shared" si="70"/>
        <v>43639.900000000023</v>
      </c>
      <c r="EO30" s="250">
        <v>13926</v>
      </c>
      <c r="EP30" s="48"/>
      <c r="EQ30" s="37">
        <f t="shared" si="97"/>
        <v>7589.9500000000353</v>
      </c>
      <c r="ER30" s="250">
        <v>11336</v>
      </c>
      <c r="ES30" s="48"/>
      <c r="ET30" s="49">
        <f t="shared" si="106"/>
        <v>16000</v>
      </c>
      <c r="EU30" s="250">
        <v>4744.7</v>
      </c>
      <c r="EV30" s="48"/>
      <c r="EW30" s="49">
        <f t="shared" si="38"/>
        <v>11639.949999999819</v>
      </c>
      <c r="EX30" s="250">
        <v>14894</v>
      </c>
      <c r="EY30" s="55"/>
      <c r="EZ30" s="37">
        <f t="shared" si="39"/>
        <v>12939.95</v>
      </c>
      <c r="FA30" s="48">
        <f t="shared" si="71"/>
        <v>-23116.849999999853</v>
      </c>
      <c r="FB30" s="250">
        <v>39287802</v>
      </c>
      <c r="FC30" s="49">
        <f t="shared" si="93"/>
        <v>25053</v>
      </c>
      <c r="FD30" s="48">
        <f t="shared" si="72"/>
        <v>49789.849999999846</v>
      </c>
      <c r="FE30" s="250">
        <v>18115</v>
      </c>
      <c r="FF30" s="55"/>
      <c r="FG30" s="37">
        <f t="shared" si="73"/>
        <v>10289.949999999966</v>
      </c>
      <c r="FH30" s="250">
        <v>10832</v>
      </c>
      <c r="FI30" s="48"/>
      <c r="FJ30" s="49">
        <f t="shared" si="40"/>
        <v>14939.95</v>
      </c>
      <c r="FK30" s="48"/>
      <c r="FL30" s="58"/>
      <c r="FM30" s="48">
        <f t="shared" si="94"/>
        <v>-723.28333333332318</v>
      </c>
      <c r="FN30" s="250">
        <v>18040</v>
      </c>
      <c r="FO30" s="48"/>
      <c r="FP30" s="37">
        <f t="shared" si="74"/>
        <v>9939.9500000000007</v>
      </c>
      <c r="FQ30" s="250">
        <v>63453</v>
      </c>
      <c r="FR30" s="48"/>
      <c r="FS30" s="37">
        <f t="shared" si="41"/>
        <v>33000</v>
      </c>
      <c r="FT30" s="48">
        <f t="shared" si="75"/>
        <v>-2169.8499999999694</v>
      </c>
      <c r="FU30" s="48">
        <f t="shared" si="76"/>
        <v>35169.849999999962</v>
      </c>
      <c r="FV30" s="250">
        <v>7240300</v>
      </c>
      <c r="FW30" s="44"/>
      <c r="FX30" s="37">
        <f t="shared" si="42"/>
        <v>17100</v>
      </c>
      <c r="FY30" s="250">
        <v>233600</v>
      </c>
      <c r="FZ30" s="56"/>
      <c r="GA30" s="37">
        <f t="shared" si="43"/>
        <v>4270</v>
      </c>
      <c r="GB30" s="250">
        <v>906.79</v>
      </c>
      <c r="GC30" s="56"/>
      <c r="GD30" s="37">
        <f t="shared" si="44"/>
        <v>639.99999999998636</v>
      </c>
      <c r="GE30" s="250">
        <v>11138</v>
      </c>
      <c r="GF30" s="56"/>
      <c r="GG30" s="37">
        <f t="shared" si="45"/>
        <v>3380</v>
      </c>
      <c r="GH30" s="250">
        <v>106100</v>
      </c>
      <c r="GI30" s="159"/>
      <c r="GJ30" s="38">
        <f t="shared" si="77"/>
        <v>1620</v>
      </c>
      <c r="GK30" s="250">
        <v>1534</v>
      </c>
      <c r="GL30" s="160"/>
      <c r="GM30" s="38">
        <f t="shared" si="46"/>
        <v>0</v>
      </c>
      <c r="GN30" s="250">
        <v>244150</v>
      </c>
      <c r="GO30" s="57"/>
      <c r="GP30" s="38">
        <f t="shared" si="98"/>
        <v>0</v>
      </c>
      <c r="GQ30" s="250">
        <v>303940</v>
      </c>
      <c r="GR30" s="38"/>
      <c r="GS30" s="38">
        <f t="shared" si="78"/>
        <v>20</v>
      </c>
      <c r="GT30" s="247"/>
      <c r="GU30" s="144">
        <f>DailySep!B29-DailySep!N29-DailySep!V29-DailySep!Y29-DailySep!Z29-DailySep!AA29-DailySep!AB29-DailySep!AC29-DailySep!AD29-DailySep!AE29-DailySep!AK29-DailySep!AO29-DailySep!AS29-DailySep!AY29-DailySep!BD29+DailySep!BU29-DailySep!BG29-DailySep!BT29-DailySep!AF29-DailySep!AG29</f>
        <v>-4.9999981129076332E-2</v>
      </c>
      <c r="GV30" s="261">
        <v>14099.2</v>
      </c>
      <c r="GW30" s="60">
        <f t="shared" si="48"/>
        <v>939.94666666666672</v>
      </c>
      <c r="GX30" s="260">
        <v>939.95</v>
      </c>
      <c r="GY30" s="140"/>
      <c r="GZ30" s="528"/>
      <c r="HA30" s="528"/>
      <c r="HB30" s="528"/>
      <c r="HC30" s="528"/>
      <c r="HD30" s="74"/>
      <c r="HE30" s="24">
        <f t="shared" si="49"/>
        <v>0</v>
      </c>
      <c r="HG30" s="279">
        <v>24</v>
      </c>
      <c r="HH30" s="292">
        <v>28551</v>
      </c>
      <c r="HI30" s="292">
        <v>10866</v>
      </c>
      <c r="HJ30" s="61">
        <f t="shared" si="50"/>
        <v>167000</v>
      </c>
      <c r="HK30" s="260">
        <v>2.1432000000000002</v>
      </c>
      <c r="HL30" s="260">
        <v>807.19</v>
      </c>
      <c r="HM30" s="61">
        <f t="shared" si="107"/>
        <v>0</v>
      </c>
      <c r="HN30" s="292">
        <v>7246.9</v>
      </c>
      <c r="HO30" s="292">
        <v>3088.4</v>
      </c>
      <c r="HP30" s="61">
        <f t="shared" si="52"/>
        <v>40899.999999999454</v>
      </c>
      <c r="HQ30" s="292">
        <v>5038.3</v>
      </c>
      <c r="HR30" s="292">
        <v>2119.3000000000002</v>
      </c>
      <c r="HS30" s="61">
        <f t="shared" si="53"/>
        <v>21800</v>
      </c>
      <c r="HT30" s="292">
        <v>4948.8999999999996</v>
      </c>
      <c r="HU30" s="292">
        <v>1787.7</v>
      </c>
      <c r="HV30" s="61">
        <f t="shared" si="54"/>
        <v>25599.999999999272</v>
      </c>
      <c r="HW30" s="292">
        <v>3613.9</v>
      </c>
      <c r="HX30" s="292">
        <v>1547.8</v>
      </c>
      <c r="HY30" s="61">
        <f t="shared" si="55"/>
        <v>23200.000000000091</v>
      </c>
      <c r="HZ30" s="260">
        <v>2884800</v>
      </c>
      <c r="IA30" s="260">
        <v>12519</v>
      </c>
      <c r="IB30" s="61">
        <f t="shared" si="56"/>
        <v>30400</v>
      </c>
      <c r="IC30" s="292">
        <v>719.8</v>
      </c>
      <c r="ID30" s="292">
        <v>232.78</v>
      </c>
      <c r="IE30" s="61">
        <f t="shared" si="79"/>
        <v>0</v>
      </c>
      <c r="IF30" s="61"/>
      <c r="IG30" s="61"/>
      <c r="IH30" s="280">
        <f t="shared" si="57"/>
        <v>25100</v>
      </c>
      <c r="II30" s="281">
        <f>HJ30+HM30-HS30-HV30-HY30-IH30-HP30-IB30-IE30</f>
        <v>1.1859810911118984E-9</v>
      </c>
      <c r="IJ30" s="245"/>
      <c r="IK30" s="245"/>
      <c r="IL30" s="245">
        <f t="shared" si="111"/>
        <v>0</v>
      </c>
      <c r="IM30" s="245"/>
      <c r="IN30" s="245"/>
      <c r="IO30" s="245">
        <f t="shared" si="112"/>
        <v>0</v>
      </c>
      <c r="IP30" s="245"/>
      <c r="IQ30" s="245"/>
      <c r="IR30" s="245">
        <f t="shared" si="113"/>
        <v>0</v>
      </c>
      <c r="IS30" s="245"/>
      <c r="IT30" s="245"/>
      <c r="IU30" s="245">
        <f t="shared" si="114"/>
        <v>0</v>
      </c>
      <c r="IV30" s="245"/>
      <c r="IW30" s="245"/>
      <c r="IX30" s="245">
        <f t="shared" si="115"/>
        <v>0</v>
      </c>
      <c r="IY30" s="245"/>
      <c r="IZ30" s="245"/>
      <c r="JA30" s="245">
        <f t="shared" si="116"/>
        <v>0</v>
      </c>
      <c r="JB30" s="245"/>
      <c r="JC30" s="245"/>
      <c r="JD30" s="245">
        <f t="shared" si="117"/>
        <v>0</v>
      </c>
      <c r="JE30" s="245"/>
      <c r="JF30" s="245"/>
      <c r="JG30" s="245">
        <f t="shared" si="118"/>
        <v>0</v>
      </c>
      <c r="JH30" s="245"/>
      <c r="JI30" s="245"/>
      <c r="JJ30" s="245">
        <f t="shared" si="119"/>
        <v>0</v>
      </c>
      <c r="JK30" s="245"/>
      <c r="JL30" s="245"/>
      <c r="JM30" s="245">
        <f t="shared" si="120"/>
        <v>0</v>
      </c>
      <c r="JN30" s="245"/>
      <c r="JO30" s="245"/>
      <c r="JP30" s="245">
        <f t="shared" si="121"/>
        <v>0</v>
      </c>
      <c r="JQ30" s="245"/>
      <c r="JR30" s="245"/>
      <c r="JS30" s="245">
        <f t="shared" si="122"/>
        <v>0</v>
      </c>
      <c r="JT30" s="245"/>
      <c r="JU30" s="245"/>
      <c r="JV30" s="245">
        <f t="shared" si="123"/>
        <v>0</v>
      </c>
      <c r="JW30" s="245"/>
      <c r="JX30" s="245"/>
      <c r="JY30" s="245">
        <f t="shared" si="124"/>
        <v>0</v>
      </c>
      <c r="JZ30" s="245"/>
      <c r="KA30" s="245"/>
      <c r="KB30" s="245">
        <f t="shared" si="125"/>
        <v>0</v>
      </c>
      <c r="KC30" s="245"/>
      <c r="KD30" s="245"/>
      <c r="KE30" s="245">
        <f t="shared" si="126"/>
        <v>0</v>
      </c>
      <c r="KG30" s="151">
        <f t="shared" si="59"/>
        <v>71300.00000000064</v>
      </c>
    </row>
    <row r="31" spans="1:293" x14ac:dyDescent="0.25">
      <c r="A31" s="35">
        <f t="shared" si="0"/>
        <v>25</v>
      </c>
      <c r="B31" s="250">
        <v>5659.87</v>
      </c>
      <c r="C31" s="38">
        <f t="shared" si="1"/>
        <v>10.109999999999673</v>
      </c>
      <c r="D31" s="38">
        <f t="shared" si="2"/>
        <v>323519.99999998952</v>
      </c>
      <c r="E31" s="250">
        <v>1135.3</v>
      </c>
      <c r="F31" s="38">
        <f t="shared" si="3"/>
        <v>61119.999999995343</v>
      </c>
      <c r="G31" s="38">
        <f t="shared" si="4"/>
        <v>384639.99999998487</v>
      </c>
      <c r="H31" s="37"/>
      <c r="I31" s="39"/>
      <c r="J31" s="42"/>
      <c r="K31" s="37">
        <f t="shared" si="80"/>
        <v>0</v>
      </c>
      <c r="L31" s="250">
        <v>18351200</v>
      </c>
      <c r="M31" s="40"/>
      <c r="N31" s="37">
        <f t="shared" si="81"/>
        <v>384000</v>
      </c>
      <c r="O31" s="250">
        <v>13179.9</v>
      </c>
      <c r="P31" s="37"/>
      <c r="Q31" s="37">
        <f t="shared" si="129"/>
        <v>17699.999999998909</v>
      </c>
      <c r="R31" s="37">
        <f t="shared" si="82"/>
        <v>1</v>
      </c>
      <c r="S31" s="250">
        <v>11271126.689999999</v>
      </c>
      <c r="T31" s="37">
        <f t="shared" si="6"/>
        <v>363.25999999977648</v>
      </c>
      <c r="U31" s="250">
        <v>1523792.57</v>
      </c>
      <c r="V31" s="37">
        <f t="shared" si="7"/>
        <v>0</v>
      </c>
      <c r="W31" s="250">
        <v>4725.3</v>
      </c>
      <c r="X31" s="37">
        <f t="shared" si="95"/>
        <v>17236.739999999132</v>
      </c>
      <c r="Y31" s="183"/>
      <c r="Z31" s="183"/>
      <c r="AA31" s="250">
        <v>869500</v>
      </c>
      <c r="AB31" s="37">
        <f t="shared" si="8"/>
        <v>100</v>
      </c>
      <c r="AC31" s="250">
        <v>4894.8</v>
      </c>
      <c r="AD31" s="37"/>
      <c r="AE31" s="37">
        <f t="shared" si="131"/>
        <v>6100.0000000003638</v>
      </c>
      <c r="AF31" s="37">
        <f t="shared" si="83"/>
        <v>1</v>
      </c>
      <c r="AG31" s="250">
        <v>10639.1</v>
      </c>
      <c r="AH31" s="37"/>
      <c r="AI31" s="37">
        <f t="shared" si="10"/>
        <v>13269.45</v>
      </c>
      <c r="AJ31" s="37">
        <f t="shared" si="11"/>
        <v>1</v>
      </c>
      <c r="AK31" s="37">
        <f t="shared" si="12"/>
        <v>36969.449999999269</v>
      </c>
      <c r="AL31" s="250">
        <v>12273.7</v>
      </c>
      <c r="AM31" s="2"/>
      <c r="AN31" s="37">
        <f t="shared" si="60"/>
        <v>6559.4500000000962</v>
      </c>
      <c r="AO31" s="37">
        <f t="shared" si="84"/>
        <v>1</v>
      </c>
      <c r="AP31" s="250">
        <v>9698.9</v>
      </c>
      <c r="AQ31" s="37"/>
      <c r="AR31" s="37">
        <f t="shared" si="13"/>
        <v>14100.000000000364</v>
      </c>
      <c r="AS31" s="37">
        <f t="shared" si="85"/>
        <v>1</v>
      </c>
      <c r="AT31" s="183"/>
      <c r="AU31" s="183"/>
      <c r="AV31" s="183"/>
      <c r="AW31" s="183"/>
      <c r="AX31" s="250">
        <v>534920</v>
      </c>
      <c r="AY31" s="37"/>
      <c r="AZ31" s="37">
        <f t="shared" si="14"/>
        <v>410</v>
      </c>
      <c r="BA31" s="250">
        <v>223890</v>
      </c>
      <c r="BB31" s="37"/>
      <c r="BC31" s="37">
        <f t="shared" si="15"/>
        <v>660</v>
      </c>
      <c r="BD31" s="37">
        <f t="shared" si="86"/>
        <v>21729.450000000459</v>
      </c>
      <c r="BE31" s="250">
        <v>2118.9</v>
      </c>
      <c r="BF31" s="250">
        <v>1193</v>
      </c>
      <c r="BG31" s="37">
        <f t="shared" si="16"/>
        <v>1500</v>
      </c>
      <c r="BH31" s="250">
        <v>10042</v>
      </c>
      <c r="BI31" s="250">
        <v>6490.7</v>
      </c>
      <c r="BJ31" s="37">
        <f t="shared" si="17"/>
        <v>8000</v>
      </c>
      <c r="BK31" s="250">
        <v>2083570</v>
      </c>
      <c r="BL31" s="40">
        <f t="shared" si="87"/>
        <v>4230</v>
      </c>
      <c r="BM31" s="250">
        <v>953.41</v>
      </c>
      <c r="BN31" s="37">
        <f t="shared" si="18"/>
        <v>679.99999999994998</v>
      </c>
      <c r="BO31" s="186"/>
      <c r="BP31" s="183">
        <f t="shared" si="19"/>
        <v>0</v>
      </c>
      <c r="BQ31" s="250">
        <v>899.3</v>
      </c>
      <c r="BR31" s="37">
        <f t="shared" si="61"/>
        <v>799.99999999995453</v>
      </c>
      <c r="BS31" s="250">
        <v>124439.44</v>
      </c>
      <c r="BT31" s="37">
        <f t="shared" si="20"/>
        <v>228.44000000000233</v>
      </c>
      <c r="BU31" s="250">
        <v>3716264</v>
      </c>
      <c r="BV31" s="42"/>
      <c r="BW31" s="37">
        <f t="shared" si="21"/>
        <v>6619</v>
      </c>
      <c r="BX31" s="37">
        <f t="shared" si="88"/>
        <v>1</v>
      </c>
      <c r="BY31" s="250">
        <v>428.60340000000002</v>
      </c>
      <c r="BZ31" s="37"/>
      <c r="CA31" s="37">
        <f t="shared" si="127"/>
        <v>633.60000000000127</v>
      </c>
      <c r="CB31" s="37">
        <f t="shared" si="62"/>
        <v>1</v>
      </c>
      <c r="CC31" s="250">
        <v>829314.8</v>
      </c>
      <c r="CD31" s="37">
        <f t="shared" si="23"/>
        <v>504.10000000009313</v>
      </c>
      <c r="CE31" s="250">
        <v>1887831</v>
      </c>
      <c r="CF31" s="37">
        <f t="shared" si="24"/>
        <v>5819</v>
      </c>
      <c r="CG31" s="250">
        <v>122633</v>
      </c>
      <c r="CH31" s="37">
        <f t="shared" si="63"/>
        <v>0</v>
      </c>
      <c r="CI31" s="250">
        <v>14778.7</v>
      </c>
      <c r="CJ31" s="40"/>
      <c r="CK31" s="37">
        <f t="shared" si="64"/>
        <v>14015.850000001017</v>
      </c>
      <c r="CL31" s="37">
        <f t="shared" si="25"/>
        <v>1</v>
      </c>
      <c r="CM31" s="250">
        <v>4403.3720000000003</v>
      </c>
      <c r="CN31" s="37"/>
      <c r="CO31" s="37">
        <f t="shared" si="26"/>
        <v>4323.4500000000871</v>
      </c>
      <c r="CP31" s="37">
        <f t="shared" si="89"/>
        <v>1</v>
      </c>
      <c r="CQ31" s="250">
        <v>929280.5</v>
      </c>
      <c r="CR31" s="39"/>
      <c r="CS31" s="37">
        <f t="shared" si="65"/>
        <v>4869.6499999999533</v>
      </c>
      <c r="CT31" s="37">
        <f t="shared" si="66"/>
        <v>1</v>
      </c>
      <c r="CU31" s="250">
        <v>4883240</v>
      </c>
      <c r="CV31" s="37"/>
      <c r="CW31" s="38">
        <f t="shared" si="27"/>
        <v>11712</v>
      </c>
      <c r="CX31" s="37">
        <f t="shared" si="90"/>
        <v>1</v>
      </c>
      <c r="CY31" s="250">
        <v>2620340</v>
      </c>
      <c r="CZ31" s="37"/>
      <c r="DA31" s="37">
        <f t="shared" si="133"/>
        <v>10049</v>
      </c>
      <c r="DB31" s="37">
        <f t="shared" si="91"/>
        <v>1</v>
      </c>
      <c r="DC31" s="37"/>
      <c r="DD31" s="40"/>
      <c r="DE31" s="37">
        <f t="shared" si="29"/>
        <v>0</v>
      </c>
      <c r="DF31" s="37">
        <f t="shared" si="96"/>
        <v>0</v>
      </c>
      <c r="DG31" s="37">
        <f t="shared" si="30"/>
        <v>-51588.950000001059</v>
      </c>
      <c r="DH31" s="37">
        <f t="shared" si="31"/>
        <v>422469.44999999925</v>
      </c>
      <c r="DI31" s="46"/>
      <c r="DJ31" s="46"/>
      <c r="DK31" s="47"/>
      <c r="DL31" s="47"/>
      <c r="DM31" s="37"/>
      <c r="DN31" s="37"/>
      <c r="DO31" s="37"/>
      <c r="DP31" s="37"/>
      <c r="DQ31" s="250">
        <v>4682300</v>
      </c>
      <c r="DR31" s="49">
        <f t="shared" si="67"/>
        <v>9600</v>
      </c>
      <c r="DS31" s="250">
        <v>6379100</v>
      </c>
      <c r="DT31" s="49">
        <f t="shared" si="68"/>
        <v>24300</v>
      </c>
      <c r="DU31" s="250">
        <v>8467.6</v>
      </c>
      <c r="DV31" s="250">
        <v>4767.5</v>
      </c>
      <c r="DW31" s="37">
        <f t="shared" si="92"/>
        <v>399.9999999996362</v>
      </c>
      <c r="DX31" s="250">
        <v>14018</v>
      </c>
      <c r="DY31" s="250">
        <v>8774.4</v>
      </c>
      <c r="DZ31" s="37">
        <f t="shared" si="32"/>
        <v>769.45</v>
      </c>
      <c r="EA31" s="250">
        <v>32572</v>
      </c>
      <c r="EB31" s="250">
        <v>22.234000000000002</v>
      </c>
      <c r="EC31" s="37">
        <f t="shared" si="33"/>
        <v>5929.45</v>
      </c>
      <c r="ED31" s="53">
        <f t="shared" si="34"/>
        <v>7098.8999999996358</v>
      </c>
      <c r="EE31" s="250">
        <v>48787</v>
      </c>
      <c r="EF31" s="250">
        <v>32.174999999999997</v>
      </c>
      <c r="EG31" s="37">
        <f t="shared" si="35"/>
        <v>32929.449999999997</v>
      </c>
      <c r="EH31" s="250">
        <v>14456</v>
      </c>
      <c r="EI31" s="250">
        <v>2.1432000000000002</v>
      </c>
      <c r="EJ31" s="37">
        <f t="shared" si="36"/>
        <v>9769.4500000000007</v>
      </c>
      <c r="EK31" s="250">
        <v>881.71</v>
      </c>
      <c r="EL31" s="250">
        <v>1262.8</v>
      </c>
      <c r="EM31" s="37">
        <f t="shared" si="69"/>
        <v>629.99999999999545</v>
      </c>
      <c r="EN31" s="54">
        <f t="shared" si="70"/>
        <v>43328.899999999987</v>
      </c>
      <c r="EO31" s="250">
        <v>13934</v>
      </c>
      <c r="EP31" s="48"/>
      <c r="EQ31" s="37">
        <f t="shared" si="97"/>
        <v>6679.449999999968</v>
      </c>
      <c r="ER31" s="250">
        <v>11354</v>
      </c>
      <c r="ES31" s="48"/>
      <c r="ET31" s="49">
        <f t="shared" si="106"/>
        <v>18000</v>
      </c>
      <c r="EU31" s="250">
        <v>4755.3</v>
      </c>
      <c r="EV31" s="48"/>
      <c r="EW31" s="49">
        <f t="shared" si="38"/>
        <v>10369.450000000365</v>
      </c>
      <c r="EX31" s="250">
        <v>14907</v>
      </c>
      <c r="EY31" s="48"/>
      <c r="EZ31" s="37">
        <f t="shared" si="39"/>
        <v>12769.45</v>
      </c>
      <c r="FA31" s="48">
        <f t="shared" si="71"/>
        <v>-23872.350000000333</v>
      </c>
      <c r="FB31" s="250">
        <v>39311748</v>
      </c>
      <c r="FC31" s="49">
        <f t="shared" si="93"/>
        <v>23946</v>
      </c>
      <c r="FD31" s="48">
        <f t="shared" si="72"/>
        <v>49448.350000000326</v>
      </c>
      <c r="FE31" s="250">
        <v>18124</v>
      </c>
      <c r="FF31" s="48"/>
      <c r="FG31" s="37">
        <f t="shared" si="73"/>
        <v>9859.4500000000335</v>
      </c>
      <c r="FH31" s="250">
        <v>10851</v>
      </c>
      <c r="FI31" s="48"/>
      <c r="FJ31" s="49">
        <f t="shared" si="40"/>
        <v>18769.45</v>
      </c>
      <c r="FK31" s="48"/>
      <c r="FL31" s="58"/>
      <c r="FM31" s="48">
        <f>FT31/3</f>
        <v>-466.11666666667833</v>
      </c>
      <c r="FN31" s="250">
        <v>18052</v>
      </c>
      <c r="FO31" s="48"/>
      <c r="FP31" s="37">
        <f t="shared" si="74"/>
        <v>11769.45</v>
      </c>
      <c r="FQ31" s="250">
        <v>63492</v>
      </c>
      <c r="FR31" s="48"/>
      <c r="FS31" s="37">
        <f t="shared" si="41"/>
        <v>39000</v>
      </c>
      <c r="FT31" s="48">
        <f t="shared" si="75"/>
        <v>-1398.3500000000349</v>
      </c>
      <c r="FU31" s="48">
        <f>FG31+FJ31+FP31+GM31</f>
        <v>40398.350000000035</v>
      </c>
      <c r="FV31" s="250">
        <v>7257100</v>
      </c>
      <c r="FW31" s="44"/>
      <c r="FX31" s="37">
        <f t="shared" si="42"/>
        <v>16800</v>
      </c>
      <c r="FY31" s="250">
        <v>237850</v>
      </c>
      <c r="FZ31" s="56"/>
      <c r="GA31" s="37">
        <f t="shared" si="43"/>
        <v>4250</v>
      </c>
      <c r="GB31" s="250">
        <v>907.43</v>
      </c>
      <c r="GC31" s="56"/>
      <c r="GD31" s="37">
        <f t="shared" si="44"/>
        <v>639.99999999998636</v>
      </c>
      <c r="GE31" s="250">
        <v>11145</v>
      </c>
      <c r="GF31" s="56"/>
      <c r="GG31" s="37">
        <f t="shared" si="45"/>
        <v>5370</v>
      </c>
      <c r="GH31" s="250">
        <v>107730</v>
      </c>
      <c r="GI31" s="159"/>
      <c r="GJ31" s="38">
        <f t="shared" si="77"/>
        <v>1630</v>
      </c>
      <c r="GK31" s="250">
        <v>1534</v>
      </c>
      <c r="GL31" s="160"/>
      <c r="GM31" s="38">
        <f t="shared" si="46"/>
        <v>0</v>
      </c>
      <c r="GN31" s="250">
        <v>244160</v>
      </c>
      <c r="GO31" s="57"/>
      <c r="GP31" s="38">
        <f t="shared" si="98"/>
        <v>10</v>
      </c>
      <c r="GQ31" s="250">
        <v>304340</v>
      </c>
      <c r="GR31" s="38"/>
      <c r="GS31" s="38">
        <f t="shared" si="78"/>
        <v>400</v>
      </c>
      <c r="GT31" s="247"/>
      <c r="GU31" s="144">
        <f>DailySep!B30-DailySep!N30-DailySep!V30-DailySep!Y30-DailySep!Z30-DailySep!AA30-DailySep!AB30-DailySep!AC30-DailySep!AD30-DailySep!AE30-DailySep!AK30-DailySep!AO30-DailySep!AS30-DailySep!AY30-DailySep!BD30+DailySep!BU30-DailySep!BG30-DailySep!BT30-DailySep!AF30-DailySep!AG30</f>
        <v>-5.0000015879049897E-2</v>
      </c>
      <c r="GV31" s="261">
        <v>-3458.3</v>
      </c>
      <c r="GW31" s="60">
        <f t="shared" si="48"/>
        <v>-230.55333333333334</v>
      </c>
      <c r="GX31" s="260">
        <v>-230.55</v>
      </c>
      <c r="GY31" s="140"/>
      <c r="GZ31" s="528"/>
      <c r="HA31" s="528"/>
      <c r="HB31" s="528"/>
      <c r="HC31" s="528"/>
      <c r="HD31" s="74"/>
      <c r="HE31" s="24">
        <f t="shared" si="49"/>
        <v>0</v>
      </c>
      <c r="HF31" s="249"/>
      <c r="HG31" s="279">
        <v>25</v>
      </c>
      <c r="HH31" s="292">
        <v>28731</v>
      </c>
      <c r="HI31" s="292">
        <v>10933</v>
      </c>
      <c r="HJ31" s="61">
        <f t="shared" si="50"/>
        <v>180000</v>
      </c>
      <c r="HK31" s="260">
        <v>2.1432000000000002</v>
      </c>
      <c r="HL31" s="260">
        <v>807.23</v>
      </c>
      <c r="HM31" s="61">
        <f t="shared" si="107"/>
        <v>0</v>
      </c>
      <c r="HN31" s="292">
        <v>7290</v>
      </c>
      <c r="HO31" s="292">
        <v>3107.7</v>
      </c>
      <c r="HP31" s="61">
        <f t="shared" si="52"/>
        <v>43875.000000000364</v>
      </c>
      <c r="HQ31" s="292">
        <v>5062.2</v>
      </c>
      <c r="HR31" s="292">
        <v>2129.9</v>
      </c>
      <c r="HS31" s="61">
        <f t="shared" si="53"/>
        <v>24674.999999999636</v>
      </c>
      <c r="HT31" s="292">
        <v>4976.8999999999996</v>
      </c>
      <c r="HU31" s="292">
        <v>1797.6</v>
      </c>
      <c r="HV31" s="61">
        <f t="shared" si="54"/>
        <v>28775</v>
      </c>
      <c r="HW31" s="292">
        <v>3638.6</v>
      </c>
      <c r="HX31" s="292">
        <v>1557.6</v>
      </c>
      <c r="HY31" s="61">
        <f t="shared" si="55"/>
        <v>25474.999999999818</v>
      </c>
      <c r="HZ31" s="260">
        <v>2917700</v>
      </c>
      <c r="IA31" s="260">
        <v>12654</v>
      </c>
      <c r="IB31" s="61">
        <f t="shared" si="56"/>
        <v>32900</v>
      </c>
      <c r="IC31" s="292">
        <v>719.8</v>
      </c>
      <c r="ID31" s="292">
        <v>232.78</v>
      </c>
      <c r="IE31" s="61">
        <f t="shared" si="79"/>
        <v>0</v>
      </c>
      <c r="IF31" s="61"/>
      <c r="IG31" s="61"/>
      <c r="IH31" s="280">
        <f t="shared" si="57"/>
        <v>24300</v>
      </c>
      <c r="II31" s="281">
        <f t="shared" ref="II31:II36" si="134">HJ31+HM31-HS31-HV31-HY31-IH31-HP31-IB31</f>
        <v>1.6007106751203537E-10</v>
      </c>
      <c r="IJ31" s="245"/>
      <c r="IK31" s="245"/>
      <c r="IL31" s="245">
        <f t="shared" si="111"/>
        <v>0</v>
      </c>
      <c r="IM31" s="245"/>
      <c r="IN31" s="245"/>
      <c r="IO31" s="245">
        <f t="shared" si="112"/>
        <v>0</v>
      </c>
      <c r="IP31" s="245"/>
      <c r="IQ31" s="245"/>
      <c r="IR31" s="245">
        <f t="shared" si="113"/>
        <v>0</v>
      </c>
      <c r="IS31" s="245"/>
      <c r="IT31" s="245"/>
      <c r="IU31" s="245">
        <f t="shared" si="114"/>
        <v>0</v>
      </c>
      <c r="IV31" s="245"/>
      <c r="IW31" s="245"/>
      <c r="IX31" s="245">
        <f t="shared" si="115"/>
        <v>0</v>
      </c>
      <c r="IY31" s="245"/>
      <c r="IZ31" s="245"/>
      <c r="JA31" s="245">
        <f t="shared" si="116"/>
        <v>0</v>
      </c>
      <c r="JB31" s="245"/>
      <c r="JC31" s="245"/>
      <c r="JD31" s="245">
        <f t="shared" si="117"/>
        <v>0</v>
      </c>
      <c r="JE31" s="245"/>
      <c r="JF31" s="245"/>
      <c r="JG31" s="245">
        <f t="shared" si="118"/>
        <v>0</v>
      </c>
      <c r="JH31" s="245"/>
      <c r="JI31" s="245"/>
      <c r="JJ31" s="245">
        <f t="shared" si="119"/>
        <v>0</v>
      </c>
      <c r="JK31" s="245"/>
      <c r="JL31" s="245"/>
      <c r="JM31" s="245">
        <f t="shared" si="120"/>
        <v>0</v>
      </c>
      <c r="JN31" s="245"/>
      <c r="JO31" s="245"/>
      <c r="JP31" s="245">
        <f t="shared" si="121"/>
        <v>0</v>
      </c>
      <c r="JQ31" s="245"/>
      <c r="JR31" s="245"/>
      <c r="JS31" s="245">
        <f t="shared" si="122"/>
        <v>0</v>
      </c>
      <c r="JT31" s="245"/>
      <c r="JU31" s="245"/>
      <c r="JV31" s="245">
        <f t="shared" si="123"/>
        <v>0</v>
      </c>
      <c r="JW31" s="245"/>
      <c r="JX31" s="245"/>
      <c r="JY31" s="245">
        <f t="shared" si="124"/>
        <v>0</v>
      </c>
      <c r="JZ31" s="245"/>
      <c r="KA31" s="245"/>
      <c r="KB31" s="245">
        <f t="shared" si="125"/>
        <v>0</v>
      </c>
      <c r="KC31" s="245"/>
      <c r="KD31" s="245"/>
      <c r="KE31" s="245">
        <f t="shared" si="126"/>
        <v>0</v>
      </c>
      <c r="KG31" s="151">
        <f t="shared" si="59"/>
        <v>76775.000000000524</v>
      </c>
    </row>
    <row r="32" spans="1:293" x14ac:dyDescent="0.25">
      <c r="A32" s="35">
        <f t="shared" si="0"/>
        <v>26</v>
      </c>
      <c r="B32" s="250">
        <v>5670</v>
      </c>
      <c r="C32" s="38">
        <f t="shared" si="1"/>
        <v>10.130000000000109</v>
      </c>
      <c r="D32" s="38">
        <f t="shared" si="2"/>
        <v>324160.00000000349</v>
      </c>
      <c r="E32" s="250">
        <v>1137.19</v>
      </c>
      <c r="F32" s="38">
        <f t="shared" si="3"/>
        <v>60480.000000003201</v>
      </c>
      <c r="G32" s="38">
        <f t="shared" si="4"/>
        <v>384640.00000000669</v>
      </c>
      <c r="H32" s="37"/>
      <c r="I32" s="39"/>
      <c r="J32" s="42"/>
      <c r="K32" s="37">
        <f t="shared" si="80"/>
        <v>0</v>
      </c>
      <c r="L32" s="250">
        <v>18389300</v>
      </c>
      <c r="M32" s="40"/>
      <c r="N32" s="37">
        <f t="shared" si="81"/>
        <v>381000</v>
      </c>
      <c r="O32" s="250">
        <v>13197.3</v>
      </c>
      <c r="P32" s="37"/>
      <c r="Q32" s="37">
        <f t="shared" si="129"/>
        <v>17399.999999999636</v>
      </c>
      <c r="R32" s="37">
        <f t="shared" si="82"/>
        <v>1</v>
      </c>
      <c r="S32" s="250">
        <v>11271482.84</v>
      </c>
      <c r="T32" s="37">
        <f t="shared" si="6"/>
        <v>356.15000000037253</v>
      </c>
      <c r="U32" s="250">
        <v>1523792.57</v>
      </c>
      <c r="V32" s="37">
        <f>IF((U32-U31)&lt;=0,0,(U32-U31))</f>
        <v>0</v>
      </c>
      <c r="W32" s="250">
        <v>4731.1000000000004</v>
      </c>
      <c r="X32" s="37">
        <f t="shared" si="95"/>
        <v>16843.849999999264</v>
      </c>
      <c r="Y32" s="183"/>
      <c r="Z32" s="183"/>
      <c r="AA32" s="250">
        <v>869700</v>
      </c>
      <c r="AB32" s="37">
        <f t="shared" si="8"/>
        <v>200</v>
      </c>
      <c r="AC32" s="250">
        <v>4900.5</v>
      </c>
      <c r="AD32" s="37"/>
      <c r="AE32" s="37">
        <f t="shared" si="131"/>
        <v>5699.9999999998181</v>
      </c>
      <c r="AF32" s="37">
        <f t="shared" si="83"/>
        <v>1</v>
      </c>
      <c r="AG32" s="250">
        <v>10651.9</v>
      </c>
      <c r="AH32" s="37"/>
      <c r="AI32" s="37">
        <f t="shared" si="10"/>
        <v>13052.909999999272</v>
      </c>
      <c r="AJ32" s="37">
        <f t="shared" si="11"/>
        <v>1</v>
      </c>
      <c r="AK32" s="37">
        <f t="shared" si="12"/>
        <v>35952.909999998723</v>
      </c>
      <c r="AL32" s="250">
        <v>12285.9</v>
      </c>
      <c r="AM32" s="42"/>
      <c r="AN32" s="37">
        <f t="shared" si="60"/>
        <v>6922.9099999987993</v>
      </c>
      <c r="AO32" s="37">
        <f t="shared" si="84"/>
        <v>1</v>
      </c>
      <c r="AP32" s="250">
        <v>9712.2000000000007</v>
      </c>
      <c r="AQ32" s="37"/>
      <c r="AR32" s="37">
        <f t="shared" si="13"/>
        <v>13300.000000001091</v>
      </c>
      <c r="AS32" s="37">
        <f t="shared" si="85"/>
        <v>1</v>
      </c>
      <c r="AT32" s="183"/>
      <c r="AU32" s="183"/>
      <c r="AV32" s="183"/>
      <c r="AW32" s="183"/>
      <c r="AX32" s="250">
        <v>535370</v>
      </c>
      <c r="AY32" s="37"/>
      <c r="AZ32" s="37">
        <f t="shared" si="14"/>
        <v>450</v>
      </c>
      <c r="BA32" s="250">
        <v>224550</v>
      </c>
      <c r="BB32" s="37"/>
      <c r="BC32" s="37">
        <f t="shared" si="15"/>
        <v>660</v>
      </c>
      <c r="BD32" s="37">
        <f t="shared" si="86"/>
        <v>21332.909999999891</v>
      </c>
      <c r="BE32" s="250">
        <v>2120.5</v>
      </c>
      <c r="BF32" s="250">
        <v>1194</v>
      </c>
      <c r="BG32" s="37">
        <f t="shared" si="16"/>
        <v>1599.9999999999091</v>
      </c>
      <c r="BH32" s="250">
        <v>10052</v>
      </c>
      <c r="BI32" s="250">
        <v>6496.9</v>
      </c>
      <c r="BJ32" s="37">
        <f t="shared" si="17"/>
        <v>10000</v>
      </c>
      <c r="BK32" s="250">
        <v>2087720</v>
      </c>
      <c r="BL32" s="40">
        <f t="shared" si="87"/>
        <v>4150</v>
      </c>
      <c r="BM32" s="250">
        <v>954.09</v>
      </c>
      <c r="BN32" s="37">
        <f t="shared" si="18"/>
        <v>680.00000000006366</v>
      </c>
      <c r="BO32" s="186"/>
      <c r="BP32" s="183">
        <f t="shared" si="19"/>
        <v>0</v>
      </c>
      <c r="BQ32" s="250">
        <v>900</v>
      </c>
      <c r="BR32" s="37">
        <f t="shared" si="61"/>
        <v>700.00000000004547</v>
      </c>
      <c r="BS32" s="250">
        <v>124659.35</v>
      </c>
      <c r="BT32" s="37">
        <f t="shared" si="20"/>
        <v>219.91000000000349</v>
      </c>
      <c r="BU32" s="250">
        <v>3724361</v>
      </c>
      <c r="BV32" s="42"/>
      <c r="BW32" s="37">
        <f t="shared" si="21"/>
        <v>8097</v>
      </c>
      <c r="BX32" s="37">
        <f t="shared" si="88"/>
        <v>1</v>
      </c>
      <c r="BY32" s="250">
        <v>429.20740000000001</v>
      </c>
      <c r="BZ32" s="43"/>
      <c r="CA32" s="37">
        <f t="shared" si="127"/>
        <v>603.99999999998499</v>
      </c>
      <c r="CB32" s="37">
        <f t="shared" si="62"/>
        <v>1</v>
      </c>
      <c r="CC32" s="250">
        <v>831826.7</v>
      </c>
      <c r="CD32" s="37">
        <f t="shared" si="23"/>
        <v>2511.8999999999069</v>
      </c>
      <c r="CE32" s="250">
        <v>1893220</v>
      </c>
      <c r="CF32" s="37">
        <f t="shared" si="24"/>
        <v>5389</v>
      </c>
      <c r="CG32" s="250">
        <v>122633</v>
      </c>
      <c r="CH32" s="37">
        <f t="shared" si="63"/>
        <v>0</v>
      </c>
      <c r="CI32" s="250">
        <v>14794.79</v>
      </c>
      <c r="CJ32" s="40"/>
      <c r="CK32" s="37">
        <f t="shared" si="64"/>
        <v>15738.91000000016</v>
      </c>
      <c r="CL32" s="37">
        <f t="shared" si="25"/>
        <v>1</v>
      </c>
      <c r="CM32" s="250">
        <v>4408.4780000000001</v>
      </c>
      <c r="CN32" s="37"/>
      <c r="CO32" s="37">
        <f t="shared" si="26"/>
        <v>5358.909999999767</v>
      </c>
      <c r="CP32" s="37">
        <f t="shared" si="89"/>
        <v>1</v>
      </c>
      <c r="CQ32" s="250">
        <v>934411.9</v>
      </c>
      <c r="CR32" s="39"/>
      <c r="CS32" s="37">
        <f t="shared" si="65"/>
        <v>5384.3100000000231</v>
      </c>
      <c r="CT32" s="37">
        <f t="shared" si="66"/>
        <v>1</v>
      </c>
      <c r="CU32" s="250">
        <v>4902776</v>
      </c>
      <c r="CV32" s="37"/>
      <c r="CW32" s="38">
        <f t="shared" si="27"/>
        <v>19536</v>
      </c>
      <c r="CX32" s="37">
        <f>IF(CW32&lt;=0,0,(CW32/SQRT(CW32^2+(CV32-CV31)^2)))</f>
        <v>1</v>
      </c>
      <c r="CY32" s="250">
        <v>2628962</v>
      </c>
      <c r="CZ32" s="37"/>
      <c r="DA32" s="37">
        <f t="shared" si="133"/>
        <v>8622</v>
      </c>
      <c r="DB32" s="37">
        <f t="shared" si="91"/>
        <v>1</v>
      </c>
      <c r="DC32" s="37"/>
      <c r="DD32" s="40"/>
      <c r="DE32" s="37">
        <f t="shared" si="29"/>
        <v>0</v>
      </c>
      <c r="DF32" s="37">
        <f t="shared" si="96"/>
        <v>0</v>
      </c>
      <c r="DG32" s="37">
        <f t="shared" si="30"/>
        <v>-62737.129999999961</v>
      </c>
      <c r="DH32" s="37">
        <f t="shared" si="31"/>
        <v>418552.90999999864</v>
      </c>
      <c r="DI32" s="46"/>
      <c r="DJ32" s="46"/>
      <c r="DK32" s="47"/>
      <c r="DL32" s="47"/>
      <c r="DM32" s="37"/>
      <c r="DN32" s="37"/>
      <c r="DO32" s="37"/>
      <c r="DP32" s="37"/>
      <c r="DQ32" s="250">
        <v>4691300</v>
      </c>
      <c r="DR32" s="49">
        <f t="shared" si="67"/>
        <v>9000</v>
      </c>
      <c r="DS32" s="250">
        <v>6405500</v>
      </c>
      <c r="DT32" s="49">
        <f t="shared" si="68"/>
        <v>26400</v>
      </c>
      <c r="DU32" s="250">
        <v>8467.9</v>
      </c>
      <c r="DV32" s="250">
        <v>4767.7</v>
      </c>
      <c r="DW32" s="37">
        <f t="shared" si="92"/>
        <v>299.9999999992724</v>
      </c>
      <c r="DX32" s="250">
        <v>14019</v>
      </c>
      <c r="DY32" s="250">
        <v>8774.4</v>
      </c>
      <c r="DZ32" s="37">
        <f t="shared" si="32"/>
        <v>1252.9100000000001</v>
      </c>
      <c r="EA32" s="250">
        <v>32576</v>
      </c>
      <c r="EB32" s="250">
        <v>22.234999999999999</v>
      </c>
      <c r="EC32" s="37">
        <f t="shared" si="33"/>
        <v>6412.91</v>
      </c>
      <c r="ED32" s="53">
        <f t="shared" si="34"/>
        <v>7965.8199999992721</v>
      </c>
      <c r="EE32" s="250">
        <v>48820</v>
      </c>
      <c r="EF32" s="250">
        <v>32.198999999999998</v>
      </c>
      <c r="EG32" s="37">
        <f t="shared" si="35"/>
        <v>35412.910000000003</v>
      </c>
      <c r="EH32" s="250">
        <v>14466</v>
      </c>
      <c r="EI32" s="250">
        <v>2.1457000000000002</v>
      </c>
      <c r="EJ32" s="37">
        <f t="shared" si="36"/>
        <v>10252.91</v>
      </c>
      <c r="EK32" s="250">
        <v>882.38</v>
      </c>
      <c r="EL32" s="250">
        <v>1263.7</v>
      </c>
      <c r="EM32" s="37">
        <f t="shared" si="69"/>
        <v>669.99999999995907</v>
      </c>
      <c r="EN32" s="54">
        <f t="shared" si="70"/>
        <v>46335.819999999963</v>
      </c>
      <c r="EO32" s="250">
        <v>13942</v>
      </c>
      <c r="EP32" s="48"/>
      <c r="EQ32" s="37">
        <f>IF((EO32-EO31)*1000&lt;=0,0,(EO32-EO31)*1000)+GX32-FU69+FV69</f>
        <v>6837.9100000000362</v>
      </c>
      <c r="ER32" s="250">
        <v>11372</v>
      </c>
      <c r="ES32" s="48"/>
      <c r="ET32" s="49">
        <f t="shared" si="106"/>
        <v>18000</v>
      </c>
      <c r="EU32" s="250">
        <v>4765.8999999999996</v>
      </c>
      <c r="EV32" s="48"/>
      <c r="EW32" s="49">
        <f>IF((EU32-EU31)&lt;=0,0,(EU32-EU31))*1000+GX32</f>
        <v>10852.909999999454</v>
      </c>
      <c r="EX32" s="250">
        <v>14919</v>
      </c>
      <c r="EY32" s="48"/>
      <c r="EZ32" s="37">
        <f t="shared" si="39"/>
        <v>12252.91</v>
      </c>
      <c r="FA32" s="48">
        <f>FC32-EQ32-ET32-EW32-EZ32</f>
        <v>-22401.72999999949</v>
      </c>
      <c r="FB32" s="250">
        <v>39337290</v>
      </c>
      <c r="FC32" s="49">
        <f t="shared" si="93"/>
        <v>25542</v>
      </c>
      <c r="FD32" s="48">
        <f t="shared" si="72"/>
        <v>49563.729999999487</v>
      </c>
      <c r="FE32" s="250">
        <v>18132</v>
      </c>
      <c r="FF32" s="48"/>
      <c r="FG32" s="37">
        <f>IF((FE32-FE31)*1000&lt;=0,0,(FE32-FE31)*1000)+FL32+GX32+FW69</f>
        <v>9667.9099999999635</v>
      </c>
      <c r="FH32" s="250">
        <v>10867</v>
      </c>
      <c r="FI32" s="48"/>
      <c r="FJ32" s="49">
        <f t="shared" si="40"/>
        <v>16252.91</v>
      </c>
      <c r="FK32" s="48"/>
      <c r="FL32" s="58"/>
      <c r="FM32" s="48">
        <f>FT32/3</f>
        <v>-391.24333333332106</v>
      </c>
      <c r="FN32" s="250">
        <v>18062</v>
      </c>
      <c r="FO32" s="48"/>
      <c r="FP32" s="37">
        <f t="shared" si="74"/>
        <v>10252.91</v>
      </c>
      <c r="FQ32" s="250">
        <v>63527</v>
      </c>
      <c r="FR32" s="48"/>
      <c r="FS32" s="37">
        <f t="shared" si="41"/>
        <v>35000</v>
      </c>
      <c r="FT32" s="48">
        <f t="shared" si="75"/>
        <v>-1173.7299999999632</v>
      </c>
      <c r="FU32" s="48">
        <f t="shared" si="76"/>
        <v>36173.729999999967</v>
      </c>
      <c r="FV32" s="250">
        <v>7272600</v>
      </c>
      <c r="FW32" s="44"/>
      <c r="FX32" s="37">
        <f t="shared" si="42"/>
        <v>15500</v>
      </c>
      <c r="FY32" s="250">
        <v>241610</v>
      </c>
      <c r="FZ32" s="56"/>
      <c r="GA32" s="37">
        <f t="shared" si="43"/>
        <v>3760</v>
      </c>
      <c r="GB32" s="250">
        <v>908.03</v>
      </c>
      <c r="GC32" s="56"/>
      <c r="GD32" s="37">
        <f t="shared" si="44"/>
        <v>600.00000000002274</v>
      </c>
      <c r="GE32" s="250">
        <v>11151</v>
      </c>
      <c r="GF32" s="56"/>
      <c r="GG32" s="37">
        <f>IF((GE32-GE31)*1000&lt;=0,0,(GE32-GE31)*1000)-GJ32-GM32</f>
        <v>4380</v>
      </c>
      <c r="GH32" s="250">
        <v>109350</v>
      </c>
      <c r="GI32" s="159"/>
      <c r="GJ32" s="38">
        <f t="shared" si="77"/>
        <v>1620</v>
      </c>
      <c r="GK32" s="250">
        <v>1534</v>
      </c>
      <c r="GL32" s="160"/>
      <c r="GM32" s="38">
        <f t="shared" si="46"/>
        <v>0</v>
      </c>
      <c r="GN32" s="250">
        <v>244170</v>
      </c>
      <c r="GO32" s="57"/>
      <c r="GP32" s="38">
        <f t="shared" si="98"/>
        <v>10</v>
      </c>
      <c r="GQ32" s="250">
        <v>304530</v>
      </c>
      <c r="GR32" s="38"/>
      <c r="GS32" s="38">
        <f t="shared" si="78"/>
        <v>190</v>
      </c>
      <c r="GT32" s="247"/>
      <c r="GU32" s="144">
        <f>DailySep!B31-DailySep!N31-DailySep!V31-DailySep!Y31-DailySep!Z31-DailySep!AA31-DailySep!AB31-DailySep!AC31-DailySep!AD31-DailySep!AE31-DailySep!AK31-DailySep!AO31-DailySep!AS31-DailySep!AY31-DailySep!BD31+DailySep!BU31-DailySep!BG31-DailySep!BT31-DailySep!AF31-DailySep!AG31</f>
        <v>5.0000009534414858E-2</v>
      </c>
      <c r="GV32" s="261">
        <v>3793.7</v>
      </c>
      <c r="GW32" s="60">
        <f t="shared" si="48"/>
        <v>252.91333333333333</v>
      </c>
      <c r="GX32" s="260">
        <v>252.91</v>
      </c>
      <c r="GY32" s="140"/>
      <c r="GZ32" s="528"/>
      <c r="HA32" s="528"/>
      <c r="HB32" s="528"/>
      <c r="HC32" s="528"/>
      <c r="HD32" s="74"/>
      <c r="HE32" s="24">
        <f t="shared" si="49"/>
        <v>0</v>
      </c>
      <c r="HG32" s="279">
        <v>26</v>
      </c>
      <c r="HH32" s="292">
        <v>28900</v>
      </c>
      <c r="HI32" s="292">
        <v>10995</v>
      </c>
      <c r="HJ32" s="61">
        <f t="shared" si="50"/>
        <v>169000</v>
      </c>
      <c r="HK32" s="260">
        <v>2.1432000000000002</v>
      </c>
      <c r="HL32" s="260">
        <v>807.19</v>
      </c>
      <c r="HM32" s="61">
        <f t="shared" si="107"/>
        <v>0</v>
      </c>
      <c r="HN32" s="292">
        <v>7332.2</v>
      </c>
      <c r="HO32" s="292">
        <v>3123.7</v>
      </c>
      <c r="HP32" s="61">
        <f t="shared" si="52"/>
        <v>41724.999999999818</v>
      </c>
      <c r="HQ32" s="292">
        <v>5084.8999999999996</v>
      </c>
      <c r="HR32" s="292">
        <v>2137.8000000000002</v>
      </c>
      <c r="HS32" s="61">
        <f t="shared" si="53"/>
        <v>22224.999999999818</v>
      </c>
      <c r="HT32" s="292">
        <v>5002.8</v>
      </c>
      <c r="HU32" s="292">
        <v>1805.4</v>
      </c>
      <c r="HV32" s="61">
        <f t="shared" si="54"/>
        <v>25425.000000000546</v>
      </c>
      <c r="HW32" s="292">
        <v>3661.8</v>
      </c>
      <c r="HX32" s="292">
        <v>1566.7</v>
      </c>
      <c r="HY32" s="61">
        <f t="shared" si="55"/>
        <v>22725.000000000273</v>
      </c>
      <c r="HZ32" s="260">
        <v>2948200</v>
      </c>
      <c r="IA32" s="260">
        <v>12779</v>
      </c>
      <c r="IB32" s="61">
        <f t="shared" si="56"/>
        <v>30500</v>
      </c>
      <c r="IC32" s="292">
        <v>719.8</v>
      </c>
      <c r="ID32" s="292">
        <v>232.78</v>
      </c>
      <c r="IE32" s="61">
        <f t="shared" si="79"/>
        <v>0</v>
      </c>
      <c r="IF32" s="61"/>
      <c r="IG32" s="61"/>
      <c r="IH32" s="280">
        <f t="shared" si="57"/>
        <v>26400</v>
      </c>
      <c r="II32" s="281">
        <f t="shared" si="134"/>
        <v>-4.7293724492192268E-10</v>
      </c>
      <c r="IJ32" s="245"/>
      <c r="IK32" s="245"/>
      <c r="IL32" s="245">
        <f t="shared" si="111"/>
        <v>0</v>
      </c>
      <c r="IM32" s="245"/>
      <c r="IN32" s="245"/>
      <c r="IO32" s="245">
        <f t="shared" si="112"/>
        <v>0</v>
      </c>
      <c r="IP32" s="245"/>
      <c r="IQ32" s="245"/>
      <c r="IR32" s="245">
        <f t="shared" si="113"/>
        <v>0</v>
      </c>
      <c r="IS32" s="245"/>
      <c r="IT32" s="245"/>
      <c r="IU32" s="245">
        <f t="shared" si="114"/>
        <v>0</v>
      </c>
      <c r="IV32" s="245"/>
      <c r="IW32" s="245"/>
      <c r="IX32" s="245">
        <f t="shared" si="115"/>
        <v>0</v>
      </c>
      <c r="IY32" s="245"/>
      <c r="IZ32" s="245"/>
      <c r="JA32" s="245">
        <f t="shared" si="116"/>
        <v>0</v>
      </c>
      <c r="JB32" s="245"/>
      <c r="JC32" s="245"/>
      <c r="JD32" s="245">
        <f t="shared" si="117"/>
        <v>0</v>
      </c>
      <c r="JE32" s="245"/>
      <c r="JF32" s="245"/>
      <c r="JG32" s="245">
        <f t="shared" si="118"/>
        <v>0</v>
      </c>
      <c r="JH32" s="245"/>
      <c r="JI32" s="245"/>
      <c r="JJ32" s="245">
        <f t="shared" si="119"/>
        <v>0</v>
      </c>
      <c r="JK32" s="245"/>
      <c r="JL32" s="245"/>
      <c r="JM32" s="245">
        <f t="shared" si="120"/>
        <v>0</v>
      </c>
      <c r="JN32" s="245"/>
      <c r="JO32" s="245"/>
      <c r="JP32" s="245">
        <f t="shared" si="121"/>
        <v>0</v>
      </c>
      <c r="JQ32" s="245"/>
      <c r="JR32" s="245"/>
      <c r="JS32" s="245">
        <f t="shared" si="122"/>
        <v>0</v>
      </c>
      <c r="JT32" s="245"/>
      <c r="JU32" s="245"/>
      <c r="JV32" s="245">
        <f t="shared" si="123"/>
        <v>0</v>
      </c>
      <c r="JW32" s="245"/>
      <c r="JX32" s="245"/>
      <c r="JY32" s="245">
        <f t="shared" si="124"/>
        <v>0</v>
      </c>
      <c r="JZ32" s="245"/>
      <c r="KA32" s="245"/>
      <c r="KB32" s="245">
        <f t="shared" si="125"/>
        <v>0</v>
      </c>
      <c r="KC32" s="245"/>
      <c r="KD32" s="245"/>
      <c r="KE32" s="245">
        <f t="shared" si="126"/>
        <v>0</v>
      </c>
      <c r="KG32" s="151">
        <f t="shared" si="59"/>
        <v>72224.999999999345</v>
      </c>
    </row>
    <row r="33" spans="1:293" x14ac:dyDescent="0.25">
      <c r="A33" s="35">
        <f t="shared" si="0"/>
        <v>27</v>
      </c>
      <c r="B33" s="250">
        <v>5680.38</v>
      </c>
      <c r="C33" s="38">
        <f t="shared" si="1"/>
        <v>10.380000000000109</v>
      </c>
      <c r="D33" s="38">
        <f t="shared" si="2"/>
        <v>332160.00000000349</v>
      </c>
      <c r="E33" s="250">
        <v>1139.1400000000001</v>
      </c>
      <c r="F33" s="38">
        <f t="shared" si="3"/>
        <v>62400.000000001455</v>
      </c>
      <c r="G33" s="38">
        <f t="shared" si="4"/>
        <v>394560.00000000495</v>
      </c>
      <c r="H33" s="37"/>
      <c r="I33" s="39"/>
      <c r="J33" s="42"/>
      <c r="K33" s="37">
        <f t="shared" si="80"/>
        <v>0</v>
      </c>
      <c r="L33" s="250">
        <v>18428500</v>
      </c>
      <c r="M33" s="40"/>
      <c r="N33" s="37">
        <f t="shared" si="81"/>
        <v>392000</v>
      </c>
      <c r="O33" s="250">
        <v>13215.1</v>
      </c>
      <c r="P33" s="37"/>
      <c r="Q33" s="37">
        <f t="shared" si="129"/>
        <v>17800.000000001091</v>
      </c>
      <c r="R33" s="37">
        <f t="shared" si="82"/>
        <v>1</v>
      </c>
      <c r="S33" s="250">
        <v>11271813.48</v>
      </c>
      <c r="T33" s="37">
        <f t="shared" si="6"/>
        <v>330.64000000059605</v>
      </c>
      <c r="U33" s="250">
        <v>1523792.57</v>
      </c>
      <c r="V33" s="37">
        <f t="shared" si="7"/>
        <v>0</v>
      </c>
      <c r="W33" s="250">
        <v>4737</v>
      </c>
      <c r="X33" s="37">
        <f t="shared" si="95"/>
        <v>17369.360000000495</v>
      </c>
      <c r="Y33" s="183"/>
      <c r="Z33" s="183"/>
      <c r="AA33" s="250">
        <v>869800</v>
      </c>
      <c r="AB33" s="37">
        <f t="shared" si="8"/>
        <v>100</v>
      </c>
      <c r="AC33" s="250">
        <v>4906.3999999999996</v>
      </c>
      <c r="AD33" s="37"/>
      <c r="AE33" s="37">
        <f t="shared" si="131"/>
        <v>5899.9999999996362</v>
      </c>
      <c r="AF33" s="37">
        <f t="shared" si="83"/>
        <v>1</v>
      </c>
      <c r="AG33" s="250">
        <v>10665.3</v>
      </c>
      <c r="AH33" s="37"/>
      <c r="AI33" s="37">
        <f t="shared" si="10"/>
        <v>12897.909999999636</v>
      </c>
      <c r="AJ33" s="37">
        <f t="shared" si="11"/>
        <v>1</v>
      </c>
      <c r="AK33" s="37">
        <f t="shared" si="12"/>
        <v>36497.910000000367</v>
      </c>
      <c r="AL33" s="250">
        <v>12298.1</v>
      </c>
      <c r="AM33" s="42"/>
      <c r="AN33" s="37">
        <f t="shared" si="60"/>
        <v>6177.910000000732</v>
      </c>
      <c r="AO33" s="37">
        <f t="shared" si="84"/>
        <v>1</v>
      </c>
      <c r="AP33" s="250">
        <v>9725.4</v>
      </c>
      <c r="AQ33" s="37"/>
      <c r="AR33" s="37">
        <f t="shared" si="13"/>
        <v>13199.999999998909</v>
      </c>
      <c r="AS33" s="37">
        <f t="shared" si="85"/>
        <v>1</v>
      </c>
      <c r="AT33" s="183"/>
      <c r="AU33" s="183"/>
      <c r="AV33" s="183"/>
      <c r="AW33" s="183"/>
      <c r="AX33" s="250">
        <v>535810</v>
      </c>
      <c r="AY33" s="37"/>
      <c r="AZ33" s="37">
        <f t="shared" si="14"/>
        <v>440</v>
      </c>
      <c r="BA33" s="250">
        <v>225200</v>
      </c>
      <c r="BB33" s="37"/>
      <c r="BC33" s="37">
        <f t="shared" si="15"/>
        <v>650</v>
      </c>
      <c r="BD33" s="37">
        <f t="shared" si="86"/>
        <v>20467.90999999964</v>
      </c>
      <c r="BE33" s="250">
        <v>2122</v>
      </c>
      <c r="BF33" s="250">
        <v>1194.9000000000001</v>
      </c>
      <c r="BG33" s="37">
        <f t="shared" si="16"/>
        <v>1500</v>
      </c>
      <c r="BH33" s="250">
        <v>10061</v>
      </c>
      <c r="BI33" s="250">
        <v>6503</v>
      </c>
      <c r="BJ33" s="37">
        <f t="shared" si="17"/>
        <v>9000</v>
      </c>
      <c r="BK33" s="250">
        <v>2091860</v>
      </c>
      <c r="BL33" s="40">
        <f t="shared" si="87"/>
        <v>4140</v>
      </c>
      <c r="BM33" s="250">
        <v>954.77</v>
      </c>
      <c r="BN33" s="37">
        <f t="shared" si="18"/>
        <v>679.99999999994998</v>
      </c>
      <c r="BO33" s="186"/>
      <c r="BP33" s="183">
        <f t="shared" si="19"/>
        <v>0</v>
      </c>
      <c r="BQ33" s="250">
        <v>900.7</v>
      </c>
      <c r="BR33" s="37">
        <f t="shared" si="61"/>
        <v>700.00000000004547</v>
      </c>
      <c r="BS33" s="250">
        <v>124905.4</v>
      </c>
      <c r="BT33" s="37">
        <f t="shared" si="20"/>
        <v>246.04999999998836</v>
      </c>
      <c r="BU33" s="250">
        <v>3731900</v>
      </c>
      <c r="BV33" s="42"/>
      <c r="BW33" s="37">
        <f t="shared" si="21"/>
        <v>7539</v>
      </c>
      <c r="BX33" s="37">
        <f t="shared" si="88"/>
        <v>1</v>
      </c>
      <c r="BY33" s="250">
        <v>429.82170000000002</v>
      </c>
      <c r="BZ33" s="43"/>
      <c r="CA33" s="37">
        <f t="shared" si="127"/>
        <v>614.30000000001428</v>
      </c>
      <c r="CB33" s="37">
        <f t="shared" si="62"/>
        <v>1</v>
      </c>
      <c r="CC33" s="250">
        <v>834198.3</v>
      </c>
      <c r="CD33" s="37">
        <f t="shared" si="23"/>
        <v>2371.6000000000931</v>
      </c>
      <c r="CE33" s="250">
        <v>1898234</v>
      </c>
      <c r="CF33" s="37">
        <f t="shared" si="24"/>
        <v>5014</v>
      </c>
      <c r="CG33" s="250">
        <v>122633</v>
      </c>
      <c r="CH33" s="37">
        <f t="shared" si="63"/>
        <v>0</v>
      </c>
      <c r="CI33" s="250">
        <v>14810.68</v>
      </c>
      <c r="CJ33" s="40"/>
      <c r="CK33" s="37">
        <f t="shared" si="64"/>
        <v>14773.609999999404</v>
      </c>
      <c r="CL33" s="37">
        <f t="shared" si="25"/>
        <v>1</v>
      </c>
      <c r="CM33" s="250">
        <v>4413.9719999999998</v>
      </c>
      <c r="CN33" s="37"/>
      <c r="CO33" s="37">
        <f t="shared" si="26"/>
        <v>4991.909999999687</v>
      </c>
      <c r="CP33" s="37">
        <f t="shared" si="89"/>
        <v>1</v>
      </c>
      <c r="CQ33" s="250">
        <v>939417.59999999998</v>
      </c>
      <c r="CR33" s="39"/>
      <c r="CS33" s="37">
        <f t="shared" si="65"/>
        <v>4503.6099999999533</v>
      </c>
      <c r="CT33" s="37">
        <f t="shared" si="66"/>
        <v>1</v>
      </c>
      <c r="CU33" s="250">
        <v>4919456</v>
      </c>
      <c r="CV33" s="37"/>
      <c r="CW33" s="38">
        <f t="shared" si="27"/>
        <v>16680</v>
      </c>
      <c r="CX33" s="37">
        <f t="shared" si="90"/>
        <v>1</v>
      </c>
      <c r="CY33" s="250">
        <v>2637998</v>
      </c>
      <c r="CZ33" s="37"/>
      <c r="DA33" s="37">
        <f t="shared" si="133"/>
        <v>9036</v>
      </c>
      <c r="DB33" s="37">
        <f t="shared" si="91"/>
        <v>1</v>
      </c>
      <c r="DC33" s="37"/>
      <c r="DD33" s="40"/>
      <c r="DE33" s="37">
        <f t="shared" si="29"/>
        <v>0</v>
      </c>
      <c r="DF33" s="37">
        <f t="shared" si="96"/>
        <v>0</v>
      </c>
      <c r="DG33" s="37">
        <f t="shared" si="30"/>
        <v>-57524.129999999044</v>
      </c>
      <c r="DH33" s="37">
        <f t="shared" si="31"/>
        <v>429997.91000000038</v>
      </c>
      <c r="DI33" s="46"/>
      <c r="DJ33" s="46"/>
      <c r="DK33" s="47"/>
      <c r="DL33" s="47"/>
      <c r="DM33" s="37"/>
      <c r="DN33" s="37"/>
      <c r="DO33" s="37"/>
      <c r="DP33" s="37"/>
      <c r="DQ33" s="250">
        <v>4699200</v>
      </c>
      <c r="DR33" s="49">
        <f t="shared" si="67"/>
        <v>7900</v>
      </c>
      <c r="DS33" s="250">
        <v>6432900</v>
      </c>
      <c r="DT33" s="49">
        <f t="shared" si="68"/>
        <v>27400</v>
      </c>
      <c r="DU33" s="250">
        <v>8468.2999999999993</v>
      </c>
      <c r="DV33" s="250">
        <v>4767.8999999999996</v>
      </c>
      <c r="DW33" s="37">
        <f t="shared" si="92"/>
        <v>399.9999999996362</v>
      </c>
      <c r="DX33" s="250">
        <v>14020</v>
      </c>
      <c r="DY33" s="250">
        <v>8774.5</v>
      </c>
      <c r="DZ33" s="37">
        <f t="shared" si="32"/>
        <v>497.91</v>
      </c>
      <c r="EA33" s="250">
        <v>32579</v>
      </c>
      <c r="EB33" s="250">
        <v>22.236999999999998</v>
      </c>
      <c r="EC33" s="37">
        <f t="shared" si="33"/>
        <v>4657.91</v>
      </c>
      <c r="ED33" s="53">
        <f t="shared" si="34"/>
        <v>5555.8199999996359</v>
      </c>
      <c r="EE33" s="250">
        <v>48851</v>
      </c>
      <c r="EF33" s="250">
        <v>32.220999999999997</v>
      </c>
      <c r="EG33" s="37">
        <f t="shared" si="35"/>
        <v>32657.91</v>
      </c>
      <c r="EH33" s="250">
        <v>14475</v>
      </c>
      <c r="EI33" s="250">
        <v>2.1482000000000001</v>
      </c>
      <c r="EJ33" s="37">
        <f t="shared" si="36"/>
        <v>8497.91</v>
      </c>
      <c r="EK33" s="250">
        <v>883.02</v>
      </c>
      <c r="EL33" s="250">
        <v>1264.5999999999999</v>
      </c>
      <c r="EM33" s="37">
        <f t="shared" si="69"/>
        <v>639.99999999998636</v>
      </c>
      <c r="EN33" s="54">
        <f t="shared" si="70"/>
        <v>41795.819999999985</v>
      </c>
      <c r="EO33" s="250">
        <v>13951</v>
      </c>
      <c r="EP33" s="48"/>
      <c r="EQ33" s="37">
        <f t="shared" si="97"/>
        <v>7127.9099999999953</v>
      </c>
      <c r="ER33" s="250">
        <v>11389</v>
      </c>
      <c r="ES33" s="48"/>
      <c r="ET33" s="49">
        <f t="shared" si="106"/>
        <v>17000</v>
      </c>
      <c r="EU33" s="250">
        <v>4775.7</v>
      </c>
      <c r="EV33" s="48"/>
      <c r="EW33" s="49">
        <f t="shared" si="38"/>
        <v>9297.9100000001818</v>
      </c>
      <c r="EX33" s="250">
        <v>14932</v>
      </c>
      <c r="EY33" s="48"/>
      <c r="EZ33" s="37">
        <f t="shared" si="39"/>
        <v>12497.91</v>
      </c>
      <c r="FA33" s="48">
        <f t="shared" si="71"/>
        <v>-21619.730000000178</v>
      </c>
      <c r="FB33" s="250">
        <v>39361594</v>
      </c>
      <c r="FC33" s="49">
        <f t="shared" si="93"/>
        <v>24304</v>
      </c>
      <c r="FD33" s="48">
        <f t="shared" si="72"/>
        <v>47443.730000000185</v>
      </c>
      <c r="FE33" s="250">
        <v>18140</v>
      </c>
      <c r="FF33" s="48"/>
      <c r="FG33" s="37">
        <f t="shared" si="73"/>
        <v>8867.9100000000035</v>
      </c>
      <c r="FH33" s="250">
        <v>10885</v>
      </c>
      <c r="FI33" s="48"/>
      <c r="FJ33" s="49">
        <f t="shared" si="40"/>
        <v>17497.91</v>
      </c>
      <c r="FK33" s="48"/>
      <c r="FL33" s="58"/>
      <c r="FM33" s="48">
        <f t="shared" si="94"/>
        <v>45.423333333332266</v>
      </c>
      <c r="FN33" s="250">
        <v>18073</v>
      </c>
      <c r="FO33" s="48"/>
      <c r="FP33" s="37">
        <f t="shared" si="74"/>
        <v>10497.91</v>
      </c>
      <c r="FQ33" s="250">
        <v>63564</v>
      </c>
      <c r="FR33" s="48"/>
      <c r="FS33" s="37">
        <f t="shared" si="41"/>
        <v>37000</v>
      </c>
      <c r="FT33" s="48">
        <f t="shared" si="75"/>
        <v>136.2699999999968</v>
      </c>
      <c r="FU33" s="48">
        <f t="shared" si="76"/>
        <v>36863.730000000003</v>
      </c>
      <c r="FV33" s="250">
        <v>7289700</v>
      </c>
      <c r="FW33" s="44"/>
      <c r="FX33" s="37">
        <f t="shared" si="42"/>
        <v>17100</v>
      </c>
      <c r="FY33" s="250">
        <v>245730</v>
      </c>
      <c r="FZ33" s="56"/>
      <c r="GA33" s="37">
        <f t="shared" si="43"/>
        <v>4120</v>
      </c>
      <c r="GB33" s="250">
        <v>908.65</v>
      </c>
      <c r="GC33" s="56"/>
      <c r="GD33" s="37">
        <f t="shared" si="44"/>
        <v>620.00000000000455</v>
      </c>
      <c r="GE33" s="250">
        <v>11157</v>
      </c>
      <c r="GF33" s="56"/>
      <c r="GG33" s="37">
        <f t="shared" si="45"/>
        <v>4480</v>
      </c>
      <c r="GH33" s="250">
        <v>110870</v>
      </c>
      <c r="GI33" s="162"/>
      <c r="GJ33" s="38">
        <f t="shared" si="77"/>
        <v>1520</v>
      </c>
      <c r="GK33" s="250">
        <v>1534</v>
      </c>
      <c r="GL33" s="163"/>
      <c r="GM33" s="38">
        <f t="shared" si="46"/>
        <v>0</v>
      </c>
      <c r="GN33" s="250">
        <v>244170</v>
      </c>
      <c r="GO33" s="57"/>
      <c r="GP33" s="38">
        <f t="shared" si="98"/>
        <v>0</v>
      </c>
      <c r="GQ33" s="250">
        <v>304760</v>
      </c>
      <c r="GR33" s="38"/>
      <c r="GS33" s="38">
        <f t="shared" si="78"/>
        <v>230</v>
      </c>
      <c r="GT33" s="247"/>
      <c r="GU33" s="144">
        <f>DailySep!B32-DailySep!N32-DailySep!V32-DailySep!Y32-DailySep!Z32-DailySep!AA32-DailySep!AB32-DailySep!AC32-DailySep!AD32-DailySep!AE32-DailySep!AK32-DailySep!AO32-DailySep!AS32-DailySep!AY32-DailySep!BD32+DailySep!BU32-DailySep!BG32-DailySep!BT32-DailySep!AF32-DailySep!AG32</f>
        <v>5.0000005983747542E-2</v>
      </c>
      <c r="GV33" s="261">
        <v>-7531.3</v>
      </c>
      <c r="GW33" s="60">
        <f t="shared" si="48"/>
        <v>-502.0866666666667</v>
      </c>
      <c r="GX33" s="260">
        <v>-502.09</v>
      </c>
      <c r="GY33" s="140"/>
      <c r="GZ33" s="528"/>
      <c r="HA33" s="528"/>
      <c r="HB33" s="528"/>
      <c r="HC33" s="528"/>
      <c r="HD33" s="74"/>
      <c r="HE33" s="24">
        <f t="shared" si="49"/>
        <v>0</v>
      </c>
      <c r="HG33" s="279">
        <v>27</v>
      </c>
      <c r="HH33" s="292">
        <v>29092</v>
      </c>
      <c r="HI33" s="292">
        <v>11068</v>
      </c>
      <c r="HJ33" s="61">
        <f t="shared" si="50"/>
        <v>192000</v>
      </c>
      <c r="HK33" s="260">
        <v>2.1432000000000002</v>
      </c>
      <c r="HL33" s="260">
        <v>807.23</v>
      </c>
      <c r="HM33" s="61">
        <f t="shared" si="107"/>
        <v>0</v>
      </c>
      <c r="HN33" s="292">
        <v>7380.02</v>
      </c>
      <c r="HO33" s="292">
        <v>3144.9</v>
      </c>
      <c r="HP33" s="294">
        <f t="shared" si="52"/>
        <v>48215.000000000618</v>
      </c>
      <c r="HQ33" s="292">
        <v>5113.2</v>
      </c>
      <c r="HR33" s="292">
        <v>2150</v>
      </c>
      <c r="HS33" s="294">
        <f t="shared" si="53"/>
        <v>28695.000000000182</v>
      </c>
      <c r="HT33" s="292">
        <v>5031</v>
      </c>
      <c r="HU33" s="292">
        <v>1815.5</v>
      </c>
      <c r="HV33" s="294">
        <f t="shared" si="54"/>
        <v>28594.999999999818</v>
      </c>
      <c r="HW33" s="292">
        <v>3687.8</v>
      </c>
      <c r="HX33" s="292">
        <v>1577</v>
      </c>
      <c r="HY33" s="294">
        <f t="shared" si="55"/>
        <v>26395</v>
      </c>
      <c r="HZ33" s="260">
        <v>2980900</v>
      </c>
      <c r="IA33" s="260">
        <v>12914</v>
      </c>
      <c r="IB33" s="61">
        <f t="shared" si="56"/>
        <v>32700</v>
      </c>
      <c r="IC33" s="292">
        <v>719.8</v>
      </c>
      <c r="ID33" s="292">
        <v>232.78</v>
      </c>
      <c r="IE33" s="61">
        <f t="shared" si="79"/>
        <v>0</v>
      </c>
      <c r="IF33" s="61"/>
      <c r="IG33" s="61"/>
      <c r="IH33" s="280">
        <f t="shared" si="57"/>
        <v>27400</v>
      </c>
      <c r="II33" s="281">
        <f t="shared" si="134"/>
        <v>-6.184563972055912E-10</v>
      </c>
      <c r="IJ33" s="245"/>
      <c r="IK33" s="245"/>
      <c r="IL33" s="245">
        <f t="shared" si="111"/>
        <v>0</v>
      </c>
      <c r="IM33" s="245"/>
      <c r="IN33" s="245"/>
      <c r="IO33" s="245">
        <f t="shared" si="112"/>
        <v>0</v>
      </c>
      <c r="IP33" s="245"/>
      <c r="IQ33" s="245"/>
      <c r="IR33" s="245">
        <f t="shared" si="113"/>
        <v>0</v>
      </c>
      <c r="IS33" s="245"/>
      <c r="IT33" s="245"/>
      <c r="IU33" s="245">
        <f t="shared" si="114"/>
        <v>0</v>
      </c>
      <c r="IV33" s="245"/>
      <c r="IW33" s="245"/>
      <c r="IX33" s="245">
        <f t="shared" si="115"/>
        <v>0</v>
      </c>
      <c r="IY33" s="245"/>
      <c r="IZ33" s="245"/>
      <c r="JA33" s="245">
        <f t="shared" si="116"/>
        <v>0</v>
      </c>
      <c r="JB33" s="245"/>
      <c r="JC33" s="245"/>
      <c r="JD33" s="245">
        <f t="shared" si="117"/>
        <v>0</v>
      </c>
      <c r="JE33" s="245"/>
      <c r="JF33" s="245"/>
      <c r="JG33" s="245">
        <f t="shared" si="118"/>
        <v>0</v>
      </c>
      <c r="JH33" s="245"/>
      <c r="JI33" s="245"/>
      <c r="JJ33" s="245">
        <f t="shared" si="119"/>
        <v>0</v>
      </c>
      <c r="JK33" s="245"/>
      <c r="JL33" s="245"/>
      <c r="JM33" s="245">
        <f t="shared" si="120"/>
        <v>0</v>
      </c>
      <c r="JN33" s="245"/>
      <c r="JO33" s="245"/>
      <c r="JP33" s="245">
        <f t="shared" si="121"/>
        <v>0</v>
      </c>
      <c r="JQ33" s="245"/>
      <c r="JR33" s="245"/>
      <c r="JS33" s="245">
        <f t="shared" si="122"/>
        <v>0</v>
      </c>
      <c r="JT33" s="245"/>
      <c r="JU33" s="245"/>
      <c r="JV33" s="245">
        <f t="shared" si="123"/>
        <v>0</v>
      </c>
      <c r="JW33" s="245"/>
      <c r="JX33" s="245"/>
      <c r="JY33" s="245">
        <f t="shared" si="124"/>
        <v>0</v>
      </c>
      <c r="JZ33" s="245"/>
      <c r="KA33" s="245"/>
      <c r="KB33" s="245">
        <f t="shared" si="125"/>
        <v>0</v>
      </c>
      <c r="KC33" s="245"/>
      <c r="KD33" s="245"/>
      <c r="KE33" s="245">
        <f t="shared" si="126"/>
        <v>0</v>
      </c>
      <c r="KG33" s="151">
        <f t="shared" si="59"/>
        <v>80915</v>
      </c>
    </row>
    <row r="34" spans="1:293" x14ac:dyDescent="0.25">
      <c r="A34" s="35">
        <f t="shared" si="0"/>
        <v>28</v>
      </c>
      <c r="B34" s="250">
        <v>5690.65</v>
      </c>
      <c r="C34" s="38">
        <f t="shared" si="1"/>
        <v>10.269999999999527</v>
      </c>
      <c r="D34" s="38">
        <f t="shared" si="2"/>
        <v>328639.99999998487</v>
      </c>
      <c r="E34" s="250">
        <v>1141.1199999999999</v>
      </c>
      <c r="F34" s="38">
        <f t="shared" si="3"/>
        <v>63359.999999993306</v>
      </c>
      <c r="G34" s="38">
        <f t="shared" si="4"/>
        <v>391999.99999997817</v>
      </c>
      <c r="H34" s="37"/>
      <c r="I34" s="39"/>
      <c r="J34" s="42"/>
      <c r="K34" s="37">
        <f t="shared" si="80"/>
        <v>0</v>
      </c>
      <c r="L34" s="250">
        <v>18467400</v>
      </c>
      <c r="M34" s="40"/>
      <c r="N34" s="37">
        <f t="shared" si="81"/>
        <v>389000</v>
      </c>
      <c r="O34" s="250">
        <v>13232.8</v>
      </c>
      <c r="P34" s="37"/>
      <c r="Q34" s="37">
        <f t="shared" si="129"/>
        <v>17699.999999998909</v>
      </c>
      <c r="R34" s="37">
        <f t="shared" si="82"/>
        <v>1</v>
      </c>
      <c r="S34" s="250">
        <v>11272150.68</v>
      </c>
      <c r="T34" s="37">
        <f t="shared" si="6"/>
        <v>337.19999999925494</v>
      </c>
      <c r="U34" s="250">
        <v>1523792.57</v>
      </c>
      <c r="V34" s="37">
        <f t="shared" si="7"/>
        <v>0</v>
      </c>
      <c r="W34" s="250">
        <v>4743</v>
      </c>
      <c r="X34" s="37">
        <f t="shared" si="95"/>
        <v>17162.799999999654</v>
      </c>
      <c r="Y34" s="183"/>
      <c r="Z34" s="183"/>
      <c r="AA34" s="250">
        <v>870000</v>
      </c>
      <c r="AB34" s="37">
        <f t="shared" si="8"/>
        <v>200</v>
      </c>
      <c r="AC34" s="250">
        <v>4912.3</v>
      </c>
      <c r="AD34" s="37"/>
      <c r="AE34" s="37">
        <f t="shared" si="131"/>
        <v>5900.0000000005457</v>
      </c>
      <c r="AF34" s="37">
        <f t="shared" si="83"/>
        <v>1</v>
      </c>
      <c r="AG34" s="250">
        <v>10678.3</v>
      </c>
      <c r="AH34" s="37"/>
      <c r="AI34" s="37">
        <f t="shared" si="10"/>
        <v>13235.15</v>
      </c>
      <c r="AJ34" s="37">
        <f t="shared" si="11"/>
        <v>1</v>
      </c>
      <c r="AK34" s="37">
        <f t="shared" si="12"/>
        <v>36635.149999999456</v>
      </c>
      <c r="AL34" s="250">
        <v>12309.7</v>
      </c>
      <c r="AM34" s="42"/>
      <c r="AN34" s="37">
        <f t="shared" si="60"/>
        <v>6385.1500000003907</v>
      </c>
      <c r="AO34" s="37">
        <f t="shared" si="84"/>
        <v>1</v>
      </c>
      <c r="AP34" s="250">
        <v>9739.7999999999993</v>
      </c>
      <c r="AQ34" s="37"/>
      <c r="AR34" s="37">
        <f t="shared" si="13"/>
        <v>14399.999999999636</v>
      </c>
      <c r="AS34" s="37">
        <f t="shared" si="85"/>
        <v>1</v>
      </c>
      <c r="AT34" s="183"/>
      <c r="AU34" s="183"/>
      <c r="AV34" s="183"/>
      <c r="AW34" s="183"/>
      <c r="AX34" s="250">
        <v>536200</v>
      </c>
      <c r="AY34" s="37"/>
      <c r="AZ34" s="37">
        <f t="shared" si="14"/>
        <v>390</v>
      </c>
      <c r="BA34" s="250">
        <v>225860</v>
      </c>
      <c r="BB34" s="37"/>
      <c r="BC34" s="37">
        <f t="shared" si="15"/>
        <v>660</v>
      </c>
      <c r="BD34" s="37">
        <f t="shared" si="86"/>
        <v>21835.150000000027</v>
      </c>
      <c r="BE34" s="250">
        <v>2123.5</v>
      </c>
      <c r="BF34" s="250">
        <v>1195.9000000000001</v>
      </c>
      <c r="BG34" s="37">
        <f t="shared" si="16"/>
        <v>1500</v>
      </c>
      <c r="BH34" s="250">
        <v>10070</v>
      </c>
      <c r="BI34" s="250">
        <v>6509.2</v>
      </c>
      <c r="BJ34" s="37">
        <f t="shared" si="17"/>
        <v>9000</v>
      </c>
      <c r="BK34" s="250">
        <v>2096030</v>
      </c>
      <c r="BL34" s="40">
        <f t="shared" si="87"/>
        <v>4170</v>
      </c>
      <c r="BM34" s="250">
        <v>955.45</v>
      </c>
      <c r="BN34" s="37">
        <f t="shared" si="18"/>
        <v>680.00000000006366</v>
      </c>
      <c r="BO34" s="186"/>
      <c r="BP34" s="183">
        <f t="shared" si="19"/>
        <v>0</v>
      </c>
      <c r="BQ34" s="250">
        <v>901.3</v>
      </c>
      <c r="BR34" s="37">
        <f t="shared" si="61"/>
        <v>599.99999999990905</v>
      </c>
      <c r="BS34" s="250">
        <v>125155.87</v>
      </c>
      <c r="BT34" s="37">
        <f t="shared" si="20"/>
        <v>250.47000000000116</v>
      </c>
      <c r="BU34" s="250">
        <v>3740135</v>
      </c>
      <c r="BV34" s="42"/>
      <c r="BW34" s="37">
        <f t="shared" si="21"/>
        <v>8235</v>
      </c>
      <c r="BX34" s="37">
        <f>IF(BW34&lt;=0,0,(BW34/SQRT(BW34^2+(BV34-BV33)^2)))</f>
        <v>1</v>
      </c>
      <c r="BY34" s="250">
        <v>430.4683</v>
      </c>
      <c r="BZ34" s="37"/>
      <c r="CA34" s="37">
        <f t="shared" si="127"/>
        <v>646.59999999997808</v>
      </c>
      <c r="CB34" s="37">
        <f t="shared" si="62"/>
        <v>1</v>
      </c>
      <c r="CC34" s="250">
        <v>836759.1</v>
      </c>
      <c r="CD34" s="37">
        <f t="shared" si="23"/>
        <v>2560.7999999999302</v>
      </c>
      <c r="CE34" s="250">
        <v>1903760</v>
      </c>
      <c r="CF34" s="37">
        <f t="shared" si="24"/>
        <v>5526</v>
      </c>
      <c r="CG34" s="250">
        <v>122633</v>
      </c>
      <c r="CH34" s="37">
        <f t="shared" si="63"/>
        <v>0</v>
      </c>
      <c r="CI34" s="250">
        <v>14826.92</v>
      </c>
      <c r="CJ34" s="40"/>
      <c r="CK34" s="37">
        <f t="shared" si="64"/>
        <v>15828.549999999805</v>
      </c>
      <c r="CL34" s="37">
        <f t="shared" si="25"/>
        <v>1</v>
      </c>
      <c r="CM34" s="250">
        <v>4419.9409999999998</v>
      </c>
      <c r="CN34" s="37"/>
      <c r="CO34" s="37">
        <f t="shared" si="26"/>
        <v>6204.1500000000506</v>
      </c>
      <c r="CP34" s="37">
        <f t="shared" si="89"/>
        <v>1</v>
      </c>
      <c r="CQ34" s="250">
        <v>944600.5</v>
      </c>
      <c r="CR34" s="39"/>
      <c r="CS34" s="37">
        <f t="shared" si="65"/>
        <v>5418.0500000000229</v>
      </c>
      <c r="CT34" s="37">
        <f t="shared" si="66"/>
        <v>1</v>
      </c>
      <c r="CU34" s="250">
        <v>4936784</v>
      </c>
      <c r="CV34" s="37"/>
      <c r="CW34" s="38">
        <f t="shared" si="27"/>
        <v>17328</v>
      </c>
      <c r="CX34" s="37">
        <f t="shared" si="90"/>
        <v>1</v>
      </c>
      <c r="CY34" s="250">
        <v>2647884</v>
      </c>
      <c r="CZ34" s="37"/>
      <c r="DA34" s="37">
        <f t="shared" si="133"/>
        <v>9886</v>
      </c>
      <c r="DB34" s="37">
        <f t="shared" si="91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0"/>
        <v>-62899.749999999884</v>
      </c>
      <c r="DH34" s="37">
        <f t="shared" si="31"/>
        <v>427135.14999999944</v>
      </c>
      <c r="DI34" s="46"/>
      <c r="DJ34" s="46"/>
      <c r="DK34" s="47"/>
      <c r="DL34" s="47"/>
      <c r="DM34" s="37"/>
      <c r="DN34" s="37"/>
      <c r="DO34" s="37"/>
      <c r="DP34" s="37"/>
      <c r="DQ34" s="250">
        <v>4706900</v>
      </c>
      <c r="DR34" s="49">
        <f t="shared" si="67"/>
        <v>7700</v>
      </c>
      <c r="DS34" s="250">
        <v>6458400</v>
      </c>
      <c r="DT34" s="49">
        <f t="shared" si="68"/>
        <v>25500</v>
      </c>
      <c r="DU34" s="250">
        <v>8468.7000000000007</v>
      </c>
      <c r="DV34" s="250">
        <v>4768.1000000000004</v>
      </c>
      <c r="DW34" s="37">
        <f t="shared" si="92"/>
        <v>400.00000000145519</v>
      </c>
      <c r="DX34" s="250">
        <v>14020</v>
      </c>
      <c r="DY34" s="250">
        <v>8774.7000000000007</v>
      </c>
      <c r="DZ34" s="37">
        <f t="shared" si="32"/>
        <v>235.15</v>
      </c>
      <c r="EA34" s="250">
        <v>32582</v>
      </c>
      <c r="EB34" s="250">
        <v>22.231999999999999</v>
      </c>
      <c r="EC34" s="37">
        <f t="shared" si="33"/>
        <v>5395.15</v>
      </c>
      <c r="ED34" s="53">
        <f t="shared" si="34"/>
        <v>6030.3000000014545</v>
      </c>
      <c r="EE34" s="250">
        <v>48882</v>
      </c>
      <c r="EF34" s="250">
        <v>32.243000000000002</v>
      </c>
      <c r="EG34" s="37">
        <f t="shared" si="35"/>
        <v>33395.15</v>
      </c>
      <c r="EH34" s="250">
        <v>14485</v>
      </c>
      <c r="EI34" s="250">
        <v>2.1505000000000001</v>
      </c>
      <c r="EJ34" s="37">
        <f t="shared" si="36"/>
        <v>10235.15</v>
      </c>
      <c r="EK34" s="250">
        <v>883.66</v>
      </c>
      <c r="EL34" s="250">
        <v>1265.4000000000001</v>
      </c>
      <c r="EM34" s="37">
        <f t="shared" si="69"/>
        <v>639.99999999998636</v>
      </c>
      <c r="EN34" s="54">
        <f t="shared" si="70"/>
        <v>44270.299999999988</v>
      </c>
      <c r="EO34" s="250">
        <v>13960</v>
      </c>
      <c r="EP34" s="48"/>
      <c r="EQ34" s="37">
        <f t="shared" si="97"/>
        <v>7790.1500000000069</v>
      </c>
      <c r="ER34" s="250">
        <v>11406</v>
      </c>
      <c r="ES34" s="48"/>
      <c r="ET34" s="49">
        <f t="shared" si="106"/>
        <v>17000</v>
      </c>
      <c r="EU34" s="250">
        <v>4786.7</v>
      </c>
      <c r="EV34" s="48"/>
      <c r="EW34" s="49">
        <f t="shared" si="38"/>
        <v>11235.15</v>
      </c>
      <c r="EX34" s="250">
        <v>14944</v>
      </c>
      <c r="EY34" s="48"/>
      <c r="EZ34" s="37">
        <f t="shared" si="39"/>
        <v>12235.15</v>
      </c>
      <c r="FA34" s="48">
        <f t="shared" si="71"/>
        <v>-23127.450000000008</v>
      </c>
      <c r="FB34" s="250">
        <v>39386727</v>
      </c>
      <c r="FC34" s="49">
        <f t="shared" si="93"/>
        <v>25133</v>
      </c>
      <c r="FD34" s="48">
        <f t="shared" si="72"/>
        <v>49960.450000000012</v>
      </c>
      <c r="FE34" s="250">
        <v>18147</v>
      </c>
      <c r="FF34" s="48"/>
      <c r="FG34" s="37">
        <f t="shared" si="73"/>
        <v>8680.1499999999924</v>
      </c>
      <c r="FH34" s="250">
        <v>10900</v>
      </c>
      <c r="FI34" s="48"/>
      <c r="FJ34" s="49">
        <f t="shared" si="40"/>
        <v>15235.15</v>
      </c>
      <c r="FK34" s="48"/>
      <c r="FL34" s="58"/>
      <c r="FM34" s="48">
        <f t="shared" si="94"/>
        <v>-50.149999999997817</v>
      </c>
      <c r="FN34" s="250">
        <v>18082</v>
      </c>
      <c r="FO34" s="48"/>
      <c r="FP34" s="37">
        <f t="shared" si="74"/>
        <v>9235.15</v>
      </c>
      <c r="FQ34" s="250">
        <v>63597</v>
      </c>
      <c r="FR34" s="48"/>
      <c r="FS34" s="37">
        <f t="shared" si="41"/>
        <v>33000</v>
      </c>
      <c r="FT34" s="48">
        <f t="shared" si="75"/>
        <v>-150.44999999999345</v>
      </c>
      <c r="FU34" s="48">
        <f t="shared" si="76"/>
        <v>33150.44999999999</v>
      </c>
      <c r="FV34" s="250">
        <v>7303400</v>
      </c>
      <c r="FW34" s="44"/>
      <c r="FX34" s="37">
        <f t="shared" si="42"/>
        <v>13700</v>
      </c>
      <c r="FY34" s="250">
        <v>249260</v>
      </c>
      <c r="FZ34" s="56"/>
      <c r="GA34" s="37">
        <f t="shared" si="43"/>
        <v>3530</v>
      </c>
      <c r="GB34" s="250">
        <v>909.22</v>
      </c>
      <c r="GC34" s="56"/>
      <c r="GD34" s="37">
        <f t="shared" si="44"/>
        <v>570.00000000005002</v>
      </c>
      <c r="GE34" s="250">
        <v>11162</v>
      </c>
      <c r="GF34" s="56"/>
      <c r="GG34" s="37">
        <f t="shared" si="45"/>
        <v>3300</v>
      </c>
      <c r="GH34" s="250">
        <v>112570</v>
      </c>
      <c r="GI34" s="159"/>
      <c r="GJ34" s="38">
        <f t="shared" si="77"/>
        <v>1700</v>
      </c>
      <c r="GK34" s="250">
        <v>1534</v>
      </c>
      <c r="GL34" s="44"/>
      <c r="GM34" s="38">
        <f t="shared" si="46"/>
        <v>0</v>
      </c>
      <c r="GN34" s="250">
        <v>244170</v>
      </c>
      <c r="GO34" s="57"/>
      <c r="GP34" s="38">
        <f t="shared" si="98"/>
        <v>0</v>
      </c>
      <c r="GQ34" s="250">
        <v>304930</v>
      </c>
      <c r="GR34" s="38"/>
      <c r="GS34" s="38">
        <f t="shared" si="78"/>
        <v>170</v>
      </c>
      <c r="GT34" s="247"/>
      <c r="GU34" s="144">
        <f>DailySep!B33-DailySep!N33-DailySep!V33-DailySep!Y33-DailySep!Z33-DailySep!AA33-DailySep!AB33-DailySep!AC33-DailySep!AD33-DailySep!AE33-DailySep!AK33-DailySep!AO33-DailySep!AS33-DailySep!AY33-DailySep!BD33+DailySep!BU33-DailySep!BG33-DailySep!BT33-DailySep!AF33-DailySep!AG33</f>
        <v>4.9999977549305186E-2</v>
      </c>
      <c r="GV34" s="261">
        <v>3527.3</v>
      </c>
      <c r="GW34" s="60">
        <f t="shared" si="48"/>
        <v>235.15333333333334</v>
      </c>
      <c r="GX34" s="260">
        <v>235.15</v>
      </c>
      <c r="GY34" s="140"/>
      <c r="GZ34" s="62"/>
      <c r="HA34" s="62"/>
      <c r="HB34" s="74"/>
      <c r="HC34" s="62"/>
      <c r="HD34" s="74"/>
      <c r="HE34" s="24">
        <f t="shared" si="49"/>
        <v>0</v>
      </c>
      <c r="HG34" s="279">
        <v>28</v>
      </c>
      <c r="HH34" s="292">
        <v>29275</v>
      </c>
      <c r="HI34" s="292">
        <v>11136</v>
      </c>
      <c r="HJ34" s="61">
        <f t="shared" si="50"/>
        <v>183000</v>
      </c>
      <c r="HK34" s="260">
        <v>2.1432000000000002</v>
      </c>
      <c r="HL34" s="260">
        <v>807.32</v>
      </c>
      <c r="HM34" s="61">
        <f t="shared" si="107"/>
        <v>0</v>
      </c>
      <c r="HN34" s="260">
        <v>7425.2</v>
      </c>
      <c r="HO34" s="260">
        <v>3163.8</v>
      </c>
      <c r="HP34" s="61">
        <f t="shared" si="52"/>
        <v>45284.999999999382</v>
      </c>
      <c r="HQ34" s="292">
        <v>5140.7</v>
      </c>
      <c r="HR34" s="292">
        <v>2160.9</v>
      </c>
      <c r="HS34" s="61">
        <f t="shared" si="53"/>
        <v>27605</v>
      </c>
      <c r="HT34" s="292">
        <v>5058.3999999999996</v>
      </c>
      <c r="HU34" s="292">
        <v>1824.3</v>
      </c>
      <c r="HV34" s="61">
        <f t="shared" si="54"/>
        <v>27504.999999999636</v>
      </c>
      <c r="HW34" s="292">
        <v>3713.2</v>
      </c>
      <c r="HX34" s="292">
        <v>1586.8</v>
      </c>
      <c r="HY34" s="61">
        <f t="shared" si="55"/>
        <v>25504.999999999636</v>
      </c>
      <c r="HZ34" s="260">
        <v>3012500</v>
      </c>
      <c r="IA34" s="260">
        <v>13046</v>
      </c>
      <c r="IB34" s="61">
        <f t="shared" si="56"/>
        <v>31600</v>
      </c>
      <c r="IC34" s="292">
        <v>719.8</v>
      </c>
      <c r="ID34" s="292">
        <v>232.78</v>
      </c>
      <c r="IE34" s="61">
        <f t="shared" si="79"/>
        <v>0</v>
      </c>
      <c r="IF34" s="61"/>
      <c r="IG34" s="61"/>
      <c r="IH34" s="280">
        <f t="shared" si="57"/>
        <v>25500</v>
      </c>
      <c r="II34" s="281">
        <f t="shared" si="134"/>
        <v>1.3460521586239338E-9</v>
      </c>
      <c r="IJ34" s="245"/>
      <c r="IK34" s="245"/>
      <c r="IL34" s="245">
        <f t="shared" si="111"/>
        <v>0</v>
      </c>
      <c r="IM34" s="245"/>
      <c r="IN34" s="245"/>
      <c r="IO34" s="245">
        <f t="shared" si="112"/>
        <v>0</v>
      </c>
      <c r="IP34" s="245"/>
      <c r="IQ34" s="245"/>
      <c r="IR34" s="245">
        <f t="shared" si="113"/>
        <v>0</v>
      </c>
      <c r="IS34" s="245"/>
      <c r="IT34" s="245"/>
      <c r="IU34" s="245">
        <f t="shared" si="114"/>
        <v>0</v>
      </c>
      <c r="IV34" s="245"/>
      <c r="IW34" s="245"/>
      <c r="IX34" s="245">
        <f t="shared" si="115"/>
        <v>0</v>
      </c>
      <c r="IY34" s="245"/>
      <c r="IZ34" s="245"/>
      <c r="JA34" s="245">
        <f t="shared" si="116"/>
        <v>0</v>
      </c>
      <c r="JB34" s="245"/>
      <c r="JC34" s="245"/>
      <c r="JD34" s="245">
        <f t="shared" si="117"/>
        <v>0</v>
      </c>
      <c r="JE34" s="245"/>
      <c r="JF34" s="245"/>
      <c r="JG34" s="245">
        <f t="shared" si="118"/>
        <v>0</v>
      </c>
      <c r="JH34" s="245"/>
      <c r="JI34" s="245"/>
      <c r="JJ34" s="245">
        <f t="shared" si="119"/>
        <v>0</v>
      </c>
      <c r="JK34" s="245"/>
      <c r="JL34" s="245"/>
      <c r="JM34" s="245">
        <f t="shared" si="120"/>
        <v>0</v>
      </c>
      <c r="JN34" s="245"/>
      <c r="JO34" s="245"/>
      <c r="JP34" s="245">
        <f t="shared" si="121"/>
        <v>0</v>
      </c>
      <c r="JQ34" s="245"/>
      <c r="JR34" s="245"/>
      <c r="JS34" s="245">
        <f t="shared" si="122"/>
        <v>0</v>
      </c>
      <c r="JT34" s="245"/>
      <c r="JU34" s="245"/>
      <c r="JV34" s="245">
        <f t="shared" si="123"/>
        <v>0</v>
      </c>
      <c r="JW34" s="245"/>
      <c r="JX34" s="245"/>
      <c r="JY34" s="245">
        <f t="shared" si="124"/>
        <v>0</v>
      </c>
      <c r="JZ34" s="245"/>
      <c r="KA34" s="245"/>
      <c r="KB34" s="245">
        <f t="shared" si="125"/>
        <v>0</v>
      </c>
      <c r="KC34" s="245"/>
      <c r="KD34" s="245"/>
      <c r="KE34" s="245">
        <f t="shared" si="126"/>
        <v>0</v>
      </c>
      <c r="KG34" s="151">
        <f t="shared" si="59"/>
        <v>76885.000000000728</v>
      </c>
    </row>
    <row r="35" spans="1:293" x14ac:dyDescent="0.25">
      <c r="A35" s="35">
        <v>29</v>
      </c>
      <c r="B35" s="250">
        <v>5700.77</v>
      </c>
      <c r="C35" s="38">
        <f t="shared" si="1"/>
        <v>10.1200000000008</v>
      </c>
      <c r="D35" s="38">
        <f t="shared" si="2"/>
        <v>323840.00000002561</v>
      </c>
      <c r="E35" s="250">
        <v>1143.05</v>
      </c>
      <c r="F35" s="38">
        <f t="shared" si="3"/>
        <v>61760.000000002037</v>
      </c>
      <c r="G35" s="38">
        <f t="shared" si="4"/>
        <v>385600.00000002765</v>
      </c>
      <c r="H35" s="37"/>
      <c r="I35" s="39"/>
      <c r="J35" s="42"/>
      <c r="K35" s="37">
        <f>IF(J35&lt;=0,0,(J35/SQRT(J35^2+(I35-I34)^2)))</f>
        <v>0</v>
      </c>
      <c r="L35" s="250">
        <v>18505600</v>
      </c>
      <c r="M35" s="40"/>
      <c r="N35" s="37">
        <f t="shared" si="81"/>
        <v>382000</v>
      </c>
      <c r="O35" s="250">
        <v>13250</v>
      </c>
      <c r="P35" s="37"/>
      <c r="Q35" s="37">
        <f t="shared" si="129"/>
        <v>17200.000000000728</v>
      </c>
      <c r="R35" s="37">
        <f>IF(Q35&lt;=0,0,(Q35/SQRT(Q35^2+(P35-P34)^2)))</f>
        <v>1</v>
      </c>
      <c r="S35" s="250">
        <v>11272402.68</v>
      </c>
      <c r="T35" s="37">
        <f t="shared" si="6"/>
        <v>252</v>
      </c>
      <c r="U35" s="250">
        <v>1523792.57</v>
      </c>
      <c r="V35" s="37">
        <f t="shared" si="7"/>
        <v>0</v>
      </c>
      <c r="W35" s="250">
        <v>4748.8999999999996</v>
      </c>
      <c r="X35" s="37">
        <f t="shared" si="95"/>
        <v>16848.000000000728</v>
      </c>
      <c r="Y35" s="183"/>
      <c r="Z35" s="183"/>
      <c r="AA35" s="250">
        <v>870100</v>
      </c>
      <c r="AB35" s="37">
        <f t="shared" si="8"/>
        <v>100</v>
      </c>
      <c r="AC35" s="250">
        <v>4919.5</v>
      </c>
      <c r="AD35" s="37"/>
      <c r="AE35" s="37">
        <f t="shared" si="131"/>
        <v>7199.9999999998181</v>
      </c>
      <c r="AF35" s="37">
        <f>IF(AE35&lt;=0,0,(AE35/SQRT(AE35^2+(AD35-AD34)^2)))</f>
        <v>1</v>
      </c>
      <c r="AG35" s="250">
        <v>10694</v>
      </c>
      <c r="AH35" s="37"/>
      <c r="AI35" s="37">
        <f t="shared" si="10"/>
        <v>16473.700000000728</v>
      </c>
      <c r="AJ35" s="37">
        <f t="shared" si="11"/>
        <v>1</v>
      </c>
      <c r="AK35" s="37">
        <f t="shared" si="12"/>
        <v>40773.700000001278</v>
      </c>
      <c r="AL35" s="250">
        <v>12321.7</v>
      </c>
      <c r="AM35" s="42"/>
      <c r="AN35" s="37">
        <f t="shared" si="60"/>
        <v>7703.6999999999734</v>
      </c>
      <c r="AO35" s="37">
        <f>IF(AN35&lt;=0,0,(AN35/SQRT(AN35^2+(AM35-AM34)^2)))</f>
        <v>1</v>
      </c>
      <c r="AP35" s="250">
        <v>9748.6</v>
      </c>
      <c r="AQ35" s="37"/>
      <c r="AR35" s="37">
        <f t="shared" si="13"/>
        <v>8800.0000000010914</v>
      </c>
      <c r="AS35" s="37">
        <f>IF(AR35&lt;=0,0,(AR35/SQRT(AR35^2+(AQ35-AQ34)^2)))</f>
        <v>1</v>
      </c>
      <c r="AT35" s="183"/>
      <c r="AU35" s="183"/>
      <c r="AV35" s="183"/>
      <c r="AW35" s="183"/>
      <c r="AX35" s="250">
        <v>536640</v>
      </c>
      <c r="AY35" s="37"/>
      <c r="AZ35" s="37">
        <f t="shared" si="14"/>
        <v>440</v>
      </c>
      <c r="BA35" s="250">
        <v>226520</v>
      </c>
      <c r="BB35" s="37"/>
      <c r="BC35" s="37">
        <f t="shared" si="15"/>
        <v>660</v>
      </c>
      <c r="BD35" s="37">
        <f>AN35+AR35+AZ35+BC35</f>
        <v>17603.700000001067</v>
      </c>
      <c r="BE35" s="250">
        <v>2125</v>
      </c>
      <c r="BF35" s="250">
        <v>1196.8</v>
      </c>
      <c r="BG35" s="37">
        <f t="shared" si="16"/>
        <v>1500</v>
      </c>
      <c r="BH35" s="250">
        <v>10080</v>
      </c>
      <c r="BI35" s="250">
        <v>6515.6</v>
      </c>
      <c r="BJ35" s="37">
        <f t="shared" si="17"/>
        <v>10000</v>
      </c>
      <c r="BK35" s="250">
        <v>2100130</v>
      </c>
      <c r="BL35" s="40">
        <f t="shared" si="87"/>
        <v>4100</v>
      </c>
      <c r="BM35" s="250">
        <v>956.12</v>
      </c>
      <c r="BN35" s="37">
        <f t="shared" si="18"/>
        <v>669.99999999995907</v>
      </c>
      <c r="BO35" s="186"/>
      <c r="BP35" s="183">
        <f t="shared" si="19"/>
        <v>0</v>
      </c>
      <c r="BQ35" s="250">
        <v>901.6</v>
      </c>
      <c r="BR35" s="37">
        <f t="shared" si="61"/>
        <v>300.00000000006821</v>
      </c>
      <c r="BS35" s="250">
        <v>125386.33</v>
      </c>
      <c r="BT35" s="37">
        <f t="shared" si="20"/>
        <v>230.4600000000064</v>
      </c>
      <c r="BU35" s="250">
        <v>3747298</v>
      </c>
      <c r="BV35" s="42"/>
      <c r="BW35" s="37">
        <f t="shared" si="21"/>
        <v>7163</v>
      </c>
      <c r="BX35" s="37">
        <f>IF(BW35&lt;=0,0,(BW35/SQRT(BW35^2+(BV35-BV34)^2)))</f>
        <v>1</v>
      </c>
      <c r="BY35" s="250">
        <v>431.16050000000001</v>
      </c>
      <c r="BZ35" s="37"/>
      <c r="CA35" s="37">
        <f t="shared" si="127"/>
        <v>692.20000000001392</v>
      </c>
      <c r="CB35" s="37">
        <f t="shared" si="62"/>
        <v>1</v>
      </c>
      <c r="CC35" s="250">
        <v>838327</v>
      </c>
      <c r="CD35" s="37">
        <f t="shared" si="23"/>
        <v>1567.9000000000233</v>
      </c>
      <c r="CE35" s="250">
        <v>1909306</v>
      </c>
      <c r="CF35" s="37">
        <f t="shared" si="24"/>
        <v>5546</v>
      </c>
      <c r="CG35" s="250">
        <v>122633</v>
      </c>
      <c r="CH35" s="37">
        <f t="shared" si="63"/>
        <v>0</v>
      </c>
      <c r="CI35" s="250">
        <v>14842.58</v>
      </c>
      <c r="CJ35" s="40"/>
      <c r="CK35" s="37">
        <f t="shared" si="64"/>
        <v>15741.499999999842</v>
      </c>
      <c r="CL35" s="37">
        <f t="shared" si="25"/>
        <v>1</v>
      </c>
      <c r="CM35" s="250">
        <v>4425.3940000000002</v>
      </c>
      <c r="CN35" s="37"/>
      <c r="CO35" s="37">
        <f t="shared" si="26"/>
        <v>6226.7000000004291</v>
      </c>
      <c r="CP35" s="37">
        <f>IF(CO35&lt;=0,0,(CO35/SQRT(CO35^2+(CN35-CN34)^2)))</f>
        <v>1</v>
      </c>
      <c r="CQ35" s="250">
        <v>949587.1</v>
      </c>
      <c r="CR35" s="39"/>
      <c r="CS35" s="37">
        <f t="shared" si="65"/>
        <v>5760.2999999999765</v>
      </c>
      <c r="CT35" s="37">
        <f t="shared" si="66"/>
        <v>1</v>
      </c>
      <c r="CU35" s="250">
        <v>4952911</v>
      </c>
      <c r="CV35" s="37"/>
      <c r="CW35" s="38">
        <f t="shared" si="27"/>
        <v>16127</v>
      </c>
      <c r="CX35" s="37">
        <f t="shared" si="90"/>
        <v>1</v>
      </c>
      <c r="CY35" s="250">
        <v>2657478</v>
      </c>
      <c r="CZ35" s="37"/>
      <c r="DA35" s="37">
        <f t="shared" si="133"/>
        <v>9594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0"/>
        <v>-60612.500000000247</v>
      </c>
      <c r="DH35" s="37">
        <f t="shared" si="31"/>
        <v>424273.70000000129</v>
      </c>
      <c r="DI35" s="46"/>
      <c r="DJ35" s="46"/>
      <c r="DK35" s="46"/>
      <c r="DL35" s="47"/>
      <c r="DM35" s="37"/>
      <c r="DN35" s="37"/>
      <c r="DO35" s="37"/>
      <c r="DP35" s="37"/>
      <c r="DQ35" s="250">
        <v>4713100</v>
      </c>
      <c r="DR35" s="49">
        <f t="shared" si="67"/>
        <v>6200</v>
      </c>
      <c r="DS35" s="250">
        <v>6484900</v>
      </c>
      <c r="DT35" s="49">
        <f t="shared" si="68"/>
        <v>26500</v>
      </c>
      <c r="DU35" s="250">
        <v>8469</v>
      </c>
      <c r="DV35" s="250">
        <v>4768.3999999999996</v>
      </c>
      <c r="DW35" s="37">
        <f t="shared" si="92"/>
        <v>299.9999999992724</v>
      </c>
      <c r="DX35" s="250">
        <v>14021</v>
      </c>
      <c r="DY35" s="250">
        <v>8774.7000000000007</v>
      </c>
      <c r="DZ35" s="37">
        <f t="shared" si="32"/>
        <v>1773.7</v>
      </c>
      <c r="EA35" s="250">
        <v>32586</v>
      </c>
      <c r="EB35" s="250">
        <v>22.239000000000001</v>
      </c>
      <c r="EC35" s="37">
        <f t="shared" si="33"/>
        <v>6933.7</v>
      </c>
      <c r="ED35" s="53">
        <f t="shared" si="34"/>
        <v>9007.399999999272</v>
      </c>
      <c r="EE35" s="250">
        <v>48913</v>
      </c>
      <c r="EF35" s="250">
        <v>32.265999999999998</v>
      </c>
      <c r="EG35" s="37">
        <f t="shared" si="35"/>
        <v>33933.699999999997</v>
      </c>
      <c r="EH35" s="250">
        <v>14495</v>
      </c>
      <c r="EI35" s="250">
        <v>2.1532</v>
      </c>
      <c r="EJ35" s="37">
        <f t="shared" si="36"/>
        <v>10773.7</v>
      </c>
      <c r="EK35" s="250">
        <v>884.21</v>
      </c>
      <c r="EL35" s="250">
        <v>1266.2</v>
      </c>
      <c r="EM35" s="37">
        <f t="shared" si="69"/>
        <v>550.00000000006821</v>
      </c>
      <c r="EN35" s="54">
        <f t="shared" si="70"/>
        <v>45257.40000000006</v>
      </c>
      <c r="EO35" s="250">
        <v>13967</v>
      </c>
      <c r="EP35" s="48"/>
      <c r="EQ35" s="37">
        <f t="shared" si="97"/>
        <v>6493.6999999999698</v>
      </c>
      <c r="ER35" s="250">
        <v>11420</v>
      </c>
      <c r="ES35" s="48"/>
      <c r="ET35" s="49">
        <f t="shared" si="106"/>
        <v>14000</v>
      </c>
      <c r="EU35" s="250">
        <v>4795.5</v>
      </c>
      <c r="EV35" s="48"/>
      <c r="EW35" s="49">
        <f t="shared" si="38"/>
        <v>9573.7000000001826</v>
      </c>
      <c r="EX35" s="250">
        <v>14955</v>
      </c>
      <c r="EY35" s="48"/>
      <c r="EZ35" s="37">
        <f t="shared" si="39"/>
        <v>11773.7</v>
      </c>
      <c r="FA35" s="48">
        <f t="shared" si="71"/>
        <v>-20054.100000000151</v>
      </c>
      <c r="FB35" s="250">
        <v>39408514</v>
      </c>
      <c r="FC35" s="49">
        <f t="shared" si="93"/>
        <v>21787</v>
      </c>
      <c r="FD35" s="48">
        <f t="shared" si="72"/>
        <v>43321.100000000151</v>
      </c>
      <c r="FE35" s="250">
        <v>18156</v>
      </c>
      <c r="FF35" s="48"/>
      <c r="FG35" s="37">
        <f t="shared" si="73"/>
        <v>11053.70000000003</v>
      </c>
      <c r="FH35" s="250">
        <v>10912</v>
      </c>
      <c r="FI35" s="48"/>
      <c r="FJ35" s="49">
        <f t="shared" si="40"/>
        <v>12773.7</v>
      </c>
      <c r="FK35" s="48"/>
      <c r="FL35" s="58"/>
      <c r="FM35" s="48">
        <f t="shared" si="94"/>
        <v>132.96666666665624</v>
      </c>
      <c r="FN35" s="250">
        <v>18092</v>
      </c>
      <c r="FO35" s="48"/>
      <c r="FP35" s="37">
        <f t="shared" si="74"/>
        <v>10773.7</v>
      </c>
      <c r="FQ35" s="250">
        <v>63632</v>
      </c>
      <c r="FR35" s="48"/>
      <c r="FS35" s="37">
        <f>IF((FQ35-FQ34)*1000&lt;=0,0,(FQ35-FQ34)*1000)</f>
        <v>35000</v>
      </c>
      <c r="FT35" s="48">
        <f t="shared" si="75"/>
        <v>398.89999999996871</v>
      </c>
      <c r="FU35" s="48">
        <f t="shared" si="76"/>
        <v>34601.100000000035</v>
      </c>
      <c r="FV35" s="250">
        <v>7320400</v>
      </c>
      <c r="FW35" s="44"/>
      <c r="FX35" s="37">
        <f t="shared" si="42"/>
        <v>17000</v>
      </c>
      <c r="FY35" s="250">
        <v>253290</v>
      </c>
      <c r="FZ35" s="56"/>
      <c r="GA35" s="37">
        <f t="shared" si="43"/>
        <v>4030</v>
      </c>
      <c r="GB35" s="250">
        <v>909.82</v>
      </c>
      <c r="GC35" s="56"/>
      <c r="GD35" s="37">
        <f t="shared" si="44"/>
        <v>600.00000000002274</v>
      </c>
      <c r="GE35" s="250">
        <v>11168</v>
      </c>
      <c r="GF35" s="56"/>
      <c r="GG35" s="37">
        <f t="shared" si="45"/>
        <v>4520</v>
      </c>
      <c r="GH35" s="250">
        <v>114050</v>
      </c>
      <c r="GI35" s="56"/>
      <c r="GJ35" s="38">
        <f t="shared" si="77"/>
        <v>1480</v>
      </c>
      <c r="GK35" s="250">
        <v>1533.9</v>
      </c>
      <c r="GL35" s="44"/>
      <c r="GM35" s="38">
        <f t="shared" si="46"/>
        <v>0</v>
      </c>
      <c r="GN35" s="250">
        <v>244170</v>
      </c>
      <c r="GO35" s="57"/>
      <c r="GP35" s="38">
        <f t="shared" si="98"/>
        <v>0</v>
      </c>
      <c r="GQ35" s="250">
        <v>305110</v>
      </c>
      <c r="GR35" s="38"/>
      <c r="GS35" s="38">
        <f t="shared" si="78"/>
        <v>180</v>
      </c>
      <c r="GT35" s="247"/>
      <c r="GU35" s="144">
        <f>DailySep!B34-DailySep!N34-DailySep!V34-DailySep!Y34-DailySep!Z34-DailySep!AA34-DailySep!AB34-DailySep!AC34-DailySep!AD34-DailySep!AE34-DailySep!AK34-DailySep!AO34-DailySep!AS34-DailySep!AY34-DailySep!BD34+DailySep!BU34-DailySep!BG34-DailySep!BT34-DailySep!AF34-DailySep!AG34</f>
        <v>2.5494955480098724E-8</v>
      </c>
      <c r="GV35" s="261">
        <v>11605.5</v>
      </c>
      <c r="GW35" s="60">
        <f t="shared" si="48"/>
        <v>773.7</v>
      </c>
      <c r="GX35" s="260">
        <v>773.7</v>
      </c>
      <c r="GY35" s="140"/>
      <c r="GZ35" s="62"/>
      <c r="HA35" s="62"/>
      <c r="HB35" s="74"/>
      <c r="HC35" s="62"/>
      <c r="HD35" s="74"/>
      <c r="HE35" s="24">
        <f t="shared" si="49"/>
        <v>0</v>
      </c>
      <c r="HG35" s="279">
        <v>29</v>
      </c>
      <c r="HH35" s="292">
        <v>29455</v>
      </c>
      <c r="HI35" s="292">
        <v>11203</v>
      </c>
      <c r="HJ35" s="61">
        <f t="shared" si="50"/>
        <v>180000</v>
      </c>
      <c r="HK35" s="260">
        <v>2.1432000000000002</v>
      </c>
      <c r="HL35" s="260">
        <v>807.23</v>
      </c>
      <c r="HM35" s="61">
        <f t="shared" si="107"/>
        <v>0</v>
      </c>
      <c r="HN35" s="260">
        <v>7469.7</v>
      </c>
      <c r="HO35" s="260">
        <v>3182.1</v>
      </c>
      <c r="HP35" s="61">
        <f t="shared" si="52"/>
        <v>44700</v>
      </c>
      <c r="HQ35" s="292">
        <v>5167.3</v>
      </c>
      <c r="HR35" s="292">
        <v>2171.4</v>
      </c>
      <c r="HS35" s="61">
        <f t="shared" si="53"/>
        <v>26800.000000000364</v>
      </c>
      <c r="HT35" s="292">
        <v>5084.8</v>
      </c>
      <c r="HU35" s="292">
        <v>1832.9</v>
      </c>
      <c r="HV35" s="61">
        <f t="shared" si="54"/>
        <v>26600.000000000546</v>
      </c>
      <c r="HW35" s="292">
        <v>3737.8</v>
      </c>
      <c r="HX35" s="292">
        <v>1596.3</v>
      </c>
      <c r="HY35" s="61">
        <f t="shared" si="55"/>
        <v>24800.000000000364</v>
      </c>
      <c r="HZ35" s="260">
        <v>3043100</v>
      </c>
      <c r="IA35" s="260">
        <v>13174</v>
      </c>
      <c r="IB35" s="61">
        <f t="shared" si="56"/>
        <v>30600</v>
      </c>
      <c r="IC35" s="292">
        <v>719.8</v>
      </c>
      <c r="ID35" s="292">
        <v>232.78</v>
      </c>
      <c r="IE35" s="61">
        <f t="shared" si="79"/>
        <v>0</v>
      </c>
      <c r="IF35" s="61"/>
      <c r="IG35" s="61"/>
      <c r="IH35" s="280">
        <f t="shared" si="57"/>
        <v>26500</v>
      </c>
      <c r="II35" s="281">
        <f t="shared" si="134"/>
        <v>-1.2660166248679161E-9</v>
      </c>
      <c r="IJ35" s="245"/>
      <c r="IK35" s="245"/>
      <c r="IL35" s="245">
        <f t="shared" si="111"/>
        <v>0</v>
      </c>
      <c r="IM35" s="245"/>
      <c r="IN35" s="245"/>
      <c r="IO35" s="245">
        <f t="shared" si="112"/>
        <v>0</v>
      </c>
      <c r="IP35" s="245"/>
      <c r="IQ35" s="245"/>
      <c r="IR35" s="245">
        <f t="shared" si="113"/>
        <v>0</v>
      </c>
      <c r="IS35" s="245"/>
      <c r="IT35" s="245"/>
      <c r="IU35" s="245">
        <f t="shared" si="114"/>
        <v>0</v>
      </c>
      <c r="IV35" s="245"/>
      <c r="IW35" s="245"/>
      <c r="IX35" s="245">
        <f t="shared" si="115"/>
        <v>0</v>
      </c>
      <c r="IY35" s="245"/>
      <c r="IZ35" s="245"/>
      <c r="JA35" s="245">
        <f t="shared" si="116"/>
        <v>0</v>
      </c>
      <c r="JB35" s="245"/>
      <c r="JC35" s="245"/>
      <c r="JD35" s="245">
        <f t="shared" si="117"/>
        <v>0</v>
      </c>
      <c r="JE35" s="245"/>
      <c r="JF35" s="245"/>
      <c r="JG35" s="245">
        <f t="shared" si="118"/>
        <v>0</v>
      </c>
      <c r="JH35" s="245"/>
      <c r="JI35" s="245"/>
      <c r="JJ35" s="245">
        <f t="shared" si="119"/>
        <v>0</v>
      </c>
      <c r="JK35" s="245"/>
      <c r="JL35" s="245"/>
      <c r="JM35" s="245">
        <f t="shared" si="120"/>
        <v>0</v>
      </c>
      <c r="JN35" s="245"/>
      <c r="JO35" s="245"/>
      <c r="JP35" s="245">
        <f t="shared" si="121"/>
        <v>0</v>
      </c>
      <c r="JQ35" s="245"/>
      <c r="JR35" s="245"/>
      <c r="JS35" s="245">
        <f t="shared" si="122"/>
        <v>0</v>
      </c>
      <c r="JT35" s="245"/>
      <c r="JU35" s="245"/>
      <c r="JV35" s="245">
        <f t="shared" si="123"/>
        <v>0</v>
      </c>
      <c r="JW35" s="245"/>
      <c r="JX35" s="245"/>
      <c r="JY35" s="245">
        <f t="shared" si="124"/>
        <v>0</v>
      </c>
      <c r="JZ35" s="245"/>
      <c r="KA35" s="245"/>
      <c r="KB35" s="245">
        <f t="shared" si="125"/>
        <v>0</v>
      </c>
      <c r="KC35" s="245"/>
      <c r="KD35" s="245"/>
      <c r="KE35" s="245">
        <f t="shared" si="126"/>
        <v>0</v>
      </c>
      <c r="KG35" s="151">
        <f t="shared" si="59"/>
        <v>75299.999999998734</v>
      </c>
    </row>
    <row r="36" spans="1:293" x14ac:dyDescent="0.25">
      <c r="A36" s="35">
        <f t="shared" si="0"/>
        <v>30</v>
      </c>
      <c r="B36" s="250">
        <v>5711.05</v>
      </c>
      <c r="C36" s="38">
        <f t="shared" si="1"/>
        <v>10.279999999999745</v>
      </c>
      <c r="D36" s="38">
        <f t="shared" si="2"/>
        <v>328959.99999999185</v>
      </c>
      <c r="E36" s="250">
        <v>1145.03</v>
      </c>
      <c r="F36" s="38">
        <f t="shared" si="3"/>
        <v>63360.000000000582</v>
      </c>
      <c r="G36" s="38">
        <f t="shared" si="4"/>
        <v>392319.99999999243</v>
      </c>
      <c r="H36" s="37"/>
      <c r="I36" s="39"/>
      <c r="J36" s="42"/>
      <c r="K36" s="37">
        <f>IF(J36&lt;=0,0,(J36/SQRT(J36^2+(I36-I35)^2)))</f>
        <v>0</v>
      </c>
      <c r="L36" s="250">
        <v>18544500</v>
      </c>
      <c r="M36" s="40"/>
      <c r="N36" s="37">
        <f t="shared" si="81"/>
        <v>389000</v>
      </c>
      <c r="O36" s="250">
        <v>13268</v>
      </c>
      <c r="P36" s="37"/>
      <c r="Q36" s="37">
        <f t="shared" si="129"/>
        <v>18000</v>
      </c>
      <c r="R36" s="37">
        <f>IF(Q36&lt;=0,0,(Q36/SQRT(Q36^2+(P36-P35)^2)))</f>
        <v>1</v>
      </c>
      <c r="S36" s="250">
        <v>11272728.800000001</v>
      </c>
      <c r="T36" s="37">
        <f t="shared" si="6"/>
        <v>326.12000000104308</v>
      </c>
      <c r="U36" s="250">
        <v>1523792.57</v>
      </c>
      <c r="V36" s="37">
        <f>IF((U36-U35)&lt;=0,0,(U36-U35))</f>
        <v>0</v>
      </c>
      <c r="W36" s="250">
        <v>4754.8</v>
      </c>
      <c r="X36" s="37">
        <f t="shared" si="95"/>
        <v>17473.879999998957</v>
      </c>
      <c r="Y36" s="183"/>
      <c r="Z36" s="183"/>
      <c r="AA36" s="250">
        <v>870300</v>
      </c>
      <c r="AB36" s="37">
        <f t="shared" si="8"/>
        <v>200</v>
      </c>
      <c r="AC36" s="250">
        <v>4927</v>
      </c>
      <c r="AD36" s="37"/>
      <c r="AE36" s="37">
        <f t="shared" si="131"/>
        <v>7500</v>
      </c>
      <c r="AF36" s="37">
        <f>IF(AE36&lt;=0,0,(AE36/SQRT(AE36^2+(AD36-AD35)^2)))</f>
        <v>1</v>
      </c>
      <c r="AG36" s="250">
        <v>10710.6</v>
      </c>
      <c r="AH36" s="37"/>
      <c r="AI36" s="37">
        <f t="shared" si="10"/>
        <v>15751.520000000364</v>
      </c>
      <c r="AJ36" s="37">
        <f t="shared" si="11"/>
        <v>1</v>
      </c>
      <c r="AK36" s="37">
        <f t="shared" si="12"/>
        <v>41051.520000000368</v>
      </c>
      <c r="AL36" s="250">
        <v>12333.1</v>
      </c>
      <c r="AM36" s="42"/>
      <c r="AN36" s="37">
        <f t="shared" si="60"/>
        <v>4861.5199999997321</v>
      </c>
      <c r="AO36" s="37">
        <f>IF(AN36&lt;=0,0,(AN36/SQRT(AN36^2+(AM36-AM35)^2)))</f>
        <v>1</v>
      </c>
      <c r="AP36" s="250">
        <v>9756.4</v>
      </c>
      <c r="AQ36" s="37"/>
      <c r="AR36" s="37">
        <f t="shared" si="13"/>
        <v>7799.9999999992724</v>
      </c>
      <c r="AS36" s="37">
        <f>IF(AR36&lt;=0,0,(AR36/SQRT(AR36^2+(AQ36-AQ35)^2)))</f>
        <v>1</v>
      </c>
      <c r="AT36" s="183"/>
      <c r="AU36" s="183"/>
      <c r="AV36" s="183"/>
      <c r="AW36" s="183"/>
      <c r="AX36" s="250">
        <v>537060</v>
      </c>
      <c r="AY36" s="37"/>
      <c r="AZ36" s="37">
        <f t="shared" si="14"/>
        <v>420</v>
      </c>
      <c r="BA36" s="250">
        <v>227140</v>
      </c>
      <c r="BB36" s="37"/>
      <c r="BC36" s="37">
        <f t="shared" si="15"/>
        <v>620</v>
      </c>
      <c r="BD36" s="37">
        <f>AN36+AR36+AZ36+BC36</f>
        <v>13701.519999999004</v>
      </c>
      <c r="BE36" s="250">
        <v>2126.5</v>
      </c>
      <c r="BF36" s="250">
        <v>1197.8</v>
      </c>
      <c r="BG36" s="37">
        <f t="shared" si="16"/>
        <v>1500</v>
      </c>
      <c r="BH36" s="250">
        <v>10089</v>
      </c>
      <c r="BI36" s="250">
        <v>6522</v>
      </c>
      <c r="BJ36" s="37">
        <f t="shared" si="17"/>
        <v>9000</v>
      </c>
      <c r="BK36" s="250">
        <v>2104340</v>
      </c>
      <c r="BL36" s="40">
        <f t="shared" si="87"/>
        <v>4210</v>
      </c>
      <c r="BM36" s="250">
        <v>956.8</v>
      </c>
      <c r="BN36" s="37">
        <f t="shared" si="18"/>
        <v>679.99999999994998</v>
      </c>
      <c r="BO36" s="186"/>
      <c r="BP36" s="183">
        <f t="shared" si="19"/>
        <v>0</v>
      </c>
      <c r="BQ36" s="250">
        <v>902.4</v>
      </c>
      <c r="BR36" s="37">
        <f t="shared" si="61"/>
        <v>799.99999999995453</v>
      </c>
      <c r="BS36" s="250">
        <v>125603.13</v>
      </c>
      <c r="BT36" s="37">
        <f t="shared" si="20"/>
        <v>216.80000000000291</v>
      </c>
      <c r="BU36" s="250">
        <v>3753251</v>
      </c>
      <c r="BV36" s="42"/>
      <c r="BW36" s="37">
        <f t="shared" si="21"/>
        <v>5953</v>
      </c>
      <c r="BX36" s="37">
        <f>IF(BW36&lt;=0,0,(BW36/SQRT(BW36^2+(BV36-BV35)^2)))</f>
        <v>1</v>
      </c>
      <c r="BY36" s="250">
        <v>431.86410000000001</v>
      </c>
      <c r="BZ36" s="43"/>
      <c r="CA36" s="37">
        <f t="shared" si="127"/>
        <v>703.59999999999445</v>
      </c>
      <c r="CB36" s="37">
        <f t="shared" si="62"/>
        <v>1</v>
      </c>
      <c r="CC36" s="250">
        <v>838722.3</v>
      </c>
      <c r="CD36" s="37">
        <f t="shared" si="23"/>
        <v>395.30000000004657</v>
      </c>
      <c r="CE36" s="250">
        <v>1914777</v>
      </c>
      <c r="CF36" s="37">
        <f t="shared" si="24"/>
        <v>5471</v>
      </c>
      <c r="CG36" s="250">
        <v>122633</v>
      </c>
      <c r="CH36" s="37">
        <f t="shared" si="63"/>
        <v>0</v>
      </c>
      <c r="CI36" s="250">
        <v>14858.19</v>
      </c>
      <c r="CJ36" s="40"/>
      <c r="CK36" s="37">
        <f t="shared" si="64"/>
        <v>14057.920000000588</v>
      </c>
      <c r="CL36" s="37">
        <f t="shared" si="25"/>
        <v>1</v>
      </c>
      <c r="CM36" s="250">
        <v>4430.1540000000005</v>
      </c>
      <c r="CN36" s="37"/>
      <c r="CO36" s="37">
        <f t="shared" si="26"/>
        <v>3911.5200000002183</v>
      </c>
      <c r="CP36" s="37">
        <f>IF(CO36&lt;=0,0,(CO36/SQRT(CO36^2+(CN36-CN35)^2)))</f>
        <v>1</v>
      </c>
      <c r="CQ36" s="250">
        <v>954479</v>
      </c>
      <c r="CR36" s="39"/>
      <c r="CS36" s="37">
        <f t="shared" si="65"/>
        <v>4043.4200000000233</v>
      </c>
      <c r="CT36" s="37">
        <f t="shared" si="66"/>
        <v>1</v>
      </c>
      <c r="CU36" s="250">
        <v>4970352</v>
      </c>
      <c r="CV36" s="41"/>
      <c r="CW36" s="38">
        <f t="shared" si="27"/>
        <v>17441</v>
      </c>
      <c r="CX36" s="37">
        <f t="shared" si="90"/>
        <v>1</v>
      </c>
      <c r="CY36" s="250">
        <v>2667186</v>
      </c>
      <c r="CZ36" s="37"/>
      <c r="DA36" s="37">
        <f t="shared" si="133"/>
        <v>9708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0"/>
        <v>-55114.86000000083</v>
      </c>
      <c r="DH36" s="37">
        <f t="shared" si="31"/>
        <v>431551.52000000037</v>
      </c>
      <c r="DI36" s="46"/>
      <c r="DJ36" s="46"/>
      <c r="DK36" s="47"/>
      <c r="DL36" s="47"/>
      <c r="DM36" s="37"/>
      <c r="DN36" s="37"/>
      <c r="DO36" s="37"/>
      <c r="DP36" s="37"/>
      <c r="DQ36" s="250">
        <v>4721900</v>
      </c>
      <c r="DR36" s="49">
        <f t="shared" si="67"/>
        <v>8800</v>
      </c>
      <c r="DS36" s="250">
        <v>6511500</v>
      </c>
      <c r="DT36" s="49">
        <f t="shared" si="68"/>
        <v>26600</v>
      </c>
      <c r="DU36" s="250">
        <v>8469.2999999999993</v>
      </c>
      <c r="DV36" s="250">
        <v>4768.5</v>
      </c>
      <c r="DW36" s="37">
        <f t="shared" si="92"/>
        <v>299.9999999992724</v>
      </c>
      <c r="DX36" s="250">
        <v>14022</v>
      </c>
      <c r="DY36" s="250">
        <v>8771.7999999999993</v>
      </c>
      <c r="DZ36" s="37">
        <f t="shared" si="32"/>
        <v>151.51999999999998</v>
      </c>
      <c r="EA36" s="250">
        <v>32589</v>
      </c>
      <c r="EB36" s="250">
        <v>22.241</v>
      </c>
      <c r="EC36" s="37">
        <f t="shared" si="33"/>
        <v>4311.5200000000004</v>
      </c>
      <c r="ED36" s="53">
        <f t="shared" si="34"/>
        <v>4763.0399999992733</v>
      </c>
      <c r="EE36" s="250">
        <v>48942</v>
      </c>
      <c r="EF36" s="250">
        <v>32.287999999999997</v>
      </c>
      <c r="EG36" s="37">
        <f t="shared" si="35"/>
        <v>30311.52</v>
      </c>
      <c r="EH36" s="250">
        <v>14505</v>
      </c>
      <c r="EI36" s="250">
        <v>2.1560000000000001</v>
      </c>
      <c r="EJ36" s="37">
        <f t="shared" si="36"/>
        <v>9151.52</v>
      </c>
      <c r="EK36" s="250">
        <v>884.75</v>
      </c>
      <c r="EL36" s="250">
        <v>1266.8</v>
      </c>
      <c r="EM36" s="37">
        <f t="shared" si="69"/>
        <v>539.99999999996362</v>
      </c>
      <c r="EN36" s="54">
        <f t="shared" si="70"/>
        <v>40003.039999999964</v>
      </c>
      <c r="EO36" s="250">
        <v>13976</v>
      </c>
      <c r="EP36" s="48"/>
      <c r="EQ36" s="37">
        <f t="shared" si="97"/>
        <v>6801.520000000035</v>
      </c>
      <c r="ER36" s="250">
        <v>11439</v>
      </c>
      <c r="ES36" s="55"/>
      <c r="ET36" s="49">
        <f t="shared" si="106"/>
        <v>19000</v>
      </c>
      <c r="EU36" s="250">
        <v>4806.6000000000004</v>
      </c>
      <c r="EV36" s="48"/>
      <c r="EW36" s="49">
        <f t="shared" si="38"/>
        <v>10251.520000000364</v>
      </c>
      <c r="EX36" s="250">
        <v>14969</v>
      </c>
      <c r="EY36" s="48"/>
      <c r="EZ36" s="37">
        <f t="shared" si="39"/>
        <v>13151.52</v>
      </c>
      <c r="FA36" s="48">
        <f t="shared" si="71"/>
        <v>-22981.560000000398</v>
      </c>
      <c r="FB36" s="250">
        <v>39434737</v>
      </c>
      <c r="FC36" s="49">
        <f>IF((FB36-FB35)&lt;=0,0,(FB36-FB35))</f>
        <v>26223</v>
      </c>
      <c r="FD36" s="48">
        <f t="shared" si="72"/>
        <v>50814.560000000405</v>
      </c>
      <c r="FE36" s="250">
        <v>18166</v>
      </c>
      <c r="FF36" s="48"/>
      <c r="FG36" s="37">
        <f t="shared" si="73"/>
        <v>10501.519999999966</v>
      </c>
      <c r="FH36" s="250">
        <v>10932</v>
      </c>
      <c r="FI36" s="48"/>
      <c r="FJ36" s="49">
        <f t="shared" si="40"/>
        <v>19151.52</v>
      </c>
      <c r="FK36" s="48"/>
      <c r="FL36" s="58"/>
      <c r="FM36" s="48">
        <f t="shared" si="94"/>
        <v>-934.85333333332289</v>
      </c>
      <c r="FN36" s="250">
        <v>18104</v>
      </c>
      <c r="FO36" s="48"/>
      <c r="FP36" s="37">
        <f t="shared" si="74"/>
        <v>11151.52</v>
      </c>
      <c r="FQ36" s="250">
        <v>63670</v>
      </c>
      <c r="FR36" s="48"/>
      <c r="FS36" s="37">
        <f>IF((FQ36-FQ35)*1000&lt;=0,0,(FQ36-FQ35)*1000)</f>
        <v>38000</v>
      </c>
      <c r="FT36" s="48">
        <f t="shared" si="75"/>
        <v>-2804.5599999999686</v>
      </c>
      <c r="FU36" s="48">
        <f t="shared" si="76"/>
        <v>40804.559999999969</v>
      </c>
      <c r="FV36" s="250">
        <v>7337500</v>
      </c>
      <c r="FW36" s="44"/>
      <c r="FX36" s="37">
        <f t="shared" si="42"/>
        <v>17100</v>
      </c>
      <c r="FY36" s="250">
        <v>257520</v>
      </c>
      <c r="FZ36" s="56"/>
      <c r="GA36" s="37">
        <f t="shared" si="43"/>
        <v>4230</v>
      </c>
      <c r="GB36" s="250">
        <v>910.41</v>
      </c>
      <c r="GC36" s="56"/>
      <c r="GD36" s="37">
        <f t="shared" si="44"/>
        <v>589.99999999991815</v>
      </c>
      <c r="GE36" s="250">
        <v>11174</v>
      </c>
      <c r="GF36" s="63"/>
      <c r="GG36" s="37">
        <f t="shared" si="45"/>
        <v>4390</v>
      </c>
      <c r="GH36" s="250">
        <v>115660</v>
      </c>
      <c r="GI36" s="56"/>
      <c r="GJ36" s="38">
        <f t="shared" si="77"/>
        <v>1610</v>
      </c>
      <c r="GK36" s="250">
        <v>1533.9</v>
      </c>
      <c r="GL36" s="44"/>
      <c r="GM36" s="38">
        <f t="shared" si="46"/>
        <v>0</v>
      </c>
      <c r="GN36" s="250">
        <v>244200</v>
      </c>
      <c r="GO36" s="57"/>
      <c r="GP36" s="38">
        <f t="shared" si="98"/>
        <v>30</v>
      </c>
      <c r="GQ36" s="250">
        <v>305350</v>
      </c>
      <c r="GR36" s="38"/>
      <c r="GS36" s="38">
        <f t="shared" si="78"/>
        <v>240</v>
      </c>
      <c r="GT36" s="247"/>
      <c r="GU36" s="144">
        <f>DailySep!B35-DailySep!N35-DailySep!V35-DailySep!Y35-DailySep!Z35-DailySep!AA35-DailySep!AB35-DailySep!AC35-DailySep!AD35-DailySep!AE35-DailySep!AK35-DailySep!AO35-DailySep!AS35-DailySep!AY35-DailySep!BD35+DailySep!BU35-DailySep!BG35-DailySep!BT35-DailySep!AF35-DailySep!AG35</f>
        <v>-7.363269105553627E-9</v>
      </c>
      <c r="GV36" s="261">
        <v>-12727.2</v>
      </c>
      <c r="GW36" s="60">
        <f t="shared" si="48"/>
        <v>-848.48</v>
      </c>
      <c r="GX36" s="260">
        <v>-848.48</v>
      </c>
      <c r="GY36" s="140"/>
      <c r="GZ36" s="62"/>
      <c r="HA36" s="62"/>
      <c r="HB36" s="62"/>
      <c r="HC36" s="62"/>
      <c r="HD36" s="74"/>
      <c r="HE36" s="24"/>
      <c r="HG36" s="279">
        <v>30</v>
      </c>
      <c r="HH36" s="292">
        <v>29640</v>
      </c>
      <c r="HI36" s="292">
        <v>11271</v>
      </c>
      <c r="HJ36" s="61">
        <f t="shared" si="50"/>
        <v>185000</v>
      </c>
      <c r="HK36" s="260">
        <v>2.1432000000000002</v>
      </c>
      <c r="HL36" s="260">
        <v>807.23</v>
      </c>
      <c r="HM36" s="61">
        <f t="shared" si="107"/>
        <v>0</v>
      </c>
      <c r="HN36" s="260">
        <v>7513.2</v>
      </c>
      <c r="HO36" s="260">
        <v>3200.1</v>
      </c>
      <c r="HP36" s="61">
        <f t="shared" si="52"/>
        <v>43775</v>
      </c>
      <c r="HQ36" s="292">
        <v>5195.2</v>
      </c>
      <c r="HR36" s="292">
        <v>2182.1999999999998</v>
      </c>
      <c r="HS36" s="61">
        <f t="shared" si="53"/>
        <v>28174.999999999636</v>
      </c>
      <c r="HT36" s="292">
        <v>5112.7</v>
      </c>
      <c r="HU36" s="292">
        <v>1842</v>
      </c>
      <c r="HV36" s="61">
        <f>IF((HT36-HT35)&lt;=0,0,(HT36-HT35)*1000)+IL73</f>
        <v>28174.999999999636</v>
      </c>
      <c r="HW36" s="292">
        <v>3763.5</v>
      </c>
      <c r="HX36" s="292">
        <v>1606.4</v>
      </c>
      <c r="HY36" s="61">
        <f t="shared" si="55"/>
        <v>25974.999999999818</v>
      </c>
      <c r="HZ36" s="260">
        <v>3075400</v>
      </c>
      <c r="IA36" s="260">
        <v>13307</v>
      </c>
      <c r="IB36" s="61">
        <f t="shared" si="56"/>
        <v>32300</v>
      </c>
      <c r="IC36" s="292">
        <v>719.8</v>
      </c>
      <c r="ID36" s="292">
        <v>232.78</v>
      </c>
      <c r="IE36" s="61">
        <f t="shared" si="79"/>
        <v>0</v>
      </c>
      <c r="IF36" s="61"/>
      <c r="IG36" s="61"/>
      <c r="IH36" s="280">
        <f t="shared" si="57"/>
        <v>26600</v>
      </c>
      <c r="II36" s="281">
        <f t="shared" si="134"/>
        <v>9.0221874415874481E-10</v>
      </c>
      <c r="IJ36" s="245"/>
      <c r="IK36" s="245"/>
      <c r="IL36" s="245">
        <f t="shared" si="111"/>
        <v>0</v>
      </c>
      <c r="IM36" s="245"/>
      <c r="IN36" s="245"/>
      <c r="IO36" s="245">
        <f t="shared" si="112"/>
        <v>0</v>
      </c>
      <c r="IP36" s="245"/>
      <c r="IQ36" s="245"/>
      <c r="IR36" s="245">
        <f t="shared" si="113"/>
        <v>0</v>
      </c>
      <c r="IS36" s="245"/>
      <c r="IT36" s="245"/>
      <c r="IU36" s="245">
        <f t="shared" si="114"/>
        <v>0</v>
      </c>
      <c r="IV36" s="245"/>
      <c r="IW36" s="245"/>
      <c r="IX36" s="245">
        <f t="shared" si="115"/>
        <v>0</v>
      </c>
      <c r="IY36" s="245"/>
      <c r="IZ36" s="245"/>
      <c r="JA36" s="245">
        <f t="shared" si="116"/>
        <v>0</v>
      </c>
      <c r="JB36" s="245"/>
      <c r="JC36" s="245"/>
      <c r="JD36" s="245">
        <f t="shared" si="117"/>
        <v>0</v>
      </c>
      <c r="JE36" s="245"/>
      <c r="JF36" s="245"/>
      <c r="JG36" s="245">
        <f t="shared" si="118"/>
        <v>0</v>
      </c>
      <c r="JH36" s="245"/>
      <c r="JI36" s="245"/>
      <c r="JJ36" s="245">
        <f t="shared" si="119"/>
        <v>0</v>
      </c>
      <c r="JK36" s="245"/>
      <c r="JL36" s="245"/>
      <c r="JM36" s="245">
        <f t="shared" si="120"/>
        <v>0</v>
      </c>
      <c r="JN36" s="245"/>
      <c r="JO36" s="245"/>
      <c r="JP36" s="245">
        <f t="shared" si="121"/>
        <v>0</v>
      </c>
      <c r="JQ36" s="245"/>
      <c r="JR36" s="245"/>
      <c r="JS36" s="245">
        <f t="shared" si="122"/>
        <v>0</v>
      </c>
      <c r="JT36" s="245"/>
      <c r="JU36" s="245"/>
      <c r="JV36" s="245">
        <f t="shared" si="123"/>
        <v>0</v>
      </c>
      <c r="JW36" s="245"/>
      <c r="JX36" s="245"/>
      <c r="JY36" s="245">
        <f t="shared" si="124"/>
        <v>0</v>
      </c>
      <c r="JZ36" s="245"/>
      <c r="KA36" s="245"/>
      <c r="KB36" s="245">
        <f t="shared" si="125"/>
        <v>0</v>
      </c>
      <c r="KC36" s="245"/>
      <c r="KD36" s="245"/>
      <c r="KE36" s="245">
        <f t="shared" si="126"/>
        <v>0</v>
      </c>
      <c r="KG36" s="151">
        <f t="shared" si="59"/>
        <v>76075.000000000902</v>
      </c>
    </row>
    <row r="37" spans="1:293" x14ac:dyDescent="0.25">
      <c r="A37" s="35">
        <v>1</v>
      </c>
      <c r="B37" s="250">
        <v>5720.17</v>
      </c>
      <c r="C37" s="38">
        <v>9.1199999999998909</v>
      </c>
      <c r="D37" s="38">
        <v>291839.99999999651</v>
      </c>
      <c r="E37" s="250">
        <v>1146.82</v>
      </c>
      <c r="F37" s="38">
        <v>57279.999999998836</v>
      </c>
      <c r="G37" s="38">
        <v>349119.99999999534</v>
      </c>
      <c r="H37" s="37"/>
      <c r="I37" s="39"/>
      <c r="J37" s="42"/>
      <c r="K37" s="37">
        <v>0</v>
      </c>
      <c r="L37" s="250">
        <v>18579000</v>
      </c>
      <c r="M37" s="40"/>
      <c r="N37" s="37">
        <v>345000</v>
      </c>
      <c r="O37" s="250">
        <v>13286</v>
      </c>
      <c r="P37" s="37"/>
      <c r="Q37" s="37">
        <v>18000</v>
      </c>
      <c r="R37" s="37">
        <v>1</v>
      </c>
      <c r="S37" s="250">
        <v>11273022.189999999</v>
      </c>
      <c r="T37" s="37">
        <v>293.3899999987334</v>
      </c>
      <c r="U37" s="250">
        <v>1523792.57</v>
      </c>
      <c r="V37" s="37">
        <v>0</v>
      </c>
      <c r="W37" s="250">
        <v>4760.7</v>
      </c>
      <c r="X37" s="37">
        <v>17596.610000001267</v>
      </c>
      <c r="Y37" s="183"/>
      <c r="Z37" s="183"/>
      <c r="AA37" s="250">
        <v>870410</v>
      </c>
      <c r="AB37" s="37">
        <v>110</v>
      </c>
      <c r="AC37" s="250">
        <v>4934.5</v>
      </c>
      <c r="AD37" s="37"/>
      <c r="AE37" s="37">
        <v>7500</v>
      </c>
      <c r="AF37" s="37">
        <v>1</v>
      </c>
      <c r="AG37" s="250">
        <v>10727</v>
      </c>
      <c r="AH37" s="37"/>
      <c r="AI37" s="37">
        <v>16339.329999999636</v>
      </c>
      <c r="AJ37" s="37">
        <v>1</v>
      </c>
      <c r="AK37" s="37">
        <v>41729.329999999638</v>
      </c>
      <c r="AL37" s="250">
        <v>12344</v>
      </c>
      <c r="AM37" s="42"/>
      <c r="AN37" s="37">
        <v>5859.3299999995861</v>
      </c>
      <c r="AO37" s="37">
        <v>1</v>
      </c>
      <c r="AP37" s="250">
        <v>9764.5</v>
      </c>
      <c r="AQ37" s="37"/>
      <c r="AR37" s="37">
        <v>8100.0000000003638</v>
      </c>
      <c r="AS37" s="37">
        <v>1</v>
      </c>
      <c r="AT37" s="183"/>
      <c r="AU37" s="183"/>
      <c r="AV37" s="183"/>
      <c r="AW37" s="183"/>
      <c r="AX37" s="250">
        <v>537411</v>
      </c>
      <c r="AY37" s="37"/>
      <c r="AZ37" s="37">
        <v>351</v>
      </c>
      <c r="BA37" s="250">
        <v>227717</v>
      </c>
      <c r="BB37" s="37"/>
      <c r="BC37" s="37">
        <v>577</v>
      </c>
      <c r="BD37" s="37">
        <v>14887.329999999951</v>
      </c>
      <c r="BE37" s="250">
        <v>2128</v>
      </c>
      <c r="BF37" s="250">
        <v>1198.7</v>
      </c>
      <c r="BG37" s="37">
        <v>1500</v>
      </c>
      <c r="BH37" s="250">
        <v>10098</v>
      </c>
      <c r="BI37" s="250">
        <v>6528.1</v>
      </c>
      <c r="BJ37" s="37">
        <v>9000</v>
      </c>
      <c r="BK37" s="250">
        <v>2108500</v>
      </c>
      <c r="BL37" s="40">
        <v>4160</v>
      </c>
      <c r="BM37" s="250">
        <v>956.8</v>
      </c>
      <c r="BN37" s="37">
        <v>0</v>
      </c>
      <c r="BO37" s="186"/>
      <c r="BP37" s="183">
        <v>0</v>
      </c>
      <c r="BQ37" s="250">
        <v>903.22</v>
      </c>
      <c r="BR37" s="37">
        <v>820.00000000005002</v>
      </c>
      <c r="BS37" s="250">
        <v>125795.27</v>
      </c>
      <c r="BT37" s="37">
        <v>192.13999999999942</v>
      </c>
      <c r="BU37" s="250">
        <v>3757700</v>
      </c>
      <c r="BV37" s="42"/>
      <c r="BW37" s="37">
        <v>4449</v>
      </c>
      <c r="BX37" s="37">
        <v>1</v>
      </c>
      <c r="BY37" s="250">
        <v>432.52</v>
      </c>
      <c r="BZ37" s="43"/>
      <c r="CA37" s="37">
        <v>655.89999999997417</v>
      </c>
      <c r="CB37" s="37">
        <v>1</v>
      </c>
      <c r="CC37" s="250">
        <v>838720</v>
      </c>
      <c r="CD37" s="37">
        <v>0</v>
      </c>
      <c r="CE37" s="250">
        <v>1919200</v>
      </c>
      <c r="CF37" s="37">
        <v>4423</v>
      </c>
      <c r="CG37" s="250">
        <v>122630</v>
      </c>
      <c r="CH37" s="37">
        <v>0</v>
      </c>
      <c r="CI37" s="250">
        <v>14873</v>
      </c>
      <c r="CJ37" s="40"/>
      <c r="CK37" s="37">
        <v>14093.429999999516</v>
      </c>
      <c r="CL37" s="37">
        <v>1</v>
      </c>
      <c r="CM37" s="250">
        <v>4435.1000000000004</v>
      </c>
      <c r="CN37" s="37"/>
      <c r="CO37" s="37">
        <v>4885.3299999999126</v>
      </c>
      <c r="CP37" s="37">
        <v>1</v>
      </c>
      <c r="CQ37" s="250">
        <v>959060</v>
      </c>
      <c r="CR37" s="39"/>
      <c r="CS37" s="37">
        <v>4520.33</v>
      </c>
      <c r="CT37" s="37">
        <v>1</v>
      </c>
      <c r="CU37" s="250">
        <v>4985200</v>
      </c>
      <c r="CV37" s="41"/>
      <c r="CW37" s="38">
        <v>14848</v>
      </c>
      <c r="CX37" s="37">
        <v>1</v>
      </c>
      <c r="CY37" s="250">
        <v>2674700</v>
      </c>
      <c r="CZ37" s="37"/>
      <c r="DA37" s="37">
        <v>7514</v>
      </c>
      <c r="DB37" s="37">
        <v>1</v>
      </c>
      <c r="DC37" s="37"/>
      <c r="DD37" s="40"/>
      <c r="DE37" s="37">
        <v>0</v>
      </c>
      <c r="DF37" s="37">
        <v>0</v>
      </c>
      <c r="DG37" s="37">
        <v>-50310.089999999429</v>
      </c>
      <c r="DH37" s="37">
        <v>388229.32999999961</v>
      </c>
      <c r="DI37" s="46"/>
      <c r="DJ37" s="46"/>
      <c r="DK37" s="47"/>
      <c r="DL37" s="47"/>
      <c r="DM37" s="37"/>
      <c r="DN37" s="37"/>
      <c r="DO37" s="37"/>
      <c r="DP37" s="37"/>
      <c r="DQ37" s="250">
        <v>4730700</v>
      </c>
      <c r="DR37" s="49">
        <v>8800</v>
      </c>
      <c r="DS37" s="250">
        <v>6538100</v>
      </c>
      <c r="DT37" s="49">
        <v>26600</v>
      </c>
      <c r="DU37" s="250">
        <v>8469.6</v>
      </c>
      <c r="DV37" s="250">
        <v>4768.7</v>
      </c>
      <c r="DW37" s="37">
        <v>300.00000000109139</v>
      </c>
      <c r="DX37" s="250">
        <v>14023</v>
      </c>
      <c r="DY37" s="250">
        <v>8774.9</v>
      </c>
      <c r="DZ37" s="37">
        <v>939.33</v>
      </c>
      <c r="EA37" s="250">
        <v>32592</v>
      </c>
      <c r="EB37" s="250">
        <v>22.242000000000001</v>
      </c>
      <c r="EC37" s="37">
        <v>5099.33</v>
      </c>
      <c r="ED37" s="53">
        <v>6338.6600000010912</v>
      </c>
      <c r="EE37" s="250">
        <v>48970</v>
      </c>
      <c r="EF37" s="250">
        <v>32.308999999999997</v>
      </c>
      <c r="EG37" s="37">
        <v>30099.33</v>
      </c>
      <c r="EH37" s="250">
        <v>14515</v>
      </c>
      <c r="EI37" s="250">
        <v>2.1581999999999999</v>
      </c>
      <c r="EJ37" s="37">
        <v>9939.33</v>
      </c>
      <c r="EK37" s="250">
        <v>885.26</v>
      </c>
      <c r="EL37" s="250">
        <v>1267.5</v>
      </c>
      <c r="EM37" s="37">
        <v>509.99999999999091</v>
      </c>
      <c r="EN37" s="54">
        <v>40548.659999999996</v>
      </c>
      <c r="EO37" s="250">
        <v>13984</v>
      </c>
      <c r="EP37" s="48"/>
      <c r="EQ37" s="37">
        <v>7939.33</v>
      </c>
      <c r="ER37" s="250">
        <v>11454</v>
      </c>
      <c r="ES37" s="55"/>
      <c r="ET37" s="49">
        <v>15000</v>
      </c>
      <c r="EU37" s="250">
        <v>4814.7</v>
      </c>
      <c r="EV37" s="48"/>
      <c r="EW37" s="49">
        <v>8039.3299999994542</v>
      </c>
      <c r="EX37" s="250">
        <v>14981</v>
      </c>
      <c r="EY37" s="48"/>
      <c r="EZ37" s="37">
        <v>11939.33</v>
      </c>
      <c r="FA37" s="48">
        <v>-20490.989999999452</v>
      </c>
      <c r="FB37" s="250">
        <v>39457164</v>
      </c>
      <c r="FC37" s="49">
        <v>22427</v>
      </c>
      <c r="FD37" s="48">
        <v>44547.98999999946</v>
      </c>
      <c r="FE37" s="250">
        <v>18174</v>
      </c>
      <c r="FF37" s="154"/>
      <c r="FG37" s="37">
        <v>7939.33</v>
      </c>
      <c r="FH37" s="250">
        <v>10944</v>
      </c>
      <c r="FI37" s="48"/>
      <c r="FJ37" s="49">
        <v>11939.33</v>
      </c>
      <c r="FK37" s="48"/>
      <c r="FL37" s="58"/>
      <c r="FM37" s="48">
        <v>394.00333333333282</v>
      </c>
      <c r="FN37" s="250">
        <v>18113</v>
      </c>
      <c r="FO37" s="48"/>
      <c r="FP37" s="37">
        <v>8939.33</v>
      </c>
      <c r="FQ37" s="250">
        <v>63700</v>
      </c>
      <c r="FR37" s="48"/>
      <c r="FS37" s="37">
        <v>30000</v>
      </c>
      <c r="FT37" s="48">
        <v>1182.0099999999984</v>
      </c>
      <c r="FU37" s="48">
        <v>28817.989999999998</v>
      </c>
      <c r="FV37" s="250">
        <v>7351800</v>
      </c>
      <c r="FW37" s="44"/>
      <c r="FX37" s="37">
        <v>14300</v>
      </c>
      <c r="FY37" s="250">
        <v>261370</v>
      </c>
      <c r="FZ37" s="56"/>
      <c r="GA37" s="37">
        <v>3850</v>
      </c>
      <c r="GB37" s="250">
        <v>910.9</v>
      </c>
      <c r="GC37" s="56"/>
      <c r="GD37" s="37">
        <v>490.00000000000909</v>
      </c>
      <c r="GE37" s="250">
        <v>11179</v>
      </c>
      <c r="GF37" s="63"/>
      <c r="GG37" s="37">
        <v>3370</v>
      </c>
      <c r="GH37" s="250">
        <v>117290</v>
      </c>
      <c r="GI37" s="56"/>
      <c r="GJ37" s="38">
        <v>1630</v>
      </c>
      <c r="GK37" s="250">
        <v>1533.9</v>
      </c>
      <c r="GL37" s="44"/>
      <c r="GM37" s="38">
        <v>0</v>
      </c>
      <c r="GN37" s="250">
        <v>244200</v>
      </c>
      <c r="GO37" s="57"/>
      <c r="GP37" s="38">
        <v>0</v>
      </c>
      <c r="GQ37" s="250">
        <v>305550</v>
      </c>
      <c r="GR37" s="38"/>
      <c r="GS37" s="38">
        <v>200</v>
      </c>
      <c r="GT37" s="247"/>
      <c r="GU37" s="144">
        <v>4.9999995768303052E-2</v>
      </c>
      <c r="GV37" s="261">
        <v>-910</v>
      </c>
      <c r="GW37" s="60">
        <v>-60.666666666666664</v>
      </c>
      <c r="GX37" s="260">
        <v>-60.67</v>
      </c>
      <c r="GY37" s="140"/>
      <c r="GZ37" s="62"/>
      <c r="HA37" s="62"/>
      <c r="HB37" s="62"/>
      <c r="HC37" s="62"/>
      <c r="HD37" s="74"/>
      <c r="HE37" s="24"/>
      <c r="HG37" s="279">
        <v>31</v>
      </c>
      <c r="HH37" s="292">
        <v>29802</v>
      </c>
      <c r="HI37" s="292">
        <v>11332</v>
      </c>
      <c r="HJ37" s="61">
        <v>162000</v>
      </c>
      <c r="HK37" s="260">
        <v>2.1432000000000002</v>
      </c>
      <c r="HL37" s="260">
        <v>807.23</v>
      </c>
      <c r="HM37" s="61">
        <v>0</v>
      </c>
      <c r="HN37" s="260">
        <v>7552.8</v>
      </c>
      <c r="HO37" s="329">
        <v>32170</v>
      </c>
      <c r="HP37" s="61">
        <v>41885.000000000364</v>
      </c>
      <c r="HQ37" s="292">
        <v>5204.3</v>
      </c>
      <c r="HR37" s="292">
        <v>2186.6</v>
      </c>
      <c r="HS37" s="61">
        <v>11385.000000000364</v>
      </c>
      <c r="HT37" s="292">
        <v>5140.5</v>
      </c>
      <c r="HU37" s="292">
        <v>1851.4</v>
      </c>
      <c r="HV37" s="61">
        <v>30085.000000000182</v>
      </c>
      <c r="HW37" s="292">
        <v>3780.96</v>
      </c>
      <c r="HX37" s="292">
        <v>1616.7</v>
      </c>
      <c r="HY37" s="61">
        <v>19745.000000000036</v>
      </c>
      <c r="HZ37" s="260">
        <v>3107700</v>
      </c>
      <c r="IA37" s="260">
        <v>13441</v>
      </c>
      <c r="IB37" s="61">
        <v>32300</v>
      </c>
      <c r="IC37" s="292">
        <v>719.8</v>
      </c>
      <c r="ID37" s="292">
        <v>232.78</v>
      </c>
      <c r="IE37" s="61">
        <v>0</v>
      </c>
      <c r="IF37" s="61"/>
      <c r="IG37" s="61"/>
      <c r="IH37" s="280">
        <v>26600</v>
      </c>
      <c r="II37" s="281">
        <v>-9.1677065938711166E-10</v>
      </c>
      <c r="IJ37" s="328"/>
      <c r="IK37" s="328"/>
      <c r="IL37" s="328">
        <v>0</v>
      </c>
      <c r="IM37" s="328"/>
      <c r="IN37" s="328"/>
      <c r="IO37" s="328">
        <v>0</v>
      </c>
      <c r="IP37" s="328"/>
      <c r="IQ37" s="328"/>
      <c r="IR37" s="328">
        <v>0</v>
      </c>
      <c r="IS37" s="328"/>
      <c r="IT37" s="328"/>
      <c r="IU37" s="328">
        <v>0</v>
      </c>
      <c r="IV37" s="328"/>
      <c r="IW37" s="328"/>
      <c r="IX37" s="328">
        <v>0</v>
      </c>
      <c r="IY37" s="328"/>
      <c r="IZ37" s="328"/>
      <c r="JA37" s="328">
        <v>0</v>
      </c>
      <c r="JB37" s="328"/>
      <c r="JC37" s="328"/>
      <c r="JD37" s="328">
        <v>0</v>
      </c>
      <c r="JE37" s="328"/>
      <c r="JF37" s="328"/>
      <c r="JG37" s="328">
        <v>0</v>
      </c>
      <c r="JH37" s="328"/>
      <c r="JI37" s="328"/>
      <c r="JJ37" s="328">
        <v>0</v>
      </c>
      <c r="JK37" s="328"/>
      <c r="JL37" s="328"/>
      <c r="JM37" s="328">
        <v>0</v>
      </c>
      <c r="JN37" s="328"/>
      <c r="JO37" s="328"/>
      <c r="JP37" s="328">
        <v>0</v>
      </c>
      <c r="JQ37" s="328"/>
      <c r="JR37" s="328"/>
      <c r="JS37" s="328">
        <v>0</v>
      </c>
      <c r="JT37" s="328"/>
      <c r="JU37" s="328"/>
      <c r="JV37" s="328">
        <v>0</v>
      </c>
      <c r="JW37" s="328"/>
      <c r="JX37" s="328"/>
      <c r="JY37" s="328">
        <v>0</v>
      </c>
      <c r="JZ37" s="328"/>
      <c r="KA37" s="328"/>
      <c r="KB37" s="328">
        <v>0</v>
      </c>
      <c r="KC37" s="328"/>
      <c r="KD37" s="328"/>
      <c r="KE37" s="328">
        <v>0</v>
      </c>
      <c r="KG37" s="151">
        <v>74184.999999999447</v>
      </c>
    </row>
    <row r="38" spans="1:293" ht="15.75" thickBot="1" x14ac:dyDescent="0.3">
      <c r="A38" s="35"/>
      <c r="B38" s="250"/>
      <c r="C38" s="38"/>
      <c r="D38" s="38"/>
      <c r="E38" s="250"/>
      <c r="F38" s="38"/>
      <c r="G38" s="38"/>
      <c r="H38" s="37"/>
      <c r="I38" s="39"/>
      <c r="J38" s="42"/>
      <c r="K38" s="37"/>
      <c r="L38" s="250"/>
      <c r="M38" s="40"/>
      <c r="N38" s="37"/>
      <c r="O38" s="250"/>
      <c r="P38" s="37"/>
      <c r="Q38" s="37"/>
      <c r="R38" s="37"/>
      <c r="S38" s="250"/>
      <c r="T38" s="37"/>
      <c r="U38" s="250"/>
      <c r="V38" s="37"/>
      <c r="W38" s="250"/>
      <c r="X38" s="37"/>
      <c r="Y38" s="183"/>
      <c r="Z38" s="183"/>
      <c r="AA38" s="250"/>
      <c r="AB38" s="37"/>
      <c r="AC38" s="250"/>
      <c r="AD38" s="37"/>
      <c r="AE38" s="37"/>
      <c r="AF38" s="37"/>
      <c r="AG38" s="250"/>
      <c r="AH38" s="37"/>
      <c r="AI38" s="37"/>
      <c r="AJ38" s="37"/>
      <c r="AK38" s="37"/>
      <c r="AL38" s="250"/>
      <c r="AM38" s="42"/>
      <c r="AN38" s="37"/>
      <c r="AO38" s="37"/>
      <c r="AP38" s="250"/>
      <c r="AQ38" s="37"/>
      <c r="AR38" s="37"/>
      <c r="AS38" s="37"/>
      <c r="AT38" s="183"/>
      <c r="AU38" s="183"/>
      <c r="AV38" s="183"/>
      <c r="AW38" s="183"/>
      <c r="AX38" s="250"/>
      <c r="AY38" s="37"/>
      <c r="AZ38" s="37"/>
      <c r="BA38" s="250"/>
      <c r="BB38" s="37"/>
      <c r="BC38" s="37"/>
      <c r="BD38" s="37"/>
      <c r="BE38" s="250"/>
      <c r="BF38" s="250"/>
      <c r="BG38" s="37"/>
      <c r="BH38" s="250"/>
      <c r="BI38" s="250"/>
      <c r="BJ38" s="37"/>
      <c r="BK38" s="250"/>
      <c r="BL38" s="40"/>
      <c r="BM38" s="250"/>
      <c r="BN38" s="37"/>
      <c r="BO38" s="186"/>
      <c r="BP38" s="183"/>
      <c r="BQ38" s="250"/>
      <c r="BR38" s="37"/>
      <c r="BS38" s="250"/>
      <c r="BT38" s="37"/>
      <c r="BU38" s="250"/>
      <c r="BV38" s="42"/>
      <c r="BW38" s="37"/>
      <c r="BX38" s="37"/>
      <c r="BY38" s="250"/>
      <c r="BZ38" s="43"/>
      <c r="CA38" s="37"/>
      <c r="CB38" s="37"/>
      <c r="CC38" s="250"/>
      <c r="CD38" s="37"/>
      <c r="CE38" s="250"/>
      <c r="CF38" s="37"/>
      <c r="CG38" s="250"/>
      <c r="CH38" s="37"/>
      <c r="CI38" s="250"/>
      <c r="CJ38" s="40"/>
      <c r="CK38" s="37"/>
      <c r="CL38" s="37"/>
      <c r="CM38" s="250"/>
      <c r="CN38" s="37"/>
      <c r="CO38" s="37"/>
      <c r="CP38" s="37"/>
      <c r="CQ38" s="250"/>
      <c r="CR38" s="39"/>
      <c r="CS38" s="37"/>
      <c r="CT38" s="37"/>
      <c r="CU38" s="250"/>
      <c r="CV38" s="41"/>
      <c r="CW38" s="38"/>
      <c r="CX38" s="37"/>
      <c r="CY38" s="250"/>
      <c r="CZ38" s="37"/>
      <c r="DA38" s="37"/>
      <c r="DB38" s="37"/>
      <c r="DC38" s="37"/>
      <c r="DD38" s="40"/>
      <c r="DE38" s="37"/>
      <c r="DF38" s="37"/>
      <c r="DG38" s="37"/>
      <c r="DH38" s="37"/>
      <c r="DI38" s="46"/>
      <c r="DJ38" s="46"/>
      <c r="DK38" s="47"/>
      <c r="DL38" s="47"/>
      <c r="DM38" s="37"/>
      <c r="DN38" s="37"/>
      <c r="DO38" s="37"/>
      <c r="DP38" s="37"/>
      <c r="DQ38" s="250"/>
      <c r="DR38" s="49"/>
      <c r="DS38" s="250"/>
      <c r="DT38" s="49"/>
      <c r="DU38" s="250"/>
      <c r="DV38" s="250"/>
      <c r="DW38" s="37"/>
      <c r="DX38" s="250"/>
      <c r="DY38" s="250"/>
      <c r="DZ38" s="37"/>
      <c r="EA38" s="250"/>
      <c r="EB38" s="250"/>
      <c r="EC38" s="37"/>
      <c r="ED38" s="53"/>
      <c r="EE38" s="250"/>
      <c r="EF38" s="250"/>
      <c r="EG38" s="37"/>
      <c r="EH38" s="250"/>
      <c r="EI38" s="250"/>
      <c r="EJ38" s="37"/>
      <c r="EK38" s="250"/>
      <c r="EL38" s="250"/>
      <c r="EM38" s="37"/>
      <c r="EN38" s="54"/>
      <c r="EO38" s="250"/>
      <c r="EP38" s="48"/>
      <c r="EQ38" s="37"/>
      <c r="ER38" s="250"/>
      <c r="ES38" s="55"/>
      <c r="ET38" s="49"/>
      <c r="EU38" s="250"/>
      <c r="EV38" s="48"/>
      <c r="EW38" s="49"/>
      <c r="EX38" s="250"/>
      <c r="EY38" s="48"/>
      <c r="EZ38" s="37"/>
      <c r="FA38" s="48"/>
      <c r="FB38" s="250"/>
      <c r="FC38" s="49"/>
      <c r="FD38" s="48"/>
      <c r="FE38" s="250"/>
      <c r="FF38" s="154"/>
      <c r="FG38" s="37"/>
      <c r="FH38" s="250"/>
      <c r="FI38" s="48"/>
      <c r="FJ38" s="49"/>
      <c r="FK38" s="48"/>
      <c r="FL38" s="58"/>
      <c r="FM38" s="48"/>
      <c r="FN38" s="250"/>
      <c r="FO38" s="48"/>
      <c r="FP38" s="37"/>
      <c r="FQ38" s="250"/>
      <c r="FR38" s="48"/>
      <c r="FS38" s="37"/>
      <c r="FT38" s="48"/>
      <c r="FU38" s="48"/>
      <c r="FV38" s="250"/>
      <c r="FW38" s="44"/>
      <c r="FX38" s="37"/>
      <c r="FY38" s="250"/>
      <c r="FZ38" s="56"/>
      <c r="GA38" s="37"/>
      <c r="GB38" s="250"/>
      <c r="GC38" s="56"/>
      <c r="GD38" s="37"/>
      <c r="GE38" s="250"/>
      <c r="GF38" s="63"/>
      <c r="GG38" s="37"/>
      <c r="GH38" s="250"/>
      <c r="GI38" s="56"/>
      <c r="GJ38" s="38"/>
      <c r="GK38" s="250"/>
      <c r="GL38" s="44"/>
      <c r="GM38" s="38"/>
      <c r="GN38" s="250"/>
      <c r="GO38" s="57"/>
      <c r="GP38" s="38"/>
      <c r="GQ38" s="250"/>
      <c r="GR38" s="38"/>
      <c r="GS38" s="38"/>
      <c r="GT38" s="247"/>
      <c r="GU38" s="144"/>
      <c r="GV38" s="261"/>
      <c r="GW38" s="60"/>
      <c r="GX38" s="260"/>
      <c r="GY38" s="140"/>
      <c r="GZ38" s="74"/>
      <c r="HA38" s="62"/>
      <c r="HB38" s="62"/>
      <c r="HC38" s="74"/>
      <c r="HD38" s="74"/>
      <c r="HE38" s="24"/>
      <c r="HG38" s="279"/>
      <c r="HH38" s="292"/>
      <c r="HI38" s="292"/>
      <c r="HJ38" s="61"/>
      <c r="HK38" s="260"/>
      <c r="HL38" s="260"/>
      <c r="HM38" s="61"/>
      <c r="HN38" s="260"/>
      <c r="HO38" s="260"/>
      <c r="HP38" s="61"/>
      <c r="HQ38" s="292"/>
      <c r="HR38" s="292"/>
      <c r="HS38" s="61"/>
      <c r="HT38" s="292"/>
      <c r="HU38" s="292"/>
      <c r="HV38" s="61"/>
      <c r="HW38" s="292"/>
      <c r="HX38" s="292"/>
      <c r="HY38" s="61"/>
      <c r="HZ38" s="260"/>
      <c r="IA38" s="260"/>
      <c r="IB38" s="61"/>
      <c r="IC38" s="292"/>
      <c r="ID38" s="292"/>
      <c r="IE38" s="61"/>
      <c r="IF38" s="61"/>
      <c r="IG38" s="61"/>
      <c r="IH38" s="280"/>
      <c r="II38" s="281"/>
      <c r="IJ38" s="245"/>
      <c r="IK38" s="245"/>
      <c r="IL38" s="245"/>
      <c r="IM38" s="245"/>
      <c r="IN38" s="245"/>
      <c r="IO38" s="245"/>
      <c r="IP38" s="245"/>
      <c r="IQ38" s="245"/>
      <c r="IR38" s="245"/>
      <c r="IS38" s="245"/>
      <c r="IT38" s="245"/>
      <c r="IU38" s="245"/>
      <c r="IV38" s="245"/>
      <c r="IW38" s="245"/>
      <c r="IX38" s="245"/>
      <c r="IY38" s="245"/>
      <c r="IZ38" s="245"/>
      <c r="JA38" s="245"/>
      <c r="JB38" s="245"/>
      <c r="JC38" s="245"/>
      <c r="JD38" s="245"/>
      <c r="JE38" s="245"/>
      <c r="JF38" s="245"/>
      <c r="JG38" s="245"/>
      <c r="JH38" s="245"/>
      <c r="JI38" s="245"/>
      <c r="JJ38" s="245"/>
      <c r="JK38" s="245"/>
      <c r="JL38" s="245"/>
      <c r="JM38" s="245"/>
      <c r="JN38" s="245"/>
      <c r="JO38" s="245"/>
      <c r="JP38" s="245"/>
      <c r="JQ38" s="245"/>
      <c r="JR38" s="245"/>
      <c r="JS38" s="245"/>
      <c r="JT38" s="245"/>
      <c r="JU38" s="245"/>
      <c r="JV38" s="245"/>
      <c r="JW38" s="245"/>
      <c r="JX38" s="245"/>
      <c r="JY38" s="245"/>
      <c r="JZ38" s="245"/>
      <c r="KA38" s="245"/>
      <c r="KB38" s="245"/>
      <c r="KC38" s="245"/>
      <c r="KD38" s="245"/>
      <c r="KE38" s="245"/>
      <c r="KG38" s="151"/>
    </row>
    <row r="39" spans="1:293" ht="15.75" thickBot="1" x14ac:dyDescent="0.3">
      <c r="A39" s="77" t="s">
        <v>37</v>
      </c>
      <c r="B39" s="78"/>
      <c r="C39" s="78">
        <f>SUM(C8:C38)</f>
        <v>313.15999999999985</v>
      </c>
      <c r="D39" s="78">
        <f>SUM(D8:D38)</f>
        <v>10021119.999999998</v>
      </c>
      <c r="E39" s="78"/>
      <c r="F39" s="78">
        <f>SUM(F8:F38)</f>
        <v>1937599.9999999984</v>
      </c>
      <c r="G39" s="78">
        <f>SUM(G8:G38)</f>
        <v>11958719.999999993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11874000</v>
      </c>
      <c r="O39" s="79"/>
      <c r="P39" s="79"/>
      <c r="Q39" s="78">
        <f>SUM(Q8:Q38)</f>
        <v>478500</v>
      </c>
      <c r="R39" s="79">
        <f>AVERAGE(R8:R38)</f>
        <v>1</v>
      </c>
      <c r="S39" s="79"/>
      <c r="T39" s="78">
        <f>SUM(T8:T38)</f>
        <v>5984.9799999985844</v>
      </c>
      <c r="U39" s="79"/>
      <c r="V39" s="79">
        <f>SUM(V8:V38)</f>
        <v>1.9599999999627471</v>
      </c>
      <c r="W39" s="79"/>
      <c r="X39" s="78">
        <f>SUM(X8:X38)</f>
        <v>397303.06000000145</v>
      </c>
      <c r="Y39" s="184"/>
      <c r="Z39" s="184"/>
      <c r="AA39" s="78"/>
      <c r="AB39" s="78"/>
      <c r="AC39" s="79"/>
      <c r="AD39" s="79"/>
      <c r="AE39" s="78">
        <f>SUM(AE8:AE38)</f>
        <v>182800.0000000002</v>
      </c>
      <c r="AF39" s="79">
        <f>AVERAGE(AF8:AF38)</f>
        <v>1</v>
      </c>
      <c r="AG39" s="79"/>
      <c r="AH39" s="79"/>
      <c r="AI39" s="78">
        <f>SUM(AI8:AI38)</f>
        <v>418082.1800000004</v>
      </c>
      <c r="AJ39" s="79">
        <f>AVERAGE(AJ8:AJ38)</f>
        <v>1</v>
      </c>
      <c r="AK39" s="78">
        <f>SUM(AK8:AK38)</f>
        <v>1004172.1800000006</v>
      </c>
      <c r="AL39" s="79"/>
      <c r="AM39" s="79"/>
      <c r="AN39" s="78">
        <f>SUM(AN8:AN38)</f>
        <v>190432.18000000043</v>
      </c>
      <c r="AO39" s="79">
        <f>AVERAGE(AO8:AO38)</f>
        <v>1</v>
      </c>
      <c r="AP39" s="79"/>
      <c r="AQ39" s="79"/>
      <c r="AR39" s="78">
        <f>SUM(AR8:AR38)</f>
        <v>336200.0000000007</v>
      </c>
      <c r="AS39" s="79">
        <f>AVERAGE(AS8:AS38)</f>
        <v>1</v>
      </c>
      <c r="AT39" s="184"/>
      <c r="AU39" s="184"/>
      <c r="AV39" s="184"/>
      <c r="AW39" s="184"/>
      <c r="AX39" s="79"/>
      <c r="AY39" s="79"/>
      <c r="AZ39" s="78">
        <f>SUM(AZ8:AZ38)</f>
        <v>12331</v>
      </c>
      <c r="BA39" s="79"/>
      <c r="BB39" s="79"/>
      <c r="BC39" s="78">
        <f>SUM(BC8:BC38)</f>
        <v>18837</v>
      </c>
      <c r="BD39" s="78">
        <f>SUM(BD8:BD38)</f>
        <v>557800.1800000011</v>
      </c>
      <c r="BE39" s="80"/>
      <c r="BF39" s="81"/>
      <c r="BG39" s="78">
        <f>SUM(BG8:BG38)</f>
        <v>45099.999999999913</v>
      </c>
      <c r="BH39" s="78"/>
      <c r="BI39" s="78"/>
      <c r="BJ39" s="78"/>
      <c r="BK39" s="80"/>
      <c r="BL39" s="78">
        <f>SUM(BL8:BL38)</f>
        <v>126100</v>
      </c>
      <c r="BM39" s="80"/>
      <c r="BN39" s="78">
        <f>SUM(BN8:BN38)</f>
        <v>19029.999999999975</v>
      </c>
      <c r="BO39" s="187"/>
      <c r="BP39" s="188">
        <f>SUM(BP8:BP38)</f>
        <v>0</v>
      </c>
      <c r="BQ39" s="79"/>
      <c r="BR39" s="78">
        <f>SUM(BR8:BR38)</f>
        <v>20019.999999999985</v>
      </c>
      <c r="BS39" s="78"/>
      <c r="BT39" s="78"/>
      <c r="BU39" s="79"/>
      <c r="BV39" s="79"/>
      <c r="BW39" s="78">
        <f>SUM(BW8:BW38)</f>
        <v>195170</v>
      </c>
      <c r="BX39" s="79">
        <f>AVERAGE(BX8:BX38)</f>
        <v>1</v>
      </c>
      <c r="BY39" s="79"/>
      <c r="BZ39" s="79"/>
      <c r="CA39" s="78">
        <f>SUM(CA8:CA38)</f>
        <v>20059.499999999956</v>
      </c>
      <c r="CB39" s="78"/>
      <c r="CC39" s="79"/>
      <c r="CD39" s="79"/>
      <c r="CE39" s="79"/>
      <c r="CF39" s="78">
        <f>SUM(CF8:CF38)</f>
        <v>158547</v>
      </c>
      <c r="CG39" s="79"/>
      <c r="CH39" s="78">
        <f>SUM(CH8:CH38)</f>
        <v>0</v>
      </c>
      <c r="CI39" s="79"/>
      <c r="CJ39" s="79"/>
      <c r="CK39" s="78">
        <f>SUM(CK8:CK38)</f>
        <v>450632.67999999918</v>
      </c>
      <c r="CL39" s="79">
        <f>AVERAGE(CL8:CL38)</f>
        <v>1</v>
      </c>
      <c r="CM39" s="79"/>
      <c r="CN39" s="79"/>
      <c r="CO39" s="78">
        <f>SUM(CO8:CO38)</f>
        <v>199621.18000000008</v>
      </c>
      <c r="CP39" s="79">
        <f>AVERAGE(CP8:CP38)</f>
        <v>1</v>
      </c>
      <c r="CQ39" s="82"/>
      <c r="CR39" s="83"/>
      <c r="CS39" s="78">
        <f>SUM(CS8:CS38)</f>
        <v>173086.08000000005</v>
      </c>
      <c r="CT39" s="79">
        <f>AVERAGE(CT8:CT38)</f>
        <v>1</v>
      </c>
      <c r="CU39" s="79"/>
      <c r="CV39" s="79"/>
      <c r="CW39" s="78">
        <f>SUM(CW8:CW38)</f>
        <v>512034</v>
      </c>
      <c r="CX39" s="79">
        <f>AVERAGE(CX8:CX38)</f>
        <v>1</v>
      </c>
      <c r="CY39" s="79"/>
      <c r="CZ39" s="79"/>
      <c r="DA39" s="78">
        <f>SUM(DA8:DA38)</f>
        <v>284693</v>
      </c>
      <c r="DB39" s="79">
        <f>AVERAGE(DB8:DB38)</f>
        <v>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-1815236.9399999992</v>
      </c>
      <c r="DH39" s="78">
        <f>SUM(DH8:DH38)</f>
        <v>12923272.179999996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281100</v>
      </c>
      <c r="DS39" s="84"/>
      <c r="DT39" s="85">
        <f>SUMIF(DT7:DT38,"&gt;0")</f>
        <v>756400</v>
      </c>
      <c r="DU39" s="86"/>
      <c r="DV39" s="86"/>
      <c r="DW39" s="87">
        <f>SUMIF(DW8:DW38,"&gt;0")</f>
        <v>56800.000000001091</v>
      </c>
      <c r="DX39" s="86"/>
      <c r="DY39" s="86"/>
      <c r="DZ39" s="87">
        <f>SUMIF(DZ8:DZ38,"&gt;0")</f>
        <v>103186.25</v>
      </c>
      <c r="EA39" s="86"/>
      <c r="EB39" s="86"/>
      <c r="EC39" s="87">
        <f>SUMIF(EC8:EC38,"&gt;0")</f>
        <v>366782.18000000005</v>
      </c>
      <c r="ED39" s="88">
        <f>SUMIF(ED8:ED38,"&gt;0")</f>
        <v>526564.36000000115</v>
      </c>
      <c r="EE39" s="86"/>
      <c r="EF39" s="86"/>
      <c r="EG39" s="87">
        <f>SUMIF(EG8:EG38,"&gt;0")</f>
        <v>899782.18</v>
      </c>
      <c r="EH39" s="86"/>
      <c r="EI39" s="86"/>
      <c r="EJ39" s="87">
        <f>SUMIF(EJ8:EJ38,"&gt;0")</f>
        <v>301982.18000000005</v>
      </c>
      <c r="EK39" s="87"/>
      <c r="EL39" s="87"/>
      <c r="EM39" s="87">
        <f>SUMIF(EM8:EM38,"&gt;0")</f>
        <v>19740.000000000007</v>
      </c>
      <c r="EN39" s="89">
        <f>SUMIF(EN8:EN38,"&gt;0")</f>
        <v>1221504.3600000001</v>
      </c>
      <c r="EO39" s="48"/>
      <c r="EP39" s="48"/>
      <c r="EQ39" s="90">
        <f>SUMIF(EQ8:EQ38,"&gt;0")</f>
        <v>211182.18000000008</v>
      </c>
      <c r="ER39" s="90"/>
      <c r="ES39" s="90"/>
      <c r="ET39" s="90">
        <f>SUMIF(ET8:ET38,"&gt;0")</f>
        <v>484000</v>
      </c>
      <c r="EU39" s="90"/>
      <c r="EV39" s="90"/>
      <c r="EW39" s="90">
        <f>SUMIF(EW8:EW38,"&gt;0")</f>
        <v>313282.18000000023</v>
      </c>
      <c r="EX39" s="48"/>
      <c r="EY39" s="48"/>
      <c r="EZ39" s="90">
        <f>SUMIF(EZ8:EZ38,"&gt;0")</f>
        <v>343982.18</v>
      </c>
      <c r="FA39" s="90"/>
      <c r="FB39" s="90"/>
      <c r="FC39" s="90"/>
      <c r="FD39" s="90">
        <f>SUMIF(FD8:FD38,"&gt;0")</f>
        <v>1401838.5399999998</v>
      </c>
      <c r="FE39" s="48"/>
      <c r="FF39" s="48"/>
      <c r="FG39" s="90">
        <f>SUMIF(FG8:FG38,"&gt;0")</f>
        <v>289782.17999999993</v>
      </c>
      <c r="FH39" s="90"/>
      <c r="FI39" s="90"/>
      <c r="FJ39" s="90">
        <f>SUMIF(FJ8:FJ38,"&gt;0")</f>
        <v>475982.18</v>
      </c>
      <c r="FK39" s="90"/>
      <c r="FL39" s="90">
        <f>SUMIF(FL8:FL38,"&gt;0")</f>
        <v>0</v>
      </c>
      <c r="FM39" s="90">
        <f>SUMIF(FM8:FM38,"&gt;0")</f>
        <v>5779.536666667811</v>
      </c>
      <c r="FN39" s="48"/>
      <c r="FO39" s="48"/>
      <c r="FP39" s="90">
        <f>SUMIF(FP8:FP38,"&gt;0")</f>
        <v>305982.18000000005</v>
      </c>
      <c r="FQ39" s="90"/>
      <c r="FR39" s="90"/>
      <c r="FS39" s="90">
        <f>SUMIF(FS8:FS38,"&gt;0")</f>
        <v>1042999.9999999999</v>
      </c>
      <c r="FT39" s="90"/>
      <c r="FU39" s="90">
        <f>SUMIF(FU8:FU38,"&gt;0")</f>
        <v>1072446.54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120</v>
      </c>
      <c r="GQ39" s="90"/>
      <c r="GR39" s="90"/>
      <c r="GS39" s="90">
        <f>SUM(GS8:GS38)</f>
        <v>6470</v>
      </c>
      <c r="GT39" s="247"/>
      <c r="GU39" s="90">
        <f>SUM(GU8:GU38)</f>
        <v>-0.30000000714790076</v>
      </c>
      <c r="GV39" s="90">
        <f>SUM(GV8:GV38)</f>
        <v>91576.300000017931</v>
      </c>
      <c r="GW39" s="245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G39" s="92"/>
      <c r="HH39" s="61"/>
      <c r="HI39" s="61"/>
      <c r="HJ39" s="61">
        <f>SUM(HJ7:HJ38)</f>
        <v>5167000</v>
      </c>
      <c r="HK39" s="61"/>
      <c r="HL39" s="61"/>
      <c r="HM39" s="61">
        <f>SUM(HM7:HM38)</f>
        <v>0</v>
      </c>
      <c r="HN39" s="61"/>
      <c r="HO39" s="61"/>
      <c r="HP39" s="61">
        <f>SUM(HP7:HP38)</f>
        <v>1276785.0000000002</v>
      </c>
      <c r="HQ39" s="61"/>
      <c r="HR39" s="61"/>
      <c r="HS39" s="61">
        <f>SUM(HS7:HS38)</f>
        <v>765585.00000000047</v>
      </c>
      <c r="HT39" s="61"/>
      <c r="HU39" s="61"/>
      <c r="HV39" s="61">
        <f>SUM(HV7:HV38)</f>
        <v>787684.99999999988</v>
      </c>
      <c r="HW39" s="61"/>
      <c r="HX39" s="61"/>
      <c r="HY39" s="61">
        <f>SUM(HY7:HY38)</f>
        <v>713144.99999999977</v>
      </c>
      <c r="HZ39" s="61"/>
      <c r="IA39" s="61"/>
      <c r="IB39" s="61">
        <f>SUM(IB7:IB38)</f>
        <v>842600</v>
      </c>
      <c r="IC39" s="61"/>
      <c r="ID39" s="61"/>
      <c r="IE39" s="61">
        <f>SUM(IE7:IE38)</f>
        <v>0</v>
      </c>
      <c r="IF39" s="61"/>
      <c r="IG39" s="61"/>
      <c r="IH39" s="61">
        <f>SUM(IH7:IH38)</f>
        <v>756400</v>
      </c>
      <c r="II39" s="281">
        <f>SUM(II8:II38)</f>
        <v>1.5279510989785194E-10</v>
      </c>
      <c r="IJ39" s="245"/>
      <c r="IK39" s="245"/>
      <c r="IL39" s="245">
        <f>SUM(IL7:IL38)</f>
        <v>0</v>
      </c>
      <c r="IM39" s="245"/>
      <c r="IN39" s="245"/>
      <c r="IO39" s="245">
        <f>SUM(IO7:IO38)</f>
        <v>0</v>
      </c>
      <c r="IP39" s="245"/>
      <c r="IQ39" s="245"/>
      <c r="IR39" s="245">
        <f>SUM(IR7:IR38)</f>
        <v>0</v>
      </c>
      <c r="IS39" s="245"/>
      <c r="IT39" s="245"/>
      <c r="IU39" s="245">
        <f>SUM(IU7:IU38)</f>
        <v>0</v>
      </c>
      <c r="IV39" s="245"/>
      <c r="IW39" s="245"/>
      <c r="IX39" s="245">
        <f>SUM(IX7:IX38)</f>
        <v>0</v>
      </c>
      <c r="IY39" s="245"/>
      <c r="IZ39" s="245"/>
      <c r="JA39" s="245">
        <f>SUM(JA7:JA38)</f>
        <v>0</v>
      </c>
      <c r="JB39" s="245"/>
      <c r="JC39" s="245"/>
      <c r="JD39" s="245">
        <f>SUM(JD7:JD38)</f>
        <v>0</v>
      </c>
      <c r="JE39" s="245"/>
      <c r="JF39" s="245"/>
      <c r="JG39" s="245">
        <f>SUM(JG7:JG38)</f>
        <v>0</v>
      </c>
      <c r="JH39" s="245"/>
      <c r="JI39" s="245"/>
      <c r="JJ39" s="245">
        <f>SUM(JJ7:JJ38)</f>
        <v>0</v>
      </c>
      <c r="JK39" s="245"/>
      <c r="JL39" s="245"/>
      <c r="JM39" s="245">
        <f>SUM(JM7:JM38)</f>
        <v>0</v>
      </c>
      <c r="JN39" s="245"/>
      <c r="JO39" s="245"/>
      <c r="JP39" s="245">
        <f>SUM(JP7:JP38)</f>
        <v>0</v>
      </c>
      <c r="JQ39" s="245"/>
      <c r="JR39" s="245"/>
      <c r="JS39" s="245">
        <f>SUM(JS7:JS38)</f>
        <v>0</v>
      </c>
      <c r="JT39" s="245"/>
      <c r="JU39" s="245"/>
      <c r="JV39" s="245">
        <f>SUM(JV7:JV38)</f>
        <v>0</v>
      </c>
      <c r="JW39" s="245"/>
      <c r="JX39" s="245"/>
      <c r="JY39" s="245">
        <f>SUM(JY7:JY38)</f>
        <v>0</v>
      </c>
      <c r="JZ39" s="245"/>
      <c r="KA39" s="245"/>
      <c r="KB39" s="245">
        <f>SUM(KB7:KB38)</f>
        <v>0</v>
      </c>
      <c r="KC39" s="245"/>
      <c r="KD39" s="245"/>
      <c r="KE39" s="245">
        <f>SUM(KE7:KE38)</f>
        <v>0</v>
      </c>
      <c r="KG39">
        <f>SUM(KG7:KG38)</f>
        <v>2046410</v>
      </c>
    </row>
    <row r="40" spans="1:293" x14ac:dyDescent="0.25">
      <c r="B40" s="91"/>
      <c r="C40" s="91"/>
      <c r="D40" s="94"/>
      <c r="E40" s="91"/>
      <c r="F40" s="91"/>
      <c r="U40" s="91">
        <f>U25-U23</f>
        <v>1.9599999999627471</v>
      </c>
      <c r="V40" s="172">
        <f>U40/2</f>
        <v>0.97999999998137355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249"/>
      <c r="HC40" s="151"/>
      <c r="HD40" s="74"/>
    </row>
    <row r="41" spans="1:293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419" t="s">
        <v>208</v>
      </c>
      <c r="BV41" s="419"/>
      <c r="BW41" s="419"/>
      <c r="BY41" s="406" t="s">
        <v>205</v>
      </c>
      <c r="BZ41" s="406"/>
      <c r="CA41" s="406"/>
      <c r="CC41" s="91"/>
      <c r="CE41" s="95"/>
      <c r="CF41" s="95"/>
      <c r="CG41" s="95"/>
      <c r="CH41" s="96"/>
      <c r="CI41" s="92"/>
      <c r="CJ41" s="92"/>
      <c r="CK41" s="92"/>
      <c r="CL41" s="92"/>
      <c r="CZ41" s="91"/>
      <c r="DB41" s="91"/>
      <c r="DS41" s="24"/>
      <c r="DT41" s="151"/>
      <c r="DU41" s="406" t="s">
        <v>205</v>
      </c>
      <c r="DV41" s="406"/>
      <c r="DW41" s="406"/>
      <c r="DX41" s="406" t="s">
        <v>203</v>
      </c>
      <c r="DY41" s="406"/>
      <c r="DZ41" s="406"/>
      <c r="EA41" s="406" t="s">
        <v>204</v>
      </c>
      <c r="EB41" s="406"/>
      <c r="EC41" s="406"/>
      <c r="EE41" t="s">
        <v>108</v>
      </c>
      <c r="EF41" s="3"/>
      <c r="EJ41" s="2"/>
      <c r="EK41" s="174"/>
      <c r="EL41" s="174"/>
      <c r="EN41" s="2"/>
      <c r="EO41" s="406" t="s">
        <v>155</v>
      </c>
      <c r="EP41" s="406"/>
      <c r="EQ41" s="406"/>
      <c r="ER41" s="406" t="s">
        <v>135</v>
      </c>
      <c r="ES41" s="406"/>
      <c r="ET41" s="406"/>
      <c r="EU41" s="406" t="s">
        <v>155</v>
      </c>
      <c r="EV41" s="406"/>
      <c r="EW41" s="406"/>
      <c r="EX41" s="406"/>
      <c r="EY41" s="406"/>
      <c r="EZ41" s="406"/>
      <c r="FE41" s="407" t="s">
        <v>155</v>
      </c>
      <c r="FF41" s="407"/>
      <c r="FG41" s="407"/>
      <c r="FH41" s="406" t="s">
        <v>135</v>
      </c>
      <c r="FI41" s="406"/>
      <c r="FJ41" s="406"/>
      <c r="FO41" s="407" t="s">
        <v>155</v>
      </c>
      <c r="FP41" s="407"/>
      <c r="FQ41" s="407"/>
      <c r="FS41" s="273" t="s">
        <v>427</v>
      </c>
      <c r="FX41" s="91">
        <f>SUM(FX8:FX38)</f>
        <v>622300</v>
      </c>
      <c r="GA41" s="91">
        <f>SUM(GA8:GA38)</f>
        <v>159500</v>
      </c>
      <c r="GG41" s="91">
        <f>SUM(GG8:GG38)</f>
        <v>166907.99999999997</v>
      </c>
      <c r="GJ41" s="151"/>
      <c r="GK41" s="151"/>
      <c r="GM41" s="91"/>
      <c r="GN41" s="91"/>
      <c r="GS41" s="3"/>
      <c r="HD41" s="74"/>
      <c r="HH41" s="245" t="s">
        <v>284</v>
      </c>
      <c r="HI41" s="245" t="s">
        <v>289</v>
      </c>
      <c r="HJ41" s="245" t="s">
        <v>288</v>
      </c>
      <c r="HX41" s="151"/>
    </row>
    <row r="42" spans="1:293" ht="33.75" x14ac:dyDescent="0.5">
      <c r="B42" s="94"/>
      <c r="C42" s="94"/>
      <c r="D42" s="94"/>
      <c r="F42" s="94"/>
      <c r="G42" s="94"/>
      <c r="L42" s="24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35">BW8</f>
        <v>5960</v>
      </c>
      <c r="CE42" s="96">
        <f t="shared" ref="CE42:CE45" si="136">CD42-CF43</f>
        <v>5689.1000000000931</v>
      </c>
      <c r="CF42" s="98">
        <f t="shared" ref="CF42:CF46" si="137">CD42-CE42</f>
        <v>270.89999999990687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414" t="s">
        <v>224</v>
      </c>
      <c r="DR42" s="414"/>
      <c r="DS42" s="414"/>
      <c r="DT42" s="414"/>
      <c r="EE42" t="s">
        <v>109</v>
      </c>
      <c r="EJ42" s="3"/>
      <c r="EK42" s="174"/>
      <c r="EL42" s="174"/>
      <c r="EN42" s="2"/>
      <c r="EO42" s="151"/>
      <c r="FF42" s="416" t="s">
        <v>243</v>
      </c>
      <c r="FG42" s="416"/>
      <c r="FH42" s="416" t="s">
        <v>246</v>
      </c>
      <c r="FI42" s="416"/>
      <c r="FJ42" s="415" t="s">
        <v>247</v>
      </c>
      <c r="FK42" s="415"/>
      <c r="FL42" s="415" t="s">
        <v>245</v>
      </c>
      <c r="FM42" s="415"/>
      <c r="FN42" s="416" t="s">
        <v>37</v>
      </c>
      <c r="FO42" s="418" t="s">
        <v>310</v>
      </c>
      <c r="FP42" s="406"/>
      <c r="FQ42" s="500"/>
      <c r="FR42" s="402" t="s">
        <v>1</v>
      </c>
      <c r="FS42" s="530" t="s">
        <v>306</v>
      </c>
      <c r="FT42" s="530"/>
      <c r="FU42" s="530"/>
      <c r="FV42" s="245" t="s">
        <v>307</v>
      </c>
      <c r="FW42" s="245"/>
      <c r="GJ42" s="151"/>
      <c r="GK42" s="151"/>
      <c r="GO42" s="91"/>
      <c r="HD42" s="74"/>
      <c r="HH42" s="245" t="s">
        <v>270</v>
      </c>
      <c r="HI42" s="245">
        <f>HJ39</f>
        <v>5167000</v>
      </c>
      <c r="HJ42" s="245"/>
      <c r="HT42" s="151"/>
      <c r="HX42" s="151"/>
      <c r="IE42" s="274" t="s">
        <v>424</v>
      </c>
      <c r="IH42" s="524" t="s">
        <v>401</v>
      </c>
      <c r="II42" s="525"/>
      <c r="IJ42" s="525"/>
      <c r="IK42" s="525"/>
      <c r="IL42" s="526"/>
      <c r="IO42" s="529" t="s">
        <v>403</v>
      </c>
      <c r="IP42" s="529"/>
      <c r="IQ42" s="529"/>
      <c r="IR42" s="529"/>
      <c r="IS42" s="529"/>
      <c r="IT42" s="529"/>
      <c r="JN42" t="s">
        <v>296</v>
      </c>
    </row>
    <row r="43" spans="1:293" x14ac:dyDescent="0.25">
      <c r="B43" s="245" t="s">
        <v>170</v>
      </c>
      <c r="C43" s="245"/>
      <c r="D43" s="245" t="s">
        <v>171</v>
      </c>
      <c r="E43" s="245" t="s">
        <v>170</v>
      </c>
      <c r="F43" s="245"/>
      <c r="G43" s="245" t="s">
        <v>172</v>
      </c>
      <c r="H43" s="245" t="s">
        <v>168</v>
      </c>
      <c r="I43" s="245"/>
      <c r="J43" s="245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35"/>
        <v>7584</v>
      </c>
      <c r="CE43" s="96">
        <f t="shared" si="136"/>
        <v>7313.1000000000931</v>
      </c>
      <c r="CF43" s="98">
        <f t="shared" si="137"/>
        <v>270.89999999990687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408" t="s">
        <v>225</v>
      </c>
      <c r="DR43" s="409"/>
      <c r="DS43" s="408" t="s">
        <v>226</v>
      </c>
      <c r="DT43" s="409"/>
      <c r="EE43" t="s">
        <v>110</v>
      </c>
      <c r="EJ43" s="2"/>
      <c r="EK43" s="174"/>
      <c r="EL43" s="174"/>
      <c r="EN43" s="3"/>
      <c r="EO43" s="151"/>
      <c r="EZ43" s="416" t="s">
        <v>241</v>
      </c>
      <c r="FA43" s="416" t="s">
        <v>242</v>
      </c>
      <c r="FB43" s="416" t="s">
        <v>37</v>
      </c>
      <c r="FD43" s="3"/>
      <c r="FF43" s="416"/>
      <c r="FG43" s="416"/>
      <c r="FH43" s="416"/>
      <c r="FI43" s="416"/>
      <c r="FJ43" s="415"/>
      <c r="FK43" s="415"/>
      <c r="FL43" s="415"/>
      <c r="FM43" s="415"/>
      <c r="FN43" s="416"/>
      <c r="FO43" s="418"/>
      <c r="FP43" s="406"/>
      <c r="FQ43" s="500"/>
      <c r="FR43" s="402"/>
      <c r="FS43" s="179" t="s">
        <v>82</v>
      </c>
      <c r="FT43" s="245" t="s">
        <v>83</v>
      </c>
      <c r="FU43" s="179" t="s">
        <v>257</v>
      </c>
      <c r="FV43" s="245" t="s">
        <v>308</v>
      </c>
      <c r="FW43" s="245" t="s">
        <v>309</v>
      </c>
      <c r="HD43" s="74"/>
      <c r="HH43" s="245" t="s">
        <v>271</v>
      </c>
      <c r="HI43" s="245">
        <f>HM39</f>
        <v>0</v>
      </c>
      <c r="HJ43" s="245"/>
      <c r="HT43" s="151"/>
      <c r="HV43" s="151"/>
      <c r="HW43" s="151"/>
      <c r="HX43" s="151"/>
      <c r="IH43" s="245"/>
      <c r="II43" s="245" t="s">
        <v>291</v>
      </c>
      <c r="IJ43" s="245"/>
      <c r="IK43" s="245"/>
      <c r="IL43" s="245"/>
      <c r="IO43" s="529"/>
      <c r="IP43" s="529"/>
      <c r="IQ43" s="529"/>
      <c r="IR43" s="529"/>
      <c r="IS43" s="529"/>
      <c r="IT43" s="529"/>
      <c r="JN43">
        <f t="shared" ref="JN43:JN63" si="138">HY15-JP15</f>
        <v>25799.999999999818</v>
      </c>
    </row>
    <row r="44" spans="1:293" x14ac:dyDescent="0.25">
      <c r="B44" s="245" t="s">
        <v>115</v>
      </c>
      <c r="C44" s="245" t="s">
        <v>116</v>
      </c>
      <c r="D44" s="245"/>
      <c r="E44" s="245" t="s">
        <v>115</v>
      </c>
      <c r="F44" s="245" t="s">
        <v>116</v>
      </c>
      <c r="G44" s="245"/>
      <c r="H44" s="245" t="s">
        <v>115</v>
      </c>
      <c r="I44" s="245" t="s">
        <v>116</v>
      </c>
      <c r="J44" s="245"/>
      <c r="AM44" s="151"/>
      <c r="BH44" s="96"/>
      <c r="BI44" s="96"/>
      <c r="BJ44" s="96"/>
      <c r="BW44" s="91"/>
      <c r="BY44" s="91"/>
      <c r="CC44" s="91"/>
      <c r="CD44" s="91">
        <f t="shared" si="135"/>
        <v>6643</v>
      </c>
      <c r="CE44" s="96">
        <f t="shared" si="136"/>
        <v>6372.1000000000931</v>
      </c>
      <c r="CF44" s="98">
        <f t="shared" si="137"/>
        <v>270.89999999990687</v>
      </c>
      <c r="CG44" s="96">
        <v>4450.1999999999753</v>
      </c>
      <c r="CH44" s="96">
        <f t="shared" ref="CH44:CH46" si="139">CG44-CD10-CH10</f>
        <v>3490.799999999952</v>
      </c>
      <c r="CI44" s="92"/>
      <c r="CJ44" s="92"/>
      <c r="CK44" s="92"/>
      <c r="CL44" s="92"/>
      <c r="CQ44" s="161"/>
      <c r="CR44" s="161"/>
      <c r="CV44" s="91"/>
      <c r="DQ44" s="410"/>
      <c r="DR44" s="411"/>
      <c r="DS44" s="410"/>
      <c r="DT44" s="411"/>
      <c r="EE44" t="s">
        <v>111</v>
      </c>
      <c r="EJ44" s="2"/>
      <c r="EV44" t="s">
        <v>235</v>
      </c>
      <c r="EZ44" s="416"/>
      <c r="FA44" s="416"/>
      <c r="FB44" s="416"/>
      <c r="FC44" s="21"/>
      <c r="FD44" s="245" t="s">
        <v>244</v>
      </c>
      <c r="FE44" s="10"/>
      <c r="FF44" s="245" t="s">
        <v>15</v>
      </c>
      <c r="FG44" s="55" t="s">
        <v>16</v>
      </c>
      <c r="FH44" s="245" t="s">
        <v>132</v>
      </c>
      <c r="FI44" s="245" t="s">
        <v>133</v>
      </c>
      <c r="FJ44" s="245" t="s">
        <v>132</v>
      </c>
      <c r="FK44" s="245" t="s">
        <v>133</v>
      </c>
      <c r="FL44" s="245" t="s">
        <v>132</v>
      </c>
      <c r="FM44" s="245" t="s">
        <v>133</v>
      </c>
      <c r="FN44" s="416"/>
      <c r="FO44" s="418"/>
      <c r="FP44" s="406"/>
      <c r="FQ44" s="500"/>
      <c r="FR44" s="245">
        <v>1</v>
      </c>
      <c r="FS44" s="251">
        <v>821.7</v>
      </c>
      <c r="FT44" s="245"/>
      <c r="FU44" s="245"/>
      <c r="FV44" s="245"/>
      <c r="FW44" s="245"/>
      <c r="HD44" s="74"/>
      <c r="HH44" s="245" t="s">
        <v>272</v>
      </c>
      <c r="HI44" s="245">
        <f>HS39</f>
        <v>765585.00000000047</v>
      </c>
      <c r="HJ44" s="245"/>
      <c r="HT44" s="151"/>
      <c r="HV44" s="151"/>
      <c r="HW44" s="151"/>
      <c r="HX44" s="151"/>
      <c r="IH44" s="245"/>
      <c r="II44" s="245"/>
      <c r="IJ44" s="245" t="s">
        <v>292</v>
      </c>
      <c r="IK44" s="245"/>
      <c r="IL44" s="245" t="s">
        <v>292</v>
      </c>
      <c r="IO44" s="529"/>
      <c r="IP44" s="529"/>
      <c r="IQ44" s="529"/>
      <c r="IR44" s="529"/>
      <c r="IS44" s="529"/>
      <c r="IT44" s="529"/>
      <c r="JN44">
        <f t="shared" si="138"/>
        <v>24275.000000000091</v>
      </c>
    </row>
    <row r="45" spans="1:293" x14ac:dyDescent="0.25">
      <c r="A45" s="35">
        <v>31</v>
      </c>
      <c r="B45" s="138">
        <v>0.37280000000000002</v>
      </c>
      <c r="C45" s="65"/>
      <c r="D45" s="55"/>
      <c r="E45" s="251">
        <v>32907</v>
      </c>
      <c r="F45" s="245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35"/>
        <v>6858</v>
      </c>
      <c r="CE45" s="96">
        <f t="shared" si="136"/>
        <v>6587.1000000000931</v>
      </c>
      <c r="CF45" s="98">
        <f t="shared" si="137"/>
        <v>270.89999999990687</v>
      </c>
      <c r="CG45" s="96">
        <v>4316.1999999999753</v>
      </c>
      <c r="CH45" s="96">
        <f t="shared" si="139"/>
        <v>2917.1999999999753</v>
      </c>
      <c r="CI45" s="92"/>
      <c r="CJ45" s="92"/>
      <c r="CK45" s="92"/>
      <c r="CL45" s="92"/>
      <c r="DQ45" s="412"/>
      <c r="DR45" s="413"/>
      <c r="DS45" s="412"/>
      <c r="DT45" s="413"/>
      <c r="EE45" t="s">
        <v>114</v>
      </c>
      <c r="EV45" t="s">
        <v>236</v>
      </c>
      <c r="EW45" s="406" t="s">
        <v>238</v>
      </c>
      <c r="EX45" s="406"/>
      <c r="EZ45" s="203">
        <f>EZ8</f>
        <v>10908.5</v>
      </c>
      <c r="FA45" s="205">
        <f>FP8</f>
        <v>9908.5</v>
      </c>
      <c r="FB45" s="201">
        <f>EZ45+FA45</f>
        <v>20817</v>
      </c>
      <c r="FC45" s="245">
        <f>85*0.6355*24</f>
        <v>1296.42</v>
      </c>
      <c r="FD45" s="167">
        <f>FB45-$FC$45</f>
        <v>19520.580000000002</v>
      </c>
      <c r="FE45" s="245"/>
      <c r="FF45" s="199">
        <v>0.5</v>
      </c>
      <c r="FG45" s="200">
        <v>0.5</v>
      </c>
      <c r="FH45" s="245">
        <f>FF45*$FC$45</f>
        <v>648.21</v>
      </c>
      <c r="FI45" s="179">
        <f>FG45*$FC$45</f>
        <v>648.21</v>
      </c>
      <c r="FJ45" s="179">
        <f>FF45*FD45</f>
        <v>9760.2900000000009</v>
      </c>
      <c r="FK45" s="179">
        <f>FG45*FD45</f>
        <v>9760.2900000000009</v>
      </c>
      <c r="FL45" s="204">
        <f>FH45+FJ45</f>
        <v>10408.5</v>
      </c>
      <c r="FM45" s="206">
        <f>FI45+FK45</f>
        <v>10408.5</v>
      </c>
      <c r="FN45" s="202">
        <f>FL45+FM45</f>
        <v>20817</v>
      </c>
      <c r="FQ45" s="217"/>
      <c r="FR45" s="245">
        <v>2</v>
      </c>
      <c r="FS45" s="251">
        <v>823.39</v>
      </c>
      <c r="FT45" s="245"/>
      <c r="FU45" s="245">
        <f>(FS45-FS44)*1000</f>
        <v>1689.9999999999409</v>
      </c>
      <c r="FV45" s="245">
        <f t="shared" ref="FV45:FV61" si="140">FU45/2</f>
        <v>844.99999999997044</v>
      </c>
      <c r="FW45" s="245">
        <f t="shared" ref="FW45:FW61" si="141">FU45/2</f>
        <v>844.99999999997044</v>
      </c>
      <c r="HD45" s="74"/>
      <c r="HH45" s="245" t="s">
        <v>273</v>
      </c>
      <c r="HI45" s="245">
        <f>HV39</f>
        <v>787684.99999999988</v>
      </c>
      <c r="HJ45" s="179"/>
      <c r="HR45" s="151"/>
      <c r="HS45" s="151"/>
      <c r="HT45" s="151"/>
      <c r="HV45" s="151"/>
      <c r="HW45" s="151"/>
      <c r="IG45" s="151"/>
      <c r="IH45" s="245">
        <v>1</v>
      </c>
      <c r="II45" s="144">
        <f>DailySep!BX7+DailySep!BY7-DailySep!BZ7-DailySep!CA7-DailySep!CB7-DailySep!CC7-DailySep!CD7-DailySep!CF7-DailySep!CE7</f>
        <v>4.5110937207937241E-10</v>
      </c>
      <c r="IJ45" s="251">
        <v>-1300</v>
      </c>
      <c r="IK45" s="245">
        <f>IJ45/4</f>
        <v>-325</v>
      </c>
      <c r="IL45" s="251">
        <v>-325</v>
      </c>
      <c r="IO45" s="529"/>
      <c r="IP45" s="529"/>
      <c r="IQ45" s="529"/>
      <c r="IR45" s="529"/>
      <c r="IS45" s="529"/>
      <c r="IT45" s="529"/>
      <c r="JN45">
        <f t="shared" si="138"/>
        <v>23450</v>
      </c>
    </row>
    <row r="46" spans="1:293" ht="15" customHeight="1" x14ac:dyDescent="0.25">
      <c r="A46" s="35">
        <v>1</v>
      </c>
      <c r="B46" s="138">
        <v>0.37280000000000002</v>
      </c>
      <c r="C46" s="65"/>
      <c r="D46" s="37">
        <f>IF((B46-B45)&lt;=0,0,(B46-B45))*1000000</f>
        <v>0</v>
      </c>
      <c r="E46" s="251">
        <v>32986</v>
      </c>
      <c r="F46" s="245"/>
      <c r="G46" s="37">
        <f t="shared" ref="G46:G76" si="142">IF((E46-E45)&lt;=0,0,(E46-E45))*1000</f>
        <v>79000</v>
      </c>
      <c r="H46" s="138"/>
      <c r="I46" s="65"/>
      <c r="J46" s="37">
        <f t="shared" ref="J46:J75" si="143">IF((H46-H45)&lt;=0,0,(H46-H45))*1000</f>
        <v>0</v>
      </c>
      <c r="M46" s="24"/>
      <c r="N46" s="24"/>
      <c r="BH46" s="96"/>
      <c r="BI46" s="96"/>
      <c r="BJ46" s="96"/>
      <c r="CC46" s="91"/>
      <c r="CD46" s="91">
        <f t="shared" si="135"/>
        <v>6875</v>
      </c>
      <c r="CE46" s="96">
        <f>CD46-CF47</f>
        <v>6604.1000000000931</v>
      </c>
      <c r="CF46" s="98">
        <f t="shared" si="137"/>
        <v>270.89999999990687</v>
      </c>
      <c r="CG46" s="96">
        <v>3692.1999999999753</v>
      </c>
      <c r="CH46" s="96">
        <f t="shared" si="139"/>
        <v>2107.9000000000451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233"/>
      <c r="EX46" s="233"/>
      <c r="EZ46" s="203">
        <f t="shared" ref="EZ46:EZ75" si="144">EZ9</f>
        <v>9026.15</v>
      </c>
      <c r="FA46" s="205">
        <f t="shared" ref="FA46:FA75" si="145">FP9</f>
        <v>9026.15</v>
      </c>
      <c r="FB46" s="201">
        <f t="shared" ref="FB46:FB75" si="146">EZ46+FA46</f>
        <v>18052.3</v>
      </c>
      <c r="FC46" s="245"/>
      <c r="FD46" s="167">
        <f t="shared" ref="FD46:FD75" si="147">FB46-$FC$45</f>
        <v>16755.879999999997</v>
      </c>
      <c r="FE46" s="245"/>
      <c r="FF46" s="199">
        <v>0.5</v>
      </c>
      <c r="FG46" s="200">
        <v>0.5</v>
      </c>
      <c r="FH46" s="245">
        <f t="shared" ref="FH46:FI75" si="148">FF46*$FC$45</f>
        <v>648.21</v>
      </c>
      <c r="FI46" s="179">
        <f t="shared" si="148"/>
        <v>648.21</v>
      </c>
      <c r="FJ46" s="179">
        <f t="shared" ref="FJ46:FJ75" si="149">FF46*FD46</f>
        <v>8377.9399999999987</v>
      </c>
      <c r="FK46" s="179">
        <f t="shared" ref="FK46:FK75" si="150">FG46*FD46</f>
        <v>8377.9399999999987</v>
      </c>
      <c r="FL46" s="204">
        <f t="shared" ref="FL46:FM75" si="151">FH46+FJ46</f>
        <v>9026.1499999999978</v>
      </c>
      <c r="FM46" s="206">
        <f t="shared" si="151"/>
        <v>9026.1499999999978</v>
      </c>
      <c r="FN46" s="202">
        <f t="shared" ref="FN46:FN75" si="152">FL46+FM46</f>
        <v>18052.299999999996</v>
      </c>
      <c r="FQ46" s="217"/>
      <c r="FR46" s="245">
        <v>3</v>
      </c>
      <c r="FS46" s="251">
        <v>825.5</v>
      </c>
      <c r="FT46" s="245"/>
      <c r="FU46" s="245">
        <f t="shared" ref="FU46:FU61" si="153">(FS46-FS45)*1000</f>
        <v>2110.0000000000136</v>
      </c>
      <c r="FV46" s="245">
        <f t="shared" si="140"/>
        <v>1055.0000000000068</v>
      </c>
      <c r="FW46" s="245">
        <f t="shared" si="141"/>
        <v>1055.0000000000068</v>
      </c>
      <c r="HH46" s="245" t="s">
        <v>274</v>
      </c>
      <c r="HI46" s="245">
        <f>HY39</f>
        <v>713144.99999999977</v>
      </c>
      <c r="HJ46" s="245"/>
      <c r="HV46" s="151"/>
      <c r="IH46" s="245">
        <v>2</v>
      </c>
      <c r="II46" s="144">
        <f>DailySep!BX8+DailySep!BY8-DailySep!BZ8-DailySep!CA8-DailySep!CB8-DailySep!CC8-DailySep!CD8-DailySep!CF8-DailySep!CE8</f>
        <v>8.7311491370201111E-11</v>
      </c>
      <c r="IJ46" s="251">
        <v>2300</v>
      </c>
      <c r="IK46" s="245">
        <f t="shared" ref="IK46:IK75" si="154">IJ46/4</f>
        <v>575</v>
      </c>
      <c r="IL46" s="251">
        <v>575</v>
      </c>
      <c r="IO46" s="529"/>
      <c r="IP46" s="529"/>
      <c r="IQ46" s="529"/>
      <c r="IR46" s="529"/>
      <c r="IS46" s="529"/>
      <c r="IT46" s="529"/>
      <c r="JN46">
        <f t="shared" si="138"/>
        <v>23975.000000000091</v>
      </c>
    </row>
    <row r="47" spans="1:293" ht="15" customHeight="1" x14ac:dyDescent="0.25">
      <c r="A47" s="35">
        <v>2</v>
      </c>
      <c r="B47" s="138">
        <v>0.37280000000000002</v>
      </c>
      <c r="C47" s="65"/>
      <c r="D47" s="37">
        <f t="shared" ref="D47:D75" si="155">IF((B47-B46)&lt;=0,0,(B47-B46))*1000000</f>
        <v>0</v>
      </c>
      <c r="E47" s="251">
        <v>33068</v>
      </c>
      <c r="F47" s="245"/>
      <c r="G47" s="37">
        <f t="shared" si="142"/>
        <v>82000</v>
      </c>
      <c r="H47" s="138"/>
      <c r="I47" s="65"/>
      <c r="J47" s="37">
        <f t="shared" si="143"/>
        <v>0</v>
      </c>
      <c r="L47" s="287"/>
      <c r="BH47" s="96"/>
      <c r="BI47" s="96"/>
      <c r="BJ47" s="96"/>
      <c r="CC47" s="91"/>
      <c r="CD47" s="91">
        <f>BW13</f>
        <v>6192</v>
      </c>
      <c r="CE47" s="96">
        <f>CD13+CF13+CH13</f>
        <v>5921.1000000000931</v>
      </c>
      <c r="CF47" s="98">
        <f>CD47-CE47</f>
        <v>270.89999999990687</v>
      </c>
      <c r="CG47" s="96">
        <v>5653.1999999999753</v>
      </c>
      <c r="CH47" s="96">
        <f>CG47-CD13-CH13</f>
        <v>4606.0999999998821</v>
      </c>
      <c r="CI47" s="92"/>
      <c r="CJ47" s="92"/>
      <c r="CK47" s="92"/>
      <c r="CL47" s="92"/>
      <c r="CN47" s="91"/>
      <c r="DP47">
        <v>31</v>
      </c>
      <c r="DQ47" s="50">
        <v>8.2584</v>
      </c>
      <c r="DR47" s="49"/>
      <c r="DS47" s="50">
        <v>51.348999999999997</v>
      </c>
      <c r="DT47" s="49"/>
      <c r="EV47" t="s">
        <v>239</v>
      </c>
      <c r="EZ47" s="203">
        <f t="shared" si="144"/>
        <v>5530.05</v>
      </c>
      <c r="FA47" s="205">
        <f t="shared" si="145"/>
        <v>8530.0499999999993</v>
      </c>
      <c r="FB47" s="201">
        <f t="shared" si="146"/>
        <v>14060.099999999999</v>
      </c>
      <c r="FC47" s="245"/>
      <c r="FD47" s="167">
        <f t="shared" si="147"/>
        <v>12763.679999999998</v>
      </c>
      <c r="FE47" s="245"/>
      <c r="FF47" s="199">
        <v>0.5</v>
      </c>
      <c r="FG47" s="200">
        <v>0.5</v>
      </c>
      <c r="FH47" s="245">
        <f t="shared" si="148"/>
        <v>648.21</v>
      </c>
      <c r="FI47" s="179">
        <f t="shared" si="148"/>
        <v>648.21</v>
      </c>
      <c r="FJ47" s="179">
        <f t="shared" si="149"/>
        <v>6381.8399999999992</v>
      </c>
      <c r="FK47" s="179">
        <f t="shared" si="150"/>
        <v>6381.8399999999992</v>
      </c>
      <c r="FL47" s="204">
        <f t="shared" si="151"/>
        <v>7030.0499999999993</v>
      </c>
      <c r="FM47" s="206">
        <f t="shared" si="151"/>
        <v>7030.0499999999993</v>
      </c>
      <c r="FN47" s="202">
        <f t="shared" si="152"/>
        <v>14060.099999999999</v>
      </c>
      <c r="FQ47" s="217"/>
      <c r="FR47" s="245">
        <v>4</v>
      </c>
      <c r="FS47" s="251">
        <v>828.2</v>
      </c>
      <c r="FT47" s="245"/>
      <c r="FU47" s="263">
        <f t="shared" si="153"/>
        <v>2700.0000000000455</v>
      </c>
      <c r="FV47" s="245">
        <f t="shared" si="140"/>
        <v>1350.0000000000227</v>
      </c>
      <c r="FW47" s="245">
        <f t="shared" si="141"/>
        <v>1350.0000000000227</v>
      </c>
      <c r="HH47" s="245" t="s">
        <v>319</v>
      </c>
      <c r="HI47" s="245">
        <f>HP39</f>
        <v>1276785.0000000002</v>
      </c>
      <c r="HJ47" s="245"/>
      <c r="HT47" s="151"/>
      <c r="HV47" s="151"/>
      <c r="HW47" s="151"/>
      <c r="IH47" s="245">
        <v>3</v>
      </c>
      <c r="II47" s="144">
        <f>DailySep!BX9+DailySep!BY9-DailySep!BZ9-DailySep!CA9-DailySep!CB9-DailySep!CC9-DailySep!CD9-DailySep!CF9-DailySep!CE9</f>
        <v>-5.6024873629212379E-10</v>
      </c>
      <c r="IJ47" s="251">
        <v>200</v>
      </c>
      <c r="IK47" s="245">
        <f t="shared" si="154"/>
        <v>50</v>
      </c>
      <c r="IL47" s="251">
        <v>50</v>
      </c>
      <c r="IO47" s="529"/>
      <c r="IP47" s="529"/>
      <c r="IQ47" s="529"/>
      <c r="IR47" s="529"/>
      <c r="IS47" s="529"/>
      <c r="IT47" s="529"/>
      <c r="IW47" s="291"/>
      <c r="JN47">
        <f t="shared" si="138"/>
        <v>23000.000000000091</v>
      </c>
    </row>
    <row r="48" spans="1:293" ht="15" customHeight="1" x14ac:dyDescent="0.25">
      <c r="A48" s="35">
        <v>3</v>
      </c>
      <c r="B48" s="138">
        <v>0.37280000000000002</v>
      </c>
      <c r="C48" s="65"/>
      <c r="D48" s="37">
        <f t="shared" si="155"/>
        <v>0</v>
      </c>
      <c r="E48" s="251">
        <v>33153</v>
      </c>
      <c r="F48" s="245"/>
      <c r="G48" s="37">
        <f t="shared" si="142"/>
        <v>85000</v>
      </c>
      <c r="H48" s="138"/>
      <c r="I48" s="65"/>
      <c r="J48" s="37">
        <f t="shared" si="143"/>
        <v>0</v>
      </c>
      <c r="L48" s="287"/>
      <c r="AL48" s="101"/>
      <c r="AM48" s="101"/>
      <c r="AN48" s="101"/>
      <c r="AP48" s="405"/>
      <c r="AQ48" s="405"/>
      <c r="AR48" s="405"/>
      <c r="AS48" s="405"/>
      <c r="AT48" s="232"/>
      <c r="AU48" s="232"/>
      <c r="AV48" s="232"/>
      <c r="AW48" s="23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v>1</v>
      </c>
      <c r="DQ48" s="50">
        <v>8.2584</v>
      </c>
      <c r="DR48" s="49">
        <f t="shared" ref="DR48:DR78" si="156">IF((DQ48-DQ47)&lt;=0,0,(DQ48-DQ47))*10000</f>
        <v>0</v>
      </c>
      <c r="DS48" s="50">
        <v>51.348999999999997</v>
      </c>
      <c r="DT48" s="49">
        <f t="shared" ref="DT48:DT56" si="157">IF((DS48-DS47)&lt;=0,0,(DS48-DS47))*1000</f>
        <v>0</v>
      </c>
      <c r="EE48" s="406" t="s">
        <v>206</v>
      </c>
      <c r="EF48" s="406"/>
      <c r="EG48" s="406"/>
      <c r="EH48" s="406" t="s">
        <v>155</v>
      </c>
      <c r="EI48" s="406"/>
      <c r="EJ48" s="406"/>
      <c r="EK48" s="406" t="s">
        <v>207</v>
      </c>
      <c r="EL48" s="406"/>
      <c r="EM48" s="406"/>
      <c r="EV48" s="406" t="s">
        <v>240</v>
      </c>
      <c r="EW48" s="406"/>
      <c r="EX48">
        <f>85*0.6355*24</f>
        <v>1296.42</v>
      </c>
      <c r="EZ48" s="203">
        <f t="shared" si="144"/>
        <v>1514.96</v>
      </c>
      <c r="FA48" s="205">
        <f t="shared" si="145"/>
        <v>12514.96</v>
      </c>
      <c r="FB48" s="201">
        <f t="shared" si="146"/>
        <v>14029.919999999998</v>
      </c>
      <c r="FC48" s="245"/>
      <c r="FD48" s="167">
        <f t="shared" si="147"/>
        <v>12733.499999999998</v>
      </c>
      <c r="FE48" s="245"/>
      <c r="FF48" s="199">
        <v>0.5</v>
      </c>
      <c r="FG48" s="200">
        <v>0.5</v>
      </c>
      <c r="FH48" s="245">
        <f t="shared" si="148"/>
        <v>648.21</v>
      </c>
      <c r="FI48" s="179">
        <f t="shared" si="148"/>
        <v>648.21</v>
      </c>
      <c r="FJ48" s="179">
        <f t="shared" si="149"/>
        <v>6366.7499999999991</v>
      </c>
      <c r="FK48" s="179">
        <f t="shared" si="150"/>
        <v>6366.7499999999991</v>
      </c>
      <c r="FL48" s="204">
        <f t="shared" si="151"/>
        <v>7014.9599999999991</v>
      </c>
      <c r="FM48" s="206">
        <f t="shared" si="151"/>
        <v>7014.9599999999991</v>
      </c>
      <c r="FN48" s="202">
        <f t="shared" si="152"/>
        <v>14029.919999999998</v>
      </c>
      <c r="FQ48" s="217"/>
      <c r="FR48" s="245">
        <v>5</v>
      </c>
      <c r="FS48" s="251">
        <v>830.8</v>
      </c>
      <c r="FT48" s="245"/>
      <c r="FU48" s="264">
        <f t="shared" si="153"/>
        <v>2599.9999999999091</v>
      </c>
      <c r="FV48" s="245">
        <f t="shared" si="140"/>
        <v>1299.9999999999545</v>
      </c>
      <c r="FW48" s="245">
        <f t="shared" si="141"/>
        <v>1299.9999999999545</v>
      </c>
      <c r="HH48" s="245" t="s">
        <v>347</v>
      </c>
      <c r="HI48" s="245">
        <f>IB39</f>
        <v>842600</v>
      </c>
      <c r="HJ48" s="245"/>
      <c r="HT48" s="151"/>
      <c r="IH48" s="245">
        <v>4</v>
      </c>
      <c r="II48" s="144">
        <f>DailySep!BX10+DailySep!BY10-DailySep!BZ10-DailySep!CA10-DailySep!CB10-DailySep!CC10-DailySep!CD10-DailySep!CF10-DailySep!CE10</f>
        <v>1.2660166248679161E-9</v>
      </c>
      <c r="IJ48" s="251">
        <v>2100</v>
      </c>
      <c r="IK48" s="245">
        <f t="shared" si="154"/>
        <v>525</v>
      </c>
      <c r="IL48" s="251">
        <v>525</v>
      </c>
      <c r="IO48" s="529"/>
      <c r="IP48" s="529"/>
      <c r="IQ48" s="529"/>
      <c r="IR48" s="529"/>
      <c r="IS48" s="529"/>
      <c r="IT48" s="529"/>
      <c r="JN48">
        <f t="shared" si="138"/>
        <v>23250.000000000091</v>
      </c>
    </row>
    <row r="49" spans="1:274" ht="15" customHeight="1" x14ac:dyDescent="0.25">
      <c r="A49" s="35">
        <v>4</v>
      </c>
      <c r="B49" s="138">
        <v>0.37280000000000002</v>
      </c>
      <c r="C49" s="65"/>
      <c r="D49" s="37">
        <f t="shared" si="155"/>
        <v>0</v>
      </c>
      <c r="E49" s="251">
        <v>33237</v>
      </c>
      <c r="F49" s="245"/>
      <c r="G49" s="37">
        <f t="shared" si="142"/>
        <v>84000</v>
      </c>
      <c r="H49" s="138"/>
      <c r="I49" s="65"/>
      <c r="J49" s="37">
        <f t="shared" si="143"/>
        <v>0</v>
      </c>
      <c r="L49" s="287"/>
      <c r="AL49" s="103"/>
      <c r="AM49" s="103"/>
      <c r="AN49" s="96"/>
      <c r="AP49" s="232"/>
      <c r="AQ49" s="232"/>
      <c r="AR49" s="232"/>
      <c r="AS49" s="232"/>
      <c r="AT49" s="232"/>
      <c r="AU49" s="232"/>
      <c r="AV49" s="232"/>
      <c r="AW49" s="23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v>2</v>
      </c>
      <c r="DQ49" s="50">
        <v>8.2584</v>
      </c>
      <c r="DR49" s="49">
        <f t="shared" si="156"/>
        <v>0</v>
      </c>
      <c r="DS49" s="50">
        <v>51.348999999999997</v>
      </c>
      <c r="DT49" s="49">
        <f t="shared" si="157"/>
        <v>0</v>
      </c>
      <c r="EZ49" s="203">
        <f t="shared" si="144"/>
        <v>19769.73</v>
      </c>
      <c r="FA49" s="205">
        <f t="shared" si="145"/>
        <v>8769.73</v>
      </c>
      <c r="FB49" s="201">
        <f t="shared" si="146"/>
        <v>28539.46</v>
      </c>
      <c r="FC49" s="245"/>
      <c r="FD49" s="167">
        <f t="shared" si="147"/>
        <v>27243.040000000001</v>
      </c>
      <c r="FE49" s="245"/>
      <c r="FF49" s="199">
        <v>0.5</v>
      </c>
      <c r="FG49" s="200">
        <v>0.5</v>
      </c>
      <c r="FH49" s="245">
        <f t="shared" si="148"/>
        <v>648.21</v>
      </c>
      <c r="FI49" s="179">
        <f t="shared" si="148"/>
        <v>648.21</v>
      </c>
      <c r="FJ49" s="179">
        <f t="shared" si="149"/>
        <v>13621.52</v>
      </c>
      <c r="FK49" s="179">
        <f t="shared" si="150"/>
        <v>13621.52</v>
      </c>
      <c r="FL49" s="204">
        <f t="shared" si="151"/>
        <v>14269.73</v>
      </c>
      <c r="FM49" s="206">
        <f t="shared" si="151"/>
        <v>14269.73</v>
      </c>
      <c r="FN49" s="202">
        <f t="shared" si="152"/>
        <v>28539.46</v>
      </c>
      <c r="FQ49" s="217"/>
      <c r="FR49" s="245">
        <v>6</v>
      </c>
      <c r="FS49" s="251">
        <v>830.9</v>
      </c>
      <c r="FT49" s="245"/>
      <c r="FU49" s="264">
        <f t="shared" si="153"/>
        <v>100.00000000002274</v>
      </c>
      <c r="FV49" s="245">
        <f t="shared" si="140"/>
        <v>50.000000000011369</v>
      </c>
      <c r="FW49" s="245">
        <f t="shared" si="141"/>
        <v>50.000000000011369</v>
      </c>
      <c r="HH49" s="245" t="s">
        <v>347</v>
      </c>
      <c r="HI49" s="245">
        <f>IE39</f>
        <v>0</v>
      </c>
      <c r="HJ49" s="245"/>
      <c r="HT49" s="151"/>
      <c r="IH49" s="245">
        <v>5</v>
      </c>
      <c r="II49" s="144">
        <f>DailySep!BX11+DailySep!BY11-DailySep!BZ11-DailySep!CA11-DailySep!CB11-DailySep!CC11-DailySep!CD11-DailySep!CF11-DailySep!CE11</f>
        <v>-1.7316779121756554E-9</v>
      </c>
      <c r="IJ49" s="251">
        <v>800</v>
      </c>
      <c r="IK49" s="245">
        <f t="shared" si="154"/>
        <v>200</v>
      </c>
      <c r="IL49" s="251">
        <v>200</v>
      </c>
      <c r="IO49" s="529"/>
      <c r="IP49" s="529"/>
      <c r="IQ49" s="529"/>
      <c r="IR49" s="529"/>
      <c r="IS49" s="529"/>
      <c r="IT49" s="529"/>
      <c r="JN49">
        <f t="shared" si="138"/>
        <v>21674.999999999909</v>
      </c>
    </row>
    <row r="50" spans="1:274" ht="15" customHeight="1" x14ac:dyDescent="0.25">
      <c r="A50" s="35">
        <v>5</v>
      </c>
      <c r="B50" s="138">
        <v>0.37280000000000002</v>
      </c>
      <c r="C50" s="65"/>
      <c r="D50" s="37">
        <f t="shared" si="155"/>
        <v>0</v>
      </c>
      <c r="E50" s="251">
        <v>33318</v>
      </c>
      <c r="F50" s="245"/>
      <c r="G50" s="37">
        <f t="shared" si="142"/>
        <v>81000</v>
      </c>
      <c r="H50" s="138"/>
      <c r="I50" s="65"/>
      <c r="J50" s="37">
        <f t="shared" si="143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v>3</v>
      </c>
      <c r="DQ50" s="50">
        <v>8.2584</v>
      </c>
      <c r="DR50" s="49">
        <f t="shared" si="156"/>
        <v>0</v>
      </c>
      <c r="DS50" s="50">
        <v>51.348999999999997</v>
      </c>
      <c r="DT50" s="49">
        <f t="shared" si="157"/>
        <v>0</v>
      </c>
      <c r="EZ50" s="203">
        <f t="shared" si="144"/>
        <v>10403.100000000364</v>
      </c>
      <c r="FA50" s="205">
        <f t="shared" si="145"/>
        <v>10803.1</v>
      </c>
      <c r="FB50" s="201">
        <f t="shared" si="146"/>
        <v>21206.200000000365</v>
      </c>
      <c r="FC50" s="245"/>
      <c r="FD50" s="167">
        <f t="shared" si="147"/>
        <v>19909.780000000363</v>
      </c>
      <c r="FE50" s="245"/>
      <c r="FF50" s="199">
        <v>0.5</v>
      </c>
      <c r="FG50" s="200">
        <v>0.5</v>
      </c>
      <c r="FH50" s="245">
        <f t="shared" si="148"/>
        <v>648.21</v>
      </c>
      <c r="FI50" s="179">
        <f t="shared" si="148"/>
        <v>648.21</v>
      </c>
      <c r="FJ50" s="179">
        <f t="shared" si="149"/>
        <v>9954.8900000001813</v>
      </c>
      <c r="FK50" s="179">
        <f t="shared" si="150"/>
        <v>9954.8900000001813</v>
      </c>
      <c r="FL50" s="204">
        <f t="shared" si="151"/>
        <v>10603.10000000018</v>
      </c>
      <c r="FM50" s="206">
        <f t="shared" si="151"/>
        <v>10603.10000000018</v>
      </c>
      <c r="FN50" s="202">
        <f t="shared" si="152"/>
        <v>21206.200000000361</v>
      </c>
      <c r="FQ50" s="217"/>
      <c r="FR50" s="245">
        <v>7</v>
      </c>
      <c r="FS50" s="251">
        <v>836.4</v>
      </c>
      <c r="FT50" s="245"/>
      <c r="FU50" s="266">
        <f t="shared" si="153"/>
        <v>5500</v>
      </c>
      <c r="FV50" s="245">
        <f t="shared" si="140"/>
        <v>2750</v>
      </c>
      <c r="FW50" s="245">
        <f t="shared" si="141"/>
        <v>2750</v>
      </c>
      <c r="FX50" s="151"/>
      <c r="FY50" s="150"/>
      <c r="FZ50" s="151"/>
      <c r="GV50" s="166"/>
      <c r="HH50" s="245" t="s">
        <v>275</v>
      </c>
      <c r="HI50" s="245">
        <f>$IH$39</f>
        <v>756400</v>
      </c>
      <c r="HJ50" s="245"/>
      <c r="IH50" s="245">
        <v>6</v>
      </c>
      <c r="II50" s="144">
        <f>DailySep!BX12+DailySep!BY12-DailySep!BZ12-DailySep!CA12-DailySep!CB12-DailySep!CC12-DailySep!CD12-DailySep!CF12-DailySep!CE12</f>
        <v>1.178705133497715E-9</v>
      </c>
      <c r="IJ50" s="251">
        <v>-900</v>
      </c>
      <c r="IK50" s="245">
        <f t="shared" si="154"/>
        <v>-225</v>
      </c>
      <c r="IL50" s="251">
        <v>-225</v>
      </c>
      <c r="IO50" s="529"/>
      <c r="IP50" s="529"/>
      <c r="IQ50" s="529"/>
      <c r="IR50" s="529"/>
      <c r="IS50" s="529"/>
      <c r="IT50" s="529"/>
      <c r="JN50">
        <f t="shared" si="138"/>
        <v>21174.999999999727</v>
      </c>
    </row>
    <row r="51" spans="1:274" ht="15" customHeight="1" x14ac:dyDescent="0.25">
      <c r="A51" s="35">
        <v>6</v>
      </c>
      <c r="B51" s="138">
        <v>0.37280000000000002</v>
      </c>
      <c r="C51" s="65"/>
      <c r="D51" s="37">
        <f t="shared" si="155"/>
        <v>0</v>
      </c>
      <c r="E51" s="251">
        <v>33401</v>
      </c>
      <c r="F51" s="245"/>
      <c r="G51" s="37">
        <f t="shared" si="142"/>
        <v>83000</v>
      </c>
      <c r="H51" s="138"/>
      <c r="I51" s="65"/>
      <c r="J51" s="37">
        <f t="shared" si="143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v>4</v>
      </c>
      <c r="DQ51" s="50">
        <v>8.2584</v>
      </c>
      <c r="DR51" s="49">
        <f t="shared" si="156"/>
        <v>0</v>
      </c>
      <c r="DS51" s="50">
        <v>51.348999999999997</v>
      </c>
      <c r="DT51" s="49">
        <f t="shared" si="157"/>
        <v>0</v>
      </c>
      <c r="EZ51" s="203">
        <f t="shared" si="144"/>
        <v>10132.789999999637</v>
      </c>
      <c r="FA51" s="205">
        <f t="shared" si="145"/>
        <v>10732.79</v>
      </c>
      <c r="FB51" s="201">
        <f t="shared" si="146"/>
        <v>20865.579999999638</v>
      </c>
      <c r="FC51" s="245"/>
      <c r="FD51" s="167">
        <f t="shared" si="147"/>
        <v>19569.15999999964</v>
      </c>
      <c r="FE51" s="245"/>
      <c r="FF51" s="199">
        <v>0.5</v>
      </c>
      <c r="FG51" s="200">
        <v>0.5</v>
      </c>
      <c r="FH51" s="245">
        <f t="shared" si="148"/>
        <v>648.21</v>
      </c>
      <c r="FI51" s="179">
        <f t="shared" si="148"/>
        <v>648.21</v>
      </c>
      <c r="FJ51" s="179">
        <f t="shared" si="149"/>
        <v>9784.5799999998198</v>
      </c>
      <c r="FK51" s="179">
        <f t="shared" si="150"/>
        <v>9784.5799999998198</v>
      </c>
      <c r="FL51" s="204">
        <f t="shared" si="151"/>
        <v>10432.789999999819</v>
      </c>
      <c r="FM51" s="206">
        <f t="shared" si="151"/>
        <v>10432.789999999819</v>
      </c>
      <c r="FN51" s="202">
        <f t="shared" si="152"/>
        <v>20865.579999999638</v>
      </c>
      <c r="FQ51" s="217"/>
      <c r="FR51" s="245">
        <v>8</v>
      </c>
      <c r="FS51" s="251">
        <v>839.2</v>
      </c>
      <c r="FT51" s="245"/>
      <c r="FU51" s="266">
        <f t="shared" si="153"/>
        <v>2800.0000000000682</v>
      </c>
      <c r="FV51" s="245">
        <f t="shared" si="140"/>
        <v>1400.0000000000341</v>
      </c>
      <c r="FW51" s="245">
        <f t="shared" si="141"/>
        <v>1400.0000000000341</v>
      </c>
      <c r="GV51" s="166"/>
      <c r="IH51" s="245">
        <v>7</v>
      </c>
      <c r="II51" s="144">
        <f>DailySep!BX13+DailySep!BY13-DailySep!BZ13-DailySep!CA13-DailySep!CB13-DailySep!CC13-DailySep!CD13-DailySep!CF13-DailySep!CE13</f>
        <v>-9.0949470177292824E-10</v>
      </c>
      <c r="IJ51" s="251">
        <v>-1400</v>
      </c>
      <c r="IK51" s="245">
        <f t="shared" si="154"/>
        <v>-350</v>
      </c>
      <c r="IL51" s="251">
        <v>-350</v>
      </c>
      <c r="IO51" s="529"/>
      <c r="IP51" s="529"/>
      <c r="IQ51" s="529"/>
      <c r="IR51" s="529"/>
      <c r="IS51" s="529"/>
      <c r="IT51" s="529"/>
      <c r="JN51">
        <f t="shared" si="138"/>
        <v>9325.0000000001819</v>
      </c>
    </row>
    <row r="52" spans="1:274" ht="15" customHeight="1" x14ac:dyDescent="0.25">
      <c r="A52" s="35">
        <v>7</v>
      </c>
      <c r="B52" s="138">
        <v>0.37280000000000002</v>
      </c>
      <c r="C52" s="65"/>
      <c r="D52" s="37">
        <f t="shared" si="155"/>
        <v>0</v>
      </c>
      <c r="E52" s="251">
        <v>33469</v>
      </c>
      <c r="F52" s="245"/>
      <c r="G52" s="37">
        <f t="shared" si="142"/>
        <v>68000</v>
      </c>
      <c r="H52" s="138"/>
      <c r="I52" s="65"/>
      <c r="J52" s="37">
        <f t="shared" si="143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v>5</v>
      </c>
      <c r="DQ52" s="50">
        <v>8.2584</v>
      </c>
      <c r="DR52" s="49">
        <f t="shared" si="156"/>
        <v>0</v>
      </c>
      <c r="DS52" s="50">
        <v>51.348999999999997</v>
      </c>
      <c r="DT52" s="49">
        <f t="shared" si="157"/>
        <v>0</v>
      </c>
      <c r="EZ52" s="203">
        <f t="shared" si="144"/>
        <v>8938.85</v>
      </c>
      <c r="FA52" s="205">
        <f t="shared" si="145"/>
        <v>10938.85</v>
      </c>
      <c r="FB52" s="201">
        <f t="shared" si="146"/>
        <v>19877.7</v>
      </c>
      <c r="FC52" s="245"/>
      <c r="FD52" s="167">
        <f t="shared" si="147"/>
        <v>18581.28</v>
      </c>
      <c r="FE52" s="245"/>
      <c r="FF52" s="199">
        <v>0.5</v>
      </c>
      <c r="FG52" s="200">
        <v>0.5</v>
      </c>
      <c r="FH52" s="245">
        <f t="shared" si="148"/>
        <v>648.21</v>
      </c>
      <c r="FI52" s="179">
        <f t="shared" si="148"/>
        <v>648.21</v>
      </c>
      <c r="FJ52" s="179">
        <f t="shared" si="149"/>
        <v>9290.64</v>
      </c>
      <c r="FK52" s="179">
        <f t="shared" si="150"/>
        <v>9290.64</v>
      </c>
      <c r="FL52" s="204">
        <f t="shared" si="151"/>
        <v>9938.8499999999985</v>
      </c>
      <c r="FM52" s="206">
        <f t="shared" si="151"/>
        <v>9938.8499999999985</v>
      </c>
      <c r="FN52" s="202">
        <f t="shared" si="152"/>
        <v>19877.699999999997</v>
      </c>
      <c r="FQ52" s="217"/>
      <c r="FR52" s="245">
        <v>9</v>
      </c>
      <c r="FS52" s="251">
        <v>841.1</v>
      </c>
      <c r="FT52" s="245"/>
      <c r="FU52" s="268">
        <f t="shared" si="153"/>
        <v>1899.9999999999773</v>
      </c>
      <c r="FV52" s="245">
        <f t="shared" si="140"/>
        <v>949.99999999998863</v>
      </c>
      <c r="FW52" s="245">
        <f t="shared" si="141"/>
        <v>949.99999999998863</v>
      </c>
      <c r="HH52" s="245" t="s">
        <v>276</v>
      </c>
      <c r="HI52" s="222">
        <f>$HI$42+$HI$43-$HI$44-$HI$45-$HI$46-$HI$47-$HI$48-$HI$50-$HI$49</f>
        <v>24799.999999999767</v>
      </c>
      <c r="HJ52" s="179"/>
      <c r="HK52" s="245" t="s">
        <v>115</v>
      </c>
      <c r="IH52" s="245">
        <v>8</v>
      </c>
      <c r="II52" s="144">
        <f>DailySep!BX14+DailySep!BY14-DailySep!BZ14-DailySep!CA14-DailySep!CB14-DailySep!CC14-DailySep!CD14-DailySep!CF14-DailySep!CE14</f>
        <v>1.6370904631912708E-9</v>
      </c>
      <c r="IJ52" s="251">
        <v>2400</v>
      </c>
      <c r="IK52" s="245">
        <f t="shared" si="154"/>
        <v>600</v>
      </c>
      <c r="IL52" s="251">
        <v>600</v>
      </c>
      <c r="IO52" s="529"/>
      <c r="IP52" s="529"/>
      <c r="IQ52" s="529"/>
      <c r="IR52" s="529"/>
      <c r="IS52" s="529"/>
      <c r="IT52" s="529"/>
      <c r="JN52">
        <f t="shared" si="138"/>
        <v>20000</v>
      </c>
    </row>
    <row r="53" spans="1:274" ht="15" customHeight="1" x14ac:dyDescent="0.25">
      <c r="A53" s="35">
        <v>8</v>
      </c>
      <c r="B53" s="138">
        <v>0.37280000000000002</v>
      </c>
      <c r="C53" s="65"/>
      <c r="D53" s="37">
        <f t="shared" si="155"/>
        <v>0</v>
      </c>
      <c r="E53" s="251">
        <v>33548</v>
      </c>
      <c r="F53" s="245"/>
      <c r="G53" s="37">
        <f t="shared" si="142"/>
        <v>79000</v>
      </c>
      <c r="H53" s="138"/>
      <c r="I53" s="65"/>
      <c r="J53" s="37">
        <f t="shared" si="143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49"/>
      <c r="DP53">
        <v>6</v>
      </c>
      <c r="DQ53" s="50">
        <v>8.2584</v>
      </c>
      <c r="DR53" s="49">
        <f t="shared" si="156"/>
        <v>0</v>
      </c>
      <c r="DS53" s="50">
        <v>51.348999999999997</v>
      </c>
      <c r="DT53" s="49">
        <f t="shared" si="157"/>
        <v>0</v>
      </c>
      <c r="EZ53" s="203">
        <f t="shared" si="144"/>
        <v>12049.81</v>
      </c>
      <c r="FA53" s="205">
        <f t="shared" si="145"/>
        <v>11049.81</v>
      </c>
      <c r="FB53" s="201">
        <f t="shared" si="146"/>
        <v>23099.62</v>
      </c>
      <c r="FC53" s="245"/>
      <c r="FD53" s="167">
        <f t="shared" si="147"/>
        <v>21803.199999999997</v>
      </c>
      <c r="FE53" s="245"/>
      <c r="FF53" s="199">
        <v>0.5</v>
      </c>
      <c r="FG53" s="200">
        <v>0.5</v>
      </c>
      <c r="FH53" s="245">
        <f t="shared" si="148"/>
        <v>648.21</v>
      </c>
      <c r="FI53" s="179">
        <f t="shared" si="148"/>
        <v>648.21</v>
      </c>
      <c r="FJ53" s="179">
        <f t="shared" si="149"/>
        <v>10901.599999999999</v>
      </c>
      <c r="FK53" s="179">
        <f t="shared" si="150"/>
        <v>10901.599999999999</v>
      </c>
      <c r="FL53" s="204">
        <f t="shared" si="151"/>
        <v>11549.809999999998</v>
      </c>
      <c r="FM53" s="206">
        <f t="shared" si="151"/>
        <v>11549.809999999998</v>
      </c>
      <c r="FN53" s="202">
        <f t="shared" si="152"/>
        <v>23099.619999999995</v>
      </c>
      <c r="FQ53" s="217"/>
      <c r="FR53" s="245">
        <v>10</v>
      </c>
      <c r="FS53" s="251">
        <v>844</v>
      </c>
      <c r="FT53" s="245"/>
      <c r="FU53" s="269">
        <f t="shared" si="153"/>
        <v>2899.9999999999773</v>
      </c>
      <c r="FV53" s="245">
        <f t="shared" si="140"/>
        <v>1449.9999999999886</v>
      </c>
      <c r="FW53" s="245">
        <f t="shared" si="141"/>
        <v>1449.9999999999886</v>
      </c>
      <c r="IH53" s="245">
        <v>9</v>
      </c>
      <c r="II53" s="144">
        <f>DailySep!BX15+DailySep!BY15-DailySep!BZ15-DailySep!CA15-DailySep!CB15-DailySep!CC15-DailySep!CD15-DailySep!CF15-DailySep!CE15</f>
        <v>-9.8953023552894592E-10</v>
      </c>
      <c r="IJ53" s="251">
        <v>-500</v>
      </c>
      <c r="IK53" s="245">
        <f t="shared" si="154"/>
        <v>-125</v>
      </c>
      <c r="IL53" s="251">
        <v>-125</v>
      </c>
      <c r="IO53" s="529"/>
      <c r="IP53" s="529"/>
      <c r="IQ53" s="529"/>
      <c r="IR53" s="529"/>
      <c r="IS53" s="529"/>
      <c r="IT53" s="529"/>
      <c r="JN53">
        <f t="shared" si="138"/>
        <v>18550</v>
      </c>
    </row>
    <row r="54" spans="1:274" ht="15" customHeight="1" x14ac:dyDescent="0.25">
      <c r="A54" s="35">
        <v>9</v>
      </c>
      <c r="B54" s="138">
        <v>0.37280000000000002</v>
      </c>
      <c r="C54" s="65"/>
      <c r="D54" s="37">
        <f t="shared" si="155"/>
        <v>0</v>
      </c>
      <c r="E54" s="251">
        <v>33605</v>
      </c>
      <c r="F54" s="245"/>
      <c r="G54" s="37">
        <f t="shared" si="142"/>
        <v>57000</v>
      </c>
      <c r="H54" s="138"/>
      <c r="I54" s="65"/>
      <c r="J54" s="37">
        <f t="shared" si="143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v>7</v>
      </c>
      <c r="DQ54" s="50">
        <v>8.2584</v>
      </c>
      <c r="DR54" s="49">
        <f t="shared" si="156"/>
        <v>0</v>
      </c>
      <c r="DS54" s="50">
        <v>51.348999999999997</v>
      </c>
      <c r="DT54" s="49">
        <f t="shared" si="157"/>
        <v>0</v>
      </c>
      <c r="EZ54" s="203">
        <f t="shared" si="144"/>
        <v>8211.57</v>
      </c>
      <c r="FA54" s="205">
        <f t="shared" si="145"/>
        <v>7211.57</v>
      </c>
      <c r="FB54" s="201">
        <f t="shared" si="146"/>
        <v>15423.14</v>
      </c>
      <c r="FC54" s="245"/>
      <c r="FD54" s="167">
        <f t="shared" si="147"/>
        <v>14126.72</v>
      </c>
      <c r="FE54" s="245"/>
      <c r="FF54" s="199">
        <v>0.5</v>
      </c>
      <c r="FG54" s="200">
        <v>0.5</v>
      </c>
      <c r="FH54" s="245">
        <f t="shared" si="148"/>
        <v>648.21</v>
      </c>
      <c r="FI54" s="179">
        <f t="shared" si="148"/>
        <v>648.21</v>
      </c>
      <c r="FJ54" s="179">
        <f t="shared" si="149"/>
        <v>7063.36</v>
      </c>
      <c r="FK54" s="179">
        <f t="shared" si="150"/>
        <v>7063.36</v>
      </c>
      <c r="FL54" s="204">
        <f t="shared" si="151"/>
        <v>7711.57</v>
      </c>
      <c r="FM54" s="206">
        <f t="shared" si="151"/>
        <v>7711.57</v>
      </c>
      <c r="FN54" s="202">
        <f t="shared" si="152"/>
        <v>15423.14</v>
      </c>
      <c r="FQ54" s="217"/>
      <c r="FR54" s="245">
        <v>11</v>
      </c>
      <c r="FS54" s="251">
        <v>844</v>
      </c>
      <c r="FT54" s="245"/>
      <c r="FU54" s="270">
        <f t="shared" si="153"/>
        <v>0</v>
      </c>
      <c r="FV54" s="245">
        <f t="shared" si="140"/>
        <v>0</v>
      </c>
      <c r="FW54" s="245">
        <f t="shared" si="141"/>
        <v>0</v>
      </c>
      <c r="FX54" s="151"/>
      <c r="IH54" s="245">
        <v>10</v>
      </c>
      <c r="II54" s="144">
        <f>DailySep!BX16+DailySep!BY16-DailySep!BZ16-DailySep!CA16-DailySep!CB16-DailySep!CC16-DailySep!CD16-DailySep!CF16-DailySep!CE16</f>
        <v>1.7462298274040222E-10</v>
      </c>
      <c r="IJ54" s="251">
        <v>-200</v>
      </c>
      <c r="IK54" s="245">
        <f t="shared" si="154"/>
        <v>-50</v>
      </c>
      <c r="IL54" s="251">
        <v>-50</v>
      </c>
      <c r="IO54" s="529"/>
      <c r="IP54" s="529"/>
      <c r="IQ54" s="529"/>
      <c r="IR54" s="529"/>
      <c r="IS54" s="529"/>
      <c r="IT54" s="529"/>
      <c r="JN54">
        <f t="shared" si="138"/>
        <v>20300.000000000182</v>
      </c>
    </row>
    <row r="55" spans="1:274" ht="15" customHeight="1" x14ac:dyDescent="0.25">
      <c r="A55" s="35">
        <v>10</v>
      </c>
      <c r="B55" s="138">
        <v>0.37280000000000002</v>
      </c>
      <c r="C55" s="65"/>
      <c r="D55" s="37">
        <f t="shared" si="155"/>
        <v>0</v>
      </c>
      <c r="E55" s="251">
        <v>33679</v>
      </c>
      <c r="F55" s="245"/>
      <c r="G55" s="37">
        <f t="shared" si="142"/>
        <v>74000</v>
      </c>
      <c r="H55" s="138"/>
      <c r="I55" s="65"/>
      <c r="J55" s="37">
        <f t="shared" si="143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v>8</v>
      </c>
      <c r="DQ55" s="50">
        <v>8.2584</v>
      </c>
      <c r="DR55" s="49">
        <f t="shared" si="156"/>
        <v>0</v>
      </c>
      <c r="DS55" s="50">
        <v>51.348999999999997</v>
      </c>
      <c r="DT55" s="49">
        <f t="shared" si="157"/>
        <v>0</v>
      </c>
      <c r="EZ55" s="203">
        <f t="shared" si="144"/>
        <v>10879.48</v>
      </c>
      <c r="FA55" s="205">
        <f t="shared" si="145"/>
        <v>9879.48</v>
      </c>
      <c r="FB55" s="201">
        <f t="shared" si="146"/>
        <v>20758.96</v>
      </c>
      <c r="FC55" s="245"/>
      <c r="FD55" s="167">
        <f t="shared" si="147"/>
        <v>19462.54</v>
      </c>
      <c r="FE55" s="245"/>
      <c r="FF55" s="199">
        <v>0.5</v>
      </c>
      <c r="FG55" s="200">
        <v>0.5</v>
      </c>
      <c r="FH55" s="245">
        <f t="shared" si="148"/>
        <v>648.21</v>
      </c>
      <c r="FI55" s="179">
        <f t="shared" si="148"/>
        <v>648.21</v>
      </c>
      <c r="FJ55" s="179">
        <f t="shared" si="149"/>
        <v>9731.27</v>
      </c>
      <c r="FK55" s="179">
        <f t="shared" si="150"/>
        <v>9731.27</v>
      </c>
      <c r="FL55" s="204">
        <f t="shared" si="151"/>
        <v>10379.48</v>
      </c>
      <c r="FM55" s="206">
        <f t="shared" si="151"/>
        <v>10379.48</v>
      </c>
      <c r="FN55" s="202">
        <f t="shared" si="152"/>
        <v>20758.96</v>
      </c>
      <c r="FQ55" s="217"/>
      <c r="FR55" s="245">
        <v>12</v>
      </c>
      <c r="FS55" s="251">
        <v>849.62</v>
      </c>
      <c r="FT55" s="245"/>
      <c r="FU55" s="272">
        <f t="shared" si="153"/>
        <v>5620.0000000000045</v>
      </c>
      <c r="FV55" s="245">
        <f t="shared" si="140"/>
        <v>2810.0000000000023</v>
      </c>
      <c r="FW55" s="245">
        <f t="shared" si="141"/>
        <v>2810.0000000000023</v>
      </c>
      <c r="FX55" s="151"/>
      <c r="IH55" s="245">
        <v>11</v>
      </c>
      <c r="II55" s="144">
        <f>DailySep!BX17+DailySep!BY17-DailySep!BZ17-DailySep!CA17-DailySep!CB17-DailySep!CC17-DailySep!CD17-DailySep!CF17-DailySep!CE17</f>
        <v>-6.4028427004814148E-10</v>
      </c>
      <c r="IJ55" s="251">
        <v>300</v>
      </c>
      <c r="IK55" s="245">
        <f t="shared" si="154"/>
        <v>75</v>
      </c>
      <c r="IL55" s="251">
        <v>75</v>
      </c>
      <c r="IO55" s="529"/>
      <c r="IP55" s="529"/>
      <c r="IQ55" s="529"/>
      <c r="IR55" s="529"/>
      <c r="IS55" s="529"/>
      <c r="IT55" s="529"/>
      <c r="JN55">
        <f t="shared" si="138"/>
        <v>22074.999999999636</v>
      </c>
    </row>
    <row r="56" spans="1:274" ht="15" customHeight="1" x14ac:dyDescent="0.25">
      <c r="A56" s="35">
        <v>11</v>
      </c>
      <c r="B56" s="138">
        <v>0.37280000000000002</v>
      </c>
      <c r="C56" s="65"/>
      <c r="D56" s="37">
        <f t="shared" si="155"/>
        <v>0</v>
      </c>
      <c r="E56" s="251">
        <v>33743</v>
      </c>
      <c r="F56" s="245"/>
      <c r="G56" s="37">
        <f t="shared" si="142"/>
        <v>64000</v>
      </c>
      <c r="H56" s="138"/>
      <c r="I56" s="65"/>
      <c r="J56" s="37">
        <f t="shared" si="143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v>9</v>
      </c>
      <c r="DQ56" s="50">
        <v>8.2584</v>
      </c>
      <c r="DR56" s="49">
        <f t="shared" si="156"/>
        <v>0</v>
      </c>
      <c r="DS56" s="50">
        <v>51.348999999999997</v>
      </c>
      <c r="DT56" s="49">
        <f t="shared" si="157"/>
        <v>0</v>
      </c>
      <c r="EZ56" s="203">
        <f t="shared" si="144"/>
        <v>12055.3</v>
      </c>
      <c r="FA56" s="205">
        <f t="shared" si="145"/>
        <v>10055.299999999999</v>
      </c>
      <c r="FB56" s="201">
        <f t="shared" si="146"/>
        <v>22110.6</v>
      </c>
      <c r="FC56" s="245"/>
      <c r="FD56" s="167">
        <f t="shared" si="147"/>
        <v>20814.18</v>
      </c>
      <c r="FE56" s="245"/>
      <c r="FF56" s="199">
        <v>0.5</v>
      </c>
      <c r="FG56" s="200">
        <v>0.5</v>
      </c>
      <c r="FH56" s="245">
        <f t="shared" si="148"/>
        <v>648.21</v>
      </c>
      <c r="FI56" s="179">
        <f t="shared" si="148"/>
        <v>648.21</v>
      </c>
      <c r="FJ56" s="179">
        <f t="shared" si="149"/>
        <v>10407.09</v>
      </c>
      <c r="FK56" s="179">
        <f t="shared" si="150"/>
        <v>10407.09</v>
      </c>
      <c r="FL56" s="204">
        <f t="shared" si="151"/>
        <v>11055.3</v>
      </c>
      <c r="FM56" s="206">
        <f t="shared" si="151"/>
        <v>11055.3</v>
      </c>
      <c r="FN56" s="202">
        <f t="shared" si="152"/>
        <v>22110.6</v>
      </c>
      <c r="FQ56" s="217"/>
      <c r="FR56" s="245">
        <v>13</v>
      </c>
      <c r="FS56" s="251">
        <v>852.55</v>
      </c>
      <c r="FT56" s="245"/>
      <c r="FU56" s="275">
        <f t="shared" si="153"/>
        <v>2929.99999999995</v>
      </c>
      <c r="FV56" s="245">
        <f t="shared" si="140"/>
        <v>1464.999999999975</v>
      </c>
      <c r="FW56" s="245">
        <f t="shared" si="141"/>
        <v>1464.999999999975</v>
      </c>
      <c r="IH56" s="245">
        <v>12</v>
      </c>
      <c r="II56" s="144">
        <f>DailySep!BX18+DailySep!BY18-DailySep!BZ18-DailySep!CA18-DailySep!CB18-DailySep!CC18-DailySep!CD18-DailySep!CF18-DailySep!CE18</f>
        <v>1.0186340659856796E-9</v>
      </c>
      <c r="IJ56" s="251">
        <v>400</v>
      </c>
      <c r="IK56" s="245">
        <f t="shared" si="154"/>
        <v>100</v>
      </c>
      <c r="IL56" s="251">
        <v>100</v>
      </c>
      <c r="IO56" s="529"/>
      <c r="IP56" s="529"/>
      <c r="IQ56" s="529"/>
      <c r="IR56" s="529"/>
      <c r="IS56" s="529"/>
      <c r="IT56" s="529"/>
      <c r="JN56">
        <f t="shared" si="138"/>
        <v>22550.000000000273</v>
      </c>
    </row>
    <row r="57" spans="1:274" ht="15" customHeight="1" x14ac:dyDescent="0.25">
      <c r="A57" s="35">
        <v>12</v>
      </c>
      <c r="B57" s="138">
        <v>0.37280000000000002</v>
      </c>
      <c r="C57" s="65"/>
      <c r="D57" s="37">
        <f t="shared" si="155"/>
        <v>0</v>
      </c>
      <c r="E57" s="251">
        <v>33822</v>
      </c>
      <c r="F57" s="245"/>
      <c r="G57" s="37">
        <f t="shared" si="142"/>
        <v>79000</v>
      </c>
      <c r="H57" s="138"/>
      <c r="I57" s="65"/>
      <c r="J57" s="37">
        <f t="shared" si="143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v>10</v>
      </c>
      <c r="DQ57" s="50">
        <v>8.2584</v>
      </c>
      <c r="DR57" s="49">
        <f t="shared" si="156"/>
        <v>0</v>
      </c>
      <c r="DS57" s="50">
        <v>51.348999999999997</v>
      </c>
      <c r="DT57" s="49">
        <f>IF((DS57-DS56)&lt;=0,0,(DS57-DS56))*1000</f>
        <v>0</v>
      </c>
      <c r="EZ57" s="203">
        <f t="shared" si="144"/>
        <v>11875.43</v>
      </c>
      <c r="FA57" s="205">
        <f t="shared" si="145"/>
        <v>10875.43</v>
      </c>
      <c r="FB57" s="201">
        <f t="shared" si="146"/>
        <v>22750.86</v>
      </c>
      <c r="FC57" s="245"/>
      <c r="FD57" s="167">
        <f t="shared" si="147"/>
        <v>21454.440000000002</v>
      </c>
      <c r="FE57" s="245"/>
      <c r="FF57" s="199">
        <v>0.5</v>
      </c>
      <c r="FG57" s="200">
        <v>0.5</v>
      </c>
      <c r="FH57" s="245">
        <f t="shared" si="148"/>
        <v>648.21</v>
      </c>
      <c r="FI57" s="179">
        <f t="shared" si="148"/>
        <v>648.21</v>
      </c>
      <c r="FJ57" s="179">
        <f t="shared" si="149"/>
        <v>10727.220000000001</v>
      </c>
      <c r="FK57" s="179">
        <f t="shared" si="150"/>
        <v>10727.220000000001</v>
      </c>
      <c r="FL57" s="204">
        <f t="shared" si="151"/>
        <v>11375.43</v>
      </c>
      <c r="FM57" s="206">
        <f t="shared" si="151"/>
        <v>11375.43</v>
      </c>
      <c r="FN57" s="202">
        <f t="shared" si="152"/>
        <v>22750.86</v>
      </c>
      <c r="FQ57" s="217"/>
      <c r="FR57" s="245">
        <v>14</v>
      </c>
      <c r="FS57" s="251">
        <v>855.45</v>
      </c>
      <c r="FT57" s="245"/>
      <c r="FU57" s="276">
        <f t="shared" si="153"/>
        <v>2900.0000000000909</v>
      </c>
      <c r="FV57" s="245">
        <f t="shared" si="140"/>
        <v>1450.0000000000455</v>
      </c>
      <c r="FW57" s="245">
        <f t="shared" si="141"/>
        <v>1450.0000000000455</v>
      </c>
      <c r="IH57" s="245">
        <v>13</v>
      </c>
      <c r="II57" s="144">
        <f>DailySep!BX19+DailySep!BY19-DailySep!BZ19-DailySep!CA19-DailySep!CB19-DailySep!CC19-DailySep!CD19-DailySep!CF19-DailySep!CE19</f>
        <v>-6.4028427004814148E-10</v>
      </c>
      <c r="IJ57" s="251">
        <v>-600</v>
      </c>
      <c r="IK57" s="245">
        <f t="shared" si="154"/>
        <v>-150</v>
      </c>
      <c r="IL57" s="251">
        <v>-150</v>
      </c>
      <c r="IO57" s="529"/>
      <c r="IP57" s="529"/>
      <c r="IQ57" s="529"/>
      <c r="IR57" s="529"/>
      <c r="IS57" s="529"/>
      <c r="IT57" s="529"/>
      <c r="JN57">
        <f t="shared" si="138"/>
        <v>24699.999999999909</v>
      </c>
    </row>
    <row r="58" spans="1:274" ht="15" customHeight="1" x14ac:dyDescent="0.25">
      <c r="A58" s="35">
        <v>13</v>
      </c>
      <c r="B58" s="138">
        <v>0.37280000000000002</v>
      </c>
      <c r="C58" s="65"/>
      <c r="D58" s="37">
        <f t="shared" si="155"/>
        <v>0</v>
      </c>
      <c r="E58" s="251">
        <v>33913</v>
      </c>
      <c r="F58" s="245"/>
      <c r="G58" s="37">
        <f t="shared" si="142"/>
        <v>91000</v>
      </c>
      <c r="H58" s="138"/>
      <c r="I58" s="65"/>
      <c r="J58" s="37">
        <f t="shared" si="143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v>11</v>
      </c>
      <c r="DQ58" s="50">
        <v>8.2584</v>
      </c>
      <c r="DR58" s="49">
        <f t="shared" si="156"/>
        <v>0</v>
      </c>
      <c r="DS58" s="50">
        <v>51.348999999999997</v>
      </c>
      <c r="DT58" s="49">
        <f t="shared" ref="DT58:DT78" si="158">IF((DS58-DS57)&lt;=0,0,(DS58-DS57))*1000</f>
        <v>0</v>
      </c>
      <c r="EJ58" s="2"/>
      <c r="EZ58" s="203">
        <f t="shared" si="144"/>
        <v>12065.87</v>
      </c>
      <c r="FA58" s="205">
        <f t="shared" si="145"/>
        <v>10065.870000000001</v>
      </c>
      <c r="FB58" s="201">
        <f t="shared" si="146"/>
        <v>22131.74</v>
      </c>
      <c r="FC58" s="245"/>
      <c r="FD58" s="167">
        <f t="shared" si="147"/>
        <v>20835.32</v>
      </c>
      <c r="FE58" s="245"/>
      <c r="FF58" s="199">
        <v>0.5</v>
      </c>
      <c r="FG58" s="200">
        <v>0.5</v>
      </c>
      <c r="FH58" s="245">
        <f t="shared" si="148"/>
        <v>648.21</v>
      </c>
      <c r="FI58" s="179">
        <f t="shared" si="148"/>
        <v>648.21</v>
      </c>
      <c r="FJ58" s="179">
        <f t="shared" si="149"/>
        <v>10417.66</v>
      </c>
      <c r="FK58" s="179">
        <f t="shared" si="150"/>
        <v>10417.66</v>
      </c>
      <c r="FL58" s="204">
        <f t="shared" si="151"/>
        <v>11065.869999999999</v>
      </c>
      <c r="FM58" s="206">
        <f t="shared" si="151"/>
        <v>11065.869999999999</v>
      </c>
      <c r="FN58" s="202">
        <f t="shared" si="152"/>
        <v>22131.739999999998</v>
      </c>
      <c r="FQ58" s="217"/>
      <c r="FR58" s="245">
        <v>15</v>
      </c>
      <c r="FS58" s="251">
        <v>858.02</v>
      </c>
      <c r="FT58" s="245"/>
      <c r="FU58" s="276">
        <f t="shared" si="153"/>
        <v>2569.9999999999363</v>
      </c>
      <c r="FV58" s="245">
        <f t="shared" si="140"/>
        <v>1284.9999999999682</v>
      </c>
      <c r="FW58" s="245">
        <f t="shared" si="141"/>
        <v>1284.9999999999682</v>
      </c>
      <c r="IH58" s="245">
        <v>14</v>
      </c>
      <c r="II58" s="144">
        <f>DailySep!BX20+DailySep!BY20-DailySep!BZ20-DailySep!CA20-DailySep!CB20-DailySep!CC20-DailySep!CD20-DailySep!CF20-DailySep!CE20</f>
        <v>-8.149072527885437E-10</v>
      </c>
      <c r="IJ58" s="251">
        <v>300</v>
      </c>
      <c r="IK58" s="245">
        <f t="shared" si="154"/>
        <v>75</v>
      </c>
      <c r="IL58" s="251">
        <v>75</v>
      </c>
      <c r="IO58" s="529"/>
      <c r="IP58" s="529"/>
      <c r="IQ58" s="529"/>
      <c r="IR58" s="529"/>
      <c r="IS58" s="529"/>
      <c r="IT58" s="529"/>
      <c r="JN58">
        <f t="shared" si="138"/>
        <v>23200.000000000091</v>
      </c>
    </row>
    <row r="59" spans="1:274" ht="15" customHeight="1" x14ac:dyDescent="0.25">
      <c r="A59" s="35">
        <v>14</v>
      </c>
      <c r="B59" s="138">
        <v>0.37280000000000002</v>
      </c>
      <c r="C59" s="65"/>
      <c r="D59" s="37">
        <f t="shared" si="155"/>
        <v>0</v>
      </c>
      <c r="E59" s="251">
        <v>33981</v>
      </c>
      <c r="F59" s="245"/>
      <c r="G59" s="37">
        <f t="shared" si="142"/>
        <v>68000</v>
      </c>
      <c r="H59" s="138"/>
      <c r="I59" s="65"/>
      <c r="J59" s="37">
        <f t="shared" si="143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v>12</v>
      </c>
      <c r="DQ59" s="50">
        <v>8.2584</v>
      </c>
      <c r="DR59" s="49">
        <f t="shared" si="156"/>
        <v>0</v>
      </c>
      <c r="DS59" s="50">
        <v>51.348999999999997</v>
      </c>
      <c r="DT59" s="49">
        <f t="shared" si="158"/>
        <v>0</v>
      </c>
      <c r="EJ59" s="2"/>
      <c r="EZ59" s="203">
        <f t="shared" si="144"/>
        <v>11527.53</v>
      </c>
      <c r="FA59" s="205">
        <f t="shared" si="145"/>
        <v>7527.53</v>
      </c>
      <c r="FB59" s="201">
        <f t="shared" si="146"/>
        <v>19055.060000000001</v>
      </c>
      <c r="FC59" s="245"/>
      <c r="FD59" s="167">
        <f t="shared" si="147"/>
        <v>17758.64</v>
      </c>
      <c r="FE59" s="245"/>
      <c r="FF59" s="199">
        <v>0.5</v>
      </c>
      <c r="FG59" s="200">
        <v>0.5</v>
      </c>
      <c r="FH59" s="245">
        <f t="shared" si="148"/>
        <v>648.21</v>
      </c>
      <c r="FI59" s="179">
        <f t="shared" si="148"/>
        <v>648.21</v>
      </c>
      <c r="FJ59" s="179">
        <f t="shared" si="149"/>
        <v>8879.32</v>
      </c>
      <c r="FK59" s="179">
        <f t="shared" si="150"/>
        <v>8879.32</v>
      </c>
      <c r="FL59" s="204">
        <f t="shared" si="151"/>
        <v>9527.5299999999988</v>
      </c>
      <c r="FM59" s="206">
        <f t="shared" si="151"/>
        <v>9527.5299999999988</v>
      </c>
      <c r="FN59" s="202">
        <f t="shared" si="152"/>
        <v>19055.059999999998</v>
      </c>
      <c r="FQ59" s="217"/>
      <c r="FR59" s="245">
        <v>16</v>
      </c>
      <c r="FS59" s="251">
        <v>860.25</v>
      </c>
      <c r="FT59" s="245"/>
      <c r="FU59" s="286">
        <f t="shared" si="153"/>
        <v>2230.0000000000182</v>
      </c>
      <c r="FV59" s="245">
        <f t="shared" si="140"/>
        <v>1115.0000000000091</v>
      </c>
      <c r="FW59" s="245">
        <f t="shared" si="141"/>
        <v>1115.0000000000091</v>
      </c>
      <c r="IH59" s="245">
        <v>15</v>
      </c>
      <c r="II59" s="144">
        <f>DailySep!BX21+DailySep!BY21-DailySep!BZ21-DailySep!CA21-DailySep!CB21-DailySep!CC21-DailySep!CD21-DailySep!CF21-DailySep!CE21</f>
        <v>1.5570549294352531E-9</v>
      </c>
      <c r="IJ59" s="251">
        <v>-4500</v>
      </c>
      <c r="IK59" s="245">
        <f t="shared" si="154"/>
        <v>-1125</v>
      </c>
      <c r="IL59" s="251">
        <v>-1125</v>
      </c>
      <c r="IO59" s="529"/>
      <c r="IP59" s="529"/>
      <c r="IQ59" s="529"/>
      <c r="IR59" s="529"/>
      <c r="IS59" s="529"/>
      <c r="IT59" s="529"/>
      <c r="JN59">
        <f t="shared" si="138"/>
        <v>25474.999999999818</v>
      </c>
    </row>
    <row r="60" spans="1:274" ht="15" customHeight="1" x14ac:dyDescent="0.25">
      <c r="A60" s="35">
        <v>15</v>
      </c>
      <c r="B60" s="138">
        <v>0.37280000000000002</v>
      </c>
      <c r="C60" s="65"/>
      <c r="D60" s="37">
        <f t="shared" si="155"/>
        <v>0</v>
      </c>
      <c r="E60" s="251">
        <v>34083</v>
      </c>
      <c r="F60" s="245"/>
      <c r="G60" s="37">
        <f t="shared" si="142"/>
        <v>102000</v>
      </c>
      <c r="H60" s="138"/>
      <c r="I60" s="65"/>
      <c r="J60" s="37">
        <f t="shared" si="143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v>13</v>
      </c>
      <c r="DQ60" s="50">
        <v>8.2584</v>
      </c>
      <c r="DR60" s="49">
        <f t="shared" si="156"/>
        <v>0</v>
      </c>
      <c r="DS60" s="50">
        <v>51.348999999999997</v>
      </c>
      <c r="DT60" s="49">
        <f t="shared" si="158"/>
        <v>0</v>
      </c>
      <c r="EJ60" s="2"/>
      <c r="EZ60" s="203">
        <f t="shared" si="144"/>
        <v>11852.21</v>
      </c>
      <c r="FA60" s="205">
        <f t="shared" si="145"/>
        <v>11852.21</v>
      </c>
      <c r="FB60" s="201">
        <f t="shared" si="146"/>
        <v>23704.42</v>
      </c>
      <c r="FC60" s="245"/>
      <c r="FD60" s="167">
        <f t="shared" si="147"/>
        <v>22408</v>
      </c>
      <c r="FE60" s="245"/>
      <c r="FF60" s="199">
        <v>0.5</v>
      </c>
      <c r="FG60" s="200">
        <v>0.5</v>
      </c>
      <c r="FH60" s="245">
        <f t="shared" si="148"/>
        <v>648.21</v>
      </c>
      <c r="FI60" s="179">
        <f t="shared" si="148"/>
        <v>648.21</v>
      </c>
      <c r="FJ60" s="179">
        <f t="shared" si="149"/>
        <v>11204</v>
      </c>
      <c r="FK60" s="179">
        <f t="shared" si="150"/>
        <v>11204</v>
      </c>
      <c r="FL60" s="204">
        <f t="shared" si="151"/>
        <v>11852.21</v>
      </c>
      <c r="FM60" s="206">
        <f t="shared" si="151"/>
        <v>11852.21</v>
      </c>
      <c r="FN60" s="202">
        <f t="shared" si="152"/>
        <v>23704.42</v>
      </c>
      <c r="FQ60" s="217"/>
      <c r="FR60" s="245">
        <v>17</v>
      </c>
      <c r="FS60" s="251">
        <v>862.5</v>
      </c>
      <c r="FT60" s="245"/>
      <c r="FU60" s="289">
        <f t="shared" si="153"/>
        <v>2250</v>
      </c>
      <c r="FV60" s="245">
        <f t="shared" si="140"/>
        <v>1125</v>
      </c>
      <c r="FW60" s="245">
        <f t="shared" si="141"/>
        <v>1125</v>
      </c>
      <c r="IH60" s="245">
        <v>16</v>
      </c>
      <c r="II60" s="144">
        <f>DailySep!BX22+DailySep!BY22-DailySep!BZ22-DailySep!CA22-DailySep!CB22-DailySep!CC22-DailySep!CD22-DailySep!CF22-DailySep!CE22</f>
        <v>-1.0841176845133305E-9</v>
      </c>
      <c r="IJ60" s="251">
        <v>6100</v>
      </c>
      <c r="IK60" s="245">
        <f t="shared" si="154"/>
        <v>1525</v>
      </c>
      <c r="IL60" s="251">
        <v>1525</v>
      </c>
      <c r="IO60" s="529"/>
      <c r="IP60" s="529"/>
      <c r="IQ60" s="529"/>
      <c r="IR60" s="529"/>
      <c r="IS60" s="529"/>
      <c r="IT60" s="529"/>
      <c r="JN60">
        <f t="shared" si="138"/>
        <v>22725.000000000273</v>
      </c>
    </row>
    <row r="61" spans="1:274" ht="15" customHeight="1" x14ac:dyDescent="0.25">
      <c r="A61" s="35">
        <v>16</v>
      </c>
      <c r="B61" s="138">
        <v>0.37280000000000002</v>
      </c>
      <c r="C61" s="65"/>
      <c r="D61" s="37">
        <f t="shared" si="155"/>
        <v>0</v>
      </c>
      <c r="E61" s="251">
        <v>34187</v>
      </c>
      <c r="F61" s="245"/>
      <c r="G61" s="37">
        <f t="shared" si="142"/>
        <v>104000</v>
      </c>
      <c r="H61" s="138"/>
      <c r="I61" s="65"/>
      <c r="J61" s="37">
        <f t="shared" si="143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v>14</v>
      </c>
      <c r="DQ61" s="50">
        <v>8.2584</v>
      </c>
      <c r="DR61" s="49">
        <f t="shared" si="156"/>
        <v>0</v>
      </c>
      <c r="DS61" s="50">
        <v>51.348999999999997</v>
      </c>
      <c r="DT61" s="49">
        <f t="shared" si="158"/>
        <v>0</v>
      </c>
      <c r="EJ61" s="2"/>
      <c r="EZ61" s="203">
        <f t="shared" si="144"/>
        <v>13545.359999999637</v>
      </c>
      <c r="FA61" s="205">
        <f t="shared" si="145"/>
        <v>11395.36</v>
      </c>
      <c r="FB61" s="201">
        <f t="shared" si="146"/>
        <v>24940.719999999637</v>
      </c>
      <c r="FC61" s="245"/>
      <c r="FD61" s="167">
        <f t="shared" si="147"/>
        <v>23644.299999999639</v>
      </c>
      <c r="FE61" s="245"/>
      <c r="FF61" s="199">
        <v>0.5</v>
      </c>
      <c r="FG61" s="200">
        <v>0.5</v>
      </c>
      <c r="FH61" s="245">
        <f t="shared" si="148"/>
        <v>648.21</v>
      </c>
      <c r="FI61" s="179">
        <f t="shared" si="148"/>
        <v>648.21</v>
      </c>
      <c r="FJ61" s="179">
        <f t="shared" si="149"/>
        <v>11822.14999999982</v>
      </c>
      <c r="FK61" s="179">
        <f t="shared" si="150"/>
        <v>11822.14999999982</v>
      </c>
      <c r="FL61" s="204">
        <f t="shared" si="151"/>
        <v>12470.359999999819</v>
      </c>
      <c r="FM61" s="206">
        <f t="shared" si="151"/>
        <v>12470.359999999819</v>
      </c>
      <c r="FN61" s="202">
        <f t="shared" si="152"/>
        <v>24940.719999999637</v>
      </c>
      <c r="FQ61" s="217"/>
      <c r="FR61" s="245">
        <v>18</v>
      </c>
      <c r="FS61" s="251">
        <v>865.3</v>
      </c>
      <c r="FT61" s="245"/>
      <c r="FU61" s="290">
        <f t="shared" si="153"/>
        <v>2799.9999999999545</v>
      </c>
      <c r="FV61" s="245">
        <f t="shared" si="140"/>
        <v>1399.9999999999773</v>
      </c>
      <c r="FW61" s="245">
        <f t="shared" si="141"/>
        <v>1399.9999999999773</v>
      </c>
      <c r="IH61" s="245">
        <v>17</v>
      </c>
      <c r="II61" s="144">
        <f>DailySep!BX23+DailySep!BY23-DailySep!BZ23-DailySep!CA23-DailySep!CB23-DailySep!CC23-DailySep!CD23-DailySep!CF23-DailySep!CE23</f>
        <v>0</v>
      </c>
      <c r="IJ61" s="251">
        <v>2000</v>
      </c>
      <c r="IK61" s="245">
        <f t="shared" si="154"/>
        <v>500</v>
      </c>
      <c r="IL61" s="251">
        <v>500</v>
      </c>
      <c r="IO61" s="529"/>
      <c r="IP61" s="529"/>
      <c r="IQ61" s="529"/>
      <c r="IR61" s="529"/>
      <c r="IS61" s="529"/>
      <c r="IT61" s="529"/>
      <c r="JN61">
        <f t="shared" si="138"/>
        <v>26395</v>
      </c>
    </row>
    <row r="62" spans="1:274" ht="15" customHeight="1" x14ac:dyDescent="0.25">
      <c r="A62" s="35">
        <v>17</v>
      </c>
      <c r="B62" s="138">
        <v>0.37280000000000002</v>
      </c>
      <c r="C62" s="65"/>
      <c r="D62" s="37">
        <f t="shared" si="155"/>
        <v>0</v>
      </c>
      <c r="E62" s="251">
        <v>34296</v>
      </c>
      <c r="F62" s="245"/>
      <c r="G62" s="37">
        <f t="shared" si="142"/>
        <v>109000</v>
      </c>
      <c r="H62" s="138"/>
      <c r="I62" s="65"/>
      <c r="J62" s="37">
        <f t="shared" si="143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v>15</v>
      </c>
      <c r="DQ62" s="50">
        <v>8.2584</v>
      </c>
      <c r="DR62" s="49">
        <f t="shared" si="156"/>
        <v>0</v>
      </c>
      <c r="DS62" s="50">
        <v>51.348999999999997</v>
      </c>
      <c r="DT62" s="49">
        <f t="shared" si="158"/>
        <v>0</v>
      </c>
      <c r="EJ62" s="2"/>
      <c r="EZ62" s="203">
        <f t="shared" si="144"/>
        <v>11805.930000000219</v>
      </c>
      <c r="FA62" s="205">
        <f t="shared" si="145"/>
        <v>9395.9299999985451</v>
      </c>
      <c r="FB62" s="201">
        <f t="shared" si="146"/>
        <v>21201.859999998764</v>
      </c>
      <c r="FC62" s="245"/>
      <c r="FD62" s="167">
        <f t="shared" si="147"/>
        <v>19905.439999998765</v>
      </c>
      <c r="FE62" s="245"/>
      <c r="FF62" s="199">
        <v>0.5</v>
      </c>
      <c r="FG62" s="200">
        <v>0.5</v>
      </c>
      <c r="FH62" s="245">
        <f t="shared" si="148"/>
        <v>648.21</v>
      </c>
      <c r="FI62" s="179">
        <f t="shared" si="148"/>
        <v>648.21</v>
      </c>
      <c r="FJ62" s="179">
        <f t="shared" si="149"/>
        <v>9952.7199999993827</v>
      </c>
      <c r="FK62" s="179">
        <f t="shared" si="150"/>
        <v>9952.7199999993827</v>
      </c>
      <c r="FL62" s="204">
        <f t="shared" si="151"/>
        <v>10600.929999999382</v>
      </c>
      <c r="FM62" s="206">
        <f t="shared" si="151"/>
        <v>10600.929999999382</v>
      </c>
      <c r="FN62" s="202">
        <f t="shared" si="152"/>
        <v>21201.859999998764</v>
      </c>
      <c r="FQ62" s="217"/>
      <c r="FR62" s="245">
        <v>19</v>
      </c>
      <c r="FS62" s="251">
        <v>868</v>
      </c>
      <c r="FT62" s="245"/>
      <c r="FU62" s="293">
        <f t="shared" ref="FU62:FU67" si="159">(FS62-FS61)*1000</f>
        <v>2700.0000000000455</v>
      </c>
      <c r="FV62" s="293">
        <f t="shared" ref="FV62:FV67" si="160">FU62/2</f>
        <v>1350.0000000000227</v>
      </c>
      <c r="FW62" s="293">
        <f t="shared" ref="FW62:FW67" si="161">FU62/2</f>
        <v>1350.0000000000227</v>
      </c>
      <c r="IH62" s="245">
        <v>18</v>
      </c>
      <c r="II62" s="144">
        <f>DailySep!BX24+DailySep!BY24-DailySep!BZ24-DailySep!CA24-DailySep!CB24-DailySep!CC24-DailySep!CD24-DailySep!CF24-DailySep!CE24</f>
        <v>1.076841726899147E-9</v>
      </c>
      <c r="IJ62" s="251">
        <v>-1800</v>
      </c>
      <c r="IK62" s="245">
        <f t="shared" si="154"/>
        <v>-450</v>
      </c>
      <c r="IL62" s="251">
        <v>-450</v>
      </c>
      <c r="IO62" s="529"/>
      <c r="IP62" s="529"/>
      <c r="IQ62" s="529"/>
      <c r="IR62" s="529"/>
      <c r="IS62" s="529"/>
      <c r="IT62" s="529"/>
      <c r="JN62">
        <f t="shared" si="138"/>
        <v>25504.999999999636</v>
      </c>
    </row>
    <row r="63" spans="1:274" ht="15" customHeight="1" x14ac:dyDescent="0.25">
      <c r="A63" s="35">
        <v>18</v>
      </c>
      <c r="B63" s="138">
        <v>0.37280000000000002</v>
      </c>
      <c r="C63" s="65"/>
      <c r="D63" s="37">
        <f t="shared" si="155"/>
        <v>0</v>
      </c>
      <c r="E63" s="251">
        <v>34406</v>
      </c>
      <c r="F63" s="245"/>
      <c r="G63" s="37">
        <f t="shared" si="142"/>
        <v>110000</v>
      </c>
      <c r="H63" s="138"/>
      <c r="I63" s="65"/>
      <c r="J63" s="37">
        <f t="shared" si="143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v>16</v>
      </c>
      <c r="DQ63" s="50">
        <v>8.2584</v>
      </c>
      <c r="DR63" s="49">
        <f t="shared" si="156"/>
        <v>0</v>
      </c>
      <c r="DS63" s="50">
        <v>51.348999999999997</v>
      </c>
      <c r="DT63" s="49">
        <f t="shared" si="158"/>
        <v>0</v>
      </c>
      <c r="EJ63" s="2"/>
      <c r="EZ63" s="203">
        <f t="shared" si="144"/>
        <v>14173.550000001018</v>
      </c>
      <c r="FA63" s="205">
        <f t="shared" si="145"/>
        <v>11093.55000000291</v>
      </c>
      <c r="FB63" s="201">
        <f t="shared" si="146"/>
        <v>25267.100000003928</v>
      </c>
      <c r="FC63" s="245"/>
      <c r="FD63" s="167">
        <f t="shared" si="147"/>
        <v>23970.680000003929</v>
      </c>
      <c r="FE63" s="245"/>
      <c r="FF63" s="199">
        <v>0.5</v>
      </c>
      <c r="FG63" s="200">
        <v>0.5</v>
      </c>
      <c r="FH63" s="245">
        <f t="shared" si="148"/>
        <v>648.21</v>
      </c>
      <c r="FI63" s="179">
        <f t="shared" si="148"/>
        <v>648.21</v>
      </c>
      <c r="FJ63" s="179">
        <f t="shared" si="149"/>
        <v>11985.340000001965</v>
      </c>
      <c r="FK63" s="179">
        <f t="shared" si="150"/>
        <v>11985.340000001965</v>
      </c>
      <c r="FL63" s="204">
        <f t="shared" si="151"/>
        <v>12633.550000001964</v>
      </c>
      <c r="FM63" s="206">
        <f t="shared" si="151"/>
        <v>12633.550000001964</v>
      </c>
      <c r="FN63" s="202">
        <f t="shared" si="152"/>
        <v>25267.100000003928</v>
      </c>
      <c r="FQ63" s="217"/>
      <c r="FR63" s="245">
        <v>20</v>
      </c>
      <c r="FS63" s="251">
        <v>870.8</v>
      </c>
      <c r="FT63" s="245"/>
      <c r="FU63" s="293">
        <f t="shared" si="159"/>
        <v>2799.9999999999545</v>
      </c>
      <c r="FV63" s="293">
        <f t="shared" si="160"/>
        <v>1399.9999999999773</v>
      </c>
      <c r="FW63" s="293">
        <f t="shared" si="161"/>
        <v>1399.9999999999773</v>
      </c>
      <c r="IH63" s="245">
        <v>19</v>
      </c>
      <c r="II63" s="144">
        <f>DailySep!BX25+DailySep!BY25-DailySep!BZ25-DailySep!CA25-DailySep!CB25-DailySep!CC25-DailySep!CD25-DailySep!CF25-DailySep!CE25</f>
        <v>-7.2031980380415916E-10</v>
      </c>
      <c r="IJ63" s="251">
        <v>0</v>
      </c>
      <c r="IK63" s="245">
        <f t="shared" si="154"/>
        <v>0</v>
      </c>
      <c r="IL63" s="251"/>
      <c r="IO63" s="529"/>
      <c r="IP63" s="529"/>
      <c r="IQ63" s="529"/>
      <c r="IR63" s="529"/>
      <c r="IS63" s="529"/>
      <c r="IT63" s="529"/>
      <c r="JN63">
        <f t="shared" si="138"/>
        <v>24800.000000000364</v>
      </c>
    </row>
    <row r="64" spans="1:274" ht="15" customHeight="1" x14ac:dyDescent="0.25">
      <c r="A64" s="35">
        <v>19</v>
      </c>
      <c r="B64" s="138">
        <v>0.37280000000000002</v>
      </c>
      <c r="C64" s="65"/>
      <c r="D64" s="37">
        <f t="shared" si="155"/>
        <v>0</v>
      </c>
      <c r="E64" s="251">
        <v>34423</v>
      </c>
      <c r="F64" s="245"/>
      <c r="G64" s="37">
        <f t="shared" si="142"/>
        <v>17000</v>
      </c>
      <c r="H64" s="138"/>
      <c r="I64" s="65"/>
      <c r="J64" s="37">
        <f t="shared" si="143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v>17</v>
      </c>
      <c r="DQ64" s="50">
        <v>8.2584</v>
      </c>
      <c r="DR64" s="49">
        <f t="shared" si="156"/>
        <v>0</v>
      </c>
      <c r="DS64" s="50">
        <v>51.348999999999997</v>
      </c>
      <c r="DT64" s="49">
        <f t="shared" si="158"/>
        <v>0</v>
      </c>
      <c r="EZ64" s="203">
        <f t="shared" si="144"/>
        <v>13664.539999998909</v>
      </c>
      <c r="FA64" s="205">
        <f t="shared" si="145"/>
        <v>10064.539999998546</v>
      </c>
      <c r="FB64" s="201">
        <f t="shared" si="146"/>
        <v>23729.079999997455</v>
      </c>
      <c r="FC64" s="245"/>
      <c r="FD64" s="167">
        <f t="shared" si="147"/>
        <v>22432.659999997457</v>
      </c>
      <c r="FE64" s="245"/>
      <c r="FF64" s="199">
        <v>0.5</v>
      </c>
      <c r="FG64" s="200">
        <v>0.5</v>
      </c>
      <c r="FH64" s="245">
        <f t="shared" si="148"/>
        <v>648.21</v>
      </c>
      <c r="FI64" s="179">
        <f t="shared" si="148"/>
        <v>648.21</v>
      </c>
      <c r="FJ64" s="179">
        <f t="shared" si="149"/>
        <v>11216.329999998728</v>
      </c>
      <c r="FK64" s="179">
        <f t="shared" si="150"/>
        <v>11216.329999998728</v>
      </c>
      <c r="FL64" s="204">
        <f t="shared" si="151"/>
        <v>11864.539999998728</v>
      </c>
      <c r="FM64" s="206">
        <f t="shared" si="151"/>
        <v>11864.539999998728</v>
      </c>
      <c r="FN64" s="202">
        <f t="shared" si="152"/>
        <v>23729.079999997455</v>
      </c>
      <c r="FQ64" s="217"/>
      <c r="FR64" s="245">
        <v>21</v>
      </c>
      <c r="FS64" s="251">
        <v>873.4</v>
      </c>
      <c r="FT64" s="245"/>
      <c r="FU64" s="293">
        <f t="shared" si="159"/>
        <v>2600.0000000000227</v>
      </c>
      <c r="FV64" s="293">
        <f t="shared" si="160"/>
        <v>1300.0000000000114</v>
      </c>
      <c r="FW64" s="293">
        <f t="shared" si="161"/>
        <v>1300.0000000000114</v>
      </c>
      <c r="IH64" s="245">
        <v>20</v>
      </c>
      <c r="II64" s="144">
        <f>DailySep!BX26+DailySep!BY26-DailySep!BZ26-DailySep!CA26-DailySep!CB26-DailySep!CC26-DailySep!CD26-DailySep!CF26-DailySep!CE26</f>
        <v>-1.7462298274040222E-10</v>
      </c>
      <c r="IJ64" s="251">
        <v>700</v>
      </c>
      <c r="IK64" s="245">
        <f t="shared" si="154"/>
        <v>175</v>
      </c>
      <c r="IL64" s="251">
        <v>175</v>
      </c>
      <c r="IO64" s="529"/>
      <c r="IP64" s="529"/>
      <c r="IQ64" s="529"/>
      <c r="IR64" s="529"/>
      <c r="IS64" s="529"/>
      <c r="IT64" s="529"/>
    </row>
    <row r="65" spans="1:254" ht="15" customHeight="1" x14ac:dyDescent="0.25">
      <c r="A65" s="35">
        <v>20</v>
      </c>
      <c r="B65" s="138">
        <v>0.37280000000000002</v>
      </c>
      <c r="C65" s="65"/>
      <c r="D65" s="37">
        <f t="shared" si="155"/>
        <v>0</v>
      </c>
      <c r="E65" s="251">
        <v>34423</v>
      </c>
      <c r="F65" s="245"/>
      <c r="G65" s="37">
        <f t="shared" si="142"/>
        <v>0</v>
      </c>
      <c r="H65" s="138"/>
      <c r="I65" s="65"/>
      <c r="J65" s="37">
        <f t="shared" si="143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v>18</v>
      </c>
      <c r="DQ65" s="50">
        <v>8.2584</v>
      </c>
      <c r="DR65" s="49">
        <f t="shared" si="156"/>
        <v>0</v>
      </c>
      <c r="DS65" s="50">
        <v>51.348999999999997</v>
      </c>
      <c r="DT65" s="49">
        <f t="shared" si="158"/>
        <v>0</v>
      </c>
      <c r="EZ65" s="203">
        <f t="shared" si="144"/>
        <v>12982.740000000291</v>
      </c>
      <c r="FA65" s="205">
        <f t="shared" si="145"/>
        <v>11302.74</v>
      </c>
      <c r="FB65" s="201">
        <f t="shared" si="146"/>
        <v>24285.480000000291</v>
      </c>
      <c r="FC65" s="245"/>
      <c r="FD65" s="167">
        <f t="shared" si="147"/>
        <v>22989.060000000289</v>
      </c>
      <c r="FE65" s="245"/>
      <c r="FF65" s="199">
        <v>0.5</v>
      </c>
      <c r="FG65" s="200">
        <v>0.5</v>
      </c>
      <c r="FH65" s="245">
        <f t="shared" si="148"/>
        <v>648.21</v>
      </c>
      <c r="FI65" s="179">
        <f t="shared" si="148"/>
        <v>648.21</v>
      </c>
      <c r="FJ65" s="179">
        <f t="shared" si="149"/>
        <v>11494.530000000144</v>
      </c>
      <c r="FK65" s="179">
        <f t="shared" si="150"/>
        <v>11494.530000000144</v>
      </c>
      <c r="FL65" s="204">
        <f t="shared" si="151"/>
        <v>12142.740000000143</v>
      </c>
      <c r="FM65" s="206">
        <f t="shared" si="151"/>
        <v>12142.740000000143</v>
      </c>
      <c r="FN65" s="202">
        <f t="shared" si="152"/>
        <v>24285.480000000287</v>
      </c>
      <c r="FQ65" s="217"/>
      <c r="FR65" s="245">
        <v>22</v>
      </c>
      <c r="FS65" s="251">
        <v>876.1</v>
      </c>
      <c r="FT65" s="245"/>
      <c r="FU65" s="293">
        <f t="shared" si="159"/>
        <v>2700.0000000000455</v>
      </c>
      <c r="FV65" s="293">
        <f t="shared" si="160"/>
        <v>1350.0000000000227</v>
      </c>
      <c r="FW65" s="293">
        <f t="shared" si="161"/>
        <v>1350.0000000000227</v>
      </c>
      <c r="IH65" s="245">
        <v>21</v>
      </c>
      <c r="II65" s="144">
        <f>DailySep!BX27+DailySep!BY27-DailySep!BZ27-DailySep!CA27-DailySep!CB27-DailySep!CC27-DailySep!CD27-DailySep!CF27-DailySep!CE27</f>
        <v>1.0040821507573128E-9</v>
      </c>
      <c r="IJ65" s="251">
        <v>-600</v>
      </c>
      <c r="IK65" s="245">
        <f t="shared" si="154"/>
        <v>-150</v>
      </c>
      <c r="IL65" s="251">
        <v>-150</v>
      </c>
      <c r="IO65" s="529"/>
      <c r="IP65" s="529"/>
      <c r="IQ65" s="529"/>
      <c r="IR65" s="529"/>
      <c r="IS65" s="529"/>
      <c r="IT65" s="529"/>
    </row>
    <row r="66" spans="1:254" ht="15" customHeight="1" x14ac:dyDescent="0.25">
      <c r="A66" s="35">
        <v>21</v>
      </c>
      <c r="B66" s="138">
        <v>0.37280000000000002</v>
      </c>
      <c r="C66" s="65"/>
      <c r="D66" s="37">
        <f t="shared" si="155"/>
        <v>0</v>
      </c>
      <c r="E66" s="251">
        <v>34504</v>
      </c>
      <c r="F66" s="245"/>
      <c r="G66" s="37">
        <f t="shared" si="142"/>
        <v>81000</v>
      </c>
      <c r="H66" s="138"/>
      <c r="I66" s="65"/>
      <c r="J66" s="37">
        <f t="shared" si="143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v>19</v>
      </c>
      <c r="DQ66" s="50">
        <v>8.2584</v>
      </c>
      <c r="DR66" s="49">
        <f t="shared" si="156"/>
        <v>0</v>
      </c>
      <c r="DS66" s="50">
        <v>51.348999999999997</v>
      </c>
      <c r="DT66" s="49">
        <f t="shared" si="158"/>
        <v>0</v>
      </c>
      <c r="EZ66" s="203">
        <f t="shared" si="144"/>
        <v>11508.809999999927</v>
      </c>
      <c r="FA66" s="205">
        <f t="shared" si="145"/>
        <v>10428.81</v>
      </c>
      <c r="FB66" s="201">
        <f t="shared" si="146"/>
        <v>21937.619999999926</v>
      </c>
      <c r="FC66" s="245"/>
      <c r="FD66" s="167">
        <f t="shared" si="147"/>
        <v>20641.199999999924</v>
      </c>
      <c r="FE66" s="245"/>
      <c r="FF66" s="199">
        <v>0.5</v>
      </c>
      <c r="FG66" s="200">
        <v>0.5</v>
      </c>
      <c r="FH66" s="245">
        <f t="shared" si="148"/>
        <v>648.21</v>
      </c>
      <c r="FI66" s="179">
        <f t="shared" si="148"/>
        <v>648.21</v>
      </c>
      <c r="FJ66" s="179">
        <f t="shared" si="149"/>
        <v>10320.599999999962</v>
      </c>
      <c r="FK66" s="179">
        <f t="shared" si="150"/>
        <v>10320.599999999962</v>
      </c>
      <c r="FL66" s="204">
        <f t="shared" si="151"/>
        <v>10968.809999999961</v>
      </c>
      <c r="FM66" s="206">
        <f t="shared" si="151"/>
        <v>10968.809999999961</v>
      </c>
      <c r="FN66" s="202">
        <f t="shared" si="152"/>
        <v>21937.619999999923</v>
      </c>
      <c r="FQ66" s="217"/>
      <c r="FR66" s="245">
        <v>23</v>
      </c>
      <c r="FS66" s="251">
        <v>878.7</v>
      </c>
      <c r="FT66" s="245"/>
      <c r="FU66" s="293">
        <f t="shared" si="159"/>
        <v>2600.0000000000227</v>
      </c>
      <c r="FV66" s="293">
        <f t="shared" si="160"/>
        <v>1300.0000000000114</v>
      </c>
      <c r="FW66" s="293">
        <f t="shared" si="161"/>
        <v>1300.0000000000114</v>
      </c>
      <c r="IH66" s="245">
        <v>22</v>
      </c>
      <c r="II66" s="144">
        <f>DailySep!BX28+DailySep!BY28-DailySep!BZ28-DailySep!CA28-DailySep!CB28-DailySep!CC28-DailySep!CD28-DailySep!CF28-DailySep!CE28</f>
        <v>-1.3678800314664841E-9</v>
      </c>
      <c r="IJ66" s="251">
        <v>2400</v>
      </c>
      <c r="IK66" s="245">
        <f t="shared" si="154"/>
        <v>600</v>
      </c>
      <c r="IL66" s="251">
        <v>600</v>
      </c>
      <c r="IO66" s="529"/>
      <c r="IP66" s="529"/>
      <c r="IQ66" s="529"/>
      <c r="IR66" s="529"/>
      <c r="IS66" s="529"/>
      <c r="IT66" s="529"/>
    </row>
    <row r="67" spans="1:254" ht="15" customHeight="1" x14ac:dyDescent="0.25">
      <c r="A67" s="35">
        <v>22</v>
      </c>
      <c r="B67" s="138">
        <v>0.37280000000000002</v>
      </c>
      <c r="C67" s="65"/>
      <c r="D67" s="37">
        <f t="shared" si="155"/>
        <v>0</v>
      </c>
      <c r="E67" s="251">
        <v>34597</v>
      </c>
      <c r="F67" s="245"/>
      <c r="G67" s="37">
        <f t="shared" si="142"/>
        <v>93000</v>
      </c>
      <c r="H67" s="138"/>
      <c r="I67" s="65"/>
      <c r="J67" s="37">
        <f t="shared" si="143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v>20</v>
      </c>
      <c r="DQ67" s="50">
        <v>8.2584</v>
      </c>
      <c r="DR67" s="49">
        <f t="shared" si="156"/>
        <v>0</v>
      </c>
      <c r="DS67" s="50">
        <v>51.348999999999997</v>
      </c>
      <c r="DT67" s="49">
        <f t="shared" si="158"/>
        <v>0</v>
      </c>
      <c r="EZ67" s="203">
        <f t="shared" si="144"/>
        <v>12939.95</v>
      </c>
      <c r="FA67" s="205">
        <f t="shared" si="145"/>
        <v>9939.9500000000007</v>
      </c>
      <c r="FB67" s="201">
        <f t="shared" si="146"/>
        <v>22879.9</v>
      </c>
      <c r="FC67" s="245"/>
      <c r="FD67" s="167">
        <f t="shared" si="147"/>
        <v>21583.480000000003</v>
      </c>
      <c r="FE67" s="245"/>
      <c r="FF67" s="199">
        <v>0.5</v>
      </c>
      <c r="FG67" s="200">
        <v>0.5</v>
      </c>
      <c r="FH67" s="245">
        <f t="shared" si="148"/>
        <v>648.21</v>
      </c>
      <c r="FI67" s="179">
        <f t="shared" si="148"/>
        <v>648.21</v>
      </c>
      <c r="FJ67" s="179">
        <f t="shared" si="149"/>
        <v>10791.740000000002</v>
      </c>
      <c r="FK67" s="179">
        <f t="shared" si="150"/>
        <v>10791.740000000002</v>
      </c>
      <c r="FL67" s="204">
        <f t="shared" si="151"/>
        <v>11439.95</v>
      </c>
      <c r="FM67" s="206">
        <f t="shared" si="151"/>
        <v>11439.95</v>
      </c>
      <c r="FN67" s="202">
        <f t="shared" si="152"/>
        <v>22879.9</v>
      </c>
      <c r="FQ67" s="217"/>
      <c r="FR67" s="245">
        <v>24</v>
      </c>
      <c r="FS67" s="251">
        <v>881.4</v>
      </c>
      <c r="FT67" s="245"/>
      <c r="FU67" s="293">
        <f t="shared" si="159"/>
        <v>2699.9999999999318</v>
      </c>
      <c r="FV67" s="293">
        <f t="shared" si="160"/>
        <v>1349.9999999999659</v>
      </c>
      <c r="FW67" s="293">
        <f t="shared" si="161"/>
        <v>1349.9999999999659</v>
      </c>
      <c r="IH67" s="245">
        <v>23</v>
      </c>
      <c r="II67" s="144">
        <f>DailySep!BX29+DailySep!BY29-DailySep!BZ29-DailySep!CA29-DailySep!CB29-DailySep!CC29-DailySep!CD29-DailySep!CF29-DailySep!CE29</f>
        <v>1.1932570487260818E-9</v>
      </c>
      <c r="IJ67" s="251">
        <v>-800</v>
      </c>
      <c r="IK67" s="245">
        <f t="shared" si="154"/>
        <v>-200</v>
      </c>
      <c r="IL67" s="251">
        <v>-200</v>
      </c>
      <c r="IO67" s="529"/>
      <c r="IP67" s="529"/>
      <c r="IQ67" s="529"/>
      <c r="IR67" s="529"/>
      <c r="IS67" s="529"/>
      <c r="IT67" s="529"/>
    </row>
    <row r="68" spans="1:254" ht="15" customHeight="1" x14ac:dyDescent="0.25">
      <c r="A68" s="35">
        <v>23</v>
      </c>
      <c r="B68" s="138">
        <v>0.37280000000000002</v>
      </c>
      <c r="C68" s="65"/>
      <c r="D68" s="37">
        <f t="shared" si="155"/>
        <v>0</v>
      </c>
      <c r="E68" s="251">
        <v>34686</v>
      </c>
      <c r="F68" s="245"/>
      <c r="G68" s="37">
        <f t="shared" si="142"/>
        <v>89000</v>
      </c>
      <c r="H68" s="138"/>
      <c r="I68" s="65"/>
      <c r="J68" s="37">
        <f t="shared" si="143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v>21</v>
      </c>
      <c r="DQ68" s="50">
        <v>8.2584</v>
      </c>
      <c r="DR68" s="49">
        <f t="shared" si="156"/>
        <v>0</v>
      </c>
      <c r="DS68" s="50">
        <v>51.348999999999997</v>
      </c>
      <c r="DT68" s="49">
        <f t="shared" si="158"/>
        <v>0</v>
      </c>
      <c r="EZ68" s="203">
        <f t="shared" si="144"/>
        <v>12769.45</v>
      </c>
      <c r="FA68" s="205">
        <f t="shared" si="145"/>
        <v>11769.45</v>
      </c>
      <c r="FB68" s="201">
        <f t="shared" si="146"/>
        <v>24538.9</v>
      </c>
      <c r="FC68" s="245"/>
      <c r="FD68" s="167">
        <f t="shared" si="147"/>
        <v>23242.480000000003</v>
      </c>
      <c r="FE68" s="245"/>
      <c r="FF68" s="199">
        <v>0.5</v>
      </c>
      <c r="FG68" s="200">
        <v>0.5</v>
      </c>
      <c r="FH68" s="245">
        <f t="shared" si="148"/>
        <v>648.21</v>
      </c>
      <c r="FI68" s="179">
        <f t="shared" si="148"/>
        <v>648.21</v>
      </c>
      <c r="FJ68" s="179">
        <f t="shared" si="149"/>
        <v>11621.240000000002</v>
      </c>
      <c r="FK68" s="179">
        <f t="shared" si="150"/>
        <v>11621.240000000002</v>
      </c>
      <c r="FL68" s="204">
        <f t="shared" si="151"/>
        <v>12269.45</v>
      </c>
      <c r="FM68" s="206">
        <f t="shared" si="151"/>
        <v>12269.45</v>
      </c>
      <c r="FN68" s="202">
        <f t="shared" si="152"/>
        <v>24538.9</v>
      </c>
      <c r="FQ68" s="217"/>
      <c r="FR68" s="245">
        <v>25</v>
      </c>
      <c r="FS68" s="251">
        <v>883.58</v>
      </c>
      <c r="FT68" s="245"/>
      <c r="FU68" s="345">
        <f t="shared" ref="FU68:FU74" si="162">(FS68-FS67)*1000</f>
        <v>2180.0000000000637</v>
      </c>
      <c r="FV68" s="345">
        <f t="shared" ref="FV68:FV74" si="163">FU68/2</f>
        <v>1090.0000000000318</v>
      </c>
      <c r="FW68" s="345">
        <f t="shared" ref="FW68:FW74" si="164">FU68/2</f>
        <v>1090.0000000000318</v>
      </c>
      <c r="IH68" s="245">
        <v>24</v>
      </c>
      <c r="II68" s="144">
        <f>DailySep!BX30+DailySep!BY30-DailySep!BZ30-DailySep!CA30-DailySep!CB30-DailySep!CC30-DailySep!CD30-DailySep!CF30-DailySep!CE30</f>
        <v>1.964508555829525E-10</v>
      </c>
      <c r="IJ68" s="251">
        <v>3100</v>
      </c>
      <c r="IK68" s="245">
        <f t="shared" si="154"/>
        <v>775</v>
      </c>
      <c r="IL68" s="251">
        <v>775</v>
      </c>
    </row>
    <row r="69" spans="1:254" ht="15" customHeight="1" x14ac:dyDescent="0.25">
      <c r="A69" s="35">
        <v>24</v>
      </c>
      <c r="B69" s="138">
        <v>0.37280000000000002</v>
      </c>
      <c r="C69" s="65"/>
      <c r="D69" s="37">
        <f t="shared" si="155"/>
        <v>0</v>
      </c>
      <c r="E69" s="251">
        <v>34775</v>
      </c>
      <c r="F69" s="245"/>
      <c r="G69" s="37">
        <f t="shared" si="142"/>
        <v>89000</v>
      </c>
      <c r="H69" s="138"/>
      <c r="I69" s="65"/>
      <c r="J69" s="37">
        <f t="shared" si="143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v>22</v>
      </c>
      <c r="DQ69" s="50">
        <v>8.2584</v>
      </c>
      <c r="DR69" s="49">
        <f t="shared" si="156"/>
        <v>0</v>
      </c>
      <c r="DS69" s="50">
        <v>51.348999999999997</v>
      </c>
      <c r="DT69" s="49">
        <f t="shared" si="158"/>
        <v>0</v>
      </c>
      <c r="EZ69" s="203">
        <f t="shared" si="144"/>
        <v>12252.91</v>
      </c>
      <c r="FA69" s="205">
        <f t="shared" si="145"/>
        <v>10252.91</v>
      </c>
      <c r="FB69" s="201">
        <f t="shared" si="146"/>
        <v>22505.82</v>
      </c>
      <c r="FC69" s="245"/>
      <c r="FD69" s="167">
        <f t="shared" si="147"/>
        <v>21209.4</v>
      </c>
      <c r="FE69" s="245"/>
      <c r="FF69" s="199">
        <v>0.5</v>
      </c>
      <c r="FG69" s="200">
        <v>0.5</v>
      </c>
      <c r="FH69" s="245">
        <f t="shared" si="148"/>
        <v>648.21</v>
      </c>
      <c r="FI69" s="179">
        <f t="shared" si="148"/>
        <v>648.21</v>
      </c>
      <c r="FJ69" s="179">
        <f t="shared" si="149"/>
        <v>10604.7</v>
      </c>
      <c r="FK69" s="179">
        <f t="shared" si="150"/>
        <v>10604.7</v>
      </c>
      <c r="FL69" s="204">
        <f t="shared" si="151"/>
        <v>11252.91</v>
      </c>
      <c r="FM69" s="206">
        <f t="shared" si="151"/>
        <v>11252.91</v>
      </c>
      <c r="FN69" s="202">
        <f t="shared" si="152"/>
        <v>22505.82</v>
      </c>
      <c r="FQ69" s="217"/>
      <c r="FR69" s="245">
        <v>26</v>
      </c>
      <c r="FS69" s="251">
        <v>886.41</v>
      </c>
      <c r="FT69" s="245"/>
      <c r="FU69" s="345">
        <f t="shared" si="162"/>
        <v>2829.9999999999272</v>
      </c>
      <c r="FV69" s="345">
        <f t="shared" si="163"/>
        <v>1414.9999999999636</v>
      </c>
      <c r="FW69" s="345">
        <f t="shared" si="164"/>
        <v>1414.9999999999636</v>
      </c>
      <c r="IH69" s="245">
        <v>25</v>
      </c>
      <c r="II69" s="144">
        <f>DailySep!BX31+DailySep!BY31-DailySep!BZ31-DailySep!CA31-DailySep!CB31-DailySep!CC31-DailySep!CD31-DailySep!CF31-DailySep!CE31</f>
        <v>-4.8021320253610611E-10</v>
      </c>
      <c r="IJ69" s="251">
        <v>-1900</v>
      </c>
      <c r="IK69" s="245">
        <f t="shared" si="154"/>
        <v>-475</v>
      </c>
      <c r="IL69" s="251">
        <v>-475</v>
      </c>
    </row>
    <row r="70" spans="1:254" ht="15" customHeight="1" x14ac:dyDescent="0.25">
      <c r="A70" s="35">
        <v>25</v>
      </c>
      <c r="B70" s="138">
        <v>0.37280000000000002</v>
      </c>
      <c r="C70" s="65"/>
      <c r="D70" s="37">
        <f t="shared" si="155"/>
        <v>0</v>
      </c>
      <c r="E70" s="251">
        <v>34873</v>
      </c>
      <c r="F70" s="245"/>
      <c r="G70" s="37">
        <f t="shared" si="142"/>
        <v>98000</v>
      </c>
      <c r="H70" s="138"/>
      <c r="I70" s="65"/>
      <c r="J70" s="37">
        <f t="shared" si="143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v>23</v>
      </c>
      <c r="DQ70" s="50">
        <v>8.2584</v>
      </c>
      <c r="DR70" s="49">
        <f t="shared" si="156"/>
        <v>0</v>
      </c>
      <c r="DS70" s="50">
        <v>51.348999999999997</v>
      </c>
      <c r="DT70" s="49">
        <f t="shared" si="158"/>
        <v>0</v>
      </c>
      <c r="EZ70" s="203">
        <f t="shared" si="144"/>
        <v>12497.91</v>
      </c>
      <c r="FA70" s="205">
        <f t="shared" si="145"/>
        <v>10497.91</v>
      </c>
      <c r="FB70" s="201">
        <f t="shared" si="146"/>
        <v>22995.82</v>
      </c>
      <c r="FC70" s="245"/>
      <c r="FD70" s="167">
        <f t="shared" si="147"/>
        <v>21699.4</v>
      </c>
      <c r="FE70" s="245"/>
      <c r="FF70" s="199">
        <v>0.5</v>
      </c>
      <c r="FG70" s="200">
        <v>0.5</v>
      </c>
      <c r="FH70" s="245">
        <f t="shared" si="148"/>
        <v>648.21</v>
      </c>
      <c r="FI70" s="179">
        <f t="shared" si="148"/>
        <v>648.21</v>
      </c>
      <c r="FJ70" s="179">
        <f t="shared" si="149"/>
        <v>10849.7</v>
      </c>
      <c r="FK70" s="179">
        <f t="shared" si="150"/>
        <v>10849.7</v>
      </c>
      <c r="FL70" s="204">
        <f t="shared" si="151"/>
        <v>11497.91</v>
      </c>
      <c r="FM70" s="206">
        <f t="shared" si="151"/>
        <v>11497.91</v>
      </c>
      <c r="FN70" s="202">
        <f t="shared" si="152"/>
        <v>22995.82</v>
      </c>
      <c r="FQ70" s="217"/>
      <c r="FR70" s="245">
        <v>27</v>
      </c>
      <c r="FS70" s="251">
        <v>889.15</v>
      </c>
      <c r="FT70" s="245"/>
      <c r="FU70" s="345">
        <f t="shared" si="162"/>
        <v>2740.0000000000091</v>
      </c>
      <c r="FV70" s="345">
        <f t="shared" si="163"/>
        <v>1370.0000000000045</v>
      </c>
      <c r="FW70" s="345">
        <f t="shared" si="164"/>
        <v>1370.0000000000045</v>
      </c>
      <c r="IH70" s="245">
        <v>26</v>
      </c>
      <c r="II70" s="144">
        <f>DailySep!BX32+DailySep!BY32-DailySep!BZ32-DailySep!CA32-DailySep!CB32-DailySep!CC32-DailySep!CD32-DailySep!CF32-DailySep!CE32</f>
        <v>-6.1118043959140778E-10</v>
      </c>
      <c r="IJ70" s="251">
        <v>1580</v>
      </c>
      <c r="IK70" s="245">
        <f t="shared" si="154"/>
        <v>395</v>
      </c>
      <c r="IL70" s="251">
        <v>395</v>
      </c>
    </row>
    <row r="71" spans="1:254" ht="15" customHeight="1" x14ac:dyDescent="0.25">
      <c r="A71" s="35">
        <v>26</v>
      </c>
      <c r="B71" s="138">
        <v>0.37280000000000002</v>
      </c>
      <c r="C71" s="65"/>
      <c r="D71" s="37">
        <f t="shared" si="155"/>
        <v>0</v>
      </c>
      <c r="E71" s="251">
        <v>34968</v>
      </c>
      <c r="F71" s="245"/>
      <c r="G71" s="37">
        <f t="shared" si="142"/>
        <v>95000</v>
      </c>
      <c r="H71" s="138"/>
      <c r="I71" s="65"/>
      <c r="J71" s="37">
        <f t="shared" si="143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v>24</v>
      </c>
      <c r="DQ71" s="50">
        <v>8.2584</v>
      </c>
      <c r="DR71" s="49">
        <f t="shared" si="156"/>
        <v>0</v>
      </c>
      <c r="DS71" s="50">
        <v>51.348999999999997</v>
      </c>
      <c r="DT71" s="49">
        <f t="shared" si="158"/>
        <v>0</v>
      </c>
      <c r="EZ71" s="203">
        <f t="shared" si="144"/>
        <v>12235.15</v>
      </c>
      <c r="FA71" s="205">
        <f t="shared" si="145"/>
        <v>9235.15</v>
      </c>
      <c r="FB71" s="201">
        <f t="shared" si="146"/>
        <v>21470.3</v>
      </c>
      <c r="FC71" s="245"/>
      <c r="FD71" s="167">
        <f t="shared" si="147"/>
        <v>20173.879999999997</v>
      </c>
      <c r="FE71" s="245"/>
      <c r="FF71" s="199">
        <v>0.5</v>
      </c>
      <c r="FG71" s="200">
        <v>0.5</v>
      </c>
      <c r="FH71" s="245">
        <f t="shared" si="148"/>
        <v>648.21</v>
      </c>
      <c r="FI71" s="179">
        <f t="shared" si="148"/>
        <v>648.21</v>
      </c>
      <c r="FJ71" s="179">
        <f t="shared" si="149"/>
        <v>10086.939999999999</v>
      </c>
      <c r="FK71" s="179">
        <f t="shared" si="150"/>
        <v>10086.939999999999</v>
      </c>
      <c r="FL71" s="204">
        <f t="shared" si="151"/>
        <v>10735.149999999998</v>
      </c>
      <c r="FM71" s="206">
        <f t="shared" si="151"/>
        <v>10735.149999999998</v>
      </c>
      <c r="FN71" s="202">
        <f t="shared" si="152"/>
        <v>21470.299999999996</v>
      </c>
      <c r="FQ71" s="217"/>
      <c r="FR71" s="245">
        <v>28</v>
      </c>
      <c r="FS71" s="251">
        <v>892.04</v>
      </c>
      <c r="FT71" s="245"/>
      <c r="FU71" s="345">
        <f t="shared" si="162"/>
        <v>2889.9999999999864</v>
      </c>
      <c r="FV71" s="345">
        <f t="shared" si="163"/>
        <v>1444.9999999999932</v>
      </c>
      <c r="FW71" s="345">
        <f t="shared" si="164"/>
        <v>1444.9999999999932</v>
      </c>
      <c r="IH71" s="245">
        <v>27</v>
      </c>
      <c r="II71" s="144">
        <f>DailySep!BX33+DailySep!BY33-DailySep!BZ33-DailySep!CA33-DailySep!CB33-DailySep!CC33-DailySep!CD33-DailySep!CF33-DailySep!CE33</f>
        <v>1.3387762010097504E-9</v>
      </c>
      <c r="IJ71" s="251">
        <v>420</v>
      </c>
      <c r="IK71" s="245">
        <f t="shared" si="154"/>
        <v>105</v>
      </c>
      <c r="IL71" s="251">
        <v>105</v>
      </c>
    </row>
    <row r="72" spans="1:254" ht="15" customHeight="1" x14ac:dyDescent="0.25">
      <c r="A72" s="35">
        <v>27</v>
      </c>
      <c r="B72" s="138">
        <v>0.37280000000000002</v>
      </c>
      <c r="C72" s="65"/>
      <c r="D72" s="37">
        <f t="shared" si="155"/>
        <v>0</v>
      </c>
      <c r="E72" s="251">
        <v>35062</v>
      </c>
      <c r="F72" s="245"/>
      <c r="G72" s="37">
        <f t="shared" si="142"/>
        <v>94000</v>
      </c>
      <c r="H72" s="138"/>
      <c r="I72" s="65"/>
      <c r="J72" s="37">
        <f t="shared" si="143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v>25</v>
      </c>
      <c r="DQ72" s="50">
        <v>8.2584</v>
      </c>
      <c r="DR72" s="49">
        <f t="shared" si="156"/>
        <v>0</v>
      </c>
      <c r="DS72" s="50">
        <v>51.348999999999997</v>
      </c>
      <c r="DT72" s="49">
        <f t="shared" si="158"/>
        <v>0</v>
      </c>
      <c r="EZ72" s="203">
        <f t="shared" si="144"/>
        <v>11773.7</v>
      </c>
      <c r="FA72" s="205">
        <f t="shared" si="145"/>
        <v>10773.7</v>
      </c>
      <c r="FB72" s="201">
        <f t="shared" si="146"/>
        <v>22547.4</v>
      </c>
      <c r="FC72" s="245"/>
      <c r="FD72" s="167">
        <f t="shared" si="147"/>
        <v>21250.980000000003</v>
      </c>
      <c r="FE72" s="245"/>
      <c r="FF72" s="199">
        <v>0.5</v>
      </c>
      <c r="FG72" s="200">
        <v>0.5</v>
      </c>
      <c r="FH72" s="245">
        <f t="shared" si="148"/>
        <v>648.21</v>
      </c>
      <c r="FI72" s="179">
        <f t="shared" si="148"/>
        <v>648.21</v>
      </c>
      <c r="FJ72" s="179">
        <f t="shared" si="149"/>
        <v>10625.490000000002</v>
      </c>
      <c r="FK72" s="179">
        <f t="shared" si="150"/>
        <v>10625.490000000002</v>
      </c>
      <c r="FL72" s="204">
        <f t="shared" si="151"/>
        <v>11273.7</v>
      </c>
      <c r="FM72" s="206">
        <f t="shared" si="151"/>
        <v>11273.7</v>
      </c>
      <c r="FN72" s="202">
        <f t="shared" si="152"/>
        <v>22547.4</v>
      </c>
      <c r="FQ72" s="217"/>
      <c r="FR72" s="245">
        <v>29</v>
      </c>
      <c r="FS72" s="251">
        <v>894.6</v>
      </c>
      <c r="FT72" s="245"/>
      <c r="FU72" s="345">
        <f t="shared" si="162"/>
        <v>2560.0000000000591</v>
      </c>
      <c r="FV72" s="345">
        <f t="shared" si="163"/>
        <v>1280.0000000000296</v>
      </c>
      <c r="FW72" s="345">
        <f t="shared" si="164"/>
        <v>1280.0000000000296</v>
      </c>
      <c r="IH72" s="245">
        <v>28</v>
      </c>
      <c r="II72" s="144">
        <f>DailySep!BX34+DailySep!BY34-DailySep!BZ34-DailySep!CA34-DailySep!CB34-DailySep!CC34-DailySep!CD34-DailySep!CF34-DailySep!CE34</f>
        <v>-1.2660166248679161E-9</v>
      </c>
      <c r="IJ72" s="251">
        <v>800</v>
      </c>
      <c r="IK72" s="245">
        <f t="shared" si="154"/>
        <v>200</v>
      </c>
      <c r="IL72" s="251">
        <v>200</v>
      </c>
    </row>
    <row r="73" spans="1:254" ht="15" customHeight="1" x14ac:dyDescent="0.25">
      <c r="A73" s="35">
        <v>28</v>
      </c>
      <c r="B73" s="138">
        <v>0.37280000000000002</v>
      </c>
      <c r="C73" s="65"/>
      <c r="D73" s="37">
        <f t="shared" si="155"/>
        <v>0</v>
      </c>
      <c r="E73" s="251">
        <v>35153</v>
      </c>
      <c r="F73" s="245"/>
      <c r="G73" s="37">
        <f t="shared" si="142"/>
        <v>91000</v>
      </c>
      <c r="H73" s="138"/>
      <c r="I73" s="65"/>
      <c r="J73" s="37">
        <f t="shared" si="143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v>26</v>
      </c>
      <c r="DQ73" s="50">
        <v>8.2584</v>
      </c>
      <c r="DR73" s="49">
        <f t="shared" si="156"/>
        <v>0</v>
      </c>
      <c r="DS73" s="50">
        <v>51.348999999999997</v>
      </c>
      <c r="DT73" s="49">
        <f t="shared" si="158"/>
        <v>0</v>
      </c>
      <c r="EZ73" s="203">
        <f t="shared" si="144"/>
        <v>13151.52</v>
      </c>
      <c r="FA73" s="205">
        <f t="shared" si="145"/>
        <v>11151.52</v>
      </c>
      <c r="FB73" s="201">
        <f t="shared" si="146"/>
        <v>24303.040000000001</v>
      </c>
      <c r="FC73" s="245"/>
      <c r="FD73" s="167">
        <f t="shared" si="147"/>
        <v>23006.620000000003</v>
      </c>
      <c r="FE73" s="245"/>
      <c r="FF73" s="199">
        <v>0.5</v>
      </c>
      <c r="FG73" s="200">
        <v>0.5</v>
      </c>
      <c r="FH73" s="245">
        <f t="shared" si="148"/>
        <v>648.21</v>
      </c>
      <c r="FI73" s="179">
        <f t="shared" si="148"/>
        <v>648.21</v>
      </c>
      <c r="FJ73" s="179">
        <f t="shared" si="149"/>
        <v>11503.310000000001</v>
      </c>
      <c r="FK73" s="179">
        <f t="shared" si="150"/>
        <v>11503.310000000001</v>
      </c>
      <c r="FL73" s="204">
        <f t="shared" si="151"/>
        <v>12151.52</v>
      </c>
      <c r="FM73" s="206">
        <f t="shared" si="151"/>
        <v>12151.52</v>
      </c>
      <c r="FN73" s="202">
        <f t="shared" si="152"/>
        <v>24303.040000000001</v>
      </c>
      <c r="FQ73" s="217"/>
      <c r="FR73" s="245">
        <v>30</v>
      </c>
      <c r="FS73" s="251">
        <v>897.3</v>
      </c>
      <c r="FT73" s="245"/>
      <c r="FU73" s="345">
        <f t="shared" si="162"/>
        <v>2699.9999999999318</v>
      </c>
      <c r="FV73" s="345">
        <f t="shared" si="163"/>
        <v>1349.9999999999659</v>
      </c>
      <c r="FW73" s="345">
        <f t="shared" si="164"/>
        <v>1349.9999999999659</v>
      </c>
      <c r="IH73" s="245">
        <v>29</v>
      </c>
      <c r="II73" s="144">
        <f>DailySep!BX35+DailySep!BY35-DailySep!BZ35-DailySep!CA35-DailySep!CB35-DailySep!CC35-DailySep!CD35-DailySep!CF35-DailySep!CE35</f>
        <v>9.0949470177292824E-10</v>
      </c>
      <c r="IJ73" s="251">
        <v>1100</v>
      </c>
      <c r="IK73" s="245">
        <f t="shared" si="154"/>
        <v>275</v>
      </c>
      <c r="IL73" s="251">
        <v>275</v>
      </c>
    </row>
    <row r="74" spans="1:254" ht="15" customHeight="1" x14ac:dyDescent="0.25">
      <c r="A74" s="35">
        <v>29</v>
      </c>
      <c r="B74" s="138">
        <v>0.37280000000000002</v>
      </c>
      <c r="C74" s="65"/>
      <c r="D74" s="37">
        <f t="shared" si="155"/>
        <v>0</v>
      </c>
      <c r="E74" s="251">
        <v>35248</v>
      </c>
      <c r="F74" s="245"/>
      <c r="G74" s="37">
        <f t="shared" si="142"/>
        <v>95000</v>
      </c>
      <c r="H74" s="138"/>
      <c r="I74" s="65"/>
      <c r="J74" s="37">
        <f t="shared" si="143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v>27</v>
      </c>
      <c r="DQ74" s="50">
        <v>8.2584</v>
      </c>
      <c r="DR74" s="49">
        <f t="shared" si="156"/>
        <v>0</v>
      </c>
      <c r="DS74" s="50">
        <v>51.348999999999997</v>
      </c>
      <c r="DT74" s="49">
        <f t="shared" si="158"/>
        <v>0</v>
      </c>
      <c r="EZ74" s="203">
        <f t="shared" si="144"/>
        <v>11939.33</v>
      </c>
      <c r="FA74" s="205">
        <f t="shared" si="145"/>
        <v>8939.33</v>
      </c>
      <c r="FB74" s="201">
        <f t="shared" si="146"/>
        <v>20878.66</v>
      </c>
      <c r="FC74" s="245"/>
      <c r="FD74" s="167">
        <f t="shared" si="147"/>
        <v>19582.239999999998</v>
      </c>
      <c r="FE74" s="245"/>
      <c r="FF74" s="199">
        <v>0.5</v>
      </c>
      <c r="FG74" s="200">
        <v>0.5</v>
      </c>
      <c r="FH74" s="245">
        <f t="shared" si="148"/>
        <v>648.21</v>
      </c>
      <c r="FI74" s="179">
        <f t="shared" si="148"/>
        <v>648.21</v>
      </c>
      <c r="FJ74" s="179">
        <f t="shared" si="149"/>
        <v>9791.119999999999</v>
      </c>
      <c r="FK74" s="179">
        <f t="shared" si="150"/>
        <v>9791.119999999999</v>
      </c>
      <c r="FL74" s="204">
        <f t="shared" si="151"/>
        <v>10439.329999999998</v>
      </c>
      <c r="FM74" s="206">
        <f t="shared" si="151"/>
        <v>10439.329999999998</v>
      </c>
      <c r="FN74" s="202">
        <f t="shared" si="152"/>
        <v>20878.659999999996</v>
      </c>
      <c r="FQ74" s="217"/>
      <c r="FR74" s="245">
        <v>31</v>
      </c>
      <c r="FS74" s="251">
        <v>900</v>
      </c>
      <c r="FT74" s="245"/>
      <c r="FU74" s="345">
        <f t="shared" si="162"/>
        <v>2700.0000000000455</v>
      </c>
      <c r="FV74" s="345">
        <f t="shared" si="163"/>
        <v>1350.0000000000227</v>
      </c>
      <c r="FW74" s="345">
        <f t="shared" si="164"/>
        <v>1350.0000000000227</v>
      </c>
      <c r="IH74" s="34">
        <v>30</v>
      </c>
      <c r="II74" s="144">
        <f>DailySep!BX36+DailySep!BY36-DailySep!BZ36-DailySep!CA36-DailySep!CB36-DailySep!CC36-DailySep!CD36-DailySep!CF36-DailySep!CE36</f>
        <v>-9.3859853222966194E-10</v>
      </c>
      <c r="IJ74" s="251"/>
      <c r="IK74" s="245">
        <f t="shared" si="154"/>
        <v>0</v>
      </c>
      <c r="IL74" s="251"/>
    </row>
    <row r="75" spans="1:254" ht="15" customHeight="1" x14ac:dyDescent="0.25">
      <c r="A75" s="35">
        <v>30</v>
      </c>
      <c r="B75" s="138">
        <v>0.37280000000000002</v>
      </c>
      <c r="C75" s="65"/>
      <c r="D75" s="37">
        <f t="shared" si="155"/>
        <v>0</v>
      </c>
      <c r="E75" s="251">
        <v>35339</v>
      </c>
      <c r="F75" s="245"/>
      <c r="G75" s="37">
        <f t="shared" si="142"/>
        <v>91000</v>
      </c>
      <c r="H75" s="138"/>
      <c r="I75" s="65"/>
      <c r="J75" s="37">
        <f t="shared" si="143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28</v>
      </c>
      <c r="DQ75" s="50">
        <v>8.2584</v>
      </c>
      <c r="DR75" s="49">
        <f t="shared" si="156"/>
        <v>0</v>
      </c>
      <c r="DS75" s="50">
        <v>51.348999999999997</v>
      </c>
      <c r="DT75" s="49">
        <f t="shared" si="158"/>
        <v>0</v>
      </c>
      <c r="EZ75" s="167">
        <f t="shared" si="144"/>
        <v>0</v>
      </c>
      <c r="FA75" s="167">
        <f t="shared" si="145"/>
        <v>0</v>
      </c>
      <c r="FB75" s="167">
        <f t="shared" si="146"/>
        <v>0</v>
      </c>
      <c r="FC75" s="245"/>
      <c r="FD75" s="167">
        <f t="shared" si="147"/>
        <v>-1296.42</v>
      </c>
      <c r="FE75" s="245"/>
      <c r="FF75" s="199">
        <v>0.5</v>
      </c>
      <c r="FG75" s="200">
        <v>0.5</v>
      </c>
      <c r="FH75" s="245">
        <f t="shared" si="148"/>
        <v>648.21</v>
      </c>
      <c r="FI75" s="179">
        <f t="shared" si="148"/>
        <v>648.21</v>
      </c>
      <c r="FJ75" s="179">
        <f t="shared" si="149"/>
        <v>-648.21</v>
      </c>
      <c r="FK75" s="179">
        <f t="shared" si="150"/>
        <v>-648.21</v>
      </c>
      <c r="FL75" s="204">
        <f t="shared" si="151"/>
        <v>0</v>
      </c>
      <c r="FM75" s="206">
        <f t="shared" si="151"/>
        <v>0</v>
      </c>
      <c r="FN75" s="202">
        <f t="shared" si="152"/>
        <v>0</v>
      </c>
      <c r="FQ75" s="217"/>
      <c r="FR75" s="245">
        <v>1</v>
      </c>
      <c r="FS75" s="251"/>
      <c r="FT75" s="245"/>
      <c r="FU75" s="345"/>
      <c r="FV75" s="345"/>
      <c r="FW75" s="345"/>
      <c r="IH75" s="34">
        <v>1</v>
      </c>
      <c r="II75" s="144">
        <f>DailySep!BX37+DailySep!BY37-DailySep!BZ37-DailySep!CA37-DailySep!CB37-DailySep!CC37-DailySep!CD37-DailySep!CF37-DailySep!CE37</f>
        <v>0</v>
      </c>
      <c r="IJ75" s="251"/>
      <c r="IK75" s="245">
        <f t="shared" si="154"/>
        <v>0</v>
      </c>
      <c r="IL75" s="251"/>
    </row>
    <row r="76" spans="1:254" x14ac:dyDescent="0.25">
      <c r="A76" s="35">
        <v>1</v>
      </c>
      <c r="B76" s="138"/>
      <c r="C76" s="65"/>
      <c r="D76" s="37"/>
      <c r="E76" s="251">
        <v>35426</v>
      </c>
      <c r="F76" s="245"/>
      <c r="G76" s="37">
        <f t="shared" si="142"/>
        <v>87000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29</v>
      </c>
      <c r="DQ76" s="50">
        <v>8.2584</v>
      </c>
      <c r="DR76" s="49">
        <f t="shared" si="156"/>
        <v>0</v>
      </c>
      <c r="DS76" s="50">
        <v>51.348999999999997</v>
      </c>
      <c r="DT76" s="49">
        <f t="shared" si="158"/>
        <v>0</v>
      </c>
      <c r="EZ76" s="91"/>
      <c r="IH76" s="245" t="s">
        <v>37</v>
      </c>
      <c r="II76" s="128">
        <f>SUM(II45:II75)</f>
        <v>1.6007106751203537E-10</v>
      </c>
      <c r="IJ76" s="245"/>
      <c r="IK76" s="245"/>
      <c r="IL76" s="245"/>
    </row>
    <row r="77" spans="1:254" ht="15.75" thickBot="1" x14ac:dyDescent="0.3">
      <c r="A77" s="157"/>
      <c r="B77" s="138"/>
      <c r="C77" s="65"/>
      <c r="D77" s="37"/>
      <c r="E77" s="251"/>
      <c r="F77" s="245"/>
      <c r="G77" s="37"/>
      <c r="H77" s="138"/>
      <c r="I77" s="65"/>
      <c r="J77" s="37"/>
      <c r="L77" s="245">
        <v>31</v>
      </c>
      <c r="M77" s="59">
        <v>-2986.31</v>
      </c>
      <c r="N77" s="245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30</v>
      </c>
      <c r="DQ77" s="50">
        <v>8.2584</v>
      </c>
      <c r="DR77" s="49">
        <f t="shared" si="156"/>
        <v>0</v>
      </c>
      <c r="DS77" s="50">
        <v>51.348999999999997</v>
      </c>
      <c r="DT77" s="49">
        <f t="shared" si="158"/>
        <v>0</v>
      </c>
      <c r="EZ77" s="91"/>
    </row>
    <row r="78" spans="1:254" ht="15.75" thickBot="1" x14ac:dyDescent="0.3">
      <c r="B78" s="137"/>
      <c r="C78" s="55"/>
      <c r="D78" s="78">
        <f>SUM(D46:D75)</f>
        <v>0</v>
      </c>
      <c r="E78" s="245"/>
      <c r="F78" s="245"/>
      <c r="G78" s="167">
        <f>SUM(G46:G77)</f>
        <v>2519000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v>8.2584</v>
      </c>
      <c r="DR78" s="49">
        <f t="shared" si="156"/>
        <v>0</v>
      </c>
      <c r="DS78" s="50">
        <v>51.348999999999997</v>
      </c>
      <c r="DT78" s="49">
        <f t="shared" si="158"/>
        <v>0</v>
      </c>
      <c r="EZ78" s="91"/>
    </row>
    <row r="79" spans="1:254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0</v>
      </c>
      <c r="DS79" s="84"/>
      <c r="DT79" s="85">
        <f>SUMIF(DT47:DT78,"&gt;0")</f>
        <v>0</v>
      </c>
      <c r="EZ79" s="91"/>
    </row>
    <row r="80" spans="1:254" x14ac:dyDescent="0.25">
      <c r="B80" t="s">
        <v>197</v>
      </c>
      <c r="F80" s="299" t="s">
        <v>435</v>
      </c>
      <c r="G80" s="300"/>
      <c r="H80" s="300"/>
      <c r="I80" s="301"/>
      <c r="J80" s="317" t="s">
        <v>437</v>
      </c>
      <c r="K80" s="318"/>
      <c r="L80" s="319"/>
      <c r="M80" s="320"/>
      <c r="N80" s="317" t="s">
        <v>438</v>
      </c>
      <c r="O80" s="318"/>
      <c r="P80" s="319"/>
      <c r="Q80" s="320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B60</f>
        <v>0.37280000000000002</v>
      </c>
      <c r="F81" s="302" t="s">
        <v>173</v>
      </c>
      <c r="G81" s="303"/>
      <c r="H81" s="304">
        <f>E75</f>
        <v>35339</v>
      </c>
      <c r="I81" s="305"/>
      <c r="J81" s="321" t="s">
        <v>213</v>
      </c>
      <c r="K81" s="322"/>
      <c r="L81" s="323">
        <f>[11]Master!$AU$36</f>
        <v>17873</v>
      </c>
      <c r="M81" s="324"/>
      <c r="N81" s="321" t="s">
        <v>213</v>
      </c>
      <c r="O81" s="322"/>
      <c r="P81" s="323">
        <f>[11]Master!$BN$36</f>
        <v>86159</v>
      </c>
      <c r="Q81" s="3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f>0</f>
        <v>0</v>
      </c>
      <c r="F82" s="302" t="s">
        <v>174</v>
      </c>
      <c r="G82" s="303"/>
      <c r="H82" s="295">
        <f>Aug!E76</f>
        <v>32907</v>
      </c>
      <c r="I82" s="305"/>
      <c r="J82" s="321" t="s">
        <v>214</v>
      </c>
      <c r="K82" s="296"/>
      <c r="L82" s="297">
        <f>[12]Master!$AU$37</f>
        <v>659771</v>
      </c>
      <c r="M82" s="324"/>
      <c r="N82" s="321" t="s">
        <v>214</v>
      </c>
      <c r="O82" s="296"/>
      <c r="P82" s="323">
        <f>[8]Master!$BN$37</f>
        <v>70431</v>
      </c>
      <c r="Q82" s="3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(D81-D82)*1000000</f>
        <v>372800</v>
      </c>
      <c r="E83" t="s">
        <v>176</v>
      </c>
      <c r="F83" s="302" t="s">
        <v>175</v>
      </c>
      <c r="G83" s="303"/>
      <c r="H83" s="306">
        <f>(H81-H82)*1000</f>
        <v>2432000</v>
      </c>
      <c r="I83" s="305" t="s">
        <v>176</v>
      </c>
      <c r="J83" s="321" t="s">
        <v>175</v>
      </c>
      <c r="K83" s="325"/>
      <c r="L83" s="326">
        <f>L81-L82</f>
        <v>-641898</v>
      </c>
      <c r="M83" s="324" t="s">
        <v>215</v>
      </c>
      <c r="N83" s="321" t="s">
        <v>175</v>
      </c>
      <c r="O83" s="325"/>
      <c r="P83" s="326">
        <f>P81-P82</f>
        <v>15728</v>
      </c>
      <c r="Q83" s="3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F84" s="302"/>
      <c r="G84" s="303"/>
      <c r="H84" s="303"/>
      <c r="I84" s="305"/>
      <c r="J84" s="302"/>
      <c r="K84" s="303"/>
      <c r="L84" s="303"/>
      <c r="M84" s="324"/>
      <c r="N84" s="302"/>
      <c r="O84" s="298"/>
      <c r="P84" s="298"/>
      <c r="Q84" s="3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F85" s="302"/>
      <c r="G85" s="303"/>
      <c r="H85" s="303"/>
      <c r="I85" s="305"/>
      <c r="J85" s="302"/>
      <c r="K85" s="303"/>
      <c r="L85" s="303"/>
      <c r="M85" s="305"/>
      <c r="N85" s="302"/>
      <c r="O85" s="303"/>
      <c r="P85" s="303"/>
      <c r="Q85" s="305"/>
    </row>
    <row r="86" spans="2:156" x14ac:dyDescent="0.25">
      <c r="F86" s="307"/>
      <c r="G86" s="308"/>
      <c r="H86" s="308"/>
      <c r="I86" s="309"/>
      <c r="J86" s="307"/>
      <c r="K86" s="308"/>
      <c r="L86" s="308"/>
      <c r="M86" s="309"/>
      <c r="N86" s="307"/>
      <c r="O86" s="308"/>
      <c r="P86" s="308"/>
      <c r="Q86" s="309"/>
    </row>
    <row r="88" spans="2:156" ht="61.5" x14ac:dyDescent="0.25">
      <c r="B88" s="24"/>
      <c r="C88" s="24"/>
      <c r="F88" s="523" t="s">
        <v>434</v>
      </c>
      <c r="G88" s="523"/>
      <c r="H88" s="523"/>
      <c r="I88" s="523"/>
      <c r="J88" s="523"/>
      <c r="K88" s="523"/>
      <c r="L88" s="523"/>
      <c r="M88" s="523"/>
      <c r="N88" s="523"/>
      <c r="O88" s="523"/>
      <c r="P88" s="523"/>
      <c r="Q88" s="523"/>
    </row>
  </sheetData>
  <customSheetViews>
    <customSheetView guid="{48545DB9-4D9D-4699-ACEC-DA6E2D3586A8}" scale="115" fitToPage="1" hiddenColumns="1">
      <pane xSplit="1" ySplit="6" topLeftCell="B54" activePane="bottomRight" state="frozen"/>
      <selection pane="bottomRight" activeCell="E75" sqref="E75"/>
      <pageMargins left="0.70866141732283472" right="0.70866141732283472" top="0.74803149606299213" bottom="0.74803149606299213" header="0.31496062992125984" footer="0.31496062992125984"/>
      <pageSetup scale="10" orientation="landscape" r:id="rId1"/>
    </customSheetView>
    <customSheetView guid="{32ABFE17-599B-4D0B-A1DB-D95B181877FC}" scale="115" fitToPage="1" hiddenColumns="1">
      <pane xSplit="1" ySplit="6" topLeftCell="B54" activePane="bottomRight" state="frozen"/>
      <selection pane="bottomRight" activeCell="E75" sqref="E75"/>
      <pageMargins left="0.70866141732283472" right="0.70866141732283472" top="0.74803149606299213" bottom="0.74803149606299213" header="0.31496062992125984" footer="0.31496062992125984"/>
      <pageSetup scale="10" orientation="landscape" r:id="rId2"/>
    </customSheetView>
  </customSheetViews>
  <mergeCells count="162"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U5:V5"/>
    <mergeCell ref="W5:X5"/>
    <mergeCell ref="Y5:Z5"/>
    <mergeCell ref="AA5:AB5"/>
    <mergeCell ref="AC5:AF5"/>
    <mergeCell ref="AG5:AJ5"/>
    <mergeCell ref="AL5:AO5"/>
    <mergeCell ref="AP5:AS5"/>
    <mergeCell ref="AT5:AU5"/>
    <mergeCell ref="AV5:AW5"/>
    <mergeCell ref="AX5:AZ5"/>
    <mergeCell ref="S5:T5"/>
    <mergeCell ref="DU41:DW41"/>
    <mergeCell ref="HH3:KE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CG5:CH5"/>
    <mergeCell ref="CI5:CL5"/>
    <mergeCell ref="IV4:JM4"/>
    <mergeCell ref="JN4:KE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EE4:EG4"/>
    <mergeCell ref="EH4:EJ4"/>
    <mergeCell ref="CM5:CP5"/>
    <mergeCell ref="HN4:IH4"/>
    <mergeCell ref="II4:II5"/>
    <mergeCell ref="IJ4:IU4"/>
    <mergeCell ref="CQ5:CT5"/>
    <mergeCell ref="BA5:BC5"/>
    <mergeCell ref="BS5:BT5"/>
    <mergeCell ref="BU5:BX5"/>
    <mergeCell ref="BY5:CB5"/>
    <mergeCell ref="CC5:CD5"/>
    <mergeCell ref="CE5:CF5"/>
    <mergeCell ref="EE5:EG5"/>
    <mergeCell ref="EH5:EJ5"/>
    <mergeCell ref="EK5:EM5"/>
    <mergeCell ref="EO5:EQ5"/>
    <mergeCell ref="ER5:ET5"/>
    <mergeCell ref="EU5:EW5"/>
    <mergeCell ref="CU5:CX5"/>
    <mergeCell ref="CY5:DB5"/>
    <mergeCell ref="DC5:DF5"/>
    <mergeCell ref="DU5:DW5"/>
    <mergeCell ref="DX5:DZ5"/>
    <mergeCell ref="EA5:EC5"/>
    <mergeCell ref="IJ5:IL5"/>
    <mergeCell ref="IM5:IO5"/>
    <mergeCell ref="KC5:KE5"/>
    <mergeCell ref="FV6:FX6"/>
    <mergeCell ref="FY6:GA6"/>
    <mergeCell ref="GB6:GD6"/>
    <mergeCell ref="GE6:GG6"/>
    <mergeCell ref="GH6:GJ6"/>
    <mergeCell ref="GK6:GM6"/>
    <mergeCell ref="GU6:GX6"/>
    <mergeCell ref="GY6:HB6"/>
    <mergeCell ref="JK5:JM5"/>
    <mergeCell ref="JN5:JP5"/>
    <mergeCell ref="JQ5:JS5"/>
    <mergeCell ref="JT5:JV5"/>
    <mergeCell ref="JW5:JY5"/>
    <mergeCell ref="JZ5:KB5"/>
    <mergeCell ref="IS5:IU5"/>
    <mergeCell ref="IV5:IX5"/>
    <mergeCell ref="JH5:JJ5"/>
    <mergeCell ref="HZ5:IB5"/>
    <mergeCell ref="IC5:IE5"/>
    <mergeCell ref="IF5:IH5"/>
    <mergeCell ref="IY5:JA5"/>
    <mergeCell ref="JB5:JD5"/>
    <mergeCell ref="JE5:JG5"/>
    <mergeCell ref="DX41:DZ41"/>
    <mergeCell ref="EA41:EC41"/>
    <mergeCell ref="EO41:EQ41"/>
    <mergeCell ref="ER41:ET41"/>
    <mergeCell ref="EU41:EZ41"/>
    <mergeCell ref="FE41:FG41"/>
    <mergeCell ref="FO41:FQ41"/>
    <mergeCell ref="HF1:HF6"/>
    <mergeCell ref="GT1:GT6"/>
    <mergeCell ref="GP2:GQ2"/>
    <mergeCell ref="GQ3:GS3"/>
    <mergeCell ref="FH42:FI43"/>
    <mergeCell ref="FJ42:FK43"/>
    <mergeCell ref="FL42:FM43"/>
    <mergeCell ref="IP5:IR5"/>
    <mergeCell ref="FN5:FP5"/>
    <mergeCell ref="FQ5:FS5"/>
    <mergeCell ref="HN5:HP5"/>
    <mergeCell ref="HQ5:HS5"/>
    <mergeCell ref="HT5:HV5"/>
    <mergeCell ref="HW5:HY5"/>
    <mergeCell ref="F88:Q88"/>
    <mergeCell ref="BU41:BW41"/>
    <mergeCell ref="BY41:CA41"/>
    <mergeCell ref="IH42:IL42"/>
    <mergeCell ref="GZ8:HC33"/>
    <mergeCell ref="FH41:FJ41"/>
    <mergeCell ref="IO42:IT67"/>
    <mergeCell ref="AP48:AS48"/>
    <mergeCell ref="EE48:EG48"/>
    <mergeCell ref="EH48:EJ48"/>
    <mergeCell ref="EK48:EM48"/>
    <mergeCell ref="EV48:EW48"/>
    <mergeCell ref="FN42:FN44"/>
    <mergeCell ref="FO42:FQ44"/>
    <mergeCell ref="FR42:FR43"/>
    <mergeCell ref="FS42:FU42"/>
    <mergeCell ref="DQ43:DR45"/>
    <mergeCell ref="DS43:DT45"/>
    <mergeCell ref="EZ43:EZ44"/>
    <mergeCell ref="FA43:FA44"/>
    <mergeCell ref="FB43:FB44"/>
    <mergeCell ref="EW45:EX45"/>
    <mergeCell ref="DQ42:DT42"/>
    <mergeCell ref="FF42:FG43"/>
  </mergeCells>
  <conditionalFormatting sqref="G45:G77">
    <cfRule type="cellIs" dxfId="2" priority="1" operator="greaterThan">
      <formula>100000</formula>
    </cfRule>
  </conditionalFormatting>
  <hyperlinks>
    <hyperlink ref="BH2" location="Sep!EO3" display="PM 16"/>
    <hyperlink ref="EN2" location="Sep!BE3" display="BOILER"/>
    <hyperlink ref="H1" location="Sep!DQ3" display="CVT"/>
    <hyperlink ref="GU3" location="Sep!HH3" display="Go to SUN 2"/>
    <hyperlink ref="IE42" location="Sep!GU3" display="Sep!GU3"/>
    <hyperlink ref="DW1" location="Sep!B79" display="go to synergy"/>
    <hyperlink ref="F1" location="Sep!DU3" display="back to PM 14"/>
    <hyperlink ref="FF2" location="Sep!FX70" display="go to Kompressor"/>
    <hyperlink ref="FS41" location="Sep!FE4" display="back to PM 17"/>
    <hyperlink ref="ID2" location="Sep!IP78" display="GO TO ADJUST SUN2"/>
  </hyperlinks>
  <pageMargins left="0.70866141732283472" right="0.70866141732283472" top="0.74803149606299213" bottom="0.74803149606299213" header="0.31496062992125984" footer="0.31496062992125984"/>
  <pageSetup scale="10" orientation="landscape" r:id="rId3"/>
  <drawing r:id="rId4"/>
  <legacy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CI86"/>
  <sheetViews>
    <sheetView zoomScaleNormal="100" workbookViewId="0">
      <pane xSplit="1" ySplit="6" topLeftCell="B9" activePane="bottomRight" state="frozen"/>
      <selection pane="topRight" activeCell="B1" sqref="B1"/>
      <selection pane="bottomLeft" activeCell="A7" sqref="A7"/>
      <selection pane="bottomRight" activeCell="C42" sqref="C42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customWidth="1"/>
    <col min="5" max="5" width="10.7109375" customWidth="1"/>
    <col min="6" max="6" width="11.28515625" bestFit="1" customWidth="1"/>
    <col min="7" max="7" width="13" bestFit="1" customWidth="1"/>
    <col min="8" max="8" width="12.28515625" bestFit="1" customWidth="1"/>
    <col min="9" max="9" width="14.28515625" bestFit="1" customWidth="1"/>
    <col min="10" max="11" width="12.28515625" bestFit="1" customWidth="1"/>
    <col min="12" max="12" width="13.5703125" bestFit="1" customWidth="1"/>
    <col min="13" max="13" width="11.28515625" bestFit="1" customWidth="1"/>
    <col min="14" max="14" width="13.85546875" bestFit="1" customWidth="1"/>
    <col min="15" max="15" width="11.28515625" customWidth="1"/>
    <col min="16" max="16" width="11.28515625" bestFit="1" customWidth="1"/>
    <col min="17" max="17" width="10.85546875" customWidth="1"/>
    <col min="18" max="18" width="10.5703125" customWidth="1"/>
    <col min="19" max="19" width="12.28515625" bestFit="1" customWidth="1"/>
    <col min="20" max="20" width="13" bestFit="1" customWidth="1"/>
    <col min="21" max="22" width="12.28515625" bestFit="1" customWidth="1"/>
    <col min="23" max="23" width="10.85546875" customWidth="1"/>
    <col min="24" max="24" width="1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29" width="10.7109375" customWidth="1"/>
    <col min="30" max="30" width="17.85546875" bestFit="1" customWidth="1"/>
    <col min="31" max="31" width="12.7109375" customWidth="1"/>
    <col min="32" max="32" width="10.42578125" customWidth="1"/>
    <col min="33" max="33" width="22.140625" bestFit="1" customWidth="1"/>
    <col min="34" max="34" width="10.85546875" customWidth="1"/>
    <col min="35" max="35" width="11.28515625" customWidth="1"/>
    <col min="36" max="36" width="13.42578125" bestFit="1" customWidth="1"/>
    <col min="37" max="37" width="12.42578125" bestFit="1" customWidth="1"/>
    <col min="38" max="38" width="12.42578125" customWidth="1"/>
    <col min="39" max="39" width="12.5703125" customWidth="1"/>
    <col min="40" max="40" width="11.28515625" bestFit="1" customWidth="1"/>
    <col min="41" max="41" width="12.42578125" bestFit="1" customWidth="1"/>
    <col min="42" max="47" width="12.28515625" bestFit="1" customWidth="1"/>
    <col min="48" max="48" width="12" customWidth="1"/>
    <col min="49" max="49" width="12.28515625" bestFit="1" customWidth="1"/>
    <col min="50" max="50" width="11.28515625" customWidth="1"/>
    <col min="51" max="51" width="12.42578125" bestFit="1" customWidth="1"/>
    <col min="52" max="52" width="13" bestFit="1" customWidth="1"/>
    <col min="53" max="54" width="12.28515625" bestFit="1" customWidth="1"/>
    <col min="55" max="55" width="11.28515625" customWidth="1"/>
    <col min="56" max="56" width="12.42578125" bestFit="1" customWidth="1"/>
    <col min="57" max="59" width="12.42578125" customWidth="1"/>
    <col min="60" max="60" width="12.28515625" bestFit="1" customWidth="1"/>
    <col min="61" max="63" width="10.7109375" customWidth="1"/>
    <col min="64" max="64" width="6.28515625" bestFit="1" customWidth="1"/>
    <col min="65" max="65" width="12.28515625" bestFit="1" customWidth="1"/>
    <col min="66" max="66" width="10.7109375" customWidth="1"/>
    <col min="67" max="67" width="11.28515625" bestFit="1" customWidth="1"/>
    <col min="68" max="72" width="10.7109375" customWidth="1"/>
    <col min="73" max="73" width="14.42578125" bestFit="1" customWidth="1"/>
    <col min="74" max="74" width="58.42578125" customWidth="1"/>
    <col min="75" max="75" width="16.140625" customWidth="1"/>
    <col min="76" max="76" width="12.28515625" bestFit="1" customWidth="1"/>
    <col min="77" max="77" width="9.5703125" bestFit="1" customWidth="1"/>
    <col min="78" max="82" width="11.28515625" bestFit="1" customWidth="1"/>
    <col min="83" max="83" width="7.28515625" bestFit="1" customWidth="1"/>
    <col min="84" max="84" width="12.85546875" bestFit="1" customWidth="1"/>
    <col min="85" max="89" width="9.140625" customWidth="1"/>
  </cols>
  <sheetData>
    <row r="1" spans="1:84" x14ac:dyDescent="0.25">
      <c r="H1" s="262">
        <f>DailySep!B8-DailySep!N8-DailySep!V8-DailySep!Y8-DailySep!Z8-DailySep!AA8-DailySep!AB8-DailySep!AC8-DailySep!AD8-DailySep!AE8-DailySep!AK8-DailySep!AO8-DailySep!AS8-DailySep!AY8-DailySep!BD8+DailySep!BU8-DailySep!BG8-DailySep!BT8-DailySep!AF8-DailySep!AG8</f>
        <v>5.0000021030427888E-2</v>
      </c>
    </row>
    <row r="2" spans="1:84" ht="26.25" x14ac:dyDescent="0.4">
      <c r="A2" s="499" t="s">
        <v>390</v>
      </c>
      <c r="B2" s="499"/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499"/>
      <c r="O2" s="499"/>
      <c r="P2" s="499"/>
      <c r="Q2" s="499"/>
      <c r="R2" s="499"/>
      <c r="S2" s="499"/>
      <c r="T2" s="499"/>
      <c r="U2" s="499"/>
      <c r="V2" s="499"/>
      <c r="W2" s="499"/>
      <c r="X2" s="499"/>
      <c r="Y2" s="499"/>
      <c r="Z2" s="499"/>
      <c r="AA2" s="499"/>
      <c r="AB2" s="499"/>
      <c r="AC2" s="499"/>
      <c r="AD2" s="499"/>
      <c r="AE2" s="499"/>
      <c r="AF2" s="499"/>
      <c r="AG2" s="499"/>
      <c r="AH2" s="499"/>
      <c r="AI2" s="499"/>
      <c r="AJ2" s="499"/>
      <c r="AK2" s="499"/>
      <c r="AL2" s="499"/>
      <c r="AM2" s="499"/>
      <c r="AN2" s="499"/>
      <c r="AO2" s="499"/>
      <c r="AP2" s="499"/>
      <c r="AQ2" s="499"/>
      <c r="AR2" s="499"/>
      <c r="AS2" s="499"/>
      <c r="AT2" s="499"/>
      <c r="AU2" s="499"/>
      <c r="AV2" s="499"/>
      <c r="AW2" s="499"/>
      <c r="AX2" s="499"/>
      <c r="AY2" s="499"/>
      <c r="AZ2" s="499"/>
      <c r="BA2" s="499"/>
      <c r="BB2" s="499"/>
      <c r="BC2" s="499"/>
      <c r="BD2" s="499"/>
      <c r="BE2" s="499"/>
      <c r="BF2" s="499"/>
      <c r="BG2" s="499"/>
      <c r="BH2" s="499"/>
      <c r="BI2" s="499"/>
      <c r="BJ2" s="499"/>
      <c r="BK2" s="499"/>
      <c r="BL2" s="499"/>
      <c r="BM2" s="499"/>
      <c r="BN2" s="499"/>
      <c r="BO2" s="499"/>
      <c r="BP2" s="499"/>
      <c r="BQ2" s="499"/>
      <c r="BR2" s="499"/>
      <c r="BS2" s="499"/>
      <c r="BT2" s="499"/>
      <c r="BU2" s="499"/>
    </row>
    <row r="4" spans="1:84" ht="15" customHeight="1" x14ac:dyDescent="0.25">
      <c r="A4" s="448" t="s">
        <v>1</v>
      </c>
      <c r="B4" s="455" t="s">
        <v>118</v>
      </c>
      <c r="C4" s="455" t="s">
        <v>119</v>
      </c>
      <c r="D4" s="465" t="s">
        <v>4</v>
      </c>
      <c r="E4" s="466"/>
      <c r="F4" s="466"/>
      <c r="G4" s="466"/>
      <c r="H4" s="466"/>
      <c r="I4" s="466"/>
      <c r="J4" s="466"/>
      <c r="K4" s="466"/>
      <c r="L4" s="466"/>
      <c r="M4" s="467"/>
      <c r="N4" s="468" t="s">
        <v>120</v>
      </c>
      <c r="O4" s="110"/>
      <c r="P4" s="110"/>
      <c r="Q4" s="110"/>
      <c r="R4" s="110"/>
      <c r="S4" s="110" t="s">
        <v>121</v>
      </c>
      <c r="T4" s="110"/>
      <c r="U4" s="110"/>
      <c r="V4" s="476" t="s">
        <v>121</v>
      </c>
      <c r="W4" s="460" t="s">
        <v>122</v>
      </c>
      <c r="X4" s="460"/>
      <c r="Y4" s="459" t="s">
        <v>123</v>
      </c>
      <c r="Z4" s="461" t="s">
        <v>124</v>
      </c>
      <c r="AA4" s="462" t="s">
        <v>125</v>
      </c>
      <c r="AB4" s="463" t="s">
        <v>126</v>
      </c>
      <c r="AC4" s="456" t="s">
        <v>127</v>
      </c>
      <c r="AD4" s="457" t="s">
        <v>200</v>
      </c>
      <c r="AE4" s="457" t="s">
        <v>223</v>
      </c>
      <c r="AF4" s="457" t="s">
        <v>248</v>
      </c>
      <c r="AG4" s="457" t="s">
        <v>249</v>
      </c>
      <c r="AH4" s="458" t="s">
        <v>128</v>
      </c>
      <c r="AI4" s="458"/>
      <c r="AJ4" s="458"/>
      <c r="AK4" s="454" t="s">
        <v>129</v>
      </c>
      <c r="AL4" s="454" t="s">
        <v>130</v>
      </c>
      <c r="AM4" s="454"/>
      <c r="AN4" s="454"/>
      <c r="AO4" s="454" t="s">
        <v>14</v>
      </c>
      <c r="AP4" s="459" t="s">
        <v>131</v>
      </c>
      <c r="AQ4" s="459"/>
      <c r="AR4" s="459"/>
      <c r="AS4" s="459" t="s">
        <v>17</v>
      </c>
      <c r="AT4" s="453" t="s">
        <v>132</v>
      </c>
      <c r="AU4" s="453"/>
      <c r="AV4" s="453"/>
      <c r="AW4" s="453"/>
      <c r="AX4" s="240"/>
      <c r="AY4" s="453" t="s">
        <v>15</v>
      </c>
      <c r="AZ4" s="453" t="s">
        <v>133</v>
      </c>
      <c r="BA4" s="453"/>
      <c r="BB4" s="453"/>
      <c r="BC4" s="240"/>
      <c r="BD4" s="453" t="s">
        <v>16</v>
      </c>
      <c r="BE4" s="505" t="s">
        <v>19</v>
      </c>
      <c r="BF4" s="506"/>
      <c r="BG4" s="459" t="s">
        <v>19</v>
      </c>
      <c r="BH4" s="477" t="s">
        <v>201</v>
      </c>
      <c r="BI4" s="478"/>
      <c r="BJ4" s="478"/>
      <c r="BK4" s="479"/>
      <c r="BL4" s="483" t="s">
        <v>134</v>
      </c>
      <c r="BM4" s="483"/>
      <c r="BN4" s="483"/>
      <c r="BO4" s="483"/>
      <c r="BP4" s="501" t="s">
        <v>335</v>
      </c>
      <c r="BQ4" s="501"/>
      <c r="BR4" s="501"/>
      <c r="BS4" s="502"/>
      <c r="BT4" s="455" t="s">
        <v>293</v>
      </c>
      <c r="BU4" s="455" t="s">
        <v>190</v>
      </c>
      <c r="BX4" s="455" t="s">
        <v>278</v>
      </c>
      <c r="BY4" s="455" t="s">
        <v>279</v>
      </c>
      <c r="BZ4" s="455" t="s">
        <v>204</v>
      </c>
      <c r="CA4" s="455" t="s">
        <v>260</v>
      </c>
      <c r="CB4" s="455" t="s">
        <v>261</v>
      </c>
      <c r="CC4" s="455" t="s">
        <v>318</v>
      </c>
      <c r="CD4" s="511" t="s">
        <v>346</v>
      </c>
      <c r="CE4" s="511" t="s">
        <v>357</v>
      </c>
      <c r="CF4" s="455" t="s">
        <v>280</v>
      </c>
    </row>
    <row r="5" spans="1:84" x14ac:dyDescent="0.25">
      <c r="A5" s="448"/>
      <c r="B5" s="455"/>
      <c r="C5" s="455"/>
      <c r="D5" s="471" t="s">
        <v>135</v>
      </c>
      <c r="E5" s="472"/>
      <c r="F5" s="472"/>
      <c r="G5" s="472"/>
      <c r="H5" s="472"/>
      <c r="I5" s="473"/>
      <c r="J5" s="474" t="s">
        <v>136</v>
      </c>
      <c r="K5" s="475"/>
      <c r="L5" s="474" t="s">
        <v>55</v>
      </c>
      <c r="M5" s="475"/>
      <c r="N5" s="469"/>
      <c r="O5" s="110"/>
      <c r="P5" s="110"/>
      <c r="Q5" s="110"/>
      <c r="R5" s="110"/>
      <c r="S5" s="110"/>
      <c r="T5" s="110"/>
      <c r="U5" s="110"/>
      <c r="V5" s="476"/>
      <c r="W5" s="460"/>
      <c r="X5" s="460"/>
      <c r="Y5" s="459"/>
      <c r="Z5" s="461"/>
      <c r="AA5" s="462"/>
      <c r="AB5" s="463"/>
      <c r="AC5" s="456"/>
      <c r="AD5" s="457"/>
      <c r="AE5" s="457"/>
      <c r="AF5" s="457"/>
      <c r="AG5" s="457"/>
      <c r="AH5" s="242"/>
      <c r="AI5" s="242"/>
      <c r="AJ5" s="242"/>
      <c r="AK5" s="454"/>
      <c r="AL5" s="241"/>
      <c r="AM5" s="241"/>
      <c r="AN5" s="241"/>
      <c r="AO5" s="454"/>
      <c r="AP5" s="243"/>
      <c r="AQ5" s="243"/>
      <c r="AR5" s="243"/>
      <c r="AS5" s="459"/>
      <c r="AT5" s="240"/>
      <c r="AU5" s="240"/>
      <c r="AV5" s="240"/>
      <c r="AW5" s="240"/>
      <c r="AX5" s="240"/>
      <c r="AY5" s="453"/>
      <c r="AZ5" s="240"/>
      <c r="BA5" s="240"/>
      <c r="BB5" s="240"/>
      <c r="BC5" s="240"/>
      <c r="BD5" s="453"/>
      <c r="BE5" s="218"/>
      <c r="BF5" s="218"/>
      <c r="BG5" s="459"/>
      <c r="BH5" s="480"/>
      <c r="BI5" s="481"/>
      <c r="BJ5" s="481"/>
      <c r="BK5" s="482"/>
      <c r="BL5" s="483"/>
      <c r="BM5" s="483"/>
      <c r="BN5" s="483"/>
      <c r="BO5" s="483"/>
      <c r="BP5" s="503"/>
      <c r="BQ5" s="503"/>
      <c r="BR5" s="503"/>
      <c r="BS5" s="504"/>
      <c r="BT5" s="455"/>
      <c r="BU5" s="455"/>
      <c r="BX5" s="455"/>
      <c r="BY5" s="455"/>
      <c r="BZ5" s="455"/>
      <c r="CA5" s="455"/>
      <c r="CB5" s="455"/>
      <c r="CC5" s="455"/>
      <c r="CD5" s="512"/>
      <c r="CE5" s="512"/>
      <c r="CF5" s="455"/>
    </row>
    <row r="6" spans="1:84" ht="60" x14ac:dyDescent="0.25">
      <c r="A6" s="448"/>
      <c r="B6" s="455"/>
      <c r="C6" s="455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70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76"/>
      <c r="W6" s="120" t="s">
        <v>62</v>
      </c>
      <c r="X6" s="121" t="s">
        <v>63</v>
      </c>
      <c r="Y6" s="459"/>
      <c r="Z6" s="461"/>
      <c r="AA6" s="462"/>
      <c r="AB6" s="463"/>
      <c r="AC6" s="456"/>
      <c r="AD6" s="457"/>
      <c r="AE6" s="457"/>
      <c r="AF6" s="457"/>
      <c r="AG6" s="457"/>
      <c r="AH6" s="242" t="s">
        <v>66</v>
      </c>
      <c r="AI6" s="242" t="s">
        <v>67</v>
      </c>
      <c r="AJ6" s="242" t="s">
        <v>147</v>
      </c>
      <c r="AK6" s="454"/>
      <c r="AL6" s="122" t="s">
        <v>148</v>
      </c>
      <c r="AM6" s="122" t="s">
        <v>149</v>
      </c>
      <c r="AN6" s="122" t="s">
        <v>150</v>
      </c>
      <c r="AO6" s="454"/>
      <c r="AP6" s="243" t="s">
        <v>99</v>
      </c>
      <c r="AQ6" s="243" t="s">
        <v>100</v>
      </c>
      <c r="AR6" s="243" t="s">
        <v>151</v>
      </c>
      <c r="AS6" s="459"/>
      <c r="AT6" s="240" t="s">
        <v>152</v>
      </c>
      <c r="AU6" s="240" t="s">
        <v>153</v>
      </c>
      <c r="AV6" s="240" t="s">
        <v>154</v>
      </c>
      <c r="AW6" s="240" t="s">
        <v>155</v>
      </c>
      <c r="AX6" s="240" t="s">
        <v>156</v>
      </c>
      <c r="AY6" s="453"/>
      <c r="AZ6" s="240" t="s">
        <v>152</v>
      </c>
      <c r="BA6" s="240" t="s">
        <v>153</v>
      </c>
      <c r="BB6" s="240" t="s">
        <v>155</v>
      </c>
      <c r="BC6" s="240" t="s">
        <v>151</v>
      </c>
      <c r="BD6" s="453"/>
      <c r="BE6" s="243" t="s">
        <v>202</v>
      </c>
      <c r="BF6" s="243" t="s">
        <v>330</v>
      </c>
      <c r="BG6" s="459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455"/>
      <c r="BU6" s="455"/>
      <c r="BX6" s="455"/>
      <c r="BY6" s="455"/>
      <c r="BZ6" s="455"/>
      <c r="CA6" s="455"/>
      <c r="CB6" s="455"/>
      <c r="CC6" s="455"/>
      <c r="CD6" s="513"/>
      <c r="CE6" s="513"/>
      <c r="CF6" s="455"/>
    </row>
    <row r="7" spans="1:84" x14ac:dyDescent="0.25">
      <c r="A7" s="124">
        <v>1</v>
      </c>
      <c r="B7" s="42">
        <f>Sep!G8</f>
        <v>454399.9999999869</v>
      </c>
      <c r="C7" s="42">
        <f>Sep!N8</f>
        <v>453000</v>
      </c>
      <c r="D7" s="42">
        <f>Sep!T8</f>
        <v>328.49000000022352</v>
      </c>
      <c r="E7" s="42">
        <f>Sep!V8</f>
        <v>0</v>
      </c>
      <c r="F7" s="42">
        <f>Sep!AB8</f>
        <v>0</v>
      </c>
      <c r="G7" s="42">
        <f>Sep!X8</f>
        <v>17571.509999999413</v>
      </c>
      <c r="H7" s="42">
        <f>Sep!AE8</f>
        <v>7900.0000000005457</v>
      </c>
      <c r="I7" s="42">
        <f>Sep!AI8</f>
        <v>16508.500000000364</v>
      </c>
      <c r="J7" s="42">
        <f>Sep!AN8</f>
        <v>4938.5000000007685</v>
      </c>
      <c r="K7" s="42">
        <f>Sep!AR8</f>
        <v>8800.0000000010914</v>
      </c>
      <c r="L7" s="42">
        <f>Sep!AZ8</f>
        <v>440</v>
      </c>
      <c r="M7" s="42">
        <f>Sep!BC8</f>
        <v>640</v>
      </c>
      <c r="N7" s="125">
        <f t="shared" ref="N7" si="0">SUM(D7:M7)</f>
        <v>57127.000000002408</v>
      </c>
      <c r="O7" s="125">
        <f>Sep!CA8</f>
        <v>720.69999999996526</v>
      </c>
      <c r="P7" s="125">
        <f>Sep!CD8</f>
        <v>390.70000000006985</v>
      </c>
      <c r="Q7" s="125">
        <f>Sep!CF8</f>
        <v>5374</v>
      </c>
      <c r="R7" s="125">
        <f>Sep!CH8</f>
        <v>0</v>
      </c>
      <c r="S7" s="125">
        <f>Sep!CK8</f>
        <v>14347.79999999989</v>
      </c>
      <c r="T7" s="125">
        <f>Sep!CO8</f>
        <v>5300.4999999998254</v>
      </c>
      <c r="U7" s="125">
        <f>Sep!CS8</f>
        <v>5521.3000000000466</v>
      </c>
      <c r="V7" s="126">
        <f>SUM(O7:U7)</f>
        <v>31654.999999999796</v>
      </c>
      <c r="W7" s="126">
        <f>Sep!CW8</f>
        <v>20519</v>
      </c>
      <c r="X7" s="126">
        <f>Sep!DA8</f>
        <v>11474</v>
      </c>
      <c r="Y7" s="126">
        <f t="shared" ref="Y7:Y36" si="1">W7+X7</f>
        <v>31993</v>
      </c>
      <c r="Z7" s="42">
        <f>Sep!BR8</f>
        <v>799.99999999995453</v>
      </c>
      <c r="AA7" s="126">
        <f>Sep!BG8</f>
        <v>1599.9999999999091</v>
      </c>
      <c r="AB7" s="126">
        <f>Sep!BJ8</f>
        <v>9099.9999999985448</v>
      </c>
      <c r="AC7" s="126">
        <f>Sep!BL8+Sep!BN8</f>
        <v>4870.0000000000045</v>
      </c>
      <c r="AD7" s="126">
        <f>Sep!DR8</f>
        <v>10300</v>
      </c>
      <c r="AE7" s="127">
        <f>Sep!DT8-Sep!DR48-Sep!DT48</f>
        <v>27300</v>
      </c>
      <c r="AF7" s="127">
        <f>Sep!DR48+Sep!DT48</f>
        <v>0</v>
      </c>
      <c r="AG7" s="127">
        <f>Sep!HJ8-AE7</f>
        <v>150700</v>
      </c>
      <c r="AH7" s="127">
        <f>Sep!DW8</f>
        <v>4400.0000000014552</v>
      </c>
      <c r="AI7" s="127">
        <f>Sep!DZ8</f>
        <v>7908.5</v>
      </c>
      <c r="AJ7" s="127">
        <f>Sep!EC8</f>
        <v>23068.5</v>
      </c>
      <c r="AK7" s="127">
        <f>SUM(AH7:AJ7)</f>
        <v>35377.000000001455</v>
      </c>
      <c r="AL7" s="127">
        <f>Sep!EG8</f>
        <v>25068.5</v>
      </c>
      <c r="AM7" s="127">
        <f>Sep!EJ8</f>
        <v>10908.5</v>
      </c>
      <c r="AN7" s="127">
        <f>Sep!EM8</f>
        <v>810.00000000005912</v>
      </c>
      <c r="AO7" s="127">
        <f>SUM(AL7:AN7)</f>
        <v>36787.000000000058</v>
      </c>
      <c r="AP7" s="127">
        <f>Sep!FX8</f>
        <v>36500</v>
      </c>
      <c r="AQ7" s="127">
        <f>Sep!GA8</f>
        <v>11120</v>
      </c>
      <c r="AR7" s="127">
        <f>Sep!GG8</f>
        <v>8161</v>
      </c>
      <c r="AS7" s="127">
        <f>SUM(AP7:AR7)</f>
        <v>55781</v>
      </c>
      <c r="AT7" s="127">
        <f>Sep!EQ8</f>
        <v>7063.5000000000291</v>
      </c>
      <c r="AU7" s="127">
        <f>Sep!ET8</f>
        <v>15000</v>
      </c>
      <c r="AV7" s="127">
        <f>Sep!EW8</f>
        <v>10308.500000000546</v>
      </c>
      <c r="AW7" s="127">
        <f>Sep!FL45</f>
        <v>10408.5</v>
      </c>
      <c r="AX7" s="127">
        <f>Sep!GJ8</f>
        <v>1839</v>
      </c>
      <c r="AY7" s="127">
        <f>SUM(AT7:AX7)</f>
        <v>44619.500000000575</v>
      </c>
      <c r="AZ7" s="127">
        <f>Sep!FG8</f>
        <v>8753.4999999999709</v>
      </c>
      <c r="BA7" s="127">
        <f>Sep!FJ8</f>
        <v>15908.5</v>
      </c>
      <c r="BB7" s="127">
        <f>Sep!FM45</f>
        <v>10408.5</v>
      </c>
      <c r="BC7" s="127">
        <f>Sep!GM8</f>
        <v>0</v>
      </c>
      <c r="BD7" s="127">
        <f>SUM(AZ7:BC7)</f>
        <v>35070.499999999971</v>
      </c>
      <c r="BE7" s="127">
        <f>Sep!GP8</f>
        <v>10</v>
      </c>
      <c r="BF7" s="127">
        <f>Sep!GS8</f>
        <v>310</v>
      </c>
      <c r="BG7" s="127">
        <f>BE7+BF7</f>
        <v>320</v>
      </c>
      <c r="BH7" s="127">
        <f t="shared" ref="BH7:BH36" si="2">Y7</f>
        <v>31993</v>
      </c>
      <c r="BI7" s="127"/>
      <c r="BJ7" s="127"/>
      <c r="BK7" s="127"/>
      <c r="BL7" s="128"/>
      <c r="BM7" s="128">
        <f>AS7*55/100</f>
        <v>30679.55</v>
      </c>
      <c r="BN7" s="128"/>
      <c r="BO7" s="128">
        <f>(AS7-BM7)</f>
        <v>25101.45</v>
      </c>
      <c r="BP7" s="128"/>
      <c r="BQ7" s="128">
        <f t="shared" ref="BQ7:BQ12" si="3">BG7</f>
        <v>320</v>
      </c>
      <c r="BR7" s="128"/>
      <c r="BS7" s="128">
        <f>BG7-BQ7</f>
        <v>0</v>
      </c>
      <c r="BT7" s="42">
        <f>Sep!D46</f>
        <v>0</v>
      </c>
      <c r="BU7" s="42">
        <f>Sep!G46</f>
        <v>79000</v>
      </c>
      <c r="BV7" t="s">
        <v>413</v>
      </c>
      <c r="BX7" s="42">
        <f>Sep!HJ8</f>
        <v>178000</v>
      </c>
      <c r="BY7" s="42">
        <f>Sep!HM8</f>
        <v>0</v>
      </c>
      <c r="BZ7" s="42">
        <f>Sep!HP8</f>
        <v>44374.999999999818</v>
      </c>
      <c r="CA7" s="42">
        <f>Sep!HS8</f>
        <v>24374.999999999818</v>
      </c>
      <c r="CB7" s="42">
        <f>Sep!HV8</f>
        <v>26475.000000000182</v>
      </c>
      <c r="CC7" s="42">
        <f>Sep!HY8</f>
        <v>23974.999999999727</v>
      </c>
      <c r="CD7" s="42">
        <f>Sep!IB8</f>
        <v>31500</v>
      </c>
      <c r="CE7" s="42">
        <f>Sep!IE8</f>
        <v>0</v>
      </c>
      <c r="CF7" s="42">
        <f>Sep!IH8</f>
        <v>27300</v>
      </c>
    </row>
    <row r="8" spans="1:84" x14ac:dyDescent="0.25">
      <c r="A8" s="26">
        <f>A7+1</f>
        <v>2</v>
      </c>
      <c r="B8" s="42">
        <f>Sep!G9</f>
        <v>427520.00000001863</v>
      </c>
      <c r="C8" s="42">
        <f>Sep!N9</f>
        <v>425000</v>
      </c>
      <c r="D8" s="42">
        <f>Sep!T9</f>
        <v>335.31000000052154</v>
      </c>
      <c r="E8" s="42">
        <f>Sep!V9</f>
        <v>0</v>
      </c>
      <c r="F8" s="42">
        <f>Sep!AB9</f>
        <v>200</v>
      </c>
      <c r="G8" s="42">
        <f>Sep!X9</f>
        <v>16964.689999999478</v>
      </c>
      <c r="H8" s="42">
        <f>Sep!AE9</f>
        <v>5299.9999999992724</v>
      </c>
      <c r="I8" s="42">
        <f>Sep!AI9</f>
        <v>11026.15</v>
      </c>
      <c r="J8" s="42">
        <f>Sep!AN9</f>
        <v>6516.1499999993221</v>
      </c>
      <c r="K8" s="42">
        <f>Sep!AR9</f>
        <v>11899.999999999636</v>
      </c>
      <c r="L8" s="42">
        <f>Sep!AZ9</f>
        <v>410</v>
      </c>
      <c r="M8" s="42">
        <f>Sep!BC9</f>
        <v>650</v>
      </c>
      <c r="N8" s="125">
        <f t="shared" ref="N8:N34" si="4">SUM(D8:M8)</f>
        <v>53302.299999998235</v>
      </c>
      <c r="O8" s="125">
        <f>Sep!CA9</f>
        <v>661.10000000003311</v>
      </c>
      <c r="P8" s="125">
        <f>Sep!CD9</f>
        <v>1636.6999999999534</v>
      </c>
      <c r="Q8" s="125">
        <f>Sep!CF9</f>
        <v>5693</v>
      </c>
      <c r="R8" s="125">
        <f>Sep!CH9</f>
        <v>0</v>
      </c>
      <c r="S8" s="125">
        <f>Sep!CK9</f>
        <v>15355.049999999748</v>
      </c>
      <c r="T8" s="125">
        <f>Sep!CO9</f>
        <v>6917.1499999996213</v>
      </c>
      <c r="U8" s="125">
        <f>Sep!CS9</f>
        <v>6240.15</v>
      </c>
      <c r="V8" s="126">
        <f t="shared" ref="V8:V36" si="5">SUM(O8:U8)</f>
        <v>36503.149999999361</v>
      </c>
      <c r="W8" s="126">
        <f>Sep!CW9</f>
        <v>14782</v>
      </c>
      <c r="X8" s="126">
        <f>Sep!DA9</f>
        <v>8621</v>
      </c>
      <c r="Y8" s="126">
        <f t="shared" si="1"/>
        <v>23403</v>
      </c>
      <c r="Z8" s="42">
        <f>Sep!BR9</f>
        <v>799.99999999995453</v>
      </c>
      <c r="AA8" s="126">
        <f>Sep!BG9</f>
        <v>1400.0000000000909</v>
      </c>
      <c r="AB8" s="126">
        <f>Sep!BJ9</f>
        <v>9300.0000000010914</v>
      </c>
      <c r="AC8" s="126">
        <f>Sep!BL9+Sep!BN9</f>
        <v>5009.9999999999955</v>
      </c>
      <c r="AD8" s="126">
        <f>Sep!DR9</f>
        <v>10500</v>
      </c>
      <c r="AE8" s="127">
        <f>Sep!DT9-Sep!DR49-Sep!DT49</f>
        <v>24900</v>
      </c>
      <c r="AF8" s="127">
        <f>Sep!DR49+Sep!DT49</f>
        <v>0</v>
      </c>
      <c r="AG8" s="127">
        <f>Sep!HJ9-AE8</f>
        <v>144100</v>
      </c>
      <c r="AH8" s="127">
        <f>Sep!DW9</f>
        <v>4199.9999999989086</v>
      </c>
      <c r="AI8" s="127">
        <f>Sep!DZ9</f>
        <v>8026.15</v>
      </c>
      <c r="AJ8" s="127">
        <f>Sep!EC9</f>
        <v>23186.15</v>
      </c>
      <c r="AK8" s="127">
        <f t="shared" ref="AK8:AK36" si="6">SUM(AH8:AJ8)</f>
        <v>35412.299999998912</v>
      </c>
      <c r="AL8" s="127">
        <f>Sep!EG9</f>
        <v>29186.15</v>
      </c>
      <c r="AM8" s="127">
        <f>Sep!EJ9</f>
        <v>12026.15</v>
      </c>
      <c r="AN8" s="127">
        <f>Sep!EM9</f>
        <v>729.9999999999045</v>
      </c>
      <c r="AO8" s="127">
        <f t="shared" ref="AO8:AO28" si="7">SUM(AL8:AN8)</f>
        <v>41942.299999999908</v>
      </c>
      <c r="AP8" s="127">
        <f>Sep!FX9</f>
        <v>32400</v>
      </c>
      <c r="AQ8" s="127">
        <f>Sep!GA9</f>
        <v>8560</v>
      </c>
      <c r="AR8" s="127">
        <f>Sep!GG9</f>
        <v>9224</v>
      </c>
      <c r="AS8" s="127">
        <f t="shared" ref="AS8:AS36" si="8">SUM(AP8:AR8)</f>
        <v>50184</v>
      </c>
      <c r="AT8" s="127">
        <f>Sep!EQ9</f>
        <v>5971.1499999999924</v>
      </c>
      <c r="AU8" s="127">
        <f>Sep!ET9</f>
        <v>14000</v>
      </c>
      <c r="AV8" s="127">
        <f>Sep!EW9</f>
        <v>10526.15</v>
      </c>
      <c r="AW8" s="127">
        <f>Sep!FL46</f>
        <v>9026.1499999999978</v>
      </c>
      <c r="AX8" s="127">
        <f>Sep!GJ9</f>
        <v>1776</v>
      </c>
      <c r="AY8" s="127">
        <f t="shared" ref="AY8:AY34" si="9">SUM(AT8:AX8)</f>
        <v>41299.449999999997</v>
      </c>
      <c r="AZ8" s="127">
        <f>Sep!FG9</f>
        <v>9081.1500000000069</v>
      </c>
      <c r="BA8" s="127">
        <f>Sep!FJ9</f>
        <v>16026.15</v>
      </c>
      <c r="BB8" s="127">
        <f>Sep!FM46</f>
        <v>9026.1499999999978</v>
      </c>
      <c r="BC8" s="127">
        <f>Sep!GM9</f>
        <v>0</v>
      </c>
      <c r="BD8" s="127">
        <f t="shared" ref="BD8:BD34" si="10">SUM(AZ8:BC8)</f>
        <v>34133.450000000004</v>
      </c>
      <c r="BE8" s="127">
        <f>Sep!GP9</f>
        <v>0</v>
      </c>
      <c r="BF8" s="127">
        <f>Sep!GS9</f>
        <v>330</v>
      </c>
      <c r="BG8" s="127">
        <f t="shared" ref="BG8:BG36" si="11">BE8+BF8</f>
        <v>330</v>
      </c>
      <c r="BH8" s="127">
        <f t="shared" si="2"/>
        <v>23403</v>
      </c>
      <c r="BI8" s="127"/>
      <c r="BJ8" s="127"/>
      <c r="BK8" s="127"/>
      <c r="BL8" s="128"/>
      <c r="BM8" s="128">
        <f>AS8*50/100</f>
        <v>25092</v>
      </c>
      <c r="BN8" s="128"/>
      <c r="BO8" s="128">
        <f t="shared" ref="BO8:BO36" si="12">(AS8-BM8)</f>
        <v>25092</v>
      </c>
      <c r="BP8" s="128"/>
      <c r="BQ8" s="128">
        <f t="shared" si="3"/>
        <v>330</v>
      </c>
      <c r="BR8" s="128"/>
      <c r="BS8" s="128">
        <f t="shared" ref="BS8:BS36" si="13">BG8-BQ8</f>
        <v>0</v>
      </c>
      <c r="BT8" s="42">
        <f>Sep!D47</f>
        <v>0</v>
      </c>
      <c r="BU8" s="42">
        <f>Sep!G48</f>
        <v>85000</v>
      </c>
      <c r="BV8" t="s">
        <v>412</v>
      </c>
      <c r="BX8" s="42">
        <f>Sep!HJ9</f>
        <v>169000</v>
      </c>
      <c r="BY8" s="42">
        <f>Sep!HM9</f>
        <v>0</v>
      </c>
      <c r="BZ8" s="42">
        <f>Sep!HP9</f>
        <v>45174.999999999454</v>
      </c>
      <c r="CA8" s="42">
        <f>Sep!HS9</f>
        <v>26975.000000000546</v>
      </c>
      <c r="CB8" s="42">
        <f>Sep!HV9</f>
        <v>27774.999999999818</v>
      </c>
      <c r="CC8" s="42">
        <f>Sep!HY9</f>
        <v>26475.000000000091</v>
      </c>
      <c r="CD8" s="42">
        <f>Sep!IB9</f>
        <v>17700</v>
      </c>
      <c r="CE8" s="42">
        <f>Sep!IE9</f>
        <v>0</v>
      </c>
      <c r="CF8" s="42">
        <f>Sep!IH9</f>
        <v>24900</v>
      </c>
    </row>
    <row r="9" spans="1:84" x14ac:dyDescent="0.25">
      <c r="A9" s="26">
        <f t="shared" ref="A9:A36" si="14">A8+1</f>
        <v>3</v>
      </c>
      <c r="B9" s="42">
        <f>Sep!G10</f>
        <v>416319.99999999971</v>
      </c>
      <c r="C9" s="42">
        <f>Sep!N10</f>
        <v>414000</v>
      </c>
      <c r="D9" s="42">
        <f>Sep!T10</f>
        <v>333.07000000029802</v>
      </c>
      <c r="E9" s="42">
        <f>Sep!V10</f>
        <v>0</v>
      </c>
      <c r="F9" s="42">
        <f>Sep!AB10</f>
        <v>100</v>
      </c>
      <c r="G9" s="42">
        <f>Sep!X10</f>
        <v>17166.930000000066</v>
      </c>
      <c r="H9" s="42">
        <f>Sep!AE10</f>
        <v>4300.0000000001819</v>
      </c>
      <c r="I9" s="42">
        <f>Sep!AI10</f>
        <v>8130.050000000364</v>
      </c>
      <c r="J9" s="42">
        <f>Sep!AN10</f>
        <v>5470.0500000002903</v>
      </c>
      <c r="K9" s="42">
        <f>Sep!AR10</f>
        <v>14299.999999999272</v>
      </c>
      <c r="L9" s="42">
        <f>Sep!AZ10</f>
        <v>400</v>
      </c>
      <c r="M9" s="42">
        <f>Sep!BC10</f>
        <v>610</v>
      </c>
      <c r="N9" s="125">
        <f t="shared" si="4"/>
        <v>50810.100000000471</v>
      </c>
      <c r="O9" s="125">
        <f>Sep!CA10</f>
        <v>701.19999999997162</v>
      </c>
      <c r="P9" s="125">
        <f>Sep!CD10</f>
        <v>959.40000000002328</v>
      </c>
      <c r="Q9" s="125">
        <f>Sep!CF10</f>
        <v>5345</v>
      </c>
      <c r="R9" s="125">
        <f>Sep!CH10</f>
        <v>0</v>
      </c>
      <c r="S9" s="125">
        <f>Sep!CK10</f>
        <v>13478.849999999664</v>
      </c>
      <c r="T9" s="125">
        <f>Sep!CO10</f>
        <v>6415.0500000002185</v>
      </c>
      <c r="U9" s="125">
        <f>Sep!CS10</f>
        <v>4886.8499999999303</v>
      </c>
      <c r="V9" s="126">
        <f t="shared" si="5"/>
        <v>31786.349999999806</v>
      </c>
      <c r="W9" s="126">
        <f>Sep!CW10</f>
        <v>17543</v>
      </c>
      <c r="X9" s="126">
        <f>Sep!DA10</f>
        <v>9630</v>
      </c>
      <c r="Y9" s="126">
        <f t="shared" si="1"/>
        <v>27173</v>
      </c>
      <c r="Z9" s="42">
        <f>Sep!BR10</f>
        <v>800.00000000006821</v>
      </c>
      <c r="AA9" s="126">
        <f>Sep!BG10</f>
        <v>1199.9999999998181</v>
      </c>
      <c r="AB9" s="126">
        <f>Sep!BJ10</f>
        <v>9399.9999999996362</v>
      </c>
      <c r="AC9" s="126">
        <f>Sep!BL10+Sep!BN10</f>
        <v>4860.0000000000045</v>
      </c>
      <c r="AD9" s="126">
        <f>Sep!DR10</f>
        <v>10700</v>
      </c>
      <c r="AE9" s="127">
        <f>Sep!DT10-Sep!DR50-Sep!DT50</f>
        <v>24800</v>
      </c>
      <c r="AF9" s="127">
        <f>Sep!DR50+Sep!DT50</f>
        <v>0</v>
      </c>
      <c r="AG9" s="127">
        <f>Sep!HJ10-AE9</f>
        <v>141200</v>
      </c>
      <c r="AH9" s="127">
        <f>Sep!DW10</f>
        <v>4399.9999999996362</v>
      </c>
      <c r="AI9" s="127">
        <f>Sep!DZ10</f>
        <v>6530.05</v>
      </c>
      <c r="AJ9" s="127">
        <f>Sep!EC10</f>
        <v>22690.05</v>
      </c>
      <c r="AK9" s="127">
        <f t="shared" si="6"/>
        <v>33620.099999999635</v>
      </c>
      <c r="AL9" s="127">
        <f>Sep!EG10</f>
        <v>27690.05</v>
      </c>
      <c r="AM9" s="127">
        <f>Sep!EJ10</f>
        <v>8530.0499999999993</v>
      </c>
      <c r="AN9" s="127">
        <f>Sep!EM10</f>
        <v>700.00000000004547</v>
      </c>
      <c r="AO9" s="127">
        <f t="shared" si="7"/>
        <v>36920.100000000042</v>
      </c>
      <c r="AP9" s="127">
        <f>Sep!FX10</f>
        <v>31700</v>
      </c>
      <c r="AQ9" s="127">
        <f>Sep!GA10</f>
        <v>8260</v>
      </c>
      <c r="AR9" s="127">
        <f>Sep!GG10</f>
        <v>9297</v>
      </c>
      <c r="AS9" s="127">
        <f t="shared" si="8"/>
        <v>49257</v>
      </c>
      <c r="AT9" s="127">
        <f>Sep!EQ10</f>
        <v>4180.0499999999774</v>
      </c>
      <c r="AU9" s="127">
        <f>Sep!ET10</f>
        <v>5000</v>
      </c>
      <c r="AV9" s="127">
        <f>Sep!EW10</f>
        <v>30130.049999999454</v>
      </c>
      <c r="AW9" s="127">
        <f>Sep!FL47</f>
        <v>7030.0499999999993</v>
      </c>
      <c r="AX9" s="127">
        <f>Sep!GJ10</f>
        <v>703</v>
      </c>
      <c r="AY9" s="127">
        <f t="shared" si="9"/>
        <v>47043.149999999427</v>
      </c>
      <c r="AZ9" s="127">
        <f>Sep!FG10</f>
        <v>7880.0500000000229</v>
      </c>
      <c r="BA9" s="127">
        <f>Sep!FJ10</f>
        <v>15530.05</v>
      </c>
      <c r="BB9" s="127">
        <f>Sep!FM47</f>
        <v>7030.0499999999993</v>
      </c>
      <c r="BC9" s="127">
        <f>Sep!GM10</f>
        <v>0</v>
      </c>
      <c r="BD9" s="127">
        <f t="shared" si="10"/>
        <v>30440.15000000002</v>
      </c>
      <c r="BE9" s="127">
        <f>Sep!GP10</f>
        <v>10</v>
      </c>
      <c r="BF9" s="127">
        <f>Sep!GS10</f>
        <v>300</v>
      </c>
      <c r="BG9" s="127">
        <f t="shared" si="11"/>
        <v>310</v>
      </c>
      <c r="BH9" s="127">
        <f t="shared" si="2"/>
        <v>27173</v>
      </c>
      <c r="BI9" s="127"/>
      <c r="BJ9" s="127"/>
      <c r="BK9" s="127"/>
      <c r="BL9" s="128"/>
      <c r="BM9" s="128">
        <f>AS9*50/100</f>
        <v>24628.5</v>
      </c>
      <c r="BN9" s="128"/>
      <c r="BO9" s="128">
        <f t="shared" si="12"/>
        <v>24628.5</v>
      </c>
      <c r="BP9" s="128"/>
      <c r="BQ9" s="128">
        <f t="shared" si="3"/>
        <v>310</v>
      </c>
      <c r="BR9" s="128"/>
      <c r="BS9" s="128">
        <f t="shared" si="13"/>
        <v>0</v>
      </c>
      <c r="BT9" s="42">
        <f>Sep!D48</f>
        <v>0</v>
      </c>
      <c r="BU9" s="42">
        <f>Sep!G49</f>
        <v>84000</v>
      </c>
      <c r="BV9" t="s">
        <v>412</v>
      </c>
      <c r="BX9" s="42">
        <f>Sep!HJ10</f>
        <v>166000</v>
      </c>
      <c r="BY9" s="42">
        <f>Sep!HM10</f>
        <v>0</v>
      </c>
      <c r="BZ9" s="42">
        <f>Sep!HP10</f>
        <v>42450.000000000546</v>
      </c>
      <c r="CA9" s="42">
        <f>Sep!HS10</f>
        <v>25550</v>
      </c>
      <c r="CB9" s="42">
        <f>Sep!HV10</f>
        <v>25749.999999999818</v>
      </c>
      <c r="CC9" s="42">
        <f>Sep!HY10</f>
        <v>23350.000000000182</v>
      </c>
      <c r="CD9" s="42">
        <f>Sep!IB10</f>
        <v>24100</v>
      </c>
      <c r="CE9" s="42">
        <f>Sep!IE10</f>
        <v>0</v>
      </c>
      <c r="CF9" s="42">
        <f>Sep!IH10</f>
        <v>24800</v>
      </c>
    </row>
    <row r="10" spans="1:84" x14ac:dyDescent="0.25">
      <c r="A10" s="26">
        <f t="shared" si="14"/>
        <v>4</v>
      </c>
      <c r="B10" s="42">
        <f>Sep!G11</f>
        <v>457599.99999999854</v>
      </c>
      <c r="C10" s="42">
        <f>Sep!N11</f>
        <v>454000</v>
      </c>
      <c r="D10" s="42">
        <f>Sep!T11</f>
        <v>348.69999999925494</v>
      </c>
      <c r="E10" s="42">
        <f>Sep!V11</f>
        <v>0</v>
      </c>
      <c r="F10" s="42">
        <f>Sep!AB11</f>
        <v>100</v>
      </c>
      <c r="G10" s="42">
        <f>Sep!X11</f>
        <v>18051.300000000745</v>
      </c>
      <c r="H10" s="42">
        <f>Sep!AE11</f>
        <v>5500</v>
      </c>
      <c r="I10" s="42">
        <f>Sep!AI11</f>
        <v>13714.959999998908</v>
      </c>
      <c r="J10" s="42">
        <f>Sep!AN11</f>
        <v>8984.9600000008104</v>
      </c>
      <c r="K10" s="42">
        <f>Sep!AR11</f>
        <v>15300.000000001091</v>
      </c>
      <c r="L10" s="42">
        <f>Sep!AZ11</f>
        <v>440</v>
      </c>
      <c r="M10" s="42">
        <f>Sep!BC11</f>
        <v>680</v>
      </c>
      <c r="N10" s="125">
        <f t="shared" si="4"/>
        <v>63119.920000000813</v>
      </c>
      <c r="O10" s="125">
        <f>Sep!CA11</f>
        <v>634.79999999998427</v>
      </c>
      <c r="P10" s="125">
        <f>Sep!CD11</f>
        <v>1399</v>
      </c>
      <c r="Q10" s="125">
        <f>Sep!CF11</f>
        <v>5109</v>
      </c>
      <c r="R10" s="125">
        <f>Sep!CH11</f>
        <v>0</v>
      </c>
      <c r="S10" s="125">
        <f>Sep!CK11</f>
        <v>17850.15999999936</v>
      </c>
      <c r="T10" s="125">
        <f>Sep!CO11</f>
        <v>9949.9600000003993</v>
      </c>
      <c r="U10" s="125">
        <f>Sep!CS11</f>
        <v>8047.5600000000932</v>
      </c>
      <c r="V10" s="126">
        <f t="shared" si="5"/>
        <v>42990.479999999836</v>
      </c>
      <c r="W10" s="126">
        <f>Sep!CW11</f>
        <v>15504</v>
      </c>
      <c r="X10" s="126">
        <f>Sep!DA11</f>
        <v>8526</v>
      </c>
      <c r="Y10" s="126">
        <f t="shared" si="1"/>
        <v>24030</v>
      </c>
      <c r="Z10" s="42">
        <f>Sep!BR11</f>
        <v>699.99999999993179</v>
      </c>
      <c r="AA10" s="126">
        <f>Sep!BG11</f>
        <v>1400.0000000000909</v>
      </c>
      <c r="AB10" s="126">
        <f>Sep!BJ11</f>
        <v>9100.0000000003638</v>
      </c>
      <c r="AC10" s="126">
        <f>Sep!BL11+Sep!BN11</f>
        <v>5029.9999999999864</v>
      </c>
      <c r="AD10" s="126">
        <f>Sep!DR11</f>
        <v>10400</v>
      </c>
      <c r="AE10" s="127">
        <f>Sep!DT11-Sep!DR51-Sep!DT51</f>
        <v>24600</v>
      </c>
      <c r="AF10" s="127">
        <f>Sep!DR51+Sep!DT51</f>
        <v>0</v>
      </c>
      <c r="AG10" s="127">
        <f>Sep!HJ11-AE10</f>
        <v>159400</v>
      </c>
      <c r="AH10" s="127">
        <f>Sep!DW11</f>
        <v>4300.0000000010914</v>
      </c>
      <c r="AI10" s="127">
        <f>Sep!DZ11</f>
        <v>9514.9599999999991</v>
      </c>
      <c r="AJ10" s="127">
        <f>Sep!EC11</f>
        <v>23674.959999999999</v>
      </c>
      <c r="AK10" s="127">
        <f t="shared" si="6"/>
        <v>37489.92000000109</v>
      </c>
      <c r="AL10" s="127">
        <f>Sep!EG11</f>
        <v>29674.959999999999</v>
      </c>
      <c r="AM10" s="127">
        <f>Sep!EJ11</f>
        <v>12514.96</v>
      </c>
      <c r="AN10" s="127">
        <f>Sep!EM11</f>
        <v>639.99999999998636</v>
      </c>
      <c r="AO10" s="127">
        <f t="shared" si="7"/>
        <v>42829.919999999984</v>
      </c>
      <c r="AP10" s="127">
        <f>Sep!FX11</f>
        <v>31300</v>
      </c>
      <c r="AQ10" s="127">
        <f>Sep!GA11</f>
        <v>8090</v>
      </c>
      <c r="AR10" s="127">
        <f>Sep!GG11</f>
        <v>7231</v>
      </c>
      <c r="AS10" s="127">
        <f t="shared" si="8"/>
        <v>46621</v>
      </c>
      <c r="AT10" s="127">
        <f>Sep!EQ11</f>
        <v>8214.9600000000446</v>
      </c>
      <c r="AU10" s="127">
        <f>Sep!ET11</f>
        <v>15000</v>
      </c>
      <c r="AV10" s="127">
        <f>Sep!EW11</f>
        <v>1514.96</v>
      </c>
      <c r="AW10" s="127">
        <f>Sep!FL48</f>
        <v>7014.9599999999991</v>
      </c>
      <c r="AX10" s="127">
        <f>Sep!GJ11</f>
        <v>1769</v>
      </c>
      <c r="AY10" s="127">
        <f t="shared" si="9"/>
        <v>33513.880000000041</v>
      </c>
      <c r="AZ10" s="127">
        <f>Sep!FG11</f>
        <v>10814.959999999954</v>
      </c>
      <c r="BA10" s="127">
        <f>Sep!FJ11</f>
        <v>19514.96</v>
      </c>
      <c r="BB10" s="127">
        <f>Sep!FM48</f>
        <v>7014.9599999999991</v>
      </c>
      <c r="BC10" s="127">
        <f>Sep!GM11</f>
        <v>0</v>
      </c>
      <c r="BD10" s="127">
        <f t="shared" si="10"/>
        <v>37344.879999999954</v>
      </c>
      <c r="BE10" s="127">
        <f>Sep!GP11</f>
        <v>0</v>
      </c>
      <c r="BF10" s="127">
        <f>Sep!GS11</f>
        <v>30</v>
      </c>
      <c r="BG10" s="127">
        <f t="shared" si="11"/>
        <v>30</v>
      </c>
      <c r="BH10" s="127">
        <f t="shared" si="2"/>
        <v>24030</v>
      </c>
      <c r="BI10" s="127"/>
      <c r="BJ10" s="127"/>
      <c r="BK10" s="127"/>
      <c r="BL10" s="128"/>
      <c r="BM10" s="128">
        <f>AS10*49/100</f>
        <v>22844.29</v>
      </c>
      <c r="BN10" s="128"/>
      <c r="BO10" s="128">
        <f t="shared" si="12"/>
        <v>23776.71</v>
      </c>
      <c r="BP10" s="128"/>
      <c r="BQ10" s="128">
        <f t="shared" si="3"/>
        <v>30</v>
      </c>
      <c r="BR10" s="128"/>
      <c r="BS10" s="128">
        <f t="shared" si="13"/>
        <v>0</v>
      </c>
      <c r="BT10" s="42">
        <f>Sep!D49</f>
        <v>0</v>
      </c>
      <c r="BU10" s="42">
        <f>Sep!G50</f>
        <v>81000</v>
      </c>
      <c r="BV10" t="s">
        <v>417</v>
      </c>
      <c r="BX10" s="42">
        <f>Sep!HJ11</f>
        <v>184000</v>
      </c>
      <c r="BY10" s="42">
        <f>Sep!HM11</f>
        <v>0</v>
      </c>
      <c r="BZ10" s="42">
        <f>Sep!HP11</f>
        <v>44624.999999999454</v>
      </c>
      <c r="CA10" s="42">
        <f>Sep!HS11</f>
        <v>27724.999999999818</v>
      </c>
      <c r="CB10" s="42">
        <f>Sep!HV11</f>
        <v>28724.999999999818</v>
      </c>
      <c r="CC10" s="42">
        <f>Sep!HY11</f>
        <v>25924.999999999636</v>
      </c>
      <c r="CD10" s="42">
        <f>Sep!IB11</f>
        <v>32400</v>
      </c>
      <c r="CE10" s="42">
        <f>Sep!IE11</f>
        <v>0</v>
      </c>
      <c r="CF10" s="42">
        <f>Sep!IH11</f>
        <v>24600</v>
      </c>
    </row>
    <row r="11" spans="1:84" x14ac:dyDescent="0.25">
      <c r="A11" s="26">
        <f t="shared" si="14"/>
        <v>5</v>
      </c>
      <c r="B11" s="42">
        <f>Sep!G12</f>
        <v>433919.99999999098</v>
      </c>
      <c r="C11" s="42">
        <f>Sep!N12</f>
        <v>432000</v>
      </c>
      <c r="D11" s="42">
        <f>Sep!T12</f>
        <v>379.77999999932945</v>
      </c>
      <c r="E11" s="42">
        <f>Sep!V12</f>
        <v>0</v>
      </c>
      <c r="F11" s="42">
        <f>Sep!AB12</f>
        <v>0</v>
      </c>
      <c r="G11" s="42">
        <f>Sep!X12</f>
        <v>17620.220000000671</v>
      </c>
      <c r="H11" s="42">
        <f>Sep!AE12</f>
        <v>5300.0000000001819</v>
      </c>
      <c r="I11" s="42">
        <f>Sep!AI12</f>
        <v>12269.73</v>
      </c>
      <c r="J11" s="42">
        <f>Sep!AN12</f>
        <v>6649.7299999988127</v>
      </c>
      <c r="K11" s="42">
        <f>Sep!AR12</f>
        <v>14299.999999999272</v>
      </c>
      <c r="L11" s="42">
        <f>Sep!AZ12</f>
        <v>480</v>
      </c>
      <c r="M11" s="42">
        <f>Sep!BC12</f>
        <v>690</v>
      </c>
      <c r="N11" s="125">
        <f t="shared" si="4"/>
        <v>57689.459999998267</v>
      </c>
      <c r="O11" s="125">
        <f>Sep!CA12</f>
        <v>634.00000000001455</v>
      </c>
      <c r="P11" s="125">
        <f>Sep!CD12</f>
        <v>1584.2999999999302</v>
      </c>
      <c r="Q11" s="125">
        <f>Sep!CF12</f>
        <v>4953</v>
      </c>
      <c r="R11" s="125">
        <f>Sep!CH12</f>
        <v>0</v>
      </c>
      <c r="S11" s="125">
        <f>Sep!CK12</f>
        <v>15745.730000000567</v>
      </c>
      <c r="T11" s="125">
        <f>Sep!CO12</f>
        <v>8102.7299999996285</v>
      </c>
      <c r="U11" s="125">
        <f>Sep!CS12</f>
        <v>6079.5299999999297</v>
      </c>
      <c r="V11" s="126">
        <f t="shared" si="5"/>
        <v>37099.290000000066</v>
      </c>
      <c r="W11" s="126">
        <f>Sep!CW12</f>
        <v>13531</v>
      </c>
      <c r="X11" s="126">
        <f>Sep!DA12</f>
        <v>8050</v>
      </c>
      <c r="Y11" s="126">
        <f t="shared" si="1"/>
        <v>21581</v>
      </c>
      <c r="Z11" s="42">
        <f>Sep!BR12</f>
        <v>400.00000000009095</v>
      </c>
      <c r="AA11" s="126">
        <f>Sep!BG12</f>
        <v>1699.9999999998181</v>
      </c>
      <c r="AB11" s="126">
        <f>Sep!BJ12</f>
        <v>9299.9999999992724</v>
      </c>
      <c r="AC11" s="126">
        <f>Sep!BL12+Sep!BN12</f>
        <v>4920.0000000000045</v>
      </c>
      <c r="AD11" s="126">
        <f>Sep!DR12</f>
        <v>6400</v>
      </c>
      <c r="AE11" s="127">
        <f>Sep!DT12-Sep!DR52-Sep!DT52</f>
        <v>21800</v>
      </c>
      <c r="AF11" s="127">
        <f>Sep!DR52+Sep!DT52</f>
        <v>0</v>
      </c>
      <c r="AG11" s="127">
        <f>Sep!HJ12-AE11</f>
        <v>148200</v>
      </c>
      <c r="AH11" s="127">
        <f>Sep!DW12</f>
        <v>4399.9999999996362</v>
      </c>
      <c r="AI11" s="127">
        <f>Sep!DZ12</f>
        <v>7769.73</v>
      </c>
      <c r="AJ11" s="127">
        <f>Sep!EC12</f>
        <v>21929.73</v>
      </c>
      <c r="AK11" s="127">
        <f t="shared" si="6"/>
        <v>34099.459999999635</v>
      </c>
      <c r="AL11" s="127">
        <f>Sep!EG12</f>
        <v>26929.73</v>
      </c>
      <c r="AM11" s="127">
        <f>Sep!EJ12</f>
        <v>10769.73</v>
      </c>
      <c r="AN11" s="127">
        <f>Sep!EM12</f>
        <v>629.99999999999545</v>
      </c>
      <c r="AO11" s="127">
        <f t="shared" si="7"/>
        <v>38329.459999999992</v>
      </c>
      <c r="AP11" s="127">
        <f>Sep!FX12</f>
        <v>31300</v>
      </c>
      <c r="AQ11" s="127">
        <f>Sep!GA12</f>
        <v>7813</v>
      </c>
      <c r="AR11" s="127">
        <f>Sep!GG12</f>
        <v>8681.9999999996362</v>
      </c>
      <c r="AS11" s="127">
        <f t="shared" si="8"/>
        <v>47794.999999999636</v>
      </c>
      <c r="AT11" s="127">
        <f>Sep!EQ12</f>
        <v>7719.7299999999886</v>
      </c>
      <c r="AU11" s="127">
        <f>Sep!ET12</f>
        <v>17000</v>
      </c>
      <c r="AV11" s="127">
        <f>Sep!EW12</f>
        <v>8469.7300000007272</v>
      </c>
      <c r="AW11" s="127">
        <f>Sep!FL49</f>
        <v>14269.73</v>
      </c>
      <c r="AX11" s="127">
        <f>Sep!GJ12</f>
        <v>1718</v>
      </c>
      <c r="AY11" s="127">
        <f t="shared" si="9"/>
        <v>49177.190000000715</v>
      </c>
      <c r="AZ11" s="127">
        <f>Sep!FG12</f>
        <v>7819.7300000000105</v>
      </c>
      <c r="BA11" s="127">
        <f>Sep!FJ12</f>
        <v>15769.73</v>
      </c>
      <c r="BB11" s="127">
        <f>Sep!FM49</f>
        <v>14269.73</v>
      </c>
      <c r="BC11" s="127">
        <f>Sep!GM12</f>
        <v>0</v>
      </c>
      <c r="BD11" s="127">
        <f t="shared" si="10"/>
        <v>37859.19000000001</v>
      </c>
      <c r="BE11" s="127">
        <f>Sep!GP12</f>
        <v>0</v>
      </c>
      <c r="BF11" s="127">
        <f>Sep!GS12</f>
        <v>570</v>
      </c>
      <c r="BG11" s="127">
        <f t="shared" si="11"/>
        <v>570</v>
      </c>
      <c r="BH11" s="127">
        <f t="shared" si="2"/>
        <v>21581</v>
      </c>
      <c r="BI11" s="127"/>
      <c r="BJ11" s="127"/>
      <c r="BK11" s="127"/>
      <c r="BL11" s="128"/>
      <c r="BM11" s="128">
        <f>AS11*55/100</f>
        <v>26287.2499999998</v>
      </c>
      <c r="BN11" s="128"/>
      <c r="BO11" s="128">
        <f t="shared" si="12"/>
        <v>21507.749999999836</v>
      </c>
      <c r="BP11" s="128"/>
      <c r="BQ11" s="128">
        <f t="shared" si="3"/>
        <v>570</v>
      </c>
      <c r="BR11" s="128"/>
      <c r="BS11" s="128">
        <f t="shared" si="13"/>
        <v>0</v>
      </c>
      <c r="BT11" s="42">
        <f>Sep!D50</f>
        <v>0</v>
      </c>
      <c r="BU11" s="42">
        <f>Sep!G51</f>
        <v>83000</v>
      </c>
      <c r="BV11" t="s">
        <v>413</v>
      </c>
      <c r="BX11" s="42">
        <f>Sep!HJ12</f>
        <v>170000</v>
      </c>
      <c r="BY11" s="42">
        <f>Sep!HM12</f>
        <v>0</v>
      </c>
      <c r="BZ11" s="42">
        <f>Sep!HP12</f>
        <v>41600.000000000546</v>
      </c>
      <c r="CA11" s="42">
        <f>Sep!HS12</f>
        <v>26000.000000000182</v>
      </c>
      <c r="CB11" s="42">
        <f>Sep!HV12</f>
        <v>26900.000000000728</v>
      </c>
      <c r="CC11" s="42">
        <f>Sep!HY12</f>
        <v>24400.000000000273</v>
      </c>
      <c r="CD11" s="42">
        <f>Sep!IB12</f>
        <v>29300</v>
      </c>
      <c r="CE11" s="42">
        <f>Sep!IE12</f>
        <v>0</v>
      </c>
      <c r="CF11" s="42">
        <f>Sep!IH12</f>
        <v>21800</v>
      </c>
    </row>
    <row r="12" spans="1:84" x14ac:dyDescent="0.25">
      <c r="A12" s="26">
        <f t="shared" si="14"/>
        <v>6</v>
      </c>
      <c r="B12" s="42">
        <f>Sep!G13</f>
        <v>396800.00000001019</v>
      </c>
      <c r="C12" s="42">
        <f>Sep!N13</f>
        <v>391000</v>
      </c>
      <c r="D12" s="42">
        <f>Sep!T13</f>
        <v>0</v>
      </c>
      <c r="E12" s="42">
        <f>Sep!V13</f>
        <v>0</v>
      </c>
      <c r="F12" s="42">
        <f>Sep!AB13</f>
        <v>4100</v>
      </c>
      <c r="G12" s="42">
        <f>Sep!X13</f>
        <v>900</v>
      </c>
      <c r="H12" s="42">
        <f>Sep!AE13</f>
        <v>2600.0000000003638</v>
      </c>
      <c r="I12" s="42">
        <f>Sep!AI13</f>
        <v>6603.1000000010918</v>
      </c>
      <c r="J12" s="42">
        <f>Sep!AN13</f>
        <v>4793.1000000007962</v>
      </c>
      <c r="K12" s="42">
        <f>Sep!AR13</f>
        <v>9500</v>
      </c>
      <c r="L12" s="42">
        <f>Sep!AZ13</f>
        <v>330</v>
      </c>
      <c r="M12" s="42">
        <f>Sep!BC13</f>
        <v>530</v>
      </c>
      <c r="N12" s="125">
        <f t="shared" si="4"/>
        <v>29356.200000002253</v>
      </c>
      <c r="O12" s="125">
        <f>Sep!CA13</f>
        <v>637.69999999999527</v>
      </c>
      <c r="P12" s="125">
        <f>Sep!CD13</f>
        <v>1047.1000000000931</v>
      </c>
      <c r="Q12" s="125">
        <f>Sep!CF13</f>
        <v>4874</v>
      </c>
      <c r="R12" s="125">
        <f>Sep!CH13</f>
        <v>0</v>
      </c>
      <c r="S12" s="125">
        <f>Sep!CK13</f>
        <v>14745.399999999932</v>
      </c>
      <c r="T12" s="125">
        <f>Sep!CO13</f>
        <v>7800.1000000002987</v>
      </c>
      <c r="U12" s="125">
        <f>Sep!CS13</f>
        <v>5809.5000000000236</v>
      </c>
      <c r="V12" s="126">
        <f t="shared" si="5"/>
        <v>34913.800000000338</v>
      </c>
      <c r="W12" s="126">
        <f>Sep!CW13</f>
        <v>11548</v>
      </c>
      <c r="X12" s="126">
        <f>Sep!DA13</f>
        <v>6959</v>
      </c>
      <c r="Y12" s="126">
        <f t="shared" si="1"/>
        <v>18507</v>
      </c>
      <c r="Z12" s="42">
        <f>Sep!BR13</f>
        <v>599.99999999990905</v>
      </c>
      <c r="AA12" s="126">
        <f>Sep!BG13</f>
        <v>1400.0000000000909</v>
      </c>
      <c r="AB12" s="126">
        <f>Sep!BJ13</f>
        <v>7899.9999999996362</v>
      </c>
      <c r="AC12" s="126">
        <f>Sep!BL13+Sep!BN13</f>
        <v>4610.0000000000227</v>
      </c>
      <c r="AD12" s="126">
        <f>Sep!DR13</f>
        <v>12100</v>
      </c>
      <c r="AE12" s="127">
        <f>Sep!DT13-Sep!DR53-Sep!DT53</f>
        <v>26300</v>
      </c>
      <c r="AF12" s="127">
        <f>Sep!DR53+Sep!DT53</f>
        <v>0</v>
      </c>
      <c r="AG12" s="127">
        <f>Sep!HJ13-AE12</f>
        <v>153700</v>
      </c>
      <c r="AH12" s="127">
        <f>Sep!DW13</f>
        <v>3000</v>
      </c>
      <c r="AI12" s="127">
        <f>Sep!DZ13</f>
        <v>4803.1000000000004</v>
      </c>
      <c r="AJ12" s="127">
        <f>Sep!EC13</f>
        <v>15963.1</v>
      </c>
      <c r="AK12" s="127">
        <f t="shared" si="6"/>
        <v>23766.2</v>
      </c>
      <c r="AL12" s="127">
        <f>Sep!EG13</f>
        <v>25963.1</v>
      </c>
      <c r="AM12" s="127">
        <f>Sep!EJ13</f>
        <v>10803.1</v>
      </c>
      <c r="AN12" s="127">
        <f>Sep!EM13</f>
        <v>590.00000000003183</v>
      </c>
      <c r="AO12" s="127">
        <f t="shared" si="7"/>
        <v>37356.200000000026</v>
      </c>
      <c r="AP12" s="127">
        <f>Sep!FX13</f>
        <v>27800</v>
      </c>
      <c r="AQ12" s="127">
        <f>Sep!GA13</f>
        <v>7152</v>
      </c>
      <c r="AR12" s="127">
        <f>Sep!GG13</f>
        <v>6876.0000000003638</v>
      </c>
      <c r="AS12" s="127">
        <f t="shared" si="8"/>
        <v>41828.000000000364</v>
      </c>
      <c r="AT12" s="127">
        <f>Sep!EQ13</f>
        <v>6053.1</v>
      </c>
      <c r="AU12" s="127">
        <f>Sep!ET13</f>
        <v>9000</v>
      </c>
      <c r="AV12" s="127">
        <f>Sep!EW13</f>
        <v>9103.0999999992728</v>
      </c>
      <c r="AW12" s="127">
        <f>Sep!FL50</f>
        <v>10603.10000000018</v>
      </c>
      <c r="AX12" s="127">
        <f>Sep!GJ13</f>
        <v>1724</v>
      </c>
      <c r="AY12" s="127">
        <f t="shared" si="9"/>
        <v>36483.29999999945</v>
      </c>
      <c r="AZ12" s="127">
        <f>Sep!FG13</f>
        <v>11553.1</v>
      </c>
      <c r="BA12" s="127">
        <f>Sep!FJ13</f>
        <v>13803.1</v>
      </c>
      <c r="BB12" s="127">
        <f>Sep!FM50</f>
        <v>10603.10000000018</v>
      </c>
      <c r="BC12" s="127">
        <f>Sep!GM13</f>
        <v>0</v>
      </c>
      <c r="BD12" s="127">
        <f t="shared" si="10"/>
        <v>35959.300000000178</v>
      </c>
      <c r="BE12" s="127">
        <f>Sep!GP13</f>
        <v>0</v>
      </c>
      <c r="BF12" s="127">
        <f>Sep!GS13</f>
        <v>20</v>
      </c>
      <c r="BG12" s="127">
        <f t="shared" si="11"/>
        <v>20</v>
      </c>
      <c r="BH12" s="127">
        <f t="shared" si="2"/>
        <v>18507</v>
      </c>
      <c r="BI12" s="127"/>
      <c r="BJ12" s="127"/>
      <c r="BK12" s="127"/>
      <c r="BL12" s="128"/>
      <c r="BM12" s="128">
        <f>AS12*53/100</f>
        <v>22168.840000000189</v>
      </c>
      <c r="BN12" s="128"/>
      <c r="BO12" s="128">
        <f t="shared" si="12"/>
        <v>19659.160000000174</v>
      </c>
      <c r="BP12" s="128"/>
      <c r="BQ12" s="128">
        <f t="shared" si="3"/>
        <v>20</v>
      </c>
      <c r="BR12" s="128"/>
      <c r="BS12" s="128">
        <f t="shared" si="13"/>
        <v>0</v>
      </c>
      <c r="BT12" s="42">
        <f>Sep!D51</f>
        <v>0</v>
      </c>
      <c r="BU12" s="42">
        <f>Sep!G52</f>
        <v>68000</v>
      </c>
      <c r="BV12" t="s">
        <v>420</v>
      </c>
      <c r="BX12" s="42">
        <f>Sep!HJ13</f>
        <v>180000</v>
      </c>
      <c r="BY12" s="42">
        <f>Sep!HM13</f>
        <v>0</v>
      </c>
      <c r="BZ12" s="42">
        <f>Sep!HP13</f>
        <v>44775</v>
      </c>
      <c r="CA12" s="42">
        <f>Sep!HS13</f>
        <v>25974.999999999818</v>
      </c>
      <c r="CB12" s="42">
        <f>Sep!HV13</f>
        <v>28074.999999999272</v>
      </c>
      <c r="CC12" s="42">
        <f>Sep!HY13</f>
        <v>25074.999999999727</v>
      </c>
      <c r="CD12" s="42">
        <f>Sep!IB13</f>
        <v>29800</v>
      </c>
      <c r="CE12" s="42">
        <f>Sep!IE13</f>
        <v>0</v>
      </c>
      <c r="CF12" s="42">
        <f>Sep!IH13</f>
        <v>26300</v>
      </c>
    </row>
    <row r="13" spans="1:84" x14ac:dyDescent="0.25">
      <c r="A13" s="26">
        <f t="shared" si="14"/>
        <v>7</v>
      </c>
      <c r="B13" s="42">
        <f>Sep!G14</f>
        <v>428479.99999998865</v>
      </c>
      <c r="C13" s="42">
        <f>Sep!N14</f>
        <v>427000</v>
      </c>
      <c r="D13" s="42">
        <f>Sep!T14</f>
        <v>0</v>
      </c>
      <c r="E13" s="42">
        <f>Sep!V14</f>
        <v>0</v>
      </c>
      <c r="F13" s="42">
        <f>Sep!AB14</f>
        <v>5100</v>
      </c>
      <c r="G13" s="42">
        <f>Sep!X14</f>
        <v>11900</v>
      </c>
      <c r="H13" s="42">
        <f>Sep!AE14</f>
        <v>3899.9999999996362</v>
      </c>
      <c r="I13" s="42">
        <f>Sep!AI14</f>
        <v>11132.789999999637</v>
      </c>
      <c r="J13" s="42">
        <f>Sep!AN14</f>
        <v>2832.7899999995498</v>
      </c>
      <c r="K13" s="42">
        <f>Sep!AR14</f>
        <v>13300.000000001091</v>
      </c>
      <c r="L13" s="42">
        <f>Sep!AZ14</f>
        <v>360</v>
      </c>
      <c r="M13" s="42">
        <f>Sep!BC14</f>
        <v>690</v>
      </c>
      <c r="N13" s="125">
        <f t="shared" si="4"/>
        <v>49215.579999999914</v>
      </c>
      <c r="O13" s="125">
        <f>Sep!CA14</f>
        <v>689.99999999999773</v>
      </c>
      <c r="P13" s="125">
        <f>Sep!CD14</f>
        <v>902</v>
      </c>
      <c r="Q13" s="125">
        <f>Sep!CF14</f>
        <v>5072</v>
      </c>
      <c r="R13" s="125">
        <f>Sep!CH14</f>
        <v>0</v>
      </c>
      <c r="S13" s="125">
        <f>Sep!CK14</f>
        <v>16312.790000000439</v>
      </c>
      <c r="T13" s="125">
        <f>Sep!CO14</f>
        <v>9091.7899999994697</v>
      </c>
      <c r="U13" s="125">
        <f>Sep!CS14</f>
        <v>7054.8899999999767</v>
      </c>
      <c r="V13" s="126">
        <f t="shared" si="5"/>
        <v>39123.469999999885</v>
      </c>
      <c r="W13" s="126">
        <f>Sep!CW14</f>
        <v>14189</v>
      </c>
      <c r="X13" s="126">
        <f>Sep!DA14</f>
        <v>7939</v>
      </c>
      <c r="Y13" s="126">
        <f t="shared" si="1"/>
        <v>22128</v>
      </c>
      <c r="Z13" s="42">
        <f>Sep!BR14</f>
        <v>400.00000000009095</v>
      </c>
      <c r="AA13" s="126">
        <f>Sep!BG14</f>
        <v>1500</v>
      </c>
      <c r="AB13" s="126">
        <f>Sep!BJ14</f>
        <v>8600.0000000003638</v>
      </c>
      <c r="AC13" s="126">
        <f>Sep!BL14+Sep!BN14</f>
        <v>4899.9999999999955</v>
      </c>
      <c r="AD13" s="126">
        <f>Sep!DR14</f>
        <v>7300</v>
      </c>
      <c r="AE13" s="127">
        <f>Sep!DT14-Sep!DR54-Sep!DT54</f>
        <v>24600</v>
      </c>
      <c r="AF13" s="127">
        <f>Sep!DR54+Sep!DT54</f>
        <v>0</v>
      </c>
      <c r="AG13" s="127">
        <f>Sep!HJ14-AE13</f>
        <v>127400</v>
      </c>
      <c r="AH13" s="127">
        <f>Sep!DW14</f>
        <v>4299.9999999992724</v>
      </c>
      <c r="AI13" s="127">
        <f>Sep!DZ14</f>
        <v>8732.7900000000009</v>
      </c>
      <c r="AJ13" s="127">
        <f>Sep!EC14</f>
        <v>22892.79</v>
      </c>
      <c r="AK13" s="127">
        <f t="shared" si="6"/>
        <v>35925.579999999274</v>
      </c>
      <c r="AL13" s="127">
        <f>Sep!EG14</f>
        <v>27892.79</v>
      </c>
      <c r="AM13" s="127">
        <f>Sep!EJ14</f>
        <v>10732.79</v>
      </c>
      <c r="AN13" s="127">
        <f>Sep!EM14</f>
        <v>649.99999999997726</v>
      </c>
      <c r="AO13" s="127">
        <f t="shared" si="7"/>
        <v>39275.57999999998</v>
      </c>
      <c r="AP13" s="127">
        <f>Sep!FX14</f>
        <v>33200</v>
      </c>
      <c r="AQ13" s="127">
        <f>Sep!GA14</f>
        <v>8454</v>
      </c>
      <c r="AR13" s="127">
        <f>Sep!GG14</f>
        <v>9218</v>
      </c>
      <c r="AS13" s="127">
        <f t="shared" si="8"/>
        <v>50872</v>
      </c>
      <c r="AT13" s="127">
        <f>Sep!EQ14</f>
        <v>8332.7899999999663</v>
      </c>
      <c r="AU13" s="127">
        <f>Sep!ET14</f>
        <v>26000</v>
      </c>
      <c r="AV13" s="127">
        <f>Sep!EW14</f>
        <v>8832.7900000003647</v>
      </c>
      <c r="AW13" s="127">
        <f>Sep!FL51</f>
        <v>10432.789999999819</v>
      </c>
      <c r="AX13" s="127">
        <f>Sep!GJ14</f>
        <v>1782</v>
      </c>
      <c r="AY13" s="127">
        <f t="shared" si="9"/>
        <v>55380.370000000148</v>
      </c>
      <c r="AZ13" s="127">
        <f>Sep!FG14</f>
        <v>11132.790000000035</v>
      </c>
      <c r="BA13" s="127">
        <f>Sep!FJ14</f>
        <v>18732.79</v>
      </c>
      <c r="BB13" s="127">
        <f>Sep!FM51</f>
        <v>10432.789999999819</v>
      </c>
      <c r="BC13" s="127">
        <f>Sep!GM14</f>
        <v>0</v>
      </c>
      <c r="BD13" s="127">
        <f t="shared" si="10"/>
        <v>40298.369999999857</v>
      </c>
      <c r="BE13" s="127">
        <f>Sep!GP14</f>
        <v>0</v>
      </c>
      <c r="BF13" s="127">
        <f>Sep!GS14</f>
        <v>561</v>
      </c>
      <c r="BG13" s="127">
        <f t="shared" si="11"/>
        <v>561</v>
      </c>
      <c r="BH13" s="127">
        <f t="shared" si="2"/>
        <v>22128</v>
      </c>
      <c r="BI13" s="127"/>
      <c r="BJ13" s="127"/>
      <c r="BK13" s="127"/>
      <c r="BL13" s="128"/>
      <c r="BM13" s="128">
        <f>AS13*51/100</f>
        <v>25944.720000000001</v>
      </c>
      <c r="BN13" s="128"/>
      <c r="BO13" s="128">
        <f t="shared" si="12"/>
        <v>24927.279999999999</v>
      </c>
      <c r="BP13" s="128"/>
      <c r="BQ13" s="128">
        <f>BG13</f>
        <v>561</v>
      </c>
      <c r="BR13" s="128"/>
      <c r="BS13" s="128">
        <f t="shared" si="13"/>
        <v>0</v>
      </c>
      <c r="BT13" s="42">
        <f>Sep!D52</f>
        <v>0</v>
      </c>
      <c r="BU13" s="42">
        <f>Sep!G53</f>
        <v>79000</v>
      </c>
      <c r="BV13" t="s">
        <v>410</v>
      </c>
      <c r="BX13" s="42">
        <f>Sep!HJ14</f>
        <v>152000</v>
      </c>
      <c r="BY13" s="42">
        <f>Sep!HM14</f>
        <v>0</v>
      </c>
      <c r="BZ13" s="42">
        <f>Sep!HP14</f>
        <v>38849.999999999818</v>
      </c>
      <c r="CA13" s="42">
        <f>Sep!HS14</f>
        <v>22950.000000000182</v>
      </c>
      <c r="CB13" s="42">
        <f>Sep!HV14</f>
        <v>24350.000000000728</v>
      </c>
      <c r="CC13" s="42">
        <f>Sep!HY14</f>
        <v>21950.000000000182</v>
      </c>
      <c r="CD13" s="42">
        <f>Sep!IB14</f>
        <v>19300</v>
      </c>
      <c r="CE13" s="42">
        <f>Sep!IE14</f>
        <v>0</v>
      </c>
      <c r="CF13" s="42">
        <f>Sep!IH14</f>
        <v>24600</v>
      </c>
    </row>
    <row r="14" spans="1:84" x14ac:dyDescent="0.25">
      <c r="A14" s="26">
        <f t="shared" si="14"/>
        <v>8</v>
      </c>
      <c r="B14" s="42">
        <f>Sep!G15</f>
        <v>433920.00000000553</v>
      </c>
      <c r="C14" s="42">
        <f>Sep!N15</f>
        <v>430000</v>
      </c>
      <c r="D14" s="42">
        <f>Sep!T15</f>
        <v>0</v>
      </c>
      <c r="E14" s="42">
        <f>Sep!V15</f>
        <v>0</v>
      </c>
      <c r="F14" s="42">
        <f>Sep!AB15</f>
        <v>5200</v>
      </c>
      <c r="G14" s="42">
        <f>Sep!X15</f>
        <v>7800</v>
      </c>
      <c r="H14" s="42">
        <f>Sep!AE15</f>
        <v>5500</v>
      </c>
      <c r="I14" s="42">
        <f>Sep!AI15</f>
        <v>13138.850000000728</v>
      </c>
      <c r="J14" s="42">
        <f>Sep!AN15</f>
        <v>11268.850000000064</v>
      </c>
      <c r="K14" s="42">
        <f>Sep!AR15</f>
        <v>11099.999999998545</v>
      </c>
      <c r="L14" s="42">
        <f>Sep!AZ15</f>
        <v>470</v>
      </c>
      <c r="M14" s="42">
        <f>Sep!BC15</f>
        <v>700</v>
      </c>
      <c r="N14" s="125">
        <f t="shared" si="4"/>
        <v>55177.699999999335</v>
      </c>
      <c r="O14" s="125">
        <f>Sep!CA15</f>
        <v>629.90000000002055</v>
      </c>
      <c r="P14" s="125">
        <f>Sep!CD15</f>
        <v>1348.0999999999767</v>
      </c>
      <c r="Q14" s="125">
        <f>Sep!CF15</f>
        <v>5019</v>
      </c>
      <c r="R14" s="125">
        <f>Sep!CH15</f>
        <v>0</v>
      </c>
      <c r="S14" s="125">
        <f>Sep!CK15</f>
        <v>15288.949999999542</v>
      </c>
      <c r="T14" s="125">
        <f>Sep!CO15</f>
        <v>8126.8500000001022</v>
      </c>
      <c r="U14" s="125">
        <f>Sep!CS15</f>
        <v>6121.0500000000702</v>
      </c>
      <c r="V14" s="126">
        <f t="shared" si="5"/>
        <v>36533.849999999708</v>
      </c>
      <c r="W14" s="126">
        <f>Sep!CW15</f>
        <v>13995</v>
      </c>
      <c r="X14" s="126">
        <f>Sep!DA15</f>
        <v>8110</v>
      </c>
      <c r="Y14" s="126">
        <f t="shared" si="1"/>
        <v>22105</v>
      </c>
      <c r="Z14" s="42">
        <f>Sep!BR15</f>
        <v>699.99999999993179</v>
      </c>
      <c r="AA14" s="126">
        <f>Sep!BG15</f>
        <v>1599.9999999999091</v>
      </c>
      <c r="AB14" s="126">
        <f>Sep!BJ15</f>
        <v>9100.0000000003638</v>
      </c>
      <c r="AC14" s="126">
        <f>Sep!BL15+Sep!BN15</f>
        <v>4970.0000000000045</v>
      </c>
      <c r="AD14" s="126">
        <f>Sep!DR15</f>
        <v>10000</v>
      </c>
      <c r="AE14" s="127">
        <f>Sep!DT15-Sep!DR55-Sep!DT55</f>
        <v>21700</v>
      </c>
      <c r="AF14" s="127">
        <f>Sep!DR55+Sep!DT55</f>
        <v>0</v>
      </c>
      <c r="AG14" s="127">
        <f>Sep!HJ15-AE14</f>
        <v>154300</v>
      </c>
      <c r="AH14" s="127">
        <f>Sep!DW15</f>
        <v>700.0000000007276</v>
      </c>
      <c r="AI14" s="127">
        <f>Sep!DZ15</f>
        <v>938.85</v>
      </c>
      <c r="AJ14" s="127">
        <f>Sep!EC15</f>
        <v>5098.8500000000004</v>
      </c>
      <c r="AK14" s="127">
        <f t="shared" si="6"/>
        <v>6737.7000000007283</v>
      </c>
      <c r="AL14" s="127">
        <f>Sep!EG15</f>
        <v>29098.85</v>
      </c>
      <c r="AM14" s="127">
        <f>Sep!EJ15</f>
        <v>10938.85</v>
      </c>
      <c r="AN14" s="127">
        <f>Sep!EM15</f>
        <v>600.00000000002274</v>
      </c>
      <c r="AO14" s="127">
        <f t="shared" si="7"/>
        <v>40637.700000000019</v>
      </c>
      <c r="AP14" s="127">
        <f>Sep!FX15</f>
        <v>32600</v>
      </c>
      <c r="AQ14" s="127">
        <f>Sep!GA15</f>
        <v>4811</v>
      </c>
      <c r="AR14" s="127">
        <f>Sep!GG15</f>
        <v>8328</v>
      </c>
      <c r="AS14" s="127">
        <f t="shared" si="8"/>
        <v>45739</v>
      </c>
      <c r="AT14" s="127">
        <f>Sep!EQ15</f>
        <v>5988.8500000000113</v>
      </c>
      <c r="AU14" s="127">
        <f>Sep!ET15</f>
        <v>17000</v>
      </c>
      <c r="AV14" s="127">
        <f>Sep!EW15</f>
        <v>8938.85</v>
      </c>
      <c r="AW14" s="127">
        <f>Sep!FL52</f>
        <v>9938.8499999999985</v>
      </c>
      <c r="AX14" s="127">
        <f>Sep!GJ15</f>
        <v>1672</v>
      </c>
      <c r="AY14" s="127">
        <f t="shared" si="9"/>
        <v>43538.55000000001</v>
      </c>
      <c r="AZ14" s="127">
        <f>Sep!FG15</f>
        <v>8888.8499999999894</v>
      </c>
      <c r="BA14" s="127">
        <f>Sep!FJ15</f>
        <v>18938.849999999999</v>
      </c>
      <c r="BB14" s="127">
        <f>Sep!FM52</f>
        <v>9938.8499999999985</v>
      </c>
      <c r="BC14" s="127">
        <f>Sep!GM15</f>
        <v>0</v>
      </c>
      <c r="BD14" s="127">
        <f t="shared" si="10"/>
        <v>37766.549999999988</v>
      </c>
      <c r="BE14" s="127">
        <f>Sep!GP15</f>
        <v>10</v>
      </c>
      <c r="BF14" s="127">
        <f>Sep!GS15</f>
        <v>304</v>
      </c>
      <c r="BG14" s="127">
        <f t="shared" si="11"/>
        <v>314</v>
      </c>
      <c r="BH14" s="127">
        <f t="shared" si="2"/>
        <v>22105</v>
      </c>
      <c r="BI14" s="127"/>
      <c r="BJ14" s="127"/>
      <c r="BK14" s="127"/>
      <c r="BL14" s="128"/>
      <c r="BM14" s="128">
        <f>AS14*49/100</f>
        <v>22412.11</v>
      </c>
      <c r="BN14" s="128"/>
      <c r="BO14" s="128">
        <f t="shared" si="12"/>
        <v>23326.89</v>
      </c>
      <c r="BP14" s="128"/>
      <c r="BQ14" s="128">
        <f>BG14</f>
        <v>314</v>
      </c>
      <c r="BR14" s="128"/>
      <c r="BS14" s="128">
        <f t="shared" si="13"/>
        <v>0</v>
      </c>
      <c r="BT14" s="42">
        <f>Sep!D53</f>
        <v>0</v>
      </c>
      <c r="BU14" s="42">
        <f>Sep!G54</f>
        <v>57000</v>
      </c>
      <c r="BV14" t="s">
        <v>417</v>
      </c>
      <c r="BX14" s="42">
        <f>Sep!HJ15</f>
        <v>176000</v>
      </c>
      <c r="BY14" s="42">
        <f>Sep!HM15</f>
        <v>0</v>
      </c>
      <c r="BZ14" s="42">
        <f>Sep!HP15</f>
        <v>43299.999999999818</v>
      </c>
      <c r="CA14" s="42">
        <f>Sep!HS15</f>
        <v>26899.999999999272</v>
      </c>
      <c r="CB14" s="42">
        <f>Sep!HV15</f>
        <v>28199.999999999454</v>
      </c>
      <c r="CC14" s="42">
        <f>Sep!HY15</f>
        <v>25799.999999999818</v>
      </c>
      <c r="CD14" s="42">
        <f>Sep!IB15</f>
        <v>30100</v>
      </c>
      <c r="CE14" s="42">
        <f>Sep!IE15</f>
        <v>0</v>
      </c>
      <c r="CF14" s="42">
        <f>Sep!IH15</f>
        <v>21700</v>
      </c>
    </row>
    <row r="15" spans="1:84" x14ac:dyDescent="0.25">
      <c r="A15" s="26">
        <f t="shared" si="14"/>
        <v>9</v>
      </c>
      <c r="B15" s="42">
        <f>Sep!G16</f>
        <v>458879.9999999901</v>
      </c>
      <c r="C15" s="42">
        <f>Sep!N16</f>
        <v>457000</v>
      </c>
      <c r="D15" s="42">
        <f>Sep!T16</f>
        <v>0</v>
      </c>
      <c r="E15" s="42">
        <f>Sep!V16</f>
        <v>0</v>
      </c>
      <c r="F15" s="42">
        <f>Sep!AB16</f>
        <v>6200</v>
      </c>
      <c r="G15" s="42">
        <f>Sep!X16</f>
        <v>6800</v>
      </c>
      <c r="H15" s="42">
        <f>Sep!AE16</f>
        <v>7300.0000000001819</v>
      </c>
      <c r="I15" s="42">
        <f>Sep!AI16</f>
        <v>17349.809999999274</v>
      </c>
      <c r="J15" s="42">
        <f>Sep!AN16</f>
        <v>6839.8100000007771</v>
      </c>
      <c r="K15" s="42">
        <f>Sep!AR16</f>
        <v>10200.000000000728</v>
      </c>
      <c r="L15" s="42">
        <f>Sep!AZ16</f>
        <v>410</v>
      </c>
      <c r="M15" s="42">
        <f>Sep!BC16</f>
        <v>620</v>
      </c>
      <c r="N15" s="125">
        <f t="shared" si="4"/>
        <v>55719.620000000963</v>
      </c>
      <c r="O15" s="125">
        <f>Sep!CA16</f>
        <v>624.89999999996826</v>
      </c>
      <c r="P15" s="125">
        <f>Sep!CD16</f>
        <v>1666.5999999999767</v>
      </c>
      <c r="Q15" s="125">
        <f>Sep!CF16</f>
        <v>5162</v>
      </c>
      <c r="R15" s="125">
        <f>Sep!CH16</f>
        <v>0</v>
      </c>
      <c r="S15" s="125">
        <f>Sep!CK16</f>
        <v>17114.910000000542</v>
      </c>
      <c r="T15" s="125">
        <f>Sep!CO16</f>
        <v>9677.2100000003065</v>
      </c>
      <c r="U15" s="125">
        <f>Sep!CS16</f>
        <v>7397.6099999999296</v>
      </c>
      <c r="V15" s="126">
        <f t="shared" si="5"/>
        <v>41643.230000000724</v>
      </c>
      <c r="W15" s="126">
        <f>Sep!CW16</f>
        <v>14851</v>
      </c>
      <c r="X15" s="126">
        <f>Sep!DA16</f>
        <v>8163</v>
      </c>
      <c r="Y15" s="126">
        <f t="shared" si="1"/>
        <v>23014</v>
      </c>
      <c r="Z15" s="42">
        <f>Sep!BR16</f>
        <v>1000</v>
      </c>
      <c r="AA15" s="126">
        <f>Sep!BG16</f>
        <v>1500</v>
      </c>
      <c r="AB15" s="126">
        <f>Sep!BJ16</f>
        <v>8700.0000000007276</v>
      </c>
      <c r="AC15" s="126">
        <f>Sep!BL16+Sep!BN16</f>
        <v>5409.99999999995</v>
      </c>
      <c r="AD15" s="126">
        <f>Sep!DR16</f>
        <v>10200</v>
      </c>
      <c r="AE15" s="127">
        <f>Sep!DT16-Sep!DR56-Sep!DT56</f>
        <v>25000</v>
      </c>
      <c r="AF15" s="127">
        <f>Sep!DR56+Sep!DT56</f>
        <v>0</v>
      </c>
      <c r="AG15" s="127">
        <f>Sep!HJ16-AE15</f>
        <v>149000</v>
      </c>
      <c r="AH15" s="127">
        <f>Sep!DW16</f>
        <v>4399.9999999996362</v>
      </c>
      <c r="AI15" s="127">
        <f>Sep!DZ16</f>
        <v>8049.8099999999995</v>
      </c>
      <c r="AJ15" s="127">
        <f>Sep!EC16</f>
        <v>23209.81</v>
      </c>
      <c r="AK15" s="127">
        <f t="shared" si="6"/>
        <v>35659.619999999639</v>
      </c>
      <c r="AL15" s="127">
        <f>Sep!EG16</f>
        <v>24209.81</v>
      </c>
      <c r="AM15" s="127">
        <f>Sep!EJ16</f>
        <v>11049.81</v>
      </c>
      <c r="AN15" s="127">
        <f>Sep!EM16</f>
        <v>649.99999999997726</v>
      </c>
      <c r="AO15" s="127">
        <f t="shared" si="7"/>
        <v>35909.619999999981</v>
      </c>
      <c r="AP15" s="127">
        <f>Sep!FX16</f>
        <v>28900</v>
      </c>
      <c r="AQ15" s="127">
        <f>Sep!GA16</f>
        <v>10680</v>
      </c>
      <c r="AR15" s="127">
        <f>Sep!GG16</f>
        <v>7402</v>
      </c>
      <c r="AS15" s="127">
        <f t="shared" si="8"/>
        <v>46982</v>
      </c>
      <c r="AT15" s="127">
        <f>Sep!EQ16</f>
        <v>8599.8100000000104</v>
      </c>
      <c r="AU15" s="127">
        <f>Sep!ET16</f>
        <v>19000</v>
      </c>
      <c r="AV15" s="127">
        <f>Sep!EW16</f>
        <v>11049.81</v>
      </c>
      <c r="AW15" s="127">
        <f>Sep!FL53</f>
        <v>11549.809999999998</v>
      </c>
      <c r="AX15" s="127">
        <f>Sep!GJ16</f>
        <v>1598</v>
      </c>
      <c r="AY15" s="127">
        <f t="shared" si="9"/>
        <v>51797.430000000008</v>
      </c>
      <c r="AZ15" s="127">
        <f>Sep!FG16</f>
        <v>11499.809999999989</v>
      </c>
      <c r="BA15" s="127">
        <f>Sep!FJ16</f>
        <v>18049.810000000001</v>
      </c>
      <c r="BB15" s="127">
        <f>Sep!FM53</f>
        <v>11549.809999999998</v>
      </c>
      <c r="BC15" s="127">
        <f>Sep!GM16</f>
        <v>0</v>
      </c>
      <c r="BD15" s="127">
        <f t="shared" si="10"/>
        <v>41099.429999999986</v>
      </c>
      <c r="BE15" s="127">
        <f>Sep!GP16</f>
        <v>0</v>
      </c>
      <c r="BF15" s="127">
        <f>Sep!GS16</f>
        <v>245</v>
      </c>
      <c r="BG15" s="127">
        <f t="shared" si="11"/>
        <v>245</v>
      </c>
      <c r="BH15" s="127">
        <f t="shared" si="2"/>
        <v>23014</v>
      </c>
      <c r="BI15" s="127"/>
      <c r="BJ15" s="127"/>
      <c r="BK15" s="127"/>
      <c r="BL15" s="128"/>
      <c r="BM15" s="128">
        <f>AS15*43/100</f>
        <v>20202.259999999998</v>
      </c>
      <c r="BN15" s="128"/>
      <c r="BO15" s="128">
        <f t="shared" si="12"/>
        <v>26779.74</v>
      </c>
      <c r="BP15" s="128"/>
      <c r="BQ15" s="128">
        <f>BG15</f>
        <v>245</v>
      </c>
      <c r="BR15" s="128"/>
      <c r="BS15" s="128">
        <f t="shared" si="13"/>
        <v>0</v>
      </c>
      <c r="BT15" s="42">
        <f>Sep!D54</f>
        <v>0</v>
      </c>
      <c r="BU15" s="42">
        <f>Sep!G55</f>
        <v>74000</v>
      </c>
      <c r="BV15" t="s">
        <v>421</v>
      </c>
      <c r="BW15" s="151"/>
      <c r="BX15" s="42">
        <f>Sep!HJ16</f>
        <v>174000</v>
      </c>
      <c r="BY15" s="42">
        <f>Sep!HM16</f>
        <v>0</v>
      </c>
      <c r="BZ15" s="42">
        <f>Sep!HP16</f>
        <v>42975.000000000364</v>
      </c>
      <c r="CA15" s="42">
        <f>Sep!HS16</f>
        <v>25075.000000000728</v>
      </c>
      <c r="CB15" s="42">
        <f>Sep!HV16</f>
        <v>27074.999999999818</v>
      </c>
      <c r="CC15" s="42">
        <f>Sep!HY16</f>
        <v>24275.000000000091</v>
      </c>
      <c r="CD15" s="42">
        <f>Sep!IB16</f>
        <v>29600</v>
      </c>
      <c r="CE15" s="42">
        <f>Sep!IE16</f>
        <v>0</v>
      </c>
      <c r="CF15" s="42">
        <f>Sep!IH16</f>
        <v>25000</v>
      </c>
    </row>
    <row r="16" spans="1:84" x14ac:dyDescent="0.25">
      <c r="A16" s="26">
        <f t="shared" si="14"/>
        <v>10</v>
      </c>
      <c r="B16" s="42">
        <f>Sep!G17</f>
        <v>373760.00000001659</v>
      </c>
      <c r="C16" s="42">
        <f>Sep!N17</f>
        <v>381000</v>
      </c>
      <c r="D16" s="42">
        <f>Sep!T17</f>
        <v>0</v>
      </c>
      <c r="E16" s="42">
        <f>Sep!V17</f>
        <v>0</v>
      </c>
      <c r="F16" s="42">
        <f>Sep!AB17</f>
        <v>5260</v>
      </c>
      <c r="G16" s="42">
        <f>Sep!X17</f>
        <v>10740</v>
      </c>
      <c r="H16" s="42">
        <f>Sep!AE17</f>
        <v>6399.9999999996362</v>
      </c>
      <c r="I16" s="42">
        <f>Sep!AI17</f>
        <v>12711.57</v>
      </c>
      <c r="J16" s="42">
        <f>Sep!AN17</f>
        <v>2701.5699999991402</v>
      </c>
      <c r="K16" s="42">
        <f>Sep!AR17</f>
        <v>9200.0000000007276</v>
      </c>
      <c r="L16" s="42">
        <f>Sep!AZ17</f>
        <v>380</v>
      </c>
      <c r="M16" s="42">
        <f>Sep!BC17</f>
        <v>610</v>
      </c>
      <c r="N16" s="125">
        <f t="shared" si="4"/>
        <v>48003.139999999505</v>
      </c>
      <c r="O16" s="125">
        <f>Sep!CA17</f>
        <v>775.20000000004075</v>
      </c>
      <c r="P16" s="125">
        <f>Sep!CD17</f>
        <v>446.5</v>
      </c>
      <c r="Q16" s="125">
        <f>Sep!CF17</f>
        <v>4646</v>
      </c>
      <c r="R16" s="125">
        <f>Sep!CH17</f>
        <v>0</v>
      </c>
      <c r="S16" s="125">
        <f>Sep!CK17</f>
        <v>12246.36999999945</v>
      </c>
      <c r="T16" s="125">
        <f>Sep!CO17</f>
        <v>6143.1699999998891</v>
      </c>
      <c r="U16" s="125">
        <f>Sep!CS17</f>
        <v>4010.970000000023</v>
      </c>
      <c r="V16" s="126">
        <f t="shared" si="5"/>
        <v>28268.209999999402</v>
      </c>
      <c r="W16" s="126">
        <f>Sep!CW17</f>
        <v>19372</v>
      </c>
      <c r="X16" s="126">
        <f>Sep!DA17</f>
        <v>9721</v>
      </c>
      <c r="Y16" s="126">
        <f t="shared" si="1"/>
        <v>29093</v>
      </c>
      <c r="Z16" s="42">
        <f>Sep!BR17</f>
        <v>670.00000000007276</v>
      </c>
      <c r="AA16" s="126">
        <f>Sep!BG17</f>
        <v>1500</v>
      </c>
      <c r="AB16" s="126">
        <f>Sep!BJ17</f>
        <v>8799.9999999992724</v>
      </c>
      <c r="AC16" s="126">
        <f>Sep!BL17+Sep!BN17+Sep!BP17</f>
        <v>4640.0000000000591</v>
      </c>
      <c r="AD16" s="126">
        <f>Sep!DR17</f>
        <v>10500</v>
      </c>
      <c r="AE16" s="127">
        <f>Sep!DT17-Sep!DR57-Sep!DT57</f>
        <v>25200</v>
      </c>
      <c r="AF16" s="127">
        <f>Sep!DR57+Sep!DT57</f>
        <v>0</v>
      </c>
      <c r="AG16" s="127">
        <f>Sep!HJ17-AE16</f>
        <v>140800</v>
      </c>
      <c r="AH16" s="127">
        <f>Sep!DW17</f>
        <v>4600.0000000003638</v>
      </c>
      <c r="AI16" s="127">
        <f>Sep!DZ17</f>
        <v>6211.57</v>
      </c>
      <c r="AJ16" s="127">
        <f>Sep!EC17</f>
        <v>23371.57</v>
      </c>
      <c r="AK16" s="127">
        <f t="shared" si="6"/>
        <v>34183.140000000363</v>
      </c>
      <c r="AL16" s="127">
        <f>Sep!EG17</f>
        <v>9371.57</v>
      </c>
      <c r="AM16" s="127">
        <f>Sep!EJ17</f>
        <v>5211.57</v>
      </c>
      <c r="AN16" s="127">
        <f>Sep!EM17</f>
        <v>370.00000000000455</v>
      </c>
      <c r="AO16" s="127">
        <f t="shared" si="7"/>
        <v>14953.140000000003</v>
      </c>
      <c r="AP16" s="127">
        <f>Sep!FX17</f>
        <v>14700</v>
      </c>
      <c r="AQ16" s="127">
        <f>Sep!GA17</f>
        <v>4050</v>
      </c>
      <c r="AR16" s="127">
        <f>Sep!GG17</f>
        <v>4236.9999999998636</v>
      </c>
      <c r="AS16" s="127">
        <f t="shared" si="8"/>
        <v>22986.999999999862</v>
      </c>
      <c r="AT16" s="127">
        <f>Sep!EQ17</f>
        <v>7211.57</v>
      </c>
      <c r="AU16" s="127">
        <f>Sep!ET17</f>
        <v>17000</v>
      </c>
      <c r="AV16" s="127">
        <f>Sep!EW17</f>
        <v>7211.57</v>
      </c>
      <c r="AW16" s="127">
        <f>Sep!FL54</f>
        <v>7711.57</v>
      </c>
      <c r="AX16" s="127">
        <f>Sep!GJ17</f>
        <v>1663</v>
      </c>
      <c r="AY16" s="127">
        <f t="shared" si="9"/>
        <v>40797.71</v>
      </c>
      <c r="AZ16" s="127">
        <f>Sep!FG17</f>
        <v>6211.57</v>
      </c>
      <c r="BA16" s="127">
        <f>Sep!FJ17</f>
        <v>13211.57</v>
      </c>
      <c r="BB16" s="127">
        <f>Sep!FM54</f>
        <v>7711.57</v>
      </c>
      <c r="BC16" s="127">
        <f>Sep!GM17</f>
        <v>100.00000000013642</v>
      </c>
      <c r="BD16" s="127">
        <f t="shared" si="10"/>
        <v>27234.710000000137</v>
      </c>
      <c r="BE16" s="127">
        <f>Sep!GP17</f>
        <v>0</v>
      </c>
      <c r="BF16" s="127">
        <f>Sep!GS17</f>
        <v>130</v>
      </c>
      <c r="BG16" s="127">
        <f t="shared" si="11"/>
        <v>130</v>
      </c>
      <c r="BH16" s="127">
        <f t="shared" si="2"/>
        <v>29093</v>
      </c>
      <c r="BI16" s="127"/>
      <c r="BJ16" s="127"/>
      <c r="BK16" s="127"/>
      <c r="BL16" s="128"/>
      <c r="BM16" s="128">
        <v>0</v>
      </c>
      <c r="BN16" s="128"/>
      <c r="BO16" s="128">
        <f t="shared" si="12"/>
        <v>22986.999999999862</v>
      </c>
      <c r="BP16" s="128"/>
      <c r="BQ16" s="128">
        <v>0</v>
      </c>
      <c r="BR16" s="128"/>
      <c r="BS16" s="128">
        <f t="shared" si="13"/>
        <v>130</v>
      </c>
      <c r="BT16" s="42">
        <f>Sep!D55</f>
        <v>0</v>
      </c>
      <c r="BU16" s="42">
        <f>Sep!G56</f>
        <v>64000</v>
      </c>
      <c r="BV16" t="s">
        <v>428</v>
      </c>
      <c r="BX16" s="42">
        <f>Sep!HJ17</f>
        <v>166000</v>
      </c>
      <c r="BY16" s="42">
        <f>Sep!HM17</f>
        <v>0</v>
      </c>
      <c r="BZ16" s="42">
        <f>Sep!HP17</f>
        <v>40849.999999999636</v>
      </c>
      <c r="CA16" s="42">
        <f>Sep!HS17</f>
        <v>21950</v>
      </c>
      <c r="CB16" s="42">
        <f>Sep!HV17</f>
        <v>25750.000000000182</v>
      </c>
      <c r="CC16" s="42">
        <f>Sep!HY17</f>
        <v>23450</v>
      </c>
      <c r="CD16" s="42">
        <f>Sep!IB17</f>
        <v>28800</v>
      </c>
      <c r="CE16" s="42">
        <f>Sep!IE17</f>
        <v>0</v>
      </c>
      <c r="CF16" s="42">
        <f>Sep!IH17</f>
        <v>25200</v>
      </c>
    </row>
    <row r="17" spans="1:84" x14ac:dyDescent="0.25">
      <c r="A17" s="26">
        <f t="shared" si="14"/>
        <v>11</v>
      </c>
      <c r="B17" s="42">
        <f>Sep!G18</f>
        <v>389119.99999999534</v>
      </c>
      <c r="C17" s="42">
        <f>Sep!N18</f>
        <v>380000</v>
      </c>
      <c r="D17" s="42">
        <f>Sep!T18</f>
        <v>0</v>
      </c>
      <c r="E17" s="42">
        <f>Sep!V18</f>
        <v>0</v>
      </c>
      <c r="F17" s="42">
        <f>Sep!AB18</f>
        <v>6340</v>
      </c>
      <c r="G17" s="42">
        <f>Sep!X18</f>
        <v>5260.0000000003638</v>
      </c>
      <c r="H17" s="42">
        <f>Sep!AE18</f>
        <v>5400.0000000005457</v>
      </c>
      <c r="I17" s="42">
        <f>Sep!AI18</f>
        <v>13579.480000000727</v>
      </c>
      <c r="J17" s="42">
        <f>Sep!AN18</f>
        <v>8149.4799999997822</v>
      </c>
      <c r="K17" s="42">
        <f>Sep!AR18</f>
        <v>13299.999999999272</v>
      </c>
      <c r="L17" s="42">
        <f>Sep!AZ18</f>
        <v>520</v>
      </c>
      <c r="M17" s="42">
        <f>Sep!BC18</f>
        <v>660</v>
      </c>
      <c r="N17" s="125">
        <f t="shared" si="4"/>
        <v>53208.96000000069</v>
      </c>
      <c r="O17" s="125">
        <f>Sep!CA18</f>
        <v>665.09999999999536</v>
      </c>
      <c r="P17" s="125">
        <f>Sep!CD18</f>
        <v>1437.5</v>
      </c>
      <c r="Q17" s="125">
        <f>Sep!CF18</f>
        <v>4695</v>
      </c>
      <c r="R17" s="125">
        <f>Sep!CH18</f>
        <v>0</v>
      </c>
      <c r="S17" s="125">
        <f>Sep!CK18</f>
        <v>15964.380000000005</v>
      </c>
      <c r="T17" s="125">
        <f>Sep!CO18</f>
        <v>8746.4800000001887</v>
      </c>
      <c r="U17" s="125">
        <f>Sep!CS18</f>
        <v>6927.7800000000461</v>
      </c>
      <c r="V17" s="126">
        <f t="shared" si="5"/>
        <v>38436.240000000238</v>
      </c>
      <c r="W17" s="126">
        <f>Sep!CW18</f>
        <v>16723</v>
      </c>
      <c r="X17" s="126">
        <f>Sep!DA18</f>
        <v>9217</v>
      </c>
      <c r="Y17" s="126">
        <f t="shared" si="1"/>
        <v>25940</v>
      </c>
      <c r="Z17" s="42">
        <f>Sep!BR18</f>
        <v>729.9999999999045</v>
      </c>
      <c r="AA17" s="126">
        <f>Sep!BG18</f>
        <v>1500</v>
      </c>
      <c r="AB17" s="126">
        <f>Sep!BJ18</f>
        <v>8899.9999999996362</v>
      </c>
      <c r="AC17" s="126">
        <f>Sep!BL18+Sep!BN18+Sep!BP18</f>
        <v>4899.99999999995</v>
      </c>
      <c r="AD17" s="126">
        <f>Sep!DR18</f>
        <v>10200</v>
      </c>
      <c r="AE17" s="127">
        <f>Sep!DT18-Sep!DR58-Sep!DT58</f>
        <v>26700</v>
      </c>
      <c r="AF17" s="127">
        <f>Sep!DR58+Sep!DT58</f>
        <v>0</v>
      </c>
      <c r="AG17" s="127">
        <f>Sep!HJ18-AE17</f>
        <v>125300</v>
      </c>
      <c r="AH17" s="127">
        <f>Sep!DW18</f>
        <v>4299.9999999992724</v>
      </c>
      <c r="AI17" s="127">
        <f>Sep!DZ18</f>
        <v>7879.48</v>
      </c>
      <c r="AJ17" s="127">
        <f>Sep!EC18</f>
        <v>25039.48</v>
      </c>
      <c r="AK17" s="127">
        <f t="shared" si="6"/>
        <v>37218.959999999272</v>
      </c>
      <c r="AL17" s="127">
        <f>Sep!EG18</f>
        <v>26039.48</v>
      </c>
      <c r="AM17" s="127">
        <f>Sep!EJ18</f>
        <v>10879.48</v>
      </c>
      <c r="AN17" s="127">
        <f>Sep!EM18</f>
        <v>659.99999999996817</v>
      </c>
      <c r="AO17" s="127">
        <f t="shared" si="7"/>
        <v>37578.95999999997</v>
      </c>
      <c r="AP17" s="127">
        <f>Sep!FX18</f>
        <v>10000</v>
      </c>
      <c r="AQ17" s="127">
        <f>Sep!GA18</f>
        <v>2590</v>
      </c>
      <c r="AR17" s="127">
        <f>Sep!GG18</f>
        <v>2702</v>
      </c>
      <c r="AS17" s="127">
        <f t="shared" si="8"/>
        <v>15292</v>
      </c>
      <c r="AT17" s="127">
        <f>Sep!EQ18</f>
        <v>6069.4799999999977</v>
      </c>
      <c r="AU17" s="127">
        <f>Sep!ET18</f>
        <v>16000</v>
      </c>
      <c r="AV17" s="127">
        <f>Sep!EW18</f>
        <v>11379.48</v>
      </c>
      <c r="AW17" s="127">
        <f>Sep!FL55</f>
        <v>10379.48</v>
      </c>
      <c r="AX17" s="127">
        <f>Sep!GJ18</f>
        <v>1798</v>
      </c>
      <c r="AY17" s="127">
        <f t="shared" si="9"/>
        <v>45626.439999999988</v>
      </c>
      <c r="AZ17" s="127">
        <f>Sep!FG18</f>
        <v>11689.480000000001</v>
      </c>
      <c r="BA17" s="127">
        <f>Sep!FJ18</f>
        <v>13879.48</v>
      </c>
      <c r="BB17" s="127">
        <f>Sep!FM55</f>
        <v>10379.48</v>
      </c>
      <c r="BC17" s="127">
        <f>Sep!GM18</f>
        <v>500</v>
      </c>
      <c r="BD17" s="127">
        <f t="shared" si="10"/>
        <v>36448.44</v>
      </c>
      <c r="BE17" s="127">
        <f>Sep!GP18</f>
        <v>10</v>
      </c>
      <c r="BF17" s="127">
        <f>Sep!GS18</f>
        <v>130</v>
      </c>
      <c r="BG17" s="127">
        <f t="shared" si="11"/>
        <v>140</v>
      </c>
      <c r="BH17" s="127">
        <f t="shared" si="2"/>
        <v>25940</v>
      </c>
      <c r="BI17" s="127"/>
      <c r="BJ17" s="127"/>
      <c r="BK17" s="127"/>
      <c r="BL17" s="128"/>
      <c r="BM17" s="128">
        <v>0</v>
      </c>
      <c r="BN17" s="128"/>
      <c r="BO17" s="128">
        <f t="shared" si="12"/>
        <v>15292</v>
      </c>
      <c r="BP17" s="128"/>
      <c r="BQ17" s="128">
        <v>0</v>
      </c>
      <c r="BR17" s="128"/>
      <c r="BS17" s="128">
        <f t="shared" si="13"/>
        <v>140</v>
      </c>
      <c r="BT17" s="42">
        <f>Sep!D56</f>
        <v>0</v>
      </c>
      <c r="BU17" s="42">
        <f>Sep!G57</f>
        <v>79000</v>
      </c>
      <c r="BV17" t="s">
        <v>428</v>
      </c>
      <c r="BX17" s="42">
        <f>Sep!HJ18</f>
        <v>152000</v>
      </c>
      <c r="BY17" s="42">
        <f>Sep!HM18</f>
        <v>0</v>
      </c>
      <c r="BZ17" s="42">
        <f>Sep!HP18</f>
        <v>36675.000000000364</v>
      </c>
      <c r="CA17" s="42">
        <f>Sep!HS18</f>
        <v>25474.999999999636</v>
      </c>
      <c r="CB17" s="42">
        <f>Sep!HV18</f>
        <v>26975.000000000546</v>
      </c>
      <c r="CC17" s="42">
        <f>Sep!HY18</f>
        <v>23975.000000000091</v>
      </c>
      <c r="CD17" s="42">
        <f>Sep!IB18</f>
        <v>12200</v>
      </c>
      <c r="CE17" s="42">
        <f>Sep!IE18</f>
        <v>0</v>
      </c>
      <c r="CF17" s="42">
        <f>Sep!IH18</f>
        <v>26700</v>
      </c>
    </row>
    <row r="18" spans="1:84" x14ac:dyDescent="0.25">
      <c r="A18" s="26">
        <f t="shared" si="14"/>
        <v>12</v>
      </c>
      <c r="B18" s="42">
        <f>Sep!G19</f>
        <v>388799.99999999563</v>
      </c>
      <c r="C18" s="42">
        <f>Sep!N19</f>
        <v>386000</v>
      </c>
      <c r="D18" s="42">
        <f>Sep!T19</f>
        <v>0</v>
      </c>
      <c r="E18" s="42">
        <f>Sep!V19</f>
        <v>0</v>
      </c>
      <c r="F18" s="42">
        <f>Sep!AB19</f>
        <v>6500</v>
      </c>
      <c r="G18" s="42">
        <f>Sep!X19</f>
        <v>7600.0000000003638</v>
      </c>
      <c r="H18" s="42">
        <f>Sep!AE19</f>
        <v>5099.9999999994543</v>
      </c>
      <c r="I18" s="42">
        <f>Sep!AI19</f>
        <v>12655.299999998544</v>
      </c>
      <c r="J18" s="42">
        <f>Sep!AN19</f>
        <v>7135.3000000005859</v>
      </c>
      <c r="K18" s="42">
        <f>Sep!AR19</f>
        <v>14100.000000000364</v>
      </c>
      <c r="L18" s="42">
        <f>Sep!AZ19</f>
        <v>430</v>
      </c>
      <c r="M18" s="42">
        <f>Sep!BC19</f>
        <v>710</v>
      </c>
      <c r="N18" s="125">
        <f t="shared" si="4"/>
        <v>54230.599999999315</v>
      </c>
      <c r="O18" s="125">
        <f>Sep!CA19</f>
        <v>595.8999999999719</v>
      </c>
      <c r="P18" s="125">
        <f>Sep!CD19</f>
        <v>1614.1999999999534</v>
      </c>
      <c r="Q18" s="125">
        <f>Sep!CF19</f>
        <v>4961</v>
      </c>
      <c r="R18" s="125">
        <f>Sep!CH19</f>
        <v>0</v>
      </c>
      <c r="S18" s="125">
        <f>Sep!CK19</f>
        <v>15299.400000000172</v>
      </c>
      <c r="T18" s="125">
        <f>Sep!CO19</f>
        <v>8189.3000000000147</v>
      </c>
      <c r="U18" s="125">
        <f>Sep!CS19</f>
        <v>6295.5999999999303</v>
      </c>
      <c r="V18" s="126">
        <f t="shared" si="5"/>
        <v>36955.400000000045</v>
      </c>
      <c r="W18" s="126">
        <f>Sep!CW19</f>
        <v>15150</v>
      </c>
      <c r="X18" s="126">
        <f>Sep!DA19</f>
        <v>8391</v>
      </c>
      <c r="Y18" s="126">
        <f t="shared" si="1"/>
        <v>23541</v>
      </c>
      <c r="Z18" s="42">
        <f>Sep!BR19</f>
        <v>800.00000000006821</v>
      </c>
      <c r="AA18" s="126">
        <f>Sep!BG19</f>
        <v>1500</v>
      </c>
      <c r="AB18" s="126">
        <f>Sep!BJ19</f>
        <v>9000</v>
      </c>
      <c r="AC18" s="126">
        <f>Sep!BL19+Sep!BN19+Sep!BP19</f>
        <v>4820.0000000000728</v>
      </c>
      <c r="AD18" s="126">
        <f>Sep!DR19</f>
        <v>9800</v>
      </c>
      <c r="AE18" s="127">
        <f>Sep!DT19-Sep!DR59-Sep!DT59</f>
        <v>23200</v>
      </c>
      <c r="AF18" s="127">
        <f>Sep!DR59+Sep!DT59</f>
        <v>0</v>
      </c>
      <c r="AG18" s="127">
        <f>Sep!HJ19-AE18</f>
        <v>120800</v>
      </c>
      <c r="AH18" s="127">
        <f>Sep!DW19</f>
        <v>4600.0000000003638</v>
      </c>
      <c r="AI18" s="127">
        <f>Sep!DZ19</f>
        <v>8055.3</v>
      </c>
      <c r="AJ18" s="127">
        <f>Sep!EC19</f>
        <v>27215.3</v>
      </c>
      <c r="AK18" s="127">
        <f t="shared" si="6"/>
        <v>39870.600000000362</v>
      </c>
      <c r="AL18" s="127">
        <f>Sep!EG19</f>
        <v>32215.3</v>
      </c>
      <c r="AM18" s="127">
        <f>Sep!EJ19</f>
        <v>10055.299999999999</v>
      </c>
      <c r="AN18" s="127">
        <f>Sep!EM19</f>
        <v>750</v>
      </c>
      <c r="AO18" s="127">
        <f t="shared" si="7"/>
        <v>43020.6</v>
      </c>
      <c r="AP18" s="127">
        <f>Sep!FX19</f>
        <v>17000</v>
      </c>
      <c r="AQ18" s="127">
        <f>Sep!GA19</f>
        <v>4280</v>
      </c>
      <c r="AR18" s="127">
        <f>Sep!GG19</f>
        <v>5132</v>
      </c>
      <c r="AS18" s="127">
        <f t="shared" si="8"/>
        <v>26412</v>
      </c>
      <c r="AT18" s="127">
        <f>Sep!EQ19</f>
        <v>8590.3000000000247</v>
      </c>
      <c r="AU18" s="127">
        <f>Sep!ET19</f>
        <v>18000</v>
      </c>
      <c r="AV18" s="127">
        <f>Sep!EW19</f>
        <v>10555.3</v>
      </c>
      <c r="AW18" s="127">
        <f>Sep!FL56</f>
        <v>11055.3</v>
      </c>
      <c r="AX18" s="127">
        <f>Sep!GJ19</f>
        <v>1868</v>
      </c>
      <c r="AY18" s="127">
        <f t="shared" si="9"/>
        <v>50068.900000000023</v>
      </c>
      <c r="AZ18" s="127">
        <f>Sep!FG19</f>
        <v>9520.2999999999756</v>
      </c>
      <c r="BA18" s="127">
        <f>Sep!FJ19</f>
        <v>15055.3</v>
      </c>
      <c r="BB18" s="127">
        <f>Sep!FM56</f>
        <v>11055.3</v>
      </c>
      <c r="BC18" s="127">
        <f>Sep!GM19</f>
        <v>0</v>
      </c>
      <c r="BD18" s="127">
        <f t="shared" si="10"/>
        <v>35630.89999999998</v>
      </c>
      <c r="BE18" s="127">
        <f>Sep!GP19</f>
        <v>0</v>
      </c>
      <c r="BF18" s="127">
        <f>Sep!GS19</f>
        <v>150</v>
      </c>
      <c r="BG18" s="127">
        <f t="shared" si="11"/>
        <v>150</v>
      </c>
      <c r="BH18" s="127">
        <f t="shared" si="2"/>
        <v>23541</v>
      </c>
      <c r="BI18" s="127"/>
      <c r="BJ18" s="127"/>
      <c r="BK18" s="127"/>
      <c r="BL18" s="128"/>
      <c r="BM18" s="128">
        <v>0</v>
      </c>
      <c r="BN18" s="128"/>
      <c r="BO18" s="128">
        <f t="shared" si="12"/>
        <v>26412</v>
      </c>
      <c r="BP18" s="128"/>
      <c r="BQ18" s="128">
        <v>0</v>
      </c>
      <c r="BR18" s="128"/>
      <c r="BS18" s="128">
        <f t="shared" si="13"/>
        <v>150</v>
      </c>
      <c r="BT18" s="42">
        <f>Sep!D57</f>
        <v>0</v>
      </c>
      <c r="BU18" s="42">
        <f>Sep!G58</f>
        <v>91000</v>
      </c>
      <c r="BV18" t="s">
        <v>428</v>
      </c>
      <c r="BX18" s="42">
        <f>Sep!HJ19</f>
        <v>144000</v>
      </c>
      <c r="BY18" s="42">
        <f>Sep!HM19</f>
        <v>0</v>
      </c>
      <c r="BZ18" s="42">
        <f>Sep!HP19</f>
        <v>36699.999999999454</v>
      </c>
      <c r="CA18" s="42">
        <f>Sep!HS19</f>
        <v>24900.000000000182</v>
      </c>
      <c r="CB18" s="42">
        <f>Sep!HV19</f>
        <v>11399.999999999272</v>
      </c>
      <c r="CC18" s="42">
        <f>Sep!HY19</f>
        <v>23000.000000000091</v>
      </c>
      <c r="CD18" s="42">
        <f>Sep!IB19</f>
        <v>24800</v>
      </c>
      <c r="CE18" s="42">
        <f>Sep!IE19</f>
        <v>0</v>
      </c>
      <c r="CF18" s="42">
        <f>Sep!IH19</f>
        <v>23200</v>
      </c>
    </row>
    <row r="19" spans="1:84" x14ac:dyDescent="0.25">
      <c r="A19" s="26">
        <f t="shared" si="14"/>
        <v>13</v>
      </c>
      <c r="B19" s="42">
        <f>Sep!G20</f>
        <v>407679.99999999302</v>
      </c>
      <c r="C19" s="42">
        <f>Sep!N20</f>
        <v>404000</v>
      </c>
      <c r="D19" s="42">
        <f>Sep!T20</f>
        <v>0</v>
      </c>
      <c r="E19" s="42">
        <f>Sep!V20</f>
        <v>0</v>
      </c>
      <c r="F19" s="42">
        <f>Sep!AB20</f>
        <v>6700</v>
      </c>
      <c r="G19" s="42">
        <f>Sep!X20</f>
        <v>8099.9999999992724</v>
      </c>
      <c r="H19" s="42">
        <f>Sep!AE20</f>
        <v>5199.9999999998181</v>
      </c>
      <c r="I19" s="42">
        <f>Sep!AI20</f>
        <v>13575.430000000728</v>
      </c>
      <c r="J19" s="42">
        <f>Sep!AN20</f>
        <v>8315.4300000000585</v>
      </c>
      <c r="K19" s="42">
        <f>Sep!AR20</f>
        <v>14100.000000000364</v>
      </c>
      <c r="L19" s="42">
        <f>Sep!AZ20</f>
        <v>480</v>
      </c>
      <c r="M19" s="42">
        <f>Sep!BC20</f>
        <v>790</v>
      </c>
      <c r="N19" s="125">
        <f t="shared" si="4"/>
        <v>57260.860000000241</v>
      </c>
      <c r="O19" s="125">
        <f>Sep!CA20</f>
        <v>659.80000000001837</v>
      </c>
      <c r="P19" s="125">
        <f>Sep!CD20</f>
        <v>1588.4000000000233</v>
      </c>
      <c r="Q19" s="125">
        <f>Sep!CF20</f>
        <v>5792</v>
      </c>
      <c r="R19" s="125">
        <f>Sep!CH20</f>
        <v>0</v>
      </c>
      <c r="S19" s="125">
        <f>Sep!CK20</f>
        <v>16815.630000000347</v>
      </c>
      <c r="T19" s="125">
        <f>Sep!CO20</f>
        <v>9556.4299999995856</v>
      </c>
      <c r="U19" s="125">
        <f>Sep!CS20</f>
        <v>7411.529999999977</v>
      </c>
      <c r="V19" s="126">
        <f t="shared" si="5"/>
        <v>41823.78999999995</v>
      </c>
      <c r="W19" s="126">
        <f>Sep!CW20</f>
        <v>15544</v>
      </c>
      <c r="X19" s="126">
        <f>Sep!DA20</f>
        <v>9017</v>
      </c>
      <c r="Y19" s="126">
        <f t="shared" si="1"/>
        <v>24561</v>
      </c>
      <c r="Z19" s="42">
        <f>Sep!BR20</f>
        <v>500</v>
      </c>
      <c r="AA19" s="126">
        <f>Sep!BG20</f>
        <v>1500</v>
      </c>
      <c r="AB19" s="126">
        <f>Sep!BJ20</f>
        <v>8600.0000000003638</v>
      </c>
      <c r="AC19" s="126">
        <f>Sep!BL20+Sep!BN20+Sep!BP20</f>
        <v>5059.9999999999409</v>
      </c>
      <c r="AD19" s="126">
        <f>Sep!DR20</f>
        <v>10500</v>
      </c>
      <c r="AE19" s="127">
        <f>Sep!DT20-Sep!DR60-Sep!DT60</f>
        <v>22800</v>
      </c>
      <c r="AF19" s="127">
        <f>Sep!DR60+Sep!DT60</f>
        <v>0</v>
      </c>
      <c r="AG19" s="127">
        <f>Sep!HJ20-AE19</f>
        <v>130200</v>
      </c>
      <c r="AH19" s="127">
        <f>Sep!DW20</f>
        <v>2200.0000000007276</v>
      </c>
      <c r="AI19" s="127">
        <f>Sep!DZ20</f>
        <v>4875.43</v>
      </c>
      <c r="AJ19" s="127">
        <f>Sep!EC20</f>
        <v>14035.43</v>
      </c>
      <c r="AK19" s="127">
        <f t="shared" si="6"/>
        <v>21110.860000000728</v>
      </c>
      <c r="AL19" s="127">
        <f>Sep!EG20</f>
        <v>33035.43</v>
      </c>
      <c r="AM19" s="127">
        <f>Sep!EJ20</f>
        <v>9875.43</v>
      </c>
      <c r="AN19" s="127">
        <f>Sep!EM20</f>
        <v>660.00000000008185</v>
      </c>
      <c r="AO19" s="127">
        <f t="shared" si="7"/>
        <v>43570.860000000081</v>
      </c>
      <c r="AP19" s="127">
        <f>Sep!FX20</f>
        <v>16800</v>
      </c>
      <c r="AQ19" s="127">
        <f>Sep!GA20</f>
        <v>4130</v>
      </c>
      <c r="AR19" s="127">
        <f>Sep!GG20</f>
        <v>5249</v>
      </c>
      <c r="AS19" s="127">
        <f t="shared" si="8"/>
        <v>26179</v>
      </c>
      <c r="AT19" s="127">
        <f>Sep!EQ20</f>
        <v>6425.4299999999548</v>
      </c>
      <c r="AU19" s="127">
        <f>Sep!ET20</f>
        <v>15000</v>
      </c>
      <c r="AV19" s="127">
        <f>Sep!EW20</f>
        <v>9875.43</v>
      </c>
      <c r="AW19" s="127">
        <f>Sep!FL57</f>
        <v>11375.43</v>
      </c>
      <c r="AX19" s="127">
        <f>Sep!GJ20</f>
        <v>1751</v>
      </c>
      <c r="AY19" s="127">
        <f t="shared" si="9"/>
        <v>44427.289999999957</v>
      </c>
      <c r="AZ19" s="127">
        <f>Sep!FG20</f>
        <v>10325.430000000046</v>
      </c>
      <c r="BA19" s="127">
        <f>Sep!FJ20</f>
        <v>15875.43</v>
      </c>
      <c r="BB19" s="127">
        <f>Sep!FM57</f>
        <v>11375.43</v>
      </c>
      <c r="BC19" s="127">
        <f>Sep!GM20</f>
        <v>0</v>
      </c>
      <c r="BD19" s="127">
        <f t="shared" si="10"/>
        <v>37576.290000000045</v>
      </c>
      <c r="BE19" s="127">
        <f>Sep!GP20</f>
        <v>10</v>
      </c>
      <c r="BF19" s="127">
        <f>Sep!GS20</f>
        <v>0</v>
      </c>
      <c r="BG19" s="127">
        <f t="shared" si="11"/>
        <v>10</v>
      </c>
      <c r="BH19" s="127">
        <f t="shared" si="2"/>
        <v>24561</v>
      </c>
      <c r="BI19" s="127"/>
      <c r="BJ19" s="127"/>
      <c r="BK19" s="127"/>
      <c r="BL19" s="128"/>
      <c r="BM19" s="128">
        <v>0</v>
      </c>
      <c r="BN19" s="128"/>
      <c r="BO19" s="128">
        <f t="shared" si="12"/>
        <v>26179</v>
      </c>
      <c r="BP19" s="128"/>
      <c r="BQ19" s="128">
        <v>0</v>
      </c>
      <c r="BR19" s="128"/>
      <c r="BS19" s="128">
        <f t="shared" si="13"/>
        <v>10</v>
      </c>
      <c r="BT19" s="42">
        <f>Sep!D58</f>
        <v>0</v>
      </c>
      <c r="BU19" s="42">
        <f>Sep!G59</f>
        <v>68000</v>
      </c>
      <c r="BV19" t="s">
        <v>428</v>
      </c>
      <c r="BW19" s="151"/>
      <c r="BX19" s="42">
        <f>Sep!HJ20</f>
        <v>153000</v>
      </c>
      <c r="BY19" s="42">
        <f>Sep!HM20</f>
        <v>0</v>
      </c>
      <c r="BZ19" s="42">
        <f>Sep!HP20</f>
        <v>38950.000000000364</v>
      </c>
      <c r="CA19" s="42">
        <f>Sep!HS20</f>
        <v>25350</v>
      </c>
      <c r="CB19" s="42">
        <f>Sep!HV20</f>
        <v>17150.000000000182</v>
      </c>
      <c r="CC19" s="42">
        <f>Sep!HY20</f>
        <v>23250.000000000091</v>
      </c>
      <c r="CD19" s="42">
        <f>Sep!IB20</f>
        <v>25500</v>
      </c>
      <c r="CE19" s="42">
        <f>Sep!IE20</f>
        <v>0</v>
      </c>
      <c r="CF19" s="42">
        <f>Sep!IH20</f>
        <v>22800</v>
      </c>
    </row>
    <row r="20" spans="1:84" x14ac:dyDescent="0.25">
      <c r="A20" s="26">
        <f t="shared" si="14"/>
        <v>14</v>
      </c>
      <c r="B20" s="42">
        <f>Sep!G21</f>
        <v>340160.00000001804</v>
      </c>
      <c r="C20" s="42">
        <f>Sep!N21</f>
        <v>338000</v>
      </c>
      <c r="D20" s="42">
        <f>Sep!T21</f>
        <v>0</v>
      </c>
      <c r="E20" s="42">
        <f>Sep!V21</f>
        <v>0</v>
      </c>
      <c r="F20" s="42">
        <f>Sep!AB21</f>
        <v>6100</v>
      </c>
      <c r="G20" s="42">
        <f>Sep!X21</f>
        <v>7400</v>
      </c>
      <c r="H20" s="42">
        <f>Sep!AE21</f>
        <v>4700.0000000007276</v>
      </c>
      <c r="I20" s="42">
        <f>Sep!AI21</f>
        <v>11865.869999999273</v>
      </c>
      <c r="J20" s="42">
        <f>Sep!AN21</f>
        <v>6945.8699999993323</v>
      </c>
      <c r="K20" s="42">
        <f>Sep!AR21</f>
        <v>13500</v>
      </c>
      <c r="L20" s="42">
        <f>Sep!AZ21</f>
        <v>450</v>
      </c>
      <c r="M20" s="42">
        <f>Sep!BC21</f>
        <v>730</v>
      </c>
      <c r="N20" s="125">
        <f t="shared" si="4"/>
        <v>51691.739999999336</v>
      </c>
      <c r="O20" s="125">
        <f>Sep!CA21</f>
        <v>631.89999999997326</v>
      </c>
      <c r="P20" s="125">
        <f>Sep!CD21</f>
        <v>1493.8000000000466</v>
      </c>
      <c r="Q20" s="125">
        <f>Sep!CF21</f>
        <v>5359</v>
      </c>
      <c r="R20" s="125">
        <f>Sep!CH21</f>
        <v>0</v>
      </c>
      <c r="S20" s="125">
        <f>Sep!CK21</f>
        <v>14643.969999999154</v>
      </c>
      <c r="T20" s="125">
        <f>Sep!CO21</f>
        <v>8229.8699999997607</v>
      </c>
      <c r="U20" s="125">
        <f>Sep!CS21</f>
        <v>6107.970000000093</v>
      </c>
      <c r="V20" s="126">
        <f t="shared" si="5"/>
        <v>36466.509999999027</v>
      </c>
      <c r="W20" s="126">
        <f>Sep!CW21</f>
        <v>14208</v>
      </c>
      <c r="X20" s="126">
        <f>Sep!DA21</f>
        <v>8065</v>
      </c>
      <c r="Y20" s="126">
        <f t="shared" si="1"/>
        <v>22273</v>
      </c>
      <c r="Z20" s="42">
        <f>Sep!BR21</f>
        <v>299.99999999995453</v>
      </c>
      <c r="AA20" s="126">
        <f>Sep!BG21</f>
        <v>1600.0000000003638</v>
      </c>
      <c r="AB20" s="126">
        <f>Sep!BJ21</f>
        <v>8899.9999999996362</v>
      </c>
      <c r="AC20" s="126">
        <f>Sep!BL21+Sep!BN21+Sep!BP21</f>
        <v>4619.9999999999864</v>
      </c>
      <c r="AD20" s="126">
        <f>Sep!DR21</f>
        <v>8000</v>
      </c>
      <c r="AE20" s="127">
        <f>Sep!DT21-Sep!DR61-Sep!DT61</f>
        <v>23100</v>
      </c>
      <c r="AF20" s="127">
        <f>Sep!DR61+Sep!DT61</f>
        <v>0</v>
      </c>
      <c r="AG20" s="127">
        <f>Sep!HJ21-AE20</f>
        <v>130900</v>
      </c>
      <c r="AH20" s="127">
        <f>Sep!DW21</f>
        <v>500</v>
      </c>
      <c r="AI20" s="127">
        <f>Sep!DZ21</f>
        <v>65.87</v>
      </c>
      <c r="AJ20" s="127">
        <f>Sep!EC21</f>
        <v>6225.87</v>
      </c>
      <c r="AK20" s="127">
        <f t="shared" si="6"/>
        <v>6791.74</v>
      </c>
      <c r="AL20" s="127">
        <f>Sep!EG21</f>
        <v>28225.87</v>
      </c>
      <c r="AM20" s="127">
        <f>Sep!EJ21</f>
        <v>10065.870000000001</v>
      </c>
      <c r="AN20" s="127">
        <f>Sep!EM21</f>
        <v>589.99999999991815</v>
      </c>
      <c r="AO20" s="127">
        <f t="shared" si="7"/>
        <v>38881.739999999918</v>
      </c>
      <c r="AP20" s="127">
        <f>Sep!FX21</f>
        <v>15900</v>
      </c>
      <c r="AQ20" s="127">
        <f>Sep!GA21</f>
        <v>4010</v>
      </c>
      <c r="AR20" s="127">
        <f>Sep!GG21</f>
        <v>4340</v>
      </c>
      <c r="AS20" s="127">
        <f t="shared" si="8"/>
        <v>24250</v>
      </c>
      <c r="AT20" s="127">
        <f>Sep!EQ21</f>
        <v>6780.8700000000317</v>
      </c>
      <c r="AU20" s="127">
        <f>Sep!ET21</f>
        <v>17000</v>
      </c>
      <c r="AV20" s="127">
        <f>Sep!EW21</f>
        <v>10065.870000000001</v>
      </c>
      <c r="AW20" s="127">
        <f>Sep!FL58</f>
        <v>11065.869999999999</v>
      </c>
      <c r="AX20" s="127">
        <f>Sep!GJ21</f>
        <v>1660</v>
      </c>
      <c r="AY20" s="127">
        <f t="shared" si="9"/>
        <v>46572.61000000003</v>
      </c>
      <c r="AZ20" s="127">
        <f>Sep!FG21</f>
        <v>9350.8699999999681</v>
      </c>
      <c r="BA20" s="127">
        <f>Sep!FJ21</f>
        <v>17065.87</v>
      </c>
      <c r="BB20" s="127">
        <f>Sep!FM58</f>
        <v>11065.869999999999</v>
      </c>
      <c r="BC20" s="127">
        <f>Sep!GM21</f>
        <v>0</v>
      </c>
      <c r="BD20" s="127">
        <f t="shared" si="10"/>
        <v>37482.609999999971</v>
      </c>
      <c r="BE20" s="127">
        <f>Sep!GP21</f>
        <v>0</v>
      </c>
      <c r="BF20" s="127">
        <f>Sep!GS21</f>
        <v>330</v>
      </c>
      <c r="BG20" s="127">
        <f t="shared" si="11"/>
        <v>330</v>
      </c>
      <c r="BH20" s="127">
        <f t="shared" si="2"/>
        <v>22273</v>
      </c>
      <c r="BI20" s="127"/>
      <c r="BJ20" s="127"/>
      <c r="BK20" s="127"/>
      <c r="BL20" s="128"/>
      <c r="BM20" s="128">
        <v>0</v>
      </c>
      <c r="BN20" s="128"/>
      <c r="BO20" s="128">
        <f t="shared" si="12"/>
        <v>24250</v>
      </c>
      <c r="BP20" s="128"/>
      <c r="BQ20" s="128">
        <v>0</v>
      </c>
      <c r="BR20" s="128"/>
      <c r="BS20" s="128">
        <f t="shared" si="13"/>
        <v>330</v>
      </c>
      <c r="BT20" s="42">
        <f>Sep!D59</f>
        <v>0</v>
      </c>
      <c r="BU20" s="42">
        <f>Sep!G60</f>
        <v>102000</v>
      </c>
      <c r="BV20" t="s">
        <v>428</v>
      </c>
      <c r="BX20" s="42">
        <f>Sep!HJ21</f>
        <v>154000</v>
      </c>
      <c r="BY20" s="42">
        <f>Sep!HM21</f>
        <v>0</v>
      </c>
      <c r="BZ20" s="42">
        <f>Sep!HP21</f>
        <v>39175.000000000364</v>
      </c>
      <c r="CA20" s="42">
        <f>Sep!HS21</f>
        <v>24575</v>
      </c>
      <c r="CB20" s="42">
        <f>Sep!HV21</f>
        <v>20475.000000000546</v>
      </c>
      <c r="CC20" s="42">
        <f>Sep!HY21</f>
        <v>21674.999999999909</v>
      </c>
      <c r="CD20" s="42">
        <f>Sep!IB21</f>
        <v>25000</v>
      </c>
      <c r="CE20" s="42">
        <f>Sep!IE21</f>
        <v>0</v>
      </c>
      <c r="CF20" s="42">
        <f>Sep!IH21</f>
        <v>23100</v>
      </c>
    </row>
    <row r="21" spans="1:84" x14ac:dyDescent="0.25">
      <c r="A21" s="26">
        <f t="shared" si="14"/>
        <v>15</v>
      </c>
      <c r="B21" s="42">
        <f>Sep!G22</f>
        <v>367039.99999997905</v>
      </c>
      <c r="C21" s="42">
        <f>Sep!N22</f>
        <v>381000</v>
      </c>
      <c r="D21" s="42">
        <f>Sep!T22</f>
        <v>0</v>
      </c>
      <c r="E21" s="42">
        <f>Sep!V22</f>
        <v>0</v>
      </c>
      <c r="F21" s="42">
        <f>Sep!AB22</f>
        <v>7000</v>
      </c>
      <c r="G21" s="42">
        <f>Sep!X22</f>
        <v>8000</v>
      </c>
      <c r="H21" s="42">
        <f>Sep!AE22</f>
        <v>5599.9999999994543</v>
      </c>
      <c r="I21" s="42">
        <f>Sep!AI22</f>
        <v>12527.53</v>
      </c>
      <c r="J21" s="42">
        <f>Sep!AN22</f>
        <v>7057.5300000006373</v>
      </c>
      <c r="K21" s="42">
        <f>Sep!AR22</f>
        <v>13899.999999999636</v>
      </c>
      <c r="L21" s="42">
        <f>Sep!AZ22</f>
        <v>480</v>
      </c>
      <c r="M21" s="42">
        <f>Sep!BC22</f>
        <v>720</v>
      </c>
      <c r="N21" s="125">
        <f t="shared" si="4"/>
        <v>55285.059999999728</v>
      </c>
      <c r="O21" s="125">
        <f>Sep!CA22</f>
        <v>809.5000000000141</v>
      </c>
      <c r="P21" s="125">
        <f>Sep!CD22</f>
        <v>398.40000000002328</v>
      </c>
      <c r="Q21" s="125">
        <f>Sep!CF22</f>
        <v>5527</v>
      </c>
      <c r="R21" s="125">
        <f>Sep!CH22</f>
        <v>0</v>
      </c>
      <c r="S21" s="125">
        <f>Sep!CK22</f>
        <v>14788.029999999695</v>
      </c>
      <c r="T21" s="125">
        <f>Sep!CO22</f>
        <v>8289.5300000006264</v>
      </c>
      <c r="U21" s="125">
        <f>Sep!CS22</f>
        <v>6025.2299999999532</v>
      </c>
      <c r="V21" s="126">
        <f t="shared" si="5"/>
        <v>35837.690000000308</v>
      </c>
      <c r="W21" s="126">
        <f>Sep!CW22</f>
        <v>20879</v>
      </c>
      <c r="X21" s="126">
        <f>Sep!DA22</f>
        <v>11293</v>
      </c>
      <c r="Y21" s="126">
        <f t="shared" si="1"/>
        <v>32172</v>
      </c>
      <c r="Z21" s="42">
        <f>Sep!BR22</f>
        <v>700.00000000004547</v>
      </c>
      <c r="AA21" s="126">
        <f>Sep!BG22</f>
        <v>1500</v>
      </c>
      <c r="AB21" s="126">
        <f>Sep!BJ22</f>
        <v>8600.0000000003638</v>
      </c>
      <c r="AC21" s="126">
        <f>Sep!BL22+Sep!BN22+Sep!BP22</f>
        <v>4970.0000000000455</v>
      </c>
      <c r="AD21" s="126">
        <f>Sep!DR22</f>
        <v>10700</v>
      </c>
      <c r="AE21" s="127">
        <f>Sep!DT22-Sep!DR62-Sep!DT62</f>
        <v>25700</v>
      </c>
      <c r="AF21" s="127">
        <f>Sep!DR62+Sep!DT62</f>
        <v>0</v>
      </c>
      <c r="AG21" s="127">
        <f>Sep!HJ22-AE21</f>
        <v>139300</v>
      </c>
      <c r="AH21" s="127">
        <f>Sep!DW22</f>
        <v>799.9999999992724</v>
      </c>
      <c r="AI21" s="127">
        <f>Sep!DZ22</f>
        <v>527.53</v>
      </c>
      <c r="AJ21" s="127">
        <f>Sep!EC22</f>
        <v>4687.53</v>
      </c>
      <c r="AK21" s="127">
        <f t="shared" si="6"/>
        <v>6015.0599999992719</v>
      </c>
      <c r="AL21" s="127">
        <f>Sep!EG22</f>
        <v>31687.53</v>
      </c>
      <c r="AM21" s="127">
        <f>Sep!EJ22</f>
        <v>9527.5300000000007</v>
      </c>
      <c r="AN21" s="127">
        <f>Sep!EM22</f>
        <v>680.00000000006366</v>
      </c>
      <c r="AO21" s="127">
        <f t="shared" si="7"/>
        <v>41895.060000000063</v>
      </c>
      <c r="AP21" s="127">
        <f>Sep!FX22</f>
        <v>17600</v>
      </c>
      <c r="AQ21" s="127">
        <f>Sep!GA22</f>
        <v>4130</v>
      </c>
      <c r="AR21" s="127">
        <f>Sep!GG22</f>
        <v>4404</v>
      </c>
      <c r="AS21" s="127">
        <f t="shared" si="8"/>
        <v>26134</v>
      </c>
      <c r="AT21" s="127">
        <f>Sep!EQ22</f>
        <v>6412.5299999999907</v>
      </c>
      <c r="AU21" s="127">
        <f>Sep!ET22</f>
        <v>18000</v>
      </c>
      <c r="AV21" s="127">
        <f>Sep!EW22</f>
        <v>10827.530000000183</v>
      </c>
      <c r="AW21" s="127">
        <f>Sep!FL59</f>
        <v>9527.5299999999988</v>
      </c>
      <c r="AX21" s="127">
        <f>Sep!GJ22</f>
        <v>1596</v>
      </c>
      <c r="AY21" s="127">
        <f t="shared" si="9"/>
        <v>46363.590000000171</v>
      </c>
      <c r="AZ21" s="127">
        <f>Sep!FG22</f>
        <v>9642.5300000000097</v>
      </c>
      <c r="BA21" s="127">
        <f>Sep!FJ22</f>
        <v>16527.53</v>
      </c>
      <c r="BB21" s="127">
        <f>Sep!FM59</f>
        <v>9527.5299999999988</v>
      </c>
      <c r="BC21" s="127">
        <f>Sep!GM22</f>
        <v>0</v>
      </c>
      <c r="BD21" s="127">
        <f t="shared" si="10"/>
        <v>35697.590000000011</v>
      </c>
      <c r="BE21" s="127">
        <f>Sep!GP22</f>
        <v>0</v>
      </c>
      <c r="BF21" s="127">
        <f>Sep!GS22</f>
        <v>170</v>
      </c>
      <c r="BG21" s="127">
        <f t="shared" si="11"/>
        <v>170</v>
      </c>
      <c r="BH21" s="127">
        <f t="shared" si="2"/>
        <v>32172</v>
      </c>
      <c r="BI21" s="127"/>
      <c r="BJ21" s="127"/>
      <c r="BK21" s="127"/>
      <c r="BL21" s="128"/>
      <c r="BM21" s="128">
        <v>0</v>
      </c>
      <c r="BN21" s="128"/>
      <c r="BO21" s="128">
        <f t="shared" si="12"/>
        <v>26134</v>
      </c>
      <c r="BP21" s="128"/>
      <c r="BQ21" s="128">
        <v>0</v>
      </c>
      <c r="BR21" s="128"/>
      <c r="BS21" s="128">
        <f t="shared" si="13"/>
        <v>170</v>
      </c>
      <c r="BT21" s="42">
        <f>Sep!D60</f>
        <v>0</v>
      </c>
      <c r="BU21" s="42">
        <f>Sep!G61</f>
        <v>104000</v>
      </c>
      <c r="BV21" t="s">
        <v>428</v>
      </c>
      <c r="BX21" s="42">
        <f>Sep!HJ22</f>
        <v>165000</v>
      </c>
      <c r="BY21" s="42">
        <f>Sep!HM22</f>
        <v>0</v>
      </c>
      <c r="BZ21" s="42">
        <f>Sep!HP22</f>
        <v>43174.999999999272</v>
      </c>
      <c r="CA21" s="42">
        <f>Sep!HS22</f>
        <v>24974.999999999454</v>
      </c>
      <c r="CB21" s="42">
        <f>Sep!HV22</f>
        <v>21375</v>
      </c>
      <c r="CC21" s="42">
        <f>Sep!HY22</f>
        <v>21174.999999999727</v>
      </c>
      <c r="CD21" s="42">
        <f>Sep!IB22</f>
        <v>28600</v>
      </c>
      <c r="CE21" s="42">
        <f>Sep!IE22</f>
        <v>0</v>
      </c>
      <c r="CF21" s="42">
        <f>Sep!IH22</f>
        <v>25700</v>
      </c>
    </row>
    <row r="22" spans="1:84" x14ac:dyDescent="0.25">
      <c r="A22" s="26">
        <f t="shared" si="14"/>
        <v>16</v>
      </c>
      <c r="B22" s="42">
        <f>Sep!G23</f>
        <v>348480.00000001048</v>
      </c>
      <c r="C22" s="42">
        <f>Sep!N23</f>
        <v>324000</v>
      </c>
      <c r="D22" s="42">
        <f>Sep!T23</f>
        <v>0</v>
      </c>
      <c r="E22" s="42">
        <f>Sep!V23</f>
        <v>0</v>
      </c>
      <c r="F22" s="42">
        <f>Sep!AB23</f>
        <v>6400</v>
      </c>
      <c r="G22" s="42">
        <f>Sep!X23</f>
        <v>7100</v>
      </c>
      <c r="H22" s="42">
        <f>Sep!AE23</f>
        <v>6800.0000000001819</v>
      </c>
      <c r="I22" s="42">
        <f>Sep!AI23</f>
        <v>16252.210000001454</v>
      </c>
      <c r="J22" s="42">
        <f>Sep!AN23</f>
        <v>7622.2099999997072</v>
      </c>
      <c r="K22" s="42">
        <f>Sep!AR23</f>
        <v>8600.0000000003638</v>
      </c>
      <c r="L22" s="42">
        <f>Sep!AZ23</f>
        <v>350</v>
      </c>
      <c r="M22" s="42">
        <f>Sep!BC23</f>
        <v>560</v>
      </c>
      <c r="N22" s="125">
        <f t="shared" si="4"/>
        <v>53684.420000001708</v>
      </c>
      <c r="O22" s="125">
        <f>Sep!CA23</f>
        <v>657.80000000000882</v>
      </c>
      <c r="P22" s="125">
        <f>Sep!CD23</f>
        <v>0</v>
      </c>
      <c r="Q22" s="125">
        <f>Sep!CF23</f>
        <v>5567</v>
      </c>
      <c r="R22" s="125">
        <f>Sep!CH23</f>
        <v>0</v>
      </c>
      <c r="S22" s="125">
        <f>Sep!CK23</f>
        <v>14784.410000000136</v>
      </c>
      <c r="T22" s="125">
        <f>Sep!CO23</f>
        <v>8584.20999999997</v>
      </c>
      <c r="U22" s="125">
        <f>Sep!CS23</f>
        <v>6636.8099999999768</v>
      </c>
      <c r="V22" s="126">
        <f t="shared" si="5"/>
        <v>36230.230000000091</v>
      </c>
      <c r="W22" s="126">
        <f>Sep!CW23</f>
        <v>18822</v>
      </c>
      <c r="X22" s="126">
        <f>Sep!DA23</f>
        <v>10503</v>
      </c>
      <c r="Y22" s="126">
        <f t="shared" si="1"/>
        <v>29325</v>
      </c>
      <c r="Z22" s="42">
        <f>Sep!BR23</f>
        <v>699.99999999993179</v>
      </c>
      <c r="AA22" s="126">
        <f>Sep!BG23</f>
        <v>1500</v>
      </c>
      <c r="AB22" s="126">
        <f>Sep!BJ23</f>
        <v>8899.9999999996362</v>
      </c>
      <c r="AC22" s="126">
        <f>Sep!BL23+Sep!BN23+Sep!BP23</f>
        <v>4429.9999999999955</v>
      </c>
      <c r="AD22" s="126">
        <f>Sep!DR23</f>
        <v>10500</v>
      </c>
      <c r="AE22" s="127">
        <f>Sep!DT23-Sep!DR63-Sep!DT63</f>
        <v>26200</v>
      </c>
      <c r="AF22" s="127">
        <f>Sep!DR63+Sep!DT63</f>
        <v>0</v>
      </c>
      <c r="AG22" s="127">
        <f>Sep!HJ23-AE22</f>
        <v>120800</v>
      </c>
      <c r="AH22" s="127">
        <f>Sep!DW23</f>
        <v>600.0000000003638</v>
      </c>
      <c r="AI22" s="127">
        <f>Sep!DZ23</f>
        <v>1852.21</v>
      </c>
      <c r="AJ22" s="127">
        <f>Sep!EC23</f>
        <v>6012.21</v>
      </c>
      <c r="AK22" s="127">
        <f t="shared" si="6"/>
        <v>8464.4200000003639</v>
      </c>
      <c r="AL22" s="127">
        <f>Sep!EG23</f>
        <v>35012.21</v>
      </c>
      <c r="AM22" s="127">
        <f>Sep!EJ23</f>
        <v>10852.21</v>
      </c>
      <c r="AN22" s="127">
        <f>Sep!EM23</f>
        <v>649.99999999997726</v>
      </c>
      <c r="AO22" s="127">
        <f t="shared" si="7"/>
        <v>46514.419999999976</v>
      </c>
      <c r="AP22" s="127">
        <f>Sep!FX23</f>
        <v>16849</v>
      </c>
      <c r="AQ22" s="127">
        <f>Sep!GA23</f>
        <v>4011</v>
      </c>
      <c r="AR22" s="127">
        <f>Sep!GG23</f>
        <v>5458.2999999996955</v>
      </c>
      <c r="AS22" s="127">
        <f t="shared" si="8"/>
        <v>26318.299999999697</v>
      </c>
      <c r="AT22" s="127">
        <f>Sep!EQ23</f>
        <v>6727.21</v>
      </c>
      <c r="AU22" s="127">
        <f>Sep!ET23</f>
        <v>17000</v>
      </c>
      <c r="AV22" s="127">
        <f>Sep!EW23</f>
        <v>10882.209999999744</v>
      </c>
      <c r="AW22" s="127">
        <f>Sep!FL60</f>
        <v>11852.21</v>
      </c>
      <c r="AX22" s="127">
        <f>Sep!GJ23</f>
        <v>1554.6999999999971</v>
      </c>
      <c r="AY22" s="127">
        <f t="shared" si="9"/>
        <v>48016.32999999974</v>
      </c>
      <c r="AZ22" s="127">
        <f>Sep!FG23</f>
        <v>9977.2099999999991</v>
      </c>
      <c r="BA22" s="127">
        <f>Sep!FJ23</f>
        <v>13852.21</v>
      </c>
      <c r="BB22" s="127">
        <f>Sep!FM60</f>
        <v>11852.21</v>
      </c>
      <c r="BC22" s="127">
        <f>Sep!GM23</f>
        <v>46.999999999798092</v>
      </c>
      <c r="BD22" s="127">
        <f t="shared" si="10"/>
        <v>35728.629999999794</v>
      </c>
      <c r="BE22" s="127">
        <f>Sep!GP23</f>
        <v>4.2000000000116415</v>
      </c>
      <c r="BF22" s="127">
        <f>Sep!GS23</f>
        <v>164.09999999997672</v>
      </c>
      <c r="BG22" s="127">
        <f t="shared" si="11"/>
        <v>168.29999999998836</v>
      </c>
      <c r="BH22" s="127">
        <f t="shared" si="2"/>
        <v>29325</v>
      </c>
      <c r="BI22" s="127"/>
      <c r="BJ22" s="127"/>
      <c r="BK22" s="127"/>
      <c r="BL22" s="128"/>
      <c r="BM22" s="128">
        <v>0</v>
      </c>
      <c r="BN22" s="128"/>
      <c r="BO22" s="128">
        <f t="shared" si="12"/>
        <v>26318.299999999697</v>
      </c>
      <c r="BP22" s="128"/>
      <c r="BQ22" s="128">
        <v>0</v>
      </c>
      <c r="BR22" s="128"/>
      <c r="BS22" s="128">
        <f t="shared" si="13"/>
        <v>168.29999999998836</v>
      </c>
      <c r="BT22" s="42">
        <f>Sep!D61</f>
        <v>0</v>
      </c>
      <c r="BU22" s="42">
        <f>Sep!G62</f>
        <v>109000</v>
      </c>
      <c r="BV22" t="s">
        <v>428</v>
      </c>
      <c r="BW22" s="151"/>
      <c r="BX22" s="42">
        <f>Sep!HJ23</f>
        <v>147000</v>
      </c>
      <c r="BY22" s="42">
        <f>Sep!HM23</f>
        <v>0</v>
      </c>
      <c r="BZ22" s="42">
        <f>Sep!HP23</f>
        <v>31625.000000000364</v>
      </c>
      <c r="CA22" s="42">
        <f>Sep!HS23</f>
        <v>25925.000000000546</v>
      </c>
      <c r="CB22" s="42">
        <f>Sep!HV23</f>
        <v>24525</v>
      </c>
      <c r="CC22" s="42">
        <f>Sep!HY23</f>
        <v>9325.0000000001819</v>
      </c>
      <c r="CD22" s="42">
        <f>Sep!IB23</f>
        <v>29400</v>
      </c>
      <c r="CE22" s="42">
        <f>Sep!IE23</f>
        <v>0</v>
      </c>
      <c r="CF22" s="42">
        <f>Sep!IH23</f>
        <v>26200</v>
      </c>
    </row>
    <row r="23" spans="1:84" x14ac:dyDescent="0.25">
      <c r="A23" s="26">
        <f t="shared" si="14"/>
        <v>17</v>
      </c>
      <c r="B23" s="42">
        <f>Sep!G24</f>
        <v>353920.00000000553</v>
      </c>
      <c r="C23" s="42">
        <f>Sep!N24</f>
        <v>352000</v>
      </c>
      <c r="D23" s="42">
        <f>Sep!T24</f>
        <v>0</v>
      </c>
      <c r="E23" s="42">
        <f>Sep!V24</f>
        <v>0</v>
      </c>
      <c r="F23" s="42">
        <f>Sep!AB24</f>
        <v>6800</v>
      </c>
      <c r="G23" s="42">
        <f>Sep!X24</f>
        <v>7800.0000000003638</v>
      </c>
      <c r="H23" s="42">
        <f>Sep!AE24</f>
        <v>7100.0000000003638</v>
      </c>
      <c r="I23" s="42">
        <f>Sep!AI24</f>
        <v>15195.359999999273</v>
      </c>
      <c r="J23" s="42">
        <f>Sep!AN24</f>
        <v>5675.3599999996095</v>
      </c>
      <c r="K23" s="42">
        <f>Sep!AR24</f>
        <v>9099.9999999985448</v>
      </c>
      <c r="L23" s="42">
        <f>Sep!AZ24</f>
        <v>370</v>
      </c>
      <c r="M23" s="42">
        <f>Sep!BC24</f>
        <v>500</v>
      </c>
      <c r="N23" s="125">
        <f t="shared" si="4"/>
        <v>52540.719999998153</v>
      </c>
      <c r="O23" s="125">
        <f>Sep!CA24</f>
        <v>802.00000000002092</v>
      </c>
      <c r="P23" s="125">
        <f>Sep!CD24</f>
        <v>0</v>
      </c>
      <c r="Q23" s="125">
        <f>Sep!CF24</f>
        <v>5694</v>
      </c>
      <c r="R23" s="125">
        <f>Sep!CH24</f>
        <v>0</v>
      </c>
      <c r="S23" s="125">
        <f>Sep!CK24</f>
        <v>15003.359999999833</v>
      </c>
      <c r="T23" s="125">
        <f>Sep!CO24</f>
        <v>7143.3599999995922</v>
      </c>
      <c r="U23" s="125">
        <f>Sep!CS24</f>
        <v>5734.36</v>
      </c>
      <c r="V23" s="126">
        <f t="shared" si="5"/>
        <v>34377.079999999449</v>
      </c>
      <c r="W23" s="126">
        <f>Sep!CW24</f>
        <v>20261</v>
      </c>
      <c r="X23" s="126">
        <f>Sep!DA24</f>
        <v>10443</v>
      </c>
      <c r="Y23" s="126">
        <f t="shared" si="1"/>
        <v>30704</v>
      </c>
      <c r="Z23" s="42">
        <f>Sep!BR24</f>
        <v>800.00000000006821</v>
      </c>
      <c r="AA23" s="126">
        <f>Sep!BG24</f>
        <v>1500</v>
      </c>
      <c r="AB23" s="126">
        <f>Sep!BJ24</f>
        <v>9000</v>
      </c>
      <c r="AC23" s="126">
        <f>Sep!BL24+Sep!BN24+Sep!BP24</f>
        <v>4819.9999999999591</v>
      </c>
      <c r="AD23" s="126">
        <f>Sep!DR24</f>
        <v>9700</v>
      </c>
      <c r="AE23" s="127">
        <f>Sep!DT24-Sep!DR64-Sep!DT64</f>
        <v>23100</v>
      </c>
      <c r="AF23" s="127">
        <f>Sep!DR64+Sep!DT64</f>
        <v>0</v>
      </c>
      <c r="AG23" s="127">
        <f>Sep!HJ24-AE23</f>
        <v>130900</v>
      </c>
      <c r="AH23" s="127">
        <f>Sep!DW24</f>
        <v>399.9999999996362</v>
      </c>
      <c r="AI23" s="127">
        <f>Sep!DZ24</f>
        <v>895.36</v>
      </c>
      <c r="AJ23" s="127">
        <f>Sep!EC24</f>
        <v>6055.3600000000006</v>
      </c>
      <c r="AK23" s="127">
        <f t="shared" si="6"/>
        <v>7350.7199999996374</v>
      </c>
      <c r="AL23" s="127">
        <f>Sep!EG24</f>
        <v>35055.360000000001</v>
      </c>
      <c r="AM23" s="127">
        <f>Sep!EJ24</f>
        <v>9895.36</v>
      </c>
      <c r="AN23" s="127">
        <f>Sep!EM24</f>
        <v>639.99999999998636</v>
      </c>
      <c r="AO23" s="127">
        <f t="shared" si="7"/>
        <v>45590.719999999987</v>
      </c>
      <c r="AP23" s="127">
        <f>Sep!FX24</f>
        <v>17251</v>
      </c>
      <c r="AQ23" s="127">
        <f>Sep!GA24</f>
        <v>4159.7999999999884</v>
      </c>
      <c r="AR23" s="127">
        <f>Sep!GG24</f>
        <v>4265.1999999998116</v>
      </c>
      <c r="AS23" s="127">
        <f t="shared" si="8"/>
        <v>25675.9999999998</v>
      </c>
      <c r="AT23" s="127">
        <f>Sep!EQ24</f>
        <v>7625.359999999223</v>
      </c>
      <c r="AU23" s="127">
        <f>Sep!ET24</f>
        <v>16700.000000000728</v>
      </c>
      <c r="AV23" s="127">
        <f>Sep!EW24</f>
        <v>10430.359999999855</v>
      </c>
      <c r="AW23" s="127">
        <f>Sep!FL61</f>
        <v>12470.359999999819</v>
      </c>
      <c r="AX23" s="127">
        <f>Sep!GJ24</f>
        <v>1838.8000000000029</v>
      </c>
      <c r="AY23" s="127">
        <f t="shared" si="9"/>
        <v>49064.879999999626</v>
      </c>
      <c r="AZ23" s="127">
        <f>Sep!FG24</f>
        <v>9995.3600000007063</v>
      </c>
      <c r="BA23" s="127">
        <f>Sep!FJ24</f>
        <v>16095.360000000728</v>
      </c>
      <c r="BB23" s="127">
        <f>Sep!FM61</f>
        <v>12470.359999999819</v>
      </c>
      <c r="BC23" s="127">
        <f>Sep!GM24</f>
        <v>3.0000000001564331</v>
      </c>
      <c r="BD23" s="127">
        <f t="shared" si="10"/>
        <v>38564.080000001413</v>
      </c>
      <c r="BE23" s="127">
        <f>Sep!GP24</f>
        <v>2.8999999999941792</v>
      </c>
      <c r="BF23" s="127">
        <f>Sep!GS24</f>
        <v>228.90000000002328</v>
      </c>
      <c r="BG23" s="127">
        <f t="shared" si="11"/>
        <v>231.80000000001746</v>
      </c>
      <c r="BH23" s="127">
        <f t="shared" si="2"/>
        <v>30704</v>
      </c>
      <c r="BI23" s="127"/>
      <c r="BJ23" s="127"/>
      <c r="BK23" s="127"/>
      <c r="BL23" s="128"/>
      <c r="BM23" s="128">
        <v>0</v>
      </c>
      <c r="BN23" s="128"/>
      <c r="BO23" s="128">
        <f t="shared" si="12"/>
        <v>25675.9999999998</v>
      </c>
      <c r="BP23" s="128"/>
      <c r="BQ23" s="128">
        <v>0</v>
      </c>
      <c r="BR23" s="128"/>
      <c r="BS23" s="128">
        <f t="shared" si="13"/>
        <v>231.80000000001746</v>
      </c>
      <c r="BT23" s="42">
        <f>Sep!D62</f>
        <v>0</v>
      </c>
      <c r="BU23" s="42">
        <f>Sep!G63</f>
        <v>110000</v>
      </c>
      <c r="BV23" t="s">
        <v>428</v>
      </c>
      <c r="BX23" s="42">
        <f>Sep!HJ24</f>
        <v>154000</v>
      </c>
      <c r="BY23" s="42">
        <f>Sep!HM24</f>
        <v>0</v>
      </c>
      <c r="BZ23" s="42">
        <f>Sep!HP24</f>
        <v>37500</v>
      </c>
      <c r="CA23" s="42">
        <f>Sep!HS24</f>
        <v>24800.000000000182</v>
      </c>
      <c r="CB23" s="42">
        <f>Sep!HV24</f>
        <v>24699.999999999818</v>
      </c>
      <c r="CC23" s="42">
        <f>Sep!HY24</f>
        <v>20000</v>
      </c>
      <c r="CD23" s="42">
        <f>Sep!IB24</f>
        <v>23900</v>
      </c>
      <c r="CE23" s="42">
        <f>Sep!IE24</f>
        <v>0</v>
      </c>
      <c r="CF23" s="42">
        <f>Sep!IH24</f>
        <v>23100</v>
      </c>
    </row>
    <row r="24" spans="1:84" x14ac:dyDescent="0.25">
      <c r="A24" s="26">
        <f t="shared" si="14"/>
        <v>18</v>
      </c>
      <c r="B24" s="42">
        <f>Sep!G25</f>
        <v>404159.99999998166</v>
      </c>
      <c r="C24" s="42">
        <f>Sep!N25</f>
        <v>405000</v>
      </c>
      <c r="D24" s="42">
        <f>Sep!T25</f>
        <v>261.94999999925494</v>
      </c>
      <c r="E24" s="42">
        <f>Sep!V25</f>
        <v>1.9599999999627471</v>
      </c>
      <c r="F24" s="42">
        <f>Sep!AB25</f>
        <v>1330</v>
      </c>
      <c r="G24" s="42">
        <f>Sep!X25</f>
        <v>13306.090000000419</v>
      </c>
      <c r="H24" s="42">
        <f>Sep!AE25</f>
        <v>5699.9999999998181</v>
      </c>
      <c r="I24" s="42">
        <f>Sep!AI25</f>
        <v>13295.93</v>
      </c>
      <c r="J24" s="42">
        <f>Sep!AN25</f>
        <v>4425.9300000002822</v>
      </c>
      <c r="K24" s="42">
        <f>Sep!AR25</f>
        <v>7900.0000000014552</v>
      </c>
      <c r="L24" s="42">
        <f>Sep!AZ25</f>
        <v>335.19999999995343</v>
      </c>
      <c r="M24" s="42">
        <f>Sep!BC25</f>
        <v>465.07999999998719</v>
      </c>
      <c r="N24" s="125">
        <f t="shared" si="4"/>
        <v>47022.140000001134</v>
      </c>
      <c r="O24" s="125">
        <f>Sep!CA25</f>
        <v>687.99999999998818</v>
      </c>
      <c r="P24" s="125">
        <f>Sep!CD25</f>
        <v>0</v>
      </c>
      <c r="Q24" s="125">
        <f>Sep!CF25</f>
        <v>4705</v>
      </c>
      <c r="R24" s="125">
        <f>Sep!CH25</f>
        <v>0</v>
      </c>
      <c r="S24" s="125">
        <f>Sep!CK25</f>
        <v>13137.930000000666</v>
      </c>
      <c r="T24" s="125">
        <f>Sep!CO25</f>
        <v>4107.9299999998984</v>
      </c>
      <c r="U24" s="125">
        <f>Sep!CS25</f>
        <v>4647.8300000000236</v>
      </c>
      <c r="V24" s="126">
        <f t="shared" si="5"/>
        <v>27286.690000000577</v>
      </c>
      <c r="W24" s="126">
        <f>Sep!CW25</f>
        <v>20113</v>
      </c>
      <c r="X24" s="126">
        <f>Sep!DA25</f>
        <v>10871</v>
      </c>
      <c r="Y24" s="126">
        <f t="shared" si="1"/>
        <v>30984</v>
      </c>
      <c r="Z24" s="42">
        <f>Sep!BR25</f>
        <v>740.00000000000909</v>
      </c>
      <c r="AA24" s="126">
        <f>Sep!BG25</f>
        <v>1500</v>
      </c>
      <c r="AB24" s="126">
        <f>Sep!BJ25</f>
        <v>8899.9999999996362</v>
      </c>
      <c r="AC24" s="126">
        <f>Sep!BL25+Sep!BN25+Sep!BP25</f>
        <v>4730.0000000000728</v>
      </c>
      <c r="AD24" s="126">
        <f>Sep!DR25</f>
        <v>9600</v>
      </c>
      <c r="AE24" s="127">
        <f>Sep!DT25-Sep!DR65-Sep!DT65</f>
        <v>26500</v>
      </c>
      <c r="AF24" s="127">
        <f>Sep!DR65+Sep!DT65</f>
        <v>0</v>
      </c>
      <c r="AG24" s="127">
        <f>Sep!HJ25-AE24</f>
        <v>119500</v>
      </c>
      <c r="AH24" s="127">
        <f>Sep!DW25</f>
        <v>399.9999999996362</v>
      </c>
      <c r="AI24" s="127">
        <f>Sep!DZ25</f>
        <v>-204.07</v>
      </c>
      <c r="AJ24" s="127">
        <f>Sep!EC25</f>
        <v>4955.93</v>
      </c>
      <c r="AK24" s="127">
        <f t="shared" si="6"/>
        <v>5151.8599999996368</v>
      </c>
      <c r="AL24" s="127">
        <f>Sep!EG25</f>
        <v>29955.93</v>
      </c>
      <c r="AM24" s="127">
        <f>Sep!EJ25</f>
        <v>9795.93</v>
      </c>
      <c r="AN24" s="127">
        <f>Sep!EM25</f>
        <v>629.99999999999545</v>
      </c>
      <c r="AO24" s="127">
        <f t="shared" si="7"/>
        <v>40381.859999999993</v>
      </c>
      <c r="AP24" s="127">
        <f>Sep!FX25</f>
        <v>13903</v>
      </c>
      <c r="AQ24" s="127">
        <f>Sep!GA25</f>
        <v>3619.1000000000058</v>
      </c>
      <c r="AR24" s="127">
        <f>Sep!GG25</f>
        <v>4509.7000000003172</v>
      </c>
      <c r="AS24" s="127">
        <f t="shared" si="8"/>
        <v>22031.800000000323</v>
      </c>
      <c r="AT24" s="127">
        <f>Sep!EQ25</f>
        <v>6565.9300000007779</v>
      </c>
      <c r="AU24" s="127">
        <f>Sep!ET25</f>
        <v>14420.000000000073</v>
      </c>
      <c r="AV24" s="127">
        <f>Sep!EW25</f>
        <v>9094.9299999999785</v>
      </c>
      <c r="AW24" s="127">
        <f>Sep!FL62</f>
        <v>10600.929999999382</v>
      </c>
      <c r="AX24" s="127">
        <f>Sep!GJ25</f>
        <v>1563.3000000000029</v>
      </c>
      <c r="AY24" s="127">
        <f t="shared" si="9"/>
        <v>42245.090000000215</v>
      </c>
      <c r="AZ24" s="127">
        <f>Sep!FG25</f>
        <v>9045.9299999978393</v>
      </c>
      <c r="BA24" s="127">
        <f>Sep!FJ25</f>
        <v>14795.93</v>
      </c>
      <c r="BB24" s="127">
        <f>Sep!FM62</f>
        <v>10600.929999999382</v>
      </c>
      <c r="BC24" s="127">
        <f>Sep!GM25</f>
        <v>0</v>
      </c>
      <c r="BD24" s="127">
        <f t="shared" si="10"/>
        <v>34442.789999997221</v>
      </c>
      <c r="BE24" s="127">
        <f>Sep!GP25</f>
        <v>2.8999999999941792</v>
      </c>
      <c r="BF24" s="127">
        <f>Sep!GS25</f>
        <v>140.90000000002328</v>
      </c>
      <c r="BG24" s="127">
        <f t="shared" si="11"/>
        <v>143.80000000001746</v>
      </c>
      <c r="BH24" s="127">
        <f t="shared" si="2"/>
        <v>30984</v>
      </c>
      <c r="BI24" s="127"/>
      <c r="BJ24" s="127"/>
      <c r="BK24" s="127"/>
      <c r="BL24" s="128"/>
      <c r="BM24" s="128">
        <v>0</v>
      </c>
      <c r="BN24" s="128"/>
      <c r="BO24" s="128">
        <f t="shared" si="12"/>
        <v>22031.800000000323</v>
      </c>
      <c r="BP24" s="128"/>
      <c r="BQ24" s="128">
        <v>0</v>
      </c>
      <c r="BR24" s="128"/>
      <c r="BS24" s="128">
        <f t="shared" si="13"/>
        <v>143.80000000001746</v>
      </c>
      <c r="BT24" s="42">
        <f>Sep!D63</f>
        <v>0</v>
      </c>
      <c r="BU24" s="42">
        <f>Sep!G64</f>
        <v>17000</v>
      </c>
      <c r="BV24" t="s">
        <v>428</v>
      </c>
      <c r="BX24" s="42">
        <f>Sep!HJ25</f>
        <v>146000</v>
      </c>
      <c r="BY24" s="42">
        <f>Sep!HM25</f>
        <v>0</v>
      </c>
      <c r="BZ24" s="42">
        <f>Sep!HP25</f>
        <v>34749.999999999818</v>
      </c>
      <c r="CA24" s="42">
        <f>Sep!HS25</f>
        <v>22449.999999999636</v>
      </c>
      <c r="CB24" s="42">
        <f>Sep!HV25</f>
        <v>19649.999999999454</v>
      </c>
      <c r="CC24" s="42">
        <f>Sep!HY25</f>
        <v>18550</v>
      </c>
      <c r="CD24" s="42">
        <f>Sep!IB25</f>
        <v>24100</v>
      </c>
      <c r="CE24" s="42">
        <f>Sep!IE25</f>
        <v>0</v>
      </c>
      <c r="CF24" s="42">
        <f>Sep!IH25</f>
        <v>26500</v>
      </c>
    </row>
    <row r="25" spans="1:84" x14ac:dyDescent="0.25">
      <c r="A25" s="26">
        <f t="shared" si="14"/>
        <v>19</v>
      </c>
      <c r="B25" s="42">
        <f>Sep!G26</f>
        <v>468159.99999999622</v>
      </c>
      <c r="C25" s="42">
        <f>Sep!N26</f>
        <v>463000</v>
      </c>
      <c r="D25" s="42">
        <f>Sep!T26</f>
        <v>328.13000000081956</v>
      </c>
      <c r="E25" s="42">
        <f>Sep!V26</f>
        <v>0</v>
      </c>
      <c r="F25" s="42">
        <f>Sep!AB26</f>
        <v>70</v>
      </c>
      <c r="G25" s="42">
        <f>Sep!X26</f>
        <v>16601.86999999918</v>
      </c>
      <c r="H25" s="42">
        <f>Sep!AE26</f>
        <v>7199.9999999998181</v>
      </c>
      <c r="I25" s="42">
        <f>Sep!AI26</f>
        <v>16893.550000000363</v>
      </c>
      <c r="J25" s="42">
        <f>Sep!AN26</f>
        <v>5973.5499999996855</v>
      </c>
      <c r="K25" s="42">
        <f>Sep!AR26</f>
        <v>9599.9999999985448</v>
      </c>
      <c r="L25" s="42">
        <f>Sep!AZ26</f>
        <v>344.80000000004657</v>
      </c>
      <c r="M25" s="42">
        <f>Sep!BC26</f>
        <v>554.92000000001281</v>
      </c>
      <c r="N25" s="125">
        <f t="shared" si="4"/>
        <v>57566.819999998464</v>
      </c>
      <c r="O25" s="125">
        <f>Sep!CA26</f>
        <v>668.49999999999454</v>
      </c>
      <c r="P25" s="125">
        <f>Sep!CD26</f>
        <v>0</v>
      </c>
      <c r="Q25" s="125">
        <f>Sep!CF26</f>
        <v>4895</v>
      </c>
      <c r="R25" s="125">
        <f>Sep!CH26</f>
        <v>0</v>
      </c>
      <c r="S25" s="125">
        <f>Sep!CK26</f>
        <v>14785.049999999859</v>
      </c>
      <c r="T25" s="125">
        <f>Sep!CO26</f>
        <v>4651.5500000001748</v>
      </c>
      <c r="U25" s="125">
        <f>Sep!CS26</f>
        <v>5474.4500000000235</v>
      </c>
      <c r="V25" s="126">
        <f t="shared" si="5"/>
        <v>30474.55000000005</v>
      </c>
      <c r="W25" s="126">
        <f>Sep!CW26</f>
        <v>19969</v>
      </c>
      <c r="X25" s="126">
        <f>Sep!DA26</f>
        <v>10655</v>
      </c>
      <c r="Y25" s="126">
        <f t="shared" si="1"/>
        <v>30624</v>
      </c>
      <c r="Z25" s="42">
        <f>Sep!BR26</f>
        <v>759.99999999999091</v>
      </c>
      <c r="AA25" s="126">
        <f>Sep!BG26</f>
        <v>1599.9999999999091</v>
      </c>
      <c r="AB25" s="126">
        <f>Sep!BJ26</f>
        <v>9200.0000000007276</v>
      </c>
      <c r="AC25" s="126">
        <f>Sep!BL26+Sep!BN26+Sep!BP26</f>
        <v>4959.9999999999591</v>
      </c>
      <c r="AD25" s="126">
        <f>Sep!DR26</f>
        <v>9300</v>
      </c>
      <c r="AE25" s="127">
        <f>Sep!DT26-Sep!DR66-Sep!DT66</f>
        <v>26700</v>
      </c>
      <c r="AF25" s="127">
        <f>Sep!DR66+Sep!DT66</f>
        <v>0</v>
      </c>
      <c r="AG25" s="127">
        <f>Sep!HJ26-AE25</f>
        <v>133300</v>
      </c>
      <c r="AH25" s="127">
        <f>Sep!DW26</f>
        <v>400.00000000145519</v>
      </c>
      <c r="AI25" s="127">
        <f>Sep!DZ26</f>
        <v>1293.55</v>
      </c>
      <c r="AJ25" s="127">
        <f>Sep!EC26</f>
        <v>5453.55</v>
      </c>
      <c r="AK25" s="127">
        <f t="shared" si="6"/>
        <v>7147.1000000014556</v>
      </c>
      <c r="AL25" s="127">
        <f>Sep!EG26</f>
        <v>32453.55</v>
      </c>
      <c r="AM25" s="127">
        <f>Sep!EJ26</f>
        <v>10293.549999999999</v>
      </c>
      <c r="AN25" s="127">
        <f>Sep!EM26</f>
        <v>790.00000000007731</v>
      </c>
      <c r="AO25" s="127">
        <f t="shared" si="7"/>
        <v>43537.100000000079</v>
      </c>
      <c r="AP25" s="127">
        <f>Sep!FX26</f>
        <v>15696</v>
      </c>
      <c r="AQ25" s="127">
        <f>Sep!GA26</f>
        <v>4186.8999999999942</v>
      </c>
      <c r="AR25" s="127">
        <f>Sep!GG26</f>
        <v>4532.199999999948</v>
      </c>
      <c r="AS25" s="127">
        <f t="shared" si="8"/>
        <v>24415.09999999994</v>
      </c>
      <c r="AT25" s="127">
        <f>Sep!EQ26</f>
        <v>7533.5499999994399</v>
      </c>
      <c r="AU25" s="127">
        <f>Sep!ET26</f>
        <v>16289.999999999054</v>
      </c>
      <c r="AV25" s="127">
        <f>Sep!EW26</f>
        <v>10622.550000000632</v>
      </c>
      <c r="AW25" s="127">
        <f>Sep!FL63</f>
        <v>12633.550000001964</v>
      </c>
      <c r="AX25" s="127">
        <f>Sep!GJ26</f>
        <v>1789.5999999999913</v>
      </c>
      <c r="AY25" s="127">
        <f t="shared" si="9"/>
        <v>48869.250000001077</v>
      </c>
      <c r="AZ25" s="127">
        <f>Sep!FG26</f>
        <v>10393.550000000705</v>
      </c>
      <c r="BA25" s="127">
        <f>Sep!FJ26</f>
        <v>16493.549999998908</v>
      </c>
      <c r="BB25" s="127">
        <f>Sep!FM63</f>
        <v>12633.550000001964</v>
      </c>
      <c r="BC25" s="127">
        <f>Sep!GM26</f>
        <v>8.1999999999879947</v>
      </c>
      <c r="BD25" s="127">
        <f t="shared" si="10"/>
        <v>39528.85000000157</v>
      </c>
      <c r="BE25" s="127">
        <f>Sep!GP26</f>
        <v>2.8999999999941792</v>
      </c>
      <c r="BF25" s="127">
        <f>Sep!GS26</f>
        <v>172</v>
      </c>
      <c r="BG25" s="127">
        <f t="shared" si="11"/>
        <v>174.89999999999418</v>
      </c>
      <c r="BH25" s="127">
        <f t="shared" si="2"/>
        <v>30624</v>
      </c>
      <c r="BI25" s="127"/>
      <c r="BJ25" s="127"/>
      <c r="BK25" s="127"/>
      <c r="BL25" s="128"/>
      <c r="BM25" s="128">
        <v>0</v>
      </c>
      <c r="BN25" s="128"/>
      <c r="BO25" s="128">
        <f t="shared" si="12"/>
        <v>24415.09999999994</v>
      </c>
      <c r="BP25" s="128"/>
      <c r="BQ25" s="128">
        <v>0</v>
      </c>
      <c r="BR25" s="128"/>
      <c r="BS25" s="128">
        <f t="shared" si="13"/>
        <v>174.89999999999418</v>
      </c>
      <c r="BT25" s="42">
        <f>Sep!D64</f>
        <v>0</v>
      </c>
      <c r="BU25" s="42">
        <f>Sep!G65</f>
        <v>0</v>
      </c>
      <c r="BV25" t="s">
        <v>428</v>
      </c>
      <c r="BX25" s="42">
        <f>Sep!HJ26</f>
        <v>160000</v>
      </c>
      <c r="BY25" s="42">
        <f>Sep!HM26</f>
        <v>0</v>
      </c>
      <c r="BZ25" s="42">
        <f>Sep!HP26</f>
        <v>37500</v>
      </c>
      <c r="CA25" s="42">
        <f>Sep!HS26</f>
        <v>26300.000000000182</v>
      </c>
      <c r="CB25" s="42">
        <f>Sep!HV26</f>
        <v>25100.000000000364</v>
      </c>
      <c r="CC25" s="42">
        <f>Sep!HY26</f>
        <v>20300.000000000182</v>
      </c>
      <c r="CD25" s="42">
        <f>Sep!IB26</f>
        <v>24100</v>
      </c>
      <c r="CE25" s="42">
        <f>Sep!IE26</f>
        <v>0</v>
      </c>
      <c r="CF25" s="42">
        <f>Sep!IH26</f>
        <v>26700</v>
      </c>
    </row>
    <row r="26" spans="1:84" x14ac:dyDescent="0.25">
      <c r="A26" s="26">
        <f t="shared" si="14"/>
        <v>20</v>
      </c>
      <c r="B26" s="42">
        <f>Sep!G27</f>
        <v>361920.00000000553</v>
      </c>
      <c r="C26" s="42">
        <f>Sep!N27</f>
        <v>359000</v>
      </c>
      <c r="D26" s="42">
        <f>Sep!T27</f>
        <v>365.79999999888241</v>
      </c>
      <c r="E26" s="42">
        <f>Sep!V27</f>
        <v>0</v>
      </c>
      <c r="F26" s="42">
        <f>Sep!AB27</f>
        <v>100</v>
      </c>
      <c r="G26" s="42">
        <f>Sep!X27</f>
        <v>18134.200000001481</v>
      </c>
      <c r="H26" s="42">
        <f>Sep!AE27</f>
        <v>7300.0000000001819</v>
      </c>
      <c r="I26" s="42">
        <f>Sep!AI27</f>
        <v>16464.54</v>
      </c>
      <c r="J26" s="42">
        <f>Sep!AN27</f>
        <v>5854.5400000006648</v>
      </c>
      <c r="K26" s="42">
        <f>Sep!AR27</f>
        <v>8600.0000000003638</v>
      </c>
      <c r="L26" s="42">
        <f>Sep!AZ27</f>
        <v>360</v>
      </c>
      <c r="M26" s="42">
        <f>Sep!BC27</f>
        <v>570</v>
      </c>
      <c r="N26" s="125">
        <f t="shared" si="4"/>
        <v>57749.080000001573</v>
      </c>
      <c r="O26" s="125">
        <f>Sep!CA27</f>
        <v>662.50000000002274</v>
      </c>
      <c r="P26" s="125">
        <f>Sep!CD27</f>
        <v>0</v>
      </c>
      <c r="Q26" s="125">
        <f>Sep!CF27</f>
        <v>5679.8000000000466</v>
      </c>
      <c r="R26" s="125">
        <f>Sep!CH27</f>
        <v>0</v>
      </c>
      <c r="S26" s="125">
        <f>Sep!CK27</f>
        <v>14782.039999999542</v>
      </c>
      <c r="T26" s="125">
        <f>Sep!CO27</f>
        <v>4771.539999999789</v>
      </c>
      <c r="U26" s="125">
        <f>Sep!CS27</f>
        <v>5675.9400000000232</v>
      </c>
      <c r="V26" s="126">
        <f t="shared" si="5"/>
        <v>31571.819999999425</v>
      </c>
      <c r="W26" s="126">
        <f>Sep!CW27</f>
        <v>20312</v>
      </c>
      <c r="X26" s="126">
        <f>Sep!DA27</f>
        <v>11295</v>
      </c>
      <c r="Y26" s="126">
        <f t="shared" si="1"/>
        <v>31607</v>
      </c>
      <c r="Z26" s="42">
        <f>Sep!BR27</f>
        <v>500</v>
      </c>
      <c r="AA26" s="126">
        <f>Sep!BG27</f>
        <v>1599.9999999999091</v>
      </c>
      <c r="AB26" s="126">
        <f>Sep!BJ27</f>
        <v>8000</v>
      </c>
      <c r="AC26" s="126">
        <f>Sep!BL27+Sep!BN27+Sep!BP27</f>
        <v>4810.0000000000637</v>
      </c>
      <c r="AD26" s="126">
        <f>Sep!DR27</f>
        <v>9100</v>
      </c>
      <c r="AE26" s="127">
        <f>Sep!DT27-Sep!DR67-Sep!DT67</f>
        <v>26200</v>
      </c>
      <c r="AF26" s="127">
        <f>Sep!DR67+Sep!DT67</f>
        <v>0</v>
      </c>
      <c r="AG26" s="127">
        <f>Sep!HJ27-AE26</f>
        <v>114800</v>
      </c>
      <c r="AH26" s="127">
        <f>Sep!DW27</f>
        <v>299.9999999992724</v>
      </c>
      <c r="AI26" s="127">
        <f>Sep!DZ27</f>
        <v>464.54</v>
      </c>
      <c r="AJ26" s="127">
        <f>Sep!EC27</f>
        <v>5624.54</v>
      </c>
      <c r="AK26" s="127">
        <f t="shared" si="6"/>
        <v>6389.0799999992723</v>
      </c>
      <c r="AL26" s="127">
        <f>Sep!EG27</f>
        <v>33624.54</v>
      </c>
      <c r="AM26" s="127">
        <f>Sep!EJ27</f>
        <v>9464.5400000000009</v>
      </c>
      <c r="AN26" s="127">
        <f>Sep!EM27</f>
        <v>819.99999999993634</v>
      </c>
      <c r="AO26" s="127">
        <f t="shared" si="7"/>
        <v>43909.079999999936</v>
      </c>
      <c r="AP26" s="127">
        <f>Sep!FX27</f>
        <v>15491</v>
      </c>
      <c r="AQ26" s="127">
        <f>Sep!GA27</f>
        <v>3977.7000000000116</v>
      </c>
      <c r="AR26" s="127">
        <f>Sep!GG27</f>
        <v>4144.300000000012</v>
      </c>
      <c r="AS26" s="127">
        <f t="shared" si="8"/>
        <v>23613.000000000022</v>
      </c>
      <c r="AT26" s="127">
        <f>Sep!EQ27</f>
        <v>7354.5400000004993</v>
      </c>
      <c r="AU26" s="127">
        <f>Sep!ET27</f>
        <v>15960.000000000946</v>
      </c>
      <c r="AV26" s="127">
        <f>Sep!EW27</f>
        <v>10737.53999999923</v>
      </c>
      <c r="AW26" s="127">
        <f>Sep!FL64</f>
        <v>11864.539999998728</v>
      </c>
      <c r="AX26" s="127">
        <f>Sep!GJ27</f>
        <v>1602.9000000000087</v>
      </c>
      <c r="AY26" s="127">
        <f t="shared" si="9"/>
        <v>47519.519999999407</v>
      </c>
      <c r="AZ26" s="127">
        <f>Sep!FG27</f>
        <v>9364.5400000021946</v>
      </c>
      <c r="BA26" s="127">
        <f>Sep!FJ27</f>
        <v>14164.540000000728</v>
      </c>
      <c r="BB26" s="127">
        <f>Sep!FM64</f>
        <v>11864.539999998728</v>
      </c>
      <c r="BC26" s="127">
        <f>Sep!GM27</f>
        <v>2.7999999999792635</v>
      </c>
      <c r="BD26" s="127">
        <f t="shared" si="10"/>
        <v>35396.420000001635</v>
      </c>
      <c r="BE26" s="127">
        <f>Sep!GP27</f>
        <v>3</v>
      </c>
      <c r="BF26" s="127">
        <f>Sep!GS27</f>
        <v>152</v>
      </c>
      <c r="BG26" s="127">
        <f t="shared" si="11"/>
        <v>155</v>
      </c>
      <c r="BH26" s="127">
        <f t="shared" si="2"/>
        <v>31607</v>
      </c>
      <c r="BI26" s="127"/>
      <c r="BJ26" s="127"/>
      <c r="BK26" s="127"/>
      <c r="BL26" s="128"/>
      <c r="BM26" s="128">
        <v>0</v>
      </c>
      <c r="BN26" s="128"/>
      <c r="BO26" s="128">
        <f t="shared" si="12"/>
        <v>23613.000000000022</v>
      </c>
      <c r="BP26" s="128"/>
      <c r="BQ26" s="128">
        <v>0</v>
      </c>
      <c r="BR26" s="128"/>
      <c r="BS26" s="128">
        <f t="shared" si="13"/>
        <v>155</v>
      </c>
      <c r="BT26" s="42">
        <f>Sep!D65</f>
        <v>0</v>
      </c>
      <c r="BU26" s="42">
        <f>Sep!G66</f>
        <v>81000</v>
      </c>
      <c r="BV26" t="s">
        <v>428</v>
      </c>
      <c r="BX26" s="42">
        <f>Sep!HJ27</f>
        <v>141000</v>
      </c>
      <c r="BY26" s="42">
        <f>Sep!HM27</f>
        <v>0</v>
      </c>
      <c r="BZ26" s="42">
        <f>Sep!HP27</f>
        <v>33275.000000000364</v>
      </c>
      <c r="CA26" s="42">
        <f>Sep!HS27</f>
        <v>23374.999999999818</v>
      </c>
      <c r="CB26" s="42">
        <f>Sep!HV27</f>
        <v>25775.000000000364</v>
      </c>
      <c r="CC26" s="42">
        <f>Sep!HY27</f>
        <v>22074.999999999636</v>
      </c>
      <c r="CD26" s="42">
        <f>Sep!IB27</f>
        <v>10300</v>
      </c>
      <c r="CE26" s="42">
        <f>Sep!IE27</f>
        <v>0</v>
      </c>
      <c r="CF26" s="42">
        <f>Sep!IH27</f>
        <v>26200</v>
      </c>
    </row>
    <row r="27" spans="1:84" x14ac:dyDescent="0.25">
      <c r="A27" s="26">
        <f t="shared" si="14"/>
        <v>21</v>
      </c>
      <c r="B27" s="42">
        <f>Sep!G28</f>
        <v>381760.00000001659</v>
      </c>
      <c r="C27" s="42">
        <f>Sep!N28</f>
        <v>371000</v>
      </c>
      <c r="D27" s="42">
        <f>Sep!T28</f>
        <v>351.16000000014901</v>
      </c>
      <c r="E27" s="42">
        <f>Sep!V28</f>
        <v>0</v>
      </c>
      <c r="F27" s="42">
        <f>Sep!AB28</f>
        <v>0</v>
      </c>
      <c r="G27" s="42">
        <f>Sep!X28</f>
        <v>17148.839999999851</v>
      </c>
      <c r="H27" s="42">
        <f>Sep!AE28</f>
        <v>7399.9999999996362</v>
      </c>
      <c r="I27" s="42">
        <f>Sep!AI28</f>
        <v>17202.739999999638</v>
      </c>
      <c r="J27" s="42">
        <f>Sep!AN28</f>
        <v>6362.74000000045</v>
      </c>
      <c r="K27" s="42">
        <f>Sep!AR28</f>
        <v>8600.0000000003638</v>
      </c>
      <c r="L27" s="42">
        <f>Sep!AZ28</f>
        <v>400</v>
      </c>
      <c r="M27" s="42">
        <f>Sep!BC28</f>
        <v>530</v>
      </c>
      <c r="N27" s="125">
        <f t="shared" si="4"/>
        <v>57995.480000000091</v>
      </c>
      <c r="O27" s="125">
        <f>Sep!CA28</f>
        <v>663.49999999999909</v>
      </c>
      <c r="P27" s="125">
        <f>Sep!CD28</f>
        <v>278.09999999997672</v>
      </c>
      <c r="Q27" s="125">
        <f>Sep!CF28</f>
        <v>5709.1999999999534</v>
      </c>
      <c r="R27" s="125">
        <f>Sep!CH28</f>
        <v>0</v>
      </c>
      <c r="S27" s="125">
        <f>Sep!CK28</f>
        <v>14829.240000000511</v>
      </c>
      <c r="T27" s="125">
        <f>Sep!CO28</f>
        <v>4937.7400000002181</v>
      </c>
      <c r="U27" s="125">
        <f>Sep!CS28</f>
        <v>5787.0399999999299</v>
      </c>
      <c r="V27" s="126">
        <f t="shared" si="5"/>
        <v>32204.820000000589</v>
      </c>
      <c r="W27" s="126">
        <f>Sep!CW28</f>
        <v>19908</v>
      </c>
      <c r="X27" s="126">
        <f>Sep!DA28</f>
        <v>10918</v>
      </c>
      <c r="Y27" s="126">
        <f t="shared" si="1"/>
        <v>30826</v>
      </c>
      <c r="Z27" s="42">
        <f>Sep!BR28</f>
        <v>299.99999999995453</v>
      </c>
      <c r="AA27" s="126">
        <f>Sep!BG28</f>
        <v>1500</v>
      </c>
      <c r="AB27" s="126">
        <f>Sep!BJ28</f>
        <v>9000</v>
      </c>
      <c r="AC27" s="126">
        <f>Sep!BL28+Sep!BN28+Sep!BP28</f>
        <v>4739.9999999999591</v>
      </c>
      <c r="AD27" s="126">
        <f>Sep!DR28</f>
        <v>7800</v>
      </c>
      <c r="AE27" s="127">
        <f>Sep!DT28-Sep!DR68-Sep!DT68</f>
        <v>25800</v>
      </c>
      <c r="AF27" s="127">
        <f>Sep!DR68+Sep!DT68</f>
        <v>0</v>
      </c>
      <c r="AG27" s="127">
        <f>Sep!HJ28-AE27</f>
        <v>140200</v>
      </c>
      <c r="AH27" s="127">
        <f>Sep!DW28</f>
        <v>399.9999999996362</v>
      </c>
      <c r="AI27" s="127">
        <f>Sep!DZ28</f>
        <v>1802.74</v>
      </c>
      <c r="AJ27" s="127">
        <f>Sep!EC28</f>
        <v>6962.74</v>
      </c>
      <c r="AK27" s="127">
        <f t="shared" si="6"/>
        <v>9165.4799999996358</v>
      </c>
      <c r="AL27" s="127">
        <f>Sep!EG28</f>
        <v>33962.740000000005</v>
      </c>
      <c r="AM27" s="127">
        <f>Sep!EJ28</f>
        <v>9802.74</v>
      </c>
      <c r="AN27" s="127">
        <f>Sep!EM28</f>
        <v>879.99999999999545</v>
      </c>
      <c r="AO27" s="127">
        <f t="shared" si="7"/>
        <v>44645.479999999996</v>
      </c>
      <c r="AP27" s="127">
        <f>Sep!FX28</f>
        <v>15723</v>
      </c>
      <c r="AQ27" s="127">
        <f>Sep!GA28</f>
        <v>4056.3999999999942</v>
      </c>
      <c r="AR27" s="127">
        <f>Sep!GG28</f>
        <v>4401.6000000002714</v>
      </c>
      <c r="AS27" s="127">
        <f t="shared" si="8"/>
        <v>24181.000000000266</v>
      </c>
      <c r="AT27" s="127">
        <f>Sep!EQ28</f>
        <v>7702.739999999977</v>
      </c>
      <c r="AU27" s="127">
        <f>Sep!ET28</f>
        <v>15039.999999999054</v>
      </c>
      <c r="AV27" s="127">
        <f>Sep!EW28</f>
        <v>11235.739999999993</v>
      </c>
      <c r="AW27" s="127">
        <f>Sep!FL65</f>
        <v>12142.740000000143</v>
      </c>
      <c r="AX27" s="127">
        <f>Sep!GJ28</f>
        <v>1606.3999999999942</v>
      </c>
      <c r="AY27" s="127">
        <f t="shared" si="9"/>
        <v>47727.619999999159</v>
      </c>
      <c r="AZ27" s="127">
        <f>Sep!FG28</f>
        <v>10452.739999999296</v>
      </c>
      <c r="BA27" s="127">
        <f>Sep!FJ28</f>
        <v>15902.740000000364</v>
      </c>
      <c r="BB27" s="127">
        <f>Sep!FM65</f>
        <v>12142.740000000143</v>
      </c>
      <c r="BC27" s="127">
        <f>Sep!GM28</f>
        <v>1.9999999999527063</v>
      </c>
      <c r="BD27" s="127">
        <f t="shared" si="10"/>
        <v>38500.219999999754</v>
      </c>
      <c r="BE27" s="127">
        <f>Sep!GP28</f>
        <v>2.8000000000174623</v>
      </c>
      <c r="BF27" s="127">
        <f>Sep!GS28</f>
        <v>173.89999999996508</v>
      </c>
      <c r="BG27" s="127">
        <f t="shared" si="11"/>
        <v>176.69999999998254</v>
      </c>
      <c r="BH27" s="127">
        <f t="shared" si="2"/>
        <v>30826</v>
      </c>
      <c r="BI27" s="127"/>
      <c r="BJ27" s="127"/>
      <c r="BK27" s="127"/>
      <c r="BL27" s="128"/>
      <c r="BM27" s="128">
        <v>0</v>
      </c>
      <c r="BN27" s="128"/>
      <c r="BO27" s="128">
        <f t="shared" si="12"/>
        <v>24181.000000000266</v>
      </c>
      <c r="BP27" s="128"/>
      <c r="BQ27" s="128">
        <v>0</v>
      </c>
      <c r="BR27" s="128"/>
      <c r="BS27" s="128">
        <f t="shared" si="13"/>
        <v>176.69999999998254</v>
      </c>
      <c r="BT27" s="42">
        <f>Sep!D66</f>
        <v>0</v>
      </c>
      <c r="BU27" s="42">
        <f>Sep!G67</f>
        <v>93000</v>
      </c>
      <c r="BV27" t="s">
        <v>428</v>
      </c>
      <c r="BX27" s="42">
        <f>Sep!HJ28</f>
        <v>166000</v>
      </c>
      <c r="BY27" s="42">
        <f>Sep!HM28</f>
        <v>0</v>
      </c>
      <c r="BZ27" s="42">
        <f>Sep!HP28</f>
        <v>41949.999999999454</v>
      </c>
      <c r="CA27" s="42">
        <f>Sep!HS28</f>
        <v>23350</v>
      </c>
      <c r="CB27" s="42">
        <f>Sep!HV28</f>
        <v>25149.999999999272</v>
      </c>
      <c r="CC27" s="42">
        <f>Sep!HY28</f>
        <v>22550.000000000273</v>
      </c>
      <c r="CD27" s="42">
        <f>Sep!IB28</f>
        <v>27200</v>
      </c>
      <c r="CE27" s="42">
        <f>Sep!IE28</f>
        <v>0</v>
      </c>
      <c r="CF27" s="42">
        <f>Sep!IH28</f>
        <v>25800</v>
      </c>
    </row>
    <row r="28" spans="1:84" x14ac:dyDescent="0.25">
      <c r="A28" s="26">
        <f t="shared" si="14"/>
        <v>22</v>
      </c>
      <c r="B28" s="42">
        <f>Sep!G29</f>
        <v>396159.99999998166</v>
      </c>
      <c r="C28" s="42">
        <f>Sep!N29</f>
        <v>403000</v>
      </c>
      <c r="D28" s="42">
        <f>Sep!T29</f>
        <v>337.97000000067055</v>
      </c>
      <c r="E28" s="42">
        <f>Sep!V29</f>
        <v>0</v>
      </c>
      <c r="F28" s="42">
        <f>Sep!AB29</f>
        <v>500</v>
      </c>
      <c r="G28" s="42">
        <f>Sep!X29</f>
        <v>17662.029999999329</v>
      </c>
      <c r="H28" s="42">
        <f>Sep!AE29</f>
        <v>7900.0000000005457</v>
      </c>
      <c r="I28" s="42">
        <f>Sep!AI29</f>
        <v>17128.810000000729</v>
      </c>
      <c r="J28" s="42">
        <f>Sep!AN29</f>
        <v>5118.8099999999904</v>
      </c>
      <c r="K28" s="42">
        <f>Sep!AR29</f>
        <v>9000</v>
      </c>
      <c r="L28" s="42">
        <f>Sep!AZ29</f>
        <v>400</v>
      </c>
      <c r="M28" s="42">
        <f>Sep!BC29</f>
        <v>560</v>
      </c>
      <c r="N28" s="125">
        <f t="shared" si="4"/>
        <v>58607.620000001269</v>
      </c>
      <c r="O28" s="125">
        <f>Sep!CA29</f>
        <v>659.29999999997335</v>
      </c>
      <c r="P28" s="125">
        <f>Sep!CD29</f>
        <v>439.40000000002328</v>
      </c>
      <c r="Q28" s="125">
        <f>Sep!CF29</f>
        <v>5689.3000000000466</v>
      </c>
      <c r="R28" s="125">
        <f>Sep!CH29</f>
        <v>0</v>
      </c>
      <c r="S28" s="125">
        <f>Sep!CK29</f>
        <v>14009.509999999807</v>
      </c>
      <c r="T28" s="125">
        <f>Sep!CO29</f>
        <v>4004.8100000000218</v>
      </c>
      <c r="U28" s="125">
        <f>Sep!CS29</f>
        <v>4734.3099999999995</v>
      </c>
      <c r="V28" s="126">
        <f t="shared" si="5"/>
        <v>29536.629999999874</v>
      </c>
      <c r="W28" s="126">
        <f>Sep!CW29</f>
        <v>20682</v>
      </c>
      <c r="X28" s="126">
        <f>Sep!DA29</f>
        <v>11829</v>
      </c>
      <c r="Y28" s="126">
        <f t="shared" si="1"/>
        <v>32511</v>
      </c>
      <c r="Z28" s="42">
        <f>Sep!BR29</f>
        <v>800.00000000006821</v>
      </c>
      <c r="AA28" s="126">
        <f>Sep!BG29</f>
        <v>1400.0000000000909</v>
      </c>
      <c r="AB28" s="126">
        <f>Sep!BJ29</f>
        <v>8000</v>
      </c>
      <c r="AC28" s="126">
        <f>Sep!BL29+Sep!BN29+Sep!BP29</f>
        <v>5009.9999999999409</v>
      </c>
      <c r="AD28" s="126">
        <f>Sep!DR29</f>
        <v>9400</v>
      </c>
      <c r="AE28" s="127">
        <f>Sep!DT29-Sep!DR69-Sep!DT69</f>
        <v>25800</v>
      </c>
      <c r="AF28" s="127">
        <f>Sep!DR69+Sep!DT69</f>
        <v>0</v>
      </c>
      <c r="AG28" s="127">
        <f>Sep!HJ29-AE28</f>
        <v>153200</v>
      </c>
      <c r="AH28" s="127">
        <f>Sep!DW29</f>
        <v>399.9999999996362</v>
      </c>
      <c r="AI28" s="127">
        <f>Sep!DZ29</f>
        <v>428.80999999999995</v>
      </c>
      <c r="AJ28" s="127">
        <f>Sep!EC29</f>
        <v>4588.8099999999995</v>
      </c>
      <c r="AK28" s="127">
        <f t="shared" si="6"/>
        <v>5417.6199999996352</v>
      </c>
      <c r="AL28" s="127">
        <f>Sep!EG29</f>
        <v>32588.81</v>
      </c>
      <c r="AM28" s="127">
        <f>Sep!EJ29</f>
        <v>8428.81</v>
      </c>
      <c r="AN28" s="127">
        <f>Sep!EM29</f>
        <v>840.00000000003183</v>
      </c>
      <c r="AO28" s="127">
        <f t="shared" si="7"/>
        <v>41857.620000000032</v>
      </c>
      <c r="AP28" s="127">
        <f>Sep!FX29</f>
        <v>21087</v>
      </c>
      <c r="AQ28" s="127">
        <f>Sep!GA29</f>
        <v>5319.1000000000058</v>
      </c>
      <c r="AR28" s="127">
        <f>Sep!GG29</f>
        <v>5923.7000000000353</v>
      </c>
      <c r="AS28" s="127">
        <f t="shared" si="8"/>
        <v>32329.800000000039</v>
      </c>
      <c r="AT28" s="127">
        <f>Sep!EQ29</f>
        <v>6798.8100000000613</v>
      </c>
      <c r="AU28" s="127">
        <f>Sep!ET29</f>
        <v>16590.000000000146</v>
      </c>
      <c r="AV28" s="127">
        <f>Sep!EW29</f>
        <v>10229.810000000385</v>
      </c>
      <c r="AW28" s="127">
        <f>Sep!FL66</f>
        <v>10968.809999999961</v>
      </c>
      <c r="AX28" s="127">
        <f>Sep!GJ29</f>
        <v>1709.3000000000029</v>
      </c>
      <c r="AY28" s="127">
        <f t="shared" si="9"/>
        <v>46296.730000000556</v>
      </c>
      <c r="AZ28" s="127">
        <f>Sep!FG29</f>
        <v>9528.8099999992828</v>
      </c>
      <c r="BA28" s="127">
        <f>Sep!FJ29</f>
        <v>14228.809999999272</v>
      </c>
      <c r="BB28" s="127">
        <f>Sep!FM66</f>
        <v>10968.809999999961</v>
      </c>
      <c r="BC28" s="127">
        <f>Sep!GM29</f>
        <v>37.000000000034561</v>
      </c>
      <c r="BD28" s="127">
        <f t="shared" si="10"/>
        <v>34763.429999998552</v>
      </c>
      <c r="BE28" s="127">
        <f>Sep!GP29</f>
        <v>1.2999999999883585</v>
      </c>
      <c r="BF28" s="127">
        <f>Sep!GS29</f>
        <v>228.20000000001164</v>
      </c>
      <c r="BG28" s="127">
        <f t="shared" si="11"/>
        <v>229.5</v>
      </c>
      <c r="BH28" s="127">
        <f t="shared" si="2"/>
        <v>32511</v>
      </c>
      <c r="BI28" s="127"/>
      <c r="BJ28" s="127"/>
      <c r="BK28" s="127"/>
      <c r="BL28" s="128"/>
      <c r="BM28" s="128">
        <v>0</v>
      </c>
      <c r="BN28" s="128"/>
      <c r="BO28" s="128">
        <f t="shared" si="12"/>
        <v>32329.800000000039</v>
      </c>
      <c r="BP28" s="128"/>
      <c r="BQ28" s="128">
        <v>0</v>
      </c>
      <c r="BR28" s="128"/>
      <c r="BS28" s="128">
        <f t="shared" si="13"/>
        <v>229.5</v>
      </c>
      <c r="BT28" s="42">
        <f>Sep!D67</f>
        <v>0</v>
      </c>
      <c r="BU28" s="42">
        <f>Sep!G68</f>
        <v>89000</v>
      </c>
      <c r="BV28" t="s">
        <v>428</v>
      </c>
      <c r="BX28" s="42">
        <f>Sep!HJ29</f>
        <v>179000</v>
      </c>
      <c r="BY28" s="42">
        <f>Sep!HM29</f>
        <v>0</v>
      </c>
      <c r="BZ28" s="42">
        <f>Sep!HP29</f>
        <v>43500.000000000546</v>
      </c>
      <c r="CA28" s="42">
        <f>Sep!HS29</f>
        <v>24900.000000000182</v>
      </c>
      <c r="CB28" s="42">
        <f>Sep!HV29</f>
        <v>28800.000000000728</v>
      </c>
      <c r="CC28" s="42">
        <f>Sep!HY29</f>
        <v>24699.999999999909</v>
      </c>
      <c r="CD28" s="42">
        <f>Sep!IB29</f>
        <v>31300</v>
      </c>
      <c r="CE28" s="42">
        <f>Sep!IE29</f>
        <v>0</v>
      </c>
      <c r="CF28" s="42">
        <f>Sep!IH29</f>
        <v>25800</v>
      </c>
    </row>
    <row r="29" spans="1:84" x14ac:dyDescent="0.25">
      <c r="A29" s="26">
        <f t="shared" si="14"/>
        <v>23</v>
      </c>
      <c r="B29" s="42">
        <f>Sep!G30</f>
        <v>386880.00000001921</v>
      </c>
      <c r="C29" s="42">
        <f>Sep!N30</f>
        <v>382000</v>
      </c>
      <c r="D29" s="42">
        <f>Sep!T30</f>
        <v>355.85999999940395</v>
      </c>
      <c r="E29" s="42">
        <f>Sep!V30</f>
        <v>0</v>
      </c>
      <c r="F29" s="42">
        <f>Sep!AB30</f>
        <v>100</v>
      </c>
      <c r="G29" s="42">
        <f>Sep!X30</f>
        <v>17144.14000000096</v>
      </c>
      <c r="H29" s="42">
        <f>Sep!AE30</f>
        <v>7599.9999999994543</v>
      </c>
      <c r="I29" s="42">
        <f>Sep!AI30</f>
        <v>17839.949999999637</v>
      </c>
      <c r="J29" s="42">
        <f>Sep!AN30</f>
        <v>6329.9499999999825</v>
      </c>
      <c r="K29" s="42">
        <f>Sep!AR30</f>
        <v>8299.9999999992724</v>
      </c>
      <c r="L29" s="42">
        <f>Sep!AZ30</f>
        <v>390</v>
      </c>
      <c r="M29" s="42">
        <f>Sep!BC30</f>
        <v>580</v>
      </c>
      <c r="N29" s="125">
        <f t="shared" si="4"/>
        <v>58639.899999998714</v>
      </c>
      <c r="O29" s="125">
        <f>Sep!CA30</f>
        <v>636.0000000000241</v>
      </c>
      <c r="P29" s="125">
        <f>Sep!CD30</f>
        <v>200.89999999990687</v>
      </c>
      <c r="Q29" s="125">
        <f>Sep!CF30</f>
        <v>5838.6999999999534</v>
      </c>
      <c r="R29" s="125">
        <f>Sep!CH30</f>
        <v>0</v>
      </c>
      <c r="S29" s="125">
        <f>Sep!CK30</f>
        <v>15053.949999999977</v>
      </c>
      <c r="T29" s="125">
        <f>Sep!CO30</f>
        <v>4981.9500000003709</v>
      </c>
      <c r="U29" s="125">
        <f>Sep!CS30</f>
        <v>5958.1500000000697</v>
      </c>
      <c r="V29" s="126">
        <f t="shared" si="5"/>
        <v>32669.650000000303</v>
      </c>
      <c r="W29" s="126">
        <f>Sep!CW30</f>
        <v>19957</v>
      </c>
      <c r="X29" s="126">
        <f>Sep!DA30</f>
        <v>10594</v>
      </c>
      <c r="Y29" s="126">
        <f t="shared" si="1"/>
        <v>30551</v>
      </c>
      <c r="Z29" s="42">
        <f>Sep!BR30</f>
        <v>799.99999999995453</v>
      </c>
      <c r="AA29" s="126">
        <f>Sep!BG30</f>
        <v>1500</v>
      </c>
      <c r="AB29" s="126">
        <f>Sep!BJ30</f>
        <v>9000</v>
      </c>
      <c r="AC29" s="126">
        <f>Sep!BL30+Sep!BN30+Sep!BP30</f>
        <v>4810.0000000000637</v>
      </c>
      <c r="AD29" s="126">
        <f>Sep!DR30</f>
        <v>10100</v>
      </c>
      <c r="AE29" s="127">
        <f>Sep!DT30-Sep!DR70-Sep!DT70</f>
        <v>25100</v>
      </c>
      <c r="AF29" s="127">
        <f>Sep!DR70+Sep!DT70</f>
        <v>0</v>
      </c>
      <c r="AG29" s="127">
        <f>Sep!HJ30-AE29</f>
        <v>141900</v>
      </c>
      <c r="AH29" s="127">
        <f>Sep!DW30</f>
        <v>400.00000000145519</v>
      </c>
      <c r="AI29" s="127">
        <f>Sep!DZ30</f>
        <v>939.95</v>
      </c>
      <c r="AJ29" s="127">
        <f>Sep!EC30</f>
        <v>6099.95</v>
      </c>
      <c r="AK29" s="127">
        <f t="shared" si="6"/>
        <v>7439.9000000014548</v>
      </c>
      <c r="AL29" s="127">
        <f>Sep!EG30</f>
        <v>32099.95</v>
      </c>
      <c r="AM29" s="127">
        <f>Sep!EJ30</f>
        <v>10939.95</v>
      </c>
      <c r="AN29" s="127">
        <f>Sep!EM30</f>
        <v>600.00000000002274</v>
      </c>
      <c r="AO29" s="127">
        <f t="shared" ref="AO29:AO36" si="15">SUM(AL29:AN29)</f>
        <v>43639.900000000023</v>
      </c>
      <c r="AP29" s="127">
        <f>Sep!FX30</f>
        <v>17100</v>
      </c>
      <c r="AQ29" s="127">
        <f>Sep!GA30</f>
        <v>4270</v>
      </c>
      <c r="AR29" s="127">
        <f>Sep!GG30</f>
        <v>3380</v>
      </c>
      <c r="AS29" s="127">
        <f t="shared" si="8"/>
        <v>24750</v>
      </c>
      <c r="AT29" s="127">
        <f>Sep!EQ30</f>
        <v>7589.9500000000353</v>
      </c>
      <c r="AU29" s="127">
        <f>Sep!ET30</f>
        <v>16000</v>
      </c>
      <c r="AV29" s="127">
        <f>Sep!EW30</f>
        <v>11639.949999999819</v>
      </c>
      <c r="AW29" s="127">
        <f>Sep!FL67</f>
        <v>11439.95</v>
      </c>
      <c r="AX29" s="127">
        <f>Sep!GJ30</f>
        <v>1620</v>
      </c>
      <c r="AY29" s="127">
        <f t="shared" si="9"/>
        <v>48289.849999999846</v>
      </c>
      <c r="AZ29" s="127">
        <f>Sep!FG30</f>
        <v>10289.949999999966</v>
      </c>
      <c r="BA29" s="127">
        <f>Sep!FJ30</f>
        <v>14939.95</v>
      </c>
      <c r="BB29" s="127">
        <f>Sep!FM67</f>
        <v>11439.95</v>
      </c>
      <c r="BC29" s="127">
        <f>Sep!GM30</f>
        <v>0</v>
      </c>
      <c r="BD29" s="127">
        <f t="shared" si="10"/>
        <v>36669.849999999962</v>
      </c>
      <c r="BE29" s="127">
        <f>Sep!GP30</f>
        <v>0</v>
      </c>
      <c r="BF29" s="127">
        <f>Sep!GS30</f>
        <v>20</v>
      </c>
      <c r="BG29" s="127">
        <f t="shared" si="11"/>
        <v>20</v>
      </c>
      <c r="BH29" s="127">
        <f t="shared" si="2"/>
        <v>30551</v>
      </c>
      <c r="BI29" s="127"/>
      <c r="BJ29" s="127"/>
      <c r="BK29" s="127"/>
      <c r="BL29" s="128"/>
      <c r="BM29" s="128">
        <v>0</v>
      </c>
      <c r="BN29" s="128"/>
      <c r="BO29" s="128">
        <f t="shared" si="12"/>
        <v>24750</v>
      </c>
      <c r="BP29" s="128"/>
      <c r="BQ29" s="128">
        <v>0</v>
      </c>
      <c r="BR29" s="128"/>
      <c r="BS29" s="128">
        <f t="shared" si="13"/>
        <v>20</v>
      </c>
      <c r="BT29" s="42">
        <f>Sep!D68</f>
        <v>0</v>
      </c>
      <c r="BU29" s="42">
        <f>Sep!G69</f>
        <v>89000</v>
      </c>
      <c r="BV29" t="s">
        <v>428</v>
      </c>
      <c r="BX29" s="42">
        <f>Sep!HJ30</f>
        <v>167000</v>
      </c>
      <c r="BY29" s="42">
        <f>Sep!HM30</f>
        <v>0</v>
      </c>
      <c r="BZ29" s="42">
        <f>Sep!HP30</f>
        <v>40899.999999999454</v>
      </c>
      <c r="CA29" s="42">
        <f>Sep!HS30</f>
        <v>21800</v>
      </c>
      <c r="CB29" s="42">
        <f>Sep!HV30</f>
        <v>25599.999999999272</v>
      </c>
      <c r="CC29" s="42">
        <f>Sep!HY30</f>
        <v>23200.000000000091</v>
      </c>
      <c r="CD29" s="42">
        <f>Sep!IB30</f>
        <v>30400</v>
      </c>
      <c r="CE29" s="42">
        <f>Sep!IE30</f>
        <v>0</v>
      </c>
      <c r="CF29" s="42">
        <f>Sep!IH30</f>
        <v>25100</v>
      </c>
    </row>
    <row r="30" spans="1:84" x14ac:dyDescent="0.25">
      <c r="A30" s="26">
        <f t="shared" si="14"/>
        <v>24</v>
      </c>
      <c r="B30" s="42">
        <f>Sep!G31</f>
        <v>384639.99999998487</v>
      </c>
      <c r="C30" s="42">
        <f>Sep!N31</f>
        <v>384000</v>
      </c>
      <c r="D30" s="42">
        <f>Sep!T31</f>
        <v>363.25999999977648</v>
      </c>
      <c r="E30" s="42">
        <f>Sep!V31</f>
        <v>0</v>
      </c>
      <c r="F30" s="42">
        <f>Sep!AB31</f>
        <v>100</v>
      </c>
      <c r="G30" s="42">
        <f>Sep!X31</f>
        <v>17236.739999999132</v>
      </c>
      <c r="H30" s="42">
        <f>Sep!AE31</f>
        <v>6100.0000000003638</v>
      </c>
      <c r="I30" s="42">
        <f>Sep!AI31</f>
        <v>13269.45</v>
      </c>
      <c r="J30" s="42">
        <f>Sep!AN31</f>
        <v>6559.4500000000962</v>
      </c>
      <c r="K30" s="42">
        <f>Sep!AR31</f>
        <v>14100.000000000364</v>
      </c>
      <c r="L30" s="42">
        <f>Sep!AZ31</f>
        <v>410</v>
      </c>
      <c r="M30" s="42">
        <f>Sep!BC31</f>
        <v>660</v>
      </c>
      <c r="N30" s="125">
        <f t="shared" si="4"/>
        <v>58798.899999999732</v>
      </c>
      <c r="O30" s="125">
        <f>Sep!CA31</f>
        <v>633.60000000000127</v>
      </c>
      <c r="P30" s="125">
        <f>Sep!CD31</f>
        <v>504.10000000009313</v>
      </c>
      <c r="Q30" s="125">
        <f>Sep!CF31</f>
        <v>5819</v>
      </c>
      <c r="R30" s="125">
        <f>Sep!CH31</f>
        <v>0</v>
      </c>
      <c r="S30" s="125">
        <f>Sep!CK31</f>
        <v>14015.850000001017</v>
      </c>
      <c r="T30" s="125">
        <f>Sep!CO31</f>
        <v>4323.4500000000871</v>
      </c>
      <c r="U30" s="125">
        <f>Sep!CS31</f>
        <v>4869.6499999999533</v>
      </c>
      <c r="V30" s="126">
        <f t="shared" si="5"/>
        <v>30165.650000001155</v>
      </c>
      <c r="W30" s="126">
        <f>Sep!CW31</f>
        <v>11712</v>
      </c>
      <c r="X30" s="126">
        <f>Sep!DA31</f>
        <v>10049</v>
      </c>
      <c r="Y30" s="126">
        <f t="shared" si="1"/>
        <v>21761</v>
      </c>
      <c r="Z30" s="42">
        <f>Sep!BR31</f>
        <v>799.99999999995453</v>
      </c>
      <c r="AA30" s="126">
        <f>Sep!BG31</f>
        <v>1500</v>
      </c>
      <c r="AB30" s="126">
        <f>Sep!BJ31</f>
        <v>8000</v>
      </c>
      <c r="AC30" s="126">
        <f>Sep!BL31+Sep!BN31+Sep!BP31</f>
        <v>4909.99999999995</v>
      </c>
      <c r="AD30" s="126">
        <f>Sep!DR31</f>
        <v>9600</v>
      </c>
      <c r="AE30" s="127">
        <f>Sep!DT31-Sep!DR71-Sep!DT71</f>
        <v>24300</v>
      </c>
      <c r="AF30" s="127">
        <f>Sep!DR71+Sep!DT71</f>
        <v>0</v>
      </c>
      <c r="AG30" s="127">
        <f>Sep!HJ31-AE30</f>
        <v>155700</v>
      </c>
      <c r="AH30" s="127">
        <f>Sep!DW31</f>
        <v>399.9999999996362</v>
      </c>
      <c r="AI30" s="127">
        <f>Sep!DZ31</f>
        <v>769.45</v>
      </c>
      <c r="AJ30" s="127">
        <f>Sep!EC31</f>
        <v>5929.45</v>
      </c>
      <c r="AK30" s="127">
        <f t="shared" si="6"/>
        <v>7098.8999999996358</v>
      </c>
      <c r="AL30" s="127">
        <f>Sep!EG31</f>
        <v>32929.449999999997</v>
      </c>
      <c r="AM30" s="127">
        <f>Sep!EJ31</f>
        <v>9769.4500000000007</v>
      </c>
      <c r="AN30" s="127">
        <f>Sep!EM31</f>
        <v>629.99999999999545</v>
      </c>
      <c r="AO30" s="127">
        <f t="shared" si="15"/>
        <v>43328.899999999987</v>
      </c>
      <c r="AP30" s="127">
        <f>Sep!FX31</f>
        <v>16800</v>
      </c>
      <c r="AQ30" s="127">
        <f>Sep!GA31</f>
        <v>4250</v>
      </c>
      <c r="AR30" s="127">
        <f>Sep!GG31</f>
        <v>5370</v>
      </c>
      <c r="AS30" s="127">
        <f t="shared" si="8"/>
        <v>26420</v>
      </c>
      <c r="AT30" s="127">
        <f>Sep!EQ31</f>
        <v>6679.449999999968</v>
      </c>
      <c r="AU30" s="127">
        <f>Sep!ET31</f>
        <v>18000</v>
      </c>
      <c r="AV30" s="127">
        <f>Sep!EW31</f>
        <v>10369.450000000365</v>
      </c>
      <c r="AW30" s="127">
        <f>Sep!FL68</f>
        <v>12269.45</v>
      </c>
      <c r="AX30" s="127">
        <f>Sep!GJ31</f>
        <v>1630</v>
      </c>
      <c r="AY30" s="127">
        <f t="shared" si="9"/>
        <v>48948.350000000326</v>
      </c>
      <c r="AZ30" s="127">
        <f>Sep!FG31</f>
        <v>9859.4500000000335</v>
      </c>
      <c r="BA30" s="127">
        <f>Sep!FJ31</f>
        <v>18769.45</v>
      </c>
      <c r="BB30" s="127">
        <f>Sep!FM68</f>
        <v>12269.45</v>
      </c>
      <c r="BC30" s="127">
        <f>Sep!GM31</f>
        <v>0</v>
      </c>
      <c r="BD30" s="127">
        <f t="shared" si="10"/>
        <v>40898.350000000035</v>
      </c>
      <c r="BE30" s="127">
        <f>Sep!GP31</f>
        <v>10</v>
      </c>
      <c r="BF30" s="127">
        <f>Sep!GS31</f>
        <v>400</v>
      </c>
      <c r="BG30" s="127">
        <f t="shared" si="11"/>
        <v>410</v>
      </c>
      <c r="BH30" s="127">
        <f t="shared" si="2"/>
        <v>21761</v>
      </c>
      <c r="BI30" s="127"/>
      <c r="BJ30" s="127"/>
      <c r="BK30" s="127"/>
      <c r="BL30" s="128"/>
      <c r="BM30" s="128">
        <v>0</v>
      </c>
      <c r="BN30" s="128"/>
      <c r="BO30" s="128">
        <f t="shared" si="12"/>
        <v>26420</v>
      </c>
      <c r="BP30" s="128"/>
      <c r="BQ30" s="128">
        <v>0</v>
      </c>
      <c r="BR30" s="128"/>
      <c r="BS30" s="128">
        <f t="shared" si="13"/>
        <v>410</v>
      </c>
      <c r="BT30" s="42">
        <f>Sep!D69</f>
        <v>0</v>
      </c>
      <c r="BU30" s="42">
        <f>Sep!G70</f>
        <v>98000</v>
      </c>
      <c r="BV30" t="s">
        <v>428</v>
      </c>
      <c r="BX30" s="42">
        <f>Sep!HJ31</f>
        <v>180000</v>
      </c>
      <c r="BY30" s="42">
        <f>Sep!HM31</f>
        <v>0</v>
      </c>
      <c r="BZ30" s="42">
        <f>Sep!HP31</f>
        <v>43875.000000000364</v>
      </c>
      <c r="CA30" s="42">
        <f>Sep!HS31</f>
        <v>24674.999999999636</v>
      </c>
      <c r="CB30" s="42">
        <f>Sep!HV31</f>
        <v>28775</v>
      </c>
      <c r="CC30" s="42">
        <f>Sep!HY31</f>
        <v>25474.999999999818</v>
      </c>
      <c r="CD30" s="42">
        <f>Sep!IB31</f>
        <v>32900</v>
      </c>
      <c r="CE30" s="42">
        <f>Sep!IE31</f>
        <v>0</v>
      </c>
      <c r="CF30" s="42">
        <f>Sep!IH31</f>
        <v>24300</v>
      </c>
    </row>
    <row r="31" spans="1:84" x14ac:dyDescent="0.25">
      <c r="A31" s="26">
        <f t="shared" si="14"/>
        <v>25</v>
      </c>
      <c r="B31" s="42">
        <f>Sep!G32</f>
        <v>384640.00000000669</v>
      </c>
      <c r="C31" s="42">
        <f>Sep!N32</f>
        <v>381000</v>
      </c>
      <c r="D31" s="42">
        <f>Sep!T32</f>
        <v>356.15000000037253</v>
      </c>
      <c r="E31" s="42">
        <f>Sep!V32</f>
        <v>0</v>
      </c>
      <c r="F31" s="42">
        <f>Sep!AB32</f>
        <v>200</v>
      </c>
      <c r="G31" s="42">
        <f>Sep!X32</f>
        <v>16843.849999999264</v>
      </c>
      <c r="H31" s="42">
        <f>Sep!AE32</f>
        <v>5699.9999999998181</v>
      </c>
      <c r="I31" s="42">
        <f>Sep!AI32</f>
        <v>13052.909999999272</v>
      </c>
      <c r="J31" s="42">
        <f>Sep!AN32</f>
        <v>6922.9099999987993</v>
      </c>
      <c r="K31" s="42">
        <f>Sep!AR32</f>
        <v>13300.000000001091</v>
      </c>
      <c r="L31" s="42">
        <f>Sep!AZ32</f>
        <v>450</v>
      </c>
      <c r="M31" s="42">
        <f>Sep!BC32</f>
        <v>660</v>
      </c>
      <c r="N31" s="125">
        <f t="shared" si="4"/>
        <v>57485.81999999861</v>
      </c>
      <c r="O31" s="125">
        <f>Sep!CA32</f>
        <v>603.99999999998499</v>
      </c>
      <c r="P31" s="125">
        <f>Sep!CD32</f>
        <v>2511.8999999999069</v>
      </c>
      <c r="Q31" s="125">
        <f>Sep!CF32</f>
        <v>5389</v>
      </c>
      <c r="R31" s="125">
        <f>Sep!CH32</f>
        <v>0</v>
      </c>
      <c r="S31" s="125">
        <f>Sep!CK32</f>
        <v>15738.91000000016</v>
      </c>
      <c r="T31" s="125">
        <f>Sep!CO32</f>
        <v>5358.909999999767</v>
      </c>
      <c r="U31" s="125">
        <f>Sep!CS32</f>
        <v>5384.3100000000231</v>
      </c>
      <c r="V31" s="126">
        <f t="shared" si="5"/>
        <v>34987.029999999839</v>
      </c>
      <c r="W31" s="126">
        <f>Sep!CW32</f>
        <v>19536</v>
      </c>
      <c r="X31" s="126">
        <f>Sep!DA32</f>
        <v>8622</v>
      </c>
      <c r="Y31" s="126">
        <f t="shared" si="1"/>
        <v>28158</v>
      </c>
      <c r="Z31" s="42">
        <f>Sep!BR32</f>
        <v>700.00000000004547</v>
      </c>
      <c r="AA31" s="126">
        <f>Sep!BG32</f>
        <v>1599.9999999999091</v>
      </c>
      <c r="AB31" s="126">
        <f>Sep!BJ32</f>
        <v>10000</v>
      </c>
      <c r="AC31" s="126">
        <f>Sep!BL32+Sep!BN32+Sep!BP32</f>
        <v>4830.0000000000637</v>
      </c>
      <c r="AD31" s="126">
        <f>Sep!DR32</f>
        <v>9000</v>
      </c>
      <c r="AE31" s="127">
        <f>Sep!DT32-Sep!DR72-Sep!DT72</f>
        <v>26400</v>
      </c>
      <c r="AF31" s="127">
        <f>Sep!DR72+Sep!DT72</f>
        <v>0</v>
      </c>
      <c r="AG31" s="127">
        <f>Sep!HJ32-AE31</f>
        <v>142600</v>
      </c>
      <c r="AH31" s="127">
        <f>Sep!DW32</f>
        <v>299.9999999992724</v>
      </c>
      <c r="AI31" s="127">
        <f>Sep!DZ32</f>
        <v>1252.9100000000001</v>
      </c>
      <c r="AJ31" s="127">
        <f>Sep!EC32</f>
        <v>6412.91</v>
      </c>
      <c r="AK31" s="127">
        <f t="shared" si="6"/>
        <v>7965.8199999992721</v>
      </c>
      <c r="AL31" s="127">
        <f>Sep!EG32</f>
        <v>35412.910000000003</v>
      </c>
      <c r="AM31" s="127">
        <f>Sep!EJ32</f>
        <v>10252.91</v>
      </c>
      <c r="AN31" s="127">
        <f>Sep!EM32</f>
        <v>669.99999999995907</v>
      </c>
      <c r="AO31" s="127">
        <f t="shared" si="15"/>
        <v>46335.819999999963</v>
      </c>
      <c r="AP31" s="127">
        <f>Sep!FX32</f>
        <v>15500</v>
      </c>
      <c r="AQ31" s="127">
        <f>Sep!GA32</f>
        <v>3760</v>
      </c>
      <c r="AR31" s="127">
        <f>Sep!GG32</f>
        <v>4380</v>
      </c>
      <c r="AS31" s="127">
        <f t="shared" si="8"/>
        <v>23640</v>
      </c>
      <c r="AT31" s="127">
        <f>Sep!EQ32</f>
        <v>6837.9100000000362</v>
      </c>
      <c r="AU31" s="127">
        <f>Sep!ET32</f>
        <v>18000</v>
      </c>
      <c r="AV31" s="127">
        <f>Sep!EW32</f>
        <v>10852.909999999454</v>
      </c>
      <c r="AW31" s="127">
        <f>Sep!FL69</f>
        <v>11252.91</v>
      </c>
      <c r="AX31" s="127">
        <f>Sep!GJ32</f>
        <v>1620</v>
      </c>
      <c r="AY31" s="127">
        <f t="shared" si="9"/>
        <v>48563.729999999487</v>
      </c>
      <c r="AZ31" s="127">
        <f>Sep!FG32</f>
        <v>9667.9099999999635</v>
      </c>
      <c r="BA31" s="127">
        <f>Sep!FJ32</f>
        <v>16252.91</v>
      </c>
      <c r="BB31" s="127">
        <f>Sep!FM69</f>
        <v>11252.91</v>
      </c>
      <c r="BC31" s="127">
        <f>Sep!GM32</f>
        <v>0</v>
      </c>
      <c r="BD31" s="127">
        <f t="shared" si="10"/>
        <v>37173.729999999967</v>
      </c>
      <c r="BE31" s="127">
        <f>Sep!GP32</f>
        <v>10</v>
      </c>
      <c r="BF31" s="127">
        <f>Sep!GS32</f>
        <v>190</v>
      </c>
      <c r="BG31" s="127">
        <f t="shared" si="11"/>
        <v>200</v>
      </c>
      <c r="BH31" s="127">
        <f t="shared" si="2"/>
        <v>28158</v>
      </c>
      <c r="BI31" s="127"/>
      <c r="BJ31" s="127"/>
      <c r="BK31" s="127"/>
      <c r="BL31" s="128"/>
      <c r="BM31" s="128">
        <v>0</v>
      </c>
      <c r="BN31" s="128"/>
      <c r="BO31" s="128">
        <f t="shared" si="12"/>
        <v>23640</v>
      </c>
      <c r="BP31" s="128"/>
      <c r="BQ31" s="128">
        <v>0</v>
      </c>
      <c r="BR31" s="128"/>
      <c r="BS31" s="128">
        <f t="shared" si="13"/>
        <v>200</v>
      </c>
      <c r="BT31" s="42">
        <f>Sep!D70</f>
        <v>0</v>
      </c>
      <c r="BU31" s="42">
        <f>Sep!G71</f>
        <v>95000</v>
      </c>
      <c r="BV31" t="s">
        <v>428</v>
      </c>
      <c r="BX31" s="42">
        <f>Sep!HJ32</f>
        <v>169000</v>
      </c>
      <c r="BY31" s="42">
        <f>Sep!HM32</f>
        <v>0</v>
      </c>
      <c r="BZ31" s="42">
        <f>Sep!HP32</f>
        <v>41724.999999999818</v>
      </c>
      <c r="CA31" s="42">
        <f>Sep!HS32</f>
        <v>22224.999999999818</v>
      </c>
      <c r="CB31" s="42">
        <f>Sep!HV32</f>
        <v>25425.000000000546</v>
      </c>
      <c r="CC31" s="42">
        <f>Sep!HY32</f>
        <v>22725.000000000273</v>
      </c>
      <c r="CD31" s="42">
        <f>Sep!IB32</f>
        <v>30500</v>
      </c>
      <c r="CE31" s="42">
        <f>Sep!IE32</f>
        <v>0</v>
      </c>
      <c r="CF31" s="42">
        <f>Sep!IH32</f>
        <v>26400</v>
      </c>
    </row>
    <row r="32" spans="1:84" x14ac:dyDescent="0.25">
      <c r="A32" s="26">
        <f t="shared" si="14"/>
        <v>26</v>
      </c>
      <c r="B32" s="42">
        <f>Sep!G33</f>
        <v>394560.00000000495</v>
      </c>
      <c r="C32" s="42">
        <f>Sep!N33</f>
        <v>392000</v>
      </c>
      <c r="D32" s="42">
        <f>Sep!T33</f>
        <v>330.64000000059605</v>
      </c>
      <c r="E32" s="42">
        <f>Sep!V33</f>
        <v>0</v>
      </c>
      <c r="F32" s="42">
        <f>Sep!AB33</f>
        <v>100</v>
      </c>
      <c r="G32" s="42">
        <f>Sep!X33</f>
        <v>17369.360000000495</v>
      </c>
      <c r="H32" s="42">
        <f>Sep!AE33</f>
        <v>5899.9999999996362</v>
      </c>
      <c r="I32" s="42">
        <f>Sep!AI33</f>
        <v>12897.909999999636</v>
      </c>
      <c r="J32" s="42">
        <f>Sep!AN33</f>
        <v>6177.910000000732</v>
      </c>
      <c r="K32" s="42">
        <f>Sep!AR33</f>
        <v>13199.999999998909</v>
      </c>
      <c r="L32" s="42">
        <f>Sep!AZ33</f>
        <v>440</v>
      </c>
      <c r="M32" s="42">
        <f>Sep!BC33</f>
        <v>650</v>
      </c>
      <c r="N32" s="125">
        <f t="shared" si="4"/>
        <v>57065.820000000007</v>
      </c>
      <c r="O32" s="125">
        <f>Sep!CA33</f>
        <v>614.30000000001428</v>
      </c>
      <c r="P32" s="125">
        <f>Sep!CD33</f>
        <v>2371.6000000000931</v>
      </c>
      <c r="Q32" s="125">
        <f>Sep!CF33</f>
        <v>5014</v>
      </c>
      <c r="R32" s="125">
        <f>Sep!CH33</f>
        <v>0</v>
      </c>
      <c r="S32" s="125">
        <f>Sep!CK33</f>
        <v>14773.609999999404</v>
      </c>
      <c r="T32" s="125">
        <f>Sep!CO33</f>
        <v>4991.909999999687</v>
      </c>
      <c r="U32" s="125">
        <f>Sep!CS33</f>
        <v>4503.6099999999533</v>
      </c>
      <c r="V32" s="126">
        <f t="shared" si="5"/>
        <v>32269.029999999151</v>
      </c>
      <c r="W32" s="126">
        <f>Sep!CW33</f>
        <v>16680</v>
      </c>
      <c r="X32" s="126">
        <f>Sep!DA33</f>
        <v>9036</v>
      </c>
      <c r="Y32" s="126">
        <f t="shared" si="1"/>
        <v>25716</v>
      </c>
      <c r="Z32" s="42">
        <f>Sep!BR33</f>
        <v>700.00000000004547</v>
      </c>
      <c r="AA32" s="126">
        <f>Sep!BG33</f>
        <v>1500</v>
      </c>
      <c r="AB32" s="126">
        <f>Sep!BJ33</f>
        <v>9000</v>
      </c>
      <c r="AC32" s="126">
        <f>Sep!BL33+Sep!BN33+Sep!BP33</f>
        <v>4819.99999999995</v>
      </c>
      <c r="AD32" s="126">
        <f>Sep!DR33</f>
        <v>7900</v>
      </c>
      <c r="AE32" s="127">
        <f>Sep!DT33-Sep!DR73-Sep!DT73</f>
        <v>27400</v>
      </c>
      <c r="AF32" s="127">
        <f>Sep!DR73+Sep!DT73</f>
        <v>0</v>
      </c>
      <c r="AG32" s="127">
        <f>Sep!HJ33-AE32</f>
        <v>164600</v>
      </c>
      <c r="AH32" s="127">
        <f>Sep!DW33</f>
        <v>399.9999999996362</v>
      </c>
      <c r="AI32" s="127">
        <f>Sep!DZ33</f>
        <v>497.91</v>
      </c>
      <c r="AJ32" s="127">
        <f>Sep!EC33</f>
        <v>4657.91</v>
      </c>
      <c r="AK32" s="127">
        <f t="shared" si="6"/>
        <v>5555.8199999996359</v>
      </c>
      <c r="AL32" s="127">
        <f>Sep!EG33</f>
        <v>32657.91</v>
      </c>
      <c r="AM32" s="127">
        <f>Sep!EJ33</f>
        <v>8497.91</v>
      </c>
      <c r="AN32" s="127">
        <f>Sep!EM33</f>
        <v>639.99999999998636</v>
      </c>
      <c r="AO32" s="127">
        <f t="shared" si="15"/>
        <v>41795.819999999985</v>
      </c>
      <c r="AP32" s="127">
        <f>Sep!FX33</f>
        <v>17100</v>
      </c>
      <c r="AQ32" s="127">
        <f>Sep!GA33</f>
        <v>4120</v>
      </c>
      <c r="AR32" s="127">
        <f>Sep!GG33</f>
        <v>4480</v>
      </c>
      <c r="AS32" s="127">
        <f t="shared" si="8"/>
        <v>25700</v>
      </c>
      <c r="AT32" s="127">
        <f>Sep!EQ33</f>
        <v>7127.9099999999953</v>
      </c>
      <c r="AU32" s="127">
        <f>Sep!ET33</f>
        <v>17000</v>
      </c>
      <c r="AV32" s="127">
        <f>Sep!EW33</f>
        <v>9297.9100000001818</v>
      </c>
      <c r="AW32" s="127">
        <f>Sep!FL70</f>
        <v>11497.91</v>
      </c>
      <c r="AX32" s="127">
        <f>Sep!GJ33</f>
        <v>1520</v>
      </c>
      <c r="AY32" s="127">
        <f t="shared" si="9"/>
        <v>46443.730000000185</v>
      </c>
      <c r="AZ32" s="127">
        <f>Sep!FG33</f>
        <v>8867.9100000000035</v>
      </c>
      <c r="BA32" s="127">
        <f>Sep!FJ33</f>
        <v>17497.91</v>
      </c>
      <c r="BB32" s="127">
        <f>Sep!FM70</f>
        <v>11497.91</v>
      </c>
      <c r="BC32" s="127">
        <f>Sep!GM33</f>
        <v>0</v>
      </c>
      <c r="BD32" s="127">
        <f t="shared" si="10"/>
        <v>37863.730000000003</v>
      </c>
      <c r="BE32" s="127">
        <f>Sep!GP33</f>
        <v>0</v>
      </c>
      <c r="BF32" s="127">
        <f>Sep!GS33</f>
        <v>230</v>
      </c>
      <c r="BG32" s="127">
        <f t="shared" si="11"/>
        <v>230</v>
      </c>
      <c r="BH32" s="127">
        <f t="shared" si="2"/>
        <v>25716</v>
      </c>
      <c r="BI32" s="127"/>
      <c r="BJ32" s="127"/>
      <c r="BK32" s="127"/>
      <c r="BL32" s="128"/>
      <c r="BM32" s="128">
        <v>0</v>
      </c>
      <c r="BN32" s="128"/>
      <c r="BO32" s="128">
        <f t="shared" si="12"/>
        <v>25700</v>
      </c>
      <c r="BP32" s="128"/>
      <c r="BQ32" s="128">
        <v>0</v>
      </c>
      <c r="BR32" s="128"/>
      <c r="BS32" s="128">
        <f t="shared" si="13"/>
        <v>230</v>
      </c>
      <c r="BT32" s="42">
        <f>Sep!D71</f>
        <v>0</v>
      </c>
      <c r="BU32" s="42">
        <f>Sep!G72</f>
        <v>94000</v>
      </c>
      <c r="BV32" t="s">
        <v>428</v>
      </c>
      <c r="BX32" s="42">
        <f>Sep!HJ33</f>
        <v>192000</v>
      </c>
      <c r="BY32" s="42">
        <f>Sep!HM33</f>
        <v>0</v>
      </c>
      <c r="BZ32" s="42">
        <f>Sep!HP33</f>
        <v>48215.000000000618</v>
      </c>
      <c r="CA32" s="42">
        <f>Sep!HS33</f>
        <v>28695.000000000182</v>
      </c>
      <c r="CB32" s="42">
        <f>Sep!HV33</f>
        <v>28594.999999999818</v>
      </c>
      <c r="CC32" s="42">
        <f>Sep!HY33</f>
        <v>26395</v>
      </c>
      <c r="CD32" s="42">
        <f>Sep!IB33</f>
        <v>32700</v>
      </c>
      <c r="CE32" s="42">
        <f>Sep!IE33</f>
        <v>0</v>
      </c>
      <c r="CF32" s="42">
        <f>Sep!IH33</f>
        <v>27400</v>
      </c>
    </row>
    <row r="33" spans="1:87" x14ac:dyDescent="0.25">
      <c r="A33" s="26">
        <f t="shared" si="14"/>
        <v>27</v>
      </c>
      <c r="B33" s="42">
        <f>Sep!G34</f>
        <v>391999.99999997817</v>
      </c>
      <c r="C33" s="42">
        <f>Sep!N34</f>
        <v>389000</v>
      </c>
      <c r="D33" s="42">
        <f>Sep!T34</f>
        <v>337.19999999925494</v>
      </c>
      <c r="E33" s="42">
        <f>Sep!V34</f>
        <v>0</v>
      </c>
      <c r="F33" s="42">
        <f>Sep!AB34</f>
        <v>200</v>
      </c>
      <c r="G33" s="42">
        <f>Sep!X34</f>
        <v>17162.799999999654</v>
      </c>
      <c r="H33" s="42">
        <f>Sep!AE34</f>
        <v>5900.0000000005457</v>
      </c>
      <c r="I33" s="42">
        <f>Sep!AI34</f>
        <v>13235.15</v>
      </c>
      <c r="J33" s="42">
        <f>Sep!AN34</f>
        <v>6385.1500000003907</v>
      </c>
      <c r="K33" s="42">
        <f>Sep!AR34</f>
        <v>14399.999999999636</v>
      </c>
      <c r="L33" s="42">
        <f>Sep!AZ34</f>
        <v>390</v>
      </c>
      <c r="M33" s="42">
        <f>Sep!BC34</f>
        <v>660</v>
      </c>
      <c r="N33" s="125">
        <f t="shared" si="4"/>
        <v>58670.299999999479</v>
      </c>
      <c r="O33" s="125">
        <f>Sep!CA34</f>
        <v>646.59999999997808</v>
      </c>
      <c r="P33" s="125">
        <f>Sep!CD34</f>
        <v>2560.7999999999302</v>
      </c>
      <c r="Q33" s="125">
        <f>Sep!CF34</f>
        <v>5526</v>
      </c>
      <c r="R33" s="125">
        <f>Sep!CH34</f>
        <v>0</v>
      </c>
      <c r="S33" s="125">
        <f>Sep!CK34</f>
        <v>15828.549999999805</v>
      </c>
      <c r="T33" s="125">
        <f>Sep!CO34</f>
        <v>6204.1500000000506</v>
      </c>
      <c r="U33" s="125">
        <f>Sep!CS34</f>
        <v>5418.0500000000229</v>
      </c>
      <c r="V33" s="126">
        <f t="shared" si="5"/>
        <v>36184.14999999979</v>
      </c>
      <c r="W33" s="126">
        <f>Sep!CW34</f>
        <v>17328</v>
      </c>
      <c r="X33" s="126">
        <f>Sep!DA34</f>
        <v>9886</v>
      </c>
      <c r="Y33" s="126">
        <f t="shared" si="1"/>
        <v>27214</v>
      </c>
      <c r="Z33" s="42">
        <f>Sep!BR34</f>
        <v>599.99999999990905</v>
      </c>
      <c r="AA33" s="126">
        <f>Sep!BG34</f>
        <v>1500</v>
      </c>
      <c r="AB33" s="126">
        <f>Sep!BJ34</f>
        <v>9000</v>
      </c>
      <c r="AC33" s="126">
        <f>Sep!BL34+Sep!BN34+Sep!BP34</f>
        <v>4850.0000000000637</v>
      </c>
      <c r="AD33" s="126">
        <f>Sep!DR34</f>
        <v>7700</v>
      </c>
      <c r="AE33" s="127">
        <f>Sep!DT34-Sep!DR74-Sep!DT74</f>
        <v>25500</v>
      </c>
      <c r="AF33" s="127">
        <f>Sep!DR74+Sep!DT74</f>
        <v>0</v>
      </c>
      <c r="AG33" s="127">
        <f>Sep!HJ34-AE33</f>
        <v>157500</v>
      </c>
      <c r="AH33" s="127">
        <f>Sep!DW34</f>
        <v>400.00000000145519</v>
      </c>
      <c r="AI33" s="127">
        <f>Sep!DZ34</f>
        <v>235.15</v>
      </c>
      <c r="AJ33" s="127">
        <f>Sep!EC34</f>
        <v>5395.15</v>
      </c>
      <c r="AK33" s="127">
        <f t="shared" si="6"/>
        <v>6030.3000000014545</v>
      </c>
      <c r="AL33" s="127">
        <f>Sep!EG34</f>
        <v>33395.15</v>
      </c>
      <c r="AM33" s="127">
        <f>Sep!EJ34</f>
        <v>10235.15</v>
      </c>
      <c r="AN33" s="127">
        <f>Sep!EM34</f>
        <v>639.99999999998636</v>
      </c>
      <c r="AO33" s="127">
        <f t="shared" si="15"/>
        <v>44270.299999999988</v>
      </c>
      <c r="AP33" s="127">
        <f>Sep!FX34</f>
        <v>13700</v>
      </c>
      <c r="AQ33" s="127">
        <f>Sep!GA34</f>
        <v>3530</v>
      </c>
      <c r="AR33" s="127">
        <f>Sep!GG34</f>
        <v>3300</v>
      </c>
      <c r="AS33" s="127">
        <f t="shared" si="8"/>
        <v>20530</v>
      </c>
      <c r="AT33" s="127">
        <f>Sep!EQ34</f>
        <v>7790.1500000000069</v>
      </c>
      <c r="AU33" s="127">
        <f>Sep!ET34</f>
        <v>17000</v>
      </c>
      <c r="AV33" s="127">
        <f>Sep!EW34</f>
        <v>11235.15</v>
      </c>
      <c r="AW33" s="127">
        <f>Sep!FL71</f>
        <v>10735.149999999998</v>
      </c>
      <c r="AX33" s="127">
        <f>Sep!GJ34+((Sep!GP34+Sep!GS34)*50/100)</f>
        <v>1785</v>
      </c>
      <c r="AY33" s="127">
        <f t="shared" si="9"/>
        <v>48545.450000000012</v>
      </c>
      <c r="AZ33" s="127">
        <f>Sep!FG34</f>
        <v>8680.1499999999924</v>
      </c>
      <c r="BA33" s="127">
        <f>Sep!FJ34</f>
        <v>15235.15</v>
      </c>
      <c r="BB33" s="127">
        <f>Sep!FM71</f>
        <v>10735.149999999998</v>
      </c>
      <c r="BC33" s="127">
        <f>Sep!GM34+((Sep!GP34+Sep!GS34)*50/100)</f>
        <v>85</v>
      </c>
      <c r="BD33" s="127">
        <f t="shared" si="10"/>
        <v>34735.44999999999</v>
      </c>
      <c r="BE33" s="127">
        <f>Sep!GP34</f>
        <v>0</v>
      </c>
      <c r="BF33" s="127">
        <f>Sep!GS34</f>
        <v>170</v>
      </c>
      <c r="BG33" s="127">
        <f t="shared" si="11"/>
        <v>170</v>
      </c>
      <c r="BH33" s="127">
        <f t="shared" si="2"/>
        <v>27214</v>
      </c>
      <c r="BI33" s="127"/>
      <c r="BJ33" s="127"/>
      <c r="BK33" s="127"/>
      <c r="BL33" s="128"/>
      <c r="BM33" s="128">
        <v>0</v>
      </c>
      <c r="BN33" s="128"/>
      <c r="BO33" s="128">
        <f t="shared" si="12"/>
        <v>20530</v>
      </c>
      <c r="BP33" s="128"/>
      <c r="BQ33" s="128">
        <v>0</v>
      </c>
      <c r="BR33" s="128"/>
      <c r="BS33" s="128">
        <f t="shared" si="13"/>
        <v>170</v>
      </c>
      <c r="BT33" s="42">
        <f>Sep!D72</f>
        <v>0</v>
      </c>
      <c r="BU33" s="42">
        <f>Sep!G73</f>
        <v>91000</v>
      </c>
      <c r="BV33" t="s">
        <v>428</v>
      </c>
      <c r="BX33" s="42">
        <f>Sep!HJ34</f>
        <v>183000</v>
      </c>
      <c r="BY33" s="42">
        <f>Sep!HM34</f>
        <v>0</v>
      </c>
      <c r="BZ33" s="42">
        <f>Sep!HP34</f>
        <v>45284.999999999382</v>
      </c>
      <c r="CA33" s="42">
        <f>Sep!HS34</f>
        <v>27605</v>
      </c>
      <c r="CB33" s="42">
        <f>Sep!HV34</f>
        <v>27504.999999999636</v>
      </c>
      <c r="CC33" s="42">
        <f>Sep!HY34</f>
        <v>25504.999999999636</v>
      </c>
      <c r="CD33" s="42">
        <f>Sep!IB34</f>
        <v>31600</v>
      </c>
      <c r="CE33" s="42">
        <f>Sep!IE34</f>
        <v>0</v>
      </c>
      <c r="CF33" s="42">
        <f>Sep!IH34</f>
        <v>25500</v>
      </c>
    </row>
    <row r="34" spans="1:87" x14ac:dyDescent="0.25">
      <c r="A34" s="26">
        <f t="shared" si="14"/>
        <v>28</v>
      </c>
      <c r="B34" s="42">
        <f>Sep!G35</f>
        <v>385600.00000002765</v>
      </c>
      <c r="C34" s="42">
        <f>Sep!N35</f>
        <v>382000</v>
      </c>
      <c r="D34" s="42">
        <f>Sep!T35</f>
        <v>252</v>
      </c>
      <c r="E34" s="42">
        <f>Sep!V35</f>
        <v>0</v>
      </c>
      <c r="F34" s="42">
        <f>Sep!AB35</f>
        <v>100</v>
      </c>
      <c r="G34" s="42">
        <f>Sep!X35</f>
        <v>16848.000000000728</v>
      </c>
      <c r="H34" s="42">
        <f>Sep!AE35</f>
        <v>7199.9999999998181</v>
      </c>
      <c r="I34" s="42">
        <f>Sep!AI35</f>
        <v>16473.700000000728</v>
      </c>
      <c r="J34" s="42">
        <f>Sep!AN35</f>
        <v>7703.6999999999734</v>
      </c>
      <c r="K34" s="42">
        <f>Sep!AR35</f>
        <v>8800.0000000010914</v>
      </c>
      <c r="L34" s="42">
        <f>Sep!AZ35</f>
        <v>440</v>
      </c>
      <c r="M34" s="42">
        <f>Sep!BC35</f>
        <v>660</v>
      </c>
      <c r="N34" s="125">
        <f t="shared" si="4"/>
        <v>58477.400000002344</v>
      </c>
      <c r="O34" s="125">
        <f>Sep!CA35</f>
        <v>692.20000000001392</v>
      </c>
      <c r="P34" s="125">
        <f>Sep!CD35</f>
        <v>1567.9000000000233</v>
      </c>
      <c r="Q34" s="125">
        <f>Sep!CF35</f>
        <v>5546</v>
      </c>
      <c r="R34" s="125">
        <f>Sep!CH35</f>
        <v>0</v>
      </c>
      <c r="S34" s="125">
        <f>Sep!CK35</f>
        <v>15741.499999999842</v>
      </c>
      <c r="T34" s="125">
        <f>Sep!CO35</f>
        <v>6226.7000000004291</v>
      </c>
      <c r="U34" s="125">
        <f>Sep!CS35</f>
        <v>5760.2999999999765</v>
      </c>
      <c r="V34" s="126">
        <f t="shared" si="5"/>
        <v>35534.600000000282</v>
      </c>
      <c r="W34" s="126">
        <f>Sep!CW35</f>
        <v>16127</v>
      </c>
      <c r="X34" s="126">
        <f>Sep!DA35</f>
        <v>9594</v>
      </c>
      <c r="Y34" s="126">
        <f t="shared" si="1"/>
        <v>25721</v>
      </c>
      <c r="Z34" s="42">
        <f>Sep!BR35</f>
        <v>300.00000000006821</v>
      </c>
      <c r="AA34" s="126">
        <f>Sep!BG35</f>
        <v>1500</v>
      </c>
      <c r="AB34" s="126">
        <f>Sep!BJ35</f>
        <v>10000</v>
      </c>
      <c r="AC34" s="126">
        <f>Sep!BL35+Sep!BN35+Sep!BP35</f>
        <v>4769.9999999999591</v>
      </c>
      <c r="AD34" s="126">
        <f>Sep!DR35</f>
        <v>6200</v>
      </c>
      <c r="AE34" s="127">
        <f>Sep!DT35-Sep!DR75-Sep!DT75</f>
        <v>26500</v>
      </c>
      <c r="AF34" s="127">
        <f>Sep!DR75+Sep!DT75</f>
        <v>0</v>
      </c>
      <c r="AG34" s="127">
        <f>Sep!HJ35-AE34</f>
        <v>153500</v>
      </c>
      <c r="AH34" s="127">
        <f>Sep!DW35</f>
        <v>299.9999999992724</v>
      </c>
      <c r="AI34" s="127">
        <f>Sep!DZ35</f>
        <v>1773.7</v>
      </c>
      <c r="AJ34" s="127">
        <f>Sep!EC35</f>
        <v>6933.7</v>
      </c>
      <c r="AK34" s="127">
        <f t="shared" si="6"/>
        <v>9007.399999999272</v>
      </c>
      <c r="AL34" s="127">
        <f>Sep!EG35</f>
        <v>33933.699999999997</v>
      </c>
      <c r="AM34" s="127">
        <f>Sep!EJ35</f>
        <v>10773.7</v>
      </c>
      <c r="AN34" s="127">
        <f>Sep!EM35</f>
        <v>550.00000000006821</v>
      </c>
      <c r="AO34" s="127">
        <f t="shared" si="15"/>
        <v>45257.40000000006</v>
      </c>
      <c r="AP34" s="127">
        <f>Sep!FX35</f>
        <v>17000</v>
      </c>
      <c r="AQ34" s="127">
        <f>Sep!GA35</f>
        <v>4030</v>
      </c>
      <c r="AR34" s="127">
        <f>Sep!GG35</f>
        <v>4520</v>
      </c>
      <c r="AS34" s="127">
        <f t="shared" si="8"/>
        <v>25550</v>
      </c>
      <c r="AT34" s="127">
        <f>Sep!EQ35</f>
        <v>6493.6999999999698</v>
      </c>
      <c r="AU34" s="127">
        <f>Sep!ET35</f>
        <v>14000</v>
      </c>
      <c r="AV34" s="127">
        <f>Sep!EW35</f>
        <v>9573.7000000001826</v>
      </c>
      <c r="AW34" s="127">
        <f>Sep!FL72</f>
        <v>11273.7</v>
      </c>
      <c r="AX34" s="127">
        <f>Sep!GJ35+((Sep!GP35+Sep!GS35)*50/100)</f>
        <v>1570</v>
      </c>
      <c r="AY34" s="127">
        <f t="shared" si="9"/>
        <v>42911.100000000151</v>
      </c>
      <c r="AZ34" s="127">
        <f>Sep!FG35</f>
        <v>11053.70000000003</v>
      </c>
      <c r="BA34" s="127">
        <f>Sep!FJ35</f>
        <v>12773.7</v>
      </c>
      <c r="BB34" s="127">
        <f>Sep!FM72</f>
        <v>11273.7</v>
      </c>
      <c r="BC34" s="127">
        <f>Sep!GM35+((Sep!GP35+Sep!GS35)*50/100)</f>
        <v>90</v>
      </c>
      <c r="BD34" s="127">
        <f t="shared" si="10"/>
        <v>35191.100000000035</v>
      </c>
      <c r="BE34" s="127">
        <f>Sep!GP35</f>
        <v>0</v>
      </c>
      <c r="BF34" s="127">
        <f>Sep!GS35</f>
        <v>180</v>
      </c>
      <c r="BG34" s="127">
        <f t="shared" si="11"/>
        <v>180</v>
      </c>
      <c r="BH34" s="127">
        <f t="shared" si="2"/>
        <v>25721</v>
      </c>
      <c r="BI34" s="127"/>
      <c r="BJ34" s="127"/>
      <c r="BK34" s="127"/>
      <c r="BL34" s="128"/>
      <c r="BM34" s="128">
        <v>0</v>
      </c>
      <c r="BN34" s="128"/>
      <c r="BO34" s="128">
        <f t="shared" si="12"/>
        <v>25550</v>
      </c>
      <c r="BP34" s="128"/>
      <c r="BQ34" s="128">
        <v>0</v>
      </c>
      <c r="BR34" s="128"/>
      <c r="BS34" s="128">
        <f t="shared" si="13"/>
        <v>180</v>
      </c>
      <c r="BT34" s="42">
        <f>Sep!D73</f>
        <v>0</v>
      </c>
      <c r="BU34" s="42">
        <f>Sep!G74</f>
        <v>95000</v>
      </c>
      <c r="BV34" t="s">
        <v>428</v>
      </c>
      <c r="BX34" s="42">
        <f>Sep!HJ35</f>
        <v>180000</v>
      </c>
      <c r="BY34" s="42">
        <f>Sep!HM35</f>
        <v>0</v>
      </c>
      <c r="BZ34" s="42">
        <f>Sep!HP35</f>
        <v>44700</v>
      </c>
      <c r="CA34" s="42">
        <f>Sep!HS35</f>
        <v>26800.000000000364</v>
      </c>
      <c r="CB34" s="42">
        <f>Sep!HV35</f>
        <v>26600.000000000546</v>
      </c>
      <c r="CC34" s="42">
        <f>Sep!HY35</f>
        <v>24800.000000000364</v>
      </c>
      <c r="CD34" s="42">
        <f>Sep!IB35</f>
        <v>30600</v>
      </c>
      <c r="CE34" s="42">
        <f>Sep!IE35</f>
        <v>0</v>
      </c>
      <c r="CF34" s="42">
        <f>Sep!IH35</f>
        <v>26500</v>
      </c>
    </row>
    <row r="35" spans="1:87" ht="15" customHeight="1" x14ac:dyDescent="0.25">
      <c r="A35" s="26">
        <f t="shared" si="14"/>
        <v>29</v>
      </c>
      <c r="B35" s="42">
        <f>Sep!G36</f>
        <v>392319.99999999243</v>
      </c>
      <c r="C35" s="42">
        <f>Sep!N36</f>
        <v>389000</v>
      </c>
      <c r="D35" s="42">
        <f>Sep!T36</f>
        <v>326.12000000104308</v>
      </c>
      <c r="E35" s="42">
        <f>Sep!V36</f>
        <v>0</v>
      </c>
      <c r="F35" s="42">
        <f>Sep!AB36</f>
        <v>200</v>
      </c>
      <c r="G35" s="42">
        <f>Sep!X36</f>
        <v>17473.879999998957</v>
      </c>
      <c r="H35" s="42">
        <f>Sep!AE36</f>
        <v>7500</v>
      </c>
      <c r="I35" s="42">
        <f>Sep!AI36</f>
        <v>15751.520000000364</v>
      </c>
      <c r="J35" s="42">
        <f>Sep!AN36</f>
        <v>4861.5199999997321</v>
      </c>
      <c r="K35" s="42">
        <f>Sep!AR36</f>
        <v>7799.9999999992724</v>
      </c>
      <c r="L35" s="42">
        <f>Sep!AZ36</f>
        <v>420</v>
      </c>
      <c r="M35" s="42">
        <f>Sep!BC36</f>
        <v>620</v>
      </c>
      <c r="N35" s="125">
        <f t="shared" ref="N35:N36" si="16">SUM(D35:M35)</f>
        <v>54953.039999999375</v>
      </c>
      <c r="O35" s="125">
        <f>Sep!CA36</f>
        <v>703.59999999999445</v>
      </c>
      <c r="P35" s="125">
        <f>Sep!CD36</f>
        <v>395.30000000004657</v>
      </c>
      <c r="Q35" s="125">
        <f>Sep!CF36</f>
        <v>5471</v>
      </c>
      <c r="R35" s="125">
        <f>Sep!CH36</f>
        <v>0</v>
      </c>
      <c r="S35" s="125">
        <f>Sep!CK36</f>
        <v>14057.920000000588</v>
      </c>
      <c r="T35" s="125">
        <f>Sep!CO36</f>
        <v>3911.5200000002183</v>
      </c>
      <c r="U35" s="125">
        <f>Sep!CS36</f>
        <v>4043.4200000000233</v>
      </c>
      <c r="V35" s="126">
        <f t="shared" si="5"/>
        <v>28582.760000000872</v>
      </c>
      <c r="W35" s="126">
        <f>Sep!CW36</f>
        <v>17441</v>
      </c>
      <c r="X35" s="126">
        <f>Sep!DA36</f>
        <v>9708</v>
      </c>
      <c r="Y35" s="126">
        <f t="shared" si="1"/>
        <v>27149</v>
      </c>
      <c r="Z35" s="42">
        <f>Sep!BR36</f>
        <v>799.99999999995453</v>
      </c>
      <c r="AA35" s="126">
        <f>Sep!BG36</f>
        <v>1500</v>
      </c>
      <c r="AB35" s="126">
        <f>Sep!BJ36</f>
        <v>9000</v>
      </c>
      <c r="AC35" s="126">
        <f>Sep!BL36+Sep!BN36+Sep!BP36</f>
        <v>4889.99999999995</v>
      </c>
      <c r="AD35" s="126">
        <f>Sep!DR36</f>
        <v>8800</v>
      </c>
      <c r="AE35" s="127">
        <f>Sep!DT36-Sep!DR76-Sep!DT76</f>
        <v>26600</v>
      </c>
      <c r="AF35" s="127">
        <f>Sep!DR76+Sep!DT76</f>
        <v>0</v>
      </c>
      <c r="AG35" s="127">
        <f>Sep!HJ36-AE35</f>
        <v>158400</v>
      </c>
      <c r="AH35" s="127">
        <f>Sep!DW36</f>
        <v>299.9999999992724</v>
      </c>
      <c r="AI35" s="127">
        <f>Sep!DZ36</f>
        <v>151.51999999999998</v>
      </c>
      <c r="AJ35" s="127">
        <f>Sep!EC36</f>
        <v>4311.5200000000004</v>
      </c>
      <c r="AK35" s="127">
        <f t="shared" si="6"/>
        <v>4763.0399999992733</v>
      </c>
      <c r="AL35" s="127">
        <f>Sep!EG36</f>
        <v>30311.52</v>
      </c>
      <c r="AM35" s="127">
        <f>Sep!EJ36</f>
        <v>9151.52</v>
      </c>
      <c r="AN35" s="127">
        <f>Sep!EM36</f>
        <v>539.99999999996362</v>
      </c>
      <c r="AO35" s="127">
        <f t="shared" si="15"/>
        <v>40003.039999999964</v>
      </c>
      <c r="AP35" s="127">
        <f>Sep!FX36</f>
        <v>17100</v>
      </c>
      <c r="AQ35" s="127">
        <f>Sep!GA36</f>
        <v>4230</v>
      </c>
      <c r="AR35" s="127">
        <f>Sep!GG36</f>
        <v>4390</v>
      </c>
      <c r="AS35" s="127">
        <f t="shared" si="8"/>
        <v>25720</v>
      </c>
      <c r="AT35" s="127">
        <f>Sep!EQ36</f>
        <v>6801.520000000035</v>
      </c>
      <c r="AU35" s="127">
        <f>Sep!ET36</f>
        <v>19000</v>
      </c>
      <c r="AV35" s="127">
        <f>Sep!EW36</f>
        <v>10251.520000000364</v>
      </c>
      <c r="AW35" s="127">
        <f>Sep!FL73</f>
        <v>12151.52</v>
      </c>
      <c r="AX35" s="127">
        <f>Sep!GJ36+((Sep!GP36+Sep!GS36)*50/100)</f>
        <v>1745</v>
      </c>
      <c r="AY35" s="127">
        <f t="shared" ref="AY35:AY36" si="17">SUM(AT35:AX35)</f>
        <v>49949.560000000405</v>
      </c>
      <c r="AZ35" s="127">
        <f>Sep!FG36</f>
        <v>10501.519999999966</v>
      </c>
      <c r="BA35" s="127">
        <f>Sep!FJ36</f>
        <v>19151.52</v>
      </c>
      <c r="BB35" s="127">
        <f>Sep!FM73</f>
        <v>12151.52</v>
      </c>
      <c r="BC35" s="127">
        <f>Sep!GM36+((Sep!GP36+Sep!GS36)*50/100)</f>
        <v>135</v>
      </c>
      <c r="BD35" s="127">
        <f t="shared" ref="BD35:BD36" si="18">SUM(AZ35:BC35)</f>
        <v>41939.559999999969</v>
      </c>
      <c r="BE35" s="127">
        <f>Sep!GP36</f>
        <v>30</v>
      </c>
      <c r="BF35" s="127">
        <f>Sep!GS36</f>
        <v>240</v>
      </c>
      <c r="BG35" s="127">
        <f t="shared" si="11"/>
        <v>270</v>
      </c>
      <c r="BH35" s="127">
        <f t="shared" si="2"/>
        <v>27149</v>
      </c>
      <c r="BI35" s="127"/>
      <c r="BJ35" s="127"/>
      <c r="BK35" s="127"/>
      <c r="BL35" s="128"/>
      <c r="BM35" s="128">
        <v>0</v>
      </c>
      <c r="BN35" s="128"/>
      <c r="BO35" s="128">
        <f t="shared" si="12"/>
        <v>25720</v>
      </c>
      <c r="BP35" s="128"/>
      <c r="BQ35" s="128">
        <v>0</v>
      </c>
      <c r="BR35" s="128"/>
      <c r="BS35" s="128">
        <f t="shared" si="13"/>
        <v>270</v>
      </c>
      <c r="BT35" s="42">
        <f>Sep!D74</f>
        <v>0</v>
      </c>
      <c r="BU35" s="42">
        <f>Sep!G75</f>
        <v>91000</v>
      </c>
      <c r="BV35" t="s">
        <v>428</v>
      </c>
      <c r="BX35" s="42">
        <f>Sep!HJ36</f>
        <v>185000</v>
      </c>
      <c r="BY35" s="42">
        <f>Sep!HM36</f>
        <v>0</v>
      </c>
      <c r="BZ35" s="42">
        <f>Sep!HP36</f>
        <v>43775</v>
      </c>
      <c r="CA35" s="42">
        <f>Sep!HS36</f>
        <v>28174.999999999636</v>
      </c>
      <c r="CB35" s="42">
        <f>Sep!HV36</f>
        <v>28174.999999999636</v>
      </c>
      <c r="CC35" s="42">
        <f>Sep!HY36</f>
        <v>25974.999999999818</v>
      </c>
      <c r="CD35" s="42">
        <f>Sep!IB36</f>
        <v>32300</v>
      </c>
      <c r="CE35" s="42">
        <f>Sep!IE36</f>
        <v>0</v>
      </c>
      <c r="CF35" s="42">
        <f>Sep!IH36</f>
        <v>26600</v>
      </c>
    </row>
    <row r="36" spans="1:87" x14ac:dyDescent="0.25">
      <c r="A36" s="26">
        <f t="shared" si="14"/>
        <v>30</v>
      </c>
      <c r="B36" s="42">
        <f>Sep!G37</f>
        <v>349119.99999999534</v>
      </c>
      <c r="C36" s="42">
        <f>Sep!N37</f>
        <v>345000</v>
      </c>
      <c r="D36" s="42">
        <f>Sep!T37</f>
        <v>293.3899999987334</v>
      </c>
      <c r="E36" s="42">
        <f>Sep!V37</f>
        <v>0</v>
      </c>
      <c r="F36" s="42">
        <f>Sep!AB37</f>
        <v>110</v>
      </c>
      <c r="G36" s="42">
        <f>Sep!X37</f>
        <v>17596.610000001267</v>
      </c>
      <c r="H36" s="42">
        <f>Sep!AE37</f>
        <v>7500</v>
      </c>
      <c r="I36" s="42">
        <f>Sep!AI37</f>
        <v>16339.329999999636</v>
      </c>
      <c r="J36" s="42">
        <f>Sep!AN37</f>
        <v>5859.3299999995861</v>
      </c>
      <c r="K36" s="42">
        <f>Sep!AR37</f>
        <v>8100.0000000003638</v>
      </c>
      <c r="L36" s="42">
        <f>Sep!AZ37</f>
        <v>351</v>
      </c>
      <c r="M36" s="42">
        <f>Sep!BC37</f>
        <v>577</v>
      </c>
      <c r="N36" s="125">
        <f t="shared" si="16"/>
        <v>56726.659999999589</v>
      </c>
      <c r="O36" s="125">
        <f>Sep!CA37</f>
        <v>655.89999999997417</v>
      </c>
      <c r="P36" s="125">
        <f>Sep!CD37</f>
        <v>0</v>
      </c>
      <c r="Q36" s="125">
        <f>Sep!CF37</f>
        <v>4423</v>
      </c>
      <c r="R36" s="125">
        <f>Sep!CH37</f>
        <v>0</v>
      </c>
      <c r="S36" s="125">
        <f>Sep!CK37</f>
        <v>14093.429999999516</v>
      </c>
      <c r="T36" s="125">
        <f>Sep!CO37</f>
        <v>4885.3299999999126</v>
      </c>
      <c r="U36" s="125">
        <f>Sep!CS37</f>
        <v>4520.33</v>
      </c>
      <c r="V36" s="126">
        <f t="shared" si="5"/>
        <v>28577.989999999409</v>
      </c>
      <c r="W36" s="126">
        <f>Sep!CW37</f>
        <v>14848</v>
      </c>
      <c r="X36" s="126">
        <f>Sep!DA37</f>
        <v>7514</v>
      </c>
      <c r="Y36" s="126">
        <f t="shared" si="1"/>
        <v>22362</v>
      </c>
      <c r="Z36" s="42">
        <f>Sep!BR37</f>
        <v>820.00000000005002</v>
      </c>
      <c r="AA36" s="126">
        <f>Sep!BG37</f>
        <v>1500</v>
      </c>
      <c r="AB36" s="126">
        <f>Sep!BJ37</f>
        <v>9000</v>
      </c>
      <c r="AC36" s="126">
        <f>Sep!BL37+Sep!BN37+Sep!BP37</f>
        <v>4160</v>
      </c>
      <c r="AD36" s="126">
        <f>Sep!DR37</f>
        <v>8800</v>
      </c>
      <c r="AE36" s="127">
        <f>Sep!DT37-Sep!DR77-Sep!DT77</f>
        <v>26600</v>
      </c>
      <c r="AF36" s="127">
        <f>Sep!DR77+Sep!DT77</f>
        <v>0</v>
      </c>
      <c r="AG36" s="127">
        <f>Sep!HJ37-AE36</f>
        <v>135400</v>
      </c>
      <c r="AH36" s="127">
        <f>Sep!DW37</f>
        <v>300.00000000109139</v>
      </c>
      <c r="AI36" s="127">
        <f>Sep!DZ37</f>
        <v>939.33</v>
      </c>
      <c r="AJ36" s="127">
        <f>Sep!EC37</f>
        <v>5099.33</v>
      </c>
      <c r="AK36" s="127">
        <f t="shared" si="6"/>
        <v>6338.6600000010912</v>
      </c>
      <c r="AL36" s="127">
        <f>Sep!EG37</f>
        <v>30099.33</v>
      </c>
      <c r="AM36" s="127">
        <f>Sep!EJ37</f>
        <v>9939.33</v>
      </c>
      <c r="AN36" s="127">
        <f>Sep!EM37</f>
        <v>509.99999999999091</v>
      </c>
      <c r="AO36" s="127">
        <f t="shared" si="15"/>
        <v>40548.659999999996</v>
      </c>
      <c r="AP36" s="127">
        <f>Sep!FX37</f>
        <v>14300</v>
      </c>
      <c r="AQ36" s="127">
        <f>Sep!GA37</f>
        <v>3850</v>
      </c>
      <c r="AR36" s="127">
        <f>Sep!GG37</f>
        <v>3370</v>
      </c>
      <c r="AS36" s="127">
        <f t="shared" si="8"/>
        <v>21520</v>
      </c>
      <c r="AT36" s="127">
        <f>Sep!EQ37</f>
        <v>7939.33</v>
      </c>
      <c r="AU36" s="127">
        <f>Sep!ET37</f>
        <v>15000</v>
      </c>
      <c r="AV36" s="127">
        <f>Sep!EW37</f>
        <v>8039.3299999994542</v>
      </c>
      <c r="AW36" s="127">
        <f>Sep!FL74</f>
        <v>10439.329999999998</v>
      </c>
      <c r="AX36" s="127">
        <f>Sep!GJ37+((Sep!GP37+Sep!GS37)*50/100)</f>
        <v>1730</v>
      </c>
      <c r="AY36" s="127">
        <f t="shared" si="17"/>
        <v>43147.989999999452</v>
      </c>
      <c r="AZ36" s="127">
        <f>Sep!FG37</f>
        <v>7939.33</v>
      </c>
      <c r="BA36" s="127">
        <f>Sep!FJ37</f>
        <v>11939.33</v>
      </c>
      <c r="BB36" s="127">
        <f>Sep!FM74</f>
        <v>10439.329999999998</v>
      </c>
      <c r="BC36" s="127">
        <f>Sep!GM37+((Sep!GP37+Sep!GS37)*50/100)</f>
        <v>100</v>
      </c>
      <c r="BD36" s="127">
        <f t="shared" si="18"/>
        <v>30417.989999999998</v>
      </c>
      <c r="BE36" s="127">
        <f>Sep!GP37</f>
        <v>0</v>
      </c>
      <c r="BF36" s="127">
        <f>Sep!GS37</f>
        <v>200</v>
      </c>
      <c r="BG36" s="127">
        <f t="shared" si="11"/>
        <v>200</v>
      </c>
      <c r="BH36" s="127">
        <f t="shared" si="2"/>
        <v>22362</v>
      </c>
      <c r="BI36" s="127"/>
      <c r="BJ36" s="127"/>
      <c r="BK36" s="127"/>
      <c r="BL36" s="128"/>
      <c r="BM36" s="128">
        <v>0</v>
      </c>
      <c r="BN36" s="128"/>
      <c r="BO36" s="128">
        <f t="shared" si="12"/>
        <v>21520</v>
      </c>
      <c r="BP36" s="128"/>
      <c r="BQ36" s="128">
        <v>0</v>
      </c>
      <c r="BR36" s="128"/>
      <c r="BS36" s="128">
        <f t="shared" si="13"/>
        <v>200</v>
      </c>
      <c r="BT36" s="42">
        <f>Sep!D75</f>
        <v>0</v>
      </c>
      <c r="BU36" s="42">
        <f>Sep!G76</f>
        <v>87000</v>
      </c>
      <c r="BV36" t="s">
        <v>428</v>
      </c>
      <c r="BX36" s="42">
        <f>Sep!HJ37</f>
        <v>162000</v>
      </c>
      <c r="BY36" s="42">
        <f>Sep!HM37</f>
        <v>0</v>
      </c>
      <c r="BZ36" s="42">
        <f>Sep!HP37</f>
        <v>41885.000000000364</v>
      </c>
      <c r="CA36" s="42">
        <f>Sep!HS37</f>
        <v>11385.000000000364</v>
      </c>
      <c r="CB36" s="42">
        <f>Sep!HV37</f>
        <v>30085.000000000182</v>
      </c>
      <c r="CC36" s="42">
        <f>Sep!HY37</f>
        <v>19745.000000000036</v>
      </c>
      <c r="CD36" s="42">
        <f>Sep!IB37</f>
        <v>32300</v>
      </c>
      <c r="CE36" s="42">
        <f>Sep!IE37</f>
        <v>0</v>
      </c>
      <c r="CF36" s="42">
        <f>Sep!IH37</f>
        <v>26600</v>
      </c>
    </row>
    <row r="37" spans="1:87" x14ac:dyDescent="0.25">
      <c r="A37" s="26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125"/>
      <c r="O37" s="125"/>
      <c r="P37" s="125"/>
      <c r="Q37" s="125"/>
      <c r="R37" s="125"/>
      <c r="S37" s="125"/>
      <c r="T37" s="125"/>
      <c r="U37" s="125"/>
      <c r="V37" s="126"/>
      <c r="W37" s="126"/>
      <c r="X37" s="126"/>
      <c r="Y37" s="126"/>
      <c r="Z37" s="42"/>
      <c r="AA37" s="126"/>
      <c r="AB37" s="126"/>
      <c r="AC37" s="126"/>
      <c r="AD37" s="126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8"/>
      <c r="BM37" s="128"/>
      <c r="BN37" s="128"/>
      <c r="BO37" s="128"/>
      <c r="BP37" s="128"/>
      <c r="BQ37" s="128"/>
      <c r="BR37" s="128"/>
      <c r="BS37" s="128"/>
      <c r="BT37" s="42"/>
      <c r="BU37" s="42"/>
      <c r="BX37" s="42"/>
      <c r="BY37" s="42"/>
      <c r="BZ37" s="42"/>
      <c r="CA37" s="42"/>
      <c r="CB37" s="42"/>
      <c r="CC37" s="42"/>
      <c r="CD37" s="42"/>
      <c r="CE37" s="42"/>
      <c r="CF37" s="42"/>
    </row>
    <row r="38" spans="1:87" x14ac:dyDescent="0.25">
      <c r="A38" s="129" t="s">
        <v>37</v>
      </c>
      <c r="B38" s="90">
        <f t="shared" ref="B38:BM38" si="19">SUMIF(B7:B37,"&gt;0")</f>
        <v>11958719.999999993</v>
      </c>
      <c r="C38" s="90">
        <f t="shared" si="19"/>
        <v>11874000</v>
      </c>
      <c r="D38" s="90">
        <f t="shared" si="19"/>
        <v>5984.9799999985844</v>
      </c>
      <c r="E38" s="90">
        <f t="shared" si="19"/>
        <v>1.9599999999627471</v>
      </c>
      <c r="F38" s="90">
        <f t="shared" si="19"/>
        <v>75210</v>
      </c>
      <c r="G38" s="90">
        <f t="shared" si="19"/>
        <v>397303.06000000145</v>
      </c>
      <c r="H38" s="90">
        <f t="shared" si="19"/>
        <v>182800.0000000002</v>
      </c>
      <c r="I38" s="90">
        <f t="shared" si="19"/>
        <v>418082.1800000004</v>
      </c>
      <c r="J38" s="90">
        <f t="shared" si="19"/>
        <v>190432.18000000043</v>
      </c>
      <c r="K38" s="90">
        <f t="shared" si="19"/>
        <v>336200.0000000007</v>
      </c>
      <c r="L38" s="90">
        <f t="shared" si="19"/>
        <v>12331</v>
      </c>
      <c r="M38" s="90">
        <f t="shared" si="19"/>
        <v>18837</v>
      </c>
      <c r="N38" s="90">
        <f t="shared" si="19"/>
        <v>1637182.3600000015</v>
      </c>
      <c r="O38" s="90">
        <f t="shared" si="19"/>
        <v>20059.499999999956</v>
      </c>
      <c r="P38" s="90">
        <f t="shared" si="19"/>
        <v>28742.70000000007</v>
      </c>
      <c r="Q38" s="90">
        <f t="shared" si="19"/>
        <v>158547</v>
      </c>
      <c r="R38" s="90">
        <f t="shared" si="19"/>
        <v>0</v>
      </c>
      <c r="S38" s="90">
        <f t="shared" si="19"/>
        <v>450632.67999999918</v>
      </c>
      <c r="T38" s="90">
        <f t="shared" si="19"/>
        <v>199621.18000000008</v>
      </c>
      <c r="U38" s="90">
        <f t="shared" si="19"/>
        <v>173086.08000000005</v>
      </c>
      <c r="V38" s="90">
        <f t="shared" si="19"/>
        <v>1030689.1399999991</v>
      </c>
      <c r="W38" s="90">
        <f t="shared" si="19"/>
        <v>512034</v>
      </c>
      <c r="X38" s="90">
        <f t="shared" si="19"/>
        <v>284693</v>
      </c>
      <c r="Y38" s="90">
        <f t="shared" si="19"/>
        <v>796727</v>
      </c>
      <c r="Z38" s="90">
        <f t="shared" si="19"/>
        <v>20019.999999999985</v>
      </c>
      <c r="AA38" s="90">
        <f t="shared" si="19"/>
        <v>45099.999999999913</v>
      </c>
      <c r="AB38" s="90">
        <f t="shared" si="19"/>
        <v>267299.9999999993</v>
      </c>
      <c r="AC38" s="90">
        <f t="shared" si="19"/>
        <v>145129.99999999997</v>
      </c>
      <c r="AD38" s="90">
        <f t="shared" si="19"/>
        <v>281100</v>
      </c>
      <c r="AE38" s="90">
        <f t="shared" si="19"/>
        <v>756400</v>
      </c>
      <c r="AF38" s="90">
        <f t="shared" si="19"/>
        <v>0</v>
      </c>
      <c r="AG38" s="90">
        <f t="shared" si="19"/>
        <v>4237600</v>
      </c>
      <c r="AH38" s="90">
        <f t="shared" si="19"/>
        <v>56800.000000001091</v>
      </c>
      <c r="AI38" s="90">
        <f t="shared" si="19"/>
        <v>103186.25</v>
      </c>
      <c r="AJ38" s="90">
        <f t="shared" si="19"/>
        <v>366782.18000000005</v>
      </c>
      <c r="AK38" s="90">
        <f t="shared" si="19"/>
        <v>526564.36000000115</v>
      </c>
      <c r="AL38" s="90">
        <f t="shared" si="19"/>
        <v>899782.18</v>
      </c>
      <c r="AM38" s="90">
        <f t="shared" si="19"/>
        <v>301982.18000000005</v>
      </c>
      <c r="AN38" s="90">
        <f t="shared" si="19"/>
        <v>19740.000000000007</v>
      </c>
      <c r="AO38" s="90">
        <f t="shared" si="19"/>
        <v>1221504.3600000001</v>
      </c>
      <c r="AP38" s="90">
        <f t="shared" si="19"/>
        <v>622300</v>
      </c>
      <c r="AQ38" s="90">
        <f t="shared" si="19"/>
        <v>159500</v>
      </c>
      <c r="AR38" s="90">
        <f t="shared" si="19"/>
        <v>166907.99999999997</v>
      </c>
      <c r="AS38" s="90">
        <f t="shared" si="19"/>
        <v>948707.99999999988</v>
      </c>
      <c r="AT38" s="90">
        <f t="shared" si="19"/>
        <v>211182.18000000008</v>
      </c>
      <c r="AU38" s="90">
        <f t="shared" si="19"/>
        <v>484000</v>
      </c>
      <c r="AV38" s="90">
        <f t="shared" si="19"/>
        <v>313282.18000000023</v>
      </c>
      <c r="AW38" s="90">
        <f t="shared" si="19"/>
        <v>324982.18000000005</v>
      </c>
      <c r="AX38" s="90">
        <f t="shared" si="19"/>
        <v>49802</v>
      </c>
      <c r="AY38" s="90">
        <f t="shared" si="19"/>
        <v>1383248.5400000003</v>
      </c>
      <c r="AZ38" s="90">
        <f t="shared" si="19"/>
        <v>289782.17999999993</v>
      </c>
      <c r="BA38" s="90">
        <f t="shared" si="19"/>
        <v>475982.18</v>
      </c>
      <c r="BB38" s="90">
        <f t="shared" si="19"/>
        <v>324982.18000000005</v>
      </c>
      <c r="BC38" s="90">
        <f t="shared" si="19"/>
        <v>1110.0000000000455</v>
      </c>
      <c r="BD38" s="90">
        <f t="shared" si="19"/>
        <v>1091856.54</v>
      </c>
      <c r="BE38" s="90">
        <f t="shared" si="19"/>
        <v>120</v>
      </c>
      <c r="BF38" s="90">
        <f t="shared" si="19"/>
        <v>6470</v>
      </c>
      <c r="BG38" s="90">
        <f t="shared" si="19"/>
        <v>6590</v>
      </c>
      <c r="BH38" s="90">
        <f t="shared" si="19"/>
        <v>796727</v>
      </c>
      <c r="BI38" s="90">
        <f t="shared" si="19"/>
        <v>0</v>
      </c>
      <c r="BJ38" s="90">
        <f t="shared" si="19"/>
        <v>0</v>
      </c>
      <c r="BK38" s="90">
        <f t="shared" si="19"/>
        <v>0</v>
      </c>
      <c r="BL38" s="90">
        <f t="shared" si="19"/>
        <v>0</v>
      </c>
      <c r="BM38" s="90">
        <f t="shared" si="19"/>
        <v>220259.52000000002</v>
      </c>
      <c r="BN38" s="90">
        <f t="shared" ref="BN38:BU38" si="20">SUMIF(BN7:BN37,"&gt;0")</f>
        <v>0</v>
      </c>
      <c r="BO38" s="90">
        <f t="shared" si="20"/>
        <v>728448.48</v>
      </c>
      <c r="BP38" s="90">
        <f t="shared" si="20"/>
        <v>0</v>
      </c>
      <c r="BQ38" s="90">
        <f t="shared" si="20"/>
        <v>2700</v>
      </c>
      <c r="BR38" s="90">
        <f t="shared" si="20"/>
        <v>0</v>
      </c>
      <c r="BS38" s="90">
        <f t="shared" si="20"/>
        <v>3890</v>
      </c>
      <c r="BT38" s="90">
        <f t="shared" si="20"/>
        <v>0</v>
      </c>
      <c r="BU38" s="90">
        <f t="shared" si="20"/>
        <v>2437000</v>
      </c>
      <c r="BV38" s="164"/>
      <c r="BX38" s="130">
        <f t="shared" ref="BX38:CF38" si="21">SUM(BX7:BX37)</f>
        <v>4994000</v>
      </c>
      <c r="BY38" s="130">
        <f t="shared" si="21"/>
        <v>0</v>
      </c>
      <c r="BZ38" s="130">
        <f t="shared" si="21"/>
        <v>1234109.9999999998</v>
      </c>
      <c r="CA38" s="130">
        <f t="shared" si="21"/>
        <v>741210.00000000023</v>
      </c>
      <c r="CB38" s="130">
        <f t="shared" si="21"/>
        <v>760910.00000000012</v>
      </c>
      <c r="CC38" s="130">
        <f t="shared" si="21"/>
        <v>689069.99999999977</v>
      </c>
      <c r="CD38" s="130">
        <f t="shared" si="21"/>
        <v>812300</v>
      </c>
      <c r="CE38" s="130">
        <f t="shared" si="21"/>
        <v>0</v>
      </c>
      <c r="CF38" s="130">
        <f t="shared" si="21"/>
        <v>756400</v>
      </c>
    </row>
    <row r="39" spans="1:87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L40" s="91"/>
      <c r="BM40" s="91"/>
      <c r="BN40" s="91"/>
      <c r="BO40" s="91"/>
      <c r="BP40" s="91"/>
      <c r="BQ40" s="221"/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AV41" s="3"/>
      <c r="BQ41" s="221"/>
      <c r="BR41" s="91"/>
      <c r="BV41" s="91"/>
      <c r="BW41" t="s">
        <v>281</v>
      </c>
      <c r="BX41" s="91">
        <f>BX38</f>
        <v>4994000</v>
      </c>
      <c r="CH41" t="s">
        <v>336</v>
      </c>
      <c r="CI41">
        <f>$Y$38</f>
        <v>796727</v>
      </c>
    </row>
    <row r="42" spans="1:87" x14ac:dyDescent="0.25">
      <c r="B42" t="s">
        <v>106</v>
      </c>
      <c r="C42" s="24">
        <f>B38</f>
        <v>11958719.999999993</v>
      </c>
      <c r="D42" s="91"/>
      <c r="N42" s="132"/>
      <c r="O42" s="132"/>
      <c r="P42" s="132"/>
      <c r="Q42" s="132"/>
      <c r="R42" s="132"/>
      <c r="S42" s="132"/>
      <c r="T42" s="132"/>
      <c r="U42" s="132"/>
      <c r="V42" s="497">
        <v>45931</v>
      </c>
      <c r="W42" s="497"/>
      <c r="X42" s="497"/>
      <c r="Y42" s="497"/>
      <c r="Z42" s="497"/>
      <c r="AA42" s="497"/>
      <c r="AB42" s="497"/>
      <c r="AC42" s="497"/>
      <c r="AD42" s="497"/>
      <c r="AK42" s="3"/>
      <c r="AL42" s="3"/>
      <c r="AM42" s="3"/>
      <c r="AN42" s="3"/>
      <c r="AO42" s="3"/>
      <c r="AP42" s="3"/>
      <c r="AQ42" s="3"/>
      <c r="AR42" s="3"/>
      <c r="AV42" s="151"/>
      <c r="BQ42" s="221"/>
      <c r="BW42" t="s">
        <v>258</v>
      </c>
      <c r="BX42" s="91">
        <f>BY38</f>
        <v>0</v>
      </c>
      <c r="CH42" t="s">
        <v>17</v>
      </c>
      <c r="CI42">
        <f>$AS$38</f>
        <v>948707.99999999988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406" t="s">
        <v>158</v>
      </c>
      <c r="W43" s="406"/>
      <c r="X43" s="406"/>
      <c r="Y43" s="406"/>
      <c r="Z43" s="406"/>
      <c r="AA43" s="406" t="s">
        <v>159</v>
      </c>
      <c r="AB43" s="406"/>
      <c r="AC43" s="406"/>
      <c r="AD43" s="406"/>
      <c r="AK43" s="169"/>
      <c r="AL43" s="134"/>
      <c r="AM43" s="134"/>
      <c r="AN43" s="170"/>
      <c r="AO43" s="169"/>
      <c r="AP43" s="134"/>
      <c r="AQ43" s="134"/>
      <c r="AR43" s="134"/>
      <c r="BQ43" s="221"/>
      <c r="BW43" t="s">
        <v>204</v>
      </c>
      <c r="BX43" s="91">
        <f>BZ38</f>
        <v>1234109.9999999998</v>
      </c>
      <c r="CH43" t="s">
        <v>19</v>
      </c>
      <c r="CI43">
        <f>$BG$38</f>
        <v>6590</v>
      </c>
    </row>
    <row r="44" spans="1:87" x14ac:dyDescent="0.25">
      <c r="B44" t="s">
        <v>120</v>
      </c>
      <c r="C44" s="24">
        <f>N38</f>
        <v>1637182.3600000015</v>
      </c>
      <c r="D44" s="91"/>
      <c r="N44" s="132"/>
      <c r="O44" s="132"/>
      <c r="P44" s="132"/>
      <c r="Q44" s="132"/>
      <c r="R44" s="132"/>
      <c r="S44" s="132"/>
      <c r="T44" s="132"/>
      <c r="U44" s="132"/>
      <c r="Y44" s="233"/>
      <c r="AK44" s="3"/>
      <c r="AL44" s="3"/>
      <c r="AM44" s="3"/>
      <c r="AN44" s="3"/>
      <c r="AO44" s="3"/>
      <c r="AP44" s="3"/>
      <c r="AQ44" s="3"/>
      <c r="AR44" s="3"/>
      <c r="BQ44" s="221"/>
      <c r="BW44" t="s">
        <v>260</v>
      </c>
      <c r="BX44" s="91">
        <f>CA38</f>
        <v>741210.00000000023</v>
      </c>
      <c r="CI44">
        <f>SUM(CI41:CI43)</f>
        <v>1752025</v>
      </c>
    </row>
    <row r="45" spans="1:87" x14ac:dyDescent="0.25">
      <c r="B45" t="s">
        <v>157</v>
      </c>
      <c r="C45" s="24">
        <f>V38</f>
        <v>1030689.1399999991</v>
      </c>
      <c r="D45" s="91"/>
      <c r="N45" s="132"/>
      <c r="O45" s="132"/>
      <c r="P45" s="132"/>
      <c r="Q45" s="132"/>
      <c r="R45" s="132"/>
      <c r="S45" s="132"/>
      <c r="T45" s="132"/>
      <c r="U45" s="132"/>
      <c r="Y45" s="233"/>
      <c r="AK45" s="3"/>
      <c r="AL45" s="3"/>
      <c r="AM45" s="3"/>
      <c r="AN45" s="3"/>
      <c r="AO45" s="3"/>
      <c r="AP45" s="3"/>
      <c r="AQ45" s="3"/>
      <c r="AR45" s="3"/>
      <c r="BQ45" s="221"/>
      <c r="BW45" t="s">
        <v>261</v>
      </c>
      <c r="BX45" s="91">
        <f>CB38</f>
        <v>760910.00000000012</v>
      </c>
      <c r="CH45" t="s">
        <v>337</v>
      </c>
      <c r="CI45">
        <f>SUM($BH$38:$BK$38)</f>
        <v>796727</v>
      </c>
    </row>
    <row r="46" spans="1:87" x14ac:dyDescent="0.25">
      <c r="B46" t="s">
        <v>160</v>
      </c>
      <c r="C46" s="24">
        <f>Y38</f>
        <v>796727</v>
      </c>
      <c r="D46" s="91"/>
      <c r="N46" s="132"/>
      <c r="O46" s="132"/>
      <c r="P46" s="132"/>
      <c r="Q46" s="132"/>
      <c r="R46" s="132"/>
      <c r="S46" s="132"/>
      <c r="T46" s="132"/>
      <c r="U46" s="132"/>
      <c r="Y46" s="233"/>
      <c r="AK46" s="151"/>
      <c r="AO46" s="3"/>
      <c r="AP46" s="3"/>
      <c r="AQ46" s="3"/>
      <c r="AR46" s="3"/>
      <c r="BQ46" s="221"/>
      <c r="BW46" t="s">
        <v>318</v>
      </c>
      <c r="BX46" s="91">
        <f>$CC$38</f>
        <v>689069.99999999977</v>
      </c>
      <c r="CH46" t="s">
        <v>333</v>
      </c>
      <c r="CI46">
        <f>SUM($BL$38:$BO$38)</f>
        <v>948708</v>
      </c>
    </row>
    <row r="47" spans="1:87" x14ac:dyDescent="0.25">
      <c r="B47" t="s">
        <v>128</v>
      </c>
      <c r="C47" s="24">
        <f>AK38</f>
        <v>526564.36000000115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233"/>
      <c r="BQ47" s="221"/>
      <c r="BW47" t="s">
        <v>346</v>
      </c>
      <c r="BX47" s="91">
        <f>$CD$38</f>
        <v>812300</v>
      </c>
      <c r="CH47" t="s">
        <v>331</v>
      </c>
      <c r="CI47">
        <f>SUM($BP$38:$BS$38)</f>
        <v>6590</v>
      </c>
    </row>
    <row r="48" spans="1:87" x14ac:dyDescent="0.25">
      <c r="B48" t="s">
        <v>130</v>
      </c>
      <c r="C48" s="24">
        <f>AO38</f>
        <v>1221504.3600000001</v>
      </c>
      <c r="D48" s="91"/>
      <c r="N48" s="132"/>
      <c r="O48" s="132"/>
      <c r="P48" s="132"/>
      <c r="Q48" s="132"/>
      <c r="R48" s="132"/>
      <c r="S48" s="132"/>
      <c r="T48" s="132"/>
      <c r="U48" s="132"/>
      <c r="V48" s="406" t="s">
        <v>396</v>
      </c>
      <c r="W48" s="406"/>
      <c r="X48" s="406"/>
      <c r="Y48" s="406"/>
      <c r="Z48" s="406"/>
      <c r="AA48" s="406" t="s">
        <v>161</v>
      </c>
      <c r="AB48" s="406"/>
      <c r="AC48" s="406" t="s">
        <v>162</v>
      </c>
      <c r="AD48" s="406"/>
      <c r="BQ48" s="221"/>
      <c r="BW48" t="s">
        <v>358</v>
      </c>
      <c r="BX48" s="91">
        <f>CE38</f>
        <v>0</v>
      </c>
      <c r="CI48">
        <f>SUM(CI45:CI47)</f>
        <v>1752025</v>
      </c>
    </row>
    <row r="49" spans="2:76" x14ac:dyDescent="0.25">
      <c r="B49" t="s">
        <v>132</v>
      </c>
      <c r="C49" s="24">
        <f>AY38</f>
        <v>1383248.5400000003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244"/>
      <c r="BQ49" s="221"/>
      <c r="BW49" t="s">
        <v>282</v>
      </c>
      <c r="BX49" s="91">
        <f>$CF$38</f>
        <v>756400</v>
      </c>
    </row>
    <row r="50" spans="2:76" x14ac:dyDescent="0.25">
      <c r="B50" t="s">
        <v>133</v>
      </c>
      <c r="C50" s="69">
        <f>BD38</f>
        <v>1091856.54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233"/>
      <c r="BQ50" s="221"/>
      <c r="BX50" s="91"/>
    </row>
    <row r="51" spans="2:76" x14ac:dyDescent="0.25">
      <c r="B51" t="s">
        <v>131</v>
      </c>
      <c r="C51" s="24">
        <f>AS38</f>
        <v>948707.99999999988</v>
      </c>
      <c r="D51" s="91"/>
      <c r="N51" s="91"/>
      <c r="O51" s="91"/>
      <c r="P51" s="91"/>
      <c r="Q51" s="91"/>
      <c r="R51" s="91"/>
      <c r="S51" s="91"/>
      <c r="T51" s="91"/>
      <c r="U51" s="91"/>
      <c r="Z51" s="233"/>
      <c r="BQ51" s="221"/>
      <c r="BW51" t="s">
        <v>98</v>
      </c>
      <c r="BX51" s="91">
        <f>BX41+BX42-BX43-BX44-BX45-BX46-BX47-BX48-BX49</f>
        <v>0</v>
      </c>
    </row>
    <row r="52" spans="2:76" x14ac:dyDescent="0.25">
      <c r="B52" t="s">
        <v>19</v>
      </c>
      <c r="C52" s="24">
        <f>BG38</f>
        <v>6590</v>
      </c>
      <c r="D52" s="91"/>
      <c r="N52" s="91"/>
      <c r="O52" s="91"/>
      <c r="P52" s="91"/>
      <c r="Q52" s="91"/>
      <c r="R52" s="91"/>
      <c r="S52" s="91"/>
      <c r="T52" s="91"/>
      <c r="U52" s="91"/>
      <c r="Z52" s="233"/>
      <c r="BQ52" s="221"/>
    </row>
    <row r="53" spans="2:76" x14ac:dyDescent="0.25">
      <c r="B53" t="s">
        <v>163</v>
      </c>
      <c r="C53" s="24">
        <f>AA38</f>
        <v>45099.999999999913</v>
      </c>
      <c r="D53" s="91"/>
      <c r="N53" s="91"/>
      <c r="O53" s="91"/>
      <c r="P53" s="91"/>
      <c r="Q53" s="91"/>
      <c r="R53" s="91"/>
      <c r="S53" s="91"/>
      <c r="T53" s="91"/>
      <c r="U53" s="91"/>
      <c r="Z53" s="233"/>
      <c r="BQ53" s="221"/>
    </row>
    <row r="54" spans="2:76" x14ac:dyDescent="0.25">
      <c r="B54" t="s">
        <v>6</v>
      </c>
      <c r="C54" s="24">
        <f>AB38</f>
        <v>267299.9999999993</v>
      </c>
      <c r="D54" s="91"/>
      <c r="N54" s="91"/>
      <c r="O54" s="91"/>
      <c r="P54" s="91"/>
      <c r="Q54" s="91"/>
      <c r="R54" s="91"/>
      <c r="S54" s="91"/>
      <c r="T54" s="91"/>
      <c r="U54" s="91"/>
      <c r="Z54" s="233"/>
      <c r="BQ54" s="221"/>
    </row>
    <row r="55" spans="2:76" x14ac:dyDescent="0.25">
      <c r="B55" t="s">
        <v>164</v>
      </c>
      <c r="C55" s="24">
        <f>Z38</f>
        <v>20019.999999999985</v>
      </c>
      <c r="D55" s="91"/>
      <c r="N55" s="91"/>
      <c r="O55" s="91"/>
      <c r="P55" s="91"/>
      <c r="Q55" s="91"/>
      <c r="R55" s="91"/>
      <c r="S55" s="91"/>
      <c r="T55" s="91"/>
      <c r="U55" s="91"/>
      <c r="Z55" s="233"/>
      <c r="BQ55" s="221"/>
    </row>
    <row r="56" spans="2:76" x14ac:dyDescent="0.25">
      <c r="B56" t="s">
        <v>165</v>
      </c>
      <c r="C56" s="24">
        <f>AC38</f>
        <v>145129.99999999997</v>
      </c>
      <c r="D56" s="91"/>
      <c r="N56" s="91"/>
      <c r="O56" s="91"/>
      <c r="P56" s="91"/>
      <c r="Q56" s="91"/>
      <c r="R56" s="91"/>
      <c r="S56" s="91"/>
      <c r="T56" s="91"/>
      <c r="U56" s="91"/>
      <c r="Z56" s="233"/>
      <c r="BQ56" s="221"/>
    </row>
    <row r="57" spans="2:76" x14ac:dyDescent="0.25">
      <c r="B57" t="s">
        <v>181</v>
      </c>
      <c r="C57" s="24">
        <f>AD38</f>
        <v>281100</v>
      </c>
      <c r="D57" s="91"/>
      <c r="N57" s="91"/>
      <c r="O57" s="91"/>
      <c r="P57" s="91"/>
      <c r="Q57" s="91"/>
      <c r="R57" s="91"/>
      <c r="S57" s="91"/>
      <c r="T57" s="91"/>
      <c r="U57" s="91"/>
      <c r="Z57" s="233"/>
      <c r="BQ57" s="221"/>
    </row>
    <row r="58" spans="2:76" x14ac:dyDescent="0.25">
      <c r="B58" t="s">
        <v>166</v>
      </c>
      <c r="C58" s="24">
        <f>AE38</f>
        <v>756400</v>
      </c>
      <c r="D58" s="91"/>
      <c r="N58" s="91"/>
      <c r="O58" s="91"/>
      <c r="P58" s="91"/>
      <c r="Q58" s="91"/>
      <c r="R58" s="91"/>
      <c r="S58" s="91"/>
      <c r="T58" s="91"/>
      <c r="U58" s="91"/>
      <c r="BQ58" s="221"/>
    </row>
    <row r="59" spans="2:76" x14ac:dyDescent="0.25">
      <c r="B59" t="s">
        <v>250</v>
      </c>
      <c r="C59" s="24">
        <f>AF38</f>
        <v>0</v>
      </c>
      <c r="D59" s="91"/>
      <c r="N59" s="91"/>
      <c r="O59" s="91"/>
      <c r="P59" s="91"/>
      <c r="Q59" s="91"/>
      <c r="R59" s="91"/>
      <c r="S59" s="91"/>
      <c r="T59" s="91"/>
      <c r="U59" s="91"/>
      <c r="BQ59" s="221"/>
    </row>
    <row r="60" spans="2:76" x14ac:dyDescent="0.25">
      <c r="B60" t="s">
        <v>251</v>
      </c>
      <c r="C60" s="24">
        <f>AG38</f>
        <v>4237600</v>
      </c>
      <c r="D60" s="91"/>
      <c r="N60" s="91"/>
      <c r="O60" s="91"/>
      <c r="P60" s="91"/>
      <c r="Q60" s="91"/>
      <c r="R60" s="91"/>
      <c r="S60" s="91"/>
      <c r="T60" s="91"/>
      <c r="U60" s="91"/>
      <c r="BQ60" s="221"/>
    </row>
    <row r="61" spans="2:76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Q61" s="221"/>
    </row>
    <row r="62" spans="2:76" x14ac:dyDescent="0.25">
      <c r="B62" t="s">
        <v>192</v>
      </c>
      <c r="C62" s="24">
        <f>BU38</f>
        <v>2437000</v>
      </c>
      <c r="D62" s="91"/>
      <c r="N62" s="3"/>
      <c r="O62" s="3"/>
      <c r="P62" s="3"/>
      <c r="Q62" s="3"/>
      <c r="R62" s="3"/>
      <c r="S62" s="3"/>
      <c r="T62" s="3"/>
      <c r="U62" s="3"/>
      <c r="BQ62" s="221"/>
    </row>
    <row r="63" spans="2:76" x14ac:dyDescent="0.25">
      <c r="B63" t="s">
        <v>167</v>
      </c>
      <c r="C63" s="24">
        <f>C42-C44-C45-C46-C47-C48-C49-C50-C51-C52-C53-C54-C55-C56-C57-C58-C61+C62-C59-C60</f>
        <v>-0.30000000819563866</v>
      </c>
      <c r="D63" s="3"/>
      <c r="N63" s="3"/>
      <c r="O63" s="3"/>
      <c r="P63" s="3"/>
      <c r="Q63" s="3"/>
      <c r="R63" s="3"/>
      <c r="S63" s="3"/>
      <c r="T63" s="3"/>
      <c r="U63" s="3"/>
      <c r="BQ63" s="221"/>
    </row>
    <row r="64" spans="2:76" x14ac:dyDescent="0.25">
      <c r="BQ64" s="221"/>
    </row>
    <row r="65" spans="2:69" x14ac:dyDescent="0.25">
      <c r="BQ65" s="221"/>
    </row>
    <row r="66" spans="2:69" x14ac:dyDescent="0.25">
      <c r="B66" s="3"/>
      <c r="C66" s="3"/>
      <c r="D66" s="151"/>
      <c r="BQ66" s="221"/>
    </row>
    <row r="67" spans="2:69" x14ac:dyDescent="0.25">
      <c r="BQ67" s="221"/>
    </row>
    <row r="68" spans="2:69" x14ac:dyDescent="0.25">
      <c r="BQ68" s="221"/>
    </row>
    <row r="69" spans="2:69" x14ac:dyDescent="0.25">
      <c r="BQ69" s="221"/>
    </row>
    <row r="70" spans="2:69" x14ac:dyDescent="0.25">
      <c r="BQ70" s="221"/>
    </row>
    <row r="71" spans="2:69" x14ac:dyDescent="0.25">
      <c r="BQ71" s="221"/>
    </row>
    <row r="72" spans="2:69" x14ac:dyDescent="0.25">
      <c r="BQ72" s="221"/>
    </row>
    <row r="80" spans="2:69" x14ac:dyDescent="0.25">
      <c r="F80" s="310" t="s">
        <v>436</v>
      </c>
      <c r="G80" s="311"/>
      <c r="H80" s="311"/>
      <c r="I80" s="312"/>
      <c r="J80" s="327" t="s">
        <v>437</v>
      </c>
      <c r="K80" s="311"/>
      <c r="L80" s="311"/>
      <c r="M80" s="312"/>
      <c r="N80" s="327" t="s">
        <v>436</v>
      </c>
      <c r="O80" s="311"/>
      <c r="P80" s="311"/>
      <c r="Q80" s="312"/>
    </row>
    <row r="81" spans="6:17" x14ac:dyDescent="0.25">
      <c r="F81" s="139"/>
      <c r="G81" s="313"/>
      <c r="H81" s="313"/>
      <c r="I81" s="177"/>
      <c r="J81" s="139"/>
      <c r="K81" s="313"/>
      <c r="L81" s="313"/>
      <c r="M81" s="177"/>
      <c r="N81" s="139"/>
      <c r="O81" s="313"/>
      <c r="P81" s="313"/>
      <c r="Q81" s="177"/>
    </row>
    <row r="82" spans="6:17" x14ac:dyDescent="0.25">
      <c r="F82" s="139"/>
      <c r="G82" s="313"/>
      <c r="H82" s="313">
        <f>Aug!E76</f>
        <v>32907</v>
      </c>
      <c r="I82" s="177"/>
      <c r="J82" s="139"/>
      <c r="K82" s="313"/>
      <c r="L82" s="313"/>
      <c r="M82" s="177"/>
      <c r="N82" s="139"/>
      <c r="O82" s="313"/>
      <c r="P82" s="313"/>
      <c r="Q82" s="177"/>
    </row>
    <row r="83" spans="6:17" x14ac:dyDescent="0.25">
      <c r="F83" s="139"/>
      <c r="G83" s="313"/>
      <c r="H83" s="313"/>
      <c r="I83" s="177"/>
      <c r="J83" s="139"/>
      <c r="K83" s="313"/>
      <c r="L83" s="313"/>
      <c r="M83" s="177"/>
      <c r="N83" s="139"/>
      <c r="O83" s="313"/>
      <c r="P83" s="313"/>
      <c r="Q83" s="177"/>
    </row>
    <row r="84" spans="6:17" x14ac:dyDescent="0.25">
      <c r="F84" s="139"/>
      <c r="G84" s="313"/>
      <c r="H84" s="313"/>
      <c r="I84" s="177"/>
      <c r="J84" s="139"/>
      <c r="K84" s="313"/>
      <c r="L84" s="313"/>
      <c r="M84" s="177"/>
      <c r="N84" s="139"/>
      <c r="O84" s="313"/>
      <c r="P84" s="313"/>
      <c r="Q84" s="177"/>
    </row>
    <row r="85" spans="6:17" x14ac:dyDescent="0.25">
      <c r="F85" s="139"/>
      <c r="G85" s="313"/>
      <c r="H85" s="313"/>
      <c r="I85" s="177"/>
      <c r="J85" s="139"/>
      <c r="K85" s="313"/>
      <c r="L85" s="313"/>
      <c r="M85" s="177"/>
      <c r="N85" s="139"/>
      <c r="O85" s="313"/>
      <c r="P85" s="313"/>
      <c r="Q85" s="177"/>
    </row>
    <row r="86" spans="6:17" x14ac:dyDescent="0.25">
      <c r="F86" s="314"/>
      <c r="G86" s="315"/>
      <c r="H86" s="315"/>
      <c r="I86" s="316"/>
      <c r="J86" s="314"/>
      <c r="K86" s="315"/>
      <c r="L86" s="315"/>
      <c r="M86" s="316"/>
      <c r="N86" s="314"/>
      <c r="O86" s="315"/>
      <c r="P86" s="315"/>
      <c r="Q86" s="316"/>
    </row>
  </sheetData>
  <customSheetViews>
    <customSheetView guid="{48545DB9-4D9D-4699-ACEC-DA6E2D3586A8}" fitToPage="1">
      <pane xSplit="1" ySplit="6" topLeftCell="B9" activePane="bottomRight" state="frozen"/>
      <selection pane="bottomRight" activeCell="C42" sqref="C42"/>
      <pageMargins left="0.11811023622047245" right="0" top="0.74803149606299213" bottom="0.35433070866141736" header="0.31496062992125984" footer="0.31496062992125984"/>
      <pageSetup paperSize="9" scale="43" orientation="landscape" r:id="rId1"/>
    </customSheetView>
    <customSheetView guid="{32ABFE17-599B-4D0B-A1DB-D95B181877FC}" fitToPage="1">
      <pane xSplit="1" ySplit="6" topLeftCell="B9" activePane="bottomRight" state="frozen"/>
      <selection pane="bottomRight" activeCell="C42" sqref="C42"/>
      <pageMargins left="0.11811023622047245" right="0" top="0.74803149606299213" bottom="0.35433070866141736" header="0.31496062992125984" footer="0.31496062992125984"/>
      <pageSetup paperSize="9" scale="43" orientation="landscape" r:id="rId2"/>
    </customSheetView>
  </customSheetViews>
  <mergeCells count="52"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P4:AR4"/>
    <mergeCell ref="AA4:AA6"/>
    <mergeCell ref="AB4:AB6"/>
    <mergeCell ref="AC4:AC6"/>
    <mergeCell ref="AD4:AD6"/>
    <mergeCell ref="AE4:AE6"/>
    <mergeCell ref="AF4:AF6"/>
    <mergeCell ref="AG4:AG6"/>
    <mergeCell ref="AH4:AJ4"/>
    <mergeCell ref="AK4:AK6"/>
    <mergeCell ref="AL4:AN4"/>
    <mergeCell ref="AO4:AO6"/>
    <mergeCell ref="BT4:BT6"/>
    <mergeCell ref="BU4:BU6"/>
    <mergeCell ref="AS4:AS6"/>
    <mergeCell ref="AT4:AW4"/>
    <mergeCell ref="AY4:AY6"/>
    <mergeCell ref="AZ4:BB4"/>
    <mergeCell ref="BD4:BD6"/>
    <mergeCell ref="BE4:BF4"/>
    <mergeCell ref="CD4:CD6"/>
    <mergeCell ref="CE4:CE6"/>
    <mergeCell ref="CF4:CF6"/>
    <mergeCell ref="D5:I5"/>
    <mergeCell ref="J5:K5"/>
    <mergeCell ref="L5:M5"/>
    <mergeCell ref="BX4:BX6"/>
    <mergeCell ref="BY4:BY6"/>
    <mergeCell ref="BZ4:BZ6"/>
    <mergeCell ref="CA4:CA6"/>
    <mergeCell ref="CB4:CB6"/>
    <mergeCell ref="CC4:CC6"/>
    <mergeCell ref="BG4:BG6"/>
    <mergeCell ref="BH4:BK5"/>
    <mergeCell ref="BL4:BO5"/>
    <mergeCell ref="BP4:BS5"/>
    <mergeCell ref="V42:AD42"/>
    <mergeCell ref="V43:Z43"/>
    <mergeCell ref="AA43:AD43"/>
    <mergeCell ref="V48:Z48"/>
    <mergeCell ref="AA48:AB48"/>
    <mergeCell ref="AC48:AD48"/>
  </mergeCells>
  <pageMargins left="0.11811023622047245" right="0" top="0.74803149606299213" bottom="0.35433070866141736" header="0.31496062992125984" footer="0.31496062992125984"/>
  <pageSetup paperSize="9" scale="43" orientation="landscape" r:id="rId3"/>
  <drawing r:id="rId4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9">
    <pageSetUpPr fitToPage="1"/>
  </sheetPr>
  <dimension ref="A1:XAU88"/>
  <sheetViews>
    <sheetView zoomScaleNormal="100" workbookViewId="0">
      <pane xSplit="1" ySplit="6" topLeftCell="HS28" activePane="bottomRight" state="frozen"/>
      <selection pane="topRight" activeCell="B1" sqref="B1"/>
      <selection pane="bottomLeft" activeCell="A7" sqref="A7"/>
      <selection pane="bottomRight" activeCell="IA40" sqref="IA40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5" bestFit="1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425781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4.28515625" bestFit="1" customWidth="1"/>
    <col min="64" max="64" width="13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0" width="10.85546875" customWidth="1"/>
    <col min="71" max="71" width="11.5703125" bestFit="1" customWidth="1"/>
    <col min="72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2.42578125" bestFit="1" customWidth="1"/>
    <col min="82" max="82" width="10.85546875" bestFit="1" customWidth="1"/>
    <col min="83" max="83" width="13.85546875" bestFit="1" customWidth="1"/>
    <col min="84" max="84" width="10.85546875" bestFit="1" customWidth="1"/>
    <col min="85" max="85" width="12" bestFit="1" customWidth="1"/>
    <col min="86" max="86" width="9.28515625" customWidth="1"/>
    <col min="87" max="87" width="13.42578125" bestFit="1" customWidth="1"/>
    <col min="88" max="88" width="10.42578125" bestFit="1" customWidth="1"/>
    <col min="89" max="89" width="11.5703125" bestFit="1" customWidth="1"/>
    <col min="90" max="90" width="5.28515625" bestFit="1" customWidth="1"/>
    <col min="91" max="91" width="12.425781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5" width="15.85546875" customWidth="1"/>
    <col min="96" max="97" width="11.5703125" bestFit="1" customWidth="1"/>
    <col min="98" max="98" width="5.28515625" bestFit="1" customWidth="1"/>
    <col min="99" max="99" width="14.28515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57031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2.7109375" bestFit="1" customWidth="1"/>
    <col min="162" max="163" width="12.28515625" bestFit="1" customWidth="1"/>
    <col min="164" max="164" width="10.5703125" bestFit="1" customWidth="1"/>
    <col min="165" max="165" width="11" bestFit="1" customWidth="1"/>
    <col min="166" max="166" width="12.28515625" bestFit="1" customWidth="1"/>
    <col min="167" max="168" width="11.28515625" bestFit="1" customWidth="1"/>
    <col min="169" max="169" width="12.28515625" bestFit="1" customWidth="1"/>
    <col min="170" max="170" width="14.42578125" bestFit="1" customWidth="1"/>
    <col min="171" max="171" width="11.28515625" bestFit="1" customWidth="1"/>
    <col min="172" max="172" width="12.28515625" bestFit="1" customWidth="1"/>
    <col min="173" max="173" width="12.710937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42578125" bestFit="1" customWidth="1"/>
    <col min="182" max="182" width="11.5703125" bestFit="1" customWidth="1"/>
    <col min="183" max="183" width="13.85546875" customWidth="1"/>
    <col min="184" max="185" width="10.7109375" bestFit="1" customWidth="1"/>
    <col min="186" max="186" width="9.5703125" bestFit="1" customWidth="1"/>
    <col min="187" max="187" width="13.85546875" customWidth="1"/>
    <col min="188" max="188" width="12" bestFit="1" customWidth="1"/>
    <col min="189" max="201" width="13.85546875" customWidth="1"/>
    <col min="202" max="202" width="11.5703125" style="246" bestFit="1" customWidth="1"/>
    <col min="203" max="203" width="15.140625" customWidth="1"/>
    <col min="204" max="204" width="15" bestFit="1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style="246" customWidth="1"/>
    <col min="215" max="216" width="12" bestFit="1" customWidth="1"/>
    <col min="217" max="217" width="13" bestFit="1" customWidth="1"/>
    <col min="218" max="218" width="12" bestFit="1" customWidth="1"/>
    <col min="219" max="219" width="7.42578125" bestFit="1" customWidth="1"/>
    <col min="220" max="220" width="16.28515625" bestFit="1" customWidth="1"/>
    <col min="221" max="221" width="11" bestFit="1" customWidth="1"/>
    <col min="222" max="224" width="11" customWidth="1"/>
    <col min="225" max="226" width="8.5703125" bestFit="1" customWidth="1"/>
    <col min="227" max="227" width="11" bestFit="1" customWidth="1"/>
    <col min="228" max="228" width="8.5703125" bestFit="1" customWidth="1"/>
    <col min="229" max="229" width="8.140625" bestFit="1" customWidth="1"/>
    <col min="230" max="230" width="11.7109375" bestFit="1" customWidth="1"/>
    <col min="231" max="231" width="9.5703125" bestFit="1" customWidth="1"/>
    <col min="232" max="232" width="8.140625" bestFit="1" customWidth="1"/>
    <col min="233" max="233" width="11" bestFit="1" customWidth="1"/>
    <col min="234" max="239" width="11" customWidth="1"/>
    <col min="240" max="240" width="5.5703125" bestFit="1" customWidth="1"/>
    <col min="241" max="241" width="7.28515625" bestFit="1" customWidth="1"/>
    <col min="242" max="242" width="12.42578125" bestFit="1" customWidth="1"/>
    <col min="243" max="243" width="24.140625" bestFit="1" customWidth="1"/>
    <col min="244" max="244" width="9.5703125" bestFit="1" customWidth="1"/>
    <col min="245" max="245" width="8.5703125" bestFit="1" customWidth="1"/>
    <col min="246" max="246" width="11" bestFit="1" customWidth="1"/>
    <col min="247" max="248" width="7.42578125" bestFit="1" customWidth="1"/>
    <col min="249" max="249" width="11" bestFit="1" customWidth="1"/>
    <col min="250" max="251" width="8.5703125" bestFit="1" customWidth="1"/>
    <col min="252" max="252" width="11" bestFit="1" customWidth="1"/>
    <col min="253" max="254" width="8.5703125" bestFit="1" customWidth="1"/>
    <col min="255" max="255" width="11" bestFit="1" customWidth="1"/>
    <col min="256" max="257" width="9.5703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8.5703125" bestFit="1" customWidth="1"/>
    <col min="263" max="263" width="7.42578125" bestFit="1" customWidth="1"/>
    <col min="264" max="264" width="11" bestFit="1" customWidth="1"/>
    <col min="265" max="265" width="9.5703125" bestFit="1" customWidth="1"/>
    <col min="266" max="266" width="8.5703125" bestFit="1" customWidth="1"/>
    <col min="267" max="267" width="11" bestFit="1" customWidth="1"/>
    <col min="268" max="268" width="9.5703125" bestFit="1" customWidth="1"/>
    <col min="269" max="269" width="7.42578125" bestFit="1" customWidth="1"/>
    <col min="270" max="270" width="11" bestFit="1" customWidth="1"/>
    <col min="271" max="272" width="8.5703125" bestFit="1" customWidth="1"/>
    <col min="273" max="273" width="11" bestFit="1" customWidth="1"/>
    <col min="274" max="275" width="9.5703125" bestFit="1" customWidth="1"/>
    <col min="276" max="276" width="11" bestFit="1" customWidth="1"/>
    <col min="277" max="277" width="9.5703125" bestFit="1" customWidth="1"/>
    <col min="278" max="278" width="8.5703125" bestFit="1" customWidth="1"/>
    <col min="279" max="279" width="11" bestFit="1" customWidth="1"/>
    <col min="280" max="281" width="8.5703125" bestFit="1" customWidth="1"/>
    <col min="282" max="282" width="11" bestFit="1" customWidth="1"/>
    <col min="283" max="283" width="9.5703125" bestFit="1" customWidth="1"/>
    <col min="284" max="284" width="10.5703125" bestFit="1" customWidth="1"/>
    <col min="285" max="285" width="11" bestFit="1" customWidth="1"/>
    <col min="286" max="286" width="7.42578125" bestFit="1" customWidth="1"/>
    <col min="287" max="287" width="7.28515625" bestFit="1" customWidth="1"/>
    <col min="288" max="288" width="11" bestFit="1" customWidth="1"/>
    <col min="289" max="289" width="8.5703125" bestFit="1" customWidth="1"/>
    <col min="290" max="290" width="7.42578125" bestFit="1" customWidth="1"/>
    <col min="291" max="291" width="11" bestFit="1" customWidth="1"/>
    <col min="292" max="292" width="12.140625" style="258" bestFit="1" customWidth="1"/>
    <col min="293" max="293" width="14.42578125" bestFit="1" customWidth="1"/>
    <col min="294" max="294" width="13.28515625" bestFit="1" customWidth="1"/>
    <col min="295" max="295" width="11.5703125" bestFit="1" customWidth="1"/>
    <col min="296" max="296" width="7.7109375" bestFit="1" customWidth="1"/>
    <col min="297" max="298" width="14.42578125" bestFit="1" customWidth="1"/>
    <col min="299" max="299" width="11.5703125" bestFit="1" customWidth="1"/>
    <col min="300" max="300" width="7.7109375" bestFit="1" customWidth="1"/>
    <col min="301" max="301" width="13.5703125" customWidth="1"/>
    <col min="302" max="302" width="15.28515625" customWidth="1"/>
    <col min="303" max="303" width="14.5703125" customWidth="1"/>
    <col min="304" max="304" width="13.28515625" bestFit="1" customWidth="1"/>
    <col min="305" max="305" width="7.7109375" bestFit="1" customWidth="1"/>
    <col min="306" max="306" width="12.7109375" bestFit="1" customWidth="1"/>
    <col min="307" max="307" width="11.7109375" bestFit="1" customWidth="1"/>
    <col min="308" max="308" width="11.5703125" bestFit="1" customWidth="1"/>
    <col min="309" max="309" width="5.28515625" bestFit="1" customWidth="1"/>
    <col min="310" max="310" width="13.28515625" bestFit="1" customWidth="1"/>
    <col min="311" max="311" width="13.5703125" bestFit="1" customWidth="1"/>
    <col min="312" max="312" width="10.5703125" bestFit="1" customWidth="1"/>
    <col min="313" max="313" width="13.28515625" bestFit="1" customWidth="1"/>
    <col min="314" max="314" width="11.5703125" bestFit="1" customWidth="1"/>
    <col min="315" max="315" width="10.5703125" bestFit="1" customWidth="1"/>
    <col min="316" max="316" width="16.140625" bestFit="1" customWidth="1"/>
    <col min="317" max="318" width="11.28515625" bestFit="1" customWidth="1"/>
    <col min="319" max="319" width="13.28515625" bestFit="1" customWidth="1"/>
    <col min="320" max="320" width="7.7109375" bestFit="1" customWidth="1"/>
    <col min="321" max="324" width="9.140625" hidden="1" customWidth="1"/>
    <col min="325" max="325" width="10.42578125" bestFit="1" customWidth="1"/>
    <col min="326" max="326" width="10.5703125" bestFit="1" customWidth="1"/>
    <col min="327" max="327" width="10.42578125" bestFit="1" customWidth="1"/>
    <col min="328" max="328" width="10.5703125" bestFit="1" customWidth="1"/>
    <col min="329" max="329" width="9.5703125" bestFit="1" customWidth="1"/>
    <col min="330" max="330" width="11.5703125" bestFit="1" customWidth="1"/>
    <col min="331" max="331" width="10.42578125" bestFit="1" customWidth="1"/>
    <col min="332" max="332" width="10.85546875" customWidth="1"/>
    <col min="333" max="334" width="9.85546875" bestFit="1" customWidth="1"/>
    <col min="335" max="335" width="13.5703125" bestFit="1" customWidth="1"/>
    <col min="336" max="336" width="7.7109375" bestFit="1" customWidth="1"/>
    <col min="337" max="337" width="13.28515625" bestFit="1" customWidth="1"/>
    <col min="338" max="338" width="11.5703125" bestFit="1" customWidth="1"/>
    <col min="339" max="339" width="10.42578125" bestFit="1" customWidth="1"/>
    <col min="340" max="340" width="7.7109375" bestFit="1" customWidth="1"/>
    <col min="341" max="341" width="11.5703125" bestFit="1" customWidth="1"/>
    <col min="342" max="342" width="10.85546875" bestFit="1" customWidth="1"/>
    <col min="343" max="343" width="13.28515625" bestFit="1" customWidth="1"/>
    <col min="344" max="344" width="10.85546875" bestFit="1" customWidth="1"/>
    <col min="345" max="346" width="7.5703125" bestFit="1" customWidth="1"/>
    <col min="347" max="348" width="10.42578125" bestFit="1" customWidth="1"/>
    <col min="349" max="349" width="11.5703125" bestFit="1" customWidth="1"/>
    <col min="350" max="350" width="5.28515625" bestFit="1" customWidth="1"/>
    <col min="351" max="351" width="10.28515625" bestFit="1" customWidth="1"/>
    <col min="352" max="352" width="10.42578125" bestFit="1" customWidth="1"/>
    <col min="353" max="353" width="11.5703125" bestFit="1" customWidth="1"/>
    <col min="354" max="354" width="5.28515625" bestFit="1" customWidth="1"/>
    <col min="355" max="357" width="11.5703125" bestFit="1" customWidth="1"/>
    <col min="358" max="358" width="5.28515625" bestFit="1" customWidth="1"/>
    <col min="359" max="360" width="10.42578125" bestFit="1" customWidth="1"/>
    <col min="361" max="361" width="11.5703125" bestFit="1" customWidth="1"/>
    <col min="362" max="362" width="5.28515625" bestFit="1" customWidth="1"/>
    <col min="363" max="363" width="14.28515625" bestFit="1" customWidth="1"/>
    <col min="364" max="364" width="13" bestFit="1" customWidth="1"/>
    <col min="365" max="365" width="11.5703125" bestFit="1" customWidth="1"/>
    <col min="366" max="366" width="8.85546875" bestFit="1" customWidth="1"/>
    <col min="367" max="367" width="14.42578125" bestFit="1" customWidth="1"/>
    <col min="368" max="368" width="10.42578125" bestFit="1" customWidth="1"/>
    <col min="369" max="369" width="12.28515625" bestFit="1" customWidth="1"/>
    <col min="370" max="370" width="13.85546875" bestFit="1" customWidth="1"/>
    <col min="371" max="371" width="11.28515625" customWidth="1"/>
    <col min="372" max="372" width="11.5703125" customWidth="1"/>
    <col min="373" max="373" width="13.42578125" bestFit="1" customWidth="1"/>
    <col min="374" max="374" width="10.42578125" customWidth="1"/>
    <col min="375" max="375" width="13.85546875" bestFit="1" customWidth="1"/>
    <col min="376" max="376" width="15.42578125" bestFit="1" customWidth="1"/>
    <col min="377" max="377" width="12.28515625" bestFit="1" customWidth="1"/>
    <col min="378" max="378" width="12.7109375" customWidth="1"/>
    <col min="379" max="379" width="10.7109375" bestFit="1" customWidth="1"/>
    <col min="380" max="380" width="9.85546875" customWidth="1"/>
    <col min="381" max="382" width="10.140625" bestFit="1" customWidth="1"/>
    <col min="383" max="383" width="7.5703125" bestFit="1" customWidth="1"/>
    <col min="384" max="384" width="9.42578125" bestFit="1" customWidth="1"/>
    <col min="385" max="385" width="14.5703125" bestFit="1" customWidth="1"/>
    <col min="386" max="386" width="14.85546875" customWidth="1"/>
    <col min="387" max="387" width="15.140625" bestFit="1" customWidth="1"/>
    <col min="388" max="388" width="12.140625" bestFit="1" customWidth="1"/>
    <col min="389" max="389" width="14.85546875" bestFit="1" customWidth="1"/>
    <col min="390" max="390" width="12.28515625" bestFit="1" customWidth="1"/>
    <col min="391" max="399" width="9.140625" hidden="1" customWidth="1"/>
    <col min="400" max="400" width="5.28515625" bestFit="1" customWidth="1"/>
    <col min="401" max="406" width="11.5703125" bestFit="1" customWidth="1"/>
    <col min="407" max="407" width="11.28515625" bestFit="1" customWidth="1"/>
    <col min="408" max="408" width="10.140625" bestFit="1" customWidth="1"/>
    <col min="409" max="409" width="11.5703125" bestFit="1" customWidth="1"/>
    <col min="410" max="410" width="16.140625" customWidth="1"/>
    <col min="411" max="411" width="13.42578125" customWidth="1"/>
    <col min="412" max="412" width="10.140625" bestFit="1" customWidth="1"/>
    <col min="413" max="413" width="12.85546875" bestFit="1" customWidth="1"/>
    <col min="414" max="414" width="12.28515625" bestFit="1" customWidth="1"/>
    <col min="415" max="415" width="11.28515625" bestFit="1" customWidth="1"/>
    <col min="416" max="416" width="11.5703125" bestFit="1" customWidth="1"/>
    <col min="417" max="417" width="10.85546875" bestFit="1" customWidth="1"/>
    <col min="418" max="418" width="11.28515625" bestFit="1" customWidth="1"/>
    <col min="419" max="419" width="10.140625" bestFit="1" customWidth="1"/>
    <col min="420" max="420" width="13.28515625" bestFit="1" customWidth="1"/>
    <col min="421" max="422" width="12.7109375" bestFit="1" customWidth="1"/>
    <col min="423" max="423" width="11" bestFit="1" customWidth="1"/>
    <col min="424" max="424" width="11.28515625" bestFit="1" customWidth="1"/>
    <col min="425" max="425" width="11.5703125" bestFit="1" customWidth="1"/>
    <col min="426" max="426" width="12.28515625" bestFit="1" customWidth="1"/>
    <col min="427" max="427" width="15.140625" bestFit="1" customWidth="1"/>
    <col min="428" max="428" width="14.42578125" bestFit="1" customWidth="1"/>
    <col min="429" max="429" width="12.28515625" bestFit="1" customWidth="1"/>
    <col min="430" max="430" width="15.140625" bestFit="1" customWidth="1"/>
    <col min="431" max="431" width="14.42578125" bestFit="1" customWidth="1"/>
    <col min="432" max="432" width="12.28515625" bestFit="1" customWidth="1"/>
    <col min="433" max="433" width="14.42578125" bestFit="1" customWidth="1"/>
    <col min="434" max="434" width="11.28515625" bestFit="1" customWidth="1"/>
    <col min="435" max="435" width="12.28515625" bestFit="1" customWidth="1"/>
    <col min="436" max="436" width="13" bestFit="1" customWidth="1"/>
    <col min="437" max="437" width="15.140625" bestFit="1" customWidth="1"/>
    <col min="438" max="438" width="12.28515625" bestFit="1" customWidth="1"/>
    <col min="439" max="439" width="13.85546875" bestFit="1" customWidth="1"/>
    <col min="440" max="440" width="11.28515625" bestFit="1" customWidth="1"/>
    <col min="441" max="441" width="12.28515625" bestFit="1" customWidth="1"/>
    <col min="442" max="442" width="13.85546875" bestFit="1" customWidth="1"/>
    <col min="443" max="444" width="15.140625" bestFit="1" customWidth="1"/>
    <col min="445" max="445" width="12.28515625" bestFit="1" customWidth="1"/>
    <col min="446" max="446" width="5.7109375" bestFit="1" customWidth="1"/>
    <col min="447" max="447" width="8.5703125" bestFit="1" customWidth="1"/>
    <col min="448" max="448" width="5.5703125" bestFit="1" customWidth="1"/>
    <col min="449" max="449" width="14.42578125" bestFit="1" customWidth="1"/>
    <col min="450" max="450" width="11.28515625" bestFit="1" customWidth="1"/>
    <col min="451" max="452" width="12.28515625" bestFit="1" customWidth="1"/>
    <col min="453" max="453" width="11.28515625" bestFit="1" customWidth="1"/>
    <col min="454" max="454" width="13.85546875" bestFit="1" customWidth="1"/>
    <col min="455" max="455" width="12" bestFit="1" customWidth="1"/>
    <col min="456" max="456" width="13.85546875" bestFit="1" customWidth="1"/>
    <col min="457" max="458" width="14.42578125" customWidth="1"/>
    <col min="459" max="459" width="10.140625" bestFit="1" customWidth="1"/>
    <col min="460" max="460" width="12.28515625" bestFit="1" customWidth="1"/>
    <col min="461" max="461" width="7.42578125" bestFit="1" customWidth="1"/>
    <col min="462" max="462" width="8.5703125" bestFit="1" customWidth="1"/>
    <col min="463" max="463" width="11.5703125" bestFit="1" customWidth="1"/>
    <col min="464" max="464" width="13.28515625" bestFit="1" customWidth="1"/>
    <col min="465" max="465" width="13.28515625" customWidth="1"/>
    <col min="466" max="466" width="13.140625" customWidth="1"/>
    <col min="467" max="467" width="12.7109375" bestFit="1" customWidth="1"/>
    <col min="468" max="468" width="13.28515625" bestFit="1" customWidth="1"/>
    <col min="469" max="471" width="13.28515625" customWidth="1"/>
    <col min="472" max="472" width="12.140625" bestFit="1" customWidth="1"/>
    <col min="473" max="473" width="12.7109375" bestFit="1" customWidth="1"/>
    <col min="474" max="474" width="11" customWidth="1"/>
    <col min="475" max="475" width="16.7109375" customWidth="1"/>
    <col min="476" max="476" width="17" customWidth="1"/>
    <col min="477" max="477" width="10.42578125" bestFit="1" customWidth="1"/>
    <col min="521" max="521" width="3.85546875" customWidth="1"/>
    <col min="522" max="522" width="15.28515625" bestFit="1" customWidth="1"/>
    <col min="523" max="523" width="12.28515625" customWidth="1"/>
    <col min="524" max="524" width="16.28515625" bestFit="1" customWidth="1"/>
    <col min="525" max="525" width="6.42578125" bestFit="1" customWidth="1"/>
    <col min="526" max="526" width="9.28515625" bestFit="1" customWidth="1"/>
    <col min="527" max="527" width="7.5703125" bestFit="1" customWidth="1"/>
    <col min="528" max="528" width="13.28515625" bestFit="1" customWidth="1"/>
    <col min="529" max="529" width="9.28515625" bestFit="1" customWidth="1"/>
    <col min="530" max="530" width="11.5703125" bestFit="1" customWidth="1"/>
    <col min="531" max="531" width="13.28515625" bestFit="1" customWidth="1"/>
    <col min="532" max="532" width="7.140625" bestFit="1" customWidth="1"/>
    <col min="533" max="533" width="12" bestFit="1" customWidth="1"/>
    <col min="534" max="534" width="13.28515625" bestFit="1" customWidth="1"/>
    <col min="535" max="535" width="7" bestFit="1" customWidth="1"/>
    <col min="536" max="536" width="12.7109375" bestFit="1" customWidth="1"/>
    <col min="537" max="537" width="11.5703125" bestFit="1" customWidth="1"/>
    <col min="538" max="538" width="10.5703125" bestFit="1" customWidth="1"/>
    <col min="539" max="540" width="15.7109375" bestFit="1" customWidth="1"/>
    <col min="541" max="541" width="11.5703125" bestFit="1" customWidth="1"/>
    <col min="542" max="542" width="7.7109375" bestFit="1" customWidth="1"/>
    <col min="543" max="543" width="15.140625" bestFit="1" customWidth="1"/>
    <col min="544" max="544" width="11.5703125" bestFit="1" customWidth="1"/>
    <col min="545" max="545" width="13.28515625" bestFit="1" customWidth="1"/>
    <col min="546" max="546" width="10.42578125" bestFit="1" customWidth="1"/>
    <col min="547" max="547" width="13.28515625" bestFit="1" customWidth="1"/>
    <col min="548" max="548" width="12.140625" bestFit="1" customWidth="1"/>
    <col min="549" max="549" width="14.42578125" bestFit="1" customWidth="1"/>
    <col min="550" max="550" width="13.28515625" bestFit="1" customWidth="1"/>
    <col min="551" max="551" width="11.5703125" bestFit="1" customWidth="1"/>
    <col min="552" max="552" width="7.7109375" bestFit="1" customWidth="1"/>
    <col min="553" max="554" width="14.42578125" bestFit="1" customWidth="1"/>
    <col min="555" max="555" width="11.5703125" bestFit="1" customWidth="1"/>
    <col min="556" max="556" width="7.7109375" bestFit="1" customWidth="1"/>
    <col min="557" max="557" width="13.5703125" customWidth="1"/>
    <col min="558" max="558" width="15.28515625" customWidth="1"/>
    <col min="559" max="559" width="14.5703125" customWidth="1"/>
    <col min="560" max="560" width="13.28515625" bestFit="1" customWidth="1"/>
    <col min="561" max="561" width="7.7109375" bestFit="1" customWidth="1"/>
    <col min="562" max="562" width="12.7109375" bestFit="1" customWidth="1"/>
    <col min="563" max="563" width="11.7109375" bestFit="1" customWidth="1"/>
    <col min="564" max="564" width="11.5703125" bestFit="1" customWidth="1"/>
    <col min="565" max="565" width="5.28515625" bestFit="1" customWidth="1"/>
    <col min="566" max="566" width="13.28515625" bestFit="1" customWidth="1"/>
    <col min="567" max="567" width="13.5703125" bestFit="1" customWidth="1"/>
    <col min="568" max="568" width="10.5703125" bestFit="1" customWidth="1"/>
    <col min="569" max="569" width="13.28515625" bestFit="1" customWidth="1"/>
    <col min="570" max="570" width="11.5703125" bestFit="1" customWidth="1"/>
    <col min="571" max="571" width="10.5703125" bestFit="1" customWidth="1"/>
    <col min="572" max="572" width="16.140625" bestFit="1" customWidth="1"/>
    <col min="573" max="574" width="11.28515625" bestFit="1" customWidth="1"/>
    <col min="575" max="575" width="13.28515625" bestFit="1" customWidth="1"/>
    <col min="576" max="576" width="7.7109375" bestFit="1" customWidth="1"/>
    <col min="577" max="580" width="9.140625" hidden="1" customWidth="1"/>
    <col min="581" max="581" width="10.42578125" bestFit="1" customWidth="1"/>
    <col min="582" max="582" width="10.5703125" bestFit="1" customWidth="1"/>
    <col min="583" max="583" width="10.42578125" bestFit="1" customWidth="1"/>
    <col min="584" max="584" width="10.5703125" bestFit="1" customWidth="1"/>
    <col min="585" max="585" width="9.5703125" bestFit="1" customWidth="1"/>
    <col min="586" max="586" width="11.5703125" bestFit="1" customWidth="1"/>
    <col min="587" max="587" width="10.42578125" bestFit="1" customWidth="1"/>
    <col min="588" max="588" width="10.85546875" customWidth="1"/>
    <col min="589" max="590" width="9.85546875" bestFit="1" customWidth="1"/>
    <col min="591" max="591" width="13.5703125" bestFit="1" customWidth="1"/>
    <col min="592" max="592" width="7.7109375" bestFit="1" customWidth="1"/>
    <col min="593" max="593" width="13.28515625" bestFit="1" customWidth="1"/>
    <col min="594" max="594" width="11.5703125" bestFit="1" customWidth="1"/>
    <col min="595" max="595" width="10.42578125" bestFit="1" customWidth="1"/>
    <col min="596" max="596" width="7.7109375" bestFit="1" customWidth="1"/>
    <col min="597" max="597" width="11.5703125" bestFit="1" customWidth="1"/>
    <col min="598" max="598" width="10.85546875" bestFit="1" customWidth="1"/>
    <col min="599" max="599" width="13.28515625" bestFit="1" customWidth="1"/>
    <col min="600" max="600" width="10.85546875" bestFit="1" customWidth="1"/>
    <col min="601" max="602" width="7.5703125" bestFit="1" customWidth="1"/>
    <col min="603" max="604" width="10.42578125" bestFit="1" customWidth="1"/>
    <col min="605" max="605" width="11.5703125" bestFit="1" customWidth="1"/>
    <col min="606" max="606" width="5.28515625" bestFit="1" customWidth="1"/>
    <col min="607" max="607" width="10.28515625" bestFit="1" customWidth="1"/>
    <col min="608" max="608" width="10.42578125" bestFit="1" customWidth="1"/>
    <col min="609" max="609" width="11.5703125" bestFit="1" customWidth="1"/>
    <col min="610" max="610" width="5.28515625" bestFit="1" customWidth="1"/>
    <col min="611" max="613" width="11.5703125" bestFit="1" customWidth="1"/>
    <col min="614" max="614" width="5.28515625" bestFit="1" customWidth="1"/>
    <col min="615" max="616" width="10.42578125" bestFit="1" customWidth="1"/>
    <col min="617" max="617" width="11.5703125" bestFit="1" customWidth="1"/>
    <col min="618" max="618" width="5.28515625" bestFit="1" customWidth="1"/>
    <col min="619" max="619" width="14.28515625" bestFit="1" customWidth="1"/>
    <col min="620" max="620" width="13" bestFit="1" customWidth="1"/>
    <col min="621" max="621" width="11.5703125" bestFit="1" customWidth="1"/>
    <col min="622" max="622" width="8.85546875" bestFit="1" customWidth="1"/>
    <col min="623" max="623" width="14.42578125" bestFit="1" customWidth="1"/>
    <col min="624" max="624" width="10.42578125" bestFit="1" customWidth="1"/>
    <col min="625" max="625" width="12.28515625" bestFit="1" customWidth="1"/>
    <col min="626" max="626" width="13.85546875" bestFit="1" customWidth="1"/>
    <col min="627" max="627" width="11.28515625" customWidth="1"/>
    <col min="628" max="628" width="11.5703125" customWidth="1"/>
    <col min="629" max="629" width="13.42578125" bestFit="1" customWidth="1"/>
    <col min="630" max="630" width="10.42578125" customWidth="1"/>
    <col min="631" max="631" width="13.85546875" bestFit="1" customWidth="1"/>
    <col min="632" max="632" width="15.42578125" bestFit="1" customWidth="1"/>
    <col min="633" max="633" width="12.28515625" bestFit="1" customWidth="1"/>
    <col min="634" max="634" width="12.7109375" customWidth="1"/>
    <col min="635" max="635" width="10.7109375" bestFit="1" customWidth="1"/>
    <col min="636" max="636" width="9.85546875" customWidth="1"/>
    <col min="637" max="638" width="10.140625" bestFit="1" customWidth="1"/>
    <col min="639" max="639" width="7.5703125" bestFit="1" customWidth="1"/>
    <col min="640" max="640" width="9.42578125" bestFit="1" customWidth="1"/>
    <col min="641" max="641" width="14.5703125" bestFit="1" customWidth="1"/>
    <col min="642" max="642" width="14.85546875" customWidth="1"/>
    <col min="643" max="643" width="15.140625" bestFit="1" customWidth="1"/>
    <col min="644" max="644" width="12.140625" bestFit="1" customWidth="1"/>
    <col min="645" max="645" width="14.85546875" bestFit="1" customWidth="1"/>
    <col min="646" max="646" width="12.28515625" bestFit="1" customWidth="1"/>
    <col min="647" max="655" width="9.140625" hidden="1" customWidth="1"/>
    <col min="656" max="656" width="5.28515625" bestFit="1" customWidth="1"/>
    <col min="657" max="662" width="11.5703125" bestFit="1" customWidth="1"/>
    <col min="663" max="663" width="11.28515625" bestFit="1" customWidth="1"/>
    <col min="664" max="664" width="10.140625" bestFit="1" customWidth="1"/>
    <col min="665" max="665" width="11.5703125" bestFit="1" customWidth="1"/>
    <col min="666" max="666" width="16.140625" customWidth="1"/>
    <col min="667" max="667" width="13.42578125" customWidth="1"/>
    <col min="668" max="668" width="10.140625" bestFit="1" customWidth="1"/>
    <col min="669" max="669" width="12.85546875" bestFit="1" customWidth="1"/>
    <col min="670" max="670" width="12.28515625" bestFit="1" customWidth="1"/>
    <col min="671" max="671" width="11.28515625" bestFit="1" customWidth="1"/>
    <col min="672" max="672" width="11.5703125" bestFit="1" customWidth="1"/>
    <col min="673" max="673" width="10.85546875" bestFit="1" customWidth="1"/>
    <col min="674" max="674" width="11.28515625" bestFit="1" customWidth="1"/>
    <col min="675" max="675" width="10.140625" bestFit="1" customWidth="1"/>
    <col min="676" max="676" width="13.28515625" bestFit="1" customWidth="1"/>
    <col min="677" max="678" width="12.7109375" bestFit="1" customWidth="1"/>
    <col min="679" max="679" width="11" bestFit="1" customWidth="1"/>
    <col min="680" max="680" width="11.28515625" bestFit="1" customWidth="1"/>
    <col min="681" max="681" width="11.5703125" bestFit="1" customWidth="1"/>
    <col min="682" max="682" width="12.28515625" bestFit="1" customWidth="1"/>
    <col min="683" max="683" width="15.140625" bestFit="1" customWidth="1"/>
    <col min="684" max="684" width="14.42578125" bestFit="1" customWidth="1"/>
    <col min="685" max="685" width="12.28515625" bestFit="1" customWidth="1"/>
    <col min="686" max="686" width="15.140625" bestFit="1" customWidth="1"/>
    <col min="687" max="687" width="14.42578125" bestFit="1" customWidth="1"/>
    <col min="688" max="688" width="12.28515625" bestFit="1" customWidth="1"/>
    <col min="689" max="689" width="14.42578125" bestFit="1" customWidth="1"/>
    <col min="690" max="690" width="11.28515625" bestFit="1" customWidth="1"/>
    <col min="691" max="691" width="12.28515625" bestFit="1" customWidth="1"/>
    <col min="692" max="692" width="13" bestFit="1" customWidth="1"/>
    <col min="693" max="693" width="15.140625" bestFit="1" customWidth="1"/>
    <col min="694" max="694" width="12.28515625" bestFit="1" customWidth="1"/>
    <col min="695" max="695" width="13.85546875" bestFit="1" customWidth="1"/>
    <col min="696" max="696" width="11.28515625" bestFit="1" customWidth="1"/>
    <col min="697" max="697" width="12.28515625" bestFit="1" customWidth="1"/>
    <col min="698" max="698" width="13.85546875" bestFit="1" customWidth="1"/>
    <col min="699" max="700" width="15.140625" bestFit="1" customWidth="1"/>
    <col min="701" max="701" width="12.28515625" bestFit="1" customWidth="1"/>
    <col min="702" max="702" width="5.7109375" bestFit="1" customWidth="1"/>
    <col min="703" max="703" width="8.5703125" bestFit="1" customWidth="1"/>
    <col min="704" max="704" width="5.5703125" bestFit="1" customWidth="1"/>
    <col min="705" max="705" width="14.42578125" bestFit="1" customWidth="1"/>
    <col min="706" max="706" width="11.28515625" bestFit="1" customWidth="1"/>
    <col min="707" max="708" width="12.28515625" bestFit="1" customWidth="1"/>
    <col min="709" max="709" width="11.28515625" bestFit="1" customWidth="1"/>
    <col min="710" max="710" width="13.85546875" bestFit="1" customWidth="1"/>
    <col min="711" max="711" width="12" bestFit="1" customWidth="1"/>
    <col min="712" max="712" width="13.85546875" bestFit="1" customWidth="1"/>
    <col min="713" max="714" width="14.42578125" customWidth="1"/>
    <col min="715" max="715" width="10.140625" bestFit="1" customWidth="1"/>
    <col min="716" max="716" width="12.28515625" bestFit="1" customWidth="1"/>
    <col min="717" max="717" width="7.42578125" bestFit="1" customWidth="1"/>
    <col min="718" max="718" width="8.5703125" bestFit="1" customWidth="1"/>
    <col min="719" max="719" width="11.5703125" bestFit="1" customWidth="1"/>
    <col min="720" max="720" width="13.28515625" bestFit="1" customWidth="1"/>
    <col min="721" max="721" width="13.28515625" customWidth="1"/>
    <col min="722" max="722" width="13.140625" customWidth="1"/>
    <col min="723" max="723" width="12.7109375" bestFit="1" customWidth="1"/>
    <col min="724" max="724" width="13.28515625" bestFit="1" customWidth="1"/>
    <col min="725" max="727" width="13.28515625" customWidth="1"/>
    <col min="728" max="728" width="12.140625" bestFit="1" customWidth="1"/>
    <col min="729" max="729" width="12.7109375" bestFit="1" customWidth="1"/>
    <col min="730" max="730" width="11" customWidth="1"/>
    <col min="731" max="731" width="16.7109375" customWidth="1"/>
    <col min="732" max="732" width="17" customWidth="1"/>
    <col min="733" max="733" width="10.42578125" bestFit="1" customWidth="1"/>
    <col min="777" max="777" width="3.85546875" customWidth="1"/>
    <col min="778" max="778" width="15.28515625" bestFit="1" customWidth="1"/>
    <col min="779" max="779" width="12.28515625" customWidth="1"/>
    <col min="780" max="780" width="16.28515625" bestFit="1" customWidth="1"/>
    <col min="781" max="781" width="6.42578125" bestFit="1" customWidth="1"/>
    <col min="782" max="782" width="9.28515625" bestFit="1" customWidth="1"/>
    <col min="783" max="783" width="7.5703125" bestFit="1" customWidth="1"/>
    <col min="784" max="784" width="13.28515625" bestFit="1" customWidth="1"/>
    <col min="785" max="785" width="9.28515625" bestFit="1" customWidth="1"/>
    <col min="786" max="786" width="11.5703125" bestFit="1" customWidth="1"/>
    <col min="787" max="787" width="13.28515625" bestFit="1" customWidth="1"/>
    <col min="788" max="788" width="7.140625" bestFit="1" customWidth="1"/>
    <col min="789" max="789" width="12" bestFit="1" customWidth="1"/>
    <col min="790" max="790" width="13.28515625" bestFit="1" customWidth="1"/>
    <col min="791" max="791" width="7" bestFit="1" customWidth="1"/>
    <col min="792" max="792" width="12.7109375" bestFit="1" customWidth="1"/>
    <col min="793" max="793" width="11.5703125" bestFit="1" customWidth="1"/>
    <col min="794" max="794" width="10.5703125" bestFit="1" customWidth="1"/>
    <col min="795" max="796" width="15.7109375" bestFit="1" customWidth="1"/>
    <col min="797" max="797" width="11.5703125" bestFit="1" customWidth="1"/>
    <col min="798" max="798" width="7.7109375" bestFit="1" customWidth="1"/>
    <col min="799" max="799" width="15.140625" bestFit="1" customWidth="1"/>
    <col min="800" max="800" width="11.5703125" bestFit="1" customWidth="1"/>
    <col min="801" max="801" width="13.28515625" bestFit="1" customWidth="1"/>
    <col min="802" max="802" width="10.42578125" bestFit="1" customWidth="1"/>
    <col min="803" max="803" width="13.28515625" bestFit="1" customWidth="1"/>
    <col min="804" max="804" width="12.140625" bestFit="1" customWidth="1"/>
    <col min="805" max="805" width="14.42578125" bestFit="1" customWidth="1"/>
    <col min="806" max="806" width="13.28515625" bestFit="1" customWidth="1"/>
    <col min="807" max="807" width="11.5703125" bestFit="1" customWidth="1"/>
    <col min="808" max="808" width="7.7109375" bestFit="1" customWidth="1"/>
    <col min="809" max="810" width="14.42578125" bestFit="1" customWidth="1"/>
    <col min="811" max="811" width="11.5703125" bestFit="1" customWidth="1"/>
    <col min="812" max="812" width="7.7109375" bestFit="1" customWidth="1"/>
    <col min="813" max="813" width="13.5703125" customWidth="1"/>
    <col min="814" max="814" width="15.28515625" customWidth="1"/>
    <col min="815" max="815" width="14.5703125" customWidth="1"/>
    <col min="816" max="816" width="13.28515625" bestFit="1" customWidth="1"/>
    <col min="817" max="817" width="7.7109375" bestFit="1" customWidth="1"/>
    <col min="818" max="818" width="12.7109375" bestFit="1" customWidth="1"/>
    <col min="819" max="819" width="11.7109375" bestFit="1" customWidth="1"/>
    <col min="820" max="820" width="11.5703125" bestFit="1" customWidth="1"/>
    <col min="821" max="821" width="5.28515625" bestFit="1" customWidth="1"/>
    <col min="822" max="822" width="13.28515625" bestFit="1" customWidth="1"/>
    <col min="823" max="823" width="13.5703125" bestFit="1" customWidth="1"/>
    <col min="824" max="824" width="10.5703125" bestFit="1" customWidth="1"/>
    <col min="825" max="825" width="13.28515625" bestFit="1" customWidth="1"/>
    <col min="826" max="826" width="11.5703125" bestFit="1" customWidth="1"/>
    <col min="827" max="827" width="10.5703125" bestFit="1" customWidth="1"/>
    <col min="828" max="828" width="16.140625" bestFit="1" customWidth="1"/>
    <col min="829" max="830" width="11.28515625" bestFit="1" customWidth="1"/>
    <col min="831" max="831" width="13.28515625" bestFit="1" customWidth="1"/>
    <col min="832" max="832" width="7.7109375" bestFit="1" customWidth="1"/>
    <col min="833" max="836" width="9.140625" hidden="1" customWidth="1"/>
    <col min="837" max="837" width="10.42578125" bestFit="1" customWidth="1"/>
    <col min="838" max="838" width="10.5703125" bestFit="1" customWidth="1"/>
    <col min="839" max="839" width="10.42578125" bestFit="1" customWidth="1"/>
    <col min="840" max="840" width="10.5703125" bestFit="1" customWidth="1"/>
    <col min="841" max="841" width="9.5703125" bestFit="1" customWidth="1"/>
    <col min="842" max="842" width="11.5703125" bestFit="1" customWidth="1"/>
    <col min="843" max="843" width="10.42578125" bestFit="1" customWidth="1"/>
    <col min="844" max="844" width="10.85546875" customWidth="1"/>
    <col min="845" max="846" width="9.85546875" bestFit="1" customWidth="1"/>
    <col min="847" max="847" width="13.5703125" bestFit="1" customWidth="1"/>
    <col min="848" max="848" width="7.7109375" bestFit="1" customWidth="1"/>
    <col min="849" max="849" width="13.28515625" bestFit="1" customWidth="1"/>
    <col min="850" max="850" width="11.5703125" bestFit="1" customWidth="1"/>
    <col min="851" max="851" width="10.42578125" bestFit="1" customWidth="1"/>
    <col min="852" max="852" width="7.7109375" bestFit="1" customWidth="1"/>
    <col min="853" max="853" width="11.5703125" bestFit="1" customWidth="1"/>
    <col min="854" max="854" width="10.85546875" bestFit="1" customWidth="1"/>
    <col min="855" max="855" width="13.28515625" bestFit="1" customWidth="1"/>
    <col min="856" max="856" width="10.85546875" bestFit="1" customWidth="1"/>
    <col min="857" max="858" width="7.5703125" bestFit="1" customWidth="1"/>
    <col min="859" max="860" width="10.42578125" bestFit="1" customWidth="1"/>
    <col min="861" max="861" width="11.5703125" bestFit="1" customWidth="1"/>
    <col min="862" max="862" width="5.28515625" bestFit="1" customWidth="1"/>
    <col min="863" max="863" width="10.28515625" bestFit="1" customWidth="1"/>
    <col min="864" max="864" width="10.42578125" bestFit="1" customWidth="1"/>
    <col min="865" max="865" width="11.5703125" bestFit="1" customWidth="1"/>
    <col min="866" max="866" width="5.28515625" bestFit="1" customWidth="1"/>
    <col min="867" max="869" width="11.5703125" bestFit="1" customWidth="1"/>
    <col min="870" max="870" width="5.28515625" bestFit="1" customWidth="1"/>
    <col min="871" max="872" width="10.42578125" bestFit="1" customWidth="1"/>
    <col min="873" max="873" width="11.5703125" bestFit="1" customWidth="1"/>
    <col min="874" max="874" width="5.28515625" bestFit="1" customWidth="1"/>
    <col min="875" max="875" width="14.28515625" bestFit="1" customWidth="1"/>
    <col min="876" max="876" width="13" bestFit="1" customWidth="1"/>
    <col min="877" max="877" width="11.5703125" bestFit="1" customWidth="1"/>
    <col min="878" max="878" width="8.85546875" bestFit="1" customWidth="1"/>
    <col min="879" max="879" width="14.42578125" bestFit="1" customWidth="1"/>
    <col min="880" max="880" width="10.42578125" bestFit="1" customWidth="1"/>
    <col min="881" max="881" width="12.28515625" bestFit="1" customWidth="1"/>
    <col min="882" max="882" width="13.85546875" bestFit="1" customWidth="1"/>
    <col min="883" max="883" width="11.28515625" customWidth="1"/>
    <col min="884" max="884" width="11.5703125" customWidth="1"/>
    <col min="885" max="885" width="13.42578125" bestFit="1" customWidth="1"/>
    <col min="886" max="886" width="10.42578125" customWidth="1"/>
    <col min="887" max="887" width="13.85546875" bestFit="1" customWidth="1"/>
    <col min="888" max="888" width="15.42578125" bestFit="1" customWidth="1"/>
    <col min="889" max="889" width="12.28515625" bestFit="1" customWidth="1"/>
    <col min="890" max="890" width="12.7109375" customWidth="1"/>
    <col min="891" max="891" width="10.7109375" bestFit="1" customWidth="1"/>
    <col min="892" max="892" width="9.85546875" customWidth="1"/>
    <col min="893" max="894" width="10.140625" bestFit="1" customWidth="1"/>
    <col min="895" max="895" width="7.5703125" bestFit="1" customWidth="1"/>
    <col min="896" max="896" width="9.42578125" bestFit="1" customWidth="1"/>
    <col min="897" max="897" width="14.5703125" bestFit="1" customWidth="1"/>
    <col min="898" max="898" width="14.85546875" customWidth="1"/>
    <col min="899" max="899" width="15.140625" bestFit="1" customWidth="1"/>
    <col min="900" max="900" width="12.140625" bestFit="1" customWidth="1"/>
    <col min="901" max="901" width="14.85546875" bestFit="1" customWidth="1"/>
    <col min="902" max="902" width="12.28515625" bestFit="1" customWidth="1"/>
    <col min="903" max="911" width="9.140625" hidden="1" customWidth="1"/>
    <col min="912" max="912" width="5.28515625" bestFit="1" customWidth="1"/>
    <col min="913" max="918" width="11.5703125" bestFit="1" customWidth="1"/>
    <col min="919" max="919" width="11.28515625" bestFit="1" customWidth="1"/>
    <col min="920" max="920" width="10.140625" bestFit="1" customWidth="1"/>
    <col min="921" max="921" width="11.5703125" bestFit="1" customWidth="1"/>
    <col min="922" max="922" width="16.140625" customWidth="1"/>
    <col min="923" max="923" width="13.42578125" customWidth="1"/>
    <col min="924" max="924" width="10.140625" bestFit="1" customWidth="1"/>
    <col min="925" max="925" width="12.85546875" bestFit="1" customWidth="1"/>
    <col min="926" max="926" width="12.28515625" bestFit="1" customWidth="1"/>
    <col min="927" max="927" width="11.28515625" bestFit="1" customWidth="1"/>
    <col min="928" max="928" width="11.5703125" bestFit="1" customWidth="1"/>
    <col min="929" max="929" width="10.85546875" bestFit="1" customWidth="1"/>
    <col min="930" max="930" width="11.28515625" bestFit="1" customWidth="1"/>
    <col min="931" max="931" width="10.140625" bestFit="1" customWidth="1"/>
    <col min="932" max="932" width="13.28515625" bestFit="1" customWidth="1"/>
    <col min="933" max="934" width="12.7109375" bestFit="1" customWidth="1"/>
    <col min="935" max="935" width="11" bestFit="1" customWidth="1"/>
    <col min="936" max="936" width="11.28515625" bestFit="1" customWidth="1"/>
    <col min="937" max="937" width="11.5703125" bestFit="1" customWidth="1"/>
    <col min="938" max="938" width="12.28515625" bestFit="1" customWidth="1"/>
    <col min="939" max="939" width="15.140625" bestFit="1" customWidth="1"/>
    <col min="940" max="940" width="14.42578125" bestFit="1" customWidth="1"/>
    <col min="941" max="941" width="12.28515625" bestFit="1" customWidth="1"/>
    <col min="942" max="942" width="15.140625" bestFit="1" customWidth="1"/>
    <col min="943" max="943" width="14.42578125" bestFit="1" customWidth="1"/>
    <col min="944" max="944" width="12.28515625" bestFit="1" customWidth="1"/>
    <col min="945" max="945" width="14.42578125" bestFit="1" customWidth="1"/>
    <col min="946" max="946" width="11.28515625" bestFit="1" customWidth="1"/>
    <col min="947" max="947" width="12.28515625" bestFit="1" customWidth="1"/>
    <col min="948" max="948" width="13" bestFit="1" customWidth="1"/>
    <col min="949" max="949" width="15.140625" bestFit="1" customWidth="1"/>
    <col min="950" max="950" width="12.28515625" bestFit="1" customWidth="1"/>
    <col min="951" max="951" width="13.85546875" bestFit="1" customWidth="1"/>
    <col min="952" max="952" width="11.28515625" bestFit="1" customWidth="1"/>
    <col min="953" max="953" width="12.28515625" bestFit="1" customWidth="1"/>
    <col min="954" max="954" width="13.85546875" bestFit="1" customWidth="1"/>
    <col min="955" max="956" width="15.140625" bestFit="1" customWidth="1"/>
    <col min="957" max="957" width="12.28515625" bestFit="1" customWidth="1"/>
    <col min="958" max="958" width="5.7109375" bestFit="1" customWidth="1"/>
    <col min="959" max="959" width="8.5703125" bestFit="1" customWidth="1"/>
    <col min="960" max="960" width="5.5703125" bestFit="1" customWidth="1"/>
    <col min="961" max="961" width="14.42578125" bestFit="1" customWidth="1"/>
    <col min="962" max="962" width="11.28515625" bestFit="1" customWidth="1"/>
    <col min="963" max="964" width="12.28515625" bestFit="1" customWidth="1"/>
    <col min="965" max="965" width="11.28515625" bestFit="1" customWidth="1"/>
    <col min="966" max="966" width="13.85546875" bestFit="1" customWidth="1"/>
    <col min="967" max="967" width="12" bestFit="1" customWidth="1"/>
    <col min="968" max="968" width="13.85546875" bestFit="1" customWidth="1"/>
    <col min="969" max="970" width="14.42578125" customWidth="1"/>
    <col min="971" max="971" width="10.140625" bestFit="1" customWidth="1"/>
    <col min="972" max="972" width="12.28515625" bestFit="1" customWidth="1"/>
    <col min="973" max="973" width="7.42578125" bestFit="1" customWidth="1"/>
    <col min="974" max="974" width="8.5703125" bestFit="1" customWidth="1"/>
    <col min="975" max="975" width="11.5703125" bestFit="1" customWidth="1"/>
    <col min="976" max="976" width="13.28515625" bestFit="1" customWidth="1"/>
    <col min="977" max="977" width="13.28515625" customWidth="1"/>
    <col min="978" max="978" width="13.140625" customWidth="1"/>
    <col min="979" max="979" width="12.7109375" bestFit="1" customWidth="1"/>
    <col min="980" max="980" width="13.28515625" bestFit="1" customWidth="1"/>
    <col min="981" max="983" width="13.28515625" customWidth="1"/>
    <col min="984" max="984" width="12.140625" bestFit="1" customWidth="1"/>
    <col min="985" max="985" width="12.7109375" bestFit="1" customWidth="1"/>
    <col min="986" max="986" width="11" customWidth="1"/>
    <col min="987" max="987" width="16.7109375" customWidth="1"/>
    <col min="988" max="988" width="17" customWidth="1"/>
    <col min="989" max="989" width="10.42578125" bestFit="1" customWidth="1"/>
    <col min="1033" max="1033" width="3.85546875" customWidth="1"/>
    <col min="1034" max="1034" width="15.28515625" bestFit="1" customWidth="1"/>
    <col min="1035" max="1035" width="12.28515625" customWidth="1"/>
    <col min="1036" max="1036" width="16.28515625" bestFit="1" customWidth="1"/>
    <col min="1037" max="1037" width="6.42578125" bestFit="1" customWidth="1"/>
    <col min="1038" max="1038" width="9.28515625" bestFit="1" customWidth="1"/>
    <col min="1039" max="1039" width="7.5703125" bestFit="1" customWidth="1"/>
    <col min="1040" max="1040" width="13.28515625" bestFit="1" customWidth="1"/>
    <col min="1041" max="1041" width="9.28515625" bestFit="1" customWidth="1"/>
    <col min="1042" max="1042" width="11.5703125" bestFit="1" customWidth="1"/>
    <col min="1043" max="1043" width="13.28515625" bestFit="1" customWidth="1"/>
    <col min="1044" max="1044" width="7.140625" bestFit="1" customWidth="1"/>
    <col min="1045" max="1045" width="12" bestFit="1" customWidth="1"/>
    <col min="1046" max="1046" width="13.28515625" bestFit="1" customWidth="1"/>
    <col min="1047" max="1047" width="7" bestFit="1" customWidth="1"/>
    <col min="1048" max="1048" width="12.7109375" bestFit="1" customWidth="1"/>
    <col min="1049" max="1049" width="11.5703125" bestFit="1" customWidth="1"/>
    <col min="1050" max="1050" width="10.5703125" bestFit="1" customWidth="1"/>
    <col min="1051" max="1052" width="15.7109375" bestFit="1" customWidth="1"/>
    <col min="1053" max="1053" width="11.5703125" bestFit="1" customWidth="1"/>
    <col min="1054" max="1054" width="7.7109375" bestFit="1" customWidth="1"/>
    <col min="1055" max="1055" width="15.140625" bestFit="1" customWidth="1"/>
    <col min="1056" max="1056" width="11.5703125" bestFit="1" customWidth="1"/>
    <col min="1057" max="1057" width="13.28515625" bestFit="1" customWidth="1"/>
    <col min="1058" max="1058" width="10.42578125" bestFit="1" customWidth="1"/>
    <col min="1059" max="1059" width="13.28515625" bestFit="1" customWidth="1"/>
    <col min="1060" max="1060" width="12.140625" bestFit="1" customWidth="1"/>
    <col min="1061" max="1061" width="14.42578125" bestFit="1" customWidth="1"/>
    <col min="1062" max="1062" width="13.28515625" bestFit="1" customWidth="1"/>
    <col min="1063" max="1063" width="11.5703125" bestFit="1" customWidth="1"/>
    <col min="1064" max="1064" width="7.7109375" bestFit="1" customWidth="1"/>
    <col min="1065" max="1066" width="14.42578125" bestFit="1" customWidth="1"/>
    <col min="1067" max="1067" width="11.5703125" bestFit="1" customWidth="1"/>
    <col min="1068" max="1068" width="7.7109375" bestFit="1" customWidth="1"/>
    <col min="1069" max="1069" width="13.5703125" customWidth="1"/>
    <col min="1070" max="1070" width="15.28515625" customWidth="1"/>
    <col min="1071" max="1071" width="14.5703125" customWidth="1"/>
    <col min="1072" max="1072" width="13.28515625" bestFit="1" customWidth="1"/>
    <col min="1073" max="1073" width="7.7109375" bestFit="1" customWidth="1"/>
    <col min="1074" max="1074" width="12.7109375" bestFit="1" customWidth="1"/>
    <col min="1075" max="1075" width="11.7109375" bestFit="1" customWidth="1"/>
    <col min="1076" max="1076" width="11.5703125" bestFit="1" customWidth="1"/>
    <col min="1077" max="1077" width="5.28515625" bestFit="1" customWidth="1"/>
    <col min="1078" max="1078" width="13.28515625" bestFit="1" customWidth="1"/>
    <col min="1079" max="1079" width="13.5703125" bestFit="1" customWidth="1"/>
    <col min="1080" max="1080" width="10.5703125" bestFit="1" customWidth="1"/>
    <col min="1081" max="1081" width="13.28515625" bestFit="1" customWidth="1"/>
    <col min="1082" max="1082" width="11.5703125" bestFit="1" customWidth="1"/>
    <col min="1083" max="1083" width="10.5703125" bestFit="1" customWidth="1"/>
    <col min="1084" max="1084" width="16.140625" bestFit="1" customWidth="1"/>
    <col min="1085" max="1086" width="11.28515625" bestFit="1" customWidth="1"/>
    <col min="1087" max="1087" width="13.28515625" bestFit="1" customWidth="1"/>
    <col min="1088" max="1088" width="7.7109375" bestFit="1" customWidth="1"/>
    <col min="1089" max="1092" width="9.140625" hidden="1" customWidth="1"/>
    <col min="1093" max="1093" width="10.42578125" bestFit="1" customWidth="1"/>
    <col min="1094" max="1094" width="10.5703125" bestFit="1" customWidth="1"/>
    <col min="1095" max="1095" width="10.42578125" bestFit="1" customWidth="1"/>
    <col min="1096" max="1096" width="10.5703125" bestFit="1" customWidth="1"/>
    <col min="1097" max="1097" width="9.5703125" bestFit="1" customWidth="1"/>
    <col min="1098" max="1098" width="11.5703125" bestFit="1" customWidth="1"/>
    <col min="1099" max="1099" width="10.42578125" bestFit="1" customWidth="1"/>
    <col min="1100" max="1100" width="10.85546875" customWidth="1"/>
    <col min="1101" max="1102" width="9.85546875" bestFit="1" customWidth="1"/>
    <col min="1103" max="1103" width="13.5703125" bestFit="1" customWidth="1"/>
    <col min="1104" max="1104" width="7.7109375" bestFit="1" customWidth="1"/>
    <col min="1105" max="1105" width="13.28515625" bestFit="1" customWidth="1"/>
    <col min="1106" max="1106" width="11.5703125" bestFit="1" customWidth="1"/>
    <col min="1107" max="1107" width="10.42578125" bestFit="1" customWidth="1"/>
    <col min="1108" max="1108" width="7.7109375" bestFit="1" customWidth="1"/>
    <col min="1109" max="1109" width="11.5703125" bestFit="1" customWidth="1"/>
    <col min="1110" max="1110" width="10.85546875" bestFit="1" customWidth="1"/>
    <col min="1111" max="1111" width="13.28515625" bestFit="1" customWidth="1"/>
    <col min="1112" max="1112" width="10.85546875" bestFit="1" customWidth="1"/>
    <col min="1113" max="1114" width="7.5703125" bestFit="1" customWidth="1"/>
    <col min="1115" max="1116" width="10.42578125" bestFit="1" customWidth="1"/>
    <col min="1117" max="1117" width="11.5703125" bestFit="1" customWidth="1"/>
    <col min="1118" max="1118" width="5.28515625" bestFit="1" customWidth="1"/>
    <col min="1119" max="1119" width="10.28515625" bestFit="1" customWidth="1"/>
    <col min="1120" max="1120" width="10.42578125" bestFit="1" customWidth="1"/>
    <col min="1121" max="1121" width="11.5703125" bestFit="1" customWidth="1"/>
    <col min="1122" max="1122" width="5.28515625" bestFit="1" customWidth="1"/>
    <col min="1123" max="1125" width="11.5703125" bestFit="1" customWidth="1"/>
    <col min="1126" max="1126" width="5.28515625" bestFit="1" customWidth="1"/>
    <col min="1127" max="1128" width="10.42578125" bestFit="1" customWidth="1"/>
    <col min="1129" max="1129" width="11.5703125" bestFit="1" customWidth="1"/>
    <col min="1130" max="1130" width="5.28515625" bestFit="1" customWidth="1"/>
    <col min="1131" max="1131" width="14.28515625" bestFit="1" customWidth="1"/>
    <col min="1132" max="1132" width="13" bestFit="1" customWidth="1"/>
    <col min="1133" max="1133" width="11.5703125" bestFit="1" customWidth="1"/>
    <col min="1134" max="1134" width="8.85546875" bestFit="1" customWidth="1"/>
    <col min="1135" max="1135" width="14.42578125" bestFit="1" customWidth="1"/>
    <col min="1136" max="1136" width="10.42578125" bestFit="1" customWidth="1"/>
    <col min="1137" max="1137" width="12.28515625" bestFit="1" customWidth="1"/>
    <col min="1138" max="1138" width="13.85546875" bestFit="1" customWidth="1"/>
    <col min="1139" max="1139" width="11.28515625" customWidth="1"/>
    <col min="1140" max="1140" width="11.5703125" customWidth="1"/>
    <col min="1141" max="1141" width="13.42578125" bestFit="1" customWidth="1"/>
    <col min="1142" max="1142" width="10.42578125" customWidth="1"/>
    <col min="1143" max="1143" width="13.85546875" bestFit="1" customWidth="1"/>
    <col min="1144" max="1144" width="15.42578125" bestFit="1" customWidth="1"/>
    <col min="1145" max="1145" width="12.28515625" bestFit="1" customWidth="1"/>
    <col min="1146" max="1146" width="12.7109375" customWidth="1"/>
    <col min="1147" max="1147" width="10.7109375" bestFit="1" customWidth="1"/>
    <col min="1148" max="1148" width="9.85546875" customWidth="1"/>
    <col min="1149" max="1150" width="10.140625" bestFit="1" customWidth="1"/>
    <col min="1151" max="1151" width="7.5703125" bestFit="1" customWidth="1"/>
    <col min="1152" max="1152" width="9.42578125" bestFit="1" customWidth="1"/>
    <col min="1153" max="1153" width="14.5703125" bestFit="1" customWidth="1"/>
    <col min="1154" max="1154" width="14.85546875" customWidth="1"/>
    <col min="1155" max="1155" width="15.140625" bestFit="1" customWidth="1"/>
    <col min="1156" max="1156" width="12.140625" bestFit="1" customWidth="1"/>
    <col min="1157" max="1157" width="14.85546875" bestFit="1" customWidth="1"/>
    <col min="1158" max="1158" width="12.28515625" bestFit="1" customWidth="1"/>
    <col min="1159" max="1167" width="9.140625" hidden="1" customWidth="1"/>
    <col min="1168" max="1168" width="5.28515625" bestFit="1" customWidth="1"/>
    <col min="1169" max="1174" width="11.5703125" bestFit="1" customWidth="1"/>
    <col min="1175" max="1175" width="11.28515625" bestFit="1" customWidth="1"/>
    <col min="1176" max="1176" width="10.140625" bestFit="1" customWidth="1"/>
    <col min="1177" max="1177" width="11.5703125" bestFit="1" customWidth="1"/>
    <col min="1178" max="1178" width="16.140625" customWidth="1"/>
    <col min="1179" max="1179" width="13.42578125" customWidth="1"/>
    <col min="1180" max="1180" width="10.140625" bestFit="1" customWidth="1"/>
    <col min="1181" max="1181" width="12.85546875" bestFit="1" customWidth="1"/>
    <col min="1182" max="1182" width="12.28515625" bestFit="1" customWidth="1"/>
    <col min="1183" max="1183" width="11.28515625" bestFit="1" customWidth="1"/>
    <col min="1184" max="1184" width="11.5703125" bestFit="1" customWidth="1"/>
    <col min="1185" max="1185" width="10.85546875" bestFit="1" customWidth="1"/>
    <col min="1186" max="1186" width="11.28515625" bestFit="1" customWidth="1"/>
    <col min="1187" max="1187" width="10.140625" bestFit="1" customWidth="1"/>
    <col min="1188" max="1188" width="13.28515625" bestFit="1" customWidth="1"/>
    <col min="1189" max="1190" width="12.7109375" bestFit="1" customWidth="1"/>
    <col min="1191" max="1191" width="11" bestFit="1" customWidth="1"/>
    <col min="1192" max="1192" width="11.28515625" bestFit="1" customWidth="1"/>
    <col min="1193" max="1193" width="11.5703125" bestFit="1" customWidth="1"/>
    <col min="1194" max="1194" width="12.28515625" bestFit="1" customWidth="1"/>
    <col min="1195" max="1195" width="15.140625" bestFit="1" customWidth="1"/>
    <col min="1196" max="1196" width="14.42578125" bestFit="1" customWidth="1"/>
    <col min="1197" max="1197" width="12.28515625" bestFit="1" customWidth="1"/>
    <col min="1198" max="1198" width="15.140625" bestFit="1" customWidth="1"/>
    <col min="1199" max="1199" width="14.42578125" bestFit="1" customWidth="1"/>
    <col min="1200" max="1200" width="12.28515625" bestFit="1" customWidth="1"/>
    <col min="1201" max="1201" width="14.42578125" bestFit="1" customWidth="1"/>
    <col min="1202" max="1202" width="11.28515625" bestFit="1" customWidth="1"/>
    <col min="1203" max="1203" width="12.28515625" bestFit="1" customWidth="1"/>
    <col min="1204" max="1204" width="13" bestFit="1" customWidth="1"/>
    <col min="1205" max="1205" width="15.140625" bestFit="1" customWidth="1"/>
    <col min="1206" max="1206" width="12.28515625" bestFit="1" customWidth="1"/>
    <col min="1207" max="1207" width="13.85546875" bestFit="1" customWidth="1"/>
    <col min="1208" max="1208" width="11.28515625" bestFit="1" customWidth="1"/>
    <col min="1209" max="1209" width="12.28515625" bestFit="1" customWidth="1"/>
    <col min="1210" max="1210" width="13.85546875" bestFit="1" customWidth="1"/>
    <col min="1211" max="1212" width="15.140625" bestFit="1" customWidth="1"/>
    <col min="1213" max="1213" width="12.28515625" bestFit="1" customWidth="1"/>
    <col min="1214" max="1214" width="5.7109375" bestFit="1" customWidth="1"/>
    <col min="1215" max="1215" width="8.5703125" bestFit="1" customWidth="1"/>
    <col min="1216" max="1216" width="5.5703125" bestFit="1" customWidth="1"/>
    <col min="1217" max="1217" width="14.42578125" bestFit="1" customWidth="1"/>
    <col min="1218" max="1218" width="11.28515625" bestFit="1" customWidth="1"/>
    <col min="1219" max="1220" width="12.28515625" bestFit="1" customWidth="1"/>
    <col min="1221" max="1221" width="11.28515625" bestFit="1" customWidth="1"/>
    <col min="1222" max="1222" width="13.85546875" bestFit="1" customWidth="1"/>
    <col min="1223" max="1223" width="12" bestFit="1" customWidth="1"/>
    <col min="1224" max="1224" width="13.85546875" bestFit="1" customWidth="1"/>
    <col min="1225" max="1226" width="14.42578125" customWidth="1"/>
    <col min="1227" max="1227" width="10.140625" bestFit="1" customWidth="1"/>
    <col min="1228" max="1228" width="12.28515625" bestFit="1" customWidth="1"/>
    <col min="1229" max="1229" width="7.42578125" bestFit="1" customWidth="1"/>
    <col min="1230" max="1230" width="8.5703125" bestFit="1" customWidth="1"/>
    <col min="1231" max="1231" width="11.5703125" bestFit="1" customWidth="1"/>
    <col min="1232" max="1232" width="13.28515625" bestFit="1" customWidth="1"/>
    <col min="1233" max="1233" width="13.28515625" customWidth="1"/>
    <col min="1234" max="1234" width="13.140625" customWidth="1"/>
    <col min="1235" max="1235" width="12.7109375" bestFit="1" customWidth="1"/>
    <col min="1236" max="1236" width="13.28515625" bestFit="1" customWidth="1"/>
    <col min="1237" max="1239" width="13.28515625" customWidth="1"/>
    <col min="1240" max="1240" width="12.140625" bestFit="1" customWidth="1"/>
    <col min="1241" max="1241" width="12.7109375" bestFit="1" customWidth="1"/>
    <col min="1242" max="1242" width="11" customWidth="1"/>
    <col min="1243" max="1243" width="16.7109375" customWidth="1"/>
    <col min="1244" max="1244" width="17" customWidth="1"/>
    <col min="1245" max="1245" width="10.42578125" bestFit="1" customWidth="1"/>
    <col min="1289" max="1289" width="3.85546875" customWidth="1"/>
    <col min="1290" max="1290" width="15.28515625" bestFit="1" customWidth="1"/>
    <col min="1291" max="1291" width="12.28515625" customWidth="1"/>
    <col min="1292" max="1292" width="16.28515625" bestFit="1" customWidth="1"/>
    <col min="1293" max="1293" width="6.42578125" bestFit="1" customWidth="1"/>
    <col min="1294" max="1294" width="9.28515625" bestFit="1" customWidth="1"/>
    <col min="1295" max="1295" width="7.5703125" bestFit="1" customWidth="1"/>
    <col min="1296" max="1296" width="13.28515625" bestFit="1" customWidth="1"/>
    <col min="1297" max="1297" width="9.28515625" bestFit="1" customWidth="1"/>
    <col min="1298" max="1298" width="11.5703125" bestFit="1" customWidth="1"/>
    <col min="1299" max="1299" width="13.28515625" bestFit="1" customWidth="1"/>
    <col min="1300" max="1300" width="7.140625" bestFit="1" customWidth="1"/>
    <col min="1301" max="1301" width="12" bestFit="1" customWidth="1"/>
    <col min="1302" max="1302" width="13.28515625" bestFit="1" customWidth="1"/>
    <col min="1303" max="1303" width="7" bestFit="1" customWidth="1"/>
    <col min="1304" max="1304" width="12.7109375" bestFit="1" customWidth="1"/>
    <col min="1305" max="1305" width="11.5703125" bestFit="1" customWidth="1"/>
    <col min="1306" max="1306" width="10.5703125" bestFit="1" customWidth="1"/>
    <col min="1307" max="1308" width="15.7109375" bestFit="1" customWidth="1"/>
    <col min="1309" max="1309" width="11.5703125" bestFit="1" customWidth="1"/>
    <col min="1310" max="1310" width="7.7109375" bestFit="1" customWidth="1"/>
    <col min="1311" max="1311" width="15.140625" bestFit="1" customWidth="1"/>
    <col min="1312" max="1312" width="11.5703125" bestFit="1" customWidth="1"/>
    <col min="1313" max="1313" width="13.28515625" bestFit="1" customWidth="1"/>
    <col min="1314" max="1314" width="10.42578125" bestFit="1" customWidth="1"/>
    <col min="1315" max="1315" width="13.28515625" bestFit="1" customWidth="1"/>
    <col min="1316" max="1316" width="12.140625" bestFit="1" customWidth="1"/>
    <col min="1317" max="1317" width="14.42578125" bestFit="1" customWidth="1"/>
    <col min="1318" max="1318" width="13.28515625" bestFit="1" customWidth="1"/>
    <col min="1319" max="1319" width="11.5703125" bestFit="1" customWidth="1"/>
    <col min="1320" max="1320" width="7.7109375" bestFit="1" customWidth="1"/>
    <col min="1321" max="1322" width="14.42578125" bestFit="1" customWidth="1"/>
    <col min="1323" max="1323" width="11.5703125" bestFit="1" customWidth="1"/>
    <col min="1324" max="1324" width="7.7109375" bestFit="1" customWidth="1"/>
    <col min="1325" max="1325" width="13.5703125" customWidth="1"/>
    <col min="1326" max="1326" width="15.28515625" customWidth="1"/>
    <col min="1327" max="1327" width="14.5703125" customWidth="1"/>
    <col min="1328" max="1328" width="13.28515625" bestFit="1" customWidth="1"/>
    <col min="1329" max="1329" width="7.7109375" bestFit="1" customWidth="1"/>
    <col min="1330" max="1330" width="12.7109375" bestFit="1" customWidth="1"/>
    <col min="1331" max="1331" width="11.7109375" bestFit="1" customWidth="1"/>
    <col min="1332" max="1332" width="11.5703125" bestFit="1" customWidth="1"/>
    <col min="1333" max="1333" width="5.28515625" bestFit="1" customWidth="1"/>
    <col min="1334" max="1334" width="13.28515625" bestFit="1" customWidth="1"/>
    <col min="1335" max="1335" width="13.5703125" bestFit="1" customWidth="1"/>
    <col min="1336" max="1336" width="10.5703125" bestFit="1" customWidth="1"/>
    <col min="1337" max="1337" width="13.28515625" bestFit="1" customWidth="1"/>
    <col min="1338" max="1338" width="11.5703125" bestFit="1" customWidth="1"/>
    <col min="1339" max="1339" width="10.5703125" bestFit="1" customWidth="1"/>
    <col min="1340" max="1340" width="16.140625" bestFit="1" customWidth="1"/>
    <col min="1341" max="1342" width="11.28515625" bestFit="1" customWidth="1"/>
    <col min="1343" max="1343" width="13.28515625" bestFit="1" customWidth="1"/>
    <col min="1344" max="1344" width="7.7109375" bestFit="1" customWidth="1"/>
    <col min="1345" max="1348" width="9.140625" hidden="1" customWidth="1"/>
    <col min="1349" max="1349" width="10.42578125" bestFit="1" customWidth="1"/>
    <col min="1350" max="1350" width="10.5703125" bestFit="1" customWidth="1"/>
    <col min="1351" max="1351" width="10.42578125" bestFit="1" customWidth="1"/>
    <col min="1352" max="1352" width="10.5703125" bestFit="1" customWidth="1"/>
    <col min="1353" max="1353" width="9.5703125" bestFit="1" customWidth="1"/>
    <col min="1354" max="1354" width="11.5703125" bestFit="1" customWidth="1"/>
    <col min="1355" max="1355" width="10.42578125" bestFit="1" customWidth="1"/>
    <col min="1356" max="1356" width="10.85546875" customWidth="1"/>
    <col min="1357" max="1358" width="9.85546875" bestFit="1" customWidth="1"/>
    <col min="1359" max="1359" width="13.5703125" bestFit="1" customWidth="1"/>
    <col min="1360" max="1360" width="7.7109375" bestFit="1" customWidth="1"/>
    <col min="1361" max="1361" width="13.28515625" bestFit="1" customWidth="1"/>
    <col min="1362" max="1362" width="11.5703125" bestFit="1" customWidth="1"/>
    <col min="1363" max="1363" width="10.42578125" bestFit="1" customWidth="1"/>
    <col min="1364" max="1364" width="7.7109375" bestFit="1" customWidth="1"/>
    <col min="1365" max="1365" width="11.5703125" bestFit="1" customWidth="1"/>
    <col min="1366" max="1366" width="10.85546875" bestFit="1" customWidth="1"/>
    <col min="1367" max="1367" width="13.28515625" bestFit="1" customWidth="1"/>
    <col min="1368" max="1368" width="10.85546875" bestFit="1" customWidth="1"/>
    <col min="1369" max="1370" width="7.5703125" bestFit="1" customWidth="1"/>
    <col min="1371" max="1372" width="10.42578125" bestFit="1" customWidth="1"/>
    <col min="1373" max="1373" width="11.5703125" bestFit="1" customWidth="1"/>
    <col min="1374" max="1374" width="5.28515625" bestFit="1" customWidth="1"/>
    <col min="1375" max="1375" width="10.28515625" bestFit="1" customWidth="1"/>
    <col min="1376" max="1376" width="10.42578125" bestFit="1" customWidth="1"/>
    <col min="1377" max="1377" width="11.5703125" bestFit="1" customWidth="1"/>
    <col min="1378" max="1378" width="5.28515625" bestFit="1" customWidth="1"/>
    <col min="1379" max="1381" width="11.5703125" bestFit="1" customWidth="1"/>
    <col min="1382" max="1382" width="5.28515625" bestFit="1" customWidth="1"/>
    <col min="1383" max="1384" width="10.42578125" bestFit="1" customWidth="1"/>
    <col min="1385" max="1385" width="11.5703125" bestFit="1" customWidth="1"/>
    <col min="1386" max="1386" width="5.28515625" bestFit="1" customWidth="1"/>
    <col min="1387" max="1387" width="14.28515625" bestFit="1" customWidth="1"/>
    <col min="1388" max="1388" width="13" bestFit="1" customWidth="1"/>
    <col min="1389" max="1389" width="11.5703125" bestFit="1" customWidth="1"/>
    <col min="1390" max="1390" width="8.85546875" bestFit="1" customWidth="1"/>
    <col min="1391" max="1391" width="14.42578125" bestFit="1" customWidth="1"/>
    <col min="1392" max="1392" width="10.42578125" bestFit="1" customWidth="1"/>
    <col min="1393" max="1393" width="12.28515625" bestFit="1" customWidth="1"/>
    <col min="1394" max="1394" width="13.85546875" bestFit="1" customWidth="1"/>
    <col min="1395" max="1395" width="11.28515625" customWidth="1"/>
    <col min="1396" max="1396" width="11.5703125" customWidth="1"/>
    <col min="1397" max="1397" width="13.42578125" bestFit="1" customWidth="1"/>
    <col min="1398" max="1398" width="10.42578125" customWidth="1"/>
    <col min="1399" max="1399" width="13.85546875" bestFit="1" customWidth="1"/>
    <col min="1400" max="1400" width="15.42578125" bestFit="1" customWidth="1"/>
    <col min="1401" max="1401" width="12.28515625" bestFit="1" customWidth="1"/>
    <col min="1402" max="1402" width="12.7109375" customWidth="1"/>
    <col min="1403" max="1403" width="10.7109375" bestFit="1" customWidth="1"/>
    <col min="1404" max="1404" width="9.85546875" customWidth="1"/>
    <col min="1405" max="1406" width="10.140625" bestFit="1" customWidth="1"/>
    <col min="1407" max="1407" width="7.5703125" bestFit="1" customWidth="1"/>
    <col min="1408" max="1408" width="9.42578125" bestFit="1" customWidth="1"/>
    <col min="1409" max="1409" width="14.5703125" bestFit="1" customWidth="1"/>
    <col min="1410" max="1410" width="14.85546875" customWidth="1"/>
    <col min="1411" max="1411" width="15.140625" bestFit="1" customWidth="1"/>
    <col min="1412" max="1412" width="12.140625" bestFit="1" customWidth="1"/>
    <col min="1413" max="1413" width="14.85546875" bestFit="1" customWidth="1"/>
    <col min="1414" max="1414" width="12.28515625" bestFit="1" customWidth="1"/>
    <col min="1415" max="1423" width="9.140625" hidden="1" customWidth="1"/>
    <col min="1424" max="1424" width="5.28515625" bestFit="1" customWidth="1"/>
    <col min="1425" max="1430" width="11.5703125" bestFit="1" customWidth="1"/>
    <col min="1431" max="1431" width="11.28515625" bestFit="1" customWidth="1"/>
    <col min="1432" max="1432" width="10.140625" bestFit="1" customWidth="1"/>
    <col min="1433" max="1433" width="11.5703125" bestFit="1" customWidth="1"/>
    <col min="1434" max="1434" width="16.140625" customWidth="1"/>
    <col min="1435" max="1435" width="13.42578125" customWidth="1"/>
    <col min="1436" max="1436" width="10.140625" bestFit="1" customWidth="1"/>
    <col min="1437" max="1437" width="12.85546875" bestFit="1" customWidth="1"/>
    <col min="1438" max="1438" width="12.28515625" bestFit="1" customWidth="1"/>
    <col min="1439" max="1439" width="11.28515625" bestFit="1" customWidth="1"/>
    <col min="1440" max="1440" width="11.5703125" bestFit="1" customWidth="1"/>
    <col min="1441" max="1441" width="10.85546875" bestFit="1" customWidth="1"/>
    <col min="1442" max="1442" width="11.28515625" bestFit="1" customWidth="1"/>
    <col min="1443" max="1443" width="10.140625" bestFit="1" customWidth="1"/>
    <col min="1444" max="1444" width="13.28515625" bestFit="1" customWidth="1"/>
    <col min="1445" max="1446" width="12.7109375" bestFit="1" customWidth="1"/>
    <col min="1447" max="1447" width="11" bestFit="1" customWidth="1"/>
    <col min="1448" max="1448" width="11.28515625" bestFit="1" customWidth="1"/>
    <col min="1449" max="1449" width="11.5703125" bestFit="1" customWidth="1"/>
    <col min="1450" max="1450" width="12.28515625" bestFit="1" customWidth="1"/>
    <col min="1451" max="1451" width="15.140625" bestFit="1" customWidth="1"/>
    <col min="1452" max="1452" width="14.42578125" bestFit="1" customWidth="1"/>
    <col min="1453" max="1453" width="12.28515625" bestFit="1" customWidth="1"/>
    <col min="1454" max="1454" width="15.140625" bestFit="1" customWidth="1"/>
    <col min="1455" max="1455" width="14.42578125" bestFit="1" customWidth="1"/>
    <col min="1456" max="1456" width="12.28515625" bestFit="1" customWidth="1"/>
    <col min="1457" max="1457" width="14.42578125" bestFit="1" customWidth="1"/>
    <col min="1458" max="1458" width="11.28515625" bestFit="1" customWidth="1"/>
    <col min="1459" max="1459" width="12.28515625" bestFit="1" customWidth="1"/>
    <col min="1460" max="1460" width="13" bestFit="1" customWidth="1"/>
    <col min="1461" max="1461" width="15.140625" bestFit="1" customWidth="1"/>
    <col min="1462" max="1462" width="12.28515625" bestFit="1" customWidth="1"/>
    <col min="1463" max="1463" width="13.85546875" bestFit="1" customWidth="1"/>
    <col min="1464" max="1464" width="11.28515625" bestFit="1" customWidth="1"/>
    <col min="1465" max="1465" width="12.28515625" bestFit="1" customWidth="1"/>
    <col min="1466" max="1466" width="13.85546875" bestFit="1" customWidth="1"/>
    <col min="1467" max="1468" width="15.140625" bestFit="1" customWidth="1"/>
    <col min="1469" max="1469" width="12.28515625" bestFit="1" customWidth="1"/>
    <col min="1470" max="1470" width="5.7109375" bestFit="1" customWidth="1"/>
    <col min="1471" max="1471" width="8.5703125" bestFit="1" customWidth="1"/>
    <col min="1472" max="1472" width="5.5703125" bestFit="1" customWidth="1"/>
    <col min="1473" max="1473" width="14.42578125" bestFit="1" customWidth="1"/>
    <col min="1474" max="1474" width="11.28515625" bestFit="1" customWidth="1"/>
    <col min="1475" max="1476" width="12.28515625" bestFit="1" customWidth="1"/>
    <col min="1477" max="1477" width="11.28515625" bestFit="1" customWidth="1"/>
    <col min="1478" max="1478" width="13.85546875" bestFit="1" customWidth="1"/>
    <col min="1479" max="1479" width="12" bestFit="1" customWidth="1"/>
    <col min="1480" max="1480" width="13.85546875" bestFit="1" customWidth="1"/>
    <col min="1481" max="1482" width="14.42578125" customWidth="1"/>
    <col min="1483" max="1483" width="10.140625" bestFit="1" customWidth="1"/>
    <col min="1484" max="1484" width="12.28515625" bestFit="1" customWidth="1"/>
    <col min="1485" max="1485" width="7.42578125" bestFit="1" customWidth="1"/>
    <col min="1486" max="1486" width="8.5703125" bestFit="1" customWidth="1"/>
    <col min="1487" max="1487" width="11.5703125" bestFit="1" customWidth="1"/>
    <col min="1488" max="1488" width="13.28515625" bestFit="1" customWidth="1"/>
    <col min="1489" max="1489" width="13.28515625" customWidth="1"/>
    <col min="1490" max="1490" width="13.140625" customWidth="1"/>
    <col min="1491" max="1491" width="12.7109375" bestFit="1" customWidth="1"/>
    <col min="1492" max="1492" width="13.28515625" bestFit="1" customWidth="1"/>
    <col min="1493" max="1495" width="13.28515625" customWidth="1"/>
    <col min="1496" max="1496" width="12.140625" bestFit="1" customWidth="1"/>
    <col min="1497" max="1497" width="12.7109375" bestFit="1" customWidth="1"/>
    <col min="1498" max="1498" width="11" customWidth="1"/>
    <col min="1499" max="1499" width="16.7109375" customWidth="1"/>
    <col min="1500" max="1500" width="17" customWidth="1"/>
    <col min="1501" max="1501" width="10.42578125" bestFit="1" customWidth="1"/>
    <col min="1545" max="1545" width="3.85546875" customWidth="1"/>
    <col min="1546" max="1546" width="15.28515625" bestFit="1" customWidth="1"/>
    <col min="1547" max="1547" width="12.28515625" customWidth="1"/>
    <col min="1548" max="1548" width="16.28515625" bestFit="1" customWidth="1"/>
    <col min="1549" max="1549" width="6.42578125" bestFit="1" customWidth="1"/>
    <col min="1550" max="1550" width="9.28515625" bestFit="1" customWidth="1"/>
    <col min="1551" max="1551" width="7.5703125" bestFit="1" customWidth="1"/>
    <col min="1552" max="1552" width="13.28515625" bestFit="1" customWidth="1"/>
    <col min="1553" max="1553" width="9.28515625" bestFit="1" customWidth="1"/>
    <col min="1554" max="1554" width="11.5703125" bestFit="1" customWidth="1"/>
    <col min="1555" max="1555" width="13.28515625" bestFit="1" customWidth="1"/>
    <col min="1556" max="1556" width="7.140625" bestFit="1" customWidth="1"/>
    <col min="1557" max="1557" width="12" bestFit="1" customWidth="1"/>
    <col min="1558" max="1558" width="13.28515625" bestFit="1" customWidth="1"/>
    <col min="1559" max="1559" width="7" bestFit="1" customWidth="1"/>
    <col min="1560" max="1560" width="12.7109375" bestFit="1" customWidth="1"/>
    <col min="1561" max="1561" width="11.5703125" bestFit="1" customWidth="1"/>
    <col min="1562" max="1562" width="10.5703125" bestFit="1" customWidth="1"/>
    <col min="1563" max="1564" width="15.7109375" bestFit="1" customWidth="1"/>
    <col min="1565" max="1565" width="11.5703125" bestFit="1" customWidth="1"/>
    <col min="1566" max="1566" width="7.7109375" bestFit="1" customWidth="1"/>
    <col min="1567" max="1567" width="15.140625" bestFit="1" customWidth="1"/>
    <col min="1568" max="1568" width="11.5703125" bestFit="1" customWidth="1"/>
    <col min="1569" max="1569" width="13.28515625" bestFit="1" customWidth="1"/>
    <col min="1570" max="1570" width="10.42578125" bestFit="1" customWidth="1"/>
    <col min="1571" max="1571" width="13.28515625" bestFit="1" customWidth="1"/>
    <col min="1572" max="1572" width="12.140625" bestFit="1" customWidth="1"/>
    <col min="1573" max="1573" width="14.42578125" bestFit="1" customWidth="1"/>
    <col min="1574" max="1574" width="13.28515625" bestFit="1" customWidth="1"/>
    <col min="1575" max="1575" width="11.5703125" bestFit="1" customWidth="1"/>
    <col min="1576" max="1576" width="7.7109375" bestFit="1" customWidth="1"/>
    <col min="1577" max="1578" width="14.42578125" bestFit="1" customWidth="1"/>
    <col min="1579" max="1579" width="11.5703125" bestFit="1" customWidth="1"/>
    <col min="1580" max="1580" width="7.7109375" bestFit="1" customWidth="1"/>
    <col min="1581" max="1581" width="13.5703125" customWidth="1"/>
    <col min="1582" max="1582" width="15.28515625" customWidth="1"/>
    <col min="1583" max="1583" width="14.5703125" customWidth="1"/>
    <col min="1584" max="1584" width="13.28515625" bestFit="1" customWidth="1"/>
    <col min="1585" max="1585" width="7.7109375" bestFit="1" customWidth="1"/>
    <col min="1586" max="1586" width="12.7109375" bestFit="1" customWidth="1"/>
    <col min="1587" max="1587" width="11.7109375" bestFit="1" customWidth="1"/>
    <col min="1588" max="1588" width="11.5703125" bestFit="1" customWidth="1"/>
    <col min="1589" max="1589" width="5.28515625" bestFit="1" customWidth="1"/>
    <col min="1590" max="1590" width="13.28515625" bestFit="1" customWidth="1"/>
    <col min="1591" max="1591" width="13.5703125" bestFit="1" customWidth="1"/>
    <col min="1592" max="1592" width="10.5703125" bestFit="1" customWidth="1"/>
    <col min="1593" max="1593" width="13.28515625" bestFit="1" customWidth="1"/>
    <col min="1594" max="1594" width="11.5703125" bestFit="1" customWidth="1"/>
    <col min="1595" max="1595" width="10.5703125" bestFit="1" customWidth="1"/>
    <col min="1596" max="1596" width="16.140625" bestFit="1" customWidth="1"/>
    <col min="1597" max="1598" width="11.28515625" bestFit="1" customWidth="1"/>
    <col min="1599" max="1599" width="13.28515625" bestFit="1" customWidth="1"/>
    <col min="1600" max="1600" width="7.7109375" bestFit="1" customWidth="1"/>
    <col min="1601" max="1604" width="9.140625" hidden="1" customWidth="1"/>
    <col min="1605" max="1605" width="10.42578125" bestFit="1" customWidth="1"/>
    <col min="1606" max="1606" width="10.5703125" bestFit="1" customWidth="1"/>
    <col min="1607" max="1607" width="10.42578125" bestFit="1" customWidth="1"/>
    <col min="1608" max="1608" width="10.5703125" bestFit="1" customWidth="1"/>
    <col min="1609" max="1609" width="9.5703125" bestFit="1" customWidth="1"/>
    <col min="1610" max="1610" width="11.5703125" bestFit="1" customWidth="1"/>
    <col min="1611" max="1611" width="10.42578125" bestFit="1" customWidth="1"/>
    <col min="1612" max="1612" width="10.85546875" customWidth="1"/>
    <col min="1613" max="1614" width="9.85546875" bestFit="1" customWidth="1"/>
    <col min="1615" max="1615" width="13.5703125" bestFit="1" customWidth="1"/>
    <col min="1616" max="1616" width="7.7109375" bestFit="1" customWidth="1"/>
    <col min="1617" max="1617" width="13.28515625" bestFit="1" customWidth="1"/>
    <col min="1618" max="1618" width="11.5703125" bestFit="1" customWidth="1"/>
    <col min="1619" max="1619" width="10.42578125" bestFit="1" customWidth="1"/>
    <col min="1620" max="1620" width="7.7109375" bestFit="1" customWidth="1"/>
    <col min="1621" max="1621" width="11.5703125" bestFit="1" customWidth="1"/>
    <col min="1622" max="1622" width="10.85546875" bestFit="1" customWidth="1"/>
    <col min="1623" max="1623" width="13.28515625" bestFit="1" customWidth="1"/>
    <col min="1624" max="1624" width="10.85546875" bestFit="1" customWidth="1"/>
    <col min="1625" max="1626" width="7.5703125" bestFit="1" customWidth="1"/>
    <col min="1627" max="1628" width="10.42578125" bestFit="1" customWidth="1"/>
    <col min="1629" max="1629" width="11.5703125" bestFit="1" customWidth="1"/>
    <col min="1630" max="1630" width="5.28515625" bestFit="1" customWidth="1"/>
    <col min="1631" max="1631" width="10.28515625" bestFit="1" customWidth="1"/>
    <col min="1632" max="1632" width="10.42578125" bestFit="1" customWidth="1"/>
    <col min="1633" max="1633" width="11.5703125" bestFit="1" customWidth="1"/>
    <col min="1634" max="1634" width="5.28515625" bestFit="1" customWidth="1"/>
    <col min="1635" max="1637" width="11.5703125" bestFit="1" customWidth="1"/>
    <col min="1638" max="1638" width="5.28515625" bestFit="1" customWidth="1"/>
    <col min="1639" max="1640" width="10.42578125" bestFit="1" customWidth="1"/>
    <col min="1641" max="1641" width="11.5703125" bestFit="1" customWidth="1"/>
    <col min="1642" max="1642" width="5.28515625" bestFit="1" customWidth="1"/>
    <col min="1643" max="1643" width="14.28515625" bestFit="1" customWidth="1"/>
    <col min="1644" max="1644" width="13" bestFit="1" customWidth="1"/>
    <col min="1645" max="1645" width="11.5703125" bestFit="1" customWidth="1"/>
    <col min="1646" max="1646" width="8.85546875" bestFit="1" customWidth="1"/>
    <col min="1647" max="1647" width="14.42578125" bestFit="1" customWidth="1"/>
    <col min="1648" max="1648" width="10.42578125" bestFit="1" customWidth="1"/>
    <col min="1649" max="1649" width="12.28515625" bestFit="1" customWidth="1"/>
    <col min="1650" max="1650" width="13.85546875" bestFit="1" customWidth="1"/>
    <col min="1651" max="1651" width="11.28515625" customWidth="1"/>
    <col min="1652" max="1652" width="11.5703125" customWidth="1"/>
    <col min="1653" max="1653" width="13.42578125" bestFit="1" customWidth="1"/>
    <col min="1654" max="1654" width="10.42578125" customWidth="1"/>
    <col min="1655" max="1655" width="13.85546875" bestFit="1" customWidth="1"/>
    <col min="1656" max="1656" width="15.42578125" bestFit="1" customWidth="1"/>
    <col min="1657" max="1657" width="12.28515625" bestFit="1" customWidth="1"/>
    <col min="1658" max="1658" width="12.7109375" customWidth="1"/>
    <col min="1659" max="1659" width="10.7109375" bestFit="1" customWidth="1"/>
    <col min="1660" max="1660" width="9.85546875" customWidth="1"/>
    <col min="1661" max="1662" width="10.140625" bestFit="1" customWidth="1"/>
    <col min="1663" max="1663" width="7.5703125" bestFit="1" customWidth="1"/>
    <col min="1664" max="1664" width="9.42578125" bestFit="1" customWidth="1"/>
    <col min="1665" max="1665" width="14.5703125" bestFit="1" customWidth="1"/>
    <col min="1666" max="1666" width="14.85546875" customWidth="1"/>
    <col min="1667" max="1667" width="15.140625" bestFit="1" customWidth="1"/>
    <col min="1668" max="1668" width="12.140625" bestFit="1" customWidth="1"/>
    <col min="1669" max="1669" width="14.85546875" bestFit="1" customWidth="1"/>
    <col min="1670" max="1670" width="12.28515625" bestFit="1" customWidth="1"/>
    <col min="1671" max="1679" width="9.140625" hidden="1" customWidth="1"/>
    <col min="1680" max="1680" width="5.28515625" bestFit="1" customWidth="1"/>
    <col min="1681" max="1686" width="11.5703125" bestFit="1" customWidth="1"/>
    <col min="1687" max="1687" width="11.28515625" bestFit="1" customWidth="1"/>
    <col min="1688" max="1688" width="10.140625" bestFit="1" customWidth="1"/>
    <col min="1689" max="1689" width="11.5703125" bestFit="1" customWidth="1"/>
    <col min="1690" max="1690" width="16.140625" customWidth="1"/>
    <col min="1691" max="1691" width="13.42578125" customWidth="1"/>
    <col min="1692" max="1692" width="10.140625" bestFit="1" customWidth="1"/>
    <col min="1693" max="1693" width="12.85546875" bestFit="1" customWidth="1"/>
    <col min="1694" max="1694" width="12.28515625" bestFit="1" customWidth="1"/>
    <col min="1695" max="1695" width="11.28515625" bestFit="1" customWidth="1"/>
    <col min="1696" max="1696" width="11.5703125" bestFit="1" customWidth="1"/>
    <col min="1697" max="1697" width="10.85546875" bestFit="1" customWidth="1"/>
    <col min="1698" max="1698" width="11.28515625" bestFit="1" customWidth="1"/>
    <col min="1699" max="1699" width="10.140625" bestFit="1" customWidth="1"/>
    <col min="1700" max="1700" width="13.28515625" bestFit="1" customWidth="1"/>
    <col min="1701" max="1702" width="12.7109375" bestFit="1" customWidth="1"/>
    <col min="1703" max="1703" width="11" bestFit="1" customWidth="1"/>
    <col min="1704" max="1704" width="11.28515625" bestFit="1" customWidth="1"/>
    <col min="1705" max="1705" width="11.5703125" bestFit="1" customWidth="1"/>
    <col min="1706" max="1706" width="12.28515625" bestFit="1" customWidth="1"/>
    <col min="1707" max="1707" width="15.140625" bestFit="1" customWidth="1"/>
    <col min="1708" max="1708" width="14.42578125" bestFit="1" customWidth="1"/>
    <col min="1709" max="1709" width="12.28515625" bestFit="1" customWidth="1"/>
    <col min="1710" max="1710" width="15.140625" bestFit="1" customWidth="1"/>
    <col min="1711" max="1711" width="14.42578125" bestFit="1" customWidth="1"/>
    <col min="1712" max="1712" width="12.28515625" bestFit="1" customWidth="1"/>
    <col min="1713" max="1713" width="14.42578125" bestFit="1" customWidth="1"/>
    <col min="1714" max="1714" width="11.28515625" bestFit="1" customWidth="1"/>
    <col min="1715" max="1715" width="12.28515625" bestFit="1" customWidth="1"/>
    <col min="1716" max="1716" width="13" bestFit="1" customWidth="1"/>
    <col min="1717" max="1717" width="15.140625" bestFit="1" customWidth="1"/>
    <col min="1718" max="1718" width="12.28515625" bestFit="1" customWidth="1"/>
    <col min="1719" max="1719" width="13.85546875" bestFit="1" customWidth="1"/>
    <col min="1720" max="1720" width="11.28515625" bestFit="1" customWidth="1"/>
    <col min="1721" max="1721" width="12.28515625" bestFit="1" customWidth="1"/>
    <col min="1722" max="1722" width="13.85546875" bestFit="1" customWidth="1"/>
    <col min="1723" max="1724" width="15.140625" bestFit="1" customWidth="1"/>
    <col min="1725" max="1725" width="12.28515625" bestFit="1" customWidth="1"/>
    <col min="1726" max="1726" width="5.7109375" bestFit="1" customWidth="1"/>
    <col min="1727" max="1727" width="8.5703125" bestFit="1" customWidth="1"/>
    <col min="1728" max="1728" width="5.5703125" bestFit="1" customWidth="1"/>
    <col min="1729" max="1729" width="14.42578125" bestFit="1" customWidth="1"/>
    <col min="1730" max="1730" width="11.28515625" bestFit="1" customWidth="1"/>
    <col min="1731" max="1732" width="12.28515625" bestFit="1" customWidth="1"/>
    <col min="1733" max="1733" width="11.28515625" bestFit="1" customWidth="1"/>
    <col min="1734" max="1734" width="13.85546875" bestFit="1" customWidth="1"/>
    <col min="1735" max="1735" width="12" bestFit="1" customWidth="1"/>
    <col min="1736" max="1736" width="13.85546875" bestFit="1" customWidth="1"/>
    <col min="1737" max="1738" width="14.42578125" customWidth="1"/>
    <col min="1739" max="1739" width="10.140625" bestFit="1" customWidth="1"/>
    <col min="1740" max="1740" width="12.28515625" bestFit="1" customWidth="1"/>
    <col min="1741" max="1741" width="7.42578125" bestFit="1" customWidth="1"/>
    <col min="1742" max="1742" width="8.5703125" bestFit="1" customWidth="1"/>
    <col min="1743" max="1743" width="11.5703125" bestFit="1" customWidth="1"/>
    <col min="1744" max="1744" width="13.28515625" bestFit="1" customWidth="1"/>
    <col min="1745" max="1745" width="13.28515625" customWidth="1"/>
    <col min="1746" max="1746" width="13.140625" customWidth="1"/>
    <col min="1747" max="1747" width="12.7109375" bestFit="1" customWidth="1"/>
    <col min="1748" max="1748" width="13.28515625" bestFit="1" customWidth="1"/>
    <col min="1749" max="1751" width="13.28515625" customWidth="1"/>
    <col min="1752" max="1752" width="12.140625" bestFit="1" customWidth="1"/>
    <col min="1753" max="1753" width="12.7109375" bestFit="1" customWidth="1"/>
    <col min="1754" max="1754" width="11" customWidth="1"/>
    <col min="1755" max="1755" width="16.7109375" customWidth="1"/>
    <col min="1756" max="1756" width="17" customWidth="1"/>
    <col min="1757" max="1757" width="10.42578125" bestFit="1" customWidth="1"/>
    <col min="1801" max="1801" width="3.85546875" customWidth="1"/>
    <col min="1802" max="1802" width="15.28515625" bestFit="1" customWidth="1"/>
    <col min="1803" max="1803" width="12.28515625" customWidth="1"/>
    <col min="1804" max="1804" width="16.28515625" bestFit="1" customWidth="1"/>
    <col min="1805" max="1805" width="6.42578125" bestFit="1" customWidth="1"/>
    <col min="1806" max="1806" width="9.28515625" bestFit="1" customWidth="1"/>
    <col min="1807" max="1807" width="7.5703125" bestFit="1" customWidth="1"/>
    <col min="1808" max="1808" width="13.28515625" bestFit="1" customWidth="1"/>
    <col min="1809" max="1809" width="9.28515625" bestFit="1" customWidth="1"/>
    <col min="1810" max="1810" width="11.5703125" bestFit="1" customWidth="1"/>
    <col min="1811" max="1811" width="13.28515625" bestFit="1" customWidth="1"/>
    <col min="1812" max="1812" width="7.140625" bestFit="1" customWidth="1"/>
    <col min="1813" max="1813" width="12" bestFit="1" customWidth="1"/>
    <col min="1814" max="1814" width="13.28515625" bestFit="1" customWidth="1"/>
    <col min="1815" max="1815" width="7" bestFit="1" customWidth="1"/>
    <col min="1816" max="1816" width="12.7109375" bestFit="1" customWidth="1"/>
    <col min="1817" max="1817" width="11.5703125" bestFit="1" customWidth="1"/>
    <col min="1818" max="1818" width="10.5703125" bestFit="1" customWidth="1"/>
    <col min="1819" max="1820" width="15.7109375" bestFit="1" customWidth="1"/>
    <col min="1821" max="1821" width="11.5703125" bestFit="1" customWidth="1"/>
    <col min="1822" max="1822" width="7.7109375" bestFit="1" customWidth="1"/>
    <col min="1823" max="1823" width="15.140625" bestFit="1" customWidth="1"/>
    <col min="1824" max="1824" width="11.5703125" bestFit="1" customWidth="1"/>
    <col min="1825" max="1825" width="13.28515625" bestFit="1" customWidth="1"/>
    <col min="1826" max="1826" width="10.42578125" bestFit="1" customWidth="1"/>
    <col min="1827" max="1827" width="13.28515625" bestFit="1" customWidth="1"/>
    <col min="1828" max="1828" width="12.140625" bestFit="1" customWidth="1"/>
    <col min="1829" max="1829" width="14.42578125" bestFit="1" customWidth="1"/>
    <col min="1830" max="1830" width="13.28515625" bestFit="1" customWidth="1"/>
    <col min="1831" max="1831" width="11.5703125" bestFit="1" customWidth="1"/>
    <col min="1832" max="1832" width="7.7109375" bestFit="1" customWidth="1"/>
    <col min="1833" max="1834" width="14.42578125" bestFit="1" customWidth="1"/>
    <col min="1835" max="1835" width="11.5703125" bestFit="1" customWidth="1"/>
    <col min="1836" max="1836" width="7.7109375" bestFit="1" customWidth="1"/>
    <col min="1837" max="1837" width="13.5703125" customWidth="1"/>
    <col min="1838" max="1838" width="15.28515625" customWidth="1"/>
    <col min="1839" max="1839" width="14.5703125" customWidth="1"/>
    <col min="1840" max="1840" width="13.28515625" bestFit="1" customWidth="1"/>
    <col min="1841" max="1841" width="7.7109375" bestFit="1" customWidth="1"/>
    <col min="1842" max="1842" width="12.7109375" bestFit="1" customWidth="1"/>
    <col min="1843" max="1843" width="11.7109375" bestFit="1" customWidth="1"/>
    <col min="1844" max="1844" width="11.5703125" bestFit="1" customWidth="1"/>
    <col min="1845" max="1845" width="5.28515625" bestFit="1" customWidth="1"/>
    <col min="1846" max="1846" width="13.28515625" bestFit="1" customWidth="1"/>
    <col min="1847" max="1847" width="13.5703125" bestFit="1" customWidth="1"/>
    <col min="1848" max="1848" width="10.5703125" bestFit="1" customWidth="1"/>
    <col min="1849" max="1849" width="13.28515625" bestFit="1" customWidth="1"/>
    <col min="1850" max="1850" width="11.5703125" bestFit="1" customWidth="1"/>
    <col min="1851" max="1851" width="10.5703125" bestFit="1" customWidth="1"/>
    <col min="1852" max="1852" width="16.140625" bestFit="1" customWidth="1"/>
    <col min="1853" max="1854" width="11.28515625" bestFit="1" customWidth="1"/>
    <col min="1855" max="1855" width="13.28515625" bestFit="1" customWidth="1"/>
    <col min="1856" max="1856" width="7.7109375" bestFit="1" customWidth="1"/>
    <col min="1857" max="1860" width="9.140625" hidden="1" customWidth="1"/>
    <col min="1861" max="1861" width="10.42578125" bestFit="1" customWidth="1"/>
    <col min="1862" max="1862" width="10.5703125" bestFit="1" customWidth="1"/>
    <col min="1863" max="1863" width="10.42578125" bestFit="1" customWidth="1"/>
    <col min="1864" max="1864" width="10.5703125" bestFit="1" customWidth="1"/>
    <col min="1865" max="1865" width="9.5703125" bestFit="1" customWidth="1"/>
    <col min="1866" max="1866" width="11.5703125" bestFit="1" customWidth="1"/>
    <col min="1867" max="1867" width="10.42578125" bestFit="1" customWidth="1"/>
    <col min="1868" max="1868" width="10.85546875" customWidth="1"/>
    <col min="1869" max="1870" width="9.85546875" bestFit="1" customWidth="1"/>
    <col min="1871" max="1871" width="13.5703125" bestFit="1" customWidth="1"/>
    <col min="1872" max="1872" width="7.7109375" bestFit="1" customWidth="1"/>
    <col min="1873" max="1873" width="13.28515625" bestFit="1" customWidth="1"/>
    <col min="1874" max="1874" width="11.5703125" bestFit="1" customWidth="1"/>
    <col min="1875" max="1875" width="10.42578125" bestFit="1" customWidth="1"/>
    <col min="1876" max="1876" width="7.7109375" bestFit="1" customWidth="1"/>
    <col min="1877" max="1877" width="11.5703125" bestFit="1" customWidth="1"/>
    <col min="1878" max="1878" width="10.85546875" bestFit="1" customWidth="1"/>
    <col min="1879" max="1879" width="13.28515625" bestFit="1" customWidth="1"/>
    <col min="1880" max="1880" width="10.85546875" bestFit="1" customWidth="1"/>
    <col min="1881" max="1882" width="7.5703125" bestFit="1" customWidth="1"/>
    <col min="1883" max="1884" width="10.42578125" bestFit="1" customWidth="1"/>
    <col min="1885" max="1885" width="11.5703125" bestFit="1" customWidth="1"/>
    <col min="1886" max="1886" width="5.28515625" bestFit="1" customWidth="1"/>
    <col min="1887" max="1887" width="10.28515625" bestFit="1" customWidth="1"/>
    <col min="1888" max="1888" width="10.42578125" bestFit="1" customWidth="1"/>
    <col min="1889" max="1889" width="11.5703125" bestFit="1" customWidth="1"/>
    <col min="1890" max="1890" width="5.28515625" bestFit="1" customWidth="1"/>
    <col min="1891" max="1893" width="11.5703125" bestFit="1" customWidth="1"/>
    <col min="1894" max="1894" width="5.28515625" bestFit="1" customWidth="1"/>
    <col min="1895" max="1896" width="10.42578125" bestFit="1" customWidth="1"/>
    <col min="1897" max="1897" width="11.5703125" bestFit="1" customWidth="1"/>
    <col min="1898" max="1898" width="5.28515625" bestFit="1" customWidth="1"/>
    <col min="1899" max="1899" width="14.28515625" bestFit="1" customWidth="1"/>
    <col min="1900" max="1900" width="13" bestFit="1" customWidth="1"/>
    <col min="1901" max="1901" width="11.5703125" bestFit="1" customWidth="1"/>
    <col min="1902" max="1902" width="8.85546875" bestFit="1" customWidth="1"/>
    <col min="1903" max="1903" width="14.42578125" bestFit="1" customWidth="1"/>
    <col min="1904" max="1904" width="10.42578125" bestFit="1" customWidth="1"/>
    <col min="1905" max="1905" width="12.28515625" bestFit="1" customWidth="1"/>
    <col min="1906" max="1906" width="13.85546875" bestFit="1" customWidth="1"/>
    <col min="1907" max="1907" width="11.28515625" customWidth="1"/>
    <col min="1908" max="1908" width="11.5703125" customWidth="1"/>
    <col min="1909" max="1909" width="13.42578125" bestFit="1" customWidth="1"/>
    <col min="1910" max="1910" width="10.42578125" customWidth="1"/>
    <col min="1911" max="1911" width="13.85546875" bestFit="1" customWidth="1"/>
    <col min="1912" max="1912" width="15.42578125" bestFit="1" customWidth="1"/>
    <col min="1913" max="1913" width="12.28515625" bestFit="1" customWidth="1"/>
    <col min="1914" max="1914" width="12.7109375" customWidth="1"/>
    <col min="1915" max="1915" width="10.7109375" bestFit="1" customWidth="1"/>
    <col min="1916" max="1916" width="9.85546875" customWidth="1"/>
    <col min="1917" max="1918" width="10.140625" bestFit="1" customWidth="1"/>
    <col min="1919" max="1919" width="7.5703125" bestFit="1" customWidth="1"/>
    <col min="1920" max="1920" width="9.42578125" bestFit="1" customWidth="1"/>
    <col min="1921" max="1921" width="14.5703125" bestFit="1" customWidth="1"/>
    <col min="1922" max="1922" width="14.85546875" customWidth="1"/>
    <col min="1923" max="1923" width="15.140625" bestFit="1" customWidth="1"/>
    <col min="1924" max="1924" width="12.140625" bestFit="1" customWidth="1"/>
    <col min="1925" max="1925" width="14.85546875" bestFit="1" customWidth="1"/>
    <col min="1926" max="1926" width="12.28515625" bestFit="1" customWidth="1"/>
    <col min="1927" max="1935" width="9.140625" hidden="1" customWidth="1"/>
    <col min="1936" max="1936" width="5.28515625" bestFit="1" customWidth="1"/>
    <col min="1937" max="1942" width="11.5703125" bestFit="1" customWidth="1"/>
    <col min="1943" max="1943" width="11.28515625" bestFit="1" customWidth="1"/>
    <col min="1944" max="1944" width="10.140625" bestFit="1" customWidth="1"/>
    <col min="1945" max="1945" width="11.5703125" bestFit="1" customWidth="1"/>
    <col min="1946" max="1946" width="16.140625" customWidth="1"/>
    <col min="1947" max="1947" width="13.42578125" customWidth="1"/>
    <col min="1948" max="1948" width="10.140625" bestFit="1" customWidth="1"/>
    <col min="1949" max="1949" width="12.85546875" bestFit="1" customWidth="1"/>
    <col min="1950" max="1950" width="12.28515625" bestFit="1" customWidth="1"/>
    <col min="1951" max="1951" width="11.28515625" bestFit="1" customWidth="1"/>
    <col min="1952" max="1952" width="11.5703125" bestFit="1" customWidth="1"/>
    <col min="1953" max="1953" width="10.85546875" bestFit="1" customWidth="1"/>
    <col min="1954" max="1954" width="11.28515625" bestFit="1" customWidth="1"/>
    <col min="1955" max="1955" width="10.140625" bestFit="1" customWidth="1"/>
    <col min="1956" max="1956" width="13.28515625" bestFit="1" customWidth="1"/>
    <col min="1957" max="1958" width="12.7109375" bestFit="1" customWidth="1"/>
    <col min="1959" max="1959" width="11" bestFit="1" customWidth="1"/>
    <col min="1960" max="1960" width="11.28515625" bestFit="1" customWidth="1"/>
    <col min="1961" max="1961" width="11.5703125" bestFit="1" customWidth="1"/>
    <col min="1962" max="1962" width="12.28515625" bestFit="1" customWidth="1"/>
    <col min="1963" max="1963" width="15.140625" bestFit="1" customWidth="1"/>
    <col min="1964" max="1964" width="14.42578125" bestFit="1" customWidth="1"/>
    <col min="1965" max="1965" width="12.28515625" bestFit="1" customWidth="1"/>
    <col min="1966" max="1966" width="15.140625" bestFit="1" customWidth="1"/>
    <col min="1967" max="1967" width="14.42578125" bestFit="1" customWidth="1"/>
    <col min="1968" max="1968" width="12.28515625" bestFit="1" customWidth="1"/>
    <col min="1969" max="1969" width="14.42578125" bestFit="1" customWidth="1"/>
    <col min="1970" max="1970" width="11.28515625" bestFit="1" customWidth="1"/>
    <col min="1971" max="1971" width="12.28515625" bestFit="1" customWidth="1"/>
    <col min="1972" max="1972" width="13" bestFit="1" customWidth="1"/>
    <col min="1973" max="1973" width="15.140625" bestFit="1" customWidth="1"/>
    <col min="1974" max="1974" width="12.28515625" bestFit="1" customWidth="1"/>
    <col min="1975" max="1975" width="13.85546875" bestFit="1" customWidth="1"/>
    <col min="1976" max="1976" width="11.28515625" bestFit="1" customWidth="1"/>
    <col min="1977" max="1977" width="12.28515625" bestFit="1" customWidth="1"/>
    <col min="1978" max="1978" width="13.85546875" bestFit="1" customWidth="1"/>
    <col min="1979" max="1980" width="15.140625" bestFit="1" customWidth="1"/>
    <col min="1981" max="1981" width="12.28515625" bestFit="1" customWidth="1"/>
    <col min="1982" max="1982" width="5.7109375" bestFit="1" customWidth="1"/>
    <col min="1983" max="1983" width="8.5703125" bestFit="1" customWidth="1"/>
    <col min="1984" max="1984" width="5.5703125" bestFit="1" customWidth="1"/>
    <col min="1985" max="1985" width="14.42578125" bestFit="1" customWidth="1"/>
    <col min="1986" max="1986" width="11.28515625" bestFit="1" customWidth="1"/>
    <col min="1987" max="1988" width="12.28515625" bestFit="1" customWidth="1"/>
    <col min="1989" max="1989" width="11.28515625" bestFit="1" customWidth="1"/>
    <col min="1990" max="1990" width="13.85546875" bestFit="1" customWidth="1"/>
    <col min="1991" max="1991" width="12" bestFit="1" customWidth="1"/>
    <col min="1992" max="1992" width="13.85546875" bestFit="1" customWidth="1"/>
    <col min="1993" max="1994" width="14.42578125" customWidth="1"/>
    <col min="1995" max="1995" width="10.140625" bestFit="1" customWidth="1"/>
    <col min="1996" max="1996" width="12.28515625" bestFit="1" customWidth="1"/>
    <col min="1997" max="1997" width="7.42578125" bestFit="1" customWidth="1"/>
    <col min="1998" max="1998" width="8.5703125" bestFit="1" customWidth="1"/>
    <col min="1999" max="1999" width="11.5703125" bestFit="1" customWidth="1"/>
    <col min="2000" max="2000" width="13.28515625" bestFit="1" customWidth="1"/>
    <col min="2001" max="2001" width="13.28515625" customWidth="1"/>
    <col min="2002" max="2002" width="13.140625" customWidth="1"/>
    <col min="2003" max="2003" width="12.7109375" bestFit="1" customWidth="1"/>
    <col min="2004" max="2004" width="13.28515625" bestFit="1" customWidth="1"/>
    <col min="2005" max="2007" width="13.28515625" customWidth="1"/>
    <col min="2008" max="2008" width="12.140625" bestFit="1" customWidth="1"/>
    <col min="2009" max="2009" width="12.7109375" bestFit="1" customWidth="1"/>
    <col min="2010" max="2010" width="11" customWidth="1"/>
    <col min="2011" max="2011" width="16.7109375" customWidth="1"/>
    <col min="2012" max="2012" width="17" customWidth="1"/>
    <col min="2013" max="2013" width="10.42578125" bestFit="1" customWidth="1"/>
    <col min="2057" max="2057" width="3.85546875" customWidth="1"/>
    <col min="2058" max="2058" width="15.28515625" bestFit="1" customWidth="1"/>
    <col min="2059" max="2059" width="12.28515625" customWidth="1"/>
    <col min="2060" max="2060" width="16.28515625" bestFit="1" customWidth="1"/>
    <col min="2061" max="2061" width="6.42578125" bestFit="1" customWidth="1"/>
    <col min="2062" max="2062" width="9.28515625" bestFit="1" customWidth="1"/>
    <col min="2063" max="2063" width="7.5703125" bestFit="1" customWidth="1"/>
    <col min="2064" max="2064" width="13.28515625" bestFit="1" customWidth="1"/>
    <col min="2065" max="2065" width="9.28515625" bestFit="1" customWidth="1"/>
    <col min="2066" max="2066" width="11.5703125" bestFit="1" customWidth="1"/>
    <col min="2067" max="2067" width="13.28515625" bestFit="1" customWidth="1"/>
    <col min="2068" max="2068" width="7.140625" bestFit="1" customWidth="1"/>
    <col min="2069" max="2069" width="12" bestFit="1" customWidth="1"/>
    <col min="2070" max="2070" width="13.28515625" bestFit="1" customWidth="1"/>
    <col min="2071" max="2071" width="7" bestFit="1" customWidth="1"/>
    <col min="2072" max="2072" width="12.7109375" bestFit="1" customWidth="1"/>
    <col min="2073" max="2073" width="11.5703125" bestFit="1" customWidth="1"/>
    <col min="2074" max="2074" width="10.5703125" bestFit="1" customWidth="1"/>
    <col min="2075" max="2076" width="15.7109375" bestFit="1" customWidth="1"/>
    <col min="2077" max="2077" width="11.5703125" bestFit="1" customWidth="1"/>
    <col min="2078" max="2078" width="7.7109375" bestFit="1" customWidth="1"/>
    <col min="2079" max="2079" width="15.140625" bestFit="1" customWidth="1"/>
    <col min="2080" max="2080" width="11.5703125" bestFit="1" customWidth="1"/>
    <col min="2081" max="2081" width="13.28515625" bestFit="1" customWidth="1"/>
    <col min="2082" max="2082" width="10.42578125" bestFit="1" customWidth="1"/>
    <col min="2083" max="2083" width="13.28515625" bestFit="1" customWidth="1"/>
    <col min="2084" max="2084" width="12.140625" bestFit="1" customWidth="1"/>
    <col min="2085" max="2085" width="14.42578125" bestFit="1" customWidth="1"/>
    <col min="2086" max="2086" width="13.28515625" bestFit="1" customWidth="1"/>
    <col min="2087" max="2087" width="11.5703125" bestFit="1" customWidth="1"/>
    <col min="2088" max="2088" width="7.7109375" bestFit="1" customWidth="1"/>
    <col min="2089" max="2090" width="14.42578125" bestFit="1" customWidth="1"/>
    <col min="2091" max="2091" width="11.5703125" bestFit="1" customWidth="1"/>
    <col min="2092" max="2092" width="7.7109375" bestFit="1" customWidth="1"/>
    <col min="2093" max="2093" width="13.5703125" customWidth="1"/>
    <col min="2094" max="2094" width="15.28515625" customWidth="1"/>
    <col min="2095" max="2095" width="14.5703125" customWidth="1"/>
    <col min="2096" max="2096" width="13.28515625" bestFit="1" customWidth="1"/>
    <col min="2097" max="2097" width="7.7109375" bestFit="1" customWidth="1"/>
    <col min="2098" max="2098" width="12.7109375" bestFit="1" customWidth="1"/>
    <col min="2099" max="2099" width="11.7109375" bestFit="1" customWidth="1"/>
    <col min="2100" max="2100" width="11.5703125" bestFit="1" customWidth="1"/>
    <col min="2101" max="2101" width="5.28515625" bestFit="1" customWidth="1"/>
    <col min="2102" max="2102" width="13.28515625" bestFit="1" customWidth="1"/>
    <col min="2103" max="2103" width="13.5703125" bestFit="1" customWidth="1"/>
    <col min="2104" max="2104" width="10.5703125" bestFit="1" customWidth="1"/>
    <col min="2105" max="2105" width="13.28515625" bestFit="1" customWidth="1"/>
    <col min="2106" max="2106" width="11.5703125" bestFit="1" customWidth="1"/>
    <col min="2107" max="2107" width="10.5703125" bestFit="1" customWidth="1"/>
    <col min="2108" max="2108" width="16.140625" bestFit="1" customWidth="1"/>
    <col min="2109" max="2110" width="11.28515625" bestFit="1" customWidth="1"/>
    <col min="2111" max="2111" width="13.28515625" bestFit="1" customWidth="1"/>
    <col min="2112" max="2112" width="7.7109375" bestFit="1" customWidth="1"/>
    <col min="2113" max="2116" width="9.140625" hidden="1" customWidth="1"/>
    <col min="2117" max="2117" width="10.42578125" bestFit="1" customWidth="1"/>
    <col min="2118" max="2118" width="10.5703125" bestFit="1" customWidth="1"/>
    <col min="2119" max="2119" width="10.42578125" bestFit="1" customWidth="1"/>
    <col min="2120" max="2120" width="10.5703125" bestFit="1" customWidth="1"/>
    <col min="2121" max="2121" width="9.5703125" bestFit="1" customWidth="1"/>
    <col min="2122" max="2122" width="11.5703125" bestFit="1" customWidth="1"/>
    <col min="2123" max="2123" width="10.42578125" bestFit="1" customWidth="1"/>
    <col min="2124" max="2124" width="10.85546875" customWidth="1"/>
    <col min="2125" max="2126" width="9.85546875" bestFit="1" customWidth="1"/>
    <col min="2127" max="2127" width="13.5703125" bestFit="1" customWidth="1"/>
    <col min="2128" max="2128" width="7.7109375" bestFit="1" customWidth="1"/>
    <col min="2129" max="2129" width="13.28515625" bestFit="1" customWidth="1"/>
    <col min="2130" max="2130" width="11.5703125" bestFit="1" customWidth="1"/>
    <col min="2131" max="2131" width="10.42578125" bestFit="1" customWidth="1"/>
    <col min="2132" max="2132" width="7.7109375" bestFit="1" customWidth="1"/>
    <col min="2133" max="2133" width="11.5703125" bestFit="1" customWidth="1"/>
    <col min="2134" max="2134" width="10.85546875" bestFit="1" customWidth="1"/>
    <col min="2135" max="2135" width="13.28515625" bestFit="1" customWidth="1"/>
    <col min="2136" max="2136" width="10.85546875" bestFit="1" customWidth="1"/>
    <col min="2137" max="2138" width="7.5703125" bestFit="1" customWidth="1"/>
    <col min="2139" max="2140" width="10.42578125" bestFit="1" customWidth="1"/>
    <col min="2141" max="2141" width="11.5703125" bestFit="1" customWidth="1"/>
    <col min="2142" max="2142" width="5.28515625" bestFit="1" customWidth="1"/>
    <col min="2143" max="2143" width="10.28515625" bestFit="1" customWidth="1"/>
    <col min="2144" max="2144" width="10.42578125" bestFit="1" customWidth="1"/>
    <col min="2145" max="2145" width="11.5703125" bestFit="1" customWidth="1"/>
    <col min="2146" max="2146" width="5.28515625" bestFit="1" customWidth="1"/>
    <col min="2147" max="2149" width="11.5703125" bestFit="1" customWidth="1"/>
    <col min="2150" max="2150" width="5.28515625" bestFit="1" customWidth="1"/>
    <col min="2151" max="2152" width="10.42578125" bestFit="1" customWidth="1"/>
    <col min="2153" max="2153" width="11.5703125" bestFit="1" customWidth="1"/>
    <col min="2154" max="2154" width="5.28515625" bestFit="1" customWidth="1"/>
    <col min="2155" max="2155" width="14.28515625" bestFit="1" customWidth="1"/>
    <col min="2156" max="2156" width="13" bestFit="1" customWidth="1"/>
    <col min="2157" max="2157" width="11.5703125" bestFit="1" customWidth="1"/>
    <col min="2158" max="2158" width="8.85546875" bestFit="1" customWidth="1"/>
    <col min="2159" max="2159" width="14.42578125" bestFit="1" customWidth="1"/>
    <col min="2160" max="2160" width="10.42578125" bestFit="1" customWidth="1"/>
    <col min="2161" max="2161" width="12.28515625" bestFit="1" customWidth="1"/>
    <col min="2162" max="2162" width="13.85546875" bestFit="1" customWidth="1"/>
    <col min="2163" max="2163" width="11.28515625" customWidth="1"/>
    <col min="2164" max="2164" width="11.5703125" customWidth="1"/>
    <col min="2165" max="2165" width="13.42578125" bestFit="1" customWidth="1"/>
    <col min="2166" max="2166" width="10.42578125" customWidth="1"/>
    <col min="2167" max="2167" width="13.85546875" bestFit="1" customWidth="1"/>
    <col min="2168" max="2168" width="15.42578125" bestFit="1" customWidth="1"/>
    <col min="2169" max="2169" width="12.28515625" bestFit="1" customWidth="1"/>
    <col min="2170" max="2170" width="12.7109375" customWidth="1"/>
    <col min="2171" max="2171" width="10.7109375" bestFit="1" customWidth="1"/>
    <col min="2172" max="2172" width="9.85546875" customWidth="1"/>
    <col min="2173" max="2174" width="10.140625" bestFit="1" customWidth="1"/>
    <col min="2175" max="2175" width="7.5703125" bestFit="1" customWidth="1"/>
    <col min="2176" max="2176" width="9.42578125" bestFit="1" customWidth="1"/>
    <col min="2177" max="2177" width="14.5703125" bestFit="1" customWidth="1"/>
    <col min="2178" max="2178" width="14.85546875" customWidth="1"/>
    <col min="2179" max="2179" width="15.140625" bestFit="1" customWidth="1"/>
    <col min="2180" max="2180" width="12.140625" bestFit="1" customWidth="1"/>
    <col min="2181" max="2181" width="14.85546875" bestFit="1" customWidth="1"/>
    <col min="2182" max="2182" width="12.28515625" bestFit="1" customWidth="1"/>
    <col min="2183" max="2191" width="9.140625" hidden="1" customWidth="1"/>
    <col min="2192" max="2192" width="5.28515625" bestFit="1" customWidth="1"/>
    <col min="2193" max="2198" width="11.5703125" bestFit="1" customWidth="1"/>
    <col min="2199" max="2199" width="11.28515625" bestFit="1" customWidth="1"/>
    <col min="2200" max="2200" width="10.140625" bestFit="1" customWidth="1"/>
    <col min="2201" max="2201" width="11.5703125" bestFit="1" customWidth="1"/>
    <col min="2202" max="2202" width="16.140625" customWidth="1"/>
    <col min="2203" max="2203" width="13.42578125" customWidth="1"/>
    <col min="2204" max="2204" width="10.140625" bestFit="1" customWidth="1"/>
    <col min="2205" max="2205" width="12.85546875" bestFit="1" customWidth="1"/>
    <col min="2206" max="2206" width="12.28515625" bestFit="1" customWidth="1"/>
    <col min="2207" max="2207" width="11.28515625" bestFit="1" customWidth="1"/>
    <col min="2208" max="2208" width="11.5703125" bestFit="1" customWidth="1"/>
    <col min="2209" max="2209" width="10.85546875" bestFit="1" customWidth="1"/>
    <col min="2210" max="2210" width="11.28515625" bestFit="1" customWidth="1"/>
    <col min="2211" max="2211" width="10.140625" bestFit="1" customWidth="1"/>
    <col min="2212" max="2212" width="13.28515625" bestFit="1" customWidth="1"/>
    <col min="2213" max="2214" width="12.7109375" bestFit="1" customWidth="1"/>
    <col min="2215" max="2215" width="11" bestFit="1" customWidth="1"/>
    <col min="2216" max="2216" width="11.28515625" bestFit="1" customWidth="1"/>
    <col min="2217" max="2217" width="11.5703125" bestFit="1" customWidth="1"/>
    <col min="2218" max="2218" width="12.28515625" bestFit="1" customWidth="1"/>
    <col min="2219" max="2219" width="15.140625" bestFit="1" customWidth="1"/>
    <col min="2220" max="2220" width="14.42578125" bestFit="1" customWidth="1"/>
    <col min="2221" max="2221" width="12.28515625" bestFit="1" customWidth="1"/>
    <col min="2222" max="2222" width="15.140625" bestFit="1" customWidth="1"/>
    <col min="2223" max="2223" width="14.42578125" bestFit="1" customWidth="1"/>
    <col min="2224" max="2224" width="12.28515625" bestFit="1" customWidth="1"/>
    <col min="2225" max="2225" width="14.42578125" bestFit="1" customWidth="1"/>
    <col min="2226" max="2226" width="11.28515625" bestFit="1" customWidth="1"/>
    <col min="2227" max="2227" width="12.28515625" bestFit="1" customWidth="1"/>
    <col min="2228" max="2228" width="13" bestFit="1" customWidth="1"/>
    <col min="2229" max="2229" width="15.140625" bestFit="1" customWidth="1"/>
    <col min="2230" max="2230" width="12.28515625" bestFit="1" customWidth="1"/>
    <col min="2231" max="2231" width="13.85546875" bestFit="1" customWidth="1"/>
    <col min="2232" max="2232" width="11.28515625" bestFit="1" customWidth="1"/>
    <col min="2233" max="2233" width="12.28515625" bestFit="1" customWidth="1"/>
    <col min="2234" max="2234" width="13.85546875" bestFit="1" customWidth="1"/>
    <col min="2235" max="2236" width="15.140625" bestFit="1" customWidth="1"/>
    <col min="2237" max="2237" width="12.28515625" bestFit="1" customWidth="1"/>
    <col min="2238" max="2238" width="5.7109375" bestFit="1" customWidth="1"/>
    <col min="2239" max="2239" width="8.5703125" bestFit="1" customWidth="1"/>
    <col min="2240" max="2240" width="5.5703125" bestFit="1" customWidth="1"/>
    <col min="2241" max="2241" width="14.42578125" bestFit="1" customWidth="1"/>
    <col min="2242" max="2242" width="11.28515625" bestFit="1" customWidth="1"/>
    <col min="2243" max="2244" width="12.28515625" bestFit="1" customWidth="1"/>
    <col min="2245" max="2245" width="11.28515625" bestFit="1" customWidth="1"/>
    <col min="2246" max="2246" width="13.85546875" bestFit="1" customWidth="1"/>
    <col min="2247" max="2247" width="12" bestFit="1" customWidth="1"/>
    <col min="2248" max="2248" width="13.85546875" bestFit="1" customWidth="1"/>
    <col min="2249" max="2250" width="14.42578125" customWidth="1"/>
    <col min="2251" max="2251" width="10.140625" bestFit="1" customWidth="1"/>
    <col min="2252" max="2252" width="12.28515625" bestFit="1" customWidth="1"/>
    <col min="2253" max="2253" width="7.42578125" bestFit="1" customWidth="1"/>
    <col min="2254" max="2254" width="8.5703125" bestFit="1" customWidth="1"/>
    <col min="2255" max="2255" width="11.5703125" bestFit="1" customWidth="1"/>
    <col min="2256" max="2256" width="13.28515625" bestFit="1" customWidth="1"/>
    <col min="2257" max="2257" width="13.28515625" customWidth="1"/>
    <col min="2258" max="2258" width="13.140625" customWidth="1"/>
    <col min="2259" max="2259" width="12.7109375" bestFit="1" customWidth="1"/>
    <col min="2260" max="2260" width="13.28515625" bestFit="1" customWidth="1"/>
    <col min="2261" max="2263" width="13.28515625" customWidth="1"/>
    <col min="2264" max="2264" width="12.140625" bestFit="1" customWidth="1"/>
    <col min="2265" max="2265" width="12.7109375" bestFit="1" customWidth="1"/>
    <col min="2266" max="2266" width="11" customWidth="1"/>
    <col min="2267" max="2267" width="16.7109375" customWidth="1"/>
    <col min="2268" max="2268" width="17" customWidth="1"/>
    <col min="2269" max="2269" width="10.42578125" bestFit="1" customWidth="1"/>
    <col min="2313" max="2313" width="3.85546875" customWidth="1"/>
    <col min="2314" max="2314" width="15.28515625" bestFit="1" customWidth="1"/>
    <col min="2315" max="2315" width="12.28515625" customWidth="1"/>
    <col min="2316" max="2316" width="16.28515625" bestFit="1" customWidth="1"/>
    <col min="2317" max="2317" width="6.42578125" bestFit="1" customWidth="1"/>
    <col min="2318" max="2318" width="9.28515625" bestFit="1" customWidth="1"/>
    <col min="2319" max="2319" width="7.5703125" bestFit="1" customWidth="1"/>
    <col min="2320" max="2320" width="13.28515625" bestFit="1" customWidth="1"/>
    <col min="2321" max="2321" width="9.28515625" bestFit="1" customWidth="1"/>
    <col min="2322" max="2322" width="11.5703125" bestFit="1" customWidth="1"/>
    <col min="2323" max="2323" width="13.28515625" bestFit="1" customWidth="1"/>
    <col min="2324" max="2324" width="7.140625" bestFit="1" customWidth="1"/>
    <col min="2325" max="2325" width="12" bestFit="1" customWidth="1"/>
    <col min="2326" max="2326" width="13.28515625" bestFit="1" customWidth="1"/>
    <col min="2327" max="2327" width="7" bestFit="1" customWidth="1"/>
    <col min="2328" max="2328" width="12.7109375" bestFit="1" customWidth="1"/>
    <col min="2329" max="2329" width="11.5703125" bestFit="1" customWidth="1"/>
    <col min="2330" max="2330" width="10.5703125" bestFit="1" customWidth="1"/>
    <col min="2331" max="2332" width="15.7109375" bestFit="1" customWidth="1"/>
    <col min="2333" max="2333" width="11.5703125" bestFit="1" customWidth="1"/>
    <col min="2334" max="2334" width="7.7109375" bestFit="1" customWidth="1"/>
    <col min="2335" max="2335" width="15.140625" bestFit="1" customWidth="1"/>
    <col min="2336" max="2336" width="11.5703125" bestFit="1" customWidth="1"/>
    <col min="2337" max="2337" width="13.28515625" bestFit="1" customWidth="1"/>
    <col min="2338" max="2338" width="10.42578125" bestFit="1" customWidth="1"/>
    <col min="2339" max="2339" width="13.28515625" bestFit="1" customWidth="1"/>
    <col min="2340" max="2340" width="12.140625" bestFit="1" customWidth="1"/>
    <col min="2341" max="2341" width="14.42578125" bestFit="1" customWidth="1"/>
    <col min="2342" max="2342" width="13.28515625" bestFit="1" customWidth="1"/>
    <col min="2343" max="2343" width="11.5703125" bestFit="1" customWidth="1"/>
    <col min="2344" max="2344" width="7.7109375" bestFit="1" customWidth="1"/>
    <col min="2345" max="2346" width="14.42578125" bestFit="1" customWidth="1"/>
    <col min="2347" max="2347" width="11.5703125" bestFit="1" customWidth="1"/>
    <col min="2348" max="2348" width="7.7109375" bestFit="1" customWidth="1"/>
    <col min="2349" max="2349" width="13.5703125" customWidth="1"/>
    <col min="2350" max="2350" width="15.28515625" customWidth="1"/>
    <col min="2351" max="2351" width="14.5703125" customWidth="1"/>
    <col min="2352" max="2352" width="13.28515625" bestFit="1" customWidth="1"/>
    <col min="2353" max="2353" width="7.7109375" bestFit="1" customWidth="1"/>
    <col min="2354" max="2354" width="12.7109375" bestFit="1" customWidth="1"/>
    <col min="2355" max="2355" width="11.7109375" bestFit="1" customWidth="1"/>
    <col min="2356" max="2356" width="11.5703125" bestFit="1" customWidth="1"/>
    <col min="2357" max="2357" width="5.28515625" bestFit="1" customWidth="1"/>
    <col min="2358" max="2358" width="13.28515625" bestFit="1" customWidth="1"/>
    <col min="2359" max="2359" width="13.5703125" bestFit="1" customWidth="1"/>
    <col min="2360" max="2360" width="10.5703125" bestFit="1" customWidth="1"/>
    <col min="2361" max="2361" width="13.28515625" bestFit="1" customWidth="1"/>
    <col min="2362" max="2362" width="11.5703125" bestFit="1" customWidth="1"/>
    <col min="2363" max="2363" width="10.5703125" bestFit="1" customWidth="1"/>
    <col min="2364" max="2364" width="16.140625" bestFit="1" customWidth="1"/>
    <col min="2365" max="2366" width="11.28515625" bestFit="1" customWidth="1"/>
    <col min="2367" max="2367" width="13.28515625" bestFit="1" customWidth="1"/>
    <col min="2368" max="2368" width="7.7109375" bestFit="1" customWidth="1"/>
    <col min="2369" max="2372" width="9.140625" hidden="1" customWidth="1"/>
    <col min="2373" max="2373" width="10.42578125" bestFit="1" customWidth="1"/>
    <col min="2374" max="2374" width="10.5703125" bestFit="1" customWidth="1"/>
    <col min="2375" max="2375" width="10.42578125" bestFit="1" customWidth="1"/>
    <col min="2376" max="2376" width="10.5703125" bestFit="1" customWidth="1"/>
    <col min="2377" max="2377" width="9.5703125" bestFit="1" customWidth="1"/>
    <col min="2378" max="2378" width="11.5703125" bestFit="1" customWidth="1"/>
    <col min="2379" max="2379" width="10.42578125" bestFit="1" customWidth="1"/>
    <col min="2380" max="2380" width="10.85546875" customWidth="1"/>
    <col min="2381" max="2382" width="9.85546875" bestFit="1" customWidth="1"/>
    <col min="2383" max="2383" width="13.5703125" bestFit="1" customWidth="1"/>
    <col min="2384" max="2384" width="7.7109375" bestFit="1" customWidth="1"/>
    <col min="2385" max="2385" width="13.28515625" bestFit="1" customWidth="1"/>
    <col min="2386" max="2386" width="11.5703125" bestFit="1" customWidth="1"/>
    <col min="2387" max="2387" width="10.42578125" bestFit="1" customWidth="1"/>
    <col min="2388" max="2388" width="7.7109375" bestFit="1" customWidth="1"/>
    <col min="2389" max="2389" width="11.5703125" bestFit="1" customWidth="1"/>
    <col min="2390" max="2390" width="10.85546875" bestFit="1" customWidth="1"/>
    <col min="2391" max="2391" width="13.28515625" bestFit="1" customWidth="1"/>
    <col min="2392" max="2392" width="10.85546875" bestFit="1" customWidth="1"/>
    <col min="2393" max="2394" width="7.5703125" bestFit="1" customWidth="1"/>
    <col min="2395" max="2396" width="10.42578125" bestFit="1" customWidth="1"/>
    <col min="2397" max="2397" width="11.5703125" bestFit="1" customWidth="1"/>
    <col min="2398" max="2398" width="5.28515625" bestFit="1" customWidth="1"/>
    <col min="2399" max="2399" width="10.28515625" bestFit="1" customWidth="1"/>
    <col min="2400" max="2400" width="10.42578125" bestFit="1" customWidth="1"/>
    <col min="2401" max="2401" width="11.5703125" bestFit="1" customWidth="1"/>
    <col min="2402" max="2402" width="5.28515625" bestFit="1" customWidth="1"/>
    <col min="2403" max="2405" width="11.5703125" bestFit="1" customWidth="1"/>
    <col min="2406" max="2406" width="5.28515625" bestFit="1" customWidth="1"/>
    <col min="2407" max="2408" width="10.42578125" bestFit="1" customWidth="1"/>
    <col min="2409" max="2409" width="11.5703125" bestFit="1" customWidth="1"/>
    <col min="2410" max="2410" width="5.28515625" bestFit="1" customWidth="1"/>
    <col min="2411" max="2411" width="14.28515625" bestFit="1" customWidth="1"/>
    <col min="2412" max="2412" width="13" bestFit="1" customWidth="1"/>
    <col min="2413" max="2413" width="11.5703125" bestFit="1" customWidth="1"/>
    <col min="2414" max="2414" width="8.85546875" bestFit="1" customWidth="1"/>
    <col min="2415" max="2415" width="14.42578125" bestFit="1" customWidth="1"/>
    <col min="2416" max="2416" width="10.42578125" bestFit="1" customWidth="1"/>
    <col min="2417" max="2417" width="12.28515625" bestFit="1" customWidth="1"/>
    <col min="2418" max="2418" width="13.85546875" bestFit="1" customWidth="1"/>
    <col min="2419" max="2419" width="11.28515625" customWidth="1"/>
    <col min="2420" max="2420" width="11.5703125" customWidth="1"/>
    <col min="2421" max="2421" width="13.42578125" bestFit="1" customWidth="1"/>
    <col min="2422" max="2422" width="10.42578125" customWidth="1"/>
    <col min="2423" max="2423" width="13.85546875" bestFit="1" customWidth="1"/>
    <col min="2424" max="2424" width="15.42578125" bestFit="1" customWidth="1"/>
    <col min="2425" max="2425" width="12.28515625" bestFit="1" customWidth="1"/>
    <col min="2426" max="2426" width="12.7109375" customWidth="1"/>
    <col min="2427" max="2427" width="10.7109375" bestFit="1" customWidth="1"/>
    <col min="2428" max="2428" width="9.85546875" customWidth="1"/>
    <col min="2429" max="2430" width="10.140625" bestFit="1" customWidth="1"/>
    <col min="2431" max="2431" width="7.5703125" bestFit="1" customWidth="1"/>
    <col min="2432" max="2432" width="9.42578125" bestFit="1" customWidth="1"/>
    <col min="2433" max="2433" width="14.5703125" bestFit="1" customWidth="1"/>
    <col min="2434" max="2434" width="14.85546875" customWidth="1"/>
    <col min="2435" max="2435" width="15.140625" bestFit="1" customWidth="1"/>
    <col min="2436" max="2436" width="12.140625" bestFit="1" customWidth="1"/>
    <col min="2437" max="2437" width="14.85546875" bestFit="1" customWidth="1"/>
    <col min="2438" max="2438" width="12.28515625" bestFit="1" customWidth="1"/>
    <col min="2439" max="2447" width="9.140625" hidden="1" customWidth="1"/>
    <col min="2448" max="2448" width="5.28515625" bestFit="1" customWidth="1"/>
    <col min="2449" max="2454" width="11.5703125" bestFit="1" customWidth="1"/>
    <col min="2455" max="2455" width="11.28515625" bestFit="1" customWidth="1"/>
    <col min="2456" max="2456" width="10.140625" bestFit="1" customWidth="1"/>
    <col min="2457" max="2457" width="11.5703125" bestFit="1" customWidth="1"/>
    <col min="2458" max="2458" width="16.140625" customWidth="1"/>
    <col min="2459" max="2459" width="13.42578125" customWidth="1"/>
    <col min="2460" max="2460" width="10.140625" bestFit="1" customWidth="1"/>
    <col min="2461" max="2461" width="12.85546875" bestFit="1" customWidth="1"/>
    <col min="2462" max="2462" width="12.28515625" bestFit="1" customWidth="1"/>
    <col min="2463" max="2463" width="11.28515625" bestFit="1" customWidth="1"/>
    <col min="2464" max="2464" width="11.5703125" bestFit="1" customWidth="1"/>
    <col min="2465" max="2465" width="10.85546875" bestFit="1" customWidth="1"/>
    <col min="2466" max="2466" width="11.28515625" bestFit="1" customWidth="1"/>
    <col min="2467" max="2467" width="10.140625" bestFit="1" customWidth="1"/>
    <col min="2468" max="2468" width="13.28515625" bestFit="1" customWidth="1"/>
    <col min="2469" max="2470" width="12.7109375" bestFit="1" customWidth="1"/>
    <col min="2471" max="2471" width="11" bestFit="1" customWidth="1"/>
    <col min="2472" max="2472" width="11.28515625" bestFit="1" customWidth="1"/>
    <col min="2473" max="2473" width="11.5703125" bestFit="1" customWidth="1"/>
    <col min="2474" max="2474" width="12.28515625" bestFit="1" customWidth="1"/>
    <col min="2475" max="2475" width="15.140625" bestFit="1" customWidth="1"/>
    <col min="2476" max="2476" width="14.42578125" bestFit="1" customWidth="1"/>
    <col min="2477" max="2477" width="12.28515625" bestFit="1" customWidth="1"/>
    <col min="2478" max="2478" width="15.140625" bestFit="1" customWidth="1"/>
    <col min="2479" max="2479" width="14.42578125" bestFit="1" customWidth="1"/>
    <col min="2480" max="2480" width="12.28515625" bestFit="1" customWidth="1"/>
    <col min="2481" max="2481" width="14.42578125" bestFit="1" customWidth="1"/>
    <col min="2482" max="2482" width="11.28515625" bestFit="1" customWidth="1"/>
    <col min="2483" max="2483" width="12.28515625" bestFit="1" customWidth="1"/>
    <col min="2484" max="2484" width="13" bestFit="1" customWidth="1"/>
    <col min="2485" max="2485" width="15.140625" bestFit="1" customWidth="1"/>
    <col min="2486" max="2486" width="12.28515625" bestFit="1" customWidth="1"/>
    <col min="2487" max="2487" width="13.85546875" bestFit="1" customWidth="1"/>
    <col min="2488" max="2488" width="11.28515625" bestFit="1" customWidth="1"/>
    <col min="2489" max="2489" width="12.28515625" bestFit="1" customWidth="1"/>
    <col min="2490" max="2490" width="13.85546875" bestFit="1" customWidth="1"/>
    <col min="2491" max="2492" width="15.140625" bestFit="1" customWidth="1"/>
    <col min="2493" max="2493" width="12.28515625" bestFit="1" customWidth="1"/>
    <col min="2494" max="2494" width="5.7109375" bestFit="1" customWidth="1"/>
    <col min="2495" max="2495" width="8.5703125" bestFit="1" customWidth="1"/>
    <col min="2496" max="2496" width="5.5703125" bestFit="1" customWidth="1"/>
    <col min="2497" max="2497" width="14.42578125" bestFit="1" customWidth="1"/>
    <col min="2498" max="2498" width="11.28515625" bestFit="1" customWidth="1"/>
    <col min="2499" max="2500" width="12.28515625" bestFit="1" customWidth="1"/>
    <col min="2501" max="2501" width="11.28515625" bestFit="1" customWidth="1"/>
    <col min="2502" max="2502" width="13.85546875" bestFit="1" customWidth="1"/>
    <col min="2503" max="2503" width="12" bestFit="1" customWidth="1"/>
    <col min="2504" max="2504" width="13.85546875" bestFit="1" customWidth="1"/>
    <col min="2505" max="2506" width="14.42578125" customWidth="1"/>
    <col min="2507" max="2507" width="10.140625" bestFit="1" customWidth="1"/>
    <col min="2508" max="2508" width="12.28515625" bestFit="1" customWidth="1"/>
    <col min="2509" max="2509" width="7.42578125" bestFit="1" customWidth="1"/>
    <col min="2510" max="2510" width="8.5703125" bestFit="1" customWidth="1"/>
    <col min="2511" max="2511" width="11.5703125" bestFit="1" customWidth="1"/>
    <col min="2512" max="2512" width="13.28515625" bestFit="1" customWidth="1"/>
    <col min="2513" max="2513" width="13.28515625" customWidth="1"/>
    <col min="2514" max="2514" width="13.140625" customWidth="1"/>
    <col min="2515" max="2515" width="12.7109375" bestFit="1" customWidth="1"/>
    <col min="2516" max="2516" width="13.28515625" bestFit="1" customWidth="1"/>
    <col min="2517" max="2519" width="13.28515625" customWidth="1"/>
    <col min="2520" max="2520" width="12.140625" bestFit="1" customWidth="1"/>
    <col min="2521" max="2521" width="12.7109375" bestFit="1" customWidth="1"/>
    <col min="2522" max="2522" width="11" customWidth="1"/>
    <col min="2523" max="2523" width="16.7109375" customWidth="1"/>
    <col min="2524" max="2524" width="17" customWidth="1"/>
    <col min="2525" max="2525" width="10.42578125" bestFit="1" customWidth="1"/>
    <col min="2569" max="2569" width="3.85546875" customWidth="1"/>
    <col min="2570" max="2570" width="15.28515625" bestFit="1" customWidth="1"/>
    <col min="2571" max="2571" width="12.28515625" customWidth="1"/>
    <col min="2572" max="2572" width="16.28515625" bestFit="1" customWidth="1"/>
    <col min="2573" max="2573" width="6.42578125" bestFit="1" customWidth="1"/>
    <col min="2574" max="2574" width="9.28515625" bestFit="1" customWidth="1"/>
    <col min="2575" max="2575" width="7.5703125" bestFit="1" customWidth="1"/>
    <col min="2576" max="2576" width="13.28515625" bestFit="1" customWidth="1"/>
    <col min="2577" max="2577" width="9.28515625" bestFit="1" customWidth="1"/>
    <col min="2578" max="2578" width="11.5703125" bestFit="1" customWidth="1"/>
    <col min="2579" max="2579" width="13.28515625" bestFit="1" customWidth="1"/>
    <col min="2580" max="2580" width="7.140625" bestFit="1" customWidth="1"/>
    <col min="2581" max="2581" width="12" bestFit="1" customWidth="1"/>
    <col min="2582" max="2582" width="13.28515625" bestFit="1" customWidth="1"/>
    <col min="2583" max="2583" width="7" bestFit="1" customWidth="1"/>
    <col min="2584" max="2584" width="12.7109375" bestFit="1" customWidth="1"/>
    <col min="2585" max="2585" width="11.5703125" bestFit="1" customWidth="1"/>
    <col min="2586" max="2586" width="10.5703125" bestFit="1" customWidth="1"/>
    <col min="2587" max="2588" width="15.7109375" bestFit="1" customWidth="1"/>
    <col min="2589" max="2589" width="11.5703125" bestFit="1" customWidth="1"/>
    <col min="2590" max="2590" width="7.7109375" bestFit="1" customWidth="1"/>
    <col min="2591" max="2591" width="15.140625" bestFit="1" customWidth="1"/>
    <col min="2592" max="2592" width="11.5703125" bestFit="1" customWidth="1"/>
    <col min="2593" max="2593" width="13.28515625" bestFit="1" customWidth="1"/>
    <col min="2594" max="2594" width="10.42578125" bestFit="1" customWidth="1"/>
    <col min="2595" max="2595" width="13.28515625" bestFit="1" customWidth="1"/>
    <col min="2596" max="2596" width="12.140625" bestFit="1" customWidth="1"/>
    <col min="2597" max="2597" width="14.42578125" bestFit="1" customWidth="1"/>
    <col min="2598" max="2598" width="13.28515625" bestFit="1" customWidth="1"/>
    <col min="2599" max="2599" width="11.5703125" bestFit="1" customWidth="1"/>
    <col min="2600" max="2600" width="7.7109375" bestFit="1" customWidth="1"/>
    <col min="2601" max="2602" width="14.42578125" bestFit="1" customWidth="1"/>
    <col min="2603" max="2603" width="11.5703125" bestFit="1" customWidth="1"/>
    <col min="2604" max="2604" width="7.7109375" bestFit="1" customWidth="1"/>
    <col min="2605" max="2605" width="13.5703125" customWidth="1"/>
    <col min="2606" max="2606" width="15.28515625" customWidth="1"/>
    <col min="2607" max="2607" width="14.5703125" customWidth="1"/>
    <col min="2608" max="2608" width="13.28515625" bestFit="1" customWidth="1"/>
    <col min="2609" max="2609" width="7.7109375" bestFit="1" customWidth="1"/>
    <col min="2610" max="2610" width="12.7109375" bestFit="1" customWidth="1"/>
    <col min="2611" max="2611" width="11.7109375" bestFit="1" customWidth="1"/>
    <col min="2612" max="2612" width="11.5703125" bestFit="1" customWidth="1"/>
    <col min="2613" max="2613" width="5.28515625" bestFit="1" customWidth="1"/>
    <col min="2614" max="2614" width="13.28515625" bestFit="1" customWidth="1"/>
    <col min="2615" max="2615" width="13.5703125" bestFit="1" customWidth="1"/>
    <col min="2616" max="2616" width="10.5703125" bestFit="1" customWidth="1"/>
    <col min="2617" max="2617" width="13.28515625" bestFit="1" customWidth="1"/>
    <col min="2618" max="2618" width="11.5703125" bestFit="1" customWidth="1"/>
    <col min="2619" max="2619" width="10.5703125" bestFit="1" customWidth="1"/>
    <col min="2620" max="2620" width="16.140625" bestFit="1" customWidth="1"/>
    <col min="2621" max="2622" width="11.28515625" bestFit="1" customWidth="1"/>
    <col min="2623" max="2623" width="13.28515625" bestFit="1" customWidth="1"/>
    <col min="2624" max="2624" width="7.7109375" bestFit="1" customWidth="1"/>
    <col min="2625" max="2628" width="9.140625" hidden="1" customWidth="1"/>
    <col min="2629" max="2629" width="10.42578125" bestFit="1" customWidth="1"/>
    <col min="2630" max="2630" width="10.5703125" bestFit="1" customWidth="1"/>
    <col min="2631" max="2631" width="10.42578125" bestFit="1" customWidth="1"/>
    <col min="2632" max="2632" width="10.5703125" bestFit="1" customWidth="1"/>
    <col min="2633" max="2633" width="9.5703125" bestFit="1" customWidth="1"/>
    <col min="2634" max="2634" width="11.5703125" bestFit="1" customWidth="1"/>
    <col min="2635" max="2635" width="10.42578125" bestFit="1" customWidth="1"/>
    <col min="2636" max="2636" width="10.85546875" customWidth="1"/>
    <col min="2637" max="2638" width="9.85546875" bestFit="1" customWidth="1"/>
    <col min="2639" max="2639" width="13.5703125" bestFit="1" customWidth="1"/>
    <col min="2640" max="2640" width="7.7109375" bestFit="1" customWidth="1"/>
    <col min="2641" max="2641" width="13.28515625" bestFit="1" customWidth="1"/>
    <col min="2642" max="2642" width="11.5703125" bestFit="1" customWidth="1"/>
    <col min="2643" max="2643" width="10.42578125" bestFit="1" customWidth="1"/>
    <col min="2644" max="2644" width="7.7109375" bestFit="1" customWidth="1"/>
    <col min="2645" max="2645" width="11.5703125" bestFit="1" customWidth="1"/>
    <col min="2646" max="2646" width="10.85546875" bestFit="1" customWidth="1"/>
    <col min="2647" max="2647" width="13.28515625" bestFit="1" customWidth="1"/>
    <col min="2648" max="2648" width="10.85546875" bestFit="1" customWidth="1"/>
    <col min="2649" max="2650" width="7.5703125" bestFit="1" customWidth="1"/>
    <col min="2651" max="2652" width="10.42578125" bestFit="1" customWidth="1"/>
    <col min="2653" max="2653" width="11.5703125" bestFit="1" customWidth="1"/>
    <col min="2654" max="2654" width="5.28515625" bestFit="1" customWidth="1"/>
    <col min="2655" max="2655" width="10.28515625" bestFit="1" customWidth="1"/>
    <col min="2656" max="2656" width="10.42578125" bestFit="1" customWidth="1"/>
    <col min="2657" max="2657" width="11.5703125" bestFit="1" customWidth="1"/>
    <col min="2658" max="2658" width="5.28515625" bestFit="1" customWidth="1"/>
    <col min="2659" max="2661" width="11.5703125" bestFit="1" customWidth="1"/>
    <col min="2662" max="2662" width="5.28515625" bestFit="1" customWidth="1"/>
    <col min="2663" max="2664" width="10.42578125" bestFit="1" customWidth="1"/>
    <col min="2665" max="2665" width="11.5703125" bestFit="1" customWidth="1"/>
    <col min="2666" max="2666" width="5.28515625" bestFit="1" customWidth="1"/>
    <col min="2667" max="2667" width="14.28515625" bestFit="1" customWidth="1"/>
    <col min="2668" max="2668" width="13" bestFit="1" customWidth="1"/>
    <col min="2669" max="2669" width="11.5703125" bestFit="1" customWidth="1"/>
    <col min="2670" max="2670" width="8.85546875" bestFit="1" customWidth="1"/>
    <col min="2671" max="2671" width="14.42578125" bestFit="1" customWidth="1"/>
    <col min="2672" max="2672" width="10.42578125" bestFit="1" customWidth="1"/>
    <col min="2673" max="2673" width="12.28515625" bestFit="1" customWidth="1"/>
    <col min="2674" max="2674" width="13.85546875" bestFit="1" customWidth="1"/>
    <col min="2675" max="2675" width="11.28515625" customWidth="1"/>
    <col min="2676" max="2676" width="11.5703125" customWidth="1"/>
    <col min="2677" max="2677" width="13.42578125" bestFit="1" customWidth="1"/>
    <col min="2678" max="2678" width="10.42578125" customWidth="1"/>
    <col min="2679" max="2679" width="13.85546875" bestFit="1" customWidth="1"/>
    <col min="2680" max="2680" width="15.42578125" bestFit="1" customWidth="1"/>
    <col min="2681" max="2681" width="12.28515625" bestFit="1" customWidth="1"/>
    <col min="2682" max="2682" width="12.7109375" customWidth="1"/>
    <col min="2683" max="2683" width="10.7109375" bestFit="1" customWidth="1"/>
    <col min="2684" max="2684" width="9.85546875" customWidth="1"/>
    <col min="2685" max="2686" width="10.140625" bestFit="1" customWidth="1"/>
    <col min="2687" max="2687" width="7.5703125" bestFit="1" customWidth="1"/>
    <col min="2688" max="2688" width="9.42578125" bestFit="1" customWidth="1"/>
    <col min="2689" max="2689" width="14.5703125" bestFit="1" customWidth="1"/>
    <col min="2690" max="2690" width="14.85546875" customWidth="1"/>
    <col min="2691" max="2691" width="15.140625" bestFit="1" customWidth="1"/>
    <col min="2692" max="2692" width="12.140625" bestFit="1" customWidth="1"/>
    <col min="2693" max="2693" width="14.85546875" bestFit="1" customWidth="1"/>
    <col min="2694" max="2694" width="12.28515625" bestFit="1" customWidth="1"/>
    <col min="2695" max="2703" width="9.140625" hidden="1" customWidth="1"/>
    <col min="2704" max="2704" width="5.28515625" bestFit="1" customWidth="1"/>
    <col min="2705" max="2710" width="11.5703125" bestFit="1" customWidth="1"/>
    <col min="2711" max="2711" width="11.28515625" bestFit="1" customWidth="1"/>
    <col min="2712" max="2712" width="10.140625" bestFit="1" customWidth="1"/>
    <col min="2713" max="2713" width="11.5703125" bestFit="1" customWidth="1"/>
    <col min="2714" max="2714" width="16.140625" customWidth="1"/>
    <col min="2715" max="2715" width="13.42578125" customWidth="1"/>
    <col min="2716" max="2716" width="10.140625" bestFit="1" customWidth="1"/>
    <col min="2717" max="2717" width="12.85546875" bestFit="1" customWidth="1"/>
    <col min="2718" max="2718" width="12.28515625" bestFit="1" customWidth="1"/>
    <col min="2719" max="2719" width="11.28515625" bestFit="1" customWidth="1"/>
    <col min="2720" max="2720" width="11.5703125" bestFit="1" customWidth="1"/>
    <col min="2721" max="2721" width="10.85546875" bestFit="1" customWidth="1"/>
    <col min="2722" max="2722" width="11.28515625" bestFit="1" customWidth="1"/>
    <col min="2723" max="2723" width="10.140625" bestFit="1" customWidth="1"/>
    <col min="2724" max="2724" width="13.28515625" bestFit="1" customWidth="1"/>
    <col min="2725" max="2726" width="12.7109375" bestFit="1" customWidth="1"/>
    <col min="2727" max="2727" width="11" bestFit="1" customWidth="1"/>
    <col min="2728" max="2728" width="11.28515625" bestFit="1" customWidth="1"/>
    <col min="2729" max="2729" width="11.5703125" bestFit="1" customWidth="1"/>
    <col min="2730" max="2730" width="12.28515625" bestFit="1" customWidth="1"/>
    <col min="2731" max="2731" width="15.140625" bestFit="1" customWidth="1"/>
    <col min="2732" max="2732" width="14.42578125" bestFit="1" customWidth="1"/>
    <col min="2733" max="2733" width="12.28515625" bestFit="1" customWidth="1"/>
    <col min="2734" max="2734" width="15.140625" bestFit="1" customWidth="1"/>
    <col min="2735" max="2735" width="14.42578125" bestFit="1" customWidth="1"/>
    <col min="2736" max="2736" width="12.28515625" bestFit="1" customWidth="1"/>
    <col min="2737" max="2737" width="14.42578125" bestFit="1" customWidth="1"/>
    <col min="2738" max="2738" width="11.28515625" bestFit="1" customWidth="1"/>
    <col min="2739" max="2739" width="12.28515625" bestFit="1" customWidth="1"/>
    <col min="2740" max="2740" width="13" bestFit="1" customWidth="1"/>
    <col min="2741" max="2741" width="15.140625" bestFit="1" customWidth="1"/>
    <col min="2742" max="2742" width="12.28515625" bestFit="1" customWidth="1"/>
    <col min="2743" max="2743" width="13.85546875" bestFit="1" customWidth="1"/>
    <col min="2744" max="2744" width="11.28515625" bestFit="1" customWidth="1"/>
    <col min="2745" max="2745" width="12.28515625" bestFit="1" customWidth="1"/>
    <col min="2746" max="2746" width="13.85546875" bestFit="1" customWidth="1"/>
    <col min="2747" max="2748" width="15.140625" bestFit="1" customWidth="1"/>
    <col min="2749" max="2749" width="12.28515625" bestFit="1" customWidth="1"/>
    <col min="2750" max="2750" width="5.7109375" bestFit="1" customWidth="1"/>
    <col min="2751" max="2751" width="8.5703125" bestFit="1" customWidth="1"/>
    <col min="2752" max="2752" width="5.5703125" bestFit="1" customWidth="1"/>
    <col min="2753" max="2753" width="14.42578125" bestFit="1" customWidth="1"/>
    <col min="2754" max="2754" width="11.28515625" bestFit="1" customWidth="1"/>
    <col min="2755" max="2756" width="12.28515625" bestFit="1" customWidth="1"/>
    <col min="2757" max="2757" width="11.28515625" bestFit="1" customWidth="1"/>
    <col min="2758" max="2758" width="13.85546875" bestFit="1" customWidth="1"/>
    <col min="2759" max="2759" width="12" bestFit="1" customWidth="1"/>
    <col min="2760" max="2760" width="13.85546875" bestFit="1" customWidth="1"/>
    <col min="2761" max="2762" width="14.42578125" customWidth="1"/>
    <col min="2763" max="2763" width="10.140625" bestFit="1" customWidth="1"/>
    <col min="2764" max="2764" width="12.28515625" bestFit="1" customWidth="1"/>
    <col min="2765" max="2765" width="7.42578125" bestFit="1" customWidth="1"/>
    <col min="2766" max="2766" width="8.5703125" bestFit="1" customWidth="1"/>
    <col min="2767" max="2767" width="11.5703125" bestFit="1" customWidth="1"/>
    <col min="2768" max="2768" width="13.28515625" bestFit="1" customWidth="1"/>
    <col min="2769" max="2769" width="13.28515625" customWidth="1"/>
    <col min="2770" max="2770" width="13.140625" customWidth="1"/>
    <col min="2771" max="2771" width="12.7109375" bestFit="1" customWidth="1"/>
    <col min="2772" max="2772" width="13.28515625" bestFit="1" customWidth="1"/>
    <col min="2773" max="2775" width="13.28515625" customWidth="1"/>
    <col min="2776" max="2776" width="12.140625" bestFit="1" customWidth="1"/>
    <col min="2777" max="2777" width="12.7109375" bestFit="1" customWidth="1"/>
    <col min="2778" max="2778" width="11" customWidth="1"/>
    <col min="2779" max="2779" width="16.7109375" customWidth="1"/>
    <col min="2780" max="2780" width="17" customWidth="1"/>
    <col min="2781" max="2781" width="10.42578125" bestFit="1" customWidth="1"/>
    <col min="2825" max="2825" width="3.85546875" customWidth="1"/>
    <col min="2826" max="2826" width="15.28515625" bestFit="1" customWidth="1"/>
    <col min="2827" max="2827" width="12.28515625" customWidth="1"/>
    <col min="2828" max="2828" width="16.28515625" bestFit="1" customWidth="1"/>
    <col min="2829" max="2829" width="6.42578125" bestFit="1" customWidth="1"/>
    <col min="2830" max="2830" width="9.28515625" bestFit="1" customWidth="1"/>
    <col min="2831" max="2831" width="7.5703125" bestFit="1" customWidth="1"/>
    <col min="2832" max="2832" width="13.28515625" bestFit="1" customWidth="1"/>
    <col min="2833" max="2833" width="9.28515625" bestFit="1" customWidth="1"/>
    <col min="2834" max="2834" width="11.5703125" bestFit="1" customWidth="1"/>
    <col min="2835" max="2835" width="13.28515625" bestFit="1" customWidth="1"/>
    <col min="2836" max="2836" width="7.140625" bestFit="1" customWidth="1"/>
    <col min="2837" max="2837" width="12" bestFit="1" customWidth="1"/>
    <col min="2838" max="2838" width="13.28515625" bestFit="1" customWidth="1"/>
    <col min="2839" max="2839" width="7" bestFit="1" customWidth="1"/>
    <col min="2840" max="2840" width="12.7109375" bestFit="1" customWidth="1"/>
    <col min="2841" max="2841" width="11.5703125" bestFit="1" customWidth="1"/>
    <col min="2842" max="2842" width="10.5703125" bestFit="1" customWidth="1"/>
    <col min="2843" max="2844" width="15.7109375" bestFit="1" customWidth="1"/>
    <col min="2845" max="2845" width="11.5703125" bestFit="1" customWidth="1"/>
    <col min="2846" max="2846" width="7.7109375" bestFit="1" customWidth="1"/>
    <col min="2847" max="2847" width="15.140625" bestFit="1" customWidth="1"/>
    <col min="2848" max="2848" width="11.5703125" bestFit="1" customWidth="1"/>
    <col min="2849" max="2849" width="13.28515625" bestFit="1" customWidth="1"/>
    <col min="2850" max="2850" width="10.42578125" bestFit="1" customWidth="1"/>
    <col min="2851" max="2851" width="13.28515625" bestFit="1" customWidth="1"/>
    <col min="2852" max="2852" width="12.140625" bestFit="1" customWidth="1"/>
    <col min="2853" max="2853" width="14.42578125" bestFit="1" customWidth="1"/>
    <col min="2854" max="2854" width="13.28515625" bestFit="1" customWidth="1"/>
    <col min="2855" max="2855" width="11.5703125" bestFit="1" customWidth="1"/>
    <col min="2856" max="2856" width="7.7109375" bestFit="1" customWidth="1"/>
    <col min="2857" max="2858" width="14.42578125" bestFit="1" customWidth="1"/>
    <col min="2859" max="2859" width="11.5703125" bestFit="1" customWidth="1"/>
    <col min="2860" max="2860" width="7.7109375" bestFit="1" customWidth="1"/>
    <col min="2861" max="2861" width="13.5703125" customWidth="1"/>
    <col min="2862" max="2862" width="15.28515625" customWidth="1"/>
    <col min="2863" max="2863" width="14.5703125" customWidth="1"/>
    <col min="2864" max="2864" width="13.28515625" bestFit="1" customWidth="1"/>
    <col min="2865" max="2865" width="7.7109375" bestFit="1" customWidth="1"/>
    <col min="2866" max="2866" width="12.7109375" bestFit="1" customWidth="1"/>
    <col min="2867" max="2867" width="11.7109375" bestFit="1" customWidth="1"/>
    <col min="2868" max="2868" width="11.5703125" bestFit="1" customWidth="1"/>
    <col min="2869" max="2869" width="5.28515625" bestFit="1" customWidth="1"/>
    <col min="2870" max="2870" width="13.28515625" bestFit="1" customWidth="1"/>
    <col min="2871" max="2871" width="13.5703125" bestFit="1" customWidth="1"/>
    <col min="2872" max="2872" width="10.5703125" bestFit="1" customWidth="1"/>
    <col min="2873" max="2873" width="13.28515625" bestFit="1" customWidth="1"/>
    <col min="2874" max="2874" width="11.5703125" bestFit="1" customWidth="1"/>
    <col min="2875" max="2875" width="10.5703125" bestFit="1" customWidth="1"/>
    <col min="2876" max="2876" width="16.140625" bestFit="1" customWidth="1"/>
    <col min="2877" max="2878" width="11.28515625" bestFit="1" customWidth="1"/>
    <col min="2879" max="2879" width="13.28515625" bestFit="1" customWidth="1"/>
    <col min="2880" max="2880" width="7.7109375" bestFit="1" customWidth="1"/>
    <col min="2881" max="2884" width="9.140625" hidden="1" customWidth="1"/>
    <col min="2885" max="2885" width="10.42578125" bestFit="1" customWidth="1"/>
    <col min="2886" max="2886" width="10.5703125" bestFit="1" customWidth="1"/>
    <col min="2887" max="2887" width="10.42578125" bestFit="1" customWidth="1"/>
    <col min="2888" max="2888" width="10.5703125" bestFit="1" customWidth="1"/>
    <col min="2889" max="2889" width="9.5703125" bestFit="1" customWidth="1"/>
    <col min="2890" max="2890" width="11.5703125" bestFit="1" customWidth="1"/>
    <col min="2891" max="2891" width="10.42578125" bestFit="1" customWidth="1"/>
    <col min="2892" max="2892" width="10.85546875" customWidth="1"/>
    <col min="2893" max="2894" width="9.85546875" bestFit="1" customWidth="1"/>
    <col min="2895" max="2895" width="13.5703125" bestFit="1" customWidth="1"/>
    <col min="2896" max="2896" width="7.7109375" bestFit="1" customWidth="1"/>
    <col min="2897" max="2897" width="13.28515625" bestFit="1" customWidth="1"/>
    <col min="2898" max="2898" width="11.5703125" bestFit="1" customWidth="1"/>
    <col min="2899" max="2899" width="10.42578125" bestFit="1" customWidth="1"/>
    <col min="2900" max="2900" width="7.7109375" bestFit="1" customWidth="1"/>
    <col min="2901" max="2901" width="11.5703125" bestFit="1" customWidth="1"/>
    <col min="2902" max="2902" width="10.85546875" bestFit="1" customWidth="1"/>
    <col min="2903" max="2903" width="13.28515625" bestFit="1" customWidth="1"/>
    <col min="2904" max="2904" width="10.85546875" bestFit="1" customWidth="1"/>
    <col min="2905" max="2906" width="7.5703125" bestFit="1" customWidth="1"/>
    <col min="2907" max="2908" width="10.42578125" bestFit="1" customWidth="1"/>
    <col min="2909" max="2909" width="11.5703125" bestFit="1" customWidth="1"/>
    <col min="2910" max="2910" width="5.28515625" bestFit="1" customWidth="1"/>
    <col min="2911" max="2911" width="10.28515625" bestFit="1" customWidth="1"/>
    <col min="2912" max="2912" width="10.42578125" bestFit="1" customWidth="1"/>
    <col min="2913" max="2913" width="11.5703125" bestFit="1" customWidth="1"/>
    <col min="2914" max="2914" width="5.28515625" bestFit="1" customWidth="1"/>
    <col min="2915" max="2917" width="11.5703125" bestFit="1" customWidth="1"/>
    <col min="2918" max="2918" width="5.28515625" bestFit="1" customWidth="1"/>
    <col min="2919" max="2920" width="10.42578125" bestFit="1" customWidth="1"/>
    <col min="2921" max="2921" width="11.5703125" bestFit="1" customWidth="1"/>
    <col min="2922" max="2922" width="5.28515625" bestFit="1" customWidth="1"/>
    <col min="2923" max="2923" width="14.28515625" bestFit="1" customWidth="1"/>
    <col min="2924" max="2924" width="13" bestFit="1" customWidth="1"/>
    <col min="2925" max="2925" width="11.5703125" bestFit="1" customWidth="1"/>
    <col min="2926" max="2926" width="8.85546875" bestFit="1" customWidth="1"/>
    <col min="2927" max="2927" width="14.42578125" bestFit="1" customWidth="1"/>
    <col min="2928" max="2928" width="10.42578125" bestFit="1" customWidth="1"/>
    <col min="2929" max="2929" width="12.28515625" bestFit="1" customWidth="1"/>
    <col min="2930" max="2930" width="13.85546875" bestFit="1" customWidth="1"/>
    <col min="2931" max="2931" width="11.28515625" customWidth="1"/>
    <col min="2932" max="2932" width="11.5703125" customWidth="1"/>
    <col min="2933" max="2933" width="13.42578125" bestFit="1" customWidth="1"/>
    <col min="2934" max="2934" width="10.42578125" customWidth="1"/>
    <col min="2935" max="2935" width="13.85546875" bestFit="1" customWidth="1"/>
    <col min="2936" max="2936" width="15.42578125" bestFit="1" customWidth="1"/>
    <col min="2937" max="2937" width="12.28515625" bestFit="1" customWidth="1"/>
    <col min="2938" max="2938" width="12.7109375" customWidth="1"/>
    <col min="2939" max="2939" width="10.7109375" bestFit="1" customWidth="1"/>
    <col min="2940" max="2940" width="9.85546875" customWidth="1"/>
    <col min="2941" max="2942" width="10.140625" bestFit="1" customWidth="1"/>
    <col min="2943" max="2943" width="7.5703125" bestFit="1" customWidth="1"/>
    <col min="2944" max="2944" width="9.42578125" bestFit="1" customWidth="1"/>
    <col min="2945" max="2945" width="14.5703125" bestFit="1" customWidth="1"/>
    <col min="2946" max="2946" width="14.85546875" customWidth="1"/>
    <col min="2947" max="2947" width="15.140625" bestFit="1" customWidth="1"/>
    <col min="2948" max="2948" width="12.140625" bestFit="1" customWidth="1"/>
    <col min="2949" max="2949" width="14.85546875" bestFit="1" customWidth="1"/>
    <col min="2950" max="2950" width="12.28515625" bestFit="1" customWidth="1"/>
    <col min="2951" max="2959" width="9.140625" hidden="1" customWidth="1"/>
    <col min="2960" max="2960" width="5.28515625" bestFit="1" customWidth="1"/>
    <col min="2961" max="2966" width="11.5703125" bestFit="1" customWidth="1"/>
    <col min="2967" max="2967" width="11.28515625" bestFit="1" customWidth="1"/>
    <col min="2968" max="2968" width="10.140625" bestFit="1" customWidth="1"/>
    <col min="2969" max="2969" width="11.5703125" bestFit="1" customWidth="1"/>
    <col min="2970" max="2970" width="16.140625" customWidth="1"/>
    <col min="2971" max="2971" width="13.42578125" customWidth="1"/>
    <col min="2972" max="2972" width="10.140625" bestFit="1" customWidth="1"/>
    <col min="2973" max="2973" width="12.85546875" bestFit="1" customWidth="1"/>
    <col min="2974" max="2974" width="12.28515625" bestFit="1" customWidth="1"/>
    <col min="2975" max="2975" width="11.28515625" bestFit="1" customWidth="1"/>
    <col min="2976" max="2976" width="11.5703125" bestFit="1" customWidth="1"/>
    <col min="2977" max="2977" width="10.85546875" bestFit="1" customWidth="1"/>
    <col min="2978" max="2978" width="11.28515625" bestFit="1" customWidth="1"/>
    <col min="2979" max="2979" width="10.140625" bestFit="1" customWidth="1"/>
    <col min="2980" max="2980" width="13.28515625" bestFit="1" customWidth="1"/>
    <col min="2981" max="2982" width="12.7109375" bestFit="1" customWidth="1"/>
    <col min="2983" max="2983" width="11" bestFit="1" customWidth="1"/>
    <col min="2984" max="2984" width="11.28515625" bestFit="1" customWidth="1"/>
    <col min="2985" max="2985" width="11.5703125" bestFit="1" customWidth="1"/>
    <col min="2986" max="2986" width="12.28515625" bestFit="1" customWidth="1"/>
    <col min="2987" max="2987" width="15.140625" bestFit="1" customWidth="1"/>
    <col min="2988" max="2988" width="14.42578125" bestFit="1" customWidth="1"/>
    <col min="2989" max="2989" width="12.28515625" bestFit="1" customWidth="1"/>
    <col min="2990" max="2990" width="15.140625" bestFit="1" customWidth="1"/>
    <col min="2991" max="2991" width="14.42578125" bestFit="1" customWidth="1"/>
    <col min="2992" max="2992" width="12.28515625" bestFit="1" customWidth="1"/>
    <col min="2993" max="2993" width="14.42578125" bestFit="1" customWidth="1"/>
    <col min="2994" max="2994" width="11.28515625" bestFit="1" customWidth="1"/>
    <col min="2995" max="2995" width="12.28515625" bestFit="1" customWidth="1"/>
    <col min="2996" max="2996" width="13" bestFit="1" customWidth="1"/>
    <col min="2997" max="2997" width="15.140625" bestFit="1" customWidth="1"/>
    <col min="2998" max="2998" width="12.28515625" bestFit="1" customWidth="1"/>
    <col min="2999" max="2999" width="13.85546875" bestFit="1" customWidth="1"/>
    <col min="3000" max="3000" width="11.28515625" bestFit="1" customWidth="1"/>
    <col min="3001" max="3001" width="12.28515625" bestFit="1" customWidth="1"/>
    <col min="3002" max="3002" width="13.85546875" bestFit="1" customWidth="1"/>
    <col min="3003" max="3004" width="15.140625" bestFit="1" customWidth="1"/>
    <col min="3005" max="3005" width="12.28515625" bestFit="1" customWidth="1"/>
    <col min="3006" max="3006" width="5.7109375" bestFit="1" customWidth="1"/>
    <col min="3007" max="3007" width="8.5703125" bestFit="1" customWidth="1"/>
    <col min="3008" max="3008" width="5.5703125" bestFit="1" customWidth="1"/>
    <col min="3009" max="3009" width="14.42578125" bestFit="1" customWidth="1"/>
    <col min="3010" max="3010" width="11.28515625" bestFit="1" customWidth="1"/>
    <col min="3011" max="3012" width="12.28515625" bestFit="1" customWidth="1"/>
    <col min="3013" max="3013" width="11.28515625" bestFit="1" customWidth="1"/>
    <col min="3014" max="3014" width="13.85546875" bestFit="1" customWidth="1"/>
    <col min="3015" max="3015" width="12" bestFit="1" customWidth="1"/>
    <col min="3016" max="3016" width="13.85546875" bestFit="1" customWidth="1"/>
    <col min="3017" max="3018" width="14.42578125" customWidth="1"/>
    <col min="3019" max="3019" width="10.140625" bestFit="1" customWidth="1"/>
    <col min="3020" max="3020" width="12.28515625" bestFit="1" customWidth="1"/>
    <col min="3021" max="3021" width="7.42578125" bestFit="1" customWidth="1"/>
    <col min="3022" max="3022" width="8.5703125" bestFit="1" customWidth="1"/>
    <col min="3023" max="3023" width="11.5703125" bestFit="1" customWidth="1"/>
    <col min="3024" max="3024" width="13.28515625" bestFit="1" customWidth="1"/>
    <col min="3025" max="3025" width="13.28515625" customWidth="1"/>
    <col min="3026" max="3026" width="13.140625" customWidth="1"/>
    <col min="3027" max="3027" width="12.7109375" bestFit="1" customWidth="1"/>
    <col min="3028" max="3028" width="13.28515625" bestFit="1" customWidth="1"/>
    <col min="3029" max="3031" width="13.28515625" customWidth="1"/>
    <col min="3032" max="3032" width="12.140625" bestFit="1" customWidth="1"/>
    <col min="3033" max="3033" width="12.7109375" bestFit="1" customWidth="1"/>
    <col min="3034" max="3034" width="11" customWidth="1"/>
    <col min="3035" max="3035" width="16.7109375" customWidth="1"/>
    <col min="3036" max="3036" width="17" customWidth="1"/>
    <col min="3037" max="3037" width="10.42578125" bestFit="1" customWidth="1"/>
    <col min="3081" max="3081" width="3.85546875" customWidth="1"/>
    <col min="3082" max="3082" width="15.28515625" bestFit="1" customWidth="1"/>
    <col min="3083" max="3083" width="12.28515625" customWidth="1"/>
    <col min="3084" max="3084" width="16.28515625" bestFit="1" customWidth="1"/>
    <col min="3085" max="3085" width="6.42578125" bestFit="1" customWidth="1"/>
    <col min="3086" max="3086" width="9.28515625" bestFit="1" customWidth="1"/>
    <col min="3087" max="3087" width="7.5703125" bestFit="1" customWidth="1"/>
    <col min="3088" max="3088" width="13.28515625" bestFit="1" customWidth="1"/>
    <col min="3089" max="3089" width="9.28515625" bestFit="1" customWidth="1"/>
    <col min="3090" max="3090" width="11.5703125" bestFit="1" customWidth="1"/>
    <col min="3091" max="3091" width="13.28515625" bestFit="1" customWidth="1"/>
    <col min="3092" max="3092" width="7.140625" bestFit="1" customWidth="1"/>
    <col min="3093" max="3093" width="12" bestFit="1" customWidth="1"/>
    <col min="3094" max="3094" width="13.28515625" bestFit="1" customWidth="1"/>
    <col min="3095" max="3095" width="7" bestFit="1" customWidth="1"/>
    <col min="3096" max="3096" width="12.7109375" bestFit="1" customWidth="1"/>
    <col min="3097" max="3097" width="11.5703125" bestFit="1" customWidth="1"/>
    <col min="3098" max="3098" width="10.5703125" bestFit="1" customWidth="1"/>
    <col min="3099" max="3100" width="15.7109375" bestFit="1" customWidth="1"/>
    <col min="3101" max="3101" width="11.5703125" bestFit="1" customWidth="1"/>
    <col min="3102" max="3102" width="7.7109375" bestFit="1" customWidth="1"/>
    <col min="3103" max="3103" width="15.140625" bestFit="1" customWidth="1"/>
    <col min="3104" max="3104" width="11.5703125" bestFit="1" customWidth="1"/>
    <col min="3105" max="3105" width="13.28515625" bestFit="1" customWidth="1"/>
    <col min="3106" max="3106" width="10.42578125" bestFit="1" customWidth="1"/>
    <col min="3107" max="3107" width="13.28515625" bestFit="1" customWidth="1"/>
    <col min="3108" max="3108" width="12.140625" bestFit="1" customWidth="1"/>
    <col min="3109" max="3109" width="14.42578125" bestFit="1" customWidth="1"/>
    <col min="3110" max="3110" width="13.28515625" bestFit="1" customWidth="1"/>
    <col min="3111" max="3111" width="11.5703125" bestFit="1" customWidth="1"/>
    <col min="3112" max="3112" width="7.7109375" bestFit="1" customWidth="1"/>
    <col min="3113" max="3114" width="14.42578125" bestFit="1" customWidth="1"/>
    <col min="3115" max="3115" width="11.5703125" bestFit="1" customWidth="1"/>
    <col min="3116" max="3116" width="7.7109375" bestFit="1" customWidth="1"/>
    <col min="3117" max="3117" width="13.5703125" customWidth="1"/>
    <col min="3118" max="3118" width="15.28515625" customWidth="1"/>
    <col min="3119" max="3119" width="14.5703125" customWidth="1"/>
    <col min="3120" max="3120" width="13.28515625" bestFit="1" customWidth="1"/>
    <col min="3121" max="3121" width="7.7109375" bestFit="1" customWidth="1"/>
    <col min="3122" max="3122" width="12.7109375" bestFit="1" customWidth="1"/>
    <col min="3123" max="3123" width="11.7109375" bestFit="1" customWidth="1"/>
    <col min="3124" max="3124" width="11.5703125" bestFit="1" customWidth="1"/>
    <col min="3125" max="3125" width="5.28515625" bestFit="1" customWidth="1"/>
    <col min="3126" max="3126" width="13.28515625" bestFit="1" customWidth="1"/>
    <col min="3127" max="3127" width="13.5703125" bestFit="1" customWidth="1"/>
    <col min="3128" max="3128" width="10.5703125" bestFit="1" customWidth="1"/>
    <col min="3129" max="3129" width="13.28515625" bestFit="1" customWidth="1"/>
    <col min="3130" max="3130" width="11.5703125" bestFit="1" customWidth="1"/>
    <col min="3131" max="3131" width="10.5703125" bestFit="1" customWidth="1"/>
    <col min="3132" max="3132" width="16.140625" bestFit="1" customWidth="1"/>
    <col min="3133" max="3134" width="11.28515625" bestFit="1" customWidth="1"/>
    <col min="3135" max="3135" width="13.28515625" bestFit="1" customWidth="1"/>
    <col min="3136" max="3136" width="7.7109375" bestFit="1" customWidth="1"/>
    <col min="3137" max="3140" width="9.140625" hidden="1" customWidth="1"/>
    <col min="3141" max="3141" width="10.42578125" bestFit="1" customWidth="1"/>
    <col min="3142" max="3142" width="10.5703125" bestFit="1" customWidth="1"/>
    <col min="3143" max="3143" width="10.42578125" bestFit="1" customWidth="1"/>
    <col min="3144" max="3144" width="10.5703125" bestFit="1" customWidth="1"/>
    <col min="3145" max="3145" width="9.5703125" bestFit="1" customWidth="1"/>
    <col min="3146" max="3146" width="11.5703125" bestFit="1" customWidth="1"/>
    <col min="3147" max="3147" width="10.42578125" bestFit="1" customWidth="1"/>
    <col min="3148" max="3148" width="10.85546875" customWidth="1"/>
    <col min="3149" max="3150" width="9.85546875" bestFit="1" customWidth="1"/>
    <col min="3151" max="3151" width="13.5703125" bestFit="1" customWidth="1"/>
    <col min="3152" max="3152" width="7.7109375" bestFit="1" customWidth="1"/>
    <col min="3153" max="3153" width="13.28515625" bestFit="1" customWidth="1"/>
    <col min="3154" max="3154" width="11.5703125" bestFit="1" customWidth="1"/>
    <col min="3155" max="3155" width="10.42578125" bestFit="1" customWidth="1"/>
    <col min="3156" max="3156" width="7.7109375" bestFit="1" customWidth="1"/>
    <col min="3157" max="3157" width="11.5703125" bestFit="1" customWidth="1"/>
    <col min="3158" max="3158" width="10.85546875" bestFit="1" customWidth="1"/>
    <col min="3159" max="3159" width="13.28515625" bestFit="1" customWidth="1"/>
    <col min="3160" max="3160" width="10.85546875" bestFit="1" customWidth="1"/>
    <col min="3161" max="3162" width="7.5703125" bestFit="1" customWidth="1"/>
    <col min="3163" max="3164" width="10.42578125" bestFit="1" customWidth="1"/>
    <col min="3165" max="3165" width="11.5703125" bestFit="1" customWidth="1"/>
    <col min="3166" max="3166" width="5.28515625" bestFit="1" customWidth="1"/>
    <col min="3167" max="3167" width="10.28515625" bestFit="1" customWidth="1"/>
    <col min="3168" max="3168" width="10.42578125" bestFit="1" customWidth="1"/>
    <col min="3169" max="3169" width="11.5703125" bestFit="1" customWidth="1"/>
    <col min="3170" max="3170" width="5.28515625" bestFit="1" customWidth="1"/>
    <col min="3171" max="3173" width="11.5703125" bestFit="1" customWidth="1"/>
    <col min="3174" max="3174" width="5.28515625" bestFit="1" customWidth="1"/>
    <col min="3175" max="3176" width="10.42578125" bestFit="1" customWidth="1"/>
    <col min="3177" max="3177" width="11.5703125" bestFit="1" customWidth="1"/>
    <col min="3178" max="3178" width="5.28515625" bestFit="1" customWidth="1"/>
    <col min="3179" max="3179" width="14.28515625" bestFit="1" customWidth="1"/>
    <col min="3180" max="3180" width="13" bestFit="1" customWidth="1"/>
    <col min="3181" max="3181" width="11.5703125" bestFit="1" customWidth="1"/>
    <col min="3182" max="3182" width="8.85546875" bestFit="1" customWidth="1"/>
    <col min="3183" max="3183" width="14.42578125" bestFit="1" customWidth="1"/>
    <col min="3184" max="3184" width="10.42578125" bestFit="1" customWidth="1"/>
    <col min="3185" max="3185" width="12.28515625" bestFit="1" customWidth="1"/>
    <col min="3186" max="3186" width="13.85546875" bestFit="1" customWidth="1"/>
    <col min="3187" max="3187" width="11.28515625" customWidth="1"/>
    <col min="3188" max="3188" width="11.5703125" customWidth="1"/>
    <col min="3189" max="3189" width="13.42578125" bestFit="1" customWidth="1"/>
    <col min="3190" max="3190" width="10.42578125" customWidth="1"/>
    <col min="3191" max="3191" width="13.85546875" bestFit="1" customWidth="1"/>
    <col min="3192" max="3192" width="15.42578125" bestFit="1" customWidth="1"/>
    <col min="3193" max="3193" width="12.28515625" bestFit="1" customWidth="1"/>
    <col min="3194" max="3194" width="12.7109375" customWidth="1"/>
    <col min="3195" max="3195" width="10.7109375" bestFit="1" customWidth="1"/>
    <col min="3196" max="3196" width="9.85546875" customWidth="1"/>
    <col min="3197" max="3198" width="10.140625" bestFit="1" customWidth="1"/>
    <col min="3199" max="3199" width="7.5703125" bestFit="1" customWidth="1"/>
    <col min="3200" max="3200" width="9.42578125" bestFit="1" customWidth="1"/>
    <col min="3201" max="3201" width="14.5703125" bestFit="1" customWidth="1"/>
    <col min="3202" max="3202" width="14.85546875" customWidth="1"/>
    <col min="3203" max="3203" width="15.140625" bestFit="1" customWidth="1"/>
    <col min="3204" max="3204" width="12.140625" bestFit="1" customWidth="1"/>
    <col min="3205" max="3205" width="14.85546875" bestFit="1" customWidth="1"/>
    <col min="3206" max="3206" width="12.28515625" bestFit="1" customWidth="1"/>
    <col min="3207" max="3215" width="9.140625" hidden="1" customWidth="1"/>
    <col min="3216" max="3216" width="5.28515625" bestFit="1" customWidth="1"/>
    <col min="3217" max="3222" width="11.5703125" bestFit="1" customWidth="1"/>
    <col min="3223" max="3223" width="11.28515625" bestFit="1" customWidth="1"/>
    <col min="3224" max="3224" width="10.140625" bestFit="1" customWidth="1"/>
    <col min="3225" max="3225" width="11.5703125" bestFit="1" customWidth="1"/>
    <col min="3226" max="3226" width="16.140625" customWidth="1"/>
    <col min="3227" max="3227" width="13.42578125" customWidth="1"/>
    <col min="3228" max="3228" width="10.140625" bestFit="1" customWidth="1"/>
    <col min="3229" max="3229" width="12.85546875" bestFit="1" customWidth="1"/>
    <col min="3230" max="3230" width="12.28515625" bestFit="1" customWidth="1"/>
    <col min="3231" max="3231" width="11.28515625" bestFit="1" customWidth="1"/>
    <col min="3232" max="3232" width="11.5703125" bestFit="1" customWidth="1"/>
    <col min="3233" max="3233" width="10.85546875" bestFit="1" customWidth="1"/>
    <col min="3234" max="3234" width="11.28515625" bestFit="1" customWidth="1"/>
    <col min="3235" max="3235" width="10.140625" bestFit="1" customWidth="1"/>
    <col min="3236" max="3236" width="13.28515625" bestFit="1" customWidth="1"/>
    <col min="3237" max="3238" width="12.7109375" bestFit="1" customWidth="1"/>
    <col min="3239" max="3239" width="11" bestFit="1" customWidth="1"/>
    <col min="3240" max="3240" width="11.28515625" bestFit="1" customWidth="1"/>
    <col min="3241" max="3241" width="11.5703125" bestFit="1" customWidth="1"/>
    <col min="3242" max="3242" width="12.28515625" bestFit="1" customWidth="1"/>
    <col min="3243" max="3243" width="15.140625" bestFit="1" customWidth="1"/>
    <col min="3244" max="3244" width="14.42578125" bestFit="1" customWidth="1"/>
    <col min="3245" max="3245" width="12.28515625" bestFit="1" customWidth="1"/>
    <col min="3246" max="3246" width="15.140625" bestFit="1" customWidth="1"/>
    <col min="3247" max="3247" width="14.42578125" bestFit="1" customWidth="1"/>
    <col min="3248" max="3248" width="12.28515625" bestFit="1" customWidth="1"/>
    <col min="3249" max="3249" width="14.42578125" bestFit="1" customWidth="1"/>
    <col min="3250" max="3250" width="11.28515625" bestFit="1" customWidth="1"/>
    <col min="3251" max="3251" width="12.28515625" bestFit="1" customWidth="1"/>
    <col min="3252" max="3252" width="13" bestFit="1" customWidth="1"/>
    <col min="3253" max="3253" width="15.140625" bestFit="1" customWidth="1"/>
    <col min="3254" max="3254" width="12.28515625" bestFit="1" customWidth="1"/>
    <col min="3255" max="3255" width="13.85546875" bestFit="1" customWidth="1"/>
    <col min="3256" max="3256" width="11.28515625" bestFit="1" customWidth="1"/>
    <col min="3257" max="3257" width="12.28515625" bestFit="1" customWidth="1"/>
    <col min="3258" max="3258" width="13.85546875" bestFit="1" customWidth="1"/>
    <col min="3259" max="3260" width="15.140625" bestFit="1" customWidth="1"/>
    <col min="3261" max="3261" width="12.28515625" bestFit="1" customWidth="1"/>
    <col min="3262" max="3262" width="5.7109375" bestFit="1" customWidth="1"/>
    <col min="3263" max="3263" width="8.5703125" bestFit="1" customWidth="1"/>
    <col min="3264" max="3264" width="5.5703125" bestFit="1" customWidth="1"/>
    <col min="3265" max="3265" width="14.42578125" bestFit="1" customWidth="1"/>
    <col min="3266" max="3266" width="11.28515625" bestFit="1" customWidth="1"/>
    <col min="3267" max="3268" width="12.28515625" bestFit="1" customWidth="1"/>
    <col min="3269" max="3269" width="11.28515625" bestFit="1" customWidth="1"/>
    <col min="3270" max="3270" width="13.85546875" bestFit="1" customWidth="1"/>
    <col min="3271" max="3271" width="12" bestFit="1" customWidth="1"/>
    <col min="3272" max="3272" width="13.85546875" bestFit="1" customWidth="1"/>
    <col min="3273" max="3274" width="14.42578125" customWidth="1"/>
    <col min="3275" max="3275" width="10.140625" bestFit="1" customWidth="1"/>
    <col min="3276" max="3276" width="12.28515625" bestFit="1" customWidth="1"/>
    <col min="3277" max="3277" width="7.42578125" bestFit="1" customWidth="1"/>
    <col min="3278" max="3278" width="8.5703125" bestFit="1" customWidth="1"/>
    <col min="3279" max="3279" width="11.5703125" bestFit="1" customWidth="1"/>
    <col min="3280" max="3280" width="13.28515625" bestFit="1" customWidth="1"/>
    <col min="3281" max="3281" width="13.28515625" customWidth="1"/>
    <col min="3282" max="3282" width="13.140625" customWidth="1"/>
    <col min="3283" max="3283" width="12.7109375" bestFit="1" customWidth="1"/>
    <col min="3284" max="3284" width="13.28515625" bestFit="1" customWidth="1"/>
    <col min="3285" max="3287" width="13.28515625" customWidth="1"/>
    <col min="3288" max="3288" width="12.140625" bestFit="1" customWidth="1"/>
    <col min="3289" max="3289" width="12.7109375" bestFit="1" customWidth="1"/>
    <col min="3290" max="3290" width="11" customWidth="1"/>
    <col min="3291" max="3291" width="16.7109375" customWidth="1"/>
    <col min="3292" max="3292" width="17" customWidth="1"/>
    <col min="3293" max="3293" width="10.42578125" bestFit="1" customWidth="1"/>
    <col min="3337" max="3337" width="3.85546875" customWidth="1"/>
    <col min="3338" max="3338" width="15.28515625" bestFit="1" customWidth="1"/>
    <col min="3339" max="3339" width="12.28515625" customWidth="1"/>
    <col min="3340" max="3340" width="16.28515625" bestFit="1" customWidth="1"/>
    <col min="3341" max="3341" width="6.42578125" bestFit="1" customWidth="1"/>
    <col min="3342" max="3342" width="9.28515625" bestFit="1" customWidth="1"/>
    <col min="3343" max="3343" width="7.5703125" bestFit="1" customWidth="1"/>
    <col min="3344" max="3344" width="13.28515625" bestFit="1" customWidth="1"/>
    <col min="3345" max="3345" width="9.28515625" bestFit="1" customWidth="1"/>
    <col min="3346" max="3346" width="11.5703125" bestFit="1" customWidth="1"/>
    <col min="3347" max="3347" width="13.28515625" bestFit="1" customWidth="1"/>
    <col min="3348" max="3348" width="7.140625" bestFit="1" customWidth="1"/>
    <col min="3349" max="3349" width="12" bestFit="1" customWidth="1"/>
    <col min="3350" max="3350" width="13.28515625" bestFit="1" customWidth="1"/>
    <col min="3351" max="3351" width="7" bestFit="1" customWidth="1"/>
    <col min="3352" max="3352" width="12.7109375" bestFit="1" customWidth="1"/>
    <col min="3353" max="3353" width="11.5703125" bestFit="1" customWidth="1"/>
    <col min="3354" max="3354" width="10.5703125" bestFit="1" customWidth="1"/>
    <col min="3355" max="3356" width="15.7109375" bestFit="1" customWidth="1"/>
    <col min="3357" max="3357" width="11.5703125" bestFit="1" customWidth="1"/>
    <col min="3358" max="3358" width="7.7109375" bestFit="1" customWidth="1"/>
    <col min="3359" max="3359" width="15.140625" bestFit="1" customWidth="1"/>
    <col min="3360" max="3360" width="11.5703125" bestFit="1" customWidth="1"/>
    <col min="3361" max="3361" width="13.28515625" bestFit="1" customWidth="1"/>
    <col min="3362" max="3362" width="10.42578125" bestFit="1" customWidth="1"/>
    <col min="3363" max="3363" width="13.28515625" bestFit="1" customWidth="1"/>
    <col min="3364" max="3364" width="12.140625" bestFit="1" customWidth="1"/>
    <col min="3365" max="3365" width="14.42578125" bestFit="1" customWidth="1"/>
    <col min="3366" max="3366" width="13.28515625" bestFit="1" customWidth="1"/>
    <col min="3367" max="3367" width="11.5703125" bestFit="1" customWidth="1"/>
    <col min="3368" max="3368" width="7.7109375" bestFit="1" customWidth="1"/>
    <col min="3369" max="3370" width="14.42578125" bestFit="1" customWidth="1"/>
    <col min="3371" max="3371" width="11.5703125" bestFit="1" customWidth="1"/>
    <col min="3372" max="3372" width="7.7109375" bestFit="1" customWidth="1"/>
    <col min="3373" max="3373" width="13.5703125" customWidth="1"/>
    <col min="3374" max="3374" width="15.28515625" customWidth="1"/>
    <col min="3375" max="3375" width="14.5703125" customWidth="1"/>
    <col min="3376" max="3376" width="13.28515625" bestFit="1" customWidth="1"/>
    <col min="3377" max="3377" width="7.7109375" bestFit="1" customWidth="1"/>
    <col min="3378" max="3378" width="12.7109375" bestFit="1" customWidth="1"/>
    <col min="3379" max="3379" width="11.7109375" bestFit="1" customWidth="1"/>
    <col min="3380" max="3380" width="11.5703125" bestFit="1" customWidth="1"/>
    <col min="3381" max="3381" width="5.28515625" bestFit="1" customWidth="1"/>
    <col min="3382" max="3382" width="13.28515625" bestFit="1" customWidth="1"/>
    <col min="3383" max="3383" width="13.5703125" bestFit="1" customWidth="1"/>
    <col min="3384" max="3384" width="10.5703125" bestFit="1" customWidth="1"/>
    <col min="3385" max="3385" width="13.28515625" bestFit="1" customWidth="1"/>
    <col min="3386" max="3386" width="11.5703125" bestFit="1" customWidth="1"/>
    <col min="3387" max="3387" width="10.5703125" bestFit="1" customWidth="1"/>
    <col min="3388" max="3388" width="16.140625" bestFit="1" customWidth="1"/>
    <col min="3389" max="3390" width="11.28515625" bestFit="1" customWidth="1"/>
    <col min="3391" max="3391" width="13.28515625" bestFit="1" customWidth="1"/>
    <col min="3392" max="3392" width="7.7109375" bestFit="1" customWidth="1"/>
    <col min="3393" max="3396" width="9.140625" hidden="1" customWidth="1"/>
    <col min="3397" max="3397" width="10.42578125" bestFit="1" customWidth="1"/>
    <col min="3398" max="3398" width="10.5703125" bestFit="1" customWidth="1"/>
    <col min="3399" max="3399" width="10.42578125" bestFit="1" customWidth="1"/>
    <col min="3400" max="3400" width="10.5703125" bestFit="1" customWidth="1"/>
    <col min="3401" max="3401" width="9.5703125" bestFit="1" customWidth="1"/>
    <col min="3402" max="3402" width="11.5703125" bestFit="1" customWidth="1"/>
    <col min="3403" max="3403" width="10.42578125" bestFit="1" customWidth="1"/>
    <col min="3404" max="3404" width="10.85546875" customWidth="1"/>
    <col min="3405" max="3406" width="9.85546875" bestFit="1" customWidth="1"/>
    <col min="3407" max="3407" width="13.5703125" bestFit="1" customWidth="1"/>
    <col min="3408" max="3408" width="7.7109375" bestFit="1" customWidth="1"/>
    <col min="3409" max="3409" width="13.28515625" bestFit="1" customWidth="1"/>
    <col min="3410" max="3410" width="11.5703125" bestFit="1" customWidth="1"/>
    <col min="3411" max="3411" width="10.42578125" bestFit="1" customWidth="1"/>
    <col min="3412" max="3412" width="7.7109375" bestFit="1" customWidth="1"/>
    <col min="3413" max="3413" width="11.5703125" bestFit="1" customWidth="1"/>
    <col min="3414" max="3414" width="10.85546875" bestFit="1" customWidth="1"/>
    <col min="3415" max="3415" width="13.28515625" bestFit="1" customWidth="1"/>
    <col min="3416" max="3416" width="10.85546875" bestFit="1" customWidth="1"/>
    <col min="3417" max="3418" width="7.5703125" bestFit="1" customWidth="1"/>
    <col min="3419" max="3420" width="10.42578125" bestFit="1" customWidth="1"/>
    <col min="3421" max="3421" width="11.5703125" bestFit="1" customWidth="1"/>
    <col min="3422" max="3422" width="5.28515625" bestFit="1" customWidth="1"/>
    <col min="3423" max="3423" width="10.28515625" bestFit="1" customWidth="1"/>
    <col min="3424" max="3424" width="10.42578125" bestFit="1" customWidth="1"/>
    <col min="3425" max="3425" width="11.5703125" bestFit="1" customWidth="1"/>
    <col min="3426" max="3426" width="5.28515625" bestFit="1" customWidth="1"/>
    <col min="3427" max="3429" width="11.5703125" bestFit="1" customWidth="1"/>
    <col min="3430" max="3430" width="5.28515625" bestFit="1" customWidth="1"/>
    <col min="3431" max="3432" width="10.42578125" bestFit="1" customWidth="1"/>
    <col min="3433" max="3433" width="11.5703125" bestFit="1" customWidth="1"/>
    <col min="3434" max="3434" width="5.28515625" bestFit="1" customWidth="1"/>
    <col min="3435" max="3435" width="14.28515625" bestFit="1" customWidth="1"/>
    <col min="3436" max="3436" width="13" bestFit="1" customWidth="1"/>
    <col min="3437" max="3437" width="11.5703125" bestFit="1" customWidth="1"/>
    <col min="3438" max="3438" width="8.85546875" bestFit="1" customWidth="1"/>
    <col min="3439" max="3439" width="14.42578125" bestFit="1" customWidth="1"/>
    <col min="3440" max="3440" width="10.42578125" bestFit="1" customWidth="1"/>
    <col min="3441" max="3441" width="12.28515625" bestFit="1" customWidth="1"/>
    <col min="3442" max="3442" width="13.85546875" bestFit="1" customWidth="1"/>
    <col min="3443" max="3443" width="11.28515625" customWidth="1"/>
    <col min="3444" max="3444" width="11.5703125" customWidth="1"/>
    <col min="3445" max="3445" width="13.42578125" bestFit="1" customWidth="1"/>
    <col min="3446" max="3446" width="10.42578125" customWidth="1"/>
    <col min="3447" max="3447" width="13.85546875" bestFit="1" customWidth="1"/>
    <col min="3448" max="3448" width="15.42578125" bestFit="1" customWidth="1"/>
    <col min="3449" max="3449" width="12.28515625" bestFit="1" customWidth="1"/>
    <col min="3450" max="3450" width="12.7109375" customWidth="1"/>
    <col min="3451" max="3451" width="10.7109375" bestFit="1" customWidth="1"/>
    <col min="3452" max="3452" width="9.85546875" customWidth="1"/>
    <col min="3453" max="3454" width="10.140625" bestFit="1" customWidth="1"/>
    <col min="3455" max="3455" width="7.5703125" bestFit="1" customWidth="1"/>
    <col min="3456" max="3456" width="9.42578125" bestFit="1" customWidth="1"/>
    <col min="3457" max="3457" width="14.5703125" bestFit="1" customWidth="1"/>
    <col min="3458" max="3458" width="14.85546875" customWidth="1"/>
    <col min="3459" max="3459" width="15.140625" bestFit="1" customWidth="1"/>
    <col min="3460" max="3460" width="12.140625" bestFit="1" customWidth="1"/>
    <col min="3461" max="3461" width="14.85546875" bestFit="1" customWidth="1"/>
    <col min="3462" max="3462" width="12.28515625" bestFit="1" customWidth="1"/>
    <col min="3463" max="3471" width="9.140625" hidden="1" customWidth="1"/>
    <col min="3472" max="3472" width="5.28515625" bestFit="1" customWidth="1"/>
    <col min="3473" max="3478" width="11.5703125" bestFit="1" customWidth="1"/>
    <col min="3479" max="3479" width="11.28515625" bestFit="1" customWidth="1"/>
    <col min="3480" max="3480" width="10.140625" bestFit="1" customWidth="1"/>
    <col min="3481" max="3481" width="11.5703125" bestFit="1" customWidth="1"/>
    <col min="3482" max="3482" width="16.140625" customWidth="1"/>
    <col min="3483" max="3483" width="13.42578125" customWidth="1"/>
    <col min="3484" max="3484" width="10.140625" bestFit="1" customWidth="1"/>
    <col min="3485" max="3485" width="12.85546875" bestFit="1" customWidth="1"/>
    <col min="3486" max="3486" width="12.28515625" bestFit="1" customWidth="1"/>
    <col min="3487" max="3487" width="11.28515625" bestFit="1" customWidth="1"/>
    <col min="3488" max="3488" width="11.5703125" bestFit="1" customWidth="1"/>
    <col min="3489" max="3489" width="10.85546875" bestFit="1" customWidth="1"/>
    <col min="3490" max="3490" width="11.28515625" bestFit="1" customWidth="1"/>
    <col min="3491" max="3491" width="10.140625" bestFit="1" customWidth="1"/>
    <col min="3492" max="3492" width="13.28515625" bestFit="1" customWidth="1"/>
    <col min="3493" max="3494" width="12.7109375" bestFit="1" customWidth="1"/>
    <col min="3495" max="3495" width="11" bestFit="1" customWidth="1"/>
    <col min="3496" max="3496" width="11.28515625" bestFit="1" customWidth="1"/>
    <col min="3497" max="3497" width="11.5703125" bestFit="1" customWidth="1"/>
    <col min="3498" max="3498" width="12.28515625" bestFit="1" customWidth="1"/>
    <col min="3499" max="3499" width="15.140625" bestFit="1" customWidth="1"/>
    <col min="3500" max="3500" width="14.42578125" bestFit="1" customWidth="1"/>
    <col min="3501" max="3501" width="12.28515625" bestFit="1" customWidth="1"/>
    <col min="3502" max="3502" width="15.140625" bestFit="1" customWidth="1"/>
    <col min="3503" max="3503" width="14.42578125" bestFit="1" customWidth="1"/>
    <col min="3504" max="3504" width="12.28515625" bestFit="1" customWidth="1"/>
    <col min="3505" max="3505" width="14.42578125" bestFit="1" customWidth="1"/>
    <col min="3506" max="3506" width="11.28515625" bestFit="1" customWidth="1"/>
    <col min="3507" max="3507" width="12.28515625" bestFit="1" customWidth="1"/>
    <col min="3508" max="3508" width="13" bestFit="1" customWidth="1"/>
    <col min="3509" max="3509" width="15.140625" bestFit="1" customWidth="1"/>
    <col min="3510" max="3510" width="12.28515625" bestFit="1" customWidth="1"/>
    <col min="3511" max="3511" width="13.85546875" bestFit="1" customWidth="1"/>
    <col min="3512" max="3512" width="11.28515625" bestFit="1" customWidth="1"/>
    <col min="3513" max="3513" width="12.28515625" bestFit="1" customWidth="1"/>
    <col min="3514" max="3514" width="13.85546875" bestFit="1" customWidth="1"/>
    <col min="3515" max="3516" width="15.140625" bestFit="1" customWidth="1"/>
    <col min="3517" max="3517" width="12.28515625" bestFit="1" customWidth="1"/>
    <col min="3518" max="3518" width="5.7109375" bestFit="1" customWidth="1"/>
    <col min="3519" max="3519" width="8.5703125" bestFit="1" customWidth="1"/>
    <col min="3520" max="3520" width="5.5703125" bestFit="1" customWidth="1"/>
    <col min="3521" max="3521" width="14.42578125" bestFit="1" customWidth="1"/>
    <col min="3522" max="3522" width="11.28515625" bestFit="1" customWidth="1"/>
    <col min="3523" max="3524" width="12.28515625" bestFit="1" customWidth="1"/>
    <col min="3525" max="3525" width="11.28515625" bestFit="1" customWidth="1"/>
    <col min="3526" max="3526" width="13.85546875" bestFit="1" customWidth="1"/>
    <col min="3527" max="3527" width="12" bestFit="1" customWidth="1"/>
    <col min="3528" max="3528" width="13.85546875" bestFit="1" customWidth="1"/>
    <col min="3529" max="3530" width="14.42578125" customWidth="1"/>
    <col min="3531" max="3531" width="10.140625" bestFit="1" customWidth="1"/>
    <col min="3532" max="3532" width="12.28515625" bestFit="1" customWidth="1"/>
    <col min="3533" max="3533" width="7.42578125" bestFit="1" customWidth="1"/>
    <col min="3534" max="3534" width="8.5703125" bestFit="1" customWidth="1"/>
    <col min="3535" max="3535" width="11.5703125" bestFit="1" customWidth="1"/>
    <col min="3536" max="3536" width="13.28515625" bestFit="1" customWidth="1"/>
    <col min="3537" max="3537" width="13.28515625" customWidth="1"/>
    <col min="3538" max="3538" width="13.140625" customWidth="1"/>
    <col min="3539" max="3539" width="12.7109375" bestFit="1" customWidth="1"/>
    <col min="3540" max="3540" width="13.28515625" bestFit="1" customWidth="1"/>
    <col min="3541" max="3543" width="13.28515625" customWidth="1"/>
    <col min="3544" max="3544" width="12.140625" bestFit="1" customWidth="1"/>
    <col min="3545" max="3545" width="12.7109375" bestFit="1" customWidth="1"/>
    <col min="3546" max="3546" width="11" customWidth="1"/>
    <col min="3547" max="3547" width="16.7109375" customWidth="1"/>
    <col min="3548" max="3548" width="17" customWidth="1"/>
    <col min="3549" max="3549" width="10.42578125" bestFit="1" customWidth="1"/>
    <col min="3593" max="3593" width="3.85546875" customWidth="1"/>
    <col min="3594" max="3594" width="15.28515625" bestFit="1" customWidth="1"/>
    <col min="3595" max="3595" width="12.28515625" customWidth="1"/>
    <col min="3596" max="3596" width="16.28515625" bestFit="1" customWidth="1"/>
    <col min="3597" max="3597" width="6.42578125" bestFit="1" customWidth="1"/>
    <col min="3598" max="3598" width="9.28515625" bestFit="1" customWidth="1"/>
    <col min="3599" max="3599" width="7.5703125" bestFit="1" customWidth="1"/>
    <col min="3600" max="3600" width="13.28515625" bestFit="1" customWidth="1"/>
    <col min="3601" max="3601" width="9.28515625" bestFit="1" customWidth="1"/>
    <col min="3602" max="3602" width="11.5703125" bestFit="1" customWidth="1"/>
    <col min="3603" max="3603" width="13.28515625" bestFit="1" customWidth="1"/>
    <col min="3604" max="3604" width="7.140625" bestFit="1" customWidth="1"/>
    <col min="3605" max="3605" width="12" bestFit="1" customWidth="1"/>
    <col min="3606" max="3606" width="13.28515625" bestFit="1" customWidth="1"/>
    <col min="3607" max="3607" width="7" bestFit="1" customWidth="1"/>
    <col min="3608" max="3608" width="12.7109375" bestFit="1" customWidth="1"/>
    <col min="3609" max="3609" width="11.5703125" bestFit="1" customWidth="1"/>
    <col min="3610" max="3610" width="10.5703125" bestFit="1" customWidth="1"/>
    <col min="3611" max="3612" width="15.7109375" bestFit="1" customWidth="1"/>
    <col min="3613" max="3613" width="11.5703125" bestFit="1" customWidth="1"/>
    <col min="3614" max="3614" width="7.7109375" bestFit="1" customWidth="1"/>
    <col min="3615" max="3615" width="15.140625" bestFit="1" customWidth="1"/>
    <col min="3616" max="3616" width="11.5703125" bestFit="1" customWidth="1"/>
    <col min="3617" max="3617" width="13.28515625" bestFit="1" customWidth="1"/>
    <col min="3618" max="3618" width="10.42578125" bestFit="1" customWidth="1"/>
    <col min="3619" max="3619" width="13.28515625" bestFit="1" customWidth="1"/>
    <col min="3620" max="3620" width="12.140625" bestFit="1" customWidth="1"/>
    <col min="3621" max="3621" width="14.42578125" bestFit="1" customWidth="1"/>
    <col min="3622" max="3622" width="13.28515625" bestFit="1" customWidth="1"/>
    <col min="3623" max="3623" width="11.5703125" bestFit="1" customWidth="1"/>
    <col min="3624" max="3624" width="7.7109375" bestFit="1" customWidth="1"/>
    <col min="3625" max="3626" width="14.42578125" bestFit="1" customWidth="1"/>
    <col min="3627" max="3627" width="11.5703125" bestFit="1" customWidth="1"/>
    <col min="3628" max="3628" width="7.7109375" bestFit="1" customWidth="1"/>
    <col min="3629" max="3629" width="13.5703125" customWidth="1"/>
    <col min="3630" max="3630" width="15.28515625" customWidth="1"/>
    <col min="3631" max="3631" width="14.5703125" customWidth="1"/>
    <col min="3632" max="3632" width="13.28515625" bestFit="1" customWidth="1"/>
    <col min="3633" max="3633" width="7.7109375" bestFit="1" customWidth="1"/>
    <col min="3634" max="3634" width="12.7109375" bestFit="1" customWidth="1"/>
    <col min="3635" max="3635" width="11.7109375" bestFit="1" customWidth="1"/>
    <col min="3636" max="3636" width="11.5703125" bestFit="1" customWidth="1"/>
    <col min="3637" max="3637" width="5.28515625" bestFit="1" customWidth="1"/>
    <col min="3638" max="3638" width="13.28515625" bestFit="1" customWidth="1"/>
    <col min="3639" max="3639" width="13.5703125" bestFit="1" customWidth="1"/>
    <col min="3640" max="3640" width="10.5703125" bestFit="1" customWidth="1"/>
    <col min="3641" max="3641" width="13.28515625" bestFit="1" customWidth="1"/>
    <col min="3642" max="3642" width="11.5703125" bestFit="1" customWidth="1"/>
    <col min="3643" max="3643" width="10.5703125" bestFit="1" customWidth="1"/>
    <col min="3644" max="3644" width="16.140625" bestFit="1" customWidth="1"/>
    <col min="3645" max="3646" width="11.28515625" bestFit="1" customWidth="1"/>
    <col min="3647" max="3647" width="13.28515625" bestFit="1" customWidth="1"/>
    <col min="3648" max="3648" width="7.7109375" bestFit="1" customWidth="1"/>
    <col min="3649" max="3652" width="9.140625" hidden="1" customWidth="1"/>
    <col min="3653" max="3653" width="10.42578125" bestFit="1" customWidth="1"/>
    <col min="3654" max="3654" width="10.5703125" bestFit="1" customWidth="1"/>
    <col min="3655" max="3655" width="10.42578125" bestFit="1" customWidth="1"/>
    <col min="3656" max="3656" width="10.5703125" bestFit="1" customWidth="1"/>
    <col min="3657" max="3657" width="9.5703125" bestFit="1" customWidth="1"/>
    <col min="3658" max="3658" width="11.5703125" bestFit="1" customWidth="1"/>
    <col min="3659" max="3659" width="10.42578125" bestFit="1" customWidth="1"/>
    <col min="3660" max="3660" width="10.85546875" customWidth="1"/>
    <col min="3661" max="3662" width="9.85546875" bestFit="1" customWidth="1"/>
    <col min="3663" max="3663" width="13.5703125" bestFit="1" customWidth="1"/>
    <col min="3664" max="3664" width="7.7109375" bestFit="1" customWidth="1"/>
    <col min="3665" max="3665" width="13.28515625" bestFit="1" customWidth="1"/>
    <col min="3666" max="3666" width="11.5703125" bestFit="1" customWidth="1"/>
    <col min="3667" max="3667" width="10.42578125" bestFit="1" customWidth="1"/>
    <col min="3668" max="3668" width="7.7109375" bestFit="1" customWidth="1"/>
    <col min="3669" max="3669" width="11.5703125" bestFit="1" customWidth="1"/>
    <col min="3670" max="3670" width="10.85546875" bestFit="1" customWidth="1"/>
    <col min="3671" max="3671" width="13.28515625" bestFit="1" customWidth="1"/>
    <col min="3672" max="3672" width="10.85546875" bestFit="1" customWidth="1"/>
    <col min="3673" max="3674" width="7.5703125" bestFit="1" customWidth="1"/>
    <col min="3675" max="3676" width="10.42578125" bestFit="1" customWidth="1"/>
    <col min="3677" max="3677" width="11.5703125" bestFit="1" customWidth="1"/>
    <col min="3678" max="3678" width="5.28515625" bestFit="1" customWidth="1"/>
    <col min="3679" max="3679" width="10.28515625" bestFit="1" customWidth="1"/>
    <col min="3680" max="3680" width="10.42578125" bestFit="1" customWidth="1"/>
    <col min="3681" max="3681" width="11.5703125" bestFit="1" customWidth="1"/>
    <col min="3682" max="3682" width="5.28515625" bestFit="1" customWidth="1"/>
    <col min="3683" max="3685" width="11.5703125" bestFit="1" customWidth="1"/>
    <col min="3686" max="3686" width="5.28515625" bestFit="1" customWidth="1"/>
    <col min="3687" max="3688" width="10.42578125" bestFit="1" customWidth="1"/>
    <col min="3689" max="3689" width="11.5703125" bestFit="1" customWidth="1"/>
    <col min="3690" max="3690" width="5.28515625" bestFit="1" customWidth="1"/>
    <col min="3691" max="3691" width="14.28515625" bestFit="1" customWidth="1"/>
    <col min="3692" max="3692" width="13" bestFit="1" customWidth="1"/>
    <col min="3693" max="3693" width="11.5703125" bestFit="1" customWidth="1"/>
    <col min="3694" max="3694" width="8.85546875" bestFit="1" customWidth="1"/>
    <col min="3695" max="3695" width="14.42578125" bestFit="1" customWidth="1"/>
    <col min="3696" max="3696" width="10.42578125" bestFit="1" customWidth="1"/>
    <col min="3697" max="3697" width="12.28515625" bestFit="1" customWidth="1"/>
    <col min="3698" max="3698" width="13.85546875" bestFit="1" customWidth="1"/>
    <col min="3699" max="3699" width="11.28515625" customWidth="1"/>
    <col min="3700" max="3700" width="11.5703125" customWidth="1"/>
    <col min="3701" max="3701" width="13.42578125" bestFit="1" customWidth="1"/>
    <col min="3702" max="3702" width="10.42578125" customWidth="1"/>
    <col min="3703" max="3703" width="13.85546875" bestFit="1" customWidth="1"/>
    <col min="3704" max="3704" width="15.42578125" bestFit="1" customWidth="1"/>
    <col min="3705" max="3705" width="12.28515625" bestFit="1" customWidth="1"/>
    <col min="3706" max="3706" width="12.7109375" customWidth="1"/>
    <col min="3707" max="3707" width="10.7109375" bestFit="1" customWidth="1"/>
    <col min="3708" max="3708" width="9.85546875" customWidth="1"/>
    <col min="3709" max="3710" width="10.140625" bestFit="1" customWidth="1"/>
    <col min="3711" max="3711" width="7.5703125" bestFit="1" customWidth="1"/>
    <col min="3712" max="3712" width="9.42578125" bestFit="1" customWidth="1"/>
    <col min="3713" max="3713" width="14.5703125" bestFit="1" customWidth="1"/>
    <col min="3714" max="3714" width="14.85546875" customWidth="1"/>
    <col min="3715" max="3715" width="15.140625" bestFit="1" customWidth="1"/>
    <col min="3716" max="3716" width="12.140625" bestFit="1" customWidth="1"/>
    <col min="3717" max="3717" width="14.85546875" bestFit="1" customWidth="1"/>
    <col min="3718" max="3718" width="12.28515625" bestFit="1" customWidth="1"/>
    <col min="3719" max="3727" width="9.140625" hidden="1" customWidth="1"/>
    <col min="3728" max="3728" width="5.28515625" bestFit="1" customWidth="1"/>
    <col min="3729" max="3734" width="11.5703125" bestFit="1" customWidth="1"/>
    <col min="3735" max="3735" width="11.28515625" bestFit="1" customWidth="1"/>
    <col min="3736" max="3736" width="10.140625" bestFit="1" customWidth="1"/>
    <col min="3737" max="3737" width="11.5703125" bestFit="1" customWidth="1"/>
    <col min="3738" max="3738" width="16.140625" customWidth="1"/>
    <col min="3739" max="3739" width="13.42578125" customWidth="1"/>
    <col min="3740" max="3740" width="10.140625" bestFit="1" customWidth="1"/>
    <col min="3741" max="3741" width="12.85546875" bestFit="1" customWidth="1"/>
    <col min="3742" max="3742" width="12.28515625" bestFit="1" customWidth="1"/>
    <col min="3743" max="3743" width="11.28515625" bestFit="1" customWidth="1"/>
    <col min="3744" max="3744" width="11.5703125" bestFit="1" customWidth="1"/>
    <col min="3745" max="3745" width="10.85546875" bestFit="1" customWidth="1"/>
    <col min="3746" max="3746" width="11.28515625" bestFit="1" customWidth="1"/>
    <col min="3747" max="3747" width="10.140625" bestFit="1" customWidth="1"/>
    <col min="3748" max="3748" width="13.28515625" bestFit="1" customWidth="1"/>
    <col min="3749" max="3750" width="12.7109375" bestFit="1" customWidth="1"/>
    <col min="3751" max="3751" width="11" bestFit="1" customWidth="1"/>
    <col min="3752" max="3752" width="11.28515625" bestFit="1" customWidth="1"/>
    <col min="3753" max="3753" width="11.5703125" bestFit="1" customWidth="1"/>
    <col min="3754" max="3754" width="12.28515625" bestFit="1" customWidth="1"/>
    <col min="3755" max="3755" width="15.140625" bestFit="1" customWidth="1"/>
    <col min="3756" max="3756" width="14.42578125" bestFit="1" customWidth="1"/>
    <col min="3757" max="3757" width="12.28515625" bestFit="1" customWidth="1"/>
    <col min="3758" max="3758" width="15.140625" bestFit="1" customWidth="1"/>
    <col min="3759" max="3759" width="14.42578125" bestFit="1" customWidth="1"/>
    <col min="3760" max="3760" width="12.28515625" bestFit="1" customWidth="1"/>
    <col min="3761" max="3761" width="14.42578125" bestFit="1" customWidth="1"/>
    <col min="3762" max="3762" width="11.28515625" bestFit="1" customWidth="1"/>
    <col min="3763" max="3763" width="12.28515625" bestFit="1" customWidth="1"/>
    <col min="3764" max="3764" width="13" bestFit="1" customWidth="1"/>
    <col min="3765" max="3765" width="15.140625" bestFit="1" customWidth="1"/>
    <col min="3766" max="3766" width="12.28515625" bestFit="1" customWidth="1"/>
    <col min="3767" max="3767" width="13.85546875" bestFit="1" customWidth="1"/>
    <col min="3768" max="3768" width="11.28515625" bestFit="1" customWidth="1"/>
    <col min="3769" max="3769" width="12.28515625" bestFit="1" customWidth="1"/>
    <col min="3770" max="3770" width="13.85546875" bestFit="1" customWidth="1"/>
    <col min="3771" max="3772" width="15.140625" bestFit="1" customWidth="1"/>
    <col min="3773" max="3773" width="12.28515625" bestFit="1" customWidth="1"/>
    <col min="3774" max="3774" width="5.7109375" bestFit="1" customWidth="1"/>
    <col min="3775" max="3775" width="8.5703125" bestFit="1" customWidth="1"/>
    <col min="3776" max="3776" width="5.5703125" bestFit="1" customWidth="1"/>
    <col min="3777" max="3777" width="14.42578125" bestFit="1" customWidth="1"/>
    <col min="3778" max="3778" width="11.28515625" bestFit="1" customWidth="1"/>
    <col min="3779" max="3780" width="12.28515625" bestFit="1" customWidth="1"/>
    <col min="3781" max="3781" width="11.28515625" bestFit="1" customWidth="1"/>
    <col min="3782" max="3782" width="13.85546875" bestFit="1" customWidth="1"/>
    <col min="3783" max="3783" width="12" bestFit="1" customWidth="1"/>
    <col min="3784" max="3784" width="13.85546875" bestFit="1" customWidth="1"/>
    <col min="3785" max="3786" width="14.42578125" customWidth="1"/>
    <col min="3787" max="3787" width="10.140625" bestFit="1" customWidth="1"/>
    <col min="3788" max="3788" width="12.28515625" bestFit="1" customWidth="1"/>
    <col min="3789" max="3789" width="7.42578125" bestFit="1" customWidth="1"/>
    <col min="3790" max="3790" width="8.5703125" bestFit="1" customWidth="1"/>
    <col min="3791" max="3791" width="11.5703125" bestFit="1" customWidth="1"/>
    <col min="3792" max="3792" width="13.28515625" bestFit="1" customWidth="1"/>
    <col min="3793" max="3793" width="13.28515625" customWidth="1"/>
    <col min="3794" max="3794" width="13.140625" customWidth="1"/>
    <col min="3795" max="3795" width="12.7109375" bestFit="1" customWidth="1"/>
    <col min="3796" max="3796" width="13.28515625" bestFit="1" customWidth="1"/>
    <col min="3797" max="3799" width="13.28515625" customWidth="1"/>
    <col min="3800" max="3800" width="12.140625" bestFit="1" customWidth="1"/>
    <col min="3801" max="3801" width="12.7109375" bestFit="1" customWidth="1"/>
    <col min="3802" max="3802" width="11" customWidth="1"/>
    <col min="3803" max="3803" width="16.7109375" customWidth="1"/>
    <col min="3804" max="3804" width="17" customWidth="1"/>
    <col min="3805" max="3805" width="10.42578125" bestFit="1" customWidth="1"/>
    <col min="3849" max="3849" width="3.85546875" customWidth="1"/>
    <col min="3850" max="3850" width="15.28515625" bestFit="1" customWidth="1"/>
    <col min="3851" max="3851" width="12.28515625" customWidth="1"/>
    <col min="3852" max="3852" width="16.28515625" bestFit="1" customWidth="1"/>
    <col min="3853" max="3853" width="6.42578125" bestFit="1" customWidth="1"/>
    <col min="3854" max="3854" width="9.28515625" bestFit="1" customWidth="1"/>
    <col min="3855" max="3855" width="7.5703125" bestFit="1" customWidth="1"/>
    <col min="3856" max="3856" width="13.28515625" bestFit="1" customWidth="1"/>
    <col min="3857" max="3857" width="9.28515625" bestFit="1" customWidth="1"/>
    <col min="3858" max="3858" width="11.5703125" bestFit="1" customWidth="1"/>
    <col min="3859" max="3859" width="13.28515625" bestFit="1" customWidth="1"/>
    <col min="3860" max="3860" width="7.140625" bestFit="1" customWidth="1"/>
    <col min="3861" max="3861" width="12" bestFit="1" customWidth="1"/>
    <col min="3862" max="3862" width="13.28515625" bestFit="1" customWidth="1"/>
    <col min="3863" max="3863" width="7" bestFit="1" customWidth="1"/>
    <col min="3864" max="3864" width="12.7109375" bestFit="1" customWidth="1"/>
    <col min="3865" max="3865" width="11.5703125" bestFit="1" customWidth="1"/>
    <col min="3866" max="3866" width="10.5703125" bestFit="1" customWidth="1"/>
    <col min="3867" max="3868" width="15.7109375" bestFit="1" customWidth="1"/>
    <col min="3869" max="3869" width="11.5703125" bestFit="1" customWidth="1"/>
    <col min="3870" max="3870" width="7.7109375" bestFit="1" customWidth="1"/>
    <col min="3871" max="3871" width="15.140625" bestFit="1" customWidth="1"/>
    <col min="3872" max="3872" width="11.5703125" bestFit="1" customWidth="1"/>
    <col min="3873" max="3873" width="13.28515625" bestFit="1" customWidth="1"/>
    <col min="3874" max="3874" width="10.42578125" bestFit="1" customWidth="1"/>
    <col min="3875" max="3875" width="13.28515625" bestFit="1" customWidth="1"/>
    <col min="3876" max="3876" width="12.140625" bestFit="1" customWidth="1"/>
    <col min="3877" max="3877" width="14.42578125" bestFit="1" customWidth="1"/>
    <col min="3878" max="3878" width="13.28515625" bestFit="1" customWidth="1"/>
    <col min="3879" max="3879" width="11.5703125" bestFit="1" customWidth="1"/>
    <col min="3880" max="3880" width="7.7109375" bestFit="1" customWidth="1"/>
    <col min="3881" max="3882" width="14.42578125" bestFit="1" customWidth="1"/>
    <col min="3883" max="3883" width="11.5703125" bestFit="1" customWidth="1"/>
    <col min="3884" max="3884" width="7.7109375" bestFit="1" customWidth="1"/>
    <col min="3885" max="3885" width="13.5703125" customWidth="1"/>
    <col min="3886" max="3886" width="15.28515625" customWidth="1"/>
    <col min="3887" max="3887" width="14.5703125" customWidth="1"/>
    <col min="3888" max="3888" width="13.28515625" bestFit="1" customWidth="1"/>
    <col min="3889" max="3889" width="7.7109375" bestFit="1" customWidth="1"/>
    <col min="3890" max="3890" width="12.7109375" bestFit="1" customWidth="1"/>
    <col min="3891" max="3891" width="11.7109375" bestFit="1" customWidth="1"/>
    <col min="3892" max="3892" width="11.5703125" bestFit="1" customWidth="1"/>
    <col min="3893" max="3893" width="5.28515625" bestFit="1" customWidth="1"/>
    <col min="3894" max="3894" width="13.28515625" bestFit="1" customWidth="1"/>
    <col min="3895" max="3895" width="13.5703125" bestFit="1" customWidth="1"/>
    <col min="3896" max="3896" width="10.5703125" bestFit="1" customWidth="1"/>
    <col min="3897" max="3897" width="13.28515625" bestFit="1" customWidth="1"/>
    <col min="3898" max="3898" width="11.5703125" bestFit="1" customWidth="1"/>
    <col min="3899" max="3899" width="10.5703125" bestFit="1" customWidth="1"/>
    <col min="3900" max="3900" width="16.140625" bestFit="1" customWidth="1"/>
    <col min="3901" max="3902" width="11.28515625" bestFit="1" customWidth="1"/>
    <col min="3903" max="3903" width="13.28515625" bestFit="1" customWidth="1"/>
    <col min="3904" max="3904" width="7.7109375" bestFit="1" customWidth="1"/>
    <col min="3905" max="3908" width="9.140625" hidden="1" customWidth="1"/>
    <col min="3909" max="3909" width="10.42578125" bestFit="1" customWidth="1"/>
    <col min="3910" max="3910" width="10.5703125" bestFit="1" customWidth="1"/>
    <col min="3911" max="3911" width="10.42578125" bestFit="1" customWidth="1"/>
    <col min="3912" max="3912" width="10.5703125" bestFit="1" customWidth="1"/>
    <col min="3913" max="3913" width="9.5703125" bestFit="1" customWidth="1"/>
    <col min="3914" max="3914" width="11.5703125" bestFit="1" customWidth="1"/>
    <col min="3915" max="3915" width="10.42578125" bestFit="1" customWidth="1"/>
    <col min="3916" max="3916" width="10.85546875" customWidth="1"/>
    <col min="3917" max="3918" width="9.85546875" bestFit="1" customWidth="1"/>
    <col min="3919" max="3919" width="13.5703125" bestFit="1" customWidth="1"/>
    <col min="3920" max="3920" width="7.7109375" bestFit="1" customWidth="1"/>
    <col min="3921" max="3921" width="13.28515625" bestFit="1" customWidth="1"/>
    <col min="3922" max="3922" width="11.5703125" bestFit="1" customWidth="1"/>
    <col min="3923" max="3923" width="10.42578125" bestFit="1" customWidth="1"/>
    <col min="3924" max="3924" width="7.7109375" bestFit="1" customWidth="1"/>
    <col min="3925" max="3925" width="11.5703125" bestFit="1" customWidth="1"/>
    <col min="3926" max="3926" width="10.85546875" bestFit="1" customWidth="1"/>
    <col min="3927" max="3927" width="13.28515625" bestFit="1" customWidth="1"/>
    <col min="3928" max="3928" width="10.85546875" bestFit="1" customWidth="1"/>
    <col min="3929" max="3930" width="7.5703125" bestFit="1" customWidth="1"/>
    <col min="3931" max="3932" width="10.42578125" bestFit="1" customWidth="1"/>
    <col min="3933" max="3933" width="11.5703125" bestFit="1" customWidth="1"/>
    <col min="3934" max="3934" width="5.28515625" bestFit="1" customWidth="1"/>
    <col min="3935" max="3935" width="10.28515625" bestFit="1" customWidth="1"/>
    <col min="3936" max="3936" width="10.42578125" bestFit="1" customWidth="1"/>
    <col min="3937" max="3937" width="11.5703125" bestFit="1" customWidth="1"/>
    <col min="3938" max="3938" width="5.28515625" bestFit="1" customWidth="1"/>
    <col min="3939" max="3941" width="11.5703125" bestFit="1" customWidth="1"/>
    <col min="3942" max="3942" width="5.28515625" bestFit="1" customWidth="1"/>
    <col min="3943" max="3944" width="10.42578125" bestFit="1" customWidth="1"/>
    <col min="3945" max="3945" width="11.5703125" bestFit="1" customWidth="1"/>
    <col min="3946" max="3946" width="5.28515625" bestFit="1" customWidth="1"/>
    <col min="3947" max="3947" width="14.28515625" bestFit="1" customWidth="1"/>
    <col min="3948" max="3948" width="13" bestFit="1" customWidth="1"/>
    <col min="3949" max="3949" width="11.5703125" bestFit="1" customWidth="1"/>
    <col min="3950" max="3950" width="8.85546875" bestFit="1" customWidth="1"/>
    <col min="3951" max="3951" width="14.42578125" bestFit="1" customWidth="1"/>
    <col min="3952" max="3952" width="10.42578125" bestFit="1" customWidth="1"/>
    <col min="3953" max="3953" width="12.28515625" bestFit="1" customWidth="1"/>
    <col min="3954" max="3954" width="13.85546875" bestFit="1" customWidth="1"/>
    <col min="3955" max="3955" width="11.28515625" customWidth="1"/>
    <col min="3956" max="3956" width="11.5703125" customWidth="1"/>
    <col min="3957" max="3957" width="13.42578125" bestFit="1" customWidth="1"/>
    <col min="3958" max="3958" width="10.42578125" customWidth="1"/>
    <col min="3959" max="3959" width="13.85546875" bestFit="1" customWidth="1"/>
    <col min="3960" max="3960" width="15.42578125" bestFit="1" customWidth="1"/>
    <col min="3961" max="3961" width="12.28515625" bestFit="1" customWidth="1"/>
    <col min="3962" max="3962" width="12.7109375" customWidth="1"/>
    <col min="3963" max="3963" width="10.7109375" bestFit="1" customWidth="1"/>
    <col min="3964" max="3964" width="9.85546875" customWidth="1"/>
    <col min="3965" max="3966" width="10.140625" bestFit="1" customWidth="1"/>
    <col min="3967" max="3967" width="7.5703125" bestFit="1" customWidth="1"/>
    <col min="3968" max="3968" width="9.42578125" bestFit="1" customWidth="1"/>
    <col min="3969" max="3969" width="14.5703125" bestFit="1" customWidth="1"/>
    <col min="3970" max="3970" width="14.85546875" customWidth="1"/>
    <col min="3971" max="3971" width="15.140625" bestFit="1" customWidth="1"/>
    <col min="3972" max="3972" width="12.140625" bestFit="1" customWidth="1"/>
    <col min="3973" max="3973" width="14.85546875" bestFit="1" customWidth="1"/>
    <col min="3974" max="3974" width="12.28515625" bestFit="1" customWidth="1"/>
    <col min="3975" max="3983" width="9.140625" hidden="1" customWidth="1"/>
    <col min="3984" max="3984" width="5.28515625" bestFit="1" customWidth="1"/>
    <col min="3985" max="3990" width="11.5703125" bestFit="1" customWidth="1"/>
    <col min="3991" max="3991" width="11.28515625" bestFit="1" customWidth="1"/>
    <col min="3992" max="3992" width="10.140625" bestFit="1" customWidth="1"/>
    <col min="3993" max="3993" width="11.5703125" bestFit="1" customWidth="1"/>
    <col min="3994" max="3994" width="16.140625" customWidth="1"/>
    <col min="3995" max="3995" width="13.42578125" customWidth="1"/>
    <col min="3996" max="3996" width="10.140625" bestFit="1" customWidth="1"/>
    <col min="3997" max="3997" width="12.85546875" bestFit="1" customWidth="1"/>
    <col min="3998" max="3998" width="12.28515625" bestFit="1" customWidth="1"/>
    <col min="3999" max="3999" width="11.28515625" bestFit="1" customWidth="1"/>
    <col min="4000" max="4000" width="11.5703125" bestFit="1" customWidth="1"/>
    <col min="4001" max="4001" width="10.85546875" bestFit="1" customWidth="1"/>
    <col min="4002" max="4002" width="11.28515625" bestFit="1" customWidth="1"/>
    <col min="4003" max="4003" width="10.140625" bestFit="1" customWidth="1"/>
    <col min="4004" max="4004" width="13.28515625" bestFit="1" customWidth="1"/>
    <col min="4005" max="4006" width="12.7109375" bestFit="1" customWidth="1"/>
    <col min="4007" max="4007" width="11" bestFit="1" customWidth="1"/>
    <col min="4008" max="4008" width="11.28515625" bestFit="1" customWidth="1"/>
    <col min="4009" max="4009" width="11.5703125" bestFit="1" customWidth="1"/>
    <col min="4010" max="4010" width="12.28515625" bestFit="1" customWidth="1"/>
    <col min="4011" max="4011" width="15.140625" bestFit="1" customWidth="1"/>
    <col min="4012" max="4012" width="14.42578125" bestFit="1" customWidth="1"/>
    <col min="4013" max="4013" width="12.28515625" bestFit="1" customWidth="1"/>
    <col min="4014" max="4014" width="15.140625" bestFit="1" customWidth="1"/>
    <col min="4015" max="4015" width="14.42578125" bestFit="1" customWidth="1"/>
    <col min="4016" max="4016" width="12.28515625" bestFit="1" customWidth="1"/>
    <col min="4017" max="4017" width="14.42578125" bestFit="1" customWidth="1"/>
    <col min="4018" max="4018" width="11.28515625" bestFit="1" customWidth="1"/>
    <col min="4019" max="4019" width="12.28515625" bestFit="1" customWidth="1"/>
    <col min="4020" max="4020" width="13" bestFit="1" customWidth="1"/>
    <col min="4021" max="4021" width="15.140625" bestFit="1" customWidth="1"/>
    <col min="4022" max="4022" width="12.28515625" bestFit="1" customWidth="1"/>
    <col min="4023" max="4023" width="13.85546875" bestFit="1" customWidth="1"/>
    <col min="4024" max="4024" width="11.28515625" bestFit="1" customWidth="1"/>
    <col min="4025" max="4025" width="12.28515625" bestFit="1" customWidth="1"/>
    <col min="4026" max="4026" width="13.85546875" bestFit="1" customWidth="1"/>
    <col min="4027" max="4028" width="15.140625" bestFit="1" customWidth="1"/>
    <col min="4029" max="4029" width="12.28515625" bestFit="1" customWidth="1"/>
    <col min="4030" max="4030" width="5.7109375" bestFit="1" customWidth="1"/>
    <col min="4031" max="4031" width="8.5703125" bestFit="1" customWidth="1"/>
    <col min="4032" max="4032" width="5.5703125" bestFit="1" customWidth="1"/>
    <col min="4033" max="4033" width="14.42578125" bestFit="1" customWidth="1"/>
    <col min="4034" max="4034" width="11.28515625" bestFit="1" customWidth="1"/>
    <col min="4035" max="4036" width="12.28515625" bestFit="1" customWidth="1"/>
    <col min="4037" max="4037" width="11.28515625" bestFit="1" customWidth="1"/>
    <col min="4038" max="4038" width="13.85546875" bestFit="1" customWidth="1"/>
    <col min="4039" max="4039" width="12" bestFit="1" customWidth="1"/>
    <col min="4040" max="4040" width="13.85546875" bestFit="1" customWidth="1"/>
    <col min="4041" max="4042" width="14.42578125" customWidth="1"/>
    <col min="4043" max="4043" width="10.140625" bestFit="1" customWidth="1"/>
    <col min="4044" max="4044" width="12.28515625" bestFit="1" customWidth="1"/>
    <col min="4045" max="4045" width="7.42578125" bestFit="1" customWidth="1"/>
    <col min="4046" max="4046" width="8.5703125" bestFit="1" customWidth="1"/>
    <col min="4047" max="4047" width="11.5703125" bestFit="1" customWidth="1"/>
    <col min="4048" max="4048" width="13.28515625" bestFit="1" customWidth="1"/>
    <col min="4049" max="4049" width="13.28515625" customWidth="1"/>
    <col min="4050" max="4050" width="13.140625" customWidth="1"/>
    <col min="4051" max="4051" width="12.7109375" bestFit="1" customWidth="1"/>
    <col min="4052" max="4052" width="13.28515625" bestFit="1" customWidth="1"/>
    <col min="4053" max="4055" width="13.28515625" customWidth="1"/>
    <col min="4056" max="4056" width="12.140625" bestFit="1" customWidth="1"/>
    <col min="4057" max="4057" width="12.7109375" bestFit="1" customWidth="1"/>
    <col min="4058" max="4058" width="11" customWidth="1"/>
    <col min="4059" max="4059" width="16.7109375" customWidth="1"/>
    <col min="4060" max="4060" width="17" customWidth="1"/>
    <col min="4061" max="4061" width="10.42578125" bestFit="1" customWidth="1"/>
    <col min="4105" max="4105" width="3.85546875" customWidth="1"/>
    <col min="4106" max="4106" width="15.28515625" bestFit="1" customWidth="1"/>
    <col min="4107" max="4107" width="12.28515625" customWidth="1"/>
    <col min="4108" max="4108" width="16.28515625" bestFit="1" customWidth="1"/>
    <col min="4109" max="4109" width="6.42578125" bestFit="1" customWidth="1"/>
    <col min="4110" max="4110" width="9.28515625" bestFit="1" customWidth="1"/>
    <col min="4111" max="4111" width="7.5703125" bestFit="1" customWidth="1"/>
    <col min="4112" max="4112" width="13.28515625" bestFit="1" customWidth="1"/>
    <col min="4113" max="4113" width="9.28515625" bestFit="1" customWidth="1"/>
    <col min="4114" max="4114" width="11.5703125" bestFit="1" customWidth="1"/>
    <col min="4115" max="4115" width="13.28515625" bestFit="1" customWidth="1"/>
    <col min="4116" max="4116" width="7.140625" bestFit="1" customWidth="1"/>
    <col min="4117" max="4117" width="12" bestFit="1" customWidth="1"/>
    <col min="4118" max="4118" width="13.28515625" bestFit="1" customWidth="1"/>
    <col min="4119" max="4119" width="7" bestFit="1" customWidth="1"/>
    <col min="4120" max="4120" width="12.7109375" bestFit="1" customWidth="1"/>
    <col min="4121" max="4121" width="11.5703125" bestFit="1" customWidth="1"/>
    <col min="4122" max="4122" width="10.5703125" bestFit="1" customWidth="1"/>
    <col min="4123" max="4124" width="15.7109375" bestFit="1" customWidth="1"/>
    <col min="4125" max="4125" width="11.5703125" bestFit="1" customWidth="1"/>
    <col min="4126" max="4126" width="7.7109375" bestFit="1" customWidth="1"/>
    <col min="4127" max="4127" width="15.140625" bestFit="1" customWidth="1"/>
    <col min="4128" max="4128" width="11.5703125" bestFit="1" customWidth="1"/>
    <col min="4129" max="4129" width="13.28515625" bestFit="1" customWidth="1"/>
    <col min="4130" max="4130" width="10.42578125" bestFit="1" customWidth="1"/>
    <col min="4131" max="4131" width="13.28515625" bestFit="1" customWidth="1"/>
    <col min="4132" max="4132" width="12.140625" bestFit="1" customWidth="1"/>
    <col min="4133" max="4133" width="14.42578125" bestFit="1" customWidth="1"/>
    <col min="4134" max="4134" width="13.28515625" bestFit="1" customWidth="1"/>
    <col min="4135" max="4135" width="11.5703125" bestFit="1" customWidth="1"/>
    <col min="4136" max="4136" width="7.7109375" bestFit="1" customWidth="1"/>
    <col min="4137" max="4138" width="14.42578125" bestFit="1" customWidth="1"/>
    <col min="4139" max="4139" width="11.5703125" bestFit="1" customWidth="1"/>
    <col min="4140" max="4140" width="7.7109375" bestFit="1" customWidth="1"/>
    <col min="4141" max="4141" width="13.5703125" customWidth="1"/>
    <col min="4142" max="4142" width="15.28515625" customWidth="1"/>
    <col min="4143" max="4143" width="14.5703125" customWidth="1"/>
    <col min="4144" max="4144" width="13.28515625" bestFit="1" customWidth="1"/>
    <col min="4145" max="4145" width="7.7109375" bestFit="1" customWidth="1"/>
    <col min="4146" max="4146" width="12.7109375" bestFit="1" customWidth="1"/>
    <col min="4147" max="4147" width="11.7109375" bestFit="1" customWidth="1"/>
    <col min="4148" max="4148" width="11.5703125" bestFit="1" customWidth="1"/>
    <col min="4149" max="4149" width="5.28515625" bestFit="1" customWidth="1"/>
    <col min="4150" max="4150" width="13.28515625" bestFit="1" customWidth="1"/>
    <col min="4151" max="4151" width="13.5703125" bestFit="1" customWidth="1"/>
    <col min="4152" max="4152" width="10.5703125" bestFit="1" customWidth="1"/>
    <col min="4153" max="4153" width="13.28515625" bestFit="1" customWidth="1"/>
    <col min="4154" max="4154" width="11.5703125" bestFit="1" customWidth="1"/>
    <col min="4155" max="4155" width="10.5703125" bestFit="1" customWidth="1"/>
    <col min="4156" max="4156" width="16.140625" bestFit="1" customWidth="1"/>
    <col min="4157" max="4158" width="11.28515625" bestFit="1" customWidth="1"/>
    <col min="4159" max="4159" width="13.28515625" bestFit="1" customWidth="1"/>
    <col min="4160" max="4160" width="7.7109375" bestFit="1" customWidth="1"/>
    <col min="4161" max="4164" width="9.140625" hidden="1" customWidth="1"/>
    <col min="4165" max="4165" width="10.42578125" bestFit="1" customWidth="1"/>
    <col min="4166" max="4166" width="10.5703125" bestFit="1" customWidth="1"/>
    <col min="4167" max="4167" width="10.42578125" bestFit="1" customWidth="1"/>
    <col min="4168" max="4168" width="10.5703125" bestFit="1" customWidth="1"/>
    <col min="4169" max="4169" width="9.5703125" bestFit="1" customWidth="1"/>
    <col min="4170" max="4170" width="11.5703125" bestFit="1" customWidth="1"/>
    <col min="4171" max="4171" width="10.42578125" bestFit="1" customWidth="1"/>
    <col min="4172" max="4172" width="10.85546875" customWidth="1"/>
    <col min="4173" max="4174" width="9.85546875" bestFit="1" customWidth="1"/>
    <col min="4175" max="4175" width="13.5703125" bestFit="1" customWidth="1"/>
    <col min="4176" max="4176" width="7.7109375" bestFit="1" customWidth="1"/>
    <col min="4177" max="4177" width="13.28515625" bestFit="1" customWidth="1"/>
    <col min="4178" max="4178" width="11.5703125" bestFit="1" customWidth="1"/>
    <col min="4179" max="4179" width="10.42578125" bestFit="1" customWidth="1"/>
    <col min="4180" max="4180" width="7.7109375" bestFit="1" customWidth="1"/>
    <col min="4181" max="4181" width="11.5703125" bestFit="1" customWidth="1"/>
    <col min="4182" max="4182" width="10.85546875" bestFit="1" customWidth="1"/>
    <col min="4183" max="4183" width="13.28515625" bestFit="1" customWidth="1"/>
    <col min="4184" max="4184" width="10.85546875" bestFit="1" customWidth="1"/>
    <col min="4185" max="4186" width="7.5703125" bestFit="1" customWidth="1"/>
    <col min="4187" max="4188" width="10.42578125" bestFit="1" customWidth="1"/>
    <col min="4189" max="4189" width="11.5703125" bestFit="1" customWidth="1"/>
    <col min="4190" max="4190" width="5.28515625" bestFit="1" customWidth="1"/>
    <col min="4191" max="4191" width="10.28515625" bestFit="1" customWidth="1"/>
    <col min="4192" max="4192" width="10.42578125" bestFit="1" customWidth="1"/>
    <col min="4193" max="4193" width="11.5703125" bestFit="1" customWidth="1"/>
    <col min="4194" max="4194" width="5.28515625" bestFit="1" customWidth="1"/>
    <col min="4195" max="4197" width="11.5703125" bestFit="1" customWidth="1"/>
    <col min="4198" max="4198" width="5.28515625" bestFit="1" customWidth="1"/>
    <col min="4199" max="4200" width="10.42578125" bestFit="1" customWidth="1"/>
    <col min="4201" max="4201" width="11.5703125" bestFit="1" customWidth="1"/>
    <col min="4202" max="4202" width="5.28515625" bestFit="1" customWidth="1"/>
    <col min="4203" max="4203" width="14.28515625" bestFit="1" customWidth="1"/>
    <col min="4204" max="4204" width="13" bestFit="1" customWidth="1"/>
    <col min="4205" max="4205" width="11.5703125" bestFit="1" customWidth="1"/>
    <col min="4206" max="4206" width="8.85546875" bestFit="1" customWidth="1"/>
    <col min="4207" max="4207" width="14.42578125" bestFit="1" customWidth="1"/>
    <col min="4208" max="4208" width="10.42578125" bestFit="1" customWidth="1"/>
    <col min="4209" max="4209" width="12.28515625" bestFit="1" customWidth="1"/>
    <col min="4210" max="4210" width="13.85546875" bestFit="1" customWidth="1"/>
    <col min="4211" max="4211" width="11.28515625" customWidth="1"/>
    <col min="4212" max="4212" width="11.5703125" customWidth="1"/>
    <col min="4213" max="4213" width="13.42578125" bestFit="1" customWidth="1"/>
    <col min="4214" max="4214" width="10.42578125" customWidth="1"/>
    <col min="4215" max="4215" width="13.85546875" bestFit="1" customWidth="1"/>
    <col min="4216" max="4216" width="15.42578125" bestFit="1" customWidth="1"/>
    <col min="4217" max="4217" width="12.28515625" bestFit="1" customWidth="1"/>
    <col min="4218" max="4218" width="12.7109375" customWidth="1"/>
    <col min="4219" max="4219" width="10.7109375" bestFit="1" customWidth="1"/>
    <col min="4220" max="4220" width="9.85546875" customWidth="1"/>
    <col min="4221" max="4222" width="10.140625" bestFit="1" customWidth="1"/>
    <col min="4223" max="4223" width="7.5703125" bestFit="1" customWidth="1"/>
    <col min="4224" max="4224" width="9.42578125" bestFit="1" customWidth="1"/>
    <col min="4225" max="4225" width="14.5703125" bestFit="1" customWidth="1"/>
    <col min="4226" max="4226" width="14.85546875" customWidth="1"/>
    <col min="4227" max="4227" width="15.140625" bestFit="1" customWidth="1"/>
    <col min="4228" max="4228" width="12.140625" bestFit="1" customWidth="1"/>
    <col min="4229" max="4229" width="14.85546875" bestFit="1" customWidth="1"/>
    <col min="4230" max="4230" width="12.28515625" bestFit="1" customWidth="1"/>
    <col min="4231" max="4239" width="9.140625" hidden="1" customWidth="1"/>
    <col min="4240" max="4240" width="5.28515625" bestFit="1" customWidth="1"/>
    <col min="4241" max="4246" width="11.5703125" bestFit="1" customWidth="1"/>
    <col min="4247" max="4247" width="11.28515625" bestFit="1" customWidth="1"/>
    <col min="4248" max="4248" width="10.140625" bestFit="1" customWidth="1"/>
    <col min="4249" max="4249" width="11.5703125" bestFit="1" customWidth="1"/>
    <col min="4250" max="4250" width="16.140625" customWidth="1"/>
    <col min="4251" max="4251" width="13.42578125" customWidth="1"/>
    <col min="4252" max="4252" width="10.140625" bestFit="1" customWidth="1"/>
    <col min="4253" max="4253" width="12.85546875" bestFit="1" customWidth="1"/>
    <col min="4254" max="4254" width="12.28515625" bestFit="1" customWidth="1"/>
    <col min="4255" max="4255" width="11.28515625" bestFit="1" customWidth="1"/>
    <col min="4256" max="4256" width="11.5703125" bestFit="1" customWidth="1"/>
    <col min="4257" max="4257" width="10.85546875" bestFit="1" customWidth="1"/>
    <col min="4258" max="4258" width="11.28515625" bestFit="1" customWidth="1"/>
    <col min="4259" max="4259" width="10.140625" bestFit="1" customWidth="1"/>
    <col min="4260" max="4260" width="13.28515625" bestFit="1" customWidth="1"/>
    <col min="4261" max="4262" width="12.7109375" bestFit="1" customWidth="1"/>
    <col min="4263" max="4263" width="11" bestFit="1" customWidth="1"/>
    <col min="4264" max="4264" width="11.28515625" bestFit="1" customWidth="1"/>
    <col min="4265" max="4265" width="11.5703125" bestFit="1" customWidth="1"/>
    <col min="4266" max="4266" width="12.28515625" bestFit="1" customWidth="1"/>
    <col min="4267" max="4267" width="15.140625" bestFit="1" customWidth="1"/>
    <col min="4268" max="4268" width="14.42578125" bestFit="1" customWidth="1"/>
    <col min="4269" max="4269" width="12.28515625" bestFit="1" customWidth="1"/>
    <col min="4270" max="4270" width="15.140625" bestFit="1" customWidth="1"/>
    <col min="4271" max="4271" width="14.42578125" bestFit="1" customWidth="1"/>
    <col min="4272" max="4272" width="12.28515625" bestFit="1" customWidth="1"/>
    <col min="4273" max="4273" width="14.42578125" bestFit="1" customWidth="1"/>
    <col min="4274" max="4274" width="11.28515625" bestFit="1" customWidth="1"/>
    <col min="4275" max="4275" width="12.28515625" bestFit="1" customWidth="1"/>
    <col min="4276" max="4276" width="13" bestFit="1" customWidth="1"/>
    <col min="4277" max="4277" width="15.140625" bestFit="1" customWidth="1"/>
    <col min="4278" max="4278" width="12.28515625" bestFit="1" customWidth="1"/>
    <col min="4279" max="4279" width="13.85546875" bestFit="1" customWidth="1"/>
    <col min="4280" max="4280" width="11.28515625" bestFit="1" customWidth="1"/>
    <col min="4281" max="4281" width="12.28515625" bestFit="1" customWidth="1"/>
    <col min="4282" max="4282" width="13.85546875" bestFit="1" customWidth="1"/>
    <col min="4283" max="4284" width="15.140625" bestFit="1" customWidth="1"/>
    <col min="4285" max="4285" width="12.28515625" bestFit="1" customWidth="1"/>
    <col min="4286" max="4286" width="5.7109375" bestFit="1" customWidth="1"/>
    <col min="4287" max="4287" width="8.5703125" bestFit="1" customWidth="1"/>
    <col min="4288" max="4288" width="5.5703125" bestFit="1" customWidth="1"/>
    <col min="4289" max="4289" width="14.42578125" bestFit="1" customWidth="1"/>
    <col min="4290" max="4290" width="11.28515625" bestFit="1" customWidth="1"/>
    <col min="4291" max="4292" width="12.28515625" bestFit="1" customWidth="1"/>
    <col min="4293" max="4293" width="11.28515625" bestFit="1" customWidth="1"/>
    <col min="4294" max="4294" width="13.85546875" bestFit="1" customWidth="1"/>
    <col min="4295" max="4295" width="12" bestFit="1" customWidth="1"/>
    <col min="4296" max="4296" width="13.85546875" bestFit="1" customWidth="1"/>
    <col min="4297" max="4298" width="14.42578125" customWidth="1"/>
    <col min="4299" max="4299" width="10.140625" bestFit="1" customWidth="1"/>
    <col min="4300" max="4300" width="12.28515625" bestFit="1" customWidth="1"/>
    <col min="4301" max="4301" width="7.42578125" bestFit="1" customWidth="1"/>
    <col min="4302" max="4302" width="8.5703125" bestFit="1" customWidth="1"/>
    <col min="4303" max="4303" width="11.5703125" bestFit="1" customWidth="1"/>
    <col min="4304" max="4304" width="13.28515625" bestFit="1" customWidth="1"/>
    <col min="4305" max="4305" width="13.28515625" customWidth="1"/>
    <col min="4306" max="4306" width="13.140625" customWidth="1"/>
    <col min="4307" max="4307" width="12.7109375" bestFit="1" customWidth="1"/>
    <col min="4308" max="4308" width="13.28515625" bestFit="1" customWidth="1"/>
    <col min="4309" max="4311" width="13.28515625" customWidth="1"/>
    <col min="4312" max="4312" width="12.140625" bestFit="1" customWidth="1"/>
    <col min="4313" max="4313" width="12.7109375" bestFit="1" customWidth="1"/>
    <col min="4314" max="4314" width="11" customWidth="1"/>
    <col min="4315" max="4315" width="16.7109375" customWidth="1"/>
    <col min="4316" max="4316" width="17" customWidth="1"/>
    <col min="4317" max="4317" width="10.42578125" bestFit="1" customWidth="1"/>
    <col min="4361" max="4361" width="3.85546875" customWidth="1"/>
    <col min="4362" max="4362" width="15.28515625" bestFit="1" customWidth="1"/>
    <col min="4363" max="4363" width="12.28515625" customWidth="1"/>
    <col min="4364" max="4364" width="16.28515625" bestFit="1" customWidth="1"/>
    <col min="4365" max="4365" width="6.42578125" bestFit="1" customWidth="1"/>
    <col min="4366" max="4366" width="9.28515625" bestFit="1" customWidth="1"/>
    <col min="4367" max="4367" width="7.5703125" bestFit="1" customWidth="1"/>
    <col min="4368" max="4368" width="13.28515625" bestFit="1" customWidth="1"/>
    <col min="4369" max="4369" width="9.28515625" bestFit="1" customWidth="1"/>
    <col min="4370" max="4370" width="11.5703125" bestFit="1" customWidth="1"/>
    <col min="4371" max="4371" width="13.28515625" bestFit="1" customWidth="1"/>
    <col min="4372" max="4372" width="7.140625" bestFit="1" customWidth="1"/>
    <col min="4373" max="4373" width="12" bestFit="1" customWidth="1"/>
    <col min="4374" max="4374" width="13.28515625" bestFit="1" customWidth="1"/>
    <col min="4375" max="4375" width="7" bestFit="1" customWidth="1"/>
    <col min="4376" max="4376" width="12.7109375" bestFit="1" customWidth="1"/>
    <col min="4377" max="4377" width="11.5703125" bestFit="1" customWidth="1"/>
    <col min="4378" max="4378" width="10.5703125" bestFit="1" customWidth="1"/>
    <col min="4379" max="4380" width="15.7109375" bestFit="1" customWidth="1"/>
    <col min="4381" max="4381" width="11.5703125" bestFit="1" customWidth="1"/>
    <col min="4382" max="4382" width="7.7109375" bestFit="1" customWidth="1"/>
    <col min="4383" max="4383" width="15.140625" bestFit="1" customWidth="1"/>
    <col min="4384" max="4384" width="11.5703125" bestFit="1" customWidth="1"/>
    <col min="4385" max="4385" width="13.28515625" bestFit="1" customWidth="1"/>
    <col min="4386" max="4386" width="10.42578125" bestFit="1" customWidth="1"/>
    <col min="4387" max="4387" width="13.28515625" bestFit="1" customWidth="1"/>
    <col min="4388" max="4388" width="12.140625" bestFit="1" customWidth="1"/>
    <col min="4389" max="4389" width="14.42578125" bestFit="1" customWidth="1"/>
    <col min="4390" max="4390" width="13.28515625" bestFit="1" customWidth="1"/>
    <col min="4391" max="4391" width="11.5703125" bestFit="1" customWidth="1"/>
    <col min="4392" max="4392" width="7.7109375" bestFit="1" customWidth="1"/>
    <col min="4393" max="4394" width="14.42578125" bestFit="1" customWidth="1"/>
    <col min="4395" max="4395" width="11.5703125" bestFit="1" customWidth="1"/>
    <col min="4396" max="4396" width="7.7109375" bestFit="1" customWidth="1"/>
    <col min="4397" max="4397" width="13.5703125" customWidth="1"/>
    <col min="4398" max="4398" width="15.28515625" customWidth="1"/>
    <col min="4399" max="4399" width="14.5703125" customWidth="1"/>
    <col min="4400" max="4400" width="13.28515625" bestFit="1" customWidth="1"/>
    <col min="4401" max="4401" width="7.7109375" bestFit="1" customWidth="1"/>
    <col min="4402" max="4402" width="12.7109375" bestFit="1" customWidth="1"/>
    <col min="4403" max="4403" width="11.7109375" bestFit="1" customWidth="1"/>
    <col min="4404" max="4404" width="11.5703125" bestFit="1" customWidth="1"/>
    <col min="4405" max="4405" width="5.28515625" bestFit="1" customWidth="1"/>
    <col min="4406" max="4406" width="13.28515625" bestFit="1" customWidth="1"/>
    <col min="4407" max="4407" width="13.5703125" bestFit="1" customWidth="1"/>
    <col min="4408" max="4408" width="10.5703125" bestFit="1" customWidth="1"/>
    <col min="4409" max="4409" width="13.28515625" bestFit="1" customWidth="1"/>
    <col min="4410" max="4410" width="11.5703125" bestFit="1" customWidth="1"/>
    <col min="4411" max="4411" width="10.5703125" bestFit="1" customWidth="1"/>
    <col min="4412" max="4412" width="16.140625" bestFit="1" customWidth="1"/>
    <col min="4413" max="4414" width="11.28515625" bestFit="1" customWidth="1"/>
    <col min="4415" max="4415" width="13.28515625" bestFit="1" customWidth="1"/>
    <col min="4416" max="4416" width="7.7109375" bestFit="1" customWidth="1"/>
    <col min="4417" max="4420" width="9.140625" hidden="1" customWidth="1"/>
    <col min="4421" max="4421" width="10.42578125" bestFit="1" customWidth="1"/>
    <col min="4422" max="4422" width="10.5703125" bestFit="1" customWidth="1"/>
    <col min="4423" max="4423" width="10.42578125" bestFit="1" customWidth="1"/>
    <col min="4424" max="4424" width="10.5703125" bestFit="1" customWidth="1"/>
    <col min="4425" max="4425" width="9.5703125" bestFit="1" customWidth="1"/>
    <col min="4426" max="4426" width="11.5703125" bestFit="1" customWidth="1"/>
    <col min="4427" max="4427" width="10.42578125" bestFit="1" customWidth="1"/>
    <col min="4428" max="4428" width="10.85546875" customWidth="1"/>
    <col min="4429" max="4430" width="9.85546875" bestFit="1" customWidth="1"/>
    <col min="4431" max="4431" width="13.5703125" bestFit="1" customWidth="1"/>
    <col min="4432" max="4432" width="7.7109375" bestFit="1" customWidth="1"/>
    <col min="4433" max="4433" width="13.28515625" bestFit="1" customWidth="1"/>
    <col min="4434" max="4434" width="11.5703125" bestFit="1" customWidth="1"/>
    <col min="4435" max="4435" width="10.42578125" bestFit="1" customWidth="1"/>
    <col min="4436" max="4436" width="7.7109375" bestFit="1" customWidth="1"/>
    <col min="4437" max="4437" width="11.5703125" bestFit="1" customWidth="1"/>
    <col min="4438" max="4438" width="10.85546875" bestFit="1" customWidth="1"/>
    <col min="4439" max="4439" width="13.28515625" bestFit="1" customWidth="1"/>
    <col min="4440" max="4440" width="10.85546875" bestFit="1" customWidth="1"/>
    <col min="4441" max="4442" width="7.5703125" bestFit="1" customWidth="1"/>
    <col min="4443" max="4444" width="10.42578125" bestFit="1" customWidth="1"/>
    <col min="4445" max="4445" width="11.5703125" bestFit="1" customWidth="1"/>
    <col min="4446" max="4446" width="5.28515625" bestFit="1" customWidth="1"/>
    <col min="4447" max="4447" width="10.28515625" bestFit="1" customWidth="1"/>
    <col min="4448" max="4448" width="10.42578125" bestFit="1" customWidth="1"/>
    <col min="4449" max="4449" width="11.5703125" bestFit="1" customWidth="1"/>
    <col min="4450" max="4450" width="5.28515625" bestFit="1" customWidth="1"/>
    <col min="4451" max="4453" width="11.5703125" bestFit="1" customWidth="1"/>
    <col min="4454" max="4454" width="5.28515625" bestFit="1" customWidth="1"/>
    <col min="4455" max="4456" width="10.42578125" bestFit="1" customWidth="1"/>
    <col min="4457" max="4457" width="11.5703125" bestFit="1" customWidth="1"/>
    <col min="4458" max="4458" width="5.28515625" bestFit="1" customWidth="1"/>
    <col min="4459" max="4459" width="14.28515625" bestFit="1" customWidth="1"/>
    <col min="4460" max="4460" width="13" bestFit="1" customWidth="1"/>
    <col min="4461" max="4461" width="11.5703125" bestFit="1" customWidth="1"/>
    <col min="4462" max="4462" width="8.85546875" bestFit="1" customWidth="1"/>
    <col min="4463" max="4463" width="14.42578125" bestFit="1" customWidth="1"/>
    <col min="4464" max="4464" width="10.42578125" bestFit="1" customWidth="1"/>
    <col min="4465" max="4465" width="12.28515625" bestFit="1" customWidth="1"/>
    <col min="4466" max="4466" width="13.85546875" bestFit="1" customWidth="1"/>
    <col min="4467" max="4467" width="11.28515625" customWidth="1"/>
    <col min="4468" max="4468" width="11.5703125" customWidth="1"/>
    <col min="4469" max="4469" width="13.42578125" bestFit="1" customWidth="1"/>
    <col min="4470" max="4470" width="10.42578125" customWidth="1"/>
    <col min="4471" max="4471" width="13.85546875" bestFit="1" customWidth="1"/>
    <col min="4472" max="4472" width="15.42578125" bestFit="1" customWidth="1"/>
    <col min="4473" max="4473" width="12.28515625" bestFit="1" customWidth="1"/>
    <col min="4474" max="4474" width="12.7109375" customWidth="1"/>
    <col min="4475" max="4475" width="10.7109375" bestFit="1" customWidth="1"/>
    <col min="4476" max="4476" width="9.85546875" customWidth="1"/>
    <col min="4477" max="4478" width="10.140625" bestFit="1" customWidth="1"/>
    <col min="4479" max="4479" width="7.5703125" bestFit="1" customWidth="1"/>
    <col min="4480" max="4480" width="9.42578125" bestFit="1" customWidth="1"/>
    <col min="4481" max="4481" width="14.5703125" bestFit="1" customWidth="1"/>
    <col min="4482" max="4482" width="14.85546875" customWidth="1"/>
    <col min="4483" max="4483" width="15.140625" bestFit="1" customWidth="1"/>
    <col min="4484" max="4484" width="12.140625" bestFit="1" customWidth="1"/>
    <col min="4485" max="4485" width="14.85546875" bestFit="1" customWidth="1"/>
    <col min="4486" max="4486" width="12.28515625" bestFit="1" customWidth="1"/>
    <col min="4487" max="4495" width="9.140625" hidden="1" customWidth="1"/>
    <col min="4496" max="4496" width="5.28515625" bestFit="1" customWidth="1"/>
    <col min="4497" max="4502" width="11.5703125" bestFit="1" customWidth="1"/>
    <col min="4503" max="4503" width="11.28515625" bestFit="1" customWidth="1"/>
    <col min="4504" max="4504" width="10.140625" bestFit="1" customWidth="1"/>
    <col min="4505" max="4505" width="11.5703125" bestFit="1" customWidth="1"/>
    <col min="4506" max="4506" width="16.140625" customWidth="1"/>
    <col min="4507" max="4507" width="13.42578125" customWidth="1"/>
    <col min="4508" max="4508" width="10.140625" bestFit="1" customWidth="1"/>
    <col min="4509" max="4509" width="12.85546875" bestFit="1" customWidth="1"/>
    <col min="4510" max="4510" width="12.28515625" bestFit="1" customWidth="1"/>
    <col min="4511" max="4511" width="11.28515625" bestFit="1" customWidth="1"/>
    <col min="4512" max="4512" width="11.5703125" bestFit="1" customWidth="1"/>
    <col min="4513" max="4513" width="10.85546875" bestFit="1" customWidth="1"/>
    <col min="4514" max="4514" width="11.28515625" bestFit="1" customWidth="1"/>
    <col min="4515" max="4515" width="10.140625" bestFit="1" customWidth="1"/>
    <col min="4516" max="4516" width="13.28515625" bestFit="1" customWidth="1"/>
    <col min="4517" max="4518" width="12.7109375" bestFit="1" customWidth="1"/>
    <col min="4519" max="4519" width="11" bestFit="1" customWidth="1"/>
    <col min="4520" max="4520" width="11.28515625" bestFit="1" customWidth="1"/>
    <col min="4521" max="4521" width="11.5703125" bestFit="1" customWidth="1"/>
    <col min="4522" max="4522" width="12.28515625" bestFit="1" customWidth="1"/>
    <col min="4523" max="4523" width="15.140625" bestFit="1" customWidth="1"/>
    <col min="4524" max="4524" width="14.42578125" bestFit="1" customWidth="1"/>
    <col min="4525" max="4525" width="12.28515625" bestFit="1" customWidth="1"/>
    <col min="4526" max="4526" width="15.140625" bestFit="1" customWidth="1"/>
    <col min="4527" max="4527" width="14.42578125" bestFit="1" customWidth="1"/>
    <col min="4528" max="4528" width="12.28515625" bestFit="1" customWidth="1"/>
    <col min="4529" max="4529" width="14.42578125" bestFit="1" customWidth="1"/>
    <col min="4530" max="4530" width="11.28515625" bestFit="1" customWidth="1"/>
    <col min="4531" max="4531" width="12.28515625" bestFit="1" customWidth="1"/>
    <col min="4532" max="4532" width="13" bestFit="1" customWidth="1"/>
    <col min="4533" max="4533" width="15.140625" bestFit="1" customWidth="1"/>
    <col min="4534" max="4534" width="12.28515625" bestFit="1" customWidth="1"/>
    <col min="4535" max="4535" width="13.85546875" bestFit="1" customWidth="1"/>
    <col min="4536" max="4536" width="11.28515625" bestFit="1" customWidth="1"/>
    <col min="4537" max="4537" width="12.28515625" bestFit="1" customWidth="1"/>
    <col min="4538" max="4538" width="13.85546875" bestFit="1" customWidth="1"/>
    <col min="4539" max="4540" width="15.140625" bestFit="1" customWidth="1"/>
    <col min="4541" max="4541" width="12.28515625" bestFit="1" customWidth="1"/>
    <col min="4542" max="4542" width="5.7109375" bestFit="1" customWidth="1"/>
    <col min="4543" max="4543" width="8.5703125" bestFit="1" customWidth="1"/>
    <col min="4544" max="4544" width="5.5703125" bestFit="1" customWidth="1"/>
    <col min="4545" max="4545" width="14.42578125" bestFit="1" customWidth="1"/>
    <col min="4546" max="4546" width="11.28515625" bestFit="1" customWidth="1"/>
    <col min="4547" max="4548" width="12.28515625" bestFit="1" customWidth="1"/>
    <col min="4549" max="4549" width="11.28515625" bestFit="1" customWidth="1"/>
    <col min="4550" max="4550" width="13.85546875" bestFit="1" customWidth="1"/>
    <col min="4551" max="4551" width="12" bestFit="1" customWidth="1"/>
    <col min="4552" max="4552" width="13.85546875" bestFit="1" customWidth="1"/>
    <col min="4553" max="4554" width="14.42578125" customWidth="1"/>
    <col min="4555" max="4555" width="10.140625" bestFit="1" customWidth="1"/>
    <col min="4556" max="4556" width="12.28515625" bestFit="1" customWidth="1"/>
    <col min="4557" max="4557" width="7.42578125" bestFit="1" customWidth="1"/>
    <col min="4558" max="4558" width="8.5703125" bestFit="1" customWidth="1"/>
    <col min="4559" max="4559" width="11.5703125" bestFit="1" customWidth="1"/>
    <col min="4560" max="4560" width="13.28515625" bestFit="1" customWidth="1"/>
    <col min="4561" max="4561" width="13.28515625" customWidth="1"/>
    <col min="4562" max="4562" width="13.140625" customWidth="1"/>
    <col min="4563" max="4563" width="12.7109375" bestFit="1" customWidth="1"/>
    <col min="4564" max="4564" width="13.28515625" bestFit="1" customWidth="1"/>
    <col min="4565" max="4567" width="13.28515625" customWidth="1"/>
    <col min="4568" max="4568" width="12.140625" bestFit="1" customWidth="1"/>
    <col min="4569" max="4569" width="12.7109375" bestFit="1" customWidth="1"/>
    <col min="4570" max="4570" width="11" customWidth="1"/>
    <col min="4571" max="4571" width="16.7109375" customWidth="1"/>
    <col min="4572" max="4572" width="17" customWidth="1"/>
    <col min="4573" max="4573" width="10.42578125" bestFit="1" customWidth="1"/>
    <col min="4617" max="4617" width="3.85546875" customWidth="1"/>
    <col min="4618" max="4618" width="15.28515625" bestFit="1" customWidth="1"/>
    <col min="4619" max="4619" width="12.28515625" customWidth="1"/>
    <col min="4620" max="4620" width="16.28515625" bestFit="1" customWidth="1"/>
    <col min="4621" max="4621" width="6.42578125" bestFit="1" customWidth="1"/>
    <col min="4622" max="4622" width="9.28515625" bestFit="1" customWidth="1"/>
    <col min="4623" max="4623" width="7.5703125" bestFit="1" customWidth="1"/>
    <col min="4624" max="4624" width="13.28515625" bestFit="1" customWidth="1"/>
    <col min="4625" max="4625" width="9.28515625" bestFit="1" customWidth="1"/>
    <col min="4626" max="4626" width="11.5703125" bestFit="1" customWidth="1"/>
    <col min="4627" max="4627" width="13.28515625" bestFit="1" customWidth="1"/>
    <col min="4628" max="4628" width="7.140625" bestFit="1" customWidth="1"/>
    <col min="4629" max="4629" width="12" bestFit="1" customWidth="1"/>
    <col min="4630" max="4630" width="13.28515625" bestFit="1" customWidth="1"/>
    <col min="4631" max="4631" width="7" bestFit="1" customWidth="1"/>
    <col min="4632" max="4632" width="12.7109375" bestFit="1" customWidth="1"/>
    <col min="4633" max="4633" width="11.5703125" bestFit="1" customWidth="1"/>
    <col min="4634" max="4634" width="10.5703125" bestFit="1" customWidth="1"/>
    <col min="4635" max="4636" width="15.7109375" bestFit="1" customWidth="1"/>
    <col min="4637" max="4637" width="11.5703125" bestFit="1" customWidth="1"/>
    <col min="4638" max="4638" width="7.7109375" bestFit="1" customWidth="1"/>
    <col min="4639" max="4639" width="15.140625" bestFit="1" customWidth="1"/>
    <col min="4640" max="4640" width="11.5703125" bestFit="1" customWidth="1"/>
    <col min="4641" max="4641" width="13.28515625" bestFit="1" customWidth="1"/>
    <col min="4642" max="4642" width="10.42578125" bestFit="1" customWidth="1"/>
    <col min="4643" max="4643" width="13.28515625" bestFit="1" customWidth="1"/>
    <col min="4644" max="4644" width="12.140625" bestFit="1" customWidth="1"/>
    <col min="4645" max="4645" width="14.42578125" bestFit="1" customWidth="1"/>
    <col min="4646" max="4646" width="13.28515625" bestFit="1" customWidth="1"/>
    <col min="4647" max="4647" width="11.5703125" bestFit="1" customWidth="1"/>
    <col min="4648" max="4648" width="7.7109375" bestFit="1" customWidth="1"/>
    <col min="4649" max="4650" width="14.42578125" bestFit="1" customWidth="1"/>
    <col min="4651" max="4651" width="11.5703125" bestFit="1" customWidth="1"/>
    <col min="4652" max="4652" width="7.7109375" bestFit="1" customWidth="1"/>
    <col min="4653" max="4653" width="13.5703125" customWidth="1"/>
    <col min="4654" max="4654" width="15.28515625" customWidth="1"/>
    <col min="4655" max="4655" width="14.5703125" customWidth="1"/>
    <col min="4656" max="4656" width="13.28515625" bestFit="1" customWidth="1"/>
    <col min="4657" max="4657" width="7.7109375" bestFit="1" customWidth="1"/>
    <col min="4658" max="4658" width="12.7109375" bestFit="1" customWidth="1"/>
    <col min="4659" max="4659" width="11.7109375" bestFit="1" customWidth="1"/>
    <col min="4660" max="4660" width="11.5703125" bestFit="1" customWidth="1"/>
    <col min="4661" max="4661" width="5.28515625" bestFit="1" customWidth="1"/>
    <col min="4662" max="4662" width="13.28515625" bestFit="1" customWidth="1"/>
    <col min="4663" max="4663" width="13.5703125" bestFit="1" customWidth="1"/>
    <col min="4664" max="4664" width="10.5703125" bestFit="1" customWidth="1"/>
    <col min="4665" max="4665" width="13.28515625" bestFit="1" customWidth="1"/>
    <col min="4666" max="4666" width="11.5703125" bestFit="1" customWidth="1"/>
    <col min="4667" max="4667" width="10.5703125" bestFit="1" customWidth="1"/>
    <col min="4668" max="4668" width="16.140625" bestFit="1" customWidth="1"/>
    <col min="4669" max="4670" width="11.28515625" bestFit="1" customWidth="1"/>
    <col min="4671" max="4671" width="13.28515625" bestFit="1" customWidth="1"/>
    <col min="4672" max="4672" width="7.7109375" bestFit="1" customWidth="1"/>
    <col min="4673" max="4676" width="9.140625" hidden="1" customWidth="1"/>
    <col min="4677" max="4677" width="10.42578125" bestFit="1" customWidth="1"/>
    <col min="4678" max="4678" width="10.5703125" bestFit="1" customWidth="1"/>
    <col min="4679" max="4679" width="10.42578125" bestFit="1" customWidth="1"/>
    <col min="4680" max="4680" width="10.5703125" bestFit="1" customWidth="1"/>
    <col min="4681" max="4681" width="9.5703125" bestFit="1" customWidth="1"/>
    <col min="4682" max="4682" width="11.5703125" bestFit="1" customWidth="1"/>
    <col min="4683" max="4683" width="10.42578125" bestFit="1" customWidth="1"/>
    <col min="4684" max="4684" width="10.85546875" customWidth="1"/>
    <col min="4685" max="4686" width="9.85546875" bestFit="1" customWidth="1"/>
    <col min="4687" max="4687" width="13.5703125" bestFit="1" customWidth="1"/>
    <col min="4688" max="4688" width="7.7109375" bestFit="1" customWidth="1"/>
    <col min="4689" max="4689" width="13.28515625" bestFit="1" customWidth="1"/>
    <col min="4690" max="4690" width="11.5703125" bestFit="1" customWidth="1"/>
    <col min="4691" max="4691" width="10.42578125" bestFit="1" customWidth="1"/>
    <col min="4692" max="4692" width="7.7109375" bestFit="1" customWidth="1"/>
    <col min="4693" max="4693" width="11.5703125" bestFit="1" customWidth="1"/>
    <col min="4694" max="4694" width="10.85546875" bestFit="1" customWidth="1"/>
    <col min="4695" max="4695" width="13.28515625" bestFit="1" customWidth="1"/>
    <col min="4696" max="4696" width="10.85546875" bestFit="1" customWidth="1"/>
    <col min="4697" max="4698" width="7.5703125" bestFit="1" customWidth="1"/>
    <col min="4699" max="4700" width="10.42578125" bestFit="1" customWidth="1"/>
    <col min="4701" max="4701" width="11.5703125" bestFit="1" customWidth="1"/>
    <col min="4702" max="4702" width="5.28515625" bestFit="1" customWidth="1"/>
    <col min="4703" max="4703" width="10.28515625" bestFit="1" customWidth="1"/>
    <col min="4704" max="4704" width="10.42578125" bestFit="1" customWidth="1"/>
    <col min="4705" max="4705" width="11.5703125" bestFit="1" customWidth="1"/>
    <col min="4706" max="4706" width="5.28515625" bestFit="1" customWidth="1"/>
    <col min="4707" max="4709" width="11.5703125" bestFit="1" customWidth="1"/>
    <col min="4710" max="4710" width="5.28515625" bestFit="1" customWidth="1"/>
    <col min="4711" max="4712" width="10.42578125" bestFit="1" customWidth="1"/>
    <col min="4713" max="4713" width="11.5703125" bestFit="1" customWidth="1"/>
    <col min="4714" max="4714" width="5.28515625" bestFit="1" customWidth="1"/>
    <col min="4715" max="4715" width="14.28515625" bestFit="1" customWidth="1"/>
    <col min="4716" max="4716" width="13" bestFit="1" customWidth="1"/>
    <col min="4717" max="4717" width="11.5703125" bestFit="1" customWidth="1"/>
    <col min="4718" max="4718" width="8.85546875" bestFit="1" customWidth="1"/>
    <col min="4719" max="4719" width="14.42578125" bestFit="1" customWidth="1"/>
    <col min="4720" max="4720" width="10.42578125" bestFit="1" customWidth="1"/>
    <col min="4721" max="4721" width="12.28515625" bestFit="1" customWidth="1"/>
    <col min="4722" max="4722" width="13.85546875" bestFit="1" customWidth="1"/>
    <col min="4723" max="4723" width="11.28515625" customWidth="1"/>
    <col min="4724" max="4724" width="11.5703125" customWidth="1"/>
    <col min="4725" max="4725" width="13.42578125" bestFit="1" customWidth="1"/>
    <col min="4726" max="4726" width="10.42578125" customWidth="1"/>
    <col min="4727" max="4727" width="13.85546875" bestFit="1" customWidth="1"/>
    <col min="4728" max="4728" width="15.42578125" bestFit="1" customWidth="1"/>
    <col min="4729" max="4729" width="12.28515625" bestFit="1" customWidth="1"/>
    <col min="4730" max="4730" width="12.7109375" customWidth="1"/>
    <col min="4731" max="4731" width="10.7109375" bestFit="1" customWidth="1"/>
    <col min="4732" max="4732" width="9.85546875" customWidth="1"/>
    <col min="4733" max="4734" width="10.140625" bestFit="1" customWidth="1"/>
    <col min="4735" max="4735" width="7.5703125" bestFit="1" customWidth="1"/>
    <col min="4736" max="4736" width="9.42578125" bestFit="1" customWidth="1"/>
    <col min="4737" max="4737" width="14.5703125" bestFit="1" customWidth="1"/>
    <col min="4738" max="4738" width="14.85546875" customWidth="1"/>
    <col min="4739" max="4739" width="15.140625" bestFit="1" customWidth="1"/>
    <col min="4740" max="4740" width="12.140625" bestFit="1" customWidth="1"/>
    <col min="4741" max="4741" width="14.85546875" bestFit="1" customWidth="1"/>
    <col min="4742" max="4742" width="12.28515625" bestFit="1" customWidth="1"/>
    <col min="4743" max="4751" width="9.140625" hidden="1" customWidth="1"/>
    <col min="4752" max="4752" width="5.28515625" bestFit="1" customWidth="1"/>
    <col min="4753" max="4758" width="11.5703125" bestFit="1" customWidth="1"/>
    <col min="4759" max="4759" width="11.28515625" bestFit="1" customWidth="1"/>
    <col min="4760" max="4760" width="10.140625" bestFit="1" customWidth="1"/>
    <col min="4761" max="4761" width="11.5703125" bestFit="1" customWidth="1"/>
    <col min="4762" max="4762" width="16.140625" customWidth="1"/>
    <col min="4763" max="4763" width="13.42578125" customWidth="1"/>
    <col min="4764" max="4764" width="10.140625" bestFit="1" customWidth="1"/>
    <col min="4765" max="4765" width="12.85546875" bestFit="1" customWidth="1"/>
    <col min="4766" max="4766" width="12.28515625" bestFit="1" customWidth="1"/>
    <col min="4767" max="4767" width="11.28515625" bestFit="1" customWidth="1"/>
    <col min="4768" max="4768" width="11.5703125" bestFit="1" customWidth="1"/>
    <col min="4769" max="4769" width="10.85546875" bestFit="1" customWidth="1"/>
    <col min="4770" max="4770" width="11.28515625" bestFit="1" customWidth="1"/>
    <col min="4771" max="4771" width="10.140625" bestFit="1" customWidth="1"/>
    <col min="4772" max="4772" width="13.28515625" bestFit="1" customWidth="1"/>
    <col min="4773" max="4774" width="12.7109375" bestFit="1" customWidth="1"/>
    <col min="4775" max="4775" width="11" bestFit="1" customWidth="1"/>
    <col min="4776" max="4776" width="11.28515625" bestFit="1" customWidth="1"/>
    <col min="4777" max="4777" width="11.5703125" bestFit="1" customWidth="1"/>
    <col min="4778" max="4778" width="12.28515625" bestFit="1" customWidth="1"/>
    <col min="4779" max="4779" width="15.140625" bestFit="1" customWidth="1"/>
    <col min="4780" max="4780" width="14.42578125" bestFit="1" customWidth="1"/>
    <col min="4781" max="4781" width="12.28515625" bestFit="1" customWidth="1"/>
    <col min="4782" max="4782" width="15.140625" bestFit="1" customWidth="1"/>
    <col min="4783" max="4783" width="14.42578125" bestFit="1" customWidth="1"/>
    <col min="4784" max="4784" width="12.28515625" bestFit="1" customWidth="1"/>
    <col min="4785" max="4785" width="14.42578125" bestFit="1" customWidth="1"/>
    <col min="4786" max="4786" width="11.28515625" bestFit="1" customWidth="1"/>
    <col min="4787" max="4787" width="12.28515625" bestFit="1" customWidth="1"/>
    <col min="4788" max="4788" width="13" bestFit="1" customWidth="1"/>
    <col min="4789" max="4789" width="15.140625" bestFit="1" customWidth="1"/>
    <col min="4790" max="4790" width="12.28515625" bestFit="1" customWidth="1"/>
    <col min="4791" max="4791" width="13.85546875" bestFit="1" customWidth="1"/>
    <col min="4792" max="4792" width="11.28515625" bestFit="1" customWidth="1"/>
    <col min="4793" max="4793" width="12.28515625" bestFit="1" customWidth="1"/>
    <col min="4794" max="4794" width="13.85546875" bestFit="1" customWidth="1"/>
    <col min="4795" max="4796" width="15.140625" bestFit="1" customWidth="1"/>
    <col min="4797" max="4797" width="12.28515625" bestFit="1" customWidth="1"/>
    <col min="4798" max="4798" width="5.7109375" bestFit="1" customWidth="1"/>
    <col min="4799" max="4799" width="8.5703125" bestFit="1" customWidth="1"/>
    <col min="4800" max="4800" width="5.5703125" bestFit="1" customWidth="1"/>
    <col min="4801" max="4801" width="14.42578125" bestFit="1" customWidth="1"/>
    <col min="4802" max="4802" width="11.28515625" bestFit="1" customWidth="1"/>
    <col min="4803" max="4804" width="12.28515625" bestFit="1" customWidth="1"/>
    <col min="4805" max="4805" width="11.28515625" bestFit="1" customWidth="1"/>
    <col min="4806" max="4806" width="13.85546875" bestFit="1" customWidth="1"/>
    <col min="4807" max="4807" width="12" bestFit="1" customWidth="1"/>
    <col min="4808" max="4808" width="13.85546875" bestFit="1" customWidth="1"/>
    <col min="4809" max="4810" width="14.42578125" customWidth="1"/>
    <col min="4811" max="4811" width="10.140625" bestFit="1" customWidth="1"/>
    <col min="4812" max="4812" width="12.28515625" bestFit="1" customWidth="1"/>
    <col min="4813" max="4813" width="7.42578125" bestFit="1" customWidth="1"/>
    <col min="4814" max="4814" width="8.5703125" bestFit="1" customWidth="1"/>
    <col min="4815" max="4815" width="11.5703125" bestFit="1" customWidth="1"/>
    <col min="4816" max="4816" width="13.28515625" bestFit="1" customWidth="1"/>
    <col min="4817" max="4817" width="13.28515625" customWidth="1"/>
    <col min="4818" max="4818" width="13.140625" customWidth="1"/>
    <col min="4819" max="4819" width="12.7109375" bestFit="1" customWidth="1"/>
    <col min="4820" max="4820" width="13.28515625" bestFit="1" customWidth="1"/>
    <col min="4821" max="4823" width="13.28515625" customWidth="1"/>
    <col min="4824" max="4824" width="12.140625" bestFit="1" customWidth="1"/>
    <col min="4825" max="4825" width="12.7109375" bestFit="1" customWidth="1"/>
    <col min="4826" max="4826" width="11" customWidth="1"/>
    <col min="4827" max="4827" width="16.7109375" customWidth="1"/>
    <col min="4828" max="4828" width="17" customWidth="1"/>
    <col min="4829" max="4829" width="10.42578125" bestFit="1" customWidth="1"/>
    <col min="4873" max="4873" width="3.85546875" customWidth="1"/>
    <col min="4874" max="4874" width="15.28515625" bestFit="1" customWidth="1"/>
    <col min="4875" max="4875" width="12.28515625" customWidth="1"/>
    <col min="4876" max="4876" width="16.28515625" bestFit="1" customWidth="1"/>
    <col min="4877" max="4877" width="6.42578125" bestFit="1" customWidth="1"/>
    <col min="4878" max="4878" width="9.28515625" bestFit="1" customWidth="1"/>
    <col min="4879" max="4879" width="7.5703125" bestFit="1" customWidth="1"/>
    <col min="4880" max="4880" width="13.28515625" bestFit="1" customWidth="1"/>
    <col min="4881" max="4881" width="9.28515625" bestFit="1" customWidth="1"/>
    <col min="4882" max="4882" width="11.5703125" bestFit="1" customWidth="1"/>
    <col min="4883" max="4883" width="13.28515625" bestFit="1" customWidth="1"/>
    <col min="4884" max="4884" width="7.140625" bestFit="1" customWidth="1"/>
    <col min="4885" max="4885" width="12" bestFit="1" customWidth="1"/>
    <col min="4886" max="4886" width="13.28515625" bestFit="1" customWidth="1"/>
    <col min="4887" max="4887" width="7" bestFit="1" customWidth="1"/>
    <col min="4888" max="4888" width="12.7109375" bestFit="1" customWidth="1"/>
    <col min="4889" max="4889" width="11.5703125" bestFit="1" customWidth="1"/>
    <col min="4890" max="4890" width="10.5703125" bestFit="1" customWidth="1"/>
    <col min="4891" max="4892" width="15.7109375" bestFit="1" customWidth="1"/>
    <col min="4893" max="4893" width="11.5703125" bestFit="1" customWidth="1"/>
    <col min="4894" max="4894" width="7.7109375" bestFit="1" customWidth="1"/>
    <col min="4895" max="4895" width="15.140625" bestFit="1" customWidth="1"/>
    <col min="4896" max="4896" width="11.5703125" bestFit="1" customWidth="1"/>
    <col min="4897" max="4897" width="13.28515625" bestFit="1" customWidth="1"/>
    <col min="4898" max="4898" width="10.42578125" bestFit="1" customWidth="1"/>
    <col min="4899" max="4899" width="13.28515625" bestFit="1" customWidth="1"/>
    <col min="4900" max="4900" width="12.140625" bestFit="1" customWidth="1"/>
    <col min="4901" max="4901" width="14.42578125" bestFit="1" customWidth="1"/>
    <col min="4902" max="4902" width="13.28515625" bestFit="1" customWidth="1"/>
    <col min="4903" max="4903" width="11.5703125" bestFit="1" customWidth="1"/>
    <col min="4904" max="4904" width="7.7109375" bestFit="1" customWidth="1"/>
    <col min="4905" max="4906" width="14.42578125" bestFit="1" customWidth="1"/>
    <col min="4907" max="4907" width="11.5703125" bestFit="1" customWidth="1"/>
    <col min="4908" max="4908" width="7.7109375" bestFit="1" customWidth="1"/>
    <col min="4909" max="4909" width="13.5703125" customWidth="1"/>
    <col min="4910" max="4910" width="15.28515625" customWidth="1"/>
    <col min="4911" max="4911" width="14.5703125" customWidth="1"/>
    <col min="4912" max="4912" width="13.28515625" bestFit="1" customWidth="1"/>
    <col min="4913" max="4913" width="7.7109375" bestFit="1" customWidth="1"/>
    <col min="4914" max="4914" width="12.7109375" bestFit="1" customWidth="1"/>
    <col min="4915" max="4915" width="11.7109375" bestFit="1" customWidth="1"/>
    <col min="4916" max="4916" width="11.5703125" bestFit="1" customWidth="1"/>
    <col min="4917" max="4917" width="5.28515625" bestFit="1" customWidth="1"/>
    <col min="4918" max="4918" width="13.28515625" bestFit="1" customWidth="1"/>
    <col min="4919" max="4919" width="13.5703125" bestFit="1" customWidth="1"/>
    <col min="4920" max="4920" width="10.5703125" bestFit="1" customWidth="1"/>
    <col min="4921" max="4921" width="13.28515625" bestFit="1" customWidth="1"/>
    <col min="4922" max="4922" width="11.5703125" bestFit="1" customWidth="1"/>
    <col min="4923" max="4923" width="10.5703125" bestFit="1" customWidth="1"/>
    <col min="4924" max="4924" width="16.140625" bestFit="1" customWidth="1"/>
    <col min="4925" max="4926" width="11.28515625" bestFit="1" customWidth="1"/>
    <col min="4927" max="4927" width="13.28515625" bestFit="1" customWidth="1"/>
    <col min="4928" max="4928" width="7.7109375" bestFit="1" customWidth="1"/>
    <col min="4929" max="4932" width="9.140625" hidden="1" customWidth="1"/>
    <col min="4933" max="4933" width="10.42578125" bestFit="1" customWidth="1"/>
    <col min="4934" max="4934" width="10.5703125" bestFit="1" customWidth="1"/>
    <col min="4935" max="4935" width="10.42578125" bestFit="1" customWidth="1"/>
    <col min="4936" max="4936" width="10.5703125" bestFit="1" customWidth="1"/>
    <col min="4937" max="4937" width="9.5703125" bestFit="1" customWidth="1"/>
    <col min="4938" max="4938" width="11.5703125" bestFit="1" customWidth="1"/>
    <col min="4939" max="4939" width="10.42578125" bestFit="1" customWidth="1"/>
    <col min="4940" max="4940" width="10.85546875" customWidth="1"/>
    <col min="4941" max="4942" width="9.85546875" bestFit="1" customWidth="1"/>
    <col min="4943" max="4943" width="13.5703125" bestFit="1" customWidth="1"/>
    <col min="4944" max="4944" width="7.7109375" bestFit="1" customWidth="1"/>
    <col min="4945" max="4945" width="13.28515625" bestFit="1" customWidth="1"/>
    <col min="4946" max="4946" width="11.5703125" bestFit="1" customWidth="1"/>
    <col min="4947" max="4947" width="10.42578125" bestFit="1" customWidth="1"/>
    <col min="4948" max="4948" width="7.7109375" bestFit="1" customWidth="1"/>
    <col min="4949" max="4949" width="11.5703125" bestFit="1" customWidth="1"/>
    <col min="4950" max="4950" width="10.85546875" bestFit="1" customWidth="1"/>
    <col min="4951" max="4951" width="13.28515625" bestFit="1" customWidth="1"/>
    <col min="4952" max="4952" width="10.85546875" bestFit="1" customWidth="1"/>
    <col min="4953" max="4954" width="7.5703125" bestFit="1" customWidth="1"/>
    <col min="4955" max="4956" width="10.42578125" bestFit="1" customWidth="1"/>
    <col min="4957" max="4957" width="11.5703125" bestFit="1" customWidth="1"/>
    <col min="4958" max="4958" width="5.28515625" bestFit="1" customWidth="1"/>
    <col min="4959" max="4959" width="10.28515625" bestFit="1" customWidth="1"/>
    <col min="4960" max="4960" width="10.42578125" bestFit="1" customWidth="1"/>
    <col min="4961" max="4961" width="11.5703125" bestFit="1" customWidth="1"/>
    <col min="4962" max="4962" width="5.28515625" bestFit="1" customWidth="1"/>
    <col min="4963" max="4965" width="11.5703125" bestFit="1" customWidth="1"/>
    <col min="4966" max="4966" width="5.28515625" bestFit="1" customWidth="1"/>
    <col min="4967" max="4968" width="10.42578125" bestFit="1" customWidth="1"/>
    <col min="4969" max="4969" width="11.5703125" bestFit="1" customWidth="1"/>
    <col min="4970" max="4970" width="5.28515625" bestFit="1" customWidth="1"/>
    <col min="4971" max="4971" width="14.28515625" bestFit="1" customWidth="1"/>
    <col min="4972" max="4972" width="13" bestFit="1" customWidth="1"/>
    <col min="4973" max="4973" width="11.5703125" bestFit="1" customWidth="1"/>
    <col min="4974" max="4974" width="8.85546875" bestFit="1" customWidth="1"/>
    <col min="4975" max="4975" width="14.42578125" bestFit="1" customWidth="1"/>
    <col min="4976" max="4976" width="10.42578125" bestFit="1" customWidth="1"/>
    <col min="4977" max="4977" width="12.28515625" bestFit="1" customWidth="1"/>
    <col min="4978" max="4978" width="13.85546875" bestFit="1" customWidth="1"/>
    <col min="4979" max="4979" width="11.28515625" customWidth="1"/>
    <col min="4980" max="4980" width="11.5703125" customWidth="1"/>
    <col min="4981" max="4981" width="13.42578125" bestFit="1" customWidth="1"/>
    <col min="4982" max="4982" width="10.42578125" customWidth="1"/>
    <col min="4983" max="4983" width="13.85546875" bestFit="1" customWidth="1"/>
    <col min="4984" max="4984" width="15.42578125" bestFit="1" customWidth="1"/>
    <col min="4985" max="4985" width="12.28515625" bestFit="1" customWidth="1"/>
    <col min="4986" max="4986" width="12.7109375" customWidth="1"/>
    <col min="4987" max="4987" width="10.7109375" bestFit="1" customWidth="1"/>
    <col min="4988" max="4988" width="9.85546875" customWidth="1"/>
    <col min="4989" max="4990" width="10.140625" bestFit="1" customWidth="1"/>
    <col min="4991" max="4991" width="7.5703125" bestFit="1" customWidth="1"/>
    <col min="4992" max="4992" width="9.42578125" bestFit="1" customWidth="1"/>
    <col min="4993" max="4993" width="14.5703125" bestFit="1" customWidth="1"/>
    <col min="4994" max="4994" width="14.85546875" customWidth="1"/>
    <col min="4995" max="4995" width="15.140625" bestFit="1" customWidth="1"/>
    <col min="4996" max="4996" width="12.140625" bestFit="1" customWidth="1"/>
    <col min="4997" max="4997" width="14.85546875" bestFit="1" customWidth="1"/>
    <col min="4998" max="4998" width="12.28515625" bestFit="1" customWidth="1"/>
    <col min="4999" max="5007" width="9.140625" hidden="1" customWidth="1"/>
    <col min="5008" max="5008" width="5.28515625" bestFit="1" customWidth="1"/>
    <col min="5009" max="5014" width="11.5703125" bestFit="1" customWidth="1"/>
    <col min="5015" max="5015" width="11.28515625" bestFit="1" customWidth="1"/>
    <col min="5016" max="5016" width="10.140625" bestFit="1" customWidth="1"/>
    <col min="5017" max="5017" width="11.5703125" bestFit="1" customWidth="1"/>
    <col min="5018" max="5018" width="16.140625" customWidth="1"/>
    <col min="5019" max="5019" width="13.42578125" customWidth="1"/>
    <col min="5020" max="5020" width="10.140625" bestFit="1" customWidth="1"/>
    <col min="5021" max="5021" width="12.85546875" bestFit="1" customWidth="1"/>
    <col min="5022" max="5022" width="12.28515625" bestFit="1" customWidth="1"/>
    <col min="5023" max="5023" width="11.28515625" bestFit="1" customWidth="1"/>
    <col min="5024" max="5024" width="11.5703125" bestFit="1" customWidth="1"/>
    <col min="5025" max="5025" width="10.85546875" bestFit="1" customWidth="1"/>
    <col min="5026" max="5026" width="11.28515625" bestFit="1" customWidth="1"/>
    <col min="5027" max="5027" width="10.140625" bestFit="1" customWidth="1"/>
    <col min="5028" max="5028" width="13.28515625" bestFit="1" customWidth="1"/>
    <col min="5029" max="5030" width="12.7109375" bestFit="1" customWidth="1"/>
    <col min="5031" max="5031" width="11" bestFit="1" customWidth="1"/>
    <col min="5032" max="5032" width="11.28515625" bestFit="1" customWidth="1"/>
    <col min="5033" max="5033" width="11.5703125" bestFit="1" customWidth="1"/>
    <col min="5034" max="5034" width="12.28515625" bestFit="1" customWidth="1"/>
    <col min="5035" max="5035" width="15.140625" bestFit="1" customWidth="1"/>
    <col min="5036" max="5036" width="14.42578125" bestFit="1" customWidth="1"/>
    <col min="5037" max="5037" width="12.28515625" bestFit="1" customWidth="1"/>
    <col min="5038" max="5038" width="15.140625" bestFit="1" customWidth="1"/>
    <col min="5039" max="5039" width="14.42578125" bestFit="1" customWidth="1"/>
    <col min="5040" max="5040" width="12.28515625" bestFit="1" customWidth="1"/>
    <col min="5041" max="5041" width="14.42578125" bestFit="1" customWidth="1"/>
    <col min="5042" max="5042" width="11.28515625" bestFit="1" customWidth="1"/>
    <col min="5043" max="5043" width="12.28515625" bestFit="1" customWidth="1"/>
    <col min="5044" max="5044" width="13" bestFit="1" customWidth="1"/>
    <col min="5045" max="5045" width="15.140625" bestFit="1" customWidth="1"/>
    <col min="5046" max="5046" width="12.28515625" bestFit="1" customWidth="1"/>
    <col min="5047" max="5047" width="13.85546875" bestFit="1" customWidth="1"/>
    <col min="5048" max="5048" width="11.28515625" bestFit="1" customWidth="1"/>
    <col min="5049" max="5049" width="12.28515625" bestFit="1" customWidth="1"/>
    <col min="5050" max="5050" width="13.85546875" bestFit="1" customWidth="1"/>
    <col min="5051" max="5052" width="15.140625" bestFit="1" customWidth="1"/>
    <col min="5053" max="5053" width="12.28515625" bestFit="1" customWidth="1"/>
    <col min="5054" max="5054" width="5.7109375" bestFit="1" customWidth="1"/>
    <col min="5055" max="5055" width="8.5703125" bestFit="1" customWidth="1"/>
    <col min="5056" max="5056" width="5.5703125" bestFit="1" customWidth="1"/>
    <col min="5057" max="5057" width="14.42578125" bestFit="1" customWidth="1"/>
    <col min="5058" max="5058" width="11.28515625" bestFit="1" customWidth="1"/>
    <col min="5059" max="5060" width="12.28515625" bestFit="1" customWidth="1"/>
    <col min="5061" max="5061" width="11.28515625" bestFit="1" customWidth="1"/>
    <col min="5062" max="5062" width="13.85546875" bestFit="1" customWidth="1"/>
    <col min="5063" max="5063" width="12" bestFit="1" customWidth="1"/>
    <col min="5064" max="5064" width="13.85546875" bestFit="1" customWidth="1"/>
    <col min="5065" max="5066" width="14.42578125" customWidth="1"/>
    <col min="5067" max="5067" width="10.140625" bestFit="1" customWidth="1"/>
    <col min="5068" max="5068" width="12.28515625" bestFit="1" customWidth="1"/>
    <col min="5069" max="5069" width="7.42578125" bestFit="1" customWidth="1"/>
    <col min="5070" max="5070" width="8.5703125" bestFit="1" customWidth="1"/>
    <col min="5071" max="5071" width="11.5703125" bestFit="1" customWidth="1"/>
    <col min="5072" max="5072" width="13.28515625" bestFit="1" customWidth="1"/>
    <col min="5073" max="5073" width="13.28515625" customWidth="1"/>
    <col min="5074" max="5074" width="13.140625" customWidth="1"/>
    <col min="5075" max="5075" width="12.7109375" bestFit="1" customWidth="1"/>
    <col min="5076" max="5076" width="13.28515625" bestFit="1" customWidth="1"/>
    <col min="5077" max="5079" width="13.28515625" customWidth="1"/>
    <col min="5080" max="5080" width="12.140625" bestFit="1" customWidth="1"/>
    <col min="5081" max="5081" width="12.7109375" bestFit="1" customWidth="1"/>
    <col min="5082" max="5082" width="11" customWidth="1"/>
    <col min="5083" max="5083" width="16.7109375" customWidth="1"/>
    <col min="5084" max="5084" width="17" customWidth="1"/>
    <col min="5085" max="5085" width="10.42578125" bestFit="1" customWidth="1"/>
    <col min="5129" max="5129" width="3.85546875" customWidth="1"/>
    <col min="5130" max="5130" width="15.28515625" bestFit="1" customWidth="1"/>
    <col min="5131" max="5131" width="12.28515625" customWidth="1"/>
    <col min="5132" max="5132" width="16.28515625" bestFit="1" customWidth="1"/>
    <col min="5133" max="5133" width="6.42578125" bestFit="1" customWidth="1"/>
    <col min="5134" max="5134" width="9.28515625" bestFit="1" customWidth="1"/>
    <col min="5135" max="5135" width="7.5703125" bestFit="1" customWidth="1"/>
    <col min="5136" max="5136" width="13.28515625" bestFit="1" customWidth="1"/>
    <col min="5137" max="5137" width="9.28515625" bestFit="1" customWidth="1"/>
    <col min="5138" max="5138" width="11.5703125" bestFit="1" customWidth="1"/>
    <col min="5139" max="5139" width="13.28515625" bestFit="1" customWidth="1"/>
    <col min="5140" max="5140" width="7.140625" bestFit="1" customWidth="1"/>
    <col min="5141" max="5141" width="12" bestFit="1" customWidth="1"/>
    <col min="5142" max="5142" width="13.28515625" bestFit="1" customWidth="1"/>
    <col min="5143" max="5143" width="7" bestFit="1" customWidth="1"/>
    <col min="5144" max="5144" width="12.7109375" bestFit="1" customWidth="1"/>
    <col min="5145" max="5145" width="11.5703125" bestFit="1" customWidth="1"/>
    <col min="5146" max="5146" width="10.5703125" bestFit="1" customWidth="1"/>
    <col min="5147" max="5148" width="15.7109375" bestFit="1" customWidth="1"/>
    <col min="5149" max="5149" width="11.5703125" bestFit="1" customWidth="1"/>
    <col min="5150" max="5150" width="7.7109375" bestFit="1" customWidth="1"/>
    <col min="5151" max="5151" width="15.140625" bestFit="1" customWidth="1"/>
    <col min="5152" max="5152" width="11.5703125" bestFit="1" customWidth="1"/>
    <col min="5153" max="5153" width="13.28515625" bestFit="1" customWidth="1"/>
    <col min="5154" max="5154" width="10.42578125" bestFit="1" customWidth="1"/>
    <col min="5155" max="5155" width="13.28515625" bestFit="1" customWidth="1"/>
    <col min="5156" max="5156" width="12.140625" bestFit="1" customWidth="1"/>
    <col min="5157" max="5157" width="14.42578125" bestFit="1" customWidth="1"/>
    <col min="5158" max="5158" width="13.28515625" bestFit="1" customWidth="1"/>
    <col min="5159" max="5159" width="11.5703125" bestFit="1" customWidth="1"/>
    <col min="5160" max="5160" width="7.7109375" bestFit="1" customWidth="1"/>
    <col min="5161" max="5162" width="14.42578125" bestFit="1" customWidth="1"/>
    <col min="5163" max="5163" width="11.5703125" bestFit="1" customWidth="1"/>
    <col min="5164" max="5164" width="7.7109375" bestFit="1" customWidth="1"/>
    <col min="5165" max="5165" width="13.5703125" customWidth="1"/>
    <col min="5166" max="5166" width="15.28515625" customWidth="1"/>
    <col min="5167" max="5167" width="14.5703125" customWidth="1"/>
    <col min="5168" max="5168" width="13.28515625" bestFit="1" customWidth="1"/>
    <col min="5169" max="5169" width="7.7109375" bestFit="1" customWidth="1"/>
    <col min="5170" max="5170" width="12.7109375" bestFit="1" customWidth="1"/>
    <col min="5171" max="5171" width="11.7109375" bestFit="1" customWidth="1"/>
    <col min="5172" max="5172" width="11.5703125" bestFit="1" customWidth="1"/>
    <col min="5173" max="5173" width="5.28515625" bestFit="1" customWidth="1"/>
    <col min="5174" max="5174" width="13.28515625" bestFit="1" customWidth="1"/>
    <col min="5175" max="5175" width="13.5703125" bestFit="1" customWidth="1"/>
    <col min="5176" max="5176" width="10.5703125" bestFit="1" customWidth="1"/>
    <col min="5177" max="5177" width="13.28515625" bestFit="1" customWidth="1"/>
    <col min="5178" max="5178" width="11.5703125" bestFit="1" customWidth="1"/>
    <col min="5179" max="5179" width="10.5703125" bestFit="1" customWidth="1"/>
    <col min="5180" max="5180" width="16.140625" bestFit="1" customWidth="1"/>
    <col min="5181" max="5182" width="11.28515625" bestFit="1" customWidth="1"/>
    <col min="5183" max="5183" width="13.28515625" bestFit="1" customWidth="1"/>
    <col min="5184" max="5184" width="7.7109375" bestFit="1" customWidth="1"/>
    <col min="5185" max="5188" width="9.140625" hidden="1" customWidth="1"/>
    <col min="5189" max="5189" width="10.42578125" bestFit="1" customWidth="1"/>
    <col min="5190" max="5190" width="10.5703125" bestFit="1" customWidth="1"/>
    <col min="5191" max="5191" width="10.42578125" bestFit="1" customWidth="1"/>
    <col min="5192" max="5192" width="10.5703125" bestFit="1" customWidth="1"/>
    <col min="5193" max="5193" width="9.5703125" bestFit="1" customWidth="1"/>
    <col min="5194" max="5194" width="11.5703125" bestFit="1" customWidth="1"/>
    <col min="5195" max="5195" width="10.42578125" bestFit="1" customWidth="1"/>
    <col min="5196" max="5196" width="10.85546875" customWidth="1"/>
    <col min="5197" max="5198" width="9.85546875" bestFit="1" customWidth="1"/>
    <col min="5199" max="5199" width="13.5703125" bestFit="1" customWidth="1"/>
    <col min="5200" max="5200" width="7.7109375" bestFit="1" customWidth="1"/>
    <col min="5201" max="5201" width="13.28515625" bestFit="1" customWidth="1"/>
    <col min="5202" max="5202" width="11.5703125" bestFit="1" customWidth="1"/>
    <col min="5203" max="5203" width="10.42578125" bestFit="1" customWidth="1"/>
    <col min="5204" max="5204" width="7.7109375" bestFit="1" customWidth="1"/>
    <col min="5205" max="5205" width="11.5703125" bestFit="1" customWidth="1"/>
    <col min="5206" max="5206" width="10.85546875" bestFit="1" customWidth="1"/>
    <col min="5207" max="5207" width="13.28515625" bestFit="1" customWidth="1"/>
    <col min="5208" max="5208" width="10.85546875" bestFit="1" customWidth="1"/>
    <col min="5209" max="5210" width="7.5703125" bestFit="1" customWidth="1"/>
    <col min="5211" max="5212" width="10.42578125" bestFit="1" customWidth="1"/>
    <col min="5213" max="5213" width="11.5703125" bestFit="1" customWidth="1"/>
    <col min="5214" max="5214" width="5.28515625" bestFit="1" customWidth="1"/>
    <col min="5215" max="5215" width="10.28515625" bestFit="1" customWidth="1"/>
    <col min="5216" max="5216" width="10.42578125" bestFit="1" customWidth="1"/>
    <col min="5217" max="5217" width="11.5703125" bestFit="1" customWidth="1"/>
    <col min="5218" max="5218" width="5.28515625" bestFit="1" customWidth="1"/>
    <col min="5219" max="5221" width="11.5703125" bestFit="1" customWidth="1"/>
    <col min="5222" max="5222" width="5.28515625" bestFit="1" customWidth="1"/>
    <col min="5223" max="5224" width="10.42578125" bestFit="1" customWidth="1"/>
    <col min="5225" max="5225" width="11.5703125" bestFit="1" customWidth="1"/>
    <col min="5226" max="5226" width="5.28515625" bestFit="1" customWidth="1"/>
    <col min="5227" max="5227" width="14.28515625" bestFit="1" customWidth="1"/>
    <col min="5228" max="5228" width="13" bestFit="1" customWidth="1"/>
    <col min="5229" max="5229" width="11.5703125" bestFit="1" customWidth="1"/>
    <col min="5230" max="5230" width="8.85546875" bestFit="1" customWidth="1"/>
    <col min="5231" max="5231" width="14.42578125" bestFit="1" customWidth="1"/>
    <col min="5232" max="5232" width="10.42578125" bestFit="1" customWidth="1"/>
    <col min="5233" max="5233" width="12.28515625" bestFit="1" customWidth="1"/>
    <col min="5234" max="5234" width="13.85546875" bestFit="1" customWidth="1"/>
    <col min="5235" max="5235" width="11.28515625" customWidth="1"/>
    <col min="5236" max="5236" width="11.5703125" customWidth="1"/>
    <col min="5237" max="5237" width="13.42578125" bestFit="1" customWidth="1"/>
    <col min="5238" max="5238" width="10.42578125" customWidth="1"/>
    <col min="5239" max="5239" width="13.85546875" bestFit="1" customWidth="1"/>
    <col min="5240" max="5240" width="15.42578125" bestFit="1" customWidth="1"/>
    <col min="5241" max="5241" width="12.28515625" bestFit="1" customWidth="1"/>
    <col min="5242" max="5242" width="12.7109375" customWidth="1"/>
    <col min="5243" max="5243" width="10.7109375" bestFit="1" customWidth="1"/>
    <col min="5244" max="5244" width="9.85546875" customWidth="1"/>
    <col min="5245" max="5246" width="10.140625" bestFit="1" customWidth="1"/>
    <col min="5247" max="5247" width="7.5703125" bestFit="1" customWidth="1"/>
    <col min="5248" max="5248" width="9.42578125" bestFit="1" customWidth="1"/>
    <col min="5249" max="5249" width="14.5703125" bestFit="1" customWidth="1"/>
    <col min="5250" max="5250" width="14.85546875" customWidth="1"/>
    <col min="5251" max="5251" width="15.140625" bestFit="1" customWidth="1"/>
    <col min="5252" max="5252" width="12.140625" bestFit="1" customWidth="1"/>
    <col min="5253" max="5253" width="14.85546875" bestFit="1" customWidth="1"/>
    <col min="5254" max="5254" width="12.28515625" bestFit="1" customWidth="1"/>
    <col min="5255" max="5263" width="9.140625" hidden="1" customWidth="1"/>
    <col min="5264" max="5264" width="5.28515625" bestFit="1" customWidth="1"/>
    <col min="5265" max="5270" width="11.5703125" bestFit="1" customWidth="1"/>
    <col min="5271" max="5271" width="11.28515625" bestFit="1" customWidth="1"/>
    <col min="5272" max="5272" width="10.140625" bestFit="1" customWidth="1"/>
    <col min="5273" max="5273" width="11.5703125" bestFit="1" customWidth="1"/>
    <col min="5274" max="5274" width="16.140625" customWidth="1"/>
    <col min="5275" max="5275" width="13.42578125" customWidth="1"/>
    <col min="5276" max="5276" width="10.140625" bestFit="1" customWidth="1"/>
    <col min="5277" max="5277" width="12.85546875" bestFit="1" customWidth="1"/>
    <col min="5278" max="5278" width="12.28515625" bestFit="1" customWidth="1"/>
    <col min="5279" max="5279" width="11.28515625" bestFit="1" customWidth="1"/>
    <col min="5280" max="5280" width="11.5703125" bestFit="1" customWidth="1"/>
    <col min="5281" max="5281" width="10.85546875" bestFit="1" customWidth="1"/>
    <col min="5282" max="5282" width="11.28515625" bestFit="1" customWidth="1"/>
    <col min="5283" max="5283" width="10.140625" bestFit="1" customWidth="1"/>
    <col min="5284" max="5284" width="13.28515625" bestFit="1" customWidth="1"/>
    <col min="5285" max="5286" width="12.7109375" bestFit="1" customWidth="1"/>
    <col min="5287" max="5287" width="11" bestFit="1" customWidth="1"/>
    <col min="5288" max="5288" width="11.28515625" bestFit="1" customWidth="1"/>
    <col min="5289" max="5289" width="11.5703125" bestFit="1" customWidth="1"/>
    <col min="5290" max="5290" width="12.28515625" bestFit="1" customWidth="1"/>
    <col min="5291" max="5291" width="15.140625" bestFit="1" customWidth="1"/>
    <col min="5292" max="5292" width="14.42578125" bestFit="1" customWidth="1"/>
    <col min="5293" max="5293" width="12.28515625" bestFit="1" customWidth="1"/>
    <col min="5294" max="5294" width="15.140625" bestFit="1" customWidth="1"/>
    <col min="5295" max="5295" width="14.42578125" bestFit="1" customWidth="1"/>
    <col min="5296" max="5296" width="12.28515625" bestFit="1" customWidth="1"/>
    <col min="5297" max="5297" width="14.42578125" bestFit="1" customWidth="1"/>
    <col min="5298" max="5298" width="11.28515625" bestFit="1" customWidth="1"/>
    <col min="5299" max="5299" width="12.28515625" bestFit="1" customWidth="1"/>
    <col min="5300" max="5300" width="13" bestFit="1" customWidth="1"/>
    <col min="5301" max="5301" width="15.140625" bestFit="1" customWidth="1"/>
    <col min="5302" max="5302" width="12.28515625" bestFit="1" customWidth="1"/>
    <col min="5303" max="5303" width="13.85546875" bestFit="1" customWidth="1"/>
    <col min="5304" max="5304" width="11.28515625" bestFit="1" customWidth="1"/>
    <col min="5305" max="5305" width="12.28515625" bestFit="1" customWidth="1"/>
    <col min="5306" max="5306" width="13.85546875" bestFit="1" customWidth="1"/>
    <col min="5307" max="5308" width="15.140625" bestFit="1" customWidth="1"/>
    <col min="5309" max="5309" width="12.28515625" bestFit="1" customWidth="1"/>
    <col min="5310" max="5310" width="5.7109375" bestFit="1" customWidth="1"/>
    <col min="5311" max="5311" width="8.5703125" bestFit="1" customWidth="1"/>
    <col min="5312" max="5312" width="5.5703125" bestFit="1" customWidth="1"/>
    <col min="5313" max="5313" width="14.42578125" bestFit="1" customWidth="1"/>
    <col min="5314" max="5314" width="11.28515625" bestFit="1" customWidth="1"/>
    <col min="5315" max="5316" width="12.28515625" bestFit="1" customWidth="1"/>
    <col min="5317" max="5317" width="11.28515625" bestFit="1" customWidth="1"/>
    <col min="5318" max="5318" width="13.85546875" bestFit="1" customWidth="1"/>
    <col min="5319" max="5319" width="12" bestFit="1" customWidth="1"/>
    <col min="5320" max="5320" width="13.85546875" bestFit="1" customWidth="1"/>
    <col min="5321" max="5322" width="14.42578125" customWidth="1"/>
    <col min="5323" max="5323" width="10.140625" bestFit="1" customWidth="1"/>
    <col min="5324" max="5324" width="12.28515625" bestFit="1" customWidth="1"/>
    <col min="5325" max="5325" width="7.42578125" bestFit="1" customWidth="1"/>
    <col min="5326" max="5326" width="8.5703125" bestFit="1" customWidth="1"/>
    <col min="5327" max="5327" width="11.5703125" bestFit="1" customWidth="1"/>
    <col min="5328" max="5328" width="13.28515625" bestFit="1" customWidth="1"/>
    <col min="5329" max="5329" width="13.28515625" customWidth="1"/>
    <col min="5330" max="5330" width="13.140625" customWidth="1"/>
    <col min="5331" max="5331" width="12.7109375" bestFit="1" customWidth="1"/>
    <col min="5332" max="5332" width="13.28515625" bestFit="1" customWidth="1"/>
    <col min="5333" max="5335" width="13.28515625" customWidth="1"/>
    <col min="5336" max="5336" width="12.140625" bestFit="1" customWidth="1"/>
    <col min="5337" max="5337" width="12.7109375" bestFit="1" customWidth="1"/>
    <col min="5338" max="5338" width="11" customWidth="1"/>
    <col min="5339" max="5339" width="16.7109375" customWidth="1"/>
    <col min="5340" max="5340" width="17" customWidth="1"/>
    <col min="5341" max="5341" width="10.42578125" bestFit="1" customWidth="1"/>
    <col min="5385" max="5385" width="3.85546875" customWidth="1"/>
    <col min="5386" max="5386" width="15.28515625" bestFit="1" customWidth="1"/>
    <col min="5387" max="5387" width="12.28515625" customWidth="1"/>
    <col min="5388" max="5388" width="16.28515625" bestFit="1" customWidth="1"/>
    <col min="5389" max="5389" width="6.42578125" bestFit="1" customWidth="1"/>
    <col min="5390" max="5390" width="9.28515625" bestFit="1" customWidth="1"/>
    <col min="5391" max="5391" width="7.5703125" bestFit="1" customWidth="1"/>
    <col min="5392" max="5392" width="13.28515625" bestFit="1" customWidth="1"/>
    <col min="5393" max="5393" width="9.28515625" bestFit="1" customWidth="1"/>
    <col min="5394" max="5394" width="11.5703125" bestFit="1" customWidth="1"/>
    <col min="5395" max="5395" width="13.28515625" bestFit="1" customWidth="1"/>
    <col min="5396" max="5396" width="7.140625" bestFit="1" customWidth="1"/>
    <col min="5397" max="5397" width="12" bestFit="1" customWidth="1"/>
    <col min="5398" max="5398" width="13.28515625" bestFit="1" customWidth="1"/>
    <col min="5399" max="5399" width="7" bestFit="1" customWidth="1"/>
    <col min="5400" max="5400" width="12.7109375" bestFit="1" customWidth="1"/>
    <col min="5401" max="5401" width="11.5703125" bestFit="1" customWidth="1"/>
    <col min="5402" max="5402" width="10.5703125" bestFit="1" customWidth="1"/>
    <col min="5403" max="5404" width="15.7109375" bestFit="1" customWidth="1"/>
    <col min="5405" max="5405" width="11.5703125" bestFit="1" customWidth="1"/>
    <col min="5406" max="5406" width="7.7109375" bestFit="1" customWidth="1"/>
    <col min="5407" max="5407" width="15.140625" bestFit="1" customWidth="1"/>
    <col min="5408" max="5408" width="11.5703125" bestFit="1" customWidth="1"/>
    <col min="5409" max="5409" width="13.28515625" bestFit="1" customWidth="1"/>
    <col min="5410" max="5410" width="10.42578125" bestFit="1" customWidth="1"/>
    <col min="5411" max="5411" width="13.28515625" bestFit="1" customWidth="1"/>
    <col min="5412" max="5412" width="12.140625" bestFit="1" customWidth="1"/>
    <col min="5413" max="5413" width="14.42578125" bestFit="1" customWidth="1"/>
    <col min="5414" max="5414" width="13.28515625" bestFit="1" customWidth="1"/>
    <col min="5415" max="5415" width="11.5703125" bestFit="1" customWidth="1"/>
    <col min="5416" max="5416" width="7.7109375" bestFit="1" customWidth="1"/>
    <col min="5417" max="5418" width="14.42578125" bestFit="1" customWidth="1"/>
    <col min="5419" max="5419" width="11.5703125" bestFit="1" customWidth="1"/>
    <col min="5420" max="5420" width="7.7109375" bestFit="1" customWidth="1"/>
    <col min="5421" max="5421" width="13.5703125" customWidth="1"/>
    <col min="5422" max="5422" width="15.28515625" customWidth="1"/>
    <col min="5423" max="5423" width="14.5703125" customWidth="1"/>
    <col min="5424" max="5424" width="13.28515625" bestFit="1" customWidth="1"/>
    <col min="5425" max="5425" width="7.7109375" bestFit="1" customWidth="1"/>
    <col min="5426" max="5426" width="12.7109375" bestFit="1" customWidth="1"/>
    <col min="5427" max="5427" width="11.7109375" bestFit="1" customWidth="1"/>
    <col min="5428" max="5428" width="11.5703125" bestFit="1" customWidth="1"/>
    <col min="5429" max="5429" width="5.28515625" bestFit="1" customWidth="1"/>
    <col min="5430" max="5430" width="13.28515625" bestFit="1" customWidth="1"/>
    <col min="5431" max="5431" width="13.5703125" bestFit="1" customWidth="1"/>
    <col min="5432" max="5432" width="10.5703125" bestFit="1" customWidth="1"/>
    <col min="5433" max="5433" width="13.28515625" bestFit="1" customWidth="1"/>
    <col min="5434" max="5434" width="11.5703125" bestFit="1" customWidth="1"/>
    <col min="5435" max="5435" width="10.5703125" bestFit="1" customWidth="1"/>
    <col min="5436" max="5436" width="16.140625" bestFit="1" customWidth="1"/>
    <col min="5437" max="5438" width="11.28515625" bestFit="1" customWidth="1"/>
    <col min="5439" max="5439" width="13.28515625" bestFit="1" customWidth="1"/>
    <col min="5440" max="5440" width="7.7109375" bestFit="1" customWidth="1"/>
    <col min="5441" max="5444" width="9.140625" hidden="1" customWidth="1"/>
    <col min="5445" max="5445" width="10.42578125" bestFit="1" customWidth="1"/>
    <col min="5446" max="5446" width="10.5703125" bestFit="1" customWidth="1"/>
    <col min="5447" max="5447" width="10.42578125" bestFit="1" customWidth="1"/>
    <col min="5448" max="5448" width="10.5703125" bestFit="1" customWidth="1"/>
    <col min="5449" max="5449" width="9.5703125" bestFit="1" customWidth="1"/>
    <col min="5450" max="5450" width="11.5703125" bestFit="1" customWidth="1"/>
    <col min="5451" max="5451" width="10.42578125" bestFit="1" customWidth="1"/>
    <col min="5452" max="5452" width="10.85546875" customWidth="1"/>
    <col min="5453" max="5454" width="9.85546875" bestFit="1" customWidth="1"/>
    <col min="5455" max="5455" width="13.5703125" bestFit="1" customWidth="1"/>
    <col min="5456" max="5456" width="7.7109375" bestFit="1" customWidth="1"/>
    <col min="5457" max="5457" width="13.28515625" bestFit="1" customWidth="1"/>
    <col min="5458" max="5458" width="11.5703125" bestFit="1" customWidth="1"/>
    <col min="5459" max="5459" width="10.42578125" bestFit="1" customWidth="1"/>
    <col min="5460" max="5460" width="7.7109375" bestFit="1" customWidth="1"/>
    <col min="5461" max="5461" width="11.5703125" bestFit="1" customWidth="1"/>
    <col min="5462" max="5462" width="10.85546875" bestFit="1" customWidth="1"/>
    <col min="5463" max="5463" width="13.28515625" bestFit="1" customWidth="1"/>
    <col min="5464" max="5464" width="10.85546875" bestFit="1" customWidth="1"/>
    <col min="5465" max="5466" width="7.5703125" bestFit="1" customWidth="1"/>
    <col min="5467" max="5468" width="10.42578125" bestFit="1" customWidth="1"/>
    <col min="5469" max="5469" width="11.5703125" bestFit="1" customWidth="1"/>
    <col min="5470" max="5470" width="5.28515625" bestFit="1" customWidth="1"/>
    <col min="5471" max="5471" width="10.28515625" bestFit="1" customWidth="1"/>
    <col min="5472" max="5472" width="10.42578125" bestFit="1" customWidth="1"/>
    <col min="5473" max="5473" width="11.5703125" bestFit="1" customWidth="1"/>
    <col min="5474" max="5474" width="5.28515625" bestFit="1" customWidth="1"/>
    <col min="5475" max="5477" width="11.5703125" bestFit="1" customWidth="1"/>
    <col min="5478" max="5478" width="5.28515625" bestFit="1" customWidth="1"/>
    <col min="5479" max="5480" width="10.42578125" bestFit="1" customWidth="1"/>
    <col min="5481" max="5481" width="11.5703125" bestFit="1" customWidth="1"/>
    <col min="5482" max="5482" width="5.28515625" bestFit="1" customWidth="1"/>
    <col min="5483" max="5483" width="14.28515625" bestFit="1" customWidth="1"/>
    <col min="5484" max="5484" width="13" bestFit="1" customWidth="1"/>
    <col min="5485" max="5485" width="11.5703125" bestFit="1" customWidth="1"/>
    <col min="5486" max="5486" width="8.85546875" bestFit="1" customWidth="1"/>
    <col min="5487" max="5487" width="14.42578125" bestFit="1" customWidth="1"/>
    <col min="5488" max="5488" width="10.42578125" bestFit="1" customWidth="1"/>
    <col min="5489" max="5489" width="12.28515625" bestFit="1" customWidth="1"/>
    <col min="5490" max="5490" width="13.85546875" bestFit="1" customWidth="1"/>
    <col min="5491" max="5491" width="11.28515625" customWidth="1"/>
    <col min="5492" max="5492" width="11.5703125" customWidth="1"/>
    <col min="5493" max="5493" width="13.42578125" bestFit="1" customWidth="1"/>
    <col min="5494" max="5494" width="10.42578125" customWidth="1"/>
    <col min="5495" max="5495" width="13.85546875" bestFit="1" customWidth="1"/>
    <col min="5496" max="5496" width="15.42578125" bestFit="1" customWidth="1"/>
    <col min="5497" max="5497" width="12.28515625" bestFit="1" customWidth="1"/>
    <col min="5498" max="5498" width="12.7109375" customWidth="1"/>
    <col min="5499" max="5499" width="10.7109375" bestFit="1" customWidth="1"/>
    <col min="5500" max="5500" width="9.85546875" customWidth="1"/>
    <col min="5501" max="5502" width="10.140625" bestFit="1" customWidth="1"/>
    <col min="5503" max="5503" width="7.5703125" bestFit="1" customWidth="1"/>
    <col min="5504" max="5504" width="9.42578125" bestFit="1" customWidth="1"/>
    <col min="5505" max="5505" width="14.5703125" bestFit="1" customWidth="1"/>
    <col min="5506" max="5506" width="14.85546875" customWidth="1"/>
    <col min="5507" max="5507" width="15.140625" bestFit="1" customWidth="1"/>
    <col min="5508" max="5508" width="12.140625" bestFit="1" customWidth="1"/>
    <col min="5509" max="5509" width="14.85546875" bestFit="1" customWidth="1"/>
    <col min="5510" max="5510" width="12.28515625" bestFit="1" customWidth="1"/>
    <col min="5511" max="5519" width="9.140625" hidden="1" customWidth="1"/>
    <col min="5520" max="5520" width="5.28515625" bestFit="1" customWidth="1"/>
    <col min="5521" max="5526" width="11.5703125" bestFit="1" customWidth="1"/>
    <col min="5527" max="5527" width="11.28515625" bestFit="1" customWidth="1"/>
    <col min="5528" max="5528" width="10.140625" bestFit="1" customWidth="1"/>
    <col min="5529" max="5529" width="11.5703125" bestFit="1" customWidth="1"/>
    <col min="5530" max="5530" width="16.140625" customWidth="1"/>
    <col min="5531" max="5531" width="13.42578125" customWidth="1"/>
    <col min="5532" max="5532" width="10.140625" bestFit="1" customWidth="1"/>
    <col min="5533" max="5533" width="12.85546875" bestFit="1" customWidth="1"/>
    <col min="5534" max="5534" width="12.28515625" bestFit="1" customWidth="1"/>
    <col min="5535" max="5535" width="11.28515625" bestFit="1" customWidth="1"/>
    <col min="5536" max="5536" width="11.5703125" bestFit="1" customWidth="1"/>
    <col min="5537" max="5537" width="10.85546875" bestFit="1" customWidth="1"/>
    <col min="5538" max="5538" width="11.28515625" bestFit="1" customWidth="1"/>
    <col min="5539" max="5539" width="10.140625" bestFit="1" customWidth="1"/>
    <col min="5540" max="5540" width="13.28515625" bestFit="1" customWidth="1"/>
    <col min="5541" max="5542" width="12.7109375" bestFit="1" customWidth="1"/>
    <col min="5543" max="5543" width="11" bestFit="1" customWidth="1"/>
    <col min="5544" max="5544" width="11.28515625" bestFit="1" customWidth="1"/>
    <col min="5545" max="5545" width="11.5703125" bestFit="1" customWidth="1"/>
    <col min="5546" max="5546" width="12.28515625" bestFit="1" customWidth="1"/>
    <col min="5547" max="5547" width="15.140625" bestFit="1" customWidth="1"/>
    <col min="5548" max="5548" width="14.42578125" bestFit="1" customWidth="1"/>
    <col min="5549" max="5549" width="12.28515625" bestFit="1" customWidth="1"/>
    <col min="5550" max="5550" width="15.140625" bestFit="1" customWidth="1"/>
    <col min="5551" max="5551" width="14.42578125" bestFit="1" customWidth="1"/>
    <col min="5552" max="5552" width="12.28515625" bestFit="1" customWidth="1"/>
    <col min="5553" max="5553" width="14.42578125" bestFit="1" customWidth="1"/>
    <col min="5554" max="5554" width="11.28515625" bestFit="1" customWidth="1"/>
    <col min="5555" max="5555" width="12.28515625" bestFit="1" customWidth="1"/>
    <col min="5556" max="5556" width="13" bestFit="1" customWidth="1"/>
    <col min="5557" max="5557" width="15.140625" bestFit="1" customWidth="1"/>
    <col min="5558" max="5558" width="12.28515625" bestFit="1" customWidth="1"/>
    <col min="5559" max="5559" width="13.85546875" bestFit="1" customWidth="1"/>
    <col min="5560" max="5560" width="11.28515625" bestFit="1" customWidth="1"/>
    <col min="5561" max="5561" width="12.28515625" bestFit="1" customWidth="1"/>
    <col min="5562" max="5562" width="13.85546875" bestFit="1" customWidth="1"/>
    <col min="5563" max="5564" width="15.140625" bestFit="1" customWidth="1"/>
    <col min="5565" max="5565" width="12.28515625" bestFit="1" customWidth="1"/>
    <col min="5566" max="5566" width="5.7109375" bestFit="1" customWidth="1"/>
    <col min="5567" max="5567" width="8.5703125" bestFit="1" customWidth="1"/>
    <col min="5568" max="5568" width="5.5703125" bestFit="1" customWidth="1"/>
    <col min="5569" max="5569" width="14.42578125" bestFit="1" customWidth="1"/>
    <col min="5570" max="5570" width="11.28515625" bestFit="1" customWidth="1"/>
    <col min="5571" max="5572" width="12.28515625" bestFit="1" customWidth="1"/>
    <col min="5573" max="5573" width="11.28515625" bestFit="1" customWidth="1"/>
    <col min="5574" max="5574" width="13.85546875" bestFit="1" customWidth="1"/>
    <col min="5575" max="5575" width="12" bestFit="1" customWidth="1"/>
    <col min="5576" max="5576" width="13.85546875" bestFit="1" customWidth="1"/>
    <col min="5577" max="5578" width="14.42578125" customWidth="1"/>
    <col min="5579" max="5579" width="10.140625" bestFit="1" customWidth="1"/>
    <col min="5580" max="5580" width="12.28515625" bestFit="1" customWidth="1"/>
    <col min="5581" max="5581" width="7.42578125" bestFit="1" customWidth="1"/>
    <col min="5582" max="5582" width="8.5703125" bestFit="1" customWidth="1"/>
    <col min="5583" max="5583" width="11.5703125" bestFit="1" customWidth="1"/>
    <col min="5584" max="5584" width="13.28515625" bestFit="1" customWidth="1"/>
    <col min="5585" max="5585" width="13.28515625" customWidth="1"/>
    <col min="5586" max="5586" width="13.140625" customWidth="1"/>
    <col min="5587" max="5587" width="12.7109375" bestFit="1" customWidth="1"/>
    <col min="5588" max="5588" width="13.28515625" bestFit="1" customWidth="1"/>
    <col min="5589" max="5591" width="13.28515625" customWidth="1"/>
    <col min="5592" max="5592" width="12.140625" bestFit="1" customWidth="1"/>
    <col min="5593" max="5593" width="12.7109375" bestFit="1" customWidth="1"/>
    <col min="5594" max="5594" width="11" customWidth="1"/>
    <col min="5595" max="5595" width="16.7109375" customWidth="1"/>
    <col min="5596" max="5596" width="17" customWidth="1"/>
    <col min="5597" max="5597" width="10.42578125" bestFit="1" customWidth="1"/>
    <col min="5641" max="5641" width="3.85546875" customWidth="1"/>
    <col min="5642" max="5642" width="15.28515625" bestFit="1" customWidth="1"/>
    <col min="5643" max="5643" width="12.28515625" customWidth="1"/>
    <col min="5644" max="5644" width="16.28515625" bestFit="1" customWidth="1"/>
    <col min="5645" max="5645" width="6.42578125" bestFit="1" customWidth="1"/>
    <col min="5646" max="5646" width="9.28515625" bestFit="1" customWidth="1"/>
    <col min="5647" max="5647" width="7.5703125" bestFit="1" customWidth="1"/>
    <col min="5648" max="5648" width="13.28515625" bestFit="1" customWidth="1"/>
    <col min="5649" max="5649" width="9.28515625" bestFit="1" customWidth="1"/>
    <col min="5650" max="5650" width="11.5703125" bestFit="1" customWidth="1"/>
    <col min="5651" max="5651" width="13.28515625" bestFit="1" customWidth="1"/>
    <col min="5652" max="5652" width="7.140625" bestFit="1" customWidth="1"/>
    <col min="5653" max="5653" width="12" bestFit="1" customWidth="1"/>
    <col min="5654" max="5654" width="13.28515625" bestFit="1" customWidth="1"/>
    <col min="5655" max="5655" width="7" bestFit="1" customWidth="1"/>
    <col min="5656" max="5656" width="12.7109375" bestFit="1" customWidth="1"/>
    <col min="5657" max="5657" width="11.5703125" bestFit="1" customWidth="1"/>
    <col min="5658" max="5658" width="10.5703125" bestFit="1" customWidth="1"/>
    <col min="5659" max="5660" width="15.7109375" bestFit="1" customWidth="1"/>
    <col min="5661" max="5661" width="11.5703125" bestFit="1" customWidth="1"/>
    <col min="5662" max="5662" width="7.7109375" bestFit="1" customWidth="1"/>
    <col min="5663" max="5663" width="15.140625" bestFit="1" customWidth="1"/>
    <col min="5664" max="5664" width="11.5703125" bestFit="1" customWidth="1"/>
    <col min="5665" max="5665" width="13.28515625" bestFit="1" customWidth="1"/>
    <col min="5666" max="5666" width="10.42578125" bestFit="1" customWidth="1"/>
    <col min="5667" max="5667" width="13.28515625" bestFit="1" customWidth="1"/>
    <col min="5668" max="5668" width="12.140625" bestFit="1" customWidth="1"/>
    <col min="5669" max="5669" width="14.42578125" bestFit="1" customWidth="1"/>
    <col min="5670" max="5670" width="13.28515625" bestFit="1" customWidth="1"/>
    <col min="5671" max="5671" width="11.5703125" bestFit="1" customWidth="1"/>
    <col min="5672" max="5672" width="7.7109375" bestFit="1" customWidth="1"/>
    <col min="5673" max="5674" width="14.42578125" bestFit="1" customWidth="1"/>
    <col min="5675" max="5675" width="11.5703125" bestFit="1" customWidth="1"/>
    <col min="5676" max="5676" width="7.7109375" bestFit="1" customWidth="1"/>
    <col min="5677" max="5677" width="13.5703125" customWidth="1"/>
    <col min="5678" max="5678" width="15.28515625" customWidth="1"/>
    <col min="5679" max="5679" width="14.5703125" customWidth="1"/>
    <col min="5680" max="5680" width="13.28515625" bestFit="1" customWidth="1"/>
    <col min="5681" max="5681" width="7.7109375" bestFit="1" customWidth="1"/>
    <col min="5682" max="5682" width="12.7109375" bestFit="1" customWidth="1"/>
    <col min="5683" max="5683" width="11.7109375" bestFit="1" customWidth="1"/>
    <col min="5684" max="5684" width="11.5703125" bestFit="1" customWidth="1"/>
    <col min="5685" max="5685" width="5.28515625" bestFit="1" customWidth="1"/>
    <col min="5686" max="5686" width="13.28515625" bestFit="1" customWidth="1"/>
    <col min="5687" max="5687" width="13.5703125" bestFit="1" customWidth="1"/>
    <col min="5688" max="5688" width="10.5703125" bestFit="1" customWidth="1"/>
    <col min="5689" max="5689" width="13.28515625" bestFit="1" customWidth="1"/>
    <col min="5690" max="5690" width="11.5703125" bestFit="1" customWidth="1"/>
    <col min="5691" max="5691" width="10.5703125" bestFit="1" customWidth="1"/>
    <col min="5692" max="5692" width="16.140625" bestFit="1" customWidth="1"/>
    <col min="5693" max="5694" width="11.28515625" bestFit="1" customWidth="1"/>
    <col min="5695" max="5695" width="13.28515625" bestFit="1" customWidth="1"/>
    <col min="5696" max="5696" width="7.7109375" bestFit="1" customWidth="1"/>
    <col min="5697" max="5700" width="9.140625" hidden="1" customWidth="1"/>
    <col min="5701" max="5701" width="10.42578125" bestFit="1" customWidth="1"/>
    <col min="5702" max="5702" width="10.5703125" bestFit="1" customWidth="1"/>
    <col min="5703" max="5703" width="10.42578125" bestFit="1" customWidth="1"/>
    <col min="5704" max="5704" width="10.5703125" bestFit="1" customWidth="1"/>
    <col min="5705" max="5705" width="9.5703125" bestFit="1" customWidth="1"/>
    <col min="5706" max="5706" width="11.5703125" bestFit="1" customWidth="1"/>
    <col min="5707" max="5707" width="10.42578125" bestFit="1" customWidth="1"/>
    <col min="5708" max="5708" width="10.85546875" customWidth="1"/>
    <col min="5709" max="5710" width="9.85546875" bestFit="1" customWidth="1"/>
    <col min="5711" max="5711" width="13.5703125" bestFit="1" customWidth="1"/>
    <col min="5712" max="5712" width="7.7109375" bestFit="1" customWidth="1"/>
    <col min="5713" max="5713" width="13.28515625" bestFit="1" customWidth="1"/>
    <col min="5714" max="5714" width="11.5703125" bestFit="1" customWidth="1"/>
    <col min="5715" max="5715" width="10.42578125" bestFit="1" customWidth="1"/>
    <col min="5716" max="5716" width="7.7109375" bestFit="1" customWidth="1"/>
    <col min="5717" max="5717" width="11.5703125" bestFit="1" customWidth="1"/>
    <col min="5718" max="5718" width="10.85546875" bestFit="1" customWidth="1"/>
    <col min="5719" max="5719" width="13.28515625" bestFit="1" customWidth="1"/>
    <col min="5720" max="5720" width="10.85546875" bestFit="1" customWidth="1"/>
    <col min="5721" max="5722" width="7.5703125" bestFit="1" customWidth="1"/>
    <col min="5723" max="5724" width="10.42578125" bestFit="1" customWidth="1"/>
    <col min="5725" max="5725" width="11.5703125" bestFit="1" customWidth="1"/>
    <col min="5726" max="5726" width="5.28515625" bestFit="1" customWidth="1"/>
    <col min="5727" max="5727" width="10.28515625" bestFit="1" customWidth="1"/>
    <col min="5728" max="5728" width="10.42578125" bestFit="1" customWidth="1"/>
    <col min="5729" max="5729" width="11.5703125" bestFit="1" customWidth="1"/>
    <col min="5730" max="5730" width="5.28515625" bestFit="1" customWidth="1"/>
    <col min="5731" max="5733" width="11.5703125" bestFit="1" customWidth="1"/>
    <col min="5734" max="5734" width="5.28515625" bestFit="1" customWidth="1"/>
    <col min="5735" max="5736" width="10.42578125" bestFit="1" customWidth="1"/>
    <col min="5737" max="5737" width="11.5703125" bestFit="1" customWidth="1"/>
    <col min="5738" max="5738" width="5.28515625" bestFit="1" customWidth="1"/>
    <col min="5739" max="5739" width="14.28515625" bestFit="1" customWidth="1"/>
    <col min="5740" max="5740" width="13" bestFit="1" customWidth="1"/>
    <col min="5741" max="5741" width="11.5703125" bestFit="1" customWidth="1"/>
    <col min="5742" max="5742" width="8.85546875" bestFit="1" customWidth="1"/>
    <col min="5743" max="5743" width="14.42578125" bestFit="1" customWidth="1"/>
    <col min="5744" max="5744" width="10.42578125" bestFit="1" customWidth="1"/>
    <col min="5745" max="5745" width="12.28515625" bestFit="1" customWidth="1"/>
    <col min="5746" max="5746" width="13.85546875" bestFit="1" customWidth="1"/>
    <col min="5747" max="5747" width="11.28515625" customWidth="1"/>
    <col min="5748" max="5748" width="11.5703125" customWidth="1"/>
    <col min="5749" max="5749" width="13.42578125" bestFit="1" customWidth="1"/>
    <col min="5750" max="5750" width="10.42578125" customWidth="1"/>
    <col min="5751" max="5751" width="13.85546875" bestFit="1" customWidth="1"/>
    <col min="5752" max="5752" width="15.42578125" bestFit="1" customWidth="1"/>
    <col min="5753" max="5753" width="12.28515625" bestFit="1" customWidth="1"/>
    <col min="5754" max="5754" width="12.7109375" customWidth="1"/>
    <col min="5755" max="5755" width="10.7109375" bestFit="1" customWidth="1"/>
    <col min="5756" max="5756" width="9.85546875" customWidth="1"/>
    <col min="5757" max="5758" width="10.140625" bestFit="1" customWidth="1"/>
    <col min="5759" max="5759" width="7.5703125" bestFit="1" customWidth="1"/>
    <col min="5760" max="5760" width="9.42578125" bestFit="1" customWidth="1"/>
    <col min="5761" max="5761" width="14.5703125" bestFit="1" customWidth="1"/>
    <col min="5762" max="5762" width="14.85546875" customWidth="1"/>
    <col min="5763" max="5763" width="15.140625" bestFit="1" customWidth="1"/>
    <col min="5764" max="5764" width="12.140625" bestFit="1" customWidth="1"/>
    <col min="5765" max="5765" width="14.85546875" bestFit="1" customWidth="1"/>
    <col min="5766" max="5766" width="12.28515625" bestFit="1" customWidth="1"/>
    <col min="5767" max="5775" width="9.140625" hidden="1" customWidth="1"/>
    <col min="5776" max="5776" width="5.28515625" bestFit="1" customWidth="1"/>
    <col min="5777" max="5782" width="11.5703125" bestFit="1" customWidth="1"/>
    <col min="5783" max="5783" width="11.28515625" bestFit="1" customWidth="1"/>
    <col min="5784" max="5784" width="10.140625" bestFit="1" customWidth="1"/>
    <col min="5785" max="5785" width="11.5703125" bestFit="1" customWidth="1"/>
    <col min="5786" max="5786" width="16.140625" customWidth="1"/>
    <col min="5787" max="5787" width="13.42578125" customWidth="1"/>
    <col min="5788" max="5788" width="10.140625" bestFit="1" customWidth="1"/>
    <col min="5789" max="5789" width="12.85546875" bestFit="1" customWidth="1"/>
    <col min="5790" max="5790" width="12.28515625" bestFit="1" customWidth="1"/>
    <col min="5791" max="5791" width="11.28515625" bestFit="1" customWidth="1"/>
    <col min="5792" max="5792" width="11.5703125" bestFit="1" customWidth="1"/>
    <col min="5793" max="5793" width="10.85546875" bestFit="1" customWidth="1"/>
    <col min="5794" max="5794" width="11.28515625" bestFit="1" customWidth="1"/>
    <col min="5795" max="5795" width="10.140625" bestFit="1" customWidth="1"/>
    <col min="5796" max="5796" width="13.28515625" bestFit="1" customWidth="1"/>
    <col min="5797" max="5798" width="12.7109375" bestFit="1" customWidth="1"/>
    <col min="5799" max="5799" width="11" bestFit="1" customWidth="1"/>
    <col min="5800" max="5800" width="11.28515625" bestFit="1" customWidth="1"/>
    <col min="5801" max="5801" width="11.5703125" bestFit="1" customWidth="1"/>
    <col min="5802" max="5802" width="12.28515625" bestFit="1" customWidth="1"/>
    <col min="5803" max="5803" width="15.140625" bestFit="1" customWidth="1"/>
    <col min="5804" max="5804" width="14.42578125" bestFit="1" customWidth="1"/>
    <col min="5805" max="5805" width="12.28515625" bestFit="1" customWidth="1"/>
    <col min="5806" max="5806" width="15.140625" bestFit="1" customWidth="1"/>
    <col min="5807" max="5807" width="14.42578125" bestFit="1" customWidth="1"/>
    <col min="5808" max="5808" width="12.28515625" bestFit="1" customWidth="1"/>
    <col min="5809" max="5809" width="14.42578125" bestFit="1" customWidth="1"/>
    <col min="5810" max="5810" width="11.28515625" bestFit="1" customWidth="1"/>
    <col min="5811" max="5811" width="12.28515625" bestFit="1" customWidth="1"/>
    <col min="5812" max="5812" width="13" bestFit="1" customWidth="1"/>
    <col min="5813" max="5813" width="15.140625" bestFit="1" customWidth="1"/>
    <col min="5814" max="5814" width="12.28515625" bestFit="1" customWidth="1"/>
    <col min="5815" max="5815" width="13.85546875" bestFit="1" customWidth="1"/>
    <col min="5816" max="5816" width="11.28515625" bestFit="1" customWidth="1"/>
    <col min="5817" max="5817" width="12.28515625" bestFit="1" customWidth="1"/>
    <col min="5818" max="5818" width="13.85546875" bestFit="1" customWidth="1"/>
    <col min="5819" max="5820" width="15.140625" bestFit="1" customWidth="1"/>
    <col min="5821" max="5821" width="12.28515625" bestFit="1" customWidth="1"/>
    <col min="5822" max="5822" width="5.7109375" bestFit="1" customWidth="1"/>
    <col min="5823" max="5823" width="8.5703125" bestFit="1" customWidth="1"/>
    <col min="5824" max="5824" width="5.5703125" bestFit="1" customWidth="1"/>
    <col min="5825" max="5825" width="14.42578125" bestFit="1" customWidth="1"/>
    <col min="5826" max="5826" width="11.28515625" bestFit="1" customWidth="1"/>
    <col min="5827" max="5828" width="12.28515625" bestFit="1" customWidth="1"/>
    <col min="5829" max="5829" width="11.28515625" bestFit="1" customWidth="1"/>
    <col min="5830" max="5830" width="13.85546875" bestFit="1" customWidth="1"/>
    <col min="5831" max="5831" width="12" bestFit="1" customWidth="1"/>
    <col min="5832" max="5832" width="13.85546875" bestFit="1" customWidth="1"/>
    <col min="5833" max="5834" width="14.42578125" customWidth="1"/>
    <col min="5835" max="5835" width="10.140625" bestFit="1" customWidth="1"/>
    <col min="5836" max="5836" width="12.28515625" bestFit="1" customWidth="1"/>
    <col min="5837" max="5837" width="7.42578125" bestFit="1" customWidth="1"/>
    <col min="5838" max="5838" width="8.5703125" bestFit="1" customWidth="1"/>
    <col min="5839" max="5839" width="11.5703125" bestFit="1" customWidth="1"/>
    <col min="5840" max="5840" width="13.28515625" bestFit="1" customWidth="1"/>
    <col min="5841" max="5841" width="13.28515625" customWidth="1"/>
    <col min="5842" max="5842" width="13.140625" customWidth="1"/>
    <col min="5843" max="5843" width="12.7109375" bestFit="1" customWidth="1"/>
    <col min="5844" max="5844" width="13.28515625" bestFit="1" customWidth="1"/>
    <col min="5845" max="5847" width="13.28515625" customWidth="1"/>
    <col min="5848" max="5848" width="12.140625" bestFit="1" customWidth="1"/>
    <col min="5849" max="5849" width="12.7109375" bestFit="1" customWidth="1"/>
    <col min="5850" max="5850" width="11" customWidth="1"/>
    <col min="5851" max="5851" width="16.7109375" customWidth="1"/>
    <col min="5852" max="5852" width="17" customWidth="1"/>
    <col min="5853" max="5853" width="10.42578125" bestFit="1" customWidth="1"/>
    <col min="5897" max="5897" width="3.85546875" customWidth="1"/>
    <col min="5898" max="5898" width="15.28515625" bestFit="1" customWidth="1"/>
    <col min="5899" max="5899" width="12.28515625" customWidth="1"/>
    <col min="5900" max="5900" width="16.28515625" bestFit="1" customWidth="1"/>
    <col min="5901" max="5901" width="6.42578125" bestFit="1" customWidth="1"/>
    <col min="5902" max="5902" width="9.28515625" bestFit="1" customWidth="1"/>
    <col min="5903" max="5903" width="7.5703125" bestFit="1" customWidth="1"/>
    <col min="5904" max="5904" width="13.28515625" bestFit="1" customWidth="1"/>
    <col min="5905" max="5905" width="9.28515625" bestFit="1" customWidth="1"/>
    <col min="5906" max="5906" width="11.5703125" bestFit="1" customWidth="1"/>
    <col min="5907" max="5907" width="13.28515625" bestFit="1" customWidth="1"/>
    <col min="5908" max="5908" width="7.140625" bestFit="1" customWidth="1"/>
    <col min="5909" max="5909" width="12" bestFit="1" customWidth="1"/>
    <col min="5910" max="5910" width="13.28515625" bestFit="1" customWidth="1"/>
    <col min="5911" max="5911" width="7" bestFit="1" customWidth="1"/>
    <col min="5912" max="5912" width="12.7109375" bestFit="1" customWidth="1"/>
    <col min="5913" max="5913" width="11.5703125" bestFit="1" customWidth="1"/>
    <col min="5914" max="5914" width="10.5703125" bestFit="1" customWidth="1"/>
    <col min="5915" max="5916" width="15.7109375" bestFit="1" customWidth="1"/>
    <col min="5917" max="5917" width="11.5703125" bestFit="1" customWidth="1"/>
    <col min="5918" max="5918" width="7.7109375" bestFit="1" customWidth="1"/>
    <col min="5919" max="5919" width="15.140625" bestFit="1" customWidth="1"/>
    <col min="5920" max="5920" width="11.5703125" bestFit="1" customWidth="1"/>
    <col min="5921" max="5921" width="13.28515625" bestFit="1" customWidth="1"/>
    <col min="5922" max="5922" width="10.42578125" bestFit="1" customWidth="1"/>
    <col min="5923" max="5923" width="13.28515625" bestFit="1" customWidth="1"/>
    <col min="5924" max="5924" width="12.140625" bestFit="1" customWidth="1"/>
    <col min="5925" max="5925" width="14.42578125" bestFit="1" customWidth="1"/>
    <col min="5926" max="5926" width="13.28515625" bestFit="1" customWidth="1"/>
    <col min="5927" max="5927" width="11.5703125" bestFit="1" customWidth="1"/>
    <col min="5928" max="5928" width="7.7109375" bestFit="1" customWidth="1"/>
    <col min="5929" max="5930" width="14.42578125" bestFit="1" customWidth="1"/>
    <col min="5931" max="5931" width="11.5703125" bestFit="1" customWidth="1"/>
    <col min="5932" max="5932" width="7.7109375" bestFit="1" customWidth="1"/>
    <col min="5933" max="5933" width="13.5703125" customWidth="1"/>
    <col min="5934" max="5934" width="15.28515625" customWidth="1"/>
    <col min="5935" max="5935" width="14.5703125" customWidth="1"/>
    <col min="5936" max="5936" width="13.28515625" bestFit="1" customWidth="1"/>
    <col min="5937" max="5937" width="7.7109375" bestFit="1" customWidth="1"/>
    <col min="5938" max="5938" width="12.7109375" bestFit="1" customWidth="1"/>
    <col min="5939" max="5939" width="11.7109375" bestFit="1" customWidth="1"/>
    <col min="5940" max="5940" width="11.5703125" bestFit="1" customWidth="1"/>
    <col min="5941" max="5941" width="5.28515625" bestFit="1" customWidth="1"/>
    <col min="5942" max="5942" width="13.28515625" bestFit="1" customWidth="1"/>
    <col min="5943" max="5943" width="13.5703125" bestFit="1" customWidth="1"/>
    <col min="5944" max="5944" width="10.5703125" bestFit="1" customWidth="1"/>
    <col min="5945" max="5945" width="13.28515625" bestFit="1" customWidth="1"/>
    <col min="5946" max="5946" width="11.5703125" bestFit="1" customWidth="1"/>
    <col min="5947" max="5947" width="10.5703125" bestFit="1" customWidth="1"/>
    <col min="5948" max="5948" width="16.140625" bestFit="1" customWidth="1"/>
    <col min="5949" max="5950" width="11.28515625" bestFit="1" customWidth="1"/>
    <col min="5951" max="5951" width="13.28515625" bestFit="1" customWidth="1"/>
    <col min="5952" max="5952" width="7.7109375" bestFit="1" customWidth="1"/>
    <col min="5953" max="5956" width="9.140625" hidden="1" customWidth="1"/>
    <col min="5957" max="5957" width="10.42578125" bestFit="1" customWidth="1"/>
    <col min="5958" max="5958" width="10.5703125" bestFit="1" customWidth="1"/>
    <col min="5959" max="5959" width="10.42578125" bestFit="1" customWidth="1"/>
    <col min="5960" max="5960" width="10.5703125" bestFit="1" customWidth="1"/>
    <col min="5961" max="5961" width="9.5703125" bestFit="1" customWidth="1"/>
    <col min="5962" max="5962" width="11.5703125" bestFit="1" customWidth="1"/>
    <col min="5963" max="5963" width="10.42578125" bestFit="1" customWidth="1"/>
    <col min="5964" max="5964" width="10.85546875" customWidth="1"/>
    <col min="5965" max="5966" width="9.85546875" bestFit="1" customWidth="1"/>
    <col min="5967" max="5967" width="13.5703125" bestFit="1" customWidth="1"/>
    <col min="5968" max="5968" width="7.7109375" bestFit="1" customWidth="1"/>
    <col min="5969" max="5969" width="13.28515625" bestFit="1" customWidth="1"/>
    <col min="5970" max="5970" width="11.5703125" bestFit="1" customWidth="1"/>
    <col min="5971" max="5971" width="10.42578125" bestFit="1" customWidth="1"/>
    <col min="5972" max="5972" width="7.7109375" bestFit="1" customWidth="1"/>
    <col min="5973" max="5973" width="11.5703125" bestFit="1" customWidth="1"/>
    <col min="5974" max="5974" width="10.85546875" bestFit="1" customWidth="1"/>
    <col min="5975" max="5975" width="13.28515625" bestFit="1" customWidth="1"/>
    <col min="5976" max="5976" width="10.85546875" bestFit="1" customWidth="1"/>
    <col min="5977" max="5978" width="7.5703125" bestFit="1" customWidth="1"/>
    <col min="5979" max="5980" width="10.42578125" bestFit="1" customWidth="1"/>
    <col min="5981" max="5981" width="11.5703125" bestFit="1" customWidth="1"/>
    <col min="5982" max="5982" width="5.28515625" bestFit="1" customWidth="1"/>
    <col min="5983" max="5983" width="10.28515625" bestFit="1" customWidth="1"/>
    <col min="5984" max="5984" width="10.42578125" bestFit="1" customWidth="1"/>
    <col min="5985" max="5985" width="11.5703125" bestFit="1" customWidth="1"/>
    <col min="5986" max="5986" width="5.28515625" bestFit="1" customWidth="1"/>
    <col min="5987" max="5989" width="11.5703125" bestFit="1" customWidth="1"/>
    <col min="5990" max="5990" width="5.28515625" bestFit="1" customWidth="1"/>
    <col min="5991" max="5992" width="10.42578125" bestFit="1" customWidth="1"/>
    <col min="5993" max="5993" width="11.5703125" bestFit="1" customWidth="1"/>
    <col min="5994" max="5994" width="5.28515625" bestFit="1" customWidth="1"/>
    <col min="5995" max="5995" width="14.28515625" bestFit="1" customWidth="1"/>
    <col min="5996" max="5996" width="13" bestFit="1" customWidth="1"/>
    <col min="5997" max="5997" width="11.5703125" bestFit="1" customWidth="1"/>
    <col min="5998" max="5998" width="8.85546875" bestFit="1" customWidth="1"/>
    <col min="5999" max="5999" width="14.42578125" bestFit="1" customWidth="1"/>
    <col min="6000" max="6000" width="10.42578125" bestFit="1" customWidth="1"/>
    <col min="6001" max="6001" width="12.28515625" bestFit="1" customWidth="1"/>
    <col min="6002" max="6002" width="13.85546875" bestFit="1" customWidth="1"/>
    <col min="6003" max="6003" width="11.28515625" customWidth="1"/>
    <col min="6004" max="6004" width="11.5703125" customWidth="1"/>
    <col min="6005" max="6005" width="13.42578125" bestFit="1" customWidth="1"/>
    <col min="6006" max="6006" width="10.42578125" customWidth="1"/>
    <col min="6007" max="6007" width="13.85546875" bestFit="1" customWidth="1"/>
    <col min="6008" max="6008" width="15.42578125" bestFit="1" customWidth="1"/>
    <col min="6009" max="6009" width="12.28515625" bestFit="1" customWidth="1"/>
    <col min="6010" max="6010" width="12.7109375" customWidth="1"/>
    <col min="6011" max="6011" width="10.7109375" bestFit="1" customWidth="1"/>
    <col min="6012" max="6012" width="9.85546875" customWidth="1"/>
    <col min="6013" max="6014" width="10.140625" bestFit="1" customWidth="1"/>
    <col min="6015" max="6015" width="7.5703125" bestFit="1" customWidth="1"/>
    <col min="6016" max="6016" width="9.42578125" bestFit="1" customWidth="1"/>
    <col min="6017" max="6017" width="14.5703125" bestFit="1" customWidth="1"/>
    <col min="6018" max="6018" width="14.85546875" customWidth="1"/>
    <col min="6019" max="6019" width="15.140625" bestFit="1" customWidth="1"/>
    <col min="6020" max="6020" width="12.140625" bestFit="1" customWidth="1"/>
    <col min="6021" max="6021" width="14.85546875" bestFit="1" customWidth="1"/>
    <col min="6022" max="6022" width="12.28515625" bestFit="1" customWidth="1"/>
    <col min="6023" max="6031" width="9.140625" hidden="1" customWidth="1"/>
    <col min="6032" max="6032" width="5.28515625" bestFit="1" customWidth="1"/>
    <col min="6033" max="6038" width="11.5703125" bestFit="1" customWidth="1"/>
    <col min="6039" max="6039" width="11.28515625" bestFit="1" customWidth="1"/>
    <col min="6040" max="6040" width="10.140625" bestFit="1" customWidth="1"/>
    <col min="6041" max="6041" width="11.5703125" bestFit="1" customWidth="1"/>
    <col min="6042" max="6042" width="16.140625" customWidth="1"/>
    <col min="6043" max="6043" width="13.42578125" customWidth="1"/>
    <col min="6044" max="6044" width="10.140625" bestFit="1" customWidth="1"/>
    <col min="6045" max="6045" width="12.85546875" bestFit="1" customWidth="1"/>
    <col min="6046" max="6046" width="12.28515625" bestFit="1" customWidth="1"/>
    <col min="6047" max="6047" width="11.28515625" bestFit="1" customWidth="1"/>
    <col min="6048" max="6048" width="11.5703125" bestFit="1" customWidth="1"/>
    <col min="6049" max="6049" width="10.85546875" bestFit="1" customWidth="1"/>
    <col min="6050" max="6050" width="11.28515625" bestFit="1" customWidth="1"/>
    <col min="6051" max="6051" width="10.140625" bestFit="1" customWidth="1"/>
    <col min="6052" max="6052" width="13.28515625" bestFit="1" customWidth="1"/>
    <col min="6053" max="6054" width="12.7109375" bestFit="1" customWidth="1"/>
    <col min="6055" max="6055" width="11" bestFit="1" customWidth="1"/>
    <col min="6056" max="6056" width="11.28515625" bestFit="1" customWidth="1"/>
    <col min="6057" max="6057" width="11.5703125" bestFit="1" customWidth="1"/>
    <col min="6058" max="6058" width="12.28515625" bestFit="1" customWidth="1"/>
    <col min="6059" max="6059" width="15.140625" bestFit="1" customWidth="1"/>
    <col min="6060" max="6060" width="14.42578125" bestFit="1" customWidth="1"/>
    <col min="6061" max="6061" width="12.28515625" bestFit="1" customWidth="1"/>
    <col min="6062" max="6062" width="15.140625" bestFit="1" customWidth="1"/>
    <col min="6063" max="6063" width="14.42578125" bestFit="1" customWidth="1"/>
    <col min="6064" max="6064" width="12.28515625" bestFit="1" customWidth="1"/>
    <col min="6065" max="6065" width="14.42578125" bestFit="1" customWidth="1"/>
    <col min="6066" max="6066" width="11.28515625" bestFit="1" customWidth="1"/>
    <col min="6067" max="6067" width="12.28515625" bestFit="1" customWidth="1"/>
    <col min="6068" max="6068" width="13" bestFit="1" customWidth="1"/>
    <col min="6069" max="6069" width="15.140625" bestFit="1" customWidth="1"/>
    <col min="6070" max="6070" width="12.28515625" bestFit="1" customWidth="1"/>
    <col min="6071" max="6071" width="13.85546875" bestFit="1" customWidth="1"/>
    <col min="6072" max="6072" width="11.28515625" bestFit="1" customWidth="1"/>
    <col min="6073" max="6073" width="12.28515625" bestFit="1" customWidth="1"/>
    <col min="6074" max="6074" width="13.85546875" bestFit="1" customWidth="1"/>
    <col min="6075" max="6076" width="15.140625" bestFit="1" customWidth="1"/>
    <col min="6077" max="6077" width="12.28515625" bestFit="1" customWidth="1"/>
    <col min="6078" max="6078" width="5.7109375" bestFit="1" customWidth="1"/>
    <col min="6079" max="6079" width="8.5703125" bestFit="1" customWidth="1"/>
    <col min="6080" max="6080" width="5.5703125" bestFit="1" customWidth="1"/>
    <col min="6081" max="6081" width="14.42578125" bestFit="1" customWidth="1"/>
    <col min="6082" max="6082" width="11.28515625" bestFit="1" customWidth="1"/>
    <col min="6083" max="6084" width="12.28515625" bestFit="1" customWidth="1"/>
    <col min="6085" max="6085" width="11.28515625" bestFit="1" customWidth="1"/>
    <col min="6086" max="6086" width="13.85546875" bestFit="1" customWidth="1"/>
    <col min="6087" max="6087" width="12" bestFit="1" customWidth="1"/>
    <col min="6088" max="6088" width="13.85546875" bestFit="1" customWidth="1"/>
    <col min="6089" max="6090" width="14.42578125" customWidth="1"/>
    <col min="6091" max="6091" width="10.140625" bestFit="1" customWidth="1"/>
    <col min="6092" max="6092" width="12.28515625" bestFit="1" customWidth="1"/>
    <col min="6093" max="6093" width="7.42578125" bestFit="1" customWidth="1"/>
    <col min="6094" max="6094" width="8.5703125" bestFit="1" customWidth="1"/>
    <col min="6095" max="6095" width="11.5703125" bestFit="1" customWidth="1"/>
    <col min="6096" max="6096" width="13.28515625" bestFit="1" customWidth="1"/>
    <col min="6097" max="6097" width="13.28515625" customWidth="1"/>
    <col min="6098" max="6098" width="13.140625" customWidth="1"/>
    <col min="6099" max="6099" width="12.7109375" bestFit="1" customWidth="1"/>
    <col min="6100" max="6100" width="13.28515625" bestFit="1" customWidth="1"/>
    <col min="6101" max="6103" width="13.28515625" customWidth="1"/>
    <col min="6104" max="6104" width="12.140625" bestFit="1" customWidth="1"/>
    <col min="6105" max="6105" width="12.7109375" bestFit="1" customWidth="1"/>
    <col min="6106" max="6106" width="11" customWidth="1"/>
    <col min="6107" max="6107" width="16.7109375" customWidth="1"/>
    <col min="6108" max="6108" width="17" customWidth="1"/>
    <col min="6109" max="6109" width="10.42578125" bestFit="1" customWidth="1"/>
    <col min="6153" max="6153" width="3.85546875" customWidth="1"/>
    <col min="6154" max="6154" width="15.28515625" bestFit="1" customWidth="1"/>
    <col min="6155" max="6155" width="12.28515625" customWidth="1"/>
    <col min="6156" max="6156" width="16.28515625" bestFit="1" customWidth="1"/>
    <col min="6157" max="6157" width="6.42578125" bestFit="1" customWidth="1"/>
    <col min="6158" max="6158" width="9.28515625" bestFit="1" customWidth="1"/>
    <col min="6159" max="6159" width="7.5703125" bestFit="1" customWidth="1"/>
    <col min="6160" max="6160" width="13.28515625" bestFit="1" customWidth="1"/>
    <col min="6161" max="6161" width="9.28515625" bestFit="1" customWidth="1"/>
    <col min="6162" max="6162" width="11.5703125" bestFit="1" customWidth="1"/>
    <col min="6163" max="6163" width="13.28515625" bestFit="1" customWidth="1"/>
    <col min="6164" max="6164" width="7.140625" bestFit="1" customWidth="1"/>
    <col min="6165" max="6165" width="12" bestFit="1" customWidth="1"/>
    <col min="6166" max="6166" width="13.28515625" bestFit="1" customWidth="1"/>
    <col min="6167" max="6167" width="7" bestFit="1" customWidth="1"/>
    <col min="6168" max="6168" width="12.7109375" bestFit="1" customWidth="1"/>
    <col min="6169" max="6169" width="11.5703125" bestFit="1" customWidth="1"/>
    <col min="6170" max="6170" width="10.5703125" bestFit="1" customWidth="1"/>
    <col min="6171" max="6172" width="15.7109375" bestFit="1" customWidth="1"/>
    <col min="6173" max="6173" width="11.5703125" bestFit="1" customWidth="1"/>
    <col min="6174" max="6174" width="7.7109375" bestFit="1" customWidth="1"/>
    <col min="6175" max="6175" width="15.140625" bestFit="1" customWidth="1"/>
    <col min="6176" max="6176" width="11.5703125" bestFit="1" customWidth="1"/>
    <col min="6177" max="6177" width="13.28515625" bestFit="1" customWidth="1"/>
    <col min="6178" max="6178" width="10.42578125" bestFit="1" customWidth="1"/>
    <col min="6179" max="6179" width="13.28515625" bestFit="1" customWidth="1"/>
    <col min="6180" max="6180" width="12.140625" bestFit="1" customWidth="1"/>
    <col min="6181" max="6181" width="14.42578125" bestFit="1" customWidth="1"/>
    <col min="6182" max="6182" width="13.28515625" bestFit="1" customWidth="1"/>
    <col min="6183" max="6183" width="11.5703125" bestFit="1" customWidth="1"/>
    <col min="6184" max="6184" width="7.7109375" bestFit="1" customWidth="1"/>
    <col min="6185" max="6186" width="14.42578125" bestFit="1" customWidth="1"/>
    <col min="6187" max="6187" width="11.5703125" bestFit="1" customWidth="1"/>
    <col min="6188" max="6188" width="7.7109375" bestFit="1" customWidth="1"/>
    <col min="6189" max="6189" width="13.5703125" customWidth="1"/>
    <col min="6190" max="6190" width="15.28515625" customWidth="1"/>
    <col min="6191" max="6191" width="14.5703125" customWidth="1"/>
    <col min="6192" max="6192" width="13.28515625" bestFit="1" customWidth="1"/>
    <col min="6193" max="6193" width="7.7109375" bestFit="1" customWidth="1"/>
    <col min="6194" max="6194" width="12.7109375" bestFit="1" customWidth="1"/>
    <col min="6195" max="6195" width="11.7109375" bestFit="1" customWidth="1"/>
    <col min="6196" max="6196" width="11.5703125" bestFit="1" customWidth="1"/>
    <col min="6197" max="6197" width="5.28515625" bestFit="1" customWidth="1"/>
    <col min="6198" max="6198" width="13.28515625" bestFit="1" customWidth="1"/>
    <col min="6199" max="6199" width="13.5703125" bestFit="1" customWidth="1"/>
    <col min="6200" max="6200" width="10.5703125" bestFit="1" customWidth="1"/>
    <col min="6201" max="6201" width="13.28515625" bestFit="1" customWidth="1"/>
    <col min="6202" max="6202" width="11.5703125" bestFit="1" customWidth="1"/>
    <col min="6203" max="6203" width="10.5703125" bestFit="1" customWidth="1"/>
    <col min="6204" max="6204" width="16.140625" bestFit="1" customWidth="1"/>
    <col min="6205" max="6206" width="11.28515625" bestFit="1" customWidth="1"/>
    <col min="6207" max="6207" width="13.28515625" bestFit="1" customWidth="1"/>
    <col min="6208" max="6208" width="7.7109375" bestFit="1" customWidth="1"/>
    <col min="6209" max="6212" width="9.140625" hidden="1" customWidth="1"/>
    <col min="6213" max="6213" width="10.42578125" bestFit="1" customWidth="1"/>
    <col min="6214" max="6214" width="10.5703125" bestFit="1" customWidth="1"/>
    <col min="6215" max="6215" width="10.42578125" bestFit="1" customWidth="1"/>
    <col min="6216" max="6216" width="10.5703125" bestFit="1" customWidth="1"/>
    <col min="6217" max="6217" width="9.5703125" bestFit="1" customWidth="1"/>
    <col min="6218" max="6218" width="11.5703125" bestFit="1" customWidth="1"/>
    <col min="6219" max="6219" width="10.42578125" bestFit="1" customWidth="1"/>
    <col min="6220" max="6220" width="10.85546875" customWidth="1"/>
    <col min="6221" max="6222" width="9.85546875" bestFit="1" customWidth="1"/>
    <col min="6223" max="6223" width="13.5703125" bestFit="1" customWidth="1"/>
    <col min="6224" max="6224" width="7.7109375" bestFit="1" customWidth="1"/>
    <col min="6225" max="6225" width="13.28515625" bestFit="1" customWidth="1"/>
    <col min="6226" max="6226" width="11.5703125" bestFit="1" customWidth="1"/>
    <col min="6227" max="6227" width="10.42578125" bestFit="1" customWidth="1"/>
    <col min="6228" max="6228" width="7.7109375" bestFit="1" customWidth="1"/>
    <col min="6229" max="6229" width="11.5703125" bestFit="1" customWidth="1"/>
    <col min="6230" max="6230" width="10.85546875" bestFit="1" customWidth="1"/>
    <col min="6231" max="6231" width="13.28515625" bestFit="1" customWidth="1"/>
    <col min="6232" max="6232" width="10.85546875" bestFit="1" customWidth="1"/>
    <col min="6233" max="6234" width="7.5703125" bestFit="1" customWidth="1"/>
    <col min="6235" max="6236" width="10.42578125" bestFit="1" customWidth="1"/>
    <col min="6237" max="6237" width="11.5703125" bestFit="1" customWidth="1"/>
    <col min="6238" max="6238" width="5.28515625" bestFit="1" customWidth="1"/>
    <col min="6239" max="6239" width="10.28515625" bestFit="1" customWidth="1"/>
    <col min="6240" max="6240" width="10.42578125" bestFit="1" customWidth="1"/>
    <col min="6241" max="6241" width="11.5703125" bestFit="1" customWidth="1"/>
    <col min="6242" max="6242" width="5.28515625" bestFit="1" customWidth="1"/>
    <col min="6243" max="6245" width="11.5703125" bestFit="1" customWidth="1"/>
    <col min="6246" max="6246" width="5.28515625" bestFit="1" customWidth="1"/>
    <col min="6247" max="6248" width="10.42578125" bestFit="1" customWidth="1"/>
    <col min="6249" max="6249" width="11.5703125" bestFit="1" customWidth="1"/>
    <col min="6250" max="6250" width="5.28515625" bestFit="1" customWidth="1"/>
    <col min="6251" max="6251" width="14.28515625" bestFit="1" customWidth="1"/>
    <col min="6252" max="6252" width="13" bestFit="1" customWidth="1"/>
    <col min="6253" max="6253" width="11.5703125" bestFit="1" customWidth="1"/>
    <col min="6254" max="6254" width="8.85546875" bestFit="1" customWidth="1"/>
    <col min="6255" max="6255" width="14.42578125" bestFit="1" customWidth="1"/>
    <col min="6256" max="6256" width="10.42578125" bestFit="1" customWidth="1"/>
    <col min="6257" max="6257" width="12.28515625" bestFit="1" customWidth="1"/>
    <col min="6258" max="6258" width="13.85546875" bestFit="1" customWidth="1"/>
    <col min="6259" max="6259" width="11.28515625" customWidth="1"/>
    <col min="6260" max="6260" width="11.5703125" customWidth="1"/>
    <col min="6261" max="6261" width="13.42578125" bestFit="1" customWidth="1"/>
    <col min="6262" max="6262" width="10.42578125" customWidth="1"/>
    <col min="6263" max="6263" width="13.85546875" bestFit="1" customWidth="1"/>
    <col min="6264" max="6264" width="15.42578125" bestFit="1" customWidth="1"/>
    <col min="6265" max="6265" width="12.28515625" bestFit="1" customWidth="1"/>
    <col min="6266" max="6266" width="12.7109375" customWidth="1"/>
    <col min="6267" max="6267" width="10.7109375" bestFit="1" customWidth="1"/>
    <col min="6268" max="6268" width="9.85546875" customWidth="1"/>
    <col min="6269" max="6270" width="10.140625" bestFit="1" customWidth="1"/>
    <col min="6271" max="6271" width="7.5703125" bestFit="1" customWidth="1"/>
    <col min="6272" max="6272" width="9.42578125" bestFit="1" customWidth="1"/>
    <col min="6273" max="6273" width="14.5703125" bestFit="1" customWidth="1"/>
    <col min="6274" max="6274" width="14.85546875" customWidth="1"/>
    <col min="6275" max="6275" width="15.140625" bestFit="1" customWidth="1"/>
    <col min="6276" max="6276" width="12.140625" bestFit="1" customWidth="1"/>
    <col min="6277" max="6277" width="14.85546875" bestFit="1" customWidth="1"/>
    <col min="6278" max="6278" width="12.28515625" bestFit="1" customWidth="1"/>
    <col min="6279" max="6287" width="9.140625" hidden="1" customWidth="1"/>
    <col min="6288" max="6288" width="5.28515625" bestFit="1" customWidth="1"/>
    <col min="6289" max="6294" width="11.5703125" bestFit="1" customWidth="1"/>
    <col min="6295" max="6295" width="11.28515625" bestFit="1" customWidth="1"/>
    <col min="6296" max="6296" width="10.140625" bestFit="1" customWidth="1"/>
    <col min="6297" max="6297" width="11.5703125" bestFit="1" customWidth="1"/>
    <col min="6298" max="6298" width="16.140625" customWidth="1"/>
    <col min="6299" max="6299" width="13.42578125" customWidth="1"/>
    <col min="6300" max="6300" width="10.140625" bestFit="1" customWidth="1"/>
    <col min="6301" max="6301" width="12.85546875" bestFit="1" customWidth="1"/>
    <col min="6302" max="6302" width="12.28515625" bestFit="1" customWidth="1"/>
    <col min="6303" max="6303" width="11.28515625" bestFit="1" customWidth="1"/>
    <col min="6304" max="6304" width="11.5703125" bestFit="1" customWidth="1"/>
    <col min="6305" max="6305" width="10.85546875" bestFit="1" customWidth="1"/>
    <col min="6306" max="6306" width="11.28515625" bestFit="1" customWidth="1"/>
    <col min="6307" max="6307" width="10.140625" bestFit="1" customWidth="1"/>
    <col min="6308" max="6308" width="13.28515625" bestFit="1" customWidth="1"/>
    <col min="6309" max="6310" width="12.7109375" bestFit="1" customWidth="1"/>
    <col min="6311" max="6311" width="11" bestFit="1" customWidth="1"/>
    <col min="6312" max="6312" width="11.28515625" bestFit="1" customWidth="1"/>
    <col min="6313" max="6313" width="11.5703125" bestFit="1" customWidth="1"/>
    <col min="6314" max="6314" width="12.28515625" bestFit="1" customWidth="1"/>
    <col min="6315" max="6315" width="15.140625" bestFit="1" customWidth="1"/>
    <col min="6316" max="6316" width="14.42578125" bestFit="1" customWidth="1"/>
    <col min="6317" max="6317" width="12.28515625" bestFit="1" customWidth="1"/>
    <col min="6318" max="6318" width="15.140625" bestFit="1" customWidth="1"/>
    <col min="6319" max="6319" width="14.42578125" bestFit="1" customWidth="1"/>
    <col min="6320" max="6320" width="12.28515625" bestFit="1" customWidth="1"/>
    <col min="6321" max="6321" width="14.42578125" bestFit="1" customWidth="1"/>
    <col min="6322" max="6322" width="11.28515625" bestFit="1" customWidth="1"/>
    <col min="6323" max="6323" width="12.28515625" bestFit="1" customWidth="1"/>
    <col min="6324" max="6324" width="13" bestFit="1" customWidth="1"/>
    <col min="6325" max="6325" width="15.140625" bestFit="1" customWidth="1"/>
    <col min="6326" max="6326" width="12.28515625" bestFit="1" customWidth="1"/>
    <col min="6327" max="6327" width="13.85546875" bestFit="1" customWidth="1"/>
    <col min="6328" max="6328" width="11.28515625" bestFit="1" customWidth="1"/>
    <col min="6329" max="6329" width="12.28515625" bestFit="1" customWidth="1"/>
    <col min="6330" max="6330" width="13.85546875" bestFit="1" customWidth="1"/>
    <col min="6331" max="6332" width="15.140625" bestFit="1" customWidth="1"/>
    <col min="6333" max="6333" width="12.28515625" bestFit="1" customWidth="1"/>
    <col min="6334" max="6334" width="5.7109375" bestFit="1" customWidth="1"/>
    <col min="6335" max="6335" width="8.5703125" bestFit="1" customWidth="1"/>
    <col min="6336" max="6336" width="5.5703125" bestFit="1" customWidth="1"/>
    <col min="6337" max="6337" width="14.42578125" bestFit="1" customWidth="1"/>
    <col min="6338" max="6338" width="11.28515625" bestFit="1" customWidth="1"/>
    <col min="6339" max="6340" width="12.28515625" bestFit="1" customWidth="1"/>
    <col min="6341" max="6341" width="11.28515625" bestFit="1" customWidth="1"/>
    <col min="6342" max="6342" width="13.85546875" bestFit="1" customWidth="1"/>
    <col min="6343" max="6343" width="12" bestFit="1" customWidth="1"/>
    <col min="6344" max="6344" width="13.85546875" bestFit="1" customWidth="1"/>
    <col min="6345" max="6346" width="14.42578125" customWidth="1"/>
    <col min="6347" max="6347" width="10.140625" bestFit="1" customWidth="1"/>
    <col min="6348" max="6348" width="12.28515625" bestFit="1" customWidth="1"/>
    <col min="6349" max="6349" width="7.42578125" bestFit="1" customWidth="1"/>
    <col min="6350" max="6350" width="8.5703125" bestFit="1" customWidth="1"/>
    <col min="6351" max="6351" width="11.5703125" bestFit="1" customWidth="1"/>
    <col min="6352" max="6352" width="13.28515625" bestFit="1" customWidth="1"/>
    <col min="6353" max="6353" width="13.28515625" customWidth="1"/>
    <col min="6354" max="6354" width="13.140625" customWidth="1"/>
    <col min="6355" max="6355" width="12.7109375" bestFit="1" customWidth="1"/>
    <col min="6356" max="6356" width="13.28515625" bestFit="1" customWidth="1"/>
    <col min="6357" max="6359" width="13.28515625" customWidth="1"/>
    <col min="6360" max="6360" width="12.140625" bestFit="1" customWidth="1"/>
    <col min="6361" max="6361" width="12.7109375" bestFit="1" customWidth="1"/>
    <col min="6362" max="6362" width="11" customWidth="1"/>
    <col min="6363" max="6363" width="16.7109375" customWidth="1"/>
    <col min="6364" max="6364" width="17" customWidth="1"/>
    <col min="6365" max="6365" width="10.42578125" bestFit="1" customWidth="1"/>
    <col min="6409" max="6409" width="3.85546875" customWidth="1"/>
    <col min="6410" max="6410" width="15.28515625" bestFit="1" customWidth="1"/>
    <col min="6411" max="6411" width="12.28515625" customWidth="1"/>
    <col min="6412" max="6412" width="16.28515625" bestFit="1" customWidth="1"/>
    <col min="6413" max="6413" width="6.42578125" bestFit="1" customWidth="1"/>
    <col min="6414" max="6414" width="9.28515625" bestFit="1" customWidth="1"/>
    <col min="6415" max="6415" width="7.5703125" bestFit="1" customWidth="1"/>
    <col min="6416" max="6416" width="13.28515625" bestFit="1" customWidth="1"/>
    <col min="6417" max="6417" width="9.28515625" bestFit="1" customWidth="1"/>
    <col min="6418" max="6418" width="11.5703125" bestFit="1" customWidth="1"/>
    <col min="6419" max="6419" width="13.28515625" bestFit="1" customWidth="1"/>
    <col min="6420" max="6420" width="7.140625" bestFit="1" customWidth="1"/>
    <col min="6421" max="6421" width="12" bestFit="1" customWidth="1"/>
    <col min="6422" max="6422" width="13.28515625" bestFit="1" customWidth="1"/>
    <col min="6423" max="6423" width="7" bestFit="1" customWidth="1"/>
    <col min="6424" max="6424" width="12.7109375" bestFit="1" customWidth="1"/>
    <col min="6425" max="6425" width="11.5703125" bestFit="1" customWidth="1"/>
    <col min="6426" max="6426" width="10.5703125" bestFit="1" customWidth="1"/>
    <col min="6427" max="6428" width="15.7109375" bestFit="1" customWidth="1"/>
    <col min="6429" max="6429" width="11.5703125" bestFit="1" customWidth="1"/>
    <col min="6430" max="6430" width="7.7109375" bestFit="1" customWidth="1"/>
    <col min="6431" max="6431" width="15.140625" bestFit="1" customWidth="1"/>
    <col min="6432" max="6432" width="11.5703125" bestFit="1" customWidth="1"/>
    <col min="6433" max="6433" width="13.28515625" bestFit="1" customWidth="1"/>
    <col min="6434" max="6434" width="10.42578125" bestFit="1" customWidth="1"/>
    <col min="6435" max="6435" width="13.28515625" bestFit="1" customWidth="1"/>
    <col min="6436" max="6436" width="12.140625" bestFit="1" customWidth="1"/>
    <col min="6437" max="6437" width="14.42578125" bestFit="1" customWidth="1"/>
    <col min="6438" max="6438" width="13.28515625" bestFit="1" customWidth="1"/>
    <col min="6439" max="6439" width="11.5703125" bestFit="1" customWidth="1"/>
    <col min="6440" max="6440" width="7.7109375" bestFit="1" customWidth="1"/>
    <col min="6441" max="6442" width="14.42578125" bestFit="1" customWidth="1"/>
    <col min="6443" max="6443" width="11.5703125" bestFit="1" customWidth="1"/>
    <col min="6444" max="6444" width="7.7109375" bestFit="1" customWidth="1"/>
    <col min="6445" max="6445" width="13.5703125" customWidth="1"/>
    <col min="6446" max="6446" width="15.28515625" customWidth="1"/>
    <col min="6447" max="6447" width="14.5703125" customWidth="1"/>
    <col min="6448" max="6448" width="13.28515625" bestFit="1" customWidth="1"/>
    <col min="6449" max="6449" width="7.7109375" bestFit="1" customWidth="1"/>
    <col min="6450" max="6450" width="12.7109375" bestFit="1" customWidth="1"/>
    <col min="6451" max="6451" width="11.7109375" bestFit="1" customWidth="1"/>
    <col min="6452" max="6452" width="11.5703125" bestFit="1" customWidth="1"/>
    <col min="6453" max="6453" width="5.28515625" bestFit="1" customWidth="1"/>
    <col min="6454" max="6454" width="13.28515625" bestFit="1" customWidth="1"/>
    <col min="6455" max="6455" width="13.5703125" bestFit="1" customWidth="1"/>
    <col min="6456" max="6456" width="10.5703125" bestFit="1" customWidth="1"/>
    <col min="6457" max="6457" width="13.28515625" bestFit="1" customWidth="1"/>
    <col min="6458" max="6458" width="11.5703125" bestFit="1" customWidth="1"/>
    <col min="6459" max="6459" width="10.5703125" bestFit="1" customWidth="1"/>
    <col min="6460" max="6460" width="16.140625" bestFit="1" customWidth="1"/>
    <col min="6461" max="6462" width="11.28515625" bestFit="1" customWidth="1"/>
    <col min="6463" max="6463" width="13.28515625" bestFit="1" customWidth="1"/>
    <col min="6464" max="6464" width="7.7109375" bestFit="1" customWidth="1"/>
    <col min="6465" max="6468" width="9.140625" hidden="1" customWidth="1"/>
    <col min="6469" max="6469" width="10.42578125" bestFit="1" customWidth="1"/>
    <col min="6470" max="6470" width="10.5703125" bestFit="1" customWidth="1"/>
    <col min="6471" max="6471" width="10.42578125" bestFit="1" customWidth="1"/>
    <col min="6472" max="6472" width="10.5703125" bestFit="1" customWidth="1"/>
    <col min="6473" max="6473" width="9.5703125" bestFit="1" customWidth="1"/>
    <col min="6474" max="6474" width="11.5703125" bestFit="1" customWidth="1"/>
    <col min="6475" max="6475" width="10.42578125" bestFit="1" customWidth="1"/>
    <col min="6476" max="6476" width="10.85546875" customWidth="1"/>
    <col min="6477" max="6478" width="9.85546875" bestFit="1" customWidth="1"/>
    <col min="6479" max="6479" width="13.5703125" bestFit="1" customWidth="1"/>
    <col min="6480" max="6480" width="7.7109375" bestFit="1" customWidth="1"/>
    <col min="6481" max="6481" width="13.28515625" bestFit="1" customWidth="1"/>
    <col min="6482" max="6482" width="11.5703125" bestFit="1" customWidth="1"/>
    <col min="6483" max="6483" width="10.42578125" bestFit="1" customWidth="1"/>
    <col min="6484" max="6484" width="7.7109375" bestFit="1" customWidth="1"/>
    <col min="6485" max="6485" width="11.5703125" bestFit="1" customWidth="1"/>
    <col min="6486" max="6486" width="10.85546875" bestFit="1" customWidth="1"/>
    <col min="6487" max="6487" width="13.28515625" bestFit="1" customWidth="1"/>
    <col min="6488" max="6488" width="10.85546875" bestFit="1" customWidth="1"/>
    <col min="6489" max="6490" width="7.5703125" bestFit="1" customWidth="1"/>
    <col min="6491" max="6492" width="10.42578125" bestFit="1" customWidth="1"/>
    <col min="6493" max="6493" width="11.5703125" bestFit="1" customWidth="1"/>
    <col min="6494" max="6494" width="5.28515625" bestFit="1" customWidth="1"/>
    <col min="6495" max="6495" width="10.28515625" bestFit="1" customWidth="1"/>
    <col min="6496" max="6496" width="10.42578125" bestFit="1" customWidth="1"/>
    <col min="6497" max="6497" width="11.5703125" bestFit="1" customWidth="1"/>
    <col min="6498" max="6498" width="5.28515625" bestFit="1" customWidth="1"/>
    <col min="6499" max="6501" width="11.5703125" bestFit="1" customWidth="1"/>
    <col min="6502" max="6502" width="5.28515625" bestFit="1" customWidth="1"/>
    <col min="6503" max="6504" width="10.42578125" bestFit="1" customWidth="1"/>
    <col min="6505" max="6505" width="11.5703125" bestFit="1" customWidth="1"/>
    <col min="6506" max="6506" width="5.28515625" bestFit="1" customWidth="1"/>
    <col min="6507" max="6507" width="14.28515625" bestFit="1" customWidth="1"/>
    <col min="6508" max="6508" width="13" bestFit="1" customWidth="1"/>
    <col min="6509" max="6509" width="11.5703125" bestFit="1" customWidth="1"/>
    <col min="6510" max="6510" width="8.85546875" bestFit="1" customWidth="1"/>
    <col min="6511" max="6511" width="14.42578125" bestFit="1" customWidth="1"/>
    <col min="6512" max="6512" width="10.42578125" bestFit="1" customWidth="1"/>
    <col min="6513" max="6513" width="12.28515625" bestFit="1" customWidth="1"/>
    <col min="6514" max="6514" width="13.85546875" bestFit="1" customWidth="1"/>
    <col min="6515" max="6515" width="11.28515625" customWidth="1"/>
    <col min="6516" max="6516" width="11.5703125" customWidth="1"/>
    <col min="6517" max="6517" width="13.42578125" bestFit="1" customWidth="1"/>
    <col min="6518" max="6518" width="10.42578125" customWidth="1"/>
    <col min="6519" max="6519" width="13.85546875" bestFit="1" customWidth="1"/>
    <col min="6520" max="6520" width="15.42578125" bestFit="1" customWidth="1"/>
    <col min="6521" max="6521" width="12.28515625" bestFit="1" customWidth="1"/>
    <col min="6522" max="6522" width="12.7109375" customWidth="1"/>
    <col min="6523" max="6523" width="10.7109375" bestFit="1" customWidth="1"/>
    <col min="6524" max="6524" width="9.85546875" customWidth="1"/>
    <col min="6525" max="6526" width="10.140625" bestFit="1" customWidth="1"/>
    <col min="6527" max="6527" width="7.5703125" bestFit="1" customWidth="1"/>
    <col min="6528" max="6528" width="9.42578125" bestFit="1" customWidth="1"/>
    <col min="6529" max="6529" width="14.5703125" bestFit="1" customWidth="1"/>
    <col min="6530" max="6530" width="14.85546875" customWidth="1"/>
    <col min="6531" max="6531" width="15.140625" bestFit="1" customWidth="1"/>
    <col min="6532" max="6532" width="12.140625" bestFit="1" customWidth="1"/>
    <col min="6533" max="6533" width="14.85546875" bestFit="1" customWidth="1"/>
    <col min="6534" max="6534" width="12.28515625" bestFit="1" customWidth="1"/>
    <col min="6535" max="6543" width="9.140625" hidden="1" customWidth="1"/>
    <col min="6544" max="6544" width="5.28515625" bestFit="1" customWidth="1"/>
    <col min="6545" max="6550" width="11.5703125" bestFit="1" customWidth="1"/>
    <col min="6551" max="6551" width="11.28515625" bestFit="1" customWidth="1"/>
    <col min="6552" max="6552" width="10.140625" bestFit="1" customWidth="1"/>
    <col min="6553" max="6553" width="11.5703125" bestFit="1" customWidth="1"/>
    <col min="6554" max="6554" width="16.140625" customWidth="1"/>
    <col min="6555" max="6555" width="13.42578125" customWidth="1"/>
    <col min="6556" max="6556" width="10.140625" bestFit="1" customWidth="1"/>
    <col min="6557" max="6557" width="12.85546875" bestFit="1" customWidth="1"/>
    <col min="6558" max="6558" width="12.28515625" bestFit="1" customWidth="1"/>
    <col min="6559" max="6559" width="11.28515625" bestFit="1" customWidth="1"/>
    <col min="6560" max="6560" width="11.5703125" bestFit="1" customWidth="1"/>
    <col min="6561" max="6561" width="10.85546875" bestFit="1" customWidth="1"/>
    <col min="6562" max="6562" width="11.28515625" bestFit="1" customWidth="1"/>
    <col min="6563" max="6563" width="10.140625" bestFit="1" customWidth="1"/>
    <col min="6564" max="6564" width="13.28515625" bestFit="1" customWidth="1"/>
    <col min="6565" max="6566" width="12.7109375" bestFit="1" customWidth="1"/>
    <col min="6567" max="6567" width="11" bestFit="1" customWidth="1"/>
    <col min="6568" max="6568" width="11.28515625" bestFit="1" customWidth="1"/>
    <col min="6569" max="6569" width="11.5703125" bestFit="1" customWidth="1"/>
    <col min="6570" max="6570" width="12.28515625" bestFit="1" customWidth="1"/>
    <col min="6571" max="6571" width="15.140625" bestFit="1" customWidth="1"/>
    <col min="6572" max="6572" width="14.42578125" bestFit="1" customWidth="1"/>
    <col min="6573" max="6573" width="12.28515625" bestFit="1" customWidth="1"/>
    <col min="6574" max="6574" width="15.140625" bestFit="1" customWidth="1"/>
    <col min="6575" max="6575" width="14.42578125" bestFit="1" customWidth="1"/>
    <col min="6576" max="6576" width="12.28515625" bestFit="1" customWidth="1"/>
    <col min="6577" max="6577" width="14.42578125" bestFit="1" customWidth="1"/>
    <col min="6578" max="6578" width="11.28515625" bestFit="1" customWidth="1"/>
    <col min="6579" max="6579" width="12.28515625" bestFit="1" customWidth="1"/>
    <col min="6580" max="6580" width="13" bestFit="1" customWidth="1"/>
    <col min="6581" max="6581" width="15.140625" bestFit="1" customWidth="1"/>
    <col min="6582" max="6582" width="12.28515625" bestFit="1" customWidth="1"/>
    <col min="6583" max="6583" width="13.85546875" bestFit="1" customWidth="1"/>
    <col min="6584" max="6584" width="11.28515625" bestFit="1" customWidth="1"/>
    <col min="6585" max="6585" width="12.28515625" bestFit="1" customWidth="1"/>
    <col min="6586" max="6586" width="13.85546875" bestFit="1" customWidth="1"/>
    <col min="6587" max="6588" width="15.140625" bestFit="1" customWidth="1"/>
    <col min="6589" max="6589" width="12.28515625" bestFit="1" customWidth="1"/>
    <col min="6590" max="6590" width="5.7109375" bestFit="1" customWidth="1"/>
    <col min="6591" max="6591" width="8.5703125" bestFit="1" customWidth="1"/>
    <col min="6592" max="6592" width="5.5703125" bestFit="1" customWidth="1"/>
    <col min="6593" max="6593" width="14.42578125" bestFit="1" customWidth="1"/>
    <col min="6594" max="6594" width="11.28515625" bestFit="1" customWidth="1"/>
    <col min="6595" max="6596" width="12.28515625" bestFit="1" customWidth="1"/>
    <col min="6597" max="6597" width="11.28515625" bestFit="1" customWidth="1"/>
    <col min="6598" max="6598" width="13.85546875" bestFit="1" customWidth="1"/>
    <col min="6599" max="6599" width="12" bestFit="1" customWidth="1"/>
    <col min="6600" max="6600" width="13.85546875" bestFit="1" customWidth="1"/>
    <col min="6601" max="6602" width="14.42578125" customWidth="1"/>
    <col min="6603" max="6603" width="10.140625" bestFit="1" customWidth="1"/>
    <col min="6604" max="6604" width="12.28515625" bestFit="1" customWidth="1"/>
    <col min="6605" max="6605" width="7.42578125" bestFit="1" customWidth="1"/>
    <col min="6606" max="6606" width="8.5703125" bestFit="1" customWidth="1"/>
    <col min="6607" max="6607" width="11.5703125" bestFit="1" customWidth="1"/>
    <col min="6608" max="6608" width="13.28515625" bestFit="1" customWidth="1"/>
    <col min="6609" max="6609" width="13.28515625" customWidth="1"/>
    <col min="6610" max="6610" width="13.140625" customWidth="1"/>
    <col min="6611" max="6611" width="12.7109375" bestFit="1" customWidth="1"/>
    <col min="6612" max="6612" width="13.28515625" bestFit="1" customWidth="1"/>
    <col min="6613" max="6615" width="13.28515625" customWidth="1"/>
    <col min="6616" max="6616" width="12.140625" bestFit="1" customWidth="1"/>
    <col min="6617" max="6617" width="12.7109375" bestFit="1" customWidth="1"/>
    <col min="6618" max="6618" width="11" customWidth="1"/>
    <col min="6619" max="6619" width="16.7109375" customWidth="1"/>
    <col min="6620" max="6620" width="17" customWidth="1"/>
    <col min="6621" max="6621" width="10.42578125" bestFit="1" customWidth="1"/>
    <col min="6665" max="6665" width="3.85546875" customWidth="1"/>
    <col min="6666" max="6666" width="15.28515625" bestFit="1" customWidth="1"/>
    <col min="6667" max="6667" width="12.28515625" customWidth="1"/>
    <col min="6668" max="6668" width="16.28515625" bestFit="1" customWidth="1"/>
    <col min="6669" max="6669" width="6.42578125" bestFit="1" customWidth="1"/>
    <col min="6670" max="6670" width="9.28515625" bestFit="1" customWidth="1"/>
    <col min="6671" max="6671" width="7.5703125" bestFit="1" customWidth="1"/>
    <col min="6672" max="6672" width="13.28515625" bestFit="1" customWidth="1"/>
    <col min="6673" max="6673" width="9.28515625" bestFit="1" customWidth="1"/>
    <col min="6674" max="6674" width="11.5703125" bestFit="1" customWidth="1"/>
    <col min="6675" max="6675" width="13.28515625" bestFit="1" customWidth="1"/>
    <col min="6676" max="6676" width="7.140625" bestFit="1" customWidth="1"/>
    <col min="6677" max="6677" width="12" bestFit="1" customWidth="1"/>
    <col min="6678" max="6678" width="13.28515625" bestFit="1" customWidth="1"/>
    <col min="6679" max="6679" width="7" bestFit="1" customWidth="1"/>
    <col min="6680" max="6680" width="12.7109375" bestFit="1" customWidth="1"/>
    <col min="6681" max="6681" width="11.5703125" bestFit="1" customWidth="1"/>
    <col min="6682" max="6682" width="10.5703125" bestFit="1" customWidth="1"/>
    <col min="6683" max="6684" width="15.7109375" bestFit="1" customWidth="1"/>
    <col min="6685" max="6685" width="11.5703125" bestFit="1" customWidth="1"/>
    <col min="6686" max="6686" width="7.7109375" bestFit="1" customWidth="1"/>
    <col min="6687" max="6687" width="15.140625" bestFit="1" customWidth="1"/>
    <col min="6688" max="6688" width="11.5703125" bestFit="1" customWidth="1"/>
    <col min="6689" max="6689" width="13.28515625" bestFit="1" customWidth="1"/>
    <col min="6690" max="6690" width="10.42578125" bestFit="1" customWidth="1"/>
    <col min="6691" max="6691" width="13.28515625" bestFit="1" customWidth="1"/>
    <col min="6692" max="6692" width="12.140625" bestFit="1" customWidth="1"/>
    <col min="6693" max="6693" width="14.42578125" bestFit="1" customWidth="1"/>
    <col min="6694" max="6694" width="13.28515625" bestFit="1" customWidth="1"/>
    <col min="6695" max="6695" width="11.5703125" bestFit="1" customWidth="1"/>
    <col min="6696" max="6696" width="7.7109375" bestFit="1" customWidth="1"/>
    <col min="6697" max="6698" width="14.42578125" bestFit="1" customWidth="1"/>
    <col min="6699" max="6699" width="11.5703125" bestFit="1" customWidth="1"/>
    <col min="6700" max="6700" width="7.7109375" bestFit="1" customWidth="1"/>
    <col min="6701" max="6701" width="13.5703125" customWidth="1"/>
    <col min="6702" max="6702" width="15.28515625" customWidth="1"/>
    <col min="6703" max="6703" width="14.5703125" customWidth="1"/>
    <col min="6704" max="6704" width="13.28515625" bestFit="1" customWidth="1"/>
    <col min="6705" max="6705" width="7.7109375" bestFit="1" customWidth="1"/>
    <col min="6706" max="6706" width="12.7109375" bestFit="1" customWidth="1"/>
    <col min="6707" max="6707" width="11.7109375" bestFit="1" customWidth="1"/>
    <col min="6708" max="6708" width="11.5703125" bestFit="1" customWidth="1"/>
    <col min="6709" max="6709" width="5.28515625" bestFit="1" customWidth="1"/>
    <col min="6710" max="6710" width="13.28515625" bestFit="1" customWidth="1"/>
    <col min="6711" max="6711" width="13.5703125" bestFit="1" customWidth="1"/>
    <col min="6712" max="6712" width="10.5703125" bestFit="1" customWidth="1"/>
    <col min="6713" max="6713" width="13.28515625" bestFit="1" customWidth="1"/>
    <col min="6714" max="6714" width="11.5703125" bestFit="1" customWidth="1"/>
    <col min="6715" max="6715" width="10.5703125" bestFit="1" customWidth="1"/>
    <col min="6716" max="6716" width="16.140625" bestFit="1" customWidth="1"/>
    <col min="6717" max="6718" width="11.28515625" bestFit="1" customWidth="1"/>
    <col min="6719" max="6719" width="13.28515625" bestFit="1" customWidth="1"/>
    <col min="6720" max="6720" width="7.7109375" bestFit="1" customWidth="1"/>
    <col min="6721" max="6724" width="9.140625" hidden="1" customWidth="1"/>
    <col min="6725" max="6725" width="10.42578125" bestFit="1" customWidth="1"/>
    <col min="6726" max="6726" width="10.5703125" bestFit="1" customWidth="1"/>
    <col min="6727" max="6727" width="10.42578125" bestFit="1" customWidth="1"/>
    <col min="6728" max="6728" width="10.5703125" bestFit="1" customWidth="1"/>
    <col min="6729" max="6729" width="9.5703125" bestFit="1" customWidth="1"/>
    <col min="6730" max="6730" width="11.5703125" bestFit="1" customWidth="1"/>
    <col min="6731" max="6731" width="10.42578125" bestFit="1" customWidth="1"/>
    <col min="6732" max="6732" width="10.85546875" customWidth="1"/>
    <col min="6733" max="6734" width="9.85546875" bestFit="1" customWidth="1"/>
    <col min="6735" max="6735" width="13.5703125" bestFit="1" customWidth="1"/>
    <col min="6736" max="6736" width="7.7109375" bestFit="1" customWidth="1"/>
    <col min="6737" max="6737" width="13.28515625" bestFit="1" customWidth="1"/>
    <col min="6738" max="6738" width="11.5703125" bestFit="1" customWidth="1"/>
    <col min="6739" max="6739" width="10.42578125" bestFit="1" customWidth="1"/>
    <col min="6740" max="6740" width="7.7109375" bestFit="1" customWidth="1"/>
    <col min="6741" max="6741" width="11.5703125" bestFit="1" customWidth="1"/>
    <col min="6742" max="6742" width="10.85546875" bestFit="1" customWidth="1"/>
    <col min="6743" max="6743" width="13.28515625" bestFit="1" customWidth="1"/>
    <col min="6744" max="6744" width="10.85546875" bestFit="1" customWidth="1"/>
    <col min="6745" max="6746" width="7.5703125" bestFit="1" customWidth="1"/>
    <col min="6747" max="6748" width="10.42578125" bestFit="1" customWidth="1"/>
    <col min="6749" max="6749" width="11.5703125" bestFit="1" customWidth="1"/>
    <col min="6750" max="6750" width="5.28515625" bestFit="1" customWidth="1"/>
    <col min="6751" max="6751" width="10.28515625" bestFit="1" customWidth="1"/>
    <col min="6752" max="6752" width="10.42578125" bestFit="1" customWidth="1"/>
    <col min="6753" max="6753" width="11.5703125" bestFit="1" customWidth="1"/>
    <col min="6754" max="6754" width="5.28515625" bestFit="1" customWidth="1"/>
    <col min="6755" max="6757" width="11.5703125" bestFit="1" customWidth="1"/>
    <col min="6758" max="6758" width="5.28515625" bestFit="1" customWidth="1"/>
    <col min="6759" max="6760" width="10.42578125" bestFit="1" customWidth="1"/>
    <col min="6761" max="6761" width="11.5703125" bestFit="1" customWidth="1"/>
    <col min="6762" max="6762" width="5.28515625" bestFit="1" customWidth="1"/>
    <col min="6763" max="6763" width="14.28515625" bestFit="1" customWidth="1"/>
    <col min="6764" max="6764" width="13" bestFit="1" customWidth="1"/>
    <col min="6765" max="6765" width="11.5703125" bestFit="1" customWidth="1"/>
    <col min="6766" max="6766" width="8.85546875" bestFit="1" customWidth="1"/>
    <col min="6767" max="6767" width="14.42578125" bestFit="1" customWidth="1"/>
    <col min="6768" max="6768" width="10.42578125" bestFit="1" customWidth="1"/>
    <col min="6769" max="6769" width="12.28515625" bestFit="1" customWidth="1"/>
    <col min="6770" max="6770" width="13.85546875" bestFit="1" customWidth="1"/>
    <col min="6771" max="6771" width="11.28515625" customWidth="1"/>
    <col min="6772" max="6772" width="11.5703125" customWidth="1"/>
    <col min="6773" max="6773" width="13.42578125" bestFit="1" customWidth="1"/>
    <col min="6774" max="6774" width="10.42578125" customWidth="1"/>
    <col min="6775" max="6775" width="13.85546875" bestFit="1" customWidth="1"/>
    <col min="6776" max="6776" width="15.42578125" bestFit="1" customWidth="1"/>
    <col min="6777" max="6777" width="12.28515625" bestFit="1" customWidth="1"/>
    <col min="6778" max="6778" width="12.7109375" customWidth="1"/>
    <col min="6779" max="6779" width="10.7109375" bestFit="1" customWidth="1"/>
    <col min="6780" max="6780" width="9.85546875" customWidth="1"/>
    <col min="6781" max="6782" width="10.140625" bestFit="1" customWidth="1"/>
    <col min="6783" max="6783" width="7.5703125" bestFit="1" customWidth="1"/>
    <col min="6784" max="6784" width="9.42578125" bestFit="1" customWidth="1"/>
    <col min="6785" max="6785" width="14.5703125" bestFit="1" customWidth="1"/>
    <col min="6786" max="6786" width="14.85546875" customWidth="1"/>
    <col min="6787" max="6787" width="15.140625" bestFit="1" customWidth="1"/>
    <col min="6788" max="6788" width="12.140625" bestFit="1" customWidth="1"/>
    <col min="6789" max="6789" width="14.85546875" bestFit="1" customWidth="1"/>
    <col min="6790" max="6790" width="12.28515625" bestFit="1" customWidth="1"/>
    <col min="6791" max="6799" width="9.140625" hidden="1" customWidth="1"/>
    <col min="6800" max="6800" width="5.28515625" bestFit="1" customWidth="1"/>
    <col min="6801" max="6806" width="11.5703125" bestFit="1" customWidth="1"/>
    <col min="6807" max="6807" width="11.28515625" bestFit="1" customWidth="1"/>
    <col min="6808" max="6808" width="10.140625" bestFit="1" customWidth="1"/>
    <col min="6809" max="6809" width="11.5703125" bestFit="1" customWidth="1"/>
    <col min="6810" max="6810" width="16.140625" customWidth="1"/>
    <col min="6811" max="6811" width="13.42578125" customWidth="1"/>
    <col min="6812" max="6812" width="10.140625" bestFit="1" customWidth="1"/>
    <col min="6813" max="6813" width="12.85546875" bestFit="1" customWidth="1"/>
    <col min="6814" max="6814" width="12.28515625" bestFit="1" customWidth="1"/>
    <col min="6815" max="6815" width="11.28515625" bestFit="1" customWidth="1"/>
    <col min="6816" max="6816" width="11.5703125" bestFit="1" customWidth="1"/>
    <col min="6817" max="6817" width="10.85546875" bestFit="1" customWidth="1"/>
    <col min="6818" max="6818" width="11.28515625" bestFit="1" customWidth="1"/>
    <col min="6819" max="6819" width="10.140625" bestFit="1" customWidth="1"/>
    <col min="6820" max="6820" width="13.28515625" bestFit="1" customWidth="1"/>
    <col min="6821" max="6822" width="12.7109375" bestFit="1" customWidth="1"/>
    <col min="6823" max="6823" width="11" bestFit="1" customWidth="1"/>
    <col min="6824" max="6824" width="11.28515625" bestFit="1" customWidth="1"/>
    <col min="6825" max="6825" width="11.5703125" bestFit="1" customWidth="1"/>
    <col min="6826" max="6826" width="12.28515625" bestFit="1" customWidth="1"/>
    <col min="6827" max="6827" width="15.140625" bestFit="1" customWidth="1"/>
    <col min="6828" max="6828" width="14.42578125" bestFit="1" customWidth="1"/>
    <col min="6829" max="6829" width="12.28515625" bestFit="1" customWidth="1"/>
    <col min="6830" max="6830" width="15.140625" bestFit="1" customWidth="1"/>
    <col min="6831" max="6831" width="14.42578125" bestFit="1" customWidth="1"/>
    <col min="6832" max="6832" width="12.28515625" bestFit="1" customWidth="1"/>
    <col min="6833" max="6833" width="14.42578125" bestFit="1" customWidth="1"/>
    <col min="6834" max="6834" width="11.28515625" bestFit="1" customWidth="1"/>
    <col min="6835" max="6835" width="12.28515625" bestFit="1" customWidth="1"/>
    <col min="6836" max="6836" width="13" bestFit="1" customWidth="1"/>
    <col min="6837" max="6837" width="15.140625" bestFit="1" customWidth="1"/>
    <col min="6838" max="6838" width="12.28515625" bestFit="1" customWidth="1"/>
    <col min="6839" max="6839" width="13.85546875" bestFit="1" customWidth="1"/>
    <col min="6840" max="6840" width="11.28515625" bestFit="1" customWidth="1"/>
    <col min="6841" max="6841" width="12.28515625" bestFit="1" customWidth="1"/>
    <col min="6842" max="6842" width="13.85546875" bestFit="1" customWidth="1"/>
    <col min="6843" max="6844" width="15.140625" bestFit="1" customWidth="1"/>
    <col min="6845" max="6845" width="12.28515625" bestFit="1" customWidth="1"/>
    <col min="6846" max="6846" width="5.7109375" bestFit="1" customWidth="1"/>
    <col min="6847" max="6847" width="8.5703125" bestFit="1" customWidth="1"/>
    <col min="6848" max="6848" width="5.5703125" bestFit="1" customWidth="1"/>
    <col min="6849" max="6849" width="14.42578125" bestFit="1" customWidth="1"/>
    <col min="6850" max="6850" width="11.28515625" bestFit="1" customWidth="1"/>
    <col min="6851" max="6852" width="12.28515625" bestFit="1" customWidth="1"/>
    <col min="6853" max="6853" width="11.28515625" bestFit="1" customWidth="1"/>
    <col min="6854" max="6854" width="13.85546875" bestFit="1" customWidth="1"/>
    <col min="6855" max="6855" width="12" bestFit="1" customWidth="1"/>
    <col min="6856" max="6856" width="13.85546875" bestFit="1" customWidth="1"/>
    <col min="6857" max="6858" width="14.42578125" customWidth="1"/>
    <col min="6859" max="6859" width="10.140625" bestFit="1" customWidth="1"/>
    <col min="6860" max="6860" width="12.28515625" bestFit="1" customWidth="1"/>
    <col min="6861" max="6861" width="7.42578125" bestFit="1" customWidth="1"/>
    <col min="6862" max="6862" width="8.5703125" bestFit="1" customWidth="1"/>
    <col min="6863" max="6863" width="11.5703125" bestFit="1" customWidth="1"/>
    <col min="6864" max="6864" width="13.28515625" bestFit="1" customWidth="1"/>
    <col min="6865" max="6865" width="13.28515625" customWidth="1"/>
    <col min="6866" max="6866" width="13.140625" customWidth="1"/>
    <col min="6867" max="6867" width="12.7109375" bestFit="1" customWidth="1"/>
    <col min="6868" max="6868" width="13.28515625" bestFit="1" customWidth="1"/>
    <col min="6869" max="6871" width="13.28515625" customWidth="1"/>
    <col min="6872" max="6872" width="12.140625" bestFit="1" customWidth="1"/>
    <col min="6873" max="6873" width="12.7109375" bestFit="1" customWidth="1"/>
    <col min="6874" max="6874" width="11" customWidth="1"/>
    <col min="6875" max="6875" width="16.7109375" customWidth="1"/>
    <col min="6876" max="6876" width="17" customWidth="1"/>
    <col min="6877" max="6877" width="10.42578125" bestFit="1" customWidth="1"/>
    <col min="6921" max="6921" width="3.85546875" customWidth="1"/>
    <col min="6922" max="6922" width="15.28515625" bestFit="1" customWidth="1"/>
    <col min="6923" max="6923" width="12.28515625" customWidth="1"/>
    <col min="6924" max="6924" width="16.28515625" bestFit="1" customWidth="1"/>
    <col min="6925" max="6925" width="6.42578125" bestFit="1" customWidth="1"/>
    <col min="6926" max="6926" width="9.28515625" bestFit="1" customWidth="1"/>
    <col min="6927" max="6927" width="7.5703125" bestFit="1" customWidth="1"/>
    <col min="6928" max="6928" width="13.28515625" bestFit="1" customWidth="1"/>
    <col min="6929" max="6929" width="9.28515625" bestFit="1" customWidth="1"/>
    <col min="6930" max="6930" width="11.5703125" bestFit="1" customWidth="1"/>
    <col min="6931" max="6931" width="13.28515625" bestFit="1" customWidth="1"/>
    <col min="6932" max="6932" width="7.140625" bestFit="1" customWidth="1"/>
    <col min="6933" max="6933" width="12" bestFit="1" customWidth="1"/>
    <col min="6934" max="6934" width="13.28515625" bestFit="1" customWidth="1"/>
    <col min="6935" max="6935" width="7" bestFit="1" customWidth="1"/>
    <col min="6936" max="6936" width="12.7109375" bestFit="1" customWidth="1"/>
    <col min="6937" max="6937" width="11.5703125" bestFit="1" customWidth="1"/>
    <col min="6938" max="6938" width="10.5703125" bestFit="1" customWidth="1"/>
    <col min="6939" max="6940" width="15.7109375" bestFit="1" customWidth="1"/>
    <col min="6941" max="6941" width="11.5703125" bestFit="1" customWidth="1"/>
    <col min="6942" max="6942" width="7.7109375" bestFit="1" customWidth="1"/>
    <col min="6943" max="6943" width="15.140625" bestFit="1" customWidth="1"/>
    <col min="6944" max="6944" width="11.5703125" bestFit="1" customWidth="1"/>
    <col min="6945" max="6945" width="13.28515625" bestFit="1" customWidth="1"/>
    <col min="6946" max="6946" width="10.42578125" bestFit="1" customWidth="1"/>
    <col min="6947" max="6947" width="13.28515625" bestFit="1" customWidth="1"/>
    <col min="6948" max="6948" width="12.140625" bestFit="1" customWidth="1"/>
    <col min="6949" max="6949" width="14.42578125" bestFit="1" customWidth="1"/>
    <col min="6950" max="6950" width="13.28515625" bestFit="1" customWidth="1"/>
    <col min="6951" max="6951" width="11.5703125" bestFit="1" customWidth="1"/>
    <col min="6952" max="6952" width="7.7109375" bestFit="1" customWidth="1"/>
    <col min="6953" max="6954" width="14.42578125" bestFit="1" customWidth="1"/>
    <col min="6955" max="6955" width="11.5703125" bestFit="1" customWidth="1"/>
    <col min="6956" max="6956" width="7.7109375" bestFit="1" customWidth="1"/>
    <col min="6957" max="6957" width="13.5703125" customWidth="1"/>
    <col min="6958" max="6958" width="15.28515625" customWidth="1"/>
    <col min="6959" max="6959" width="14.5703125" customWidth="1"/>
    <col min="6960" max="6960" width="13.28515625" bestFit="1" customWidth="1"/>
    <col min="6961" max="6961" width="7.7109375" bestFit="1" customWidth="1"/>
    <col min="6962" max="6962" width="12.7109375" bestFit="1" customWidth="1"/>
    <col min="6963" max="6963" width="11.7109375" bestFit="1" customWidth="1"/>
    <col min="6964" max="6964" width="11.5703125" bestFit="1" customWidth="1"/>
    <col min="6965" max="6965" width="5.28515625" bestFit="1" customWidth="1"/>
    <col min="6966" max="6966" width="13.28515625" bestFit="1" customWidth="1"/>
    <col min="6967" max="6967" width="13.5703125" bestFit="1" customWidth="1"/>
    <col min="6968" max="6968" width="10.5703125" bestFit="1" customWidth="1"/>
    <col min="6969" max="6969" width="13.28515625" bestFit="1" customWidth="1"/>
    <col min="6970" max="6970" width="11.5703125" bestFit="1" customWidth="1"/>
    <col min="6971" max="6971" width="10.5703125" bestFit="1" customWidth="1"/>
    <col min="6972" max="6972" width="16.140625" bestFit="1" customWidth="1"/>
    <col min="6973" max="6974" width="11.28515625" bestFit="1" customWidth="1"/>
    <col min="6975" max="6975" width="13.28515625" bestFit="1" customWidth="1"/>
    <col min="6976" max="6976" width="7.7109375" bestFit="1" customWidth="1"/>
    <col min="6977" max="6980" width="9.140625" hidden="1" customWidth="1"/>
    <col min="6981" max="6981" width="10.42578125" bestFit="1" customWidth="1"/>
    <col min="6982" max="6982" width="10.5703125" bestFit="1" customWidth="1"/>
    <col min="6983" max="6983" width="10.42578125" bestFit="1" customWidth="1"/>
    <col min="6984" max="6984" width="10.5703125" bestFit="1" customWidth="1"/>
    <col min="6985" max="6985" width="9.5703125" bestFit="1" customWidth="1"/>
    <col min="6986" max="6986" width="11.5703125" bestFit="1" customWidth="1"/>
    <col min="6987" max="6987" width="10.42578125" bestFit="1" customWidth="1"/>
    <col min="6988" max="6988" width="10.85546875" customWidth="1"/>
    <col min="6989" max="6990" width="9.85546875" bestFit="1" customWidth="1"/>
    <col min="6991" max="6991" width="13.5703125" bestFit="1" customWidth="1"/>
    <col min="6992" max="6992" width="7.7109375" bestFit="1" customWidth="1"/>
    <col min="6993" max="6993" width="13.28515625" bestFit="1" customWidth="1"/>
    <col min="6994" max="6994" width="11.5703125" bestFit="1" customWidth="1"/>
    <col min="6995" max="6995" width="10.42578125" bestFit="1" customWidth="1"/>
    <col min="6996" max="6996" width="7.7109375" bestFit="1" customWidth="1"/>
    <col min="6997" max="6997" width="11.5703125" bestFit="1" customWidth="1"/>
    <col min="6998" max="6998" width="10.85546875" bestFit="1" customWidth="1"/>
    <col min="6999" max="6999" width="13.28515625" bestFit="1" customWidth="1"/>
    <col min="7000" max="7000" width="10.85546875" bestFit="1" customWidth="1"/>
    <col min="7001" max="7002" width="7.5703125" bestFit="1" customWidth="1"/>
    <col min="7003" max="7004" width="10.42578125" bestFit="1" customWidth="1"/>
    <col min="7005" max="7005" width="11.5703125" bestFit="1" customWidth="1"/>
    <col min="7006" max="7006" width="5.28515625" bestFit="1" customWidth="1"/>
    <col min="7007" max="7007" width="10.28515625" bestFit="1" customWidth="1"/>
    <col min="7008" max="7008" width="10.42578125" bestFit="1" customWidth="1"/>
    <col min="7009" max="7009" width="11.5703125" bestFit="1" customWidth="1"/>
    <col min="7010" max="7010" width="5.28515625" bestFit="1" customWidth="1"/>
    <col min="7011" max="7013" width="11.5703125" bestFit="1" customWidth="1"/>
    <col min="7014" max="7014" width="5.28515625" bestFit="1" customWidth="1"/>
    <col min="7015" max="7016" width="10.42578125" bestFit="1" customWidth="1"/>
    <col min="7017" max="7017" width="11.5703125" bestFit="1" customWidth="1"/>
    <col min="7018" max="7018" width="5.28515625" bestFit="1" customWidth="1"/>
    <col min="7019" max="7019" width="14.28515625" bestFit="1" customWidth="1"/>
    <col min="7020" max="7020" width="13" bestFit="1" customWidth="1"/>
    <col min="7021" max="7021" width="11.5703125" bestFit="1" customWidth="1"/>
    <col min="7022" max="7022" width="8.85546875" bestFit="1" customWidth="1"/>
    <col min="7023" max="7023" width="14.42578125" bestFit="1" customWidth="1"/>
    <col min="7024" max="7024" width="10.42578125" bestFit="1" customWidth="1"/>
    <col min="7025" max="7025" width="12.28515625" bestFit="1" customWidth="1"/>
    <col min="7026" max="7026" width="13.85546875" bestFit="1" customWidth="1"/>
    <col min="7027" max="7027" width="11.28515625" customWidth="1"/>
    <col min="7028" max="7028" width="11.5703125" customWidth="1"/>
    <col min="7029" max="7029" width="13.42578125" bestFit="1" customWidth="1"/>
    <col min="7030" max="7030" width="10.42578125" customWidth="1"/>
    <col min="7031" max="7031" width="13.85546875" bestFit="1" customWidth="1"/>
    <col min="7032" max="7032" width="15.42578125" bestFit="1" customWidth="1"/>
    <col min="7033" max="7033" width="12.28515625" bestFit="1" customWidth="1"/>
    <col min="7034" max="7034" width="12.7109375" customWidth="1"/>
    <col min="7035" max="7035" width="10.7109375" bestFit="1" customWidth="1"/>
    <col min="7036" max="7036" width="9.85546875" customWidth="1"/>
    <col min="7037" max="7038" width="10.140625" bestFit="1" customWidth="1"/>
    <col min="7039" max="7039" width="7.5703125" bestFit="1" customWidth="1"/>
    <col min="7040" max="7040" width="9.42578125" bestFit="1" customWidth="1"/>
    <col min="7041" max="7041" width="14.5703125" bestFit="1" customWidth="1"/>
    <col min="7042" max="7042" width="14.85546875" customWidth="1"/>
    <col min="7043" max="7043" width="15.140625" bestFit="1" customWidth="1"/>
    <col min="7044" max="7044" width="12.140625" bestFit="1" customWidth="1"/>
    <col min="7045" max="7045" width="14.85546875" bestFit="1" customWidth="1"/>
    <col min="7046" max="7046" width="12.28515625" bestFit="1" customWidth="1"/>
    <col min="7047" max="7055" width="9.140625" hidden="1" customWidth="1"/>
    <col min="7056" max="7056" width="5.28515625" bestFit="1" customWidth="1"/>
    <col min="7057" max="7062" width="11.5703125" bestFit="1" customWidth="1"/>
    <col min="7063" max="7063" width="11.28515625" bestFit="1" customWidth="1"/>
    <col min="7064" max="7064" width="10.140625" bestFit="1" customWidth="1"/>
    <col min="7065" max="7065" width="11.5703125" bestFit="1" customWidth="1"/>
    <col min="7066" max="7066" width="16.140625" customWidth="1"/>
    <col min="7067" max="7067" width="13.42578125" customWidth="1"/>
    <col min="7068" max="7068" width="10.140625" bestFit="1" customWidth="1"/>
    <col min="7069" max="7069" width="12.85546875" bestFit="1" customWidth="1"/>
    <col min="7070" max="7070" width="12.28515625" bestFit="1" customWidth="1"/>
    <col min="7071" max="7071" width="11.28515625" bestFit="1" customWidth="1"/>
    <col min="7072" max="7072" width="11.5703125" bestFit="1" customWidth="1"/>
    <col min="7073" max="7073" width="10.85546875" bestFit="1" customWidth="1"/>
    <col min="7074" max="7074" width="11.28515625" bestFit="1" customWidth="1"/>
    <col min="7075" max="7075" width="10.140625" bestFit="1" customWidth="1"/>
    <col min="7076" max="7076" width="13.28515625" bestFit="1" customWidth="1"/>
    <col min="7077" max="7078" width="12.7109375" bestFit="1" customWidth="1"/>
    <col min="7079" max="7079" width="11" bestFit="1" customWidth="1"/>
    <col min="7080" max="7080" width="11.28515625" bestFit="1" customWidth="1"/>
    <col min="7081" max="7081" width="11.5703125" bestFit="1" customWidth="1"/>
    <col min="7082" max="7082" width="12.28515625" bestFit="1" customWidth="1"/>
    <col min="7083" max="7083" width="15.140625" bestFit="1" customWidth="1"/>
    <col min="7084" max="7084" width="14.42578125" bestFit="1" customWidth="1"/>
    <col min="7085" max="7085" width="12.28515625" bestFit="1" customWidth="1"/>
    <col min="7086" max="7086" width="15.140625" bestFit="1" customWidth="1"/>
    <col min="7087" max="7087" width="14.42578125" bestFit="1" customWidth="1"/>
    <col min="7088" max="7088" width="12.28515625" bestFit="1" customWidth="1"/>
    <col min="7089" max="7089" width="14.42578125" bestFit="1" customWidth="1"/>
    <col min="7090" max="7090" width="11.28515625" bestFit="1" customWidth="1"/>
    <col min="7091" max="7091" width="12.28515625" bestFit="1" customWidth="1"/>
    <col min="7092" max="7092" width="13" bestFit="1" customWidth="1"/>
    <col min="7093" max="7093" width="15.140625" bestFit="1" customWidth="1"/>
    <col min="7094" max="7094" width="12.28515625" bestFit="1" customWidth="1"/>
    <col min="7095" max="7095" width="13.85546875" bestFit="1" customWidth="1"/>
    <col min="7096" max="7096" width="11.28515625" bestFit="1" customWidth="1"/>
    <col min="7097" max="7097" width="12.28515625" bestFit="1" customWidth="1"/>
    <col min="7098" max="7098" width="13.85546875" bestFit="1" customWidth="1"/>
    <col min="7099" max="7100" width="15.140625" bestFit="1" customWidth="1"/>
    <col min="7101" max="7101" width="12.28515625" bestFit="1" customWidth="1"/>
    <col min="7102" max="7102" width="5.7109375" bestFit="1" customWidth="1"/>
    <col min="7103" max="7103" width="8.5703125" bestFit="1" customWidth="1"/>
    <col min="7104" max="7104" width="5.5703125" bestFit="1" customWidth="1"/>
    <col min="7105" max="7105" width="14.42578125" bestFit="1" customWidth="1"/>
    <col min="7106" max="7106" width="11.28515625" bestFit="1" customWidth="1"/>
    <col min="7107" max="7108" width="12.28515625" bestFit="1" customWidth="1"/>
    <col min="7109" max="7109" width="11.28515625" bestFit="1" customWidth="1"/>
    <col min="7110" max="7110" width="13.85546875" bestFit="1" customWidth="1"/>
    <col min="7111" max="7111" width="12" bestFit="1" customWidth="1"/>
    <col min="7112" max="7112" width="13.85546875" bestFit="1" customWidth="1"/>
    <col min="7113" max="7114" width="14.42578125" customWidth="1"/>
    <col min="7115" max="7115" width="10.140625" bestFit="1" customWidth="1"/>
    <col min="7116" max="7116" width="12.28515625" bestFit="1" customWidth="1"/>
    <col min="7117" max="7117" width="7.42578125" bestFit="1" customWidth="1"/>
    <col min="7118" max="7118" width="8.5703125" bestFit="1" customWidth="1"/>
    <col min="7119" max="7119" width="11.5703125" bestFit="1" customWidth="1"/>
    <col min="7120" max="7120" width="13.28515625" bestFit="1" customWidth="1"/>
    <col min="7121" max="7121" width="13.28515625" customWidth="1"/>
    <col min="7122" max="7122" width="13.140625" customWidth="1"/>
    <col min="7123" max="7123" width="12.7109375" bestFit="1" customWidth="1"/>
    <col min="7124" max="7124" width="13.28515625" bestFit="1" customWidth="1"/>
    <col min="7125" max="7127" width="13.28515625" customWidth="1"/>
    <col min="7128" max="7128" width="12.140625" bestFit="1" customWidth="1"/>
    <col min="7129" max="7129" width="12.7109375" bestFit="1" customWidth="1"/>
    <col min="7130" max="7130" width="11" customWidth="1"/>
    <col min="7131" max="7131" width="16.7109375" customWidth="1"/>
    <col min="7132" max="7132" width="17" customWidth="1"/>
    <col min="7133" max="7133" width="10.42578125" bestFit="1" customWidth="1"/>
    <col min="7177" max="7177" width="3.85546875" customWidth="1"/>
    <col min="7178" max="7178" width="15.28515625" bestFit="1" customWidth="1"/>
    <col min="7179" max="7179" width="12.28515625" customWidth="1"/>
    <col min="7180" max="7180" width="16.28515625" bestFit="1" customWidth="1"/>
    <col min="7181" max="7181" width="6.42578125" bestFit="1" customWidth="1"/>
    <col min="7182" max="7182" width="9.28515625" bestFit="1" customWidth="1"/>
    <col min="7183" max="7183" width="7.5703125" bestFit="1" customWidth="1"/>
    <col min="7184" max="7184" width="13.28515625" bestFit="1" customWidth="1"/>
    <col min="7185" max="7185" width="9.28515625" bestFit="1" customWidth="1"/>
    <col min="7186" max="7186" width="11.5703125" bestFit="1" customWidth="1"/>
    <col min="7187" max="7187" width="13.28515625" bestFit="1" customWidth="1"/>
    <col min="7188" max="7188" width="7.140625" bestFit="1" customWidth="1"/>
    <col min="7189" max="7189" width="12" bestFit="1" customWidth="1"/>
    <col min="7190" max="7190" width="13.28515625" bestFit="1" customWidth="1"/>
    <col min="7191" max="7191" width="7" bestFit="1" customWidth="1"/>
    <col min="7192" max="7192" width="12.7109375" bestFit="1" customWidth="1"/>
    <col min="7193" max="7193" width="11.5703125" bestFit="1" customWidth="1"/>
    <col min="7194" max="7194" width="10.5703125" bestFit="1" customWidth="1"/>
    <col min="7195" max="7196" width="15.7109375" bestFit="1" customWidth="1"/>
    <col min="7197" max="7197" width="11.5703125" bestFit="1" customWidth="1"/>
    <col min="7198" max="7198" width="7.7109375" bestFit="1" customWidth="1"/>
    <col min="7199" max="7199" width="15.140625" bestFit="1" customWidth="1"/>
    <col min="7200" max="7200" width="11.5703125" bestFit="1" customWidth="1"/>
    <col min="7201" max="7201" width="13.28515625" bestFit="1" customWidth="1"/>
    <col min="7202" max="7202" width="10.42578125" bestFit="1" customWidth="1"/>
    <col min="7203" max="7203" width="13.28515625" bestFit="1" customWidth="1"/>
    <col min="7204" max="7204" width="12.140625" bestFit="1" customWidth="1"/>
    <col min="7205" max="7205" width="14.42578125" bestFit="1" customWidth="1"/>
    <col min="7206" max="7206" width="13.28515625" bestFit="1" customWidth="1"/>
    <col min="7207" max="7207" width="11.5703125" bestFit="1" customWidth="1"/>
    <col min="7208" max="7208" width="7.7109375" bestFit="1" customWidth="1"/>
    <col min="7209" max="7210" width="14.42578125" bestFit="1" customWidth="1"/>
    <col min="7211" max="7211" width="11.5703125" bestFit="1" customWidth="1"/>
    <col min="7212" max="7212" width="7.7109375" bestFit="1" customWidth="1"/>
    <col min="7213" max="7213" width="13.5703125" customWidth="1"/>
    <col min="7214" max="7214" width="15.28515625" customWidth="1"/>
    <col min="7215" max="7215" width="14.5703125" customWidth="1"/>
    <col min="7216" max="7216" width="13.28515625" bestFit="1" customWidth="1"/>
    <col min="7217" max="7217" width="7.7109375" bestFit="1" customWidth="1"/>
    <col min="7218" max="7218" width="12.7109375" bestFit="1" customWidth="1"/>
    <col min="7219" max="7219" width="11.7109375" bestFit="1" customWidth="1"/>
    <col min="7220" max="7220" width="11.5703125" bestFit="1" customWidth="1"/>
    <col min="7221" max="7221" width="5.28515625" bestFit="1" customWidth="1"/>
    <col min="7222" max="7222" width="13.28515625" bestFit="1" customWidth="1"/>
    <col min="7223" max="7223" width="13.5703125" bestFit="1" customWidth="1"/>
    <col min="7224" max="7224" width="10.5703125" bestFit="1" customWidth="1"/>
    <col min="7225" max="7225" width="13.28515625" bestFit="1" customWidth="1"/>
    <col min="7226" max="7226" width="11.5703125" bestFit="1" customWidth="1"/>
    <col min="7227" max="7227" width="10.5703125" bestFit="1" customWidth="1"/>
    <col min="7228" max="7228" width="16.140625" bestFit="1" customWidth="1"/>
    <col min="7229" max="7230" width="11.28515625" bestFit="1" customWidth="1"/>
    <col min="7231" max="7231" width="13.28515625" bestFit="1" customWidth="1"/>
    <col min="7232" max="7232" width="7.7109375" bestFit="1" customWidth="1"/>
    <col min="7233" max="7236" width="9.140625" hidden="1" customWidth="1"/>
    <col min="7237" max="7237" width="10.42578125" bestFit="1" customWidth="1"/>
    <col min="7238" max="7238" width="10.5703125" bestFit="1" customWidth="1"/>
    <col min="7239" max="7239" width="10.42578125" bestFit="1" customWidth="1"/>
    <col min="7240" max="7240" width="10.5703125" bestFit="1" customWidth="1"/>
    <col min="7241" max="7241" width="9.5703125" bestFit="1" customWidth="1"/>
    <col min="7242" max="7242" width="11.5703125" bestFit="1" customWidth="1"/>
    <col min="7243" max="7243" width="10.42578125" bestFit="1" customWidth="1"/>
    <col min="7244" max="7244" width="10.85546875" customWidth="1"/>
    <col min="7245" max="7246" width="9.85546875" bestFit="1" customWidth="1"/>
    <col min="7247" max="7247" width="13.5703125" bestFit="1" customWidth="1"/>
    <col min="7248" max="7248" width="7.7109375" bestFit="1" customWidth="1"/>
    <col min="7249" max="7249" width="13.28515625" bestFit="1" customWidth="1"/>
    <col min="7250" max="7250" width="11.5703125" bestFit="1" customWidth="1"/>
    <col min="7251" max="7251" width="10.42578125" bestFit="1" customWidth="1"/>
    <col min="7252" max="7252" width="7.7109375" bestFit="1" customWidth="1"/>
    <col min="7253" max="7253" width="11.5703125" bestFit="1" customWidth="1"/>
    <col min="7254" max="7254" width="10.85546875" bestFit="1" customWidth="1"/>
    <col min="7255" max="7255" width="13.28515625" bestFit="1" customWidth="1"/>
    <col min="7256" max="7256" width="10.85546875" bestFit="1" customWidth="1"/>
    <col min="7257" max="7258" width="7.5703125" bestFit="1" customWidth="1"/>
    <col min="7259" max="7260" width="10.42578125" bestFit="1" customWidth="1"/>
    <col min="7261" max="7261" width="11.5703125" bestFit="1" customWidth="1"/>
    <col min="7262" max="7262" width="5.28515625" bestFit="1" customWidth="1"/>
    <col min="7263" max="7263" width="10.28515625" bestFit="1" customWidth="1"/>
    <col min="7264" max="7264" width="10.42578125" bestFit="1" customWidth="1"/>
    <col min="7265" max="7265" width="11.5703125" bestFit="1" customWidth="1"/>
    <col min="7266" max="7266" width="5.28515625" bestFit="1" customWidth="1"/>
    <col min="7267" max="7269" width="11.5703125" bestFit="1" customWidth="1"/>
    <col min="7270" max="7270" width="5.28515625" bestFit="1" customWidth="1"/>
    <col min="7271" max="7272" width="10.42578125" bestFit="1" customWidth="1"/>
    <col min="7273" max="7273" width="11.5703125" bestFit="1" customWidth="1"/>
    <col min="7274" max="7274" width="5.28515625" bestFit="1" customWidth="1"/>
    <col min="7275" max="7275" width="14.28515625" bestFit="1" customWidth="1"/>
    <col min="7276" max="7276" width="13" bestFit="1" customWidth="1"/>
    <col min="7277" max="7277" width="11.5703125" bestFit="1" customWidth="1"/>
    <col min="7278" max="7278" width="8.85546875" bestFit="1" customWidth="1"/>
    <col min="7279" max="7279" width="14.42578125" bestFit="1" customWidth="1"/>
    <col min="7280" max="7280" width="10.42578125" bestFit="1" customWidth="1"/>
    <col min="7281" max="7281" width="12.28515625" bestFit="1" customWidth="1"/>
    <col min="7282" max="7282" width="13.85546875" bestFit="1" customWidth="1"/>
    <col min="7283" max="7283" width="11.28515625" customWidth="1"/>
    <col min="7284" max="7284" width="11.5703125" customWidth="1"/>
    <col min="7285" max="7285" width="13.42578125" bestFit="1" customWidth="1"/>
    <col min="7286" max="7286" width="10.42578125" customWidth="1"/>
    <col min="7287" max="7287" width="13.85546875" bestFit="1" customWidth="1"/>
    <col min="7288" max="7288" width="15.42578125" bestFit="1" customWidth="1"/>
    <col min="7289" max="7289" width="12.28515625" bestFit="1" customWidth="1"/>
    <col min="7290" max="7290" width="12.7109375" customWidth="1"/>
    <col min="7291" max="7291" width="10.7109375" bestFit="1" customWidth="1"/>
    <col min="7292" max="7292" width="9.85546875" customWidth="1"/>
    <col min="7293" max="7294" width="10.140625" bestFit="1" customWidth="1"/>
    <col min="7295" max="7295" width="7.5703125" bestFit="1" customWidth="1"/>
    <col min="7296" max="7296" width="9.42578125" bestFit="1" customWidth="1"/>
    <col min="7297" max="7297" width="14.5703125" bestFit="1" customWidth="1"/>
    <col min="7298" max="7298" width="14.85546875" customWidth="1"/>
    <col min="7299" max="7299" width="15.140625" bestFit="1" customWidth="1"/>
    <col min="7300" max="7300" width="12.140625" bestFit="1" customWidth="1"/>
    <col min="7301" max="7301" width="14.85546875" bestFit="1" customWidth="1"/>
    <col min="7302" max="7302" width="12.28515625" bestFit="1" customWidth="1"/>
    <col min="7303" max="7311" width="9.140625" hidden="1" customWidth="1"/>
    <col min="7312" max="7312" width="5.28515625" bestFit="1" customWidth="1"/>
    <col min="7313" max="7318" width="11.5703125" bestFit="1" customWidth="1"/>
    <col min="7319" max="7319" width="11.28515625" bestFit="1" customWidth="1"/>
    <col min="7320" max="7320" width="10.140625" bestFit="1" customWidth="1"/>
    <col min="7321" max="7321" width="11.5703125" bestFit="1" customWidth="1"/>
    <col min="7322" max="7322" width="16.140625" customWidth="1"/>
    <col min="7323" max="7323" width="13.42578125" customWidth="1"/>
    <col min="7324" max="7324" width="10.140625" bestFit="1" customWidth="1"/>
    <col min="7325" max="7325" width="12.85546875" bestFit="1" customWidth="1"/>
    <col min="7326" max="7326" width="12.28515625" bestFit="1" customWidth="1"/>
    <col min="7327" max="7327" width="11.28515625" bestFit="1" customWidth="1"/>
    <col min="7328" max="7328" width="11.5703125" bestFit="1" customWidth="1"/>
    <col min="7329" max="7329" width="10.85546875" bestFit="1" customWidth="1"/>
    <col min="7330" max="7330" width="11.28515625" bestFit="1" customWidth="1"/>
    <col min="7331" max="7331" width="10.140625" bestFit="1" customWidth="1"/>
    <col min="7332" max="7332" width="13.28515625" bestFit="1" customWidth="1"/>
    <col min="7333" max="7334" width="12.7109375" bestFit="1" customWidth="1"/>
    <col min="7335" max="7335" width="11" bestFit="1" customWidth="1"/>
    <col min="7336" max="7336" width="11.28515625" bestFit="1" customWidth="1"/>
    <col min="7337" max="7337" width="11.5703125" bestFit="1" customWidth="1"/>
    <col min="7338" max="7338" width="12.28515625" bestFit="1" customWidth="1"/>
    <col min="7339" max="7339" width="15.140625" bestFit="1" customWidth="1"/>
    <col min="7340" max="7340" width="14.42578125" bestFit="1" customWidth="1"/>
    <col min="7341" max="7341" width="12.28515625" bestFit="1" customWidth="1"/>
    <col min="7342" max="7342" width="15.140625" bestFit="1" customWidth="1"/>
    <col min="7343" max="7343" width="14.42578125" bestFit="1" customWidth="1"/>
    <col min="7344" max="7344" width="12.28515625" bestFit="1" customWidth="1"/>
    <col min="7345" max="7345" width="14.42578125" bestFit="1" customWidth="1"/>
    <col min="7346" max="7346" width="11.28515625" bestFit="1" customWidth="1"/>
    <col min="7347" max="7347" width="12.28515625" bestFit="1" customWidth="1"/>
    <col min="7348" max="7348" width="13" bestFit="1" customWidth="1"/>
    <col min="7349" max="7349" width="15.140625" bestFit="1" customWidth="1"/>
    <col min="7350" max="7350" width="12.28515625" bestFit="1" customWidth="1"/>
    <col min="7351" max="7351" width="13.85546875" bestFit="1" customWidth="1"/>
    <col min="7352" max="7352" width="11.28515625" bestFit="1" customWidth="1"/>
    <col min="7353" max="7353" width="12.28515625" bestFit="1" customWidth="1"/>
    <col min="7354" max="7354" width="13.85546875" bestFit="1" customWidth="1"/>
    <col min="7355" max="7356" width="15.140625" bestFit="1" customWidth="1"/>
    <col min="7357" max="7357" width="12.28515625" bestFit="1" customWidth="1"/>
    <col min="7358" max="7358" width="5.7109375" bestFit="1" customWidth="1"/>
    <col min="7359" max="7359" width="8.5703125" bestFit="1" customWidth="1"/>
    <col min="7360" max="7360" width="5.5703125" bestFit="1" customWidth="1"/>
    <col min="7361" max="7361" width="14.42578125" bestFit="1" customWidth="1"/>
    <col min="7362" max="7362" width="11.28515625" bestFit="1" customWidth="1"/>
    <col min="7363" max="7364" width="12.28515625" bestFit="1" customWidth="1"/>
    <col min="7365" max="7365" width="11.28515625" bestFit="1" customWidth="1"/>
    <col min="7366" max="7366" width="13.85546875" bestFit="1" customWidth="1"/>
    <col min="7367" max="7367" width="12" bestFit="1" customWidth="1"/>
    <col min="7368" max="7368" width="13.85546875" bestFit="1" customWidth="1"/>
    <col min="7369" max="7370" width="14.42578125" customWidth="1"/>
    <col min="7371" max="7371" width="10.140625" bestFit="1" customWidth="1"/>
    <col min="7372" max="7372" width="12.28515625" bestFit="1" customWidth="1"/>
    <col min="7373" max="7373" width="7.42578125" bestFit="1" customWidth="1"/>
    <col min="7374" max="7374" width="8.5703125" bestFit="1" customWidth="1"/>
    <col min="7375" max="7375" width="11.5703125" bestFit="1" customWidth="1"/>
    <col min="7376" max="7376" width="13.28515625" bestFit="1" customWidth="1"/>
    <col min="7377" max="7377" width="13.28515625" customWidth="1"/>
    <col min="7378" max="7378" width="13.140625" customWidth="1"/>
    <col min="7379" max="7379" width="12.7109375" bestFit="1" customWidth="1"/>
    <col min="7380" max="7380" width="13.28515625" bestFit="1" customWidth="1"/>
    <col min="7381" max="7383" width="13.28515625" customWidth="1"/>
    <col min="7384" max="7384" width="12.140625" bestFit="1" customWidth="1"/>
    <col min="7385" max="7385" width="12.7109375" bestFit="1" customWidth="1"/>
    <col min="7386" max="7386" width="11" customWidth="1"/>
    <col min="7387" max="7387" width="16.7109375" customWidth="1"/>
    <col min="7388" max="7388" width="17" customWidth="1"/>
    <col min="7389" max="7389" width="10.42578125" bestFit="1" customWidth="1"/>
    <col min="7433" max="7433" width="3.85546875" customWidth="1"/>
    <col min="7434" max="7434" width="15.28515625" bestFit="1" customWidth="1"/>
    <col min="7435" max="7435" width="12.28515625" customWidth="1"/>
    <col min="7436" max="7436" width="16.28515625" bestFit="1" customWidth="1"/>
    <col min="7437" max="7437" width="6.42578125" bestFit="1" customWidth="1"/>
    <col min="7438" max="7438" width="9.28515625" bestFit="1" customWidth="1"/>
    <col min="7439" max="7439" width="7.5703125" bestFit="1" customWidth="1"/>
    <col min="7440" max="7440" width="13.28515625" bestFit="1" customWidth="1"/>
    <col min="7441" max="7441" width="9.28515625" bestFit="1" customWidth="1"/>
    <col min="7442" max="7442" width="11.5703125" bestFit="1" customWidth="1"/>
    <col min="7443" max="7443" width="13.28515625" bestFit="1" customWidth="1"/>
    <col min="7444" max="7444" width="7.140625" bestFit="1" customWidth="1"/>
    <col min="7445" max="7445" width="12" bestFit="1" customWidth="1"/>
    <col min="7446" max="7446" width="13.28515625" bestFit="1" customWidth="1"/>
    <col min="7447" max="7447" width="7" bestFit="1" customWidth="1"/>
    <col min="7448" max="7448" width="12.7109375" bestFit="1" customWidth="1"/>
    <col min="7449" max="7449" width="11.5703125" bestFit="1" customWidth="1"/>
    <col min="7450" max="7450" width="10.5703125" bestFit="1" customWidth="1"/>
    <col min="7451" max="7452" width="15.7109375" bestFit="1" customWidth="1"/>
    <col min="7453" max="7453" width="11.5703125" bestFit="1" customWidth="1"/>
    <col min="7454" max="7454" width="7.7109375" bestFit="1" customWidth="1"/>
    <col min="7455" max="7455" width="15.140625" bestFit="1" customWidth="1"/>
    <col min="7456" max="7456" width="11.5703125" bestFit="1" customWidth="1"/>
    <col min="7457" max="7457" width="13.28515625" bestFit="1" customWidth="1"/>
    <col min="7458" max="7458" width="10.42578125" bestFit="1" customWidth="1"/>
    <col min="7459" max="7459" width="13.28515625" bestFit="1" customWidth="1"/>
    <col min="7460" max="7460" width="12.140625" bestFit="1" customWidth="1"/>
    <col min="7461" max="7461" width="14.42578125" bestFit="1" customWidth="1"/>
    <col min="7462" max="7462" width="13.28515625" bestFit="1" customWidth="1"/>
    <col min="7463" max="7463" width="11.5703125" bestFit="1" customWidth="1"/>
    <col min="7464" max="7464" width="7.7109375" bestFit="1" customWidth="1"/>
    <col min="7465" max="7466" width="14.42578125" bestFit="1" customWidth="1"/>
    <col min="7467" max="7467" width="11.5703125" bestFit="1" customWidth="1"/>
    <col min="7468" max="7468" width="7.7109375" bestFit="1" customWidth="1"/>
    <col min="7469" max="7469" width="13.5703125" customWidth="1"/>
    <col min="7470" max="7470" width="15.28515625" customWidth="1"/>
    <col min="7471" max="7471" width="14.5703125" customWidth="1"/>
    <col min="7472" max="7472" width="13.28515625" bestFit="1" customWidth="1"/>
    <col min="7473" max="7473" width="7.7109375" bestFit="1" customWidth="1"/>
    <col min="7474" max="7474" width="12.7109375" bestFit="1" customWidth="1"/>
    <col min="7475" max="7475" width="11.7109375" bestFit="1" customWidth="1"/>
    <col min="7476" max="7476" width="11.5703125" bestFit="1" customWidth="1"/>
    <col min="7477" max="7477" width="5.28515625" bestFit="1" customWidth="1"/>
    <col min="7478" max="7478" width="13.28515625" bestFit="1" customWidth="1"/>
    <col min="7479" max="7479" width="13.5703125" bestFit="1" customWidth="1"/>
    <col min="7480" max="7480" width="10.5703125" bestFit="1" customWidth="1"/>
    <col min="7481" max="7481" width="13.28515625" bestFit="1" customWidth="1"/>
    <col min="7482" max="7482" width="11.5703125" bestFit="1" customWidth="1"/>
    <col min="7483" max="7483" width="10.5703125" bestFit="1" customWidth="1"/>
    <col min="7484" max="7484" width="16.140625" bestFit="1" customWidth="1"/>
    <col min="7485" max="7486" width="11.28515625" bestFit="1" customWidth="1"/>
    <col min="7487" max="7487" width="13.28515625" bestFit="1" customWidth="1"/>
    <col min="7488" max="7488" width="7.7109375" bestFit="1" customWidth="1"/>
    <col min="7489" max="7492" width="9.140625" hidden="1" customWidth="1"/>
    <col min="7493" max="7493" width="10.42578125" bestFit="1" customWidth="1"/>
    <col min="7494" max="7494" width="10.5703125" bestFit="1" customWidth="1"/>
    <col min="7495" max="7495" width="10.42578125" bestFit="1" customWidth="1"/>
    <col min="7496" max="7496" width="10.5703125" bestFit="1" customWidth="1"/>
    <col min="7497" max="7497" width="9.5703125" bestFit="1" customWidth="1"/>
    <col min="7498" max="7498" width="11.5703125" bestFit="1" customWidth="1"/>
    <col min="7499" max="7499" width="10.42578125" bestFit="1" customWidth="1"/>
    <col min="7500" max="7500" width="10.85546875" customWidth="1"/>
    <col min="7501" max="7502" width="9.85546875" bestFit="1" customWidth="1"/>
    <col min="7503" max="7503" width="13.5703125" bestFit="1" customWidth="1"/>
    <col min="7504" max="7504" width="7.7109375" bestFit="1" customWidth="1"/>
    <col min="7505" max="7505" width="13.28515625" bestFit="1" customWidth="1"/>
    <col min="7506" max="7506" width="11.5703125" bestFit="1" customWidth="1"/>
    <col min="7507" max="7507" width="10.42578125" bestFit="1" customWidth="1"/>
    <col min="7508" max="7508" width="7.7109375" bestFit="1" customWidth="1"/>
    <col min="7509" max="7509" width="11.5703125" bestFit="1" customWidth="1"/>
    <col min="7510" max="7510" width="10.85546875" bestFit="1" customWidth="1"/>
    <col min="7511" max="7511" width="13.28515625" bestFit="1" customWidth="1"/>
    <col min="7512" max="7512" width="10.85546875" bestFit="1" customWidth="1"/>
    <col min="7513" max="7514" width="7.5703125" bestFit="1" customWidth="1"/>
    <col min="7515" max="7516" width="10.42578125" bestFit="1" customWidth="1"/>
    <col min="7517" max="7517" width="11.5703125" bestFit="1" customWidth="1"/>
    <col min="7518" max="7518" width="5.28515625" bestFit="1" customWidth="1"/>
    <col min="7519" max="7519" width="10.28515625" bestFit="1" customWidth="1"/>
    <col min="7520" max="7520" width="10.42578125" bestFit="1" customWidth="1"/>
    <col min="7521" max="7521" width="11.5703125" bestFit="1" customWidth="1"/>
    <col min="7522" max="7522" width="5.28515625" bestFit="1" customWidth="1"/>
    <col min="7523" max="7525" width="11.5703125" bestFit="1" customWidth="1"/>
    <col min="7526" max="7526" width="5.28515625" bestFit="1" customWidth="1"/>
    <col min="7527" max="7528" width="10.42578125" bestFit="1" customWidth="1"/>
    <col min="7529" max="7529" width="11.5703125" bestFit="1" customWidth="1"/>
    <col min="7530" max="7530" width="5.28515625" bestFit="1" customWidth="1"/>
    <col min="7531" max="7531" width="14.28515625" bestFit="1" customWidth="1"/>
    <col min="7532" max="7532" width="13" bestFit="1" customWidth="1"/>
    <col min="7533" max="7533" width="11.5703125" bestFit="1" customWidth="1"/>
    <col min="7534" max="7534" width="8.85546875" bestFit="1" customWidth="1"/>
    <col min="7535" max="7535" width="14.42578125" bestFit="1" customWidth="1"/>
    <col min="7536" max="7536" width="10.42578125" bestFit="1" customWidth="1"/>
    <col min="7537" max="7537" width="12.28515625" bestFit="1" customWidth="1"/>
    <col min="7538" max="7538" width="13.85546875" bestFit="1" customWidth="1"/>
    <col min="7539" max="7539" width="11.28515625" customWidth="1"/>
    <col min="7540" max="7540" width="11.5703125" customWidth="1"/>
    <col min="7541" max="7541" width="13.42578125" bestFit="1" customWidth="1"/>
    <col min="7542" max="7542" width="10.42578125" customWidth="1"/>
    <col min="7543" max="7543" width="13.85546875" bestFit="1" customWidth="1"/>
    <col min="7544" max="7544" width="15.42578125" bestFit="1" customWidth="1"/>
    <col min="7545" max="7545" width="12.28515625" bestFit="1" customWidth="1"/>
    <col min="7546" max="7546" width="12.7109375" customWidth="1"/>
    <col min="7547" max="7547" width="10.7109375" bestFit="1" customWidth="1"/>
    <col min="7548" max="7548" width="9.85546875" customWidth="1"/>
    <col min="7549" max="7550" width="10.140625" bestFit="1" customWidth="1"/>
    <col min="7551" max="7551" width="7.5703125" bestFit="1" customWidth="1"/>
    <col min="7552" max="7552" width="9.42578125" bestFit="1" customWidth="1"/>
    <col min="7553" max="7553" width="14.5703125" bestFit="1" customWidth="1"/>
    <col min="7554" max="7554" width="14.85546875" customWidth="1"/>
    <col min="7555" max="7555" width="15.140625" bestFit="1" customWidth="1"/>
    <col min="7556" max="7556" width="12.140625" bestFit="1" customWidth="1"/>
    <col min="7557" max="7557" width="14.85546875" bestFit="1" customWidth="1"/>
    <col min="7558" max="7558" width="12.28515625" bestFit="1" customWidth="1"/>
    <col min="7559" max="7567" width="9.140625" hidden="1" customWidth="1"/>
    <col min="7568" max="7568" width="5.28515625" bestFit="1" customWidth="1"/>
    <col min="7569" max="7574" width="11.5703125" bestFit="1" customWidth="1"/>
    <col min="7575" max="7575" width="11.28515625" bestFit="1" customWidth="1"/>
    <col min="7576" max="7576" width="10.140625" bestFit="1" customWidth="1"/>
    <col min="7577" max="7577" width="11.5703125" bestFit="1" customWidth="1"/>
    <col min="7578" max="7578" width="16.140625" customWidth="1"/>
    <col min="7579" max="7579" width="13.42578125" customWidth="1"/>
    <col min="7580" max="7580" width="10.140625" bestFit="1" customWidth="1"/>
    <col min="7581" max="7581" width="12.85546875" bestFit="1" customWidth="1"/>
    <col min="7582" max="7582" width="12.28515625" bestFit="1" customWidth="1"/>
    <col min="7583" max="7583" width="11.28515625" bestFit="1" customWidth="1"/>
    <col min="7584" max="7584" width="11.5703125" bestFit="1" customWidth="1"/>
    <col min="7585" max="7585" width="10.85546875" bestFit="1" customWidth="1"/>
    <col min="7586" max="7586" width="11.28515625" bestFit="1" customWidth="1"/>
    <col min="7587" max="7587" width="10.140625" bestFit="1" customWidth="1"/>
    <col min="7588" max="7588" width="13.28515625" bestFit="1" customWidth="1"/>
    <col min="7589" max="7590" width="12.7109375" bestFit="1" customWidth="1"/>
    <col min="7591" max="7591" width="11" bestFit="1" customWidth="1"/>
    <col min="7592" max="7592" width="11.28515625" bestFit="1" customWidth="1"/>
    <col min="7593" max="7593" width="11.5703125" bestFit="1" customWidth="1"/>
    <col min="7594" max="7594" width="12.28515625" bestFit="1" customWidth="1"/>
    <col min="7595" max="7595" width="15.140625" bestFit="1" customWidth="1"/>
    <col min="7596" max="7596" width="14.42578125" bestFit="1" customWidth="1"/>
    <col min="7597" max="7597" width="12.28515625" bestFit="1" customWidth="1"/>
    <col min="7598" max="7598" width="15.140625" bestFit="1" customWidth="1"/>
    <col min="7599" max="7599" width="14.42578125" bestFit="1" customWidth="1"/>
    <col min="7600" max="7600" width="12.28515625" bestFit="1" customWidth="1"/>
    <col min="7601" max="7601" width="14.42578125" bestFit="1" customWidth="1"/>
    <col min="7602" max="7602" width="11.28515625" bestFit="1" customWidth="1"/>
    <col min="7603" max="7603" width="12.28515625" bestFit="1" customWidth="1"/>
    <col min="7604" max="7604" width="13" bestFit="1" customWidth="1"/>
    <col min="7605" max="7605" width="15.140625" bestFit="1" customWidth="1"/>
    <col min="7606" max="7606" width="12.28515625" bestFit="1" customWidth="1"/>
    <col min="7607" max="7607" width="13.85546875" bestFit="1" customWidth="1"/>
    <col min="7608" max="7608" width="11.28515625" bestFit="1" customWidth="1"/>
    <col min="7609" max="7609" width="12.28515625" bestFit="1" customWidth="1"/>
    <col min="7610" max="7610" width="13.85546875" bestFit="1" customWidth="1"/>
    <col min="7611" max="7612" width="15.140625" bestFit="1" customWidth="1"/>
    <col min="7613" max="7613" width="12.28515625" bestFit="1" customWidth="1"/>
    <col min="7614" max="7614" width="5.7109375" bestFit="1" customWidth="1"/>
    <col min="7615" max="7615" width="8.5703125" bestFit="1" customWidth="1"/>
    <col min="7616" max="7616" width="5.5703125" bestFit="1" customWidth="1"/>
    <col min="7617" max="7617" width="14.42578125" bestFit="1" customWidth="1"/>
    <col min="7618" max="7618" width="11.28515625" bestFit="1" customWidth="1"/>
    <col min="7619" max="7620" width="12.28515625" bestFit="1" customWidth="1"/>
    <col min="7621" max="7621" width="11.28515625" bestFit="1" customWidth="1"/>
    <col min="7622" max="7622" width="13.85546875" bestFit="1" customWidth="1"/>
    <col min="7623" max="7623" width="12" bestFit="1" customWidth="1"/>
    <col min="7624" max="7624" width="13.85546875" bestFit="1" customWidth="1"/>
    <col min="7625" max="7626" width="14.42578125" customWidth="1"/>
    <col min="7627" max="7627" width="10.140625" bestFit="1" customWidth="1"/>
    <col min="7628" max="7628" width="12.28515625" bestFit="1" customWidth="1"/>
    <col min="7629" max="7629" width="7.42578125" bestFit="1" customWidth="1"/>
    <col min="7630" max="7630" width="8.5703125" bestFit="1" customWidth="1"/>
    <col min="7631" max="7631" width="11.5703125" bestFit="1" customWidth="1"/>
    <col min="7632" max="7632" width="13.28515625" bestFit="1" customWidth="1"/>
    <col min="7633" max="7633" width="13.28515625" customWidth="1"/>
    <col min="7634" max="7634" width="13.140625" customWidth="1"/>
    <col min="7635" max="7635" width="12.7109375" bestFit="1" customWidth="1"/>
    <col min="7636" max="7636" width="13.28515625" bestFit="1" customWidth="1"/>
    <col min="7637" max="7639" width="13.28515625" customWidth="1"/>
    <col min="7640" max="7640" width="12.140625" bestFit="1" customWidth="1"/>
    <col min="7641" max="7641" width="12.7109375" bestFit="1" customWidth="1"/>
    <col min="7642" max="7642" width="11" customWidth="1"/>
    <col min="7643" max="7643" width="16.7109375" customWidth="1"/>
    <col min="7644" max="7644" width="17" customWidth="1"/>
    <col min="7645" max="7645" width="10.42578125" bestFit="1" customWidth="1"/>
    <col min="7689" max="7689" width="3.85546875" customWidth="1"/>
    <col min="7690" max="7690" width="15.28515625" bestFit="1" customWidth="1"/>
    <col min="7691" max="7691" width="12.28515625" customWidth="1"/>
    <col min="7692" max="7692" width="16.28515625" bestFit="1" customWidth="1"/>
    <col min="7693" max="7693" width="6.42578125" bestFit="1" customWidth="1"/>
    <col min="7694" max="7694" width="9.28515625" bestFit="1" customWidth="1"/>
    <col min="7695" max="7695" width="7.5703125" bestFit="1" customWidth="1"/>
    <col min="7696" max="7696" width="13.28515625" bestFit="1" customWidth="1"/>
    <col min="7697" max="7697" width="9.28515625" bestFit="1" customWidth="1"/>
    <col min="7698" max="7698" width="11.5703125" bestFit="1" customWidth="1"/>
    <col min="7699" max="7699" width="13.28515625" bestFit="1" customWidth="1"/>
    <col min="7700" max="7700" width="7.140625" bestFit="1" customWidth="1"/>
    <col min="7701" max="7701" width="12" bestFit="1" customWidth="1"/>
    <col min="7702" max="7702" width="13.28515625" bestFit="1" customWidth="1"/>
    <col min="7703" max="7703" width="7" bestFit="1" customWidth="1"/>
    <col min="7704" max="7704" width="12.7109375" bestFit="1" customWidth="1"/>
    <col min="7705" max="7705" width="11.5703125" bestFit="1" customWidth="1"/>
    <col min="7706" max="7706" width="10.5703125" bestFit="1" customWidth="1"/>
    <col min="7707" max="7708" width="15.7109375" bestFit="1" customWidth="1"/>
    <col min="7709" max="7709" width="11.5703125" bestFit="1" customWidth="1"/>
    <col min="7710" max="7710" width="7.7109375" bestFit="1" customWidth="1"/>
    <col min="7711" max="7711" width="15.140625" bestFit="1" customWidth="1"/>
    <col min="7712" max="7712" width="11.5703125" bestFit="1" customWidth="1"/>
    <col min="7713" max="7713" width="13.28515625" bestFit="1" customWidth="1"/>
    <col min="7714" max="7714" width="10.42578125" bestFit="1" customWidth="1"/>
    <col min="7715" max="7715" width="13.28515625" bestFit="1" customWidth="1"/>
    <col min="7716" max="7716" width="12.140625" bestFit="1" customWidth="1"/>
    <col min="7717" max="7717" width="14.42578125" bestFit="1" customWidth="1"/>
    <col min="7718" max="7718" width="13.28515625" bestFit="1" customWidth="1"/>
    <col min="7719" max="7719" width="11.5703125" bestFit="1" customWidth="1"/>
    <col min="7720" max="7720" width="7.7109375" bestFit="1" customWidth="1"/>
    <col min="7721" max="7722" width="14.42578125" bestFit="1" customWidth="1"/>
    <col min="7723" max="7723" width="11.5703125" bestFit="1" customWidth="1"/>
    <col min="7724" max="7724" width="7.7109375" bestFit="1" customWidth="1"/>
    <col min="7725" max="7725" width="13.5703125" customWidth="1"/>
    <col min="7726" max="7726" width="15.28515625" customWidth="1"/>
    <col min="7727" max="7727" width="14.5703125" customWidth="1"/>
    <col min="7728" max="7728" width="13.28515625" bestFit="1" customWidth="1"/>
    <col min="7729" max="7729" width="7.7109375" bestFit="1" customWidth="1"/>
    <col min="7730" max="7730" width="12.7109375" bestFit="1" customWidth="1"/>
    <col min="7731" max="7731" width="11.7109375" bestFit="1" customWidth="1"/>
    <col min="7732" max="7732" width="11.5703125" bestFit="1" customWidth="1"/>
    <col min="7733" max="7733" width="5.28515625" bestFit="1" customWidth="1"/>
    <col min="7734" max="7734" width="13.28515625" bestFit="1" customWidth="1"/>
    <col min="7735" max="7735" width="13.5703125" bestFit="1" customWidth="1"/>
    <col min="7736" max="7736" width="10.5703125" bestFit="1" customWidth="1"/>
    <col min="7737" max="7737" width="13.28515625" bestFit="1" customWidth="1"/>
    <col min="7738" max="7738" width="11.5703125" bestFit="1" customWidth="1"/>
    <col min="7739" max="7739" width="10.5703125" bestFit="1" customWidth="1"/>
    <col min="7740" max="7740" width="16.140625" bestFit="1" customWidth="1"/>
    <col min="7741" max="7742" width="11.28515625" bestFit="1" customWidth="1"/>
    <col min="7743" max="7743" width="13.28515625" bestFit="1" customWidth="1"/>
    <col min="7744" max="7744" width="7.7109375" bestFit="1" customWidth="1"/>
    <col min="7745" max="7748" width="9.140625" hidden="1" customWidth="1"/>
    <col min="7749" max="7749" width="10.42578125" bestFit="1" customWidth="1"/>
    <col min="7750" max="7750" width="10.5703125" bestFit="1" customWidth="1"/>
    <col min="7751" max="7751" width="10.42578125" bestFit="1" customWidth="1"/>
    <col min="7752" max="7752" width="10.5703125" bestFit="1" customWidth="1"/>
    <col min="7753" max="7753" width="9.5703125" bestFit="1" customWidth="1"/>
    <col min="7754" max="7754" width="11.5703125" bestFit="1" customWidth="1"/>
    <col min="7755" max="7755" width="10.42578125" bestFit="1" customWidth="1"/>
    <col min="7756" max="7756" width="10.85546875" customWidth="1"/>
    <col min="7757" max="7758" width="9.85546875" bestFit="1" customWidth="1"/>
    <col min="7759" max="7759" width="13.5703125" bestFit="1" customWidth="1"/>
    <col min="7760" max="7760" width="7.7109375" bestFit="1" customWidth="1"/>
    <col min="7761" max="7761" width="13.28515625" bestFit="1" customWidth="1"/>
    <col min="7762" max="7762" width="11.5703125" bestFit="1" customWidth="1"/>
    <col min="7763" max="7763" width="10.42578125" bestFit="1" customWidth="1"/>
    <col min="7764" max="7764" width="7.7109375" bestFit="1" customWidth="1"/>
    <col min="7765" max="7765" width="11.5703125" bestFit="1" customWidth="1"/>
    <col min="7766" max="7766" width="10.85546875" bestFit="1" customWidth="1"/>
    <col min="7767" max="7767" width="13.28515625" bestFit="1" customWidth="1"/>
    <col min="7768" max="7768" width="10.85546875" bestFit="1" customWidth="1"/>
    <col min="7769" max="7770" width="7.5703125" bestFit="1" customWidth="1"/>
    <col min="7771" max="7772" width="10.42578125" bestFit="1" customWidth="1"/>
    <col min="7773" max="7773" width="11.5703125" bestFit="1" customWidth="1"/>
    <col min="7774" max="7774" width="5.28515625" bestFit="1" customWidth="1"/>
    <col min="7775" max="7775" width="10.28515625" bestFit="1" customWidth="1"/>
    <col min="7776" max="7776" width="10.42578125" bestFit="1" customWidth="1"/>
    <col min="7777" max="7777" width="11.5703125" bestFit="1" customWidth="1"/>
    <col min="7778" max="7778" width="5.28515625" bestFit="1" customWidth="1"/>
    <col min="7779" max="7781" width="11.5703125" bestFit="1" customWidth="1"/>
    <col min="7782" max="7782" width="5.28515625" bestFit="1" customWidth="1"/>
    <col min="7783" max="7784" width="10.42578125" bestFit="1" customWidth="1"/>
    <col min="7785" max="7785" width="11.5703125" bestFit="1" customWidth="1"/>
    <col min="7786" max="7786" width="5.28515625" bestFit="1" customWidth="1"/>
    <col min="7787" max="7787" width="14.28515625" bestFit="1" customWidth="1"/>
    <col min="7788" max="7788" width="13" bestFit="1" customWidth="1"/>
    <col min="7789" max="7789" width="11.5703125" bestFit="1" customWidth="1"/>
    <col min="7790" max="7790" width="8.85546875" bestFit="1" customWidth="1"/>
    <col min="7791" max="7791" width="14.42578125" bestFit="1" customWidth="1"/>
    <col min="7792" max="7792" width="10.42578125" bestFit="1" customWidth="1"/>
    <col min="7793" max="7793" width="12.28515625" bestFit="1" customWidth="1"/>
    <col min="7794" max="7794" width="13.85546875" bestFit="1" customWidth="1"/>
    <col min="7795" max="7795" width="11.28515625" customWidth="1"/>
    <col min="7796" max="7796" width="11.5703125" customWidth="1"/>
    <col min="7797" max="7797" width="13.42578125" bestFit="1" customWidth="1"/>
    <col min="7798" max="7798" width="10.42578125" customWidth="1"/>
    <col min="7799" max="7799" width="13.85546875" bestFit="1" customWidth="1"/>
    <col min="7800" max="7800" width="15.42578125" bestFit="1" customWidth="1"/>
    <col min="7801" max="7801" width="12.28515625" bestFit="1" customWidth="1"/>
    <col min="7802" max="7802" width="12.7109375" customWidth="1"/>
    <col min="7803" max="7803" width="10.7109375" bestFit="1" customWidth="1"/>
    <col min="7804" max="7804" width="9.85546875" customWidth="1"/>
    <col min="7805" max="7806" width="10.140625" bestFit="1" customWidth="1"/>
    <col min="7807" max="7807" width="7.5703125" bestFit="1" customWidth="1"/>
    <col min="7808" max="7808" width="9.42578125" bestFit="1" customWidth="1"/>
    <col min="7809" max="7809" width="14.5703125" bestFit="1" customWidth="1"/>
    <col min="7810" max="7810" width="14.85546875" customWidth="1"/>
    <col min="7811" max="7811" width="15.140625" bestFit="1" customWidth="1"/>
    <col min="7812" max="7812" width="12.140625" bestFit="1" customWidth="1"/>
    <col min="7813" max="7813" width="14.85546875" bestFit="1" customWidth="1"/>
    <col min="7814" max="7814" width="12.28515625" bestFit="1" customWidth="1"/>
    <col min="7815" max="7823" width="9.140625" hidden="1" customWidth="1"/>
    <col min="7824" max="7824" width="5.28515625" bestFit="1" customWidth="1"/>
    <col min="7825" max="7830" width="11.5703125" bestFit="1" customWidth="1"/>
    <col min="7831" max="7831" width="11.28515625" bestFit="1" customWidth="1"/>
    <col min="7832" max="7832" width="10.140625" bestFit="1" customWidth="1"/>
    <col min="7833" max="7833" width="11.5703125" bestFit="1" customWidth="1"/>
    <col min="7834" max="7834" width="16.140625" customWidth="1"/>
    <col min="7835" max="7835" width="13.42578125" customWidth="1"/>
    <col min="7836" max="7836" width="10.140625" bestFit="1" customWidth="1"/>
    <col min="7837" max="7837" width="12.85546875" bestFit="1" customWidth="1"/>
    <col min="7838" max="7838" width="12.28515625" bestFit="1" customWidth="1"/>
    <col min="7839" max="7839" width="11.28515625" bestFit="1" customWidth="1"/>
    <col min="7840" max="7840" width="11.5703125" bestFit="1" customWidth="1"/>
    <col min="7841" max="7841" width="10.85546875" bestFit="1" customWidth="1"/>
    <col min="7842" max="7842" width="11.28515625" bestFit="1" customWidth="1"/>
    <col min="7843" max="7843" width="10.140625" bestFit="1" customWidth="1"/>
    <col min="7844" max="7844" width="13.28515625" bestFit="1" customWidth="1"/>
    <col min="7845" max="7846" width="12.7109375" bestFit="1" customWidth="1"/>
    <col min="7847" max="7847" width="11" bestFit="1" customWidth="1"/>
    <col min="7848" max="7848" width="11.28515625" bestFit="1" customWidth="1"/>
    <col min="7849" max="7849" width="11.5703125" bestFit="1" customWidth="1"/>
    <col min="7850" max="7850" width="12.28515625" bestFit="1" customWidth="1"/>
    <col min="7851" max="7851" width="15.140625" bestFit="1" customWidth="1"/>
    <col min="7852" max="7852" width="14.42578125" bestFit="1" customWidth="1"/>
    <col min="7853" max="7853" width="12.28515625" bestFit="1" customWidth="1"/>
    <col min="7854" max="7854" width="15.140625" bestFit="1" customWidth="1"/>
    <col min="7855" max="7855" width="14.42578125" bestFit="1" customWidth="1"/>
    <col min="7856" max="7856" width="12.28515625" bestFit="1" customWidth="1"/>
    <col min="7857" max="7857" width="14.42578125" bestFit="1" customWidth="1"/>
    <col min="7858" max="7858" width="11.28515625" bestFit="1" customWidth="1"/>
    <col min="7859" max="7859" width="12.28515625" bestFit="1" customWidth="1"/>
    <col min="7860" max="7860" width="13" bestFit="1" customWidth="1"/>
    <col min="7861" max="7861" width="15.140625" bestFit="1" customWidth="1"/>
    <col min="7862" max="7862" width="12.28515625" bestFit="1" customWidth="1"/>
    <col min="7863" max="7863" width="13.85546875" bestFit="1" customWidth="1"/>
    <col min="7864" max="7864" width="11.28515625" bestFit="1" customWidth="1"/>
    <col min="7865" max="7865" width="12.28515625" bestFit="1" customWidth="1"/>
    <col min="7866" max="7866" width="13.85546875" bestFit="1" customWidth="1"/>
    <col min="7867" max="7868" width="15.140625" bestFit="1" customWidth="1"/>
    <col min="7869" max="7869" width="12.28515625" bestFit="1" customWidth="1"/>
    <col min="7870" max="7870" width="5.7109375" bestFit="1" customWidth="1"/>
    <col min="7871" max="7871" width="8.5703125" bestFit="1" customWidth="1"/>
    <col min="7872" max="7872" width="5.5703125" bestFit="1" customWidth="1"/>
    <col min="7873" max="7873" width="14.42578125" bestFit="1" customWidth="1"/>
    <col min="7874" max="7874" width="11.28515625" bestFit="1" customWidth="1"/>
    <col min="7875" max="7876" width="12.28515625" bestFit="1" customWidth="1"/>
    <col min="7877" max="7877" width="11.28515625" bestFit="1" customWidth="1"/>
    <col min="7878" max="7878" width="13.85546875" bestFit="1" customWidth="1"/>
    <col min="7879" max="7879" width="12" bestFit="1" customWidth="1"/>
    <col min="7880" max="7880" width="13.85546875" bestFit="1" customWidth="1"/>
    <col min="7881" max="7882" width="14.42578125" customWidth="1"/>
    <col min="7883" max="7883" width="10.140625" bestFit="1" customWidth="1"/>
    <col min="7884" max="7884" width="12.28515625" bestFit="1" customWidth="1"/>
    <col min="7885" max="7885" width="7.42578125" bestFit="1" customWidth="1"/>
    <col min="7886" max="7886" width="8.5703125" bestFit="1" customWidth="1"/>
    <col min="7887" max="7887" width="11.5703125" bestFit="1" customWidth="1"/>
    <col min="7888" max="7888" width="13.28515625" bestFit="1" customWidth="1"/>
    <col min="7889" max="7889" width="13.28515625" customWidth="1"/>
    <col min="7890" max="7890" width="13.140625" customWidth="1"/>
    <col min="7891" max="7891" width="12.7109375" bestFit="1" customWidth="1"/>
    <col min="7892" max="7892" width="13.28515625" bestFit="1" customWidth="1"/>
    <col min="7893" max="7895" width="13.28515625" customWidth="1"/>
    <col min="7896" max="7896" width="12.140625" bestFit="1" customWidth="1"/>
    <col min="7897" max="7897" width="12.7109375" bestFit="1" customWidth="1"/>
    <col min="7898" max="7898" width="11" customWidth="1"/>
    <col min="7899" max="7899" width="16.7109375" customWidth="1"/>
    <col min="7900" max="7900" width="17" customWidth="1"/>
    <col min="7901" max="7901" width="10.42578125" bestFit="1" customWidth="1"/>
    <col min="7945" max="7945" width="3.85546875" customWidth="1"/>
    <col min="7946" max="7946" width="15.28515625" bestFit="1" customWidth="1"/>
    <col min="7947" max="7947" width="12.28515625" customWidth="1"/>
    <col min="7948" max="7948" width="16.28515625" bestFit="1" customWidth="1"/>
    <col min="7949" max="7949" width="6.42578125" bestFit="1" customWidth="1"/>
    <col min="7950" max="7950" width="9.28515625" bestFit="1" customWidth="1"/>
    <col min="7951" max="7951" width="7.5703125" bestFit="1" customWidth="1"/>
    <col min="7952" max="7952" width="13.28515625" bestFit="1" customWidth="1"/>
    <col min="7953" max="7953" width="9.28515625" bestFit="1" customWidth="1"/>
    <col min="7954" max="7954" width="11.5703125" bestFit="1" customWidth="1"/>
    <col min="7955" max="7955" width="13.28515625" bestFit="1" customWidth="1"/>
    <col min="7956" max="7956" width="7.140625" bestFit="1" customWidth="1"/>
    <col min="7957" max="7957" width="12" bestFit="1" customWidth="1"/>
    <col min="7958" max="7958" width="13.28515625" bestFit="1" customWidth="1"/>
    <col min="7959" max="7959" width="7" bestFit="1" customWidth="1"/>
    <col min="7960" max="7960" width="12.7109375" bestFit="1" customWidth="1"/>
    <col min="7961" max="7961" width="11.5703125" bestFit="1" customWidth="1"/>
    <col min="7962" max="7962" width="10.5703125" bestFit="1" customWidth="1"/>
    <col min="7963" max="7964" width="15.7109375" bestFit="1" customWidth="1"/>
    <col min="7965" max="7965" width="11.5703125" bestFit="1" customWidth="1"/>
    <col min="7966" max="7966" width="7.7109375" bestFit="1" customWidth="1"/>
    <col min="7967" max="7967" width="15.140625" bestFit="1" customWidth="1"/>
    <col min="7968" max="7968" width="11.5703125" bestFit="1" customWidth="1"/>
    <col min="7969" max="7969" width="13.28515625" bestFit="1" customWidth="1"/>
    <col min="7970" max="7970" width="10.42578125" bestFit="1" customWidth="1"/>
    <col min="7971" max="7971" width="13.28515625" bestFit="1" customWidth="1"/>
    <col min="7972" max="7972" width="12.140625" bestFit="1" customWidth="1"/>
    <col min="7973" max="7973" width="14.42578125" bestFit="1" customWidth="1"/>
    <col min="7974" max="7974" width="13.28515625" bestFit="1" customWidth="1"/>
    <col min="7975" max="7975" width="11.5703125" bestFit="1" customWidth="1"/>
    <col min="7976" max="7976" width="7.7109375" bestFit="1" customWidth="1"/>
    <col min="7977" max="7978" width="14.42578125" bestFit="1" customWidth="1"/>
    <col min="7979" max="7979" width="11.5703125" bestFit="1" customWidth="1"/>
    <col min="7980" max="7980" width="7.7109375" bestFit="1" customWidth="1"/>
    <col min="7981" max="7981" width="13.5703125" customWidth="1"/>
    <col min="7982" max="7982" width="15.28515625" customWidth="1"/>
    <col min="7983" max="7983" width="14.5703125" customWidth="1"/>
    <col min="7984" max="7984" width="13.28515625" bestFit="1" customWidth="1"/>
    <col min="7985" max="7985" width="7.7109375" bestFit="1" customWidth="1"/>
    <col min="7986" max="7986" width="12.7109375" bestFit="1" customWidth="1"/>
    <col min="7987" max="7987" width="11.7109375" bestFit="1" customWidth="1"/>
    <col min="7988" max="7988" width="11.5703125" bestFit="1" customWidth="1"/>
    <col min="7989" max="7989" width="5.28515625" bestFit="1" customWidth="1"/>
    <col min="7990" max="7990" width="13.28515625" bestFit="1" customWidth="1"/>
    <col min="7991" max="7991" width="13.5703125" bestFit="1" customWidth="1"/>
    <col min="7992" max="7992" width="10.5703125" bestFit="1" customWidth="1"/>
    <col min="7993" max="7993" width="13.28515625" bestFit="1" customWidth="1"/>
    <col min="7994" max="7994" width="11.5703125" bestFit="1" customWidth="1"/>
    <col min="7995" max="7995" width="10.5703125" bestFit="1" customWidth="1"/>
    <col min="7996" max="7996" width="16.140625" bestFit="1" customWidth="1"/>
    <col min="7997" max="7998" width="11.28515625" bestFit="1" customWidth="1"/>
    <col min="7999" max="7999" width="13.28515625" bestFit="1" customWidth="1"/>
    <col min="8000" max="8000" width="7.7109375" bestFit="1" customWidth="1"/>
    <col min="8001" max="8004" width="9.140625" hidden="1" customWidth="1"/>
    <col min="8005" max="8005" width="10.42578125" bestFit="1" customWidth="1"/>
    <col min="8006" max="8006" width="10.5703125" bestFit="1" customWidth="1"/>
    <col min="8007" max="8007" width="10.42578125" bestFit="1" customWidth="1"/>
    <col min="8008" max="8008" width="10.5703125" bestFit="1" customWidth="1"/>
    <col min="8009" max="8009" width="9.5703125" bestFit="1" customWidth="1"/>
    <col min="8010" max="8010" width="11.5703125" bestFit="1" customWidth="1"/>
    <col min="8011" max="8011" width="10.42578125" bestFit="1" customWidth="1"/>
    <col min="8012" max="8012" width="10.85546875" customWidth="1"/>
    <col min="8013" max="8014" width="9.85546875" bestFit="1" customWidth="1"/>
    <col min="8015" max="8015" width="13.5703125" bestFit="1" customWidth="1"/>
    <col min="8016" max="8016" width="7.7109375" bestFit="1" customWidth="1"/>
    <col min="8017" max="8017" width="13.28515625" bestFit="1" customWidth="1"/>
    <col min="8018" max="8018" width="11.5703125" bestFit="1" customWidth="1"/>
    <col min="8019" max="8019" width="10.42578125" bestFit="1" customWidth="1"/>
    <col min="8020" max="8020" width="7.7109375" bestFit="1" customWidth="1"/>
    <col min="8021" max="8021" width="11.5703125" bestFit="1" customWidth="1"/>
    <col min="8022" max="8022" width="10.85546875" bestFit="1" customWidth="1"/>
    <col min="8023" max="8023" width="13.28515625" bestFit="1" customWidth="1"/>
    <col min="8024" max="8024" width="10.85546875" bestFit="1" customWidth="1"/>
    <col min="8025" max="8026" width="7.5703125" bestFit="1" customWidth="1"/>
    <col min="8027" max="8028" width="10.42578125" bestFit="1" customWidth="1"/>
    <col min="8029" max="8029" width="11.5703125" bestFit="1" customWidth="1"/>
    <col min="8030" max="8030" width="5.28515625" bestFit="1" customWidth="1"/>
    <col min="8031" max="8031" width="10.28515625" bestFit="1" customWidth="1"/>
    <col min="8032" max="8032" width="10.42578125" bestFit="1" customWidth="1"/>
    <col min="8033" max="8033" width="11.5703125" bestFit="1" customWidth="1"/>
    <col min="8034" max="8034" width="5.28515625" bestFit="1" customWidth="1"/>
    <col min="8035" max="8037" width="11.5703125" bestFit="1" customWidth="1"/>
    <col min="8038" max="8038" width="5.28515625" bestFit="1" customWidth="1"/>
    <col min="8039" max="8040" width="10.42578125" bestFit="1" customWidth="1"/>
    <col min="8041" max="8041" width="11.5703125" bestFit="1" customWidth="1"/>
    <col min="8042" max="8042" width="5.28515625" bestFit="1" customWidth="1"/>
    <col min="8043" max="8043" width="14.28515625" bestFit="1" customWidth="1"/>
    <col min="8044" max="8044" width="13" bestFit="1" customWidth="1"/>
    <col min="8045" max="8045" width="11.5703125" bestFit="1" customWidth="1"/>
    <col min="8046" max="8046" width="8.85546875" bestFit="1" customWidth="1"/>
    <col min="8047" max="8047" width="14.42578125" bestFit="1" customWidth="1"/>
    <col min="8048" max="8048" width="10.42578125" bestFit="1" customWidth="1"/>
    <col min="8049" max="8049" width="12.28515625" bestFit="1" customWidth="1"/>
    <col min="8050" max="8050" width="13.85546875" bestFit="1" customWidth="1"/>
    <col min="8051" max="8051" width="11.28515625" customWidth="1"/>
    <col min="8052" max="8052" width="11.5703125" customWidth="1"/>
    <col min="8053" max="8053" width="13.42578125" bestFit="1" customWidth="1"/>
    <col min="8054" max="8054" width="10.42578125" customWidth="1"/>
    <col min="8055" max="8055" width="13.85546875" bestFit="1" customWidth="1"/>
    <col min="8056" max="8056" width="15.42578125" bestFit="1" customWidth="1"/>
    <col min="8057" max="8057" width="12.28515625" bestFit="1" customWidth="1"/>
    <col min="8058" max="8058" width="12.7109375" customWidth="1"/>
    <col min="8059" max="8059" width="10.7109375" bestFit="1" customWidth="1"/>
    <col min="8060" max="8060" width="9.85546875" customWidth="1"/>
    <col min="8061" max="8062" width="10.140625" bestFit="1" customWidth="1"/>
    <col min="8063" max="8063" width="7.5703125" bestFit="1" customWidth="1"/>
    <col min="8064" max="8064" width="9.42578125" bestFit="1" customWidth="1"/>
    <col min="8065" max="8065" width="14.5703125" bestFit="1" customWidth="1"/>
    <col min="8066" max="8066" width="14.85546875" customWidth="1"/>
    <col min="8067" max="8067" width="15.140625" bestFit="1" customWidth="1"/>
    <col min="8068" max="8068" width="12.140625" bestFit="1" customWidth="1"/>
    <col min="8069" max="8069" width="14.85546875" bestFit="1" customWidth="1"/>
    <col min="8070" max="8070" width="12.28515625" bestFit="1" customWidth="1"/>
    <col min="8071" max="8079" width="9.140625" hidden="1" customWidth="1"/>
    <col min="8080" max="8080" width="5.28515625" bestFit="1" customWidth="1"/>
    <col min="8081" max="8086" width="11.5703125" bestFit="1" customWidth="1"/>
    <col min="8087" max="8087" width="11.28515625" bestFit="1" customWidth="1"/>
    <col min="8088" max="8088" width="10.140625" bestFit="1" customWidth="1"/>
    <col min="8089" max="8089" width="11.5703125" bestFit="1" customWidth="1"/>
    <col min="8090" max="8090" width="16.140625" customWidth="1"/>
    <col min="8091" max="8091" width="13.42578125" customWidth="1"/>
    <col min="8092" max="8092" width="10.140625" bestFit="1" customWidth="1"/>
    <col min="8093" max="8093" width="12.85546875" bestFit="1" customWidth="1"/>
    <col min="8094" max="8094" width="12.28515625" bestFit="1" customWidth="1"/>
    <col min="8095" max="8095" width="11.28515625" bestFit="1" customWidth="1"/>
    <col min="8096" max="8096" width="11.5703125" bestFit="1" customWidth="1"/>
    <col min="8097" max="8097" width="10.85546875" bestFit="1" customWidth="1"/>
    <col min="8098" max="8098" width="11.28515625" bestFit="1" customWidth="1"/>
    <col min="8099" max="8099" width="10.140625" bestFit="1" customWidth="1"/>
    <col min="8100" max="8100" width="13.28515625" bestFit="1" customWidth="1"/>
    <col min="8101" max="8102" width="12.7109375" bestFit="1" customWidth="1"/>
    <col min="8103" max="8103" width="11" bestFit="1" customWidth="1"/>
    <col min="8104" max="8104" width="11.28515625" bestFit="1" customWidth="1"/>
    <col min="8105" max="8105" width="11.5703125" bestFit="1" customWidth="1"/>
    <col min="8106" max="8106" width="12.28515625" bestFit="1" customWidth="1"/>
    <col min="8107" max="8107" width="15.140625" bestFit="1" customWidth="1"/>
    <col min="8108" max="8108" width="14.42578125" bestFit="1" customWidth="1"/>
    <col min="8109" max="8109" width="12.28515625" bestFit="1" customWidth="1"/>
    <col min="8110" max="8110" width="15.140625" bestFit="1" customWidth="1"/>
    <col min="8111" max="8111" width="14.42578125" bestFit="1" customWidth="1"/>
    <col min="8112" max="8112" width="12.28515625" bestFit="1" customWidth="1"/>
    <col min="8113" max="8113" width="14.42578125" bestFit="1" customWidth="1"/>
    <col min="8114" max="8114" width="11.28515625" bestFit="1" customWidth="1"/>
    <col min="8115" max="8115" width="12.28515625" bestFit="1" customWidth="1"/>
    <col min="8116" max="8116" width="13" bestFit="1" customWidth="1"/>
    <col min="8117" max="8117" width="15.140625" bestFit="1" customWidth="1"/>
    <col min="8118" max="8118" width="12.28515625" bestFit="1" customWidth="1"/>
    <col min="8119" max="8119" width="13.85546875" bestFit="1" customWidth="1"/>
    <col min="8120" max="8120" width="11.28515625" bestFit="1" customWidth="1"/>
    <col min="8121" max="8121" width="12.28515625" bestFit="1" customWidth="1"/>
    <col min="8122" max="8122" width="13.85546875" bestFit="1" customWidth="1"/>
    <col min="8123" max="8124" width="15.140625" bestFit="1" customWidth="1"/>
    <col min="8125" max="8125" width="12.28515625" bestFit="1" customWidth="1"/>
    <col min="8126" max="8126" width="5.7109375" bestFit="1" customWidth="1"/>
    <col min="8127" max="8127" width="8.5703125" bestFit="1" customWidth="1"/>
    <col min="8128" max="8128" width="5.5703125" bestFit="1" customWidth="1"/>
    <col min="8129" max="8129" width="14.42578125" bestFit="1" customWidth="1"/>
    <col min="8130" max="8130" width="11.28515625" bestFit="1" customWidth="1"/>
    <col min="8131" max="8132" width="12.28515625" bestFit="1" customWidth="1"/>
    <col min="8133" max="8133" width="11.28515625" bestFit="1" customWidth="1"/>
    <col min="8134" max="8134" width="13.85546875" bestFit="1" customWidth="1"/>
    <col min="8135" max="8135" width="12" bestFit="1" customWidth="1"/>
    <col min="8136" max="8136" width="13.85546875" bestFit="1" customWidth="1"/>
    <col min="8137" max="8138" width="14.42578125" customWidth="1"/>
    <col min="8139" max="8139" width="10.140625" bestFit="1" customWidth="1"/>
    <col min="8140" max="8140" width="12.28515625" bestFit="1" customWidth="1"/>
    <col min="8141" max="8141" width="7.42578125" bestFit="1" customWidth="1"/>
    <col min="8142" max="8142" width="8.5703125" bestFit="1" customWidth="1"/>
    <col min="8143" max="8143" width="11.5703125" bestFit="1" customWidth="1"/>
    <col min="8144" max="8144" width="13.28515625" bestFit="1" customWidth="1"/>
    <col min="8145" max="8145" width="13.28515625" customWidth="1"/>
    <col min="8146" max="8146" width="13.140625" customWidth="1"/>
    <col min="8147" max="8147" width="12.7109375" bestFit="1" customWidth="1"/>
    <col min="8148" max="8148" width="13.28515625" bestFit="1" customWidth="1"/>
    <col min="8149" max="8151" width="13.28515625" customWidth="1"/>
    <col min="8152" max="8152" width="12.140625" bestFit="1" customWidth="1"/>
    <col min="8153" max="8153" width="12.7109375" bestFit="1" customWidth="1"/>
    <col min="8154" max="8154" width="11" customWidth="1"/>
    <col min="8155" max="8155" width="16.7109375" customWidth="1"/>
    <col min="8156" max="8156" width="17" customWidth="1"/>
    <col min="8157" max="8157" width="10.42578125" bestFit="1" customWidth="1"/>
    <col min="8201" max="8201" width="3.85546875" customWidth="1"/>
    <col min="8202" max="8202" width="15.28515625" bestFit="1" customWidth="1"/>
    <col min="8203" max="8203" width="12.28515625" customWidth="1"/>
    <col min="8204" max="8204" width="16.28515625" bestFit="1" customWidth="1"/>
    <col min="8205" max="8205" width="6.42578125" bestFit="1" customWidth="1"/>
    <col min="8206" max="8206" width="9.28515625" bestFit="1" customWidth="1"/>
    <col min="8207" max="8207" width="7.5703125" bestFit="1" customWidth="1"/>
    <col min="8208" max="8208" width="13.28515625" bestFit="1" customWidth="1"/>
    <col min="8209" max="8209" width="9.28515625" bestFit="1" customWidth="1"/>
    <col min="8210" max="8210" width="11.5703125" bestFit="1" customWidth="1"/>
    <col min="8211" max="8211" width="13.28515625" bestFit="1" customWidth="1"/>
    <col min="8212" max="8212" width="7.140625" bestFit="1" customWidth="1"/>
    <col min="8213" max="8213" width="12" bestFit="1" customWidth="1"/>
    <col min="8214" max="8214" width="13.28515625" bestFit="1" customWidth="1"/>
    <col min="8215" max="8215" width="7" bestFit="1" customWidth="1"/>
    <col min="8216" max="8216" width="12.7109375" bestFit="1" customWidth="1"/>
    <col min="8217" max="8217" width="11.5703125" bestFit="1" customWidth="1"/>
    <col min="8218" max="8218" width="10.5703125" bestFit="1" customWidth="1"/>
    <col min="8219" max="8220" width="15.7109375" bestFit="1" customWidth="1"/>
    <col min="8221" max="8221" width="11.5703125" bestFit="1" customWidth="1"/>
    <col min="8222" max="8222" width="7.7109375" bestFit="1" customWidth="1"/>
    <col min="8223" max="8223" width="15.140625" bestFit="1" customWidth="1"/>
    <col min="8224" max="8224" width="11.5703125" bestFit="1" customWidth="1"/>
    <col min="8225" max="8225" width="13.28515625" bestFit="1" customWidth="1"/>
    <col min="8226" max="8226" width="10.42578125" bestFit="1" customWidth="1"/>
    <col min="8227" max="8227" width="13.28515625" bestFit="1" customWidth="1"/>
    <col min="8228" max="8228" width="12.140625" bestFit="1" customWidth="1"/>
    <col min="8229" max="8229" width="14.42578125" bestFit="1" customWidth="1"/>
    <col min="8230" max="8230" width="13.28515625" bestFit="1" customWidth="1"/>
    <col min="8231" max="8231" width="11.5703125" bestFit="1" customWidth="1"/>
    <col min="8232" max="8232" width="7.7109375" bestFit="1" customWidth="1"/>
    <col min="8233" max="8234" width="14.42578125" bestFit="1" customWidth="1"/>
    <col min="8235" max="8235" width="11.5703125" bestFit="1" customWidth="1"/>
    <col min="8236" max="8236" width="7.7109375" bestFit="1" customWidth="1"/>
    <col min="8237" max="8237" width="13.5703125" customWidth="1"/>
    <col min="8238" max="8238" width="15.28515625" customWidth="1"/>
    <col min="8239" max="8239" width="14.5703125" customWidth="1"/>
    <col min="8240" max="8240" width="13.28515625" bestFit="1" customWidth="1"/>
    <col min="8241" max="8241" width="7.7109375" bestFit="1" customWidth="1"/>
    <col min="8242" max="8242" width="12.7109375" bestFit="1" customWidth="1"/>
    <col min="8243" max="8243" width="11.7109375" bestFit="1" customWidth="1"/>
    <col min="8244" max="8244" width="11.5703125" bestFit="1" customWidth="1"/>
    <col min="8245" max="8245" width="5.28515625" bestFit="1" customWidth="1"/>
    <col min="8246" max="8246" width="13.28515625" bestFit="1" customWidth="1"/>
    <col min="8247" max="8247" width="13.5703125" bestFit="1" customWidth="1"/>
    <col min="8248" max="8248" width="10.5703125" bestFit="1" customWidth="1"/>
    <col min="8249" max="8249" width="13.28515625" bestFit="1" customWidth="1"/>
    <col min="8250" max="8250" width="11.5703125" bestFit="1" customWidth="1"/>
    <col min="8251" max="8251" width="10.5703125" bestFit="1" customWidth="1"/>
    <col min="8252" max="8252" width="16.140625" bestFit="1" customWidth="1"/>
    <col min="8253" max="8254" width="11.28515625" bestFit="1" customWidth="1"/>
    <col min="8255" max="8255" width="13.28515625" bestFit="1" customWidth="1"/>
    <col min="8256" max="8256" width="7.7109375" bestFit="1" customWidth="1"/>
    <col min="8257" max="8260" width="9.140625" hidden="1" customWidth="1"/>
    <col min="8261" max="8261" width="10.42578125" bestFit="1" customWidth="1"/>
    <col min="8262" max="8262" width="10.5703125" bestFit="1" customWidth="1"/>
    <col min="8263" max="8263" width="10.42578125" bestFit="1" customWidth="1"/>
    <col min="8264" max="8264" width="10.5703125" bestFit="1" customWidth="1"/>
    <col min="8265" max="8265" width="9.5703125" bestFit="1" customWidth="1"/>
    <col min="8266" max="8266" width="11.5703125" bestFit="1" customWidth="1"/>
    <col min="8267" max="8267" width="10.42578125" bestFit="1" customWidth="1"/>
    <col min="8268" max="8268" width="10.85546875" customWidth="1"/>
    <col min="8269" max="8270" width="9.85546875" bestFit="1" customWidth="1"/>
    <col min="8271" max="8271" width="13.5703125" bestFit="1" customWidth="1"/>
    <col min="8272" max="8272" width="7.7109375" bestFit="1" customWidth="1"/>
    <col min="8273" max="8273" width="13.28515625" bestFit="1" customWidth="1"/>
    <col min="8274" max="8274" width="11.5703125" bestFit="1" customWidth="1"/>
    <col min="8275" max="8275" width="10.42578125" bestFit="1" customWidth="1"/>
    <col min="8276" max="8276" width="7.7109375" bestFit="1" customWidth="1"/>
    <col min="8277" max="8277" width="11.5703125" bestFit="1" customWidth="1"/>
    <col min="8278" max="8278" width="10.85546875" bestFit="1" customWidth="1"/>
    <col min="8279" max="8279" width="13.28515625" bestFit="1" customWidth="1"/>
    <col min="8280" max="8280" width="10.85546875" bestFit="1" customWidth="1"/>
    <col min="8281" max="8282" width="7.5703125" bestFit="1" customWidth="1"/>
    <col min="8283" max="8284" width="10.42578125" bestFit="1" customWidth="1"/>
    <col min="8285" max="8285" width="11.5703125" bestFit="1" customWidth="1"/>
    <col min="8286" max="8286" width="5.28515625" bestFit="1" customWidth="1"/>
    <col min="8287" max="8287" width="10.28515625" bestFit="1" customWidth="1"/>
    <col min="8288" max="8288" width="10.42578125" bestFit="1" customWidth="1"/>
    <col min="8289" max="8289" width="11.5703125" bestFit="1" customWidth="1"/>
    <col min="8290" max="8290" width="5.28515625" bestFit="1" customWidth="1"/>
    <col min="8291" max="8293" width="11.5703125" bestFit="1" customWidth="1"/>
    <col min="8294" max="8294" width="5.28515625" bestFit="1" customWidth="1"/>
    <col min="8295" max="8296" width="10.42578125" bestFit="1" customWidth="1"/>
    <col min="8297" max="8297" width="11.5703125" bestFit="1" customWidth="1"/>
    <col min="8298" max="8298" width="5.28515625" bestFit="1" customWidth="1"/>
    <col min="8299" max="8299" width="14.28515625" bestFit="1" customWidth="1"/>
    <col min="8300" max="8300" width="13" bestFit="1" customWidth="1"/>
    <col min="8301" max="8301" width="11.5703125" bestFit="1" customWidth="1"/>
    <col min="8302" max="8302" width="8.85546875" bestFit="1" customWidth="1"/>
    <col min="8303" max="8303" width="14.42578125" bestFit="1" customWidth="1"/>
    <col min="8304" max="8304" width="10.42578125" bestFit="1" customWidth="1"/>
    <col min="8305" max="8305" width="12.28515625" bestFit="1" customWidth="1"/>
    <col min="8306" max="8306" width="13.85546875" bestFit="1" customWidth="1"/>
    <col min="8307" max="8307" width="11.28515625" customWidth="1"/>
    <col min="8308" max="8308" width="11.5703125" customWidth="1"/>
    <col min="8309" max="8309" width="13.42578125" bestFit="1" customWidth="1"/>
    <col min="8310" max="8310" width="10.42578125" customWidth="1"/>
    <col min="8311" max="8311" width="13.85546875" bestFit="1" customWidth="1"/>
    <col min="8312" max="8312" width="15.42578125" bestFit="1" customWidth="1"/>
    <col min="8313" max="8313" width="12.28515625" bestFit="1" customWidth="1"/>
    <col min="8314" max="8314" width="12.7109375" customWidth="1"/>
    <col min="8315" max="8315" width="10.7109375" bestFit="1" customWidth="1"/>
    <col min="8316" max="8316" width="9.85546875" customWidth="1"/>
    <col min="8317" max="8318" width="10.140625" bestFit="1" customWidth="1"/>
    <col min="8319" max="8319" width="7.5703125" bestFit="1" customWidth="1"/>
    <col min="8320" max="8320" width="9.42578125" bestFit="1" customWidth="1"/>
    <col min="8321" max="8321" width="14.5703125" bestFit="1" customWidth="1"/>
    <col min="8322" max="8322" width="14.85546875" customWidth="1"/>
    <col min="8323" max="8323" width="15.140625" bestFit="1" customWidth="1"/>
    <col min="8324" max="8324" width="12.140625" bestFit="1" customWidth="1"/>
    <col min="8325" max="8325" width="14.85546875" bestFit="1" customWidth="1"/>
    <col min="8326" max="8326" width="12.28515625" bestFit="1" customWidth="1"/>
    <col min="8327" max="8335" width="9.140625" hidden="1" customWidth="1"/>
    <col min="8336" max="8336" width="5.28515625" bestFit="1" customWidth="1"/>
    <col min="8337" max="8342" width="11.5703125" bestFit="1" customWidth="1"/>
    <col min="8343" max="8343" width="11.28515625" bestFit="1" customWidth="1"/>
    <col min="8344" max="8344" width="10.140625" bestFit="1" customWidth="1"/>
    <col min="8345" max="8345" width="11.5703125" bestFit="1" customWidth="1"/>
    <col min="8346" max="8346" width="16.140625" customWidth="1"/>
    <col min="8347" max="8347" width="13.42578125" customWidth="1"/>
    <col min="8348" max="8348" width="10.140625" bestFit="1" customWidth="1"/>
    <col min="8349" max="8349" width="12.85546875" bestFit="1" customWidth="1"/>
    <col min="8350" max="8350" width="12.28515625" bestFit="1" customWidth="1"/>
    <col min="8351" max="8351" width="11.28515625" bestFit="1" customWidth="1"/>
    <col min="8352" max="8352" width="11.5703125" bestFit="1" customWidth="1"/>
    <col min="8353" max="8353" width="10.85546875" bestFit="1" customWidth="1"/>
    <col min="8354" max="8354" width="11.28515625" bestFit="1" customWidth="1"/>
    <col min="8355" max="8355" width="10.140625" bestFit="1" customWidth="1"/>
    <col min="8356" max="8356" width="13.28515625" bestFit="1" customWidth="1"/>
    <col min="8357" max="8358" width="12.7109375" bestFit="1" customWidth="1"/>
    <col min="8359" max="8359" width="11" bestFit="1" customWidth="1"/>
    <col min="8360" max="8360" width="11.28515625" bestFit="1" customWidth="1"/>
    <col min="8361" max="8361" width="11.5703125" bestFit="1" customWidth="1"/>
    <col min="8362" max="8362" width="12.28515625" bestFit="1" customWidth="1"/>
    <col min="8363" max="8363" width="15.140625" bestFit="1" customWidth="1"/>
    <col min="8364" max="8364" width="14.42578125" bestFit="1" customWidth="1"/>
    <col min="8365" max="8365" width="12.28515625" bestFit="1" customWidth="1"/>
    <col min="8366" max="8366" width="15.140625" bestFit="1" customWidth="1"/>
    <col min="8367" max="8367" width="14.42578125" bestFit="1" customWidth="1"/>
    <col min="8368" max="8368" width="12.28515625" bestFit="1" customWidth="1"/>
    <col min="8369" max="8369" width="14.42578125" bestFit="1" customWidth="1"/>
    <col min="8370" max="8370" width="11.28515625" bestFit="1" customWidth="1"/>
    <col min="8371" max="8371" width="12.28515625" bestFit="1" customWidth="1"/>
    <col min="8372" max="8372" width="13" bestFit="1" customWidth="1"/>
    <col min="8373" max="8373" width="15.140625" bestFit="1" customWidth="1"/>
    <col min="8374" max="8374" width="12.28515625" bestFit="1" customWidth="1"/>
    <col min="8375" max="8375" width="13.85546875" bestFit="1" customWidth="1"/>
    <col min="8376" max="8376" width="11.28515625" bestFit="1" customWidth="1"/>
    <col min="8377" max="8377" width="12.28515625" bestFit="1" customWidth="1"/>
    <col min="8378" max="8378" width="13.85546875" bestFit="1" customWidth="1"/>
    <col min="8379" max="8380" width="15.140625" bestFit="1" customWidth="1"/>
    <col min="8381" max="8381" width="12.28515625" bestFit="1" customWidth="1"/>
    <col min="8382" max="8382" width="5.7109375" bestFit="1" customWidth="1"/>
    <col min="8383" max="8383" width="8.5703125" bestFit="1" customWidth="1"/>
    <col min="8384" max="8384" width="5.5703125" bestFit="1" customWidth="1"/>
    <col min="8385" max="8385" width="14.42578125" bestFit="1" customWidth="1"/>
    <col min="8386" max="8386" width="11.28515625" bestFit="1" customWidth="1"/>
    <col min="8387" max="8388" width="12.28515625" bestFit="1" customWidth="1"/>
    <col min="8389" max="8389" width="11.28515625" bestFit="1" customWidth="1"/>
    <col min="8390" max="8390" width="13.85546875" bestFit="1" customWidth="1"/>
    <col min="8391" max="8391" width="12" bestFit="1" customWidth="1"/>
    <col min="8392" max="8392" width="13.85546875" bestFit="1" customWidth="1"/>
    <col min="8393" max="8394" width="14.42578125" customWidth="1"/>
    <col min="8395" max="8395" width="10.140625" bestFit="1" customWidth="1"/>
    <col min="8396" max="8396" width="12.28515625" bestFit="1" customWidth="1"/>
    <col min="8397" max="8397" width="7.42578125" bestFit="1" customWidth="1"/>
    <col min="8398" max="8398" width="8.5703125" bestFit="1" customWidth="1"/>
    <col min="8399" max="8399" width="11.5703125" bestFit="1" customWidth="1"/>
    <col min="8400" max="8400" width="13.28515625" bestFit="1" customWidth="1"/>
    <col min="8401" max="8401" width="13.28515625" customWidth="1"/>
    <col min="8402" max="8402" width="13.140625" customWidth="1"/>
    <col min="8403" max="8403" width="12.7109375" bestFit="1" customWidth="1"/>
    <col min="8404" max="8404" width="13.28515625" bestFit="1" customWidth="1"/>
    <col min="8405" max="8407" width="13.28515625" customWidth="1"/>
    <col min="8408" max="8408" width="12.140625" bestFit="1" customWidth="1"/>
    <col min="8409" max="8409" width="12.7109375" bestFit="1" customWidth="1"/>
    <col min="8410" max="8410" width="11" customWidth="1"/>
    <col min="8411" max="8411" width="16.7109375" customWidth="1"/>
    <col min="8412" max="8412" width="17" customWidth="1"/>
    <col min="8413" max="8413" width="10.42578125" bestFit="1" customWidth="1"/>
    <col min="8457" max="8457" width="3.85546875" customWidth="1"/>
    <col min="8458" max="8458" width="15.28515625" bestFit="1" customWidth="1"/>
    <col min="8459" max="8459" width="12.28515625" customWidth="1"/>
    <col min="8460" max="8460" width="16.28515625" bestFit="1" customWidth="1"/>
    <col min="8461" max="8461" width="6.42578125" bestFit="1" customWidth="1"/>
    <col min="8462" max="8462" width="9.28515625" bestFit="1" customWidth="1"/>
    <col min="8463" max="8463" width="7.5703125" bestFit="1" customWidth="1"/>
    <col min="8464" max="8464" width="13.28515625" bestFit="1" customWidth="1"/>
    <col min="8465" max="8465" width="9.28515625" bestFit="1" customWidth="1"/>
    <col min="8466" max="8466" width="11.5703125" bestFit="1" customWidth="1"/>
    <col min="8467" max="8467" width="13.28515625" bestFit="1" customWidth="1"/>
    <col min="8468" max="8468" width="7.140625" bestFit="1" customWidth="1"/>
    <col min="8469" max="8469" width="12" bestFit="1" customWidth="1"/>
    <col min="8470" max="8470" width="13.28515625" bestFit="1" customWidth="1"/>
    <col min="8471" max="8471" width="7" bestFit="1" customWidth="1"/>
    <col min="8472" max="8472" width="12.7109375" bestFit="1" customWidth="1"/>
    <col min="8473" max="8473" width="11.5703125" bestFit="1" customWidth="1"/>
    <col min="8474" max="8474" width="10.5703125" bestFit="1" customWidth="1"/>
    <col min="8475" max="8476" width="15.7109375" bestFit="1" customWidth="1"/>
    <col min="8477" max="8477" width="11.5703125" bestFit="1" customWidth="1"/>
    <col min="8478" max="8478" width="7.7109375" bestFit="1" customWidth="1"/>
    <col min="8479" max="8479" width="15.140625" bestFit="1" customWidth="1"/>
    <col min="8480" max="8480" width="11.5703125" bestFit="1" customWidth="1"/>
    <col min="8481" max="8481" width="13.28515625" bestFit="1" customWidth="1"/>
    <col min="8482" max="8482" width="10.42578125" bestFit="1" customWidth="1"/>
    <col min="8483" max="8483" width="13.28515625" bestFit="1" customWidth="1"/>
    <col min="8484" max="8484" width="12.140625" bestFit="1" customWidth="1"/>
    <col min="8485" max="8485" width="14.42578125" bestFit="1" customWidth="1"/>
    <col min="8486" max="8486" width="13.28515625" bestFit="1" customWidth="1"/>
    <col min="8487" max="8487" width="11.5703125" bestFit="1" customWidth="1"/>
    <col min="8488" max="8488" width="7.7109375" bestFit="1" customWidth="1"/>
    <col min="8489" max="8490" width="14.42578125" bestFit="1" customWidth="1"/>
    <col min="8491" max="8491" width="11.5703125" bestFit="1" customWidth="1"/>
    <col min="8492" max="8492" width="7.7109375" bestFit="1" customWidth="1"/>
    <col min="8493" max="8493" width="13.5703125" customWidth="1"/>
    <col min="8494" max="8494" width="15.28515625" customWidth="1"/>
    <col min="8495" max="8495" width="14.5703125" customWidth="1"/>
    <col min="8496" max="8496" width="13.28515625" bestFit="1" customWidth="1"/>
    <col min="8497" max="8497" width="7.7109375" bestFit="1" customWidth="1"/>
    <col min="8498" max="8498" width="12.7109375" bestFit="1" customWidth="1"/>
    <col min="8499" max="8499" width="11.7109375" bestFit="1" customWidth="1"/>
    <col min="8500" max="8500" width="11.5703125" bestFit="1" customWidth="1"/>
    <col min="8501" max="8501" width="5.28515625" bestFit="1" customWidth="1"/>
    <col min="8502" max="8502" width="13.28515625" bestFit="1" customWidth="1"/>
    <col min="8503" max="8503" width="13.5703125" bestFit="1" customWidth="1"/>
    <col min="8504" max="8504" width="10.5703125" bestFit="1" customWidth="1"/>
    <col min="8505" max="8505" width="13.28515625" bestFit="1" customWidth="1"/>
    <col min="8506" max="8506" width="11.5703125" bestFit="1" customWidth="1"/>
    <col min="8507" max="8507" width="10.5703125" bestFit="1" customWidth="1"/>
    <col min="8508" max="8508" width="16.140625" bestFit="1" customWidth="1"/>
    <col min="8509" max="8510" width="11.28515625" bestFit="1" customWidth="1"/>
    <col min="8511" max="8511" width="13.28515625" bestFit="1" customWidth="1"/>
    <col min="8512" max="8512" width="7.7109375" bestFit="1" customWidth="1"/>
    <col min="8513" max="8516" width="9.140625" hidden="1" customWidth="1"/>
    <col min="8517" max="8517" width="10.42578125" bestFit="1" customWidth="1"/>
    <col min="8518" max="8518" width="10.5703125" bestFit="1" customWidth="1"/>
    <col min="8519" max="8519" width="10.42578125" bestFit="1" customWidth="1"/>
    <col min="8520" max="8520" width="10.5703125" bestFit="1" customWidth="1"/>
    <col min="8521" max="8521" width="9.5703125" bestFit="1" customWidth="1"/>
    <col min="8522" max="8522" width="11.5703125" bestFit="1" customWidth="1"/>
    <col min="8523" max="8523" width="10.42578125" bestFit="1" customWidth="1"/>
    <col min="8524" max="8524" width="10.85546875" customWidth="1"/>
    <col min="8525" max="8526" width="9.85546875" bestFit="1" customWidth="1"/>
    <col min="8527" max="8527" width="13.5703125" bestFit="1" customWidth="1"/>
    <col min="8528" max="8528" width="7.7109375" bestFit="1" customWidth="1"/>
    <col min="8529" max="8529" width="13.28515625" bestFit="1" customWidth="1"/>
    <col min="8530" max="8530" width="11.5703125" bestFit="1" customWidth="1"/>
    <col min="8531" max="8531" width="10.42578125" bestFit="1" customWidth="1"/>
    <col min="8532" max="8532" width="7.7109375" bestFit="1" customWidth="1"/>
    <col min="8533" max="8533" width="11.5703125" bestFit="1" customWidth="1"/>
    <col min="8534" max="8534" width="10.85546875" bestFit="1" customWidth="1"/>
    <col min="8535" max="8535" width="13.28515625" bestFit="1" customWidth="1"/>
    <col min="8536" max="8536" width="10.85546875" bestFit="1" customWidth="1"/>
    <col min="8537" max="8538" width="7.5703125" bestFit="1" customWidth="1"/>
    <col min="8539" max="8540" width="10.42578125" bestFit="1" customWidth="1"/>
    <col min="8541" max="8541" width="11.5703125" bestFit="1" customWidth="1"/>
    <col min="8542" max="8542" width="5.28515625" bestFit="1" customWidth="1"/>
    <col min="8543" max="8543" width="10.28515625" bestFit="1" customWidth="1"/>
    <col min="8544" max="8544" width="10.42578125" bestFit="1" customWidth="1"/>
    <col min="8545" max="8545" width="11.5703125" bestFit="1" customWidth="1"/>
    <col min="8546" max="8546" width="5.28515625" bestFit="1" customWidth="1"/>
    <col min="8547" max="8549" width="11.5703125" bestFit="1" customWidth="1"/>
    <col min="8550" max="8550" width="5.28515625" bestFit="1" customWidth="1"/>
    <col min="8551" max="8552" width="10.42578125" bestFit="1" customWidth="1"/>
    <col min="8553" max="8553" width="11.5703125" bestFit="1" customWidth="1"/>
    <col min="8554" max="8554" width="5.28515625" bestFit="1" customWidth="1"/>
    <col min="8555" max="8555" width="14.28515625" bestFit="1" customWidth="1"/>
    <col min="8556" max="8556" width="13" bestFit="1" customWidth="1"/>
    <col min="8557" max="8557" width="11.5703125" bestFit="1" customWidth="1"/>
    <col min="8558" max="8558" width="8.85546875" bestFit="1" customWidth="1"/>
    <col min="8559" max="8559" width="14.42578125" bestFit="1" customWidth="1"/>
    <col min="8560" max="8560" width="10.42578125" bestFit="1" customWidth="1"/>
    <col min="8561" max="8561" width="12.28515625" bestFit="1" customWidth="1"/>
    <col min="8562" max="8562" width="13.85546875" bestFit="1" customWidth="1"/>
    <col min="8563" max="8563" width="11.28515625" customWidth="1"/>
    <col min="8564" max="8564" width="11.5703125" customWidth="1"/>
    <col min="8565" max="8565" width="13.42578125" bestFit="1" customWidth="1"/>
    <col min="8566" max="8566" width="10.42578125" customWidth="1"/>
    <col min="8567" max="8567" width="13.85546875" bestFit="1" customWidth="1"/>
    <col min="8568" max="8568" width="15.42578125" bestFit="1" customWidth="1"/>
    <col min="8569" max="8569" width="12.28515625" bestFit="1" customWidth="1"/>
    <col min="8570" max="8570" width="12.7109375" customWidth="1"/>
    <col min="8571" max="8571" width="10.7109375" bestFit="1" customWidth="1"/>
    <col min="8572" max="8572" width="9.85546875" customWidth="1"/>
    <col min="8573" max="8574" width="10.140625" bestFit="1" customWidth="1"/>
    <col min="8575" max="8575" width="7.5703125" bestFit="1" customWidth="1"/>
    <col min="8576" max="8576" width="9.42578125" bestFit="1" customWidth="1"/>
    <col min="8577" max="8577" width="14.5703125" bestFit="1" customWidth="1"/>
    <col min="8578" max="8578" width="14.85546875" customWidth="1"/>
    <col min="8579" max="8579" width="15.140625" bestFit="1" customWidth="1"/>
    <col min="8580" max="8580" width="12.140625" bestFit="1" customWidth="1"/>
    <col min="8581" max="8581" width="14.85546875" bestFit="1" customWidth="1"/>
    <col min="8582" max="8582" width="12.28515625" bestFit="1" customWidth="1"/>
    <col min="8583" max="8591" width="9.140625" hidden="1" customWidth="1"/>
    <col min="8592" max="8592" width="5.28515625" bestFit="1" customWidth="1"/>
    <col min="8593" max="8598" width="11.5703125" bestFit="1" customWidth="1"/>
    <col min="8599" max="8599" width="11.28515625" bestFit="1" customWidth="1"/>
    <col min="8600" max="8600" width="10.140625" bestFit="1" customWidth="1"/>
    <col min="8601" max="8601" width="11.5703125" bestFit="1" customWidth="1"/>
    <col min="8602" max="8602" width="16.140625" customWidth="1"/>
    <col min="8603" max="8603" width="13.42578125" customWidth="1"/>
    <col min="8604" max="8604" width="10.140625" bestFit="1" customWidth="1"/>
    <col min="8605" max="8605" width="12.85546875" bestFit="1" customWidth="1"/>
    <col min="8606" max="8606" width="12.28515625" bestFit="1" customWidth="1"/>
    <col min="8607" max="8607" width="11.28515625" bestFit="1" customWidth="1"/>
    <col min="8608" max="8608" width="11.5703125" bestFit="1" customWidth="1"/>
    <col min="8609" max="8609" width="10.85546875" bestFit="1" customWidth="1"/>
    <col min="8610" max="8610" width="11.28515625" bestFit="1" customWidth="1"/>
    <col min="8611" max="8611" width="10.140625" bestFit="1" customWidth="1"/>
    <col min="8612" max="8612" width="13.28515625" bestFit="1" customWidth="1"/>
    <col min="8613" max="8614" width="12.7109375" bestFit="1" customWidth="1"/>
    <col min="8615" max="8615" width="11" bestFit="1" customWidth="1"/>
    <col min="8616" max="8616" width="11.28515625" bestFit="1" customWidth="1"/>
    <col min="8617" max="8617" width="11.5703125" bestFit="1" customWidth="1"/>
    <col min="8618" max="8618" width="12.28515625" bestFit="1" customWidth="1"/>
    <col min="8619" max="8619" width="15.140625" bestFit="1" customWidth="1"/>
    <col min="8620" max="8620" width="14.42578125" bestFit="1" customWidth="1"/>
    <col min="8621" max="8621" width="12.28515625" bestFit="1" customWidth="1"/>
    <col min="8622" max="8622" width="15.140625" bestFit="1" customWidth="1"/>
    <col min="8623" max="8623" width="14.42578125" bestFit="1" customWidth="1"/>
    <col min="8624" max="8624" width="12.28515625" bestFit="1" customWidth="1"/>
    <col min="8625" max="8625" width="14.42578125" bestFit="1" customWidth="1"/>
    <col min="8626" max="8626" width="11.28515625" bestFit="1" customWidth="1"/>
    <col min="8627" max="8627" width="12.28515625" bestFit="1" customWidth="1"/>
    <col min="8628" max="8628" width="13" bestFit="1" customWidth="1"/>
    <col min="8629" max="8629" width="15.140625" bestFit="1" customWidth="1"/>
    <col min="8630" max="8630" width="12.28515625" bestFit="1" customWidth="1"/>
    <col min="8631" max="8631" width="13.85546875" bestFit="1" customWidth="1"/>
    <col min="8632" max="8632" width="11.28515625" bestFit="1" customWidth="1"/>
    <col min="8633" max="8633" width="12.28515625" bestFit="1" customWidth="1"/>
    <col min="8634" max="8634" width="13.85546875" bestFit="1" customWidth="1"/>
    <col min="8635" max="8636" width="15.140625" bestFit="1" customWidth="1"/>
    <col min="8637" max="8637" width="12.28515625" bestFit="1" customWidth="1"/>
    <col min="8638" max="8638" width="5.7109375" bestFit="1" customWidth="1"/>
    <col min="8639" max="8639" width="8.5703125" bestFit="1" customWidth="1"/>
    <col min="8640" max="8640" width="5.5703125" bestFit="1" customWidth="1"/>
    <col min="8641" max="8641" width="14.42578125" bestFit="1" customWidth="1"/>
    <col min="8642" max="8642" width="11.28515625" bestFit="1" customWidth="1"/>
    <col min="8643" max="8644" width="12.28515625" bestFit="1" customWidth="1"/>
    <col min="8645" max="8645" width="11.28515625" bestFit="1" customWidth="1"/>
    <col min="8646" max="8646" width="13.85546875" bestFit="1" customWidth="1"/>
    <col min="8647" max="8647" width="12" bestFit="1" customWidth="1"/>
    <col min="8648" max="8648" width="13.85546875" bestFit="1" customWidth="1"/>
    <col min="8649" max="8650" width="14.42578125" customWidth="1"/>
    <col min="8651" max="8651" width="10.140625" bestFit="1" customWidth="1"/>
    <col min="8652" max="8652" width="12.28515625" bestFit="1" customWidth="1"/>
    <col min="8653" max="8653" width="7.42578125" bestFit="1" customWidth="1"/>
    <col min="8654" max="8654" width="8.5703125" bestFit="1" customWidth="1"/>
    <col min="8655" max="8655" width="11.5703125" bestFit="1" customWidth="1"/>
    <col min="8656" max="8656" width="13.28515625" bestFit="1" customWidth="1"/>
    <col min="8657" max="8657" width="13.28515625" customWidth="1"/>
    <col min="8658" max="8658" width="13.140625" customWidth="1"/>
    <col min="8659" max="8659" width="12.7109375" bestFit="1" customWidth="1"/>
    <col min="8660" max="8660" width="13.28515625" bestFit="1" customWidth="1"/>
    <col min="8661" max="8663" width="13.28515625" customWidth="1"/>
    <col min="8664" max="8664" width="12.140625" bestFit="1" customWidth="1"/>
    <col min="8665" max="8665" width="12.7109375" bestFit="1" customWidth="1"/>
    <col min="8666" max="8666" width="11" customWidth="1"/>
    <col min="8667" max="8667" width="16.7109375" customWidth="1"/>
    <col min="8668" max="8668" width="17" customWidth="1"/>
    <col min="8669" max="8669" width="10.42578125" bestFit="1" customWidth="1"/>
    <col min="8713" max="8713" width="3.85546875" customWidth="1"/>
    <col min="8714" max="8714" width="15.28515625" bestFit="1" customWidth="1"/>
    <col min="8715" max="8715" width="12.28515625" customWidth="1"/>
    <col min="8716" max="8716" width="16.28515625" bestFit="1" customWidth="1"/>
    <col min="8717" max="8717" width="6.42578125" bestFit="1" customWidth="1"/>
    <col min="8718" max="8718" width="9.28515625" bestFit="1" customWidth="1"/>
    <col min="8719" max="8719" width="7.5703125" bestFit="1" customWidth="1"/>
    <col min="8720" max="8720" width="13.28515625" bestFit="1" customWidth="1"/>
    <col min="8721" max="8721" width="9.28515625" bestFit="1" customWidth="1"/>
    <col min="8722" max="8722" width="11.5703125" bestFit="1" customWidth="1"/>
    <col min="8723" max="8723" width="13.28515625" bestFit="1" customWidth="1"/>
    <col min="8724" max="8724" width="7.140625" bestFit="1" customWidth="1"/>
    <col min="8725" max="8725" width="12" bestFit="1" customWidth="1"/>
    <col min="8726" max="8726" width="13.28515625" bestFit="1" customWidth="1"/>
    <col min="8727" max="8727" width="7" bestFit="1" customWidth="1"/>
    <col min="8728" max="8728" width="12.7109375" bestFit="1" customWidth="1"/>
    <col min="8729" max="8729" width="11.5703125" bestFit="1" customWidth="1"/>
    <col min="8730" max="8730" width="10.5703125" bestFit="1" customWidth="1"/>
    <col min="8731" max="8732" width="15.7109375" bestFit="1" customWidth="1"/>
    <col min="8733" max="8733" width="11.5703125" bestFit="1" customWidth="1"/>
    <col min="8734" max="8734" width="7.7109375" bestFit="1" customWidth="1"/>
    <col min="8735" max="8735" width="15.140625" bestFit="1" customWidth="1"/>
    <col min="8736" max="8736" width="11.5703125" bestFit="1" customWidth="1"/>
    <col min="8737" max="8737" width="13.28515625" bestFit="1" customWidth="1"/>
    <col min="8738" max="8738" width="10.42578125" bestFit="1" customWidth="1"/>
    <col min="8739" max="8739" width="13.28515625" bestFit="1" customWidth="1"/>
    <col min="8740" max="8740" width="12.140625" bestFit="1" customWidth="1"/>
    <col min="8741" max="8741" width="14.42578125" bestFit="1" customWidth="1"/>
    <col min="8742" max="8742" width="13.28515625" bestFit="1" customWidth="1"/>
    <col min="8743" max="8743" width="11.5703125" bestFit="1" customWidth="1"/>
    <col min="8744" max="8744" width="7.7109375" bestFit="1" customWidth="1"/>
    <col min="8745" max="8746" width="14.42578125" bestFit="1" customWidth="1"/>
    <col min="8747" max="8747" width="11.5703125" bestFit="1" customWidth="1"/>
    <col min="8748" max="8748" width="7.7109375" bestFit="1" customWidth="1"/>
    <col min="8749" max="8749" width="13.5703125" customWidth="1"/>
    <col min="8750" max="8750" width="15.28515625" customWidth="1"/>
    <col min="8751" max="8751" width="14.5703125" customWidth="1"/>
    <col min="8752" max="8752" width="13.28515625" bestFit="1" customWidth="1"/>
    <col min="8753" max="8753" width="7.7109375" bestFit="1" customWidth="1"/>
    <col min="8754" max="8754" width="12.7109375" bestFit="1" customWidth="1"/>
    <col min="8755" max="8755" width="11.7109375" bestFit="1" customWidth="1"/>
    <col min="8756" max="8756" width="11.5703125" bestFit="1" customWidth="1"/>
    <col min="8757" max="8757" width="5.28515625" bestFit="1" customWidth="1"/>
    <col min="8758" max="8758" width="13.28515625" bestFit="1" customWidth="1"/>
    <col min="8759" max="8759" width="13.5703125" bestFit="1" customWidth="1"/>
    <col min="8760" max="8760" width="10.5703125" bestFit="1" customWidth="1"/>
    <col min="8761" max="8761" width="13.28515625" bestFit="1" customWidth="1"/>
    <col min="8762" max="8762" width="11.5703125" bestFit="1" customWidth="1"/>
    <col min="8763" max="8763" width="10.5703125" bestFit="1" customWidth="1"/>
    <col min="8764" max="8764" width="16.140625" bestFit="1" customWidth="1"/>
    <col min="8765" max="8766" width="11.28515625" bestFit="1" customWidth="1"/>
    <col min="8767" max="8767" width="13.28515625" bestFit="1" customWidth="1"/>
    <col min="8768" max="8768" width="7.7109375" bestFit="1" customWidth="1"/>
    <col min="8769" max="8772" width="9.140625" hidden="1" customWidth="1"/>
    <col min="8773" max="8773" width="10.42578125" bestFit="1" customWidth="1"/>
    <col min="8774" max="8774" width="10.5703125" bestFit="1" customWidth="1"/>
    <col min="8775" max="8775" width="10.42578125" bestFit="1" customWidth="1"/>
    <col min="8776" max="8776" width="10.5703125" bestFit="1" customWidth="1"/>
    <col min="8777" max="8777" width="9.5703125" bestFit="1" customWidth="1"/>
    <col min="8778" max="8778" width="11.5703125" bestFit="1" customWidth="1"/>
    <col min="8779" max="8779" width="10.42578125" bestFit="1" customWidth="1"/>
    <col min="8780" max="8780" width="10.85546875" customWidth="1"/>
    <col min="8781" max="8782" width="9.85546875" bestFit="1" customWidth="1"/>
    <col min="8783" max="8783" width="13.5703125" bestFit="1" customWidth="1"/>
    <col min="8784" max="8784" width="7.7109375" bestFit="1" customWidth="1"/>
    <col min="8785" max="8785" width="13.28515625" bestFit="1" customWidth="1"/>
    <col min="8786" max="8786" width="11.5703125" bestFit="1" customWidth="1"/>
    <col min="8787" max="8787" width="10.42578125" bestFit="1" customWidth="1"/>
    <col min="8788" max="8788" width="7.7109375" bestFit="1" customWidth="1"/>
    <col min="8789" max="8789" width="11.5703125" bestFit="1" customWidth="1"/>
    <col min="8790" max="8790" width="10.85546875" bestFit="1" customWidth="1"/>
    <col min="8791" max="8791" width="13.28515625" bestFit="1" customWidth="1"/>
    <col min="8792" max="8792" width="10.85546875" bestFit="1" customWidth="1"/>
    <col min="8793" max="8794" width="7.5703125" bestFit="1" customWidth="1"/>
    <col min="8795" max="8796" width="10.42578125" bestFit="1" customWidth="1"/>
    <col min="8797" max="8797" width="11.5703125" bestFit="1" customWidth="1"/>
    <col min="8798" max="8798" width="5.28515625" bestFit="1" customWidth="1"/>
    <col min="8799" max="8799" width="10.28515625" bestFit="1" customWidth="1"/>
    <col min="8800" max="8800" width="10.42578125" bestFit="1" customWidth="1"/>
    <col min="8801" max="8801" width="11.5703125" bestFit="1" customWidth="1"/>
    <col min="8802" max="8802" width="5.28515625" bestFit="1" customWidth="1"/>
    <col min="8803" max="8805" width="11.5703125" bestFit="1" customWidth="1"/>
    <col min="8806" max="8806" width="5.28515625" bestFit="1" customWidth="1"/>
    <col min="8807" max="8808" width="10.42578125" bestFit="1" customWidth="1"/>
    <col min="8809" max="8809" width="11.5703125" bestFit="1" customWidth="1"/>
    <col min="8810" max="8810" width="5.28515625" bestFit="1" customWidth="1"/>
    <col min="8811" max="8811" width="14.28515625" bestFit="1" customWidth="1"/>
    <col min="8812" max="8812" width="13" bestFit="1" customWidth="1"/>
    <col min="8813" max="8813" width="11.5703125" bestFit="1" customWidth="1"/>
    <col min="8814" max="8814" width="8.85546875" bestFit="1" customWidth="1"/>
    <col min="8815" max="8815" width="14.42578125" bestFit="1" customWidth="1"/>
    <col min="8816" max="8816" width="10.42578125" bestFit="1" customWidth="1"/>
    <col min="8817" max="8817" width="12.28515625" bestFit="1" customWidth="1"/>
    <col min="8818" max="8818" width="13.85546875" bestFit="1" customWidth="1"/>
    <col min="8819" max="8819" width="11.28515625" customWidth="1"/>
    <col min="8820" max="8820" width="11.5703125" customWidth="1"/>
    <col min="8821" max="8821" width="13.42578125" bestFit="1" customWidth="1"/>
    <col min="8822" max="8822" width="10.42578125" customWidth="1"/>
    <col min="8823" max="8823" width="13.85546875" bestFit="1" customWidth="1"/>
    <col min="8824" max="8824" width="15.42578125" bestFit="1" customWidth="1"/>
    <col min="8825" max="8825" width="12.28515625" bestFit="1" customWidth="1"/>
    <col min="8826" max="8826" width="12.7109375" customWidth="1"/>
    <col min="8827" max="8827" width="10.7109375" bestFit="1" customWidth="1"/>
    <col min="8828" max="8828" width="9.85546875" customWidth="1"/>
    <col min="8829" max="8830" width="10.140625" bestFit="1" customWidth="1"/>
    <col min="8831" max="8831" width="7.5703125" bestFit="1" customWidth="1"/>
    <col min="8832" max="8832" width="9.42578125" bestFit="1" customWidth="1"/>
    <col min="8833" max="8833" width="14.5703125" bestFit="1" customWidth="1"/>
    <col min="8834" max="8834" width="14.85546875" customWidth="1"/>
    <col min="8835" max="8835" width="15.140625" bestFit="1" customWidth="1"/>
    <col min="8836" max="8836" width="12.140625" bestFit="1" customWidth="1"/>
    <col min="8837" max="8837" width="14.85546875" bestFit="1" customWidth="1"/>
    <col min="8838" max="8838" width="12.28515625" bestFit="1" customWidth="1"/>
    <col min="8839" max="8847" width="9.140625" hidden="1" customWidth="1"/>
    <col min="8848" max="8848" width="5.28515625" bestFit="1" customWidth="1"/>
    <col min="8849" max="8854" width="11.5703125" bestFit="1" customWidth="1"/>
    <col min="8855" max="8855" width="11.28515625" bestFit="1" customWidth="1"/>
    <col min="8856" max="8856" width="10.140625" bestFit="1" customWidth="1"/>
    <col min="8857" max="8857" width="11.5703125" bestFit="1" customWidth="1"/>
    <col min="8858" max="8858" width="16.140625" customWidth="1"/>
    <col min="8859" max="8859" width="13.42578125" customWidth="1"/>
    <col min="8860" max="8860" width="10.140625" bestFit="1" customWidth="1"/>
    <col min="8861" max="8861" width="12.85546875" bestFit="1" customWidth="1"/>
    <col min="8862" max="8862" width="12.28515625" bestFit="1" customWidth="1"/>
    <col min="8863" max="8863" width="11.28515625" bestFit="1" customWidth="1"/>
    <col min="8864" max="8864" width="11.5703125" bestFit="1" customWidth="1"/>
    <col min="8865" max="8865" width="10.85546875" bestFit="1" customWidth="1"/>
    <col min="8866" max="8866" width="11.28515625" bestFit="1" customWidth="1"/>
    <col min="8867" max="8867" width="10.140625" bestFit="1" customWidth="1"/>
    <col min="8868" max="8868" width="13.28515625" bestFit="1" customWidth="1"/>
    <col min="8869" max="8870" width="12.7109375" bestFit="1" customWidth="1"/>
    <col min="8871" max="8871" width="11" bestFit="1" customWidth="1"/>
    <col min="8872" max="8872" width="11.28515625" bestFit="1" customWidth="1"/>
    <col min="8873" max="8873" width="11.5703125" bestFit="1" customWidth="1"/>
    <col min="8874" max="8874" width="12.28515625" bestFit="1" customWidth="1"/>
    <col min="8875" max="8875" width="15.140625" bestFit="1" customWidth="1"/>
    <col min="8876" max="8876" width="14.42578125" bestFit="1" customWidth="1"/>
    <col min="8877" max="8877" width="12.28515625" bestFit="1" customWidth="1"/>
    <col min="8878" max="8878" width="15.140625" bestFit="1" customWidth="1"/>
    <col min="8879" max="8879" width="14.42578125" bestFit="1" customWidth="1"/>
    <col min="8880" max="8880" width="12.28515625" bestFit="1" customWidth="1"/>
    <col min="8881" max="8881" width="14.42578125" bestFit="1" customWidth="1"/>
    <col min="8882" max="8882" width="11.28515625" bestFit="1" customWidth="1"/>
    <col min="8883" max="8883" width="12.28515625" bestFit="1" customWidth="1"/>
    <col min="8884" max="8884" width="13" bestFit="1" customWidth="1"/>
    <col min="8885" max="8885" width="15.140625" bestFit="1" customWidth="1"/>
    <col min="8886" max="8886" width="12.28515625" bestFit="1" customWidth="1"/>
    <col min="8887" max="8887" width="13.85546875" bestFit="1" customWidth="1"/>
    <col min="8888" max="8888" width="11.28515625" bestFit="1" customWidth="1"/>
    <col min="8889" max="8889" width="12.28515625" bestFit="1" customWidth="1"/>
    <col min="8890" max="8890" width="13.85546875" bestFit="1" customWidth="1"/>
    <col min="8891" max="8892" width="15.140625" bestFit="1" customWidth="1"/>
    <col min="8893" max="8893" width="12.28515625" bestFit="1" customWidth="1"/>
    <col min="8894" max="8894" width="5.7109375" bestFit="1" customWidth="1"/>
    <col min="8895" max="8895" width="8.5703125" bestFit="1" customWidth="1"/>
    <col min="8896" max="8896" width="5.5703125" bestFit="1" customWidth="1"/>
    <col min="8897" max="8897" width="14.42578125" bestFit="1" customWidth="1"/>
    <col min="8898" max="8898" width="11.28515625" bestFit="1" customWidth="1"/>
    <col min="8899" max="8900" width="12.28515625" bestFit="1" customWidth="1"/>
    <col min="8901" max="8901" width="11.28515625" bestFit="1" customWidth="1"/>
    <col min="8902" max="8902" width="13.85546875" bestFit="1" customWidth="1"/>
    <col min="8903" max="8903" width="12" bestFit="1" customWidth="1"/>
    <col min="8904" max="8904" width="13.85546875" bestFit="1" customWidth="1"/>
    <col min="8905" max="8906" width="14.42578125" customWidth="1"/>
    <col min="8907" max="8907" width="10.140625" bestFit="1" customWidth="1"/>
    <col min="8908" max="8908" width="12.28515625" bestFit="1" customWidth="1"/>
    <col min="8909" max="8909" width="7.42578125" bestFit="1" customWidth="1"/>
    <col min="8910" max="8910" width="8.5703125" bestFit="1" customWidth="1"/>
    <col min="8911" max="8911" width="11.5703125" bestFit="1" customWidth="1"/>
    <col min="8912" max="8912" width="13.28515625" bestFit="1" customWidth="1"/>
    <col min="8913" max="8913" width="13.28515625" customWidth="1"/>
    <col min="8914" max="8914" width="13.140625" customWidth="1"/>
    <col min="8915" max="8915" width="12.7109375" bestFit="1" customWidth="1"/>
    <col min="8916" max="8916" width="13.28515625" bestFit="1" customWidth="1"/>
    <col min="8917" max="8919" width="13.28515625" customWidth="1"/>
    <col min="8920" max="8920" width="12.140625" bestFit="1" customWidth="1"/>
    <col min="8921" max="8921" width="12.7109375" bestFit="1" customWidth="1"/>
    <col min="8922" max="8922" width="11" customWidth="1"/>
    <col min="8923" max="8923" width="16.7109375" customWidth="1"/>
    <col min="8924" max="8924" width="17" customWidth="1"/>
    <col min="8925" max="8925" width="10.42578125" bestFit="1" customWidth="1"/>
    <col min="8969" max="8969" width="3.85546875" customWidth="1"/>
    <col min="8970" max="8970" width="15.28515625" bestFit="1" customWidth="1"/>
    <col min="8971" max="8971" width="12.28515625" customWidth="1"/>
    <col min="8972" max="8972" width="16.28515625" bestFit="1" customWidth="1"/>
    <col min="8973" max="8973" width="6.42578125" bestFit="1" customWidth="1"/>
    <col min="8974" max="8974" width="9.28515625" bestFit="1" customWidth="1"/>
    <col min="8975" max="8975" width="7.5703125" bestFit="1" customWidth="1"/>
    <col min="8976" max="8976" width="13.28515625" bestFit="1" customWidth="1"/>
    <col min="8977" max="8977" width="9.28515625" bestFit="1" customWidth="1"/>
    <col min="8978" max="8978" width="11.5703125" bestFit="1" customWidth="1"/>
    <col min="8979" max="8979" width="13.28515625" bestFit="1" customWidth="1"/>
    <col min="8980" max="8980" width="7.140625" bestFit="1" customWidth="1"/>
    <col min="8981" max="8981" width="12" bestFit="1" customWidth="1"/>
    <col min="8982" max="8982" width="13.28515625" bestFit="1" customWidth="1"/>
    <col min="8983" max="8983" width="7" bestFit="1" customWidth="1"/>
    <col min="8984" max="8984" width="12.7109375" bestFit="1" customWidth="1"/>
    <col min="8985" max="8985" width="11.5703125" bestFit="1" customWidth="1"/>
    <col min="8986" max="8986" width="10.5703125" bestFit="1" customWidth="1"/>
    <col min="8987" max="8988" width="15.7109375" bestFit="1" customWidth="1"/>
    <col min="8989" max="8989" width="11.5703125" bestFit="1" customWidth="1"/>
    <col min="8990" max="8990" width="7.7109375" bestFit="1" customWidth="1"/>
    <col min="8991" max="8991" width="15.140625" bestFit="1" customWidth="1"/>
    <col min="8992" max="8992" width="11.5703125" bestFit="1" customWidth="1"/>
    <col min="8993" max="8993" width="13.28515625" bestFit="1" customWidth="1"/>
    <col min="8994" max="8994" width="10.42578125" bestFit="1" customWidth="1"/>
    <col min="8995" max="8995" width="13.28515625" bestFit="1" customWidth="1"/>
    <col min="8996" max="8996" width="12.140625" bestFit="1" customWidth="1"/>
    <col min="8997" max="8997" width="14.42578125" bestFit="1" customWidth="1"/>
    <col min="8998" max="8998" width="13.28515625" bestFit="1" customWidth="1"/>
    <col min="8999" max="8999" width="11.5703125" bestFit="1" customWidth="1"/>
    <col min="9000" max="9000" width="7.7109375" bestFit="1" customWidth="1"/>
    <col min="9001" max="9002" width="14.42578125" bestFit="1" customWidth="1"/>
    <col min="9003" max="9003" width="11.5703125" bestFit="1" customWidth="1"/>
    <col min="9004" max="9004" width="7.7109375" bestFit="1" customWidth="1"/>
    <col min="9005" max="9005" width="13.5703125" customWidth="1"/>
    <col min="9006" max="9006" width="15.28515625" customWidth="1"/>
    <col min="9007" max="9007" width="14.5703125" customWidth="1"/>
    <col min="9008" max="9008" width="13.28515625" bestFit="1" customWidth="1"/>
    <col min="9009" max="9009" width="7.7109375" bestFit="1" customWidth="1"/>
    <col min="9010" max="9010" width="12.7109375" bestFit="1" customWidth="1"/>
    <col min="9011" max="9011" width="11.7109375" bestFit="1" customWidth="1"/>
    <col min="9012" max="9012" width="11.5703125" bestFit="1" customWidth="1"/>
    <col min="9013" max="9013" width="5.28515625" bestFit="1" customWidth="1"/>
    <col min="9014" max="9014" width="13.28515625" bestFit="1" customWidth="1"/>
    <col min="9015" max="9015" width="13.5703125" bestFit="1" customWidth="1"/>
    <col min="9016" max="9016" width="10.5703125" bestFit="1" customWidth="1"/>
    <col min="9017" max="9017" width="13.28515625" bestFit="1" customWidth="1"/>
    <col min="9018" max="9018" width="11.5703125" bestFit="1" customWidth="1"/>
    <col min="9019" max="9019" width="10.5703125" bestFit="1" customWidth="1"/>
    <col min="9020" max="9020" width="16.140625" bestFit="1" customWidth="1"/>
    <col min="9021" max="9022" width="11.28515625" bestFit="1" customWidth="1"/>
    <col min="9023" max="9023" width="13.28515625" bestFit="1" customWidth="1"/>
    <col min="9024" max="9024" width="7.7109375" bestFit="1" customWidth="1"/>
    <col min="9025" max="9028" width="9.140625" hidden="1" customWidth="1"/>
    <col min="9029" max="9029" width="10.42578125" bestFit="1" customWidth="1"/>
    <col min="9030" max="9030" width="10.5703125" bestFit="1" customWidth="1"/>
    <col min="9031" max="9031" width="10.42578125" bestFit="1" customWidth="1"/>
    <col min="9032" max="9032" width="10.5703125" bestFit="1" customWidth="1"/>
    <col min="9033" max="9033" width="9.5703125" bestFit="1" customWidth="1"/>
    <col min="9034" max="9034" width="11.5703125" bestFit="1" customWidth="1"/>
    <col min="9035" max="9035" width="10.42578125" bestFit="1" customWidth="1"/>
    <col min="9036" max="9036" width="10.85546875" customWidth="1"/>
    <col min="9037" max="9038" width="9.85546875" bestFit="1" customWidth="1"/>
    <col min="9039" max="9039" width="13.5703125" bestFit="1" customWidth="1"/>
    <col min="9040" max="9040" width="7.7109375" bestFit="1" customWidth="1"/>
    <col min="9041" max="9041" width="13.28515625" bestFit="1" customWidth="1"/>
    <col min="9042" max="9042" width="11.5703125" bestFit="1" customWidth="1"/>
    <col min="9043" max="9043" width="10.42578125" bestFit="1" customWidth="1"/>
    <col min="9044" max="9044" width="7.7109375" bestFit="1" customWidth="1"/>
    <col min="9045" max="9045" width="11.5703125" bestFit="1" customWidth="1"/>
    <col min="9046" max="9046" width="10.85546875" bestFit="1" customWidth="1"/>
    <col min="9047" max="9047" width="13.28515625" bestFit="1" customWidth="1"/>
    <col min="9048" max="9048" width="10.85546875" bestFit="1" customWidth="1"/>
    <col min="9049" max="9050" width="7.5703125" bestFit="1" customWidth="1"/>
    <col min="9051" max="9052" width="10.42578125" bestFit="1" customWidth="1"/>
    <col min="9053" max="9053" width="11.5703125" bestFit="1" customWidth="1"/>
    <col min="9054" max="9054" width="5.28515625" bestFit="1" customWidth="1"/>
    <col min="9055" max="9055" width="10.28515625" bestFit="1" customWidth="1"/>
    <col min="9056" max="9056" width="10.42578125" bestFit="1" customWidth="1"/>
    <col min="9057" max="9057" width="11.5703125" bestFit="1" customWidth="1"/>
    <col min="9058" max="9058" width="5.28515625" bestFit="1" customWidth="1"/>
    <col min="9059" max="9061" width="11.5703125" bestFit="1" customWidth="1"/>
    <col min="9062" max="9062" width="5.28515625" bestFit="1" customWidth="1"/>
    <col min="9063" max="9064" width="10.42578125" bestFit="1" customWidth="1"/>
    <col min="9065" max="9065" width="11.5703125" bestFit="1" customWidth="1"/>
    <col min="9066" max="9066" width="5.28515625" bestFit="1" customWidth="1"/>
    <col min="9067" max="9067" width="14.28515625" bestFit="1" customWidth="1"/>
    <col min="9068" max="9068" width="13" bestFit="1" customWidth="1"/>
    <col min="9069" max="9069" width="11.5703125" bestFit="1" customWidth="1"/>
    <col min="9070" max="9070" width="8.85546875" bestFit="1" customWidth="1"/>
    <col min="9071" max="9071" width="14.42578125" bestFit="1" customWidth="1"/>
    <col min="9072" max="9072" width="10.42578125" bestFit="1" customWidth="1"/>
    <col min="9073" max="9073" width="12.28515625" bestFit="1" customWidth="1"/>
    <col min="9074" max="9074" width="13.85546875" bestFit="1" customWidth="1"/>
    <col min="9075" max="9075" width="11.28515625" customWidth="1"/>
    <col min="9076" max="9076" width="11.5703125" customWidth="1"/>
    <col min="9077" max="9077" width="13.42578125" bestFit="1" customWidth="1"/>
    <col min="9078" max="9078" width="10.42578125" customWidth="1"/>
    <col min="9079" max="9079" width="13.85546875" bestFit="1" customWidth="1"/>
    <col min="9080" max="9080" width="15.42578125" bestFit="1" customWidth="1"/>
    <col min="9081" max="9081" width="12.28515625" bestFit="1" customWidth="1"/>
    <col min="9082" max="9082" width="12.7109375" customWidth="1"/>
    <col min="9083" max="9083" width="10.7109375" bestFit="1" customWidth="1"/>
    <col min="9084" max="9084" width="9.85546875" customWidth="1"/>
    <col min="9085" max="9086" width="10.140625" bestFit="1" customWidth="1"/>
    <col min="9087" max="9087" width="7.5703125" bestFit="1" customWidth="1"/>
    <col min="9088" max="9088" width="9.42578125" bestFit="1" customWidth="1"/>
    <col min="9089" max="9089" width="14.5703125" bestFit="1" customWidth="1"/>
    <col min="9090" max="9090" width="14.85546875" customWidth="1"/>
    <col min="9091" max="9091" width="15.140625" bestFit="1" customWidth="1"/>
    <col min="9092" max="9092" width="12.140625" bestFit="1" customWidth="1"/>
    <col min="9093" max="9093" width="14.85546875" bestFit="1" customWidth="1"/>
    <col min="9094" max="9094" width="12.28515625" bestFit="1" customWidth="1"/>
    <col min="9095" max="9103" width="9.140625" hidden="1" customWidth="1"/>
    <col min="9104" max="9104" width="5.28515625" bestFit="1" customWidth="1"/>
    <col min="9105" max="9110" width="11.5703125" bestFit="1" customWidth="1"/>
    <col min="9111" max="9111" width="11.28515625" bestFit="1" customWidth="1"/>
    <col min="9112" max="9112" width="10.140625" bestFit="1" customWidth="1"/>
    <col min="9113" max="9113" width="11.5703125" bestFit="1" customWidth="1"/>
    <col min="9114" max="9114" width="16.140625" customWidth="1"/>
    <col min="9115" max="9115" width="13.42578125" customWidth="1"/>
    <col min="9116" max="9116" width="10.140625" bestFit="1" customWidth="1"/>
    <col min="9117" max="9117" width="12.85546875" bestFit="1" customWidth="1"/>
    <col min="9118" max="9118" width="12.28515625" bestFit="1" customWidth="1"/>
    <col min="9119" max="9119" width="11.28515625" bestFit="1" customWidth="1"/>
    <col min="9120" max="9120" width="11.5703125" bestFit="1" customWidth="1"/>
    <col min="9121" max="9121" width="10.85546875" bestFit="1" customWidth="1"/>
    <col min="9122" max="9122" width="11.28515625" bestFit="1" customWidth="1"/>
    <col min="9123" max="9123" width="10.140625" bestFit="1" customWidth="1"/>
    <col min="9124" max="9124" width="13.28515625" bestFit="1" customWidth="1"/>
    <col min="9125" max="9126" width="12.7109375" bestFit="1" customWidth="1"/>
    <col min="9127" max="9127" width="11" bestFit="1" customWidth="1"/>
    <col min="9128" max="9128" width="11.28515625" bestFit="1" customWidth="1"/>
    <col min="9129" max="9129" width="11.5703125" bestFit="1" customWidth="1"/>
    <col min="9130" max="9130" width="12.28515625" bestFit="1" customWidth="1"/>
    <col min="9131" max="9131" width="15.140625" bestFit="1" customWidth="1"/>
    <col min="9132" max="9132" width="14.42578125" bestFit="1" customWidth="1"/>
    <col min="9133" max="9133" width="12.28515625" bestFit="1" customWidth="1"/>
    <col min="9134" max="9134" width="15.140625" bestFit="1" customWidth="1"/>
    <col min="9135" max="9135" width="14.42578125" bestFit="1" customWidth="1"/>
    <col min="9136" max="9136" width="12.28515625" bestFit="1" customWidth="1"/>
    <col min="9137" max="9137" width="14.42578125" bestFit="1" customWidth="1"/>
    <col min="9138" max="9138" width="11.28515625" bestFit="1" customWidth="1"/>
    <col min="9139" max="9139" width="12.28515625" bestFit="1" customWidth="1"/>
    <col min="9140" max="9140" width="13" bestFit="1" customWidth="1"/>
    <col min="9141" max="9141" width="15.140625" bestFit="1" customWidth="1"/>
    <col min="9142" max="9142" width="12.28515625" bestFit="1" customWidth="1"/>
    <col min="9143" max="9143" width="13.85546875" bestFit="1" customWidth="1"/>
    <col min="9144" max="9144" width="11.28515625" bestFit="1" customWidth="1"/>
    <col min="9145" max="9145" width="12.28515625" bestFit="1" customWidth="1"/>
    <col min="9146" max="9146" width="13.85546875" bestFit="1" customWidth="1"/>
    <col min="9147" max="9148" width="15.140625" bestFit="1" customWidth="1"/>
    <col min="9149" max="9149" width="12.28515625" bestFit="1" customWidth="1"/>
    <col min="9150" max="9150" width="5.7109375" bestFit="1" customWidth="1"/>
    <col min="9151" max="9151" width="8.5703125" bestFit="1" customWidth="1"/>
    <col min="9152" max="9152" width="5.5703125" bestFit="1" customWidth="1"/>
    <col min="9153" max="9153" width="14.42578125" bestFit="1" customWidth="1"/>
    <col min="9154" max="9154" width="11.28515625" bestFit="1" customWidth="1"/>
    <col min="9155" max="9156" width="12.28515625" bestFit="1" customWidth="1"/>
    <col min="9157" max="9157" width="11.28515625" bestFit="1" customWidth="1"/>
    <col min="9158" max="9158" width="13.85546875" bestFit="1" customWidth="1"/>
    <col min="9159" max="9159" width="12" bestFit="1" customWidth="1"/>
    <col min="9160" max="9160" width="13.85546875" bestFit="1" customWidth="1"/>
    <col min="9161" max="9162" width="14.42578125" customWidth="1"/>
    <col min="9163" max="9163" width="10.140625" bestFit="1" customWidth="1"/>
    <col min="9164" max="9164" width="12.28515625" bestFit="1" customWidth="1"/>
    <col min="9165" max="9165" width="7.42578125" bestFit="1" customWidth="1"/>
    <col min="9166" max="9166" width="8.5703125" bestFit="1" customWidth="1"/>
    <col min="9167" max="9167" width="11.5703125" bestFit="1" customWidth="1"/>
    <col min="9168" max="9168" width="13.28515625" bestFit="1" customWidth="1"/>
    <col min="9169" max="9169" width="13.28515625" customWidth="1"/>
    <col min="9170" max="9170" width="13.140625" customWidth="1"/>
    <col min="9171" max="9171" width="12.7109375" bestFit="1" customWidth="1"/>
    <col min="9172" max="9172" width="13.28515625" bestFit="1" customWidth="1"/>
    <col min="9173" max="9175" width="13.28515625" customWidth="1"/>
    <col min="9176" max="9176" width="12.140625" bestFit="1" customWidth="1"/>
    <col min="9177" max="9177" width="12.7109375" bestFit="1" customWidth="1"/>
    <col min="9178" max="9178" width="11" customWidth="1"/>
    <col min="9179" max="9179" width="16.7109375" customWidth="1"/>
    <col min="9180" max="9180" width="17" customWidth="1"/>
    <col min="9181" max="9181" width="10.42578125" bestFit="1" customWidth="1"/>
    <col min="9225" max="9225" width="3.85546875" customWidth="1"/>
    <col min="9226" max="9226" width="15.28515625" bestFit="1" customWidth="1"/>
    <col min="9227" max="9227" width="12.28515625" customWidth="1"/>
    <col min="9228" max="9228" width="16.28515625" bestFit="1" customWidth="1"/>
    <col min="9229" max="9229" width="6.42578125" bestFit="1" customWidth="1"/>
    <col min="9230" max="9230" width="9.28515625" bestFit="1" customWidth="1"/>
    <col min="9231" max="9231" width="7.5703125" bestFit="1" customWidth="1"/>
    <col min="9232" max="9232" width="13.28515625" bestFit="1" customWidth="1"/>
    <col min="9233" max="9233" width="9.28515625" bestFit="1" customWidth="1"/>
    <col min="9234" max="9234" width="11.5703125" bestFit="1" customWidth="1"/>
    <col min="9235" max="9235" width="13.28515625" bestFit="1" customWidth="1"/>
    <col min="9236" max="9236" width="7.140625" bestFit="1" customWidth="1"/>
    <col min="9237" max="9237" width="12" bestFit="1" customWidth="1"/>
    <col min="9238" max="9238" width="13.28515625" bestFit="1" customWidth="1"/>
    <col min="9239" max="9239" width="7" bestFit="1" customWidth="1"/>
    <col min="9240" max="9240" width="12.7109375" bestFit="1" customWidth="1"/>
    <col min="9241" max="9241" width="11.5703125" bestFit="1" customWidth="1"/>
    <col min="9242" max="9242" width="10.5703125" bestFit="1" customWidth="1"/>
    <col min="9243" max="9244" width="15.7109375" bestFit="1" customWidth="1"/>
    <col min="9245" max="9245" width="11.5703125" bestFit="1" customWidth="1"/>
    <col min="9246" max="9246" width="7.7109375" bestFit="1" customWidth="1"/>
    <col min="9247" max="9247" width="15.140625" bestFit="1" customWidth="1"/>
    <col min="9248" max="9248" width="11.5703125" bestFit="1" customWidth="1"/>
    <col min="9249" max="9249" width="13.28515625" bestFit="1" customWidth="1"/>
    <col min="9250" max="9250" width="10.42578125" bestFit="1" customWidth="1"/>
    <col min="9251" max="9251" width="13.28515625" bestFit="1" customWidth="1"/>
    <col min="9252" max="9252" width="12.140625" bestFit="1" customWidth="1"/>
    <col min="9253" max="9253" width="14.42578125" bestFit="1" customWidth="1"/>
    <col min="9254" max="9254" width="13.28515625" bestFit="1" customWidth="1"/>
    <col min="9255" max="9255" width="11.5703125" bestFit="1" customWidth="1"/>
    <col min="9256" max="9256" width="7.7109375" bestFit="1" customWidth="1"/>
    <col min="9257" max="9258" width="14.42578125" bestFit="1" customWidth="1"/>
    <col min="9259" max="9259" width="11.5703125" bestFit="1" customWidth="1"/>
    <col min="9260" max="9260" width="7.7109375" bestFit="1" customWidth="1"/>
    <col min="9261" max="9261" width="13.5703125" customWidth="1"/>
    <col min="9262" max="9262" width="15.28515625" customWidth="1"/>
    <col min="9263" max="9263" width="14.5703125" customWidth="1"/>
    <col min="9264" max="9264" width="13.28515625" bestFit="1" customWidth="1"/>
    <col min="9265" max="9265" width="7.7109375" bestFit="1" customWidth="1"/>
    <col min="9266" max="9266" width="12.7109375" bestFit="1" customWidth="1"/>
    <col min="9267" max="9267" width="11.7109375" bestFit="1" customWidth="1"/>
    <col min="9268" max="9268" width="11.5703125" bestFit="1" customWidth="1"/>
    <col min="9269" max="9269" width="5.28515625" bestFit="1" customWidth="1"/>
    <col min="9270" max="9270" width="13.28515625" bestFit="1" customWidth="1"/>
    <col min="9271" max="9271" width="13.5703125" bestFit="1" customWidth="1"/>
    <col min="9272" max="9272" width="10.5703125" bestFit="1" customWidth="1"/>
    <col min="9273" max="9273" width="13.28515625" bestFit="1" customWidth="1"/>
    <col min="9274" max="9274" width="11.5703125" bestFit="1" customWidth="1"/>
    <col min="9275" max="9275" width="10.5703125" bestFit="1" customWidth="1"/>
    <col min="9276" max="9276" width="16.140625" bestFit="1" customWidth="1"/>
    <col min="9277" max="9278" width="11.28515625" bestFit="1" customWidth="1"/>
    <col min="9279" max="9279" width="13.28515625" bestFit="1" customWidth="1"/>
    <col min="9280" max="9280" width="7.7109375" bestFit="1" customWidth="1"/>
    <col min="9281" max="9284" width="9.140625" hidden="1" customWidth="1"/>
    <col min="9285" max="9285" width="10.42578125" bestFit="1" customWidth="1"/>
    <col min="9286" max="9286" width="10.5703125" bestFit="1" customWidth="1"/>
    <col min="9287" max="9287" width="10.42578125" bestFit="1" customWidth="1"/>
    <col min="9288" max="9288" width="10.5703125" bestFit="1" customWidth="1"/>
    <col min="9289" max="9289" width="9.5703125" bestFit="1" customWidth="1"/>
    <col min="9290" max="9290" width="11.5703125" bestFit="1" customWidth="1"/>
    <col min="9291" max="9291" width="10.42578125" bestFit="1" customWidth="1"/>
    <col min="9292" max="9292" width="10.85546875" customWidth="1"/>
    <col min="9293" max="9294" width="9.85546875" bestFit="1" customWidth="1"/>
    <col min="9295" max="9295" width="13.5703125" bestFit="1" customWidth="1"/>
    <col min="9296" max="9296" width="7.7109375" bestFit="1" customWidth="1"/>
    <col min="9297" max="9297" width="13.28515625" bestFit="1" customWidth="1"/>
    <col min="9298" max="9298" width="11.5703125" bestFit="1" customWidth="1"/>
    <col min="9299" max="9299" width="10.42578125" bestFit="1" customWidth="1"/>
    <col min="9300" max="9300" width="7.7109375" bestFit="1" customWidth="1"/>
    <col min="9301" max="9301" width="11.5703125" bestFit="1" customWidth="1"/>
    <col min="9302" max="9302" width="10.85546875" bestFit="1" customWidth="1"/>
    <col min="9303" max="9303" width="13.28515625" bestFit="1" customWidth="1"/>
    <col min="9304" max="9304" width="10.85546875" bestFit="1" customWidth="1"/>
    <col min="9305" max="9306" width="7.5703125" bestFit="1" customWidth="1"/>
    <col min="9307" max="9308" width="10.42578125" bestFit="1" customWidth="1"/>
    <col min="9309" max="9309" width="11.5703125" bestFit="1" customWidth="1"/>
    <col min="9310" max="9310" width="5.28515625" bestFit="1" customWidth="1"/>
    <col min="9311" max="9311" width="10.28515625" bestFit="1" customWidth="1"/>
    <col min="9312" max="9312" width="10.42578125" bestFit="1" customWidth="1"/>
    <col min="9313" max="9313" width="11.5703125" bestFit="1" customWidth="1"/>
    <col min="9314" max="9314" width="5.28515625" bestFit="1" customWidth="1"/>
    <col min="9315" max="9317" width="11.5703125" bestFit="1" customWidth="1"/>
    <col min="9318" max="9318" width="5.28515625" bestFit="1" customWidth="1"/>
    <col min="9319" max="9320" width="10.42578125" bestFit="1" customWidth="1"/>
    <col min="9321" max="9321" width="11.5703125" bestFit="1" customWidth="1"/>
    <col min="9322" max="9322" width="5.28515625" bestFit="1" customWidth="1"/>
    <col min="9323" max="9323" width="14.28515625" bestFit="1" customWidth="1"/>
    <col min="9324" max="9324" width="13" bestFit="1" customWidth="1"/>
    <col min="9325" max="9325" width="11.5703125" bestFit="1" customWidth="1"/>
    <col min="9326" max="9326" width="8.85546875" bestFit="1" customWidth="1"/>
    <col min="9327" max="9327" width="14.42578125" bestFit="1" customWidth="1"/>
    <col min="9328" max="9328" width="10.42578125" bestFit="1" customWidth="1"/>
    <col min="9329" max="9329" width="12.28515625" bestFit="1" customWidth="1"/>
    <col min="9330" max="9330" width="13.85546875" bestFit="1" customWidth="1"/>
    <col min="9331" max="9331" width="11.28515625" customWidth="1"/>
    <col min="9332" max="9332" width="11.5703125" customWidth="1"/>
    <col min="9333" max="9333" width="13.42578125" bestFit="1" customWidth="1"/>
    <col min="9334" max="9334" width="10.42578125" customWidth="1"/>
    <col min="9335" max="9335" width="13.85546875" bestFit="1" customWidth="1"/>
    <col min="9336" max="9336" width="15.42578125" bestFit="1" customWidth="1"/>
    <col min="9337" max="9337" width="12.28515625" bestFit="1" customWidth="1"/>
    <col min="9338" max="9338" width="12.7109375" customWidth="1"/>
    <col min="9339" max="9339" width="10.7109375" bestFit="1" customWidth="1"/>
    <col min="9340" max="9340" width="9.85546875" customWidth="1"/>
    <col min="9341" max="9342" width="10.140625" bestFit="1" customWidth="1"/>
    <col min="9343" max="9343" width="7.5703125" bestFit="1" customWidth="1"/>
    <col min="9344" max="9344" width="9.42578125" bestFit="1" customWidth="1"/>
    <col min="9345" max="9345" width="14.5703125" bestFit="1" customWidth="1"/>
    <col min="9346" max="9346" width="14.85546875" customWidth="1"/>
    <col min="9347" max="9347" width="15.140625" bestFit="1" customWidth="1"/>
    <col min="9348" max="9348" width="12.140625" bestFit="1" customWidth="1"/>
    <col min="9349" max="9349" width="14.85546875" bestFit="1" customWidth="1"/>
    <col min="9350" max="9350" width="12.28515625" bestFit="1" customWidth="1"/>
    <col min="9351" max="9359" width="9.140625" hidden="1" customWidth="1"/>
    <col min="9360" max="9360" width="5.28515625" bestFit="1" customWidth="1"/>
    <col min="9361" max="9366" width="11.5703125" bestFit="1" customWidth="1"/>
    <col min="9367" max="9367" width="11.28515625" bestFit="1" customWidth="1"/>
    <col min="9368" max="9368" width="10.140625" bestFit="1" customWidth="1"/>
    <col min="9369" max="9369" width="11.5703125" bestFit="1" customWidth="1"/>
    <col min="9370" max="9370" width="16.140625" customWidth="1"/>
    <col min="9371" max="9371" width="13.42578125" customWidth="1"/>
    <col min="9372" max="9372" width="10.140625" bestFit="1" customWidth="1"/>
    <col min="9373" max="9373" width="12.85546875" bestFit="1" customWidth="1"/>
    <col min="9374" max="9374" width="12.28515625" bestFit="1" customWidth="1"/>
    <col min="9375" max="9375" width="11.28515625" bestFit="1" customWidth="1"/>
    <col min="9376" max="9376" width="11.5703125" bestFit="1" customWidth="1"/>
    <col min="9377" max="9377" width="10.85546875" bestFit="1" customWidth="1"/>
    <col min="9378" max="9378" width="11.28515625" bestFit="1" customWidth="1"/>
    <col min="9379" max="9379" width="10.140625" bestFit="1" customWidth="1"/>
    <col min="9380" max="9380" width="13.28515625" bestFit="1" customWidth="1"/>
    <col min="9381" max="9382" width="12.7109375" bestFit="1" customWidth="1"/>
    <col min="9383" max="9383" width="11" bestFit="1" customWidth="1"/>
    <col min="9384" max="9384" width="11.28515625" bestFit="1" customWidth="1"/>
    <col min="9385" max="9385" width="11.5703125" bestFit="1" customWidth="1"/>
    <col min="9386" max="9386" width="12.28515625" bestFit="1" customWidth="1"/>
    <col min="9387" max="9387" width="15.140625" bestFit="1" customWidth="1"/>
    <col min="9388" max="9388" width="14.42578125" bestFit="1" customWidth="1"/>
    <col min="9389" max="9389" width="12.28515625" bestFit="1" customWidth="1"/>
    <col min="9390" max="9390" width="15.140625" bestFit="1" customWidth="1"/>
    <col min="9391" max="9391" width="14.42578125" bestFit="1" customWidth="1"/>
    <col min="9392" max="9392" width="12.28515625" bestFit="1" customWidth="1"/>
    <col min="9393" max="9393" width="14.42578125" bestFit="1" customWidth="1"/>
    <col min="9394" max="9394" width="11.28515625" bestFit="1" customWidth="1"/>
    <col min="9395" max="9395" width="12.28515625" bestFit="1" customWidth="1"/>
    <col min="9396" max="9396" width="13" bestFit="1" customWidth="1"/>
    <col min="9397" max="9397" width="15.140625" bestFit="1" customWidth="1"/>
    <col min="9398" max="9398" width="12.28515625" bestFit="1" customWidth="1"/>
    <col min="9399" max="9399" width="13.85546875" bestFit="1" customWidth="1"/>
    <col min="9400" max="9400" width="11.28515625" bestFit="1" customWidth="1"/>
    <col min="9401" max="9401" width="12.28515625" bestFit="1" customWidth="1"/>
    <col min="9402" max="9402" width="13.85546875" bestFit="1" customWidth="1"/>
    <col min="9403" max="9404" width="15.140625" bestFit="1" customWidth="1"/>
    <col min="9405" max="9405" width="12.28515625" bestFit="1" customWidth="1"/>
    <col min="9406" max="9406" width="5.7109375" bestFit="1" customWidth="1"/>
    <col min="9407" max="9407" width="8.5703125" bestFit="1" customWidth="1"/>
    <col min="9408" max="9408" width="5.5703125" bestFit="1" customWidth="1"/>
    <col min="9409" max="9409" width="14.42578125" bestFit="1" customWidth="1"/>
    <col min="9410" max="9410" width="11.28515625" bestFit="1" customWidth="1"/>
    <col min="9411" max="9412" width="12.28515625" bestFit="1" customWidth="1"/>
    <col min="9413" max="9413" width="11.28515625" bestFit="1" customWidth="1"/>
    <col min="9414" max="9414" width="13.85546875" bestFit="1" customWidth="1"/>
    <col min="9415" max="9415" width="12" bestFit="1" customWidth="1"/>
    <col min="9416" max="9416" width="13.85546875" bestFit="1" customWidth="1"/>
    <col min="9417" max="9418" width="14.42578125" customWidth="1"/>
    <col min="9419" max="9419" width="10.140625" bestFit="1" customWidth="1"/>
    <col min="9420" max="9420" width="12.28515625" bestFit="1" customWidth="1"/>
    <col min="9421" max="9421" width="7.42578125" bestFit="1" customWidth="1"/>
    <col min="9422" max="9422" width="8.5703125" bestFit="1" customWidth="1"/>
    <col min="9423" max="9423" width="11.5703125" bestFit="1" customWidth="1"/>
    <col min="9424" max="9424" width="13.28515625" bestFit="1" customWidth="1"/>
    <col min="9425" max="9425" width="13.28515625" customWidth="1"/>
    <col min="9426" max="9426" width="13.140625" customWidth="1"/>
    <col min="9427" max="9427" width="12.7109375" bestFit="1" customWidth="1"/>
    <col min="9428" max="9428" width="13.28515625" bestFit="1" customWidth="1"/>
    <col min="9429" max="9431" width="13.28515625" customWidth="1"/>
    <col min="9432" max="9432" width="12.140625" bestFit="1" customWidth="1"/>
    <col min="9433" max="9433" width="12.7109375" bestFit="1" customWidth="1"/>
    <col min="9434" max="9434" width="11" customWidth="1"/>
    <col min="9435" max="9435" width="16.7109375" customWidth="1"/>
    <col min="9436" max="9436" width="17" customWidth="1"/>
    <col min="9437" max="9437" width="10.42578125" bestFit="1" customWidth="1"/>
    <col min="9481" max="9481" width="3.85546875" customWidth="1"/>
    <col min="9482" max="9482" width="15.28515625" bestFit="1" customWidth="1"/>
    <col min="9483" max="9483" width="12.28515625" customWidth="1"/>
    <col min="9484" max="9484" width="16.28515625" bestFit="1" customWidth="1"/>
    <col min="9485" max="9485" width="6.42578125" bestFit="1" customWidth="1"/>
    <col min="9486" max="9486" width="9.28515625" bestFit="1" customWidth="1"/>
    <col min="9487" max="9487" width="7.5703125" bestFit="1" customWidth="1"/>
    <col min="9488" max="9488" width="13.28515625" bestFit="1" customWidth="1"/>
    <col min="9489" max="9489" width="9.28515625" bestFit="1" customWidth="1"/>
    <col min="9490" max="9490" width="11.5703125" bestFit="1" customWidth="1"/>
    <col min="9491" max="9491" width="13.28515625" bestFit="1" customWidth="1"/>
    <col min="9492" max="9492" width="7.140625" bestFit="1" customWidth="1"/>
    <col min="9493" max="9493" width="12" bestFit="1" customWidth="1"/>
    <col min="9494" max="9494" width="13.28515625" bestFit="1" customWidth="1"/>
    <col min="9495" max="9495" width="7" bestFit="1" customWidth="1"/>
    <col min="9496" max="9496" width="12.7109375" bestFit="1" customWidth="1"/>
    <col min="9497" max="9497" width="11.5703125" bestFit="1" customWidth="1"/>
    <col min="9498" max="9498" width="10.5703125" bestFit="1" customWidth="1"/>
    <col min="9499" max="9500" width="15.7109375" bestFit="1" customWidth="1"/>
    <col min="9501" max="9501" width="11.5703125" bestFit="1" customWidth="1"/>
    <col min="9502" max="9502" width="7.7109375" bestFit="1" customWidth="1"/>
    <col min="9503" max="9503" width="15.140625" bestFit="1" customWidth="1"/>
    <col min="9504" max="9504" width="11.5703125" bestFit="1" customWidth="1"/>
    <col min="9505" max="9505" width="13.28515625" bestFit="1" customWidth="1"/>
    <col min="9506" max="9506" width="10.42578125" bestFit="1" customWidth="1"/>
    <col min="9507" max="9507" width="13.28515625" bestFit="1" customWidth="1"/>
    <col min="9508" max="9508" width="12.140625" bestFit="1" customWidth="1"/>
    <col min="9509" max="9509" width="14.42578125" bestFit="1" customWidth="1"/>
    <col min="9510" max="9510" width="13.28515625" bestFit="1" customWidth="1"/>
    <col min="9511" max="9511" width="11.5703125" bestFit="1" customWidth="1"/>
    <col min="9512" max="9512" width="7.7109375" bestFit="1" customWidth="1"/>
    <col min="9513" max="9514" width="14.42578125" bestFit="1" customWidth="1"/>
    <col min="9515" max="9515" width="11.5703125" bestFit="1" customWidth="1"/>
    <col min="9516" max="9516" width="7.7109375" bestFit="1" customWidth="1"/>
    <col min="9517" max="9517" width="13.5703125" customWidth="1"/>
    <col min="9518" max="9518" width="15.28515625" customWidth="1"/>
    <col min="9519" max="9519" width="14.5703125" customWidth="1"/>
    <col min="9520" max="9520" width="13.28515625" bestFit="1" customWidth="1"/>
    <col min="9521" max="9521" width="7.7109375" bestFit="1" customWidth="1"/>
    <col min="9522" max="9522" width="12.7109375" bestFit="1" customWidth="1"/>
    <col min="9523" max="9523" width="11.7109375" bestFit="1" customWidth="1"/>
    <col min="9524" max="9524" width="11.5703125" bestFit="1" customWidth="1"/>
    <col min="9525" max="9525" width="5.28515625" bestFit="1" customWidth="1"/>
    <col min="9526" max="9526" width="13.28515625" bestFit="1" customWidth="1"/>
    <col min="9527" max="9527" width="13.5703125" bestFit="1" customWidth="1"/>
    <col min="9528" max="9528" width="10.5703125" bestFit="1" customWidth="1"/>
    <col min="9529" max="9529" width="13.28515625" bestFit="1" customWidth="1"/>
    <col min="9530" max="9530" width="11.5703125" bestFit="1" customWidth="1"/>
    <col min="9531" max="9531" width="10.5703125" bestFit="1" customWidth="1"/>
    <col min="9532" max="9532" width="16.140625" bestFit="1" customWidth="1"/>
    <col min="9533" max="9534" width="11.28515625" bestFit="1" customWidth="1"/>
    <col min="9535" max="9535" width="13.28515625" bestFit="1" customWidth="1"/>
    <col min="9536" max="9536" width="7.7109375" bestFit="1" customWidth="1"/>
    <col min="9537" max="9540" width="9.140625" hidden="1" customWidth="1"/>
    <col min="9541" max="9541" width="10.42578125" bestFit="1" customWidth="1"/>
    <col min="9542" max="9542" width="10.5703125" bestFit="1" customWidth="1"/>
    <col min="9543" max="9543" width="10.42578125" bestFit="1" customWidth="1"/>
    <col min="9544" max="9544" width="10.5703125" bestFit="1" customWidth="1"/>
    <col min="9545" max="9545" width="9.5703125" bestFit="1" customWidth="1"/>
    <col min="9546" max="9546" width="11.5703125" bestFit="1" customWidth="1"/>
    <col min="9547" max="9547" width="10.42578125" bestFit="1" customWidth="1"/>
    <col min="9548" max="9548" width="10.85546875" customWidth="1"/>
    <col min="9549" max="9550" width="9.85546875" bestFit="1" customWidth="1"/>
    <col min="9551" max="9551" width="13.5703125" bestFit="1" customWidth="1"/>
    <col min="9552" max="9552" width="7.7109375" bestFit="1" customWidth="1"/>
    <col min="9553" max="9553" width="13.28515625" bestFit="1" customWidth="1"/>
    <col min="9554" max="9554" width="11.5703125" bestFit="1" customWidth="1"/>
    <col min="9555" max="9555" width="10.42578125" bestFit="1" customWidth="1"/>
    <col min="9556" max="9556" width="7.7109375" bestFit="1" customWidth="1"/>
    <col min="9557" max="9557" width="11.5703125" bestFit="1" customWidth="1"/>
    <col min="9558" max="9558" width="10.85546875" bestFit="1" customWidth="1"/>
    <col min="9559" max="9559" width="13.28515625" bestFit="1" customWidth="1"/>
    <col min="9560" max="9560" width="10.85546875" bestFit="1" customWidth="1"/>
    <col min="9561" max="9562" width="7.5703125" bestFit="1" customWidth="1"/>
    <col min="9563" max="9564" width="10.42578125" bestFit="1" customWidth="1"/>
    <col min="9565" max="9565" width="11.5703125" bestFit="1" customWidth="1"/>
    <col min="9566" max="9566" width="5.28515625" bestFit="1" customWidth="1"/>
    <col min="9567" max="9567" width="10.28515625" bestFit="1" customWidth="1"/>
    <col min="9568" max="9568" width="10.42578125" bestFit="1" customWidth="1"/>
    <col min="9569" max="9569" width="11.5703125" bestFit="1" customWidth="1"/>
    <col min="9570" max="9570" width="5.28515625" bestFit="1" customWidth="1"/>
    <col min="9571" max="9573" width="11.5703125" bestFit="1" customWidth="1"/>
    <col min="9574" max="9574" width="5.28515625" bestFit="1" customWidth="1"/>
    <col min="9575" max="9576" width="10.42578125" bestFit="1" customWidth="1"/>
    <col min="9577" max="9577" width="11.5703125" bestFit="1" customWidth="1"/>
    <col min="9578" max="9578" width="5.28515625" bestFit="1" customWidth="1"/>
    <col min="9579" max="9579" width="14.28515625" bestFit="1" customWidth="1"/>
    <col min="9580" max="9580" width="13" bestFit="1" customWidth="1"/>
    <col min="9581" max="9581" width="11.5703125" bestFit="1" customWidth="1"/>
    <col min="9582" max="9582" width="8.85546875" bestFit="1" customWidth="1"/>
    <col min="9583" max="9583" width="14.42578125" bestFit="1" customWidth="1"/>
    <col min="9584" max="9584" width="10.42578125" bestFit="1" customWidth="1"/>
    <col min="9585" max="9585" width="12.28515625" bestFit="1" customWidth="1"/>
    <col min="9586" max="9586" width="13.85546875" bestFit="1" customWidth="1"/>
    <col min="9587" max="9587" width="11.28515625" customWidth="1"/>
    <col min="9588" max="9588" width="11.5703125" customWidth="1"/>
    <col min="9589" max="9589" width="13.42578125" bestFit="1" customWidth="1"/>
    <col min="9590" max="9590" width="10.42578125" customWidth="1"/>
    <col min="9591" max="9591" width="13.85546875" bestFit="1" customWidth="1"/>
    <col min="9592" max="9592" width="15.42578125" bestFit="1" customWidth="1"/>
    <col min="9593" max="9593" width="12.28515625" bestFit="1" customWidth="1"/>
    <col min="9594" max="9594" width="12.7109375" customWidth="1"/>
    <col min="9595" max="9595" width="10.7109375" bestFit="1" customWidth="1"/>
    <col min="9596" max="9596" width="9.85546875" customWidth="1"/>
    <col min="9597" max="9598" width="10.140625" bestFit="1" customWidth="1"/>
    <col min="9599" max="9599" width="7.5703125" bestFit="1" customWidth="1"/>
    <col min="9600" max="9600" width="9.42578125" bestFit="1" customWidth="1"/>
    <col min="9601" max="9601" width="14.5703125" bestFit="1" customWidth="1"/>
    <col min="9602" max="9602" width="14.85546875" customWidth="1"/>
    <col min="9603" max="9603" width="15.140625" bestFit="1" customWidth="1"/>
    <col min="9604" max="9604" width="12.140625" bestFit="1" customWidth="1"/>
    <col min="9605" max="9605" width="14.85546875" bestFit="1" customWidth="1"/>
    <col min="9606" max="9606" width="12.28515625" bestFit="1" customWidth="1"/>
    <col min="9607" max="9615" width="9.140625" hidden="1" customWidth="1"/>
    <col min="9616" max="9616" width="5.28515625" bestFit="1" customWidth="1"/>
    <col min="9617" max="9622" width="11.5703125" bestFit="1" customWidth="1"/>
    <col min="9623" max="9623" width="11.28515625" bestFit="1" customWidth="1"/>
    <col min="9624" max="9624" width="10.140625" bestFit="1" customWidth="1"/>
    <col min="9625" max="9625" width="11.5703125" bestFit="1" customWidth="1"/>
    <col min="9626" max="9626" width="16.140625" customWidth="1"/>
    <col min="9627" max="9627" width="13.42578125" customWidth="1"/>
    <col min="9628" max="9628" width="10.140625" bestFit="1" customWidth="1"/>
    <col min="9629" max="9629" width="12.85546875" bestFit="1" customWidth="1"/>
    <col min="9630" max="9630" width="12.28515625" bestFit="1" customWidth="1"/>
    <col min="9631" max="9631" width="11.28515625" bestFit="1" customWidth="1"/>
    <col min="9632" max="9632" width="11.5703125" bestFit="1" customWidth="1"/>
    <col min="9633" max="9633" width="10.85546875" bestFit="1" customWidth="1"/>
    <col min="9634" max="9634" width="11.28515625" bestFit="1" customWidth="1"/>
    <col min="9635" max="9635" width="10.140625" bestFit="1" customWidth="1"/>
    <col min="9636" max="9636" width="13.28515625" bestFit="1" customWidth="1"/>
    <col min="9637" max="9638" width="12.7109375" bestFit="1" customWidth="1"/>
    <col min="9639" max="9639" width="11" bestFit="1" customWidth="1"/>
    <col min="9640" max="9640" width="11.28515625" bestFit="1" customWidth="1"/>
    <col min="9641" max="9641" width="11.5703125" bestFit="1" customWidth="1"/>
    <col min="9642" max="9642" width="12.28515625" bestFit="1" customWidth="1"/>
    <col min="9643" max="9643" width="15.140625" bestFit="1" customWidth="1"/>
    <col min="9644" max="9644" width="14.42578125" bestFit="1" customWidth="1"/>
    <col min="9645" max="9645" width="12.28515625" bestFit="1" customWidth="1"/>
    <col min="9646" max="9646" width="15.140625" bestFit="1" customWidth="1"/>
    <col min="9647" max="9647" width="14.42578125" bestFit="1" customWidth="1"/>
    <col min="9648" max="9648" width="12.28515625" bestFit="1" customWidth="1"/>
    <col min="9649" max="9649" width="14.42578125" bestFit="1" customWidth="1"/>
    <col min="9650" max="9650" width="11.28515625" bestFit="1" customWidth="1"/>
    <col min="9651" max="9651" width="12.28515625" bestFit="1" customWidth="1"/>
    <col min="9652" max="9652" width="13" bestFit="1" customWidth="1"/>
    <col min="9653" max="9653" width="15.140625" bestFit="1" customWidth="1"/>
    <col min="9654" max="9654" width="12.28515625" bestFit="1" customWidth="1"/>
    <col min="9655" max="9655" width="13.85546875" bestFit="1" customWidth="1"/>
    <col min="9656" max="9656" width="11.28515625" bestFit="1" customWidth="1"/>
    <col min="9657" max="9657" width="12.28515625" bestFit="1" customWidth="1"/>
    <col min="9658" max="9658" width="13.85546875" bestFit="1" customWidth="1"/>
    <col min="9659" max="9660" width="15.140625" bestFit="1" customWidth="1"/>
    <col min="9661" max="9661" width="12.28515625" bestFit="1" customWidth="1"/>
    <col min="9662" max="9662" width="5.7109375" bestFit="1" customWidth="1"/>
    <col min="9663" max="9663" width="8.5703125" bestFit="1" customWidth="1"/>
    <col min="9664" max="9664" width="5.5703125" bestFit="1" customWidth="1"/>
    <col min="9665" max="9665" width="14.42578125" bestFit="1" customWidth="1"/>
    <col min="9666" max="9666" width="11.28515625" bestFit="1" customWidth="1"/>
    <col min="9667" max="9668" width="12.28515625" bestFit="1" customWidth="1"/>
    <col min="9669" max="9669" width="11.28515625" bestFit="1" customWidth="1"/>
    <col min="9670" max="9670" width="13.85546875" bestFit="1" customWidth="1"/>
    <col min="9671" max="9671" width="12" bestFit="1" customWidth="1"/>
    <col min="9672" max="9672" width="13.85546875" bestFit="1" customWidth="1"/>
    <col min="9673" max="9674" width="14.42578125" customWidth="1"/>
    <col min="9675" max="9675" width="10.140625" bestFit="1" customWidth="1"/>
    <col min="9676" max="9676" width="12.28515625" bestFit="1" customWidth="1"/>
    <col min="9677" max="9677" width="7.42578125" bestFit="1" customWidth="1"/>
    <col min="9678" max="9678" width="8.5703125" bestFit="1" customWidth="1"/>
    <col min="9679" max="9679" width="11.5703125" bestFit="1" customWidth="1"/>
    <col min="9680" max="9680" width="13.28515625" bestFit="1" customWidth="1"/>
    <col min="9681" max="9681" width="13.28515625" customWidth="1"/>
    <col min="9682" max="9682" width="13.140625" customWidth="1"/>
    <col min="9683" max="9683" width="12.7109375" bestFit="1" customWidth="1"/>
    <col min="9684" max="9684" width="13.28515625" bestFit="1" customWidth="1"/>
    <col min="9685" max="9687" width="13.28515625" customWidth="1"/>
    <col min="9688" max="9688" width="12.140625" bestFit="1" customWidth="1"/>
    <col min="9689" max="9689" width="12.7109375" bestFit="1" customWidth="1"/>
    <col min="9690" max="9690" width="11" customWidth="1"/>
    <col min="9691" max="9691" width="16.7109375" customWidth="1"/>
    <col min="9692" max="9692" width="17" customWidth="1"/>
    <col min="9693" max="9693" width="10.42578125" bestFit="1" customWidth="1"/>
    <col min="9737" max="9737" width="3.85546875" customWidth="1"/>
    <col min="9738" max="9738" width="15.28515625" bestFit="1" customWidth="1"/>
    <col min="9739" max="9739" width="12.28515625" customWidth="1"/>
    <col min="9740" max="9740" width="16.28515625" bestFit="1" customWidth="1"/>
    <col min="9741" max="9741" width="6.42578125" bestFit="1" customWidth="1"/>
    <col min="9742" max="9742" width="9.28515625" bestFit="1" customWidth="1"/>
    <col min="9743" max="9743" width="7.5703125" bestFit="1" customWidth="1"/>
    <col min="9744" max="9744" width="13.28515625" bestFit="1" customWidth="1"/>
    <col min="9745" max="9745" width="9.28515625" bestFit="1" customWidth="1"/>
    <col min="9746" max="9746" width="11.5703125" bestFit="1" customWidth="1"/>
    <col min="9747" max="9747" width="13.28515625" bestFit="1" customWidth="1"/>
    <col min="9748" max="9748" width="7.140625" bestFit="1" customWidth="1"/>
    <col min="9749" max="9749" width="12" bestFit="1" customWidth="1"/>
    <col min="9750" max="9750" width="13.28515625" bestFit="1" customWidth="1"/>
    <col min="9751" max="9751" width="7" bestFit="1" customWidth="1"/>
    <col min="9752" max="9752" width="12.7109375" bestFit="1" customWidth="1"/>
    <col min="9753" max="9753" width="11.5703125" bestFit="1" customWidth="1"/>
    <col min="9754" max="9754" width="10.5703125" bestFit="1" customWidth="1"/>
    <col min="9755" max="9756" width="15.7109375" bestFit="1" customWidth="1"/>
    <col min="9757" max="9757" width="11.5703125" bestFit="1" customWidth="1"/>
    <col min="9758" max="9758" width="7.7109375" bestFit="1" customWidth="1"/>
    <col min="9759" max="9759" width="15.140625" bestFit="1" customWidth="1"/>
    <col min="9760" max="9760" width="11.5703125" bestFit="1" customWidth="1"/>
    <col min="9761" max="9761" width="13.28515625" bestFit="1" customWidth="1"/>
    <col min="9762" max="9762" width="10.42578125" bestFit="1" customWidth="1"/>
    <col min="9763" max="9763" width="13.28515625" bestFit="1" customWidth="1"/>
    <col min="9764" max="9764" width="12.140625" bestFit="1" customWidth="1"/>
    <col min="9765" max="9765" width="14.42578125" bestFit="1" customWidth="1"/>
    <col min="9766" max="9766" width="13.28515625" bestFit="1" customWidth="1"/>
    <col min="9767" max="9767" width="11.5703125" bestFit="1" customWidth="1"/>
    <col min="9768" max="9768" width="7.7109375" bestFit="1" customWidth="1"/>
    <col min="9769" max="9770" width="14.42578125" bestFit="1" customWidth="1"/>
    <col min="9771" max="9771" width="11.5703125" bestFit="1" customWidth="1"/>
    <col min="9772" max="9772" width="7.7109375" bestFit="1" customWidth="1"/>
    <col min="9773" max="9773" width="13.5703125" customWidth="1"/>
    <col min="9774" max="9774" width="15.28515625" customWidth="1"/>
    <col min="9775" max="9775" width="14.5703125" customWidth="1"/>
    <col min="9776" max="9776" width="13.28515625" bestFit="1" customWidth="1"/>
    <col min="9777" max="9777" width="7.7109375" bestFit="1" customWidth="1"/>
    <col min="9778" max="9778" width="12.7109375" bestFit="1" customWidth="1"/>
    <col min="9779" max="9779" width="11.7109375" bestFit="1" customWidth="1"/>
    <col min="9780" max="9780" width="11.5703125" bestFit="1" customWidth="1"/>
    <col min="9781" max="9781" width="5.28515625" bestFit="1" customWidth="1"/>
    <col min="9782" max="9782" width="13.28515625" bestFit="1" customWidth="1"/>
    <col min="9783" max="9783" width="13.5703125" bestFit="1" customWidth="1"/>
    <col min="9784" max="9784" width="10.5703125" bestFit="1" customWidth="1"/>
    <col min="9785" max="9785" width="13.28515625" bestFit="1" customWidth="1"/>
    <col min="9786" max="9786" width="11.5703125" bestFit="1" customWidth="1"/>
    <col min="9787" max="9787" width="10.5703125" bestFit="1" customWidth="1"/>
    <col min="9788" max="9788" width="16.140625" bestFit="1" customWidth="1"/>
    <col min="9789" max="9790" width="11.28515625" bestFit="1" customWidth="1"/>
    <col min="9791" max="9791" width="13.28515625" bestFit="1" customWidth="1"/>
    <col min="9792" max="9792" width="7.7109375" bestFit="1" customWidth="1"/>
    <col min="9793" max="9796" width="9.140625" hidden="1" customWidth="1"/>
    <col min="9797" max="9797" width="10.42578125" bestFit="1" customWidth="1"/>
    <col min="9798" max="9798" width="10.5703125" bestFit="1" customWidth="1"/>
    <col min="9799" max="9799" width="10.42578125" bestFit="1" customWidth="1"/>
    <col min="9800" max="9800" width="10.5703125" bestFit="1" customWidth="1"/>
    <col min="9801" max="9801" width="9.5703125" bestFit="1" customWidth="1"/>
    <col min="9802" max="9802" width="11.5703125" bestFit="1" customWidth="1"/>
    <col min="9803" max="9803" width="10.42578125" bestFit="1" customWidth="1"/>
    <col min="9804" max="9804" width="10.85546875" customWidth="1"/>
    <col min="9805" max="9806" width="9.85546875" bestFit="1" customWidth="1"/>
    <col min="9807" max="9807" width="13.5703125" bestFit="1" customWidth="1"/>
    <col min="9808" max="9808" width="7.7109375" bestFit="1" customWidth="1"/>
    <col min="9809" max="9809" width="13.28515625" bestFit="1" customWidth="1"/>
    <col min="9810" max="9810" width="11.5703125" bestFit="1" customWidth="1"/>
    <col min="9811" max="9811" width="10.42578125" bestFit="1" customWidth="1"/>
    <col min="9812" max="9812" width="7.7109375" bestFit="1" customWidth="1"/>
    <col min="9813" max="9813" width="11.5703125" bestFit="1" customWidth="1"/>
    <col min="9814" max="9814" width="10.85546875" bestFit="1" customWidth="1"/>
    <col min="9815" max="9815" width="13.28515625" bestFit="1" customWidth="1"/>
    <col min="9816" max="9816" width="10.85546875" bestFit="1" customWidth="1"/>
    <col min="9817" max="9818" width="7.5703125" bestFit="1" customWidth="1"/>
    <col min="9819" max="9820" width="10.42578125" bestFit="1" customWidth="1"/>
    <col min="9821" max="9821" width="11.5703125" bestFit="1" customWidth="1"/>
    <col min="9822" max="9822" width="5.28515625" bestFit="1" customWidth="1"/>
    <col min="9823" max="9823" width="10.28515625" bestFit="1" customWidth="1"/>
    <col min="9824" max="9824" width="10.42578125" bestFit="1" customWidth="1"/>
    <col min="9825" max="9825" width="11.5703125" bestFit="1" customWidth="1"/>
    <col min="9826" max="9826" width="5.28515625" bestFit="1" customWidth="1"/>
    <col min="9827" max="9829" width="11.5703125" bestFit="1" customWidth="1"/>
    <col min="9830" max="9830" width="5.28515625" bestFit="1" customWidth="1"/>
    <col min="9831" max="9832" width="10.42578125" bestFit="1" customWidth="1"/>
    <col min="9833" max="9833" width="11.5703125" bestFit="1" customWidth="1"/>
    <col min="9834" max="9834" width="5.28515625" bestFit="1" customWidth="1"/>
    <col min="9835" max="9835" width="14.28515625" bestFit="1" customWidth="1"/>
    <col min="9836" max="9836" width="13" bestFit="1" customWidth="1"/>
    <col min="9837" max="9837" width="11.5703125" bestFit="1" customWidth="1"/>
    <col min="9838" max="9838" width="8.85546875" bestFit="1" customWidth="1"/>
    <col min="9839" max="9839" width="14.42578125" bestFit="1" customWidth="1"/>
    <col min="9840" max="9840" width="10.42578125" bestFit="1" customWidth="1"/>
    <col min="9841" max="9841" width="12.28515625" bestFit="1" customWidth="1"/>
    <col min="9842" max="9842" width="13.85546875" bestFit="1" customWidth="1"/>
    <col min="9843" max="9843" width="11.28515625" customWidth="1"/>
    <col min="9844" max="9844" width="11.5703125" customWidth="1"/>
    <col min="9845" max="9845" width="13.42578125" bestFit="1" customWidth="1"/>
    <col min="9846" max="9846" width="10.42578125" customWidth="1"/>
    <col min="9847" max="9847" width="13.85546875" bestFit="1" customWidth="1"/>
    <col min="9848" max="9848" width="15.42578125" bestFit="1" customWidth="1"/>
    <col min="9849" max="9849" width="12.28515625" bestFit="1" customWidth="1"/>
    <col min="9850" max="9850" width="12.7109375" customWidth="1"/>
    <col min="9851" max="9851" width="10.7109375" bestFit="1" customWidth="1"/>
    <col min="9852" max="9852" width="9.85546875" customWidth="1"/>
    <col min="9853" max="9854" width="10.140625" bestFit="1" customWidth="1"/>
    <col min="9855" max="9855" width="7.5703125" bestFit="1" customWidth="1"/>
    <col min="9856" max="9856" width="9.42578125" bestFit="1" customWidth="1"/>
    <col min="9857" max="9857" width="14.5703125" bestFit="1" customWidth="1"/>
    <col min="9858" max="9858" width="14.85546875" customWidth="1"/>
    <col min="9859" max="9859" width="15.140625" bestFit="1" customWidth="1"/>
    <col min="9860" max="9860" width="12.140625" bestFit="1" customWidth="1"/>
    <col min="9861" max="9861" width="14.85546875" bestFit="1" customWidth="1"/>
    <col min="9862" max="9862" width="12.28515625" bestFit="1" customWidth="1"/>
    <col min="9863" max="9871" width="9.140625" hidden="1" customWidth="1"/>
    <col min="9872" max="9872" width="5.28515625" bestFit="1" customWidth="1"/>
    <col min="9873" max="9878" width="11.5703125" bestFit="1" customWidth="1"/>
    <col min="9879" max="9879" width="11.28515625" bestFit="1" customWidth="1"/>
    <col min="9880" max="9880" width="10.140625" bestFit="1" customWidth="1"/>
    <col min="9881" max="9881" width="11.5703125" bestFit="1" customWidth="1"/>
    <col min="9882" max="9882" width="16.140625" customWidth="1"/>
    <col min="9883" max="9883" width="13.42578125" customWidth="1"/>
    <col min="9884" max="9884" width="10.140625" bestFit="1" customWidth="1"/>
    <col min="9885" max="9885" width="12.85546875" bestFit="1" customWidth="1"/>
    <col min="9886" max="9886" width="12.28515625" bestFit="1" customWidth="1"/>
    <col min="9887" max="9887" width="11.28515625" bestFit="1" customWidth="1"/>
    <col min="9888" max="9888" width="11.5703125" bestFit="1" customWidth="1"/>
    <col min="9889" max="9889" width="10.85546875" bestFit="1" customWidth="1"/>
    <col min="9890" max="9890" width="11.28515625" bestFit="1" customWidth="1"/>
    <col min="9891" max="9891" width="10.140625" bestFit="1" customWidth="1"/>
    <col min="9892" max="9892" width="13.28515625" bestFit="1" customWidth="1"/>
    <col min="9893" max="9894" width="12.7109375" bestFit="1" customWidth="1"/>
    <col min="9895" max="9895" width="11" bestFit="1" customWidth="1"/>
    <col min="9896" max="9896" width="11.28515625" bestFit="1" customWidth="1"/>
    <col min="9897" max="9897" width="11.5703125" bestFit="1" customWidth="1"/>
    <col min="9898" max="9898" width="12.28515625" bestFit="1" customWidth="1"/>
    <col min="9899" max="9899" width="15.140625" bestFit="1" customWidth="1"/>
    <col min="9900" max="9900" width="14.42578125" bestFit="1" customWidth="1"/>
    <col min="9901" max="9901" width="12.28515625" bestFit="1" customWidth="1"/>
    <col min="9902" max="9902" width="15.140625" bestFit="1" customWidth="1"/>
    <col min="9903" max="9903" width="14.42578125" bestFit="1" customWidth="1"/>
    <col min="9904" max="9904" width="12.28515625" bestFit="1" customWidth="1"/>
    <col min="9905" max="9905" width="14.42578125" bestFit="1" customWidth="1"/>
    <col min="9906" max="9906" width="11.28515625" bestFit="1" customWidth="1"/>
    <col min="9907" max="9907" width="12.28515625" bestFit="1" customWidth="1"/>
    <col min="9908" max="9908" width="13" bestFit="1" customWidth="1"/>
    <col min="9909" max="9909" width="15.140625" bestFit="1" customWidth="1"/>
    <col min="9910" max="9910" width="12.28515625" bestFit="1" customWidth="1"/>
    <col min="9911" max="9911" width="13.85546875" bestFit="1" customWidth="1"/>
    <col min="9912" max="9912" width="11.28515625" bestFit="1" customWidth="1"/>
    <col min="9913" max="9913" width="12.28515625" bestFit="1" customWidth="1"/>
    <col min="9914" max="9914" width="13.85546875" bestFit="1" customWidth="1"/>
    <col min="9915" max="9916" width="15.140625" bestFit="1" customWidth="1"/>
    <col min="9917" max="9917" width="12.28515625" bestFit="1" customWidth="1"/>
    <col min="9918" max="9918" width="5.7109375" bestFit="1" customWidth="1"/>
    <col min="9919" max="9919" width="8.5703125" bestFit="1" customWidth="1"/>
    <col min="9920" max="9920" width="5.5703125" bestFit="1" customWidth="1"/>
    <col min="9921" max="9921" width="14.42578125" bestFit="1" customWidth="1"/>
    <col min="9922" max="9922" width="11.28515625" bestFit="1" customWidth="1"/>
    <col min="9923" max="9924" width="12.28515625" bestFit="1" customWidth="1"/>
    <col min="9925" max="9925" width="11.28515625" bestFit="1" customWidth="1"/>
    <col min="9926" max="9926" width="13.85546875" bestFit="1" customWidth="1"/>
    <col min="9927" max="9927" width="12" bestFit="1" customWidth="1"/>
    <col min="9928" max="9928" width="13.85546875" bestFit="1" customWidth="1"/>
    <col min="9929" max="9930" width="14.42578125" customWidth="1"/>
    <col min="9931" max="9931" width="10.140625" bestFit="1" customWidth="1"/>
    <col min="9932" max="9932" width="12.28515625" bestFit="1" customWidth="1"/>
    <col min="9933" max="9933" width="7.42578125" bestFit="1" customWidth="1"/>
    <col min="9934" max="9934" width="8.5703125" bestFit="1" customWidth="1"/>
    <col min="9935" max="9935" width="11.5703125" bestFit="1" customWidth="1"/>
    <col min="9936" max="9936" width="13.28515625" bestFit="1" customWidth="1"/>
    <col min="9937" max="9937" width="13.28515625" customWidth="1"/>
    <col min="9938" max="9938" width="13.140625" customWidth="1"/>
    <col min="9939" max="9939" width="12.7109375" bestFit="1" customWidth="1"/>
    <col min="9940" max="9940" width="13.28515625" bestFit="1" customWidth="1"/>
    <col min="9941" max="9943" width="13.28515625" customWidth="1"/>
    <col min="9944" max="9944" width="12.140625" bestFit="1" customWidth="1"/>
    <col min="9945" max="9945" width="12.7109375" bestFit="1" customWidth="1"/>
    <col min="9946" max="9946" width="11" customWidth="1"/>
    <col min="9947" max="9947" width="16.7109375" customWidth="1"/>
    <col min="9948" max="9948" width="17" customWidth="1"/>
    <col min="9949" max="9949" width="10.42578125" bestFit="1" customWidth="1"/>
    <col min="9993" max="9993" width="3.85546875" customWidth="1"/>
    <col min="9994" max="9994" width="15.28515625" bestFit="1" customWidth="1"/>
    <col min="9995" max="9995" width="12.28515625" customWidth="1"/>
    <col min="9996" max="9996" width="16.28515625" bestFit="1" customWidth="1"/>
    <col min="9997" max="9997" width="6.42578125" bestFit="1" customWidth="1"/>
    <col min="9998" max="9998" width="9.28515625" bestFit="1" customWidth="1"/>
    <col min="9999" max="9999" width="7.5703125" bestFit="1" customWidth="1"/>
    <col min="10000" max="10000" width="13.28515625" bestFit="1" customWidth="1"/>
    <col min="10001" max="10001" width="9.28515625" bestFit="1" customWidth="1"/>
    <col min="10002" max="10002" width="11.5703125" bestFit="1" customWidth="1"/>
    <col min="10003" max="10003" width="13.28515625" bestFit="1" customWidth="1"/>
    <col min="10004" max="10004" width="7.140625" bestFit="1" customWidth="1"/>
    <col min="10005" max="10005" width="12" bestFit="1" customWidth="1"/>
    <col min="10006" max="10006" width="13.28515625" bestFit="1" customWidth="1"/>
    <col min="10007" max="10007" width="7" bestFit="1" customWidth="1"/>
    <col min="10008" max="10008" width="12.7109375" bestFit="1" customWidth="1"/>
    <col min="10009" max="10009" width="11.5703125" bestFit="1" customWidth="1"/>
    <col min="10010" max="10010" width="10.5703125" bestFit="1" customWidth="1"/>
    <col min="10011" max="10012" width="15.7109375" bestFit="1" customWidth="1"/>
    <col min="10013" max="10013" width="11.5703125" bestFit="1" customWidth="1"/>
    <col min="10014" max="10014" width="7.7109375" bestFit="1" customWidth="1"/>
    <col min="10015" max="10015" width="15.140625" bestFit="1" customWidth="1"/>
    <col min="10016" max="10016" width="11.5703125" bestFit="1" customWidth="1"/>
    <col min="10017" max="10017" width="13.28515625" bestFit="1" customWidth="1"/>
    <col min="10018" max="10018" width="10.42578125" bestFit="1" customWidth="1"/>
    <col min="10019" max="10019" width="13.28515625" bestFit="1" customWidth="1"/>
    <col min="10020" max="10020" width="12.140625" bestFit="1" customWidth="1"/>
    <col min="10021" max="10021" width="14.42578125" bestFit="1" customWidth="1"/>
    <col min="10022" max="10022" width="13.28515625" bestFit="1" customWidth="1"/>
    <col min="10023" max="10023" width="11.5703125" bestFit="1" customWidth="1"/>
    <col min="10024" max="10024" width="7.7109375" bestFit="1" customWidth="1"/>
    <col min="10025" max="10026" width="14.42578125" bestFit="1" customWidth="1"/>
    <col min="10027" max="10027" width="11.5703125" bestFit="1" customWidth="1"/>
    <col min="10028" max="10028" width="7.7109375" bestFit="1" customWidth="1"/>
    <col min="10029" max="10029" width="13.5703125" customWidth="1"/>
    <col min="10030" max="10030" width="15.28515625" customWidth="1"/>
    <col min="10031" max="10031" width="14.5703125" customWidth="1"/>
    <col min="10032" max="10032" width="13.28515625" bestFit="1" customWidth="1"/>
    <col min="10033" max="10033" width="7.7109375" bestFit="1" customWidth="1"/>
    <col min="10034" max="10034" width="12.7109375" bestFit="1" customWidth="1"/>
    <col min="10035" max="10035" width="11.7109375" bestFit="1" customWidth="1"/>
    <col min="10036" max="10036" width="11.5703125" bestFit="1" customWidth="1"/>
    <col min="10037" max="10037" width="5.28515625" bestFit="1" customWidth="1"/>
    <col min="10038" max="10038" width="13.28515625" bestFit="1" customWidth="1"/>
    <col min="10039" max="10039" width="13.5703125" bestFit="1" customWidth="1"/>
    <col min="10040" max="10040" width="10.5703125" bestFit="1" customWidth="1"/>
    <col min="10041" max="10041" width="13.28515625" bestFit="1" customWidth="1"/>
    <col min="10042" max="10042" width="11.5703125" bestFit="1" customWidth="1"/>
    <col min="10043" max="10043" width="10.5703125" bestFit="1" customWidth="1"/>
    <col min="10044" max="10044" width="16.140625" bestFit="1" customWidth="1"/>
    <col min="10045" max="10046" width="11.28515625" bestFit="1" customWidth="1"/>
    <col min="10047" max="10047" width="13.28515625" bestFit="1" customWidth="1"/>
    <col min="10048" max="10048" width="7.7109375" bestFit="1" customWidth="1"/>
    <col min="10049" max="10052" width="9.140625" hidden="1" customWidth="1"/>
    <col min="10053" max="10053" width="10.42578125" bestFit="1" customWidth="1"/>
    <col min="10054" max="10054" width="10.5703125" bestFit="1" customWidth="1"/>
    <col min="10055" max="10055" width="10.42578125" bestFit="1" customWidth="1"/>
    <col min="10056" max="10056" width="10.5703125" bestFit="1" customWidth="1"/>
    <col min="10057" max="10057" width="9.5703125" bestFit="1" customWidth="1"/>
    <col min="10058" max="10058" width="11.5703125" bestFit="1" customWidth="1"/>
    <col min="10059" max="10059" width="10.42578125" bestFit="1" customWidth="1"/>
    <col min="10060" max="10060" width="10.85546875" customWidth="1"/>
    <col min="10061" max="10062" width="9.85546875" bestFit="1" customWidth="1"/>
    <col min="10063" max="10063" width="13.5703125" bestFit="1" customWidth="1"/>
    <col min="10064" max="10064" width="7.7109375" bestFit="1" customWidth="1"/>
    <col min="10065" max="10065" width="13.28515625" bestFit="1" customWidth="1"/>
    <col min="10066" max="10066" width="11.5703125" bestFit="1" customWidth="1"/>
    <col min="10067" max="10067" width="10.42578125" bestFit="1" customWidth="1"/>
    <col min="10068" max="10068" width="7.7109375" bestFit="1" customWidth="1"/>
    <col min="10069" max="10069" width="11.5703125" bestFit="1" customWidth="1"/>
    <col min="10070" max="10070" width="10.85546875" bestFit="1" customWidth="1"/>
    <col min="10071" max="10071" width="13.28515625" bestFit="1" customWidth="1"/>
    <col min="10072" max="10072" width="10.85546875" bestFit="1" customWidth="1"/>
    <col min="10073" max="10074" width="7.5703125" bestFit="1" customWidth="1"/>
    <col min="10075" max="10076" width="10.42578125" bestFit="1" customWidth="1"/>
    <col min="10077" max="10077" width="11.5703125" bestFit="1" customWidth="1"/>
    <col min="10078" max="10078" width="5.28515625" bestFit="1" customWidth="1"/>
    <col min="10079" max="10079" width="10.28515625" bestFit="1" customWidth="1"/>
    <col min="10080" max="10080" width="10.42578125" bestFit="1" customWidth="1"/>
    <col min="10081" max="10081" width="11.5703125" bestFit="1" customWidth="1"/>
    <col min="10082" max="10082" width="5.28515625" bestFit="1" customWidth="1"/>
    <col min="10083" max="10085" width="11.5703125" bestFit="1" customWidth="1"/>
    <col min="10086" max="10086" width="5.28515625" bestFit="1" customWidth="1"/>
    <col min="10087" max="10088" width="10.42578125" bestFit="1" customWidth="1"/>
    <col min="10089" max="10089" width="11.5703125" bestFit="1" customWidth="1"/>
    <col min="10090" max="10090" width="5.28515625" bestFit="1" customWidth="1"/>
    <col min="10091" max="10091" width="14.28515625" bestFit="1" customWidth="1"/>
    <col min="10092" max="10092" width="13" bestFit="1" customWidth="1"/>
    <col min="10093" max="10093" width="11.5703125" bestFit="1" customWidth="1"/>
    <col min="10094" max="10094" width="8.85546875" bestFit="1" customWidth="1"/>
    <col min="10095" max="10095" width="14.42578125" bestFit="1" customWidth="1"/>
    <col min="10096" max="10096" width="10.42578125" bestFit="1" customWidth="1"/>
    <col min="10097" max="10097" width="12.28515625" bestFit="1" customWidth="1"/>
    <col min="10098" max="10098" width="13.85546875" bestFit="1" customWidth="1"/>
    <col min="10099" max="10099" width="11.28515625" customWidth="1"/>
    <col min="10100" max="10100" width="11.5703125" customWidth="1"/>
    <col min="10101" max="10101" width="13.42578125" bestFit="1" customWidth="1"/>
    <col min="10102" max="10102" width="10.42578125" customWidth="1"/>
    <col min="10103" max="10103" width="13.85546875" bestFit="1" customWidth="1"/>
    <col min="10104" max="10104" width="15.42578125" bestFit="1" customWidth="1"/>
    <col min="10105" max="10105" width="12.28515625" bestFit="1" customWidth="1"/>
    <col min="10106" max="10106" width="12.7109375" customWidth="1"/>
    <col min="10107" max="10107" width="10.7109375" bestFit="1" customWidth="1"/>
    <col min="10108" max="10108" width="9.85546875" customWidth="1"/>
    <col min="10109" max="10110" width="10.140625" bestFit="1" customWidth="1"/>
    <col min="10111" max="10111" width="7.5703125" bestFit="1" customWidth="1"/>
    <col min="10112" max="10112" width="9.42578125" bestFit="1" customWidth="1"/>
    <col min="10113" max="10113" width="14.5703125" bestFit="1" customWidth="1"/>
    <col min="10114" max="10114" width="14.85546875" customWidth="1"/>
    <col min="10115" max="10115" width="15.140625" bestFit="1" customWidth="1"/>
    <col min="10116" max="10116" width="12.140625" bestFit="1" customWidth="1"/>
    <col min="10117" max="10117" width="14.85546875" bestFit="1" customWidth="1"/>
    <col min="10118" max="10118" width="12.28515625" bestFit="1" customWidth="1"/>
    <col min="10119" max="10127" width="9.140625" hidden="1" customWidth="1"/>
    <col min="10128" max="10128" width="5.28515625" bestFit="1" customWidth="1"/>
    <col min="10129" max="10134" width="11.5703125" bestFit="1" customWidth="1"/>
    <col min="10135" max="10135" width="11.28515625" bestFit="1" customWidth="1"/>
    <col min="10136" max="10136" width="10.140625" bestFit="1" customWidth="1"/>
    <col min="10137" max="10137" width="11.5703125" bestFit="1" customWidth="1"/>
    <col min="10138" max="10138" width="16.140625" customWidth="1"/>
    <col min="10139" max="10139" width="13.42578125" customWidth="1"/>
    <col min="10140" max="10140" width="10.140625" bestFit="1" customWidth="1"/>
    <col min="10141" max="10141" width="12.85546875" bestFit="1" customWidth="1"/>
    <col min="10142" max="10142" width="12.28515625" bestFit="1" customWidth="1"/>
    <col min="10143" max="10143" width="11.28515625" bestFit="1" customWidth="1"/>
    <col min="10144" max="10144" width="11.5703125" bestFit="1" customWidth="1"/>
    <col min="10145" max="10145" width="10.85546875" bestFit="1" customWidth="1"/>
    <col min="10146" max="10146" width="11.28515625" bestFit="1" customWidth="1"/>
    <col min="10147" max="10147" width="10.140625" bestFit="1" customWidth="1"/>
    <col min="10148" max="10148" width="13.28515625" bestFit="1" customWidth="1"/>
    <col min="10149" max="10150" width="12.7109375" bestFit="1" customWidth="1"/>
    <col min="10151" max="10151" width="11" bestFit="1" customWidth="1"/>
    <col min="10152" max="10152" width="11.28515625" bestFit="1" customWidth="1"/>
    <col min="10153" max="10153" width="11.5703125" bestFit="1" customWidth="1"/>
    <col min="10154" max="10154" width="12.28515625" bestFit="1" customWidth="1"/>
    <col min="10155" max="10155" width="15.140625" bestFit="1" customWidth="1"/>
    <col min="10156" max="10156" width="14.42578125" bestFit="1" customWidth="1"/>
    <col min="10157" max="10157" width="12.28515625" bestFit="1" customWidth="1"/>
    <col min="10158" max="10158" width="15.140625" bestFit="1" customWidth="1"/>
    <col min="10159" max="10159" width="14.42578125" bestFit="1" customWidth="1"/>
    <col min="10160" max="10160" width="12.28515625" bestFit="1" customWidth="1"/>
    <col min="10161" max="10161" width="14.42578125" bestFit="1" customWidth="1"/>
    <col min="10162" max="10162" width="11.28515625" bestFit="1" customWidth="1"/>
    <col min="10163" max="10163" width="12.28515625" bestFit="1" customWidth="1"/>
    <col min="10164" max="10164" width="13" bestFit="1" customWidth="1"/>
    <col min="10165" max="10165" width="15.140625" bestFit="1" customWidth="1"/>
    <col min="10166" max="10166" width="12.28515625" bestFit="1" customWidth="1"/>
    <col min="10167" max="10167" width="13.85546875" bestFit="1" customWidth="1"/>
    <col min="10168" max="10168" width="11.28515625" bestFit="1" customWidth="1"/>
    <col min="10169" max="10169" width="12.28515625" bestFit="1" customWidth="1"/>
    <col min="10170" max="10170" width="13.85546875" bestFit="1" customWidth="1"/>
    <col min="10171" max="10172" width="15.140625" bestFit="1" customWidth="1"/>
    <col min="10173" max="10173" width="12.28515625" bestFit="1" customWidth="1"/>
    <col min="10174" max="10174" width="5.7109375" bestFit="1" customWidth="1"/>
    <col min="10175" max="10175" width="8.5703125" bestFit="1" customWidth="1"/>
    <col min="10176" max="10176" width="5.5703125" bestFit="1" customWidth="1"/>
    <col min="10177" max="10177" width="14.42578125" bestFit="1" customWidth="1"/>
    <col min="10178" max="10178" width="11.28515625" bestFit="1" customWidth="1"/>
    <col min="10179" max="10180" width="12.28515625" bestFit="1" customWidth="1"/>
    <col min="10181" max="10181" width="11.28515625" bestFit="1" customWidth="1"/>
    <col min="10182" max="10182" width="13.85546875" bestFit="1" customWidth="1"/>
    <col min="10183" max="10183" width="12" bestFit="1" customWidth="1"/>
    <col min="10184" max="10184" width="13.85546875" bestFit="1" customWidth="1"/>
    <col min="10185" max="10186" width="14.42578125" customWidth="1"/>
    <col min="10187" max="10187" width="10.140625" bestFit="1" customWidth="1"/>
    <col min="10188" max="10188" width="12.28515625" bestFit="1" customWidth="1"/>
    <col min="10189" max="10189" width="7.42578125" bestFit="1" customWidth="1"/>
    <col min="10190" max="10190" width="8.5703125" bestFit="1" customWidth="1"/>
    <col min="10191" max="10191" width="11.5703125" bestFit="1" customWidth="1"/>
    <col min="10192" max="10192" width="13.28515625" bestFit="1" customWidth="1"/>
    <col min="10193" max="10193" width="13.28515625" customWidth="1"/>
    <col min="10194" max="10194" width="13.140625" customWidth="1"/>
    <col min="10195" max="10195" width="12.7109375" bestFit="1" customWidth="1"/>
    <col min="10196" max="10196" width="13.28515625" bestFit="1" customWidth="1"/>
    <col min="10197" max="10199" width="13.28515625" customWidth="1"/>
    <col min="10200" max="10200" width="12.140625" bestFit="1" customWidth="1"/>
    <col min="10201" max="10201" width="12.7109375" bestFit="1" customWidth="1"/>
    <col min="10202" max="10202" width="11" customWidth="1"/>
    <col min="10203" max="10203" width="16.7109375" customWidth="1"/>
    <col min="10204" max="10204" width="17" customWidth="1"/>
    <col min="10205" max="10205" width="10.42578125" bestFit="1" customWidth="1"/>
    <col min="10249" max="10249" width="3.85546875" customWidth="1"/>
    <col min="10250" max="10250" width="15.28515625" bestFit="1" customWidth="1"/>
    <col min="10251" max="10251" width="12.28515625" customWidth="1"/>
    <col min="10252" max="10252" width="16.28515625" bestFit="1" customWidth="1"/>
    <col min="10253" max="10253" width="6.42578125" bestFit="1" customWidth="1"/>
    <col min="10254" max="10254" width="9.28515625" bestFit="1" customWidth="1"/>
    <col min="10255" max="10255" width="7.5703125" bestFit="1" customWidth="1"/>
    <col min="10256" max="10256" width="13.28515625" bestFit="1" customWidth="1"/>
    <col min="10257" max="10257" width="9.28515625" bestFit="1" customWidth="1"/>
    <col min="10258" max="10258" width="11.5703125" bestFit="1" customWidth="1"/>
    <col min="10259" max="10259" width="13.28515625" bestFit="1" customWidth="1"/>
    <col min="10260" max="10260" width="7.140625" bestFit="1" customWidth="1"/>
    <col min="10261" max="10261" width="12" bestFit="1" customWidth="1"/>
    <col min="10262" max="10262" width="13.28515625" bestFit="1" customWidth="1"/>
    <col min="10263" max="10263" width="7" bestFit="1" customWidth="1"/>
    <col min="10264" max="10264" width="12.7109375" bestFit="1" customWidth="1"/>
    <col min="10265" max="10265" width="11.5703125" bestFit="1" customWidth="1"/>
    <col min="10266" max="10266" width="10.5703125" bestFit="1" customWidth="1"/>
    <col min="10267" max="10268" width="15.7109375" bestFit="1" customWidth="1"/>
    <col min="10269" max="10269" width="11.5703125" bestFit="1" customWidth="1"/>
    <col min="10270" max="10270" width="7.7109375" bestFit="1" customWidth="1"/>
    <col min="10271" max="10271" width="15.140625" bestFit="1" customWidth="1"/>
    <col min="10272" max="10272" width="11.5703125" bestFit="1" customWidth="1"/>
    <col min="10273" max="10273" width="13.28515625" bestFit="1" customWidth="1"/>
    <col min="10274" max="10274" width="10.42578125" bestFit="1" customWidth="1"/>
    <col min="10275" max="10275" width="13.28515625" bestFit="1" customWidth="1"/>
    <col min="10276" max="10276" width="12.140625" bestFit="1" customWidth="1"/>
    <col min="10277" max="10277" width="14.42578125" bestFit="1" customWidth="1"/>
    <col min="10278" max="10278" width="13.28515625" bestFit="1" customWidth="1"/>
    <col min="10279" max="10279" width="11.5703125" bestFit="1" customWidth="1"/>
    <col min="10280" max="10280" width="7.7109375" bestFit="1" customWidth="1"/>
    <col min="10281" max="10282" width="14.42578125" bestFit="1" customWidth="1"/>
    <col min="10283" max="10283" width="11.5703125" bestFit="1" customWidth="1"/>
    <col min="10284" max="10284" width="7.7109375" bestFit="1" customWidth="1"/>
    <col min="10285" max="10285" width="13.5703125" customWidth="1"/>
    <col min="10286" max="10286" width="15.28515625" customWidth="1"/>
    <col min="10287" max="10287" width="14.5703125" customWidth="1"/>
    <col min="10288" max="10288" width="13.28515625" bestFit="1" customWidth="1"/>
    <col min="10289" max="10289" width="7.7109375" bestFit="1" customWidth="1"/>
    <col min="10290" max="10290" width="12.7109375" bestFit="1" customWidth="1"/>
    <col min="10291" max="10291" width="11.7109375" bestFit="1" customWidth="1"/>
    <col min="10292" max="10292" width="11.5703125" bestFit="1" customWidth="1"/>
    <col min="10293" max="10293" width="5.28515625" bestFit="1" customWidth="1"/>
    <col min="10294" max="10294" width="13.28515625" bestFit="1" customWidth="1"/>
    <col min="10295" max="10295" width="13.5703125" bestFit="1" customWidth="1"/>
    <col min="10296" max="10296" width="10.5703125" bestFit="1" customWidth="1"/>
    <col min="10297" max="10297" width="13.28515625" bestFit="1" customWidth="1"/>
    <col min="10298" max="10298" width="11.5703125" bestFit="1" customWidth="1"/>
    <col min="10299" max="10299" width="10.5703125" bestFit="1" customWidth="1"/>
    <col min="10300" max="10300" width="16.140625" bestFit="1" customWidth="1"/>
    <col min="10301" max="10302" width="11.28515625" bestFit="1" customWidth="1"/>
    <col min="10303" max="10303" width="13.28515625" bestFit="1" customWidth="1"/>
    <col min="10304" max="10304" width="7.7109375" bestFit="1" customWidth="1"/>
    <col min="10305" max="10308" width="9.140625" hidden="1" customWidth="1"/>
    <col min="10309" max="10309" width="10.42578125" bestFit="1" customWidth="1"/>
    <col min="10310" max="10310" width="10.5703125" bestFit="1" customWidth="1"/>
    <col min="10311" max="10311" width="10.42578125" bestFit="1" customWidth="1"/>
    <col min="10312" max="10312" width="10.5703125" bestFit="1" customWidth="1"/>
    <col min="10313" max="10313" width="9.5703125" bestFit="1" customWidth="1"/>
    <col min="10314" max="10314" width="11.5703125" bestFit="1" customWidth="1"/>
    <col min="10315" max="10315" width="10.42578125" bestFit="1" customWidth="1"/>
    <col min="10316" max="10316" width="10.85546875" customWidth="1"/>
    <col min="10317" max="10318" width="9.85546875" bestFit="1" customWidth="1"/>
    <col min="10319" max="10319" width="13.5703125" bestFit="1" customWidth="1"/>
    <col min="10320" max="10320" width="7.7109375" bestFit="1" customWidth="1"/>
    <col min="10321" max="10321" width="13.28515625" bestFit="1" customWidth="1"/>
    <col min="10322" max="10322" width="11.5703125" bestFit="1" customWidth="1"/>
    <col min="10323" max="10323" width="10.42578125" bestFit="1" customWidth="1"/>
    <col min="10324" max="10324" width="7.7109375" bestFit="1" customWidth="1"/>
    <col min="10325" max="10325" width="11.5703125" bestFit="1" customWidth="1"/>
    <col min="10326" max="10326" width="10.85546875" bestFit="1" customWidth="1"/>
    <col min="10327" max="10327" width="13.28515625" bestFit="1" customWidth="1"/>
    <col min="10328" max="10328" width="10.85546875" bestFit="1" customWidth="1"/>
    <col min="10329" max="10330" width="7.5703125" bestFit="1" customWidth="1"/>
    <col min="10331" max="10332" width="10.42578125" bestFit="1" customWidth="1"/>
    <col min="10333" max="10333" width="11.5703125" bestFit="1" customWidth="1"/>
    <col min="10334" max="10334" width="5.28515625" bestFit="1" customWidth="1"/>
    <col min="10335" max="10335" width="10.28515625" bestFit="1" customWidth="1"/>
    <col min="10336" max="10336" width="10.42578125" bestFit="1" customWidth="1"/>
    <col min="10337" max="10337" width="11.5703125" bestFit="1" customWidth="1"/>
    <col min="10338" max="10338" width="5.28515625" bestFit="1" customWidth="1"/>
    <col min="10339" max="10341" width="11.5703125" bestFit="1" customWidth="1"/>
    <col min="10342" max="10342" width="5.28515625" bestFit="1" customWidth="1"/>
    <col min="10343" max="10344" width="10.42578125" bestFit="1" customWidth="1"/>
    <col min="10345" max="10345" width="11.5703125" bestFit="1" customWidth="1"/>
    <col min="10346" max="10346" width="5.28515625" bestFit="1" customWidth="1"/>
    <col min="10347" max="10347" width="14.28515625" bestFit="1" customWidth="1"/>
    <col min="10348" max="10348" width="13" bestFit="1" customWidth="1"/>
    <col min="10349" max="10349" width="11.5703125" bestFit="1" customWidth="1"/>
    <col min="10350" max="10350" width="8.85546875" bestFit="1" customWidth="1"/>
    <col min="10351" max="10351" width="14.42578125" bestFit="1" customWidth="1"/>
    <col min="10352" max="10352" width="10.42578125" bestFit="1" customWidth="1"/>
    <col min="10353" max="10353" width="12.28515625" bestFit="1" customWidth="1"/>
    <col min="10354" max="10354" width="13.85546875" bestFit="1" customWidth="1"/>
    <col min="10355" max="10355" width="11.28515625" customWidth="1"/>
    <col min="10356" max="10356" width="11.5703125" customWidth="1"/>
    <col min="10357" max="10357" width="13.42578125" bestFit="1" customWidth="1"/>
    <col min="10358" max="10358" width="10.42578125" customWidth="1"/>
    <col min="10359" max="10359" width="13.85546875" bestFit="1" customWidth="1"/>
    <col min="10360" max="10360" width="15.42578125" bestFit="1" customWidth="1"/>
    <col min="10361" max="10361" width="12.28515625" bestFit="1" customWidth="1"/>
    <col min="10362" max="10362" width="12.7109375" customWidth="1"/>
    <col min="10363" max="10363" width="10.7109375" bestFit="1" customWidth="1"/>
    <col min="10364" max="10364" width="9.85546875" customWidth="1"/>
    <col min="10365" max="10366" width="10.140625" bestFit="1" customWidth="1"/>
    <col min="10367" max="10367" width="7.5703125" bestFit="1" customWidth="1"/>
    <col min="10368" max="10368" width="9.42578125" bestFit="1" customWidth="1"/>
    <col min="10369" max="10369" width="14.5703125" bestFit="1" customWidth="1"/>
    <col min="10370" max="10370" width="14.85546875" customWidth="1"/>
    <col min="10371" max="10371" width="15.140625" bestFit="1" customWidth="1"/>
    <col min="10372" max="10372" width="12.140625" bestFit="1" customWidth="1"/>
    <col min="10373" max="10373" width="14.85546875" bestFit="1" customWidth="1"/>
    <col min="10374" max="10374" width="12.28515625" bestFit="1" customWidth="1"/>
    <col min="10375" max="10383" width="9.140625" hidden="1" customWidth="1"/>
    <col min="10384" max="10384" width="5.28515625" bestFit="1" customWidth="1"/>
    <col min="10385" max="10390" width="11.5703125" bestFit="1" customWidth="1"/>
    <col min="10391" max="10391" width="11.28515625" bestFit="1" customWidth="1"/>
    <col min="10392" max="10392" width="10.140625" bestFit="1" customWidth="1"/>
    <col min="10393" max="10393" width="11.5703125" bestFit="1" customWidth="1"/>
    <col min="10394" max="10394" width="16.140625" customWidth="1"/>
    <col min="10395" max="10395" width="13.42578125" customWidth="1"/>
    <col min="10396" max="10396" width="10.140625" bestFit="1" customWidth="1"/>
    <col min="10397" max="10397" width="12.85546875" bestFit="1" customWidth="1"/>
    <col min="10398" max="10398" width="12.28515625" bestFit="1" customWidth="1"/>
    <col min="10399" max="10399" width="11.28515625" bestFit="1" customWidth="1"/>
    <col min="10400" max="10400" width="11.5703125" bestFit="1" customWidth="1"/>
    <col min="10401" max="10401" width="10.85546875" bestFit="1" customWidth="1"/>
    <col min="10402" max="10402" width="11.28515625" bestFit="1" customWidth="1"/>
    <col min="10403" max="10403" width="10.140625" bestFit="1" customWidth="1"/>
    <col min="10404" max="10404" width="13.28515625" bestFit="1" customWidth="1"/>
    <col min="10405" max="10406" width="12.7109375" bestFit="1" customWidth="1"/>
    <col min="10407" max="10407" width="11" bestFit="1" customWidth="1"/>
    <col min="10408" max="10408" width="11.28515625" bestFit="1" customWidth="1"/>
    <col min="10409" max="10409" width="11.5703125" bestFit="1" customWidth="1"/>
    <col min="10410" max="10410" width="12.28515625" bestFit="1" customWidth="1"/>
    <col min="10411" max="10411" width="15.140625" bestFit="1" customWidth="1"/>
    <col min="10412" max="10412" width="14.42578125" bestFit="1" customWidth="1"/>
    <col min="10413" max="10413" width="12.28515625" bestFit="1" customWidth="1"/>
    <col min="10414" max="10414" width="15.140625" bestFit="1" customWidth="1"/>
    <col min="10415" max="10415" width="14.42578125" bestFit="1" customWidth="1"/>
    <col min="10416" max="10416" width="12.28515625" bestFit="1" customWidth="1"/>
    <col min="10417" max="10417" width="14.42578125" bestFit="1" customWidth="1"/>
    <col min="10418" max="10418" width="11.28515625" bestFit="1" customWidth="1"/>
    <col min="10419" max="10419" width="12.28515625" bestFit="1" customWidth="1"/>
    <col min="10420" max="10420" width="13" bestFit="1" customWidth="1"/>
    <col min="10421" max="10421" width="15.140625" bestFit="1" customWidth="1"/>
    <col min="10422" max="10422" width="12.28515625" bestFit="1" customWidth="1"/>
    <col min="10423" max="10423" width="13.85546875" bestFit="1" customWidth="1"/>
    <col min="10424" max="10424" width="11.28515625" bestFit="1" customWidth="1"/>
    <col min="10425" max="10425" width="12.28515625" bestFit="1" customWidth="1"/>
    <col min="10426" max="10426" width="13.85546875" bestFit="1" customWidth="1"/>
    <col min="10427" max="10428" width="15.140625" bestFit="1" customWidth="1"/>
    <col min="10429" max="10429" width="12.28515625" bestFit="1" customWidth="1"/>
    <col min="10430" max="10430" width="5.7109375" bestFit="1" customWidth="1"/>
    <col min="10431" max="10431" width="8.5703125" bestFit="1" customWidth="1"/>
    <col min="10432" max="10432" width="5.5703125" bestFit="1" customWidth="1"/>
    <col min="10433" max="10433" width="14.42578125" bestFit="1" customWidth="1"/>
    <col min="10434" max="10434" width="11.28515625" bestFit="1" customWidth="1"/>
    <col min="10435" max="10436" width="12.28515625" bestFit="1" customWidth="1"/>
    <col min="10437" max="10437" width="11.28515625" bestFit="1" customWidth="1"/>
    <col min="10438" max="10438" width="13.85546875" bestFit="1" customWidth="1"/>
    <col min="10439" max="10439" width="12" bestFit="1" customWidth="1"/>
    <col min="10440" max="10440" width="13.85546875" bestFit="1" customWidth="1"/>
    <col min="10441" max="10442" width="14.42578125" customWidth="1"/>
    <col min="10443" max="10443" width="10.140625" bestFit="1" customWidth="1"/>
    <col min="10444" max="10444" width="12.28515625" bestFit="1" customWidth="1"/>
    <col min="10445" max="10445" width="7.42578125" bestFit="1" customWidth="1"/>
    <col min="10446" max="10446" width="8.5703125" bestFit="1" customWidth="1"/>
    <col min="10447" max="10447" width="11.5703125" bestFit="1" customWidth="1"/>
    <col min="10448" max="10448" width="13.28515625" bestFit="1" customWidth="1"/>
    <col min="10449" max="10449" width="13.28515625" customWidth="1"/>
    <col min="10450" max="10450" width="13.140625" customWidth="1"/>
    <col min="10451" max="10451" width="12.7109375" bestFit="1" customWidth="1"/>
    <col min="10452" max="10452" width="13.28515625" bestFit="1" customWidth="1"/>
    <col min="10453" max="10455" width="13.28515625" customWidth="1"/>
    <col min="10456" max="10456" width="12.140625" bestFit="1" customWidth="1"/>
    <col min="10457" max="10457" width="12.7109375" bestFit="1" customWidth="1"/>
    <col min="10458" max="10458" width="11" customWidth="1"/>
    <col min="10459" max="10459" width="16.7109375" customWidth="1"/>
    <col min="10460" max="10460" width="17" customWidth="1"/>
    <col min="10461" max="10461" width="10.42578125" bestFit="1" customWidth="1"/>
    <col min="10505" max="10505" width="3.85546875" customWidth="1"/>
    <col min="10506" max="10506" width="15.28515625" bestFit="1" customWidth="1"/>
    <col min="10507" max="10507" width="12.28515625" customWidth="1"/>
    <col min="10508" max="10508" width="16.28515625" bestFit="1" customWidth="1"/>
    <col min="10509" max="10509" width="6.42578125" bestFit="1" customWidth="1"/>
    <col min="10510" max="10510" width="9.28515625" bestFit="1" customWidth="1"/>
    <col min="10511" max="10511" width="7.5703125" bestFit="1" customWidth="1"/>
    <col min="10512" max="10512" width="13.28515625" bestFit="1" customWidth="1"/>
    <col min="10513" max="10513" width="9.28515625" bestFit="1" customWidth="1"/>
    <col min="10514" max="10514" width="11.5703125" bestFit="1" customWidth="1"/>
    <col min="10515" max="10515" width="13.28515625" bestFit="1" customWidth="1"/>
    <col min="10516" max="10516" width="7.140625" bestFit="1" customWidth="1"/>
    <col min="10517" max="10517" width="12" bestFit="1" customWidth="1"/>
    <col min="10518" max="10518" width="13.28515625" bestFit="1" customWidth="1"/>
    <col min="10519" max="10519" width="7" bestFit="1" customWidth="1"/>
    <col min="10520" max="10520" width="12.7109375" bestFit="1" customWidth="1"/>
    <col min="10521" max="10521" width="11.5703125" bestFit="1" customWidth="1"/>
    <col min="10522" max="10522" width="10.5703125" bestFit="1" customWidth="1"/>
    <col min="10523" max="10524" width="15.7109375" bestFit="1" customWidth="1"/>
    <col min="10525" max="10525" width="11.5703125" bestFit="1" customWidth="1"/>
    <col min="10526" max="10526" width="7.7109375" bestFit="1" customWidth="1"/>
    <col min="10527" max="10527" width="15.140625" bestFit="1" customWidth="1"/>
    <col min="10528" max="10528" width="11.5703125" bestFit="1" customWidth="1"/>
    <col min="10529" max="10529" width="13.28515625" bestFit="1" customWidth="1"/>
    <col min="10530" max="10530" width="10.42578125" bestFit="1" customWidth="1"/>
    <col min="10531" max="10531" width="13.28515625" bestFit="1" customWidth="1"/>
    <col min="10532" max="10532" width="12.140625" bestFit="1" customWidth="1"/>
    <col min="10533" max="10533" width="14.42578125" bestFit="1" customWidth="1"/>
    <col min="10534" max="10534" width="13.28515625" bestFit="1" customWidth="1"/>
    <col min="10535" max="10535" width="11.5703125" bestFit="1" customWidth="1"/>
    <col min="10536" max="10536" width="7.7109375" bestFit="1" customWidth="1"/>
    <col min="10537" max="10538" width="14.42578125" bestFit="1" customWidth="1"/>
    <col min="10539" max="10539" width="11.5703125" bestFit="1" customWidth="1"/>
    <col min="10540" max="10540" width="7.7109375" bestFit="1" customWidth="1"/>
    <col min="10541" max="10541" width="13.5703125" customWidth="1"/>
    <col min="10542" max="10542" width="15.28515625" customWidth="1"/>
    <col min="10543" max="10543" width="14.5703125" customWidth="1"/>
    <col min="10544" max="10544" width="13.28515625" bestFit="1" customWidth="1"/>
    <col min="10545" max="10545" width="7.7109375" bestFit="1" customWidth="1"/>
    <col min="10546" max="10546" width="12.7109375" bestFit="1" customWidth="1"/>
    <col min="10547" max="10547" width="11.7109375" bestFit="1" customWidth="1"/>
    <col min="10548" max="10548" width="11.5703125" bestFit="1" customWidth="1"/>
    <col min="10549" max="10549" width="5.28515625" bestFit="1" customWidth="1"/>
    <col min="10550" max="10550" width="13.28515625" bestFit="1" customWidth="1"/>
    <col min="10551" max="10551" width="13.5703125" bestFit="1" customWidth="1"/>
    <col min="10552" max="10552" width="10.5703125" bestFit="1" customWidth="1"/>
    <col min="10553" max="10553" width="13.28515625" bestFit="1" customWidth="1"/>
    <col min="10554" max="10554" width="11.5703125" bestFit="1" customWidth="1"/>
    <col min="10555" max="10555" width="10.5703125" bestFit="1" customWidth="1"/>
    <col min="10556" max="10556" width="16.140625" bestFit="1" customWidth="1"/>
    <col min="10557" max="10558" width="11.28515625" bestFit="1" customWidth="1"/>
    <col min="10559" max="10559" width="13.28515625" bestFit="1" customWidth="1"/>
    <col min="10560" max="10560" width="7.7109375" bestFit="1" customWidth="1"/>
    <col min="10561" max="10564" width="9.140625" hidden="1" customWidth="1"/>
    <col min="10565" max="10565" width="10.42578125" bestFit="1" customWidth="1"/>
    <col min="10566" max="10566" width="10.5703125" bestFit="1" customWidth="1"/>
    <col min="10567" max="10567" width="10.42578125" bestFit="1" customWidth="1"/>
    <col min="10568" max="10568" width="10.5703125" bestFit="1" customWidth="1"/>
    <col min="10569" max="10569" width="9.5703125" bestFit="1" customWidth="1"/>
    <col min="10570" max="10570" width="11.5703125" bestFit="1" customWidth="1"/>
    <col min="10571" max="10571" width="10.42578125" bestFit="1" customWidth="1"/>
    <col min="10572" max="10572" width="10.85546875" customWidth="1"/>
    <col min="10573" max="10574" width="9.85546875" bestFit="1" customWidth="1"/>
    <col min="10575" max="10575" width="13.5703125" bestFit="1" customWidth="1"/>
    <col min="10576" max="10576" width="7.7109375" bestFit="1" customWidth="1"/>
    <col min="10577" max="10577" width="13.28515625" bestFit="1" customWidth="1"/>
    <col min="10578" max="10578" width="11.5703125" bestFit="1" customWidth="1"/>
    <col min="10579" max="10579" width="10.42578125" bestFit="1" customWidth="1"/>
    <col min="10580" max="10580" width="7.7109375" bestFit="1" customWidth="1"/>
    <col min="10581" max="10581" width="11.5703125" bestFit="1" customWidth="1"/>
    <col min="10582" max="10582" width="10.85546875" bestFit="1" customWidth="1"/>
    <col min="10583" max="10583" width="13.28515625" bestFit="1" customWidth="1"/>
    <col min="10584" max="10584" width="10.85546875" bestFit="1" customWidth="1"/>
    <col min="10585" max="10586" width="7.5703125" bestFit="1" customWidth="1"/>
    <col min="10587" max="10588" width="10.42578125" bestFit="1" customWidth="1"/>
    <col min="10589" max="10589" width="11.5703125" bestFit="1" customWidth="1"/>
    <col min="10590" max="10590" width="5.28515625" bestFit="1" customWidth="1"/>
    <col min="10591" max="10591" width="10.28515625" bestFit="1" customWidth="1"/>
    <col min="10592" max="10592" width="10.42578125" bestFit="1" customWidth="1"/>
    <col min="10593" max="10593" width="11.5703125" bestFit="1" customWidth="1"/>
    <col min="10594" max="10594" width="5.28515625" bestFit="1" customWidth="1"/>
    <col min="10595" max="10597" width="11.5703125" bestFit="1" customWidth="1"/>
    <col min="10598" max="10598" width="5.28515625" bestFit="1" customWidth="1"/>
    <col min="10599" max="10600" width="10.42578125" bestFit="1" customWidth="1"/>
    <col min="10601" max="10601" width="11.5703125" bestFit="1" customWidth="1"/>
    <col min="10602" max="10602" width="5.28515625" bestFit="1" customWidth="1"/>
    <col min="10603" max="10603" width="14.28515625" bestFit="1" customWidth="1"/>
    <col min="10604" max="10604" width="13" bestFit="1" customWidth="1"/>
    <col min="10605" max="10605" width="11.5703125" bestFit="1" customWidth="1"/>
    <col min="10606" max="10606" width="8.85546875" bestFit="1" customWidth="1"/>
    <col min="10607" max="10607" width="14.42578125" bestFit="1" customWidth="1"/>
    <col min="10608" max="10608" width="10.42578125" bestFit="1" customWidth="1"/>
    <col min="10609" max="10609" width="12.28515625" bestFit="1" customWidth="1"/>
    <col min="10610" max="10610" width="13.85546875" bestFit="1" customWidth="1"/>
    <col min="10611" max="10611" width="11.28515625" customWidth="1"/>
    <col min="10612" max="10612" width="11.5703125" customWidth="1"/>
    <col min="10613" max="10613" width="13.42578125" bestFit="1" customWidth="1"/>
    <col min="10614" max="10614" width="10.42578125" customWidth="1"/>
    <col min="10615" max="10615" width="13.85546875" bestFit="1" customWidth="1"/>
    <col min="10616" max="10616" width="15.42578125" bestFit="1" customWidth="1"/>
    <col min="10617" max="10617" width="12.28515625" bestFit="1" customWidth="1"/>
    <col min="10618" max="10618" width="12.7109375" customWidth="1"/>
    <col min="10619" max="10619" width="10.7109375" bestFit="1" customWidth="1"/>
    <col min="10620" max="10620" width="9.85546875" customWidth="1"/>
    <col min="10621" max="10622" width="10.140625" bestFit="1" customWidth="1"/>
    <col min="10623" max="10623" width="7.5703125" bestFit="1" customWidth="1"/>
    <col min="10624" max="10624" width="9.42578125" bestFit="1" customWidth="1"/>
    <col min="10625" max="10625" width="14.5703125" bestFit="1" customWidth="1"/>
    <col min="10626" max="10626" width="14.85546875" customWidth="1"/>
    <col min="10627" max="10627" width="15.140625" bestFit="1" customWidth="1"/>
    <col min="10628" max="10628" width="12.140625" bestFit="1" customWidth="1"/>
    <col min="10629" max="10629" width="14.85546875" bestFit="1" customWidth="1"/>
    <col min="10630" max="10630" width="12.28515625" bestFit="1" customWidth="1"/>
    <col min="10631" max="10639" width="9.140625" hidden="1" customWidth="1"/>
    <col min="10640" max="10640" width="5.28515625" bestFit="1" customWidth="1"/>
    <col min="10641" max="10646" width="11.5703125" bestFit="1" customWidth="1"/>
    <col min="10647" max="10647" width="11.28515625" bestFit="1" customWidth="1"/>
    <col min="10648" max="10648" width="10.140625" bestFit="1" customWidth="1"/>
    <col min="10649" max="10649" width="11.5703125" bestFit="1" customWidth="1"/>
    <col min="10650" max="10650" width="16.140625" customWidth="1"/>
    <col min="10651" max="10651" width="13.42578125" customWidth="1"/>
    <col min="10652" max="10652" width="10.140625" bestFit="1" customWidth="1"/>
    <col min="10653" max="10653" width="12.85546875" bestFit="1" customWidth="1"/>
    <col min="10654" max="10654" width="12.28515625" bestFit="1" customWidth="1"/>
    <col min="10655" max="10655" width="11.28515625" bestFit="1" customWidth="1"/>
    <col min="10656" max="10656" width="11.5703125" bestFit="1" customWidth="1"/>
    <col min="10657" max="10657" width="10.85546875" bestFit="1" customWidth="1"/>
    <col min="10658" max="10658" width="11.28515625" bestFit="1" customWidth="1"/>
    <col min="10659" max="10659" width="10.140625" bestFit="1" customWidth="1"/>
    <col min="10660" max="10660" width="13.28515625" bestFit="1" customWidth="1"/>
    <col min="10661" max="10662" width="12.7109375" bestFit="1" customWidth="1"/>
    <col min="10663" max="10663" width="11" bestFit="1" customWidth="1"/>
    <col min="10664" max="10664" width="11.28515625" bestFit="1" customWidth="1"/>
    <col min="10665" max="10665" width="11.5703125" bestFit="1" customWidth="1"/>
    <col min="10666" max="10666" width="12.28515625" bestFit="1" customWidth="1"/>
    <col min="10667" max="10667" width="15.140625" bestFit="1" customWidth="1"/>
    <col min="10668" max="10668" width="14.42578125" bestFit="1" customWidth="1"/>
    <col min="10669" max="10669" width="12.28515625" bestFit="1" customWidth="1"/>
    <col min="10670" max="10670" width="15.140625" bestFit="1" customWidth="1"/>
    <col min="10671" max="10671" width="14.42578125" bestFit="1" customWidth="1"/>
    <col min="10672" max="10672" width="12.28515625" bestFit="1" customWidth="1"/>
    <col min="10673" max="10673" width="14.42578125" bestFit="1" customWidth="1"/>
    <col min="10674" max="10674" width="11.28515625" bestFit="1" customWidth="1"/>
    <col min="10675" max="10675" width="12.28515625" bestFit="1" customWidth="1"/>
    <col min="10676" max="10676" width="13" bestFit="1" customWidth="1"/>
    <col min="10677" max="10677" width="15.140625" bestFit="1" customWidth="1"/>
    <col min="10678" max="10678" width="12.28515625" bestFit="1" customWidth="1"/>
    <col min="10679" max="10679" width="13.85546875" bestFit="1" customWidth="1"/>
    <col min="10680" max="10680" width="11.28515625" bestFit="1" customWidth="1"/>
    <col min="10681" max="10681" width="12.28515625" bestFit="1" customWidth="1"/>
    <col min="10682" max="10682" width="13.85546875" bestFit="1" customWidth="1"/>
    <col min="10683" max="10684" width="15.140625" bestFit="1" customWidth="1"/>
    <col min="10685" max="10685" width="12.28515625" bestFit="1" customWidth="1"/>
    <col min="10686" max="10686" width="5.7109375" bestFit="1" customWidth="1"/>
    <col min="10687" max="10687" width="8.5703125" bestFit="1" customWidth="1"/>
    <col min="10688" max="10688" width="5.5703125" bestFit="1" customWidth="1"/>
    <col min="10689" max="10689" width="14.42578125" bestFit="1" customWidth="1"/>
    <col min="10690" max="10690" width="11.28515625" bestFit="1" customWidth="1"/>
    <col min="10691" max="10692" width="12.28515625" bestFit="1" customWidth="1"/>
    <col min="10693" max="10693" width="11.28515625" bestFit="1" customWidth="1"/>
    <col min="10694" max="10694" width="13.85546875" bestFit="1" customWidth="1"/>
    <col min="10695" max="10695" width="12" bestFit="1" customWidth="1"/>
    <col min="10696" max="10696" width="13.85546875" bestFit="1" customWidth="1"/>
    <col min="10697" max="10698" width="14.42578125" customWidth="1"/>
    <col min="10699" max="10699" width="10.140625" bestFit="1" customWidth="1"/>
    <col min="10700" max="10700" width="12.28515625" bestFit="1" customWidth="1"/>
    <col min="10701" max="10701" width="7.42578125" bestFit="1" customWidth="1"/>
    <col min="10702" max="10702" width="8.5703125" bestFit="1" customWidth="1"/>
    <col min="10703" max="10703" width="11.5703125" bestFit="1" customWidth="1"/>
    <col min="10704" max="10704" width="13.28515625" bestFit="1" customWidth="1"/>
    <col min="10705" max="10705" width="13.28515625" customWidth="1"/>
    <col min="10706" max="10706" width="13.140625" customWidth="1"/>
    <col min="10707" max="10707" width="12.7109375" bestFit="1" customWidth="1"/>
    <col min="10708" max="10708" width="13.28515625" bestFit="1" customWidth="1"/>
    <col min="10709" max="10711" width="13.28515625" customWidth="1"/>
    <col min="10712" max="10712" width="12.140625" bestFit="1" customWidth="1"/>
    <col min="10713" max="10713" width="12.7109375" bestFit="1" customWidth="1"/>
    <col min="10714" max="10714" width="11" customWidth="1"/>
    <col min="10715" max="10715" width="16.7109375" customWidth="1"/>
    <col min="10716" max="10716" width="17" customWidth="1"/>
    <col min="10717" max="10717" width="10.42578125" bestFit="1" customWidth="1"/>
    <col min="10761" max="10761" width="3.85546875" customWidth="1"/>
    <col min="10762" max="10762" width="15.28515625" bestFit="1" customWidth="1"/>
    <col min="10763" max="10763" width="12.28515625" customWidth="1"/>
    <col min="10764" max="10764" width="16.28515625" bestFit="1" customWidth="1"/>
    <col min="10765" max="10765" width="6.42578125" bestFit="1" customWidth="1"/>
    <col min="10766" max="10766" width="9.28515625" bestFit="1" customWidth="1"/>
    <col min="10767" max="10767" width="7.5703125" bestFit="1" customWidth="1"/>
    <col min="10768" max="10768" width="13.28515625" bestFit="1" customWidth="1"/>
    <col min="10769" max="10769" width="9.28515625" bestFit="1" customWidth="1"/>
    <col min="10770" max="10770" width="11.5703125" bestFit="1" customWidth="1"/>
    <col min="10771" max="10771" width="13.28515625" bestFit="1" customWidth="1"/>
    <col min="10772" max="10772" width="7.140625" bestFit="1" customWidth="1"/>
    <col min="10773" max="10773" width="12" bestFit="1" customWidth="1"/>
    <col min="10774" max="10774" width="13.28515625" bestFit="1" customWidth="1"/>
    <col min="10775" max="10775" width="7" bestFit="1" customWidth="1"/>
    <col min="10776" max="10776" width="12.7109375" bestFit="1" customWidth="1"/>
    <col min="10777" max="10777" width="11.5703125" bestFit="1" customWidth="1"/>
    <col min="10778" max="10778" width="10.5703125" bestFit="1" customWidth="1"/>
    <col min="10779" max="10780" width="15.7109375" bestFit="1" customWidth="1"/>
    <col min="10781" max="10781" width="11.5703125" bestFit="1" customWidth="1"/>
    <col min="10782" max="10782" width="7.7109375" bestFit="1" customWidth="1"/>
    <col min="10783" max="10783" width="15.140625" bestFit="1" customWidth="1"/>
    <col min="10784" max="10784" width="11.5703125" bestFit="1" customWidth="1"/>
    <col min="10785" max="10785" width="13.28515625" bestFit="1" customWidth="1"/>
    <col min="10786" max="10786" width="10.42578125" bestFit="1" customWidth="1"/>
    <col min="10787" max="10787" width="13.28515625" bestFit="1" customWidth="1"/>
    <col min="10788" max="10788" width="12.140625" bestFit="1" customWidth="1"/>
    <col min="10789" max="10789" width="14.42578125" bestFit="1" customWidth="1"/>
    <col min="10790" max="10790" width="13.28515625" bestFit="1" customWidth="1"/>
    <col min="10791" max="10791" width="11.5703125" bestFit="1" customWidth="1"/>
    <col min="10792" max="10792" width="7.7109375" bestFit="1" customWidth="1"/>
    <col min="10793" max="10794" width="14.42578125" bestFit="1" customWidth="1"/>
    <col min="10795" max="10795" width="11.5703125" bestFit="1" customWidth="1"/>
    <col min="10796" max="10796" width="7.7109375" bestFit="1" customWidth="1"/>
    <col min="10797" max="10797" width="13.5703125" customWidth="1"/>
    <col min="10798" max="10798" width="15.28515625" customWidth="1"/>
    <col min="10799" max="10799" width="14.5703125" customWidth="1"/>
    <col min="10800" max="10800" width="13.28515625" bestFit="1" customWidth="1"/>
    <col min="10801" max="10801" width="7.7109375" bestFit="1" customWidth="1"/>
    <col min="10802" max="10802" width="12.7109375" bestFit="1" customWidth="1"/>
    <col min="10803" max="10803" width="11.7109375" bestFit="1" customWidth="1"/>
    <col min="10804" max="10804" width="11.5703125" bestFit="1" customWidth="1"/>
    <col min="10805" max="10805" width="5.28515625" bestFit="1" customWidth="1"/>
    <col min="10806" max="10806" width="13.28515625" bestFit="1" customWidth="1"/>
    <col min="10807" max="10807" width="13.5703125" bestFit="1" customWidth="1"/>
    <col min="10808" max="10808" width="10.5703125" bestFit="1" customWidth="1"/>
    <col min="10809" max="10809" width="13.28515625" bestFit="1" customWidth="1"/>
    <col min="10810" max="10810" width="11.5703125" bestFit="1" customWidth="1"/>
    <col min="10811" max="10811" width="10.5703125" bestFit="1" customWidth="1"/>
    <col min="10812" max="10812" width="16.140625" bestFit="1" customWidth="1"/>
    <col min="10813" max="10814" width="11.28515625" bestFit="1" customWidth="1"/>
    <col min="10815" max="10815" width="13.28515625" bestFit="1" customWidth="1"/>
    <col min="10816" max="10816" width="7.7109375" bestFit="1" customWidth="1"/>
    <col min="10817" max="10820" width="9.140625" hidden="1" customWidth="1"/>
    <col min="10821" max="10821" width="10.42578125" bestFit="1" customWidth="1"/>
    <col min="10822" max="10822" width="10.5703125" bestFit="1" customWidth="1"/>
    <col min="10823" max="10823" width="10.42578125" bestFit="1" customWidth="1"/>
    <col min="10824" max="10824" width="10.5703125" bestFit="1" customWidth="1"/>
    <col min="10825" max="10825" width="9.5703125" bestFit="1" customWidth="1"/>
    <col min="10826" max="10826" width="11.5703125" bestFit="1" customWidth="1"/>
    <col min="10827" max="10827" width="10.42578125" bestFit="1" customWidth="1"/>
    <col min="10828" max="10828" width="10.85546875" customWidth="1"/>
    <col min="10829" max="10830" width="9.85546875" bestFit="1" customWidth="1"/>
    <col min="10831" max="10831" width="13.5703125" bestFit="1" customWidth="1"/>
    <col min="10832" max="10832" width="7.7109375" bestFit="1" customWidth="1"/>
    <col min="10833" max="10833" width="13.28515625" bestFit="1" customWidth="1"/>
    <col min="10834" max="10834" width="11.5703125" bestFit="1" customWidth="1"/>
    <col min="10835" max="10835" width="10.42578125" bestFit="1" customWidth="1"/>
    <col min="10836" max="10836" width="7.7109375" bestFit="1" customWidth="1"/>
    <col min="10837" max="10837" width="11.5703125" bestFit="1" customWidth="1"/>
    <col min="10838" max="10838" width="10.85546875" bestFit="1" customWidth="1"/>
    <col min="10839" max="10839" width="13.28515625" bestFit="1" customWidth="1"/>
    <col min="10840" max="10840" width="10.85546875" bestFit="1" customWidth="1"/>
    <col min="10841" max="10842" width="7.5703125" bestFit="1" customWidth="1"/>
    <col min="10843" max="10844" width="10.42578125" bestFit="1" customWidth="1"/>
    <col min="10845" max="10845" width="11.5703125" bestFit="1" customWidth="1"/>
    <col min="10846" max="10846" width="5.28515625" bestFit="1" customWidth="1"/>
    <col min="10847" max="10847" width="10.28515625" bestFit="1" customWidth="1"/>
    <col min="10848" max="10848" width="10.42578125" bestFit="1" customWidth="1"/>
    <col min="10849" max="10849" width="11.5703125" bestFit="1" customWidth="1"/>
    <col min="10850" max="10850" width="5.28515625" bestFit="1" customWidth="1"/>
    <col min="10851" max="10853" width="11.5703125" bestFit="1" customWidth="1"/>
    <col min="10854" max="10854" width="5.28515625" bestFit="1" customWidth="1"/>
    <col min="10855" max="10856" width="10.42578125" bestFit="1" customWidth="1"/>
    <col min="10857" max="10857" width="11.5703125" bestFit="1" customWidth="1"/>
    <col min="10858" max="10858" width="5.28515625" bestFit="1" customWidth="1"/>
    <col min="10859" max="10859" width="14.28515625" bestFit="1" customWidth="1"/>
    <col min="10860" max="10860" width="13" bestFit="1" customWidth="1"/>
    <col min="10861" max="10861" width="11.5703125" bestFit="1" customWidth="1"/>
    <col min="10862" max="10862" width="8.85546875" bestFit="1" customWidth="1"/>
    <col min="10863" max="10863" width="14.42578125" bestFit="1" customWidth="1"/>
    <col min="10864" max="10864" width="10.42578125" bestFit="1" customWidth="1"/>
    <col min="10865" max="10865" width="12.28515625" bestFit="1" customWidth="1"/>
    <col min="10866" max="10866" width="13.85546875" bestFit="1" customWidth="1"/>
    <col min="10867" max="10867" width="11.28515625" customWidth="1"/>
    <col min="10868" max="10868" width="11.5703125" customWidth="1"/>
    <col min="10869" max="10869" width="13.42578125" bestFit="1" customWidth="1"/>
    <col min="10870" max="10870" width="10.42578125" customWidth="1"/>
    <col min="10871" max="10871" width="13.85546875" bestFit="1" customWidth="1"/>
    <col min="10872" max="10872" width="15.42578125" bestFit="1" customWidth="1"/>
    <col min="10873" max="10873" width="12.28515625" bestFit="1" customWidth="1"/>
    <col min="10874" max="10874" width="12.7109375" customWidth="1"/>
    <col min="10875" max="10875" width="10.7109375" bestFit="1" customWidth="1"/>
    <col min="10876" max="10876" width="9.85546875" customWidth="1"/>
    <col min="10877" max="10878" width="10.140625" bestFit="1" customWidth="1"/>
    <col min="10879" max="10879" width="7.5703125" bestFit="1" customWidth="1"/>
    <col min="10880" max="10880" width="9.42578125" bestFit="1" customWidth="1"/>
    <col min="10881" max="10881" width="14.5703125" bestFit="1" customWidth="1"/>
    <col min="10882" max="10882" width="14.85546875" customWidth="1"/>
    <col min="10883" max="10883" width="15.140625" bestFit="1" customWidth="1"/>
    <col min="10884" max="10884" width="12.140625" bestFit="1" customWidth="1"/>
    <col min="10885" max="10885" width="14.85546875" bestFit="1" customWidth="1"/>
    <col min="10886" max="10886" width="12.28515625" bestFit="1" customWidth="1"/>
    <col min="10887" max="10895" width="9.140625" hidden="1" customWidth="1"/>
    <col min="10896" max="10896" width="5.28515625" bestFit="1" customWidth="1"/>
    <col min="10897" max="10902" width="11.5703125" bestFit="1" customWidth="1"/>
    <col min="10903" max="10903" width="11.28515625" bestFit="1" customWidth="1"/>
    <col min="10904" max="10904" width="10.140625" bestFit="1" customWidth="1"/>
    <col min="10905" max="10905" width="11.5703125" bestFit="1" customWidth="1"/>
    <col min="10906" max="10906" width="16.140625" customWidth="1"/>
    <col min="10907" max="10907" width="13.42578125" customWidth="1"/>
    <col min="10908" max="10908" width="10.140625" bestFit="1" customWidth="1"/>
    <col min="10909" max="10909" width="12.85546875" bestFit="1" customWidth="1"/>
    <col min="10910" max="10910" width="12.28515625" bestFit="1" customWidth="1"/>
    <col min="10911" max="10911" width="11.28515625" bestFit="1" customWidth="1"/>
    <col min="10912" max="10912" width="11.5703125" bestFit="1" customWidth="1"/>
    <col min="10913" max="10913" width="10.85546875" bestFit="1" customWidth="1"/>
    <col min="10914" max="10914" width="11.28515625" bestFit="1" customWidth="1"/>
    <col min="10915" max="10915" width="10.140625" bestFit="1" customWidth="1"/>
    <col min="10916" max="10916" width="13.28515625" bestFit="1" customWidth="1"/>
    <col min="10917" max="10918" width="12.7109375" bestFit="1" customWidth="1"/>
    <col min="10919" max="10919" width="11" bestFit="1" customWidth="1"/>
    <col min="10920" max="10920" width="11.28515625" bestFit="1" customWidth="1"/>
    <col min="10921" max="10921" width="11.5703125" bestFit="1" customWidth="1"/>
    <col min="10922" max="10922" width="12.28515625" bestFit="1" customWidth="1"/>
    <col min="10923" max="10923" width="15.140625" bestFit="1" customWidth="1"/>
    <col min="10924" max="10924" width="14.42578125" bestFit="1" customWidth="1"/>
    <col min="10925" max="10925" width="12.28515625" bestFit="1" customWidth="1"/>
    <col min="10926" max="10926" width="15.140625" bestFit="1" customWidth="1"/>
    <col min="10927" max="10927" width="14.42578125" bestFit="1" customWidth="1"/>
    <col min="10928" max="10928" width="12.28515625" bestFit="1" customWidth="1"/>
    <col min="10929" max="10929" width="14.42578125" bestFit="1" customWidth="1"/>
    <col min="10930" max="10930" width="11.28515625" bestFit="1" customWidth="1"/>
    <col min="10931" max="10931" width="12.28515625" bestFit="1" customWidth="1"/>
    <col min="10932" max="10932" width="13" bestFit="1" customWidth="1"/>
    <col min="10933" max="10933" width="15.140625" bestFit="1" customWidth="1"/>
    <col min="10934" max="10934" width="12.28515625" bestFit="1" customWidth="1"/>
    <col min="10935" max="10935" width="13.85546875" bestFit="1" customWidth="1"/>
    <col min="10936" max="10936" width="11.28515625" bestFit="1" customWidth="1"/>
    <col min="10937" max="10937" width="12.28515625" bestFit="1" customWidth="1"/>
    <col min="10938" max="10938" width="13.85546875" bestFit="1" customWidth="1"/>
    <col min="10939" max="10940" width="15.140625" bestFit="1" customWidth="1"/>
    <col min="10941" max="10941" width="12.28515625" bestFit="1" customWidth="1"/>
    <col min="10942" max="10942" width="5.7109375" bestFit="1" customWidth="1"/>
    <col min="10943" max="10943" width="8.5703125" bestFit="1" customWidth="1"/>
    <col min="10944" max="10944" width="5.5703125" bestFit="1" customWidth="1"/>
    <col min="10945" max="10945" width="14.42578125" bestFit="1" customWidth="1"/>
    <col min="10946" max="10946" width="11.28515625" bestFit="1" customWidth="1"/>
    <col min="10947" max="10948" width="12.28515625" bestFit="1" customWidth="1"/>
    <col min="10949" max="10949" width="11.28515625" bestFit="1" customWidth="1"/>
    <col min="10950" max="10950" width="13.85546875" bestFit="1" customWidth="1"/>
    <col min="10951" max="10951" width="12" bestFit="1" customWidth="1"/>
    <col min="10952" max="10952" width="13.85546875" bestFit="1" customWidth="1"/>
    <col min="10953" max="10954" width="14.42578125" customWidth="1"/>
    <col min="10955" max="10955" width="10.140625" bestFit="1" customWidth="1"/>
    <col min="10956" max="10956" width="12.28515625" bestFit="1" customWidth="1"/>
    <col min="10957" max="10957" width="7.42578125" bestFit="1" customWidth="1"/>
    <col min="10958" max="10958" width="8.5703125" bestFit="1" customWidth="1"/>
    <col min="10959" max="10959" width="11.5703125" bestFit="1" customWidth="1"/>
    <col min="10960" max="10960" width="13.28515625" bestFit="1" customWidth="1"/>
    <col min="10961" max="10961" width="13.28515625" customWidth="1"/>
    <col min="10962" max="10962" width="13.140625" customWidth="1"/>
    <col min="10963" max="10963" width="12.7109375" bestFit="1" customWidth="1"/>
    <col min="10964" max="10964" width="13.28515625" bestFit="1" customWidth="1"/>
    <col min="10965" max="10967" width="13.28515625" customWidth="1"/>
    <col min="10968" max="10968" width="12.140625" bestFit="1" customWidth="1"/>
    <col min="10969" max="10969" width="12.7109375" bestFit="1" customWidth="1"/>
    <col min="10970" max="10970" width="11" customWidth="1"/>
    <col min="10971" max="10971" width="16.7109375" customWidth="1"/>
    <col min="10972" max="10972" width="17" customWidth="1"/>
    <col min="10973" max="10973" width="10.42578125" bestFit="1" customWidth="1"/>
    <col min="11017" max="11017" width="3.85546875" customWidth="1"/>
    <col min="11018" max="11018" width="15.28515625" bestFit="1" customWidth="1"/>
    <col min="11019" max="11019" width="12.28515625" customWidth="1"/>
    <col min="11020" max="11020" width="16.28515625" bestFit="1" customWidth="1"/>
    <col min="11021" max="11021" width="6.42578125" bestFit="1" customWidth="1"/>
    <col min="11022" max="11022" width="9.28515625" bestFit="1" customWidth="1"/>
    <col min="11023" max="11023" width="7.5703125" bestFit="1" customWidth="1"/>
    <col min="11024" max="11024" width="13.28515625" bestFit="1" customWidth="1"/>
    <col min="11025" max="11025" width="9.28515625" bestFit="1" customWidth="1"/>
    <col min="11026" max="11026" width="11.5703125" bestFit="1" customWidth="1"/>
    <col min="11027" max="11027" width="13.28515625" bestFit="1" customWidth="1"/>
    <col min="11028" max="11028" width="7.140625" bestFit="1" customWidth="1"/>
    <col min="11029" max="11029" width="12" bestFit="1" customWidth="1"/>
    <col min="11030" max="11030" width="13.28515625" bestFit="1" customWidth="1"/>
    <col min="11031" max="11031" width="7" bestFit="1" customWidth="1"/>
    <col min="11032" max="11032" width="12.7109375" bestFit="1" customWidth="1"/>
    <col min="11033" max="11033" width="11.5703125" bestFit="1" customWidth="1"/>
    <col min="11034" max="11034" width="10.5703125" bestFit="1" customWidth="1"/>
    <col min="11035" max="11036" width="15.7109375" bestFit="1" customWidth="1"/>
    <col min="11037" max="11037" width="11.5703125" bestFit="1" customWidth="1"/>
    <col min="11038" max="11038" width="7.7109375" bestFit="1" customWidth="1"/>
    <col min="11039" max="11039" width="15.140625" bestFit="1" customWidth="1"/>
    <col min="11040" max="11040" width="11.5703125" bestFit="1" customWidth="1"/>
    <col min="11041" max="11041" width="13.28515625" bestFit="1" customWidth="1"/>
    <col min="11042" max="11042" width="10.42578125" bestFit="1" customWidth="1"/>
    <col min="11043" max="11043" width="13.28515625" bestFit="1" customWidth="1"/>
    <col min="11044" max="11044" width="12.140625" bestFit="1" customWidth="1"/>
    <col min="11045" max="11045" width="14.42578125" bestFit="1" customWidth="1"/>
    <col min="11046" max="11046" width="13.28515625" bestFit="1" customWidth="1"/>
    <col min="11047" max="11047" width="11.5703125" bestFit="1" customWidth="1"/>
    <col min="11048" max="11048" width="7.7109375" bestFit="1" customWidth="1"/>
    <col min="11049" max="11050" width="14.42578125" bestFit="1" customWidth="1"/>
    <col min="11051" max="11051" width="11.5703125" bestFit="1" customWidth="1"/>
    <col min="11052" max="11052" width="7.7109375" bestFit="1" customWidth="1"/>
    <col min="11053" max="11053" width="13.5703125" customWidth="1"/>
    <col min="11054" max="11054" width="15.28515625" customWidth="1"/>
    <col min="11055" max="11055" width="14.5703125" customWidth="1"/>
    <col min="11056" max="11056" width="13.28515625" bestFit="1" customWidth="1"/>
    <col min="11057" max="11057" width="7.7109375" bestFit="1" customWidth="1"/>
    <col min="11058" max="11058" width="12.7109375" bestFit="1" customWidth="1"/>
    <col min="11059" max="11059" width="11.7109375" bestFit="1" customWidth="1"/>
    <col min="11060" max="11060" width="11.5703125" bestFit="1" customWidth="1"/>
    <col min="11061" max="11061" width="5.28515625" bestFit="1" customWidth="1"/>
    <col min="11062" max="11062" width="13.28515625" bestFit="1" customWidth="1"/>
    <col min="11063" max="11063" width="13.5703125" bestFit="1" customWidth="1"/>
    <col min="11064" max="11064" width="10.5703125" bestFit="1" customWidth="1"/>
    <col min="11065" max="11065" width="13.28515625" bestFit="1" customWidth="1"/>
    <col min="11066" max="11066" width="11.5703125" bestFit="1" customWidth="1"/>
    <col min="11067" max="11067" width="10.5703125" bestFit="1" customWidth="1"/>
    <col min="11068" max="11068" width="16.140625" bestFit="1" customWidth="1"/>
    <col min="11069" max="11070" width="11.28515625" bestFit="1" customWidth="1"/>
    <col min="11071" max="11071" width="13.28515625" bestFit="1" customWidth="1"/>
    <col min="11072" max="11072" width="7.7109375" bestFit="1" customWidth="1"/>
    <col min="11073" max="11076" width="9.140625" hidden="1" customWidth="1"/>
    <col min="11077" max="11077" width="10.42578125" bestFit="1" customWidth="1"/>
    <col min="11078" max="11078" width="10.5703125" bestFit="1" customWidth="1"/>
    <col min="11079" max="11079" width="10.42578125" bestFit="1" customWidth="1"/>
    <col min="11080" max="11080" width="10.5703125" bestFit="1" customWidth="1"/>
    <col min="11081" max="11081" width="9.5703125" bestFit="1" customWidth="1"/>
    <col min="11082" max="11082" width="11.5703125" bestFit="1" customWidth="1"/>
    <col min="11083" max="11083" width="10.42578125" bestFit="1" customWidth="1"/>
    <col min="11084" max="11084" width="10.85546875" customWidth="1"/>
    <col min="11085" max="11086" width="9.85546875" bestFit="1" customWidth="1"/>
    <col min="11087" max="11087" width="13.5703125" bestFit="1" customWidth="1"/>
    <col min="11088" max="11088" width="7.7109375" bestFit="1" customWidth="1"/>
    <col min="11089" max="11089" width="13.28515625" bestFit="1" customWidth="1"/>
    <col min="11090" max="11090" width="11.5703125" bestFit="1" customWidth="1"/>
    <col min="11091" max="11091" width="10.42578125" bestFit="1" customWidth="1"/>
    <col min="11092" max="11092" width="7.7109375" bestFit="1" customWidth="1"/>
    <col min="11093" max="11093" width="11.5703125" bestFit="1" customWidth="1"/>
    <col min="11094" max="11094" width="10.85546875" bestFit="1" customWidth="1"/>
    <col min="11095" max="11095" width="13.28515625" bestFit="1" customWidth="1"/>
    <col min="11096" max="11096" width="10.85546875" bestFit="1" customWidth="1"/>
    <col min="11097" max="11098" width="7.5703125" bestFit="1" customWidth="1"/>
    <col min="11099" max="11100" width="10.42578125" bestFit="1" customWidth="1"/>
    <col min="11101" max="11101" width="11.5703125" bestFit="1" customWidth="1"/>
    <col min="11102" max="11102" width="5.28515625" bestFit="1" customWidth="1"/>
    <col min="11103" max="11103" width="10.28515625" bestFit="1" customWidth="1"/>
    <col min="11104" max="11104" width="10.42578125" bestFit="1" customWidth="1"/>
    <col min="11105" max="11105" width="11.5703125" bestFit="1" customWidth="1"/>
    <col min="11106" max="11106" width="5.28515625" bestFit="1" customWidth="1"/>
    <col min="11107" max="11109" width="11.5703125" bestFit="1" customWidth="1"/>
    <col min="11110" max="11110" width="5.28515625" bestFit="1" customWidth="1"/>
    <col min="11111" max="11112" width="10.42578125" bestFit="1" customWidth="1"/>
    <col min="11113" max="11113" width="11.5703125" bestFit="1" customWidth="1"/>
    <col min="11114" max="11114" width="5.28515625" bestFit="1" customWidth="1"/>
    <col min="11115" max="11115" width="14.28515625" bestFit="1" customWidth="1"/>
    <col min="11116" max="11116" width="13" bestFit="1" customWidth="1"/>
    <col min="11117" max="11117" width="11.5703125" bestFit="1" customWidth="1"/>
    <col min="11118" max="11118" width="8.85546875" bestFit="1" customWidth="1"/>
    <col min="11119" max="11119" width="14.42578125" bestFit="1" customWidth="1"/>
    <col min="11120" max="11120" width="10.42578125" bestFit="1" customWidth="1"/>
    <col min="11121" max="11121" width="12.28515625" bestFit="1" customWidth="1"/>
    <col min="11122" max="11122" width="13.85546875" bestFit="1" customWidth="1"/>
    <col min="11123" max="11123" width="11.28515625" customWidth="1"/>
    <col min="11124" max="11124" width="11.5703125" customWidth="1"/>
    <col min="11125" max="11125" width="13.42578125" bestFit="1" customWidth="1"/>
    <col min="11126" max="11126" width="10.42578125" customWidth="1"/>
    <col min="11127" max="11127" width="13.85546875" bestFit="1" customWidth="1"/>
    <col min="11128" max="11128" width="15.42578125" bestFit="1" customWidth="1"/>
    <col min="11129" max="11129" width="12.28515625" bestFit="1" customWidth="1"/>
    <col min="11130" max="11130" width="12.7109375" customWidth="1"/>
    <col min="11131" max="11131" width="10.7109375" bestFit="1" customWidth="1"/>
    <col min="11132" max="11132" width="9.85546875" customWidth="1"/>
    <col min="11133" max="11134" width="10.140625" bestFit="1" customWidth="1"/>
    <col min="11135" max="11135" width="7.5703125" bestFit="1" customWidth="1"/>
    <col min="11136" max="11136" width="9.42578125" bestFit="1" customWidth="1"/>
    <col min="11137" max="11137" width="14.5703125" bestFit="1" customWidth="1"/>
    <col min="11138" max="11138" width="14.85546875" customWidth="1"/>
    <col min="11139" max="11139" width="15.140625" bestFit="1" customWidth="1"/>
    <col min="11140" max="11140" width="12.140625" bestFit="1" customWidth="1"/>
    <col min="11141" max="11141" width="14.85546875" bestFit="1" customWidth="1"/>
    <col min="11142" max="11142" width="12.28515625" bestFit="1" customWidth="1"/>
    <col min="11143" max="11151" width="9.140625" hidden="1" customWidth="1"/>
    <col min="11152" max="11152" width="5.28515625" bestFit="1" customWidth="1"/>
    <col min="11153" max="11158" width="11.5703125" bestFit="1" customWidth="1"/>
    <col min="11159" max="11159" width="11.28515625" bestFit="1" customWidth="1"/>
    <col min="11160" max="11160" width="10.140625" bestFit="1" customWidth="1"/>
    <col min="11161" max="11161" width="11.5703125" bestFit="1" customWidth="1"/>
    <col min="11162" max="11162" width="16.140625" customWidth="1"/>
    <col min="11163" max="11163" width="13.42578125" customWidth="1"/>
    <col min="11164" max="11164" width="10.140625" bestFit="1" customWidth="1"/>
    <col min="11165" max="11165" width="12.85546875" bestFit="1" customWidth="1"/>
    <col min="11166" max="11166" width="12.28515625" bestFit="1" customWidth="1"/>
    <col min="11167" max="11167" width="11.28515625" bestFit="1" customWidth="1"/>
    <col min="11168" max="11168" width="11.5703125" bestFit="1" customWidth="1"/>
    <col min="11169" max="11169" width="10.85546875" bestFit="1" customWidth="1"/>
    <col min="11170" max="11170" width="11.28515625" bestFit="1" customWidth="1"/>
    <col min="11171" max="11171" width="10.140625" bestFit="1" customWidth="1"/>
    <col min="11172" max="11172" width="13.28515625" bestFit="1" customWidth="1"/>
    <col min="11173" max="11174" width="12.7109375" bestFit="1" customWidth="1"/>
    <col min="11175" max="11175" width="11" bestFit="1" customWidth="1"/>
    <col min="11176" max="11176" width="11.28515625" bestFit="1" customWidth="1"/>
    <col min="11177" max="11177" width="11.5703125" bestFit="1" customWidth="1"/>
    <col min="11178" max="11178" width="12.28515625" bestFit="1" customWidth="1"/>
    <col min="11179" max="11179" width="15.140625" bestFit="1" customWidth="1"/>
    <col min="11180" max="11180" width="14.42578125" bestFit="1" customWidth="1"/>
    <col min="11181" max="11181" width="12.28515625" bestFit="1" customWidth="1"/>
    <col min="11182" max="11182" width="15.140625" bestFit="1" customWidth="1"/>
    <col min="11183" max="11183" width="14.42578125" bestFit="1" customWidth="1"/>
    <col min="11184" max="11184" width="12.28515625" bestFit="1" customWidth="1"/>
    <col min="11185" max="11185" width="14.42578125" bestFit="1" customWidth="1"/>
    <col min="11186" max="11186" width="11.28515625" bestFit="1" customWidth="1"/>
    <col min="11187" max="11187" width="12.28515625" bestFit="1" customWidth="1"/>
    <col min="11188" max="11188" width="13" bestFit="1" customWidth="1"/>
    <col min="11189" max="11189" width="15.140625" bestFit="1" customWidth="1"/>
    <col min="11190" max="11190" width="12.28515625" bestFit="1" customWidth="1"/>
    <col min="11191" max="11191" width="13.85546875" bestFit="1" customWidth="1"/>
    <col min="11192" max="11192" width="11.28515625" bestFit="1" customWidth="1"/>
    <col min="11193" max="11193" width="12.28515625" bestFit="1" customWidth="1"/>
    <col min="11194" max="11194" width="13.85546875" bestFit="1" customWidth="1"/>
    <col min="11195" max="11196" width="15.140625" bestFit="1" customWidth="1"/>
    <col min="11197" max="11197" width="12.28515625" bestFit="1" customWidth="1"/>
    <col min="11198" max="11198" width="5.7109375" bestFit="1" customWidth="1"/>
    <col min="11199" max="11199" width="8.5703125" bestFit="1" customWidth="1"/>
    <col min="11200" max="11200" width="5.5703125" bestFit="1" customWidth="1"/>
    <col min="11201" max="11201" width="14.42578125" bestFit="1" customWidth="1"/>
    <col min="11202" max="11202" width="11.28515625" bestFit="1" customWidth="1"/>
    <col min="11203" max="11204" width="12.28515625" bestFit="1" customWidth="1"/>
    <col min="11205" max="11205" width="11.28515625" bestFit="1" customWidth="1"/>
    <col min="11206" max="11206" width="13.85546875" bestFit="1" customWidth="1"/>
    <col min="11207" max="11207" width="12" bestFit="1" customWidth="1"/>
    <col min="11208" max="11208" width="13.85546875" bestFit="1" customWidth="1"/>
    <col min="11209" max="11210" width="14.42578125" customWidth="1"/>
    <col min="11211" max="11211" width="10.140625" bestFit="1" customWidth="1"/>
    <col min="11212" max="11212" width="12.28515625" bestFit="1" customWidth="1"/>
    <col min="11213" max="11213" width="7.42578125" bestFit="1" customWidth="1"/>
    <col min="11214" max="11214" width="8.5703125" bestFit="1" customWidth="1"/>
    <col min="11215" max="11215" width="11.5703125" bestFit="1" customWidth="1"/>
    <col min="11216" max="11216" width="13.28515625" bestFit="1" customWidth="1"/>
    <col min="11217" max="11217" width="13.28515625" customWidth="1"/>
    <col min="11218" max="11218" width="13.140625" customWidth="1"/>
    <col min="11219" max="11219" width="12.7109375" bestFit="1" customWidth="1"/>
    <col min="11220" max="11220" width="13.28515625" bestFit="1" customWidth="1"/>
    <col min="11221" max="11223" width="13.28515625" customWidth="1"/>
    <col min="11224" max="11224" width="12.140625" bestFit="1" customWidth="1"/>
    <col min="11225" max="11225" width="12.7109375" bestFit="1" customWidth="1"/>
    <col min="11226" max="11226" width="11" customWidth="1"/>
    <col min="11227" max="11227" width="16.7109375" customWidth="1"/>
    <col min="11228" max="11228" width="17" customWidth="1"/>
    <col min="11229" max="11229" width="10.42578125" bestFit="1" customWidth="1"/>
    <col min="11273" max="11273" width="3.85546875" customWidth="1"/>
    <col min="11274" max="11274" width="15.28515625" bestFit="1" customWidth="1"/>
    <col min="11275" max="11275" width="12.28515625" customWidth="1"/>
    <col min="11276" max="11276" width="16.28515625" bestFit="1" customWidth="1"/>
    <col min="11277" max="11277" width="6.42578125" bestFit="1" customWidth="1"/>
    <col min="11278" max="11278" width="9.28515625" bestFit="1" customWidth="1"/>
    <col min="11279" max="11279" width="7.5703125" bestFit="1" customWidth="1"/>
    <col min="11280" max="11280" width="13.28515625" bestFit="1" customWidth="1"/>
    <col min="11281" max="11281" width="9.28515625" bestFit="1" customWidth="1"/>
    <col min="11282" max="11282" width="11.5703125" bestFit="1" customWidth="1"/>
    <col min="11283" max="11283" width="13.28515625" bestFit="1" customWidth="1"/>
    <col min="11284" max="11284" width="7.140625" bestFit="1" customWidth="1"/>
    <col min="11285" max="11285" width="12" bestFit="1" customWidth="1"/>
    <col min="11286" max="11286" width="13.28515625" bestFit="1" customWidth="1"/>
    <col min="11287" max="11287" width="7" bestFit="1" customWidth="1"/>
    <col min="11288" max="11288" width="12.7109375" bestFit="1" customWidth="1"/>
    <col min="11289" max="11289" width="11.5703125" bestFit="1" customWidth="1"/>
    <col min="11290" max="11290" width="10.5703125" bestFit="1" customWidth="1"/>
    <col min="11291" max="11292" width="15.7109375" bestFit="1" customWidth="1"/>
    <col min="11293" max="11293" width="11.5703125" bestFit="1" customWidth="1"/>
    <col min="11294" max="11294" width="7.7109375" bestFit="1" customWidth="1"/>
    <col min="11295" max="11295" width="15.140625" bestFit="1" customWidth="1"/>
    <col min="11296" max="11296" width="11.5703125" bestFit="1" customWidth="1"/>
    <col min="11297" max="11297" width="13.28515625" bestFit="1" customWidth="1"/>
    <col min="11298" max="11298" width="10.42578125" bestFit="1" customWidth="1"/>
    <col min="11299" max="11299" width="13.28515625" bestFit="1" customWidth="1"/>
    <col min="11300" max="11300" width="12.140625" bestFit="1" customWidth="1"/>
    <col min="11301" max="11301" width="14.42578125" bestFit="1" customWidth="1"/>
    <col min="11302" max="11302" width="13.28515625" bestFit="1" customWidth="1"/>
    <col min="11303" max="11303" width="11.5703125" bestFit="1" customWidth="1"/>
    <col min="11304" max="11304" width="7.7109375" bestFit="1" customWidth="1"/>
    <col min="11305" max="11306" width="14.42578125" bestFit="1" customWidth="1"/>
    <col min="11307" max="11307" width="11.5703125" bestFit="1" customWidth="1"/>
    <col min="11308" max="11308" width="7.7109375" bestFit="1" customWidth="1"/>
    <col min="11309" max="11309" width="13.5703125" customWidth="1"/>
    <col min="11310" max="11310" width="15.28515625" customWidth="1"/>
    <col min="11311" max="11311" width="14.5703125" customWidth="1"/>
    <col min="11312" max="11312" width="13.28515625" bestFit="1" customWidth="1"/>
    <col min="11313" max="11313" width="7.7109375" bestFit="1" customWidth="1"/>
    <col min="11314" max="11314" width="12.7109375" bestFit="1" customWidth="1"/>
    <col min="11315" max="11315" width="11.7109375" bestFit="1" customWidth="1"/>
    <col min="11316" max="11316" width="11.5703125" bestFit="1" customWidth="1"/>
    <col min="11317" max="11317" width="5.28515625" bestFit="1" customWidth="1"/>
    <col min="11318" max="11318" width="13.28515625" bestFit="1" customWidth="1"/>
    <col min="11319" max="11319" width="13.5703125" bestFit="1" customWidth="1"/>
    <col min="11320" max="11320" width="10.5703125" bestFit="1" customWidth="1"/>
    <col min="11321" max="11321" width="13.28515625" bestFit="1" customWidth="1"/>
    <col min="11322" max="11322" width="11.5703125" bestFit="1" customWidth="1"/>
    <col min="11323" max="11323" width="10.5703125" bestFit="1" customWidth="1"/>
    <col min="11324" max="11324" width="16.140625" bestFit="1" customWidth="1"/>
    <col min="11325" max="11326" width="11.28515625" bestFit="1" customWidth="1"/>
    <col min="11327" max="11327" width="13.28515625" bestFit="1" customWidth="1"/>
    <col min="11328" max="11328" width="7.7109375" bestFit="1" customWidth="1"/>
    <col min="11329" max="11332" width="9.140625" hidden="1" customWidth="1"/>
    <col min="11333" max="11333" width="10.42578125" bestFit="1" customWidth="1"/>
    <col min="11334" max="11334" width="10.5703125" bestFit="1" customWidth="1"/>
    <col min="11335" max="11335" width="10.42578125" bestFit="1" customWidth="1"/>
    <col min="11336" max="11336" width="10.5703125" bestFit="1" customWidth="1"/>
    <col min="11337" max="11337" width="9.5703125" bestFit="1" customWidth="1"/>
    <col min="11338" max="11338" width="11.5703125" bestFit="1" customWidth="1"/>
    <col min="11339" max="11339" width="10.42578125" bestFit="1" customWidth="1"/>
    <col min="11340" max="11340" width="10.85546875" customWidth="1"/>
    <col min="11341" max="11342" width="9.85546875" bestFit="1" customWidth="1"/>
    <col min="11343" max="11343" width="13.5703125" bestFit="1" customWidth="1"/>
    <col min="11344" max="11344" width="7.7109375" bestFit="1" customWidth="1"/>
    <col min="11345" max="11345" width="13.28515625" bestFit="1" customWidth="1"/>
    <col min="11346" max="11346" width="11.5703125" bestFit="1" customWidth="1"/>
    <col min="11347" max="11347" width="10.42578125" bestFit="1" customWidth="1"/>
    <col min="11348" max="11348" width="7.7109375" bestFit="1" customWidth="1"/>
    <col min="11349" max="11349" width="11.5703125" bestFit="1" customWidth="1"/>
    <col min="11350" max="11350" width="10.85546875" bestFit="1" customWidth="1"/>
    <col min="11351" max="11351" width="13.28515625" bestFit="1" customWidth="1"/>
    <col min="11352" max="11352" width="10.85546875" bestFit="1" customWidth="1"/>
    <col min="11353" max="11354" width="7.5703125" bestFit="1" customWidth="1"/>
    <col min="11355" max="11356" width="10.42578125" bestFit="1" customWidth="1"/>
    <col min="11357" max="11357" width="11.5703125" bestFit="1" customWidth="1"/>
    <col min="11358" max="11358" width="5.28515625" bestFit="1" customWidth="1"/>
    <col min="11359" max="11359" width="10.28515625" bestFit="1" customWidth="1"/>
    <col min="11360" max="11360" width="10.42578125" bestFit="1" customWidth="1"/>
    <col min="11361" max="11361" width="11.5703125" bestFit="1" customWidth="1"/>
    <col min="11362" max="11362" width="5.28515625" bestFit="1" customWidth="1"/>
    <col min="11363" max="11365" width="11.5703125" bestFit="1" customWidth="1"/>
    <col min="11366" max="11366" width="5.28515625" bestFit="1" customWidth="1"/>
    <col min="11367" max="11368" width="10.42578125" bestFit="1" customWidth="1"/>
    <col min="11369" max="11369" width="11.5703125" bestFit="1" customWidth="1"/>
    <col min="11370" max="11370" width="5.28515625" bestFit="1" customWidth="1"/>
    <col min="11371" max="11371" width="14.28515625" bestFit="1" customWidth="1"/>
    <col min="11372" max="11372" width="13" bestFit="1" customWidth="1"/>
    <col min="11373" max="11373" width="11.5703125" bestFit="1" customWidth="1"/>
    <col min="11374" max="11374" width="8.85546875" bestFit="1" customWidth="1"/>
    <col min="11375" max="11375" width="14.42578125" bestFit="1" customWidth="1"/>
    <col min="11376" max="11376" width="10.42578125" bestFit="1" customWidth="1"/>
    <col min="11377" max="11377" width="12.28515625" bestFit="1" customWidth="1"/>
    <col min="11378" max="11378" width="13.85546875" bestFit="1" customWidth="1"/>
    <col min="11379" max="11379" width="11.28515625" customWidth="1"/>
    <col min="11380" max="11380" width="11.5703125" customWidth="1"/>
    <col min="11381" max="11381" width="13.42578125" bestFit="1" customWidth="1"/>
    <col min="11382" max="11382" width="10.42578125" customWidth="1"/>
    <col min="11383" max="11383" width="13.85546875" bestFit="1" customWidth="1"/>
    <col min="11384" max="11384" width="15.42578125" bestFit="1" customWidth="1"/>
    <col min="11385" max="11385" width="12.28515625" bestFit="1" customWidth="1"/>
    <col min="11386" max="11386" width="12.7109375" customWidth="1"/>
    <col min="11387" max="11387" width="10.7109375" bestFit="1" customWidth="1"/>
    <col min="11388" max="11388" width="9.85546875" customWidth="1"/>
    <col min="11389" max="11390" width="10.140625" bestFit="1" customWidth="1"/>
    <col min="11391" max="11391" width="7.5703125" bestFit="1" customWidth="1"/>
    <col min="11392" max="11392" width="9.42578125" bestFit="1" customWidth="1"/>
    <col min="11393" max="11393" width="14.5703125" bestFit="1" customWidth="1"/>
    <col min="11394" max="11394" width="14.85546875" customWidth="1"/>
    <col min="11395" max="11395" width="15.140625" bestFit="1" customWidth="1"/>
    <col min="11396" max="11396" width="12.140625" bestFit="1" customWidth="1"/>
    <col min="11397" max="11397" width="14.85546875" bestFit="1" customWidth="1"/>
    <col min="11398" max="11398" width="12.28515625" bestFit="1" customWidth="1"/>
    <col min="11399" max="11407" width="9.140625" hidden="1" customWidth="1"/>
    <col min="11408" max="11408" width="5.28515625" bestFit="1" customWidth="1"/>
    <col min="11409" max="11414" width="11.5703125" bestFit="1" customWidth="1"/>
    <col min="11415" max="11415" width="11.28515625" bestFit="1" customWidth="1"/>
    <col min="11416" max="11416" width="10.140625" bestFit="1" customWidth="1"/>
    <col min="11417" max="11417" width="11.5703125" bestFit="1" customWidth="1"/>
    <col min="11418" max="11418" width="16.140625" customWidth="1"/>
    <col min="11419" max="11419" width="13.42578125" customWidth="1"/>
    <col min="11420" max="11420" width="10.140625" bestFit="1" customWidth="1"/>
    <col min="11421" max="11421" width="12.85546875" bestFit="1" customWidth="1"/>
    <col min="11422" max="11422" width="12.28515625" bestFit="1" customWidth="1"/>
    <col min="11423" max="11423" width="11.28515625" bestFit="1" customWidth="1"/>
    <col min="11424" max="11424" width="11.5703125" bestFit="1" customWidth="1"/>
    <col min="11425" max="11425" width="10.85546875" bestFit="1" customWidth="1"/>
    <col min="11426" max="11426" width="11.28515625" bestFit="1" customWidth="1"/>
    <col min="11427" max="11427" width="10.140625" bestFit="1" customWidth="1"/>
    <col min="11428" max="11428" width="13.28515625" bestFit="1" customWidth="1"/>
    <col min="11429" max="11430" width="12.7109375" bestFit="1" customWidth="1"/>
    <col min="11431" max="11431" width="11" bestFit="1" customWidth="1"/>
    <col min="11432" max="11432" width="11.28515625" bestFit="1" customWidth="1"/>
    <col min="11433" max="11433" width="11.5703125" bestFit="1" customWidth="1"/>
    <col min="11434" max="11434" width="12.28515625" bestFit="1" customWidth="1"/>
    <col min="11435" max="11435" width="15.140625" bestFit="1" customWidth="1"/>
    <col min="11436" max="11436" width="14.42578125" bestFit="1" customWidth="1"/>
    <col min="11437" max="11437" width="12.28515625" bestFit="1" customWidth="1"/>
    <col min="11438" max="11438" width="15.140625" bestFit="1" customWidth="1"/>
    <col min="11439" max="11439" width="14.42578125" bestFit="1" customWidth="1"/>
    <col min="11440" max="11440" width="12.28515625" bestFit="1" customWidth="1"/>
    <col min="11441" max="11441" width="14.42578125" bestFit="1" customWidth="1"/>
    <col min="11442" max="11442" width="11.28515625" bestFit="1" customWidth="1"/>
    <col min="11443" max="11443" width="12.28515625" bestFit="1" customWidth="1"/>
    <col min="11444" max="11444" width="13" bestFit="1" customWidth="1"/>
    <col min="11445" max="11445" width="15.140625" bestFit="1" customWidth="1"/>
    <col min="11446" max="11446" width="12.28515625" bestFit="1" customWidth="1"/>
    <col min="11447" max="11447" width="13.85546875" bestFit="1" customWidth="1"/>
    <col min="11448" max="11448" width="11.28515625" bestFit="1" customWidth="1"/>
    <col min="11449" max="11449" width="12.28515625" bestFit="1" customWidth="1"/>
    <col min="11450" max="11450" width="13.85546875" bestFit="1" customWidth="1"/>
    <col min="11451" max="11452" width="15.140625" bestFit="1" customWidth="1"/>
    <col min="11453" max="11453" width="12.28515625" bestFit="1" customWidth="1"/>
    <col min="11454" max="11454" width="5.7109375" bestFit="1" customWidth="1"/>
    <col min="11455" max="11455" width="8.5703125" bestFit="1" customWidth="1"/>
    <col min="11456" max="11456" width="5.5703125" bestFit="1" customWidth="1"/>
    <col min="11457" max="11457" width="14.42578125" bestFit="1" customWidth="1"/>
    <col min="11458" max="11458" width="11.28515625" bestFit="1" customWidth="1"/>
    <col min="11459" max="11460" width="12.28515625" bestFit="1" customWidth="1"/>
    <col min="11461" max="11461" width="11.28515625" bestFit="1" customWidth="1"/>
    <col min="11462" max="11462" width="13.85546875" bestFit="1" customWidth="1"/>
    <col min="11463" max="11463" width="12" bestFit="1" customWidth="1"/>
    <col min="11464" max="11464" width="13.85546875" bestFit="1" customWidth="1"/>
    <col min="11465" max="11466" width="14.42578125" customWidth="1"/>
    <col min="11467" max="11467" width="10.140625" bestFit="1" customWidth="1"/>
    <col min="11468" max="11468" width="12.28515625" bestFit="1" customWidth="1"/>
    <col min="11469" max="11469" width="7.42578125" bestFit="1" customWidth="1"/>
    <col min="11470" max="11470" width="8.5703125" bestFit="1" customWidth="1"/>
    <col min="11471" max="11471" width="11.5703125" bestFit="1" customWidth="1"/>
    <col min="11472" max="11472" width="13.28515625" bestFit="1" customWidth="1"/>
    <col min="11473" max="11473" width="13.28515625" customWidth="1"/>
    <col min="11474" max="11474" width="13.140625" customWidth="1"/>
    <col min="11475" max="11475" width="12.7109375" bestFit="1" customWidth="1"/>
    <col min="11476" max="11476" width="13.28515625" bestFit="1" customWidth="1"/>
    <col min="11477" max="11479" width="13.28515625" customWidth="1"/>
    <col min="11480" max="11480" width="12.140625" bestFit="1" customWidth="1"/>
    <col min="11481" max="11481" width="12.7109375" bestFit="1" customWidth="1"/>
    <col min="11482" max="11482" width="11" customWidth="1"/>
    <col min="11483" max="11483" width="16.7109375" customWidth="1"/>
    <col min="11484" max="11484" width="17" customWidth="1"/>
    <col min="11485" max="11485" width="10.42578125" bestFit="1" customWidth="1"/>
    <col min="11529" max="11529" width="3.85546875" customWidth="1"/>
    <col min="11530" max="11530" width="15.28515625" bestFit="1" customWidth="1"/>
    <col min="11531" max="11531" width="12.28515625" customWidth="1"/>
    <col min="11532" max="11532" width="16.28515625" bestFit="1" customWidth="1"/>
    <col min="11533" max="11533" width="6.42578125" bestFit="1" customWidth="1"/>
    <col min="11534" max="11534" width="9.28515625" bestFit="1" customWidth="1"/>
    <col min="11535" max="11535" width="7.5703125" bestFit="1" customWidth="1"/>
    <col min="11536" max="11536" width="13.28515625" bestFit="1" customWidth="1"/>
    <col min="11537" max="11537" width="9.28515625" bestFit="1" customWidth="1"/>
    <col min="11538" max="11538" width="11.5703125" bestFit="1" customWidth="1"/>
    <col min="11539" max="11539" width="13.28515625" bestFit="1" customWidth="1"/>
    <col min="11540" max="11540" width="7.140625" bestFit="1" customWidth="1"/>
    <col min="11541" max="11541" width="12" bestFit="1" customWidth="1"/>
    <col min="11542" max="11542" width="13.28515625" bestFit="1" customWidth="1"/>
    <col min="11543" max="11543" width="7" bestFit="1" customWidth="1"/>
    <col min="11544" max="11544" width="12.7109375" bestFit="1" customWidth="1"/>
    <col min="11545" max="11545" width="11.5703125" bestFit="1" customWidth="1"/>
    <col min="11546" max="11546" width="10.5703125" bestFit="1" customWidth="1"/>
    <col min="11547" max="11548" width="15.7109375" bestFit="1" customWidth="1"/>
    <col min="11549" max="11549" width="11.5703125" bestFit="1" customWidth="1"/>
    <col min="11550" max="11550" width="7.7109375" bestFit="1" customWidth="1"/>
    <col min="11551" max="11551" width="15.140625" bestFit="1" customWidth="1"/>
    <col min="11552" max="11552" width="11.5703125" bestFit="1" customWidth="1"/>
    <col min="11553" max="11553" width="13.28515625" bestFit="1" customWidth="1"/>
    <col min="11554" max="11554" width="10.42578125" bestFit="1" customWidth="1"/>
    <col min="11555" max="11555" width="13.28515625" bestFit="1" customWidth="1"/>
    <col min="11556" max="11556" width="12.140625" bestFit="1" customWidth="1"/>
    <col min="11557" max="11557" width="14.42578125" bestFit="1" customWidth="1"/>
    <col min="11558" max="11558" width="13.28515625" bestFit="1" customWidth="1"/>
    <col min="11559" max="11559" width="11.5703125" bestFit="1" customWidth="1"/>
    <col min="11560" max="11560" width="7.7109375" bestFit="1" customWidth="1"/>
    <col min="11561" max="11562" width="14.42578125" bestFit="1" customWidth="1"/>
    <col min="11563" max="11563" width="11.5703125" bestFit="1" customWidth="1"/>
    <col min="11564" max="11564" width="7.7109375" bestFit="1" customWidth="1"/>
    <col min="11565" max="11565" width="13.5703125" customWidth="1"/>
    <col min="11566" max="11566" width="15.28515625" customWidth="1"/>
    <col min="11567" max="11567" width="14.5703125" customWidth="1"/>
    <col min="11568" max="11568" width="13.28515625" bestFit="1" customWidth="1"/>
    <col min="11569" max="11569" width="7.7109375" bestFit="1" customWidth="1"/>
    <col min="11570" max="11570" width="12.7109375" bestFit="1" customWidth="1"/>
    <col min="11571" max="11571" width="11.7109375" bestFit="1" customWidth="1"/>
    <col min="11572" max="11572" width="11.5703125" bestFit="1" customWidth="1"/>
    <col min="11573" max="11573" width="5.28515625" bestFit="1" customWidth="1"/>
    <col min="11574" max="11574" width="13.28515625" bestFit="1" customWidth="1"/>
    <col min="11575" max="11575" width="13.5703125" bestFit="1" customWidth="1"/>
    <col min="11576" max="11576" width="10.5703125" bestFit="1" customWidth="1"/>
    <col min="11577" max="11577" width="13.28515625" bestFit="1" customWidth="1"/>
    <col min="11578" max="11578" width="11.5703125" bestFit="1" customWidth="1"/>
    <col min="11579" max="11579" width="10.5703125" bestFit="1" customWidth="1"/>
    <col min="11580" max="11580" width="16.140625" bestFit="1" customWidth="1"/>
    <col min="11581" max="11582" width="11.28515625" bestFit="1" customWidth="1"/>
    <col min="11583" max="11583" width="13.28515625" bestFit="1" customWidth="1"/>
    <col min="11584" max="11584" width="7.7109375" bestFit="1" customWidth="1"/>
    <col min="11585" max="11588" width="9.140625" hidden="1" customWidth="1"/>
    <col min="11589" max="11589" width="10.42578125" bestFit="1" customWidth="1"/>
    <col min="11590" max="11590" width="10.5703125" bestFit="1" customWidth="1"/>
    <col min="11591" max="11591" width="10.42578125" bestFit="1" customWidth="1"/>
    <col min="11592" max="11592" width="10.5703125" bestFit="1" customWidth="1"/>
    <col min="11593" max="11593" width="9.5703125" bestFit="1" customWidth="1"/>
    <col min="11594" max="11594" width="11.5703125" bestFit="1" customWidth="1"/>
    <col min="11595" max="11595" width="10.42578125" bestFit="1" customWidth="1"/>
    <col min="11596" max="11596" width="10.85546875" customWidth="1"/>
    <col min="11597" max="11598" width="9.85546875" bestFit="1" customWidth="1"/>
    <col min="11599" max="11599" width="13.5703125" bestFit="1" customWidth="1"/>
    <col min="11600" max="11600" width="7.7109375" bestFit="1" customWidth="1"/>
    <col min="11601" max="11601" width="13.28515625" bestFit="1" customWidth="1"/>
    <col min="11602" max="11602" width="11.5703125" bestFit="1" customWidth="1"/>
    <col min="11603" max="11603" width="10.42578125" bestFit="1" customWidth="1"/>
    <col min="11604" max="11604" width="7.7109375" bestFit="1" customWidth="1"/>
    <col min="11605" max="11605" width="11.5703125" bestFit="1" customWidth="1"/>
    <col min="11606" max="11606" width="10.85546875" bestFit="1" customWidth="1"/>
    <col min="11607" max="11607" width="13.28515625" bestFit="1" customWidth="1"/>
    <col min="11608" max="11608" width="10.85546875" bestFit="1" customWidth="1"/>
    <col min="11609" max="11610" width="7.5703125" bestFit="1" customWidth="1"/>
    <col min="11611" max="11612" width="10.42578125" bestFit="1" customWidth="1"/>
    <col min="11613" max="11613" width="11.5703125" bestFit="1" customWidth="1"/>
    <col min="11614" max="11614" width="5.28515625" bestFit="1" customWidth="1"/>
    <col min="11615" max="11615" width="10.28515625" bestFit="1" customWidth="1"/>
    <col min="11616" max="11616" width="10.42578125" bestFit="1" customWidth="1"/>
    <col min="11617" max="11617" width="11.5703125" bestFit="1" customWidth="1"/>
    <col min="11618" max="11618" width="5.28515625" bestFit="1" customWidth="1"/>
    <col min="11619" max="11621" width="11.5703125" bestFit="1" customWidth="1"/>
    <col min="11622" max="11622" width="5.28515625" bestFit="1" customWidth="1"/>
    <col min="11623" max="11624" width="10.42578125" bestFit="1" customWidth="1"/>
    <col min="11625" max="11625" width="11.5703125" bestFit="1" customWidth="1"/>
    <col min="11626" max="11626" width="5.28515625" bestFit="1" customWidth="1"/>
    <col min="11627" max="11627" width="14.28515625" bestFit="1" customWidth="1"/>
    <col min="11628" max="11628" width="13" bestFit="1" customWidth="1"/>
    <col min="11629" max="11629" width="11.5703125" bestFit="1" customWidth="1"/>
    <col min="11630" max="11630" width="8.85546875" bestFit="1" customWidth="1"/>
    <col min="11631" max="11631" width="14.42578125" bestFit="1" customWidth="1"/>
    <col min="11632" max="11632" width="10.42578125" bestFit="1" customWidth="1"/>
    <col min="11633" max="11633" width="12.28515625" bestFit="1" customWidth="1"/>
    <col min="11634" max="11634" width="13.85546875" bestFit="1" customWidth="1"/>
    <col min="11635" max="11635" width="11.28515625" customWidth="1"/>
    <col min="11636" max="11636" width="11.5703125" customWidth="1"/>
    <col min="11637" max="11637" width="13.42578125" bestFit="1" customWidth="1"/>
    <col min="11638" max="11638" width="10.42578125" customWidth="1"/>
    <col min="11639" max="11639" width="13.85546875" bestFit="1" customWidth="1"/>
    <col min="11640" max="11640" width="15.42578125" bestFit="1" customWidth="1"/>
    <col min="11641" max="11641" width="12.28515625" bestFit="1" customWidth="1"/>
    <col min="11642" max="11642" width="12.7109375" customWidth="1"/>
    <col min="11643" max="11643" width="10.7109375" bestFit="1" customWidth="1"/>
    <col min="11644" max="11644" width="9.85546875" customWidth="1"/>
    <col min="11645" max="11646" width="10.140625" bestFit="1" customWidth="1"/>
    <col min="11647" max="11647" width="7.5703125" bestFit="1" customWidth="1"/>
    <col min="11648" max="11648" width="9.42578125" bestFit="1" customWidth="1"/>
    <col min="11649" max="11649" width="14.5703125" bestFit="1" customWidth="1"/>
    <col min="11650" max="11650" width="14.85546875" customWidth="1"/>
    <col min="11651" max="11651" width="15.140625" bestFit="1" customWidth="1"/>
    <col min="11652" max="11652" width="12.140625" bestFit="1" customWidth="1"/>
    <col min="11653" max="11653" width="14.85546875" bestFit="1" customWidth="1"/>
    <col min="11654" max="11654" width="12.28515625" bestFit="1" customWidth="1"/>
    <col min="11655" max="11663" width="9.140625" hidden="1" customWidth="1"/>
    <col min="11664" max="11664" width="5.28515625" bestFit="1" customWidth="1"/>
    <col min="11665" max="11670" width="11.5703125" bestFit="1" customWidth="1"/>
    <col min="11671" max="11671" width="11.28515625" bestFit="1" customWidth="1"/>
    <col min="11672" max="11672" width="10.140625" bestFit="1" customWidth="1"/>
    <col min="11673" max="11673" width="11.5703125" bestFit="1" customWidth="1"/>
    <col min="11674" max="11674" width="16.140625" customWidth="1"/>
    <col min="11675" max="11675" width="13.42578125" customWidth="1"/>
    <col min="11676" max="11676" width="10.140625" bestFit="1" customWidth="1"/>
    <col min="11677" max="11677" width="12.85546875" bestFit="1" customWidth="1"/>
    <col min="11678" max="11678" width="12.28515625" bestFit="1" customWidth="1"/>
    <col min="11679" max="11679" width="11.28515625" bestFit="1" customWidth="1"/>
    <col min="11680" max="11680" width="11.5703125" bestFit="1" customWidth="1"/>
    <col min="11681" max="11681" width="10.85546875" bestFit="1" customWidth="1"/>
    <col min="11682" max="11682" width="11.28515625" bestFit="1" customWidth="1"/>
    <col min="11683" max="11683" width="10.140625" bestFit="1" customWidth="1"/>
    <col min="11684" max="11684" width="13.28515625" bestFit="1" customWidth="1"/>
    <col min="11685" max="11686" width="12.7109375" bestFit="1" customWidth="1"/>
    <col min="11687" max="11687" width="11" bestFit="1" customWidth="1"/>
    <col min="11688" max="11688" width="11.28515625" bestFit="1" customWidth="1"/>
    <col min="11689" max="11689" width="11.5703125" bestFit="1" customWidth="1"/>
    <col min="11690" max="11690" width="12.28515625" bestFit="1" customWidth="1"/>
    <col min="11691" max="11691" width="15.140625" bestFit="1" customWidth="1"/>
    <col min="11692" max="11692" width="14.42578125" bestFit="1" customWidth="1"/>
    <col min="11693" max="11693" width="12.28515625" bestFit="1" customWidth="1"/>
    <col min="11694" max="11694" width="15.140625" bestFit="1" customWidth="1"/>
    <col min="11695" max="11695" width="14.42578125" bestFit="1" customWidth="1"/>
    <col min="11696" max="11696" width="12.28515625" bestFit="1" customWidth="1"/>
    <col min="11697" max="11697" width="14.42578125" bestFit="1" customWidth="1"/>
    <col min="11698" max="11698" width="11.28515625" bestFit="1" customWidth="1"/>
    <col min="11699" max="11699" width="12.28515625" bestFit="1" customWidth="1"/>
    <col min="11700" max="11700" width="13" bestFit="1" customWidth="1"/>
    <col min="11701" max="11701" width="15.140625" bestFit="1" customWidth="1"/>
    <col min="11702" max="11702" width="12.28515625" bestFit="1" customWidth="1"/>
    <col min="11703" max="11703" width="13.85546875" bestFit="1" customWidth="1"/>
    <col min="11704" max="11704" width="11.28515625" bestFit="1" customWidth="1"/>
    <col min="11705" max="11705" width="12.28515625" bestFit="1" customWidth="1"/>
    <col min="11706" max="11706" width="13.85546875" bestFit="1" customWidth="1"/>
    <col min="11707" max="11708" width="15.140625" bestFit="1" customWidth="1"/>
    <col min="11709" max="11709" width="12.28515625" bestFit="1" customWidth="1"/>
    <col min="11710" max="11710" width="5.7109375" bestFit="1" customWidth="1"/>
    <col min="11711" max="11711" width="8.5703125" bestFit="1" customWidth="1"/>
    <col min="11712" max="11712" width="5.5703125" bestFit="1" customWidth="1"/>
    <col min="11713" max="11713" width="14.42578125" bestFit="1" customWidth="1"/>
    <col min="11714" max="11714" width="11.28515625" bestFit="1" customWidth="1"/>
    <col min="11715" max="11716" width="12.28515625" bestFit="1" customWidth="1"/>
    <col min="11717" max="11717" width="11.28515625" bestFit="1" customWidth="1"/>
    <col min="11718" max="11718" width="13.85546875" bestFit="1" customWidth="1"/>
    <col min="11719" max="11719" width="12" bestFit="1" customWidth="1"/>
    <col min="11720" max="11720" width="13.85546875" bestFit="1" customWidth="1"/>
    <col min="11721" max="11722" width="14.42578125" customWidth="1"/>
    <col min="11723" max="11723" width="10.140625" bestFit="1" customWidth="1"/>
    <col min="11724" max="11724" width="12.28515625" bestFit="1" customWidth="1"/>
    <col min="11725" max="11725" width="7.42578125" bestFit="1" customWidth="1"/>
    <col min="11726" max="11726" width="8.5703125" bestFit="1" customWidth="1"/>
    <col min="11727" max="11727" width="11.5703125" bestFit="1" customWidth="1"/>
    <col min="11728" max="11728" width="13.28515625" bestFit="1" customWidth="1"/>
    <col min="11729" max="11729" width="13.28515625" customWidth="1"/>
    <col min="11730" max="11730" width="13.140625" customWidth="1"/>
    <col min="11731" max="11731" width="12.7109375" bestFit="1" customWidth="1"/>
    <col min="11732" max="11732" width="13.28515625" bestFit="1" customWidth="1"/>
    <col min="11733" max="11735" width="13.28515625" customWidth="1"/>
    <col min="11736" max="11736" width="12.140625" bestFit="1" customWidth="1"/>
    <col min="11737" max="11737" width="12.7109375" bestFit="1" customWidth="1"/>
    <col min="11738" max="11738" width="11" customWidth="1"/>
    <col min="11739" max="11739" width="16.7109375" customWidth="1"/>
    <col min="11740" max="11740" width="17" customWidth="1"/>
    <col min="11741" max="11741" width="10.42578125" bestFit="1" customWidth="1"/>
    <col min="11785" max="11785" width="3.85546875" customWidth="1"/>
    <col min="11786" max="11786" width="15.28515625" bestFit="1" customWidth="1"/>
    <col min="11787" max="11787" width="12.28515625" customWidth="1"/>
    <col min="11788" max="11788" width="16.28515625" bestFit="1" customWidth="1"/>
    <col min="11789" max="11789" width="6.42578125" bestFit="1" customWidth="1"/>
    <col min="11790" max="11790" width="9.28515625" bestFit="1" customWidth="1"/>
    <col min="11791" max="11791" width="7.5703125" bestFit="1" customWidth="1"/>
    <col min="11792" max="11792" width="13.28515625" bestFit="1" customWidth="1"/>
    <col min="11793" max="11793" width="9.28515625" bestFit="1" customWidth="1"/>
    <col min="11794" max="11794" width="11.5703125" bestFit="1" customWidth="1"/>
    <col min="11795" max="11795" width="13.28515625" bestFit="1" customWidth="1"/>
    <col min="11796" max="11796" width="7.140625" bestFit="1" customWidth="1"/>
    <col min="11797" max="11797" width="12" bestFit="1" customWidth="1"/>
    <col min="11798" max="11798" width="13.28515625" bestFit="1" customWidth="1"/>
    <col min="11799" max="11799" width="7" bestFit="1" customWidth="1"/>
    <col min="11800" max="11800" width="12.7109375" bestFit="1" customWidth="1"/>
    <col min="11801" max="11801" width="11.5703125" bestFit="1" customWidth="1"/>
    <col min="11802" max="11802" width="10.5703125" bestFit="1" customWidth="1"/>
    <col min="11803" max="11804" width="15.7109375" bestFit="1" customWidth="1"/>
    <col min="11805" max="11805" width="11.5703125" bestFit="1" customWidth="1"/>
    <col min="11806" max="11806" width="7.7109375" bestFit="1" customWidth="1"/>
    <col min="11807" max="11807" width="15.140625" bestFit="1" customWidth="1"/>
    <col min="11808" max="11808" width="11.5703125" bestFit="1" customWidth="1"/>
    <col min="11809" max="11809" width="13.28515625" bestFit="1" customWidth="1"/>
    <col min="11810" max="11810" width="10.42578125" bestFit="1" customWidth="1"/>
    <col min="11811" max="11811" width="13.28515625" bestFit="1" customWidth="1"/>
    <col min="11812" max="11812" width="12.140625" bestFit="1" customWidth="1"/>
    <col min="11813" max="11813" width="14.42578125" bestFit="1" customWidth="1"/>
    <col min="11814" max="11814" width="13.28515625" bestFit="1" customWidth="1"/>
    <col min="11815" max="11815" width="11.5703125" bestFit="1" customWidth="1"/>
    <col min="11816" max="11816" width="7.7109375" bestFit="1" customWidth="1"/>
    <col min="11817" max="11818" width="14.42578125" bestFit="1" customWidth="1"/>
    <col min="11819" max="11819" width="11.5703125" bestFit="1" customWidth="1"/>
    <col min="11820" max="11820" width="7.7109375" bestFit="1" customWidth="1"/>
    <col min="11821" max="11821" width="13.5703125" customWidth="1"/>
    <col min="11822" max="11822" width="15.28515625" customWidth="1"/>
    <col min="11823" max="11823" width="14.5703125" customWidth="1"/>
    <col min="11824" max="11824" width="13.28515625" bestFit="1" customWidth="1"/>
    <col min="11825" max="11825" width="7.7109375" bestFit="1" customWidth="1"/>
    <col min="11826" max="11826" width="12.7109375" bestFit="1" customWidth="1"/>
    <col min="11827" max="11827" width="11.7109375" bestFit="1" customWidth="1"/>
    <col min="11828" max="11828" width="11.5703125" bestFit="1" customWidth="1"/>
    <col min="11829" max="11829" width="5.28515625" bestFit="1" customWidth="1"/>
    <col min="11830" max="11830" width="13.28515625" bestFit="1" customWidth="1"/>
    <col min="11831" max="11831" width="13.5703125" bestFit="1" customWidth="1"/>
    <col min="11832" max="11832" width="10.5703125" bestFit="1" customWidth="1"/>
    <col min="11833" max="11833" width="13.28515625" bestFit="1" customWidth="1"/>
    <col min="11834" max="11834" width="11.5703125" bestFit="1" customWidth="1"/>
    <col min="11835" max="11835" width="10.5703125" bestFit="1" customWidth="1"/>
    <col min="11836" max="11836" width="16.140625" bestFit="1" customWidth="1"/>
    <col min="11837" max="11838" width="11.28515625" bestFit="1" customWidth="1"/>
    <col min="11839" max="11839" width="13.28515625" bestFit="1" customWidth="1"/>
    <col min="11840" max="11840" width="7.7109375" bestFit="1" customWidth="1"/>
    <col min="11841" max="11844" width="9.140625" hidden="1" customWidth="1"/>
    <col min="11845" max="11845" width="10.42578125" bestFit="1" customWidth="1"/>
    <col min="11846" max="11846" width="10.5703125" bestFit="1" customWidth="1"/>
    <col min="11847" max="11847" width="10.42578125" bestFit="1" customWidth="1"/>
    <col min="11848" max="11848" width="10.5703125" bestFit="1" customWidth="1"/>
    <col min="11849" max="11849" width="9.5703125" bestFit="1" customWidth="1"/>
    <col min="11850" max="11850" width="11.5703125" bestFit="1" customWidth="1"/>
    <col min="11851" max="11851" width="10.42578125" bestFit="1" customWidth="1"/>
    <col min="11852" max="11852" width="10.85546875" customWidth="1"/>
    <col min="11853" max="11854" width="9.85546875" bestFit="1" customWidth="1"/>
    <col min="11855" max="11855" width="13.5703125" bestFit="1" customWidth="1"/>
    <col min="11856" max="11856" width="7.7109375" bestFit="1" customWidth="1"/>
    <col min="11857" max="11857" width="13.28515625" bestFit="1" customWidth="1"/>
    <col min="11858" max="11858" width="11.5703125" bestFit="1" customWidth="1"/>
    <col min="11859" max="11859" width="10.42578125" bestFit="1" customWidth="1"/>
    <col min="11860" max="11860" width="7.7109375" bestFit="1" customWidth="1"/>
    <col min="11861" max="11861" width="11.5703125" bestFit="1" customWidth="1"/>
    <col min="11862" max="11862" width="10.85546875" bestFit="1" customWidth="1"/>
    <col min="11863" max="11863" width="13.28515625" bestFit="1" customWidth="1"/>
    <col min="11864" max="11864" width="10.85546875" bestFit="1" customWidth="1"/>
    <col min="11865" max="11866" width="7.5703125" bestFit="1" customWidth="1"/>
    <col min="11867" max="11868" width="10.42578125" bestFit="1" customWidth="1"/>
    <col min="11869" max="11869" width="11.5703125" bestFit="1" customWidth="1"/>
    <col min="11870" max="11870" width="5.28515625" bestFit="1" customWidth="1"/>
    <col min="11871" max="11871" width="10.28515625" bestFit="1" customWidth="1"/>
    <col min="11872" max="11872" width="10.42578125" bestFit="1" customWidth="1"/>
    <col min="11873" max="11873" width="11.5703125" bestFit="1" customWidth="1"/>
    <col min="11874" max="11874" width="5.28515625" bestFit="1" customWidth="1"/>
    <col min="11875" max="11877" width="11.5703125" bestFit="1" customWidth="1"/>
    <col min="11878" max="11878" width="5.28515625" bestFit="1" customWidth="1"/>
    <col min="11879" max="11880" width="10.42578125" bestFit="1" customWidth="1"/>
    <col min="11881" max="11881" width="11.5703125" bestFit="1" customWidth="1"/>
    <col min="11882" max="11882" width="5.28515625" bestFit="1" customWidth="1"/>
    <col min="11883" max="11883" width="14.28515625" bestFit="1" customWidth="1"/>
    <col min="11884" max="11884" width="13" bestFit="1" customWidth="1"/>
    <col min="11885" max="11885" width="11.5703125" bestFit="1" customWidth="1"/>
    <col min="11886" max="11886" width="8.85546875" bestFit="1" customWidth="1"/>
    <col min="11887" max="11887" width="14.42578125" bestFit="1" customWidth="1"/>
    <col min="11888" max="11888" width="10.42578125" bestFit="1" customWidth="1"/>
    <col min="11889" max="11889" width="12.28515625" bestFit="1" customWidth="1"/>
    <col min="11890" max="11890" width="13.85546875" bestFit="1" customWidth="1"/>
    <col min="11891" max="11891" width="11.28515625" customWidth="1"/>
    <col min="11892" max="11892" width="11.5703125" customWidth="1"/>
    <col min="11893" max="11893" width="13.42578125" bestFit="1" customWidth="1"/>
    <col min="11894" max="11894" width="10.42578125" customWidth="1"/>
    <col min="11895" max="11895" width="13.85546875" bestFit="1" customWidth="1"/>
    <col min="11896" max="11896" width="15.42578125" bestFit="1" customWidth="1"/>
    <col min="11897" max="11897" width="12.28515625" bestFit="1" customWidth="1"/>
    <col min="11898" max="11898" width="12.7109375" customWidth="1"/>
    <col min="11899" max="11899" width="10.7109375" bestFit="1" customWidth="1"/>
    <col min="11900" max="11900" width="9.85546875" customWidth="1"/>
    <col min="11901" max="11902" width="10.140625" bestFit="1" customWidth="1"/>
    <col min="11903" max="11903" width="7.5703125" bestFit="1" customWidth="1"/>
    <col min="11904" max="11904" width="9.42578125" bestFit="1" customWidth="1"/>
    <col min="11905" max="11905" width="14.5703125" bestFit="1" customWidth="1"/>
    <col min="11906" max="11906" width="14.85546875" customWidth="1"/>
    <col min="11907" max="11907" width="15.140625" bestFit="1" customWidth="1"/>
    <col min="11908" max="11908" width="12.140625" bestFit="1" customWidth="1"/>
    <col min="11909" max="11909" width="14.85546875" bestFit="1" customWidth="1"/>
    <col min="11910" max="11910" width="12.28515625" bestFit="1" customWidth="1"/>
    <col min="11911" max="11919" width="9.140625" hidden="1" customWidth="1"/>
    <col min="11920" max="11920" width="5.28515625" bestFit="1" customWidth="1"/>
    <col min="11921" max="11926" width="11.5703125" bestFit="1" customWidth="1"/>
    <col min="11927" max="11927" width="11.28515625" bestFit="1" customWidth="1"/>
    <col min="11928" max="11928" width="10.140625" bestFit="1" customWidth="1"/>
    <col min="11929" max="11929" width="11.5703125" bestFit="1" customWidth="1"/>
    <col min="11930" max="11930" width="16.140625" customWidth="1"/>
    <col min="11931" max="11931" width="13.42578125" customWidth="1"/>
    <col min="11932" max="11932" width="10.140625" bestFit="1" customWidth="1"/>
    <col min="11933" max="11933" width="12.85546875" bestFit="1" customWidth="1"/>
    <col min="11934" max="11934" width="12.28515625" bestFit="1" customWidth="1"/>
    <col min="11935" max="11935" width="11.28515625" bestFit="1" customWidth="1"/>
    <col min="11936" max="11936" width="11.5703125" bestFit="1" customWidth="1"/>
    <col min="11937" max="11937" width="10.85546875" bestFit="1" customWidth="1"/>
    <col min="11938" max="11938" width="11.28515625" bestFit="1" customWidth="1"/>
    <col min="11939" max="11939" width="10.140625" bestFit="1" customWidth="1"/>
    <col min="11940" max="11940" width="13.28515625" bestFit="1" customWidth="1"/>
    <col min="11941" max="11942" width="12.7109375" bestFit="1" customWidth="1"/>
    <col min="11943" max="11943" width="11" bestFit="1" customWidth="1"/>
    <col min="11944" max="11944" width="11.28515625" bestFit="1" customWidth="1"/>
    <col min="11945" max="11945" width="11.5703125" bestFit="1" customWidth="1"/>
    <col min="11946" max="11946" width="12.28515625" bestFit="1" customWidth="1"/>
    <col min="11947" max="11947" width="15.140625" bestFit="1" customWidth="1"/>
    <col min="11948" max="11948" width="14.42578125" bestFit="1" customWidth="1"/>
    <col min="11949" max="11949" width="12.28515625" bestFit="1" customWidth="1"/>
    <col min="11950" max="11950" width="15.140625" bestFit="1" customWidth="1"/>
    <col min="11951" max="11951" width="14.42578125" bestFit="1" customWidth="1"/>
    <col min="11952" max="11952" width="12.28515625" bestFit="1" customWidth="1"/>
    <col min="11953" max="11953" width="14.42578125" bestFit="1" customWidth="1"/>
    <col min="11954" max="11954" width="11.28515625" bestFit="1" customWidth="1"/>
    <col min="11955" max="11955" width="12.28515625" bestFit="1" customWidth="1"/>
    <col min="11956" max="11956" width="13" bestFit="1" customWidth="1"/>
    <col min="11957" max="11957" width="15.140625" bestFit="1" customWidth="1"/>
    <col min="11958" max="11958" width="12.28515625" bestFit="1" customWidth="1"/>
    <col min="11959" max="11959" width="13.85546875" bestFit="1" customWidth="1"/>
    <col min="11960" max="11960" width="11.28515625" bestFit="1" customWidth="1"/>
    <col min="11961" max="11961" width="12.28515625" bestFit="1" customWidth="1"/>
    <col min="11962" max="11962" width="13.85546875" bestFit="1" customWidth="1"/>
    <col min="11963" max="11964" width="15.140625" bestFit="1" customWidth="1"/>
    <col min="11965" max="11965" width="12.28515625" bestFit="1" customWidth="1"/>
    <col min="11966" max="11966" width="5.7109375" bestFit="1" customWidth="1"/>
    <col min="11967" max="11967" width="8.5703125" bestFit="1" customWidth="1"/>
    <col min="11968" max="11968" width="5.5703125" bestFit="1" customWidth="1"/>
    <col min="11969" max="11969" width="14.42578125" bestFit="1" customWidth="1"/>
    <col min="11970" max="11970" width="11.28515625" bestFit="1" customWidth="1"/>
    <col min="11971" max="11972" width="12.28515625" bestFit="1" customWidth="1"/>
    <col min="11973" max="11973" width="11.28515625" bestFit="1" customWidth="1"/>
    <col min="11974" max="11974" width="13.85546875" bestFit="1" customWidth="1"/>
    <col min="11975" max="11975" width="12" bestFit="1" customWidth="1"/>
    <col min="11976" max="11976" width="13.85546875" bestFit="1" customWidth="1"/>
    <col min="11977" max="11978" width="14.42578125" customWidth="1"/>
    <col min="11979" max="11979" width="10.140625" bestFit="1" customWidth="1"/>
    <col min="11980" max="11980" width="12.28515625" bestFit="1" customWidth="1"/>
    <col min="11981" max="11981" width="7.42578125" bestFit="1" customWidth="1"/>
    <col min="11982" max="11982" width="8.5703125" bestFit="1" customWidth="1"/>
    <col min="11983" max="11983" width="11.5703125" bestFit="1" customWidth="1"/>
    <col min="11984" max="11984" width="13.28515625" bestFit="1" customWidth="1"/>
    <col min="11985" max="11985" width="13.28515625" customWidth="1"/>
    <col min="11986" max="11986" width="13.140625" customWidth="1"/>
    <col min="11987" max="11987" width="12.7109375" bestFit="1" customWidth="1"/>
    <col min="11988" max="11988" width="13.28515625" bestFit="1" customWidth="1"/>
    <col min="11989" max="11991" width="13.28515625" customWidth="1"/>
    <col min="11992" max="11992" width="12.140625" bestFit="1" customWidth="1"/>
    <col min="11993" max="11993" width="12.7109375" bestFit="1" customWidth="1"/>
    <col min="11994" max="11994" width="11" customWidth="1"/>
    <col min="11995" max="11995" width="16.7109375" customWidth="1"/>
    <col min="11996" max="11996" width="17" customWidth="1"/>
    <col min="11997" max="11997" width="10.42578125" bestFit="1" customWidth="1"/>
    <col min="12041" max="12041" width="3.85546875" customWidth="1"/>
    <col min="12042" max="12042" width="15.28515625" bestFit="1" customWidth="1"/>
    <col min="12043" max="12043" width="12.28515625" customWidth="1"/>
    <col min="12044" max="12044" width="16.28515625" bestFit="1" customWidth="1"/>
    <col min="12045" max="12045" width="6.42578125" bestFit="1" customWidth="1"/>
    <col min="12046" max="12046" width="9.28515625" bestFit="1" customWidth="1"/>
    <col min="12047" max="12047" width="7.5703125" bestFit="1" customWidth="1"/>
    <col min="12048" max="12048" width="13.28515625" bestFit="1" customWidth="1"/>
    <col min="12049" max="12049" width="9.28515625" bestFit="1" customWidth="1"/>
    <col min="12050" max="12050" width="11.5703125" bestFit="1" customWidth="1"/>
    <col min="12051" max="12051" width="13.28515625" bestFit="1" customWidth="1"/>
    <col min="12052" max="12052" width="7.140625" bestFit="1" customWidth="1"/>
    <col min="12053" max="12053" width="12" bestFit="1" customWidth="1"/>
    <col min="12054" max="12054" width="13.28515625" bestFit="1" customWidth="1"/>
    <col min="12055" max="12055" width="7" bestFit="1" customWidth="1"/>
    <col min="12056" max="12056" width="12.7109375" bestFit="1" customWidth="1"/>
    <col min="12057" max="12057" width="11.5703125" bestFit="1" customWidth="1"/>
    <col min="12058" max="12058" width="10.5703125" bestFit="1" customWidth="1"/>
    <col min="12059" max="12060" width="15.7109375" bestFit="1" customWidth="1"/>
    <col min="12061" max="12061" width="11.5703125" bestFit="1" customWidth="1"/>
    <col min="12062" max="12062" width="7.7109375" bestFit="1" customWidth="1"/>
    <col min="12063" max="12063" width="15.140625" bestFit="1" customWidth="1"/>
    <col min="12064" max="12064" width="11.5703125" bestFit="1" customWidth="1"/>
    <col min="12065" max="12065" width="13.28515625" bestFit="1" customWidth="1"/>
    <col min="12066" max="12066" width="10.42578125" bestFit="1" customWidth="1"/>
    <col min="12067" max="12067" width="13.28515625" bestFit="1" customWidth="1"/>
    <col min="12068" max="12068" width="12.140625" bestFit="1" customWidth="1"/>
    <col min="12069" max="12069" width="14.42578125" bestFit="1" customWidth="1"/>
    <col min="12070" max="12070" width="13.28515625" bestFit="1" customWidth="1"/>
    <col min="12071" max="12071" width="11.5703125" bestFit="1" customWidth="1"/>
    <col min="12072" max="12072" width="7.7109375" bestFit="1" customWidth="1"/>
    <col min="12073" max="12074" width="14.42578125" bestFit="1" customWidth="1"/>
    <col min="12075" max="12075" width="11.5703125" bestFit="1" customWidth="1"/>
    <col min="12076" max="12076" width="7.7109375" bestFit="1" customWidth="1"/>
    <col min="12077" max="12077" width="13.5703125" customWidth="1"/>
    <col min="12078" max="12078" width="15.28515625" customWidth="1"/>
    <col min="12079" max="12079" width="14.5703125" customWidth="1"/>
    <col min="12080" max="12080" width="13.28515625" bestFit="1" customWidth="1"/>
    <col min="12081" max="12081" width="7.7109375" bestFit="1" customWidth="1"/>
    <col min="12082" max="12082" width="12.7109375" bestFit="1" customWidth="1"/>
    <col min="12083" max="12083" width="11.7109375" bestFit="1" customWidth="1"/>
    <col min="12084" max="12084" width="11.5703125" bestFit="1" customWidth="1"/>
    <col min="12085" max="12085" width="5.28515625" bestFit="1" customWidth="1"/>
    <col min="12086" max="12086" width="13.28515625" bestFit="1" customWidth="1"/>
    <col min="12087" max="12087" width="13.5703125" bestFit="1" customWidth="1"/>
    <col min="12088" max="12088" width="10.5703125" bestFit="1" customWidth="1"/>
    <col min="12089" max="12089" width="13.28515625" bestFit="1" customWidth="1"/>
    <col min="12090" max="12090" width="11.5703125" bestFit="1" customWidth="1"/>
    <col min="12091" max="12091" width="10.5703125" bestFit="1" customWidth="1"/>
    <col min="12092" max="12092" width="16.140625" bestFit="1" customWidth="1"/>
    <col min="12093" max="12094" width="11.28515625" bestFit="1" customWidth="1"/>
    <col min="12095" max="12095" width="13.28515625" bestFit="1" customWidth="1"/>
    <col min="12096" max="12096" width="7.7109375" bestFit="1" customWidth="1"/>
    <col min="12097" max="12100" width="9.140625" hidden="1" customWidth="1"/>
    <col min="12101" max="12101" width="10.42578125" bestFit="1" customWidth="1"/>
    <col min="12102" max="12102" width="10.5703125" bestFit="1" customWidth="1"/>
    <col min="12103" max="12103" width="10.42578125" bestFit="1" customWidth="1"/>
    <col min="12104" max="12104" width="10.5703125" bestFit="1" customWidth="1"/>
    <col min="12105" max="12105" width="9.5703125" bestFit="1" customWidth="1"/>
    <col min="12106" max="12106" width="11.5703125" bestFit="1" customWidth="1"/>
    <col min="12107" max="12107" width="10.42578125" bestFit="1" customWidth="1"/>
    <col min="12108" max="12108" width="10.85546875" customWidth="1"/>
    <col min="12109" max="12110" width="9.85546875" bestFit="1" customWidth="1"/>
    <col min="12111" max="12111" width="13.5703125" bestFit="1" customWidth="1"/>
    <col min="12112" max="12112" width="7.7109375" bestFit="1" customWidth="1"/>
    <col min="12113" max="12113" width="13.28515625" bestFit="1" customWidth="1"/>
    <col min="12114" max="12114" width="11.5703125" bestFit="1" customWidth="1"/>
    <col min="12115" max="12115" width="10.42578125" bestFit="1" customWidth="1"/>
    <col min="12116" max="12116" width="7.7109375" bestFit="1" customWidth="1"/>
    <col min="12117" max="12117" width="11.5703125" bestFit="1" customWidth="1"/>
    <col min="12118" max="12118" width="10.85546875" bestFit="1" customWidth="1"/>
    <col min="12119" max="12119" width="13.28515625" bestFit="1" customWidth="1"/>
    <col min="12120" max="12120" width="10.85546875" bestFit="1" customWidth="1"/>
    <col min="12121" max="12122" width="7.5703125" bestFit="1" customWidth="1"/>
    <col min="12123" max="12124" width="10.42578125" bestFit="1" customWidth="1"/>
    <col min="12125" max="12125" width="11.5703125" bestFit="1" customWidth="1"/>
    <col min="12126" max="12126" width="5.28515625" bestFit="1" customWidth="1"/>
    <col min="12127" max="12127" width="10.28515625" bestFit="1" customWidth="1"/>
    <col min="12128" max="12128" width="10.42578125" bestFit="1" customWidth="1"/>
    <col min="12129" max="12129" width="11.5703125" bestFit="1" customWidth="1"/>
    <col min="12130" max="12130" width="5.28515625" bestFit="1" customWidth="1"/>
    <col min="12131" max="12133" width="11.5703125" bestFit="1" customWidth="1"/>
    <col min="12134" max="12134" width="5.28515625" bestFit="1" customWidth="1"/>
    <col min="12135" max="12136" width="10.42578125" bestFit="1" customWidth="1"/>
    <col min="12137" max="12137" width="11.5703125" bestFit="1" customWidth="1"/>
    <col min="12138" max="12138" width="5.28515625" bestFit="1" customWidth="1"/>
    <col min="12139" max="12139" width="14.28515625" bestFit="1" customWidth="1"/>
    <col min="12140" max="12140" width="13" bestFit="1" customWidth="1"/>
    <col min="12141" max="12141" width="11.5703125" bestFit="1" customWidth="1"/>
    <col min="12142" max="12142" width="8.85546875" bestFit="1" customWidth="1"/>
    <col min="12143" max="12143" width="14.42578125" bestFit="1" customWidth="1"/>
    <col min="12144" max="12144" width="10.42578125" bestFit="1" customWidth="1"/>
    <col min="12145" max="12145" width="12.28515625" bestFit="1" customWidth="1"/>
    <col min="12146" max="12146" width="13.85546875" bestFit="1" customWidth="1"/>
    <col min="12147" max="12147" width="11.28515625" customWidth="1"/>
    <col min="12148" max="12148" width="11.5703125" customWidth="1"/>
    <col min="12149" max="12149" width="13.42578125" bestFit="1" customWidth="1"/>
    <col min="12150" max="12150" width="10.42578125" customWidth="1"/>
    <col min="12151" max="12151" width="13.85546875" bestFit="1" customWidth="1"/>
    <col min="12152" max="12152" width="15.42578125" bestFit="1" customWidth="1"/>
    <col min="12153" max="12153" width="12.28515625" bestFit="1" customWidth="1"/>
    <col min="12154" max="12154" width="12.7109375" customWidth="1"/>
    <col min="12155" max="12155" width="10.7109375" bestFit="1" customWidth="1"/>
    <col min="12156" max="12156" width="9.85546875" customWidth="1"/>
    <col min="12157" max="12158" width="10.140625" bestFit="1" customWidth="1"/>
    <col min="12159" max="12159" width="7.5703125" bestFit="1" customWidth="1"/>
    <col min="12160" max="12160" width="9.42578125" bestFit="1" customWidth="1"/>
    <col min="12161" max="12161" width="14.5703125" bestFit="1" customWidth="1"/>
    <col min="12162" max="12162" width="14.85546875" customWidth="1"/>
    <col min="12163" max="12163" width="15.140625" bestFit="1" customWidth="1"/>
    <col min="12164" max="12164" width="12.140625" bestFit="1" customWidth="1"/>
    <col min="12165" max="12165" width="14.85546875" bestFit="1" customWidth="1"/>
    <col min="12166" max="12166" width="12.28515625" bestFit="1" customWidth="1"/>
    <col min="12167" max="12175" width="9.140625" hidden="1" customWidth="1"/>
    <col min="12176" max="12176" width="5.28515625" bestFit="1" customWidth="1"/>
    <col min="12177" max="12182" width="11.5703125" bestFit="1" customWidth="1"/>
    <col min="12183" max="12183" width="11.28515625" bestFit="1" customWidth="1"/>
    <col min="12184" max="12184" width="10.140625" bestFit="1" customWidth="1"/>
    <col min="12185" max="12185" width="11.5703125" bestFit="1" customWidth="1"/>
    <col min="12186" max="12186" width="16.140625" customWidth="1"/>
    <col min="12187" max="12187" width="13.42578125" customWidth="1"/>
    <col min="12188" max="12188" width="10.140625" bestFit="1" customWidth="1"/>
    <col min="12189" max="12189" width="12.85546875" bestFit="1" customWidth="1"/>
    <col min="12190" max="12190" width="12.28515625" bestFit="1" customWidth="1"/>
    <col min="12191" max="12191" width="11.28515625" bestFit="1" customWidth="1"/>
    <col min="12192" max="12192" width="11.5703125" bestFit="1" customWidth="1"/>
    <col min="12193" max="12193" width="10.85546875" bestFit="1" customWidth="1"/>
    <col min="12194" max="12194" width="11.28515625" bestFit="1" customWidth="1"/>
    <col min="12195" max="12195" width="10.140625" bestFit="1" customWidth="1"/>
    <col min="12196" max="12196" width="13.28515625" bestFit="1" customWidth="1"/>
    <col min="12197" max="12198" width="12.7109375" bestFit="1" customWidth="1"/>
    <col min="12199" max="12199" width="11" bestFit="1" customWidth="1"/>
    <col min="12200" max="12200" width="11.28515625" bestFit="1" customWidth="1"/>
    <col min="12201" max="12201" width="11.5703125" bestFit="1" customWidth="1"/>
    <col min="12202" max="12202" width="12.28515625" bestFit="1" customWidth="1"/>
    <col min="12203" max="12203" width="15.140625" bestFit="1" customWidth="1"/>
    <col min="12204" max="12204" width="14.42578125" bestFit="1" customWidth="1"/>
    <col min="12205" max="12205" width="12.28515625" bestFit="1" customWidth="1"/>
    <col min="12206" max="12206" width="15.140625" bestFit="1" customWidth="1"/>
    <col min="12207" max="12207" width="14.42578125" bestFit="1" customWidth="1"/>
    <col min="12208" max="12208" width="12.28515625" bestFit="1" customWidth="1"/>
    <col min="12209" max="12209" width="14.42578125" bestFit="1" customWidth="1"/>
    <col min="12210" max="12210" width="11.28515625" bestFit="1" customWidth="1"/>
    <col min="12211" max="12211" width="12.28515625" bestFit="1" customWidth="1"/>
    <col min="12212" max="12212" width="13" bestFit="1" customWidth="1"/>
    <col min="12213" max="12213" width="15.140625" bestFit="1" customWidth="1"/>
    <col min="12214" max="12214" width="12.28515625" bestFit="1" customWidth="1"/>
    <col min="12215" max="12215" width="13.85546875" bestFit="1" customWidth="1"/>
    <col min="12216" max="12216" width="11.28515625" bestFit="1" customWidth="1"/>
    <col min="12217" max="12217" width="12.28515625" bestFit="1" customWidth="1"/>
    <col min="12218" max="12218" width="13.85546875" bestFit="1" customWidth="1"/>
    <col min="12219" max="12220" width="15.140625" bestFit="1" customWidth="1"/>
    <col min="12221" max="12221" width="12.28515625" bestFit="1" customWidth="1"/>
    <col min="12222" max="12222" width="5.7109375" bestFit="1" customWidth="1"/>
    <col min="12223" max="12223" width="8.5703125" bestFit="1" customWidth="1"/>
    <col min="12224" max="12224" width="5.5703125" bestFit="1" customWidth="1"/>
    <col min="12225" max="12225" width="14.42578125" bestFit="1" customWidth="1"/>
    <col min="12226" max="12226" width="11.28515625" bestFit="1" customWidth="1"/>
    <col min="12227" max="12228" width="12.28515625" bestFit="1" customWidth="1"/>
    <col min="12229" max="12229" width="11.28515625" bestFit="1" customWidth="1"/>
    <col min="12230" max="12230" width="13.85546875" bestFit="1" customWidth="1"/>
    <col min="12231" max="12231" width="12" bestFit="1" customWidth="1"/>
    <col min="12232" max="12232" width="13.85546875" bestFit="1" customWidth="1"/>
    <col min="12233" max="12234" width="14.42578125" customWidth="1"/>
    <col min="12235" max="12235" width="10.140625" bestFit="1" customWidth="1"/>
    <col min="12236" max="12236" width="12.28515625" bestFit="1" customWidth="1"/>
    <col min="12237" max="12237" width="7.42578125" bestFit="1" customWidth="1"/>
    <col min="12238" max="12238" width="8.5703125" bestFit="1" customWidth="1"/>
    <col min="12239" max="12239" width="11.5703125" bestFit="1" customWidth="1"/>
    <col min="12240" max="12240" width="13.28515625" bestFit="1" customWidth="1"/>
    <col min="12241" max="12241" width="13.28515625" customWidth="1"/>
    <col min="12242" max="12242" width="13.140625" customWidth="1"/>
    <col min="12243" max="12243" width="12.7109375" bestFit="1" customWidth="1"/>
    <col min="12244" max="12244" width="13.28515625" bestFit="1" customWidth="1"/>
    <col min="12245" max="12247" width="13.28515625" customWidth="1"/>
    <col min="12248" max="12248" width="12.140625" bestFit="1" customWidth="1"/>
    <col min="12249" max="12249" width="12.7109375" bestFit="1" customWidth="1"/>
    <col min="12250" max="12250" width="11" customWidth="1"/>
    <col min="12251" max="12251" width="16.7109375" customWidth="1"/>
    <col min="12252" max="12252" width="17" customWidth="1"/>
    <col min="12253" max="12253" width="10.42578125" bestFit="1" customWidth="1"/>
    <col min="12297" max="12297" width="3.85546875" customWidth="1"/>
    <col min="12298" max="12298" width="15.28515625" bestFit="1" customWidth="1"/>
    <col min="12299" max="12299" width="12.28515625" customWidth="1"/>
    <col min="12300" max="12300" width="16.28515625" bestFit="1" customWidth="1"/>
    <col min="12301" max="12301" width="6.42578125" bestFit="1" customWidth="1"/>
    <col min="12302" max="12302" width="9.28515625" bestFit="1" customWidth="1"/>
    <col min="12303" max="12303" width="7.5703125" bestFit="1" customWidth="1"/>
    <col min="12304" max="12304" width="13.28515625" bestFit="1" customWidth="1"/>
    <col min="12305" max="12305" width="9.28515625" bestFit="1" customWidth="1"/>
    <col min="12306" max="12306" width="11.5703125" bestFit="1" customWidth="1"/>
    <col min="12307" max="12307" width="13.28515625" bestFit="1" customWidth="1"/>
    <col min="12308" max="12308" width="7.140625" bestFit="1" customWidth="1"/>
    <col min="12309" max="12309" width="12" bestFit="1" customWidth="1"/>
    <col min="12310" max="12310" width="13.28515625" bestFit="1" customWidth="1"/>
    <col min="12311" max="12311" width="7" bestFit="1" customWidth="1"/>
    <col min="12312" max="12312" width="12.7109375" bestFit="1" customWidth="1"/>
    <col min="12313" max="12313" width="11.5703125" bestFit="1" customWidth="1"/>
    <col min="12314" max="12314" width="10.5703125" bestFit="1" customWidth="1"/>
    <col min="12315" max="12316" width="15.7109375" bestFit="1" customWidth="1"/>
    <col min="12317" max="12317" width="11.5703125" bestFit="1" customWidth="1"/>
    <col min="12318" max="12318" width="7.7109375" bestFit="1" customWidth="1"/>
    <col min="12319" max="12319" width="15.140625" bestFit="1" customWidth="1"/>
    <col min="12320" max="12320" width="11.5703125" bestFit="1" customWidth="1"/>
    <col min="12321" max="12321" width="13.28515625" bestFit="1" customWidth="1"/>
    <col min="12322" max="12322" width="10.42578125" bestFit="1" customWidth="1"/>
    <col min="12323" max="12323" width="13.28515625" bestFit="1" customWidth="1"/>
    <col min="12324" max="12324" width="12.140625" bestFit="1" customWidth="1"/>
    <col min="12325" max="12325" width="14.42578125" bestFit="1" customWidth="1"/>
    <col min="12326" max="12326" width="13.28515625" bestFit="1" customWidth="1"/>
    <col min="12327" max="12327" width="11.5703125" bestFit="1" customWidth="1"/>
    <col min="12328" max="12328" width="7.7109375" bestFit="1" customWidth="1"/>
    <col min="12329" max="12330" width="14.42578125" bestFit="1" customWidth="1"/>
    <col min="12331" max="12331" width="11.5703125" bestFit="1" customWidth="1"/>
    <col min="12332" max="12332" width="7.7109375" bestFit="1" customWidth="1"/>
    <col min="12333" max="12333" width="13.5703125" customWidth="1"/>
    <col min="12334" max="12334" width="15.28515625" customWidth="1"/>
    <col min="12335" max="12335" width="14.5703125" customWidth="1"/>
    <col min="12336" max="12336" width="13.28515625" bestFit="1" customWidth="1"/>
    <col min="12337" max="12337" width="7.7109375" bestFit="1" customWidth="1"/>
    <col min="12338" max="12338" width="12.7109375" bestFit="1" customWidth="1"/>
    <col min="12339" max="12339" width="11.7109375" bestFit="1" customWidth="1"/>
    <col min="12340" max="12340" width="11.5703125" bestFit="1" customWidth="1"/>
    <col min="12341" max="12341" width="5.28515625" bestFit="1" customWidth="1"/>
    <col min="12342" max="12342" width="13.28515625" bestFit="1" customWidth="1"/>
    <col min="12343" max="12343" width="13.5703125" bestFit="1" customWidth="1"/>
    <col min="12344" max="12344" width="10.5703125" bestFit="1" customWidth="1"/>
    <col min="12345" max="12345" width="13.28515625" bestFit="1" customWidth="1"/>
    <col min="12346" max="12346" width="11.5703125" bestFit="1" customWidth="1"/>
    <col min="12347" max="12347" width="10.5703125" bestFit="1" customWidth="1"/>
    <col min="12348" max="12348" width="16.140625" bestFit="1" customWidth="1"/>
    <col min="12349" max="12350" width="11.28515625" bestFit="1" customWidth="1"/>
    <col min="12351" max="12351" width="13.28515625" bestFit="1" customWidth="1"/>
    <col min="12352" max="12352" width="7.7109375" bestFit="1" customWidth="1"/>
    <col min="12353" max="12356" width="9.140625" hidden="1" customWidth="1"/>
    <col min="12357" max="12357" width="10.42578125" bestFit="1" customWidth="1"/>
    <col min="12358" max="12358" width="10.5703125" bestFit="1" customWidth="1"/>
    <col min="12359" max="12359" width="10.42578125" bestFit="1" customWidth="1"/>
    <col min="12360" max="12360" width="10.5703125" bestFit="1" customWidth="1"/>
    <col min="12361" max="12361" width="9.5703125" bestFit="1" customWidth="1"/>
    <col min="12362" max="12362" width="11.5703125" bestFit="1" customWidth="1"/>
    <col min="12363" max="12363" width="10.42578125" bestFit="1" customWidth="1"/>
    <col min="12364" max="12364" width="10.85546875" customWidth="1"/>
    <col min="12365" max="12366" width="9.85546875" bestFit="1" customWidth="1"/>
    <col min="12367" max="12367" width="13.5703125" bestFit="1" customWidth="1"/>
    <col min="12368" max="12368" width="7.7109375" bestFit="1" customWidth="1"/>
    <col min="12369" max="12369" width="13.28515625" bestFit="1" customWidth="1"/>
    <col min="12370" max="12370" width="11.5703125" bestFit="1" customWidth="1"/>
    <col min="12371" max="12371" width="10.42578125" bestFit="1" customWidth="1"/>
    <col min="12372" max="12372" width="7.7109375" bestFit="1" customWidth="1"/>
    <col min="12373" max="12373" width="11.5703125" bestFit="1" customWidth="1"/>
    <col min="12374" max="12374" width="10.85546875" bestFit="1" customWidth="1"/>
    <col min="12375" max="12375" width="13.28515625" bestFit="1" customWidth="1"/>
    <col min="12376" max="12376" width="10.85546875" bestFit="1" customWidth="1"/>
    <col min="12377" max="12378" width="7.5703125" bestFit="1" customWidth="1"/>
    <col min="12379" max="12380" width="10.42578125" bestFit="1" customWidth="1"/>
    <col min="12381" max="12381" width="11.5703125" bestFit="1" customWidth="1"/>
    <col min="12382" max="12382" width="5.28515625" bestFit="1" customWidth="1"/>
    <col min="12383" max="12383" width="10.28515625" bestFit="1" customWidth="1"/>
    <col min="12384" max="12384" width="10.42578125" bestFit="1" customWidth="1"/>
    <col min="12385" max="12385" width="11.5703125" bestFit="1" customWidth="1"/>
    <col min="12386" max="12386" width="5.28515625" bestFit="1" customWidth="1"/>
    <col min="12387" max="12389" width="11.5703125" bestFit="1" customWidth="1"/>
    <col min="12390" max="12390" width="5.28515625" bestFit="1" customWidth="1"/>
    <col min="12391" max="12392" width="10.42578125" bestFit="1" customWidth="1"/>
    <col min="12393" max="12393" width="11.5703125" bestFit="1" customWidth="1"/>
    <col min="12394" max="12394" width="5.28515625" bestFit="1" customWidth="1"/>
    <col min="12395" max="12395" width="14.28515625" bestFit="1" customWidth="1"/>
    <col min="12396" max="12396" width="13" bestFit="1" customWidth="1"/>
    <col min="12397" max="12397" width="11.5703125" bestFit="1" customWidth="1"/>
    <col min="12398" max="12398" width="8.85546875" bestFit="1" customWidth="1"/>
    <col min="12399" max="12399" width="14.42578125" bestFit="1" customWidth="1"/>
    <col min="12400" max="12400" width="10.42578125" bestFit="1" customWidth="1"/>
    <col min="12401" max="12401" width="12.28515625" bestFit="1" customWidth="1"/>
    <col min="12402" max="12402" width="13.85546875" bestFit="1" customWidth="1"/>
    <col min="12403" max="12403" width="11.28515625" customWidth="1"/>
    <col min="12404" max="12404" width="11.5703125" customWidth="1"/>
    <col min="12405" max="12405" width="13.42578125" bestFit="1" customWidth="1"/>
    <col min="12406" max="12406" width="10.42578125" customWidth="1"/>
    <col min="12407" max="12407" width="13.85546875" bestFit="1" customWidth="1"/>
    <col min="12408" max="12408" width="15.42578125" bestFit="1" customWidth="1"/>
    <col min="12409" max="12409" width="12.28515625" bestFit="1" customWidth="1"/>
    <col min="12410" max="12410" width="12.7109375" customWidth="1"/>
    <col min="12411" max="12411" width="10.7109375" bestFit="1" customWidth="1"/>
    <col min="12412" max="12412" width="9.85546875" customWidth="1"/>
    <col min="12413" max="12414" width="10.140625" bestFit="1" customWidth="1"/>
    <col min="12415" max="12415" width="7.5703125" bestFit="1" customWidth="1"/>
    <col min="12416" max="12416" width="9.42578125" bestFit="1" customWidth="1"/>
    <col min="12417" max="12417" width="14.5703125" bestFit="1" customWidth="1"/>
    <col min="12418" max="12418" width="14.85546875" customWidth="1"/>
    <col min="12419" max="12419" width="15.140625" bestFit="1" customWidth="1"/>
    <col min="12420" max="12420" width="12.140625" bestFit="1" customWidth="1"/>
    <col min="12421" max="12421" width="14.85546875" bestFit="1" customWidth="1"/>
    <col min="12422" max="12422" width="12.28515625" bestFit="1" customWidth="1"/>
    <col min="12423" max="12431" width="9.140625" hidden="1" customWidth="1"/>
    <col min="12432" max="12432" width="5.28515625" bestFit="1" customWidth="1"/>
    <col min="12433" max="12438" width="11.5703125" bestFit="1" customWidth="1"/>
    <col min="12439" max="12439" width="11.28515625" bestFit="1" customWidth="1"/>
    <col min="12440" max="12440" width="10.140625" bestFit="1" customWidth="1"/>
    <col min="12441" max="12441" width="11.5703125" bestFit="1" customWidth="1"/>
    <col min="12442" max="12442" width="16.140625" customWidth="1"/>
    <col min="12443" max="12443" width="13.42578125" customWidth="1"/>
    <col min="12444" max="12444" width="10.140625" bestFit="1" customWidth="1"/>
    <col min="12445" max="12445" width="12.85546875" bestFit="1" customWidth="1"/>
    <col min="12446" max="12446" width="12.28515625" bestFit="1" customWidth="1"/>
    <col min="12447" max="12447" width="11.28515625" bestFit="1" customWidth="1"/>
    <col min="12448" max="12448" width="11.5703125" bestFit="1" customWidth="1"/>
    <col min="12449" max="12449" width="10.85546875" bestFit="1" customWidth="1"/>
    <col min="12450" max="12450" width="11.28515625" bestFit="1" customWidth="1"/>
    <col min="12451" max="12451" width="10.140625" bestFit="1" customWidth="1"/>
    <col min="12452" max="12452" width="13.28515625" bestFit="1" customWidth="1"/>
    <col min="12453" max="12454" width="12.7109375" bestFit="1" customWidth="1"/>
    <col min="12455" max="12455" width="11" bestFit="1" customWidth="1"/>
    <col min="12456" max="12456" width="11.28515625" bestFit="1" customWidth="1"/>
    <col min="12457" max="12457" width="11.5703125" bestFit="1" customWidth="1"/>
    <col min="12458" max="12458" width="12.28515625" bestFit="1" customWidth="1"/>
    <col min="12459" max="12459" width="15.140625" bestFit="1" customWidth="1"/>
    <col min="12460" max="12460" width="14.42578125" bestFit="1" customWidth="1"/>
    <col min="12461" max="12461" width="12.28515625" bestFit="1" customWidth="1"/>
    <col min="12462" max="12462" width="15.140625" bestFit="1" customWidth="1"/>
    <col min="12463" max="12463" width="14.42578125" bestFit="1" customWidth="1"/>
    <col min="12464" max="12464" width="12.28515625" bestFit="1" customWidth="1"/>
    <col min="12465" max="12465" width="14.42578125" bestFit="1" customWidth="1"/>
    <col min="12466" max="12466" width="11.28515625" bestFit="1" customWidth="1"/>
    <col min="12467" max="12467" width="12.28515625" bestFit="1" customWidth="1"/>
    <col min="12468" max="12468" width="13" bestFit="1" customWidth="1"/>
    <col min="12469" max="12469" width="15.140625" bestFit="1" customWidth="1"/>
    <col min="12470" max="12470" width="12.28515625" bestFit="1" customWidth="1"/>
    <col min="12471" max="12471" width="13.85546875" bestFit="1" customWidth="1"/>
    <col min="12472" max="12472" width="11.28515625" bestFit="1" customWidth="1"/>
    <col min="12473" max="12473" width="12.28515625" bestFit="1" customWidth="1"/>
    <col min="12474" max="12474" width="13.85546875" bestFit="1" customWidth="1"/>
    <col min="12475" max="12476" width="15.140625" bestFit="1" customWidth="1"/>
    <col min="12477" max="12477" width="12.28515625" bestFit="1" customWidth="1"/>
    <col min="12478" max="12478" width="5.7109375" bestFit="1" customWidth="1"/>
    <col min="12479" max="12479" width="8.5703125" bestFit="1" customWidth="1"/>
    <col min="12480" max="12480" width="5.5703125" bestFit="1" customWidth="1"/>
    <col min="12481" max="12481" width="14.42578125" bestFit="1" customWidth="1"/>
    <col min="12482" max="12482" width="11.28515625" bestFit="1" customWidth="1"/>
    <col min="12483" max="12484" width="12.28515625" bestFit="1" customWidth="1"/>
    <col min="12485" max="12485" width="11.28515625" bestFit="1" customWidth="1"/>
    <col min="12486" max="12486" width="13.85546875" bestFit="1" customWidth="1"/>
    <col min="12487" max="12487" width="12" bestFit="1" customWidth="1"/>
    <col min="12488" max="12488" width="13.85546875" bestFit="1" customWidth="1"/>
    <col min="12489" max="12490" width="14.42578125" customWidth="1"/>
    <col min="12491" max="12491" width="10.140625" bestFit="1" customWidth="1"/>
    <col min="12492" max="12492" width="12.28515625" bestFit="1" customWidth="1"/>
    <col min="12493" max="12493" width="7.42578125" bestFit="1" customWidth="1"/>
    <col min="12494" max="12494" width="8.5703125" bestFit="1" customWidth="1"/>
    <col min="12495" max="12495" width="11.5703125" bestFit="1" customWidth="1"/>
    <col min="12496" max="12496" width="13.28515625" bestFit="1" customWidth="1"/>
    <col min="12497" max="12497" width="13.28515625" customWidth="1"/>
    <col min="12498" max="12498" width="13.140625" customWidth="1"/>
    <col min="12499" max="12499" width="12.7109375" bestFit="1" customWidth="1"/>
    <col min="12500" max="12500" width="13.28515625" bestFit="1" customWidth="1"/>
    <col min="12501" max="12503" width="13.28515625" customWidth="1"/>
    <col min="12504" max="12504" width="12.140625" bestFit="1" customWidth="1"/>
    <col min="12505" max="12505" width="12.7109375" bestFit="1" customWidth="1"/>
    <col min="12506" max="12506" width="11" customWidth="1"/>
    <col min="12507" max="12507" width="16.7109375" customWidth="1"/>
    <col min="12508" max="12508" width="17" customWidth="1"/>
    <col min="12509" max="12509" width="10.42578125" bestFit="1" customWidth="1"/>
    <col min="12553" max="12553" width="3.85546875" customWidth="1"/>
    <col min="12554" max="12554" width="15.28515625" bestFit="1" customWidth="1"/>
    <col min="12555" max="12555" width="12.28515625" customWidth="1"/>
    <col min="12556" max="12556" width="16.28515625" bestFit="1" customWidth="1"/>
    <col min="12557" max="12557" width="6.42578125" bestFit="1" customWidth="1"/>
    <col min="12558" max="12558" width="9.28515625" bestFit="1" customWidth="1"/>
    <col min="12559" max="12559" width="7.5703125" bestFit="1" customWidth="1"/>
    <col min="12560" max="12560" width="13.28515625" bestFit="1" customWidth="1"/>
    <col min="12561" max="12561" width="9.28515625" bestFit="1" customWidth="1"/>
    <col min="12562" max="12562" width="11.5703125" bestFit="1" customWidth="1"/>
    <col min="12563" max="12563" width="13.28515625" bestFit="1" customWidth="1"/>
    <col min="12564" max="12564" width="7.140625" bestFit="1" customWidth="1"/>
    <col min="12565" max="12565" width="12" bestFit="1" customWidth="1"/>
    <col min="12566" max="12566" width="13.28515625" bestFit="1" customWidth="1"/>
    <col min="12567" max="12567" width="7" bestFit="1" customWidth="1"/>
    <col min="12568" max="12568" width="12.7109375" bestFit="1" customWidth="1"/>
    <col min="12569" max="12569" width="11.5703125" bestFit="1" customWidth="1"/>
    <col min="12570" max="12570" width="10.5703125" bestFit="1" customWidth="1"/>
    <col min="12571" max="12572" width="15.7109375" bestFit="1" customWidth="1"/>
    <col min="12573" max="12573" width="11.5703125" bestFit="1" customWidth="1"/>
    <col min="12574" max="12574" width="7.7109375" bestFit="1" customWidth="1"/>
    <col min="12575" max="12575" width="15.140625" bestFit="1" customWidth="1"/>
    <col min="12576" max="12576" width="11.5703125" bestFit="1" customWidth="1"/>
    <col min="12577" max="12577" width="13.28515625" bestFit="1" customWidth="1"/>
    <col min="12578" max="12578" width="10.42578125" bestFit="1" customWidth="1"/>
    <col min="12579" max="12579" width="13.28515625" bestFit="1" customWidth="1"/>
    <col min="12580" max="12580" width="12.140625" bestFit="1" customWidth="1"/>
    <col min="12581" max="12581" width="14.42578125" bestFit="1" customWidth="1"/>
    <col min="12582" max="12582" width="13.28515625" bestFit="1" customWidth="1"/>
    <col min="12583" max="12583" width="11.5703125" bestFit="1" customWidth="1"/>
    <col min="12584" max="12584" width="7.7109375" bestFit="1" customWidth="1"/>
    <col min="12585" max="12586" width="14.42578125" bestFit="1" customWidth="1"/>
    <col min="12587" max="12587" width="11.5703125" bestFit="1" customWidth="1"/>
    <col min="12588" max="12588" width="7.7109375" bestFit="1" customWidth="1"/>
    <col min="12589" max="12589" width="13.5703125" customWidth="1"/>
    <col min="12590" max="12590" width="15.28515625" customWidth="1"/>
    <col min="12591" max="12591" width="14.5703125" customWidth="1"/>
    <col min="12592" max="12592" width="13.28515625" bestFit="1" customWidth="1"/>
    <col min="12593" max="12593" width="7.7109375" bestFit="1" customWidth="1"/>
    <col min="12594" max="12594" width="12.7109375" bestFit="1" customWidth="1"/>
    <col min="12595" max="12595" width="11.7109375" bestFit="1" customWidth="1"/>
    <col min="12596" max="12596" width="11.5703125" bestFit="1" customWidth="1"/>
    <col min="12597" max="12597" width="5.28515625" bestFit="1" customWidth="1"/>
    <col min="12598" max="12598" width="13.28515625" bestFit="1" customWidth="1"/>
    <col min="12599" max="12599" width="13.5703125" bestFit="1" customWidth="1"/>
    <col min="12600" max="12600" width="10.5703125" bestFit="1" customWidth="1"/>
    <col min="12601" max="12601" width="13.28515625" bestFit="1" customWidth="1"/>
    <col min="12602" max="12602" width="11.5703125" bestFit="1" customWidth="1"/>
    <col min="12603" max="12603" width="10.5703125" bestFit="1" customWidth="1"/>
    <col min="12604" max="12604" width="16.140625" bestFit="1" customWidth="1"/>
    <col min="12605" max="12606" width="11.28515625" bestFit="1" customWidth="1"/>
    <col min="12607" max="12607" width="13.28515625" bestFit="1" customWidth="1"/>
    <col min="12608" max="12608" width="7.7109375" bestFit="1" customWidth="1"/>
    <col min="12609" max="12612" width="9.140625" hidden="1" customWidth="1"/>
    <col min="12613" max="12613" width="10.42578125" bestFit="1" customWidth="1"/>
    <col min="12614" max="12614" width="10.5703125" bestFit="1" customWidth="1"/>
    <col min="12615" max="12615" width="10.42578125" bestFit="1" customWidth="1"/>
    <col min="12616" max="12616" width="10.5703125" bestFit="1" customWidth="1"/>
    <col min="12617" max="12617" width="9.5703125" bestFit="1" customWidth="1"/>
    <col min="12618" max="12618" width="11.5703125" bestFit="1" customWidth="1"/>
    <col min="12619" max="12619" width="10.42578125" bestFit="1" customWidth="1"/>
    <col min="12620" max="12620" width="10.85546875" customWidth="1"/>
    <col min="12621" max="12622" width="9.85546875" bestFit="1" customWidth="1"/>
    <col min="12623" max="12623" width="13.5703125" bestFit="1" customWidth="1"/>
    <col min="12624" max="12624" width="7.7109375" bestFit="1" customWidth="1"/>
    <col min="12625" max="12625" width="13.28515625" bestFit="1" customWidth="1"/>
    <col min="12626" max="12626" width="11.5703125" bestFit="1" customWidth="1"/>
    <col min="12627" max="12627" width="10.42578125" bestFit="1" customWidth="1"/>
    <col min="12628" max="12628" width="7.7109375" bestFit="1" customWidth="1"/>
    <col min="12629" max="12629" width="11.5703125" bestFit="1" customWidth="1"/>
    <col min="12630" max="12630" width="10.85546875" bestFit="1" customWidth="1"/>
    <col min="12631" max="12631" width="13.28515625" bestFit="1" customWidth="1"/>
    <col min="12632" max="12632" width="10.85546875" bestFit="1" customWidth="1"/>
    <col min="12633" max="12634" width="7.5703125" bestFit="1" customWidth="1"/>
    <col min="12635" max="12636" width="10.42578125" bestFit="1" customWidth="1"/>
    <col min="12637" max="12637" width="11.5703125" bestFit="1" customWidth="1"/>
    <col min="12638" max="12638" width="5.28515625" bestFit="1" customWidth="1"/>
    <col min="12639" max="12639" width="10.28515625" bestFit="1" customWidth="1"/>
    <col min="12640" max="12640" width="10.42578125" bestFit="1" customWidth="1"/>
    <col min="12641" max="12641" width="11.5703125" bestFit="1" customWidth="1"/>
    <col min="12642" max="12642" width="5.28515625" bestFit="1" customWidth="1"/>
    <col min="12643" max="12645" width="11.5703125" bestFit="1" customWidth="1"/>
    <col min="12646" max="12646" width="5.28515625" bestFit="1" customWidth="1"/>
    <col min="12647" max="12648" width="10.42578125" bestFit="1" customWidth="1"/>
    <col min="12649" max="12649" width="11.5703125" bestFit="1" customWidth="1"/>
    <col min="12650" max="12650" width="5.28515625" bestFit="1" customWidth="1"/>
    <col min="12651" max="12651" width="14.28515625" bestFit="1" customWidth="1"/>
    <col min="12652" max="12652" width="13" bestFit="1" customWidth="1"/>
    <col min="12653" max="12653" width="11.5703125" bestFit="1" customWidth="1"/>
    <col min="12654" max="12654" width="8.85546875" bestFit="1" customWidth="1"/>
    <col min="12655" max="12655" width="14.42578125" bestFit="1" customWidth="1"/>
    <col min="12656" max="12656" width="10.42578125" bestFit="1" customWidth="1"/>
    <col min="12657" max="12657" width="12.28515625" bestFit="1" customWidth="1"/>
    <col min="12658" max="12658" width="13.85546875" bestFit="1" customWidth="1"/>
    <col min="12659" max="12659" width="11.28515625" customWidth="1"/>
    <col min="12660" max="12660" width="11.5703125" customWidth="1"/>
    <col min="12661" max="12661" width="13.42578125" bestFit="1" customWidth="1"/>
    <col min="12662" max="12662" width="10.42578125" customWidth="1"/>
    <col min="12663" max="12663" width="13.85546875" bestFit="1" customWidth="1"/>
    <col min="12664" max="12664" width="15.42578125" bestFit="1" customWidth="1"/>
    <col min="12665" max="12665" width="12.28515625" bestFit="1" customWidth="1"/>
    <col min="12666" max="12666" width="12.7109375" customWidth="1"/>
    <col min="12667" max="12667" width="10.7109375" bestFit="1" customWidth="1"/>
    <col min="12668" max="12668" width="9.85546875" customWidth="1"/>
    <col min="12669" max="12670" width="10.140625" bestFit="1" customWidth="1"/>
    <col min="12671" max="12671" width="7.5703125" bestFit="1" customWidth="1"/>
    <col min="12672" max="12672" width="9.42578125" bestFit="1" customWidth="1"/>
    <col min="12673" max="12673" width="14.5703125" bestFit="1" customWidth="1"/>
    <col min="12674" max="12674" width="14.85546875" customWidth="1"/>
    <col min="12675" max="12675" width="15.140625" bestFit="1" customWidth="1"/>
    <col min="12676" max="12676" width="12.140625" bestFit="1" customWidth="1"/>
    <col min="12677" max="12677" width="14.85546875" bestFit="1" customWidth="1"/>
    <col min="12678" max="12678" width="12.28515625" bestFit="1" customWidth="1"/>
    <col min="12679" max="12687" width="9.140625" hidden="1" customWidth="1"/>
    <col min="12688" max="12688" width="5.28515625" bestFit="1" customWidth="1"/>
    <col min="12689" max="12694" width="11.5703125" bestFit="1" customWidth="1"/>
    <col min="12695" max="12695" width="11.28515625" bestFit="1" customWidth="1"/>
    <col min="12696" max="12696" width="10.140625" bestFit="1" customWidth="1"/>
    <col min="12697" max="12697" width="11.5703125" bestFit="1" customWidth="1"/>
    <col min="12698" max="12698" width="16.140625" customWidth="1"/>
    <col min="12699" max="12699" width="13.42578125" customWidth="1"/>
    <col min="12700" max="12700" width="10.140625" bestFit="1" customWidth="1"/>
    <col min="12701" max="12701" width="12.85546875" bestFit="1" customWidth="1"/>
    <col min="12702" max="12702" width="12.28515625" bestFit="1" customWidth="1"/>
    <col min="12703" max="12703" width="11.28515625" bestFit="1" customWidth="1"/>
    <col min="12704" max="12704" width="11.5703125" bestFit="1" customWidth="1"/>
    <col min="12705" max="12705" width="10.85546875" bestFit="1" customWidth="1"/>
    <col min="12706" max="12706" width="11.28515625" bestFit="1" customWidth="1"/>
    <col min="12707" max="12707" width="10.140625" bestFit="1" customWidth="1"/>
    <col min="12708" max="12708" width="13.28515625" bestFit="1" customWidth="1"/>
    <col min="12709" max="12710" width="12.7109375" bestFit="1" customWidth="1"/>
    <col min="12711" max="12711" width="11" bestFit="1" customWidth="1"/>
    <col min="12712" max="12712" width="11.28515625" bestFit="1" customWidth="1"/>
    <col min="12713" max="12713" width="11.5703125" bestFit="1" customWidth="1"/>
    <col min="12714" max="12714" width="12.28515625" bestFit="1" customWidth="1"/>
    <col min="12715" max="12715" width="15.140625" bestFit="1" customWidth="1"/>
    <col min="12716" max="12716" width="14.42578125" bestFit="1" customWidth="1"/>
    <col min="12717" max="12717" width="12.28515625" bestFit="1" customWidth="1"/>
    <col min="12718" max="12718" width="15.140625" bestFit="1" customWidth="1"/>
    <col min="12719" max="12719" width="14.42578125" bestFit="1" customWidth="1"/>
    <col min="12720" max="12720" width="12.28515625" bestFit="1" customWidth="1"/>
    <col min="12721" max="12721" width="14.42578125" bestFit="1" customWidth="1"/>
    <col min="12722" max="12722" width="11.28515625" bestFit="1" customWidth="1"/>
    <col min="12723" max="12723" width="12.28515625" bestFit="1" customWidth="1"/>
    <col min="12724" max="12724" width="13" bestFit="1" customWidth="1"/>
    <col min="12725" max="12725" width="15.140625" bestFit="1" customWidth="1"/>
    <col min="12726" max="12726" width="12.28515625" bestFit="1" customWidth="1"/>
    <col min="12727" max="12727" width="13.85546875" bestFit="1" customWidth="1"/>
    <col min="12728" max="12728" width="11.28515625" bestFit="1" customWidth="1"/>
    <col min="12729" max="12729" width="12.28515625" bestFit="1" customWidth="1"/>
    <col min="12730" max="12730" width="13.85546875" bestFit="1" customWidth="1"/>
    <col min="12731" max="12732" width="15.140625" bestFit="1" customWidth="1"/>
    <col min="12733" max="12733" width="12.28515625" bestFit="1" customWidth="1"/>
    <col min="12734" max="12734" width="5.7109375" bestFit="1" customWidth="1"/>
    <col min="12735" max="12735" width="8.5703125" bestFit="1" customWidth="1"/>
    <col min="12736" max="12736" width="5.5703125" bestFit="1" customWidth="1"/>
    <col min="12737" max="12737" width="14.42578125" bestFit="1" customWidth="1"/>
    <col min="12738" max="12738" width="11.28515625" bestFit="1" customWidth="1"/>
    <col min="12739" max="12740" width="12.28515625" bestFit="1" customWidth="1"/>
    <col min="12741" max="12741" width="11.28515625" bestFit="1" customWidth="1"/>
    <col min="12742" max="12742" width="13.85546875" bestFit="1" customWidth="1"/>
    <col min="12743" max="12743" width="12" bestFit="1" customWidth="1"/>
    <col min="12744" max="12744" width="13.85546875" bestFit="1" customWidth="1"/>
    <col min="12745" max="12746" width="14.42578125" customWidth="1"/>
    <col min="12747" max="12747" width="10.140625" bestFit="1" customWidth="1"/>
    <col min="12748" max="12748" width="12.28515625" bestFit="1" customWidth="1"/>
    <col min="12749" max="12749" width="7.42578125" bestFit="1" customWidth="1"/>
    <col min="12750" max="12750" width="8.5703125" bestFit="1" customWidth="1"/>
    <col min="12751" max="12751" width="11.5703125" bestFit="1" customWidth="1"/>
    <col min="12752" max="12752" width="13.28515625" bestFit="1" customWidth="1"/>
    <col min="12753" max="12753" width="13.28515625" customWidth="1"/>
    <col min="12754" max="12754" width="13.140625" customWidth="1"/>
    <col min="12755" max="12755" width="12.7109375" bestFit="1" customWidth="1"/>
    <col min="12756" max="12756" width="13.28515625" bestFit="1" customWidth="1"/>
    <col min="12757" max="12759" width="13.28515625" customWidth="1"/>
    <col min="12760" max="12760" width="12.140625" bestFit="1" customWidth="1"/>
    <col min="12761" max="12761" width="12.7109375" bestFit="1" customWidth="1"/>
    <col min="12762" max="12762" width="11" customWidth="1"/>
    <col min="12763" max="12763" width="16.7109375" customWidth="1"/>
    <col min="12764" max="12764" width="17" customWidth="1"/>
    <col min="12765" max="12765" width="10.42578125" bestFit="1" customWidth="1"/>
    <col min="12809" max="12809" width="3.85546875" customWidth="1"/>
    <col min="12810" max="12810" width="15.28515625" bestFit="1" customWidth="1"/>
    <col min="12811" max="12811" width="12.28515625" customWidth="1"/>
    <col min="12812" max="12812" width="16.28515625" bestFit="1" customWidth="1"/>
    <col min="12813" max="12813" width="6.42578125" bestFit="1" customWidth="1"/>
    <col min="12814" max="12814" width="9.28515625" bestFit="1" customWidth="1"/>
    <col min="12815" max="12815" width="7.5703125" bestFit="1" customWidth="1"/>
    <col min="12816" max="12816" width="13.28515625" bestFit="1" customWidth="1"/>
    <col min="12817" max="12817" width="9.28515625" bestFit="1" customWidth="1"/>
    <col min="12818" max="12818" width="11.5703125" bestFit="1" customWidth="1"/>
    <col min="12819" max="12819" width="13.28515625" bestFit="1" customWidth="1"/>
    <col min="12820" max="12820" width="7.140625" bestFit="1" customWidth="1"/>
    <col min="12821" max="12821" width="12" bestFit="1" customWidth="1"/>
    <col min="12822" max="12822" width="13.28515625" bestFit="1" customWidth="1"/>
    <col min="12823" max="12823" width="7" bestFit="1" customWidth="1"/>
    <col min="12824" max="12824" width="12.7109375" bestFit="1" customWidth="1"/>
    <col min="12825" max="12825" width="11.5703125" bestFit="1" customWidth="1"/>
    <col min="12826" max="12826" width="10.5703125" bestFit="1" customWidth="1"/>
    <col min="12827" max="12828" width="15.7109375" bestFit="1" customWidth="1"/>
    <col min="12829" max="12829" width="11.5703125" bestFit="1" customWidth="1"/>
    <col min="12830" max="12830" width="7.7109375" bestFit="1" customWidth="1"/>
    <col min="12831" max="12831" width="15.140625" bestFit="1" customWidth="1"/>
    <col min="12832" max="12832" width="11.5703125" bestFit="1" customWidth="1"/>
    <col min="12833" max="12833" width="13.28515625" bestFit="1" customWidth="1"/>
    <col min="12834" max="12834" width="10.42578125" bestFit="1" customWidth="1"/>
    <col min="12835" max="12835" width="13.28515625" bestFit="1" customWidth="1"/>
    <col min="12836" max="12836" width="12.140625" bestFit="1" customWidth="1"/>
    <col min="12837" max="12837" width="14.42578125" bestFit="1" customWidth="1"/>
    <col min="12838" max="12838" width="13.28515625" bestFit="1" customWidth="1"/>
    <col min="12839" max="12839" width="11.5703125" bestFit="1" customWidth="1"/>
    <col min="12840" max="12840" width="7.7109375" bestFit="1" customWidth="1"/>
    <col min="12841" max="12842" width="14.42578125" bestFit="1" customWidth="1"/>
    <col min="12843" max="12843" width="11.5703125" bestFit="1" customWidth="1"/>
    <col min="12844" max="12844" width="7.7109375" bestFit="1" customWidth="1"/>
    <col min="12845" max="12845" width="13.5703125" customWidth="1"/>
    <col min="12846" max="12846" width="15.28515625" customWidth="1"/>
    <col min="12847" max="12847" width="14.5703125" customWidth="1"/>
    <col min="12848" max="12848" width="13.28515625" bestFit="1" customWidth="1"/>
    <col min="12849" max="12849" width="7.7109375" bestFit="1" customWidth="1"/>
    <col min="12850" max="12850" width="12.7109375" bestFit="1" customWidth="1"/>
    <col min="12851" max="12851" width="11.7109375" bestFit="1" customWidth="1"/>
    <col min="12852" max="12852" width="11.5703125" bestFit="1" customWidth="1"/>
    <col min="12853" max="12853" width="5.28515625" bestFit="1" customWidth="1"/>
    <col min="12854" max="12854" width="13.28515625" bestFit="1" customWidth="1"/>
    <col min="12855" max="12855" width="13.5703125" bestFit="1" customWidth="1"/>
    <col min="12856" max="12856" width="10.5703125" bestFit="1" customWidth="1"/>
    <col min="12857" max="12857" width="13.28515625" bestFit="1" customWidth="1"/>
    <col min="12858" max="12858" width="11.5703125" bestFit="1" customWidth="1"/>
    <col min="12859" max="12859" width="10.5703125" bestFit="1" customWidth="1"/>
    <col min="12860" max="12860" width="16.140625" bestFit="1" customWidth="1"/>
    <col min="12861" max="12862" width="11.28515625" bestFit="1" customWidth="1"/>
    <col min="12863" max="12863" width="13.28515625" bestFit="1" customWidth="1"/>
    <col min="12864" max="12864" width="7.7109375" bestFit="1" customWidth="1"/>
    <col min="12865" max="12868" width="9.140625" hidden="1" customWidth="1"/>
    <col min="12869" max="12869" width="10.42578125" bestFit="1" customWidth="1"/>
    <col min="12870" max="12870" width="10.5703125" bestFit="1" customWidth="1"/>
    <col min="12871" max="12871" width="10.42578125" bestFit="1" customWidth="1"/>
    <col min="12872" max="12872" width="10.5703125" bestFit="1" customWidth="1"/>
    <col min="12873" max="12873" width="9.5703125" bestFit="1" customWidth="1"/>
    <col min="12874" max="12874" width="11.5703125" bestFit="1" customWidth="1"/>
    <col min="12875" max="12875" width="10.42578125" bestFit="1" customWidth="1"/>
    <col min="12876" max="12876" width="10.85546875" customWidth="1"/>
    <col min="12877" max="12878" width="9.85546875" bestFit="1" customWidth="1"/>
    <col min="12879" max="12879" width="13.5703125" bestFit="1" customWidth="1"/>
    <col min="12880" max="12880" width="7.7109375" bestFit="1" customWidth="1"/>
    <col min="12881" max="12881" width="13.28515625" bestFit="1" customWidth="1"/>
    <col min="12882" max="12882" width="11.5703125" bestFit="1" customWidth="1"/>
    <col min="12883" max="12883" width="10.42578125" bestFit="1" customWidth="1"/>
    <col min="12884" max="12884" width="7.7109375" bestFit="1" customWidth="1"/>
    <col min="12885" max="12885" width="11.5703125" bestFit="1" customWidth="1"/>
    <col min="12886" max="12886" width="10.85546875" bestFit="1" customWidth="1"/>
    <col min="12887" max="12887" width="13.28515625" bestFit="1" customWidth="1"/>
    <col min="12888" max="12888" width="10.85546875" bestFit="1" customWidth="1"/>
    <col min="12889" max="12890" width="7.5703125" bestFit="1" customWidth="1"/>
    <col min="12891" max="12892" width="10.42578125" bestFit="1" customWidth="1"/>
    <col min="12893" max="12893" width="11.5703125" bestFit="1" customWidth="1"/>
    <col min="12894" max="12894" width="5.28515625" bestFit="1" customWidth="1"/>
    <col min="12895" max="12895" width="10.28515625" bestFit="1" customWidth="1"/>
    <col min="12896" max="12896" width="10.42578125" bestFit="1" customWidth="1"/>
    <col min="12897" max="12897" width="11.5703125" bestFit="1" customWidth="1"/>
    <col min="12898" max="12898" width="5.28515625" bestFit="1" customWidth="1"/>
    <col min="12899" max="12901" width="11.5703125" bestFit="1" customWidth="1"/>
    <col min="12902" max="12902" width="5.28515625" bestFit="1" customWidth="1"/>
    <col min="12903" max="12904" width="10.42578125" bestFit="1" customWidth="1"/>
    <col min="12905" max="12905" width="11.5703125" bestFit="1" customWidth="1"/>
    <col min="12906" max="12906" width="5.28515625" bestFit="1" customWidth="1"/>
    <col min="12907" max="12907" width="14.28515625" bestFit="1" customWidth="1"/>
    <col min="12908" max="12908" width="13" bestFit="1" customWidth="1"/>
    <col min="12909" max="12909" width="11.5703125" bestFit="1" customWidth="1"/>
    <col min="12910" max="12910" width="8.85546875" bestFit="1" customWidth="1"/>
    <col min="12911" max="12911" width="14.42578125" bestFit="1" customWidth="1"/>
    <col min="12912" max="12912" width="10.42578125" bestFit="1" customWidth="1"/>
    <col min="12913" max="12913" width="12.28515625" bestFit="1" customWidth="1"/>
    <col min="12914" max="12914" width="13.85546875" bestFit="1" customWidth="1"/>
    <col min="12915" max="12915" width="11.28515625" customWidth="1"/>
    <col min="12916" max="12916" width="11.5703125" customWidth="1"/>
    <col min="12917" max="12917" width="13.42578125" bestFit="1" customWidth="1"/>
    <col min="12918" max="12918" width="10.42578125" customWidth="1"/>
    <col min="12919" max="12919" width="13.85546875" bestFit="1" customWidth="1"/>
    <col min="12920" max="12920" width="15.42578125" bestFit="1" customWidth="1"/>
    <col min="12921" max="12921" width="12.28515625" bestFit="1" customWidth="1"/>
    <col min="12922" max="12922" width="12.7109375" customWidth="1"/>
    <col min="12923" max="12923" width="10.7109375" bestFit="1" customWidth="1"/>
    <col min="12924" max="12924" width="9.85546875" customWidth="1"/>
    <col min="12925" max="12926" width="10.140625" bestFit="1" customWidth="1"/>
    <col min="12927" max="12927" width="7.5703125" bestFit="1" customWidth="1"/>
    <col min="12928" max="12928" width="9.42578125" bestFit="1" customWidth="1"/>
    <col min="12929" max="12929" width="14.5703125" bestFit="1" customWidth="1"/>
    <col min="12930" max="12930" width="14.85546875" customWidth="1"/>
    <col min="12931" max="12931" width="15.140625" bestFit="1" customWidth="1"/>
    <col min="12932" max="12932" width="12.140625" bestFit="1" customWidth="1"/>
    <col min="12933" max="12933" width="14.85546875" bestFit="1" customWidth="1"/>
    <col min="12934" max="12934" width="12.28515625" bestFit="1" customWidth="1"/>
    <col min="12935" max="12943" width="9.140625" hidden="1" customWidth="1"/>
    <col min="12944" max="12944" width="5.28515625" bestFit="1" customWidth="1"/>
    <col min="12945" max="12950" width="11.5703125" bestFit="1" customWidth="1"/>
    <col min="12951" max="12951" width="11.28515625" bestFit="1" customWidth="1"/>
    <col min="12952" max="12952" width="10.140625" bestFit="1" customWidth="1"/>
    <col min="12953" max="12953" width="11.5703125" bestFit="1" customWidth="1"/>
    <col min="12954" max="12954" width="16.140625" customWidth="1"/>
    <col min="12955" max="12955" width="13.42578125" customWidth="1"/>
    <col min="12956" max="12956" width="10.140625" bestFit="1" customWidth="1"/>
    <col min="12957" max="12957" width="12.85546875" bestFit="1" customWidth="1"/>
    <col min="12958" max="12958" width="12.28515625" bestFit="1" customWidth="1"/>
    <col min="12959" max="12959" width="11.28515625" bestFit="1" customWidth="1"/>
    <col min="12960" max="12960" width="11.5703125" bestFit="1" customWidth="1"/>
    <col min="12961" max="12961" width="10.85546875" bestFit="1" customWidth="1"/>
    <col min="12962" max="12962" width="11.28515625" bestFit="1" customWidth="1"/>
    <col min="12963" max="12963" width="10.140625" bestFit="1" customWidth="1"/>
    <col min="12964" max="12964" width="13.28515625" bestFit="1" customWidth="1"/>
    <col min="12965" max="12966" width="12.7109375" bestFit="1" customWidth="1"/>
    <col min="12967" max="12967" width="11" bestFit="1" customWidth="1"/>
    <col min="12968" max="12968" width="11.28515625" bestFit="1" customWidth="1"/>
    <col min="12969" max="12969" width="11.5703125" bestFit="1" customWidth="1"/>
    <col min="12970" max="12970" width="12.28515625" bestFit="1" customWidth="1"/>
    <col min="12971" max="12971" width="15.140625" bestFit="1" customWidth="1"/>
    <col min="12972" max="12972" width="14.42578125" bestFit="1" customWidth="1"/>
    <col min="12973" max="12973" width="12.28515625" bestFit="1" customWidth="1"/>
    <col min="12974" max="12974" width="15.140625" bestFit="1" customWidth="1"/>
    <col min="12975" max="12975" width="14.42578125" bestFit="1" customWidth="1"/>
    <col min="12976" max="12976" width="12.28515625" bestFit="1" customWidth="1"/>
    <col min="12977" max="12977" width="14.42578125" bestFit="1" customWidth="1"/>
    <col min="12978" max="12978" width="11.28515625" bestFit="1" customWidth="1"/>
    <col min="12979" max="12979" width="12.28515625" bestFit="1" customWidth="1"/>
    <col min="12980" max="12980" width="13" bestFit="1" customWidth="1"/>
    <col min="12981" max="12981" width="15.140625" bestFit="1" customWidth="1"/>
    <col min="12982" max="12982" width="12.28515625" bestFit="1" customWidth="1"/>
    <col min="12983" max="12983" width="13.85546875" bestFit="1" customWidth="1"/>
    <col min="12984" max="12984" width="11.28515625" bestFit="1" customWidth="1"/>
    <col min="12985" max="12985" width="12.28515625" bestFit="1" customWidth="1"/>
    <col min="12986" max="12986" width="13.85546875" bestFit="1" customWidth="1"/>
    <col min="12987" max="12988" width="15.140625" bestFit="1" customWidth="1"/>
    <col min="12989" max="12989" width="12.28515625" bestFit="1" customWidth="1"/>
    <col min="12990" max="12990" width="5.7109375" bestFit="1" customWidth="1"/>
    <col min="12991" max="12991" width="8.5703125" bestFit="1" customWidth="1"/>
    <col min="12992" max="12992" width="5.5703125" bestFit="1" customWidth="1"/>
    <col min="12993" max="12993" width="14.42578125" bestFit="1" customWidth="1"/>
    <col min="12994" max="12994" width="11.28515625" bestFit="1" customWidth="1"/>
    <col min="12995" max="12996" width="12.28515625" bestFit="1" customWidth="1"/>
    <col min="12997" max="12997" width="11.28515625" bestFit="1" customWidth="1"/>
    <col min="12998" max="12998" width="13.85546875" bestFit="1" customWidth="1"/>
    <col min="12999" max="12999" width="12" bestFit="1" customWidth="1"/>
    <col min="13000" max="13000" width="13.85546875" bestFit="1" customWidth="1"/>
    <col min="13001" max="13002" width="14.42578125" customWidth="1"/>
    <col min="13003" max="13003" width="10.140625" bestFit="1" customWidth="1"/>
    <col min="13004" max="13004" width="12.28515625" bestFit="1" customWidth="1"/>
    <col min="13005" max="13005" width="7.42578125" bestFit="1" customWidth="1"/>
    <col min="13006" max="13006" width="8.5703125" bestFit="1" customWidth="1"/>
    <col min="13007" max="13007" width="11.5703125" bestFit="1" customWidth="1"/>
    <col min="13008" max="13008" width="13.28515625" bestFit="1" customWidth="1"/>
    <col min="13009" max="13009" width="13.28515625" customWidth="1"/>
    <col min="13010" max="13010" width="13.140625" customWidth="1"/>
    <col min="13011" max="13011" width="12.7109375" bestFit="1" customWidth="1"/>
    <col min="13012" max="13012" width="13.28515625" bestFit="1" customWidth="1"/>
    <col min="13013" max="13015" width="13.28515625" customWidth="1"/>
    <col min="13016" max="13016" width="12.140625" bestFit="1" customWidth="1"/>
    <col min="13017" max="13017" width="12.7109375" bestFit="1" customWidth="1"/>
    <col min="13018" max="13018" width="11" customWidth="1"/>
    <col min="13019" max="13019" width="16.7109375" customWidth="1"/>
    <col min="13020" max="13020" width="17" customWidth="1"/>
    <col min="13021" max="13021" width="10.42578125" bestFit="1" customWidth="1"/>
    <col min="13065" max="13065" width="3.85546875" customWidth="1"/>
    <col min="13066" max="13066" width="15.28515625" bestFit="1" customWidth="1"/>
    <col min="13067" max="13067" width="12.28515625" customWidth="1"/>
    <col min="13068" max="13068" width="16.28515625" bestFit="1" customWidth="1"/>
    <col min="13069" max="13069" width="6.42578125" bestFit="1" customWidth="1"/>
    <col min="13070" max="13070" width="9.28515625" bestFit="1" customWidth="1"/>
    <col min="13071" max="13071" width="7.5703125" bestFit="1" customWidth="1"/>
    <col min="13072" max="13072" width="13.28515625" bestFit="1" customWidth="1"/>
    <col min="13073" max="13073" width="9.28515625" bestFit="1" customWidth="1"/>
    <col min="13074" max="13074" width="11.5703125" bestFit="1" customWidth="1"/>
    <col min="13075" max="13075" width="13.28515625" bestFit="1" customWidth="1"/>
    <col min="13076" max="13076" width="7.140625" bestFit="1" customWidth="1"/>
    <col min="13077" max="13077" width="12" bestFit="1" customWidth="1"/>
    <col min="13078" max="13078" width="13.28515625" bestFit="1" customWidth="1"/>
    <col min="13079" max="13079" width="7" bestFit="1" customWidth="1"/>
    <col min="13080" max="13080" width="12.7109375" bestFit="1" customWidth="1"/>
    <col min="13081" max="13081" width="11.5703125" bestFit="1" customWidth="1"/>
    <col min="13082" max="13082" width="10.5703125" bestFit="1" customWidth="1"/>
    <col min="13083" max="13084" width="15.7109375" bestFit="1" customWidth="1"/>
    <col min="13085" max="13085" width="11.5703125" bestFit="1" customWidth="1"/>
    <col min="13086" max="13086" width="7.7109375" bestFit="1" customWidth="1"/>
    <col min="13087" max="13087" width="15.140625" bestFit="1" customWidth="1"/>
    <col min="13088" max="13088" width="11.5703125" bestFit="1" customWidth="1"/>
    <col min="13089" max="13089" width="13.28515625" bestFit="1" customWidth="1"/>
    <col min="13090" max="13090" width="10.42578125" bestFit="1" customWidth="1"/>
    <col min="13091" max="13091" width="13.28515625" bestFit="1" customWidth="1"/>
    <col min="13092" max="13092" width="12.140625" bestFit="1" customWidth="1"/>
    <col min="13093" max="13093" width="14.42578125" bestFit="1" customWidth="1"/>
    <col min="13094" max="13094" width="13.28515625" bestFit="1" customWidth="1"/>
    <col min="13095" max="13095" width="11.5703125" bestFit="1" customWidth="1"/>
    <col min="13096" max="13096" width="7.7109375" bestFit="1" customWidth="1"/>
    <col min="13097" max="13098" width="14.42578125" bestFit="1" customWidth="1"/>
    <col min="13099" max="13099" width="11.5703125" bestFit="1" customWidth="1"/>
    <col min="13100" max="13100" width="7.7109375" bestFit="1" customWidth="1"/>
    <col min="13101" max="13101" width="13.5703125" customWidth="1"/>
    <col min="13102" max="13102" width="15.28515625" customWidth="1"/>
    <col min="13103" max="13103" width="14.5703125" customWidth="1"/>
    <col min="13104" max="13104" width="13.28515625" bestFit="1" customWidth="1"/>
    <col min="13105" max="13105" width="7.7109375" bestFit="1" customWidth="1"/>
    <col min="13106" max="13106" width="12.7109375" bestFit="1" customWidth="1"/>
    <col min="13107" max="13107" width="11.7109375" bestFit="1" customWidth="1"/>
    <col min="13108" max="13108" width="11.5703125" bestFit="1" customWidth="1"/>
    <col min="13109" max="13109" width="5.28515625" bestFit="1" customWidth="1"/>
    <col min="13110" max="13110" width="13.28515625" bestFit="1" customWidth="1"/>
    <col min="13111" max="13111" width="13.5703125" bestFit="1" customWidth="1"/>
    <col min="13112" max="13112" width="10.5703125" bestFit="1" customWidth="1"/>
    <col min="13113" max="13113" width="13.28515625" bestFit="1" customWidth="1"/>
    <col min="13114" max="13114" width="11.5703125" bestFit="1" customWidth="1"/>
    <col min="13115" max="13115" width="10.5703125" bestFit="1" customWidth="1"/>
    <col min="13116" max="13116" width="16.140625" bestFit="1" customWidth="1"/>
    <col min="13117" max="13118" width="11.28515625" bestFit="1" customWidth="1"/>
    <col min="13119" max="13119" width="13.28515625" bestFit="1" customWidth="1"/>
    <col min="13120" max="13120" width="7.7109375" bestFit="1" customWidth="1"/>
    <col min="13121" max="13124" width="9.140625" hidden="1" customWidth="1"/>
    <col min="13125" max="13125" width="10.42578125" bestFit="1" customWidth="1"/>
    <col min="13126" max="13126" width="10.5703125" bestFit="1" customWidth="1"/>
    <col min="13127" max="13127" width="10.42578125" bestFit="1" customWidth="1"/>
    <col min="13128" max="13128" width="10.5703125" bestFit="1" customWidth="1"/>
    <col min="13129" max="13129" width="9.5703125" bestFit="1" customWidth="1"/>
    <col min="13130" max="13130" width="11.5703125" bestFit="1" customWidth="1"/>
    <col min="13131" max="13131" width="10.42578125" bestFit="1" customWidth="1"/>
    <col min="13132" max="13132" width="10.85546875" customWidth="1"/>
    <col min="13133" max="13134" width="9.85546875" bestFit="1" customWidth="1"/>
    <col min="13135" max="13135" width="13.5703125" bestFit="1" customWidth="1"/>
    <col min="13136" max="13136" width="7.7109375" bestFit="1" customWidth="1"/>
    <col min="13137" max="13137" width="13.28515625" bestFit="1" customWidth="1"/>
    <col min="13138" max="13138" width="11.5703125" bestFit="1" customWidth="1"/>
    <col min="13139" max="13139" width="10.42578125" bestFit="1" customWidth="1"/>
    <col min="13140" max="13140" width="7.7109375" bestFit="1" customWidth="1"/>
    <col min="13141" max="13141" width="11.5703125" bestFit="1" customWidth="1"/>
    <col min="13142" max="13142" width="10.85546875" bestFit="1" customWidth="1"/>
    <col min="13143" max="13143" width="13.28515625" bestFit="1" customWidth="1"/>
    <col min="13144" max="13144" width="10.85546875" bestFit="1" customWidth="1"/>
    <col min="13145" max="13146" width="7.5703125" bestFit="1" customWidth="1"/>
    <col min="13147" max="13148" width="10.42578125" bestFit="1" customWidth="1"/>
    <col min="13149" max="13149" width="11.5703125" bestFit="1" customWidth="1"/>
    <col min="13150" max="13150" width="5.28515625" bestFit="1" customWidth="1"/>
    <col min="13151" max="13151" width="10.28515625" bestFit="1" customWidth="1"/>
    <col min="13152" max="13152" width="10.42578125" bestFit="1" customWidth="1"/>
    <col min="13153" max="13153" width="11.5703125" bestFit="1" customWidth="1"/>
    <col min="13154" max="13154" width="5.28515625" bestFit="1" customWidth="1"/>
    <col min="13155" max="13157" width="11.5703125" bestFit="1" customWidth="1"/>
    <col min="13158" max="13158" width="5.28515625" bestFit="1" customWidth="1"/>
    <col min="13159" max="13160" width="10.42578125" bestFit="1" customWidth="1"/>
    <col min="13161" max="13161" width="11.5703125" bestFit="1" customWidth="1"/>
    <col min="13162" max="13162" width="5.28515625" bestFit="1" customWidth="1"/>
    <col min="13163" max="13163" width="14.28515625" bestFit="1" customWidth="1"/>
    <col min="13164" max="13164" width="13" bestFit="1" customWidth="1"/>
    <col min="13165" max="13165" width="11.5703125" bestFit="1" customWidth="1"/>
    <col min="13166" max="13166" width="8.85546875" bestFit="1" customWidth="1"/>
    <col min="13167" max="13167" width="14.42578125" bestFit="1" customWidth="1"/>
    <col min="13168" max="13168" width="10.42578125" bestFit="1" customWidth="1"/>
    <col min="13169" max="13169" width="12.28515625" bestFit="1" customWidth="1"/>
    <col min="13170" max="13170" width="13.85546875" bestFit="1" customWidth="1"/>
    <col min="13171" max="13171" width="11.28515625" customWidth="1"/>
    <col min="13172" max="13172" width="11.5703125" customWidth="1"/>
    <col min="13173" max="13173" width="13.42578125" bestFit="1" customWidth="1"/>
    <col min="13174" max="13174" width="10.42578125" customWidth="1"/>
    <col min="13175" max="13175" width="13.85546875" bestFit="1" customWidth="1"/>
    <col min="13176" max="13176" width="15.42578125" bestFit="1" customWidth="1"/>
    <col min="13177" max="13177" width="12.28515625" bestFit="1" customWidth="1"/>
    <col min="13178" max="13178" width="12.7109375" customWidth="1"/>
    <col min="13179" max="13179" width="10.7109375" bestFit="1" customWidth="1"/>
    <col min="13180" max="13180" width="9.85546875" customWidth="1"/>
    <col min="13181" max="13182" width="10.140625" bestFit="1" customWidth="1"/>
    <col min="13183" max="13183" width="7.5703125" bestFit="1" customWidth="1"/>
    <col min="13184" max="13184" width="9.42578125" bestFit="1" customWidth="1"/>
    <col min="13185" max="13185" width="14.5703125" bestFit="1" customWidth="1"/>
    <col min="13186" max="13186" width="14.85546875" customWidth="1"/>
    <col min="13187" max="13187" width="15.140625" bestFit="1" customWidth="1"/>
    <col min="13188" max="13188" width="12.140625" bestFit="1" customWidth="1"/>
    <col min="13189" max="13189" width="14.85546875" bestFit="1" customWidth="1"/>
    <col min="13190" max="13190" width="12.28515625" bestFit="1" customWidth="1"/>
    <col min="13191" max="13199" width="9.140625" hidden="1" customWidth="1"/>
    <col min="13200" max="13200" width="5.28515625" bestFit="1" customWidth="1"/>
    <col min="13201" max="13206" width="11.5703125" bestFit="1" customWidth="1"/>
    <col min="13207" max="13207" width="11.28515625" bestFit="1" customWidth="1"/>
    <col min="13208" max="13208" width="10.140625" bestFit="1" customWidth="1"/>
    <col min="13209" max="13209" width="11.5703125" bestFit="1" customWidth="1"/>
    <col min="13210" max="13210" width="16.140625" customWidth="1"/>
    <col min="13211" max="13211" width="13.42578125" customWidth="1"/>
    <col min="13212" max="13212" width="10.140625" bestFit="1" customWidth="1"/>
    <col min="13213" max="13213" width="12.85546875" bestFit="1" customWidth="1"/>
    <col min="13214" max="13214" width="12.28515625" bestFit="1" customWidth="1"/>
    <col min="13215" max="13215" width="11.28515625" bestFit="1" customWidth="1"/>
    <col min="13216" max="13216" width="11.5703125" bestFit="1" customWidth="1"/>
    <col min="13217" max="13217" width="10.85546875" bestFit="1" customWidth="1"/>
    <col min="13218" max="13218" width="11.28515625" bestFit="1" customWidth="1"/>
    <col min="13219" max="13219" width="10.140625" bestFit="1" customWidth="1"/>
    <col min="13220" max="13220" width="13.28515625" bestFit="1" customWidth="1"/>
    <col min="13221" max="13222" width="12.7109375" bestFit="1" customWidth="1"/>
    <col min="13223" max="13223" width="11" bestFit="1" customWidth="1"/>
    <col min="13224" max="13224" width="11.28515625" bestFit="1" customWidth="1"/>
    <col min="13225" max="13225" width="11.5703125" bestFit="1" customWidth="1"/>
    <col min="13226" max="13226" width="12.28515625" bestFit="1" customWidth="1"/>
    <col min="13227" max="13227" width="15.140625" bestFit="1" customWidth="1"/>
    <col min="13228" max="13228" width="14.42578125" bestFit="1" customWidth="1"/>
    <col min="13229" max="13229" width="12.28515625" bestFit="1" customWidth="1"/>
    <col min="13230" max="13230" width="15.140625" bestFit="1" customWidth="1"/>
    <col min="13231" max="13231" width="14.42578125" bestFit="1" customWidth="1"/>
    <col min="13232" max="13232" width="12.28515625" bestFit="1" customWidth="1"/>
    <col min="13233" max="13233" width="14.42578125" bestFit="1" customWidth="1"/>
    <col min="13234" max="13234" width="11.28515625" bestFit="1" customWidth="1"/>
    <col min="13235" max="13235" width="12.28515625" bestFit="1" customWidth="1"/>
    <col min="13236" max="13236" width="13" bestFit="1" customWidth="1"/>
    <col min="13237" max="13237" width="15.140625" bestFit="1" customWidth="1"/>
    <col min="13238" max="13238" width="12.28515625" bestFit="1" customWidth="1"/>
    <col min="13239" max="13239" width="13.85546875" bestFit="1" customWidth="1"/>
    <col min="13240" max="13240" width="11.28515625" bestFit="1" customWidth="1"/>
    <col min="13241" max="13241" width="12.28515625" bestFit="1" customWidth="1"/>
    <col min="13242" max="13242" width="13.85546875" bestFit="1" customWidth="1"/>
    <col min="13243" max="13244" width="15.140625" bestFit="1" customWidth="1"/>
    <col min="13245" max="13245" width="12.28515625" bestFit="1" customWidth="1"/>
    <col min="13246" max="13246" width="5.7109375" bestFit="1" customWidth="1"/>
    <col min="13247" max="13247" width="8.5703125" bestFit="1" customWidth="1"/>
    <col min="13248" max="13248" width="5.5703125" bestFit="1" customWidth="1"/>
    <col min="13249" max="13249" width="14.42578125" bestFit="1" customWidth="1"/>
    <col min="13250" max="13250" width="11.28515625" bestFit="1" customWidth="1"/>
    <col min="13251" max="13252" width="12.28515625" bestFit="1" customWidth="1"/>
    <col min="13253" max="13253" width="11.28515625" bestFit="1" customWidth="1"/>
    <col min="13254" max="13254" width="13.85546875" bestFit="1" customWidth="1"/>
    <col min="13255" max="13255" width="12" bestFit="1" customWidth="1"/>
    <col min="13256" max="13256" width="13.85546875" bestFit="1" customWidth="1"/>
    <col min="13257" max="13258" width="14.42578125" customWidth="1"/>
    <col min="13259" max="13259" width="10.140625" bestFit="1" customWidth="1"/>
    <col min="13260" max="13260" width="12.28515625" bestFit="1" customWidth="1"/>
    <col min="13261" max="13261" width="7.42578125" bestFit="1" customWidth="1"/>
    <col min="13262" max="13262" width="8.5703125" bestFit="1" customWidth="1"/>
    <col min="13263" max="13263" width="11.5703125" bestFit="1" customWidth="1"/>
    <col min="13264" max="13264" width="13.28515625" bestFit="1" customWidth="1"/>
    <col min="13265" max="13265" width="13.28515625" customWidth="1"/>
    <col min="13266" max="13266" width="13.140625" customWidth="1"/>
    <col min="13267" max="13267" width="12.7109375" bestFit="1" customWidth="1"/>
    <col min="13268" max="13268" width="13.28515625" bestFit="1" customWidth="1"/>
    <col min="13269" max="13271" width="13.28515625" customWidth="1"/>
    <col min="13272" max="13272" width="12.140625" bestFit="1" customWidth="1"/>
    <col min="13273" max="13273" width="12.7109375" bestFit="1" customWidth="1"/>
    <col min="13274" max="13274" width="11" customWidth="1"/>
    <col min="13275" max="13275" width="16.7109375" customWidth="1"/>
    <col min="13276" max="13276" width="17" customWidth="1"/>
    <col min="13277" max="13277" width="10.42578125" bestFit="1" customWidth="1"/>
    <col min="13321" max="13321" width="3.85546875" customWidth="1"/>
    <col min="13322" max="13322" width="15.28515625" bestFit="1" customWidth="1"/>
    <col min="13323" max="13323" width="12.28515625" customWidth="1"/>
    <col min="13324" max="13324" width="16.28515625" bestFit="1" customWidth="1"/>
    <col min="13325" max="13325" width="6.42578125" bestFit="1" customWidth="1"/>
    <col min="13326" max="13326" width="9.28515625" bestFit="1" customWidth="1"/>
    <col min="13327" max="13327" width="7.5703125" bestFit="1" customWidth="1"/>
    <col min="13328" max="13328" width="13.28515625" bestFit="1" customWidth="1"/>
    <col min="13329" max="13329" width="9.28515625" bestFit="1" customWidth="1"/>
    <col min="13330" max="13330" width="11.5703125" bestFit="1" customWidth="1"/>
    <col min="13331" max="13331" width="13.28515625" bestFit="1" customWidth="1"/>
    <col min="13332" max="13332" width="7.140625" bestFit="1" customWidth="1"/>
    <col min="13333" max="13333" width="12" bestFit="1" customWidth="1"/>
    <col min="13334" max="13334" width="13.28515625" bestFit="1" customWidth="1"/>
    <col min="13335" max="13335" width="7" bestFit="1" customWidth="1"/>
    <col min="13336" max="13336" width="12.7109375" bestFit="1" customWidth="1"/>
    <col min="13337" max="13337" width="11.5703125" bestFit="1" customWidth="1"/>
    <col min="13338" max="13338" width="10.5703125" bestFit="1" customWidth="1"/>
    <col min="13339" max="13340" width="15.7109375" bestFit="1" customWidth="1"/>
    <col min="13341" max="13341" width="11.5703125" bestFit="1" customWidth="1"/>
    <col min="13342" max="13342" width="7.7109375" bestFit="1" customWidth="1"/>
    <col min="13343" max="13343" width="15.140625" bestFit="1" customWidth="1"/>
    <col min="13344" max="13344" width="11.5703125" bestFit="1" customWidth="1"/>
    <col min="13345" max="13345" width="13.28515625" bestFit="1" customWidth="1"/>
    <col min="13346" max="13346" width="10.42578125" bestFit="1" customWidth="1"/>
    <col min="13347" max="13347" width="13.28515625" bestFit="1" customWidth="1"/>
    <col min="13348" max="13348" width="12.140625" bestFit="1" customWidth="1"/>
    <col min="13349" max="13349" width="14.42578125" bestFit="1" customWidth="1"/>
    <col min="13350" max="13350" width="13.28515625" bestFit="1" customWidth="1"/>
    <col min="13351" max="13351" width="11.5703125" bestFit="1" customWidth="1"/>
    <col min="13352" max="13352" width="7.7109375" bestFit="1" customWidth="1"/>
    <col min="13353" max="13354" width="14.42578125" bestFit="1" customWidth="1"/>
    <col min="13355" max="13355" width="11.5703125" bestFit="1" customWidth="1"/>
    <col min="13356" max="13356" width="7.7109375" bestFit="1" customWidth="1"/>
    <col min="13357" max="13357" width="13.5703125" customWidth="1"/>
    <col min="13358" max="13358" width="15.28515625" customWidth="1"/>
    <col min="13359" max="13359" width="14.5703125" customWidth="1"/>
    <col min="13360" max="13360" width="13.28515625" bestFit="1" customWidth="1"/>
    <col min="13361" max="13361" width="7.7109375" bestFit="1" customWidth="1"/>
    <col min="13362" max="13362" width="12.7109375" bestFit="1" customWidth="1"/>
    <col min="13363" max="13363" width="11.7109375" bestFit="1" customWidth="1"/>
    <col min="13364" max="13364" width="11.5703125" bestFit="1" customWidth="1"/>
    <col min="13365" max="13365" width="5.28515625" bestFit="1" customWidth="1"/>
    <col min="13366" max="13366" width="13.28515625" bestFit="1" customWidth="1"/>
    <col min="13367" max="13367" width="13.5703125" bestFit="1" customWidth="1"/>
    <col min="13368" max="13368" width="10.5703125" bestFit="1" customWidth="1"/>
    <col min="13369" max="13369" width="13.28515625" bestFit="1" customWidth="1"/>
    <col min="13370" max="13370" width="11.5703125" bestFit="1" customWidth="1"/>
    <col min="13371" max="13371" width="10.5703125" bestFit="1" customWidth="1"/>
    <col min="13372" max="13372" width="16.140625" bestFit="1" customWidth="1"/>
    <col min="13373" max="13374" width="11.28515625" bestFit="1" customWidth="1"/>
    <col min="13375" max="13375" width="13.28515625" bestFit="1" customWidth="1"/>
    <col min="13376" max="13376" width="7.7109375" bestFit="1" customWidth="1"/>
    <col min="13377" max="13380" width="9.140625" hidden="1" customWidth="1"/>
    <col min="13381" max="13381" width="10.42578125" bestFit="1" customWidth="1"/>
    <col min="13382" max="13382" width="10.5703125" bestFit="1" customWidth="1"/>
    <col min="13383" max="13383" width="10.42578125" bestFit="1" customWidth="1"/>
    <col min="13384" max="13384" width="10.5703125" bestFit="1" customWidth="1"/>
    <col min="13385" max="13385" width="9.5703125" bestFit="1" customWidth="1"/>
    <col min="13386" max="13386" width="11.5703125" bestFit="1" customWidth="1"/>
    <col min="13387" max="13387" width="10.42578125" bestFit="1" customWidth="1"/>
    <col min="13388" max="13388" width="10.85546875" customWidth="1"/>
    <col min="13389" max="13390" width="9.85546875" bestFit="1" customWidth="1"/>
    <col min="13391" max="13391" width="13.5703125" bestFit="1" customWidth="1"/>
    <col min="13392" max="13392" width="7.7109375" bestFit="1" customWidth="1"/>
    <col min="13393" max="13393" width="13.28515625" bestFit="1" customWidth="1"/>
    <col min="13394" max="13394" width="11.5703125" bestFit="1" customWidth="1"/>
    <col min="13395" max="13395" width="10.42578125" bestFit="1" customWidth="1"/>
    <col min="13396" max="13396" width="7.7109375" bestFit="1" customWidth="1"/>
    <col min="13397" max="13397" width="11.5703125" bestFit="1" customWidth="1"/>
    <col min="13398" max="13398" width="10.85546875" bestFit="1" customWidth="1"/>
    <col min="13399" max="13399" width="13.28515625" bestFit="1" customWidth="1"/>
    <col min="13400" max="13400" width="10.85546875" bestFit="1" customWidth="1"/>
    <col min="13401" max="13402" width="7.5703125" bestFit="1" customWidth="1"/>
    <col min="13403" max="13404" width="10.42578125" bestFit="1" customWidth="1"/>
    <col min="13405" max="13405" width="11.5703125" bestFit="1" customWidth="1"/>
    <col min="13406" max="13406" width="5.28515625" bestFit="1" customWidth="1"/>
    <col min="13407" max="13407" width="10.28515625" bestFit="1" customWidth="1"/>
    <col min="13408" max="13408" width="10.42578125" bestFit="1" customWidth="1"/>
    <col min="13409" max="13409" width="11.5703125" bestFit="1" customWidth="1"/>
    <col min="13410" max="13410" width="5.28515625" bestFit="1" customWidth="1"/>
    <col min="13411" max="13413" width="11.5703125" bestFit="1" customWidth="1"/>
    <col min="13414" max="13414" width="5.28515625" bestFit="1" customWidth="1"/>
    <col min="13415" max="13416" width="10.42578125" bestFit="1" customWidth="1"/>
    <col min="13417" max="13417" width="11.5703125" bestFit="1" customWidth="1"/>
    <col min="13418" max="13418" width="5.28515625" bestFit="1" customWidth="1"/>
    <col min="13419" max="13419" width="14.28515625" bestFit="1" customWidth="1"/>
    <col min="13420" max="13420" width="13" bestFit="1" customWidth="1"/>
    <col min="13421" max="13421" width="11.5703125" bestFit="1" customWidth="1"/>
    <col min="13422" max="13422" width="8.85546875" bestFit="1" customWidth="1"/>
    <col min="13423" max="13423" width="14.42578125" bestFit="1" customWidth="1"/>
    <col min="13424" max="13424" width="10.42578125" bestFit="1" customWidth="1"/>
    <col min="13425" max="13425" width="12.28515625" bestFit="1" customWidth="1"/>
    <col min="13426" max="13426" width="13.85546875" bestFit="1" customWidth="1"/>
    <col min="13427" max="13427" width="11.28515625" customWidth="1"/>
    <col min="13428" max="13428" width="11.5703125" customWidth="1"/>
    <col min="13429" max="13429" width="13.42578125" bestFit="1" customWidth="1"/>
    <col min="13430" max="13430" width="10.42578125" customWidth="1"/>
    <col min="13431" max="13431" width="13.85546875" bestFit="1" customWidth="1"/>
    <col min="13432" max="13432" width="15.42578125" bestFit="1" customWidth="1"/>
    <col min="13433" max="13433" width="12.28515625" bestFit="1" customWidth="1"/>
    <col min="13434" max="13434" width="12.7109375" customWidth="1"/>
    <col min="13435" max="13435" width="10.7109375" bestFit="1" customWidth="1"/>
    <col min="13436" max="13436" width="9.85546875" customWidth="1"/>
    <col min="13437" max="13438" width="10.140625" bestFit="1" customWidth="1"/>
    <col min="13439" max="13439" width="7.5703125" bestFit="1" customWidth="1"/>
    <col min="13440" max="13440" width="9.42578125" bestFit="1" customWidth="1"/>
    <col min="13441" max="13441" width="14.5703125" bestFit="1" customWidth="1"/>
    <col min="13442" max="13442" width="14.85546875" customWidth="1"/>
    <col min="13443" max="13443" width="15.140625" bestFit="1" customWidth="1"/>
    <col min="13444" max="13444" width="12.140625" bestFit="1" customWidth="1"/>
    <col min="13445" max="13445" width="14.85546875" bestFit="1" customWidth="1"/>
    <col min="13446" max="13446" width="12.28515625" bestFit="1" customWidth="1"/>
    <col min="13447" max="13455" width="9.140625" hidden="1" customWidth="1"/>
    <col min="13456" max="13456" width="5.28515625" bestFit="1" customWidth="1"/>
    <col min="13457" max="13462" width="11.5703125" bestFit="1" customWidth="1"/>
    <col min="13463" max="13463" width="11.28515625" bestFit="1" customWidth="1"/>
    <col min="13464" max="13464" width="10.140625" bestFit="1" customWidth="1"/>
    <col min="13465" max="13465" width="11.5703125" bestFit="1" customWidth="1"/>
    <col min="13466" max="13466" width="16.140625" customWidth="1"/>
    <col min="13467" max="13467" width="13.42578125" customWidth="1"/>
    <col min="13468" max="13468" width="10.140625" bestFit="1" customWidth="1"/>
    <col min="13469" max="13469" width="12.85546875" bestFit="1" customWidth="1"/>
    <col min="13470" max="13470" width="12.28515625" bestFit="1" customWidth="1"/>
    <col min="13471" max="13471" width="11.28515625" bestFit="1" customWidth="1"/>
    <col min="13472" max="13472" width="11.5703125" bestFit="1" customWidth="1"/>
    <col min="13473" max="13473" width="10.85546875" bestFit="1" customWidth="1"/>
    <col min="13474" max="13474" width="11.28515625" bestFit="1" customWidth="1"/>
    <col min="13475" max="13475" width="10.140625" bestFit="1" customWidth="1"/>
    <col min="13476" max="13476" width="13.28515625" bestFit="1" customWidth="1"/>
    <col min="13477" max="13478" width="12.7109375" bestFit="1" customWidth="1"/>
    <col min="13479" max="13479" width="11" bestFit="1" customWidth="1"/>
    <col min="13480" max="13480" width="11.28515625" bestFit="1" customWidth="1"/>
    <col min="13481" max="13481" width="11.5703125" bestFit="1" customWidth="1"/>
    <col min="13482" max="13482" width="12.28515625" bestFit="1" customWidth="1"/>
    <col min="13483" max="13483" width="15.140625" bestFit="1" customWidth="1"/>
    <col min="13484" max="13484" width="14.42578125" bestFit="1" customWidth="1"/>
    <col min="13485" max="13485" width="12.28515625" bestFit="1" customWidth="1"/>
    <col min="13486" max="13486" width="15.140625" bestFit="1" customWidth="1"/>
    <col min="13487" max="13487" width="14.42578125" bestFit="1" customWidth="1"/>
    <col min="13488" max="13488" width="12.28515625" bestFit="1" customWidth="1"/>
    <col min="13489" max="13489" width="14.42578125" bestFit="1" customWidth="1"/>
    <col min="13490" max="13490" width="11.28515625" bestFit="1" customWidth="1"/>
    <col min="13491" max="13491" width="12.28515625" bestFit="1" customWidth="1"/>
    <col min="13492" max="13492" width="13" bestFit="1" customWidth="1"/>
    <col min="13493" max="13493" width="15.140625" bestFit="1" customWidth="1"/>
    <col min="13494" max="13494" width="12.28515625" bestFit="1" customWidth="1"/>
    <col min="13495" max="13495" width="13.85546875" bestFit="1" customWidth="1"/>
    <col min="13496" max="13496" width="11.28515625" bestFit="1" customWidth="1"/>
    <col min="13497" max="13497" width="12.28515625" bestFit="1" customWidth="1"/>
    <col min="13498" max="13498" width="13.85546875" bestFit="1" customWidth="1"/>
    <col min="13499" max="13500" width="15.140625" bestFit="1" customWidth="1"/>
    <col min="13501" max="13501" width="12.28515625" bestFit="1" customWidth="1"/>
    <col min="13502" max="13502" width="5.7109375" bestFit="1" customWidth="1"/>
    <col min="13503" max="13503" width="8.5703125" bestFit="1" customWidth="1"/>
    <col min="13504" max="13504" width="5.5703125" bestFit="1" customWidth="1"/>
    <col min="13505" max="13505" width="14.42578125" bestFit="1" customWidth="1"/>
    <col min="13506" max="13506" width="11.28515625" bestFit="1" customWidth="1"/>
    <col min="13507" max="13508" width="12.28515625" bestFit="1" customWidth="1"/>
    <col min="13509" max="13509" width="11.28515625" bestFit="1" customWidth="1"/>
    <col min="13510" max="13510" width="13.85546875" bestFit="1" customWidth="1"/>
    <col min="13511" max="13511" width="12" bestFit="1" customWidth="1"/>
    <col min="13512" max="13512" width="13.85546875" bestFit="1" customWidth="1"/>
    <col min="13513" max="13514" width="14.42578125" customWidth="1"/>
    <col min="13515" max="13515" width="10.140625" bestFit="1" customWidth="1"/>
    <col min="13516" max="13516" width="12.28515625" bestFit="1" customWidth="1"/>
    <col min="13517" max="13517" width="7.42578125" bestFit="1" customWidth="1"/>
    <col min="13518" max="13518" width="8.5703125" bestFit="1" customWidth="1"/>
    <col min="13519" max="13519" width="11.5703125" bestFit="1" customWidth="1"/>
    <col min="13520" max="13520" width="13.28515625" bestFit="1" customWidth="1"/>
    <col min="13521" max="13521" width="13.28515625" customWidth="1"/>
    <col min="13522" max="13522" width="13.140625" customWidth="1"/>
    <col min="13523" max="13523" width="12.7109375" bestFit="1" customWidth="1"/>
    <col min="13524" max="13524" width="13.28515625" bestFit="1" customWidth="1"/>
    <col min="13525" max="13527" width="13.28515625" customWidth="1"/>
    <col min="13528" max="13528" width="12.140625" bestFit="1" customWidth="1"/>
    <col min="13529" max="13529" width="12.7109375" bestFit="1" customWidth="1"/>
    <col min="13530" max="13530" width="11" customWidth="1"/>
    <col min="13531" max="13531" width="16.7109375" customWidth="1"/>
    <col min="13532" max="13532" width="17" customWidth="1"/>
    <col min="13533" max="13533" width="10.42578125" bestFit="1" customWidth="1"/>
    <col min="13577" max="13577" width="3.85546875" customWidth="1"/>
    <col min="13578" max="13578" width="15.28515625" bestFit="1" customWidth="1"/>
    <col min="13579" max="13579" width="12.28515625" customWidth="1"/>
    <col min="13580" max="13580" width="16.28515625" bestFit="1" customWidth="1"/>
    <col min="13581" max="13581" width="6.42578125" bestFit="1" customWidth="1"/>
    <col min="13582" max="13582" width="9.28515625" bestFit="1" customWidth="1"/>
    <col min="13583" max="13583" width="7.5703125" bestFit="1" customWidth="1"/>
    <col min="13584" max="13584" width="13.28515625" bestFit="1" customWidth="1"/>
    <col min="13585" max="13585" width="9.28515625" bestFit="1" customWidth="1"/>
    <col min="13586" max="13586" width="11.5703125" bestFit="1" customWidth="1"/>
    <col min="13587" max="13587" width="13.28515625" bestFit="1" customWidth="1"/>
    <col min="13588" max="13588" width="7.140625" bestFit="1" customWidth="1"/>
    <col min="13589" max="13589" width="12" bestFit="1" customWidth="1"/>
    <col min="13590" max="13590" width="13.28515625" bestFit="1" customWidth="1"/>
    <col min="13591" max="13591" width="7" bestFit="1" customWidth="1"/>
    <col min="13592" max="13592" width="12.7109375" bestFit="1" customWidth="1"/>
    <col min="13593" max="13593" width="11.5703125" bestFit="1" customWidth="1"/>
    <col min="13594" max="13594" width="10.5703125" bestFit="1" customWidth="1"/>
    <col min="13595" max="13596" width="15.7109375" bestFit="1" customWidth="1"/>
    <col min="13597" max="13597" width="11.5703125" bestFit="1" customWidth="1"/>
    <col min="13598" max="13598" width="7.7109375" bestFit="1" customWidth="1"/>
    <col min="13599" max="13599" width="15.140625" bestFit="1" customWidth="1"/>
    <col min="13600" max="13600" width="11.5703125" bestFit="1" customWidth="1"/>
    <col min="13601" max="13601" width="13.28515625" bestFit="1" customWidth="1"/>
    <col min="13602" max="13602" width="10.42578125" bestFit="1" customWidth="1"/>
    <col min="13603" max="13603" width="13.28515625" bestFit="1" customWidth="1"/>
    <col min="13604" max="13604" width="12.140625" bestFit="1" customWidth="1"/>
    <col min="13605" max="13605" width="14.42578125" bestFit="1" customWidth="1"/>
    <col min="13606" max="13606" width="13.28515625" bestFit="1" customWidth="1"/>
    <col min="13607" max="13607" width="11.5703125" bestFit="1" customWidth="1"/>
    <col min="13608" max="13608" width="7.7109375" bestFit="1" customWidth="1"/>
    <col min="13609" max="13610" width="14.42578125" bestFit="1" customWidth="1"/>
    <col min="13611" max="13611" width="11.5703125" bestFit="1" customWidth="1"/>
    <col min="13612" max="13612" width="7.7109375" bestFit="1" customWidth="1"/>
    <col min="13613" max="13613" width="13.5703125" customWidth="1"/>
    <col min="13614" max="13614" width="15.28515625" customWidth="1"/>
    <col min="13615" max="13615" width="14.5703125" customWidth="1"/>
    <col min="13616" max="13616" width="13.28515625" bestFit="1" customWidth="1"/>
    <col min="13617" max="13617" width="7.7109375" bestFit="1" customWidth="1"/>
    <col min="13618" max="13618" width="12.7109375" bestFit="1" customWidth="1"/>
    <col min="13619" max="13619" width="11.7109375" bestFit="1" customWidth="1"/>
    <col min="13620" max="13620" width="11.5703125" bestFit="1" customWidth="1"/>
    <col min="13621" max="13621" width="5.28515625" bestFit="1" customWidth="1"/>
    <col min="13622" max="13622" width="13.28515625" bestFit="1" customWidth="1"/>
    <col min="13623" max="13623" width="13.5703125" bestFit="1" customWidth="1"/>
    <col min="13624" max="13624" width="10.5703125" bestFit="1" customWidth="1"/>
    <col min="13625" max="13625" width="13.28515625" bestFit="1" customWidth="1"/>
    <col min="13626" max="13626" width="11.5703125" bestFit="1" customWidth="1"/>
    <col min="13627" max="13627" width="10.5703125" bestFit="1" customWidth="1"/>
    <col min="13628" max="13628" width="16.140625" bestFit="1" customWidth="1"/>
    <col min="13629" max="13630" width="11.28515625" bestFit="1" customWidth="1"/>
    <col min="13631" max="13631" width="13.28515625" bestFit="1" customWidth="1"/>
    <col min="13632" max="13632" width="7.7109375" bestFit="1" customWidth="1"/>
    <col min="13633" max="13636" width="9.140625" hidden="1" customWidth="1"/>
    <col min="13637" max="13637" width="10.42578125" bestFit="1" customWidth="1"/>
    <col min="13638" max="13638" width="10.5703125" bestFit="1" customWidth="1"/>
    <col min="13639" max="13639" width="10.42578125" bestFit="1" customWidth="1"/>
    <col min="13640" max="13640" width="10.5703125" bestFit="1" customWidth="1"/>
    <col min="13641" max="13641" width="9.5703125" bestFit="1" customWidth="1"/>
    <col min="13642" max="13642" width="11.5703125" bestFit="1" customWidth="1"/>
    <col min="13643" max="13643" width="10.42578125" bestFit="1" customWidth="1"/>
    <col min="13644" max="13644" width="10.85546875" customWidth="1"/>
    <col min="13645" max="13646" width="9.85546875" bestFit="1" customWidth="1"/>
    <col min="13647" max="13647" width="13.5703125" bestFit="1" customWidth="1"/>
    <col min="13648" max="13648" width="7.7109375" bestFit="1" customWidth="1"/>
    <col min="13649" max="13649" width="13.28515625" bestFit="1" customWidth="1"/>
    <col min="13650" max="13650" width="11.5703125" bestFit="1" customWidth="1"/>
    <col min="13651" max="13651" width="10.42578125" bestFit="1" customWidth="1"/>
    <col min="13652" max="13652" width="7.7109375" bestFit="1" customWidth="1"/>
    <col min="13653" max="13653" width="11.5703125" bestFit="1" customWidth="1"/>
    <col min="13654" max="13654" width="10.85546875" bestFit="1" customWidth="1"/>
    <col min="13655" max="13655" width="13.28515625" bestFit="1" customWidth="1"/>
    <col min="13656" max="13656" width="10.85546875" bestFit="1" customWidth="1"/>
    <col min="13657" max="13658" width="7.5703125" bestFit="1" customWidth="1"/>
    <col min="13659" max="13660" width="10.42578125" bestFit="1" customWidth="1"/>
    <col min="13661" max="13661" width="11.5703125" bestFit="1" customWidth="1"/>
    <col min="13662" max="13662" width="5.28515625" bestFit="1" customWidth="1"/>
    <col min="13663" max="13663" width="10.28515625" bestFit="1" customWidth="1"/>
    <col min="13664" max="13664" width="10.42578125" bestFit="1" customWidth="1"/>
    <col min="13665" max="13665" width="11.5703125" bestFit="1" customWidth="1"/>
    <col min="13666" max="13666" width="5.28515625" bestFit="1" customWidth="1"/>
    <col min="13667" max="13669" width="11.5703125" bestFit="1" customWidth="1"/>
    <col min="13670" max="13670" width="5.28515625" bestFit="1" customWidth="1"/>
    <col min="13671" max="13672" width="10.42578125" bestFit="1" customWidth="1"/>
    <col min="13673" max="13673" width="11.5703125" bestFit="1" customWidth="1"/>
    <col min="13674" max="13674" width="5.28515625" bestFit="1" customWidth="1"/>
    <col min="13675" max="13675" width="14.28515625" bestFit="1" customWidth="1"/>
    <col min="13676" max="13676" width="13" bestFit="1" customWidth="1"/>
    <col min="13677" max="13677" width="11.5703125" bestFit="1" customWidth="1"/>
    <col min="13678" max="13678" width="8.85546875" bestFit="1" customWidth="1"/>
    <col min="13679" max="13679" width="14.42578125" bestFit="1" customWidth="1"/>
    <col min="13680" max="13680" width="10.42578125" bestFit="1" customWidth="1"/>
    <col min="13681" max="13681" width="12.28515625" bestFit="1" customWidth="1"/>
    <col min="13682" max="13682" width="13.85546875" bestFit="1" customWidth="1"/>
    <col min="13683" max="13683" width="11.28515625" customWidth="1"/>
    <col min="13684" max="13684" width="11.5703125" customWidth="1"/>
    <col min="13685" max="13685" width="13.42578125" bestFit="1" customWidth="1"/>
    <col min="13686" max="13686" width="10.42578125" customWidth="1"/>
    <col min="13687" max="13687" width="13.85546875" bestFit="1" customWidth="1"/>
    <col min="13688" max="13688" width="15.42578125" bestFit="1" customWidth="1"/>
    <col min="13689" max="13689" width="12.28515625" bestFit="1" customWidth="1"/>
    <col min="13690" max="13690" width="12.7109375" customWidth="1"/>
    <col min="13691" max="13691" width="10.7109375" bestFit="1" customWidth="1"/>
    <col min="13692" max="13692" width="9.85546875" customWidth="1"/>
    <col min="13693" max="13694" width="10.140625" bestFit="1" customWidth="1"/>
    <col min="13695" max="13695" width="7.5703125" bestFit="1" customWidth="1"/>
    <col min="13696" max="13696" width="9.42578125" bestFit="1" customWidth="1"/>
    <col min="13697" max="13697" width="14.5703125" bestFit="1" customWidth="1"/>
    <col min="13698" max="13698" width="14.85546875" customWidth="1"/>
    <col min="13699" max="13699" width="15.140625" bestFit="1" customWidth="1"/>
    <col min="13700" max="13700" width="12.140625" bestFit="1" customWidth="1"/>
    <col min="13701" max="13701" width="14.85546875" bestFit="1" customWidth="1"/>
    <col min="13702" max="13702" width="12.28515625" bestFit="1" customWidth="1"/>
    <col min="13703" max="13711" width="9.140625" hidden="1" customWidth="1"/>
    <col min="13712" max="13712" width="5.28515625" bestFit="1" customWidth="1"/>
    <col min="13713" max="13718" width="11.5703125" bestFit="1" customWidth="1"/>
    <col min="13719" max="13719" width="11.28515625" bestFit="1" customWidth="1"/>
    <col min="13720" max="13720" width="10.140625" bestFit="1" customWidth="1"/>
    <col min="13721" max="13721" width="11.5703125" bestFit="1" customWidth="1"/>
    <col min="13722" max="13722" width="16.140625" customWidth="1"/>
    <col min="13723" max="13723" width="13.42578125" customWidth="1"/>
    <col min="13724" max="13724" width="10.140625" bestFit="1" customWidth="1"/>
    <col min="13725" max="13725" width="12.85546875" bestFit="1" customWidth="1"/>
    <col min="13726" max="13726" width="12.28515625" bestFit="1" customWidth="1"/>
    <col min="13727" max="13727" width="11.28515625" bestFit="1" customWidth="1"/>
    <col min="13728" max="13728" width="11.5703125" bestFit="1" customWidth="1"/>
    <col min="13729" max="13729" width="10.85546875" bestFit="1" customWidth="1"/>
    <col min="13730" max="13730" width="11.28515625" bestFit="1" customWidth="1"/>
    <col min="13731" max="13731" width="10.140625" bestFit="1" customWidth="1"/>
    <col min="13732" max="13732" width="13.28515625" bestFit="1" customWidth="1"/>
    <col min="13733" max="13734" width="12.7109375" bestFit="1" customWidth="1"/>
    <col min="13735" max="13735" width="11" bestFit="1" customWidth="1"/>
    <col min="13736" max="13736" width="11.28515625" bestFit="1" customWidth="1"/>
    <col min="13737" max="13737" width="11.5703125" bestFit="1" customWidth="1"/>
    <col min="13738" max="13738" width="12.28515625" bestFit="1" customWidth="1"/>
    <col min="13739" max="13739" width="15.140625" bestFit="1" customWidth="1"/>
    <col min="13740" max="13740" width="14.42578125" bestFit="1" customWidth="1"/>
    <col min="13741" max="13741" width="12.28515625" bestFit="1" customWidth="1"/>
    <col min="13742" max="13742" width="15.140625" bestFit="1" customWidth="1"/>
    <col min="13743" max="13743" width="14.42578125" bestFit="1" customWidth="1"/>
    <col min="13744" max="13744" width="12.28515625" bestFit="1" customWidth="1"/>
    <col min="13745" max="13745" width="14.42578125" bestFit="1" customWidth="1"/>
    <col min="13746" max="13746" width="11.28515625" bestFit="1" customWidth="1"/>
    <col min="13747" max="13747" width="12.28515625" bestFit="1" customWidth="1"/>
    <col min="13748" max="13748" width="13" bestFit="1" customWidth="1"/>
    <col min="13749" max="13749" width="15.140625" bestFit="1" customWidth="1"/>
    <col min="13750" max="13750" width="12.28515625" bestFit="1" customWidth="1"/>
    <col min="13751" max="13751" width="13.85546875" bestFit="1" customWidth="1"/>
    <col min="13752" max="13752" width="11.28515625" bestFit="1" customWidth="1"/>
    <col min="13753" max="13753" width="12.28515625" bestFit="1" customWidth="1"/>
    <col min="13754" max="13754" width="13.85546875" bestFit="1" customWidth="1"/>
    <col min="13755" max="13756" width="15.140625" bestFit="1" customWidth="1"/>
    <col min="13757" max="13757" width="12.28515625" bestFit="1" customWidth="1"/>
    <col min="13758" max="13758" width="5.7109375" bestFit="1" customWidth="1"/>
    <col min="13759" max="13759" width="8.5703125" bestFit="1" customWidth="1"/>
    <col min="13760" max="13760" width="5.5703125" bestFit="1" customWidth="1"/>
    <col min="13761" max="13761" width="14.42578125" bestFit="1" customWidth="1"/>
    <col min="13762" max="13762" width="11.28515625" bestFit="1" customWidth="1"/>
    <col min="13763" max="13764" width="12.28515625" bestFit="1" customWidth="1"/>
    <col min="13765" max="13765" width="11.28515625" bestFit="1" customWidth="1"/>
    <col min="13766" max="13766" width="13.85546875" bestFit="1" customWidth="1"/>
    <col min="13767" max="13767" width="12" bestFit="1" customWidth="1"/>
    <col min="13768" max="13768" width="13.85546875" bestFit="1" customWidth="1"/>
    <col min="13769" max="13770" width="14.42578125" customWidth="1"/>
    <col min="13771" max="13771" width="10.140625" bestFit="1" customWidth="1"/>
    <col min="13772" max="13772" width="12.28515625" bestFit="1" customWidth="1"/>
    <col min="13773" max="13773" width="7.42578125" bestFit="1" customWidth="1"/>
    <col min="13774" max="13774" width="8.5703125" bestFit="1" customWidth="1"/>
    <col min="13775" max="13775" width="11.5703125" bestFit="1" customWidth="1"/>
    <col min="13776" max="13776" width="13.28515625" bestFit="1" customWidth="1"/>
    <col min="13777" max="13777" width="13.28515625" customWidth="1"/>
    <col min="13778" max="13778" width="13.140625" customWidth="1"/>
    <col min="13779" max="13779" width="12.7109375" bestFit="1" customWidth="1"/>
    <col min="13780" max="13780" width="13.28515625" bestFit="1" customWidth="1"/>
    <col min="13781" max="13783" width="13.28515625" customWidth="1"/>
    <col min="13784" max="13784" width="12.140625" bestFit="1" customWidth="1"/>
    <col min="13785" max="13785" width="12.7109375" bestFit="1" customWidth="1"/>
    <col min="13786" max="13786" width="11" customWidth="1"/>
    <col min="13787" max="13787" width="16.7109375" customWidth="1"/>
    <col min="13788" max="13788" width="17" customWidth="1"/>
    <col min="13789" max="13789" width="10.42578125" bestFit="1" customWidth="1"/>
    <col min="13833" max="13833" width="3.85546875" customWidth="1"/>
    <col min="13834" max="13834" width="15.28515625" bestFit="1" customWidth="1"/>
    <col min="13835" max="13835" width="12.28515625" customWidth="1"/>
    <col min="13836" max="13836" width="16.28515625" bestFit="1" customWidth="1"/>
    <col min="13837" max="13837" width="6.42578125" bestFit="1" customWidth="1"/>
    <col min="13838" max="13838" width="9.28515625" bestFit="1" customWidth="1"/>
    <col min="13839" max="13839" width="7.5703125" bestFit="1" customWidth="1"/>
    <col min="13840" max="13840" width="13.28515625" bestFit="1" customWidth="1"/>
    <col min="13841" max="13841" width="9.28515625" bestFit="1" customWidth="1"/>
    <col min="13842" max="13842" width="11.5703125" bestFit="1" customWidth="1"/>
    <col min="13843" max="13843" width="13.28515625" bestFit="1" customWidth="1"/>
    <col min="13844" max="13844" width="7.140625" bestFit="1" customWidth="1"/>
    <col min="13845" max="13845" width="12" bestFit="1" customWidth="1"/>
    <col min="13846" max="13846" width="13.28515625" bestFit="1" customWidth="1"/>
    <col min="13847" max="13847" width="7" bestFit="1" customWidth="1"/>
    <col min="13848" max="13848" width="12.7109375" bestFit="1" customWidth="1"/>
    <col min="13849" max="13849" width="11.5703125" bestFit="1" customWidth="1"/>
    <col min="13850" max="13850" width="10.5703125" bestFit="1" customWidth="1"/>
    <col min="13851" max="13852" width="15.7109375" bestFit="1" customWidth="1"/>
    <col min="13853" max="13853" width="11.5703125" bestFit="1" customWidth="1"/>
    <col min="13854" max="13854" width="7.7109375" bestFit="1" customWidth="1"/>
    <col min="13855" max="13855" width="15.140625" bestFit="1" customWidth="1"/>
    <col min="13856" max="13856" width="11.5703125" bestFit="1" customWidth="1"/>
    <col min="13857" max="13857" width="13.28515625" bestFit="1" customWidth="1"/>
    <col min="13858" max="13858" width="10.42578125" bestFit="1" customWidth="1"/>
    <col min="13859" max="13859" width="13.28515625" bestFit="1" customWidth="1"/>
    <col min="13860" max="13860" width="12.140625" bestFit="1" customWidth="1"/>
    <col min="13861" max="13861" width="14.42578125" bestFit="1" customWidth="1"/>
    <col min="13862" max="13862" width="13.28515625" bestFit="1" customWidth="1"/>
    <col min="13863" max="13863" width="11.5703125" bestFit="1" customWidth="1"/>
    <col min="13864" max="13864" width="7.7109375" bestFit="1" customWidth="1"/>
    <col min="13865" max="13866" width="14.42578125" bestFit="1" customWidth="1"/>
    <col min="13867" max="13867" width="11.5703125" bestFit="1" customWidth="1"/>
    <col min="13868" max="13868" width="7.7109375" bestFit="1" customWidth="1"/>
    <col min="13869" max="13869" width="13.5703125" customWidth="1"/>
    <col min="13870" max="13870" width="15.28515625" customWidth="1"/>
    <col min="13871" max="13871" width="14.5703125" customWidth="1"/>
    <col min="13872" max="13872" width="13.28515625" bestFit="1" customWidth="1"/>
    <col min="13873" max="13873" width="7.7109375" bestFit="1" customWidth="1"/>
    <col min="13874" max="13874" width="12.7109375" bestFit="1" customWidth="1"/>
    <col min="13875" max="13875" width="11.7109375" bestFit="1" customWidth="1"/>
    <col min="13876" max="13876" width="11.5703125" bestFit="1" customWidth="1"/>
    <col min="13877" max="13877" width="5.28515625" bestFit="1" customWidth="1"/>
    <col min="13878" max="13878" width="13.28515625" bestFit="1" customWidth="1"/>
    <col min="13879" max="13879" width="13.5703125" bestFit="1" customWidth="1"/>
    <col min="13880" max="13880" width="10.5703125" bestFit="1" customWidth="1"/>
    <col min="13881" max="13881" width="13.28515625" bestFit="1" customWidth="1"/>
    <col min="13882" max="13882" width="11.5703125" bestFit="1" customWidth="1"/>
    <col min="13883" max="13883" width="10.5703125" bestFit="1" customWidth="1"/>
    <col min="13884" max="13884" width="16.140625" bestFit="1" customWidth="1"/>
    <col min="13885" max="13886" width="11.28515625" bestFit="1" customWidth="1"/>
    <col min="13887" max="13887" width="13.28515625" bestFit="1" customWidth="1"/>
    <col min="13888" max="13888" width="7.7109375" bestFit="1" customWidth="1"/>
    <col min="13889" max="13892" width="9.140625" hidden="1" customWidth="1"/>
    <col min="13893" max="13893" width="10.42578125" bestFit="1" customWidth="1"/>
    <col min="13894" max="13894" width="10.5703125" bestFit="1" customWidth="1"/>
    <col min="13895" max="13895" width="10.42578125" bestFit="1" customWidth="1"/>
    <col min="13896" max="13896" width="10.5703125" bestFit="1" customWidth="1"/>
    <col min="13897" max="13897" width="9.5703125" bestFit="1" customWidth="1"/>
    <col min="13898" max="13898" width="11.5703125" bestFit="1" customWidth="1"/>
    <col min="13899" max="13899" width="10.42578125" bestFit="1" customWidth="1"/>
    <col min="13900" max="13900" width="10.85546875" customWidth="1"/>
    <col min="13901" max="13902" width="9.85546875" bestFit="1" customWidth="1"/>
    <col min="13903" max="13903" width="13.5703125" bestFit="1" customWidth="1"/>
    <col min="13904" max="13904" width="7.7109375" bestFit="1" customWidth="1"/>
    <col min="13905" max="13905" width="13.28515625" bestFit="1" customWidth="1"/>
    <col min="13906" max="13906" width="11.5703125" bestFit="1" customWidth="1"/>
    <col min="13907" max="13907" width="10.42578125" bestFit="1" customWidth="1"/>
    <col min="13908" max="13908" width="7.7109375" bestFit="1" customWidth="1"/>
    <col min="13909" max="13909" width="11.5703125" bestFit="1" customWidth="1"/>
    <col min="13910" max="13910" width="10.85546875" bestFit="1" customWidth="1"/>
    <col min="13911" max="13911" width="13.28515625" bestFit="1" customWidth="1"/>
    <col min="13912" max="13912" width="10.85546875" bestFit="1" customWidth="1"/>
    <col min="13913" max="13914" width="7.5703125" bestFit="1" customWidth="1"/>
    <col min="13915" max="13916" width="10.42578125" bestFit="1" customWidth="1"/>
    <col min="13917" max="13917" width="11.5703125" bestFit="1" customWidth="1"/>
    <col min="13918" max="13918" width="5.28515625" bestFit="1" customWidth="1"/>
    <col min="13919" max="13919" width="10.28515625" bestFit="1" customWidth="1"/>
    <col min="13920" max="13920" width="10.42578125" bestFit="1" customWidth="1"/>
    <col min="13921" max="13921" width="11.5703125" bestFit="1" customWidth="1"/>
    <col min="13922" max="13922" width="5.28515625" bestFit="1" customWidth="1"/>
    <col min="13923" max="13925" width="11.5703125" bestFit="1" customWidth="1"/>
    <col min="13926" max="13926" width="5.28515625" bestFit="1" customWidth="1"/>
    <col min="13927" max="13928" width="10.42578125" bestFit="1" customWidth="1"/>
    <col min="13929" max="13929" width="11.5703125" bestFit="1" customWidth="1"/>
    <col min="13930" max="13930" width="5.28515625" bestFit="1" customWidth="1"/>
    <col min="13931" max="13931" width="14.28515625" bestFit="1" customWidth="1"/>
    <col min="13932" max="13932" width="13" bestFit="1" customWidth="1"/>
    <col min="13933" max="13933" width="11.5703125" bestFit="1" customWidth="1"/>
    <col min="13934" max="13934" width="8.85546875" bestFit="1" customWidth="1"/>
    <col min="13935" max="13935" width="14.42578125" bestFit="1" customWidth="1"/>
    <col min="13936" max="13936" width="10.42578125" bestFit="1" customWidth="1"/>
    <col min="13937" max="13937" width="12.28515625" bestFit="1" customWidth="1"/>
    <col min="13938" max="13938" width="13.85546875" bestFit="1" customWidth="1"/>
    <col min="13939" max="13939" width="11.28515625" customWidth="1"/>
    <col min="13940" max="13940" width="11.5703125" customWidth="1"/>
    <col min="13941" max="13941" width="13.42578125" bestFit="1" customWidth="1"/>
    <col min="13942" max="13942" width="10.42578125" customWidth="1"/>
    <col min="13943" max="13943" width="13.85546875" bestFit="1" customWidth="1"/>
    <col min="13944" max="13944" width="15.42578125" bestFit="1" customWidth="1"/>
    <col min="13945" max="13945" width="12.28515625" bestFit="1" customWidth="1"/>
    <col min="13946" max="13946" width="12.7109375" customWidth="1"/>
    <col min="13947" max="13947" width="10.7109375" bestFit="1" customWidth="1"/>
    <col min="13948" max="13948" width="9.85546875" customWidth="1"/>
    <col min="13949" max="13950" width="10.140625" bestFit="1" customWidth="1"/>
    <col min="13951" max="13951" width="7.5703125" bestFit="1" customWidth="1"/>
    <col min="13952" max="13952" width="9.42578125" bestFit="1" customWidth="1"/>
    <col min="13953" max="13953" width="14.5703125" bestFit="1" customWidth="1"/>
    <col min="13954" max="13954" width="14.85546875" customWidth="1"/>
    <col min="13955" max="13955" width="15.140625" bestFit="1" customWidth="1"/>
    <col min="13956" max="13956" width="12.140625" bestFit="1" customWidth="1"/>
    <col min="13957" max="13957" width="14.85546875" bestFit="1" customWidth="1"/>
    <col min="13958" max="13958" width="12.28515625" bestFit="1" customWidth="1"/>
    <col min="13959" max="13967" width="9.140625" hidden="1" customWidth="1"/>
    <col min="13968" max="13968" width="5.28515625" bestFit="1" customWidth="1"/>
    <col min="13969" max="13974" width="11.5703125" bestFit="1" customWidth="1"/>
    <col min="13975" max="13975" width="11.28515625" bestFit="1" customWidth="1"/>
    <col min="13976" max="13976" width="10.140625" bestFit="1" customWidth="1"/>
    <col min="13977" max="13977" width="11.5703125" bestFit="1" customWidth="1"/>
    <col min="13978" max="13978" width="16.140625" customWidth="1"/>
    <col min="13979" max="13979" width="13.42578125" customWidth="1"/>
    <col min="13980" max="13980" width="10.140625" bestFit="1" customWidth="1"/>
    <col min="13981" max="13981" width="12.85546875" bestFit="1" customWidth="1"/>
    <col min="13982" max="13982" width="12.28515625" bestFit="1" customWidth="1"/>
    <col min="13983" max="13983" width="11.28515625" bestFit="1" customWidth="1"/>
    <col min="13984" max="13984" width="11.5703125" bestFit="1" customWidth="1"/>
    <col min="13985" max="13985" width="10.85546875" bestFit="1" customWidth="1"/>
    <col min="13986" max="13986" width="11.28515625" bestFit="1" customWidth="1"/>
    <col min="13987" max="13987" width="10.140625" bestFit="1" customWidth="1"/>
    <col min="13988" max="13988" width="13.28515625" bestFit="1" customWidth="1"/>
    <col min="13989" max="13990" width="12.7109375" bestFit="1" customWidth="1"/>
    <col min="13991" max="13991" width="11" bestFit="1" customWidth="1"/>
    <col min="13992" max="13992" width="11.28515625" bestFit="1" customWidth="1"/>
    <col min="13993" max="13993" width="11.5703125" bestFit="1" customWidth="1"/>
    <col min="13994" max="13994" width="12.28515625" bestFit="1" customWidth="1"/>
    <col min="13995" max="13995" width="15.140625" bestFit="1" customWidth="1"/>
    <col min="13996" max="13996" width="14.42578125" bestFit="1" customWidth="1"/>
    <col min="13997" max="13997" width="12.28515625" bestFit="1" customWidth="1"/>
    <col min="13998" max="13998" width="15.140625" bestFit="1" customWidth="1"/>
    <col min="13999" max="13999" width="14.42578125" bestFit="1" customWidth="1"/>
    <col min="14000" max="14000" width="12.28515625" bestFit="1" customWidth="1"/>
    <col min="14001" max="14001" width="14.42578125" bestFit="1" customWidth="1"/>
    <col min="14002" max="14002" width="11.28515625" bestFit="1" customWidth="1"/>
    <col min="14003" max="14003" width="12.28515625" bestFit="1" customWidth="1"/>
    <col min="14004" max="14004" width="13" bestFit="1" customWidth="1"/>
    <col min="14005" max="14005" width="15.140625" bestFit="1" customWidth="1"/>
    <col min="14006" max="14006" width="12.28515625" bestFit="1" customWidth="1"/>
    <col min="14007" max="14007" width="13.85546875" bestFit="1" customWidth="1"/>
    <col min="14008" max="14008" width="11.28515625" bestFit="1" customWidth="1"/>
    <col min="14009" max="14009" width="12.28515625" bestFit="1" customWidth="1"/>
    <col min="14010" max="14010" width="13.85546875" bestFit="1" customWidth="1"/>
    <col min="14011" max="14012" width="15.140625" bestFit="1" customWidth="1"/>
    <col min="14013" max="14013" width="12.28515625" bestFit="1" customWidth="1"/>
    <col min="14014" max="14014" width="5.7109375" bestFit="1" customWidth="1"/>
    <col min="14015" max="14015" width="8.5703125" bestFit="1" customWidth="1"/>
    <col min="14016" max="14016" width="5.5703125" bestFit="1" customWidth="1"/>
    <col min="14017" max="14017" width="14.42578125" bestFit="1" customWidth="1"/>
    <col min="14018" max="14018" width="11.28515625" bestFit="1" customWidth="1"/>
    <col min="14019" max="14020" width="12.28515625" bestFit="1" customWidth="1"/>
    <col min="14021" max="14021" width="11.28515625" bestFit="1" customWidth="1"/>
    <col min="14022" max="14022" width="13.85546875" bestFit="1" customWidth="1"/>
    <col min="14023" max="14023" width="12" bestFit="1" customWidth="1"/>
    <col min="14024" max="14024" width="13.85546875" bestFit="1" customWidth="1"/>
    <col min="14025" max="14026" width="14.42578125" customWidth="1"/>
    <col min="14027" max="14027" width="10.140625" bestFit="1" customWidth="1"/>
    <col min="14028" max="14028" width="12.28515625" bestFit="1" customWidth="1"/>
    <col min="14029" max="14029" width="7.42578125" bestFit="1" customWidth="1"/>
    <col min="14030" max="14030" width="8.5703125" bestFit="1" customWidth="1"/>
    <col min="14031" max="14031" width="11.5703125" bestFit="1" customWidth="1"/>
    <col min="14032" max="14032" width="13.28515625" bestFit="1" customWidth="1"/>
    <col min="14033" max="14033" width="13.28515625" customWidth="1"/>
    <col min="14034" max="14034" width="13.140625" customWidth="1"/>
    <col min="14035" max="14035" width="12.7109375" bestFit="1" customWidth="1"/>
    <col min="14036" max="14036" width="13.28515625" bestFit="1" customWidth="1"/>
    <col min="14037" max="14039" width="13.28515625" customWidth="1"/>
    <col min="14040" max="14040" width="12.140625" bestFit="1" customWidth="1"/>
    <col min="14041" max="14041" width="12.7109375" bestFit="1" customWidth="1"/>
    <col min="14042" max="14042" width="11" customWidth="1"/>
    <col min="14043" max="14043" width="16.7109375" customWidth="1"/>
    <col min="14044" max="14044" width="17" customWidth="1"/>
    <col min="14045" max="14045" width="10.42578125" bestFit="1" customWidth="1"/>
    <col min="14089" max="14089" width="3.85546875" customWidth="1"/>
    <col min="14090" max="14090" width="15.28515625" bestFit="1" customWidth="1"/>
    <col min="14091" max="14091" width="12.28515625" customWidth="1"/>
    <col min="14092" max="14092" width="16.28515625" bestFit="1" customWidth="1"/>
    <col min="14093" max="14093" width="6.42578125" bestFit="1" customWidth="1"/>
    <col min="14094" max="14094" width="9.28515625" bestFit="1" customWidth="1"/>
    <col min="14095" max="14095" width="7.5703125" bestFit="1" customWidth="1"/>
    <col min="14096" max="14096" width="13.28515625" bestFit="1" customWidth="1"/>
    <col min="14097" max="14097" width="9.28515625" bestFit="1" customWidth="1"/>
    <col min="14098" max="14098" width="11.5703125" bestFit="1" customWidth="1"/>
    <col min="14099" max="14099" width="13.28515625" bestFit="1" customWidth="1"/>
    <col min="14100" max="14100" width="7.140625" bestFit="1" customWidth="1"/>
    <col min="14101" max="14101" width="12" bestFit="1" customWidth="1"/>
    <col min="14102" max="14102" width="13.28515625" bestFit="1" customWidth="1"/>
    <col min="14103" max="14103" width="7" bestFit="1" customWidth="1"/>
    <col min="14104" max="14104" width="12.7109375" bestFit="1" customWidth="1"/>
    <col min="14105" max="14105" width="11.5703125" bestFit="1" customWidth="1"/>
    <col min="14106" max="14106" width="10.5703125" bestFit="1" customWidth="1"/>
    <col min="14107" max="14108" width="15.7109375" bestFit="1" customWidth="1"/>
    <col min="14109" max="14109" width="11.5703125" bestFit="1" customWidth="1"/>
    <col min="14110" max="14110" width="7.7109375" bestFit="1" customWidth="1"/>
    <col min="14111" max="14111" width="15.140625" bestFit="1" customWidth="1"/>
    <col min="14112" max="14112" width="11.5703125" bestFit="1" customWidth="1"/>
    <col min="14113" max="14113" width="13.28515625" bestFit="1" customWidth="1"/>
    <col min="14114" max="14114" width="10.42578125" bestFit="1" customWidth="1"/>
    <col min="14115" max="14115" width="13.28515625" bestFit="1" customWidth="1"/>
    <col min="14116" max="14116" width="12.140625" bestFit="1" customWidth="1"/>
    <col min="14117" max="14117" width="14.42578125" bestFit="1" customWidth="1"/>
    <col min="14118" max="14118" width="13.28515625" bestFit="1" customWidth="1"/>
    <col min="14119" max="14119" width="11.5703125" bestFit="1" customWidth="1"/>
    <col min="14120" max="14120" width="7.7109375" bestFit="1" customWidth="1"/>
    <col min="14121" max="14122" width="14.42578125" bestFit="1" customWidth="1"/>
    <col min="14123" max="14123" width="11.5703125" bestFit="1" customWidth="1"/>
    <col min="14124" max="14124" width="7.7109375" bestFit="1" customWidth="1"/>
    <col min="14125" max="14125" width="13.5703125" customWidth="1"/>
    <col min="14126" max="14126" width="15.28515625" customWidth="1"/>
    <col min="14127" max="14127" width="14.5703125" customWidth="1"/>
    <col min="14128" max="14128" width="13.28515625" bestFit="1" customWidth="1"/>
    <col min="14129" max="14129" width="7.7109375" bestFit="1" customWidth="1"/>
    <col min="14130" max="14130" width="12.7109375" bestFit="1" customWidth="1"/>
    <col min="14131" max="14131" width="11.7109375" bestFit="1" customWidth="1"/>
    <col min="14132" max="14132" width="11.5703125" bestFit="1" customWidth="1"/>
    <col min="14133" max="14133" width="5.28515625" bestFit="1" customWidth="1"/>
    <col min="14134" max="14134" width="13.28515625" bestFit="1" customWidth="1"/>
    <col min="14135" max="14135" width="13.5703125" bestFit="1" customWidth="1"/>
    <col min="14136" max="14136" width="10.5703125" bestFit="1" customWidth="1"/>
    <col min="14137" max="14137" width="13.28515625" bestFit="1" customWidth="1"/>
    <col min="14138" max="14138" width="11.5703125" bestFit="1" customWidth="1"/>
    <col min="14139" max="14139" width="10.5703125" bestFit="1" customWidth="1"/>
    <col min="14140" max="14140" width="16.140625" bestFit="1" customWidth="1"/>
    <col min="14141" max="14142" width="11.28515625" bestFit="1" customWidth="1"/>
    <col min="14143" max="14143" width="13.28515625" bestFit="1" customWidth="1"/>
    <col min="14144" max="14144" width="7.7109375" bestFit="1" customWidth="1"/>
    <col min="14145" max="14148" width="9.140625" hidden="1" customWidth="1"/>
    <col min="14149" max="14149" width="10.42578125" bestFit="1" customWidth="1"/>
    <col min="14150" max="14150" width="10.5703125" bestFit="1" customWidth="1"/>
    <col min="14151" max="14151" width="10.42578125" bestFit="1" customWidth="1"/>
    <col min="14152" max="14152" width="10.5703125" bestFit="1" customWidth="1"/>
    <col min="14153" max="14153" width="9.5703125" bestFit="1" customWidth="1"/>
    <col min="14154" max="14154" width="11.5703125" bestFit="1" customWidth="1"/>
    <col min="14155" max="14155" width="10.42578125" bestFit="1" customWidth="1"/>
    <col min="14156" max="14156" width="10.85546875" customWidth="1"/>
    <col min="14157" max="14158" width="9.85546875" bestFit="1" customWidth="1"/>
    <col min="14159" max="14159" width="13.5703125" bestFit="1" customWidth="1"/>
    <col min="14160" max="14160" width="7.7109375" bestFit="1" customWidth="1"/>
    <col min="14161" max="14161" width="13.28515625" bestFit="1" customWidth="1"/>
    <col min="14162" max="14162" width="11.5703125" bestFit="1" customWidth="1"/>
    <col min="14163" max="14163" width="10.42578125" bestFit="1" customWidth="1"/>
    <col min="14164" max="14164" width="7.7109375" bestFit="1" customWidth="1"/>
    <col min="14165" max="14165" width="11.5703125" bestFit="1" customWidth="1"/>
    <col min="14166" max="14166" width="10.85546875" bestFit="1" customWidth="1"/>
    <col min="14167" max="14167" width="13.28515625" bestFit="1" customWidth="1"/>
    <col min="14168" max="14168" width="10.85546875" bestFit="1" customWidth="1"/>
    <col min="14169" max="14170" width="7.5703125" bestFit="1" customWidth="1"/>
    <col min="14171" max="14172" width="10.42578125" bestFit="1" customWidth="1"/>
    <col min="14173" max="14173" width="11.5703125" bestFit="1" customWidth="1"/>
    <col min="14174" max="14174" width="5.28515625" bestFit="1" customWidth="1"/>
    <col min="14175" max="14175" width="10.28515625" bestFit="1" customWidth="1"/>
    <col min="14176" max="14176" width="10.42578125" bestFit="1" customWidth="1"/>
    <col min="14177" max="14177" width="11.5703125" bestFit="1" customWidth="1"/>
    <col min="14178" max="14178" width="5.28515625" bestFit="1" customWidth="1"/>
    <col min="14179" max="14181" width="11.5703125" bestFit="1" customWidth="1"/>
    <col min="14182" max="14182" width="5.28515625" bestFit="1" customWidth="1"/>
    <col min="14183" max="14184" width="10.42578125" bestFit="1" customWidth="1"/>
    <col min="14185" max="14185" width="11.5703125" bestFit="1" customWidth="1"/>
    <col min="14186" max="14186" width="5.28515625" bestFit="1" customWidth="1"/>
    <col min="14187" max="14187" width="14.28515625" bestFit="1" customWidth="1"/>
    <col min="14188" max="14188" width="13" bestFit="1" customWidth="1"/>
    <col min="14189" max="14189" width="11.5703125" bestFit="1" customWidth="1"/>
    <col min="14190" max="14190" width="8.85546875" bestFit="1" customWidth="1"/>
    <col min="14191" max="14191" width="14.42578125" bestFit="1" customWidth="1"/>
    <col min="14192" max="14192" width="10.42578125" bestFit="1" customWidth="1"/>
    <col min="14193" max="14193" width="12.28515625" bestFit="1" customWidth="1"/>
    <col min="14194" max="14194" width="13.85546875" bestFit="1" customWidth="1"/>
    <col min="14195" max="14195" width="11.28515625" customWidth="1"/>
    <col min="14196" max="14196" width="11.5703125" customWidth="1"/>
    <col min="14197" max="14197" width="13.42578125" bestFit="1" customWidth="1"/>
    <col min="14198" max="14198" width="10.42578125" customWidth="1"/>
    <col min="14199" max="14199" width="13.85546875" bestFit="1" customWidth="1"/>
    <col min="14200" max="14200" width="15.42578125" bestFit="1" customWidth="1"/>
    <col min="14201" max="14201" width="12.28515625" bestFit="1" customWidth="1"/>
    <col min="14202" max="14202" width="12.7109375" customWidth="1"/>
    <col min="14203" max="14203" width="10.7109375" bestFit="1" customWidth="1"/>
    <col min="14204" max="14204" width="9.85546875" customWidth="1"/>
    <col min="14205" max="14206" width="10.140625" bestFit="1" customWidth="1"/>
    <col min="14207" max="14207" width="7.5703125" bestFit="1" customWidth="1"/>
    <col min="14208" max="14208" width="9.42578125" bestFit="1" customWidth="1"/>
    <col min="14209" max="14209" width="14.5703125" bestFit="1" customWidth="1"/>
    <col min="14210" max="14210" width="14.85546875" customWidth="1"/>
    <col min="14211" max="14211" width="15.140625" bestFit="1" customWidth="1"/>
    <col min="14212" max="14212" width="12.140625" bestFit="1" customWidth="1"/>
    <col min="14213" max="14213" width="14.85546875" bestFit="1" customWidth="1"/>
    <col min="14214" max="14214" width="12.28515625" bestFit="1" customWidth="1"/>
    <col min="14215" max="14223" width="9.140625" hidden="1" customWidth="1"/>
    <col min="14224" max="14224" width="5.28515625" bestFit="1" customWidth="1"/>
    <col min="14225" max="14230" width="11.5703125" bestFit="1" customWidth="1"/>
    <col min="14231" max="14231" width="11.28515625" bestFit="1" customWidth="1"/>
    <col min="14232" max="14232" width="10.140625" bestFit="1" customWidth="1"/>
    <col min="14233" max="14233" width="11.5703125" bestFit="1" customWidth="1"/>
    <col min="14234" max="14234" width="16.140625" customWidth="1"/>
    <col min="14235" max="14235" width="13.42578125" customWidth="1"/>
    <col min="14236" max="14236" width="10.140625" bestFit="1" customWidth="1"/>
    <col min="14237" max="14237" width="12.85546875" bestFit="1" customWidth="1"/>
    <col min="14238" max="14238" width="12.28515625" bestFit="1" customWidth="1"/>
    <col min="14239" max="14239" width="11.28515625" bestFit="1" customWidth="1"/>
    <col min="14240" max="14240" width="11.5703125" bestFit="1" customWidth="1"/>
    <col min="14241" max="14241" width="10.85546875" bestFit="1" customWidth="1"/>
    <col min="14242" max="14242" width="11.28515625" bestFit="1" customWidth="1"/>
    <col min="14243" max="14243" width="10.140625" bestFit="1" customWidth="1"/>
    <col min="14244" max="14244" width="13.28515625" bestFit="1" customWidth="1"/>
    <col min="14245" max="14246" width="12.7109375" bestFit="1" customWidth="1"/>
    <col min="14247" max="14247" width="11" bestFit="1" customWidth="1"/>
    <col min="14248" max="14248" width="11.28515625" bestFit="1" customWidth="1"/>
    <col min="14249" max="14249" width="11.5703125" bestFit="1" customWidth="1"/>
    <col min="14250" max="14250" width="12.28515625" bestFit="1" customWidth="1"/>
    <col min="14251" max="14251" width="15.140625" bestFit="1" customWidth="1"/>
    <col min="14252" max="14252" width="14.42578125" bestFit="1" customWidth="1"/>
    <col min="14253" max="14253" width="12.28515625" bestFit="1" customWidth="1"/>
    <col min="14254" max="14254" width="15.140625" bestFit="1" customWidth="1"/>
    <col min="14255" max="14255" width="14.42578125" bestFit="1" customWidth="1"/>
    <col min="14256" max="14256" width="12.28515625" bestFit="1" customWidth="1"/>
    <col min="14257" max="14257" width="14.42578125" bestFit="1" customWidth="1"/>
    <col min="14258" max="14258" width="11.28515625" bestFit="1" customWidth="1"/>
    <col min="14259" max="14259" width="12.28515625" bestFit="1" customWidth="1"/>
    <col min="14260" max="14260" width="13" bestFit="1" customWidth="1"/>
    <col min="14261" max="14261" width="15.140625" bestFit="1" customWidth="1"/>
    <col min="14262" max="14262" width="12.28515625" bestFit="1" customWidth="1"/>
    <col min="14263" max="14263" width="13.85546875" bestFit="1" customWidth="1"/>
    <col min="14264" max="14264" width="11.28515625" bestFit="1" customWidth="1"/>
    <col min="14265" max="14265" width="12.28515625" bestFit="1" customWidth="1"/>
    <col min="14266" max="14266" width="13.85546875" bestFit="1" customWidth="1"/>
    <col min="14267" max="14268" width="15.140625" bestFit="1" customWidth="1"/>
    <col min="14269" max="14269" width="12.28515625" bestFit="1" customWidth="1"/>
    <col min="14270" max="14270" width="5.7109375" bestFit="1" customWidth="1"/>
    <col min="14271" max="14271" width="8.5703125" bestFit="1" customWidth="1"/>
    <col min="14272" max="14272" width="5.5703125" bestFit="1" customWidth="1"/>
    <col min="14273" max="14273" width="14.42578125" bestFit="1" customWidth="1"/>
    <col min="14274" max="14274" width="11.28515625" bestFit="1" customWidth="1"/>
    <col min="14275" max="14276" width="12.28515625" bestFit="1" customWidth="1"/>
    <col min="14277" max="14277" width="11.28515625" bestFit="1" customWidth="1"/>
    <col min="14278" max="14278" width="13.85546875" bestFit="1" customWidth="1"/>
    <col min="14279" max="14279" width="12" bestFit="1" customWidth="1"/>
    <col min="14280" max="14280" width="13.85546875" bestFit="1" customWidth="1"/>
    <col min="14281" max="14282" width="14.42578125" customWidth="1"/>
    <col min="14283" max="14283" width="10.140625" bestFit="1" customWidth="1"/>
    <col min="14284" max="14284" width="12.28515625" bestFit="1" customWidth="1"/>
    <col min="14285" max="14285" width="7.42578125" bestFit="1" customWidth="1"/>
    <col min="14286" max="14286" width="8.5703125" bestFit="1" customWidth="1"/>
    <col min="14287" max="14287" width="11.5703125" bestFit="1" customWidth="1"/>
    <col min="14288" max="14288" width="13.28515625" bestFit="1" customWidth="1"/>
    <col min="14289" max="14289" width="13.28515625" customWidth="1"/>
    <col min="14290" max="14290" width="13.140625" customWidth="1"/>
    <col min="14291" max="14291" width="12.7109375" bestFit="1" customWidth="1"/>
    <col min="14292" max="14292" width="13.28515625" bestFit="1" customWidth="1"/>
    <col min="14293" max="14295" width="13.28515625" customWidth="1"/>
    <col min="14296" max="14296" width="12.140625" bestFit="1" customWidth="1"/>
    <col min="14297" max="14297" width="12.7109375" bestFit="1" customWidth="1"/>
    <col min="14298" max="14298" width="11" customWidth="1"/>
    <col min="14299" max="14299" width="16.7109375" customWidth="1"/>
    <col min="14300" max="14300" width="17" customWidth="1"/>
    <col min="14301" max="14301" width="10.42578125" bestFit="1" customWidth="1"/>
    <col min="14345" max="14345" width="3.85546875" customWidth="1"/>
    <col min="14346" max="14346" width="15.28515625" bestFit="1" customWidth="1"/>
    <col min="14347" max="14347" width="12.28515625" customWidth="1"/>
    <col min="14348" max="14348" width="16.28515625" bestFit="1" customWidth="1"/>
    <col min="14349" max="14349" width="6.42578125" bestFit="1" customWidth="1"/>
    <col min="14350" max="14350" width="9.28515625" bestFit="1" customWidth="1"/>
    <col min="14351" max="14351" width="7.5703125" bestFit="1" customWidth="1"/>
    <col min="14352" max="14352" width="13.28515625" bestFit="1" customWidth="1"/>
    <col min="14353" max="14353" width="9.28515625" bestFit="1" customWidth="1"/>
    <col min="14354" max="14354" width="11.5703125" bestFit="1" customWidth="1"/>
    <col min="14355" max="14355" width="13.28515625" bestFit="1" customWidth="1"/>
    <col min="14356" max="14356" width="7.140625" bestFit="1" customWidth="1"/>
    <col min="14357" max="14357" width="12" bestFit="1" customWidth="1"/>
    <col min="14358" max="14358" width="13.28515625" bestFit="1" customWidth="1"/>
    <col min="14359" max="14359" width="7" bestFit="1" customWidth="1"/>
    <col min="14360" max="14360" width="12.7109375" bestFit="1" customWidth="1"/>
    <col min="14361" max="14361" width="11.5703125" bestFit="1" customWidth="1"/>
    <col min="14362" max="14362" width="10.5703125" bestFit="1" customWidth="1"/>
    <col min="14363" max="14364" width="15.7109375" bestFit="1" customWidth="1"/>
    <col min="14365" max="14365" width="11.5703125" bestFit="1" customWidth="1"/>
    <col min="14366" max="14366" width="7.7109375" bestFit="1" customWidth="1"/>
    <col min="14367" max="14367" width="15.140625" bestFit="1" customWidth="1"/>
    <col min="14368" max="14368" width="11.5703125" bestFit="1" customWidth="1"/>
    <col min="14369" max="14369" width="13.28515625" bestFit="1" customWidth="1"/>
    <col min="14370" max="14370" width="10.42578125" bestFit="1" customWidth="1"/>
    <col min="14371" max="14371" width="13.28515625" bestFit="1" customWidth="1"/>
    <col min="14372" max="14372" width="12.140625" bestFit="1" customWidth="1"/>
    <col min="14373" max="14373" width="14.42578125" bestFit="1" customWidth="1"/>
    <col min="14374" max="14374" width="13.28515625" bestFit="1" customWidth="1"/>
    <col min="14375" max="14375" width="11.5703125" bestFit="1" customWidth="1"/>
    <col min="14376" max="14376" width="7.7109375" bestFit="1" customWidth="1"/>
    <col min="14377" max="14378" width="14.42578125" bestFit="1" customWidth="1"/>
    <col min="14379" max="14379" width="11.5703125" bestFit="1" customWidth="1"/>
    <col min="14380" max="14380" width="7.7109375" bestFit="1" customWidth="1"/>
    <col min="14381" max="14381" width="13.5703125" customWidth="1"/>
    <col min="14382" max="14382" width="15.28515625" customWidth="1"/>
    <col min="14383" max="14383" width="14.5703125" customWidth="1"/>
    <col min="14384" max="14384" width="13.28515625" bestFit="1" customWidth="1"/>
    <col min="14385" max="14385" width="7.7109375" bestFit="1" customWidth="1"/>
    <col min="14386" max="14386" width="12.7109375" bestFit="1" customWidth="1"/>
    <col min="14387" max="14387" width="11.7109375" bestFit="1" customWidth="1"/>
    <col min="14388" max="14388" width="11.5703125" bestFit="1" customWidth="1"/>
    <col min="14389" max="14389" width="5.28515625" bestFit="1" customWidth="1"/>
    <col min="14390" max="14390" width="13.28515625" bestFit="1" customWidth="1"/>
    <col min="14391" max="14391" width="13.5703125" bestFit="1" customWidth="1"/>
    <col min="14392" max="14392" width="10.5703125" bestFit="1" customWidth="1"/>
    <col min="14393" max="14393" width="13.28515625" bestFit="1" customWidth="1"/>
    <col min="14394" max="14394" width="11.5703125" bestFit="1" customWidth="1"/>
    <col min="14395" max="14395" width="10.5703125" bestFit="1" customWidth="1"/>
    <col min="14396" max="14396" width="16.140625" bestFit="1" customWidth="1"/>
    <col min="14397" max="14398" width="11.28515625" bestFit="1" customWidth="1"/>
    <col min="14399" max="14399" width="13.28515625" bestFit="1" customWidth="1"/>
    <col min="14400" max="14400" width="7.7109375" bestFit="1" customWidth="1"/>
    <col min="14401" max="14404" width="9.140625" hidden="1" customWidth="1"/>
    <col min="14405" max="14405" width="10.42578125" bestFit="1" customWidth="1"/>
    <col min="14406" max="14406" width="10.5703125" bestFit="1" customWidth="1"/>
    <col min="14407" max="14407" width="10.42578125" bestFit="1" customWidth="1"/>
    <col min="14408" max="14408" width="10.5703125" bestFit="1" customWidth="1"/>
    <col min="14409" max="14409" width="9.5703125" bestFit="1" customWidth="1"/>
    <col min="14410" max="14410" width="11.5703125" bestFit="1" customWidth="1"/>
    <col min="14411" max="14411" width="10.42578125" bestFit="1" customWidth="1"/>
    <col min="14412" max="14412" width="10.85546875" customWidth="1"/>
    <col min="14413" max="14414" width="9.85546875" bestFit="1" customWidth="1"/>
    <col min="14415" max="14415" width="13.5703125" bestFit="1" customWidth="1"/>
    <col min="14416" max="14416" width="7.7109375" bestFit="1" customWidth="1"/>
    <col min="14417" max="14417" width="13.28515625" bestFit="1" customWidth="1"/>
    <col min="14418" max="14418" width="11.5703125" bestFit="1" customWidth="1"/>
    <col min="14419" max="14419" width="10.42578125" bestFit="1" customWidth="1"/>
    <col min="14420" max="14420" width="7.7109375" bestFit="1" customWidth="1"/>
    <col min="14421" max="14421" width="11.5703125" bestFit="1" customWidth="1"/>
    <col min="14422" max="14422" width="10.85546875" bestFit="1" customWidth="1"/>
    <col min="14423" max="14423" width="13.28515625" bestFit="1" customWidth="1"/>
    <col min="14424" max="14424" width="10.85546875" bestFit="1" customWidth="1"/>
    <col min="14425" max="14426" width="7.5703125" bestFit="1" customWidth="1"/>
    <col min="14427" max="14428" width="10.42578125" bestFit="1" customWidth="1"/>
    <col min="14429" max="14429" width="11.5703125" bestFit="1" customWidth="1"/>
    <col min="14430" max="14430" width="5.28515625" bestFit="1" customWidth="1"/>
    <col min="14431" max="14431" width="10.28515625" bestFit="1" customWidth="1"/>
    <col min="14432" max="14432" width="10.42578125" bestFit="1" customWidth="1"/>
    <col min="14433" max="14433" width="11.5703125" bestFit="1" customWidth="1"/>
    <col min="14434" max="14434" width="5.28515625" bestFit="1" customWidth="1"/>
    <col min="14435" max="14437" width="11.5703125" bestFit="1" customWidth="1"/>
    <col min="14438" max="14438" width="5.28515625" bestFit="1" customWidth="1"/>
    <col min="14439" max="14440" width="10.42578125" bestFit="1" customWidth="1"/>
    <col min="14441" max="14441" width="11.5703125" bestFit="1" customWidth="1"/>
    <col min="14442" max="14442" width="5.28515625" bestFit="1" customWidth="1"/>
    <col min="14443" max="14443" width="14.28515625" bestFit="1" customWidth="1"/>
    <col min="14444" max="14444" width="13" bestFit="1" customWidth="1"/>
    <col min="14445" max="14445" width="11.5703125" bestFit="1" customWidth="1"/>
    <col min="14446" max="14446" width="8.85546875" bestFit="1" customWidth="1"/>
    <col min="14447" max="14447" width="14.42578125" bestFit="1" customWidth="1"/>
    <col min="14448" max="14448" width="10.42578125" bestFit="1" customWidth="1"/>
    <col min="14449" max="14449" width="12.28515625" bestFit="1" customWidth="1"/>
    <col min="14450" max="14450" width="13.85546875" bestFit="1" customWidth="1"/>
    <col min="14451" max="14451" width="11.28515625" customWidth="1"/>
    <col min="14452" max="14452" width="11.5703125" customWidth="1"/>
    <col min="14453" max="14453" width="13.42578125" bestFit="1" customWidth="1"/>
    <col min="14454" max="14454" width="10.42578125" customWidth="1"/>
    <col min="14455" max="14455" width="13.85546875" bestFit="1" customWidth="1"/>
    <col min="14456" max="14456" width="15.42578125" bestFit="1" customWidth="1"/>
    <col min="14457" max="14457" width="12.28515625" bestFit="1" customWidth="1"/>
    <col min="14458" max="14458" width="12.7109375" customWidth="1"/>
    <col min="14459" max="14459" width="10.7109375" bestFit="1" customWidth="1"/>
    <col min="14460" max="14460" width="9.85546875" customWidth="1"/>
    <col min="14461" max="14462" width="10.140625" bestFit="1" customWidth="1"/>
    <col min="14463" max="14463" width="7.5703125" bestFit="1" customWidth="1"/>
    <col min="14464" max="14464" width="9.42578125" bestFit="1" customWidth="1"/>
    <col min="14465" max="14465" width="14.5703125" bestFit="1" customWidth="1"/>
    <col min="14466" max="14466" width="14.85546875" customWidth="1"/>
    <col min="14467" max="14467" width="15.140625" bestFit="1" customWidth="1"/>
    <col min="14468" max="14468" width="12.140625" bestFit="1" customWidth="1"/>
    <col min="14469" max="14469" width="14.85546875" bestFit="1" customWidth="1"/>
    <col min="14470" max="14470" width="12.28515625" bestFit="1" customWidth="1"/>
    <col min="14471" max="14479" width="9.140625" hidden="1" customWidth="1"/>
    <col min="14480" max="14480" width="5.28515625" bestFit="1" customWidth="1"/>
    <col min="14481" max="14486" width="11.5703125" bestFit="1" customWidth="1"/>
    <col min="14487" max="14487" width="11.28515625" bestFit="1" customWidth="1"/>
    <col min="14488" max="14488" width="10.140625" bestFit="1" customWidth="1"/>
    <col min="14489" max="14489" width="11.5703125" bestFit="1" customWidth="1"/>
    <col min="14490" max="14490" width="16.140625" customWidth="1"/>
    <col min="14491" max="14491" width="13.42578125" customWidth="1"/>
    <col min="14492" max="14492" width="10.140625" bestFit="1" customWidth="1"/>
    <col min="14493" max="14493" width="12.85546875" bestFit="1" customWidth="1"/>
    <col min="14494" max="14494" width="12.28515625" bestFit="1" customWidth="1"/>
    <col min="14495" max="14495" width="11.28515625" bestFit="1" customWidth="1"/>
    <col min="14496" max="14496" width="11.5703125" bestFit="1" customWidth="1"/>
    <col min="14497" max="14497" width="10.85546875" bestFit="1" customWidth="1"/>
    <col min="14498" max="14498" width="11.28515625" bestFit="1" customWidth="1"/>
    <col min="14499" max="14499" width="10.140625" bestFit="1" customWidth="1"/>
    <col min="14500" max="14500" width="13.28515625" bestFit="1" customWidth="1"/>
    <col min="14501" max="14502" width="12.7109375" bestFit="1" customWidth="1"/>
    <col min="14503" max="14503" width="11" bestFit="1" customWidth="1"/>
    <col min="14504" max="14504" width="11.28515625" bestFit="1" customWidth="1"/>
    <col min="14505" max="14505" width="11.5703125" bestFit="1" customWidth="1"/>
    <col min="14506" max="14506" width="12.28515625" bestFit="1" customWidth="1"/>
    <col min="14507" max="14507" width="15.140625" bestFit="1" customWidth="1"/>
    <col min="14508" max="14508" width="14.42578125" bestFit="1" customWidth="1"/>
    <col min="14509" max="14509" width="12.28515625" bestFit="1" customWidth="1"/>
    <col min="14510" max="14510" width="15.140625" bestFit="1" customWidth="1"/>
    <col min="14511" max="14511" width="14.42578125" bestFit="1" customWidth="1"/>
    <col min="14512" max="14512" width="12.28515625" bestFit="1" customWidth="1"/>
    <col min="14513" max="14513" width="14.42578125" bestFit="1" customWidth="1"/>
    <col min="14514" max="14514" width="11.28515625" bestFit="1" customWidth="1"/>
    <col min="14515" max="14515" width="12.28515625" bestFit="1" customWidth="1"/>
    <col min="14516" max="14516" width="13" bestFit="1" customWidth="1"/>
    <col min="14517" max="14517" width="15.140625" bestFit="1" customWidth="1"/>
    <col min="14518" max="14518" width="12.28515625" bestFit="1" customWidth="1"/>
    <col min="14519" max="14519" width="13.85546875" bestFit="1" customWidth="1"/>
    <col min="14520" max="14520" width="11.28515625" bestFit="1" customWidth="1"/>
    <col min="14521" max="14521" width="12.28515625" bestFit="1" customWidth="1"/>
    <col min="14522" max="14522" width="13.85546875" bestFit="1" customWidth="1"/>
    <col min="14523" max="14524" width="15.140625" bestFit="1" customWidth="1"/>
    <col min="14525" max="14525" width="12.28515625" bestFit="1" customWidth="1"/>
    <col min="14526" max="14526" width="5.7109375" bestFit="1" customWidth="1"/>
    <col min="14527" max="14527" width="8.5703125" bestFit="1" customWidth="1"/>
    <col min="14528" max="14528" width="5.5703125" bestFit="1" customWidth="1"/>
    <col min="14529" max="14529" width="14.42578125" bestFit="1" customWidth="1"/>
    <col min="14530" max="14530" width="11.28515625" bestFit="1" customWidth="1"/>
    <col min="14531" max="14532" width="12.28515625" bestFit="1" customWidth="1"/>
    <col min="14533" max="14533" width="11.28515625" bestFit="1" customWidth="1"/>
    <col min="14534" max="14534" width="13.85546875" bestFit="1" customWidth="1"/>
    <col min="14535" max="14535" width="12" bestFit="1" customWidth="1"/>
    <col min="14536" max="14536" width="13.85546875" bestFit="1" customWidth="1"/>
    <col min="14537" max="14538" width="14.42578125" customWidth="1"/>
    <col min="14539" max="14539" width="10.140625" bestFit="1" customWidth="1"/>
    <col min="14540" max="14540" width="12.28515625" bestFit="1" customWidth="1"/>
    <col min="14541" max="14541" width="7.42578125" bestFit="1" customWidth="1"/>
    <col min="14542" max="14542" width="8.5703125" bestFit="1" customWidth="1"/>
    <col min="14543" max="14543" width="11.5703125" bestFit="1" customWidth="1"/>
    <col min="14544" max="14544" width="13.28515625" bestFit="1" customWidth="1"/>
    <col min="14545" max="14545" width="13.28515625" customWidth="1"/>
    <col min="14546" max="14546" width="13.140625" customWidth="1"/>
    <col min="14547" max="14547" width="12.7109375" bestFit="1" customWidth="1"/>
    <col min="14548" max="14548" width="13.28515625" bestFit="1" customWidth="1"/>
    <col min="14549" max="14551" width="13.28515625" customWidth="1"/>
    <col min="14552" max="14552" width="12.140625" bestFit="1" customWidth="1"/>
    <col min="14553" max="14553" width="12.7109375" bestFit="1" customWidth="1"/>
    <col min="14554" max="14554" width="11" customWidth="1"/>
    <col min="14555" max="14555" width="16.7109375" customWidth="1"/>
    <col min="14556" max="14556" width="17" customWidth="1"/>
    <col min="14557" max="14557" width="10.42578125" bestFit="1" customWidth="1"/>
    <col min="14601" max="14601" width="3.85546875" customWidth="1"/>
    <col min="14602" max="14602" width="15.28515625" bestFit="1" customWidth="1"/>
    <col min="14603" max="14603" width="12.28515625" customWidth="1"/>
    <col min="14604" max="14604" width="16.28515625" bestFit="1" customWidth="1"/>
    <col min="14605" max="14605" width="6.42578125" bestFit="1" customWidth="1"/>
    <col min="14606" max="14606" width="9.28515625" bestFit="1" customWidth="1"/>
    <col min="14607" max="14607" width="7.5703125" bestFit="1" customWidth="1"/>
    <col min="14608" max="14608" width="13.28515625" bestFit="1" customWidth="1"/>
    <col min="14609" max="14609" width="9.28515625" bestFit="1" customWidth="1"/>
    <col min="14610" max="14610" width="11.5703125" bestFit="1" customWidth="1"/>
    <col min="14611" max="14611" width="13.28515625" bestFit="1" customWidth="1"/>
    <col min="14612" max="14612" width="7.140625" bestFit="1" customWidth="1"/>
    <col min="14613" max="14613" width="12" bestFit="1" customWidth="1"/>
    <col min="14614" max="14614" width="13.28515625" bestFit="1" customWidth="1"/>
    <col min="14615" max="14615" width="7" bestFit="1" customWidth="1"/>
    <col min="14616" max="14616" width="12.7109375" bestFit="1" customWidth="1"/>
    <col min="14617" max="14617" width="11.5703125" bestFit="1" customWidth="1"/>
    <col min="14618" max="14618" width="10.5703125" bestFit="1" customWidth="1"/>
    <col min="14619" max="14620" width="15.7109375" bestFit="1" customWidth="1"/>
    <col min="14621" max="14621" width="11.5703125" bestFit="1" customWidth="1"/>
    <col min="14622" max="14622" width="7.7109375" bestFit="1" customWidth="1"/>
    <col min="14623" max="14623" width="15.140625" bestFit="1" customWidth="1"/>
    <col min="14624" max="14624" width="11.5703125" bestFit="1" customWidth="1"/>
    <col min="14625" max="14625" width="13.28515625" bestFit="1" customWidth="1"/>
    <col min="14626" max="14626" width="10.42578125" bestFit="1" customWidth="1"/>
    <col min="14627" max="14627" width="13.28515625" bestFit="1" customWidth="1"/>
    <col min="14628" max="14628" width="12.140625" bestFit="1" customWidth="1"/>
    <col min="14629" max="14629" width="14.42578125" bestFit="1" customWidth="1"/>
    <col min="14630" max="14630" width="13.28515625" bestFit="1" customWidth="1"/>
    <col min="14631" max="14631" width="11.5703125" bestFit="1" customWidth="1"/>
    <col min="14632" max="14632" width="7.7109375" bestFit="1" customWidth="1"/>
    <col min="14633" max="14634" width="14.42578125" bestFit="1" customWidth="1"/>
    <col min="14635" max="14635" width="11.5703125" bestFit="1" customWidth="1"/>
    <col min="14636" max="14636" width="7.7109375" bestFit="1" customWidth="1"/>
    <col min="14637" max="14637" width="13.5703125" customWidth="1"/>
    <col min="14638" max="14638" width="15.28515625" customWidth="1"/>
    <col min="14639" max="14639" width="14.5703125" customWidth="1"/>
    <col min="14640" max="14640" width="13.28515625" bestFit="1" customWidth="1"/>
    <col min="14641" max="14641" width="7.7109375" bestFit="1" customWidth="1"/>
    <col min="14642" max="14642" width="12.7109375" bestFit="1" customWidth="1"/>
    <col min="14643" max="14643" width="11.7109375" bestFit="1" customWidth="1"/>
    <col min="14644" max="14644" width="11.5703125" bestFit="1" customWidth="1"/>
    <col min="14645" max="14645" width="5.28515625" bestFit="1" customWidth="1"/>
    <col min="14646" max="14646" width="13.28515625" bestFit="1" customWidth="1"/>
    <col min="14647" max="14647" width="13.5703125" bestFit="1" customWidth="1"/>
    <col min="14648" max="14648" width="10.5703125" bestFit="1" customWidth="1"/>
    <col min="14649" max="14649" width="13.28515625" bestFit="1" customWidth="1"/>
    <col min="14650" max="14650" width="11.5703125" bestFit="1" customWidth="1"/>
    <col min="14651" max="14651" width="10.5703125" bestFit="1" customWidth="1"/>
    <col min="14652" max="14652" width="16.140625" bestFit="1" customWidth="1"/>
    <col min="14653" max="14654" width="11.28515625" bestFit="1" customWidth="1"/>
    <col min="14655" max="14655" width="13.28515625" bestFit="1" customWidth="1"/>
    <col min="14656" max="14656" width="7.7109375" bestFit="1" customWidth="1"/>
    <col min="14657" max="14660" width="9.140625" hidden="1" customWidth="1"/>
    <col min="14661" max="14661" width="10.42578125" bestFit="1" customWidth="1"/>
    <col min="14662" max="14662" width="10.5703125" bestFit="1" customWidth="1"/>
    <col min="14663" max="14663" width="10.42578125" bestFit="1" customWidth="1"/>
    <col min="14664" max="14664" width="10.5703125" bestFit="1" customWidth="1"/>
    <col min="14665" max="14665" width="9.5703125" bestFit="1" customWidth="1"/>
    <col min="14666" max="14666" width="11.5703125" bestFit="1" customWidth="1"/>
    <col min="14667" max="14667" width="10.42578125" bestFit="1" customWidth="1"/>
    <col min="14668" max="14668" width="10.85546875" customWidth="1"/>
    <col min="14669" max="14670" width="9.85546875" bestFit="1" customWidth="1"/>
    <col min="14671" max="14671" width="13.5703125" bestFit="1" customWidth="1"/>
    <col min="14672" max="14672" width="7.7109375" bestFit="1" customWidth="1"/>
    <col min="14673" max="14673" width="13.28515625" bestFit="1" customWidth="1"/>
    <col min="14674" max="14674" width="11.5703125" bestFit="1" customWidth="1"/>
    <col min="14675" max="14675" width="10.42578125" bestFit="1" customWidth="1"/>
    <col min="14676" max="14676" width="7.7109375" bestFit="1" customWidth="1"/>
    <col min="14677" max="14677" width="11.5703125" bestFit="1" customWidth="1"/>
    <col min="14678" max="14678" width="10.85546875" bestFit="1" customWidth="1"/>
    <col min="14679" max="14679" width="13.28515625" bestFit="1" customWidth="1"/>
    <col min="14680" max="14680" width="10.85546875" bestFit="1" customWidth="1"/>
    <col min="14681" max="14682" width="7.5703125" bestFit="1" customWidth="1"/>
    <col min="14683" max="14684" width="10.42578125" bestFit="1" customWidth="1"/>
    <col min="14685" max="14685" width="11.5703125" bestFit="1" customWidth="1"/>
    <col min="14686" max="14686" width="5.28515625" bestFit="1" customWidth="1"/>
    <col min="14687" max="14687" width="10.28515625" bestFit="1" customWidth="1"/>
    <col min="14688" max="14688" width="10.42578125" bestFit="1" customWidth="1"/>
    <col min="14689" max="14689" width="11.5703125" bestFit="1" customWidth="1"/>
    <col min="14690" max="14690" width="5.28515625" bestFit="1" customWidth="1"/>
    <col min="14691" max="14693" width="11.5703125" bestFit="1" customWidth="1"/>
    <col min="14694" max="14694" width="5.28515625" bestFit="1" customWidth="1"/>
    <col min="14695" max="14696" width="10.42578125" bestFit="1" customWidth="1"/>
    <col min="14697" max="14697" width="11.5703125" bestFit="1" customWidth="1"/>
    <col min="14698" max="14698" width="5.28515625" bestFit="1" customWidth="1"/>
    <col min="14699" max="14699" width="14.28515625" bestFit="1" customWidth="1"/>
    <col min="14700" max="14700" width="13" bestFit="1" customWidth="1"/>
    <col min="14701" max="14701" width="11.5703125" bestFit="1" customWidth="1"/>
    <col min="14702" max="14702" width="8.85546875" bestFit="1" customWidth="1"/>
    <col min="14703" max="14703" width="14.42578125" bestFit="1" customWidth="1"/>
    <col min="14704" max="14704" width="10.42578125" bestFit="1" customWidth="1"/>
    <col min="14705" max="14705" width="12.28515625" bestFit="1" customWidth="1"/>
    <col min="14706" max="14706" width="13.85546875" bestFit="1" customWidth="1"/>
    <col min="14707" max="14707" width="11.28515625" customWidth="1"/>
    <col min="14708" max="14708" width="11.5703125" customWidth="1"/>
    <col min="14709" max="14709" width="13.42578125" bestFit="1" customWidth="1"/>
    <col min="14710" max="14710" width="10.42578125" customWidth="1"/>
    <col min="14711" max="14711" width="13.85546875" bestFit="1" customWidth="1"/>
    <col min="14712" max="14712" width="15.42578125" bestFit="1" customWidth="1"/>
    <col min="14713" max="14713" width="12.28515625" bestFit="1" customWidth="1"/>
    <col min="14714" max="14714" width="12.7109375" customWidth="1"/>
    <col min="14715" max="14715" width="10.7109375" bestFit="1" customWidth="1"/>
    <col min="14716" max="14716" width="9.85546875" customWidth="1"/>
    <col min="14717" max="14718" width="10.140625" bestFit="1" customWidth="1"/>
    <col min="14719" max="14719" width="7.5703125" bestFit="1" customWidth="1"/>
    <col min="14720" max="14720" width="9.42578125" bestFit="1" customWidth="1"/>
    <col min="14721" max="14721" width="14.5703125" bestFit="1" customWidth="1"/>
    <col min="14722" max="14722" width="14.85546875" customWidth="1"/>
    <col min="14723" max="14723" width="15.140625" bestFit="1" customWidth="1"/>
    <col min="14724" max="14724" width="12.140625" bestFit="1" customWidth="1"/>
    <col min="14725" max="14725" width="14.85546875" bestFit="1" customWidth="1"/>
    <col min="14726" max="14726" width="12.28515625" bestFit="1" customWidth="1"/>
    <col min="14727" max="14735" width="9.140625" hidden="1" customWidth="1"/>
    <col min="14736" max="14736" width="5.28515625" bestFit="1" customWidth="1"/>
    <col min="14737" max="14742" width="11.5703125" bestFit="1" customWidth="1"/>
    <col min="14743" max="14743" width="11.28515625" bestFit="1" customWidth="1"/>
    <col min="14744" max="14744" width="10.140625" bestFit="1" customWidth="1"/>
    <col min="14745" max="14745" width="11.5703125" bestFit="1" customWidth="1"/>
    <col min="14746" max="14746" width="16.140625" customWidth="1"/>
    <col min="14747" max="14747" width="13.42578125" customWidth="1"/>
    <col min="14748" max="14748" width="10.140625" bestFit="1" customWidth="1"/>
    <col min="14749" max="14749" width="12.85546875" bestFit="1" customWidth="1"/>
    <col min="14750" max="14750" width="12.28515625" bestFit="1" customWidth="1"/>
    <col min="14751" max="14751" width="11.28515625" bestFit="1" customWidth="1"/>
    <col min="14752" max="14752" width="11.5703125" bestFit="1" customWidth="1"/>
    <col min="14753" max="14753" width="10.85546875" bestFit="1" customWidth="1"/>
    <col min="14754" max="14754" width="11.28515625" bestFit="1" customWidth="1"/>
    <col min="14755" max="14755" width="10.140625" bestFit="1" customWidth="1"/>
    <col min="14756" max="14756" width="13.28515625" bestFit="1" customWidth="1"/>
    <col min="14757" max="14758" width="12.7109375" bestFit="1" customWidth="1"/>
    <col min="14759" max="14759" width="11" bestFit="1" customWidth="1"/>
    <col min="14760" max="14760" width="11.28515625" bestFit="1" customWidth="1"/>
    <col min="14761" max="14761" width="11.5703125" bestFit="1" customWidth="1"/>
    <col min="14762" max="14762" width="12.28515625" bestFit="1" customWidth="1"/>
    <col min="14763" max="14763" width="15.140625" bestFit="1" customWidth="1"/>
    <col min="14764" max="14764" width="14.42578125" bestFit="1" customWidth="1"/>
    <col min="14765" max="14765" width="12.28515625" bestFit="1" customWidth="1"/>
    <col min="14766" max="14766" width="15.140625" bestFit="1" customWidth="1"/>
    <col min="14767" max="14767" width="14.42578125" bestFit="1" customWidth="1"/>
    <col min="14768" max="14768" width="12.28515625" bestFit="1" customWidth="1"/>
    <col min="14769" max="14769" width="14.42578125" bestFit="1" customWidth="1"/>
    <col min="14770" max="14770" width="11.28515625" bestFit="1" customWidth="1"/>
    <col min="14771" max="14771" width="12.28515625" bestFit="1" customWidth="1"/>
    <col min="14772" max="14772" width="13" bestFit="1" customWidth="1"/>
    <col min="14773" max="14773" width="15.140625" bestFit="1" customWidth="1"/>
    <col min="14774" max="14774" width="12.28515625" bestFit="1" customWidth="1"/>
    <col min="14775" max="14775" width="13.85546875" bestFit="1" customWidth="1"/>
    <col min="14776" max="14776" width="11.28515625" bestFit="1" customWidth="1"/>
    <col min="14777" max="14777" width="12.28515625" bestFit="1" customWidth="1"/>
    <col min="14778" max="14778" width="13.85546875" bestFit="1" customWidth="1"/>
    <col min="14779" max="14780" width="15.140625" bestFit="1" customWidth="1"/>
    <col min="14781" max="14781" width="12.28515625" bestFit="1" customWidth="1"/>
    <col min="14782" max="14782" width="5.7109375" bestFit="1" customWidth="1"/>
    <col min="14783" max="14783" width="8.5703125" bestFit="1" customWidth="1"/>
    <col min="14784" max="14784" width="5.5703125" bestFit="1" customWidth="1"/>
    <col min="14785" max="14785" width="14.42578125" bestFit="1" customWidth="1"/>
    <col min="14786" max="14786" width="11.28515625" bestFit="1" customWidth="1"/>
    <col min="14787" max="14788" width="12.28515625" bestFit="1" customWidth="1"/>
    <col min="14789" max="14789" width="11.28515625" bestFit="1" customWidth="1"/>
    <col min="14790" max="14790" width="13.85546875" bestFit="1" customWidth="1"/>
    <col min="14791" max="14791" width="12" bestFit="1" customWidth="1"/>
    <col min="14792" max="14792" width="13.85546875" bestFit="1" customWidth="1"/>
    <col min="14793" max="14794" width="14.42578125" customWidth="1"/>
    <col min="14795" max="14795" width="10.140625" bestFit="1" customWidth="1"/>
    <col min="14796" max="14796" width="12.28515625" bestFit="1" customWidth="1"/>
    <col min="14797" max="14797" width="7.42578125" bestFit="1" customWidth="1"/>
    <col min="14798" max="14798" width="8.5703125" bestFit="1" customWidth="1"/>
    <col min="14799" max="14799" width="11.5703125" bestFit="1" customWidth="1"/>
    <col min="14800" max="14800" width="13.28515625" bestFit="1" customWidth="1"/>
    <col min="14801" max="14801" width="13.28515625" customWidth="1"/>
    <col min="14802" max="14802" width="13.140625" customWidth="1"/>
    <col min="14803" max="14803" width="12.7109375" bestFit="1" customWidth="1"/>
    <col min="14804" max="14804" width="13.28515625" bestFit="1" customWidth="1"/>
    <col min="14805" max="14807" width="13.28515625" customWidth="1"/>
    <col min="14808" max="14808" width="12.140625" bestFit="1" customWidth="1"/>
    <col min="14809" max="14809" width="12.7109375" bestFit="1" customWidth="1"/>
    <col min="14810" max="14810" width="11" customWidth="1"/>
    <col min="14811" max="14811" width="16.7109375" customWidth="1"/>
    <col min="14812" max="14812" width="17" customWidth="1"/>
    <col min="14813" max="14813" width="10.42578125" bestFit="1" customWidth="1"/>
    <col min="14857" max="14857" width="3.85546875" customWidth="1"/>
    <col min="14858" max="14858" width="15.28515625" bestFit="1" customWidth="1"/>
    <col min="14859" max="14859" width="12.28515625" customWidth="1"/>
    <col min="14860" max="14860" width="16.28515625" bestFit="1" customWidth="1"/>
    <col min="14861" max="14861" width="6.42578125" bestFit="1" customWidth="1"/>
    <col min="14862" max="14862" width="9.28515625" bestFit="1" customWidth="1"/>
    <col min="14863" max="14863" width="7.5703125" bestFit="1" customWidth="1"/>
    <col min="14864" max="14864" width="13.28515625" bestFit="1" customWidth="1"/>
    <col min="14865" max="14865" width="9.28515625" bestFit="1" customWidth="1"/>
    <col min="14866" max="14866" width="11.5703125" bestFit="1" customWidth="1"/>
    <col min="14867" max="14867" width="13.28515625" bestFit="1" customWidth="1"/>
    <col min="14868" max="14868" width="7.140625" bestFit="1" customWidth="1"/>
    <col min="14869" max="14869" width="12" bestFit="1" customWidth="1"/>
    <col min="14870" max="14870" width="13.28515625" bestFit="1" customWidth="1"/>
    <col min="14871" max="14871" width="7" bestFit="1" customWidth="1"/>
    <col min="14872" max="14872" width="12.7109375" bestFit="1" customWidth="1"/>
    <col min="14873" max="14873" width="11.5703125" bestFit="1" customWidth="1"/>
    <col min="14874" max="14874" width="10.5703125" bestFit="1" customWidth="1"/>
    <col min="14875" max="14876" width="15.7109375" bestFit="1" customWidth="1"/>
    <col min="14877" max="14877" width="11.5703125" bestFit="1" customWidth="1"/>
    <col min="14878" max="14878" width="7.7109375" bestFit="1" customWidth="1"/>
    <col min="14879" max="14879" width="15.140625" bestFit="1" customWidth="1"/>
    <col min="14880" max="14880" width="11.5703125" bestFit="1" customWidth="1"/>
    <col min="14881" max="14881" width="13.28515625" bestFit="1" customWidth="1"/>
    <col min="14882" max="14882" width="10.42578125" bestFit="1" customWidth="1"/>
    <col min="14883" max="14883" width="13.28515625" bestFit="1" customWidth="1"/>
    <col min="14884" max="14884" width="12.140625" bestFit="1" customWidth="1"/>
    <col min="14885" max="14885" width="14.42578125" bestFit="1" customWidth="1"/>
    <col min="14886" max="14886" width="13.28515625" bestFit="1" customWidth="1"/>
    <col min="14887" max="14887" width="11.5703125" bestFit="1" customWidth="1"/>
    <col min="14888" max="14888" width="7.7109375" bestFit="1" customWidth="1"/>
    <col min="14889" max="14890" width="14.42578125" bestFit="1" customWidth="1"/>
    <col min="14891" max="14891" width="11.5703125" bestFit="1" customWidth="1"/>
    <col min="14892" max="14892" width="7.7109375" bestFit="1" customWidth="1"/>
    <col min="14893" max="14893" width="13.5703125" customWidth="1"/>
    <col min="14894" max="14894" width="15.28515625" customWidth="1"/>
    <col min="14895" max="14895" width="14.5703125" customWidth="1"/>
    <col min="14896" max="14896" width="13.28515625" bestFit="1" customWidth="1"/>
    <col min="14897" max="14897" width="7.7109375" bestFit="1" customWidth="1"/>
    <col min="14898" max="14898" width="12.7109375" bestFit="1" customWidth="1"/>
    <col min="14899" max="14899" width="11.7109375" bestFit="1" customWidth="1"/>
    <col min="14900" max="14900" width="11.5703125" bestFit="1" customWidth="1"/>
    <col min="14901" max="14901" width="5.28515625" bestFit="1" customWidth="1"/>
    <col min="14902" max="14902" width="13.28515625" bestFit="1" customWidth="1"/>
    <col min="14903" max="14903" width="13.5703125" bestFit="1" customWidth="1"/>
    <col min="14904" max="14904" width="10.5703125" bestFit="1" customWidth="1"/>
    <col min="14905" max="14905" width="13.28515625" bestFit="1" customWidth="1"/>
    <col min="14906" max="14906" width="11.5703125" bestFit="1" customWidth="1"/>
    <col min="14907" max="14907" width="10.5703125" bestFit="1" customWidth="1"/>
    <col min="14908" max="14908" width="16.140625" bestFit="1" customWidth="1"/>
    <col min="14909" max="14910" width="11.28515625" bestFit="1" customWidth="1"/>
    <col min="14911" max="14911" width="13.28515625" bestFit="1" customWidth="1"/>
    <col min="14912" max="14912" width="7.7109375" bestFit="1" customWidth="1"/>
    <col min="14913" max="14916" width="9.140625" hidden="1" customWidth="1"/>
    <col min="14917" max="14917" width="10.42578125" bestFit="1" customWidth="1"/>
    <col min="14918" max="14918" width="10.5703125" bestFit="1" customWidth="1"/>
    <col min="14919" max="14919" width="10.42578125" bestFit="1" customWidth="1"/>
    <col min="14920" max="14920" width="10.5703125" bestFit="1" customWidth="1"/>
    <col min="14921" max="14921" width="9.5703125" bestFit="1" customWidth="1"/>
    <col min="14922" max="14922" width="11.5703125" bestFit="1" customWidth="1"/>
    <col min="14923" max="14923" width="10.42578125" bestFit="1" customWidth="1"/>
    <col min="14924" max="14924" width="10.85546875" customWidth="1"/>
    <col min="14925" max="14926" width="9.85546875" bestFit="1" customWidth="1"/>
    <col min="14927" max="14927" width="13.5703125" bestFit="1" customWidth="1"/>
    <col min="14928" max="14928" width="7.7109375" bestFit="1" customWidth="1"/>
    <col min="14929" max="14929" width="13.28515625" bestFit="1" customWidth="1"/>
    <col min="14930" max="14930" width="11.5703125" bestFit="1" customWidth="1"/>
    <col min="14931" max="14931" width="10.42578125" bestFit="1" customWidth="1"/>
    <col min="14932" max="14932" width="7.7109375" bestFit="1" customWidth="1"/>
    <col min="14933" max="14933" width="11.5703125" bestFit="1" customWidth="1"/>
    <col min="14934" max="14934" width="10.85546875" bestFit="1" customWidth="1"/>
    <col min="14935" max="14935" width="13.28515625" bestFit="1" customWidth="1"/>
    <col min="14936" max="14936" width="10.85546875" bestFit="1" customWidth="1"/>
    <col min="14937" max="14938" width="7.5703125" bestFit="1" customWidth="1"/>
    <col min="14939" max="14940" width="10.42578125" bestFit="1" customWidth="1"/>
    <col min="14941" max="14941" width="11.5703125" bestFit="1" customWidth="1"/>
    <col min="14942" max="14942" width="5.28515625" bestFit="1" customWidth="1"/>
    <col min="14943" max="14943" width="10.28515625" bestFit="1" customWidth="1"/>
    <col min="14944" max="14944" width="10.42578125" bestFit="1" customWidth="1"/>
    <col min="14945" max="14945" width="11.5703125" bestFit="1" customWidth="1"/>
    <col min="14946" max="14946" width="5.28515625" bestFit="1" customWidth="1"/>
    <col min="14947" max="14949" width="11.5703125" bestFit="1" customWidth="1"/>
    <col min="14950" max="14950" width="5.28515625" bestFit="1" customWidth="1"/>
    <col min="14951" max="14952" width="10.42578125" bestFit="1" customWidth="1"/>
    <col min="14953" max="14953" width="11.5703125" bestFit="1" customWidth="1"/>
    <col min="14954" max="14954" width="5.28515625" bestFit="1" customWidth="1"/>
    <col min="14955" max="14955" width="14.28515625" bestFit="1" customWidth="1"/>
    <col min="14956" max="14956" width="13" bestFit="1" customWidth="1"/>
    <col min="14957" max="14957" width="11.5703125" bestFit="1" customWidth="1"/>
    <col min="14958" max="14958" width="8.85546875" bestFit="1" customWidth="1"/>
    <col min="14959" max="14959" width="14.42578125" bestFit="1" customWidth="1"/>
    <col min="14960" max="14960" width="10.42578125" bestFit="1" customWidth="1"/>
    <col min="14961" max="14961" width="12.28515625" bestFit="1" customWidth="1"/>
    <col min="14962" max="14962" width="13.85546875" bestFit="1" customWidth="1"/>
    <col min="14963" max="14963" width="11.28515625" customWidth="1"/>
    <col min="14964" max="14964" width="11.5703125" customWidth="1"/>
    <col min="14965" max="14965" width="13.42578125" bestFit="1" customWidth="1"/>
    <col min="14966" max="14966" width="10.42578125" customWidth="1"/>
    <col min="14967" max="14967" width="13.85546875" bestFit="1" customWidth="1"/>
    <col min="14968" max="14968" width="15.42578125" bestFit="1" customWidth="1"/>
    <col min="14969" max="14969" width="12.28515625" bestFit="1" customWidth="1"/>
    <col min="14970" max="14970" width="12.7109375" customWidth="1"/>
    <col min="14971" max="14971" width="10.7109375" bestFit="1" customWidth="1"/>
    <col min="14972" max="14972" width="9.85546875" customWidth="1"/>
    <col min="14973" max="14974" width="10.140625" bestFit="1" customWidth="1"/>
    <col min="14975" max="14975" width="7.5703125" bestFit="1" customWidth="1"/>
    <col min="14976" max="14976" width="9.42578125" bestFit="1" customWidth="1"/>
    <col min="14977" max="14977" width="14.5703125" bestFit="1" customWidth="1"/>
    <col min="14978" max="14978" width="14.85546875" customWidth="1"/>
    <col min="14979" max="14979" width="15.140625" bestFit="1" customWidth="1"/>
    <col min="14980" max="14980" width="12.140625" bestFit="1" customWidth="1"/>
    <col min="14981" max="14981" width="14.85546875" bestFit="1" customWidth="1"/>
    <col min="14982" max="14982" width="12.28515625" bestFit="1" customWidth="1"/>
    <col min="14983" max="14991" width="9.140625" hidden="1" customWidth="1"/>
    <col min="14992" max="14992" width="5.28515625" bestFit="1" customWidth="1"/>
    <col min="14993" max="14998" width="11.5703125" bestFit="1" customWidth="1"/>
    <col min="14999" max="14999" width="11.28515625" bestFit="1" customWidth="1"/>
    <col min="15000" max="15000" width="10.140625" bestFit="1" customWidth="1"/>
    <col min="15001" max="15001" width="11.5703125" bestFit="1" customWidth="1"/>
    <col min="15002" max="15002" width="16.140625" customWidth="1"/>
    <col min="15003" max="15003" width="13.42578125" customWidth="1"/>
    <col min="15004" max="15004" width="10.140625" bestFit="1" customWidth="1"/>
    <col min="15005" max="15005" width="12.85546875" bestFit="1" customWidth="1"/>
    <col min="15006" max="15006" width="12.28515625" bestFit="1" customWidth="1"/>
    <col min="15007" max="15007" width="11.28515625" bestFit="1" customWidth="1"/>
    <col min="15008" max="15008" width="11.5703125" bestFit="1" customWidth="1"/>
    <col min="15009" max="15009" width="10.85546875" bestFit="1" customWidth="1"/>
    <col min="15010" max="15010" width="11.28515625" bestFit="1" customWidth="1"/>
    <col min="15011" max="15011" width="10.140625" bestFit="1" customWidth="1"/>
    <col min="15012" max="15012" width="13.28515625" bestFit="1" customWidth="1"/>
    <col min="15013" max="15014" width="12.7109375" bestFit="1" customWidth="1"/>
    <col min="15015" max="15015" width="11" bestFit="1" customWidth="1"/>
    <col min="15016" max="15016" width="11.28515625" bestFit="1" customWidth="1"/>
    <col min="15017" max="15017" width="11.5703125" bestFit="1" customWidth="1"/>
    <col min="15018" max="15018" width="12.28515625" bestFit="1" customWidth="1"/>
    <col min="15019" max="15019" width="15.140625" bestFit="1" customWidth="1"/>
    <col min="15020" max="15020" width="14.42578125" bestFit="1" customWidth="1"/>
    <col min="15021" max="15021" width="12.28515625" bestFit="1" customWidth="1"/>
    <col min="15022" max="15022" width="15.140625" bestFit="1" customWidth="1"/>
    <col min="15023" max="15023" width="14.42578125" bestFit="1" customWidth="1"/>
    <col min="15024" max="15024" width="12.28515625" bestFit="1" customWidth="1"/>
    <col min="15025" max="15025" width="14.42578125" bestFit="1" customWidth="1"/>
    <col min="15026" max="15026" width="11.28515625" bestFit="1" customWidth="1"/>
    <col min="15027" max="15027" width="12.28515625" bestFit="1" customWidth="1"/>
    <col min="15028" max="15028" width="13" bestFit="1" customWidth="1"/>
    <col min="15029" max="15029" width="15.140625" bestFit="1" customWidth="1"/>
    <col min="15030" max="15030" width="12.28515625" bestFit="1" customWidth="1"/>
    <col min="15031" max="15031" width="13.85546875" bestFit="1" customWidth="1"/>
    <col min="15032" max="15032" width="11.28515625" bestFit="1" customWidth="1"/>
    <col min="15033" max="15033" width="12.28515625" bestFit="1" customWidth="1"/>
    <col min="15034" max="15034" width="13.85546875" bestFit="1" customWidth="1"/>
    <col min="15035" max="15036" width="15.140625" bestFit="1" customWidth="1"/>
    <col min="15037" max="15037" width="12.28515625" bestFit="1" customWidth="1"/>
    <col min="15038" max="15038" width="5.7109375" bestFit="1" customWidth="1"/>
    <col min="15039" max="15039" width="8.5703125" bestFit="1" customWidth="1"/>
    <col min="15040" max="15040" width="5.5703125" bestFit="1" customWidth="1"/>
    <col min="15041" max="15041" width="14.42578125" bestFit="1" customWidth="1"/>
    <col min="15042" max="15042" width="11.28515625" bestFit="1" customWidth="1"/>
    <col min="15043" max="15044" width="12.28515625" bestFit="1" customWidth="1"/>
    <col min="15045" max="15045" width="11.28515625" bestFit="1" customWidth="1"/>
    <col min="15046" max="15046" width="13.85546875" bestFit="1" customWidth="1"/>
    <col min="15047" max="15047" width="12" bestFit="1" customWidth="1"/>
    <col min="15048" max="15048" width="13.85546875" bestFit="1" customWidth="1"/>
    <col min="15049" max="15050" width="14.42578125" customWidth="1"/>
    <col min="15051" max="15051" width="10.140625" bestFit="1" customWidth="1"/>
    <col min="15052" max="15052" width="12.28515625" bestFit="1" customWidth="1"/>
    <col min="15053" max="15053" width="7.42578125" bestFit="1" customWidth="1"/>
    <col min="15054" max="15054" width="8.5703125" bestFit="1" customWidth="1"/>
    <col min="15055" max="15055" width="11.5703125" bestFit="1" customWidth="1"/>
    <col min="15056" max="15056" width="13.28515625" bestFit="1" customWidth="1"/>
    <col min="15057" max="15057" width="13.28515625" customWidth="1"/>
    <col min="15058" max="15058" width="13.140625" customWidth="1"/>
    <col min="15059" max="15059" width="12.7109375" bestFit="1" customWidth="1"/>
    <col min="15060" max="15060" width="13.28515625" bestFit="1" customWidth="1"/>
    <col min="15061" max="15063" width="13.28515625" customWidth="1"/>
    <col min="15064" max="15064" width="12.140625" bestFit="1" customWidth="1"/>
    <col min="15065" max="15065" width="12.7109375" bestFit="1" customWidth="1"/>
    <col min="15066" max="15066" width="11" customWidth="1"/>
    <col min="15067" max="15067" width="16.7109375" customWidth="1"/>
    <col min="15068" max="15068" width="17" customWidth="1"/>
    <col min="15069" max="15069" width="10.42578125" bestFit="1" customWidth="1"/>
    <col min="15113" max="15113" width="3.85546875" customWidth="1"/>
    <col min="15114" max="15114" width="15.28515625" bestFit="1" customWidth="1"/>
    <col min="15115" max="15115" width="12.28515625" customWidth="1"/>
    <col min="15116" max="15116" width="16.28515625" bestFit="1" customWidth="1"/>
    <col min="15117" max="15117" width="6.42578125" bestFit="1" customWidth="1"/>
    <col min="15118" max="15118" width="9.28515625" bestFit="1" customWidth="1"/>
    <col min="15119" max="15119" width="7.5703125" bestFit="1" customWidth="1"/>
    <col min="15120" max="15120" width="13.28515625" bestFit="1" customWidth="1"/>
    <col min="15121" max="15121" width="9.28515625" bestFit="1" customWidth="1"/>
    <col min="15122" max="15122" width="11.5703125" bestFit="1" customWidth="1"/>
    <col min="15123" max="15123" width="13.28515625" bestFit="1" customWidth="1"/>
    <col min="15124" max="15124" width="7.140625" bestFit="1" customWidth="1"/>
    <col min="15125" max="15125" width="12" bestFit="1" customWidth="1"/>
    <col min="15126" max="15126" width="13.28515625" bestFit="1" customWidth="1"/>
    <col min="15127" max="15127" width="7" bestFit="1" customWidth="1"/>
    <col min="15128" max="15128" width="12.7109375" bestFit="1" customWidth="1"/>
    <col min="15129" max="15129" width="11.5703125" bestFit="1" customWidth="1"/>
    <col min="15130" max="15130" width="10.5703125" bestFit="1" customWidth="1"/>
    <col min="15131" max="15132" width="15.7109375" bestFit="1" customWidth="1"/>
    <col min="15133" max="15133" width="11.5703125" bestFit="1" customWidth="1"/>
    <col min="15134" max="15134" width="7.7109375" bestFit="1" customWidth="1"/>
    <col min="15135" max="15135" width="15.140625" bestFit="1" customWidth="1"/>
    <col min="15136" max="15136" width="11.5703125" bestFit="1" customWidth="1"/>
    <col min="15137" max="15137" width="13.28515625" bestFit="1" customWidth="1"/>
    <col min="15138" max="15138" width="10.42578125" bestFit="1" customWidth="1"/>
    <col min="15139" max="15139" width="13.28515625" bestFit="1" customWidth="1"/>
    <col min="15140" max="15140" width="12.140625" bestFit="1" customWidth="1"/>
    <col min="15141" max="15141" width="14.42578125" bestFit="1" customWidth="1"/>
    <col min="15142" max="15142" width="13.28515625" bestFit="1" customWidth="1"/>
    <col min="15143" max="15143" width="11.5703125" bestFit="1" customWidth="1"/>
    <col min="15144" max="15144" width="7.7109375" bestFit="1" customWidth="1"/>
    <col min="15145" max="15146" width="14.42578125" bestFit="1" customWidth="1"/>
    <col min="15147" max="15147" width="11.5703125" bestFit="1" customWidth="1"/>
    <col min="15148" max="15148" width="7.7109375" bestFit="1" customWidth="1"/>
    <col min="15149" max="15149" width="13.5703125" customWidth="1"/>
    <col min="15150" max="15150" width="15.28515625" customWidth="1"/>
    <col min="15151" max="15151" width="14.5703125" customWidth="1"/>
    <col min="15152" max="15152" width="13.28515625" bestFit="1" customWidth="1"/>
    <col min="15153" max="15153" width="7.7109375" bestFit="1" customWidth="1"/>
    <col min="15154" max="15154" width="12.7109375" bestFit="1" customWidth="1"/>
    <col min="15155" max="15155" width="11.7109375" bestFit="1" customWidth="1"/>
    <col min="15156" max="15156" width="11.5703125" bestFit="1" customWidth="1"/>
    <col min="15157" max="15157" width="5.28515625" bestFit="1" customWidth="1"/>
    <col min="15158" max="15158" width="13.28515625" bestFit="1" customWidth="1"/>
    <col min="15159" max="15159" width="13.5703125" bestFit="1" customWidth="1"/>
    <col min="15160" max="15160" width="10.5703125" bestFit="1" customWidth="1"/>
    <col min="15161" max="15161" width="13.28515625" bestFit="1" customWidth="1"/>
    <col min="15162" max="15162" width="11.5703125" bestFit="1" customWidth="1"/>
    <col min="15163" max="15163" width="10.5703125" bestFit="1" customWidth="1"/>
    <col min="15164" max="15164" width="16.140625" bestFit="1" customWidth="1"/>
    <col min="15165" max="15166" width="11.28515625" bestFit="1" customWidth="1"/>
    <col min="15167" max="15167" width="13.28515625" bestFit="1" customWidth="1"/>
    <col min="15168" max="15168" width="7.7109375" bestFit="1" customWidth="1"/>
    <col min="15169" max="15172" width="9.140625" hidden="1" customWidth="1"/>
    <col min="15173" max="15173" width="10.42578125" bestFit="1" customWidth="1"/>
    <col min="15174" max="15174" width="10.5703125" bestFit="1" customWidth="1"/>
    <col min="15175" max="15175" width="10.42578125" bestFit="1" customWidth="1"/>
    <col min="15176" max="15176" width="10.5703125" bestFit="1" customWidth="1"/>
    <col min="15177" max="15177" width="9.5703125" bestFit="1" customWidth="1"/>
    <col min="15178" max="15178" width="11.5703125" bestFit="1" customWidth="1"/>
    <col min="15179" max="15179" width="10.42578125" bestFit="1" customWidth="1"/>
    <col min="15180" max="15180" width="10.85546875" customWidth="1"/>
    <col min="15181" max="15182" width="9.85546875" bestFit="1" customWidth="1"/>
    <col min="15183" max="15183" width="13.5703125" bestFit="1" customWidth="1"/>
    <col min="15184" max="15184" width="7.7109375" bestFit="1" customWidth="1"/>
    <col min="15185" max="15185" width="13.28515625" bestFit="1" customWidth="1"/>
    <col min="15186" max="15186" width="11.5703125" bestFit="1" customWidth="1"/>
    <col min="15187" max="15187" width="10.42578125" bestFit="1" customWidth="1"/>
    <col min="15188" max="15188" width="7.7109375" bestFit="1" customWidth="1"/>
    <col min="15189" max="15189" width="11.5703125" bestFit="1" customWidth="1"/>
    <col min="15190" max="15190" width="10.85546875" bestFit="1" customWidth="1"/>
    <col min="15191" max="15191" width="13.28515625" bestFit="1" customWidth="1"/>
    <col min="15192" max="15192" width="10.85546875" bestFit="1" customWidth="1"/>
    <col min="15193" max="15194" width="7.5703125" bestFit="1" customWidth="1"/>
    <col min="15195" max="15196" width="10.42578125" bestFit="1" customWidth="1"/>
    <col min="15197" max="15197" width="11.5703125" bestFit="1" customWidth="1"/>
    <col min="15198" max="15198" width="5.28515625" bestFit="1" customWidth="1"/>
    <col min="15199" max="15199" width="10.28515625" bestFit="1" customWidth="1"/>
    <col min="15200" max="15200" width="10.42578125" bestFit="1" customWidth="1"/>
    <col min="15201" max="15201" width="11.5703125" bestFit="1" customWidth="1"/>
    <col min="15202" max="15202" width="5.28515625" bestFit="1" customWidth="1"/>
    <col min="15203" max="15205" width="11.5703125" bestFit="1" customWidth="1"/>
    <col min="15206" max="15206" width="5.28515625" bestFit="1" customWidth="1"/>
    <col min="15207" max="15208" width="10.42578125" bestFit="1" customWidth="1"/>
    <col min="15209" max="15209" width="11.5703125" bestFit="1" customWidth="1"/>
    <col min="15210" max="15210" width="5.28515625" bestFit="1" customWidth="1"/>
    <col min="15211" max="15211" width="14.28515625" bestFit="1" customWidth="1"/>
    <col min="15212" max="15212" width="13" bestFit="1" customWidth="1"/>
    <col min="15213" max="15213" width="11.5703125" bestFit="1" customWidth="1"/>
    <col min="15214" max="15214" width="8.85546875" bestFit="1" customWidth="1"/>
    <col min="15215" max="15215" width="14.42578125" bestFit="1" customWidth="1"/>
    <col min="15216" max="15216" width="10.42578125" bestFit="1" customWidth="1"/>
    <col min="15217" max="15217" width="12.28515625" bestFit="1" customWidth="1"/>
    <col min="15218" max="15218" width="13.85546875" bestFit="1" customWidth="1"/>
    <col min="15219" max="15219" width="11.28515625" customWidth="1"/>
    <col min="15220" max="15220" width="11.5703125" customWidth="1"/>
    <col min="15221" max="15221" width="13.42578125" bestFit="1" customWidth="1"/>
    <col min="15222" max="15222" width="10.42578125" customWidth="1"/>
    <col min="15223" max="15223" width="13.85546875" bestFit="1" customWidth="1"/>
    <col min="15224" max="15224" width="15.42578125" bestFit="1" customWidth="1"/>
    <col min="15225" max="15225" width="12.28515625" bestFit="1" customWidth="1"/>
    <col min="15226" max="15226" width="12.7109375" customWidth="1"/>
    <col min="15227" max="15227" width="10.7109375" bestFit="1" customWidth="1"/>
    <col min="15228" max="15228" width="9.85546875" customWidth="1"/>
    <col min="15229" max="15230" width="10.140625" bestFit="1" customWidth="1"/>
    <col min="15231" max="15231" width="7.5703125" bestFit="1" customWidth="1"/>
    <col min="15232" max="15232" width="9.42578125" bestFit="1" customWidth="1"/>
    <col min="15233" max="15233" width="14.5703125" bestFit="1" customWidth="1"/>
    <col min="15234" max="15234" width="14.85546875" customWidth="1"/>
    <col min="15235" max="15235" width="15.140625" bestFit="1" customWidth="1"/>
    <col min="15236" max="15236" width="12.140625" bestFit="1" customWidth="1"/>
    <col min="15237" max="15237" width="14.85546875" bestFit="1" customWidth="1"/>
    <col min="15238" max="15238" width="12.28515625" bestFit="1" customWidth="1"/>
    <col min="15239" max="15247" width="9.140625" hidden="1" customWidth="1"/>
    <col min="15248" max="15248" width="5.28515625" bestFit="1" customWidth="1"/>
    <col min="15249" max="15254" width="11.5703125" bestFit="1" customWidth="1"/>
    <col min="15255" max="15255" width="11.28515625" bestFit="1" customWidth="1"/>
    <col min="15256" max="15256" width="10.140625" bestFit="1" customWidth="1"/>
    <col min="15257" max="15257" width="11.5703125" bestFit="1" customWidth="1"/>
    <col min="15258" max="15258" width="16.140625" customWidth="1"/>
    <col min="15259" max="15259" width="13.42578125" customWidth="1"/>
    <col min="15260" max="15260" width="10.140625" bestFit="1" customWidth="1"/>
    <col min="15261" max="15261" width="12.85546875" bestFit="1" customWidth="1"/>
    <col min="15262" max="15262" width="12.28515625" bestFit="1" customWidth="1"/>
    <col min="15263" max="15263" width="11.28515625" bestFit="1" customWidth="1"/>
    <col min="15264" max="15264" width="11.5703125" bestFit="1" customWidth="1"/>
    <col min="15265" max="15265" width="10.85546875" bestFit="1" customWidth="1"/>
    <col min="15266" max="15266" width="11.28515625" bestFit="1" customWidth="1"/>
    <col min="15267" max="15267" width="10.140625" bestFit="1" customWidth="1"/>
    <col min="15268" max="15268" width="13.28515625" bestFit="1" customWidth="1"/>
    <col min="15269" max="15270" width="12.7109375" bestFit="1" customWidth="1"/>
    <col min="15271" max="15271" width="11" bestFit="1" customWidth="1"/>
    <col min="15272" max="15272" width="11.28515625" bestFit="1" customWidth="1"/>
    <col min="15273" max="15273" width="11.5703125" bestFit="1" customWidth="1"/>
    <col min="15274" max="15274" width="12.28515625" bestFit="1" customWidth="1"/>
    <col min="15275" max="15275" width="15.140625" bestFit="1" customWidth="1"/>
    <col min="15276" max="15276" width="14.42578125" bestFit="1" customWidth="1"/>
    <col min="15277" max="15277" width="12.28515625" bestFit="1" customWidth="1"/>
    <col min="15278" max="15278" width="15.140625" bestFit="1" customWidth="1"/>
    <col min="15279" max="15279" width="14.42578125" bestFit="1" customWidth="1"/>
    <col min="15280" max="15280" width="12.28515625" bestFit="1" customWidth="1"/>
    <col min="15281" max="15281" width="14.42578125" bestFit="1" customWidth="1"/>
    <col min="15282" max="15282" width="11.28515625" bestFit="1" customWidth="1"/>
    <col min="15283" max="15283" width="12.28515625" bestFit="1" customWidth="1"/>
    <col min="15284" max="15284" width="13" bestFit="1" customWidth="1"/>
    <col min="15285" max="15285" width="15.140625" bestFit="1" customWidth="1"/>
    <col min="15286" max="15286" width="12.28515625" bestFit="1" customWidth="1"/>
    <col min="15287" max="15287" width="13.85546875" bestFit="1" customWidth="1"/>
    <col min="15288" max="15288" width="11.28515625" bestFit="1" customWidth="1"/>
    <col min="15289" max="15289" width="12.28515625" bestFit="1" customWidth="1"/>
    <col min="15290" max="15290" width="13.85546875" bestFit="1" customWidth="1"/>
    <col min="15291" max="15292" width="15.140625" bestFit="1" customWidth="1"/>
    <col min="15293" max="15293" width="12.28515625" bestFit="1" customWidth="1"/>
    <col min="15294" max="15294" width="5.7109375" bestFit="1" customWidth="1"/>
    <col min="15295" max="15295" width="8.5703125" bestFit="1" customWidth="1"/>
    <col min="15296" max="15296" width="5.5703125" bestFit="1" customWidth="1"/>
    <col min="15297" max="15297" width="14.42578125" bestFit="1" customWidth="1"/>
    <col min="15298" max="15298" width="11.28515625" bestFit="1" customWidth="1"/>
    <col min="15299" max="15300" width="12.28515625" bestFit="1" customWidth="1"/>
    <col min="15301" max="15301" width="11.28515625" bestFit="1" customWidth="1"/>
    <col min="15302" max="15302" width="13.85546875" bestFit="1" customWidth="1"/>
    <col min="15303" max="15303" width="12" bestFit="1" customWidth="1"/>
    <col min="15304" max="15304" width="13.85546875" bestFit="1" customWidth="1"/>
    <col min="15305" max="15306" width="14.42578125" customWidth="1"/>
    <col min="15307" max="15307" width="10.140625" bestFit="1" customWidth="1"/>
    <col min="15308" max="15308" width="12.28515625" bestFit="1" customWidth="1"/>
    <col min="15309" max="15309" width="7.42578125" bestFit="1" customWidth="1"/>
    <col min="15310" max="15310" width="8.5703125" bestFit="1" customWidth="1"/>
    <col min="15311" max="15311" width="11.5703125" bestFit="1" customWidth="1"/>
    <col min="15312" max="15312" width="13.28515625" bestFit="1" customWidth="1"/>
    <col min="15313" max="15313" width="13.28515625" customWidth="1"/>
    <col min="15314" max="15314" width="13.140625" customWidth="1"/>
    <col min="15315" max="15315" width="12.7109375" bestFit="1" customWidth="1"/>
    <col min="15316" max="15316" width="13.28515625" bestFit="1" customWidth="1"/>
    <col min="15317" max="15319" width="13.28515625" customWidth="1"/>
    <col min="15320" max="15320" width="12.140625" bestFit="1" customWidth="1"/>
    <col min="15321" max="15321" width="12.7109375" bestFit="1" customWidth="1"/>
    <col min="15322" max="15322" width="11" customWidth="1"/>
    <col min="15323" max="15323" width="16.7109375" customWidth="1"/>
    <col min="15324" max="15324" width="17" customWidth="1"/>
    <col min="15325" max="15325" width="10.42578125" bestFit="1" customWidth="1"/>
    <col min="15369" max="15369" width="3.85546875" customWidth="1"/>
    <col min="15370" max="15370" width="15.28515625" bestFit="1" customWidth="1"/>
    <col min="15371" max="15371" width="12.28515625" customWidth="1"/>
    <col min="15372" max="15372" width="16.28515625" bestFit="1" customWidth="1"/>
    <col min="15373" max="15373" width="6.42578125" bestFit="1" customWidth="1"/>
    <col min="15374" max="15374" width="9.28515625" bestFit="1" customWidth="1"/>
    <col min="15375" max="15375" width="7.5703125" bestFit="1" customWidth="1"/>
    <col min="15376" max="15376" width="13.28515625" bestFit="1" customWidth="1"/>
    <col min="15377" max="15377" width="9.28515625" bestFit="1" customWidth="1"/>
    <col min="15378" max="15378" width="11.5703125" bestFit="1" customWidth="1"/>
    <col min="15379" max="15379" width="13.28515625" bestFit="1" customWidth="1"/>
    <col min="15380" max="15380" width="7.140625" bestFit="1" customWidth="1"/>
    <col min="15381" max="15381" width="12" bestFit="1" customWidth="1"/>
    <col min="15382" max="15382" width="13.28515625" bestFit="1" customWidth="1"/>
    <col min="15383" max="15383" width="7" bestFit="1" customWidth="1"/>
    <col min="15384" max="15384" width="12.7109375" bestFit="1" customWidth="1"/>
    <col min="15385" max="15385" width="11.5703125" bestFit="1" customWidth="1"/>
    <col min="15386" max="15386" width="10.5703125" bestFit="1" customWidth="1"/>
    <col min="15387" max="15388" width="15.7109375" bestFit="1" customWidth="1"/>
    <col min="15389" max="15389" width="11.5703125" bestFit="1" customWidth="1"/>
    <col min="15390" max="15390" width="7.7109375" bestFit="1" customWidth="1"/>
    <col min="15391" max="15391" width="15.140625" bestFit="1" customWidth="1"/>
    <col min="15392" max="15392" width="11.5703125" bestFit="1" customWidth="1"/>
    <col min="15393" max="15393" width="13.28515625" bestFit="1" customWidth="1"/>
    <col min="15394" max="15394" width="10.42578125" bestFit="1" customWidth="1"/>
    <col min="15395" max="15395" width="13.28515625" bestFit="1" customWidth="1"/>
    <col min="15396" max="15396" width="12.140625" bestFit="1" customWidth="1"/>
    <col min="15397" max="15397" width="14.42578125" bestFit="1" customWidth="1"/>
    <col min="15398" max="15398" width="13.28515625" bestFit="1" customWidth="1"/>
    <col min="15399" max="15399" width="11.5703125" bestFit="1" customWidth="1"/>
    <col min="15400" max="15400" width="7.7109375" bestFit="1" customWidth="1"/>
    <col min="15401" max="15402" width="14.42578125" bestFit="1" customWidth="1"/>
    <col min="15403" max="15403" width="11.5703125" bestFit="1" customWidth="1"/>
    <col min="15404" max="15404" width="7.7109375" bestFit="1" customWidth="1"/>
    <col min="15405" max="15405" width="13.5703125" customWidth="1"/>
    <col min="15406" max="15406" width="15.28515625" customWidth="1"/>
    <col min="15407" max="15407" width="14.5703125" customWidth="1"/>
    <col min="15408" max="15408" width="13.28515625" bestFit="1" customWidth="1"/>
    <col min="15409" max="15409" width="7.7109375" bestFit="1" customWidth="1"/>
    <col min="15410" max="15410" width="12.7109375" bestFit="1" customWidth="1"/>
    <col min="15411" max="15411" width="11.7109375" bestFit="1" customWidth="1"/>
    <col min="15412" max="15412" width="11.5703125" bestFit="1" customWidth="1"/>
    <col min="15413" max="15413" width="5.28515625" bestFit="1" customWidth="1"/>
    <col min="15414" max="15414" width="13.28515625" bestFit="1" customWidth="1"/>
    <col min="15415" max="15415" width="13.5703125" bestFit="1" customWidth="1"/>
    <col min="15416" max="15416" width="10.5703125" bestFit="1" customWidth="1"/>
    <col min="15417" max="15417" width="13.28515625" bestFit="1" customWidth="1"/>
    <col min="15418" max="15418" width="11.5703125" bestFit="1" customWidth="1"/>
    <col min="15419" max="15419" width="10.5703125" bestFit="1" customWidth="1"/>
    <col min="15420" max="15420" width="16.140625" bestFit="1" customWidth="1"/>
    <col min="15421" max="15422" width="11.28515625" bestFit="1" customWidth="1"/>
    <col min="15423" max="15423" width="13.28515625" bestFit="1" customWidth="1"/>
    <col min="15424" max="15424" width="7.7109375" bestFit="1" customWidth="1"/>
    <col min="15425" max="15428" width="9.140625" hidden="1" customWidth="1"/>
    <col min="15429" max="15429" width="10.42578125" bestFit="1" customWidth="1"/>
    <col min="15430" max="15430" width="10.5703125" bestFit="1" customWidth="1"/>
    <col min="15431" max="15431" width="10.42578125" bestFit="1" customWidth="1"/>
    <col min="15432" max="15432" width="10.5703125" bestFit="1" customWidth="1"/>
    <col min="15433" max="15433" width="9.5703125" bestFit="1" customWidth="1"/>
    <col min="15434" max="15434" width="11.5703125" bestFit="1" customWidth="1"/>
    <col min="15435" max="15435" width="10.42578125" bestFit="1" customWidth="1"/>
    <col min="15436" max="15436" width="10.85546875" customWidth="1"/>
    <col min="15437" max="15438" width="9.85546875" bestFit="1" customWidth="1"/>
    <col min="15439" max="15439" width="13.5703125" bestFit="1" customWidth="1"/>
    <col min="15440" max="15440" width="7.7109375" bestFit="1" customWidth="1"/>
    <col min="15441" max="15441" width="13.28515625" bestFit="1" customWidth="1"/>
    <col min="15442" max="15442" width="11.5703125" bestFit="1" customWidth="1"/>
    <col min="15443" max="15443" width="10.42578125" bestFit="1" customWidth="1"/>
    <col min="15444" max="15444" width="7.7109375" bestFit="1" customWidth="1"/>
    <col min="15445" max="15445" width="11.5703125" bestFit="1" customWidth="1"/>
    <col min="15446" max="15446" width="10.85546875" bestFit="1" customWidth="1"/>
    <col min="15447" max="15447" width="13.28515625" bestFit="1" customWidth="1"/>
    <col min="15448" max="15448" width="10.85546875" bestFit="1" customWidth="1"/>
    <col min="15449" max="15450" width="7.5703125" bestFit="1" customWidth="1"/>
    <col min="15451" max="15452" width="10.42578125" bestFit="1" customWidth="1"/>
    <col min="15453" max="15453" width="11.5703125" bestFit="1" customWidth="1"/>
    <col min="15454" max="15454" width="5.28515625" bestFit="1" customWidth="1"/>
    <col min="15455" max="15455" width="10.28515625" bestFit="1" customWidth="1"/>
    <col min="15456" max="15456" width="10.42578125" bestFit="1" customWidth="1"/>
    <col min="15457" max="15457" width="11.5703125" bestFit="1" customWidth="1"/>
    <col min="15458" max="15458" width="5.28515625" bestFit="1" customWidth="1"/>
    <col min="15459" max="15461" width="11.5703125" bestFit="1" customWidth="1"/>
    <col min="15462" max="15462" width="5.28515625" bestFit="1" customWidth="1"/>
    <col min="15463" max="15464" width="10.42578125" bestFit="1" customWidth="1"/>
    <col min="15465" max="15465" width="11.5703125" bestFit="1" customWidth="1"/>
    <col min="15466" max="15466" width="5.28515625" bestFit="1" customWidth="1"/>
    <col min="15467" max="15467" width="14.28515625" bestFit="1" customWidth="1"/>
    <col min="15468" max="15468" width="13" bestFit="1" customWidth="1"/>
    <col min="15469" max="15469" width="11.5703125" bestFit="1" customWidth="1"/>
    <col min="15470" max="15470" width="8.85546875" bestFit="1" customWidth="1"/>
    <col min="15471" max="15471" width="14.42578125" bestFit="1" customWidth="1"/>
    <col min="15472" max="15472" width="10.42578125" bestFit="1" customWidth="1"/>
    <col min="15473" max="15473" width="12.28515625" bestFit="1" customWidth="1"/>
    <col min="15474" max="15474" width="13.85546875" bestFit="1" customWidth="1"/>
    <col min="15475" max="15475" width="11.28515625" customWidth="1"/>
    <col min="15476" max="15476" width="11.5703125" customWidth="1"/>
    <col min="15477" max="15477" width="13.42578125" bestFit="1" customWidth="1"/>
    <col min="15478" max="15478" width="10.42578125" customWidth="1"/>
    <col min="15479" max="15479" width="13.85546875" bestFit="1" customWidth="1"/>
    <col min="15480" max="15480" width="15.42578125" bestFit="1" customWidth="1"/>
    <col min="15481" max="15481" width="12.28515625" bestFit="1" customWidth="1"/>
    <col min="15482" max="15482" width="12.7109375" customWidth="1"/>
    <col min="15483" max="15483" width="10.7109375" bestFit="1" customWidth="1"/>
    <col min="15484" max="15484" width="9.85546875" customWidth="1"/>
    <col min="15485" max="15486" width="10.140625" bestFit="1" customWidth="1"/>
    <col min="15487" max="15487" width="7.5703125" bestFit="1" customWidth="1"/>
    <col min="15488" max="15488" width="9.42578125" bestFit="1" customWidth="1"/>
    <col min="15489" max="15489" width="14.5703125" bestFit="1" customWidth="1"/>
    <col min="15490" max="15490" width="14.85546875" customWidth="1"/>
    <col min="15491" max="15491" width="15.140625" bestFit="1" customWidth="1"/>
    <col min="15492" max="15492" width="12.140625" bestFit="1" customWidth="1"/>
    <col min="15493" max="15493" width="14.85546875" bestFit="1" customWidth="1"/>
    <col min="15494" max="15494" width="12.28515625" bestFit="1" customWidth="1"/>
    <col min="15495" max="15503" width="9.140625" hidden="1" customWidth="1"/>
    <col min="15504" max="15504" width="5.28515625" bestFit="1" customWidth="1"/>
    <col min="15505" max="15510" width="11.5703125" bestFit="1" customWidth="1"/>
    <col min="15511" max="15511" width="11.28515625" bestFit="1" customWidth="1"/>
    <col min="15512" max="15512" width="10.140625" bestFit="1" customWidth="1"/>
    <col min="15513" max="15513" width="11.5703125" bestFit="1" customWidth="1"/>
    <col min="15514" max="15514" width="16.140625" customWidth="1"/>
    <col min="15515" max="15515" width="13.42578125" customWidth="1"/>
    <col min="15516" max="15516" width="10.140625" bestFit="1" customWidth="1"/>
    <col min="15517" max="15517" width="12.85546875" bestFit="1" customWidth="1"/>
    <col min="15518" max="15518" width="12.28515625" bestFit="1" customWidth="1"/>
    <col min="15519" max="15519" width="11.28515625" bestFit="1" customWidth="1"/>
    <col min="15520" max="15520" width="11.5703125" bestFit="1" customWidth="1"/>
    <col min="15521" max="15521" width="10.85546875" bestFit="1" customWidth="1"/>
    <col min="15522" max="15522" width="11.28515625" bestFit="1" customWidth="1"/>
    <col min="15523" max="15523" width="10.140625" bestFit="1" customWidth="1"/>
    <col min="15524" max="15524" width="13.28515625" bestFit="1" customWidth="1"/>
    <col min="15525" max="15526" width="12.7109375" bestFit="1" customWidth="1"/>
    <col min="15527" max="15527" width="11" bestFit="1" customWidth="1"/>
    <col min="15528" max="15528" width="11.28515625" bestFit="1" customWidth="1"/>
    <col min="15529" max="15529" width="11.5703125" bestFit="1" customWidth="1"/>
    <col min="15530" max="15530" width="12.28515625" bestFit="1" customWidth="1"/>
    <col min="15531" max="15531" width="15.140625" bestFit="1" customWidth="1"/>
    <col min="15532" max="15532" width="14.42578125" bestFit="1" customWidth="1"/>
    <col min="15533" max="15533" width="12.28515625" bestFit="1" customWidth="1"/>
    <col min="15534" max="15534" width="15.140625" bestFit="1" customWidth="1"/>
    <col min="15535" max="15535" width="14.42578125" bestFit="1" customWidth="1"/>
    <col min="15536" max="15536" width="12.28515625" bestFit="1" customWidth="1"/>
    <col min="15537" max="15537" width="14.42578125" bestFit="1" customWidth="1"/>
    <col min="15538" max="15538" width="11.28515625" bestFit="1" customWidth="1"/>
    <col min="15539" max="15539" width="12.28515625" bestFit="1" customWidth="1"/>
    <col min="15540" max="15540" width="13" bestFit="1" customWidth="1"/>
    <col min="15541" max="15541" width="15.140625" bestFit="1" customWidth="1"/>
    <col min="15542" max="15542" width="12.28515625" bestFit="1" customWidth="1"/>
    <col min="15543" max="15543" width="13.85546875" bestFit="1" customWidth="1"/>
    <col min="15544" max="15544" width="11.28515625" bestFit="1" customWidth="1"/>
    <col min="15545" max="15545" width="12.28515625" bestFit="1" customWidth="1"/>
    <col min="15546" max="15546" width="13.85546875" bestFit="1" customWidth="1"/>
    <col min="15547" max="15548" width="15.140625" bestFit="1" customWidth="1"/>
    <col min="15549" max="15549" width="12.28515625" bestFit="1" customWidth="1"/>
    <col min="15550" max="15550" width="5.7109375" bestFit="1" customWidth="1"/>
    <col min="15551" max="15551" width="8.5703125" bestFit="1" customWidth="1"/>
    <col min="15552" max="15552" width="5.5703125" bestFit="1" customWidth="1"/>
    <col min="15553" max="15553" width="14.42578125" bestFit="1" customWidth="1"/>
    <col min="15554" max="15554" width="11.28515625" bestFit="1" customWidth="1"/>
    <col min="15555" max="15556" width="12.28515625" bestFit="1" customWidth="1"/>
    <col min="15557" max="15557" width="11.28515625" bestFit="1" customWidth="1"/>
    <col min="15558" max="15558" width="13.85546875" bestFit="1" customWidth="1"/>
    <col min="15559" max="15559" width="12" bestFit="1" customWidth="1"/>
    <col min="15560" max="15560" width="13.85546875" bestFit="1" customWidth="1"/>
    <col min="15561" max="15562" width="14.42578125" customWidth="1"/>
    <col min="15563" max="15563" width="10.140625" bestFit="1" customWidth="1"/>
    <col min="15564" max="15564" width="12.28515625" bestFit="1" customWidth="1"/>
    <col min="15565" max="15565" width="7.42578125" bestFit="1" customWidth="1"/>
    <col min="15566" max="15566" width="8.5703125" bestFit="1" customWidth="1"/>
    <col min="15567" max="15567" width="11.5703125" bestFit="1" customWidth="1"/>
    <col min="15568" max="15568" width="13.28515625" bestFit="1" customWidth="1"/>
    <col min="15569" max="15569" width="13.28515625" customWidth="1"/>
    <col min="15570" max="15570" width="13.140625" customWidth="1"/>
    <col min="15571" max="15571" width="12.7109375" bestFit="1" customWidth="1"/>
    <col min="15572" max="15572" width="13.28515625" bestFit="1" customWidth="1"/>
    <col min="15573" max="15575" width="13.28515625" customWidth="1"/>
    <col min="15576" max="15576" width="12.140625" bestFit="1" customWidth="1"/>
    <col min="15577" max="15577" width="12.7109375" bestFit="1" customWidth="1"/>
    <col min="15578" max="15578" width="11" customWidth="1"/>
    <col min="15579" max="15579" width="16.7109375" customWidth="1"/>
    <col min="15580" max="15580" width="17" customWidth="1"/>
    <col min="15581" max="15581" width="10.42578125" bestFit="1" customWidth="1"/>
    <col min="15625" max="15625" width="3.85546875" customWidth="1"/>
    <col min="15626" max="15626" width="15.28515625" bestFit="1" customWidth="1"/>
    <col min="15627" max="15627" width="12.28515625" customWidth="1"/>
    <col min="15628" max="15628" width="16.28515625" bestFit="1" customWidth="1"/>
    <col min="15629" max="15629" width="6.42578125" bestFit="1" customWidth="1"/>
    <col min="15630" max="15630" width="9.28515625" bestFit="1" customWidth="1"/>
    <col min="15631" max="15631" width="7.5703125" bestFit="1" customWidth="1"/>
    <col min="15632" max="15632" width="13.28515625" bestFit="1" customWidth="1"/>
    <col min="15633" max="15633" width="9.28515625" bestFit="1" customWidth="1"/>
    <col min="15634" max="15634" width="11.5703125" bestFit="1" customWidth="1"/>
    <col min="15635" max="15635" width="13.28515625" bestFit="1" customWidth="1"/>
    <col min="15636" max="15636" width="7.140625" bestFit="1" customWidth="1"/>
    <col min="15637" max="15637" width="12" bestFit="1" customWidth="1"/>
    <col min="15638" max="15638" width="13.28515625" bestFit="1" customWidth="1"/>
    <col min="15639" max="15639" width="7" bestFit="1" customWidth="1"/>
    <col min="15640" max="15640" width="12.7109375" bestFit="1" customWidth="1"/>
    <col min="15641" max="15641" width="11.5703125" bestFit="1" customWidth="1"/>
    <col min="15642" max="15642" width="10.5703125" bestFit="1" customWidth="1"/>
    <col min="15643" max="15644" width="15.7109375" bestFit="1" customWidth="1"/>
    <col min="15645" max="15645" width="11.5703125" bestFit="1" customWidth="1"/>
    <col min="15646" max="15646" width="7.7109375" bestFit="1" customWidth="1"/>
    <col min="15647" max="15647" width="15.140625" bestFit="1" customWidth="1"/>
    <col min="15648" max="15648" width="11.5703125" bestFit="1" customWidth="1"/>
    <col min="15649" max="15649" width="13.28515625" bestFit="1" customWidth="1"/>
    <col min="15650" max="15650" width="10.42578125" bestFit="1" customWidth="1"/>
    <col min="15651" max="15651" width="13.28515625" bestFit="1" customWidth="1"/>
    <col min="15652" max="15652" width="12.140625" bestFit="1" customWidth="1"/>
    <col min="15653" max="15653" width="14.42578125" bestFit="1" customWidth="1"/>
    <col min="15654" max="15654" width="13.28515625" bestFit="1" customWidth="1"/>
    <col min="15655" max="15655" width="11.5703125" bestFit="1" customWidth="1"/>
    <col min="15656" max="15656" width="7.7109375" bestFit="1" customWidth="1"/>
    <col min="15657" max="15658" width="14.42578125" bestFit="1" customWidth="1"/>
    <col min="15659" max="15659" width="11.5703125" bestFit="1" customWidth="1"/>
    <col min="15660" max="15660" width="7.7109375" bestFit="1" customWidth="1"/>
    <col min="15661" max="15661" width="13.5703125" customWidth="1"/>
    <col min="15662" max="15662" width="15.28515625" customWidth="1"/>
    <col min="15663" max="15663" width="14.5703125" customWidth="1"/>
    <col min="15664" max="15664" width="13.28515625" bestFit="1" customWidth="1"/>
    <col min="15665" max="15665" width="7.7109375" bestFit="1" customWidth="1"/>
    <col min="15666" max="15666" width="12.7109375" bestFit="1" customWidth="1"/>
    <col min="15667" max="15667" width="11.7109375" bestFit="1" customWidth="1"/>
    <col min="15668" max="15668" width="11.5703125" bestFit="1" customWidth="1"/>
    <col min="15669" max="15669" width="5.28515625" bestFit="1" customWidth="1"/>
    <col min="15670" max="15670" width="13.28515625" bestFit="1" customWidth="1"/>
    <col min="15671" max="15671" width="13.5703125" bestFit="1" customWidth="1"/>
    <col min="15672" max="15672" width="10.5703125" bestFit="1" customWidth="1"/>
    <col min="15673" max="15673" width="13.28515625" bestFit="1" customWidth="1"/>
    <col min="15674" max="15674" width="11.5703125" bestFit="1" customWidth="1"/>
    <col min="15675" max="15675" width="10.5703125" bestFit="1" customWidth="1"/>
    <col min="15676" max="15676" width="16.140625" bestFit="1" customWidth="1"/>
    <col min="15677" max="15678" width="11.28515625" bestFit="1" customWidth="1"/>
    <col min="15679" max="15679" width="13.28515625" bestFit="1" customWidth="1"/>
    <col min="15680" max="15680" width="7.7109375" bestFit="1" customWidth="1"/>
    <col min="15681" max="15684" width="9.140625" hidden="1" customWidth="1"/>
    <col min="15685" max="15685" width="10.42578125" bestFit="1" customWidth="1"/>
    <col min="15686" max="15686" width="10.5703125" bestFit="1" customWidth="1"/>
    <col min="15687" max="15687" width="10.42578125" bestFit="1" customWidth="1"/>
    <col min="15688" max="15688" width="10.5703125" bestFit="1" customWidth="1"/>
    <col min="15689" max="15689" width="9.5703125" bestFit="1" customWidth="1"/>
    <col min="15690" max="15690" width="11.5703125" bestFit="1" customWidth="1"/>
    <col min="15691" max="15691" width="10.42578125" bestFit="1" customWidth="1"/>
    <col min="15692" max="15692" width="10.85546875" customWidth="1"/>
    <col min="15693" max="15694" width="9.85546875" bestFit="1" customWidth="1"/>
    <col min="15695" max="15695" width="13.5703125" bestFit="1" customWidth="1"/>
    <col min="15696" max="15696" width="7.7109375" bestFit="1" customWidth="1"/>
    <col min="15697" max="15697" width="13.28515625" bestFit="1" customWidth="1"/>
    <col min="15698" max="15698" width="11.5703125" bestFit="1" customWidth="1"/>
    <col min="15699" max="15699" width="10.42578125" bestFit="1" customWidth="1"/>
    <col min="15700" max="15700" width="7.7109375" bestFit="1" customWidth="1"/>
    <col min="15701" max="15701" width="11.5703125" bestFit="1" customWidth="1"/>
    <col min="15702" max="15702" width="10.85546875" bestFit="1" customWidth="1"/>
    <col min="15703" max="15703" width="13.28515625" bestFit="1" customWidth="1"/>
    <col min="15704" max="15704" width="10.85546875" bestFit="1" customWidth="1"/>
    <col min="15705" max="15706" width="7.5703125" bestFit="1" customWidth="1"/>
    <col min="15707" max="15708" width="10.42578125" bestFit="1" customWidth="1"/>
    <col min="15709" max="15709" width="11.5703125" bestFit="1" customWidth="1"/>
    <col min="15710" max="15710" width="5.28515625" bestFit="1" customWidth="1"/>
    <col min="15711" max="15711" width="10.28515625" bestFit="1" customWidth="1"/>
    <col min="15712" max="15712" width="10.42578125" bestFit="1" customWidth="1"/>
    <col min="15713" max="15713" width="11.5703125" bestFit="1" customWidth="1"/>
    <col min="15714" max="15714" width="5.28515625" bestFit="1" customWidth="1"/>
    <col min="15715" max="15717" width="11.5703125" bestFit="1" customWidth="1"/>
    <col min="15718" max="15718" width="5.28515625" bestFit="1" customWidth="1"/>
    <col min="15719" max="15720" width="10.42578125" bestFit="1" customWidth="1"/>
    <col min="15721" max="15721" width="11.5703125" bestFit="1" customWidth="1"/>
    <col min="15722" max="15722" width="5.28515625" bestFit="1" customWidth="1"/>
    <col min="15723" max="15723" width="14.28515625" bestFit="1" customWidth="1"/>
    <col min="15724" max="15724" width="13" bestFit="1" customWidth="1"/>
    <col min="15725" max="15725" width="11.5703125" bestFit="1" customWidth="1"/>
    <col min="15726" max="15726" width="8.85546875" bestFit="1" customWidth="1"/>
    <col min="15727" max="15727" width="14.42578125" bestFit="1" customWidth="1"/>
    <col min="15728" max="15728" width="10.42578125" bestFit="1" customWidth="1"/>
    <col min="15729" max="15729" width="12.28515625" bestFit="1" customWidth="1"/>
    <col min="15730" max="15730" width="13.85546875" bestFit="1" customWidth="1"/>
    <col min="15731" max="15731" width="11.28515625" customWidth="1"/>
    <col min="15732" max="15732" width="11.5703125" customWidth="1"/>
    <col min="15733" max="15733" width="13.42578125" bestFit="1" customWidth="1"/>
    <col min="15734" max="15734" width="10.42578125" customWidth="1"/>
    <col min="15735" max="15735" width="13.85546875" bestFit="1" customWidth="1"/>
    <col min="15736" max="15736" width="15.42578125" bestFit="1" customWidth="1"/>
    <col min="15737" max="15737" width="12.28515625" bestFit="1" customWidth="1"/>
    <col min="15738" max="15738" width="12.7109375" customWidth="1"/>
    <col min="15739" max="15739" width="10.7109375" bestFit="1" customWidth="1"/>
    <col min="15740" max="15740" width="9.85546875" customWidth="1"/>
    <col min="15741" max="15742" width="10.140625" bestFit="1" customWidth="1"/>
    <col min="15743" max="15743" width="7.5703125" bestFit="1" customWidth="1"/>
    <col min="15744" max="15744" width="9.42578125" bestFit="1" customWidth="1"/>
    <col min="15745" max="15745" width="14.5703125" bestFit="1" customWidth="1"/>
    <col min="15746" max="15746" width="14.85546875" customWidth="1"/>
    <col min="15747" max="15747" width="15.140625" bestFit="1" customWidth="1"/>
    <col min="15748" max="15748" width="12.140625" bestFit="1" customWidth="1"/>
    <col min="15749" max="15749" width="14.85546875" bestFit="1" customWidth="1"/>
    <col min="15750" max="15750" width="12.28515625" bestFit="1" customWidth="1"/>
    <col min="15751" max="15759" width="9.140625" hidden="1" customWidth="1"/>
    <col min="15760" max="15760" width="5.28515625" bestFit="1" customWidth="1"/>
    <col min="15761" max="15766" width="11.5703125" bestFit="1" customWidth="1"/>
    <col min="15767" max="15767" width="11.28515625" bestFit="1" customWidth="1"/>
    <col min="15768" max="15768" width="10.140625" bestFit="1" customWidth="1"/>
    <col min="15769" max="15769" width="11.5703125" bestFit="1" customWidth="1"/>
    <col min="15770" max="15770" width="16.140625" customWidth="1"/>
    <col min="15771" max="15771" width="13.42578125" customWidth="1"/>
    <col min="15772" max="15772" width="10.140625" bestFit="1" customWidth="1"/>
    <col min="15773" max="15773" width="12.85546875" bestFit="1" customWidth="1"/>
    <col min="15774" max="15774" width="12.28515625" bestFit="1" customWidth="1"/>
    <col min="15775" max="15775" width="11.28515625" bestFit="1" customWidth="1"/>
    <col min="15776" max="15776" width="11.5703125" bestFit="1" customWidth="1"/>
    <col min="15777" max="15777" width="10.85546875" bestFit="1" customWidth="1"/>
    <col min="15778" max="15778" width="11.28515625" bestFit="1" customWidth="1"/>
    <col min="15779" max="15779" width="10.140625" bestFit="1" customWidth="1"/>
    <col min="15780" max="15780" width="13.28515625" bestFit="1" customWidth="1"/>
    <col min="15781" max="15782" width="12.7109375" bestFit="1" customWidth="1"/>
    <col min="15783" max="15783" width="11" bestFit="1" customWidth="1"/>
    <col min="15784" max="15784" width="11.28515625" bestFit="1" customWidth="1"/>
    <col min="15785" max="15785" width="11.5703125" bestFit="1" customWidth="1"/>
    <col min="15786" max="15786" width="12.28515625" bestFit="1" customWidth="1"/>
    <col min="15787" max="15787" width="15.140625" bestFit="1" customWidth="1"/>
    <col min="15788" max="15788" width="14.42578125" bestFit="1" customWidth="1"/>
    <col min="15789" max="15789" width="12.28515625" bestFit="1" customWidth="1"/>
    <col min="15790" max="15790" width="15.140625" bestFit="1" customWidth="1"/>
    <col min="15791" max="15791" width="14.42578125" bestFit="1" customWidth="1"/>
    <col min="15792" max="15792" width="12.28515625" bestFit="1" customWidth="1"/>
    <col min="15793" max="15793" width="14.42578125" bestFit="1" customWidth="1"/>
    <col min="15794" max="15794" width="11.28515625" bestFit="1" customWidth="1"/>
    <col min="15795" max="15795" width="12.28515625" bestFit="1" customWidth="1"/>
    <col min="15796" max="15796" width="13" bestFit="1" customWidth="1"/>
    <col min="15797" max="15797" width="15.140625" bestFit="1" customWidth="1"/>
    <col min="15798" max="15798" width="12.28515625" bestFit="1" customWidth="1"/>
    <col min="15799" max="15799" width="13.85546875" bestFit="1" customWidth="1"/>
    <col min="15800" max="15800" width="11.28515625" bestFit="1" customWidth="1"/>
    <col min="15801" max="15801" width="12.28515625" bestFit="1" customWidth="1"/>
    <col min="15802" max="15802" width="13.85546875" bestFit="1" customWidth="1"/>
    <col min="15803" max="15804" width="15.140625" bestFit="1" customWidth="1"/>
    <col min="15805" max="15805" width="12.28515625" bestFit="1" customWidth="1"/>
    <col min="15806" max="15806" width="5.7109375" bestFit="1" customWidth="1"/>
    <col min="15807" max="15807" width="8.5703125" bestFit="1" customWidth="1"/>
    <col min="15808" max="15808" width="5.5703125" bestFit="1" customWidth="1"/>
    <col min="15809" max="15809" width="14.42578125" bestFit="1" customWidth="1"/>
    <col min="15810" max="15810" width="11.28515625" bestFit="1" customWidth="1"/>
    <col min="15811" max="15812" width="12.28515625" bestFit="1" customWidth="1"/>
    <col min="15813" max="15813" width="11.28515625" bestFit="1" customWidth="1"/>
    <col min="15814" max="15814" width="13.85546875" bestFit="1" customWidth="1"/>
    <col min="15815" max="15815" width="12" bestFit="1" customWidth="1"/>
    <col min="15816" max="15816" width="13.85546875" bestFit="1" customWidth="1"/>
    <col min="15817" max="15818" width="14.42578125" customWidth="1"/>
    <col min="15819" max="15819" width="10.140625" bestFit="1" customWidth="1"/>
    <col min="15820" max="15820" width="12.28515625" bestFit="1" customWidth="1"/>
    <col min="15821" max="15821" width="7.42578125" bestFit="1" customWidth="1"/>
    <col min="15822" max="15822" width="8.5703125" bestFit="1" customWidth="1"/>
    <col min="15823" max="15823" width="11.5703125" bestFit="1" customWidth="1"/>
    <col min="15824" max="15824" width="13.28515625" bestFit="1" customWidth="1"/>
    <col min="15825" max="15825" width="13.28515625" customWidth="1"/>
    <col min="15826" max="15826" width="13.140625" customWidth="1"/>
    <col min="15827" max="15827" width="12.7109375" bestFit="1" customWidth="1"/>
    <col min="15828" max="15828" width="13.28515625" bestFit="1" customWidth="1"/>
    <col min="15829" max="15831" width="13.28515625" customWidth="1"/>
    <col min="15832" max="15832" width="12.140625" bestFit="1" customWidth="1"/>
    <col min="15833" max="15833" width="12.7109375" bestFit="1" customWidth="1"/>
    <col min="15834" max="15834" width="11" customWidth="1"/>
    <col min="15835" max="15835" width="16.7109375" customWidth="1"/>
    <col min="15836" max="15836" width="17" customWidth="1"/>
    <col min="15837" max="15837" width="10.42578125" bestFit="1" customWidth="1"/>
    <col min="15881" max="15881" width="3.85546875" customWidth="1"/>
    <col min="15882" max="15882" width="15.28515625" bestFit="1" customWidth="1"/>
    <col min="15883" max="15883" width="12.28515625" customWidth="1"/>
    <col min="15884" max="15884" width="16.28515625" bestFit="1" customWidth="1"/>
    <col min="15885" max="15885" width="6.42578125" bestFit="1" customWidth="1"/>
    <col min="15886" max="15886" width="9.28515625" bestFit="1" customWidth="1"/>
    <col min="15887" max="15887" width="7.5703125" bestFit="1" customWidth="1"/>
    <col min="15888" max="15888" width="13.28515625" bestFit="1" customWidth="1"/>
    <col min="15889" max="15889" width="9.28515625" bestFit="1" customWidth="1"/>
    <col min="15890" max="15890" width="11.5703125" bestFit="1" customWidth="1"/>
    <col min="15891" max="15891" width="13.28515625" bestFit="1" customWidth="1"/>
    <col min="15892" max="15892" width="7.140625" bestFit="1" customWidth="1"/>
    <col min="15893" max="15893" width="12" bestFit="1" customWidth="1"/>
    <col min="15894" max="15894" width="13.28515625" bestFit="1" customWidth="1"/>
    <col min="15895" max="15895" width="7" bestFit="1" customWidth="1"/>
    <col min="15896" max="15896" width="12.7109375" bestFit="1" customWidth="1"/>
    <col min="15897" max="15897" width="11.5703125" bestFit="1" customWidth="1"/>
    <col min="15898" max="15898" width="10.5703125" bestFit="1" customWidth="1"/>
    <col min="15899" max="15900" width="15.7109375" bestFit="1" customWidth="1"/>
    <col min="15901" max="15901" width="11.5703125" bestFit="1" customWidth="1"/>
    <col min="15902" max="15902" width="7.7109375" bestFit="1" customWidth="1"/>
    <col min="15903" max="15903" width="15.140625" bestFit="1" customWidth="1"/>
    <col min="15904" max="15904" width="11.5703125" bestFit="1" customWidth="1"/>
    <col min="15905" max="15905" width="13.28515625" bestFit="1" customWidth="1"/>
    <col min="15906" max="15906" width="10.42578125" bestFit="1" customWidth="1"/>
    <col min="15907" max="15907" width="13.28515625" bestFit="1" customWidth="1"/>
    <col min="15908" max="15908" width="12.140625" bestFit="1" customWidth="1"/>
    <col min="15909" max="15909" width="14.42578125" bestFit="1" customWidth="1"/>
    <col min="15910" max="15910" width="13.28515625" bestFit="1" customWidth="1"/>
    <col min="15911" max="15911" width="11.5703125" bestFit="1" customWidth="1"/>
    <col min="15912" max="15912" width="7.7109375" bestFit="1" customWidth="1"/>
    <col min="15913" max="15914" width="14.42578125" bestFit="1" customWidth="1"/>
    <col min="15915" max="15915" width="11.5703125" bestFit="1" customWidth="1"/>
    <col min="15916" max="15916" width="7.7109375" bestFit="1" customWidth="1"/>
    <col min="15917" max="15917" width="13.5703125" customWidth="1"/>
    <col min="15918" max="15918" width="15.28515625" customWidth="1"/>
    <col min="15919" max="15919" width="14.5703125" customWidth="1"/>
    <col min="15920" max="15920" width="13.28515625" bestFit="1" customWidth="1"/>
    <col min="15921" max="15921" width="7.7109375" bestFit="1" customWidth="1"/>
    <col min="15922" max="15922" width="12.7109375" bestFit="1" customWidth="1"/>
    <col min="15923" max="15923" width="11.7109375" bestFit="1" customWidth="1"/>
    <col min="15924" max="15924" width="11.5703125" bestFit="1" customWidth="1"/>
    <col min="15925" max="15925" width="5.28515625" bestFit="1" customWidth="1"/>
    <col min="15926" max="15926" width="13.28515625" bestFit="1" customWidth="1"/>
    <col min="15927" max="15927" width="13.5703125" bestFit="1" customWidth="1"/>
    <col min="15928" max="15928" width="10.5703125" bestFit="1" customWidth="1"/>
    <col min="15929" max="15929" width="13.28515625" bestFit="1" customWidth="1"/>
    <col min="15930" max="15930" width="11.5703125" bestFit="1" customWidth="1"/>
    <col min="15931" max="15931" width="10.5703125" bestFit="1" customWidth="1"/>
    <col min="15932" max="15932" width="16.140625" bestFit="1" customWidth="1"/>
    <col min="15933" max="15934" width="11.28515625" bestFit="1" customWidth="1"/>
    <col min="15935" max="15935" width="13.28515625" bestFit="1" customWidth="1"/>
    <col min="15936" max="15936" width="7.7109375" bestFit="1" customWidth="1"/>
    <col min="15937" max="15940" width="9.140625" hidden="1" customWidth="1"/>
    <col min="15941" max="15941" width="10.42578125" bestFit="1" customWidth="1"/>
    <col min="15942" max="15942" width="10.5703125" bestFit="1" customWidth="1"/>
    <col min="15943" max="15943" width="10.42578125" bestFit="1" customWidth="1"/>
    <col min="15944" max="15944" width="10.5703125" bestFit="1" customWidth="1"/>
    <col min="15945" max="15945" width="9.5703125" bestFit="1" customWidth="1"/>
    <col min="15946" max="15946" width="11.5703125" bestFit="1" customWidth="1"/>
    <col min="15947" max="15947" width="10.42578125" bestFit="1" customWidth="1"/>
    <col min="15948" max="15948" width="10.85546875" customWidth="1"/>
    <col min="15949" max="15950" width="9.85546875" bestFit="1" customWidth="1"/>
    <col min="15951" max="15951" width="13.5703125" bestFit="1" customWidth="1"/>
    <col min="15952" max="15952" width="7.7109375" bestFit="1" customWidth="1"/>
    <col min="15953" max="15953" width="13.28515625" bestFit="1" customWidth="1"/>
    <col min="15954" max="15954" width="11.5703125" bestFit="1" customWidth="1"/>
    <col min="15955" max="15955" width="10.42578125" bestFit="1" customWidth="1"/>
    <col min="15956" max="15956" width="7.7109375" bestFit="1" customWidth="1"/>
    <col min="15957" max="15957" width="11.5703125" bestFit="1" customWidth="1"/>
    <col min="15958" max="15958" width="10.85546875" bestFit="1" customWidth="1"/>
    <col min="15959" max="15959" width="13.28515625" bestFit="1" customWidth="1"/>
    <col min="15960" max="15960" width="10.85546875" bestFit="1" customWidth="1"/>
    <col min="15961" max="15962" width="7.5703125" bestFit="1" customWidth="1"/>
    <col min="15963" max="15964" width="10.42578125" bestFit="1" customWidth="1"/>
    <col min="15965" max="15965" width="11.5703125" bestFit="1" customWidth="1"/>
    <col min="15966" max="15966" width="5.28515625" bestFit="1" customWidth="1"/>
    <col min="15967" max="15967" width="10.28515625" bestFit="1" customWidth="1"/>
    <col min="15968" max="15968" width="10.42578125" bestFit="1" customWidth="1"/>
    <col min="15969" max="15969" width="11.5703125" bestFit="1" customWidth="1"/>
    <col min="15970" max="15970" width="5.28515625" bestFit="1" customWidth="1"/>
    <col min="15971" max="15973" width="11.5703125" bestFit="1" customWidth="1"/>
    <col min="15974" max="15974" width="5.28515625" bestFit="1" customWidth="1"/>
    <col min="15975" max="15976" width="10.42578125" bestFit="1" customWidth="1"/>
    <col min="15977" max="15977" width="11.5703125" bestFit="1" customWidth="1"/>
    <col min="15978" max="15978" width="5.28515625" bestFit="1" customWidth="1"/>
    <col min="15979" max="15979" width="14.28515625" bestFit="1" customWidth="1"/>
    <col min="15980" max="15980" width="13" bestFit="1" customWidth="1"/>
    <col min="15981" max="15981" width="11.5703125" bestFit="1" customWidth="1"/>
    <col min="15982" max="15982" width="8.85546875" bestFit="1" customWidth="1"/>
    <col min="15983" max="15983" width="14.42578125" bestFit="1" customWidth="1"/>
    <col min="15984" max="15984" width="10.42578125" bestFit="1" customWidth="1"/>
    <col min="15985" max="15985" width="12.28515625" bestFit="1" customWidth="1"/>
    <col min="15986" max="15986" width="13.85546875" bestFit="1" customWidth="1"/>
    <col min="15987" max="15987" width="11.28515625" customWidth="1"/>
    <col min="15988" max="15988" width="11.5703125" customWidth="1"/>
    <col min="15989" max="15989" width="13.42578125" bestFit="1" customWidth="1"/>
    <col min="15990" max="15990" width="10.42578125" customWidth="1"/>
    <col min="15991" max="15991" width="13.85546875" bestFit="1" customWidth="1"/>
    <col min="15992" max="15992" width="15.42578125" bestFit="1" customWidth="1"/>
    <col min="15993" max="15993" width="12.28515625" bestFit="1" customWidth="1"/>
    <col min="15994" max="15994" width="12.7109375" customWidth="1"/>
    <col min="15995" max="15995" width="10.7109375" bestFit="1" customWidth="1"/>
    <col min="15996" max="15996" width="9.85546875" customWidth="1"/>
    <col min="15997" max="15998" width="10.140625" bestFit="1" customWidth="1"/>
    <col min="15999" max="15999" width="7.5703125" bestFit="1" customWidth="1"/>
    <col min="16000" max="16000" width="9.42578125" bestFit="1" customWidth="1"/>
    <col min="16001" max="16001" width="14.5703125" bestFit="1" customWidth="1"/>
    <col min="16002" max="16002" width="14.85546875" customWidth="1"/>
    <col min="16003" max="16003" width="15.140625" bestFit="1" customWidth="1"/>
    <col min="16004" max="16004" width="12.140625" bestFit="1" customWidth="1"/>
    <col min="16005" max="16005" width="14.85546875" bestFit="1" customWidth="1"/>
    <col min="16006" max="16006" width="12.28515625" bestFit="1" customWidth="1"/>
    <col min="16007" max="16015" width="9.140625" hidden="1" customWidth="1"/>
    <col min="16016" max="16016" width="5.28515625" bestFit="1" customWidth="1"/>
    <col min="16017" max="16022" width="11.5703125" bestFit="1" customWidth="1"/>
    <col min="16023" max="16023" width="11.28515625" bestFit="1" customWidth="1"/>
    <col min="16024" max="16024" width="10.140625" bestFit="1" customWidth="1"/>
    <col min="16025" max="16025" width="11.5703125" bestFit="1" customWidth="1"/>
    <col min="16026" max="16026" width="16.140625" customWidth="1"/>
    <col min="16027" max="16027" width="13.42578125" customWidth="1"/>
    <col min="16028" max="16028" width="10.140625" bestFit="1" customWidth="1"/>
    <col min="16029" max="16029" width="12.85546875" bestFit="1" customWidth="1"/>
    <col min="16030" max="16030" width="12.28515625" bestFit="1" customWidth="1"/>
    <col min="16031" max="16031" width="11.28515625" bestFit="1" customWidth="1"/>
    <col min="16032" max="16032" width="11.5703125" bestFit="1" customWidth="1"/>
    <col min="16033" max="16033" width="10.85546875" bestFit="1" customWidth="1"/>
    <col min="16034" max="16034" width="11.28515625" bestFit="1" customWidth="1"/>
    <col min="16035" max="16035" width="10.140625" bestFit="1" customWidth="1"/>
    <col min="16036" max="16036" width="13.28515625" bestFit="1" customWidth="1"/>
    <col min="16037" max="16038" width="12.7109375" bestFit="1" customWidth="1"/>
    <col min="16039" max="16039" width="11" bestFit="1" customWidth="1"/>
    <col min="16040" max="16040" width="11.28515625" bestFit="1" customWidth="1"/>
    <col min="16041" max="16041" width="11.5703125" bestFit="1" customWidth="1"/>
    <col min="16042" max="16042" width="12.28515625" bestFit="1" customWidth="1"/>
    <col min="16043" max="16043" width="15.140625" bestFit="1" customWidth="1"/>
    <col min="16044" max="16044" width="14.42578125" bestFit="1" customWidth="1"/>
    <col min="16045" max="16045" width="12.28515625" bestFit="1" customWidth="1"/>
    <col min="16046" max="16046" width="15.140625" bestFit="1" customWidth="1"/>
    <col min="16047" max="16047" width="14.42578125" bestFit="1" customWidth="1"/>
    <col min="16048" max="16048" width="12.28515625" bestFit="1" customWidth="1"/>
    <col min="16049" max="16049" width="14.42578125" bestFit="1" customWidth="1"/>
    <col min="16050" max="16050" width="11.28515625" bestFit="1" customWidth="1"/>
    <col min="16051" max="16051" width="12.28515625" bestFit="1" customWidth="1"/>
    <col min="16052" max="16052" width="13" bestFit="1" customWidth="1"/>
    <col min="16053" max="16053" width="15.140625" bestFit="1" customWidth="1"/>
    <col min="16054" max="16054" width="12.28515625" bestFit="1" customWidth="1"/>
    <col min="16055" max="16055" width="13.85546875" bestFit="1" customWidth="1"/>
    <col min="16056" max="16056" width="11.28515625" bestFit="1" customWidth="1"/>
    <col min="16057" max="16057" width="12.28515625" bestFit="1" customWidth="1"/>
    <col min="16058" max="16058" width="13.85546875" bestFit="1" customWidth="1"/>
    <col min="16059" max="16060" width="15.140625" bestFit="1" customWidth="1"/>
    <col min="16061" max="16061" width="12.28515625" bestFit="1" customWidth="1"/>
    <col min="16062" max="16062" width="5.7109375" bestFit="1" customWidth="1"/>
    <col min="16063" max="16063" width="8.5703125" bestFit="1" customWidth="1"/>
    <col min="16064" max="16064" width="5.5703125" bestFit="1" customWidth="1"/>
    <col min="16065" max="16065" width="14.42578125" bestFit="1" customWidth="1"/>
    <col min="16066" max="16066" width="11.28515625" bestFit="1" customWidth="1"/>
    <col min="16067" max="16068" width="12.28515625" bestFit="1" customWidth="1"/>
    <col min="16069" max="16069" width="11.28515625" bestFit="1" customWidth="1"/>
    <col min="16070" max="16070" width="13.85546875" bestFit="1" customWidth="1"/>
    <col min="16071" max="16071" width="12" bestFit="1" customWidth="1"/>
    <col min="16072" max="16072" width="13.85546875" bestFit="1" customWidth="1"/>
    <col min="16073" max="16074" width="14.42578125" customWidth="1"/>
    <col min="16075" max="16075" width="10.140625" bestFit="1" customWidth="1"/>
    <col min="16076" max="16076" width="12.28515625" bestFit="1" customWidth="1"/>
    <col min="16077" max="16077" width="7.42578125" bestFit="1" customWidth="1"/>
    <col min="16078" max="16078" width="8.5703125" bestFit="1" customWidth="1"/>
    <col min="16079" max="16079" width="11.5703125" bestFit="1" customWidth="1"/>
    <col min="16080" max="16080" width="13.28515625" bestFit="1" customWidth="1"/>
    <col min="16081" max="16081" width="13.28515625" customWidth="1"/>
    <col min="16082" max="16082" width="13.140625" customWidth="1"/>
    <col min="16083" max="16083" width="12.7109375" bestFit="1" customWidth="1"/>
    <col min="16084" max="16084" width="13.28515625" bestFit="1" customWidth="1"/>
    <col min="16085" max="16087" width="13.28515625" customWidth="1"/>
    <col min="16088" max="16088" width="12.140625" bestFit="1" customWidth="1"/>
    <col min="16089" max="16089" width="12.7109375" bestFit="1" customWidth="1"/>
    <col min="16090" max="16090" width="11" customWidth="1"/>
    <col min="16091" max="16091" width="16.7109375" customWidth="1"/>
    <col min="16092" max="16092" width="17" customWidth="1"/>
    <col min="16093" max="16093" width="10.42578125" bestFit="1" customWidth="1"/>
    <col min="16137" max="16137" width="3.85546875" customWidth="1"/>
    <col min="16138" max="16138" width="15.28515625" bestFit="1" customWidth="1"/>
    <col min="16139" max="16139" width="12.28515625" customWidth="1"/>
    <col min="16140" max="16140" width="16.28515625" bestFit="1" customWidth="1"/>
    <col min="16141" max="16141" width="6.42578125" bestFit="1" customWidth="1"/>
    <col min="16142" max="16142" width="9.28515625" bestFit="1" customWidth="1"/>
    <col min="16143" max="16143" width="7.5703125" bestFit="1" customWidth="1"/>
    <col min="16144" max="16144" width="13.28515625" bestFit="1" customWidth="1"/>
    <col min="16145" max="16145" width="9.28515625" bestFit="1" customWidth="1"/>
    <col min="16146" max="16146" width="11.5703125" bestFit="1" customWidth="1"/>
    <col min="16147" max="16147" width="13.28515625" bestFit="1" customWidth="1"/>
    <col min="16148" max="16148" width="7.140625" bestFit="1" customWidth="1"/>
    <col min="16149" max="16149" width="12" bestFit="1" customWidth="1"/>
    <col min="16150" max="16150" width="13.28515625" bestFit="1" customWidth="1"/>
    <col min="16151" max="16151" width="7" bestFit="1" customWidth="1"/>
    <col min="16152" max="16152" width="12.7109375" bestFit="1" customWidth="1"/>
    <col min="16153" max="16153" width="11.5703125" bestFit="1" customWidth="1"/>
    <col min="16154" max="16154" width="10.5703125" bestFit="1" customWidth="1"/>
    <col min="16155" max="16156" width="15.7109375" bestFit="1" customWidth="1"/>
    <col min="16157" max="16157" width="11.5703125" bestFit="1" customWidth="1"/>
    <col min="16158" max="16158" width="7.7109375" bestFit="1" customWidth="1"/>
    <col min="16159" max="16159" width="15.140625" bestFit="1" customWidth="1"/>
    <col min="16160" max="16160" width="11.5703125" bestFit="1" customWidth="1"/>
    <col min="16161" max="16161" width="13.28515625" bestFit="1" customWidth="1"/>
    <col min="16162" max="16162" width="10.42578125" bestFit="1" customWidth="1"/>
    <col min="16163" max="16163" width="13.28515625" bestFit="1" customWidth="1"/>
    <col min="16164" max="16164" width="12.140625" bestFit="1" customWidth="1"/>
    <col min="16165" max="16165" width="14.42578125" bestFit="1" customWidth="1"/>
    <col min="16166" max="16166" width="13.28515625" bestFit="1" customWidth="1"/>
    <col min="16167" max="16167" width="11.5703125" bestFit="1" customWidth="1"/>
    <col min="16168" max="16168" width="7.7109375" bestFit="1" customWidth="1"/>
    <col min="16169" max="16170" width="14.42578125" bestFit="1" customWidth="1"/>
    <col min="16171" max="16171" width="11.5703125" bestFit="1" customWidth="1"/>
    <col min="16172" max="16172" width="7.7109375" bestFit="1" customWidth="1"/>
    <col min="16173" max="16173" width="13.5703125" customWidth="1"/>
    <col min="16174" max="16174" width="15.28515625" customWidth="1"/>
    <col min="16175" max="16175" width="14.5703125" customWidth="1"/>
    <col min="16176" max="16176" width="13.28515625" bestFit="1" customWidth="1"/>
    <col min="16177" max="16177" width="7.7109375" bestFit="1" customWidth="1"/>
    <col min="16178" max="16178" width="12.7109375" bestFit="1" customWidth="1"/>
    <col min="16179" max="16179" width="11.7109375" bestFit="1" customWidth="1"/>
    <col min="16180" max="16180" width="11.5703125" bestFit="1" customWidth="1"/>
    <col min="16181" max="16181" width="5.28515625" bestFit="1" customWidth="1"/>
    <col min="16182" max="16182" width="13.28515625" bestFit="1" customWidth="1"/>
    <col min="16183" max="16183" width="13.5703125" bestFit="1" customWidth="1"/>
    <col min="16184" max="16184" width="10.5703125" bestFit="1" customWidth="1"/>
    <col min="16185" max="16185" width="13.28515625" bestFit="1" customWidth="1"/>
    <col min="16186" max="16186" width="11.5703125" bestFit="1" customWidth="1"/>
    <col min="16187" max="16187" width="10.5703125" bestFit="1" customWidth="1"/>
    <col min="16188" max="16188" width="16.140625" bestFit="1" customWidth="1"/>
    <col min="16189" max="16190" width="11.28515625" bestFit="1" customWidth="1"/>
    <col min="16191" max="16191" width="13.28515625" bestFit="1" customWidth="1"/>
    <col min="16192" max="16192" width="7.7109375" bestFit="1" customWidth="1"/>
    <col min="16193" max="16196" width="9.140625" hidden="1" customWidth="1"/>
    <col min="16197" max="16197" width="10.42578125" bestFit="1" customWidth="1"/>
    <col min="16198" max="16198" width="10.5703125" bestFit="1" customWidth="1"/>
    <col min="16199" max="16199" width="10.42578125" bestFit="1" customWidth="1"/>
    <col min="16200" max="16200" width="10.5703125" bestFit="1" customWidth="1"/>
    <col min="16201" max="16201" width="9.5703125" bestFit="1" customWidth="1"/>
    <col min="16202" max="16202" width="11.5703125" bestFit="1" customWidth="1"/>
    <col min="16203" max="16203" width="10.42578125" bestFit="1" customWidth="1"/>
    <col min="16204" max="16204" width="10.85546875" customWidth="1"/>
    <col min="16205" max="16206" width="9.85546875" bestFit="1" customWidth="1"/>
    <col min="16207" max="16207" width="13.5703125" bestFit="1" customWidth="1"/>
    <col min="16208" max="16208" width="7.7109375" bestFit="1" customWidth="1"/>
    <col min="16209" max="16209" width="13.28515625" bestFit="1" customWidth="1"/>
    <col min="16210" max="16210" width="11.5703125" bestFit="1" customWidth="1"/>
    <col min="16211" max="16211" width="10.42578125" bestFit="1" customWidth="1"/>
    <col min="16212" max="16212" width="7.7109375" bestFit="1" customWidth="1"/>
    <col min="16213" max="16213" width="11.5703125" bestFit="1" customWidth="1"/>
    <col min="16214" max="16214" width="10.85546875" bestFit="1" customWidth="1"/>
    <col min="16215" max="16215" width="13.28515625" bestFit="1" customWidth="1"/>
    <col min="16216" max="16216" width="10.85546875" bestFit="1" customWidth="1"/>
    <col min="16217" max="16218" width="7.5703125" bestFit="1" customWidth="1"/>
    <col min="16219" max="16220" width="10.42578125" bestFit="1" customWidth="1"/>
    <col min="16221" max="16221" width="11.5703125" bestFit="1" customWidth="1"/>
    <col min="16222" max="16222" width="5.28515625" bestFit="1" customWidth="1"/>
    <col min="16223" max="16223" width="10.28515625" bestFit="1" customWidth="1"/>
    <col min="16224" max="16224" width="10.42578125" bestFit="1" customWidth="1"/>
    <col min="16225" max="16225" width="11.5703125" bestFit="1" customWidth="1"/>
    <col min="16226" max="16226" width="5.28515625" bestFit="1" customWidth="1"/>
    <col min="16227" max="16229" width="11.5703125" bestFit="1" customWidth="1"/>
    <col min="16230" max="16230" width="5.28515625" bestFit="1" customWidth="1"/>
    <col min="16231" max="16232" width="10.42578125" bestFit="1" customWidth="1"/>
    <col min="16233" max="16233" width="11.5703125" bestFit="1" customWidth="1"/>
    <col min="16234" max="16234" width="5.28515625" bestFit="1" customWidth="1"/>
    <col min="16235" max="16235" width="14.28515625" bestFit="1" customWidth="1"/>
    <col min="16236" max="16236" width="13" bestFit="1" customWidth="1"/>
    <col min="16237" max="16237" width="11.5703125" bestFit="1" customWidth="1"/>
    <col min="16238" max="16238" width="8.85546875" bestFit="1" customWidth="1"/>
    <col min="16239" max="16239" width="14.42578125" bestFit="1" customWidth="1"/>
    <col min="16240" max="16240" width="10.42578125" bestFit="1" customWidth="1"/>
    <col min="16241" max="16241" width="12.28515625" bestFit="1" customWidth="1"/>
    <col min="16242" max="16242" width="13.85546875" bestFit="1" customWidth="1"/>
    <col min="16243" max="16243" width="11.28515625" customWidth="1"/>
    <col min="16244" max="16244" width="11.5703125" customWidth="1"/>
    <col min="16245" max="16245" width="13.42578125" bestFit="1" customWidth="1"/>
    <col min="16246" max="16246" width="10.42578125" customWidth="1"/>
    <col min="16247" max="16247" width="13.85546875" bestFit="1" customWidth="1"/>
    <col min="16248" max="16248" width="15.42578125" bestFit="1" customWidth="1"/>
    <col min="16249" max="16249" width="12.28515625" bestFit="1" customWidth="1"/>
    <col min="16250" max="16250" width="12.7109375" customWidth="1"/>
    <col min="16251" max="16251" width="10.7109375" bestFit="1" customWidth="1"/>
    <col min="16252" max="16252" width="9.85546875" customWidth="1"/>
    <col min="16253" max="16254" width="10.140625" bestFit="1" customWidth="1"/>
    <col min="16255" max="16255" width="7.5703125" bestFit="1" customWidth="1"/>
    <col min="16256" max="16256" width="9.42578125" bestFit="1" customWidth="1"/>
    <col min="16257" max="16257" width="14.5703125" bestFit="1" customWidth="1"/>
    <col min="16258" max="16258" width="14.85546875" customWidth="1"/>
    <col min="16259" max="16259" width="15.140625" bestFit="1" customWidth="1"/>
    <col min="16260" max="16260" width="12.140625" bestFit="1" customWidth="1"/>
    <col min="16261" max="16261" width="14.85546875" bestFit="1" customWidth="1"/>
    <col min="16262" max="16262" width="12.28515625" bestFit="1" customWidth="1"/>
    <col min="16263" max="16271" width="9.140625" hidden="1" customWidth="1"/>
    <col min="16272" max="16272" width="5.28515625" bestFit="1" customWidth="1"/>
    <col min="16273" max="16278" width="11.5703125" bestFit="1" customWidth="1"/>
    <col min="16279" max="16279" width="11.28515625" bestFit="1" customWidth="1"/>
    <col min="16280" max="16280" width="10.140625" bestFit="1" customWidth="1"/>
    <col min="16281" max="16281" width="11.5703125" bestFit="1" customWidth="1"/>
    <col min="16282" max="16282" width="16.140625" customWidth="1"/>
    <col min="16283" max="16283" width="13.42578125" customWidth="1"/>
    <col min="16284" max="16284" width="10.140625" bestFit="1" customWidth="1"/>
    <col min="16285" max="16285" width="12.85546875" bestFit="1" customWidth="1"/>
    <col min="16286" max="16286" width="12.28515625" bestFit="1" customWidth="1"/>
    <col min="16287" max="16287" width="11.28515625" bestFit="1" customWidth="1"/>
    <col min="16288" max="16288" width="11.5703125" bestFit="1" customWidth="1"/>
    <col min="16289" max="16289" width="10.85546875" bestFit="1" customWidth="1"/>
    <col min="16290" max="16290" width="11.28515625" bestFit="1" customWidth="1"/>
    <col min="16291" max="16291" width="10.140625" bestFit="1" customWidth="1"/>
    <col min="16292" max="16292" width="13.28515625" bestFit="1" customWidth="1"/>
    <col min="16293" max="16294" width="12.7109375" bestFit="1" customWidth="1"/>
    <col min="16295" max="16295" width="11" bestFit="1" customWidth="1"/>
    <col min="16296" max="16296" width="11.28515625" bestFit="1" customWidth="1"/>
    <col min="16297" max="16297" width="11.5703125" bestFit="1" customWidth="1"/>
    <col min="16298" max="16298" width="12.28515625" bestFit="1" customWidth="1"/>
    <col min="16299" max="16299" width="15.140625" bestFit="1" customWidth="1"/>
    <col min="16300" max="16300" width="14.42578125" bestFit="1" customWidth="1"/>
    <col min="16301" max="16301" width="12.28515625" bestFit="1" customWidth="1"/>
    <col min="16302" max="16302" width="15.140625" bestFit="1" customWidth="1"/>
    <col min="16303" max="16303" width="14.42578125" bestFit="1" customWidth="1"/>
    <col min="16304" max="16304" width="12.28515625" bestFit="1" customWidth="1"/>
    <col min="16305" max="16305" width="14.42578125" bestFit="1" customWidth="1"/>
    <col min="16306" max="16306" width="11.28515625" bestFit="1" customWidth="1"/>
    <col min="16307" max="16307" width="12.28515625" bestFit="1" customWidth="1"/>
    <col min="16308" max="16308" width="13" bestFit="1" customWidth="1"/>
    <col min="16309" max="16309" width="15.140625" bestFit="1" customWidth="1"/>
    <col min="16310" max="16310" width="12.28515625" bestFit="1" customWidth="1"/>
    <col min="16311" max="16311" width="13.85546875" bestFit="1" customWidth="1"/>
    <col min="16312" max="16312" width="11.28515625" bestFit="1" customWidth="1"/>
    <col min="16313" max="16313" width="12.28515625" bestFit="1" customWidth="1"/>
    <col min="16314" max="16314" width="13.85546875" bestFit="1" customWidth="1"/>
    <col min="16315" max="16316" width="15.140625" bestFit="1" customWidth="1"/>
    <col min="16317" max="16317" width="12.28515625" bestFit="1" customWidth="1"/>
    <col min="16318" max="16318" width="5.7109375" bestFit="1" customWidth="1"/>
    <col min="16319" max="16319" width="8.5703125" bestFit="1" customWidth="1"/>
    <col min="16320" max="16320" width="5.5703125" bestFit="1" customWidth="1"/>
    <col min="16321" max="16321" width="14.42578125" bestFit="1" customWidth="1"/>
    <col min="16322" max="16322" width="11.28515625" bestFit="1" customWidth="1"/>
    <col min="16323" max="16324" width="12.28515625" bestFit="1" customWidth="1"/>
    <col min="16325" max="16325" width="11.28515625" bestFit="1" customWidth="1"/>
    <col min="16326" max="16326" width="13.85546875" bestFit="1" customWidth="1"/>
    <col min="16327" max="16327" width="12" bestFit="1" customWidth="1"/>
    <col min="16328" max="16328" width="13.85546875" bestFit="1" customWidth="1"/>
    <col min="16329" max="16330" width="14.42578125" customWidth="1"/>
    <col min="16331" max="16331" width="10.140625" bestFit="1" customWidth="1"/>
    <col min="16332" max="16332" width="12.28515625" bestFit="1" customWidth="1"/>
    <col min="16333" max="16333" width="7.42578125" bestFit="1" customWidth="1"/>
    <col min="16334" max="16334" width="8.5703125" bestFit="1" customWidth="1"/>
    <col min="16335" max="16335" width="11.5703125" bestFit="1" customWidth="1"/>
    <col min="16336" max="16336" width="13.28515625" bestFit="1" customWidth="1"/>
    <col min="16337" max="16337" width="13.28515625" customWidth="1"/>
    <col min="16338" max="16338" width="13.140625" customWidth="1"/>
    <col min="16339" max="16339" width="12.7109375" bestFit="1" customWidth="1"/>
    <col min="16340" max="16340" width="13.28515625" bestFit="1" customWidth="1"/>
    <col min="16341" max="16343" width="13.28515625" customWidth="1"/>
    <col min="16344" max="16344" width="12.140625" bestFit="1" customWidth="1"/>
    <col min="16345" max="16345" width="12.7109375" bestFit="1" customWidth="1"/>
    <col min="16346" max="16346" width="11" customWidth="1"/>
    <col min="16347" max="16347" width="16.7109375" customWidth="1"/>
    <col min="16348" max="16348" width="17" customWidth="1"/>
    <col min="16349" max="16349" width="10.42578125" bestFit="1" customWidth="1"/>
  </cols>
  <sheetData>
    <row r="1" spans="1:293" x14ac:dyDescent="0.25">
      <c r="A1" s="1" t="s">
        <v>0</v>
      </c>
      <c r="F1" s="349" t="s">
        <v>425</v>
      </c>
      <c r="H1" s="350" t="s">
        <v>422</v>
      </c>
      <c r="BH1" s="333" t="s">
        <v>418</v>
      </c>
      <c r="CE1" s="2"/>
      <c r="DW1" s="267" t="s">
        <v>429</v>
      </c>
      <c r="ED1" s="3"/>
      <c r="EE1" s="3"/>
      <c r="EN1" s="333" t="s">
        <v>419</v>
      </c>
      <c r="EP1" s="2"/>
      <c r="FD1" s="2"/>
      <c r="GT1" s="534" t="s">
        <v>398</v>
      </c>
      <c r="HF1" s="534" t="s">
        <v>397</v>
      </c>
      <c r="KF1" s="259"/>
    </row>
    <row r="2" spans="1:293" x14ac:dyDescent="0.25">
      <c r="A2" s="1" t="s">
        <v>184</v>
      </c>
      <c r="BH2" s="267" t="s">
        <v>15</v>
      </c>
      <c r="ED2" s="3"/>
      <c r="EN2" s="267" t="s">
        <v>433</v>
      </c>
      <c r="EP2" s="2"/>
      <c r="FF2" s="273" t="s">
        <v>426</v>
      </c>
      <c r="GA2" t="s">
        <v>211</v>
      </c>
      <c r="GP2" s="447" t="s">
        <v>210</v>
      </c>
      <c r="GQ2" s="447"/>
      <c r="GT2" s="534"/>
      <c r="HF2" s="534"/>
      <c r="ID2" s="282" t="s">
        <v>430</v>
      </c>
      <c r="KF2" s="259"/>
    </row>
    <row r="3" spans="1:293" x14ac:dyDescent="0.25">
      <c r="A3" s="448" t="s">
        <v>1</v>
      </c>
      <c r="B3" s="449" t="s">
        <v>2</v>
      </c>
      <c r="C3" s="449"/>
      <c r="D3" s="449"/>
      <c r="E3" s="449"/>
      <c r="F3" s="449"/>
      <c r="G3" s="449"/>
      <c r="H3" s="420" t="s">
        <v>3</v>
      </c>
      <c r="I3" s="420"/>
      <c r="J3" s="420"/>
      <c r="K3" s="420"/>
      <c r="L3" s="420"/>
      <c r="M3" s="420"/>
      <c r="N3" s="420"/>
      <c r="O3" s="420" t="s">
        <v>4</v>
      </c>
      <c r="P3" s="420"/>
      <c r="Q3" s="420"/>
      <c r="R3" s="420"/>
      <c r="S3" s="420"/>
      <c r="T3" s="420"/>
      <c r="U3" s="420"/>
      <c r="V3" s="420"/>
      <c r="W3" s="420"/>
      <c r="X3" s="420"/>
      <c r="Y3" s="420"/>
      <c r="Z3" s="420"/>
      <c r="AA3" s="420"/>
      <c r="AB3" s="420"/>
      <c r="AC3" s="420"/>
      <c r="AD3" s="420"/>
      <c r="AE3" s="420"/>
      <c r="AF3" s="420"/>
      <c r="AG3" s="420"/>
      <c r="AH3" s="420"/>
      <c r="AI3" s="420"/>
      <c r="AJ3" s="420"/>
      <c r="AK3" s="420"/>
      <c r="AL3" s="420"/>
      <c r="AM3" s="420"/>
      <c r="AN3" s="420"/>
      <c r="AO3" s="420"/>
      <c r="AP3" s="420"/>
      <c r="AQ3" s="420"/>
      <c r="AR3" s="420"/>
      <c r="AS3" s="420"/>
      <c r="AT3" s="420"/>
      <c r="AU3" s="420"/>
      <c r="AV3" s="420"/>
      <c r="AW3" s="420"/>
      <c r="AX3" s="420"/>
      <c r="AY3" s="420"/>
      <c r="AZ3" s="420"/>
      <c r="BA3" s="420"/>
      <c r="BB3" s="420"/>
      <c r="BC3" s="420"/>
      <c r="BD3" s="420"/>
      <c r="BE3" s="433" t="s">
        <v>405</v>
      </c>
      <c r="BF3" s="445"/>
      <c r="BG3" s="434"/>
      <c r="BH3" s="403" t="s">
        <v>6</v>
      </c>
      <c r="BI3" s="417"/>
      <c r="BJ3" s="404"/>
      <c r="BK3" s="433" t="s">
        <v>7</v>
      </c>
      <c r="BL3" s="445"/>
      <c r="BM3" s="445"/>
      <c r="BN3" s="445"/>
      <c r="BO3" s="445"/>
      <c r="BP3" s="434"/>
      <c r="BQ3" s="420" t="s">
        <v>8</v>
      </c>
      <c r="BR3" s="420"/>
      <c r="BS3" s="450"/>
      <c r="BT3" s="451"/>
      <c r="BU3" s="420" t="s">
        <v>9</v>
      </c>
      <c r="BV3" s="420"/>
      <c r="BW3" s="420"/>
      <c r="BX3" s="420"/>
      <c r="BY3" s="420"/>
      <c r="BZ3" s="420"/>
      <c r="CA3" s="420"/>
      <c r="CB3" s="420"/>
      <c r="CC3" s="420"/>
      <c r="CD3" s="420"/>
      <c r="CE3" s="420"/>
      <c r="CF3" s="420"/>
      <c r="CG3" s="420"/>
      <c r="CH3" s="420"/>
      <c r="CI3" s="420"/>
      <c r="CJ3" s="420"/>
      <c r="CK3" s="420"/>
      <c r="CL3" s="420"/>
      <c r="CM3" s="420"/>
      <c r="CN3" s="420"/>
      <c r="CO3" s="420"/>
      <c r="CP3" s="420"/>
      <c r="CQ3" s="420"/>
      <c r="CR3" s="420"/>
      <c r="CS3" s="420"/>
      <c r="CT3" s="420"/>
      <c r="CU3" s="420"/>
      <c r="CV3" s="420"/>
      <c r="CW3" s="420"/>
      <c r="CX3" s="420"/>
      <c r="CY3" s="420"/>
      <c r="CZ3" s="420"/>
      <c r="DA3" s="420"/>
      <c r="DB3" s="420"/>
      <c r="DC3" s="420"/>
      <c r="DD3" s="420"/>
      <c r="DE3" s="420"/>
      <c r="DF3" s="420"/>
      <c r="DG3" s="420"/>
      <c r="DH3" s="438" t="s">
        <v>10</v>
      </c>
      <c r="DI3" s="421" t="s">
        <v>11</v>
      </c>
      <c r="DJ3" s="421"/>
      <c r="DK3" s="421"/>
      <c r="DL3" s="421"/>
      <c r="DM3" s="421"/>
      <c r="DN3" s="421"/>
      <c r="DO3" s="421"/>
      <c r="DP3" s="421"/>
      <c r="DQ3" s="408" t="s">
        <v>400</v>
      </c>
      <c r="DR3" s="409"/>
      <c r="DS3" s="408" t="s">
        <v>399</v>
      </c>
      <c r="DT3" s="409"/>
      <c r="DU3" s="440" t="s">
        <v>13</v>
      </c>
      <c r="DV3" s="441"/>
      <c r="DW3" s="441"/>
      <c r="DX3" s="441"/>
      <c r="DY3" s="441"/>
      <c r="DZ3" s="441"/>
      <c r="EA3" s="441"/>
      <c r="EB3" s="441"/>
      <c r="EC3" s="442"/>
      <c r="ED3" s="4"/>
      <c r="EE3" s="440" t="s">
        <v>14</v>
      </c>
      <c r="EF3" s="441"/>
      <c r="EG3" s="441"/>
      <c r="EH3" s="441"/>
      <c r="EI3" s="441"/>
      <c r="EJ3" s="441"/>
      <c r="EK3" s="441"/>
      <c r="EL3" s="441"/>
      <c r="EM3" s="442"/>
      <c r="EN3" s="5"/>
      <c r="EO3" s="446" t="s">
        <v>15</v>
      </c>
      <c r="EP3" s="446"/>
      <c r="EQ3" s="446"/>
      <c r="ER3" s="446"/>
      <c r="ES3" s="446"/>
      <c r="ET3" s="446"/>
      <c r="EU3" s="446"/>
      <c r="EV3" s="446"/>
      <c r="EW3" s="446"/>
      <c r="EX3" s="446"/>
      <c r="EY3" s="446"/>
      <c r="EZ3" s="446"/>
      <c r="FA3" s="446"/>
      <c r="FB3" s="446"/>
      <c r="FC3" s="446"/>
      <c r="FD3" s="446"/>
      <c r="FE3" s="546" t="s">
        <v>16</v>
      </c>
      <c r="FF3" s="547"/>
      <c r="FG3" s="547"/>
      <c r="FH3" s="547"/>
      <c r="FI3" s="547"/>
      <c r="FJ3" s="547"/>
      <c r="FK3" s="547"/>
      <c r="FL3" s="547"/>
      <c r="FM3" s="547"/>
      <c r="FN3" s="547"/>
      <c r="FO3" s="547"/>
      <c r="FP3" s="547"/>
      <c r="FQ3" s="547"/>
      <c r="FR3" s="547"/>
      <c r="FS3" s="547"/>
      <c r="FT3" s="547"/>
      <c r="FU3" s="548"/>
      <c r="FV3" s="446" t="s">
        <v>17</v>
      </c>
      <c r="FW3" s="446"/>
      <c r="FX3" s="446"/>
      <c r="FY3" s="446"/>
      <c r="FZ3" s="446"/>
      <c r="GA3" s="446"/>
      <c r="GB3" s="446"/>
      <c r="GC3" s="446"/>
      <c r="GD3" s="446"/>
      <c r="GE3" s="446"/>
      <c r="GF3" s="446"/>
      <c r="GG3" s="446"/>
      <c r="GH3" s="404" t="s">
        <v>18</v>
      </c>
      <c r="GI3" s="402"/>
      <c r="GJ3" s="402"/>
      <c r="GK3" s="402"/>
      <c r="GL3" s="402"/>
      <c r="GM3" s="402"/>
      <c r="GN3" s="403" t="s">
        <v>202</v>
      </c>
      <c r="GO3" s="417"/>
      <c r="GP3" s="404"/>
      <c r="GQ3" s="403" t="s">
        <v>209</v>
      </c>
      <c r="GR3" s="417"/>
      <c r="GS3" s="404"/>
      <c r="GT3" s="534"/>
      <c r="GU3" s="273" t="s">
        <v>423</v>
      </c>
      <c r="HF3" s="534"/>
      <c r="HH3" s="406" t="s">
        <v>256</v>
      </c>
      <c r="HI3" s="406"/>
      <c r="HJ3" s="406"/>
      <c r="HK3" s="406"/>
      <c r="HL3" s="406"/>
      <c r="HM3" s="406"/>
      <c r="HN3" s="406"/>
      <c r="HO3" s="406"/>
      <c r="HP3" s="406"/>
      <c r="HQ3" s="406"/>
      <c r="HR3" s="406"/>
      <c r="HS3" s="406"/>
      <c r="HT3" s="406"/>
      <c r="HU3" s="406"/>
      <c r="HV3" s="406"/>
      <c r="HW3" s="406"/>
      <c r="HX3" s="406"/>
      <c r="HY3" s="406"/>
      <c r="HZ3" s="406"/>
      <c r="IA3" s="406"/>
      <c r="IB3" s="406"/>
      <c r="IC3" s="406"/>
      <c r="ID3" s="406"/>
      <c r="IE3" s="406"/>
      <c r="IF3" s="406"/>
      <c r="IG3" s="406"/>
      <c r="IH3" s="406"/>
      <c r="II3" s="406"/>
      <c r="IJ3" s="406"/>
      <c r="IK3" s="406"/>
      <c r="IL3" s="406"/>
      <c r="IM3" s="406"/>
      <c r="IN3" s="406"/>
      <c r="IO3" s="406"/>
      <c r="IP3" s="406"/>
      <c r="IQ3" s="406"/>
      <c r="IR3" s="406"/>
      <c r="IS3" s="406"/>
      <c r="IT3" s="406"/>
      <c r="IU3" s="406"/>
      <c r="IV3" s="406"/>
      <c r="IW3" s="406"/>
      <c r="IX3" s="406"/>
      <c r="IY3" s="406"/>
      <c r="IZ3" s="406"/>
      <c r="JA3" s="406"/>
      <c r="JB3" s="406"/>
      <c r="JC3" s="406"/>
      <c r="JD3" s="406"/>
      <c r="JE3" s="406"/>
      <c r="JF3" s="406"/>
      <c r="JG3" s="406"/>
      <c r="JH3" s="406"/>
      <c r="JI3" s="406"/>
      <c r="JJ3" s="406"/>
      <c r="JK3" s="406"/>
      <c r="JL3" s="406"/>
      <c r="JM3" s="406"/>
      <c r="JN3" s="406"/>
      <c r="JO3" s="406"/>
      <c r="JP3" s="406"/>
      <c r="JQ3" s="406"/>
      <c r="JR3" s="406"/>
      <c r="JS3" s="406"/>
      <c r="JT3" s="406"/>
      <c r="JU3" s="406"/>
      <c r="JV3" s="406"/>
      <c r="JW3" s="406"/>
      <c r="JX3" s="406"/>
      <c r="JY3" s="406"/>
      <c r="JZ3" s="406"/>
      <c r="KA3" s="406"/>
      <c r="KB3" s="406"/>
      <c r="KC3" s="406"/>
      <c r="KD3" s="406"/>
      <c r="KE3" s="406"/>
      <c r="KF3" s="259"/>
    </row>
    <row r="4" spans="1:293" x14ac:dyDescent="0.25">
      <c r="A4" s="448"/>
      <c r="B4" s="449"/>
      <c r="C4" s="449"/>
      <c r="D4" s="449"/>
      <c r="E4" s="449"/>
      <c r="F4" s="449"/>
      <c r="G4" s="449"/>
      <c r="H4" s="420"/>
      <c r="I4" s="420"/>
      <c r="J4" s="420"/>
      <c r="K4" s="420"/>
      <c r="L4" s="420"/>
      <c r="M4" s="420"/>
      <c r="N4" s="420"/>
      <c r="O4" s="420" t="s">
        <v>20</v>
      </c>
      <c r="P4" s="420"/>
      <c r="Q4" s="420"/>
      <c r="R4" s="420"/>
      <c r="S4" s="420"/>
      <c r="T4" s="420"/>
      <c r="U4" s="420"/>
      <c r="V4" s="420"/>
      <c r="W4" s="420"/>
      <c r="X4" s="420"/>
      <c r="Y4" s="420"/>
      <c r="Z4" s="420"/>
      <c r="AA4" s="420"/>
      <c r="AB4" s="420"/>
      <c r="AC4" s="420"/>
      <c r="AD4" s="420"/>
      <c r="AE4" s="420"/>
      <c r="AF4" s="420"/>
      <c r="AG4" s="420"/>
      <c r="AH4" s="420"/>
      <c r="AI4" s="420"/>
      <c r="AJ4" s="336"/>
      <c r="AK4" s="430" t="s">
        <v>21</v>
      </c>
      <c r="AL4" s="420" t="s">
        <v>22</v>
      </c>
      <c r="AM4" s="420"/>
      <c r="AN4" s="420"/>
      <c r="AO4" s="420"/>
      <c r="AP4" s="420"/>
      <c r="AQ4" s="420"/>
      <c r="AR4" s="420"/>
      <c r="AS4" s="420"/>
      <c r="AT4" s="420"/>
      <c r="AU4" s="420"/>
      <c r="AV4" s="420"/>
      <c r="AW4" s="420"/>
      <c r="AX4" s="420"/>
      <c r="AY4" s="420"/>
      <c r="AZ4" s="420"/>
      <c r="BA4" s="420"/>
      <c r="BB4" s="420"/>
      <c r="BC4" s="420"/>
      <c r="BD4" s="430" t="s">
        <v>23</v>
      </c>
      <c r="BE4" s="420" t="s">
        <v>24</v>
      </c>
      <c r="BF4" s="420"/>
      <c r="BG4" s="420"/>
      <c r="BH4" s="336"/>
      <c r="BI4" s="336"/>
      <c r="BJ4" s="336"/>
      <c r="BK4" s="420" t="s">
        <v>25</v>
      </c>
      <c r="BL4" s="420"/>
      <c r="BM4" s="420" t="s">
        <v>26</v>
      </c>
      <c r="BN4" s="420"/>
      <c r="BO4" s="427" t="s">
        <v>27</v>
      </c>
      <c r="BP4" s="427"/>
      <c r="BQ4" s="420"/>
      <c r="BR4" s="420"/>
      <c r="BS4" s="428" t="s">
        <v>28</v>
      </c>
      <c r="BT4" s="429"/>
      <c r="BU4" s="420"/>
      <c r="BV4" s="420"/>
      <c r="BW4" s="420"/>
      <c r="BX4" s="420"/>
      <c r="BY4" s="420"/>
      <c r="BZ4" s="420"/>
      <c r="CA4" s="420"/>
      <c r="CB4" s="420"/>
      <c r="CC4" s="420"/>
      <c r="CD4" s="420"/>
      <c r="CE4" s="420"/>
      <c r="CF4" s="420"/>
      <c r="CG4" s="420"/>
      <c r="CH4" s="420"/>
      <c r="CI4" s="420"/>
      <c r="CJ4" s="420"/>
      <c r="CK4" s="420"/>
      <c r="CL4" s="420"/>
      <c r="CM4" s="420"/>
      <c r="CN4" s="420"/>
      <c r="CO4" s="420"/>
      <c r="CP4" s="420"/>
      <c r="CQ4" s="420"/>
      <c r="CR4" s="420"/>
      <c r="CS4" s="420"/>
      <c r="CT4" s="420"/>
      <c r="CU4" s="420"/>
      <c r="CV4" s="420"/>
      <c r="CW4" s="420"/>
      <c r="CX4" s="420"/>
      <c r="CY4" s="420"/>
      <c r="CZ4" s="420"/>
      <c r="DA4" s="420"/>
      <c r="DB4" s="420"/>
      <c r="DC4" s="420"/>
      <c r="DD4" s="420"/>
      <c r="DE4" s="420"/>
      <c r="DF4" s="420"/>
      <c r="DG4" s="420"/>
      <c r="DH4" s="439"/>
      <c r="DI4" s="421"/>
      <c r="DJ4" s="421"/>
      <c r="DK4" s="421"/>
      <c r="DL4" s="421"/>
      <c r="DM4" s="421"/>
      <c r="DN4" s="421"/>
      <c r="DO4" s="421"/>
      <c r="DP4" s="421"/>
      <c r="DQ4" s="410"/>
      <c r="DR4" s="411"/>
      <c r="DS4" s="410"/>
      <c r="DT4" s="411"/>
      <c r="DU4" s="435" t="s">
        <v>29</v>
      </c>
      <c r="DV4" s="436"/>
      <c r="DW4" s="437"/>
      <c r="DX4" s="435" t="s">
        <v>30</v>
      </c>
      <c r="DY4" s="436"/>
      <c r="DZ4" s="437"/>
      <c r="EA4" s="435"/>
      <c r="EB4" s="436"/>
      <c r="EC4" s="437"/>
      <c r="ED4" s="8" t="s">
        <v>31</v>
      </c>
      <c r="EE4" s="435"/>
      <c r="EF4" s="436"/>
      <c r="EG4" s="437"/>
      <c r="EH4" s="435"/>
      <c r="EI4" s="436"/>
      <c r="EJ4" s="437"/>
      <c r="EK4" s="435"/>
      <c r="EL4" s="436"/>
      <c r="EM4" s="437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403" t="s">
        <v>33</v>
      </c>
      <c r="FW4" s="417"/>
      <c r="FX4" s="417"/>
      <c r="FY4" s="417" t="s">
        <v>33</v>
      </c>
      <c r="FZ4" s="417"/>
      <c r="GA4" s="417"/>
      <c r="GB4" s="417"/>
      <c r="GC4" s="417"/>
      <c r="GD4" s="417"/>
      <c r="GE4" s="417"/>
      <c r="GF4" s="417"/>
      <c r="GG4" s="404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GT4" s="534"/>
      <c r="HF4" s="534"/>
      <c r="HG4" s="535" t="s">
        <v>252</v>
      </c>
      <c r="HH4" s="541" t="s">
        <v>106</v>
      </c>
      <c r="HI4" s="541"/>
      <c r="HJ4" s="541"/>
      <c r="HK4" s="541" t="s">
        <v>258</v>
      </c>
      <c r="HL4" s="541"/>
      <c r="HM4" s="541"/>
      <c r="HN4" s="536" t="s">
        <v>259</v>
      </c>
      <c r="HO4" s="537"/>
      <c r="HP4" s="537"/>
      <c r="HQ4" s="537"/>
      <c r="HR4" s="537"/>
      <c r="HS4" s="537"/>
      <c r="HT4" s="537"/>
      <c r="HU4" s="537"/>
      <c r="HV4" s="537"/>
      <c r="HW4" s="537"/>
      <c r="HX4" s="537"/>
      <c r="HY4" s="537"/>
      <c r="HZ4" s="537"/>
      <c r="IA4" s="537"/>
      <c r="IB4" s="537"/>
      <c r="IC4" s="537"/>
      <c r="ID4" s="537"/>
      <c r="IE4" s="537"/>
      <c r="IF4" s="537"/>
      <c r="IG4" s="537"/>
      <c r="IH4" s="538"/>
      <c r="II4" s="539" t="s">
        <v>283</v>
      </c>
      <c r="IJ4" s="493" t="s">
        <v>204</v>
      </c>
      <c r="IK4" s="493"/>
      <c r="IL4" s="493"/>
      <c r="IM4" s="493"/>
      <c r="IN4" s="493"/>
      <c r="IO4" s="493"/>
      <c r="IP4" s="493"/>
      <c r="IQ4" s="493"/>
      <c r="IR4" s="493"/>
      <c r="IS4" s="493"/>
      <c r="IT4" s="493"/>
      <c r="IU4" s="493"/>
      <c r="IV4" s="492" t="s">
        <v>260</v>
      </c>
      <c r="IW4" s="492"/>
      <c r="IX4" s="492"/>
      <c r="IY4" s="492"/>
      <c r="IZ4" s="492"/>
      <c r="JA4" s="492"/>
      <c r="JB4" s="492"/>
      <c r="JC4" s="492"/>
      <c r="JD4" s="492"/>
      <c r="JE4" s="492"/>
      <c r="JF4" s="492"/>
      <c r="JG4" s="492"/>
      <c r="JH4" s="492"/>
      <c r="JI4" s="492"/>
      <c r="JJ4" s="492"/>
      <c r="JK4" s="492"/>
      <c r="JL4" s="492"/>
      <c r="JM4" s="492"/>
      <c r="JN4" s="496" t="s">
        <v>261</v>
      </c>
      <c r="JO4" s="496"/>
      <c r="JP4" s="496"/>
      <c r="JQ4" s="496"/>
      <c r="JR4" s="496"/>
      <c r="JS4" s="496"/>
      <c r="JT4" s="496"/>
      <c r="JU4" s="496"/>
      <c r="JV4" s="496"/>
      <c r="JW4" s="496"/>
      <c r="JX4" s="496"/>
      <c r="JY4" s="496"/>
      <c r="JZ4" s="496"/>
      <c r="KA4" s="496"/>
      <c r="KB4" s="496"/>
      <c r="KC4" s="496"/>
      <c r="KD4" s="496"/>
      <c r="KE4" s="496"/>
      <c r="KF4" s="259"/>
      <c r="KG4" t="s">
        <v>98</v>
      </c>
    </row>
    <row r="5" spans="1:293" x14ac:dyDescent="0.25">
      <c r="A5" s="448"/>
      <c r="B5" s="452" t="s">
        <v>35</v>
      </c>
      <c r="C5" s="452"/>
      <c r="D5" s="452"/>
      <c r="E5" s="452" t="s">
        <v>36</v>
      </c>
      <c r="F5" s="452"/>
      <c r="G5" s="339" t="s">
        <v>37</v>
      </c>
      <c r="H5" s="420" t="s">
        <v>38</v>
      </c>
      <c r="I5" s="420"/>
      <c r="J5" s="420"/>
      <c r="K5" s="420"/>
      <c r="L5" s="420" t="s">
        <v>39</v>
      </c>
      <c r="M5" s="420"/>
      <c r="N5" s="420"/>
      <c r="O5" s="420" t="s">
        <v>40</v>
      </c>
      <c r="P5" s="420"/>
      <c r="Q5" s="420"/>
      <c r="R5" s="336"/>
      <c r="S5" s="420" t="s">
        <v>41</v>
      </c>
      <c r="T5" s="420"/>
      <c r="U5" s="420" t="s">
        <v>42</v>
      </c>
      <c r="V5" s="420"/>
      <c r="W5" s="420" t="s">
        <v>43</v>
      </c>
      <c r="X5" s="420"/>
      <c r="Y5" s="431" t="s">
        <v>44</v>
      </c>
      <c r="Z5" s="432"/>
      <c r="AA5" s="433" t="s">
        <v>188</v>
      </c>
      <c r="AB5" s="434"/>
      <c r="AC5" s="420" t="s">
        <v>45</v>
      </c>
      <c r="AD5" s="420"/>
      <c r="AE5" s="420"/>
      <c r="AF5" s="420"/>
      <c r="AG5" s="420" t="s">
        <v>46</v>
      </c>
      <c r="AH5" s="420"/>
      <c r="AI5" s="420"/>
      <c r="AJ5" s="420"/>
      <c r="AK5" s="430"/>
      <c r="AL5" s="421" t="s">
        <v>47</v>
      </c>
      <c r="AM5" s="421"/>
      <c r="AN5" s="421"/>
      <c r="AO5" s="421"/>
      <c r="AP5" s="421" t="s">
        <v>48</v>
      </c>
      <c r="AQ5" s="421"/>
      <c r="AR5" s="421"/>
      <c r="AS5" s="421"/>
      <c r="AT5" s="422" t="s">
        <v>49</v>
      </c>
      <c r="AU5" s="423"/>
      <c r="AV5" s="422" t="s">
        <v>50</v>
      </c>
      <c r="AW5" s="423"/>
      <c r="AX5" s="421" t="s">
        <v>51</v>
      </c>
      <c r="AY5" s="421"/>
      <c r="AZ5" s="421"/>
      <c r="BA5" s="421" t="s">
        <v>52</v>
      </c>
      <c r="BB5" s="421"/>
      <c r="BC5" s="421"/>
      <c r="BD5" s="430"/>
      <c r="BE5" s="420"/>
      <c r="BF5" s="420"/>
      <c r="BG5" s="420"/>
      <c r="BH5" s="345"/>
      <c r="BI5" s="345"/>
      <c r="BJ5" s="345"/>
      <c r="BK5" s="420"/>
      <c r="BL5" s="420"/>
      <c r="BM5" s="420"/>
      <c r="BN5" s="420"/>
      <c r="BO5" s="427"/>
      <c r="BP5" s="427"/>
      <c r="BQ5" s="420"/>
      <c r="BR5" s="420"/>
      <c r="BS5" s="443" t="s">
        <v>53</v>
      </c>
      <c r="BT5" s="444"/>
      <c r="BU5" s="420" t="s">
        <v>54</v>
      </c>
      <c r="BV5" s="420"/>
      <c r="BW5" s="420"/>
      <c r="BX5" s="420"/>
      <c r="BY5" s="433" t="s">
        <v>55</v>
      </c>
      <c r="BZ5" s="445"/>
      <c r="CA5" s="445"/>
      <c r="CB5" s="434"/>
      <c r="CC5" s="420" t="s">
        <v>56</v>
      </c>
      <c r="CD5" s="420"/>
      <c r="CE5" s="420" t="s">
        <v>57</v>
      </c>
      <c r="CF5" s="420"/>
      <c r="CG5" s="420" t="s">
        <v>58</v>
      </c>
      <c r="CH5" s="420"/>
      <c r="CI5" s="420" t="s">
        <v>59</v>
      </c>
      <c r="CJ5" s="420"/>
      <c r="CK5" s="420"/>
      <c r="CL5" s="420"/>
      <c r="CM5" s="398" t="s">
        <v>61</v>
      </c>
      <c r="CN5" s="398"/>
      <c r="CO5" s="398"/>
      <c r="CP5" s="398"/>
      <c r="CQ5" s="543" t="s">
        <v>60</v>
      </c>
      <c r="CR5" s="544"/>
      <c r="CS5" s="544"/>
      <c r="CT5" s="545"/>
      <c r="CU5" s="421" t="s">
        <v>62</v>
      </c>
      <c r="CV5" s="421"/>
      <c r="CW5" s="421"/>
      <c r="CX5" s="421"/>
      <c r="CY5" s="421" t="s">
        <v>63</v>
      </c>
      <c r="CZ5" s="421"/>
      <c r="DA5" s="421"/>
      <c r="DB5" s="421"/>
      <c r="DC5" s="421" t="s">
        <v>64</v>
      </c>
      <c r="DD5" s="421"/>
      <c r="DE5" s="421"/>
      <c r="DF5" s="421"/>
      <c r="DG5" s="337" t="s">
        <v>65</v>
      </c>
      <c r="DH5" s="337"/>
      <c r="DI5" s="421"/>
      <c r="DJ5" s="421"/>
      <c r="DK5" s="421"/>
      <c r="DL5" s="421"/>
      <c r="DM5" s="421"/>
      <c r="DN5" s="421"/>
      <c r="DO5" s="421"/>
      <c r="DP5" s="421"/>
      <c r="DQ5" s="412"/>
      <c r="DR5" s="413"/>
      <c r="DS5" s="412"/>
      <c r="DT5" s="413"/>
      <c r="DU5" s="424" t="s">
        <v>66</v>
      </c>
      <c r="DV5" s="425"/>
      <c r="DW5" s="426"/>
      <c r="DX5" s="424" t="s">
        <v>67</v>
      </c>
      <c r="DY5" s="425"/>
      <c r="DZ5" s="426"/>
      <c r="EA5" s="424" t="s">
        <v>68</v>
      </c>
      <c r="EB5" s="425"/>
      <c r="EC5" s="426"/>
      <c r="ED5" s="18"/>
      <c r="EE5" s="424" t="s">
        <v>69</v>
      </c>
      <c r="EF5" s="425"/>
      <c r="EG5" s="426"/>
      <c r="EH5" s="424" t="s">
        <v>70</v>
      </c>
      <c r="EI5" s="425"/>
      <c r="EJ5" s="426"/>
      <c r="EK5" s="424" t="s">
        <v>71</v>
      </c>
      <c r="EL5" s="425"/>
      <c r="EM5" s="426"/>
      <c r="EN5" s="19"/>
      <c r="EO5" s="403" t="s">
        <v>72</v>
      </c>
      <c r="EP5" s="417"/>
      <c r="EQ5" s="404"/>
      <c r="ER5" s="403" t="s">
        <v>73</v>
      </c>
      <c r="ES5" s="417"/>
      <c r="ET5" s="404"/>
      <c r="EU5" s="403" t="s">
        <v>74</v>
      </c>
      <c r="EV5" s="417"/>
      <c r="EW5" s="404"/>
      <c r="EX5" s="403" t="s">
        <v>75</v>
      </c>
      <c r="EY5" s="417"/>
      <c r="EZ5" s="404"/>
      <c r="FA5" s="335"/>
      <c r="FB5" s="403" t="s">
        <v>76</v>
      </c>
      <c r="FC5" s="404"/>
      <c r="FD5" s="345" t="s">
        <v>77</v>
      </c>
      <c r="FE5" s="403" t="s">
        <v>72</v>
      </c>
      <c r="FF5" s="417"/>
      <c r="FG5" s="404"/>
      <c r="FH5" s="403" t="s">
        <v>73</v>
      </c>
      <c r="FI5" s="417"/>
      <c r="FJ5" s="404"/>
      <c r="FK5" s="10" t="s">
        <v>78</v>
      </c>
      <c r="FL5" s="11"/>
      <c r="FM5" s="21"/>
      <c r="FN5" s="403" t="s">
        <v>75</v>
      </c>
      <c r="FO5" s="417"/>
      <c r="FP5" s="404"/>
      <c r="FQ5" s="403" t="s">
        <v>79</v>
      </c>
      <c r="FR5" s="417"/>
      <c r="FS5" s="404"/>
      <c r="FT5" s="353"/>
      <c r="FU5" s="354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T5" s="534"/>
      <c r="GU5" s="24" t="s">
        <v>199</v>
      </c>
      <c r="HF5" s="534"/>
      <c r="HG5" s="535"/>
      <c r="HH5" s="61"/>
      <c r="HI5" s="61" t="s">
        <v>407</v>
      </c>
      <c r="HJ5" s="61"/>
      <c r="HK5" s="61"/>
      <c r="HL5" s="61" t="s">
        <v>408</v>
      </c>
      <c r="HM5" s="61"/>
      <c r="HN5" s="531" t="s">
        <v>406</v>
      </c>
      <c r="HO5" s="532"/>
      <c r="HP5" s="533"/>
      <c r="HQ5" s="531" t="s">
        <v>260</v>
      </c>
      <c r="HR5" s="532"/>
      <c r="HS5" s="533"/>
      <c r="HT5" s="531" t="s">
        <v>261</v>
      </c>
      <c r="HU5" s="532"/>
      <c r="HV5" s="533"/>
      <c r="HW5" s="531" t="s">
        <v>318</v>
      </c>
      <c r="HX5" s="532"/>
      <c r="HY5" s="533"/>
      <c r="HZ5" s="531" t="s">
        <v>346</v>
      </c>
      <c r="IA5" s="532"/>
      <c r="IB5" s="533"/>
      <c r="IC5" s="531" t="s">
        <v>357</v>
      </c>
      <c r="ID5" s="532"/>
      <c r="IE5" s="533"/>
      <c r="IF5" s="535" t="s">
        <v>65</v>
      </c>
      <c r="IG5" s="535"/>
      <c r="IH5" s="535"/>
      <c r="II5" s="540"/>
      <c r="IJ5" s="402" t="s">
        <v>262</v>
      </c>
      <c r="IK5" s="402"/>
      <c r="IL5" s="402"/>
      <c r="IM5" s="402" t="s">
        <v>263</v>
      </c>
      <c r="IN5" s="402"/>
      <c r="IO5" s="402"/>
      <c r="IP5" s="402" t="s">
        <v>264</v>
      </c>
      <c r="IQ5" s="402"/>
      <c r="IR5" s="402"/>
      <c r="IS5" s="402" t="s">
        <v>265</v>
      </c>
      <c r="IT5" s="402"/>
      <c r="IU5" s="402"/>
      <c r="IV5" s="402" t="s">
        <v>152</v>
      </c>
      <c r="IW5" s="402"/>
      <c r="IX5" s="402"/>
      <c r="IY5" s="402" t="s">
        <v>266</v>
      </c>
      <c r="IZ5" s="402"/>
      <c r="JA5" s="402"/>
      <c r="JB5" s="402" t="s">
        <v>165</v>
      </c>
      <c r="JC5" s="402"/>
      <c r="JD5" s="402"/>
      <c r="JE5" s="402" t="s">
        <v>267</v>
      </c>
      <c r="JF5" s="402"/>
      <c r="JG5" s="402"/>
      <c r="JH5" s="402" t="s">
        <v>268</v>
      </c>
      <c r="JI5" s="402"/>
      <c r="JJ5" s="402"/>
      <c r="JK5" s="402" t="s">
        <v>269</v>
      </c>
      <c r="JL5" s="402"/>
      <c r="JM5" s="402"/>
      <c r="JN5" s="402" t="s">
        <v>152</v>
      </c>
      <c r="JO5" s="402"/>
      <c r="JP5" s="402"/>
      <c r="JQ5" s="402" t="s">
        <v>266</v>
      </c>
      <c r="JR5" s="402"/>
      <c r="JS5" s="402"/>
      <c r="JT5" s="402" t="s">
        <v>165</v>
      </c>
      <c r="JU5" s="402"/>
      <c r="JV5" s="402"/>
      <c r="JW5" s="402" t="s">
        <v>267</v>
      </c>
      <c r="JX5" s="402"/>
      <c r="JY5" s="402"/>
      <c r="JZ5" s="402" t="s">
        <v>268</v>
      </c>
      <c r="KA5" s="402"/>
      <c r="KB5" s="402"/>
      <c r="KC5" s="402" t="s">
        <v>269</v>
      </c>
      <c r="KD5" s="402"/>
      <c r="KE5" s="402"/>
      <c r="KF5" s="259"/>
    </row>
    <row r="6" spans="1:293" x14ac:dyDescent="0.25">
      <c r="A6" s="448"/>
      <c r="B6" s="339" t="s">
        <v>85</v>
      </c>
      <c r="C6" s="339"/>
      <c r="D6" s="339" t="s">
        <v>179</v>
      </c>
      <c r="E6" s="339" t="s">
        <v>85</v>
      </c>
      <c r="F6" s="339" t="s">
        <v>179</v>
      </c>
      <c r="G6" s="339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414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415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415</v>
      </c>
      <c r="AY6" s="27" t="s">
        <v>83</v>
      </c>
      <c r="AZ6" s="27" t="s">
        <v>88</v>
      </c>
      <c r="BA6" s="27" t="s">
        <v>415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330" t="s">
        <v>82</v>
      </c>
      <c r="BI6" s="330" t="s">
        <v>83</v>
      </c>
      <c r="BJ6" s="345"/>
      <c r="BK6" s="27" t="s">
        <v>415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416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416</v>
      </c>
      <c r="CJ6" s="25" t="s">
        <v>83</v>
      </c>
      <c r="CK6" s="25" t="s">
        <v>88</v>
      </c>
      <c r="CL6" s="25"/>
      <c r="CM6" s="25" t="s">
        <v>416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338"/>
      <c r="DX6" s="25" t="s">
        <v>82</v>
      </c>
      <c r="DY6" s="25" t="s">
        <v>83</v>
      </c>
      <c r="DZ6" s="338"/>
      <c r="EA6" s="25" t="s">
        <v>82</v>
      </c>
      <c r="EB6" s="25" t="s">
        <v>83</v>
      </c>
      <c r="EC6" s="338"/>
      <c r="ED6" s="31"/>
      <c r="EE6" s="25" t="s">
        <v>82</v>
      </c>
      <c r="EF6" s="25" t="s">
        <v>83</v>
      </c>
      <c r="EG6" s="338"/>
      <c r="EH6" s="25" t="s">
        <v>82</v>
      </c>
      <c r="EI6" s="25" t="s">
        <v>83</v>
      </c>
      <c r="EJ6" s="338"/>
      <c r="EK6" s="25" t="s">
        <v>82</v>
      </c>
      <c r="EL6" s="25" t="s">
        <v>83</v>
      </c>
      <c r="EM6" s="338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345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354"/>
      <c r="FV6" s="403" t="s">
        <v>99</v>
      </c>
      <c r="FW6" s="417"/>
      <c r="FX6" s="404"/>
      <c r="FY6" s="403" t="s">
        <v>100</v>
      </c>
      <c r="FZ6" s="417"/>
      <c r="GA6" s="404"/>
      <c r="GB6" s="403" t="s">
        <v>404</v>
      </c>
      <c r="GC6" s="417"/>
      <c r="GD6" s="404"/>
      <c r="GE6" s="403" t="s">
        <v>102</v>
      </c>
      <c r="GF6" s="417"/>
      <c r="GG6" s="404"/>
      <c r="GH6" s="403" t="s">
        <v>103</v>
      </c>
      <c r="GI6" s="417"/>
      <c r="GJ6" s="404"/>
      <c r="GK6" s="403" t="s">
        <v>104</v>
      </c>
      <c r="GL6" s="417"/>
      <c r="GM6" s="404"/>
      <c r="GN6" s="331"/>
      <c r="GO6" s="331"/>
      <c r="GP6" s="331"/>
      <c r="GQ6" s="330"/>
      <c r="GR6" s="330"/>
      <c r="GS6" s="330"/>
      <c r="GT6" s="534"/>
      <c r="GU6" s="402" t="s">
        <v>105</v>
      </c>
      <c r="GV6" s="402"/>
      <c r="GW6" s="402"/>
      <c r="GX6" s="402"/>
      <c r="GY6" s="418"/>
      <c r="GZ6" s="406"/>
      <c r="HA6" s="406"/>
      <c r="HB6" s="406"/>
      <c r="HF6" s="534"/>
      <c r="HG6" s="535"/>
      <c r="HH6" s="26" t="s">
        <v>82</v>
      </c>
      <c r="HI6" s="26" t="s">
        <v>83</v>
      </c>
      <c r="HJ6" s="26" t="s">
        <v>257</v>
      </c>
      <c r="HK6" s="26" t="s">
        <v>82</v>
      </c>
      <c r="HL6" s="26" t="s">
        <v>83</v>
      </c>
      <c r="HM6" s="26" t="s">
        <v>257</v>
      </c>
      <c r="HN6" s="26" t="s">
        <v>82</v>
      </c>
      <c r="HO6" s="26" t="s">
        <v>83</v>
      </c>
      <c r="HP6" s="26" t="s">
        <v>257</v>
      </c>
      <c r="HQ6" s="26" t="s">
        <v>82</v>
      </c>
      <c r="HR6" s="26" t="s">
        <v>83</v>
      </c>
      <c r="HS6" s="26" t="s">
        <v>257</v>
      </c>
      <c r="HT6" s="26" t="s">
        <v>82</v>
      </c>
      <c r="HU6" s="26" t="s">
        <v>83</v>
      </c>
      <c r="HV6" s="26" t="s">
        <v>257</v>
      </c>
      <c r="HW6" s="26" t="s">
        <v>82</v>
      </c>
      <c r="HX6" s="26" t="s">
        <v>83</v>
      </c>
      <c r="HY6" s="26" t="s">
        <v>257</v>
      </c>
      <c r="HZ6" s="26" t="s">
        <v>82</v>
      </c>
      <c r="IA6" s="26" t="s">
        <v>83</v>
      </c>
      <c r="IB6" s="26" t="s">
        <v>257</v>
      </c>
      <c r="IC6" s="26" t="s">
        <v>82</v>
      </c>
      <c r="ID6" s="26" t="s">
        <v>83</v>
      </c>
      <c r="IE6" s="26" t="s">
        <v>257</v>
      </c>
      <c r="IF6" s="26" t="s">
        <v>82</v>
      </c>
      <c r="IG6" s="26" t="s">
        <v>83</v>
      </c>
      <c r="IH6" s="26" t="s">
        <v>257</v>
      </c>
      <c r="II6" s="278"/>
      <c r="IJ6" s="334" t="s">
        <v>82</v>
      </c>
      <c r="IK6" s="334" t="s">
        <v>83</v>
      </c>
      <c r="IL6" s="334" t="s">
        <v>257</v>
      </c>
      <c r="IM6" s="334" t="s">
        <v>82</v>
      </c>
      <c r="IN6" s="334" t="s">
        <v>83</v>
      </c>
      <c r="IO6" s="334" t="s">
        <v>257</v>
      </c>
      <c r="IP6" s="334" t="s">
        <v>82</v>
      </c>
      <c r="IQ6" s="334" t="s">
        <v>83</v>
      </c>
      <c r="IR6" s="334" t="s">
        <v>257</v>
      </c>
      <c r="IS6" s="334" t="s">
        <v>82</v>
      </c>
      <c r="IT6" s="334" t="s">
        <v>83</v>
      </c>
      <c r="IU6" s="334" t="s">
        <v>257</v>
      </c>
      <c r="IV6" s="334" t="s">
        <v>82</v>
      </c>
      <c r="IW6" s="334" t="s">
        <v>83</v>
      </c>
      <c r="IX6" s="334" t="s">
        <v>257</v>
      </c>
      <c r="IY6" s="334" t="s">
        <v>82</v>
      </c>
      <c r="IZ6" s="334" t="s">
        <v>83</v>
      </c>
      <c r="JA6" s="334" t="s">
        <v>257</v>
      </c>
      <c r="JB6" s="334" t="s">
        <v>82</v>
      </c>
      <c r="JC6" s="334" t="s">
        <v>83</v>
      </c>
      <c r="JD6" s="334" t="s">
        <v>257</v>
      </c>
      <c r="JE6" s="334" t="s">
        <v>82</v>
      </c>
      <c r="JF6" s="334" t="s">
        <v>83</v>
      </c>
      <c r="JG6" s="334" t="s">
        <v>257</v>
      </c>
      <c r="JH6" s="334" t="s">
        <v>82</v>
      </c>
      <c r="JI6" s="334" t="s">
        <v>83</v>
      </c>
      <c r="JJ6" s="334" t="s">
        <v>257</v>
      </c>
      <c r="JK6" s="334" t="s">
        <v>82</v>
      </c>
      <c r="JL6" s="334" t="s">
        <v>83</v>
      </c>
      <c r="JM6" s="334" t="s">
        <v>257</v>
      </c>
      <c r="JN6" s="334" t="s">
        <v>82</v>
      </c>
      <c r="JO6" s="334" t="s">
        <v>83</v>
      </c>
      <c r="JP6" s="334" t="s">
        <v>257</v>
      </c>
      <c r="JQ6" s="334" t="s">
        <v>82</v>
      </c>
      <c r="JR6" s="334" t="s">
        <v>83</v>
      </c>
      <c r="JS6" s="334" t="s">
        <v>257</v>
      </c>
      <c r="JT6" s="334" t="s">
        <v>82</v>
      </c>
      <c r="JU6" s="334" t="s">
        <v>83</v>
      </c>
      <c r="JV6" s="334" t="s">
        <v>257</v>
      </c>
      <c r="JW6" s="334" t="s">
        <v>82</v>
      </c>
      <c r="JX6" s="334" t="s">
        <v>83</v>
      </c>
      <c r="JY6" s="334" t="s">
        <v>257</v>
      </c>
      <c r="JZ6" s="334" t="s">
        <v>82</v>
      </c>
      <c r="KA6" s="334" t="s">
        <v>83</v>
      </c>
      <c r="KB6" s="334" t="s">
        <v>257</v>
      </c>
      <c r="KC6" s="334" t="s">
        <v>82</v>
      </c>
      <c r="KD6" s="334" t="s">
        <v>83</v>
      </c>
      <c r="KE6" s="334" t="s">
        <v>257</v>
      </c>
      <c r="KF6" s="259"/>
      <c r="KG6" s="208" t="s">
        <v>78</v>
      </c>
    </row>
    <row r="7" spans="1:293" x14ac:dyDescent="0.25">
      <c r="A7" s="35">
        <v>1</v>
      </c>
      <c r="B7" s="250">
        <v>5720.17</v>
      </c>
      <c r="C7" s="38"/>
      <c r="D7" s="38"/>
      <c r="E7" s="250">
        <v>1146.82</v>
      </c>
      <c r="F7" s="38"/>
      <c r="G7" s="38"/>
      <c r="H7" s="37"/>
      <c r="I7" s="39"/>
      <c r="J7" s="42"/>
      <c r="K7" s="37"/>
      <c r="L7" s="250">
        <v>18579000</v>
      </c>
      <c r="M7" s="40"/>
      <c r="N7" s="37"/>
      <c r="O7" s="250">
        <v>13286</v>
      </c>
      <c r="P7" s="37"/>
      <c r="Q7" s="37"/>
      <c r="R7" s="37"/>
      <c r="S7" s="250">
        <v>11273022.189999999</v>
      </c>
      <c r="T7" s="37"/>
      <c r="U7" s="250">
        <v>1523792.57</v>
      </c>
      <c r="V7" s="37"/>
      <c r="W7" s="250">
        <v>4760.7</v>
      </c>
      <c r="X7" s="37"/>
      <c r="Y7" s="183"/>
      <c r="Z7" s="183"/>
      <c r="AA7" s="250">
        <v>870410</v>
      </c>
      <c r="AB7" s="37"/>
      <c r="AC7" s="250">
        <v>4934.5</v>
      </c>
      <c r="AD7" s="37"/>
      <c r="AE7" s="37"/>
      <c r="AF7" s="37"/>
      <c r="AG7" s="250">
        <v>10727</v>
      </c>
      <c r="AH7" s="37"/>
      <c r="AI7" s="37"/>
      <c r="AJ7" s="37"/>
      <c r="AK7" s="37"/>
      <c r="AL7" s="250">
        <v>12344</v>
      </c>
      <c r="AM7" s="42"/>
      <c r="AN7" s="37"/>
      <c r="AO7" s="37"/>
      <c r="AP7" s="250">
        <v>9764.5</v>
      </c>
      <c r="AQ7" s="37"/>
      <c r="AR7" s="37"/>
      <c r="AS7" s="37"/>
      <c r="AT7" s="183"/>
      <c r="AU7" s="183"/>
      <c r="AV7" s="183"/>
      <c r="AW7" s="183"/>
      <c r="AX7" s="250">
        <v>537411</v>
      </c>
      <c r="AY7" s="37"/>
      <c r="AZ7" s="37"/>
      <c r="BA7" s="250">
        <v>227717</v>
      </c>
      <c r="BB7" s="37"/>
      <c r="BC7" s="37"/>
      <c r="BD7" s="37"/>
      <c r="BE7" s="250">
        <v>2128</v>
      </c>
      <c r="BF7" s="250">
        <v>1198.7</v>
      </c>
      <c r="BG7" s="37"/>
      <c r="BH7" s="250">
        <v>10098</v>
      </c>
      <c r="BI7" s="250">
        <v>6528.1</v>
      </c>
      <c r="BJ7" s="37"/>
      <c r="BK7" s="250">
        <v>2108500</v>
      </c>
      <c r="BL7" s="40"/>
      <c r="BM7" s="250">
        <v>956.8</v>
      </c>
      <c r="BN7" s="37"/>
      <c r="BO7" s="186"/>
      <c r="BP7" s="183">
        <v>0</v>
      </c>
      <c r="BQ7" s="250">
        <v>903.22</v>
      </c>
      <c r="BR7" s="37"/>
      <c r="BS7" s="250">
        <v>125795.27</v>
      </c>
      <c r="BT7" s="37"/>
      <c r="BU7" s="250">
        <v>3757700</v>
      </c>
      <c r="BV7" s="42"/>
      <c r="BW7" s="37"/>
      <c r="BX7" s="37"/>
      <c r="BY7" s="250">
        <v>432.52</v>
      </c>
      <c r="BZ7" s="43"/>
      <c r="CA7" s="37"/>
      <c r="CB7" s="37"/>
      <c r="CC7" s="250">
        <v>838720</v>
      </c>
      <c r="CD7" s="37">
        <v>0</v>
      </c>
      <c r="CE7" s="250">
        <v>1919200</v>
      </c>
      <c r="CF7" s="37"/>
      <c r="CG7" s="250">
        <v>122630</v>
      </c>
      <c r="CH7" s="37"/>
      <c r="CI7" s="250">
        <v>14873</v>
      </c>
      <c r="CJ7" s="40"/>
      <c r="CK7" s="37"/>
      <c r="CL7" s="37"/>
      <c r="CM7" s="250">
        <v>4435.1000000000004</v>
      </c>
      <c r="CN7" s="37"/>
      <c r="CO7" s="37"/>
      <c r="CP7" s="37"/>
      <c r="CQ7" s="250">
        <v>959060</v>
      </c>
      <c r="CR7" s="39"/>
      <c r="CS7" s="37"/>
      <c r="CT7" s="37"/>
      <c r="CU7" s="250">
        <v>4985200</v>
      </c>
      <c r="CV7" s="41"/>
      <c r="CW7" s="38"/>
      <c r="CX7" s="37"/>
      <c r="CY7" s="250">
        <v>2674700</v>
      </c>
      <c r="CZ7" s="37"/>
      <c r="DA7" s="37"/>
      <c r="DB7" s="37"/>
      <c r="DC7" s="37"/>
      <c r="DD7" s="40"/>
      <c r="DE7" s="37">
        <v>0</v>
      </c>
      <c r="DF7" s="37">
        <v>0</v>
      </c>
      <c r="DG7" s="37">
        <v>-50310.089999999429</v>
      </c>
      <c r="DH7" s="37"/>
      <c r="DI7" s="46"/>
      <c r="DJ7" s="46"/>
      <c r="DK7" s="47"/>
      <c r="DL7" s="47"/>
      <c r="DM7" s="37"/>
      <c r="DN7" s="37"/>
      <c r="DO7" s="37"/>
      <c r="DP7" s="37"/>
      <c r="DQ7" s="250">
        <v>4730700</v>
      </c>
      <c r="DR7" s="49"/>
      <c r="DS7" s="250">
        <v>6538100</v>
      </c>
      <c r="DT7" s="49"/>
      <c r="DU7" s="250">
        <v>8469.6</v>
      </c>
      <c r="DV7" s="250">
        <v>4768.7</v>
      </c>
      <c r="DW7" s="37"/>
      <c r="DX7" s="250">
        <v>14023</v>
      </c>
      <c r="DY7" s="250">
        <v>8774.9</v>
      </c>
      <c r="DZ7" s="37"/>
      <c r="EA7" s="250">
        <v>32592</v>
      </c>
      <c r="EB7" s="250">
        <v>22.242000000000001</v>
      </c>
      <c r="EC7" s="37"/>
      <c r="ED7" s="53">
        <v>6338.6600000010912</v>
      </c>
      <c r="EE7" s="250">
        <v>48970</v>
      </c>
      <c r="EF7" s="250">
        <v>32.308999999999997</v>
      </c>
      <c r="EG7" s="37"/>
      <c r="EH7" s="250">
        <v>14515</v>
      </c>
      <c r="EI7" s="250">
        <v>2.1581999999999999</v>
      </c>
      <c r="EJ7" s="37"/>
      <c r="EK7" s="250">
        <v>885.26</v>
      </c>
      <c r="EL7" s="250">
        <v>1267.5</v>
      </c>
      <c r="EM7" s="37"/>
      <c r="EN7" s="54">
        <v>40548.659999999996</v>
      </c>
      <c r="EO7" s="250">
        <v>13984</v>
      </c>
      <c r="EP7" s="48"/>
      <c r="EQ7" s="37"/>
      <c r="ER7" s="250">
        <v>11454</v>
      </c>
      <c r="ES7" s="55"/>
      <c r="ET7" s="49"/>
      <c r="EU7" s="250">
        <v>4814.7</v>
      </c>
      <c r="EV7" s="48"/>
      <c r="EW7" s="49"/>
      <c r="EX7" s="250">
        <v>14981</v>
      </c>
      <c r="EY7" s="48"/>
      <c r="EZ7" s="37"/>
      <c r="FA7" s="48"/>
      <c r="FB7" s="250">
        <v>39457164</v>
      </c>
      <c r="FC7" s="49"/>
      <c r="FD7" s="48"/>
      <c r="FE7" s="250">
        <v>18174</v>
      </c>
      <c r="FF7" s="154"/>
      <c r="FG7" s="37"/>
      <c r="FH7" s="250">
        <v>10944</v>
      </c>
      <c r="FI7" s="48"/>
      <c r="FJ7" s="49"/>
      <c r="FK7" s="48"/>
      <c r="FL7" s="58"/>
      <c r="FM7" s="48"/>
      <c r="FN7" s="250">
        <v>18113</v>
      </c>
      <c r="FO7" s="48"/>
      <c r="FP7" s="37"/>
      <c r="FQ7" s="250">
        <v>63700</v>
      </c>
      <c r="FR7" s="48"/>
      <c r="FS7" s="37"/>
      <c r="FT7" s="48"/>
      <c r="FU7" s="48"/>
      <c r="FV7" s="250">
        <v>7351800</v>
      </c>
      <c r="FW7" s="44"/>
      <c r="FX7" s="37"/>
      <c r="FY7" s="250">
        <v>261370</v>
      </c>
      <c r="FZ7" s="56"/>
      <c r="GA7" s="37"/>
      <c r="GB7" s="250">
        <v>910.9</v>
      </c>
      <c r="GC7" s="56"/>
      <c r="GD7" s="37"/>
      <c r="GE7" s="250">
        <v>11179</v>
      </c>
      <c r="GF7" s="63"/>
      <c r="GG7" s="37"/>
      <c r="GH7" s="250">
        <v>117290</v>
      </c>
      <c r="GI7" s="56"/>
      <c r="GJ7" s="38"/>
      <c r="GK7" s="250">
        <v>1533.9</v>
      </c>
      <c r="GL7" s="44"/>
      <c r="GM7" s="38">
        <v>0</v>
      </c>
      <c r="GN7" s="250">
        <v>244200</v>
      </c>
      <c r="GO7" s="57"/>
      <c r="GP7" s="38">
        <v>0</v>
      </c>
      <c r="GQ7" s="250">
        <v>305550</v>
      </c>
      <c r="GR7" s="38"/>
      <c r="GS7" s="38"/>
      <c r="GT7" s="247"/>
      <c r="GU7" s="144">
        <v>4.9999995768303052E-2</v>
      </c>
      <c r="GV7" s="261">
        <v>-910</v>
      </c>
      <c r="GW7" s="60">
        <f t="shared" ref="GW7:GW36" si="0">GV7/15</f>
        <v>-60.666666666666664</v>
      </c>
      <c r="GX7" s="260">
        <v>-60.67</v>
      </c>
      <c r="GY7" s="140"/>
      <c r="GZ7" s="62"/>
      <c r="HA7" s="62"/>
      <c r="HB7" s="62"/>
      <c r="HC7" s="62"/>
      <c r="HD7" s="74"/>
      <c r="HE7" s="24"/>
      <c r="HG7" s="279">
        <v>1</v>
      </c>
      <c r="HH7" s="292">
        <v>29802</v>
      </c>
      <c r="HI7" s="292">
        <v>11332</v>
      </c>
      <c r="HJ7" s="61">
        <v>162000</v>
      </c>
      <c r="HK7" s="260">
        <v>2.1432000000000002</v>
      </c>
      <c r="HL7" s="260">
        <v>807.23</v>
      </c>
      <c r="HM7" s="61">
        <v>0</v>
      </c>
      <c r="HN7" s="292">
        <v>7552.8</v>
      </c>
      <c r="HO7" s="292">
        <v>32170</v>
      </c>
      <c r="HP7" s="61">
        <v>41885.000000000364</v>
      </c>
      <c r="HQ7" s="292">
        <v>5204.3</v>
      </c>
      <c r="HR7" s="292">
        <v>2186.6</v>
      </c>
      <c r="HS7" s="61">
        <v>11385.000000000364</v>
      </c>
      <c r="HT7" s="292">
        <v>5140.5</v>
      </c>
      <c r="HU7" s="292">
        <v>1851.4</v>
      </c>
      <c r="HV7" s="61">
        <v>30085.000000000182</v>
      </c>
      <c r="HW7" s="292">
        <v>3780.96</v>
      </c>
      <c r="HX7" s="292">
        <v>1616.7</v>
      </c>
      <c r="HY7" s="61">
        <v>19745.000000000036</v>
      </c>
      <c r="HZ7" s="260">
        <v>3107700</v>
      </c>
      <c r="IA7" s="260">
        <v>13441</v>
      </c>
      <c r="IB7" s="61">
        <v>32300</v>
      </c>
      <c r="IC7" s="292">
        <v>719.8</v>
      </c>
      <c r="ID7" s="292">
        <v>232.78</v>
      </c>
      <c r="IE7" s="61">
        <v>0</v>
      </c>
      <c r="IF7" s="61"/>
      <c r="IG7" s="61"/>
      <c r="IH7" s="280">
        <v>26600</v>
      </c>
      <c r="II7" s="281">
        <v>-9.1677065938711166E-10</v>
      </c>
      <c r="IJ7" s="351"/>
      <c r="IK7" s="351"/>
      <c r="IL7" s="351">
        <v>0</v>
      </c>
      <c r="IM7" s="351"/>
      <c r="IN7" s="351"/>
      <c r="IO7" s="351">
        <v>0</v>
      </c>
      <c r="IP7" s="351"/>
      <c r="IQ7" s="351"/>
      <c r="IR7" s="351">
        <v>0</v>
      </c>
      <c r="IS7" s="351"/>
      <c r="IT7" s="351"/>
      <c r="IU7" s="351">
        <v>0</v>
      </c>
      <c r="IV7" s="351"/>
      <c r="IW7" s="351"/>
      <c r="IX7" s="351">
        <v>0</v>
      </c>
      <c r="IY7" s="351"/>
      <c r="IZ7" s="351"/>
      <c r="JA7" s="351">
        <v>0</v>
      </c>
      <c r="JB7" s="351"/>
      <c r="JC7" s="351"/>
      <c r="JD7" s="351">
        <v>0</v>
      </c>
      <c r="JE7" s="351"/>
      <c r="JF7" s="351"/>
      <c r="JG7" s="351">
        <v>0</v>
      </c>
      <c r="JH7" s="351"/>
      <c r="JI7" s="351"/>
      <c r="JJ7" s="351">
        <v>0</v>
      </c>
      <c r="JK7" s="351"/>
      <c r="JL7" s="351"/>
      <c r="JM7" s="351">
        <v>0</v>
      </c>
      <c r="JN7" s="351"/>
      <c r="JO7" s="351"/>
      <c r="JP7" s="351">
        <v>0</v>
      </c>
      <c r="JQ7" s="351"/>
      <c r="JR7" s="351"/>
      <c r="JS7" s="351">
        <v>0</v>
      </c>
      <c r="JT7" s="351"/>
      <c r="JU7" s="351"/>
      <c r="JV7" s="351">
        <v>0</v>
      </c>
      <c r="JW7" s="351"/>
      <c r="JX7" s="351"/>
      <c r="JY7" s="351">
        <v>0</v>
      </c>
      <c r="JZ7" s="351"/>
      <c r="KA7" s="351"/>
      <c r="KB7" s="351">
        <v>0</v>
      </c>
      <c r="KC7" s="351"/>
      <c r="KD7" s="351"/>
      <c r="KE7" s="351">
        <v>0</v>
      </c>
      <c r="KG7" s="151">
        <v>74184.999999999447</v>
      </c>
    </row>
    <row r="8" spans="1:293" x14ac:dyDescent="0.25">
      <c r="A8" s="35">
        <v>2</v>
      </c>
      <c r="B8" s="250">
        <v>5726.7</v>
      </c>
      <c r="C8" s="38">
        <f t="shared" ref="C8:C38" si="1">IF((B8-B7)&lt;=0,0,(B8-B7))</f>
        <v>6.5299999999997453</v>
      </c>
      <c r="D8" s="38">
        <f t="shared" ref="D8:D38" si="2">IF((B8-B7)*32000&lt;=0,0,(B8-B7)*32000)</f>
        <v>208959.99999999185</v>
      </c>
      <c r="E8" s="250">
        <v>1148.0899999999999</v>
      </c>
      <c r="F8" s="38">
        <f t="shared" ref="F8:F38" si="3">IF((E8-E7)*32000&lt;=0,0,(E8-E7)*32000)</f>
        <v>40639.999999999418</v>
      </c>
      <c r="G8" s="38">
        <f t="shared" ref="G8:G38" si="4">D8+F8</f>
        <v>249599.99999999127</v>
      </c>
      <c r="H8" s="37"/>
      <c r="I8" s="39"/>
      <c r="J8" s="42"/>
      <c r="K8" s="37">
        <f>IF(J8&lt;=0,0,(J8/SQRT(J8^2+(I8-I7)^2)))</f>
        <v>0</v>
      </c>
      <c r="L8" s="250">
        <v>18604100</v>
      </c>
      <c r="M8" s="40"/>
      <c r="N8" s="37">
        <f>IF((L8-L7)&lt;=0,0,(L8-L7)*10)</f>
        <v>251000</v>
      </c>
      <c r="O8" s="250">
        <v>13294</v>
      </c>
      <c r="P8" s="37"/>
      <c r="Q8" s="37">
        <f t="shared" ref="Q8:Q21" si="5">IF((O8-O7)&lt;=0,0,(O8-O7))*1000</f>
        <v>8000</v>
      </c>
      <c r="R8" s="37">
        <f>IF(Q8&lt;=0,0,(Q8/SQRT(Q8^2+(P8-P7)^2)))</f>
        <v>1</v>
      </c>
      <c r="S8" s="250">
        <v>11273120.4</v>
      </c>
      <c r="T8" s="37">
        <f t="shared" ref="T8:T38" si="6">IF((S8-S7)&lt;=0,0,(S8-S7))</f>
        <v>98.21000000089407</v>
      </c>
      <c r="U8" s="250">
        <v>1523792.57</v>
      </c>
      <c r="V8" s="37">
        <f t="shared" ref="V8:V35" si="7">IF((U8-U7)&lt;=0,0,(U8-U7))</f>
        <v>0</v>
      </c>
      <c r="W8" s="250">
        <v>4764.5</v>
      </c>
      <c r="X8" s="37">
        <f>Q8-T8-V8-AB8</f>
        <v>7211.7899999991059</v>
      </c>
      <c r="Y8" s="183"/>
      <c r="Z8" s="183"/>
      <c r="AA8" s="250">
        <v>871100</v>
      </c>
      <c r="AB8" s="37">
        <f t="shared" ref="AB8:AB38" si="8">IF((AA8-AA7)&lt;=0,0,(AA8-AA7))</f>
        <v>690</v>
      </c>
      <c r="AC8" s="250">
        <v>4937.8</v>
      </c>
      <c r="AD8" s="37"/>
      <c r="AE8" s="37">
        <f t="shared" ref="AE8:AE21" si="9">IF((AC8-AC7)&lt;=0,0,(AC8-AC7))*1000</f>
        <v>3300.0000000001819</v>
      </c>
      <c r="AF8" s="37">
        <f>IF(AE8&lt;=0,0,(AE8/SQRT(AE8^2+(AD8-AD7)^2)))</f>
        <v>1</v>
      </c>
      <c r="AG8" s="250">
        <v>10734.2</v>
      </c>
      <c r="AH8" s="37"/>
      <c r="AI8" s="37">
        <f t="shared" ref="AI8:AI36" si="10">IF((AG8-AG7)&lt;=0,0,(AG8-AG7))*1000+GX8</f>
        <v>9168.6500000007272</v>
      </c>
      <c r="AJ8" s="37">
        <f t="shared" ref="AJ8:AJ36" si="11">IF(AI8&lt;=0,0,(AI8/SQRT(AI8^2+(AH8-AH7)^2)))</f>
        <v>1</v>
      </c>
      <c r="AK8" s="37">
        <f t="shared" ref="AK8:AK36" si="12">T8+V8+X8+AE8+AI8</f>
        <v>19778.650000000911</v>
      </c>
      <c r="AL8" s="250">
        <v>12352.8</v>
      </c>
      <c r="AM8" s="42"/>
      <c r="AN8" s="37">
        <f>IF((AL8-AL7)&lt;=0,0,(AL8-AL7))*1000+GX8-BL8-BN8-BP8-BR8</f>
        <v>4938.6499999993039</v>
      </c>
      <c r="AO8" s="37">
        <f>IF(AN8&lt;=0,0,(AN8/SQRT(AN8^2+(AM8-AM7)^2)))</f>
        <v>1</v>
      </c>
      <c r="AP8" s="250">
        <v>9768.4</v>
      </c>
      <c r="AQ8" s="37"/>
      <c r="AR8" s="37">
        <f t="shared" ref="AR8:AR38" si="13">IF((AP8-AP7)&lt;=0,0,(AP8-AP7))*1000</f>
        <v>3899.9999999996362</v>
      </c>
      <c r="AS8" s="37">
        <f>IF(AR8&lt;=0,0,(AR8/SQRT(AR8^2+(AQ8-AQ7)^2)))</f>
        <v>1</v>
      </c>
      <c r="AT8" s="183"/>
      <c r="AU8" s="183"/>
      <c r="AV8" s="183"/>
      <c r="AW8" s="183"/>
      <c r="AX8" s="250">
        <v>537680</v>
      </c>
      <c r="AY8" s="37"/>
      <c r="AZ8" s="37">
        <f t="shared" ref="AZ8:AZ38" si="14">IF((AX8-AX7)&lt;=0,0,(AX8-AX7))</f>
        <v>269</v>
      </c>
      <c r="BA8" s="250">
        <v>227950</v>
      </c>
      <c r="BB8" s="37"/>
      <c r="BC8" s="37">
        <f t="shared" ref="BC8:BC38" si="15">IF((BA8-BA7)&lt;=0,0,(BA8-BA7))</f>
        <v>233</v>
      </c>
      <c r="BD8" s="37">
        <f>AN8+AR8+AZ8+BC8</f>
        <v>9340.6499999989392</v>
      </c>
      <c r="BE8" s="250">
        <v>2129.1999999999998</v>
      </c>
      <c r="BF8" s="250">
        <v>1199.4000000000001</v>
      </c>
      <c r="BG8" s="37">
        <f t="shared" ref="BG8:BG38" si="16">IF((BE8-BE7)&lt;=0,0,(BE8-BE7))*1000</f>
        <v>1199.9999999998181</v>
      </c>
      <c r="BH8" s="250">
        <v>10107</v>
      </c>
      <c r="BI8" s="250">
        <v>6533.9</v>
      </c>
      <c r="BJ8" s="37">
        <f t="shared" ref="BJ8:BJ38" si="17">IF((BH8-BH7)&lt;=0,0,(BH8-BH7))*1000</f>
        <v>9000</v>
      </c>
      <c r="BK8" s="250">
        <v>2112170</v>
      </c>
      <c r="BL8" s="40">
        <f>IF((BK8-BK7)&lt;=0,0,(BK8-BK7))</f>
        <v>3670</v>
      </c>
      <c r="BM8" s="250">
        <v>958.18</v>
      </c>
      <c r="BN8" s="37">
        <f t="shared" ref="BN8:BN36" si="18">IF((BM8-BM7)&lt;=0,0,BM8-BM7)*1000</f>
        <v>1379.9999999999955</v>
      </c>
      <c r="BO8" s="186"/>
      <c r="BP8" s="183">
        <f t="shared" ref="BP8:BP36" si="19">IF((BO8-BO7)&lt;=0,0,(BO8-BO7))*1000</f>
        <v>0</v>
      </c>
      <c r="BQ8" s="250">
        <v>904</v>
      </c>
      <c r="BR8" s="37">
        <f>IF((BQ8-BQ7)&lt;=0,0,(BQ8-BQ7))*1000</f>
        <v>779.99999999997272</v>
      </c>
      <c r="BS8" s="250">
        <v>126011.8</v>
      </c>
      <c r="BT8" s="37">
        <f t="shared" ref="BT8:BT36" si="20">IF((BS8-BS7)&lt;=0,0,(BS8-BS7))</f>
        <v>216.52999999999884</v>
      </c>
      <c r="BU8" s="250">
        <v>3757725</v>
      </c>
      <c r="BV8" s="42"/>
      <c r="BW8" s="37">
        <f t="shared" ref="BW8:BW36" si="21">IF((BU8-BU7)&lt;=0,0,(BU8-BU7))</f>
        <v>25</v>
      </c>
      <c r="BX8" s="37">
        <f>IF(BW8&lt;=0,0,(BW8/SQRT(BW8^2+(BV8-BV7)^2)))</f>
        <v>1</v>
      </c>
      <c r="BY8" s="250">
        <v>432.6789</v>
      </c>
      <c r="BZ8" s="43"/>
      <c r="CA8" s="37">
        <f t="shared" ref="CA8:CA16" si="22">IF((BY8-BY7)&lt;=0,0,(BY8-BY7)*1000)</f>
        <v>158.90000000001692</v>
      </c>
      <c r="CB8" s="37">
        <f>IF(CA8&lt;=0,0,(CA8/SQRT(CA8^2+(BZ8-BZ7)^2)))</f>
        <v>1</v>
      </c>
      <c r="CC8" s="250">
        <v>838722.3</v>
      </c>
      <c r="CD8" s="37">
        <f t="shared" ref="CD8:CD36" si="23">IF((CC8-CC7)&lt;=0,0,(CC8-CC7))</f>
        <v>2.3000000000465661</v>
      </c>
      <c r="CE8" s="250">
        <v>1919245</v>
      </c>
      <c r="CF8" s="37">
        <f t="shared" ref="CF8:CF36" si="24">IF((CE8-CE7)&lt;=0,0,(CE8-CE7))</f>
        <v>45</v>
      </c>
      <c r="CG8" s="250">
        <v>122633</v>
      </c>
      <c r="CH8" s="37">
        <f>IF((CG8-CG7)&lt;=0,0,(CG8-CG7))</f>
        <v>3</v>
      </c>
      <c r="CI8" s="250">
        <v>14876.13</v>
      </c>
      <c r="CJ8" s="40"/>
      <c r="CK8" s="37">
        <f>IF((CI8-CI7)*1000&lt;=0,0,(CI8-CI7)*1000)+GX8-CA8</f>
        <v>4939.7499999991824</v>
      </c>
      <c r="CL8" s="37">
        <f t="shared" ref="CL8:CL35" si="25">IF(CK8&lt;=0,0,(CK8/SQRT(CK8^2+(CJ8-CJ7)^2)))</f>
        <v>1</v>
      </c>
      <c r="CM8" s="250">
        <v>4435.1019999999999</v>
      </c>
      <c r="CN8" s="37"/>
      <c r="CO8" s="37">
        <f t="shared" ref="CO8:CO36" si="26">IF((CM8-CM7)&lt;=0,0,(CM8-CM7))*1000+GX8</f>
        <v>1970.649999999498</v>
      </c>
      <c r="CP8" s="37">
        <f>IF(CO8&lt;=0,0,(CO8/SQRT(CO8^2+(CN8-CN7)^2)))</f>
        <v>1</v>
      </c>
      <c r="CQ8" s="250">
        <v>959336</v>
      </c>
      <c r="CR8" s="45"/>
      <c r="CS8" s="37">
        <f>IF((CQ8-CQ7)&lt;=0,0,(CQ8-CQ7))+GX8</f>
        <v>2244.65</v>
      </c>
      <c r="CT8" s="37">
        <f>IF(CS8&lt;=0,0,(CS8/SQRT(CS8^2+(CR8-CR7)^2)))</f>
        <v>1</v>
      </c>
      <c r="CU8" s="250">
        <v>4985694</v>
      </c>
      <c r="CV8" s="37"/>
      <c r="CW8" s="38">
        <f t="shared" ref="CW8:CW35" si="27">IF((CU8-CU7)&lt;=0,0,(CU8-CU7))</f>
        <v>494</v>
      </c>
      <c r="CX8" s="37">
        <f>IF(CW8&lt;=0,0,(CW8/SQRT(CW8^2+(CV8-CV7)^2)))</f>
        <v>1</v>
      </c>
      <c r="CY8" s="250">
        <v>2674866</v>
      </c>
      <c r="CZ8" s="37"/>
      <c r="DA8" s="37">
        <f t="shared" ref="DA8:DA26" si="28">IF((CY8-CY7)&lt;=0,0,(CY8-CY7))</f>
        <v>166</v>
      </c>
      <c r="DB8" s="37">
        <f>IF(DA8&lt;=0,0,(DA8/SQRT(DA8^2+(CZ8-CZ7)^2)))</f>
        <v>1</v>
      </c>
      <c r="DC8" s="37"/>
      <c r="DD8" s="40"/>
      <c r="DE8" s="37">
        <f t="shared" ref="DE8:DE33" si="29">IF((DC8-DC7)&lt;=0,0,(DC8-DC7))</f>
        <v>0</v>
      </c>
      <c r="DF8" s="37">
        <f>IF(DE8&lt;=0,0,(DE8/SQRT(DE8^2+(DD8-DD7)^2)))</f>
        <v>0</v>
      </c>
      <c r="DG8" s="37">
        <f t="shared" ref="DG8:DG36" si="30">(DE8)-DA8-CW8-CS8-CO8-CK8-BW8</f>
        <v>-9840.0499999986805</v>
      </c>
      <c r="DH8" s="37">
        <f t="shared" ref="DH8:DH36" si="31">DE8+BG8+AK8+N8</f>
        <v>271978.65000000072</v>
      </c>
      <c r="DI8" s="46"/>
      <c r="DJ8" s="46"/>
      <c r="DK8" s="47"/>
      <c r="DL8" s="47"/>
      <c r="DM8" s="37"/>
      <c r="DN8" s="37"/>
      <c r="DO8" s="37"/>
      <c r="DP8" s="37"/>
      <c r="DQ8" s="250">
        <v>4739700</v>
      </c>
      <c r="DR8" s="49">
        <f>IF((DQ8-DQ7)&lt;=0,0,(DQ8-DQ7))</f>
        <v>9000</v>
      </c>
      <c r="DS8" s="250">
        <v>6560900</v>
      </c>
      <c r="DT8" s="49">
        <f>IF((DS8-DS7)&lt;=0,0,(DS8-DS7))</f>
        <v>22800</v>
      </c>
      <c r="DU8" s="250">
        <v>8472.1</v>
      </c>
      <c r="DV8" s="250">
        <v>4769.5</v>
      </c>
      <c r="DW8" s="37">
        <f>IF((DU8-DU7)*1000&lt;=0,0,(DU8-DU7)*1000)</f>
        <v>2500</v>
      </c>
      <c r="DX8" s="250">
        <v>14026</v>
      </c>
      <c r="DY8" s="250">
        <v>8778</v>
      </c>
      <c r="DZ8" s="37">
        <f t="shared" ref="DZ8:DZ36" si="32">IF((DX8-DX7)*1000&lt;=0,0,(DX8-DX7)*1000)+GX8</f>
        <v>4968.6499999999996</v>
      </c>
      <c r="EA8" s="250">
        <v>32605</v>
      </c>
      <c r="EB8" s="250">
        <v>22.248000000000001</v>
      </c>
      <c r="EC8" s="37">
        <f t="shared" ref="EC8:EC38" si="33">IF((EA8-EA7)*1000&lt;=0,0,(EA8-EA7)*1000)+GX8+$EE$40</f>
        <v>17128.650000000001</v>
      </c>
      <c r="ED8" s="53">
        <f t="shared" ref="ED8:ED35" si="34">DW8+DZ8+EC8</f>
        <v>24597.300000000003</v>
      </c>
      <c r="EE8" s="250">
        <v>48992</v>
      </c>
      <c r="EF8" s="250">
        <v>32.325000000000003</v>
      </c>
      <c r="EG8" s="37">
        <f t="shared" ref="EG8:EG38" si="35">IF((EE8-EE7)*1000&lt;=0,0,(EE8-EE7)*1000)+GX8+$EE$40</f>
        <v>26128.65</v>
      </c>
      <c r="EH8" s="250">
        <v>14523</v>
      </c>
      <c r="EI8" s="250">
        <v>2.1619999999999999</v>
      </c>
      <c r="EJ8" s="37">
        <f t="shared" ref="EJ8:EJ36" si="36">IF((EH8-EH7)*1000&lt;=0,0,(EH8-EH7)*1000)+GX8</f>
        <v>9968.65</v>
      </c>
      <c r="EK8" s="250">
        <v>885.76</v>
      </c>
      <c r="EL8" s="250">
        <v>1268.0999999999999</v>
      </c>
      <c r="EM8" s="37">
        <f>IF((EK8-EK7)&lt;=0,0,(EK8-EK7))*1000</f>
        <v>500</v>
      </c>
      <c r="EN8" s="54">
        <f>EG8+EJ8+EM8</f>
        <v>36597.300000000003</v>
      </c>
      <c r="EO8" s="250">
        <v>13990</v>
      </c>
      <c r="EP8" s="48"/>
      <c r="EQ8" s="37">
        <f>IF((EO8-EO7)*1000&lt;=0,0,(EO8-EO7)*1000)+GX8-FU45+FV45</f>
        <v>6818.6500000000224</v>
      </c>
      <c r="ER8" s="250">
        <v>11462</v>
      </c>
      <c r="ES8" s="48"/>
      <c r="ET8" s="49">
        <f t="shared" ref="ET8:ET14" si="37">IF((ER8-ER7)&lt;=0,0,(ER8-ER7))*1000</f>
        <v>8000</v>
      </c>
      <c r="EU8" s="250">
        <v>4821.3</v>
      </c>
      <c r="EV8" s="48"/>
      <c r="EW8" s="49">
        <f t="shared" ref="EW8:EW36" si="38">IF((EU8-EU7)&lt;=0,0,(EU8-EU7))*1000+GX8</f>
        <v>8568.6500000003634</v>
      </c>
      <c r="EX8" s="250">
        <v>14989</v>
      </c>
      <c r="EY8" s="48"/>
      <c r="EZ8" s="37">
        <f t="shared" ref="EZ8:EZ36" si="39">IF((EX8-EX7)&lt;=0,0,(EX8-EX7))*1000+GX8</f>
        <v>9968.65</v>
      </c>
      <c r="FA8" s="48">
        <f>FC8-EQ8-ET8-EW8-EZ8</f>
        <v>-18269.950000000386</v>
      </c>
      <c r="FB8" s="250">
        <v>39472250</v>
      </c>
      <c r="FC8" s="49">
        <f>IF((FB8-FB7)&lt;=0,0,(FB8-FB7))</f>
        <v>15086</v>
      </c>
      <c r="FD8" s="48">
        <f>EQ8+ET8+EW8+EZ8+GJ8</f>
        <v>34435.95000000039</v>
      </c>
      <c r="FE8" s="250">
        <v>18174</v>
      </c>
      <c r="FF8" s="48"/>
      <c r="FG8" s="37">
        <f t="shared" ref="FG8:FG36" si="40">IF((FE8-FE7)*1000&lt;=0,0,(FE8-FE7)*1000)+FL8+GX8+FW45</f>
        <v>3118.6499999999774</v>
      </c>
      <c r="FH8" s="250">
        <v>10944.1</v>
      </c>
      <c r="FI8" s="48"/>
      <c r="FJ8" s="49">
        <f t="shared" ref="FJ8:FJ36" si="41">IF((FH8-FH7)&lt;=0,0,(FH8-FH7))*1000+FL8+GX8</f>
        <v>2068.6500000003639</v>
      </c>
      <c r="FK8" s="48"/>
      <c r="FL8" s="58"/>
      <c r="FM8" s="48">
        <f>FT8/3</f>
        <v>-1718.6500000001136</v>
      </c>
      <c r="FN8" s="250">
        <v>18114</v>
      </c>
      <c r="FO8" s="48"/>
      <c r="FP8" s="37">
        <f>IF((FN8-FN7)*1000&lt;=0,0,(FN8-FN7)*1000)+FL8+GX8</f>
        <v>2968.65</v>
      </c>
      <c r="FQ8" s="250">
        <v>63703</v>
      </c>
      <c r="FR8" s="48"/>
      <c r="FS8" s="37">
        <f t="shared" ref="FS8:FS34" si="42">IF((FQ8-FQ7)*1000&lt;=0,0,(FQ8-FQ7)*1000)</f>
        <v>3000</v>
      </c>
      <c r="FT8" s="48">
        <f>FS8-FG8-FJ8-FP8</f>
        <v>-5155.9500000003409</v>
      </c>
      <c r="FU8" s="48">
        <f>FG8+FJ8+FP8+GM8</f>
        <v>8155.9500000003409</v>
      </c>
      <c r="FV8" s="250">
        <v>7358600</v>
      </c>
      <c r="FW8" s="44"/>
      <c r="FX8" s="37">
        <f t="shared" ref="FX8:FX36" si="43">IF((FV8-FV7)*1000&lt;=0,0,(FV8-FV7))</f>
        <v>6800</v>
      </c>
      <c r="FY8" s="250">
        <v>261600</v>
      </c>
      <c r="FZ8" s="56"/>
      <c r="GA8" s="37">
        <f t="shared" ref="GA8:GA36" si="44">IF((FY8-FY7)*1000&lt;=0,0,(FY8-FY7))</f>
        <v>230</v>
      </c>
      <c r="GB8" s="250">
        <v>911.21</v>
      </c>
      <c r="GC8" s="56"/>
      <c r="GD8" s="37">
        <f t="shared" ref="GD8:GD36" si="45">IF((GB8-GB7)*1000&lt;=0,0,(GB8-GB7)*1000)</f>
        <v>310.00000000005912</v>
      </c>
      <c r="GE8" s="250">
        <v>11181</v>
      </c>
      <c r="GF8" s="63"/>
      <c r="GG8" s="37">
        <f t="shared" ref="GG8:GG36" si="46">IF((GE8-GE7)*1000&lt;=0,0,(GE8-GE7)*1000)-GJ8-GM8</f>
        <v>920</v>
      </c>
      <c r="GH8" s="250">
        <v>118370</v>
      </c>
      <c r="GI8" s="56"/>
      <c r="GJ8" s="38">
        <f>IF((GH8-GH7)&lt;=0,0,(GH8-GH7))</f>
        <v>1080</v>
      </c>
      <c r="GK8" s="250">
        <v>1533.9</v>
      </c>
      <c r="GL8" s="44"/>
      <c r="GM8" s="38">
        <f t="shared" ref="GM8:GM36" si="47">IF((GK8-GK7)&lt;=0,0,(GK8-GK7))*1000</f>
        <v>0</v>
      </c>
      <c r="GN8" s="250">
        <v>244200</v>
      </c>
      <c r="GO8" s="57"/>
      <c r="GP8" s="38">
        <f t="shared" ref="GP8:GP36" si="48">IF((GN8-GN7)&lt;=0,0,(GN8-GN7))</f>
        <v>0</v>
      </c>
      <c r="GQ8" s="250">
        <v>305550</v>
      </c>
      <c r="GR8" s="38"/>
      <c r="GS8" s="38">
        <f>IF((GQ8-GQ7)&lt;=0,0,(GQ8-GQ7))</f>
        <v>0</v>
      </c>
      <c r="GT8" s="247"/>
      <c r="GU8" s="144">
        <f>DailyOct!B7-DailyOct!N7-DailyOct!V7-DailyOct!Y7-DailyOct!Z7-DailyOct!AA7-DailyOct!AB7-DailyOct!AC7-DailyOct!AD7-DailyOct!AE7-DailyOct!AK7-DailyOct!AO7-DailyOct!AS7-DailyOct!AY7-DailyOct!BD7+DailyOct!BU7-DailyOct!BG7-DailyOct!BT7-DailyOct!AF7-DailyOct!AG7</f>
        <v>-5.0000007846392691E-2</v>
      </c>
      <c r="GV8" s="261">
        <v>29529.7</v>
      </c>
      <c r="GW8" s="60">
        <f t="shared" si="0"/>
        <v>1968.6466666666668</v>
      </c>
      <c r="GX8" s="260">
        <v>1968.65</v>
      </c>
      <c r="GY8" s="140"/>
      <c r="GZ8" s="527" t="s">
        <v>402</v>
      </c>
      <c r="HA8" s="528"/>
      <c r="HB8" s="528"/>
      <c r="HC8" s="528"/>
      <c r="HD8" s="74"/>
      <c r="HE8" s="24">
        <f t="shared" ref="HE8:HE35" si="49">HC8-HA8</f>
        <v>0</v>
      </c>
      <c r="HG8" s="279">
        <v>2</v>
      </c>
      <c r="HH8" s="292">
        <v>29962</v>
      </c>
      <c r="HI8" s="292">
        <v>11393</v>
      </c>
      <c r="HJ8" s="61">
        <f t="shared" ref="HJ8:HJ36" si="50">IF((HH8-HH7)&lt;=0,0,(HH8-HH7)*1000)</f>
        <v>160000</v>
      </c>
      <c r="HK8" s="260">
        <v>2.1432000000000002</v>
      </c>
      <c r="HL8" s="292">
        <v>807.23</v>
      </c>
      <c r="HM8" s="61">
        <f t="shared" ref="HM8:HM36" si="51">IF((HK8-HK7)&lt;=0,0,(HK8-HK7))</f>
        <v>0</v>
      </c>
      <c r="HN8" s="292">
        <v>7591.7</v>
      </c>
      <c r="HO8" s="292">
        <v>32337</v>
      </c>
      <c r="HP8" s="61">
        <f t="shared" ref="HP8:HP36" si="52">IF((HN8-HN7)&lt;=0,0,(HN8-HN7)*1000)+IL45</f>
        <v>36489.999999999636</v>
      </c>
      <c r="HQ8" s="292">
        <v>5223.1000000000004</v>
      </c>
      <c r="HR8" s="292">
        <v>2194.5</v>
      </c>
      <c r="HS8" s="61">
        <f t="shared" ref="HS8:HS36" si="53">IF((HQ8-HQ7)&lt;=0,0,(HQ8-HQ7)*1000)+IL45</f>
        <v>16390.000000000182</v>
      </c>
      <c r="HT8" s="292">
        <v>5166.3999999999996</v>
      </c>
      <c r="HU8" s="292">
        <v>1860.4</v>
      </c>
      <c r="HV8" s="61">
        <f t="shared" ref="HV8:HV35" si="54">IF((HT8-HT7)&lt;=0,0,(HT8-HT7)*1000)+IL45</f>
        <v>23489.999999999636</v>
      </c>
      <c r="HW8" s="292">
        <v>3814.4</v>
      </c>
      <c r="HX8" s="292">
        <v>1626.6</v>
      </c>
      <c r="HY8" s="61">
        <f t="shared" ref="HY8:HY36" si="55">IF((HW8-HW7)&lt;=0,0,(HW8-HW7)*1000)+IL45</f>
        <v>31030.000000000058</v>
      </c>
      <c r="HZ8" s="260">
        <v>3137500</v>
      </c>
      <c r="IA8" s="260">
        <v>13565</v>
      </c>
      <c r="IB8" s="61">
        <f t="shared" ref="IB8:IB36" si="56">IF((HZ8-HZ7)&lt;=0,0,(HZ8-HZ7))</f>
        <v>29800</v>
      </c>
      <c r="IC8" s="292">
        <v>719.8</v>
      </c>
      <c r="ID8" s="292">
        <v>232.78</v>
      </c>
      <c r="IE8" s="61">
        <v>0</v>
      </c>
      <c r="IF8" s="61"/>
      <c r="IG8" s="61"/>
      <c r="IH8" s="280">
        <f t="shared" ref="IH8:IH36" si="57">DT8</f>
        <v>22800</v>
      </c>
      <c r="II8" s="281">
        <f t="shared" ref="II8:II28" si="58">HJ8+HM8-HS8-HV8-HY8-IH8-HP8-IB8-IE8</f>
        <v>4.9476511776447296E-10</v>
      </c>
      <c r="IJ8" s="345"/>
      <c r="IK8" s="345"/>
      <c r="IL8" s="347">
        <f t="shared" ref="IL8:IL18" si="59">IF((IJ8-IJ7)&lt;=0,0,(IJ8-IJ7))</f>
        <v>0</v>
      </c>
      <c r="IM8" s="347"/>
      <c r="IN8" s="347"/>
      <c r="IO8" s="347">
        <f t="shared" ref="IO8:IO18" si="60">IF((IM8-IM7)&lt;=0,0,(IM8-IM7)*1000)</f>
        <v>0</v>
      </c>
      <c r="IP8" s="347"/>
      <c r="IQ8" s="347"/>
      <c r="IR8" s="347">
        <f t="shared" ref="IR8:IR18" si="61">IF((IP8-IP7)&lt;=0,0,(IP8-IP7))</f>
        <v>0</v>
      </c>
      <c r="IS8" s="347"/>
      <c r="IT8" s="347"/>
      <c r="IU8" s="347">
        <f t="shared" ref="IU8:IU18" si="62">IF((IS8-IS7)&lt;=0,0,(IS8-IS7))</f>
        <v>0</v>
      </c>
      <c r="IV8" s="347"/>
      <c r="IW8" s="347"/>
      <c r="IX8" s="347">
        <f t="shared" ref="IX8:IX18" si="63">IF((IV8-IV7)&lt;=0,0,(IV8-IV7))</f>
        <v>0</v>
      </c>
      <c r="IY8" s="347"/>
      <c r="IZ8" s="347"/>
      <c r="JA8" s="347">
        <f t="shared" ref="JA8:JA18" si="64">IF((IY8-IY7)&lt;=0,0,(IY8-IY7))</f>
        <v>0</v>
      </c>
      <c r="JB8" s="347"/>
      <c r="JC8" s="347"/>
      <c r="JD8" s="347">
        <f t="shared" ref="JD8:JD18" si="65">IF((JB8-JB7)&lt;=0,0,(JB8-JB7))</f>
        <v>0</v>
      </c>
      <c r="JE8" s="347"/>
      <c r="JF8" s="347"/>
      <c r="JG8" s="347">
        <f t="shared" ref="JG8:JG18" si="66">IF((JE8-JE7)&lt;=0,0,(JE8-JE7))</f>
        <v>0</v>
      </c>
      <c r="JH8" s="347"/>
      <c r="JI8" s="347"/>
      <c r="JJ8" s="347">
        <f t="shared" ref="JJ8:JJ18" si="67">IF((JH8-JH7)&lt;=0,0,(JH8-JH7))</f>
        <v>0</v>
      </c>
      <c r="JK8" s="347"/>
      <c r="JL8" s="347"/>
      <c r="JM8" s="347">
        <f t="shared" ref="JM8:JM18" si="68">IF((JK8-JK7)&lt;=0,0,(JK8-JK7))</f>
        <v>0</v>
      </c>
      <c r="JN8" s="347"/>
      <c r="JO8" s="347"/>
      <c r="JP8" s="347">
        <f t="shared" ref="JP8:JP18" si="69">IF((JN8-JN7)&lt;=0,0,(JN8-JN7))</f>
        <v>0</v>
      </c>
      <c r="JQ8" s="347"/>
      <c r="JR8" s="347"/>
      <c r="JS8" s="347">
        <f t="shared" ref="JS8:JS18" si="70">IF((JQ8-JQ7)&lt;=0,0,(JQ8-JQ7))</f>
        <v>0</v>
      </c>
      <c r="JT8" s="347"/>
      <c r="JU8" s="347"/>
      <c r="JV8" s="347">
        <f t="shared" ref="JV8:JV18" si="71">IF((JT8-JT7)&lt;=0,0,(JT8-JT7))</f>
        <v>0</v>
      </c>
      <c r="JW8" s="347"/>
      <c r="JX8" s="347"/>
      <c r="JY8" s="347">
        <f t="shared" ref="JY8:JY18" si="72">IF((JW8-JW7)&lt;=0,0,(JW8-JW7))</f>
        <v>0</v>
      </c>
      <c r="JZ8" s="347"/>
      <c r="KA8" s="347"/>
      <c r="KB8" s="347">
        <f t="shared" ref="KB8:KB18" si="73">IF((JZ8-JZ7)&lt;=0,0,(JZ8-JZ7))</f>
        <v>0</v>
      </c>
      <c r="KC8" s="347"/>
      <c r="KD8" s="347"/>
      <c r="KE8" s="347">
        <f t="shared" ref="KE8:KE18" si="74">IF((KC8-KC7)&lt;=0,0,(KC8-KC7))</f>
        <v>0</v>
      </c>
      <c r="KG8" s="151">
        <f t="shared" ref="KG8:KG36" si="75">HJ8+HM8-HS8-HV8-HY8-IH8</f>
        <v>66290.000000000131</v>
      </c>
    </row>
    <row r="9" spans="1:293" x14ac:dyDescent="0.25">
      <c r="A9" s="35">
        <f t="shared" ref="A9:A36" si="76">A8+1</f>
        <v>3</v>
      </c>
      <c r="B9" s="250">
        <v>5736.14</v>
      </c>
      <c r="C9" s="38">
        <f t="shared" si="1"/>
        <v>9.4400000000005093</v>
      </c>
      <c r="D9" s="38">
        <f t="shared" si="2"/>
        <v>302080.0000000163</v>
      </c>
      <c r="E9" s="250">
        <v>1150.02</v>
      </c>
      <c r="F9" s="38">
        <f t="shared" si="3"/>
        <v>61760.000000002037</v>
      </c>
      <c r="G9" s="38">
        <f t="shared" si="4"/>
        <v>363840.00000001834</v>
      </c>
      <c r="H9" s="37"/>
      <c r="I9" s="39"/>
      <c r="J9" s="42"/>
      <c r="K9" s="37">
        <f>IF(J9&lt;=0,0,(J9/SQRT(J9^2+(I9-I8)^2)))</f>
        <v>0</v>
      </c>
      <c r="L9" s="250">
        <v>18617500</v>
      </c>
      <c r="M9" s="40"/>
      <c r="N9" s="37">
        <f>IF((L9-L8)&lt;=0,0,(L9-L8)*10)</f>
        <v>134000</v>
      </c>
      <c r="O9" s="250">
        <v>13312</v>
      </c>
      <c r="P9" s="37"/>
      <c r="Q9" s="37">
        <f t="shared" si="5"/>
        <v>18000</v>
      </c>
      <c r="R9" s="37">
        <f>IF(Q9&lt;=0,0,(Q9/SQRT(Q9^2+(P9-P8)^2)))</f>
        <v>1</v>
      </c>
      <c r="S9" s="250">
        <v>11273391.460000001</v>
      </c>
      <c r="T9" s="37">
        <f t="shared" si="6"/>
        <v>271.06000000052154</v>
      </c>
      <c r="U9" s="250">
        <v>1523792.57</v>
      </c>
      <c r="V9" s="37">
        <f t="shared" si="7"/>
        <v>0</v>
      </c>
      <c r="W9" s="250">
        <v>4770.3</v>
      </c>
      <c r="X9" s="37">
        <f>Q9-T9-V9-AB9</f>
        <v>17628.939999999478</v>
      </c>
      <c r="Y9" s="183"/>
      <c r="Z9" s="183"/>
      <c r="AA9" s="250">
        <v>871200</v>
      </c>
      <c r="AB9" s="37">
        <f t="shared" si="8"/>
        <v>100</v>
      </c>
      <c r="AC9" s="250">
        <v>4943.6000000000004</v>
      </c>
      <c r="AD9" s="37"/>
      <c r="AE9" s="37">
        <f t="shared" si="9"/>
        <v>5800.0000000001819</v>
      </c>
      <c r="AF9" s="37">
        <f>IF(AE9&lt;=0,0,(AE9/SQRT(AE9^2+(AD9-AD8)^2)))</f>
        <v>1</v>
      </c>
      <c r="AG9" s="250">
        <v>10746.8</v>
      </c>
      <c r="AH9" s="37"/>
      <c r="AI9" s="37">
        <f t="shared" si="10"/>
        <v>13077.089999998545</v>
      </c>
      <c r="AJ9" s="37">
        <f t="shared" si="11"/>
        <v>1</v>
      </c>
      <c r="AK9" s="37">
        <f t="shared" si="12"/>
        <v>36777.08999999873</v>
      </c>
      <c r="AL9" s="250">
        <v>12364.5</v>
      </c>
      <c r="AM9" s="42"/>
      <c r="AN9" s="37">
        <f t="shared" ref="AN9:AN37" si="77">IF((AL9-AL8)&lt;=0,0,(AL9-AL8))*1000+GX9-BL9-BN9-BP9-BR9</f>
        <v>6907.0900000006595</v>
      </c>
      <c r="AO9" s="37">
        <f>IF(AN9&lt;=0,0,(AN9/SQRT(AN9^2+(AM9-AM8)^2)))</f>
        <v>1</v>
      </c>
      <c r="AP9" s="250">
        <v>9781.5</v>
      </c>
      <c r="AQ9" s="37"/>
      <c r="AR9" s="37">
        <f t="shared" si="13"/>
        <v>13100.000000000364</v>
      </c>
      <c r="AS9" s="37">
        <f>IF(AR9&lt;=0,0,(AR9/SQRT(AR9^2+(AQ9-AQ8)^2)))</f>
        <v>1</v>
      </c>
      <c r="AT9" s="183"/>
      <c r="AU9" s="183"/>
      <c r="AV9" s="183"/>
      <c r="AW9" s="183"/>
      <c r="AX9" s="250">
        <v>538090</v>
      </c>
      <c r="AY9" s="37"/>
      <c r="AZ9" s="37">
        <f t="shared" si="14"/>
        <v>410</v>
      </c>
      <c r="BA9" s="250">
        <v>228620</v>
      </c>
      <c r="BB9" s="37"/>
      <c r="BC9" s="37">
        <f t="shared" si="15"/>
        <v>670</v>
      </c>
      <c r="BD9" s="37">
        <f>AN9+AR9+AZ9+BC9</f>
        <v>21087.090000001022</v>
      </c>
      <c r="BE9" s="250">
        <v>2130.8000000000002</v>
      </c>
      <c r="BF9" s="250">
        <v>1200.4000000000001</v>
      </c>
      <c r="BG9" s="37">
        <f t="shared" si="16"/>
        <v>1600.0000000003638</v>
      </c>
      <c r="BH9" s="250">
        <v>10116</v>
      </c>
      <c r="BI9" s="250">
        <v>6540.1</v>
      </c>
      <c r="BJ9" s="37">
        <f t="shared" si="17"/>
        <v>9000</v>
      </c>
      <c r="BK9" s="250">
        <v>2116140</v>
      </c>
      <c r="BL9" s="40">
        <f>IF((BK9-BK8)&lt;=0,0,(BK9-BK8))</f>
        <v>3970</v>
      </c>
      <c r="BM9" s="250">
        <v>958.78</v>
      </c>
      <c r="BN9" s="37">
        <f t="shared" si="18"/>
        <v>600.00000000002274</v>
      </c>
      <c r="BO9" s="186"/>
      <c r="BP9" s="183">
        <f t="shared" si="19"/>
        <v>0</v>
      </c>
      <c r="BQ9" s="250">
        <v>904.7</v>
      </c>
      <c r="BR9" s="37">
        <f t="shared" ref="BR9:BR36" si="78">IF((BQ9-BQ8)&lt;=0,0,(BQ9-BQ8))*1000</f>
        <v>700.00000000004547</v>
      </c>
      <c r="BS9" s="250">
        <v>126213.73</v>
      </c>
      <c r="BT9" s="37">
        <f t="shared" si="20"/>
        <v>201.92999999999302</v>
      </c>
      <c r="BU9" s="250">
        <v>3761863</v>
      </c>
      <c r="BV9" s="42"/>
      <c r="BW9" s="37">
        <f t="shared" si="21"/>
        <v>4138</v>
      </c>
      <c r="BX9" s="37">
        <f>IF(BW9&lt;=0,0,(BW9/SQRT(BW9^2+(BV9-BV8)^2)))</f>
        <v>1</v>
      </c>
      <c r="BY9" s="250">
        <v>433.17529999999999</v>
      </c>
      <c r="BZ9" s="43"/>
      <c r="CA9" s="37">
        <f t="shared" si="22"/>
        <v>496.39999999999418</v>
      </c>
      <c r="CB9" s="37">
        <f t="shared" ref="CB9:CB36" si="79">IF(CA9&lt;=0,0,(CA9/SQRT(CA9^2+(BZ9-BZ8)^2)))</f>
        <v>1</v>
      </c>
      <c r="CC9" s="250">
        <v>838722.3</v>
      </c>
      <c r="CD9" s="37">
        <f t="shared" si="23"/>
        <v>0</v>
      </c>
      <c r="CE9" s="250">
        <v>1923220</v>
      </c>
      <c r="CF9" s="37">
        <f t="shared" si="24"/>
        <v>3975</v>
      </c>
      <c r="CG9" s="250">
        <v>122633</v>
      </c>
      <c r="CH9" s="37">
        <f t="shared" ref="CH9:CH36" si="80">IF((CG9-CG8)&lt;=0,0,(CG9-CG8))</f>
        <v>0</v>
      </c>
      <c r="CI9" s="250">
        <v>14890.65</v>
      </c>
      <c r="CJ9" s="40"/>
      <c r="CK9" s="37">
        <f t="shared" ref="CK9:CK35" si="81">IF((CI9-CI8)*1000&lt;=0,0,(CI9-CI8)*1000)+GX9-CA9</f>
        <v>14500.690000000443</v>
      </c>
      <c r="CL9" s="37">
        <f t="shared" si="25"/>
        <v>1</v>
      </c>
      <c r="CM9" s="250">
        <v>4441.7420000000002</v>
      </c>
      <c r="CN9" s="37"/>
      <c r="CO9" s="37">
        <f t="shared" si="26"/>
        <v>7117.0900000003276</v>
      </c>
      <c r="CP9" s="37">
        <f>IF(CO9&lt;=0,0,(CO9/SQRT(CO9^2+(CN9-CN8)^2)))</f>
        <v>1</v>
      </c>
      <c r="CQ9" s="250">
        <v>966147.7</v>
      </c>
      <c r="CR9" s="45"/>
      <c r="CS9" s="37">
        <f t="shared" ref="CS9:CS36" si="82">IF((CQ9-CQ8)&lt;=0,0,(CQ9-CQ8))+GX9</f>
        <v>7288.7899999999536</v>
      </c>
      <c r="CT9" s="37">
        <f t="shared" ref="CT9:CT36" si="83">IF(CS9&lt;=0,0,(CS9/SQRT(CS9^2+(CR9-CR8)^2)))</f>
        <v>1</v>
      </c>
      <c r="CU9" s="250">
        <v>4986431</v>
      </c>
      <c r="CV9" s="37"/>
      <c r="CW9" s="38">
        <f t="shared" si="27"/>
        <v>737</v>
      </c>
      <c r="CX9" s="37">
        <f>IF(CW9&lt;=0,0,(CW9/SQRT(CW9^2+(CV9-CV8)^2)))</f>
        <v>1</v>
      </c>
      <c r="CY9" s="250">
        <v>2675376</v>
      </c>
      <c r="CZ9" s="37"/>
      <c r="DA9" s="37">
        <f t="shared" si="28"/>
        <v>510</v>
      </c>
      <c r="DB9" s="37">
        <f>IF(DA9&lt;=0,0,(DA9/SQRT(DA9^2+(CZ9-CZ8)^2)))</f>
        <v>1</v>
      </c>
      <c r="DC9" s="37"/>
      <c r="DD9" s="40"/>
      <c r="DE9" s="37">
        <f t="shared" si="29"/>
        <v>0</v>
      </c>
      <c r="DF9" s="37">
        <f>IF(DE9&lt;=0,0,(DE9/SQRT(DE9^2+(DD9-DD8)^2)))</f>
        <v>0</v>
      </c>
      <c r="DG9" s="37">
        <f t="shared" si="30"/>
        <v>-34291.57000000072</v>
      </c>
      <c r="DH9" s="37">
        <f t="shared" si="31"/>
        <v>172377.08999999909</v>
      </c>
      <c r="DI9" s="46"/>
      <c r="DJ9" s="46"/>
      <c r="DK9" s="47"/>
      <c r="DL9" s="47"/>
      <c r="DM9" s="37"/>
      <c r="DN9" s="37"/>
      <c r="DO9" s="37"/>
      <c r="DP9" s="37"/>
      <c r="DQ9" s="250">
        <v>4747700</v>
      </c>
      <c r="DR9" s="49">
        <f t="shared" ref="DR9:DR36" si="84">IF((DQ9-DQ8)&lt;=0,0,(DQ9-DQ8))</f>
        <v>8000</v>
      </c>
      <c r="DS9" s="250">
        <v>6586500</v>
      </c>
      <c r="DT9" s="49">
        <f t="shared" ref="DT9:DT36" si="85">IF((DS9-DS8)&lt;=0,0,(DS9-DS8))</f>
        <v>25600</v>
      </c>
      <c r="DU9" s="250">
        <v>8476.7000000000007</v>
      </c>
      <c r="DV9" s="250">
        <v>4770.8999999999996</v>
      </c>
      <c r="DW9" s="37">
        <f>IF((DU9-DU8)*1000&lt;=0,0,(DU9-DU8)*1000)</f>
        <v>4600.0000000003638</v>
      </c>
      <c r="DX9" s="250">
        <v>14034</v>
      </c>
      <c r="DY9" s="250">
        <v>8783.1</v>
      </c>
      <c r="DZ9" s="37">
        <f t="shared" si="32"/>
        <v>8477.09</v>
      </c>
      <c r="EA9" s="250">
        <v>32630</v>
      </c>
      <c r="EB9" s="250">
        <v>22.26</v>
      </c>
      <c r="EC9" s="37">
        <f t="shared" si="33"/>
        <v>27637.09</v>
      </c>
      <c r="ED9" s="53">
        <f t="shared" si="34"/>
        <v>40714.180000000364</v>
      </c>
      <c r="EE9" s="250">
        <v>49023</v>
      </c>
      <c r="EF9" s="250">
        <v>32.347999999999999</v>
      </c>
      <c r="EG9" s="37">
        <f t="shared" si="35"/>
        <v>33637.089999999997</v>
      </c>
      <c r="EH9" s="250">
        <v>14533</v>
      </c>
      <c r="EI9" s="250">
        <v>2.1629</v>
      </c>
      <c r="EJ9" s="37">
        <f t="shared" si="36"/>
        <v>10477.09</v>
      </c>
      <c r="EK9" s="250">
        <v>886.45</v>
      </c>
      <c r="EL9" s="250">
        <v>1269.0999999999999</v>
      </c>
      <c r="EM9" s="37">
        <f t="shared" ref="EM9:EM36" si="86">IF((EK9-EK8)&lt;=0,0,(EK9-EK8))*1000</f>
        <v>690.00000000005457</v>
      </c>
      <c r="EN9" s="54">
        <f t="shared" ref="EN9:EN36" si="87">EG9+EJ9+EM9</f>
        <v>44804.180000000051</v>
      </c>
      <c r="EO9" s="250">
        <v>13998</v>
      </c>
      <c r="EP9" s="48"/>
      <c r="EQ9" s="37">
        <f>IF((EO9-EO8)*1000&lt;=0,0,(EO9-EO8)*1000)+GX9-FU46+FV46</f>
        <v>7077.0899999999656</v>
      </c>
      <c r="ER9" s="250">
        <v>11472</v>
      </c>
      <c r="ES9" s="48"/>
      <c r="ET9" s="49">
        <f t="shared" si="37"/>
        <v>10000</v>
      </c>
      <c r="EU9" s="250">
        <v>4833.2</v>
      </c>
      <c r="EV9" s="48"/>
      <c r="EW9" s="49">
        <f t="shared" si="38"/>
        <v>12377.089999999636</v>
      </c>
      <c r="EX9" s="250">
        <v>15000</v>
      </c>
      <c r="EY9" s="48"/>
      <c r="EZ9" s="37">
        <f t="shared" si="39"/>
        <v>11477.09</v>
      </c>
      <c r="FA9" s="48">
        <f t="shared" ref="FA9:FA36" si="88">FC9-EQ9-ET9-EW9-EZ9</f>
        <v>-20750.269999999604</v>
      </c>
      <c r="FB9" s="250">
        <v>39492431</v>
      </c>
      <c r="FC9" s="49">
        <f>IF((FB9-FB8)&lt;=0,0,(FB9-FB8))</f>
        <v>20181</v>
      </c>
      <c r="FD9" s="48">
        <f t="shared" ref="FD9:FD36" si="89">EQ9+ET9+EW9+EZ9+GJ9</f>
        <v>42641.269999999604</v>
      </c>
      <c r="FE9" s="250">
        <v>18175</v>
      </c>
      <c r="FF9" s="48"/>
      <c r="FG9" s="37">
        <f t="shared" si="40"/>
        <v>2877.0900000000338</v>
      </c>
      <c r="FH9" s="250">
        <v>10945</v>
      </c>
      <c r="FI9" s="48"/>
      <c r="FJ9" s="49">
        <f t="shared" si="41"/>
        <v>1377.0899999996361</v>
      </c>
      <c r="FK9" s="48"/>
      <c r="FL9" s="58"/>
      <c r="FM9" s="48">
        <f>FT9/3</f>
        <v>-1577.0899999998901</v>
      </c>
      <c r="FN9" s="250">
        <v>18115</v>
      </c>
      <c r="FO9" s="48"/>
      <c r="FP9" s="37">
        <f t="shared" ref="FP9:FP36" si="90">IF((FN9-FN8)*1000&lt;=0,0,(FN9-FN8)*1000)+FL9+GX9</f>
        <v>1477.09</v>
      </c>
      <c r="FQ9" s="250">
        <v>63704</v>
      </c>
      <c r="FR9" s="48"/>
      <c r="FS9" s="37">
        <f t="shared" si="42"/>
        <v>1000</v>
      </c>
      <c r="FT9" s="48">
        <f>FS9-FG9-FJ9-FP9</f>
        <v>-4731.2699999996703</v>
      </c>
      <c r="FU9" s="48">
        <f>FG9+FJ9+FP9+GM9</f>
        <v>5731.2699999996703</v>
      </c>
      <c r="FV9" s="250">
        <v>7378300</v>
      </c>
      <c r="FW9" s="44"/>
      <c r="FX9" s="37">
        <f t="shared" si="43"/>
        <v>19700</v>
      </c>
      <c r="FY9" s="250">
        <v>268100</v>
      </c>
      <c r="FZ9" s="56"/>
      <c r="GA9" s="37">
        <f t="shared" si="44"/>
        <v>6500</v>
      </c>
      <c r="GB9" s="250">
        <v>912.08</v>
      </c>
      <c r="GC9" s="56"/>
      <c r="GD9" s="37">
        <f t="shared" si="45"/>
        <v>870.00000000000455</v>
      </c>
      <c r="GE9" s="250">
        <v>11190</v>
      </c>
      <c r="GF9" s="56"/>
      <c r="GG9" s="37">
        <f t="shared" si="46"/>
        <v>7290</v>
      </c>
      <c r="GH9" s="250">
        <v>120080</v>
      </c>
      <c r="GI9" s="56"/>
      <c r="GJ9" s="38">
        <f t="shared" ref="GJ9:GJ36" si="91">IF((GH9-GH8)&lt;=0,0,(GH9-GH8))</f>
        <v>1710</v>
      </c>
      <c r="GK9" s="250">
        <v>1533.9</v>
      </c>
      <c r="GL9" s="44"/>
      <c r="GM9" s="38">
        <f t="shared" si="47"/>
        <v>0</v>
      </c>
      <c r="GN9" s="250">
        <v>244200</v>
      </c>
      <c r="GO9" s="57"/>
      <c r="GP9" s="38">
        <f t="shared" si="48"/>
        <v>0</v>
      </c>
      <c r="GQ9" s="250">
        <v>305550</v>
      </c>
      <c r="GR9" s="38"/>
      <c r="GS9" s="38">
        <f t="shared" ref="GS9:GS36" si="92">IF((GQ9-GQ8)&lt;=0,0,(GQ9-GQ8))</f>
        <v>0</v>
      </c>
      <c r="GT9" s="247"/>
      <c r="GU9" s="144">
        <f>DailyOct!B8-DailyOct!N8-DailyOct!V8-DailyOct!Y8-DailyOct!Z8-DailyOct!AA8-DailyOct!AB8-DailyOct!AC8-DailyOct!AD8-DailyOct!AE8-DailyOct!AK8-DailyOct!AO8-DailyOct!AS8-DailyOct!AY8-DailyOct!BD8+DailyOct!BU8-DailyOct!BG8-DailyOct!BT8-DailyOct!AF8-DailyOct!AG8</f>
        <v>-4.999998229322955E-2</v>
      </c>
      <c r="GV9" s="261">
        <v>7156.3</v>
      </c>
      <c r="GW9" s="60">
        <f t="shared" si="0"/>
        <v>477.0866666666667</v>
      </c>
      <c r="GX9" s="260">
        <v>477.09</v>
      </c>
      <c r="GY9" s="140"/>
      <c r="GZ9" s="528"/>
      <c r="HA9" s="528"/>
      <c r="HB9" s="528"/>
      <c r="HC9" s="528"/>
      <c r="HD9" s="74"/>
      <c r="HE9" s="24">
        <f t="shared" si="49"/>
        <v>0</v>
      </c>
      <c r="HG9" s="279">
        <v>3</v>
      </c>
      <c r="HH9" s="292">
        <v>30135</v>
      </c>
      <c r="HI9" s="292">
        <v>11457</v>
      </c>
      <c r="HJ9" s="61">
        <f t="shared" si="50"/>
        <v>173000</v>
      </c>
      <c r="HK9" s="260">
        <v>2.1432000000000002</v>
      </c>
      <c r="HL9" s="292">
        <v>807.23</v>
      </c>
      <c r="HM9" s="61">
        <f t="shared" si="51"/>
        <v>0</v>
      </c>
      <c r="HN9" s="292">
        <v>7633.4</v>
      </c>
      <c r="HO9" s="292">
        <v>32511</v>
      </c>
      <c r="HP9" s="61">
        <f t="shared" si="52"/>
        <v>41824.999999999818</v>
      </c>
      <c r="HQ9" s="292">
        <v>5246.9</v>
      </c>
      <c r="HR9" s="292">
        <v>2204</v>
      </c>
      <c r="HS9" s="61">
        <f t="shared" si="53"/>
        <v>23924.999999999272</v>
      </c>
      <c r="HT9" s="292">
        <v>5192.5</v>
      </c>
      <c r="HU9" s="292">
        <v>1869</v>
      </c>
      <c r="HV9" s="61">
        <f t="shared" si="54"/>
        <v>26225.000000000364</v>
      </c>
      <c r="HW9" s="292">
        <v>3839.5</v>
      </c>
      <c r="HX9" s="292">
        <v>1636.4</v>
      </c>
      <c r="HY9" s="61">
        <f t="shared" si="55"/>
        <v>25224.999999999909</v>
      </c>
      <c r="HZ9" s="260">
        <v>3167700</v>
      </c>
      <c r="IA9" s="260">
        <v>13689</v>
      </c>
      <c r="IB9" s="61">
        <f t="shared" si="56"/>
        <v>30200</v>
      </c>
      <c r="IC9" s="292">
        <v>719.8</v>
      </c>
      <c r="ID9" s="292">
        <v>232.78</v>
      </c>
      <c r="IE9" s="61">
        <f>IF((IC9-IC8)&lt;=0,0,(IC9-IC8))</f>
        <v>0</v>
      </c>
      <c r="IF9" s="61"/>
      <c r="IG9" s="61"/>
      <c r="IH9" s="280">
        <f t="shared" si="57"/>
        <v>25600</v>
      </c>
      <c r="II9" s="281">
        <f t="shared" si="58"/>
        <v>6.3300831243395805E-10</v>
      </c>
      <c r="IJ9" s="345"/>
      <c r="IK9" s="345"/>
      <c r="IL9" s="347">
        <f t="shared" si="59"/>
        <v>0</v>
      </c>
      <c r="IM9" s="347"/>
      <c r="IN9" s="347"/>
      <c r="IO9" s="347">
        <f t="shared" si="60"/>
        <v>0</v>
      </c>
      <c r="IP9" s="347"/>
      <c r="IQ9" s="347"/>
      <c r="IR9" s="347">
        <f t="shared" si="61"/>
        <v>0</v>
      </c>
      <c r="IS9" s="347"/>
      <c r="IT9" s="347"/>
      <c r="IU9" s="347">
        <f t="shared" si="62"/>
        <v>0</v>
      </c>
      <c r="IV9" s="347"/>
      <c r="IW9" s="347"/>
      <c r="IX9" s="347">
        <f t="shared" si="63"/>
        <v>0</v>
      </c>
      <c r="IY9" s="347"/>
      <c r="IZ9" s="347"/>
      <c r="JA9" s="347">
        <f t="shared" si="64"/>
        <v>0</v>
      </c>
      <c r="JB9" s="347"/>
      <c r="JC9" s="347"/>
      <c r="JD9" s="347">
        <f t="shared" si="65"/>
        <v>0</v>
      </c>
      <c r="JE9" s="347"/>
      <c r="JF9" s="347"/>
      <c r="JG9" s="347">
        <f t="shared" si="66"/>
        <v>0</v>
      </c>
      <c r="JH9" s="347"/>
      <c r="JI9" s="347"/>
      <c r="JJ9" s="347">
        <f t="shared" si="67"/>
        <v>0</v>
      </c>
      <c r="JK9" s="347"/>
      <c r="JL9" s="347"/>
      <c r="JM9" s="347">
        <f t="shared" si="68"/>
        <v>0</v>
      </c>
      <c r="JN9" s="347"/>
      <c r="JO9" s="347"/>
      <c r="JP9" s="347">
        <f t="shared" si="69"/>
        <v>0</v>
      </c>
      <c r="JQ9" s="347"/>
      <c r="JR9" s="347"/>
      <c r="JS9" s="347">
        <f t="shared" si="70"/>
        <v>0</v>
      </c>
      <c r="JT9" s="347"/>
      <c r="JU9" s="347"/>
      <c r="JV9" s="347">
        <f t="shared" si="71"/>
        <v>0</v>
      </c>
      <c r="JW9" s="347"/>
      <c r="JX9" s="347"/>
      <c r="JY9" s="347">
        <f t="shared" si="72"/>
        <v>0</v>
      </c>
      <c r="JZ9" s="347"/>
      <c r="KA9" s="347"/>
      <c r="KB9" s="347">
        <f t="shared" si="73"/>
        <v>0</v>
      </c>
      <c r="KC9" s="347"/>
      <c r="KD9" s="347"/>
      <c r="KE9" s="347">
        <f t="shared" si="74"/>
        <v>0</v>
      </c>
      <c r="KG9" s="151">
        <f t="shared" si="75"/>
        <v>72025.000000000451</v>
      </c>
    </row>
    <row r="10" spans="1:293" x14ac:dyDescent="0.25">
      <c r="A10" s="35">
        <f t="shared" si="76"/>
        <v>4</v>
      </c>
      <c r="B10" s="250">
        <v>5746.02</v>
      </c>
      <c r="C10" s="38">
        <f t="shared" si="1"/>
        <v>9.8800000000001091</v>
      </c>
      <c r="D10" s="38">
        <f t="shared" si="2"/>
        <v>316160.00000000349</v>
      </c>
      <c r="E10" s="250">
        <v>1151.94</v>
      </c>
      <c r="F10" s="38">
        <f t="shared" si="3"/>
        <v>61440.000000002328</v>
      </c>
      <c r="G10" s="38">
        <f t="shared" si="4"/>
        <v>377600.00000000582</v>
      </c>
      <c r="H10" s="37"/>
      <c r="I10" s="39"/>
      <c r="J10" s="42"/>
      <c r="K10" s="37">
        <f t="shared" ref="K10:K34" si="93">IF(J10&lt;=0,0,(J10/SQRT(J10^2+(I10-I9)^2)))</f>
        <v>0</v>
      </c>
      <c r="L10" s="250">
        <v>18677700</v>
      </c>
      <c r="M10" s="40"/>
      <c r="N10" s="37">
        <f t="shared" ref="N10:N37" si="94">IF((L10-L9)&lt;=0,0,(L10-L9)*10)</f>
        <v>602000</v>
      </c>
      <c r="O10" s="250">
        <v>13329.1</v>
      </c>
      <c r="P10" s="37"/>
      <c r="Q10" s="37">
        <f t="shared" si="5"/>
        <v>17100.000000000364</v>
      </c>
      <c r="R10" s="37">
        <f t="shared" ref="R10:R34" si="95">IF(Q10&lt;=0,0,(Q10/SQRT(Q10^2+(P10-P9)^2)))</f>
        <v>1</v>
      </c>
      <c r="S10" s="250">
        <v>11273668.41</v>
      </c>
      <c r="T10" s="37">
        <f t="shared" si="6"/>
        <v>276.94999999925494</v>
      </c>
      <c r="U10" s="250">
        <v>1523792.57</v>
      </c>
      <c r="V10" s="37">
        <f t="shared" si="7"/>
        <v>0</v>
      </c>
      <c r="W10" s="250">
        <v>4776.3</v>
      </c>
      <c r="X10" s="37">
        <f>Q10-T10-V10-AB10</f>
        <v>16623.050000001109</v>
      </c>
      <c r="Y10" s="183"/>
      <c r="Z10" s="183"/>
      <c r="AA10" s="250">
        <v>871400</v>
      </c>
      <c r="AB10" s="37">
        <f t="shared" si="8"/>
        <v>200</v>
      </c>
      <c r="AC10" s="250">
        <v>4948</v>
      </c>
      <c r="AD10" s="37"/>
      <c r="AE10" s="37">
        <f t="shared" si="9"/>
        <v>4399.9999999996362</v>
      </c>
      <c r="AF10" s="37">
        <f t="shared" ref="AF10:AF34" si="96">IF(AE10&lt;=0,0,(AE10/SQRT(AE10^2+(AD10-AD9)^2)))</f>
        <v>1</v>
      </c>
      <c r="AG10" s="250">
        <v>10758</v>
      </c>
      <c r="AH10" s="37"/>
      <c r="AI10" s="37">
        <f t="shared" si="10"/>
        <v>11386.110000000728</v>
      </c>
      <c r="AJ10" s="37">
        <f t="shared" si="11"/>
        <v>1</v>
      </c>
      <c r="AK10" s="37">
        <f t="shared" si="12"/>
        <v>32686.110000000728</v>
      </c>
      <c r="AL10" s="250">
        <v>12377.3</v>
      </c>
      <c r="AM10" s="42"/>
      <c r="AN10" s="37">
        <f t="shared" si="77"/>
        <v>7256.1099999992321</v>
      </c>
      <c r="AO10" s="37">
        <f t="shared" ref="AO10:AO34" si="97">IF(AN10&lt;=0,0,(AN10/SQRT(AN10^2+(AM10-AM9)^2)))</f>
        <v>1</v>
      </c>
      <c r="AP10" s="250">
        <v>9795.5</v>
      </c>
      <c r="AQ10" s="37"/>
      <c r="AR10" s="37">
        <f t="shared" si="13"/>
        <v>14000</v>
      </c>
      <c r="AS10" s="37">
        <f t="shared" ref="AS10:AS34" si="98">IF(AR10&lt;=0,0,(AR10/SQRT(AR10^2+(AQ10-AQ9)^2)))</f>
        <v>1</v>
      </c>
      <c r="AT10" s="183"/>
      <c r="AU10" s="183"/>
      <c r="AV10" s="183"/>
      <c r="AW10" s="183"/>
      <c r="AX10" s="250">
        <v>538520</v>
      </c>
      <c r="AY10" s="37"/>
      <c r="AZ10" s="37">
        <f t="shared" si="14"/>
        <v>430</v>
      </c>
      <c r="BA10" s="250">
        <v>229330</v>
      </c>
      <c r="BB10" s="37"/>
      <c r="BC10" s="37">
        <f t="shared" si="15"/>
        <v>710</v>
      </c>
      <c r="BD10" s="37">
        <f t="shared" ref="BD10:BD34" si="99">AN10+AR10+AZ10+BC10</f>
        <v>22396.109999999233</v>
      </c>
      <c r="BE10" s="250">
        <v>2132.3000000000002</v>
      </c>
      <c r="BF10" s="250">
        <v>1201.4000000000001</v>
      </c>
      <c r="BG10" s="37">
        <f t="shared" si="16"/>
        <v>1500</v>
      </c>
      <c r="BH10" s="250">
        <v>10125</v>
      </c>
      <c r="BI10" s="250">
        <v>6546</v>
      </c>
      <c r="BJ10" s="37">
        <f t="shared" si="17"/>
        <v>9000</v>
      </c>
      <c r="BK10" s="250">
        <v>2120290</v>
      </c>
      <c r="BL10" s="40">
        <f t="shared" ref="BL10:BL37" si="100">IF((BK10-BK9)&lt;=0,0,(BK10-BK9))</f>
        <v>4150</v>
      </c>
      <c r="BM10" s="250">
        <v>959.46</v>
      </c>
      <c r="BN10" s="37">
        <f t="shared" si="18"/>
        <v>680.00000000006366</v>
      </c>
      <c r="BO10" s="186"/>
      <c r="BP10" s="183">
        <f t="shared" si="19"/>
        <v>0</v>
      </c>
      <c r="BQ10" s="250">
        <v>905.6</v>
      </c>
      <c r="BR10" s="37">
        <f t="shared" si="78"/>
        <v>899.99999999997726</v>
      </c>
      <c r="BS10" s="250">
        <v>126420.51</v>
      </c>
      <c r="BT10" s="37">
        <f t="shared" si="20"/>
        <v>206.77999999999884</v>
      </c>
      <c r="BU10" s="250">
        <v>3766490</v>
      </c>
      <c r="BV10" s="42"/>
      <c r="BW10" s="37">
        <f t="shared" si="21"/>
        <v>4627</v>
      </c>
      <c r="BX10" s="37">
        <f t="shared" ref="BX10:BX33" si="101">IF(BW10&lt;=0,0,(BW10/SQRT(BW10^2+(BV10-BV9)^2)))</f>
        <v>1</v>
      </c>
      <c r="BY10" s="250">
        <v>434.04559999999998</v>
      </c>
      <c r="BZ10" s="43"/>
      <c r="CA10" s="37">
        <f t="shared" si="22"/>
        <v>870.29999999998608</v>
      </c>
      <c r="CB10" s="37">
        <f t="shared" si="79"/>
        <v>1</v>
      </c>
      <c r="CC10" s="250">
        <v>838722.3</v>
      </c>
      <c r="CD10" s="37">
        <f t="shared" si="23"/>
        <v>0</v>
      </c>
      <c r="CE10" s="250">
        <v>1927717</v>
      </c>
      <c r="CF10" s="37">
        <f t="shared" si="24"/>
        <v>4497</v>
      </c>
      <c r="CG10" s="250">
        <v>122633</v>
      </c>
      <c r="CH10" s="37">
        <f t="shared" si="80"/>
        <v>0</v>
      </c>
      <c r="CI10" s="250">
        <v>14906.98</v>
      </c>
      <c r="CJ10" s="40"/>
      <c r="CK10" s="37">
        <f t="shared" si="81"/>
        <v>15645.809999999941</v>
      </c>
      <c r="CL10" s="37">
        <f t="shared" si="25"/>
        <v>1</v>
      </c>
      <c r="CM10" s="250">
        <v>4449.2460000000001</v>
      </c>
      <c r="CN10" s="37"/>
      <c r="CO10" s="37">
        <f t="shared" si="26"/>
        <v>7690.1099999999051</v>
      </c>
      <c r="CP10" s="37">
        <f t="shared" ref="CP10:CP34" si="102">IF(CO10&lt;=0,0,(CO10/SQRT(CO10^2+(CN10-CN9)^2)))</f>
        <v>1</v>
      </c>
      <c r="CQ10" s="250">
        <v>973333.1</v>
      </c>
      <c r="CR10" s="45"/>
      <c r="CS10" s="37">
        <f t="shared" si="82"/>
        <v>7371.510000000023</v>
      </c>
      <c r="CT10" s="37">
        <f t="shared" si="83"/>
        <v>1</v>
      </c>
      <c r="CU10" s="250">
        <v>4987247</v>
      </c>
      <c r="CV10" s="37"/>
      <c r="CW10" s="38">
        <f t="shared" si="27"/>
        <v>816</v>
      </c>
      <c r="CX10" s="37">
        <f t="shared" ref="CX10:CX36" si="103">IF(CW10&lt;=0,0,(CW10/SQRT(CW10^2+(CV10-CV9)^2)))</f>
        <v>1</v>
      </c>
      <c r="CY10" s="250">
        <v>2675912</v>
      </c>
      <c r="CZ10" s="37"/>
      <c r="DA10" s="37">
        <f t="shared" si="28"/>
        <v>536</v>
      </c>
      <c r="DB10" s="37">
        <f t="shared" ref="DB10:DB34" si="104">IF(DA10&lt;=0,0,(DA10/SQRT(DA10^2+(CZ10-CZ9)^2)))</f>
        <v>1</v>
      </c>
      <c r="DC10" s="37"/>
      <c r="DD10" s="40"/>
      <c r="DE10" s="37">
        <f t="shared" si="29"/>
        <v>0</v>
      </c>
      <c r="DF10" s="37">
        <f>IF(DE10&lt;=0,0,(DE10/SQRT(DE10^2+(DD10-DD9)^2)))</f>
        <v>0</v>
      </c>
      <c r="DG10" s="37">
        <f t="shared" si="30"/>
        <v>-36686.429999999869</v>
      </c>
      <c r="DH10" s="37">
        <f t="shared" si="31"/>
        <v>636186.11000000068</v>
      </c>
      <c r="DI10" s="46"/>
      <c r="DJ10" s="46"/>
      <c r="DK10" s="47"/>
      <c r="DL10" s="47"/>
      <c r="DM10" s="37"/>
      <c r="DN10" s="37"/>
      <c r="DO10" s="37"/>
      <c r="DP10" s="37"/>
      <c r="DQ10" s="250">
        <v>4755000</v>
      </c>
      <c r="DR10" s="49">
        <f t="shared" si="84"/>
        <v>7300</v>
      </c>
      <c r="DS10" s="250">
        <v>6612200</v>
      </c>
      <c r="DT10" s="49">
        <f t="shared" si="85"/>
        <v>25700</v>
      </c>
      <c r="DU10" s="250">
        <v>8481.2999999999993</v>
      </c>
      <c r="DV10" s="250">
        <v>4772.2</v>
      </c>
      <c r="DW10" s="37">
        <f t="shared" ref="DW10:DW36" si="105">IF((DU10-DU9)*1000&lt;=0,0,(DU10-DU9)*1000)</f>
        <v>4599.9999999985448</v>
      </c>
      <c r="DX10" s="250">
        <v>14042</v>
      </c>
      <c r="DY10" s="250">
        <v>8788.2999999999993</v>
      </c>
      <c r="DZ10" s="37">
        <f t="shared" si="32"/>
        <v>8186.11</v>
      </c>
      <c r="EA10" s="250">
        <v>32654</v>
      </c>
      <c r="EB10" s="250">
        <v>22.271999999999998</v>
      </c>
      <c r="EC10" s="37">
        <f t="shared" si="33"/>
        <v>26346.11</v>
      </c>
      <c r="ED10" s="53">
        <f t="shared" si="34"/>
        <v>39132.219999998546</v>
      </c>
      <c r="EE10" s="250">
        <v>49051</v>
      </c>
      <c r="EF10" s="250">
        <v>32.369</v>
      </c>
      <c r="EG10" s="37">
        <f t="shared" si="35"/>
        <v>30346.11</v>
      </c>
      <c r="EH10" s="250">
        <v>14544</v>
      </c>
      <c r="EI10" s="250">
        <v>2.1657000000000002</v>
      </c>
      <c r="EJ10" s="37">
        <f t="shared" si="36"/>
        <v>11186.11</v>
      </c>
      <c r="EK10" s="250">
        <v>887.24</v>
      </c>
      <c r="EL10" s="250">
        <v>1270.2</v>
      </c>
      <c r="EM10" s="37">
        <f t="shared" si="86"/>
        <v>789.99999999996362</v>
      </c>
      <c r="EN10" s="54">
        <f t="shared" si="87"/>
        <v>42322.219999999965</v>
      </c>
      <c r="EO10" s="250">
        <v>14006</v>
      </c>
      <c r="EP10" s="48"/>
      <c r="EQ10" s="37">
        <f>IF((EO10-EO9)*1000&lt;=0,0,(EO10-EO9)*1000)+GX10-FU47+FV47</f>
        <v>6836.1100000000333</v>
      </c>
      <c r="ER10" s="250">
        <v>11486</v>
      </c>
      <c r="ES10" s="48"/>
      <c r="ET10" s="49">
        <f t="shared" si="37"/>
        <v>14000</v>
      </c>
      <c r="EU10" s="250">
        <v>4842.7</v>
      </c>
      <c r="EV10" s="48"/>
      <c r="EW10" s="49">
        <f t="shared" si="38"/>
        <v>9686.11</v>
      </c>
      <c r="EX10" s="250">
        <v>15012</v>
      </c>
      <c r="EY10" s="48"/>
      <c r="EZ10" s="37">
        <f t="shared" si="39"/>
        <v>12186.11</v>
      </c>
      <c r="FA10" s="48">
        <f t="shared" si="88"/>
        <v>-20158.330000000034</v>
      </c>
      <c r="FB10" s="250">
        <v>39514981</v>
      </c>
      <c r="FC10" s="49">
        <f t="shared" ref="FC10:FC35" si="106">IF((FB10-FB9)&lt;=0,0,(FB10-FB9))</f>
        <v>22550</v>
      </c>
      <c r="FD10" s="48">
        <f t="shared" si="89"/>
        <v>43968.330000000031</v>
      </c>
      <c r="FE10" s="250">
        <v>18173</v>
      </c>
      <c r="FF10" s="48"/>
      <c r="FG10" s="37">
        <f t="shared" si="40"/>
        <v>1536.109999999966</v>
      </c>
      <c r="FH10" s="250">
        <v>10945</v>
      </c>
      <c r="FI10" s="48"/>
      <c r="FJ10" s="49">
        <f t="shared" si="41"/>
        <v>186.11</v>
      </c>
      <c r="FK10" s="48"/>
      <c r="FL10" s="58"/>
      <c r="FM10" s="48">
        <f t="shared" ref="FM10:FM36" si="107">FT10/3</f>
        <v>-302.77666666665539</v>
      </c>
      <c r="FN10" s="250">
        <v>18116</v>
      </c>
      <c r="FO10" s="48"/>
      <c r="FP10" s="37">
        <f t="shared" si="90"/>
        <v>1186.1100000000001</v>
      </c>
      <c r="FQ10" s="250">
        <v>63706</v>
      </c>
      <c r="FR10" s="48"/>
      <c r="FS10" s="37">
        <f t="shared" si="42"/>
        <v>2000</v>
      </c>
      <c r="FT10" s="48">
        <f t="shared" ref="FT10:FT36" si="108">FS10-FG10-FJ10-FP10</f>
        <v>-908.32999999996616</v>
      </c>
      <c r="FU10" s="48">
        <f t="shared" ref="FU10:FU36" si="109">FG10+FJ10+FP10+GM10</f>
        <v>2908.3299999999663</v>
      </c>
      <c r="FV10" s="250">
        <v>7410400</v>
      </c>
      <c r="FW10" s="44"/>
      <c r="FX10" s="37">
        <f t="shared" si="43"/>
        <v>32100</v>
      </c>
      <c r="FY10" s="250">
        <v>276100</v>
      </c>
      <c r="FZ10" s="56"/>
      <c r="GA10" s="37">
        <f t="shared" si="44"/>
        <v>8000</v>
      </c>
      <c r="GB10" s="250">
        <v>913.02</v>
      </c>
      <c r="GC10" s="56"/>
      <c r="GD10" s="37">
        <f t="shared" si="45"/>
        <v>939.99999999994088</v>
      </c>
      <c r="GE10" s="250">
        <v>11200</v>
      </c>
      <c r="GF10" s="56"/>
      <c r="GG10" s="37">
        <f t="shared" si="46"/>
        <v>8740</v>
      </c>
      <c r="GH10" s="250">
        <v>121340</v>
      </c>
      <c r="GI10" s="162"/>
      <c r="GJ10" s="38">
        <f t="shared" si="91"/>
        <v>1260</v>
      </c>
      <c r="GK10" s="250">
        <v>1533.9</v>
      </c>
      <c r="GL10" s="163"/>
      <c r="GM10" s="38">
        <f t="shared" si="47"/>
        <v>0</v>
      </c>
      <c r="GN10" s="250">
        <v>244200</v>
      </c>
      <c r="GO10" s="57"/>
      <c r="GP10" s="38">
        <f t="shared" si="48"/>
        <v>0</v>
      </c>
      <c r="GQ10" s="250">
        <v>305740</v>
      </c>
      <c r="GR10" s="38"/>
      <c r="GS10" s="38">
        <f t="shared" si="92"/>
        <v>190</v>
      </c>
      <c r="GT10" s="247"/>
      <c r="GU10" s="144">
        <f>DailyOct!B9-DailyOct!N9-DailyOct!V9-DailyOct!Y9-DailyOct!Z9-DailyOct!AA9-DailyOct!AB9-DailyOct!AC9-DailyOct!AD9-DailyOct!AE9-DailyOct!AK9-DailyOct!AO9-DailyOct!AS9-DailyOct!AY9-DailyOct!BD9+DailyOct!BU9-DailyOct!BG9-DailyOct!BT9-DailyOct!AF9-DailyOct!AG9</f>
        <v>-4.9999992595985532E-2</v>
      </c>
      <c r="GV10" s="261">
        <v>2791.6</v>
      </c>
      <c r="GW10" s="60">
        <f t="shared" si="0"/>
        <v>186.10666666666665</v>
      </c>
      <c r="GX10" s="260">
        <v>186.11</v>
      </c>
      <c r="GY10" s="140"/>
      <c r="GZ10" s="528"/>
      <c r="HA10" s="528"/>
      <c r="HB10" s="528"/>
      <c r="HC10" s="528"/>
      <c r="HD10" s="74"/>
      <c r="HE10" s="24">
        <f t="shared" si="49"/>
        <v>0</v>
      </c>
      <c r="HG10" s="279">
        <v>4</v>
      </c>
      <c r="HH10" s="292">
        <v>30309</v>
      </c>
      <c r="HI10" s="292">
        <v>11521</v>
      </c>
      <c r="HJ10" s="61">
        <f t="shared" si="50"/>
        <v>174000</v>
      </c>
      <c r="HK10" s="260">
        <v>2.1432000000000002</v>
      </c>
      <c r="HL10" s="292">
        <v>807.23</v>
      </c>
      <c r="HM10" s="61">
        <f t="shared" si="51"/>
        <v>0</v>
      </c>
      <c r="HN10" s="292">
        <v>7674.2</v>
      </c>
      <c r="HO10" s="292">
        <v>32683</v>
      </c>
      <c r="HP10" s="61">
        <f t="shared" si="52"/>
        <v>40725.000000000182</v>
      </c>
      <c r="HQ10" s="292">
        <v>5269.2</v>
      </c>
      <c r="HR10" s="292">
        <v>2212.9</v>
      </c>
      <c r="HS10" s="61">
        <f t="shared" si="53"/>
        <v>22225.000000000182</v>
      </c>
      <c r="HT10" s="292">
        <v>5219.7</v>
      </c>
      <c r="HU10" s="292">
        <v>1878</v>
      </c>
      <c r="HV10" s="61">
        <f t="shared" si="54"/>
        <v>27124.999999999818</v>
      </c>
      <c r="HW10" s="292">
        <v>3865.5</v>
      </c>
      <c r="HX10" s="292">
        <v>1646.4</v>
      </c>
      <c r="HY10" s="61">
        <f t="shared" si="55"/>
        <v>25925</v>
      </c>
      <c r="HZ10" s="260">
        <v>3200000</v>
      </c>
      <c r="IA10" s="260">
        <v>13823</v>
      </c>
      <c r="IB10" s="61">
        <f t="shared" si="56"/>
        <v>32300</v>
      </c>
      <c r="IC10" s="292">
        <v>719.8</v>
      </c>
      <c r="ID10" s="292">
        <v>232.78</v>
      </c>
      <c r="IE10" s="61">
        <f>IF((IC10-IC9)&lt;=0,0,(IC10-IC9))</f>
        <v>0</v>
      </c>
      <c r="IF10" s="61"/>
      <c r="IG10" s="61"/>
      <c r="IH10" s="280">
        <f t="shared" si="57"/>
        <v>25700</v>
      </c>
      <c r="II10" s="281">
        <f t="shared" si="58"/>
        <v>-1.8189894035458565E-10</v>
      </c>
      <c r="IJ10" s="345"/>
      <c r="IK10" s="345"/>
      <c r="IL10" s="347">
        <f t="shared" si="59"/>
        <v>0</v>
      </c>
      <c r="IM10" s="347"/>
      <c r="IN10" s="347"/>
      <c r="IO10" s="347">
        <f t="shared" si="60"/>
        <v>0</v>
      </c>
      <c r="IP10" s="347"/>
      <c r="IQ10" s="347"/>
      <c r="IR10" s="347">
        <f t="shared" si="61"/>
        <v>0</v>
      </c>
      <c r="IS10" s="347"/>
      <c r="IT10" s="347"/>
      <c r="IU10" s="347">
        <f t="shared" si="62"/>
        <v>0</v>
      </c>
      <c r="IV10" s="347"/>
      <c r="IW10" s="347"/>
      <c r="IX10" s="347">
        <f t="shared" si="63"/>
        <v>0</v>
      </c>
      <c r="IY10" s="347"/>
      <c r="IZ10" s="347"/>
      <c r="JA10" s="347">
        <f t="shared" si="64"/>
        <v>0</v>
      </c>
      <c r="JB10" s="347"/>
      <c r="JC10" s="347"/>
      <c r="JD10" s="347">
        <f t="shared" si="65"/>
        <v>0</v>
      </c>
      <c r="JE10" s="347"/>
      <c r="JF10" s="347"/>
      <c r="JG10" s="347">
        <f t="shared" si="66"/>
        <v>0</v>
      </c>
      <c r="JH10" s="347"/>
      <c r="JI10" s="347"/>
      <c r="JJ10" s="347">
        <f t="shared" si="67"/>
        <v>0</v>
      </c>
      <c r="JK10" s="347"/>
      <c r="JL10" s="347"/>
      <c r="JM10" s="347">
        <f t="shared" si="68"/>
        <v>0</v>
      </c>
      <c r="JN10" s="347"/>
      <c r="JO10" s="347"/>
      <c r="JP10" s="347">
        <f t="shared" si="69"/>
        <v>0</v>
      </c>
      <c r="JQ10" s="347"/>
      <c r="JR10" s="347"/>
      <c r="JS10" s="347">
        <f t="shared" si="70"/>
        <v>0</v>
      </c>
      <c r="JT10" s="347"/>
      <c r="JU10" s="347"/>
      <c r="JV10" s="347">
        <f t="shared" si="71"/>
        <v>0</v>
      </c>
      <c r="JW10" s="347"/>
      <c r="JX10" s="347"/>
      <c r="JY10" s="347">
        <f t="shared" si="72"/>
        <v>0</v>
      </c>
      <c r="JZ10" s="347"/>
      <c r="KA10" s="347"/>
      <c r="KB10" s="347">
        <f t="shared" si="73"/>
        <v>0</v>
      </c>
      <c r="KC10" s="347"/>
      <c r="KD10" s="347"/>
      <c r="KE10" s="347">
        <f t="shared" si="74"/>
        <v>0</v>
      </c>
      <c r="KG10" s="151">
        <f t="shared" si="75"/>
        <v>73025</v>
      </c>
    </row>
    <row r="11" spans="1:293" x14ac:dyDescent="0.25">
      <c r="A11" s="35">
        <f t="shared" si="76"/>
        <v>5</v>
      </c>
      <c r="B11" s="250">
        <v>5755.79</v>
      </c>
      <c r="C11" s="38">
        <f t="shared" si="1"/>
        <v>9.7699999999995271</v>
      </c>
      <c r="D11" s="38">
        <f t="shared" si="2"/>
        <v>312639.99999998487</v>
      </c>
      <c r="E11" s="250">
        <v>1153.8599999999999</v>
      </c>
      <c r="F11" s="38">
        <f t="shared" si="3"/>
        <v>61439.999999995052</v>
      </c>
      <c r="G11" s="38">
        <f t="shared" si="4"/>
        <v>374079.99999997992</v>
      </c>
      <c r="H11" s="37"/>
      <c r="I11" s="39"/>
      <c r="J11" s="42"/>
      <c r="K11" s="37">
        <f t="shared" si="93"/>
        <v>0</v>
      </c>
      <c r="L11" s="250">
        <v>18715200</v>
      </c>
      <c r="M11" s="40"/>
      <c r="N11" s="37">
        <f t="shared" si="94"/>
        <v>375000</v>
      </c>
      <c r="O11" s="250">
        <v>13346.4</v>
      </c>
      <c r="P11" s="37"/>
      <c r="Q11" s="37">
        <f t="shared" si="5"/>
        <v>17299.999999999272</v>
      </c>
      <c r="R11" s="37">
        <f t="shared" si="95"/>
        <v>1</v>
      </c>
      <c r="S11" s="250">
        <v>11273985.810000001</v>
      </c>
      <c r="T11" s="37">
        <f t="shared" si="6"/>
        <v>317.40000000037253</v>
      </c>
      <c r="U11" s="250">
        <v>1523792.57</v>
      </c>
      <c r="V11" s="37">
        <f t="shared" si="7"/>
        <v>0</v>
      </c>
      <c r="W11" s="250">
        <v>4782.2</v>
      </c>
      <c r="X11" s="37">
        <f t="shared" ref="X11:X37" si="110">Q11-T11-V11-AB11</f>
        <v>16882.5999999989</v>
      </c>
      <c r="Y11" s="183"/>
      <c r="Z11" s="183"/>
      <c r="AA11" s="250">
        <v>871500</v>
      </c>
      <c r="AB11" s="37">
        <f t="shared" si="8"/>
        <v>100</v>
      </c>
      <c r="AC11" s="250">
        <v>4951.1000000000004</v>
      </c>
      <c r="AD11" s="37"/>
      <c r="AE11" s="37">
        <f t="shared" si="9"/>
        <v>3100.0000000003638</v>
      </c>
      <c r="AF11" s="37">
        <f t="shared" si="96"/>
        <v>1</v>
      </c>
      <c r="AG11" s="250">
        <v>10767</v>
      </c>
      <c r="AH11" s="37"/>
      <c r="AI11" s="37">
        <f t="shared" si="10"/>
        <v>8613.2199999999993</v>
      </c>
      <c r="AJ11" s="37">
        <f t="shared" si="11"/>
        <v>1</v>
      </c>
      <c r="AK11" s="37">
        <f t="shared" si="12"/>
        <v>28913.219999999637</v>
      </c>
      <c r="AL11" s="250">
        <v>12390</v>
      </c>
      <c r="AM11" s="2"/>
      <c r="AN11" s="37">
        <f t="shared" si="77"/>
        <v>6983.2200000007679</v>
      </c>
      <c r="AO11" s="37">
        <f t="shared" si="97"/>
        <v>1</v>
      </c>
      <c r="AP11" s="250">
        <v>9807.1</v>
      </c>
      <c r="AQ11" s="37"/>
      <c r="AR11" s="37">
        <f t="shared" si="13"/>
        <v>11600.000000000364</v>
      </c>
      <c r="AS11" s="37">
        <f t="shared" si="98"/>
        <v>1</v>
      </c>
      <c r="AT11" s="183"/>
      <c r="AU11" s="183"/>
      <c r="AV11" s="183"/>
      <c r="AW11" s="183"/>
      <c r="AX11" s="250">
        <v>538910</v>
      </c>
      <c r="AY11" s="37"/>
      <c r="AZ11" s="37">
        <f t="shared" si="14"/>
        <v>390</v>
      </c>
      <c r="BA11" s="250">
        <v>229910</v>
      </c>
      <c r="BB11" s="37"/>
      <c r="BC11" s="37">
        <f t="shared" si="15"/>
        <v>580</v>
      </c>
      <c r="BD11" s="37">
        <f t="shared" si="99"/>
        <v>19553.220000001133</v>
      </c>
      <c r="BE11" s="250">
        <v>2133.8000000000002</v>
      </c>
      <c r="BF11" s="250">
        <v>1202.4000000000001</v>
      </c>
      <c r="BG11" s="37">
        <f t="shared" si="16"/>
        <v>1500</v>
      </c>
      <c r="BH11" s="250">
        <v>10135</v>
      </c>
      <c r="BI11" s="250">
        <v>6552</v>
      </c>
      <c r="BJ11" s="37">
        <f t="shared" si="17"/>
        <v>10000</v>
      </c>
      <c r="BK11" s="250">
        <v>2124450</v>
      </c>
      <c r="BL11" s="40">
        <f t="shared" si="100"/>
        <v>4160</v>
      </c>
      <c r="BM11" s="250">
        <v>960.13</v>
      </c>
      <c r="BN11" s="37">
        <f t="shared" si="18"/>
        <v>669.99999999995907</v>
      </c>
      <c r="BO11" s="186"/>
      <c r="BP11" s="183">
        <f t="shared" si="19"/>
        <v>0</v>
      </c>
      <c r="BQ11" s="250">
        <v>906.1</v>
      </c>
      <c r="BR11" s="37">
        <f t="shared" si="78"/>
        <v>500</v>
      </c>
      <c r="BS11" s="250">
        <v>126626.08</v>
      </c>
      <c r="BT11" s="37">
        <f t="shared" si="20"/>
        <v>205.57000000000698</v>
      </c>
      <c r="BU11" s="250">
        <v>3769990</v>
      </c>
      <c r="BV11" s="42"/>
      <c r="BW11" s="37">
        <f t="shared" si="21"/>
        <v>3500</v>
      </c>
      <c r="BX11" s="37">
        <f t="shared" si="101"/>
        <v>1</v>
      </c>
      <c r="BY11" s="250">
        <v>434.70760000000001</v>
      </c>
      <c r="BZ11" s="43"/>
      <c r="CA11" s="37">
        <f t="shared" si="22"/>
        <v>662.00000000003456</v>
      </c>
      <c r="CB11" s="37">
        <f t="shared" si="79"/>
        <v>1</v>
      </c>
      <c r="CC11" s="250">
        <v>838722.3</v>
      </c>
      <c r="CD11" s="37">
        <f t="shared" si="23"/>
        <v>0</v>
      </c>
      <c r="CE11" s="250">
        <v>1930786</v>
      </c>
      <c r="CF11" s="37">
        <f t="shared" si="24"/>
        <v>3069</v>
      </c>
      <c r="CG11" s="250">
        <v>122633</v>
      </c>
      <c r="CH11" s="37">
        <f t="shared" si="80"/>
        <v>0</v>
      </c>
      <c r="CI11" s="250">
        <v>14922.1</v>
      </c>
      <c r="CJ11" s="40"/>
      <c r="CK11" s="37">
        <f t="shared" si="81"/>
        <v>14071.220000000765</v>
      </c>
      <c r="CL11" s="37">
        <f t="shared" si="25"/>
        <v>1</v>
      </c>
      <c r="CM11" s="250">
        <v>4455.7929999999997</v>
      </c>
      <c r="CN11" s="37"/>
      <c r="CO11" s="37">
        <f t="shared" si="26"/>
        <v>6160.219999999571</v>
      </c>
      <c r="CP11" s="37">
        <f>IF(CO11&lt;=0,0,(CO11/SQRT(CO11^2+(CN11-CN10)^2)))</f>
        <v>1</v>
      </c>
      <c r="CQ11" s="250">
        <v>979379.8</v>
      </c>
      <c r="CR11" s="45"/>
      <c r="CS11" s="37">
        <f t="shared" si="82"/>
        <v>5659.9200000000701</v>
      </c>
      <c r="CT11" s="37">
        <f t="shared" si="83"/>
        <v>1</v>
      </c>
      <c r="CU11" s="250">
        <v>4987971</v>
      </c>
      <c r="CV11" s="37"/>
      <c r="CW11" s="38">
        <f t="shared" si="27"/>
        <v>724</v>
      </c>
      <c r="CX11" s="37">
        <f t="shared" si="103"/>
        <v>1</v>
      </c>
      <c r="CY11" s="250">
        <v>2676437</v>
      </c>
      <c r="CZ11" s="37"/>
      <c r="DA11" s="37">
        <f t="shared" si="28"/>
        <v>525</v>
      </c>
      <c r="DB11" s="37">
        <f t="shared" si="104"/>
        <v>1</v>
      </c>
      <c r="DC11" s="37"/>
      <c r="DD11" s="40"/>
      <c r="DE11" s="37">
        <f t="shared" si="29"/>
        <v>0</v>
      </c>
      <c r="DF11" s="37">
        <f t="shared" ref="DF11:DF33" si="111">IF(DE11&lt;=0,0,(DE11/SQRT(DE11^2+(DD11-DD10)^2)))</f>
        <v>0</v>
      </c>
      <c r="DG11" s="37">
        <f t="shared" si="30"/>
        <v>-30640.360000000408</v>
      </c>
      <c r="DH11" s="37">
        <f t="shared" si="31"/>
        <v>405413.21999999962</v>
      </c>
      <c r="DI11" s="46"/>
      <c r="DJ11" s="46"/>
      <c r="DK11" s="47"/>
      <c r="DL11" s="47"/>
      <c r="DM11" s="37"/>
      <c r="DN11" s="37"/>
      <c r="DO11" s="37"/>
      <c r="DP11" s="37"/>
      <c r="DQ11" s="250">
        <v>4764000</v>
      </c>
      <c r="DR11" s="49">
        <f t="shared" si="84"/>
        <v>9000</v>
      </c>
      <c r="DS11" s="250">
        <v>6639200</v>
      </c>
      <c r="DT11" s="49">
        <f t="shared" si="85"/>
        <v>27000</v>
      </c>
      <c r="DU11" s="250">
        <v>8486</v>
      </c>
      <c r="DV11" s="250">
        <v>4773.6000000000004</v>
      </c>
      <c r="DW11" s="37">
        <f t="shared" si="105"/>
        <v>4700.0000000007276</v>
      </c>
      <c r="DX11" s="250">
        <v>14049</v>
      </c>
      <c r="DY11" s="250">
        <v>8791.2999999999993</v>
      </c>
      <c r="DZ11" s="37">
        <f t="shared" si="32"/>
        <v>6613.22</v>
      </c>
      <c r="EA11" s="250">
        <v>32678</v>
      </c>
      <c r="EB11" s="250">
        <v>22.283999999999999</v>
      </c>
      <c r="EC11" s="37">
        <f t="shared" si="33"/>
        <v>25773.22</v>
      </c>
      <c r="ED11" s="53">
        <f t="shared" si="34"/>
        <v>37086.44000000073</v>
      </c>
      <c r="EE11" s="250">
        <v>49077</v>
      </c>
      <c r="EF11" s="250">
        <v>32.389000000000003</v>
      </c>
      <c r="EG11" s="37">
        <f t="shared" si="35"/>
        <v>27773.22</v>
      </c>
      <c r="EH11" s="250">
        <v>14554</v>
      </c>
      <c r="EI11" s="250">
        <v>2.1684000000000001</v>
      </c>
      <c r="EJ11" s="37">
        <f t="shared" si="36"/>
        <v>9613.2199999999993</v>
      </c>
      <c r="EK11" s="250">
        <v>888.06</v>
      </c>
      <c r="EL11" s="250">
        <v>1271.4000000000001</v>
      </c>
      <c r="EM11" s="37">
        <f t="shared" si="86"/>
        <v>819.99999999993634</v>
      </c>
      <c r="EN11" s="54">
        <f t="shared" si="87"/>
        <v>38206.439999999937</v>
      </c>
      <c r="EO11" s="250">
        <v>14014</v>
      </c>
      <c r="EP11" s="48"/>
      <c r="EQ11" s="37">
        <f t="shared" ref="EQ11:EQ36" si="112">IF((EO11-EO10)*1000&lt;=0,0,(EO11-EO10)*1000)+GX11-FU48+FV48</f>
        <v>6263.2199999999775</v>
      </c>
      <c r="ER11" s="250">
        <v>11504</v>
      </c>
      <c r="ES11" s="48"/>
      <c r="ET11" s="49">
        <f t="shared" si="37"/>
        <v>18000</v>
      </c>
      <c r="EU11" s="250">
        <v>4853.8999999999996</v>
      </c>
      <c r="EV11" s="48"/>
      <c r="EW11" s="49">
        <f t="shared" si="38"/>
        <v>10813.219999999817</v>
      </c>
      <c r="EX11" s="250">
        <v>15025</v>
      </c>
      <c r="EY11" s="48"/>
      <c r="EZ11" s="37">
        <f t="shared" si="39"/>
        <v>12613.22</v>
      </c>
      <c r="FA11" s="48">
        <f t="shared" si="88"/>
        <v>-21989.659999999796</v>
      </c>
      <c r="FB11" s="250">
        <v>39540681</v>
      </c>
      <c r="FC11" s="49">
        <f t="shared" si="106"/>
        <v>25700</v>
      </c>
      <c r="FD11" s="48">
        <f t="shared" si="89"/>
        <v>49429.6599999998</v>
      </c>
      <c r="FE11" s="250">
        <v>18176</v>
      </c>
      <c r="FF11" s="48"/>
      <c r="FG11" s="37">
        <f t="shared" si="40"/>
        <v>3963.220000000023</v>
      </c>
      <c r="FH11" s="250">
        <v>10945.4</v>
      </c>
      <c r="FI11" s="48"/>
      <c r="FJ11" s="49">
        <f t="shared" si="41"/>
        <v>13.219999999636229</v>
      </c>
      <c r="FK11" s="48"/>
      <c r="FL11" s="58"/>
      <c r="FM11" s="48">
        <f t="shared" si="107"/>
        <v>-863.21999999988645</v>
      </c>
      <c r="FN11" s="250">
        <v>18117</v>
      </c>
      <c r="FO11" s="48"/>
      <c r="FP11" s="37">
        <f t="shared" si="90"/>
        <v>613.22</v>
      </c>
      <c r="FQ11" s="250">
        <v>63708</v>
      </c>
      <c r="FR11" s="48"/>
      <c r="FS11" s="37">
        <f t="shared" si="42"/>
        <v>2000</v>
      </c>
      <c r="FT11" s="48">
        <f t="shared" si="108"/>
        <v>-2589.6599999996592</v>
      </c>
      <c r="FU11" s="48">
        <f>FG11+FJ11+FP11+GM11</f>
        <v>4589.6599999996597</v>
      </c>
      <c r="FV11" s="250">
        <v>7439400</v>
      </c>
      <c r="FW11" s="44"/>
      <c r="FX11" s="37">
        <f t="shared" si="43"/>
        <v>29000</v>
      </c>
      <c r="FY11" s="250">
        <v>283190</v>
      </c>
      <c r="FZ11" s="56"/>
      <c r="GA11" s="37">
        <f t="shared" si="44"/>
        <v>7090</v>
      </c>
      <c r="GB11" s="250">
        <v>913.8</v>
      </c>
      <c r="GC11" s="56"/>
      <c r="GD11" s="37">
        <f t="shared" si="45"/>
        <v>779.99999999997272</v>
      </c>
      <c r="GE11" s="250">
        <v>11209</v>
      </c>
      <c r="GF11" s="63"/>
      <c r="GG11" s="37">
        <f t="shared" si="46"/>
        <v>7260</v>
      </c>
      <c r="GH11" s="250">
        <v>123080</v>
      </c>
      <c r="GI11" s="162"/>
      <c r="GJ11" s="38">
        <f t="shared" si="91"/>
        <v>1740</v>
      </c>
      <c r="GK11" s="250">
        <v>1533.9</v>
      </c>
      <c r="GL11" s="163"/>
      <c r="GM11" s="38">
        <f t="shared" si="47"/>
        <v>0</v>
      </c>
      <c r="GN11" s="250">
        <v>244220</v>
      </c>
      <c r="GO11" s="57"/>
      <c r="GP11" s="38">
        <f t="shared" si="48"/>
        <v>20</v>
      </c>
      <c r="GQ11" s="250">
        <v>305870</v>
      </c>
      <c r="GR11" s="38"/>
      <c r="GS11" s="38">
        <f t="shared" si="92"/>
        <v>130</v>
      </c>
      <c r="GT11" s="247"/>
      <c r="GU11" s="144">
        <f>DailyOct!B10-DailyOct!N10-DailyOct!V10-DailyOct!Y10-DailyOct!Z10-DailyOct!AA10-DailyOct!AB10-DailyOct!AC10-DailyOct!AD10-DailyOct!AE10-DailyOct!AK10-DailyOct!AO10-DailyOct!AS10-DailyOct!AY10-DailyOct!BD10+DailyOct!BU10-DailyOct!BG10-DailyOct!BT10-DailyOct!AF10-DailyOct!AG10</f>
        <v>-2.1362211555242538E-8</v>
      </c>
      <c r="GV11" s="261">
        <v>-5801.7</v>
      </c>
      <c r="GW11" s="60">
        <f t="shared" si="0"/>
        <v>-386.78</v>
      </c>
      <c r="GX11" s="260">
        <v>-386.78</v>
      </c>
      <c r="GY11" s="140"/>
      <c r="GZ11" s="528"/>
      <c r="HA11" s="528"/>
      <c r="HB11" s="528"/>
      <c r="HC11" s="528"/>
      <c r="HD11" s="74"/>
      <c r="HE11" s="24">
        <f t="shared" si="49"/>
        <v>0</v>
      </c>
      <c r="HG11" s="279">
        <v>5</v>
      </c>
      <c r="HH11" s="292">
        <v>30493</v>
      </c>
      <c r="HI11" s="292">
        <v>11590</v>
      </c>
      <c r="HJ11" s="61">
        <f t="shared" si="50"/>
        <v>184000</v>
      </c>
      <c r="HK11" s="260">
        <v>2.1432000000000002</v>
      </c>
      <c r="HL11" s="292">
        <v>807.23</v>
      </c>
      <c r="HM11" s="61">
        <f t="shared" si="51"/>
        <v>0</v>
      </c>
      <c r="HN11" s="292">
        <v>7716.8</v>
      </c>
      <c r="HO11" s="292">
        <v>32863</v>
      </c>
      <c r="HP11" s="294">
        <f t="shared" si="52"/>
        <v>42607.500000000364</v>
      </c>
      <c r="HQ11" s="292">
        <v>5295.8</v>
      </c>
      <c r="HR11" s="292">
        <v>2223.4</v>
      </c>
      <c r="HS11" s="294">
        <f t="shared" si="53"/>
        <v>26607.500000000364</v>
      </c>
      <c r="HT11" s="292">
        <v>5248.27</v>
      </c>
      <c r="HU11" s="292">
        <v>1887.21</v>
      </c>
      <c r="HV11" s="294">
        <f t="shared" si="54"/>
        <v>28577.500000000618</v>
      </c>
      <c r="HW11" s="292">
        <v>3891.6</v>
      </c>
      <c r="HX11" s="292">
        <v>1656.6</v>
      </c>
      <c r="HY11" s="294">
        <f t="shared" si="55"/>
        <v>26107.499999999909</v>
      </c>
      <c r="HZ11" s="260">
        <v>3233100</v>
      </c>
      <c r="IA11" s="260">
        <v>13962</v>
      </c>
      <c r="IB11" s="61">
        <f t="shared" si="56"/>
        <v>33100</v>
      </c>
      <c r="IC11" s="292">
        <v>719.8</v>
      </c>
      <c r="ID11" s="292">
        <v>232.78</v>
      </c>
      <c r="IE11" s="61">
        <f t="shared" ref="IE11:IE36" si="113">IF((IC11-IC10)&lt;=0,0,(IC11-IC10))</f>
        <v>0</v>
      </c>
      <c r="IF11" s="61"/>
      <c r="IG11" s="61"/>
      <c r="IH11" s="280">
        <f t="shared" si="57"/>
        <v>27000</v>
      </c>
      <c r="II11" s="281">
        <f t="shared" si="58"/>
        <v>-1.2369127944111824E-9</v>
      </c>
      <c r="IJ11" s="345"/>
      <c r="IK11" s="345"/>
      <c r="IL11" s="347">
        <f t="shared" si="59"/>
        <v>0</v>
      </c>
      <c r="IM11" s="347"/>
      <c r="IN11" s="347"/>
      <c r="IO11" s="347">
        <f t="shared" si="60"/>
        <v>0</v>
      </c>
      <c r="IP11" s="347"/>
      <c r="IQ11" s="347"/>
      <c r="IR11" s="347">
        <f t="shared" si="61"/>
        <v>0</v>
      </c>
      <c r="IS11" s="347"/>
      <c r="IT11" s="347"/>
      <c r="IU11" s="347">
        <f t="shared" si="62"/>
        <v>0</v>
      </c>
      <c r="IV11" s="347"/>
      <c r="IW11" s="347"/>
      <c r="IX11" s="347">
        <f t="shared" si="63"/>
        <v>0</v>
      </c>
      <c r="IY11" s="347"/>
      <c r="IZ11" s="347"/>
      <c r="JA11" s="347">
        <f t="shared" si="64"/>
        <v>0</v>
      </c>
      <c r="JB11" s="347"/>
      <c r="JC11" s="347"/>
      <c r="JD11" s="347">
        <f t="shared" si="65"/>
        <v>0</v>
      </c>
      <c r="JE11" s="347"/>
      <c r="JF11" s="347"/>
      <c r="JG11" s="347">
        <f t="shared" si="66"/>
        <v>0</v>
      </c>
      <c r="JH11" s="347"/>
      <c r="JI11" s="347"/>
      <c r="JJ11" s="347">
        <f t="shared" si="67"/>
        <v>0</v>
      </c>
      <c r="JK11" s="347"/>
      <c r="JL11" s="347"/>
      <c r="JM11" s="347">
        <f t="shared" si="68"/>
        <v>0</v>
      </c>
      <c r="JN11" s="347"/>
      <c r="JO11" s="347"/>
      <c r="JP11" s="347">
        <f t="shared" si="69"/>
        <v>0</v>
      </c>
      <c r="JQ11" s="347"/>
      <c r="JR11" s="347"/>
      <c r="JS11" s="347">
        <f t="shared" si="70"/>
        <v>0</v>
      </c>
      <c r="JT11" s="347"/>
      <c r="JU11" s="347"/>
      <c r="JV11" s="347">
        <f t="shared" si="71"/>
        <v>0</v>
      </c>
      <c r="JW11" s="347"/>
      <c r="JX11" s="347"/>
      <c r="JY11" s="347">
        <f t="shared" si="72"/>
        <v>0</v>
      </c>
      <c r="JZ11" s="347"/>
      <c r="KA11" s="347"/>
      <c r="KB11" s="347">
        <f t="shared" si="73"/>
        <v>0</v>
      </c>
      <c r="KC11" s="347"/>
      <c r="KD11" s="347"/>
      <c r="KE11" s="347">
        <f t="shared" si="74"/>
        <v>0</v>
      </c>
      <c r="KG11" s="151">
        <f t="shared" si="75"/>
        <v>75707.499999999127</v>
      </c>
    </row>
    <row r="12" spans="1:293" x14ac:dyDescent="0.25">
      <c r="A12" s="35">
        <f t="shared" si="76"/>
        <v>6</v>
      </c>
      <c r="B12" s="250">
        <v>5765.8</v>
      </c>
      <c r="C12" s="38">
        <f t="shared" si="1"/>
        <v>10.010000000000218</v>
      </c>
      <c r="D12" s="38">
        <f t="shared" si="2"/>
        <v>320320.00000000698</v>
      </c>
      <c r="E12" s="250">
        <v>1155.76</v>
      </c>
      <c r="F12" s="38">
        <f t="shared" si="3"/>
        <v>60800.00000000291</v>
      </c>
      <c r="G12" s="38">
        <f t="shared" si="4"/>
        <v>381120.0000000099</v>
      </c>
      <c r="H12" s="37"/>
      <c r="I12" s="39"/>
      <c r="J12" s="42"/>
      <c r="K12" s="37">
        <f>IF(J12&lt;=0,0,(J12/SQRT(J12^2+(I12-I11)^2)))</f>
        <v>0</v>
      </c>
      <c r="L12" s="250">
        <v>18752400</v>
      </c>
      <c r="M12" s="40"/>
      <c r="N12" s="37">
        <f t="shared" si="94"/>
        <v>372000</v>
      </c>
      <c r="O12" s="250">
        <v>13363.3</v>
      </c>
      <c r="P12" s="37"/>
      <c r="Q12" s="37">
        <f t="shared" si="5"/>
        <v>16899.999999999636</v>
      </c>
      <c r="R12" s="37">
        <f>IF(Q12&lt;=0,0,(Q12/SQRT(Q12^2+(P12-P11)^2)))</f>
        <v>1</v>
      </c>
      <c r="S12" s="250">
        <v>11274252.57</v>
      </c>
      <c r="T12" s="37">
        <f t="shared" si="6"/>
        <v>266.75999999977648</v>
      </c>
      <c r="U12" s="250">
        <v>1523792.57</v>
      </c>
      <c r="V12" s="37">
        <f t="shared" si="7"/>
        <v>0</v>
      </c>
      <c r="W12" s="250">
        <v>4788</v>
      </c>
      <c r="X12" s="37">
        <f t="shared" si="110"/>
        <v>16433.23999999986</v>
      </c>
      <c r="Y12" s="183"/>
      <c r="Z12" s="183"/>
      <c r="AA12" s="250">
        <v>871700</v>
      </c>
      <c r="AB12" s="37">
        <f t="shared" si="8"/>
        <v>200</v>
      </c>
      <c r="AC12" s="250">
        <v>4954.8999999999996</v>
      </c>
      <c r="AD12" s="2"/>
      <c r="AE12" s="37">
        <f t="shared" si="9"/>
        <v>3799.9999999992724</v>
      </c>
      <c r="AF12" s="37">
        <f>IF(AE12&lt;=0,0,(AE12/SQRT(AE12^2+(AD12-AD11)^2)))</f>
        <v>1</v>
      </c>
      <c r="AG12" s="250">
        <v>10775.7</v>
      </c>
      <c r="AH12" s="48"/>
      <c r="AI12" s="37">
        <f t="shared" si="10"/>
        <v>9060.2400000007274</v>
      </c>
      <c r="AJ12" s="37">
        <f t="shared" si="11"/>
        <v>1</v>
      </c>
      <c r="AK12" s="37">
        <f t="shared" si="12"/>
        <v>29560.239999999634</v>
      </c>
      <c r="AL12" s="250">
        <v>12401.9</v>
      </c>
      <c r="AM12" s="42"/>
      <c r="AN12" s="37">
        <f t="shared" si="77"/>
        <v>7520.239999999736</v>
      </c>
      <c r="AO12" s="37">
        <f>IF(AN12&lt;=0,0,(AN12/SQRT(AN12^2+(AM12-AM11)^2)))</f>
        <v>1</v>
      </c>
      <c r="AP12" s="250">
        <v>9818.1</v>
      </c>
      <c r="AQ12" s="37"/>
      <c r="AR12" s="37">
        <f t="shared" si="13"/>
        <v>11000</v>
      </c>
      <c r="AS12" s="37">
        <f>IF(AR12&lt;=0,0,(AR12/SQRT(AR12^2+(AQ12-AQ11)^2)))</f>
        <v>1</v>
      </c>
      <c r="AT12" s="183"/>
      <c r="AU12" s="183"/>
      <c r="AV12" s="183"/>
      <c r="AW12" s="183"/>
      <c r="AX12" s="250">
        <v>539320</v>
      </c>
      <c r="AY12" s="37"/>
      <c r="AZ12" s="37">
        <f t="shared" si="14"/>
        <v>410</v>
      </c>
      <c r="BA12" s="250">
        <v>230510</v>
      </c>
      <c r="BB12" s="37"/>
      <c r="BC12" s="37">
        <f t="shared" si="15"/>
        <v>600</v>
      </c>
      <c r="BD12" s="37">
        <f t="shared" si="99"/>
        <v>19530.239999999736</v>
      </c>
      <c r="BE12" s="250">
        <v>2135.5</v>
      </c>
      <c r="BF12" s="250">
        <v>1203.4000000000001</v>
      </c>
      <c r="BG12" s="37">
        <f t="shared" si="16"/>
        <v>1699.9999999998181</v>
      </c>
      <c r="BH12" s="250">
        <v>10143</v>
      </c>
      <c r="BI12" s="250">
        <v>6557.6</v>
      </c>
      <c r="BJ12" s="37">
        <f t="shared" si="17"/>
        <v>8000</v>
      </c>
      <c r="BK12" s="250">
        <v>2128330</v>
      </c>
      <c r="BL12" s="40">
        <f t="shared" si="100"/>
        <v>3880</v>
      </c>
      <c r="BM12" s="250">
        <v>960.79</v>
      </c>
      <c r="BN12" s="37">
        <f t="shared" si="18"/>
        <v>659.99999999996817</v>
      </c>
      <c r="BO12" s="186"/>
      <c r="BP12" s="183">
        <f t="shared" si="19"/>
        <v>0</v>
      </c>
      <c r="BQ12" s="250">
        <v>906.3</v>
      </c>
      <c r="BR12" s="37">
        <f t="shared" si="78"/>
        <v>199.99999999993179</v>
      </c>
      <c r="BS12" s="250">
        <v>126836.63</v>
      </c>
      <c r="BT12" s="37">
        <f t="shared" si="20"/>
        <v>210.55000000000291</v>
      </c>
      <c r="BU12" s="250">
        <v>3773894</v>
      </c>
      <c r="BV12" s="42"/>
      <c r="BW12" s="37">
        <f t="shared" si="21"/>
        <v>3904</v>
      </c>
      <c r="BX12" s="37">
        <f>IF(BW12&lt;=0,0,(BW12/SQRT(BW12^2+(BV12-BV11)^2)))</f>
        <v>1</v>
      </c>
      <c r="BY12" s="250">
        <v>435.46210000000002</v>
      </c>
      <c r="BZ12" s="43"/>
      <c r="CA12" s="37">
        <f t="shared" si="22"/>
        <v>754.50000000000728</v>
      </c>
      <c r="CB12" s="37">
        <f t="shared" si="79"/>
        <v>1</v>
      </c>
      <c r="CC12" s="250">
        <v>838722.3</v>
      </c>
      <c r="CD12" s="37">
        <f t="shared" si="23"/>
        <v>0</v>
      </c>
      <c r="CE12" s="250">
        <v>1934127</v>
      </c>
      <c r="CF12" s="37">
        <f t="shared" si="24"/>
        <v>3341</v>
      </c>
      <c r="CG12" s="250">
        <v>122633</v>
      </c>
      <c r="CH12" s="37">
        <f t="shared" si="80"/>
        <v>0</v>
      </c>
      <c r="CI12" s="250">
        <v>14936.33</v>
      </c>
      <c r="CJ12" s="40"/>
      <c r="CK12" s="37">
        <f t="shared" si="81"/>
        <v>13835.739999999556</v>
      </c>
      <c r="CL12" s="37">
        <f t="shared" si="25"/>
        <v>1</v>
      </c>
      <c r="CM12" s="250">
        <v>4462.4430000000002</v>
      </c>
      <c r="CN12" s="37"/>
      <c r="CO12" s="37">
        <f t="shared" si="26"/>
        <v>7010.2400000005455</v>
      </c>
      <c r="CP12" s="37">
        <f>IF(CO12&lt;=0,0,(CO12/SQRT(CO12^2+(CN12-CN11)^2)))</f>
        <v>1</v>
      </c>
      <c r="CQ12" s="250">
        <v>985487.2</v>
      </c>
      <c r="CR12" s="45"/>
      <c r="CS12" s="37">
        <f t="shared" si="82"/>
        <v>6467.6399999999066</v>
      </c>
      <c r="CT12" s="37">
        <f t="shared" si="83"/>
        <v>1</v>
      </c>
      <c r="CU12" s="250">
        <v>4988719</v>
      </c>
      <c r="CV12" s="37"/>
      <c r="CW12" s="38">
        <f t="shared" si="27"/>
        <v>748</v>
      </c>
      <c r="CX12" s="37">
        <f>IF(CW12&lt;=0,0,(CW12/SQRT(CW12^2+(CV12-CV11)^2)))</f>
        <v>1</v>
      </c>
      <c r="CY12" s="250">
        <v>2676920</v>
      </c>
      <c r="CZ12" s="37"/>
      <c r="DA12" s="37">
        <f t="shared" si="28"/>
        <v>483</v>
      </c>
      <c r="DB12" s="37">
        <f>IF(DA12&lt;=0,0,(DA12/SQRT(DA12^2+(CZ12-CZ11)^2)))</f>
        <v>1</v>
      </c>
      <c r="DC12" s="37"/>
      <c r="DD12" s="40"/>
      <c r="DE12" s="37">
        <f t="shared" si="29"/>
        <v>0</v>
      </c>
      <c r="DF12" s="37">
        <f>IF(DE12&lt;=0,0,(DE12/SQRT(DE12^2+(DD12-DD11)^2)))</f>
        <v>0</v>
      </c>
      <c r="DG12" s="37">
        <f t="shared" si="30"/>
        <v>-32448.62000000001</v>
      </c>
      <c r="DH12" s="37">
        <f t="shared" si="31"/>
        <v>403260.23999999947</v>
      </c>
      <c r="DI12" s="46"/>
      <c r="DJ12" s="46"/>
      <c r="DK12" s="47"/>
      <c r="DL12" s="47"/>
      <c r="DM12" s="37"/>
      <c r="DN12" s="37"/>
      <c r="DO12" s="37"/>
      <c r="DP12" s="37"/>
      <c r="DQ12" s="250">
        <v>4771300</v>
      </c>
      <c r="DR12" s="49">
        <f t="shared" si="84"/>
        <v>7300</v>
      </c>
      <c r="DS12" s="250">
        <v>6665500</v>
      </c>
      <c r="DT12" s="49">
        <f t="shared" si="85"/>
        <v>26300</v>
      </c>
      <c r="DU12" s="250">
        <v>8490.5</v>
      </c>
      <c r="DV12" s="250">
        <v>4775</v>
      </c>
      <c r="DW12" s="37">
        <f t="shared" si="105"/>
        <v>4500</v>
      </c>
      <c r="DX12" s="250">
        <v>14057</v>
      </c>
      <c r="DY12" s="250">
        <v>8793.7999999999993</v>
      </c>
      <c r="DZ12" s="37">
        <f t="shared" si="32"/>
        <v>8360.24</v>
      </c>
      <c r="EA12" s="250">
        <v>32702</v>
      </c>
      <c r="EB12" s="250">
        <v>22.295999999999999</v>
      </c>
      <c r="EC12" s="37">
        <f t="shared" si="33"/>
        <v>26520.240000000002</v>
      </c>
      <c r="ED12" s="53">
        <f t="shared" si="34"/>
        <v>39380.480000000003</v>
      </c>
      <c r="EE12" s="250">
        <v>49102</v>
      </c>
      <c r="EF12" s="250">
        <v>32.409999999999997</v>
      </c>
      <c r="EG12" s="37">
        <f t="shared" si="35"/>
        <v>27520.240000000002</v>
      </c>
      <c r="EH12" s="250">
        <v>14564</v>
      </c>
      <c r="EI12" s="250">
        <v>2.1713</v>
      </c>
      <c r="EJ12" s="37">
        <f t="shared" si="36"/>
        <v>10360.24</v>
      </c>
      <c r="EK12" s="250">
        <v>888.7</v>
      </c>
      <c r="EL12" s="250">
        <v>1272.3</v>
      </c>
      <c r="EM12" s="37">
        <f t="shared" si="86"/>
        <v>640.00000000010004</v>
      </c>
      <c r="EN12" s="54">
        <f t="shared" si="87"/>
        <v>38520.480000000105</v>
      </c>
      <c r="EO12" s="250">
        <v>14022</v>
      </c>
      <c r="EP12" s="48"/>
      <c r="EQ12" s="37">
        <f t="shared" si="112"/>
        <v>7060.2399999999889</v>
      </c>
      <c r="ER12" s="250">
        <v>11520</v>
      </c>
      <c r="ES12" s="48"/>
      <c r="ET12" s="49">
        <f t="shared" si="37"/>
        <v>16000</v>
      </c>
      <c r="EU12" s="250">
        <v>4864</v>
      </c>
      <c r="EV12" s="48"/>
      <c r="EW12" s="49">
        <f t="shared" si="38"/>
        <v>10460.240000000364</v>
      </c>
      <c r="EX12" s="250">
        <v>15037</v>
      </c>
      <c r="EY12" s="48"/>
      <c r="EZ12" s="37">
        <f t="shared" si="39"/>
        <v>12360.24</v>
      </c>
      <c r="FA12" s="48">
        <f t="shared" si="88"/>
        <v>-21293.720000000354</v>
      </c>
      <c r="FB12" s="250">
        <v>39565268</v>
      </c>
      <c r="FC12" s="49">
        <f t="shared" si="106"/>
        <v>24587</v>
      </c>
      <c r="FD12" s="48">
        <f t="shared" si="89"/>
        <v>47380.72000000035</v>
      </c>
      <c r="FE12" s="250">
        <v>18177</v>
      </c>
      <c r="FF12" s="48"/>
      <c r="FG12" s="37">
        <f t="shared" si="40"/>
        <v>2660.2400000000116</v>
      </c>
      <c r="FH12" s="250">
        <v>10945.4</v>
      </c>
      <c r="FI12" s="48"/>
      <c r="FJ12" s="49">
        <f t="shared" si="41"/>
        <v>360.24</v>
      </c>
      <c r="FK12" s="48"/>
      <c r="FL12" s="58"/>
      <c r="FM12" s="48">
        <f t="shared" si="107"/>
        <v>-1126.9066666666706</v>
      </c>
      <c r="FN12" s="250">
        <v>18118</v>
      </c>
      <c r="FO12" s="48"/>
      <c r="FP12" s="37">
        <f t="shared" si="90"/>
        <v>1360.24</v>
      </c>
      <c r="FQ12" s="250">
        <v>63709</v>
      </c>
      <c r="FR12" s="48"/>
      <c r="FS12" s="37">
        <f>IF((FQ12-FQ11)*1000&lt;=0,0,(FQ12-FQ11)*1000)</f>
        <v>1000</v>
      </c>
      <c r="FT12" s="48">
        <f t="shared" si="108"/>
        <v>-3380.7200000000116</v>
      </c>
      <c r="FU12" s="48">
        <f>FG12+FJ12+FP12+GM12</f>
        <v>4380.7200000000112</v>
      </c>
      <c r="FV12" s="250">
        <v>7471400</v>
      </c>
      <c r="FW12" s="65"/>
      <c r="FX12" s="37">
        <f t="shared" si="43"/>
        <v>32000</v>
      </c>
      <c r="FY12" s="250">
        <v>290356</v>
      </c>
      <c r="FZ12" s="56"/>
      <c r="GA12" s="37">
        <f t="shared" si="44"/>
        <v>7166</v>
      </c>
      <c r="GB12" s="250">
        <v>914.66</v>
      </c>
      <c r="GC12" s="63"/>
      <c r="GD12" s="37">
        <f t="shared" si="45"/>
        <v>860.00000000001364</v>
      </c>
      <c r="GE12" s="250">
        <v>11217</v>
      </c>
      <c r="GF12" s="56"/>
      <c r="GG12" s="37">
        <f t="shared" si="46"/>
        <v>6500</v>
      </c>
      <c r="GH12" s="250">
        <v>124580</v>
      </c>
      <c r="GI12" s="162"/>
      <c r="GJ12" s="38">
        <f t="shared" si="91"/>
        <v>1500</v>
      </c>
      <c r="GK12" s="250">
        <v>1533.9</v>
      </c>
      <c r="GL12" s="163"/>
      <c r="GM12" s="38">
        <f t="shared" si="47"/>
        <v>0</v>
      </c>
      <c r="GN12" s="250">
        <v>244230</v>
      </c>
      <c r="GO12" s="57"/>
      <c r="GP12" s="38">
        <f t="shared" si="48"/>
        <v>10</v>
      </c>
      <c r="GQ12" s="250">
        <v>305981</v>
      </c>
      <c r="GR12" s="38"/>
      <c r="GS12" s="38">
        <f t="shared" si="92"/>
        <v>111</v>
      </c>
      <c r="GT12" s="247"/>
      <c r="GU12" s="144">
        <f>DailyOct!B11-DailyOct!N11-DailyOct!V11-DailyOct!Y11-DailyOct!Z11-DailyOct!AA11-DailyOct!AB11-DailyOct!AC11-DailyOct!AD11-DailyOct!AE11-DailyOct!AK11-DailyOct!AO11-DailyOct!AS11-DailyOct!AY11-DailyOct!BD11+DailyOct!BU11-DailyOct!BG11-DailyOct!BT11-DailyOct!AF11-DailyOct!AG11</f>
        <v>1.0302755981683731E-8</v>
      </c>
      <c r="GV12" s="261">
        <v>5403.6</v>
      </c>
      <c r="GW12" s="60">
        <f t="shared" si="0"/>
        <v>360.24</v>
      </c>
      <c r="GX12" s="360">
        <v>360.24</v>
      </c>
      <c r="GY12" s="140"/>
      <c r="GZ12" s="528"/>
      <c r="HA12" s="528"/>
      <c r="HB12" s="528"/>
      <c r="HC12" s="528"/>
      <c r="HD12" s="74"/>
      <c r="HE12" s="24">
        <f t="shared" si="49"/>
        <v>0</v>
      </c>
      <c r="HG12" s="279">
        <v>6</v>
      </c>
      <c r="HH12" s="292">
        <v>30680</v>
      </c>
      <c r="HI12" s="292">
        <v>11660</v>
      </c>
      <c r="HJ12" s="61">
        <f>IF((HH12-HH11)&lt;=0,0,(HH12-HH11)*1000)</f>
        <v>187000</v>
      </c>
      <c r="HK12" s="260">
        <v>2.1432000000000002</v>
      </c>
      <c r="HL12" s="292">
        <v>807.23</v>
      </c>
      <c r="HM12" s="61">
        <f t="shared" si="51"/>
        <v>0</v>
      </c>
      <c r="HN12" s="292">
        <v>7761.4</v>
      </c>
      <c r="HO12" s="292">
        <v>33051</v>
      </c>
      <c r="HP12" s="294">
        <f t="shared" si="52"/>
        <v>44967.499999999454</v>
      </c>
      <c r="HQ12" s="292">
        <v>5323.5</v>
      </c>
      <c r="HR12" s="292">
        <v>2234.4</v>
      </c>
      <c r="HS12" s="294">
        <f t="shared" si="53"/>
        <v>28067.499999999818</v>
      </c>
      <c r="HT12" s="292">
        <v>5277.7</v>
      </c>
      <c r="HU12" s="292">
        <v>1897</v>
      </c>
      <c r="HV12" s="294">
        <f t="shared" si="54"/>
        <v>29797.499999999382</v>
      </c>
      <c r="HW12" s="292">
        <v>3918.2</v>
      </c>
      <c r="HX12" s="292">
        <v>1666.9</v>
      </c>
      <c r="HY12" s="294">
        <f t="shared" si="55"/>
        <v>26967.499999999909</v>
      </c>
      <c r="HZ12" s="260">
        <v>3264000</v>
      </c>
      <c r="IA12" s="260">
        <v>14094</v>
      </c>
      <c r="IB12" s="61">
        <f t="shared" si="56"/>
        <v>30900</v>
      </c>
      <c r="IC12" s="292">
        <v>719.8</v>
      </c>
      <c r="ID12" s="292">
        <v>232.78</v>
      </c>
      <c r="IE12" s="61">
        <f t="shared" si="113"/>
        <v>0</v>
      </c>
      <c r="IF12" s="61"/>
      <c r="IG12" s="61"/>
      <c r="IH12" s="280">
        <f t="shared" si="57"/>
        <v>26300</v>
      </c>
      <c r="II12" s="281">
        <f t="shared" si="58"/>
        <v>1.4188117347657681E-9</v>
      </c>
      <c r="IJ12" s="345"/>
      <c r="IK12" s="345"/>
      <c r="IL12" s="347">
        <f t="shared" si="59"/>
        <v>0</v>
      </c>
      <c r="IM12" s="347"/>
      <c r="IN12" s="347"/>
      <c r="IO12" s="347">
        <f t="shared" si="60"/>
        <v>0</v>
      </c>
      <c r="IP12" s="347"/>
      <c r="IQ12" s="347"/>
      <c r="IR12" s="347">
        <f t="shared" si="61"/>
        <v>0</v>
      </c>
      <c r="IS12" s="347"/>
      <c r="IT12" s="347"/>
      <c r="IU12" s="347">
        <f t="shared" si="62"/>
        <v>0</v>
      </c>
      <c r="IV12" s="347"/>
      <c r="IW12" s="347"/>
      <c r="IX12" s="347">
        <f t="shared" si="63"/>
        <v>0</v>
      </c>
      <c r="IY12" s="347"/>
      <c r="IZ12" s="347"/>
      <c r="JA12" s="347">
        <f t="shared" si="64"/>
        <v>0</v>
      </c>
      <c r="JB12" s="347"/>
      <c r="JC12" s="347"/>
      <c r="JD12" s="347">
        <f t="shared" si="65"/>
        <v>0</v>
      </c>
      <c r="JE12" s="347"/>
      <c r="JF12" s="347"/>
      <c r="JG12" s="347">
        <f t="shared" si="66"/>
        <v>0</v>
      </c>
      <c r="JH12" s="347"/>
      <c r="JI12" s="347"/>
      <c r="JJ12" s="347">
        <f t="shared" si="67"/>
        <v>0</v>
      </c>
      <c r="JK12" s="347"/>
      <c r="JL12" s="347"/>
      <c r="JM12" s="347">
        <f t="shared" si="68"/>
        <v>0</v>
      </c>
      <c r="JN12" s="347"/>
      <c r="JO12" s="347"/>
      <c r="JP12" s="347">
        <f t="shared" si="69"/>
        <v>0</v>
      </c>
      <c r="JQ12" s="347"/>
      <c r="JR12" s="347"/>
      <c r="JS12" s="347">
        <f t="shared" si="70"/>
        <v>0</v>
      </c>
      <c r="JT12" s="347"/>
      <c r="JU12" s="347"/>
      <c r="JV12" s="347">
        <f t="shared" si="71"/>
        <v>0</v>
      </c>
      <c r="JW12" s="347"/>
      <c r="JX12" s="347"/>
      <c r="JY12" s="347">
        <f t="shared" si="72"/>
        <v>0</v>
      </c>
      <c r="JZ12" s="347"/>
      <c r="KA12" s="347"/>
      <c r="KB12" s="347">
        <f t="shared" si="73"/>
        <v>0</v>
      </c>
      <c r="KC12" s="347"/>
      <c r="KD12" s="347"/>
      <c r="KE12" s="347">
        <f t="shared" si="74"/>
        <v>0</v>
      </c>
      <c r="KG12" s="151">
        <f t="shared" si="75"/>
        <v>75867.500000000873</v>
      </c>
    </row>
    <row r="13" spans="1:293" x14ac:dyDescent="0.25">
      <c r="A13" s="35">
        <f t="shared" si="76"/>
        <v>7</v>
      </c>
      <c r="B13" s="250">
        <v>5775.96</v>
      </c>
      <c r="C13" s="38">
        <f t="shared" si="1"/>
        <v>10.159999999999854</v>
      </c>
      <c r="D13" s="38">
        <f t="shared" si="2"/>
        <v>325119.99999999534</v>
      </c>
      <c r="E13" s="250">
        <v>1157.72</v>
      </c>
      <c r="F13" s="38">
        <f t="shared" si="3"/>
        <v>62720.000000001164</v>
      </c>
      <c r="G13" s="38">
        <f t="shared" si="4"/>
        <v>387839.99999999651</v>
      </c>
      <c r="H13" s="37"/>
      <c r="I13" s="39"/>
      <c r="J13" s="42"/>
      <c r="K13" s="37">
        <f t="shared" si="93"/>
        <v>0</v>
      </c>
      <c r="L13" s="250">
        <v>18791600</v>
      </c>
      <c r="M13" s="40"/>
      <c r="N13" s="37">
        <f t="shared" si="94"/>
        <v>392000</v>
      </c>
      <c r="O13" s="250">
        <v>13381.6</v>
      </c>
      <c r="P13" s="37"/>
      <c r="Q13" s="37">
        <f t="shared" si="5"/>
        <v>18300.000000001091</v>
      </c>
      <c r="R13" s="37">
        <f t="shared" si="95"/>
        <v>1</v>
      </c>
      <c r="S13" s="250">
        <v>11274617.550000001</v>
      </c>
      <c r="T13" s="37">
        <f t="shared" si="6"/>
        <v>364.98000000044703</v>
      </c>
      <c r="U13" s="250">
        <v>1523792.57</v>
      </c>
      <c r="V13" s="37">
        <f t="shared" si="7"/>
        <v>0</v>
      </c>
      <c r="W13" s="250">
        <v>4794.1000000000004</v>
      </c>
      <c r="X13" s="37">
        <f t="shared" si="110"/>
        <v>17535.020000000644</v>
      </c>
      <c r="Y13" s="183"/>
      <c r="Z13" s="183"/>
      <c r="AA13" s="250">
        <v>872100</v>
      </c>
      <c r="AB13" s="37">
        <f t="shared" si="8"/>
        <v>400</v>
      </c>
      <c r="AC13" s="250">
        <v>4959.3</v>
      </c>
      <c r="AD13" s="37"/>
      <c r="AE13" s="37">
        <f t="shared" si="9"/>
        <v>4400.0000000005457</v>
      </c>
      <c r="AF13" s="37">
        <f t="shared" si="96"/>
        <v>1</v>
      </c>
      <c r="AG13" s="250">
        <v>10785.8</v>
      </c>
      <c r="AH13" s="48"/>
      <c r="AI13" s="37">
        <f t="shared" si="10"/>
        <v>9982.3699999985456</v>
      </c>
      <c r="AJ13" s="37">
        <f t="shared" si="11"/>
        <v>1</v>
      </c>
      <c r="AK13" s="37">
        <f t="shared" si="12"/>
        <v>32282.370000000185</v>
      </c>
      <c r="AL13" s="250">
        <v>12414.9</v>
      </c>
      <c r="AM13" s="42"/>
      <c r="AN13" s="37">
        <f t="shared" si="77"/>
        <v>7302.3699999998871</v>
      </c>
      <c r="AO13" s="37">
        <f t="shared" si="97"/>
        <v>1</v>
      </c>
      <c r="AP13" s="250">
        <v>9830.2999999999993</v>
      </c>
      <c r="AQ13" s="37"/>
      <c r="AR13" s="37">
        <f t="shared" si="13"/>
        <v>12199.999999998909</v>
      </c>
      <c r="AS13" s="37">
        <f t="shared" si="98"/>
        <v>1</v>
      </c>
      <c r="AT13" s="183"/>
      <c r="AU13" s="183"/>
      <c r="AV13" s="183"/>
      <c r="AW13" s="183"/>
      <c r="AX13" s="250">
        <v>539730</v>
      </c>
      <c r="AY13" s="37"/>
      <c r="AZ13" s="37">
        <f t="shared" si="14"/>
        <v>410</v>
      </c>
      <c r="BA13" s="250">
        <v>231150</v>
      </c>
      <c r="BB13" s="37"/>
      <c r="BC13" s="37">
        <f t="shared" si="15"/>
        <v>640</v>
      </c>
      <c r="BD13" s="37">
        <f t="shared" si="99"/>
        <v>20552.369999998795</v>
      </c>
      <c r="BE13" s="250">
        <v>2136.9</v>
      </c>
      <c r="BF13" s="250">
        <v>1204.4000000000001</v>
      </c>
      <c r="BG13" s="37">
        <f t="shared" si="16"/>
        <v>1400.0000000000909</v>
      </c>
      <c r="BH13" s="250">
        <v>10152</v>
      </c>
      <c r="BI13" s="250">
        <v>6563.5</v>
      </c>
      <c r="BJ13" s="37">
        <f t="shared" si="17"/>
        <v>9000</v>
      </c>
      <c r="BK13" s="250">
        <v>2132410</v>
      </c>
      <c r="BL13" s="40">
        <f t="shared" si="100"/>
        <v>4080</v>
      </c>
      <c r="BM13" s="250">
        <v>961.49</v>
      </c>
      <c r="BN13" s="37">
        <f t="shared" si="18"/>
        <v>700.00000000004547</v>
      </c>
      <c r="BO13" s="186"/>
      <c r="BP13" s="183">
        <f t="shared" si="19"/>
        <v>0</v>
      </c>
      <c r="BQ13" s="250">
        <v>907.1</v>
      </c>
      <c r="BR13" s="37">
        <f t="shared" si="78"/>
        <v>800.00000000006821</v>
      </c>
      <c r="BS13" s="250">
        <v>127053.72</v>
      </c>
      <c r="BT13" s="37">
        <f t="shared" si="20"/>
        <v>217.08999999999651</v>
      </c>
      <c r="BU13" s="250">
        <v>3778798</v>
      </c>
      <c r="BV13" s="42"/>
      <c r="BW13" s="37">
        <f t="shared" si="21"/>
        <v>4904</v>
      </c>
      <c r="BX13" s="37">
        <f t="shared" si="101"/>
        <v>1</v>
      </c>
      <c r="BY13" s="250">
        <v>436.32400000000001</v>
      </c>
      <c r="BZ13" s="37"/>
      <c r="CA13" s="37">
        <f t="shared" si="22"/>
        <v>861.89999999999145</v>
      </c>
      <c r="CB13" s="37">
        <f t="shared" si="79"/>
        <v>1</v>
      </c>
      <c r="CC13" s="250">
        <v>839091.3</v>
      </c>
      <c r="CD13" s="37">
        <f t="shared" si="23"/>
        <v>369</v>
      </c>
      <c r="CE13" s="250">
        <v>1938232</v>
      </c>
      <c r="CF13" s="37">
        <f t="shared" si="24"/>
        <v>4105</v>
      </c>
      <c r="CG13" s="250">
        <v>122633</v>
      </c>
      <c r="CH13" s="37">
        <f t="shared" si="80"/>
        <v>0</v>
      </c>
      <c r="CI13" s="250">
        <v>14953.06</v>
      </c>
      <c r="CJ13" s="40"/>
      <c r="CK13" s="37">
        <f t="shared" si="81"/>
        <v>15750.469999999572</v>
      </c>
      <c r="CL13" s="37">
        <f t="shared" si="25"/>
        <v>1</v>
      </c>
      <c r="CM13" s="250">
        <v>4470.4440000000004</v>
      </c>
      <c r="CN13" s="37"/>
      <c r="CO13" s="37">
        <f t="shared" si="26"/>
        <v>7883.3700000002036</v>
      </c>
      <c r="CP13" s="37">
        <f t="shared" si="102"/>
        <v>1</v>
      </c>
      <c r="CQ13" s="250">
        <v>992712.7</v>
      </c>
      <c r="CR13" s="45"/>
      <c r="CS13" s="37">
        <f t="shared" si="82"/>
        <v>7107.87</v>
      </c>
      <c r="CT13" s="37">
        <f t="shared" si="83"/>
        <v>1</v>
      </c>
      <c r="CU13" s="250">
        <v>4989527</v>
      </c>
      <c r="CV13" s="37"/>
      <c r="CW13" s="38">
        <f t="shared" si="27"/>
        <v>808</v>
      </c>
      <c r="CX13" s="37">
        <f t="shared" si="103"/>
        <v>1</v>
      </c>
      <c r="CY13" s="250">
        <v>2677433</v>
      </c>
      <c r="CZ13" s="37"/>
      <c r="DA13" s="37">
        <f t="shared" si="28"/>
        <v>513</v>
      </c>
      <c r="DB13" s="37">
        <f t="shared" si="104"/>
        <v>1</v>
      </c>
      <c r="DC13" s="37"/>
      <c r="DD13" s="40"/>
      <c r="DE13" s="37">
        <f t="shared" si="29"/>
        <v>0</v>
      </c>
      <c r="DF13" s="37">
        <f t="shared" si="111"/>
        <v>0</v>
      </c>
      <c r="DG13" s="37">
        <f t="shared" si="30"/>
        <v>-36966.709999999774</v>
      </c>
      <c r="DH13" s="37">
        <f t="shared" si="31"/>
        <v>425682.37000000029</v>
      </c>
      <c r="DI13" s="46"/>
      <c r="DJ13" s="46"/>
      <c r="DK13" s="47"/>
      <c r="DL13" s="47"/>
      <c r="DM13" s="37"/>
      <c r="DN13" s="37"/>
      <c r="DO13" s="37"/>
      <c r="DP13" s="37"/>
      <c r="DQ13" s="250">
        <v>4782100</v>
      </c>
      <c r="DR13" s="49">
        <f t="shared" si="84"/>
        <v>10800</v>
      </c>
      <c r="DS13" s="250">
        <v>6687400</v>
      </c>
      <c r="DT13" s="49">
        <f t="shared" si="85"/>
        <v>21900</v>
      </c>
      <c r="DU13" s="250">
        <v>8495</v>
      </c>
      <c r="DV13" s="250">
        <v>4776.3999999999996</v>
      </c>
      <c r="DW13" s="37">
        <f t="shared" si="105"/>
        <v>4500</v>
      </c>
      <c r="DX13" s="250">
        <v>14064</v>
      </c>
      <c r="DY13" s="250">
        <v>8796.2999999999993</v>
      </c>
      <c r="DZ13" s="37">
        <f t="shared" si="32"/>
        <v>6882.37</v>
      </c>
      <c r="EA13" s="250">
        <v>32726</v>
      </c>
      <c r="EB13" s="250">
        <v>22.308</v>
      </c>
      <c r="EC13" s="37">
        <f t="shared" si="33"/>
        <v>26042.37</v>
      </c>
      <c r="ED13" s="53">
        <f t="shared" si="34"/>
        <v>37424.74</v>
      </c>
      <c r="EE13" s="250">
        <v>49126</v>
      </c>
      <c r="EF13" s="250">
        <v>32.427999999999997</v>
      </c>
      <c r="EG13" s="37">
        <f t="shared" si="35"/>
        <v>26042.37</v>
      </c>
      <c r="EH13" s="250">
        <v>14574</v>
      </c>
      <c r="EI13" s="250">
        <v>2.1735000000000002</v>
      </c>
      <c r="EJ13" s="37">
        <f t="shared" si="36"/>
        <v>9882.3700000000008</v>
      </c>
      <c r="EK13" s="250">
        <v>889.17</v>
      </c>
      <c r="EL13" s="250">
        <v>1272.8</v>
      </c>
      <c r="EM13" s="37">
        <f t="shared" si="86"/>
        <v>469.9999999999136</v>
      </c>
      <c r="EN13" s="54">
        <f t="shared" si="87"/>
        <v>36394.739999999911</v>
      </c>
      <c r="EO13" s="250">
        <v>14031</v>
      </c>
      <c r="EP13" s="48"/>
      <c r="EQ13" s="37">
        <f t="shared" si="112"/>
        <v>7612.370000000019</v>
      </c>
      <c r="ER13" s="250">
        <v>11537</v>
      </c>
      <c r="ES13" s="48"/>
      <c r="ET13" s="49">
        <f t="shared" si="37"/>
        <v>17000</v>
      </c>
      <c r="EU13" s="250">
        <v>4874.7</v>
      </c>
      <c r="EV13" s="48"/>
      <c r="EW13" s="49">
        <f t="shared" si="38"/>
        <v>10582.369999999819</v>
      </c>
      <c r="EX13" s="250">
        <v>15050</v>
      </c>
      <c r="EY13" s="48"/>
      <c r="EZ13" s="37">
        <f t="shared" si="39"/>
        <v>12882.37</v>
      </c>
      <c r="FA13" s="48">
        <f>FC13-EQ13-ET13-EW13-EZ13</f>
        <v>-23240.109999999837</v>
      </c>
      <c r="FB13" s="250">
        <v>39590105</v>
      </c>
      <c r="FC13" s="49">
        <f t="shared" si="106"/>
        <v>24837</v>
      </c>
      <c r="FD13" s="48">
        <f t="shared" si="89"/>
        <v>49817.109999999841</v>
      </c>
      <c r="FE13" s="250">
        <v>18178</v>
      </c>
      <c r="FF13" s="48"/>
      <c r="FG13" s="37">
        <f t="shared" si="40"/>
        <v>2152.3699999999817</v>
      </c>
      <c r="FH13" s="250">
        <v>10945.6</v>
      </c>
      <c r="FI13" s="48"/>
      <c r="FJ13" s="49">
        <f t="shared" si="41"/>
        <v>82.3700000007276</v>
      </c>
      <c r="FK13" s="48"/>
      <c r="FL13" s="58"/>
      <c r="FM13" s="48">
        <f t="shared" si="107"/>
        <v>-372.37000000023642</v>
      </c>
      <c r="FN13" s="250">
        <v>18119</v>
      </c>
      <c r="FO13" s="48"/>
      <c r="FP13" s="37">
        <f t="shared" si="90"/>
        <v>882.37</v>
      </c>
      <c r="FQ13" s="250">
        <v>63711</v>
      </c>
      <c r="FR13" s="48"/>
      <c r="FS13" s="37">
        <f t="shared" si="42"/>
        <v>2000</v>
      </c>
      <c r="FT13" s="48">
        <f t="shared" si="108"/>
        <v>-1117.1100000007093</v>
      </c>
      <c r="FU13" s="48">
        <f>FG13+FJ13+FP13+GM13</f>
        <v>3117.1100000007091</v>
      </c>
      <c r="FV13" s="250">
        <v>7499700</v>
      </c>
      <c r="FW13" s="44"/>
      <c r="FX13" s="37">
        <f t="shared" si="43"/>
        <v>28300</v>
      </c>
      <c r="FY13" s="250">
        <v>296370</v>
      </c>
      <c r="FZ13" s="56"/>
      <c r="GA13" s="37">
        <f t="shared" si="44"/>
        <v>6014</v>
      </c>
      <c r="GB13" s="250">
        <v>915.48</v>
      </c>
      <c r="GC13" s="56"/>
      <c r="GD13" s="37">
        <f t="shared" si="45"/>
        <v>820.00000000005002</v>
      </c>
      <c r="GE13" s="250">
        <v>11226</v>
      </c>
      <c r="GF13" s="56"/>
      <c r="GG13" s="37">
        <f t="shared" si="46"/>
        <v>7260</v>
      </c>
      <c r="GH13" s="250">
        <v>126320</v>
      </c>
      <c r="GI13" s="162"/>
      <c r="GJ13" s="38">
        <f t="shared" si="91"/>
        <v>1740</v>
      </c>
      <c r="GK13" s="250">
        <v>1533.9</v>
      </c>
      <c r="GL13" s="163"/>
      <c r="GM13" s="38">
        <f t="shared" si="47"/>
        <v>0</v>
      </c>
      <c r="GN13" s="250">
        <v>244230</v>
      </c>
      <c r="GO13" s="57"/>
      <c r="GP13" s="38">
        <f t="shared" si="48"/>
        <v>0</v>
      </c>
      <c r="GQ13" s="250">
        <v>306080</v>
      </c>
      <c r="GR13" s="38"/>
      <c r="GS13" s="38">
        <f t="shared" si="92"/>
        <v>99</v>
      </c>
      <c r="GT13" s="247"/>
      <c r="GU13" s="144">
        <f>DailyOct!B12-DailyOct!N12-DailyOct!V12-DailyOct!Y12-DailyOct!Z12-DailyOct!AA12-DailyOct!AB12-DailyOct!AC12-DailyOct!AD12-DailyOct!AE12-DailyOct!AK12-DailyOct!AO12-DailyOct!AS12-DailyOct!AY12-DailyOct!BD12+DailyOct!BU12-DailyOct!BG12-DailyOct!BT12-DailyOct!AF12-DailyOct!AG12</f>
        <v>-5.0000002898741513E-2</v>
      </c>
      <c r="GV13" s="261">
        <v>-1764.5</v>
      </c>
      <c r="GW13" s="60">
        <f t="shared" si="0"/>
        <v>-117.63333333333334</v>
      </c>
      <c r="GX13" s="260">
        <v>-117.63</v>
      </c>
      <c r="GY13" s="140"/>
      <c r="GZ13" s="528"/>
      <c r="HA13" s="528"/>
      <c r="HB13" s="528"/>
      <c r="HC13" s="528"/>
      <c r="HD13" s="74"/>
      <c r="HE13" s="24">
        <f t="shared" si="49"/>
        <v>0</v>
      </c>
      <c r="HG13" s="279">
        <v>7</v>
      </c>
      <c r="HH13" s="292">
        <v>30866</v>
      </c>
      <c r="HI13" s="292">
        <v>11725</v>
      </c>
      <c r="HJ13" s="61">
        <f t="shared" si="50"/>
        <v>186000</v>
      </c>
      <c r="HK13" s="260">
        <v>2.1432000000000002</v>
      </c>
      <c r="HL13" s="292">
        <v>807.23</v>
      </c>
      <c r="HM13" s="61">
        <f t="shared" si="51"/>
        <v>0</v>
      </c>
      <c r="HN13" s="292">
        <v>7805</v>
      </c>
      <c r="HO13" s="292">
        <v>33230</v>
      </c>
      <c r="HP13" s="61">
        <f t="shared" si="52"/>
        <v>46225.000000000364</v>
      </c>
      <c r="HQ13" s="292">
        <v>5349.5</v>
      </c>
      <c r="HR13" s="292">
        <v>2244.6</v>
      </c>
      <c r="HS13" s="61">
        <f t="shared" si="53"/>
        <v>28625</v>
      </c>
      <c r="HT13" s="292">
        <v>5305.4</v>
      </c>
      <c r="HU13" s="292">
        <v>1905.9</v>
      </c>
      <c r="HV13" s="61">
        <f t="shared" si="54"/>
        <v>30324.999999999818</v>
      </c>
      <c r="HW13" s="292">
        <v>3943.1</v>
      </c>
      <c r="HX13" s="292">
        <v>1676.6</v>
      </c>
      <c r="HY13" s="61">
        <f t="shared" si="55"/>
        <v>27525.000000000091</v>
      </c>
      <c r="HZ13" s="260">
        <v>3295400</v>
      </c>
      <c r="IA13" s="260">
        <v>14224</v>
      </c>
      <c r="IB13" s="61">
        <f t="shared" si="56"/>
        <v>31400</v>
      </c>
      <c r="IC13" s="292">
        <v>719.8</v>
      </c>
      <c r="ID13" s="292">
        <v>232.78</v>
      </c>
      <c r="IE13" s="61">
        <f t="shared" si="113"/>
        <v>0</v>
      </c>
      <c r="IF13" s="61"/>
      <c r="IG13" s="61"/>
      <c r="IH13" s="280">
        <f t="shared" si="57"/>
        <v>21900</v>
      </c>
      <c r="II13" s="281">
        <f t="shared" si="58"/>
        <v>-2.7648638933897018E-10</v>
      </c>
      <c r="IJ13" s="345"/>
      <c r="IK13" s="345"/>
      <c r="IL13" s="347">
        <f t="shared" si="59"/>
        <v>0</v>
      </c>
      <c r="IM13" s="347"/>
      <c r="IN13" s="347"/>
      <c r="IO13" s="347">
        <f t="shared" si="60"/>
        <v>0</v>
      </c>
      <c r="IP13" s="347"/>
      <c r="IQ13" s="347"/>
      <c r="IR13" s="347">
        <f t="shared" si="61"/>
        <v>0</v>
      </c>
      <c r="IS13" s="347"/>
      <c r="IT13" s="347"/>
      <c r="IU13" s="347">
        <f t="shared" si="62"/>
        <v>0</v>
      </c>
      <c r="IV13" s="347"/>
      <c r="IW13" s="347"/>
      <c r="IX13" s="347">
        <f t="shared" si="63"/>
        <v>0</v>
      </c>
      <c r="IY13" s="347"/>
      <c r="IZ13" s="347"/>
      <c r="JA13" s="347">
        <f t="shared" si="64"/>
        <v>0</v>
      </c>
      <c r="JB13" s="347"/>
      <c r="JC13" s="347"/>
      <c r="JD13" s="347">
        <f t="shared" si="65"/>
        <v>0</v>
      </c>
      <c r="JE13" s="347"/>
      <c r="JF13" s="347"/>
      <c r="JG13" s="347">
        <f t="shared" si="66"/>
        <v>0</v>
      </c>
      <c r="JH13" s="347"/>
      <c r="JI13" s="347"/>
      <c r="JJ13" s="347">
        <f t="shared" si="67"/>
        <v>0</v>
      </c>
      <c r="JK13" s="347"/>
      <c r="JL13" s="347"/>
      <c r="JM13" s="347">
        <f t="shared" si="68"/>
        <v>0</v>
      </c>
      <c r="JN13" s="347"/>
      <c r="JO13" s="347"/>
      <c r="JP13" s="347">
        <f t="shared" si="69"/>
        <v>0</v>
      </c>
      <c r="JQ13" s="347"/>
      <c r="JR13" s="347"/>
      <c r="JS13" s="347">
        <f t="shared" si="70"/>
        <v>0</v>
      </c>
      <c r="JT13" s="347"/>
      <c r="JU13" s="347"/>
      <c r="JV13" s="347">
        <f t="shared" si="71"/>
        <v>0</v>
      </c>
      <c r="JW13" s="347"/>
      <c r="JX13" s="347"/>
      <c r="JY13" s="347">
        <f t="shared" si="72"/>
        <v>0</v>
      </c>
      <c r="JZ13" s="347"/>
      <c r="KA13" s="347"/>
      <c r="KB13" s="347">
        <f t="shared" si="73"/>
        <v>0</v>
      </c>
      <c r="KC13" s="347"/>
      <c r="KD13" s="347"/>
      <c r="KE13" s="347">
        <f t="shared" si="74"/>
        <v>0</v>
      </c>
      <c r="KG13" s="151">
        <f t="shared" si="75"/>
        <v>77625.000000000087</v>
      </c>
    </row>
    <row r="14" spans="1:293" x14ac:dyDescent="0.25">
      <c r="A14" s="35">
        <f t="shared" si="76"/>
        <v>8</v>
      </c>
      <c r="B14" s="250">
        <v>5786.39</v>
      </c>
      <c r="C14" s="38">
        <f t="shared" si="1"/>
        <v>10.430000000000291</v>
      </c>
      <c r="D14" s="38">
        <f t="shared" si="2"/>
        <v>333760.00000000931</v>
      </c>
      <c r="E14" s="250">
        <v>1159.8499999999999</v>
      </c>
      <c r="F14" s="38">
        <f t="shared" si="3"/>
        <v>68159.999999996217</v>
      </c>
      <c r="G14" s="38">
        <f t="shared" si="4"/>
        <v>401920.00000000553</v>
      </c>
      <c r="H14" s="37"/>
      <c r="I14" s="39"/>
      <c r="J14" s="42"/>
      <c r="K14" s="37">
        <f>IF(J14&lt;=0,0,(J14/SQRT(J14^2+(I14-I13)^2)))</f>
        <v>0</v>
      </c>
      <c r="L14" s="250">
        <v>18831100</v>
      </c>
      <c r="M14" s="40"/>
      <c r="N14" s="37">
        <f t="shared" si="94"/>
        <v>395000</v>
      </c>
      <c r="O14" s="250">
        <v>13399</v>
      </c>
      <c r="P14" s="37"/>
      <c r="Q14" s="37">
        <f t="shared" si="5"/>
        <v>17399.999999999636</v>
      </c>
      <c r="R14" s="37">
        <f t="shared" si="95"/>
        <v>1</v>
      </c>
      <c r="S14" s="250">
        <v>11274967.01</v>
      </c>
      <c r="T14" s="37">
        <f t="shared" si="6"/>
        <v>349.45999999903142</v>
      </c>
      <c r="U14" s="250">
        <v>1523792.57</v>
      </c>
      <c r="V14" s="37">
        <f t="shared" si="7"/>
        <v>0</v>
      </c>
      <c r="W14" s="250">
        <v>4800.1000000000004</v>
      </c>
      <c r="X14" s="37">
        <f t="shared" si="110"/>
        <v>16950.540000000605</v>
      </c>
      <c r="Y14" s="183"/>
      <c r="Z14" s="183"/>
      <c r="AA14" s="250">
        <v>872200</v>
      </c>
      <c r="AB14" s="37">
        <f t="shared" si="8"/>
        <v>100</v>
      </c>
      <c r="AC14" s="250">
        <v>4965.2</v>
      </c>
      <c r="AD14" s="37"/>
      <c r="AE14" s="37">
        <f t="shared" si="9"/>
        <v>5899.9999999996362</v>
      </c>
      <c r="AF14" s="37">
        <f t="shared" si="96"/>
        <v>1</v>
      </c>
      <c r="AG14" s="250">
        <v>10798.9</v>
      </c>
      <c r="AH14" s="48"/>
      <c r="AI14" s="37">
        <f t="shared" si="10"/>
        <v>13986.650000000363</v>
      </c>
      <c r="AJ14" s="37">
        <f t="shared" si="11"/>
        <v>1</v>
      </c>
      <c r="AK14" s="37">
        <f t="shared" si="12"/>
        <v>37186.649999999638</v>
      </c>
      <c r="AL14" s="250">
        <v>12427.3</v>
      </c>
      <c r="AM14" s="42"/>
      <c r="AN14" s="37">
        <f t="shared" si="77"/>
        <v>7696.6499999996668</v>
      </c>
      <c r="AO14" s="37">
        <f t="shared" si="97"/>
        <v>1</v>
      </c>
      <c r="AP14" s="250">
        <v>9842.2999999999993</v>
      </c>
      <c r="AQ14" s="37"/>
      <c r="AR14" s="37">
        <f t="shared" si="13"/>
        <v>12000</v>
      </c>
      <c r="AS14" s="37">
        <f t="shared" si="98"/>
        <v>1</v>
      </c>
      <c r="AT14" s="183"/>
      <c r="AU14" s="183"/>
      <c r="AV14" s="183"/>
      <c r="AW14" s="183"/>
      <c r="AX14" s="250">
        <v>540130</v>
      </c>
      <c r="AY14" s="37"/>
      <c r="AZ14" s="37">
        <f t="shared" si="14"/>
        <v>400</v>
      </c>
      <c r="BA14" s="250">
        <v>231800</v>
      </c>
      <c r="BB14" s="37"/>
      <c r="BC14" s="37">
        <f t="shared" si="15"/>
        <v>650</v>
      </c>
      <c r="BD14" s="37">
        <f t="shared" si="99"/>
        <v>20746.649999999667</v>
      </c>
      <c r="BE14" s="250">
        <v>2138.5</v>
      </c>
      <c r="BF14" s="250">
        <v>1205.3</v>
      </c>
      <c r="BG14" s="37">
        <f t="shared" si="16"/>
        <v>1599.9999999999091</v>
      </c>
      <c r="BH14" s="250">
        <v>10161</v>
      </c>
      <c r="BI14" s="250">
        <v>6569.4</v>
      </c>
      <c r="BJ14" s="37">
        <f t="shared" si="17"/>
        <v>9000</v>
      </c>
      <c r="BK14" s="250">
        <v>2136340</v>
      </c>
      <c r="BL14" s="40">
        <f t="shared" si="100"/>
        <v>3930</v>
      </c>
      <c r="BM14" s="250">
        <v>962.15</v>
      </c>
      <c r="BN14" s="37">
        <f t="shared" si="18"/>
        <v>659.99999999996817</v>
      </c>
      <c r="BO14" s="186"/>
      <c r="BP14" s="183">
        <f t="shared" si="19"/>
        <v>0</v>
      </c>
      <c r="BQ14" s="250">
        <v>908.1</v>
      </c>
      <c r="BR14" s="37">
        <f t="shared" si="78"/>
        <v>1000</v>
      </c>
      <c r="BS14" s="250">
        <v>127261.48</v>
      </c>
      <c r="BT14" s="37">
        <f t="shared" si="20"/>
        <v>207.75999999999476</v>
      </c>
      <c r="BU14" s="250">
        <v>3785331</v>
      </c>
      <c r="BV14" s="42"/>
      <c r="BW14" s="37">
        <f t="shared" si="21"/>
        <v>6533</v>
      </c>
      <c r="BX14" s="37">
        <f t="shared" si="101"/>
        <v>1</v>
      </c>
      <c r="BY14" s="250">
        <v>437.01170000000002</v>
      </c>
      <c r="BZ14" s="40"/>
      <c r="CA14" s="37">
        <f t="shared" si="22"/>
        <v>687.70000000000664</v>
      </c>
      <c r="CB14" s="37">
        <f t="shared" si="79"/>
        <v>1</v>
      </c>
      <c r="CC14" s="250">
        <v>841288.9</v>
      </c>
      <c r="CD14" s="37">
        <f t="shared" si="23"/>
        <v>2197.5999999999767</v>
      </c>
      <c r="CE14" s="250">
        <v>1941972</v>
      </c>
      <c r="CF14" s="37">
        <f t="shared" si="24"/>
        <v>3740</v>
      </c>
      <c r="CG14" s="250">
        <v>122633</v>
      </c>
      <c r="CH14" s="37">
        <f t="shared" si="80"/>
        <v>0</v>
      </c>
      <c r="CI14" s="250">
        <v>14969.27</v>
      </c>
      <c r="CJ14" s="40"/>
      <c r="CK14" s="37">
        <f t="shared" si="81"/>
        <v>16408.950000000939</v>
      </c>
      <c r="CL14" s="37">
        <f t="shared" si="25"/>
        <v>1</v>
      </c>
      <c r="CM14" s="250">
        <v>4475.6689999999999</v>
      </c>
      <c r="CN14" s="37"/>
      <c r="CO14" s="37">
        <f t="shared" si="26"/>
        <v>6111.6499999994539</v>
      </c>
      <c r="CP14" s="37">
        <f t="shared" si="102"/>
        <v>1</v>
      </c>
      <c r="CQ14" s="250">
        <v>998672.4</v>
      </c>
      <c r="CR14" s="45"/>
      <c r="CS14" s="37">
        <f t="shared" si="82"/>
        <v>6846.3500000000695</v>
      </c>
      <c r="CT14" s="37">
        <f t="shared" si="83"/>
        <v>1</v>
      </c>
      <c r="CU14" s="250">
        <v>4990295</v>
      </c>
      <c r="CV14" s="37"/>
      <c r="CW14" s="38">
        <f t="shared" si="27"/>
        <v>768</v>
      </c>
      <c r="CX14" s="37">
        <f t="shared" si="103"/>
        <v>1</v>
      </c>
      <c r="CY14" s="250">
        <v>2677923</v>
      </c>
      <c r="CZ14" s="37"/>
      <c r="DA14" s="37">
        <f t="shared" si="28"/>
        <v>490</v>
      </c>
      <c r="DB14" s="37">
        <f t="shared" si="104"/>
        <v>1</v>
      </c>
      <c r="DC14" s="37"/>
      <c r="DD14" s="40"/>
      <c r="DE14" s="37">
        <f t="shared" si="29"/>
        <v>0</v>
      </c>
      <c r="DF14" s="37">
        <f t="shared" si="111"/>
        <v>0</v>
      </c>
      <c r="DG14" s="37">
        <f t="shared" si="30"/>
        <v>-37157.950000000463</v>
      </c>
      <c r="DH14" s="37">
        <f t="shared" si="31"/>
        <v>433786.64999999956</v>
      </c>
      <c r="DI14" s="46"/>
      <c r="DJ14" s="46"/>
      <c r="DK14" s="47"/>
      <c r="DL14" s="47"/>
      <c r="DM14" s="37"/>
      <c r="DN14" s="37"/>
      <c r="DO14" s="37"/>
      <c r="DP14" s="37"/>
      <c r="DQ14" s="250">
        <v>4792700</v>
      </c>
      <c r="DR14" s="49">
        <f t="shared" si="84"/>
        <v>10600</v>
      </c>
      <c r="DS14" s="250">
        <v>6710400</v>
      </c>
      <c r="DT14" s="49">
        <f t="shared" si="85"/>
        <v>23000</v>
      </c>
      <c r="DU14" s="250">
        <v>8499.5</v>
      </c>
      <c r="DV14" s="250">
        <v>4777.8</v>
      </c>
      <c r="DW14" s="37">
        <f t="shared" si="105"/>
        <v>4500</v>
      </c>
      <c r="DX14" s="250">
        <v>14072</v>
      </c>
      <c r="DY14" s="250">
        <v>8798.6</v>
      </c>
      <c r="DZ14" s="37">
        <f t="shared" si="32"/>
        <v>8886.65</v>
      </c>
      <c r="EA14" s="250">
        <v>32749</v>
      </c>
      <c r="EB14" s="250">
        <v>22.32</v>
      </c>
      <c r="EC14" s="37">
        <f t="shared" si="33"/>
        <v>26046.65</v>
      </c>
      <c r="ED14" s="53">
        <f t="shared" si="34"/>
        <v>39433.300000000003</v>
      </c>
      <c r="EE14" s="250">
        <v>49150</v>
      </c>
      <c r="EF14" s="250">
        <v>32.447000000000003</v>
      </c>
      <c r="EG14" s="37">
        <f t="shared" si="35"/>
        <v>27046.65</v>
      </c>
      <c r="EH14" s="250">
        <v>14584</v>
      </c>
      <c r="EI14" s="250">
        <v>2.1760999999999999</v>
      </c>
      <c r="EJ14" s="37">
        <f t="shared" si="36"/>
        <v>10886.65</v>
      </c>
      <c r="EK14" s="250">
        <v>889.57</v>
      </c>
      <c r="EL14" s="250">
        <v>1273.0999999999999</v>
      </c>
      <c r="EM14" s="37">
        <f t="shared" si="86"/>
        <v>400.00000000009095</v>
      </c>
      <c r="EN14" s="54">
        <f t="shared" si="87"/>
        <v>38333.30000000009</v>
      </c>
      <c r="EO14" s="250">
        <v>14039</v>
      </c>
      <c r="EP14" s="48"/>
      <c r="EQ14" s="37">
        <f t="shared" si="112"/>
        <v>7731.6499999999705</v>
      </c>
      <c r="ER14" s="250">
        <v>11555</v>
      </c>
      <c r="ES14" s="48"/>
      <c r="ET14" s="49">
        <f t="shared" si="37"/>
        <v>18000</v>
      </c>
      <c r="EU14" s="250">
        <v>4885.5</v>
      </c>
      <c r="EV14" s="48"/>
      <c r="EW14" s="49">
        <f t="shared" si="38"/>
        <v>11686.650000000182</v>
      </c>
      <c r="EX14" s="250">
        <v>15064</v>
      </c>
      <c r="EY14" s="48"/>
      <c r="EZ14" s="37">
        <f t="shared" si="39"/>
        <v>14886.65</v>
      </c>
      <c r="FA14" s="48">
        <f t="shared" si="88"/>
        <v>-27669.950000000154</v>
      </c>
      <c r="FB14" s="250">
        <v>39614740</v>
      </c>
      <c r="FC14" s="49">
        <f t="shared" si="106"/>
        <v>24635</v>
      </c>
      <c r="FD14" s="48">
        <f t="shared" si="89"/>
        <v>54234.950000000157</v>
      </c>
      <c r="FE14" s="250">
        <v>18178</v>
      </c>
      <c r="FF14" s="48"/>
      <c r="FG14" s="37">
        <f t="shared" si="40"/>
        <v>2041.6500000000296</v>
      </c>
      <c r="FH14" s="250">
        <v>10945.6</v>
      </c>
      <c r="FI14" s="48"/>
      <c r="FJ14" s="49">
        <f t="shared" si="41"/>
        <v>886.65</v>
      </c>
      <c r="FK14" s="48"/>
      <c r="FL14" s="58"/>
      <c r="FM14" s="48">
        <f t="shared" si="107"/>
        <v>-604.98333333334324</v>
      </c>
      <c r="FN14" s="250">
        <v>18119</v>
      </c>
      <c r="FO14" s="48"/>
      <c r="FP14" s="37">
        <f t="shared" si="90"/>
        <v>886.65</v>
      </c>
      <c r="FQ14" s="250">
        <v>63713</v>
      </c>
      <c r="FR14" s="48"/>
      <c r="FS14" s="37">
        <f t="shared" si="42"/>
        <v>2000</v>
      </c>
      <c r="FT14" s="48">
        <f t="shared" si="108"/>
        <v>-1814.9500000000296</v>
      </c>
      <c r="FU14" s="48">
        <f t="shared" si="109"/>
        <v>3814.9500000000298</v>
      </c>
      <c r="FV14" s="250">
        <v>7534200</v>
      </c>
      <c r="FW14" s="44"/>
      <c r="FX14" s="37">
        <f t="shared" si="43"/>
        <v>34500</v>
      </c>
      <c r="FY14" s="250">
        <v>303710</v>
      </c>
      <c r="FZ14" s="56"/>
      <c r="GA14" s="37">
        <f t="shared" si="44"/>
        <v>7340</v>
      </c>
      <c r="GB14" s="250">
        <v>916.48</v>
      </c>
      <c r="GC14" s="56"/>
      <c r="GD14" s="37">
        <f t="shared" si="45"/>
        <v>1000</v>
      </c>
      <c r="GE14" s="250">
        <v>11237</v>
      </c>
      <c r="GF14" s="56"/>
      <c r="GG14" s="37">
        <f t="shared" si="46"/>
        <v>9070</v>
      </c>
      <c r="GH14" s="250">
        <v>128250</v>
      </c>
      <c r="GI14" s="162"/>
      <c r="GJ14" s="38">
        <f t="shared" si="91"/>
        <v>1930</v>
      </c>
      <c r="GK14" s="250">
        <v>1533.9</v>
      </c>
      <c r="GL14" s="163"/>
      <c r="GM14" s="38">
        <f t="shared" si="47"/>
        <v>0</v>
      </c>
      <c r="GN14" s="250">
        <v>244230</v>
      </c>
      <c r="GO14" s="57"/>
      <c r="GP14" s="38">
        <f t="shared" si="48"/>
        <v>0</v>
      </c>
      <c r="GQ14" s="250">
        <v>306200</v>
      </c>
      <c r="GR14" s="38"/>
      <c r="GS14" s="38">
        <f t="shared" si="92"/>
        <v>120</v>
      </c>
      <c r="GT14" s="247"/>
      <c r="GU14" s="144">
        <f>DailyOct!B13-DailyOct!N13-DailyOct!V13-DailyOct!Y13-DailyOct!Z13-DailyOct!AA13-DailyOct!AB13-DailyOct!AC13-DailyOct!AD13-DailyOct!AE13-DailyOct!AK13-DailyOct!AO13-DailyOct!AS13-DailyOct!AY13-DailyOct!BD13+DailyOct!BU13-DailyOct!BG13-DailyOct!BT13-DailyOct!AF13-DailyOct!AG13</f>
        <v>-4.9999994342215359E-2</v>
      </c>
      <c r="GV14" s="261">
        <v>13299.7</v>
      </c>
      <c r="GW14" s="60">
        <f t="shared" si="0"/>
        <v>886.64666666666676</v>
      </c>
      <c r="GX14" s="260">
        <v>886.65</v>
      </c>
      <c r="GY14" s="140"/>
      <c r="GZ14" s="528"/>
      <c r="HA14" s="528"/>
      <c r="HB14" s="528"/>
      <c r="HC14" s="528"/>
      <c r="HD14" s="74"/>
      <c r="HE14" s="24">
        <f t="shared" si="49"/>
        <v>0</v>
      </c>
      <c r="HG14" s="279">
        <v>8</v>
      </c>
      <c r="HH14" s="292">
        <v>31044</v>
      </c>
      <c r="HI14" s="292">
        <v>11794</v>
      </c>
      <c r="HJ14" s="61">
        <f t="shared" si="50"/>
        <v>178000</v>
      </c>
      <c r="HK14" s="260">
        <v>2.1432000000000002</v>
      </c>
      <c r="HL14" s="292">
        <v>807.23</v>
      </c>
      <c r="HM14" s="61">
        <f t="shared" si="51"/>
        <v>0</v>
      </c>
      <c r="HN14" s="292">
        <v>7852.7</v>
      </c>
      <c r="HO14" s="292">
        <v>33423</v>
      </c>
      <c r="HP14" s="61">
        <f t="shared" si="52"/>
        <v>45649.999999999818</v>
      </c>
      <c r="HQ14" s="292">
        <v>5376.8</v>
      </c>
      <c r="HR14" s="292">
        <v>2255.1</v>
      </c>
      <c r="HS14" s="61">
        <f t="shared" si="53"/>
        <v>25250.000000000182</v>
      </c>
      <c r="HT14" s="292">
        <v>5334.6</v>
      </c>
      <c r="HU14" s="292">
        <v>1915.2</v>
      </c>
      <c r="HV14" s="61">
        <f t="shared" si="54"/>
        <v>27150.000000000728</v>
      </c>
      <c r="HW14" s="292">
        <v>3969</v>
      </c>
      <c r="HX14" s="292">
        <v>1686.7</v>
      </c>
      <c r="HY14" s="61">
        <f t="shared" si="55"/>
        <v>23850.000000000091</v>
      </c>
      <c r="HZ14" s="260">
        <v>3328500</v>
      </c>
      <c r="IA14" s="260">
        <v>14358</v>
      </c>
      <c r="IB14" s="61">
        <f t="shared" si="56"/>
        <v>33100</v>
      </c>
      <c r="IC14" s="292">
        <v>719.8</v>
      </c>
      <c r="ID14" s="292">
        <v>232.78</v>
      </c>
      <c r="IE14" s="61">
        <f t="shared" si="113"/>
        <v>0</v>
      </c>
      <c r="IF14" s="61"/>
      <c r="IG14" s="61"/>
      <c r="IH14" s="280">
        <f t="shared" si="57"/>
        <v>23000</v>
      </c>
      <c r="II14" s="281">
        <f t="shared" si="58"/>
        <v>-8.0763129517436028E-10</v>
      </c>
      <c r="IJ14" s="345"/>
      <c r="IK14" s="345"/>
      <c r="IL14" s="347">
        <f t="shared" si="59"/>
        <v>0</v>
      </c>
      <c r="IM14" s="347"/>
      <c r="IN14" s="347"/>
      <c r="IO14" s="347">
        <f t="shared" si="60"/>
        <v>0</v>
      </c>
      <c r="IP14" s="347"/>
      <c r="IQ14" s="347"/>
      <c r="IR14" s="347">
        <f t="shared" si="61"/>
        <v>0</v>
      </c>
      <c r="IS14" s="347"/>
      <c r="IT14" s="347"/>
      <c r="IU14" s="347">
        <f t="shared" si="62"/>
        <v>0</v>
      </c>
      <c r="IV14" s="347"/>
      <c r="IW14" s="347"/>
      <c r="IX14" s="347">
        <f t="shared" si="63"/>
        <v>0</v>
      </c>
      <c r="IY14" s="347"/>
      <c r="IZ14" s="347"/>
      <c r="JA14" s="347">
        <f t="shared" si="64"/>
        <v>0</v>
      </c>
      <c r="JB14" s="347"/>
      <c r="JC14" s="347"/>
      <c r="JD14" s="347">
        <f t="shared" si="65"/>
        <v>0</v>
      </c>
      <c r="JE14" s="347"/>
      <c r="JF14" s="347"/>
      <c r="JG14" s="347">
        <f t="shared" si="66"/>
        <v>0</v>
      </c>
      <c r="JH14" s="347"/>
      <c r="JI14" s="347"/>
      <c r="JJ14" s="347">
        <f t="shared" si="67"/>
        <v>0</v>
      </c>
      <c r="JK14" s="347"/>
      <c r="JL14" s="347"/>
      <c r="JM14" s="347">
        <f t="shared" si="68"/>
        <v>0</v>
      </c>
      <c r="JN14" s="347"/>
      <c r="JO14" s="347"/>
      <c r="JP14" s="347">
        <f t="shared" si="69"/>
        <v>0</v>
      </c>
      <c r="JQ14" s="347"/>
      <c r="JR14" s="347"/>
      <c r="JS14" s="347">
        <f t="shared" si="70"/>
        <v>0</v>
      </c>
      <c r="JT14" s="347"/>
      <c r="JU14" s="347"/>
      <c r="JV14" s="347">
        <f t="shared" si="71"/>
        <v>0</v>
      </c>
      <c r="JW14" s="347"/>
      <c r="JX14" s="347"/>
      <c r="JY14" s="347">
        <f t="shared" si="72"/>
        <v>0</v>
      </c>
      <c r="JZ14" s="347"/>
      <c r="KA14" s="347"/>
      <c r="KB14" s="347">
        <f t="shared" si="73"/>
        <v>0</v>
      </c>
      <c r="KC14" s="347"/>
      <c r="KD14" s="347"/>
      <c r="KE14" s="347">
        <f t="shared" si="74"/>
        <v>0</v>
      </c>
      <c r="KG14" s="151">
        <f t="shared" si="75"/>
        <v>78749.99999999901</v>
      </c>
    </row>
    <row r="15" spans="1:293" x14ac:dyDescent="0.25">
      <c r="A15" s="215">
        <f t="shared" si="76"/>
        <v>9</v>
      </c>
      <c r="B15" s="250">
        <v>5796.42</v>
      </c>
      <c r="C15" s="38">
        <f t="shared" si="1"/>
        <v>10.029999999999745</v>
      </c>
      <c r="D15" s="38">
        <f t="shared" si="2"/>
        <v>320959.99999999185</v>
      </c>
      <c r="E15" s="250">
        <v>1161.98</v>
      </c>
      <c r="F15" s="38">
        <f t="shared" si="3"/>
        <v>68160.000000003492</v>
      </c>
      <c r="G15" s="38">
        <f t="shared" si="4"/>
        <v>389119.99999999534</v>
      </c>
      <c r="H15" s="37"/>
      <c r="I15" s="39"/>
      <c r="J15" s="42"/>
      <c r="K15" s="37">
        <f>IF(J15&lt;=0,0,(J15/SQRT(J15^2+(I15-I14)^2)))</f>
        <v>0</v>
      </c>
      <c r="L15" s="250">
        <v>18869500</v>
      </c>
      <c r="M15" s="40"/>
      <c r="N15" s="37">
        <f t="shared" si="94"/>
        <v>384000</v>
      </c>
      <c r="O15" s="250">
        <v>13417.1</v>
      </c>
      <c r="P15" s="2"/>
      <c r="Q15" s="37">
        <f t="shared" si="5"/>
        <v>18100.000000000364</v>
      </c>
      <c r="R15" s="37">
        <f>IF(Q15&lt;=0,0,(Q15/SQRT(Q15^2+(P15-P14)^2)))</f>
        <v>1</v>
      </c>
      <c r="S15" s="250">
        <v>11275388.84</v>
      </c>
      <c r="T15" s="37">
        <f t="shared" si="6"/>
        <v>421.83000000007451</v>
      </c>
      <c r="U15" s="250">
        <v>1523792.57</v>
      </c>
      <c r="V15" s="37">
        <f t="shared" si="7"/>
        <v>0</v>
      </c>
      <c r="W15" s="250">
        <v>4806.1000000000004</v>
      </c>
      <c r="X15" s="37">
        <f t="shared" si="110"/>
        <v>17478.170000000289</v>
      </c>
      <c r="Y15" s="183"/>
      <c r="Z15" s="183"/>
      <c r="AA15" s="250">
        <v>872400</v>
      </c>
      <c r="AB15" s="37">
        <f t="shared" si="8"/>
        <v>200</v>
      </c>
      <c r="AC15" s="250">
        <v>4972.8</v>
      </c>
      <c r="AD15" s="37"/>
      <c r="AE15" s="37">
        <f t="shared" si="9"/>
        <v>7600.0000000003638</v>
      </c>
      <c r="AF15" s="37">
        <f>IF(AE15&lt;=0,0,(AE15/SQRT(AE15^2+(AD15-AD14)^2)))</f>
        <v>1</v>
      </c>
      <c r="AG15" s="250">
        <v>10814.9</v>
      </c>
      <c r="AH15" s="48"/>
      <c r="AI15" s="37">
        <f t="shared" si="10"/>
        <v>15972.13</v>
      </c>
      <c r="AJ15" s="37">
        <f t="shared" si="11"/>
        <v>1</v>
      </c>
      <c r="AK15" s="37">
        <f t="shared" si="12"/>
        <v>41472.130000000725</v>
      </c>
      <c r="AL15" s="250">
        <v>12440</v>
      </c>
      <c r="AM15" s="42"/>
      <c r="AN15" s="37">
        <f t="shared" si="77"/>
        <v>7342.1300000008177</v>
      </c>
      <c r="AO15" s="37">
        <f>IF(AN15&lt;=0,0,(AN15/SQRT(AN15^2+(AM15-AM14)^2)))</f>
        <v>1</v>
      </c>
      <c r="AP15" s="250">
        <v>9850.1</v>
      </c>
      <c r="AQ15" s="37"/>
      <c r="AR15" s="37">
        <f t="shared" si="13"/>
        <v>7800.0000000010914</v>
      </c>
      <c r="AS15" s="37">
        <f>IF(AR15&lt;=0,0,(AR15/SQRT(AR15^2+(AQ15-AQ14)^2)))</f>
        <v>1</v>
      </c>
      <c r="AT15" s="183"/>
      <c r="AU15" s="183"/>
      <c r="AV15" s="183"/>
      <c r="AW15" s="183"/>
      <c r="AX15" s="250">
        <v>540520</v>
      </c>
      <c r="AY15" s="37"/>
      <c r="AZ15" s="37">
        <f t="shared" si="14"/>
        <v>390</v>
      </c>
      <c r="BA15" s="250">
        <v>232370</v>
      </c>
      <c r="BB15" s="37"/>
      <c r="BC15" s="37">
        <f t="shared" si="15"/>
        <v>570</v>
      </c>
      <c r="BD15" s="37">
        <f t="shared" si="99"/>
        <v>16102.130000001909</v>
      </c>
      <c r="BE15" s="250">
        <v>2140</v>
      </c>
      <c r="BF15" s="250">
        <v>1206.3</v>
      </c>
      <c r="BG15" s="37">
        <f t="shared" si="16"/>
        <v>1500</v>
      </c>
      <c r="BH15" s="250">
        <v>10169</v>
      </c>
      <c r="BI15" s="250">
        <v>6575.3</v>
      </c>
      <c r="BJ15" s="37">
        <f t="shared" si="17"/>
        <v>8000</v>
      </c>
      <c r="BK15" s="250">
        <v>2140320</v>
      </c>
      <c r="BL15" s="40">
        <f t="shared" si="100"/>
        <v>3980</v>
      </c>
      <c r="BM15" s="250">
        <v>962.8</v>
      </c>
      <c r="BN15" s="37">
        <f t="shared" si="18"/>
        <v>649.99999999997726</v>
      </c>
      <c r="BO15" s="186"/>
      <c r="BP15" s="183">
        <f t="shared" si="19"/>
        <v>0</v>
      </c>
      <c r="BQ15" s="250">
        <v>908.8</v>
      </c>
      <c r="BR15" s="37">
        <f t="shared" si="78"/>
        <v>699.99999999993179</v>
      </c>
      <c r="BS15" s="250">
        <v>127456.94</v>
      </c>
      <c r="BT15" s="37">
        <f t="shared" si="20"/>
        <v>195.4600000000064</v>
      </c>
      <c r="BU15" s="250">
        <v>3791862</v>
      </c>
      <c r="BV15" s="42"/>
      <c r="BW15" s="37">
        <f t="shared" si="21"/>
        <v>6531</v>
      </c>
      <c r="BX15" s="37">
        <f>IF(BW15&lt;=0,0,(BW15/SQRT(BW15^2+(BV15-BV14)^2)))</f>
        <v>1</v>
      </c>
      <c r="BY15" s="250">
        <v>437.68579999999997</v>
      </c>
      <c r="BZ15" s="37"/>
      <c r="CA15" s="37">
        <f t="shared" si="22"/>
        <v>674.09999999995307</v>
      </c>
      <c r="CB15" s="37">
        <f t="shared" si="79"/>
        <v>1</v>
      </c>
      <c r="CC15" s="250">
        <v>843028.4</v>
      </c>
      <c r="CD15" s="37">
        <f t="shared" si="23"/>
        <v>1739.5</v>
      </c>
      <c r="CE15" s="250">
        <v>1946167</v>
      </c>
      <c r="CF15" s="37">
        <f t="shared" si="24"/>
        <v>4195</v>
      </c>
      <c r="CG15" s="250">
        <v>122991.9</v>
      </c>
      <c r="CH15" s="37">
        <f t="shared" si="80"/>
        <v>358.89999999999418</v>
      </c>
      <c r="CI15" s="250">
        <v>14985.11</v>
      </c>
      <c r="CJ15" s="40"/>
      <c r="CK15" s="37">
        <f t="shared" si="81"/>
        <v>15138.030000000192</v>
      </c>
      <c r="CL15" s="37">
        <f t="shared" si="25"/>
        <v>1</v>
      </c>
      <c r="CM15" s="250">
        <v>4480.2719999999999</v>
      </c>
      <c r="CN15" s="37"/>
      <c r="CO15" s="37">
        <f t="shared" si="26"/>
        <v>4575.1300000000656</v>
      </c>
      <c r="CP15" s="37">
        <f>IF(CO15&lt;=0,0,(CO15/SQRT(CO15^2+(CN15-CN14)^2)))</f>
        <v>1</v>
      </c>
      <c r="CQ15" s="250">
        <v>1004521</v>
      </c>
      <c r="CR15" s="45"/>
      <c r="CS15" s="37">
        <f t="shared" si="82"/>
        <v>5820.7299999999768</v>
      </c>
      <c r="CT15" s="37">
        <f t="shared" si="83"/>
        <v>1</v>
      </c>
      <c r="CU15" s="250">
        <v>4991073</v>
      </c>
      <c r="CV15" s="37"/>
      <c r="CW15" s="38">
        <f t="shared" si="27"/>
        <v>778</v>
      </c>
      <c r="CX15" s="37">
        <f t="shared" si="103"/>
        <v>1</v>
      </c>
      <c r="CY15" s="250">
        <v>2678418</v>
      </c>
      <c r="CZ15" s="37"/>
      <c r="DA15" s="37">
        <f t="shared" si="28"/>
        <v>495</v>
      </c>
      <c r="DB15" s="37">
        <f>IF(DA15&lt;=0,0,(DA15/SQRT(DA15^2+(CZ15-CZ14)^2)))</f>
        <v>1</v>
      </c>
      <c r="DC15" s="37"/>
      <c r="DD15" s="40"/>
      <c r="DE15" s="37">
        <f t="shared" si="29"/>
        <v>0</v>
      </c>
      <c r="DF15" s="37">
        <f>IF(DE15&lt;=0,0,(DE15/SQRT(DE15^2+(DD15-DD14)^2)))</f>
        <v>0</v>
      </c>
      <c r="DG15" s="37">
        <f t="shared" si="30"/>
        <v>-33337.890000000232</v>
      </c>
      <c r="DH15" s="37">
        <f t="shared" si="31"/>
        <v>426972.1300000007</v>
      </c>
      <c r="DI15" s="46"/>
      <c r="DJ15" s="46"/>
      <c r="DK15" s="47"/>
      <c r="DL15" s="47"/>
      <c r="DM15" s="37"/>
      <c r="DN15" s="37"/>
      <c r="DO15" s="37"/>
      <c r="DP15" s="37"/>
      <c r="DQ15" s="250">
        <v>4803100</v>
      </c>
      <c r="DR15" s="49">
        <f t="shared" si="84"/>
        <v>10400</v>
      </c>
      <c r="DS15" s="250">
        <v>6740800</v>
      </c>
      <c r="DT15" s="49">
        <f t="shared" si="85"/>
        <v>30400</v>
      </c>
      <c r="DU15" s="250">
        <v>8504.2000000000007</v>
      </c>
      <c r="DV15" s="250">
        <v>4779.2</v>
      </c>
      <c r="DW15" s="37">
        <f t="shared" si="105"/>
        <v>4700.0000000007276</v>
      </c>
      <c r="DX15" s="250">
        <v>14080</v>
      </c>
      <c r="DY15" s="250">
        <v>8800.9</v>
      </c>
      <c r="DZ15" s="37">
        <f t="shared" si="32"/>
        <v>7972.13</v>
      </c>
      <c r="EA15" s="250">
        <v>32772</v>
      </c>
      <c r="EB15" s="250">
        <v>22.332000000000001</v>
      </c>
      <c r="EC15" s="37">
        <f t="shared" si="33"/>
        <v>25132.13</v>
      </c>
      <c r="ED15" s="53">
        <f t="shared" si="34"/>
        <v>37804.26000000073</v>
      </c>
      <c r="EE15" s="250">
        <v>49177</v>
      </c>
      <c r="EF15" s="250">
        <v>32.468000000000004</v>
      </c>
      <c r="EG15" s="37">
        <f t="shared" si="35"/>
        <v>29132.13</v>
      </c>
      <c r="EH15" s="250">
        <v>14595</v>
      </c>
      <c r="EI15" s="250">
        <v>2.1791</v>
      </c>
      <c r="EJ15" s="37">
        <f t="shared" si="36"/>
        <v>10972.13</v>
      </c>
      <c r="EK15" s="250">
        <v>890.14</v>
      </c>
      <c r="EL15" s="250">
        <v>1272.9000000000001</v>
      </c>
      <c r="EM15" s="37">
        <f t="shared" si="86"/>
        <v>569.99999999993634</v>
      </c>
      <c r="EN15" s="54">
        <f t="shared" si="87"/>
        <v>40674.259999999937</v>
      </c>
      <c r="EO15" s="250">
        <v>14047</v>
      </c>
      <c r="EP15" s="48"/>
      <c r="EQ15" s="37">
        <f t="shared" si="112"/>
        <v>6677.130000000041</v>
      </c>
      <c r="ER15" s="250">
        <v>11571</v>
      </c>
      <c r="ES15" s="48"/>
      <c r="ET15" s="49">
        <f>IF((ER15-ER14)&lt;=0,0,(ER15-ER14))*1000</f>
        <v>16000</v>
      </c>
      <c r="EU15" s="250">
        <v>4895.8</v>
      </c>
      <c r="EV15" s="48"/>
      <c r="EW15" s="49">
        <f t="shared" si="38"/>
        <v>10272.130000000181</v>
      </c>
      <c r="EX15" s="250">
        <v>15077</v>
      </c>
      <c r="EY15" s="48"/>
      <c r="EZ15" s="37">
        <f t="shared" si="39"/>
        <v>12972.13</v>
      </c>
      <c r="FA15" s="48">
        <f t="shared" si="88"/>
        <v>-20791.390000000221</v>
      </c>
      <c r="FB15" s="250">
        <v>39639870</v>
      </c>
      <c r="FC15" s="49">
        <f>IF((FB15-FB14)&lt;=0,0,(FB15-FB14))</f>
        <v>25130</v>
      </c>
      <c r="FD15" s="48">
        <f t="shared" si="89"/>
        <v>47481.390000000218</v>
      </c>
      <c r="FE15" s="250">
        <v>18179</v>
      </c>
      <c r="FF15" s="48"/>
      <c r="FG15" s="37">
        <f t="shared" si="40"/>
        <v>2267.1299999999592</v>
      </c>
      <c r="FH15" s="250">
        <v>10945.7</v>
      </c>
      <c r="FI15" s="48"/>
      <c r="FJ15" s="49">
        <f t="shared" si="41"/>
        <v>72.130000000363793</v>
      </c>
      <c r="FK15" s="48"/>
      <c r="FL15" s="58"/>
      <c r="FM15" s="48">
        <f>FT15/3</f>
        <v>-437.13000000010766</v>
      </c>
      <c r="FN15" s="250">
        <v>18120</v>
      </c>
      <c r="FO15" s="48"/>
      <c r="FP15" s="37">
        <f t="shared" si="90"/>
        <v>972.13</v>
      </c>
      <c r="FQ15" s="250">
        <v>63715</v>
      </c>
      <c r="FR15" s="48"/>
      <c r="FS15" s="37">
        <f t="shared" si="42"/>
        <v>2000</v>
      </c>
      <c r="FT15" s="48">
        <f t="shared" si="108"/>
        <v>-1311.390000000323</v>
      </c>
      <c r="FU15" s="48">
        <f t="shared" si="109"/>
        <v>3411.3900000002322</v>
      </c>
      <c r="FV15" s="250">
        <v>7565900</v>
      </c>
      <c r="FW15" s="44"/>
      <c r="FX15" s="37">
        <f t="shared" si="43"/>
        <v>31700</v>
      </c>
      <c r="FY15" s="250">
        <v>310510</v>
      </c>
      <c r="FZ15" s="56"/>
      <c r="GA15" s="37">
        <f t="shared" si="44"/>
        <v>6800</v>
      </c>
      <c r="GB15" s="250">
        <v>917.49</v>
      </c>
      <c r="GC15" s="56"/>
      <c r="GD15" s="37">
        <f t="shared" si="45"/>
        <v>1009.9999999999909</v>
      </c>
      <c r="GE15" s="250">
        <v>11246</v>
      </c>
      <c r="GF15" s="56"/>
      <c r="GG15" s="37">
        <f t="shared" si="46"/>
        <v>7340.0000000000909</v>
      </c>
      <c r="GH15" s="250">
        <v>129810</v>
      </c>
      <c r="GI15" s="162"/>
      <c r="GJ15" s="38">
        <f t="shared" si="91"/>
        <v>1560</v>
      </c>
      <c r="GK15" s="250">
        <v>1534</v>
      </c>
      <c r="GL15" s="163"/>
      <c r="GM15" s="38">
        <f t="shared" si="47"/>
        <v>99.999999999909051</v>
      </c>
      <c r="GN15" s="250">
        <v>244230</v>
      </c>
      <c r="GO15" s="57"/>
      <c r="GP15" s="38">
        <f t="shared" si="48"/>
        <v>0</v>
      </c>
      <c r="GQ15" s="250">
        <v>306330</v>
      </c>
      <c r="GR15" s="38"/>
      <c r="GS15" s="38">
        <f t="shared" si="92"/>
        <v>130</v>
      </c>
      <c r="GT15" s="247"/>
      <c r="GU15" s="144">
        <f>DailyOct!B14-DailyOct!N14-DailyOct!V14-DailyOct!Y14-DailyOct!Z14-DailyOct!AA14-DailyOct!AB14-DailyOct!AC14-DailyOct!AD14-DailyOct!AE14-DailyOct!AK14-DailyOct!AO14-DailyOct!AS14-DailyOct!AY14-DailyOct!BD14+DailyOct!BU14-DailyOct!BG14-DailyOct!BT14-DailyOct!AF14-DailyOct!AG14</f>
        <v>4.9999991373624653E-2</v>
      </c>
      <c r="GV15" s="261">
        <v>-418</v>
      </c>
      <c r="GW15" s="60">
        <f t="shared" si="0"/>
        <v>-27.866666666666667</v>
      </c>
      <c r="GX15" s="260">
        <v>-27.87</v>
      </c>
      <c r="GY15" s="140"/>
      <c r="GZ15" s="528"/>
      <c r="HA15" s="528"/>
      <c r="HB15" s="528"/>
      <c r="HC15" s="528"/>
      <c r="HD15" s="74"/>
      <c r="HE15" s="24">
        <f t="shared" si="49"/>
        <v>0</v>
      </c>
      <c r="HF15" s="255"/>
      <c r="HG15" s="279">
        <v>9</v>
      </c>
      <c r="HH15" s="292">
        <v>31228</v>
      </c>
      <c r="HI15" s="292">
        <v>11864</v>
      </c>
      <c r="HJ15" s="61">
        <f t="shared" si="50"/>
        <v>184000</v>
      </c>
      <c r="HK15" s="260">
        <v>2.1432000000000002</v>
      </c>
      <c r="HL15" s="292">
        <v>807.23</v>
      </c>
      <c r="HM15" s="61">
        <f t="shared" si="51"/>
        <v>0</v>
      </c>
      <c r="HN15" s="292">
        <v>7896.5</v>
      </c>
      <c r="HO15" s="292">
        <v>33602</v>
      </c>
      <c r="HP15" s="61">
        <f t="shared" si="52"/>
        <v>43275.000000000182</v>
      </c>
      <c r="HQ15" s="292">
        <v>5403.5</v>
      </c>
      <c r="HR15" s="292">
        <v>2265.6</v>
      </c>
      <c r="HS15" s="61">
        <f t="shared" si="53"/>
        <v>26174.999999999818</v>
      </c>
      <c r="HT15" s="292">
        <v>5363.5</v>
      </c>
      <c r="HU15" s="292">
        <v>1925.5</v>
      </c>
      <c r="HV15" s="61">
        <f t="shared" si="54"/>
        <v>28374.999999999636</v>
      </c>
      <c r="HW15" s="292">
        <v>3993</v>
      </c>
      <c r="HX15" s="292">
        <v>1696.6</v>
      </c>
      <c r="HY15" s="61">
        <f t="shared" si="55"/>
        <v>23475</v>
      </c>
      <c r="HZ15" s="260">
        <v>3360800</v>
      </c>
      <c r="IA15" s="260">
        <v>14490</v>
      </c>
      <c r="IB15" s="61">
        <f t="shared" si="56"/>
        <v>32300</v>
      </c>
      <c r="IC15" s="292">
        <v>719.8</v>
      </c>
      <c r="ID15" s="292">
        <v>232.78</v>
      </c>
      <c r="IE15" s="61">
        <f t="shared" si="113"/>
        <v>0</v>
      </c>
      <c r="IF15" s="61"/>
      <c r="IG15" s="61"/>
      <c r="IH15" s="280">
        <f t="shared" si="57"/>
        <v>30400</v>
      </c>
      <c r="II15" s="281">
        <f t="shared" si="58"/>
        <v>3.5652192309498787E-10</v>
      </c>
      <c r="IJ15" s="345"/>
      <c r="IK15" s="345"/>
      <c r="IL15" s="347">
        <f t="shared" si="59"/>
        <v>0</v>
      </c>
      <c r="IM15" s="347"/>
      <c r="IN15" s="347"/>
      <c r="IO15" s="347">
        <f t="shared" si="60"/>
        <v>0</v>
      </c>
      <c r="IP15" s="347"/>
      <c r="IQ15" s="347"/>
      <c r="IR15" s="347">
        <f t="shared" si="61"/>
        <v>0</v>
      </c>
      <c r="IS15" s="347"/>
      <c r="IT15" s="347"/>
      <c r="IU15" s="347">
        <f t="shared" si="62"/>
        <v>0</v>
      </c>
      <c r="IV15" s="347"/>
      <c r="IW15" s="347"/>
      <c r="IX15" s="347">
        <f t="shared" si="63"/>
        <v>0</v>
      </c>
      <c r="IY15" s="347"/>
      <c r="IZ15" s="347"/>
      <c r="JA15" s="347">
        <f t="shared" si="64"/>
        <v>0</v>
      </c>
      <c r="JB15" s="347"/>
      <c r="JC15" s="347"/>
      <c r="JD15" s="347">
        <f t="shared" si="65"/>
        <v>0</v>
      </c>
      <c r="JE15" s="347"/>
      <c r="JF15" s="347"/>
      <c r="JG15" s="347">
        <f t="shared" si="66"/>
        <v>0</v>
      </c>
      <c r="JH15" s="347"/>
      <c r="JI15" s="347"/>
      <c r="JJ15" s="347">
        <f t="shared" si="67"/>
        <v>0</v>
      </c>
      <c r="JK15" s="347"/>
      <c r="JL15" s="347"/>
      <c r="JM15" s="347">
        <f t="shared" si="68"/>
        <v>0</v>
      </c>
      <c r="JN15" s="347"/>
      <c r="JO15" s="347"/>
      <c r="JP15" s="347">
        <f t="shared" si="69"/>
        <v>0</v>
      </c>
      <c r="JQ15" s="347"/>
      <c r="JR15" s="347"/>
      <c r="JS15" s="347">
        <f t="shared" si="70"/>
        <v>0</v>
      </c>
      <c r="JT15" s="347"/>
      <c r="JU15" s="347"/>
      <c r="JV15" s="347">
        <f t="shared" si="71"/>
        <v>0</v>
      </c>
      <c r="JW15" s="347"/>
      <c r="JX15" s="347"/>
      <c r="JY15" s="347">
        <f t="shared" si="72"/>
        <v>0</v>
      </c>
      <c r="JZ15" s="347"/>
      <c r="KA15" s="347"/>
      <c r="KB15" s="347">
        <f t="shared" si="73"/>
        <v>0</v>
      </c>
      <c r="KC15" s="347"/>
      <c r="KD15" s="347"/>
      <c r="KE15" s="347">
        <f t="shared" si="74"/>
        <v>0</v>
      </c>
      <c r="KG15" s="151">
        <f t="shared" si="75"/>
        <v>75575.000000000538</v>
      </c>
    </row>
    <row r="16" spans="1:293" x14ac:dyDescent="0.25">
      <c r="A16" s="35">
        <f t="shared" si="76"/>
        <v>10</v>
      </c>
      <c r="B16" s="250">
        <v>5806.83</v>
      </c>
      <c r="C16" s="38">
        <f t="shared" si="1"/>
        <v>10.409999999999854</v>
      </c>
      <c r="D16" s="38">
        <f t="shared" si="2"/>
        <v>333119.99999999534</v>
      </c>
      <c r="E16" s="250">
        <v>1164.01</v>
      </c>
      <c r="F16" s="38">
        <f t="shared" si="3"/>
        <v>64959.999999999127</v>
      </c>
      <c r="G16" s="38">
        <f t="shared" si="4"/>
        <v>398079.99999999447</v>
      </c>
      <c r="H16" s="37"/>
      <c r="I16" s="39"/>
      <c r="J16" s="42"/>
      <c r="K16" s="37">
        <f t="shared" si="93"/>
        <v>0</v>
      </c>
      <c r="L16" s="250">
        <v>18909700</v>
      </c>
      <c r="M16" s="40"/>
      <c r="N16" s="37">
        <f t="shared" si="94"/>
        <v>402000</v>
      </c>
      <c r="O16" s="250">
        <v>13435.2</v>
      </c>
      <c r="P16" s="48"/>
      <c r="Q16" s="37">
        <f t="shared" si="5"/>
        <v>18100.000000000364</v>
      </c>
      <c r="R16" s="37">
        <f t="shared" si="95"/>
        <v>1</v>
      </c>
      <c r="S16" s="250">
        <v>11275659.08</v>
      </c>
      <c r="T16" s="37">
        <f t="shared" si="6"/>
        <v>270.24000000022352</v>
      </c>
      <c r="U16" s="250">
        <v>1523792.57</v>
      </c>
      <c r="V16" s="37">
        <f t="shared" si="7"/>
        <v>0</v>
      </c>
      <c r="W16" s="250">
        <v>4812.3</v>
      </c>
      <c r="X16" s="37">
        <f t="shared" si="110"/>
        <v>17629.76000000014</v>
      </c>
      <c r="Y16" s="183"/>
      <c r="Z16" s="183"/>
      <c r="AA16" s="250">
        <v>872600</v>
      </c>
      <c r="AB16" s="37">
        <f t="shared" si="8"/>
        <v>200</v>
      </c>
      <c r="AC16" s="250">
        <v>4980.8</v>
      </c>
      <c r="AD16" s="37"/>
      <c r="AE16" s="37">
        <f t="shared" si="9"/>
        <v>8000</v>
      </c>
      <c r="AF16" s="37">
        <f t="shared" si="96"/>
        <v>1</v>
      </c>
      <c r="AG16" s="250">
        <v>10832.2</v>
      </c>
      <c r="AH16" s="37"/>
      <c r="AI16" s="37">
        <f t="shared" si="10"/>
        <v>17329.930000001092</v>
      </c>
      <c r="AJ16" s="37">
        <f t="shared" si="11"/>
        <v>1</v>
      </c>
      <c r="AK16" s="37">
        <f t="shared" si="12"/>
        <v>43229.930000001455</v>
      </c>
      <c r="AL16" s="250">
        <v>12452.6</v>
      </c>
      <c r="AM16" s="42"/>
      <c r="AN16" s="37">
        <f t="shared" si="77"/>
        <v>6699.9300000002777</v>
      </c>
      <c r="AO16" s="37">
        <f t="shared" si="97"/>
        <v>1</v>
      </c>
      <c r="AP16" s="250">
        <v>9858.7000000000007</v>
      </c>
      <c r="AQ16" s="37"/>
      <c r="AR16" s="37">
        <f t="shared" si="13"/>
        <v>8600.0000000003638</v>
      </c>
      <c r="AS16" s="37">
        <f t="shared" si="98"/>
        <v>1</v>
      </c>
      <c r="AT16" s="183"/>
      <c r="AU16" s="183"/>
      <c r="AV16" s="183"/>
      <c r="AW16" s="183"/>
      <c r="AX16" s="250">
        <v>540930</v>
      </c>
      <c r="AY16" s="37"/>
      <c r="AZ16" s="37">
        <f t="shared" si="14"/>
        <v>410</v>
      </c>
      <c r="BA16" s="250">
        <v>232910</v>
      </c>
      <c r="BB16" s="37"/>
      <c r="BC16" s="37">
        <f t="shared" si="15"/>
        <v>540</v>
      </c>
      <c r="BD16" s="37">
        <f t="shared" si="99"/>
        <v>16249.930000000641</v>
      </c>
      <c r="BE16" s="250">
        <v>2141.5</v>
      </c>
      <c r="BF16" s="250">
        <v>1207.2</v>
      </c>
      <c r="BG16" s="37">
        <f t="shared" si="16"/>
        <v>1500</v>
      </c>
      <c r="BH16" s="250">
        <v>10178</v>
      </c>
      <c r="BI16" s="250">
        <v>6580.8</v>
      </c>
      <c r="BJ16" s="37">
        <f t="shared" si="17"/>
        <v>9000</v>
      </c>
      <c r="BK16" s="250">
        <v>2144970</v>
      </c>
      <c r="BL16" s="40">
        <f t="shared" si="100"/>
        <v>4650</v>
      </c>
      <c r="BM16" s="250">
        <v>963.48</v>
      </c>
      <c r="BN16" s="37">
        <f t="shared" si="18"/>
        <v>680.00000000006366</v>
      </c>
      <c r="BO16" s="186"/>
      <c r="BP16" s="183">
        <f t="shared" si="19"/>
        <v>0</v>
      </c>
      <c r="BQ16" s="250">
        <v>909.4</v>
      </c>
      <c r="BR16" s="37">
        <f t="shared" si="78"/>
        <v>600.00000000002274</v>
      </c>
      <c r="BS16" s="250">
        <v>127699.19</v>
      </c>
      <c r="BT16" s="37">
        <f t="shared" si="20"/>
        <v>242.25</v>
      </c>
      <c r="BU16" s="250">
        <v>3796368</v>
      </c>
      <c r="BV16" s="42"/>
      <c r="BW16" s="37">
        <f t="shared" si="21"/>
        <v>4506</v>
      </c>
      <c r="BX16" s="37">
        <f t="shared" si="101"/>
        <v>1</v>
      </c>
      <c r="BY16" s="250">
        <v>438.24979999999999</v>
      </c>
      <c r="BZ16" s="37"/>
      <c r="CA16" s="37">
        <f t="shared" si="22"/>
        <v>564.00000000002137</v>
      </c>
      <c r="CB16" s="37">
        <f t="shared" si="79"/>
        <v>1</v>
      </c>
      <c r="CC16" s="250">
        <v>843028.4</v>
      </c>
      <c r="CD16" s="37">
        <f t="shared" si="23"/>
        <v>0</v>
      </c>
      <c r="CE16" s="250">
        <v>1950431</v>
      </c>
      <c r="CF16" s="37">
        <f t="shared" si="24"/>
        <v>4264</v>
      </c>
      <c r="CG16" s="250">
        <v>122991.9</v>
      </c>
      <c r="CH16" s="37">
        <f t="shared" si="80"/>
        <v>0</v>
      </c>
      <c r="CI16" s="250">
        <v>15000.68</v>
      </c>
      <c r="CJ16" s="40"/>
      <c r="CK16" s="37">
        <f t="shared" si="81"/>
        <v>15035.929999999687</v>
      </c>
      <c r="CL16" s="37">
        <f t="shared" si="25"/>
        <v>1</v>
      </c>
      <c r="CM16" s="250">
        <v>4485.0519999999997</v>
      </c>
      <c r="CN16" s="37"/>
      <c r="CO16" s="37">
        <f t="shared" si="26"/>
        <v>4809.9299999997456</v>
      </c>
      <c r="CP16" s="37">
        <f t="shared" si="102"/>
        <v>1</v>
      </c>
      <c r="CQ16" s="250">
        <v>1010671</v>
      </c>
      <c r="CR16" s="45"/>
      <c r="CS16" s="37">
        <f t="shared" si="82"/>
        <v>6179.93</v>
      </c>
      <c r="CT16" s="37">
        <f t="shared" si="83"/>
        <v>1</v>
      </c>
      <c r="CU16" s="250">
        <v>4991954</v>
      </c>
      <c r="CV16" s="37"/>
      <c r="CW16" s="38">
        <f t="shared" si="27"/>
        <v>881</v>
      </c>
      <c r="CX16" s="37">
        <f t="shared" si="103"/>
        <v>1</v>
      </c>
      <c r="CY16" s="250">
        <v>2678924</v>
      </c>
      <c r="CZ16" s="37"/>
      <c r="DA16" s="37">
        <f t="shared" si="28"/>
        <v>506</v>
      </c>
      <c r="DB16" s="37">
        <f t="shared" si="104"/>
        <v>1</v>
      </c>
      <c r="DC16" s="37"/>
      <c r="DD16" s="40"/>
      <c r="DE16" s="37">
        <f t="shared" si="29"/>
        <v>0</v>
      </c>
      <c r="DF16" s="37">
        <f t="shared" si="111"/>
        <v>0</v>
      </c>
      <c r="DG16" s="37">
        <f t="shared" si="30"/>
        <v>-31918.789999999433</v>
      </c>
      <c r="DH16" s="37">
        <f t="shared" si="31"/>
        <v>446729.93000000145</v>
      </c>
      <c r="DI16" s="46"/>
      <c r="DJ16" s="46"/>
      <c r="DK16" s="47"/>
      <c r="DL16" s="47"/>
      <c r="DM16" s="37"/>
      <c r="DN16" s="37"/>
      <c r="DO16" s="37"/>
      <c r="DP16" s="37"/>
      <c r="DQ16" s="250">
        <v>4814300</v>
      </c>
      <c r="DR16" s="49">
        <f t="shared" si="84"/>
        <v>11200</v>
      </c>
      <c r="DS16" s="250">
        <v>6767300</v>
      </c>
      <c r="DT16" s="49">
        <f t="shared" si="85"/>
        <v>26500</v>
      </c>
      <c r="DU16" s="250">
        <v>8508.6</v>
      </c>
      <c r="DV16" s="250">
        <v>4780.5</v>
      </c>
      <c r="DW16" s="37">
        <f t="shared" si="105"/>
        <v>4399.9999999996362</v>
      </c>
      <c r="DX16" s="250">
        <v>14088</v>
      </c>
      <c r="DY16" s="250">
        <v>8803</v>
      </c>
      <c r="DZ16" s="37">
        <f t="shared" si="32"/>
        <v>8029.93</v>
      </c>
      <c r="EA16" s="250">
        <v>32795</v>
      </c>
      <c r="EB16" s="250">
        <v>22.343</v>
      </c>
      <c r="EC16" s="37">
        <f t="shared" si="33"/>
        <v>25189.93</v>
      </c>
      <c r="ED16" s="53">
        <f t="shared" si="34"/>
        <v>37619.859999999637</v>
      </c>
      <c r="EE16" s="250">
        <v>49197</v>
      </c>
      <c r="EF16" s="250">
        <v>32.482999999999997</v>
      </c>
      <c r="EG16" s="37">
        <f t="shared" si="35"/>
        <v>22189.93</v>
      </c>
      <c r="EH16" s="250">
        <v>14605</v>
      </c>
      <c r="EI16" s="250">
        <v>2.1817000000000002</v>
      </c>
      <c r="EJ16" s="37">
        <f t="shared" si="36"/>
        <v>10029.93</v>
      </c>
      <c r="EK16" s="250">
        <v>890.84</v>
      </c>
      <c r="EL16" s="250">
        <v>1274.9000000000001</v>
      </c>
      <c r="EM16" s="37">
        <f t="shared" si="86"/>
        <v>700.00000000004547</v>
      </c>
      <c r="EN16" s="54">
        <f t="shared" si="87"/>
        <v>32919.860000000044</v>
      </c>
      <c r="EO16" s="250">
        <v>14055</v>
      </c>
      <c r="EP16" s="48"/>
      <c r="EQ16" s="37">
        <f t="shared" si="112"/>
        <v>6619.9299999999748</v>
      </c>
      <c r="ER16" s="250">
        <v>11589</v>
      </c>
      <c r="ES16" s="48"/>
      <c r="ET16" s="49">
        <f t="shared" ref="ET16:ET36" si="114">IF((ER16-ER15)&lt;=0,0,(ER16-ER15))*1000</f>
        <v>18000</v>
      </c>
      <c r="EU16" s="250">
        <v>4906.5</v>
      </c>
      <c r="EV16" s="48"/>
      <c r="EW16" s="49">
        <f t="shared" si="38"/>
        <v>10729.929999999818</v>
      </c>
      <c r="EX16" s="250">
        <v>15090</v>
      </c>
      <c r="EY16" s="48"/>
      <c r="EZ16" s="37">
        <f t="shared" si="39"/>
        <v>13029.93</v>
      </c>
      <c r="FA16" s="48">
        <f t="shared" si="88"/>
        <v>-23221.789999999794</v>
      </c>
      <c r="FB16" s="250">
        <v>39665028</v>
      </c>
      <c r="FC16" s="49">
        <f t="shared" si="106"/>
        <v>25158</v>
      </c>
      <c r="FD16" s="48">
        <f t="shared" si="89"/>
        <v>50129.789999999797</v>
      </c>
      <c r="FE16" s="250">
        <v>18186</v>
      </c>
      <c r="FF16" s="48"/>
      <c r="FG16" s="37">
        <f t="shared" si="40"/>
        <v>8439.9300000000258</v>
      </c>
      <c r="FH16" s="250">
        <v>10953</v>
      </c>
      <c r="FI16" s="48"/>
      <c r="FJ16" s="49">
        <f t="shared" si="41"/>
        <v>7329.9299999992727</v>
      </c>
      <c r="FK16" s="48"/>
      <c r="FL16" s="58"/>
      <c r="FM16" s="48">
        <f t="shared" si="107"/>
        <v>66.736666666900419</v>
      </c>
      <c r="FN16" s="250">
        <v>18129</v>
      </c>
      <c r="FO16" s="48"/>
      <c r="FP16" s="37">
        <f t="shared" si="90"/>
        <v>9029.93</v>
      </c>
      <c r="FQ16" s="250">
        <v>63740</v>
      </c>
      <c r="FR16" s="48"/>
      <c r="FS16" s="37">
        <f t="shared" si="42"/>
        <v>25000</v>
      </c>
      <c r="FT16" s="48">
        <f t="shared" si="108"/>
        <v>200.21000000070126</v>
      </c>
      <c r="FU16" s="48">
        <f t="shared" si="109"/>
        <v>25699.78999999939</v>
      </c>
      <c r="FV16" s="250">
        <v>7602400</v>
      </c>
      <c r="FW16" s="44"/>
      <c r="FX16" s="37">
        <f t="shared" si="43"/>
        <v>36500</v>
      </c>
      <c r="FY16" s="250">
        <v>318720</v>
      </c>
      <c r="FZ16" s="56"/>
      <c r="GA16" s="37">
        <f t="shared" si="44"/>
        <v>8210</v>
      </c>
      <c r="GB16" s="250">
        <v>918.51</v>
      </c>
      <c r="GC16" s="56"/>
      <c r="GD16" s="37">
        <f t="shared" si="45"/>
        <v>1019.9999999999818</v>
      </c>
      <c r="GE16" s="250">
        <v>11257</v>
      </c>
      <c r="GF16" s="56"/>
      <c r="GG16" s="37">
        <f t="shared" si="46"/>
        <v>8349.9999999999091</v>
      </c>
      <c r="GH16" s="250">
        <v>131560</v>
      </c>
      <c r="GI16" s="162"/>
      <c r="GJ16" s="38">
        <f t="shared" si="91"/>
        <v>1750</v>
      </c>
      <c r="GK16" s="250">
        <v>1534.9</v>
      </c>
      <c r="GL16" s="163"/>
      <c r="GM16" s="38">
        <f>IF((GK16-GK15)&lt;=0,0,(GK16-GK15))*1000</f>
        <v>900.00000000009095</v>
      </c>
      <c r="GN16" s="250">
        <v>244240</v>
      </c>
      <c r="GO16" s="57"/>
      <c r="GP16" s="38">
        <f t="shared" si="48"/>
        <v>10</v>
      </c>
      <c r="GQ16" s="250">
        <v>306420</v>
      </c>
      <c r="GR16" s="38"/>
      <c r="GS16" s="38">
        <f t="shared" si="92"/>
        <v>90</v>
      </c>
      <c r="GT16" s="247"/>
      <c r="GU16" s="144">
        <f>DailyOct!B15-DailyOct!N15-DailyOct!V15-DailyOct!Y15-DailyOct!Z15-DailyOct!AA15-DailyOct!AB15-DailyOct!AC15-DailyOct!AD15-DailyOct!AE15-DailyOct!AK15-DailyOct!AO15-DailyOct!AS15-DailyOct!AY15-DailyOct!BD15+DailyOct!BU15-DailyOct!BG15-DailyOct!BT15-DailyOct!AF15-DailyOct!AG15</f>
        <v>4.9999994109384716E-2</v>
      </c>
      <c r="GV16" s="261">
        <v>449</v>
      </c>
      <c r="GW16" s="60">
        <f t="shared" si="0"/>
        <v>29.933333333333334</v>
      </c>
      <c r="GX16" s="260">
        <v>29.93</v>
      </c>
      <c r="GY16" s="140"/>
      <c r="GZ16" s="528"/>
      <c r="HA16" s="528"/>
      <c r="HB16" s="528"/>
      <c r="HC16" s="528"/>
      <c r="HD16" s="74"/>
      <c r="HE16" s="24">
        <f t="shared" si="49"/>
        <v>0</v>
      </c>
      <c r="HF16" s="255"/>
      <c r="HG16" s="279">
        <v>10</v>
      </c>
      <c r="HH16" s="292">
        <v>31410</v>
      </c>
      <c r="HI16" s="292">
        <v>11930</v>
      </c>
      <c r="HJ16" s="61">
        <f t="shared" si="50"/>
        <v>182000</v>
      </c>
      <c r="HK16" s="260">
        <v>2.1432000000000002</v>
      </c>
      <c r="HL16" s="292">
        <v>807.23</v>
      </c>
      <c r="HM16" s="61">
        <f t="shared" si="51"/>
        <v>0</v>
      </c>
      <c r="HN16" s="292">
        <v>7938.9</v>
      </c>
      <c r="HO16" s="292">
        <v>33777</v>
      </c>
      <c r="HP16" s="61">
        <f t="shared" si="52"/>
        <v>42499.999999999636</v>
      </c>
      <c r="HQ16" s="292">
        <v>5430.2</v>
      </c>
      <c r="HR16" s="292">
        <v>2276</v>
      </c>
      <c r="HS16" s="61">
        <f t="shared" si="53"/>
        <v>26799.999999999818</v>
      </c>
      <c r="HT16" s="292">
        <v>5392.8</v>
      </c>
      <c r="HU16" s="292">
        <v>1934.3</v>
      </c>
      <c r="HV16" s="61">
        <f t="shared" si="54"/>
        <v>29400.000000000182</v>
      </c>
      <c r="HW16" s="292">
        <v>4017.4</v>
      </c>
      <c r="HX16" s="292">
        <v>1706.2</v>
      </c>
      <c r="HY16" s="61">
        <f t="shared" si="55"/>
        <v>24500.000000000091</v>
      </c>
      <c r="HZ16" s="260">
        <v>3393100</v>
      </c>
      <c r="IA16" s="260">
        <v>14623</v>
      </c>
      <c r="IB16" s="61">
        <f t="shared" si="56"/>
        <v>32300</v>
      </c>
      <c r="IC16" s="292">
        <v>719.8</v>
      </c>
      <c r="ID16" s="292">
        <v>232.78</v>
      </c>
      <c r="IE16" s="61">
        <f t="shared" si="113"/>
        <v>0</v>
      </c>
      <c r="IF16" s="61"/>
      <c r="IG16" s="61"/>
      <c r="IH16" s="280">
        <f t="shared" si="57"/>
        <v>26500</v>
      </c>
      <c r="II16" s="281">
        <f t="shared" si="58"/>
        <v>2.7648638933897018E-10</v>
      </c>
      <c r="IJ16" s="345"/>
      <c r="IK16" s="345"/>
      <c r="IL16" s="347">
        <f t="shared" si="59"/>
        <v>0</v>
      </c>
      <c r="IM16" s="347"/>
      <c r="IN16" s="347"/>
      <c r="IO16" s="347">
        <f t="shared" si="60"/>
        <v>0</v>
      </c>
      <c r="IP16" s="347"/>
      <c r="IQ16" s="347"/>
      <c r="IR16" s="347">
        <f t="shared" si="61"/>
        <v>0</v>
      </c>
      <c r="IS16" s="347"/>
      <c r="IT16" s="347"/>
      <c r="IU16" s="347">
        <f t="shared" si="62"/>
        <v>0</v>
      </c>
      <c r="IV16" s="347"/>
      <c r="IW16" s="347"/>
      <c r="IX16" s="347">
        <f t="shared" si="63"/>
        <v>0</v>
      </c>
      <c r="IY16" s="347"/>
      <c r="IZ16" s="347"/>
      <c r="JA16" s="347">
        <f t="shared" si="64"/>
        <v>0</v>
      </c>
      <c r="JB16" s="347"/>
      <c r="JC16" s="347"/>
      <c r="JD16" s="347">
        <f t="shared" si="65"/>
        <v>0</v>
      </c>
      <c r="JE16" s="347"/>
      <c r="JF16" s="347"/>
      <c r="JG16" s="347">
        <f t="shared" si="66"/>
        <v>0</v>
      </c>
      <c r="JH16" s="347"/>
      <c r="JI16" s="347"/>
      <c r="JJ16" s="347">
        <f t="shared" si="67"/>
        <v>0</v>
      </c>
      <c r="JK16" s="347"/>
      <c r="JL16" s="347"/>
      <c r="JM16" s="347">
        <f t="shared" si="68"/>
        <v>0</v>
      </c>
      <c r="JN16" s="347"/>
      <c r="JO16" s="347"/>
      <c r="JP16" s="347">
        <f t="shared" si="69"/>
        <v>0</v>
      </c>
      <c r="JQ16" s="347"/>
      <c r="JR16" s="347"/>
      <c r="JS16" s="347">
        <f t="shared" si="70"/>
        <v>0</v>
      </c>
      <c r="JT16" s="347"/>
      <c r="JU16" s="347"/>
      <c r="JV16" s="347">
        <f t="shared" si="71"/>
        <v>0</v>
      </c>
      <c r="JW16" s="347"/>
      <c r="JX16" s="347"/>
      <c r="JY16" s="347">
        <f t="shared" si="72"/>
        <v>0</v>
      </c>
      <c r="JZ16" s="347"/>
      <c r="KA16" s="347"/>
      <c r="KB16" s="347">
        <f t="shared" si="73"/>
        <v>0</v>
      </c>
      <c r="KC16" s="347"/>
      <c r="KD16" s="347"/>
      <c r="KE16" s="347">
        <f t="shared" si="74"/>
        <v>0</v>
      </c>
      <c r="KG16" s="151">
        <f t="shared" si="75"/>
        <v>74799.999999999913</v>
      </c>
    </row>
    <row r="17" spans="1:293" x14ac:dyDescent="0.25">
      <c r="A17" s="35">
        <f t="shared" si="76"/>
        <v>11</v>
      </c>
      <c r="B17" s="250">
        <v>5817.03</v>
      </c>
      <c r="C17" s="38">
        <f t="shared" si="1"/>
        <v>10.199999999999818</v>
      </c>
      <c r="D17" s="38">
        <f t="shared" si="2"/>
        <v>326399.99999999418</v>
      </c>
      <c r="E17" s="250">
        <v>1166</v>
      </c>
      <c r="F17" s="38">
        <f t="shared" si="3"/>
        <v>63680.000000000291</v>
      </c>
      <c r="G17" s="38">
        <f t="shared" si="4"/>
        <v>390079.99999999447</v>
      </c>
      <c r="H17" s="37"/>
      <c r="I17" s="39"/>
      <c r="J17" s="42"/>
      <c r="K17" s="37">
        <f t="shared" si="93"/>
        <v>0</v>
      </c>
      <c r="L17" s="250">
        <v>18948400</v>
      </c>
      <c r="M17" s="40"/>
      <c r="N17" s="37">
        <f t="shared" si="94"/>
        <v>387000</v>
      </c>
      <c r="O17" s="250">
        <v>13452.9</v>
      </c>
      <c r="P17" s="37"/>
      <c r="Q17" s="37">
        <f t="shared" si="5"/>
        <v>17699.999999998909</v>
      </c>
      <c r="R17" s="37">
        <f t="shared" si="95"/>
        <v>1</v>
      </c>
      <c r="S17" s="250">
        <v>11276005.189999999</v>
      </c>
      <c r="T17" s="37">
        <f t="shared" si="6"/>
        <v>346.10999999940395</v>
      </c>
      <c r="U17" s="250">
        <v>1523792.57</v>
      </c>
      <c r="V17" s="37">
        <f>IF((U17-U16)&lt;=0,0,(U17-U16))</f>
        <v>0</v>
      </c>
      <c r="W17" s="250">
        <v>4818.3</v>
      </c>
      <c r="X17" s="37">
        <f t="shared" si="110"/>
        <v>17253.889999999505</v>
      </c>
      <c r="Y17" s="183"/>
      <c r="Z17" s="183"/>
      <c r="AA17" s="250">
        <v>872700</v>
      </c>
      <c r="AB17" s="37">
        <f t="shared" si="8"/>
        <v>100</v>
      </c>
      <c r="AC17" s="250">
        <v>4988.3999999999996</v>
      </c>
      <c r="AD17" s="37"/>
      <c r="AE17" s="37">
        <f t="shared" si="9"/>
        <v>7599.9999999994543</v>
      </c>
      <c r="AF17" s="37">
        <f t="shared" si="96"/>
        <v>1</v>
      </c>
      <c r="AG17" s="250">
        <v>10848.1</v>
      </c>
      <c r="AH17" s="37"/>
      <c r="AI17" s="37">
        <f t="shared" si="10"/>
        <v>16058.669999999636</v>
      </c>
      <c r="AJ17" s="37">
        <f t="shared" si="11"/>
        <v>1</v>
      </c>
      <c r="AK17" s="37">
        <f t="shared" si="12"/>
        <v>41258.669999997997</v>
      </c>
      <c r="AL17" s="250">
        <v>12464.2</v>
      </c>
      <c r="AM17" s="42"/>
      <c r="AN17" s="37">
        <f t="shared" si="77"/>
        <v>8738.6700000003602</v>
      </c>
      <c r="AO17" s="37">
        <f t="shared" si="97"/>
        <v>1</v>
      </c>
      <c r="AP17" s="250">
        <v>9866.7999999999993</v>
      </c>
      <c r="AQ17" s="37"/>
      <c r="AR17" s="37">
        <f t="shared" si="13"/>
        <v>8099.9999999985448</v>
      </c>
      <c r="AS17" s="37">
        <f t="shared" si="98"/>
        <v>1</v>
      </c>
      <c r="AT17" s="183"/>
      <c r="AU17" s="183"/>
      <c r="AV17" s="183"/>
      <c r="AW17" s="183"/>
      <c r="AX17" s="250">
        <v>541290</v>
      </c>
      <c r="AY17" s="37"/>
      <c r="AZ17" s="37">
        <f t="shared" si="14"/>
        <v>360</v>
      </c>
      <c r="BA17" s="250">
        <v>233460</v>
      </c>
      <c r="BB17" s="37"/>
      <c r="BC17" s="37">
        <f t="shared" si="15"/>
        <v>550</v>
      </c>
      <c r="BD17" s="37">
        <f t="shared" si="99"/>
        <v>17748.669999998907</v>
      </c>
      <c r="BE17" s="250">
        <v>2143.1</v>
      </c>
      <c r="BF17" s="250">
        <v>1208.3</v>
      </c>
      <c r="BG17" s="37">
        <f t="shared" si="16"/>
        <v>1599.9999999999091</v>
      </c>
      <c r="BH17" s="250">
        <v>10187</v>
      </c>
      <c r="BI17" s="250">
        <v>6586.9</v>
      </c>
      <c r="BJ17" s="37">
        <f t="shared" si="17"/>
        <v>9000</v>
      </c>
      <c r="BK17" s="250">
        <v>2146620</v>
      </c>
      <c r="BL17" s="40">
        <f t="shared" si="100"/>
        <v>1650</v>
      </c>
      <c r="BM17" s="250">
        <v>964.15</v>
      </c>
      <c r="BN17" s="37">
        <f t="shared" si="18"/>
        <v>669.99999999995907</v>
      </c>
      <c r="BO17" s="186"/>
      <c r="BP17" s="183">
        <f t="shared" si="19"/>
        <v>0</v>
      </c>
      <c r="BQ17" s="250">
        <v>910.1</v>
      </c>
      <c r="BR17" s="37">
        <f t="shared" si="78"/>
        <v>700.00000000004547</v>
      </c>
      <c r="BS17" s="250">
        <v>127910.93</v>
      </c>
      <c r="BT17" s="37">
        <f t="shared" si="20"/>
        <v>211.73999999999069</v>
      </c>
      <c r="BU17" s="250">
        <v>3800531</v>
      </c>
      <c r="BV17" s="42"/>
      <c r="BW17" s="37">
        <f t="shared" si="21"/>
        <v>4163</v>
      </c>
      <c r="BX17" s="37">
        <f t="shared" si="101"/>
        <v>1</v>
      </c>
      <c r="BY17" s="250">
        <v>438.98020000000002</v>
      </c>
      <c r="BZ17" s="43"/>
      <c r="CA17" s="37">
        <f>IF((BY17-BY16)&lt;=0,0,(BY17-BY16)*1000)</f>
        <v>730.40000000003147</v>
      </c>
      <c r="CB17" s="37">
        <f t="shared" si="79"/>
        <v>1</v>
      </c>
      <c r="CC17" s="250">
        <v>843028.4</v>
      </c>
      <c r="CD17" s="37">
        <f t="shared" si="23"/>
        <v>0</v>
      </c>
      <c r="CE17" s="250">
        <v>1954262</v>
      </c>
      <c r="CF17" s="37">
        <f t="shared" si="24"/>
        <v>3831</v>
      </c>
      <c r="CG17" s="250">
        <v>122991.9</v>
      </c>
      <c r="CH17" s="37">
        <f t="shared" si="80"/>
        <v>0</v>
      </c>
      <c r="CI17" s="250">
        <v>15016.36</v>
      </c>
      <c r="CJ17" s="40"/>
      <c r="CK17" s="37">
        <f t="shared" si="81"/>
        <v>15108.270000000259</v>
      </c>
      <c r="CL17" s="37">
        <f t="shared" si="25"/>
        <v>1</v>
      </c>
      <c r="CM17" s="250">
        <v>4490.9539999999997</v>
      </c>
      <c r="CN17" s="37"/>
      <c r="CO17" s="37">
        <f t="shared" si="26"/>
        <v>6060.6700000000437</v>
      </c>
      <c r="CP17" s="37">
        <f t="shared" si="102"/>
        <v>1</v>
      </c>
      <c r="CQ17" s="250">
        <v>1017109</v>
      </c>
      <c r="CR17" s="45"/>
      <c r="CS17" s="37">
        <f t="shared" si="82"/>
        <v>6596.67</v>
      </c>
      <c r="CT17" s="37">
        <f t="shared" si="83"/>
        <v>1</v>
      </c>
      <c r="CU17" s="250">
        <v>4992818</v>
      </c>
      <c r="CV17" s="37"/>
      <c r="CW17" s="38">
        <f t="shared" si="27"/>
        <v>864</v>
      </c>
      <c r="CX17" s="37">
        <f t="shared" si="103"/>
        <v>1</v>
      </c>
      <c r="CY17" s="250">
        <v>2679382</v>
      </c>
      <c r="CZ17" s="37"/>
      <c r="DA17" s="37">
        <f t="shared" si="28"/>
        <v>458</v>
      </c>
      <c r="DB17" s="37">
        <f t="shared" si="104"/>
        <v>1</v>
      </c>
      <c r="DC17" s="37"/>
      <c r="DD17" s="40"/>
      <c r="DE17" s="37">
        <f t="shared" si="29"/>
        <v>0</v>
      </c>
      <c r="DF17" s="37">
        <f t="shared" si="111"/>
        <v>0</v>
      </c>
      <c r="DG17" s="37">
        <f t="shared" si="30"/>
        <v>-33250.610000000306</v>
      </c>
      <c r="DH17" s="37">
        <f t="shared" si="31"/>
        <v>429858.66999999789</v>
      </c>
      <c r="DI17" s="46"/>
      <c r="DJ17" s="46"/>
      <c r="DK17" s="47"/>
      <c r="DL17" s="47"/>
      <c r="DM17" s="37"/>
      <c r="DN17" s="37"/>
      <c r="DO17" s="37"/>
      <c r="DP17" s="37"/>
      <c r="DQ17" s="386">
        <v>4825600</v>
      </c>
      <c r="DR17" s="49">
        <f t="shared" si="84"/>
        <v>11300</v>
      </c>
      <c r="DS17" s="250">
        <v>6790900</v>
      </c>
      <c r="DT17" s="49">
        <f t="shared" si="85"/>
        <v>23600</v>
      </c>
      <c r="DU17" s="250">
        <v>8513.1</v>
      </c>
      <c r="DV17" s="250">
        <v>4782</v>
      </c>
      <c r="DW17" s="37">
        <f t="shared" si="105"/>
        <v>4500</v>
      </c>
      <c r="DX17" s="250">
        <v>14096</v>
      </c>
      <c r="DY17" s="250">
        <v>8805.1</v>
      </c>
      <c r="DZ17" s="37">
        <f t="shared" si="32"/>
        <v>8158.67</v>
      </c>
      <c r="EA17" s="250">
        <v>32819</v>
      </c>
      <c r="EB17" s="250">
        <v>22.355</v>
      </c>
      <c r="EC17" s="37">
        <f t="shared" si="33"/>
        <v>26318.67</v>
      </c>
      <c r="ED17" s="53">
        <f t="shared" si="34"/>
        <v>38977.339999999997</v>
      </c>
      <c r="EE17" s="250">
        <v>49224</v>
      </c>
      <c r="EF17" s="250">
        <v>32.505000000000003</v>
      </c>
      <c r="EG17" s="37">
        <f t="shared" si="35"/>
        <v>29318.67</v>
      </c>
      <c r="EH17" s="250">
        <v>14616</v>
      </c>
      <c r="EI17" s="250">
        <v>2.1848999999999998</v>
      </c>
      <c r="EJ17" s="37">
        <f t="shared" si="36"/>
        <v>11158.67</v>
      </c>
      <c r="EK17" s="250">
        <v>891.64</v>
      </c>
      <c r="EL17" s="250">
        <v>1276</v>
      </c>
      <c r="EM17" s="37">
        <f t="shared" si="86"/>
        <v>799.99999999995453</v>
      </c>
      <c r="EN17" s="54">
        <f t="shared" si="87"/>
        <v>41277.339999999953</v>
      </c>
      <c r="EO17" s="250">
        <v>14063.18</v>
      </c>
      <c r="EP17" s="48"/>
      <c r="EQ17" s="37">
        <f t="shared" si="112"/>
        <v>6968.6700000002866</v>
      </c>
      <c r="ER17" s="250">
        <v>11606.7</v>
      </c>
      <c r="ES17" s="48"/>
      <c r="ET17" s="49">
        <f t="shared" si="114"/>
        <v>17700.000000000728</v>
      </c>
      <c r="EU17" s="250">
        <v>4916.348</v>
      </c>
      <c r="EV17" s="48"/>
      <c r="EW17" s="49">
        <f t="shared" si="38"/>
        <v>10006.669999999956</v>
      </c>
      <c r="EX17" s="250">
        <v>15102.05</v>
      </c>
      <c r="EY17" s="48"/>
      <c r="EZ17" s="37">
        <f t="shared" si="39"/>
        <v>12208.669999999272</v>
      </c>
      <c r="FA17" s="48">
        <f t="shared" si="88"/>
        <v>-23285.010000000242</v>
      </c>
      <c r="FB17" s="250">
        <v>39688627</v>
      </c>
      <c r="FC17" s="49">
        <f t="shared" si="106"/>
        <v>23599</v>
      </c>
      <c r="FD17" s="48">
        <f t="shared" si="89"/>
        <v>48844.010000000242</v>
      </c>
      <c r="FE17" s="250">
        <v>18196.099999999999</v>
      </c>
      <c r="FF17" s="48"/>
      <c r="FG17" s="37">
        <f t="shared" si="40"/>
        <v>11628.66999999855</v>
      </c>
      <c r="FH17" s="250">
        <v>10968.1</v>
      </c>
      <c r="FI17" s="48"/>
      <c r="FJ17" s="49">
        <f t="shared" si="41"/>
        <v>15258.670000000364</v>
      </c>
      <c r="FK17" s="48"/>
      <c r="FL17" s="58"/>
      <c r="FM17" s="48">
        <f t="shared" si="107"/>
        <v>-982.00333333345645</v>
      </c>
      <c r="FN17" s="250">
        <v>18140.599999999999</v>
      </c>
      <c r="FO17" s="48"/>
      <c r="FP17" s="37">
        <f t="shared" si="90"/>
        <v>11758.669999998545</v>
      </c>
      <c r="FQ17" s="250">
        <v>63775.7</v>
      </c>
      <c r="FR17" s="48"/>
      <c r="FS17" s="37">
        <f t="shared" si="42"/>
        <v>35699.99999999709</v>
      </c>
      <c r="FT17" s="48">
        <f t="shared" si="108"/>
        <v>-2946.0100000003695</v>
      </c>
      <c r="FU17" s="48">
        <f t="shared" si="109"/>
        <v>38946.009999997412</v>
      </c>
      <c r="FV17" s="250">
        <v>7635416</v>
      </c>
      <c r="FW17" s="44"/>
      <c r="FX17" s="37">
        <f t="shared" si="43"/>
        <v>33016</v>
      </c>
      <c r="FY17" s="250">
        <v>326204</v>
      </c>
      <c r="FZ17" s="56"/>
      <c r="GA17" s="37">
        <f t="shared" si="44"/>
        <v>7484</v>
      </c>
      <c r="GB17" s="250">
        <v>919.54</v>
      </c>
      <c r="GC17" s="56"/>
      <c r="GD17" s="37">
        <f t="shared" si="45"/>
        <v>1029.9999999999727</v>
      </c>
      <c r="GE17" s="250">
        <v>11267</v>
      </c>
      <c r="GF17" s="56"/>
      <c r="GG17" s="37">
        <f t="shared" si="46"/>
        <v>7740.0000000000455</v>
      </c>
      <c r="GH17" s="250">
        <v>133520</v>
      </c>
      <c r="GI17" s="162"/>
      <c r="GJ17" s="38">
        <f t="shared" si="91"/>
        <v>1960</v>
      </c>
      <c r="GK17" s="250">
        <v>1535.2</v>
      </c>
      <c r="GL17" s="163"/>
      <c r="GM17" s="38">
        <f t="shared" si="47"/>
        <v>299.99999999995453</v>
      </c>
      <c r="GN17" s="250">
        <v>244250</v>
      </c>
      <c r="GO17" s="57"/>
      <c r="GP17" s="38">
        <f t="shared" si="48"/>
        <v>10</v>
      </c>
      <c r="GQ17" s="250">
        <v>306529</v>
      </c>
      <c r="GR17" s="38"/>
      <c r="GS17" s="38">
        <f t="shared" si="92"/>
        <v>109</v>
      </c>
      <c r="GT17" s="247"/>
      <c r="GU17" s="144">
        <f>DailyOct!B16-DailyOct!N16-DailyOct!V16-DailyOct!Y16-DailyOct!Z16-DailyOct!AA16-DailyOct!AB16-DailyOct!AC16-DailyOct!AD16-DailyOct!AE16-DailyOct!AK16-DailyOct!AO16-DailyOct!AS16-DailyOct!AY16-DailyOct!BD16+DailyOct!BU16-DailyOct!BG16-DailyOct!BT16-DailyOct!AF16-DailyOct!AG16</f>
        <v>-5.0000000279396772E-2</v>
      </c>
      <c r="GV17" s="261">
        <v>2380</v>
      </c>
      <c r="GW17" s="60">
        <f t="shared" si="0"/>
        <v>158.66666666666666</v>
      </c>
      <c r="GX17" s="260">
        <v>158.66999999999999</v>
      </c>
      <c r="GY17" s="140"/>
      <c r="GZ17" s="528"/>
      <c r="HA17" s="528"/>
      <c r="HB17" s="528"/>
      <c r="HC17" s="528"/>
      <c r="HD17" s="74"/>
      <c r="HE17" s="24">
        <f t="shared" si="49"/>
        <v>0</v>
      </c>
      <c r="HF17" s="255"/>
      <c r="HG17" s="279">
        <v>11</v>
      </c>
      <c r="HH17" s="292">
        <v>31588</v>
      </c>
      <c r="HI17" s="292">
        <v>11996</v>
      </c>
      <c r="HJ17" s="61">
        <f t="shared" si="50"/>
        <v>178000</v>
      </c>
      <c r="HK17" s="260">
        <v>2.1432000000000002</v>
      </c>
      <c r="HL17" s="292">
        <v>807.23</v>
      </c>
      <c r="HM17" s="61">
        <f t="shared" si="51"/>
        <v>0</v>
      </c>
      <c r="HN17" s="292">
        <v>7980.9</v>
      </c>
      <c r="HO17" s="292">
        <v>33951</v>
      </c>
      <c r="HP17" s="61">
        <f t="shared" si="52"/>
        <v>42400</v>
      </c>
      <c r="HQ17" s="292">
        <v>5457.5</v>
      </c>
      <c r="HR17" s="292">
        <v>2286.6</v>
      </c>
      <c r="HS17" s="61">
        <f t="shared" si="53"/>
        <v>27700.000000000182</v>
      </c>
      <c r="HT17" s="292">
        <v>5421</v>
      </c>
      <c r="HU17" s="292">
        <v>1943.4</v>
      </c>
      <c r="HV17" s="61">
        <f t="shared" si="54"/>
        <v>28599.999999999818</v>
      </c>
      <c r="HW17" s="292">
        <v>4042.2</v>
      </c>
      <c r="HX17" s="292">
        <v>1715.9</v>
      </c>
      <c r="HY17" s="61">
        <f t="shared" si="55"/>
        <v>25199.999999999727</v>
      </c>
      <c r="HZ17" s="260">
        <v>3423600</v>
      </c>
      <c r="IA17" s="260">
        <v>14749</v>
      </c>
      <c r="IB17" s="61">
        <f t="shared" si="56"/>
        <v>30500</v>
      </c>
      <c r="IC17" s="292">
        <v>719.8</v>
      </c>
      <c r="ID17" s="292">
        <v>232.78</v>
      </c>
      <c r="IE17" s="61">
        <f t="shared" si="113"/>
        <v>0</v>
      </c>
      <c r="IF17" s="61"/>
      <c r="IG17" s="61"/>
      <c r="IH17" s="280">
        <f t="shared" si="57"/>
        <v>23600</v>
      </c>
      <c r="II17" s="281">
        <f t="shared" si="58"/>
        <v>2.7648638933897018E-10</v>
      </c>
      <c r="IJ17" s="345"/>
      <c r="IK17" s="345"/>
      <c r="IL17" s="347">
        <f t="shared" si="59"/>
        <v>0</v>
      </c>
      <c r="IM17" s="347"/>
      <c r="IN17" s="347"/>
      <c r="IO17" s="347">
        <f t="shared" si="60"/>
        <v>0</v>
      </c>
      <c r="IP17" s="347"/>
      <c r="IQ17" s="347"/>
      <c r="IR17" s="347">
        <f t="shared" si="61"/>
        <v>0</v>
      </c>
      <c r="IS17" s="347"/>
      <c r="IT17" s="347"/>
      <c r="IU17" s="347">
        <f t="shared" si="62"/>
        <v>0</v>
      </c>
      <c r="IV17" s="347"/>
      <c r="IW17" s="347"/>
      <c r="IX17" s="347">
        <f t="shared" si="63"/>
        <v>0</v>
      </c>
      <c r="IY17" s="347"/>
      <c r="IZ17" s="347"/>
      <c r="JA17" s="347">
        <f t="shared" si="64"/>
        <v>0</v>
      </c>
      <c r="JB17" s="347"/>
      <c r="JC17" s="347"/>
      <c r="JD17" s="347">
        <f t="shared" si="65"/>
        <v>0</v>
      </c>
      <c r="JE17" s="347"/>
      <c r="JF17" s="347"/>
      <c r="JG17" s="347">
        <f t="shared" si="66"/>
        <v>0</v>
      </c>
      <c r="JH17" s="347"/>
      <c r="JI17" s="347"/>
      <c r="JJ17" s="347">
        <f t="shared" si="67"/>
        <v>0</v>
      </c>
      <c r="JK17" s="347"/>
      <c r="JL17" s="347"/>
      <c r="JM17" s="347">
        <f t="shared" si="68"/>
        <v>0</v>
      </c>
      <c r="JN17" s="347"/>
      <c r="JO17" s="347"/>
      <c r="JP17" s="347">
        <f t="shared" si="69"/>
        <v>0</v>
      </c>
      <c r="JQ17" s="347"/>
      <c r="JR17" s="347"/>
      <c r="JS17" s="347">
        <f t="shared" si="70"/>
        <v>0</v>
      </c>
      <c r="JT17" s="347"/>
      <c r="JU17" s="347"/>
      <c r="JV17" s="347">
        <f t="shared" si="71"/>
        <v>0</v>
      </c>
      <c r="JW17" s="347"/>
      <c r="JX17" s="347"/>
      <c r="JY17" s="347">
        <f t="shared" si="72"/>
        <v>0</v>
      </c>
      <c r="JZ17" s="347"/>
      <c r="KA17" s="347"/>
      <c r="KB17" s="347">
        <f t="shared" si="73"/>
        <v>0</v>
      </c>
      <c r="KC17" s="347"/>
      <c r="KD17" s="347"/>
      <c r="KE17" s="347">
        <f t="shared" si="74"/>
        <v>0</v>
      </c>
      <c r="KG17" s="151">
        <f t="shared" si="75"/>
        <v>72900.000000000276</v>
      </c>
    </row>
    <row r="18" spans="1:293" x14ac:dyDescent="0.25">
      <c r="A18" s="35">
        <f t="shared" si="76"/>
        <v>12</v>
      </c>
      <c r="B18" s="250">
        <v>5826.93</v>
      </c>
      <c r="C18" s="38">
        <f t="shared" si="1"/>
        <v>9.9000000000005457</v>
      </c>
      <c r="D18" s="38">
        <f t="shared" si="2"/>
        <v>316800.00000001746</v>
      </c>
      <c r="E18" s="250">
        <v>1167.99</v>
      </c>
      <c r="F18" s="38">
        <f t="shared" si="3"/>
        <v>63680.000000000291</v>
      </c>
      <c r="G18" s="38">
        <f t="shared" si="4"/>
        <v>380480.00000001775</v>
      </c>
      <c r="H18" s="37"/>
      <c r="I18" s="39"/>
      <c r="J18" s="42"/>
      <c r="K18" s="37">
        <f t="shared" si="93"/>
        <v>0</v>
      </c>
      <c r="L18" s="250">
        <v>18986300</v>
      </c>
      <c r="M18" s="40"/>
      <c r="N18" s="37">
        <f t="shared" si="94"/>
        <v>379000</v>
      </c>
      <c r="O18" s="250">
        <v>13470.9</v>
      </c>
      <c r="P18" s="37"/>
      <c r="Q18" s="37">
        <f t="shared" si="5"/>
        <v>18000</v>
      </c>
      <c r="R18" s="37">
        <f t="shared" si="95"/>
        <v>1</v>
      </c>
      <c r="S18" s="250">
        <v>11276289.529999999</v>
      </c>
      <c r="T18" s="37">
        <f t="shared" si="6"/>
        <v>284.33999999985099</v>
      </c>
      <c r="U18" s="250">
        <v>1523792.57</v>
      </c>
      <c r="V18" s="37">
        <f>IF((U18-U17)&lt;=0,0,(U18-U17))</f>
        <v>0</v>
      </c>
      <c r="W18" s="250">
        <v>4824.3</v>
      </c>
      <c r="X18" s="37">
        <f t="shared" si="110"/>
        <v>17615.660000000149</v>
      </c>
      <c r="Y18" s="183"/>
      <c r="Z18" s="183"/>
      <c r="AA18" s="250">
        <v>872800</v>
      </c>
      <c r="AB18" s="37">
        <f t="shared" si="8"/>
        <v>100</v>
      </c>
      <c r="AC18" s="250">
        <v>4995.8</v>
      </c>
      <c r="AD18" s="37"/>
      <c r="AE18" s="37">
        <f t="shared" si="9"/>
        <v>7400.0000000005457</v>
      </c>
      <c r="AF18" s="37">
        <f t="shared" si="96"/>
        <v>1</v>
      </c>
      <c r="AG18" s="250">
        <v>10863</v>
      </c>
      <c r="AH18" s="37"/>
      <c r="AI18" s="37">
        <f t="shared" si="10"/>
        <v>14971.389999999636</v>
      </c>
      <c r="AJ18" s="37">
        <f t="shared" si="11"/>
        <v>1</v>
      </c>
      <c r="AK18" s="37">
        <f t="shared" si="12"/>
        <v>40271.390000000181</v>
      </c>
      <c r="AL18" s="250">
        <v>12474.4</v>
      </c>
      <c r="AM18" s="66"/>
      <c r="AN18" s="37">
        <f>IF((AL18-AL17)&lt;=0,0,(AL18-AL17))*1000+GX18-BL18-BN18-BP18-BR18</f>
        <v>6971.3899999988216</v>
      </c>
      <c r="AO18" s="37">
        <f t="shared" si="97"/>
        <v>1</v>
      </c>
      <c r="AP18" s="250">
        <v>9875.4</v>
      </c>
      <c r="AQ18" s="37"/>
      <c r="AR18" s="37">
        <f t="shared" si="13"/>
        <v>8600.0000000003638</v>
      </c>
      <c r="AS18" s="37">
        <f t="shared" si="98"/>
        <v>1</v>
      </c>
      <c r="AT18" s="183"/>
      <c r="AU18" s="183"/>
      <c r="AV18" s="183"/>
      <c r="AW18" s="183"/>
      <c r="AX18" s="250">
        <v>541630</v>
      </c>
      <c r="AY18" s="37"/>
      <c r="AZ18" s="37">
        <f t="shared" si="14"/>
        <v>340</v>
      </c>
      <c r="BA18" s="250">
        <v>234070</v>
      </c>
      <c r="BB18" s="37"/>
      <c r="BC18" s="37">
        <f t="shared" si="15"/>
        <v>610</v>
      </c>
      <c r="BD18" s="37">
        <f t="shared" si="99"/>
        <v>16521.389999999185</v>
      </c>
      <c r="BE18" s="250">
        <v>2144.8000000000002</v>
      </c>
      <c r="BF18" s="250">
        <v>1209.4000000000001</v>
      </c>
      <c r="BG18" s="37">
        <f t="shared" si="16"/>
        <v>1700.0000000002728</v>
      </c>
      <c r="BH18" s="250">
        <v>10196</v>
      </c>
      <c r="BI18" s="250">
        <v>6592.7</v>
      </c>
      <c r="BJ18" s="37">
        <f t="shared" si="17"/>
        <v>9000</v>
      </c>
      <c r="BK18" s="250">
        <v>2148640</v>
      </c>
      <c r="BL18" s="40">
        <f t="shared" si="100"/>
        <v>2020</v>
      </c>
      <c r="BM18" s="250">
        <v>964.83</v>
      </c>
      <c r="BN18" s="37">
        <f t="shared" si="18"/>
        <v>680.00000000006366</v>
      </c>
      <c r="BO18" s="186"/>
      <c r="BP18" s="183">
        <f t="shared" si="19"/>
        <v>0</v>
      </c>
      <c r="BQ18" s="250">
        <v>910.7</v>
      </c>
      <c r="BR18" s="37">
        <f t="shared" si="78"/>
        <v>600.00000000002274</v>
      </c>
      <c r="BS18" s="250">
        <v>128116</v>
      </c>
      <c r="BT18" s="37">
        <f t="shared" si="20"/>
        <v>205.07000000000698</v>
      </c>
      <c r="BU18" s="250">
        <v>3804876</v>
      </c>
      <c r="BV18" s="42"/>
      <c r="BW18" s="37">
        <f t="shared" si="21"/>
        <v>4345</v>
      </c>
      <c r="BX18" s="37">
        <f t="shared" si="101"/>
        <v>1</v>
      </c>
      <c r="BY18" s="250">
        <v>439.82819999999998</v>
      </c>
      <c r="BZ18" s="43"/>
      <c r="CA18" s="37">
        <f>IF((BY18-BY17)&lt;=0,0,(BY18-BY17)*1000)</f>
        <v>847.99999999995634</v>
      </c>
      <c r="CB18" s="37">
        <f t="shared" si="79"/>
        <v>1</v>
      </c>
      <c r="CC18" s="250">
        <v>843028.4</v>
      </c>
      <c r="CD18" s="37">
        <f t="shared" si="23"/>
        <v>0</v>
      </c>
      <c r="CE18" s="250">
        <v>1958374</v>
      </c>
      <c r="CF18" s="37">
        <f t="shared" si="24"/>
        <v>4112</v>
      </c>
      <c r="CG18" s="250">
        <v>122991.9</v>
      </c>
      <c r="CH18" s="37">
        <f t="shared" si="80"/>
        <v>0</v>
      </c>
      <c r="CI18" s="250">
        <v>15032.6</v>
      </c>
      <c r="CJ18" s="40"/>
      <c r="CK18" s="37">
        <f t="shared" si="81"/>
        <v>15463.389999999825</v>
      </c>
      <c r="CL18" s="37">
        <f t="shared" si="25"/>
        <v>1</v>
      </c>
      <c r="CM18" s="250">
        <v>4498.7349999999997</v>
      </c>
      <c r="CN18" s="37"/>
      <c r="CO18" s="37">
        <f t="shared" si="26"/>
        <v>7852.3899999999494</v>
      </c>
      <c r="CP18" s="37">
        <f t="shared" si="102"/>
        <v>1</v>
      </c>
      <c r="CQ18" s="250">
        <v>1024258</v>
      </c>
      <c r="CR18" s="39"/>
      <c r="CS18" s="37">
        <f t="shared" si="82"/>
        <v>7220.39</v>
      </c>
      <c r="CT18" s="37">
        <f t="shared" si="83"/>
        <v>1</v>
      </c>
      <c r="CU18" s="250">
        <v>4993713</v>
      </c>
      <c r="CV18" s="37"/>
      <c r="CW18" s="38">
        <f t="shared" si="27"/>
        <v>895</v>
      </c>
      <c r="CX18" s="37">
        <f t="shared" si="103"/>
        <v>1</v>
      </c>
      <c r="CY18" s="250">
        <v>2679945</v>
      </c>
      <c r="CZ18" s="37"/>
      <c r="DA18" s="37">
        <f t="shared" si="28"/>
        <v>563</v>
      </c>
      <c r="DB18" s="37">
        <f t="shared" si="104"/>
        <v>1</v>
      </c>
      <c r="DC18" s="37"/>
      <c r="DD18" s="40"/>
      <c r="DE18" s="37">
        <f>IF((DC18-DC17)&lt;=0,0,(DC18-DC17))</f>
        <v>0</v>
      </c>
      <c r="DF18" s="37">
        <f t="shared" si="111"/>
        <v>0</v>
      </c>
      <c r="DG18" s="37">
        <f t="shared" si="30"/>
        <v>-36339.169999999773</v>
      </c>
      <c r="DH18" s="37">
        <f t="shared" si="31"/>
        <v>420971.39000000048</v>
      </c>
      <c r="DI18" s="46"/>
      <c r="DJ18" s="46"/>
      <c r="DK18" s="46"/>
      <c r="DL18" s="47"/>
      <c r="DM18" s="37"/>
      <c r="DN18" s="37"/>
      <c r="DO18" s="37"/>
      <c r="DP18" s="37"/>
      <c r="DQ18" s="250">
        <v>4829217</v>
      </c>
      <c r="DR18" s="49">
        <f t="shared" si="84"/>
        <v>3617</v>
      </c>
      <c r="DS18" s="250">
        <v>6816100</v>
      </c>
      <c r="DT18" s="49">
        <f t="shared" si="85"/>
        <v>25200</v>
      </c>
      <c r="DU18" s="250">
        <v>8517.7000000000007</v>
      </c>
      <c r="DV18" s="250">
        <v>4783.3999999999996</v>
      </c>
      <c r="DW18" s="37">
        <f t="shared" si="105"/>
        <v>4600.0000000003638</v>
      </c>
      <c r="DX18" s="250">
        <v>14104</v>
      </c>
      <c r="DY18" s="250">
        <v>8807.5</v>
      </c>
      <c r="DZ18" s="37">
        <f t="shared" si="32"/>
        <v>8071.39</v>
      </c>
      <c r="EA18" s="250">
        <v>32843</v>
      </c>
      <c r="EB18" s="250">
        <v>22.367000000000001</v>
      </c>
      <c r="EC18" s="37">
        <f t="shared" si="33"/>
        <v>26231.39</v>
      </c>
      <c r="ED18" s="53">
        <f t="shared" si="34"/>
        <v>38902.780000000363</v>
      </c>
      <c r="EE18" s="250">
        <v>49252</v>
      </c>
      <c r="EF18" s="250">
        <v>32.527000000000001</v>
      </c>
      <c r="EG18" s="37">
        <f t="shared" si="35"/>
        <v>30231.39</v>
      </c>
      <c r="EH18" s="250">
        <v>14627</v>
      </c>
      <c r="EI18" s="250">
        <v>2.1882000000000001</v>
      </c>
      <c r="EJ18" s="37">
        <f t="shared" si="36"/>
        <v>11071.39</v>
      </c>
      <c r="EK18" s="250">
        <v>892.51</v>
      </c>
      <c r="EL18" s="250">
        <v>1277.2</v>
      </c>
      <c r="EM18" s="37">
        <f t="shared" si="86"/>
        <v>870.00000000000455</v>
      </c>
      <c r="EN18" s="54">
        <f t="shared" si="87"/>
        <v>42172.780000000006</v>
      </c>
      <c r="EO18" s="250">
        <v>14071.63</v>
      </c>
      <c r="EP18" s="48"/>
      <c r="EQ18" s="37">
        <f t="shared" si="112"/>
        <v>7071.3899999989189</v>
      </c>
      <c r="ER18" s="250">
        <v>11623.87</v>
      </c>
      <c r="ES18" s="48"/>
      <c r="ET18" s="49">
        <f t="shared" si="114"/>
        <v>17170.000000000073</v>
      </c>
      <c r="EU18" s="250">
        <v>4926.4219999999996</v>
      </c>
      <c r="EV18" s="48"/>
      <c r="EW18" s="49">
        <f t="shared" si="38"/>
        <v>10145.389999999614</v>
      </c>
      <c r="EX18" s="250">
        <v>15114.36</v>
      </c>
      <c r="EY18" s="48"/>
      <c r="EZ18" s="37">
        <f t="shared" si="39"/>
        <v>12381.390000001309</v>
      </c>
      <c r="FA18" s="48">
        <f t="shared" si="88"/>
        <v>-22014.169999999915</v>
      </c>
      <c r="FB18" s="250">
        <v>39713381</v>
      </c>
      <c r="FC18" s="49">
        <f>IF((FB18-FB17)&lt;=0,0,(FB18-FB17))</f>
        <v>24754</v>
      </c>
      <c r="FD18" s="48">
        <f t="shared" si="89"/>
        <v>48968.169999999911</v>
      </c>
      <c r="FE18" s="250">
        <v>18206.2</v>
      </c>
      <c r="FF18" s="48"/>
      <c r="FG18" s="37">
        <f t="shared" si="40"/>
        <v>11621.390000002171</v>
      </c>
      <c r="FH18" s="250">
        <v>10984.3</v>
      </c>
      <c r="FI18" s="48"/>
      <c r="FJ18" s="49">
        <f t="shared" si="41"/>
        <v>16271.389999998908</v>
      </c>
      <c r="FK18" s="48"/>
      <c r="FL18" s="58"/>
      <c r="FM18" s="48">
        <f>FT18/3</f>
        <v>-318.05666666634716</v>
      </c>
      <c r="FN18" s="250">
        <v>18152.5</v>
      </c>
      <c r="FO18" s="48"/>
      <c r="FP18" s="37">
        <f t="shared" si="90"/>
        <v>11971.390000001455</v>
      </c>
      <c r="FQ18" s="250">
        <v>63814.61</v>
      </c>
      <c r="FR18" s="48"/>
      <c r="FS18" s="37">
        <f>IF((FQ18-FQ17)*1000&lt;=0,0,(FQ18-FQ17)*1000)</f>
        <v>38910.000000003492</v>
      </c>
      <c r="FT18" s="48">
        <f t="shared" si="108"/>
        <v>-954.16999999904147</v>
      </c>
      <c r="FU18" s="48">
        <f t="shared" si="109"/>
        <v>39864.17000000253</v>
      </c>
      <c r="FV18" s="250">
        <v>7667222</v>
      </c>
      <c r="FW18" s="44"/>
      <c r="FX18" s="37">
        <f t="shared" si="43"/>
        <v>31806</v>
      </c>
      <c r="FY18" s="250">
        <v>333586.7</v>
      </c>
      <c r="FZ18" s="56"/>
      <c r="GA18" s="37">
        <f t="shared" si="44"/>
        <v>7382.7000000000116</v>
      </c>
      <c r="GB18" s="250">
        <v>920.55</v>
      </c>
      <c r="GC18" s="56"/>
      <c r="GD18" s="37">
        <f t="shared" si="45"/>
        <v>1009.9999999999909</v>
      </c>
      <c r="GE18" s="250">
        <v>11277</v>
      </c>
      <c r="GF18" s="56"/>
      <c r="GG18" s="37">
        <f t="shared" si="46"/>
        <v>7800</v>
      </c>
      <c r="GH18" s="250">
        <v>135720</v>
      </c>
      <c r="GI18" s="162"/>
      <c r="GJ18" s="38">
        <f t="shared" si="91"/>
        <v>2200</v>
      </c>
      <c r="GK18" s="250">
        <v>1535.2</v>
      </c>
      <c r="GL18" s="163"/>
      <c r="GM18" s="38">
        <f t="shared" si="47"/>
        <v>0</v>
      </c>
      <c r="GN18" s="250">
        <v>244250</v>
      </c>
      <c r="GO18" s="57"/>
      <c r="GP18" s="38">
        <f t="shared" si="48"/>
        <v>0</v>
      </c>
      <c r="GQ18" s="250">
        <v>306648.40000000002</v>
      </c>
      <c r="GR18" s="38"/>
      <c r="GS18" s="38">
        <f t="shared" si="92"/>
        <v>119.40000000002328</v>
      </c>
      <c r="GT18" s="247"/>
      <c r="GU18" s="144">
        <f>DailyOct!B17-DailyOct!N17-DailyOct!V17-DailyOct!Y17-DailyOct!Z17-DailyOct!AA17-DailyOct!AB17-DailyOct!AC17-DailyOct!AD17-DailyOct!AE17-DailyOct!AK17-DailyOct!AO17-DailyOct!AS17-DailyOct!AY17-DailyOct!BD17+DailyOct!BU17-DailyOct!BG17-DailyOct!BT17-DailyOct!AF17-DailyOct!AG17</f>
        <v>5.000001541338861E-2</v>
      </c>
      <c r="GV18" s="261">
        <v>1070.9000000000001</v>
      </c>
      <c r="GW18" s="60">
        <f t="shared" si="0"/>
        <v>71.393333333333345</v>
      </c>
      <c r="GX18" s="260">
        <v>71.39</v>
      </c>
      <c r="GY18" s="140"/>
      <c r="GZ18" s="528"/>
      <c r="HA18" s="528"/>
      <c r="HB18" s="528"/>
      <c r="HC18" s="528"/>
      <c r="HD18" s="74"/>
      <c r="HE18" s="24">
        <f t="shared" si="49"/>
        <v>0</v>
      </c>
      <c r="HF18" s="255"/>
      <c r="HG18" s="279">
        <v>12</v>
      </c>
      <c r="HH18" s="292">
        <v>31770</v>
      </c>
      <c r="HI18" s="292">
        <v>12065</v>
      </c>
      <c r="HJ18" s="61">
        <f t="shared" si="50"/>
        <v>182000</v>
      </c>
      <c r="HK18" s="260">
        <v>2.1432000000000002</v>
      </c>
      <c r="HL18" s="292">
        <v>807.23</v>
      </c>
      <c r="HM18" s="61">
        <f t="shared" si="51"/>
        <v>0</v>
      </c>
      <c r="HN18" s="292">
        <v>8025.8</v>
      </c>
      <c r="HO18" s="292">
        <v>34142</v>
      </c>
      <c r="HP18" s="61">
        <f t="shared" si="52"/>
        <v>45200.000000000546</v>
      </c>
      <c r="HQ18" s="292">
        <v>5477.8</v>
      </c>
      <c r="HR18" s="292">
        <v>2295</v>
      </c>
      <c r="HS18" s="61">
        <f t="shared" si="53"/>
        <v>20600.000000000182</v>
      </c>
      <c r="HT18" s="292">
        <v>5451.4</v>
      </c>
      <c r="HU18" s="292">
        <v>1953.8</v>
      </c>
      <c r="HV18" s="61">
        <f t="shared" si="54"/>
        <v>30699.999999999636</v>
      </c>
      <c r="HW18" s="292">
        <v>4068.4</v>
      </c>
      <c r="HX18" s="292">
        <v>1726.5</v>
      </c>
      <c r="HY18" s="61">
        <f t="shared" si="55"/>
        <v>26500.000000000273</v>
      </c>
      <c r="HZ18" s="260">
        <v>3457400</v>
      </c>
      <c r="IA18" s="260">
        <v>14893</v>
      </c>
      <c r="IB18" s="61">
        <f t="shared" si="56"/>
        <v>33800</v>
      </c>
      <c r="IC18" s="292">
        <v>719.8</v>
      </c>
      <c r="ID18" s="292">
        <v>232.78</v>
      </c>
      <c r="IE18" s="61">
        <f t="shared" si="113"/>
        <v>0</v>
      </c>
      <c r="IF18" s="61"/>
      <c r="IG18" s="61"/>
      <c r="IH18" s="280">
        <f t="shared" si="57"/>
        <v>25200</v>
      </c>
      <c r="II18" s="281">
        <f t="shared" si="58"/>
        <v>-6.3300831243395805E-10</v>
      </c>
      <c r="IJ18" s="345"/>
      <c r="IK18" s="345"/>
      <c r="IL18" s="347">
        <f t="shared" si="59"/>
        <v>0</v>
      </c>
      <c r="IM18" s="347"/>
      <c r="IN18" s="347"/>
      <c r="IO18" s="347">
        <f t="shared" si="60"/>
        <v>0</v>
      </c>
      <c r="IP18" s="347"/>
      <c r="IQ18" s="347"/>
      <c r="IR18" s="347">
        <f t="shared" si="61"/>
        <v>0</v>
      </c>
      <c r="IS18" s="347"/>
      <c r="IT18" s="347"/>
      <c r="IU18" s="347">
        <f t="shared" si="62"/>
        <v>0</v>
      </c>
      <c r="IV18" s="347"/>
      <c r="IW18" s="347"/>
      <c r="IX18" s="347">
        <f t="shared" si="63"/>
        <v>0</v>
      </c>
      <c r="IY18" s="347"/>
      <c r="IZ18" s="347"/>
      <c r="JA18" s="347">
        <f t="shared" si="64"/>
        <v>0</v>
      </c>
      <c r="JB18" s="347"/>
      <c r="JC18" s="347"/>
      <c r="JD18" s="347">
        <f t="shared" si="65"/>
        <v>0</v>
      </c>
      <c r="JE18" s="347"/>
      <c r="JF18" s="347"/>
      <c r="JG18" s="347">
        <f t="shared" si="66"/>
        <v>0</v>
      </c>
      <c r="JH18" s="347"/>
      <c r="JI18" s="347"/>
      <c r="JJ18" s="347">
        <f t="shared" si="67"/>
        <v>0</v>
      </c>
      <c r="JK18" s="347"/>
      <c r="JL18" s="347"/>
      <c r="JM18" s="347">
        <f t="shared" si="68"/>
        <v>0</v>
      </c>
      <c r="JN18" s="347"/>
      <c r="JO18" s="347"/>
      <c r="JP18" s="347">
        <f t="shared" si="69"/>
        <v>0</v>
      </c>
      <c r="JQ18" s="347"/>
      <c r="JR18" s="347"/>
      <c r="JS18" s="347">
        <f t="shared" si="70"/>
        <v>0</v>
      </c>
      <c r="JT18" s="347"/>
      <c r="JU18" s="347"/>
      <c r="JV18" s="347">
        <f t="shared" si="71"/>
        <v>0</v>
      </c>
      <c r="JW18" s="347"/>
      <c r="JX18" s="347"/>
      <c r="JY18" s="347">
        <f t="shared" si="72"/>
        <v>0</v>
      </c>
      <c r="JZ18" s="347"/>
      <c r="KA18" s="347"/>
      <c r="KB18" s="347">
        <f t="shared" si="73"/>
        <v>0</v>
      </c>
      <c r="KC18" s="347"/>
      <c r="KD18" s="347"/>
      <c r="KE18" s="347">
        <f t="shared" si="74"/>
        <v>0</v>
      </c>
      <c r="KG18" s="151">
        <f t="shared" si="75"/>
        <v>78999.999999999913</v>
      </c>
    </row>
    <row r="19" spans="1:293" x14ac:dyDescent="0.25">
      <c r="A19" s="35">
        <f t="shared" si="76"/>
        <v>13</v>
      </c>
      <c r="B19" s="250">
        <v>5836.71</v>
      </c>
      <c r="C19" s="38">
        <f t="shared" si="1"/>
        <v>9.7799999999997453</v>
      </c>
      <c r="D19" s="38">
        <f t="shared" si="2"/>
        <v>312959.99999999185</v>
      </c>
      <c r="E19" s="250">
        <v>1169.94</v>
      </c>
      <c r="F19" s="38">
        <f t="shared" si="3"/>
        <v>62400.000000001455</v>
      </c>
      <c r="G19" s="38">
        <f t="shared" si="4"/>
        <v>375359.99999999331</v>
      </c>
      <c r="H19" s="37"/>
      <c r="I19" s="39"/>
      <c r="J19" s="42"/>
      <c r="K19" s="37">
        <f t="shared" si="93"/>
        <v>0</v>
      </c>
      <c r="L19" s="250">
        <v>19023500</v>
      </c>
      <c r="M19" s="40"/>
      <c r="N19" s="37">
        <f t="shared" si="94"/>
        <v>372000</v>
      </c>
      <c r="O19" s="250">
        <v>13488.8</v>
      </c>
      <c r="P19" s="37"/>
      <c r="Q19" s="37">
        <f t="shared" si="5"/>
        <v>17899.999999999636</v>
      </c>
      <c r="R19" s="37">
        <f t="shared" si="95"/>
        <v>1</v>
      </c>
      <c r="S19" s="250">
        <v>11276661.609999999</v>
      </c>
      <c r="T19" s="37">
        <f t="shared" si="6"/>
        <v>372.08000000007451</v>
      </c>
      <c r="U19" s="250">
        <v>1523792.57</v>
      </c>
      <c r="V19" s="37">
        <f t="shared" si="7"/>
        <v>0</v>
      </c>
      <c r="W19" s="250">
        <v>4830.3999999999996</v>
      </c>
      <c r="X19" s="37">
        <f t="shared" si="110"/>
        <v>17327.919999999562</v>
      </c>
      <c r="Y19" s="183"/>
      <c r="Z19" s="183"/>
      <c r="AA19" s="250">
        <v>873000</v>
      </c>
      <c r="AB19" s="37">
        <f t="shared" si="8"/>
        <v>200</v>
      </c>
      <c r="AC19" s="250">
        <v>5003.2</v>
      </c>
      <c r="AD19" s="37"/>
      <c r="AE19" s="37">
        <f t="shared" si="9"/>
        <v>7399.9999999996362</v>
      </c>
      <c r="AF19" s="37">
        <f t="shared" si="96"/>
        <v>1</v>
      </c>
      <c r="AG19" s="250">
        <v>10878.6</v>
      </c>
      <c r="AH19" s="67"/>
      <c r="AI19" s="37">
        <f t="shared" si="10"/>
        <v>16265.540000000365</v>
      </c>
      <c r="AJ19" s="37">
        <f t="shared" si="11"/>
        <v>1</v>
      </c>
      <c r="AK19" s="37">
        <f t="shared" si="12"/>
        <v>41365.539999999637</v>
      </c>
      <c r="AL19" s="250">
        <v>12484.9</v>
      </c>
      <c r="AM19" s="66"/>
      <c r="AN19" s="37">
        <f t="shared" si="77"/>
        <v>6635.5400000000873</v>
      </c>
      <c r="AO19" s="37">
        <f t="shared" si="97"/>
        <v>1</v>
      </c>
      <c r="AP19" s="250">
        <v>9883.4</v>
      </c>
      <c r="AQ19" s="37"/>
      <c r="AR19" s="37">
        <f t="shared" si="13"/>
        <v>8000</v>
      </c>
      <c r="AS19" s="37">
        <f t="shared" si="98"/>
        <v>1</v>
      </c>
      <c r="AT19" s="183"/>
      <c r="AU19" s="183"/>
      <c r="AV19" s="183"/>
      <c r="AW19" s="183"/>
      <c r="AX19" s="250">
        <v>542000</v>
      </c>
      <c r="AY19" s="37"/>
      <c r="AZ19" s="37">
        <f t="shared" si="14"/>
        <v>370</v>
      </c>
      <c r="BA19" s="250">
        <v>234610</v>
      </c>
      <c r="BB19" s="37"/>
      <c r="BC19" s="37">
        <f t="shared" si="15"/>
        <v>540</v>
      </c>
      <c r="BD19" s="37">
        <f>AN19+AR19+AZ19+BC19</f>
        <v>15545.540000000088</v>
      </c>
      <c r="BE19" s="250">
        <v>2146.5</v>
      </c>
      <c r="BF19" s="250">
        <v>1210.4000000000001</v>
      </c>
      <c r="BG19" s="37">
        <f t="shared" si="16"/>
        <v>1699.9999999998181</v>
      </c>
      <c r="BH19" s="250">
        <v>10204</v>
      </c>
      <c r="BI19" s="250">
        <v>6598.6</v>
      </c>
      <c r="BJ19" s="37">
        <f t="shared" si="17"/>
        <v>8000</v>
      </c>
      <c r="BK19" s="250">
        <v>2152200</v>
      </c>
      <c r="BL19" s="40">
        <f t="shared" si="100"/>
        <v>3560</v>
      </c>
      <c r="BM19" s="250">
        <v>965.5</v>
      </c>
      <c r="BN19" s="37">
        <f t="shared" si="18"/>
        <v>669.99999999995907</v>
      </c>
      <c r="BO19" s="186"/>
      <c r="BP19" s="183">
        <f t="shared" si="19"/>
        <v>0</v>
      </c>
      <c r="BQ19" s="250">
        <v>911</v>
      </c>
      <c r="BR19" s="37">
        <f t="shared" si="78"/>
        <v>299.99999999995453</v>
      </c>
      <c r="BS19" s="250">
        <v>128280.01</v>
      </c>
      <c r="BT19" s="37">
        <f t="shared" si="20"/>
        <v>164.00999999999476</v>
      </c>
      <c r="BU19" s="250">
        <v>3808788</v>
      </c>
      <c r="BV19" s="42"/>
      <c r="BW19" s="37">
        <f t="shared" si="21"/>
        <v>3912</v>
      </c>
      <c r="BX19" s="37">
        <f t="shared" si="101"/>
        <v>1</v>
      </c>
      <c r="BY19" s="250">
        <v>440.62779999999998</v>
      </c>
      <c r="BZ19" s="43"/>
      <c r="CA19" s="37">
        <f>IF((BY19-BY18)&lt;=0,0,(BY19-BY18)*1000)</f>
        <v>799.59999999999809</v>
      </c>
      <c r="CB19" s="37">
        <f t="shared" si="79"/>
        <v>1</v>
      </c>
      <c r="CC19" s="250">
        <v>843028.4</v>
      </c>
      <c r="CD19" s="37">
        <f t="shared" si="23"/>
        <v>0</v>
      </c>
      <c r="CE19" s="250">
        <v>1961955</v>
      </c>
      <c r="CF19" s="37">
        <f t="shared" si="24"/>
        <v>3581</v>
      </c>
      <c r="CG19" s="250">
        <v>122991.9</v>
      </c>
      <c r="CH19" s="37">
        <f t="shared" si="80"/>
        <v>0</v>
      </c>
      <c r="CI19" s="250">
        <v>15047.89</v>
      </c>
      <c r="CJ19" s="40"/>
      <c r="CK19" s="37">
        <f t="shared" si="81"/>
        <v>15155.939999999056</v>
      </c>
      <c r="CL19" s="37">
        <f t="shared" si="25"/>
        <v>1</v>
      </c>
      <c r="CM19" s="250">
        <v>4505.1890000000003</v>
      </c>
      <c r="CN19" s="37"/>
      <c r="CO19" s="37">
        <f t="shared" si="26"/>
        <v>7119.540000000633</v>
      </c>
      <c r="CP19" s="37">
        <f t="shared" si="102"/>
        <v>1</v>
      </c>
      <c r="CQ19" s="250">
        <v>1030624</v>
      </c>
      <c r="CR19" s="39"/>
      <c r="CS19" s="37">
        <f t="shared" si="82"/>
        <v>7031.54</v>
      </c>
      <c r="CT19" s="37">
        <f t="shared" si="83"/>
        <v>1</v>
      </c>
      <c r="CU19" s="250">
        <v>4994461</v>
      </c>
      <c r="CV19" s="37"/>
      <c r="CW19" s="38">
        <f t="shared" si="27"/>
        <v>748</v>
      </c>
      <c r="CX19" s="37">
        <f t="shared" si="103"/>
        <v>1</v>
      </c>
      <c r="CY19" s="250">
        <v>2680456</v>
      </c>
      <c r="CZ19" s="37"/>
      <c r="DA19" s="37">
        <f t="shared" si="28"/>
        <v>511</v>
      </c>
      <c r="DB19" s="37">
        <f t="shared" si="104"/>
        <v>1</v>
      </c>
      <c r="DC19" s="37"/>
      <c r="DD19" s="40"/>
      <c r="DE19" s="37">
        <f t="shared" si="29"/>
        <v>0</v>
      </c>
      <c r="DF19" s="37">
        <f t="shared" si="111"/>
        <v>0</v>
      </c>
      <c r="DG19" s="37">
        <f t="shared" si="30"/>
        <v>-34478.019999999691</v>
      </c>
      <c r="DH19" s="37">
        <f t="shared" si="31"/>
        <v>415065.53999999946</v>
      </c>
      <c r="DI19" s="46"/>
      <c r="DJ19" s="46"/>
      <c r="DK19" s="47"/>
      <c r="DL19" s="47"/>
      <c r="DM19" s="37"/>
      <c r="DN19" s="37"/>
      <c r="DO19" s="37"/>
      <c r="DP19" s="37"/>
      <c r="DQ19" s="250">
        <v>4836823</v>
      </c>
      <c r="DR19" s="49">
        <f t="shared" si="84"/>
        <v>7606</v>
      </c>
      <c r="DS19" s="250">
        <v>6842800</v>
      </c>
      <c r="DT19" s="49">
        <f t="shared" si="85"/>
        <v>26700</v>
      </c>
      <c r="DU19" s="250">
        <v>8522.1</v>
      </c>
      <c r="DV19" s="250">
        <v>4784.8999999999996</v>
      </c>
      <c r="DW19" s="37">
        <f t="shared" si="105"/>
        <v>4399.9999999996362</v>
      </c>
      <c r="DX19" s="250">
        <v>14111</v>
      </c>
      <c r="DY19" s="250">
        <v>8809.9</v>
      </c>
      <c r="DZ19" s="37">
        <f t="shared" si="32"/>
        <v>7665.54</v>
      </c>
      <c r="EA19" s="250">
        <v>32866</v>
      </c>
      <c r="EB19" s="250">
        <v>22.379000000000001</v>
      </c>
      <c r="EC19" s="37">
        <f t="shared" si="33"/>
        <v>25825.54</v>
      </c>
      <c r="ED19" s="53">
        <f t="shared" si="34"/>
        <v>37891.079999999638</v>
      </c>
      <c r="EE19" s="250">
        <v>49279</v>
      </c>
      <c r="EF19" s="250">
        <v>32.548999999999999</v>
      </c>
      <c r="EG19" s="37">
        <f t="shared" si="35"/>
        <v>29825.54</v>
      </c>
      <c r="EH19" s="250">
        <v>14638</v>
      </c>
      <c r="EI19" s="250">
        <v>2.1911999999999998</v>
      </c>
      <c r="EJ19" s="37">
        <f t="shared" si="36"/>
        <v>11665.54</v>
      </c>
      <c r="EK19" s="250">
        <v>893.01</v>
      </c>
      <c r="EL19" s="250">
        <v>1277.8</v>
      </c>
      <c r="EM19" s="37">
        <f t="shared" si="86"/>
        <v>500</v>
      </c>
      <c r="EN19" s="54">
        <f t="shared" si="87"/>
        <v>41991.08</v>
      </c>
      <c r="EO19" s="250">
        <v>14080</v>
      </c>
      <c r="EP19" s="48"/>
      <c r="EQ19" s="37">
        <f t="shared" si="112"/>
        <v>8915.5400000007976</v>
      </c>
      <c r="ER19" s="250">
        <v>11639</v>
      </c>
      <c r="ES19" s="48"/>
      <c r="ET19" s="49">
        <f t="shared" si="114"/>
        <v>15129.9999999992</v>
      </c>
      <c r="EU19" s="250">
        <v>4937</v>
      </c>
      <c r="EV19" s="48"/>
      <c r="EW19" s="49">
        <f t="shared" si="38"/>
        <v>11243.54000000043</v>
      </c>
      <c r="EX19" s="250">
        <v>15126</v>
      </c>
      <c r="EY19" s="48"/>
      <c r="EZ19" s="37">
        <f t="shared" si="39"/>
        <v>12305.539999999419</v>
      </c>
      <c r="FA19" s="48">
        <f t="shared" si="88"/>
        <v>-23314.619999999846</v>
      </c>
      <c r="FB19" s="250">
        <v>39737661</v>
      </c>
      <c r="FC19" s="49">
        <f t="shared" si="106"/>
        <v>24280</v>
      </c>
      <c r="FD19" s="48">
        <f t="shared" si="89"/>
        <v>50044.619999999843</v>
      </c>
      <c r="FE19" s="250">
        <v>18215</v>
      </c>
      <c r="FF19" s="48"/>
      <c r="FG19" s="37">
        <f t="shared" si="40"/>
        <v>9585.5399999992769</v>
      </c>
      <c r="FH19" s="250">
        <v>10999</v>
      </c>
      <c r="FI19" s="48"/>
      <c r="FJ19" s="49">
        <f t="shared" si="41"/>
        <v>15365.540000000728</v>
      </c>
      <c r="FK19" s="48"/>
      <c r="FL19" s="58"/>
      <c r="FM19" s="48">
        <f t="shared" si="107"/>
        <v>-242.20666666686279</v>
      </c>
      <c r="FN19" s="250">
        <v>18164</v>
      </c>
      <c r="FO19" s="48"/>
      <c r="FP19" s="37">
        <f t="shared" si="90"/>
        <v>12165.54</v>
      </c>
      <c r="FQ19" s="250">
        <v>63851</v>
      </c>
      <c r="FR19" s="48"/>
      <c r="FS19" s="37">
        <f t="shared" si="42"/>
        <v>36389.999999999418</v>
      </c>
      <c r="FT19" s="48">
        <f t="shared" si="108"/>
        <v>-726.62000000058833</v>
      </c>
      <c r="FU19" s="48">
        <f t="shared" si="109"/>
        <v>37116.62000000001</v>
      </c>
      <c r="FV19" s="250">
        <v>7701500</v>
      </c>
      <c r="FW19" s="44"/>
      <c r="FX19" s="37">
        <f t="shared" si="43"/>
        <v>34278</v>
      </c>
      <c r="FY19" s="250">
        <v>341060</v>
      </c>
      <c r="FZ19" s="63"/>
      <c r="GA19" s="37">
        <f t="shared" si="44"/>
        <v>7473.2999999999884</v>
      </c>
      <c r="GB19" s="250">
        <v>921.56</v>
      </c>
      <c r="GC19" s="56"/>
      <c r="GD19" s="37">
        <f t="shared" si="45"/>
        <v>1009.9999999999909</v>
      </c>
      <c r="GE19" s="250">
        <v>11288</v>
      </c>
      <c r="GF19" s="56"/>
      <c r="GG19" s="37">
        <f t="shared" si="46"/>
        <v>8550</v>
      </c>
      <c r="GH19" s="250">
        <v>138170</v>
      </c>
      <c r="GI19" s="162"/>
      <c r="GJ19" s="38">
        <f t="shared" si="91"/>
        <v>2450</v>
      </c>
      <c r="GK19" s="250">
        <v>1535.2</v>
      </c>
      <c r="GL19" s="163"/>
      <c r="GM19" s="38">
        <f t="shared" si="47"/>
        <v>0</v>
      </c>
      <c r="GN19" s="250">
        <v>244250</v>
      </c>
      <c r="GO19" s="57"/>
      <c r="GP19" s="38">
        <f t="shared" si="48"/>
        <v>0</v>
      </c>
      <c r="GQ19" s="250">
        <v>306770</v>
      </c>
      <c r="GR19" s="38"/>
      <c r="GS19" s="38">
        <f t="shared" si="92"/>
        <v>121.59999999997672</v>
      </c>
      <c r="GT19" s="247"/>
      <c r="GU19" s="144">
        <f>DailyOct!B18-DailyOct!N18-DailyOct!V18-DailyOct!Y18-DailyOct!Z18-DailyOct!AA18-DailyOct!AB18-DailyOct!AC18-DailyOct!AD18-DailyOct!AE18-DailyOct!AK18-DailyOct!AO18-DailyOct!AS18-DailyOct!AY18-DailyOct!BD18+DailyOct!BU18-DailyOct!BG18-DailyOct!BT18-DailyOct!AF18-DailyOct!AG18</f>
        <v>-5.2677933126688004E-9</v>
      </c>
      <c r="GV19" s="261">
        <v>9983.1</v>
      </c>
      <c r="GW19" s="60">
        <f t="shared" si="0"/>
        <v>665.54000000000008</v>
      </c>
      <c r="GX19" s="260">
        <v>665.54</v>
      </c>
      <c r="GY19" s="140"/>
      <c r="GZ19" s="528"/>
      <c r="HA19" s="528"/>
      <c r="HB19" s="528"/>
      <c r="HC19" s="528"/>
      <c r="HD19" s="74"/>
      <c r="HE19" s="24">
        <f t="shared" si="49"/>
        <v>0</v>
      </c>
      <c r="HF19" s="255"/>
      <c r="HG19" s="279">
        <v>13</v>
      </c>
      <c r="HH19" s="292">
        <v>31935</v>
      </c>
      <c r="HI19" s="292">
        <v>12127</v>
      </c>
      <c r="HJ19" s="61">
        <f t="shared" si="50"/>
        <v>165000</v>
      </c>
      <c r="HK19" s="260">
        <v>2.1432000000000002</v>
      </c>
      <c r="HL19" s="292">
        <v>807.23</v>
      </c>
      <c r="HM19" s="61">
        <f t="shared" si="51"/>
        <v>0</v>
      </c>
      <c r="HN19" s="292">
        <v>8064.7</v>
      </c>
      <c r="HO19" s="292">
        <v>34308</v>
      </c>
      <c r="HP19" s="61">
        <f t="shared" si="52"/>
        <v>38849.999999999636</v>
      </c>
      <c r="HQ19" s="292">
        <v>5502.7</v>
      </c>
      <c r="HR19" s="292">
        <v>2305</v>
      </c>
      <c r="HS19" s="61">
        <f t="shared" si="53"/>
        <v>24849.999999999636</v>
      </c>
      <c r="HT19" s="292">
        <v>5477.1</v>
      </c>
      <c r="HU19" s="292">
        <v>1962.8</v>
      </c>
      <c r="HV19" s="61">
        <f t="shared" si="54"/>
        <v>25650.000000000728</v>
      </c>
      <c r="HW19" s="292">
        <v>4089.2</v>
      </c>
      <c r="HX19" s="292">
        <v>1735.1</v>
      </c>
      <c r="HY19" s="61">
        <f t="shared" si="55"/>
        <v>20749.999999999727</v>
      </c>
      <c r="HZ19" s="260">
        <v>3485600</v>
      </c>
      <c r="IA19" s="260">
        <v>15011</v>
      </c>
      <c r="IB19" s="61">
        <f t="shared" si="56"/>
        <v>28200</v>
      </c>
      <c r="IC19" s="292">
        <v>719.8</v>
      </c>
      <c r="ID19" s="292">
        <v>232.78</v>
      </c>
      <c r="IE19" s="61">
        <f t="shared" si="113"/>
        <v>0</v>
      </c>
      <c r="IF19" s="61"/>
      <c r="IG19" s="61"/>
      <c r="IH19" s="280">
        <f t="shared" si="57"/>
        <v>26700</v>
      </c>
      <c r="II19" s="281">
        <f t="shared" si="58"/>
        <v>2.6193447411060333E-10</v>
      </c>
      <c r="IJ19" s="345"/>
      <c r="IK19" s="345"/>
      <c r="IL19" s="345">
        <f t="shared" ref="IL19:IL36" si="115">IF((IJ19-IJ18)&lt;=0,0,(IJ19-IJ18))</f>
        <v>0</v>
      </c>
      <c r="IM19" s="345"/>
      <c r="IN19" s="345"/>
      <c r="IO19" s="345">
        <f t="shared" ref="IO19:IO36" si="116">IF((IM19-IM18)&lt;=0,0,(IM19-IM18)*1000)</f>
        <v>0</v>
      </c>
      <c r="IP19" s="345"/>
      <c r="IQ19" s="345"/>
      <c r="IR19" s="345">
        <f t="shared" ref="IR19:IR36" si="117">IF((IP19-IP18)&lt;=0,0,(IP19-IP18))</f>
        <v>0</v>
      </c>
      <c r="IS19" s="345"/>
      <c r="IT19" s="345"/>
      <c r="IU19" s="345">
        <f t="shared" ref="IU19:IU36" si="118">IF((IS19-IS18)&lt;=0,0,(IS19-IS18))</f>
        <v>0</v>
      </c>
      <c r="IV19" s="345"/>
      <c r="IW19" s="345"/>
      <c r="IX19" s="345">
        <f t="shared" ref="IX19:IX36" si="119">IF((IV19-IV18)&lt;=0,0,(IV19-IV18))</f>
        <v>0</v>
      </c>
      <c r="IY19" s="345"/>
      <c r="IZ19" s="345"/>
      <c r="JA19" s="345">
        <f t="shared" ref="JA19:JA36" si="120">IF((IY19-IY18)&lt;=0,0,(IY19-IY18))</f>
        <v>0</v>
      </c>
      <c r="JB19" s="345"/>
      <c r="JC19" s="345"/>
      <c r="JD19" s="345">
        <f t="shared" ref="JD19:JD36" si="121">IF((JB19-JB18)&lt;=0,0,(JB19-JB18))</f>
        <v>0</v>
      </c>
      <c r="JE19" s="345"/>
      <c r="JF19" s="345"/>
      <c r="JG19" s="345">
        <f t="shared" ref="JG19:JG36" si="122">IF((JE19-JE18)&lt;=0,0,(JE19-JE18))</f>
        <v>0</v>
      </c>
      <c r="JH19" s="345"/>
      <c r="JI19" s="345"/>
      <c r="JJ19" s="345">
        <f t="shared" ref="JJ19:JJ36" si="123">IF((JH19-JH18)&lt;=0,0,(JH19-JH18))</f>
        <v>0</v>
      </c>
      <c r="JK19" s="345"/>
      <c r="JL19" s="345"/>
      <c r="JM19" s="345">
        <f t="shared" ref="JM19:JM36" si="124">IF((JK19-JK18)&lt;=0,0,(JK19-JK18))</f>
        <v>0</v>
      </c>
      <c r="JN19" s="345"/>
      <c r="JO19" s="345"/>
      <c r="JP19" s="345">
        <f t="shared" ref="JP19:JP36" si="125">IF((JN19-JN18)&lt;=0,0,(JN19-JN18))</f>
        <v>0</v>
      </c>
      <c r="JQ19" s="345"/>
      <c r="JR19" s="345"/>
      <c r="JS19" s="345">
        <f t="shared" ref="JS19:JS36" si="126">IF((JQ19-JQ18)&lt;=0,0,(JQ19-JQ18))</f>
        <v>0</v>
      </c>
      <c r="JT19" s="345"/>
      <c r="JU19" s="345"/>
      <c r="JV19" s="345">
        <f t="shared" ref="JV19:JV36" si="127">IF((JT19-JT18)&lt;=0,0,(JT19-JT18))</f>
        <v>0</v>
      </c>
      <c r="JW19" s="345"/>
      <c r="JX19" s="345"/>
      <c r="JY19" s="345">
        <f t="shared" ref="JY19:JY36" si="128">IF((JW19-JW18)&lt;=0,0,(JW19-JW18))</f>
        <v>0</v>
      </c>
      <c r="JZ19" s="345"/>
      <c r="KA19" s="345"/>
      <c r="KB19" s="345">
        <f t="shared" ref="KB19:KB36" si="129">IF((JZ19-JZ18)&lt;=0,0,(JZ19-JZ18))</f>
        <v>0</v>
      </c>
      <c r="KC19" s="345"/>
      <c r="KD19" s="345"/>
      <c r="KE19" s="345">
        <f t="shared" ref="KE19:KE36" si="130">IF((KC19-KC18)&lt;=0,0,(KC19-KC18))</f>
        <v>0</v>
      </c>
      <c r="KG19" s="151">
        <f t="shared" si="75"/>
        <v>67049.999999999898</v>
      </c>
    </row>
    <row r="20" spans="1:293" x14ac:dyDescent="0.25">
      <c r="A20" s="35">
        <f t="shared" si="76"/>
        <v>14</v>
      </c>
      <c r="B20" s="250">
        <v>5846.48</v>
      </c>
      <c r="C20" s="38">
        <f t="shared" si="1"/>
        <v>9.7699999999995271</v>
      </c>
      <c r="D20" s="38">
        <f t="shared" si="2"/>
        <v>312639.99999998487</v>
      </c>
      <c r="E20" s="250">
        <v>1172.02</v>
      </c>
      <c r="F20" s="38">
        <f t="shared" si="3"/>
        <v>66559.999999997672</v>
      </c>
      <c r="G20" s="38">
        <f t="shared" si="4"/>
        <v>379199.99999998254</v>
      </c>
      <c r="H20" s="37"/>
      <c r="I20" s="39"/>
      <c r="J20" s="42"/>
      <c r="K20" s="37">
        <f t="shared" si="93"/>
        <v>0</v>
      </c>
      <c r="L20" s="250">
        <v>19061200</v>
      </c>
      <c r="M20" s="40"/>
      <c r="N20" s="37">
        <f t="shared" si="94"/>
        <v>377000</v>
      </c>
      <c r="O20" s="250">
        <v>13506.6</v>
      </c>
      <c r="P20" s="37"/>
      <c r="Q20" s="37">
        <f t="shared" si="5"/>
        <v>17800.000000001091</v>
      </c>
      <c r="R20" s="37">
        <f t="shared" si="95"/>
        <v>1</v>
      </c>
      <c r="S20" s="250">
        <v>11276994.51</v>
      </c>
      <c r="T20" s="37">
        <f t="shared" si="6"/>
        <v>332.90000000037253</v>
      </c>
      <c r="U20" s="250">
        <v>1523792.57</v>
      </c>
      <c r="V20" s="37">
        <f t="shared" si="7"/>
        <v>0</v>
      </c>
      <c r="W20" s="250">
        <v>4836.5</v>
      </c>
      <c r="X20" s="37">
        <f t="shared" si="110"/>
        <v>17367.100000000719</v>
      </c>
      <c r="Y20" s="183"/>
      <c r="Z20" s="183"/>
      <c r="AA20" s="250">
        <v>873100</v>
      </c>
      <c r="AB20" s="37">
        <f t="shared" si="8"/>
        <v>100</v>
      </c>
      <c r="AC20" s="250">
        <v>5010.6000000000004</v>
      </c>
      <c r="AD20" s="37"/>
      <c r="AE20" s="37">
        <f t="shared" si="9"/>
        <v>7400.0000000005457</v>
      </c>
      <c r="AF20" s="37">
        <f t="shared" si="96"/>
        <v>1</v>
      </c>
      <c r="AG20" s="250">
        <v>10894.2</v>
      </c>
      <c r="AH20" s="67"/>
      <c r="AI20" s="37">
        <f t="shared" si="10"/>
        <v>15061.470000000363</v>
      </c>
      <c r="AJ20" s="37">
        <f t="shared" si="11"/>
        <v>1</v>
      </c>
      <c r="AK20" s="37">
        <f t="shared" si="12"/>
        <v>40161.470000002002</v>
      </c>
      <c r="AL20" s="250">
        <v>12495.5</v>
      </c>
      <c r="AM20" s="66"/>
      <c r="AN20" s="37">
        <f t="shared" si="77"/>
        <v>3881.4700000004586</v>
      </c>
      <c r="AO20" s="37">
        <f t="shared" si="97"/>
        <v>1</v>
      </c>
      <c r="AP20" s="250">
        <v>9891.4</v>
      </c>
      <c r="AQ20" s="37"/>
      <c r="AR20" s="37">
        <f t="shared" si="13"/>
        <v>8000</v>
      </c>
      <c r="AS20" s="37">
        <f t="shared" si="98"/>
        <v>1</v>
      </c>
      <c r="AT20" s="183"/>
      <c r="AU20" s="183"/>
      <c r="AV20" s="183"/>
      <c r="AW20" s="183"/>
      <c r="AX20" s="250">
        <v>542360</v>
      </c>
      <c r="AY20" s="37"/>
      <c r="AZ20" s="37">
        <f t="shared" si="14"/>
        <v>360</v>
      </c>
      <c r="BA20" s="250">
        <v>235160</v>
      </c>
      <c r="BB20" s="37"/>
      <c r="BC20" s="37">
        <f t="shared" si="15"/>
        <v>550</v>
      </c>
      <c r="BD20" s="37">
        <f t="shared" si="99"/>
        <v>12791.47000000046</v>
      </c>
      <c r="BE20" s="250">
        <v>2148.1</v>
      </c>
      <c r="BF20" s="250">
        <v>1211.4000000000001</v>
      </c>
      <c r="BG20" s="37">
        <f t="shared" si="16"/>
        <v>1599.9999999999091</v>
      </c>
      <c r="BH20" s="250">
        <v>10213</v>
      </c>
      <c r="BI20" s="250">
        <v>6604.5</v>
      </c>
      <c r="BJ20" s="37">
        <f t="shared" si="17"/>
        <v>9000</v>
      </c>
      <c r="BK20" s="386">
        <v>2156900</v>
      </c>
      <c r="BL20" s="40">
        <f t="shared" si="100"/>
        <v>4700</v>
      </c>
      <c r="BM20" s="250">
        <v>966.18</v>
      </c>
      <c r="BN20" s="37">
        <f t="shared" si="18"/>
        <v>679.99999999994998</v>
      </c>
      <c r="BO20" s="186"/>
      <c r="BP20" s="183">
        <f t="shared" si="19"/>
        <v>0</v>
      </c>
      <c r="BQ20" s="250">
        <v>911.8</v>
      </c>
      <c r="BR20" s="37">
        <f t="shared" si="78"/>
        <v>799.99999999995453</v>
      </c>
      <c r="BS20" s="250">
        <v>128436.61</v>
      </c>
      <c r="BT20" s="37">
        <f t="shared" si="20"/>
        <v>156.60000000000582</v>
      </c>
      <c r="BU20" s="250">
        <v>3813012</v>
      </c>
      <c r="BV20" s="42"/>
      <c r="BW20" s="37">
        <f t="shared" si="21"/>
        <v>4224</v>
      </c>
      <c r="BX20" s="37">
        <f t="shared" si="101"/>
        <v>1</v>
      </c>
      <c r="BY20" s="250">
        <v>441.47230000000002</v>
      </c>
      <c r="BZ20" s="43"/>
      <c r="CA20" s="37">
        <f>IF((BY20-BY19)&lt;=0,0,(BY20-BY19)*1000)</f>
        <v>844.50000000003911</v>
      </c>
      <c r="CB20" s="37">
        <f t="shared" si="79"/>
        <v>1</v>
      </c>
      <c r="CC20" s="250">
        <v>843028.4</v>
      </c>
      <c r="CD20" s="37">
        <f t="shared" si="23"/>
        <v>0</v>
      </c>
      <c r="CE20" s="250">
        <v>1966007</v>
      </c>
      <c r="CF20" s="37">
        <f t="shared" si="24"/>
        <v>4052</v>
      </c>
      <c r="CG20" s="250">
        <v>122991.9</v>
      </c>
      <c r="CH20" s="37">
        <f t="shared" si="80"/>
        <v>0</v>
      </c>
      <c r="CI20" s="250">
        <v>15064.09</v>
      </c>
      <c r="CJ20" s="40"/>
      <c r="CK20" s="37">
        <f t="shared" si="81"/>
        <v>14816.970000000689</v>
      </c>
      <c r="CL20" s="37">
        <f t="shared" si="25"/>
        <v>1</v>
      </c>
      <c r="CM20" s="250">
        <v>4512.3450000000003</v>
      </c>
      <c r="CN20" s="37"/>
      <c r="CO20" s="37">
        <f t="shared" si="26"/>
        <v>6617.4699999999493</v>
      </c>
      <c r="CP20" s="37">
        <f t="shared" si="102"/>
        <v>1</v>
      </c>
      <c r="CQ20" s="250">
        <v>1037350</v>
      </c>
      <c r="CR20" s="39"/>
      <c r="CS20" s="37">
        <f t="shared" si="82"/>
        <v>6187.47</v>
      </c>
      <c r="CT20" s="37">
        <f t="shared" si="83"/>
        <v>1</v>
      </c>
      <c r="CU20" s="250">
        <v>4995305</v>
      </c>
      <c r="CV20" s="37"/>
      <c r="CW20" s="38">
        <f t="shared" si="27"/>
        <v>844</v>
      </c>
      <c r="CX20" s="37">
        <f t="shared" si="103"/>
        <v>1</v>
      </c>
      <c r="CY20" s="250">
        <v>2680959</v>
      </c>
      <c r="CZ20" s="37"/>
      <c r="DA20" s="37">
        <f t="shared" si="28"/>
        <v>503</v>
      </c>
      <c r="DB20" s="37">
        <f t="shared" si="104"/>
        <v>1</v>
      </c>
      <c r="DC20" s="37"/>
      <c r="DD20" s="40"/>
      <c r="DE20" s="37">
        <f t="shared" si="29"/>
        <v>0</v>
      </c>
      <c r="DF20" s="37">
        <f t="shared" si="111"/>
        <v>0</v>
      </c>
      <c r="DG20" s="37">
        <f t="shared" si="30"/>
        <v>-33192.910000000637</v>
      </c>
      <c r="DH20" s="37">
        <f t="shared" si="31"/>
        <v>418761.47000000189</v>
      </c>
      <c r="DI20" s="46"/>
      <c r="DJ20" s="46"/>
      <c r="DK20" s="47"/>
      <c r="DL20" s="47"/>
      <c r="DM20" s="37"/>
      <c r="DN20" s="37"/>
      <c r="DO20" s="37"/>
      <c r="DP20" s="37"/>
      <c r="DQ20" s="250">
        <v>4858680</v>
      </c>
      <c r="DR20" s="49">
        <f t="shared" si="84"/>
        <v>21857</v>
      </c>
      <c r="DS20" s="250">
        <v>6869900</v>
      </c>
      <c r="DT20" s="49">
        <f t="shared" si="85"/>
        <v>27100</v>
      </c>
      <c r="DU20" s="250">
        <v>8526.6</v>
      </c>
      <c r="DV20" s="250">
        <v>4786.3</v>
      </c>
      <c r="DW20" s="37">
        <f t="shared" si="105"/>
        <v>4500</v>
      </c>
      <c r="DX20" s="250">
        <v>14119</v>
      </c>
      <c r="DY20" s="250">
        <v>8812.1</v>
      </c>
      <c r="DZ20" s="37">
        <f t="shared" si="32"/>
        <v>7461.47</v>
      </c>
      <c r="EA20" s="250">
        <v>32890</v>
      </c>
      <c r="EB20" s="250">
        <v>22.39</v>
      </c>
      <c r="EC20" s="37">
        <f t="shared" si="33"/>
        <v>25621.47</v>
      </c>
      <c r="ED20" s="53">
        <f t="shared" si="34"/>
        <v>37582.94</v>
      </c>
      <c r="EE20" s="250">
        <v>49300</v>
      </c>
      <c r="EF20" s="250">
        <v>32.564999999999998</v>
      </c>
      <c r="EG20" s="37">
        <f t="shared" si="35"/>
        <v>22621.47</v>
      </c>
      <c r="EH20" s="250">
        <v>14648</v>
      </c>
      <c r="EI20" s="250">
        <v>2.1937000000000002</v>
      </c>
      <c r="EJ20" s="37">
        <f t="shared" si="36"/>
        <v>9461.4699999999993</v>
      </c>
      <c r="EK20" s="250">
        <v>893.68</v>
      </c>
      <c r="EL20" s="250">
        <v>1278.7</v>
      </c>
      <c r="EM20" s="37">
        <f t="shared" si="86"/>
        <v>669.99999999995907</v>
      </c>
      <c r="EN20" s="54">
        <f t="shared" si="87"/>
        <v>32752.939999999962</v>
      </c>
      <c r="EO20" s="250">
        <v>14088</v>
      </c>
      <c r="EP20" s="48"/>
      <c r="EQ20" s="37">
        <f t="shared" si="112"/>
        <v>4661.4699999999884</v>
      </c>
      <c r="ER20" s="250">
        <v>11656</v>
      </c>
      <c r="ES20" s="48"/>
      <c r="ET20" s="49">
        <f t="shared" si="114"/>
        <v>17000</v>
      </c>
      <c r="EU20" s="250">
        <v>4947.1000000000004</v>
      </c>
      <c r="EV20" s="48"/>
      <c r="EW20" s="49">
        <f t="shared" si="38"/>
        <v>9561.4700000003631</v>
      </c>
      <c r="EX20" s="250">
        <v>15138</v>
      </c>
      <c r="EY20" s="48"/>
      <c r="EZ20" s="37">
        <f t="shared" si="39"/>
        <v>11461.47</v>
      </c>
      <c r="FA20" s="48">
        <f t="shared" si="88"/>
        <v>-19403.410000000349</v>
      </c>
      <c r="FB20" s="250">
        <v>39760942</v>
      </c>
      <c r="FC20" s="49">
        <f t="shared" si="106"/>
        <v>23281</v>
      </c>
      <c r="FD20" s="48">
        <f t="shared" si="89"/>
        <v>44644.410000000353</v>
      </c>
      <c r="FE20" s="250">
        <v>18225</v>
      </c>
      <c r="FF20" s="48"/>
      <c r="FG20" s="37">
        <f t="shared" si="40"/>
        <v>12261.47000000001</v>
      </c>
      <c r="FH20" s="250">
        <v>11015</v>
      </c>
      <c r="FI20" s="48"/>
      <c r="FJ20" s="49">
        <f t="shared" si="41"/>
        <v>15461.47</v>
      </c>
      <c r="FK20" s="48"/>
      <c r="FL20" s="58"/>
      <c r="FM20" s="48">
        <f t="shared" si="107"/>
        <v>-61.470000000002379</v>
      </c>
      <c r="FN20" s="250">
        <v>18176</v>
      </c>
      <c r="FO20" s="48"/>
      <c r="FP20" s="37">
        <f t="shared" si="90"/>
        <v>11461.47</v>
      </c>
      <c r="FQ20" s="250">
        <v>63890</v>
      </c>
      <c r="FR20" s="48"/>
      <c r="FS20" s="37">
        <f t="shared" si="42"/>
        <v>39000</v>
      </c>
      <c r="FT20" s="48">
        <f t="shared" si="108"/>
        <v>-184.41000000000713</v>
      </c>
      <c r="FU20" s="48">
        <f t="shared" si="109"/>
        <v>40184.410000000011</v>
      </c>
      <c r="FV20" s="250">
        <v>7730000</v>
      </c>
      <c r="FW20" s="44"/>
      <c r="FX20" s="37">
        <f t="shared" si="43"/>
        <v>28500</v>
      </c>
      <c r="FY20" s="250">
        <v>346890</v>
      </c>
      <c r="FZ20" s="63"/>
      <c r="GA20" s="37">
        <f t="shared" si="44"/>
        <v>5830</v>
      </c>
      <c r="GB20" s="250">
        <v>922.43</v>
      </c>
      <c r="GC20" s="56"/>
      <c r="GD20" s="37">
        <f t="shared" si="45"/>
        <v>870.00000000000455</v>
      </c>
      <c r="GE20" s="250">
        <v>11299</v>
      </c>
      <c r="GF20" s="56"/>
      <c r="GG20" s="37">
        <f t="shared" si="46"/>
        <v>8040</v>
      </c>
      <c r="GH20" s="250">
        <v>140130</v>
      </c>
      <c r="GI20" s="162"/>
      <c r="GJ20" s="38">
        <f t="shared" si="91"/>
        <v>1960</v>
      </c>
      <c r="GK20" s="250">
        <v>1536.2</v>
      </c>
      <c r="GL20" s="163"/>
      <c r="GM20" s="38">
        <f t="shared" si="47"/>
        <v>1000</v>
      </c>
      <c r="GN20" s="250">
        <v>244250</v>
      </c>
      <c r="GO20" s="57"/>
      <c r="GP20" s="38">
        <f t="shared" si="48"/>
        <v>0</v>
      </c>
      <c r="GQ20" s="250">
        <v>306880</v>
      </c>
      <c r="GR20" s="38"/>
      <c r="GS20" s="38">
        <f t="shared" si="92"/>
        <v>110</v>
      </c>
      <c r="GT20" s="247"/>
      <c r="GU20" s="144">
        <f>DailyOct!B19-DailyOct!N19-DailyOct!V19-DailyOct!Y19-DailyOct!Z19-DailyOct!AA19-DailyOct!AB19-DailyOct!AC19-DailyOct!AD19-DailyOct!AE19-DailyOct!AK19-DailyOct!AO19-DailyOct!AS19-DailyOct!AY19-DailyOct!BD19+DailyOct!BU19-DailyOct!BG19-DailyOct!BT19-DailyOct!AF19-DailyOct!AG19</f>
        <v>-5.0000020681181923E-2</v>
      </c>
      <c r="GV20" s="261">
        <v>-8078</v>
      </c>
      <c r="GW20" s="60">
        <f t="shared" si="0"/>
        <v>-538.5333333333333</v>
      </c>
      <c r="GX20" s="260">
        <v>-538.53</v>
      </c>
      <c r="GY20" s="140"/>
      <c r="GZ20" s="528"/>
      <c r="HA20" s="528"/>
      <c r="HB20" s="528"/>
      <c r="HC20" s="528"/>
      <c r="HD20" s="74"/>
      <c r="HE20" s="24">
        <f t="shared" si="49"/>
        <v>0</v>
      </c>
      <c r="HF20" s="255"/>
      <c r="HG20" s="279">
        <v>14</v>
      </c>
      <c r="HH20" s="292">
        <v>32109</v>
      </c>
      <c r="HI20" s="292">
        <v>12193</v>
      </c>
      <c r="HJ20" s="61">
        <f t="shared" si="50"/>
        <v>174000</v>
      </c>
      <c r="HK20" s="260">
        <v>2.1432000000000002</v>
      </c>
      <c r="HL20" s="292">
        <v>807.23</v>
      </c>
      <c r="HM20" s="61">
        <f t="shared" si="51"/>
        <v>0</v>
      </c>
      <c r="HN20" s="292">
        <v>8105.2</v>
      </c>
      <c r="HO20" s="292">
        <v>34472</v>
      </c>
      <c r="HP20" s="294">
        <f t="shared" si="52"/>
        <v>40350</v>
      </c>
      <c r="HQ20" s="292">
        <v>5529.6</v>
      </c>
      <c r="HR20" s="292">
        <v>2315.3000000000002</v>
      </c>
      <c r="HS20" s="294">
        <f t="shared" si="53"/>
        <v>26750.000000000546</v>
      </c>
      <c r="HT20" s="292">
        <v>5504.9</v>
      </c>
      <c r="HU20" s="292">
        <v>1472</v>
      </c>
      <c r="HV20" s="294">
        <f t="shared" si="54"/>
        <v>27649.999999999272</v>
      </c>
      <c r="HW20" s="292">
        <v>4112.3</v>
      </c>
      <c r="HX20" s="292">
        <v>1744.4</v>
      </c>
      <c r="HY20" s="294">
        <f t="shared" si="55"/>
        <v>22950.000000000364</v>
      </c>
      <c r="HZ20" s="260">
        <v>3514800</v>
      </c>
      <c r="IA20" s="260">
        <v>15133</v>
      </c>
      <c r="IB20" s="61">
        <f t="shared" si="56"/>
        <v>29200</v>
      </c>
      <c r="IC20" s="292">
        <v>719.8</v>
      </c>
      <c r="ID20" s="292">
        <v>232.78</v>
      </c>
      <c r="IE20" s="61">
        <f t="shared" si="113"/>
        <v>0</v>
      </c>
      <c r="IF20" s="61"/>
      <c r="IG20" s="61"/>
      <c r="IH20" s="280">
        <f t="shared" si="57"/>
        <v>27100</v>
      </c>
      <c r="II20" s="281">
        <f t="shared" si="58"/>
        <v>-1.8917489796876907E-10</v>
      </c>
      <c r="IJ20" s="345"/>
      <c r="IK20" s="345"/>
      <c r="IL20" s="345">
        <f t="shared" si="115"/>
        <v>0</v>
      </c>
      <c r="IM20" s="345"/>
      <c r="IN20" s="345"/>
      <c r="IO20" s="345">
        <f t="shared" si="116"/>
        <v>0</v>
      </c>
      <c r="IP20" s="345"/>
      <c r="IQ20" s="345"/>
      <c r="IR20" s="345">
        <f t="shared" si="117"/>
        <v>0</v>
      </c>
      <c r="IS20" s="345"/>
      <c r="IT20" s="345"/>
      <c r="IU20" s="345">
        <f t="shared" si="118"/>
        <v>0</v>
      </c>
      <c r="IV20" s="345"/>
      <c r="IW20" s="345"/>
      <c r="IX20" s="345">
        <f t="shared" si="119"/>
        <v>0</v>
      </c>
      <c r="IY20" s="345"/>
      <c r="IZ20" s="345"/>
      <c r="JA20" s="345">
        <f t="shared" si="120"/>
        <v>0</v>
      </c>
      <c r="JB20" s="345"/>
      <c r="JC20" s="345"/>
      <c r="JD20" s="345">
        <f t="shared" si="121"/>
        <v>0</v>
      </c>
      <c r="JE20" s="345"/>
      <c r="JF20" s="345"/>
      <c r="JG20" s="345">
        <f t="shared" si="122"/>
        <v>0</v>
      </c>
      <c r="JH20" s="345"/>
      <c r="JI20" s="345"/>
      <c r="JJ20" s="345">
        <f t="shared" si="123"/>
        <v>0</v>
      </c>
      <c r="JK20" s="345"/>
      <c r="JL20" s="345"/>
      <c r="JM20" s="345">
        <f t="shared" si="124"/>
        <v>0</v>
      </c>
      <c r="JN20" s="345"/>
      <c r="JO20" s="345"/>
      <c r="JP20" s="345">
        <f t="shared" si="125"/>
        <v>0</v>
      </c>
      <c r="JQ20" s="345"/>
      <c r="JR20" s="345"/>
      <c r="JS20" s="345">
        <f t="shared" si="126"/>
        <v>0</v>
      </c>
      <c r="JT20" s="345"/>
      <c r="JU20" s="345"/>
      <c r="JV20" s="345">
        <f t="shared" si="127"/>
        <v>0</v>
      </c>
      <c r="JW20" s="345"/>
      <c r="JX20" s="345"/>
      <c r="JY20" s="345">
        <f t="shared" si="128"/>
        <v>0</v>
      </c>
      <c r="JZ20" s="345"/>
      <c r="KA20" s="345"/>
      <c r="KB20" s="345">
        <f t="shared" si="129"/>
        <v>0</v>
      </c>
      <c r="KC20" s="345"/>
      <c r="KD20" s="345"/>
      <c r="KE20" s="345">
        <f t="shared" si="130"/>
        <v>0</v>
      </c>
      <c r="KG20" s="151">
        <f t="shared" si="75"/>
        <v>69549.999999999811</v>
      </c>
    </row>
    <row r="21" spans="1:293" x14ac:dyDescent="0.25">
      <c r="A21" s="35">
        <f t="shared" si="76"/>
        <v>15</v>
      </c>
      <c r="B21" s="250">
        <v>5856.66</v>
      </c>
      <c r="C21" s="38">
        <f t="shared" si="1"/>
        <v>10.180000000000291</v>
      </c>
      <c r="D21" s="38">
        <f t="shared" si="2"/>
        <v>325760.00000000931</v>
      </c>
      <c r="E21" s="250">
        <v>1174.17</v>
      </c>
      <c r="F21" s="38">
        <f t="shared" si="3"/>
        <v>68800.00000000291</v>
      </c>
      <c r="G21" s="38">
        <f t="shared" si="4"/>
        <v>394560.00000001222</v>
      </c>
      <c r="H21" s="37"/>
      <c r="I21" s="39"/>
      <c r="J21" s="42"/>
      <c r="K21" s="37">
        <f t="shared" si="93"/>
        <v>0</v>
      </c>
      <c r="L21" s="250">
        <v>19100300</v>
      </c>
      <c r="M21" s="40"/>
      <c r="N21" s="37">
        <f t="shared" si="94"/>
        <v>391000</v>
      </c>
      <c r="O21" s="250">
        <v>13525.1</v>
      </c>
      <c r="P21" s="37"/>
      <c r="Q21" s="37">
        <f t="shared" si="5"/>
        <v>18500</v>
      </c>
      <c r="R21" s="37">
        <f t="shared" si="95"/>
        <v>1</v>
      </c>
      <c r="S21" s="250">
        <v>11277342.189999999</v>
      </c>
      <c r="T21" s="37">
        <f t="shared" si="6"/>
        <v>347.67999999970198</v>
      </c>
      <c r="U21" s="250">
        <v>1523792.57</v>
      </c>
      <c r="V21" s="37">
        <f t="shared" si="7"/>
        <v>0</v>
      </c>
      <c r="W21" s="250">
        <v>4843.2</v>
      </c>
      <c r="X21" s="37">
        <f t="shared" si="110"/>
        <v>17952.320000000298</v>
      </c>
      <c r="Y21" s="183"/>
      <c r="Z21" s="183"/>
      <c r="AA21" s="250">
        <v>873300</v>
      </c>
      <c r="AB21" s="37">
        <f t="shared" si="8"/>
        <v>200</v>
      </c>
      <c r="AC21" s="250">
        <v>5018.2</v>
      </c>
      <c r="AD21" s="37"/>
      <c r="AE21" s="37">
        <f t="shared" si="9"/>
        <v>7599.9999999994543</v>
      </c>
      <c r="AF21" s="37">
        <f t="shared" si="96"/>
        <v>1</v>
      </c>
      <c r="AG21" s="250">
        <v>10910.6</v>
      </c>
      <c r="AH21" s="67"/>
      <c r="AI21" s="37">
        <f t="shared" si="10"/>
        <v>16706.199999999637</v>
      </c>
      <c r="AJ21" s="37">
        <f t="shared" si="11"/>
        <v>1</v>
      </c>
      <c r="AK21" s="37">
        <f t="shared" si="12"/>
        <v>42606.199999999095</v>
      </c>
      <c r="AL21" s="250">
        <v>12505.9</v>
      </c>
      <c r="AM21" s="42"/>
      <c r="AN21" s="37">
        <f t="shared" si="77"/>
        <v>2126.1999999994823</v>
      </c>
      <c r="AO21" s="37">
        <f t="shared" si="97"/>
        <v>1</v>
      </c>
      <c r="AP21" s="250">
        <v>9899.2999999999993</v>
      </c>
      <c r="AQ21" s="37"/>
      <c r="AR21" s="37">
        <f t="shared" si="13"/>
        <v>7899.9999999996362</v>
      </c>
      <c r="AS21" s="37">
        <f t="shared" si="98"/>
        <v>1</v>
      </c>
      <c r="AT21" s="183"/>
      <c r="AU21" s="183"/>
      <c r="AV21" s="183"/>
      <c r="AW21" s="183"/>
      <c r="AX21" s="250">
        <v>542610</v>
      </c>
      <c r="AY21" s="37"/>
      <c r="AZ21" s="37">
        <f t="shared" si="14"/>
        <v>250</v>
      </c>
      <c r="BA21" s="250">
        <v>235410</v>
      </c>
      <c r="BB21" s="37"/>
      <c r="BC21" s="37">
        <f t="shared" si="15"/>
        <v>250</v>
      </c>
      <c r="BD21" s="37">
        <f t="shared" si="99"/>
        <v>10526.199999999119</v>
      </c>
      <c r="BE21" s="250">
        <v>2149.6999999999998</v>
      </c>
      <c r="BF21" s="250">
        <v>1212.4000000000001</v>
      </c>
      <c r="BG21" s="37">
        <f t="shared" si="16"/>
        <v>1599.9999999999091</v>
      </c>
      <c r="BH21" s="250">
        <v>10223</v>
      </c>
      <c r="BI21" s="250">
        <v>6610.6</v>
      </c>
      <c r="BJ21" s="37">
        <f t="shared" si="17"/>
        <v>10000</v>
      </c>
      <c r="BK21" s="250">
        <v>2163900</v>
      </c>
      <c r="BL21" s="40">
        <f t="shared" si="100"/>
        <v>7000</v>
      </c>
      <c r="BM21" s="250">
        <v>966.86</v>
      </c>
      <c r="BN21" s="37">
        <f t="shared" si="18"/>
        <v>680.00000000006366</v>
      </c>
      <c r="BO21" s="186"/>
      <c r="BP21" s="183">
        <f t="shared" si="19"/>
        <v>0</v>
      </c>
      <c r="BQ21" s="250">
        <v>912.7</v>
      </c>
      <c r="BR21" s="37">
        <f>IF((BQ21-BQ20)&lt;=0,0,(BQ21-BQ20))*1000</f>
        <v>900.00000000009095</v>
      </c>
      <c r="BS21" s="250">
        <v>128610</v>
      </c>
      <c r="BT21" s="37">
        <f t="shared" si="20"/>
        <v>173.38999999999942</v>
      </c>
      <c r="BU21" s="250">
        <v>3817270</v>
      </c>
      <c r="BV21" s="42"/>
      <c r="BW21" s="37">
        <f t="shared" si="21"/>
        <v>4258</v>
      </c>
      <c r="BX21" s="37">
        <f t="shared" si="101"/>
        <v>1</v>
      </c>
      <c r="BY21" s="250">
        <v>442.32870000000003</v>
      </c>
      <c r="BZ21" s="43"/>
      <c r="CA21" s="37">
        <f t="shared" ref="CA21:CA36" si="131">IF((BY21-BY20)&lt;=0,0,(BY21-BY20)*1000)</f>
        <v>856.40000000000782</v>
      </c>
      <c r="CB21" s="37">
        <f t="shared" si="79"/>
        <v>1</v>
      </c>
      <c r="CC21" s="250">
        <v>843028.4</v>
      </c>
      <c r="CD21" s="37">
        <f t="shared" si="23"/>
        <v>0</v>
      </c>
      <c r="CE21" s="250">
        <v>1970087</v>
      </c>
      <c r="CF21" s="37">
        <f t="shared" si="24"/>
        <v>4080</v>
      </c>
      <c r="CG21" s="250">
        <v>122991.9</v>
      </c>
      <c r="CH21" s="37">
        <f t="shared" si="80"/>
        <v>0</v>
      </c>
      <c r="CI21" s="250">
        <v>15080.35</v>
      </c>
      <c r="CJ21" s="40"/>
      <c r="CK21" s="37">
        <f t="shared" si="81"/>
        <v>15709.80000000021</v>
      </c>
      <c r="CL21" s="37">
        <f t="shared" si="25"/>
        <v>1</v>
      </c>
      <c r="CM21" s="250">
        <v>4518.5529999999999</v>
      </c>
      <c r="CN21" s="37"/>
      <c r="CO21" s="37">
        <f t="shared" si="26"/>
        <v>6514.1999999996287</v>
      </c>
      <c r="CP21" s="37">
        <f t="shared" si="102"/>
        <v>1</v>
      </c>
      <c r="CQ21" s="250">
        <v>1043629</v>
      </c>
      <c r="CR21" s="39"/>
      <c r="CS21" s="37">
        <f t="shared" si="82"/>
        <v>6585.2</v>
      </c>
      <c r="CT21" s="37">
        <f t="shared" si="83"/>
        <v>1</v>
      </c>
      <c r="CU21" s="386">
        <v>4999381</v>
      </c>
      <c r="CV21" s="388"/>
      <c r="CW21" s="387">
        <f t="shared" si="27"/>
        <v>4076</v>
      </c>
      <c r="CX21" s="388">
        <f t="shared" si="103"/>
        <v>1</v>
      </c>
      <c r="CY21" s="386">
        <v>2684243</v>
      </c>
      <c r="CZ21" s="388"/>
      <c r="DA21" s="388">
        <f t="shared" si="28"/>
        <v>3284</v>
      </c>
      <c r="DB21" s="37">
        <f t="shared" si="104"/>
        <v>1</v>
      </c>
      <c r="DC21" s="37"/>
      <c r="DD21" s="40"/>
      <c r="DE21" s="37">
        <f t="shared" si="29"/>
        <v>0</v>
      </c>
      <c r="DF21" s="37">
        <f t="shared" si="111"/>
        <v>0</v>
      </c>
      <c r="DG21" s="37">
        <f t="shared" si="30"/>
        <v>-40427.199999999837</v>
      </c>
      <c r="DH21" s="37">
        <f t="shared" si="31"/>
        <v>435206.19999999902</v>
      </c>
      <c r="DI21" s="46"/>
      <c r="DJ21" s="46"/>
      <c r="DK21" s="47"/>
      <c r="DL21" s="47"/>
      <c r="DM21" s="37"/>
      <c r="DN21" s="37"/>
      <c r="DO21" s="37"/>
      <c r="DP21" s="37"/>
      <c r="DQ21" s="250">
        <v>10030</v>
      </c>
      <c r="DR21" s="49">
        <v>10030</v>
      </c>
      <c r="DS21" s="250">
        <v>6892700</v>
      </c>
      <c r="DT21" s="49">
        <f t="shared" si="85"/>
        <v>22800</v>
      </c>
      <c r="DU21" s="250">
        <v>8531.1</v>
      </c>
      <c r="DV21" s="250">
        <v>4787.7</v>
      </c>
      <c r="DW21" s="37">
        <f t="shared" si="105"/>
        <v>4500</v>
      </c>
      <c r="DX21" s="250">
        <v>14126</v>
      </c>
      <c r="DY21" s="250">
        <v>8814.5</v>
      </c>
      <c r="DZ21" s="37">
        <f t="shared" si="32"/>
        <v>7306.2</v>
      </c>
      <c r="EA21" s="250">
        <v>32913</v>
      </c>
      <c r="EB21" s="250">
        <v>22.402000000000001</v>
      </c>
      <c r="EC21" s="37">
        <f t="shared" si="33"/>
        <v>25466.2</v>
      </c>
      <c r="ED21" s="53">
        <f t="shared" si="34"/>
        <v>37272.400000000001</v>
      </c>
      <c r="EE21" s="250">
        <v>49326</v>
      </c>
      <c r="EF21" s="250">
        <v>32.585999999999999</v>
      </c>
      <c r="EG21" s="37">
        <f t="shared" si="35"/>
        <v>28466.2</v>
      </c>
      <c r="EH21" s="250">
        <v>14659</v>
      </c>
      <c r="EI21" s="250">
        <v>2.1968000000000001</v>
      </c>
      <c r="EJ21" s="37">
        <f t="shared" si="36"/>
        <v>11306.2</v>
      </c>
      <c r="EK21" s="250">
        <v>894.19</v>
      </c>
      <c r="EL21" s="250">
        <v>1279.3</v>
      </c>
      <c r="EM21" s="37">
        <f t="shared" si="86"/>
        <v>510.00000000010459</v>
      </c>
      <c r="EN21" s="54">
        <f t="shared" si="87"/>
        <v>40282.400000000103</v>
      </c>
      <c r="EO21" s="250">
        <v>14096</v>
      </c>
      <c r="EP21" s="48"/>
      <c r="EQ21" s="37">
        <f t="shared" si="112"/>
        <v>6796.2000000000098</v>
      </c>
      <c r="ER21" s="250">
        <v>11669</v>
      </c>
      <c r="ES21" s="48"/>
      <c r="ET21" s="49">
        <f t="shared" si="114"/>
        <v>13000</v>
      </c>
      <c r="EU21" s="250">
        <v>4957.5</v>
      </c>
      <c r="EV21" s="48"/>
      <c r="EW21" s="49">
        <f t="shared" si="38"/>
        <v>10706.199999999637</v>
      </c>
      <c r="EX21" s="250">
        <v>15149</v>
      </c>
      <c r="EY21" s="48"/>
      <c r="EZ21" s="37">
        <f t="shared" si="39"/>
        <v>11306.2</v>
      </c>
      <c r="FA21" s="48">
        <f t="shared" si="88"/>
        <v>-20162.599999999649</v>
      </c>
      <c r="FB21" s="250">
        <v>39782588</v>
      </c>
      <c r="FC21" s="49">
        <f t="shared" si="106"/>
        <v>21646</v>
      </c>
      <c r="FD21" s="48">
        <f t="shared" si="89"/>
        <v>43208.599999999649</v>
      </c>
      <c r="FE21" s="250">
        <v>18235</v>
      </c>
      <c r="FF21" s="48"/>
      <c r="FG21" s="37">
        <f t="shared" si="40"/>
        <v>11816.199999999992</v>
      </c>
      <c r="FH21" s="250">
        <v>11032</v>
      </c>
      <c r="FI21" s="48"/>
      <c r="FJ21" s="49">
        <f t="shared" si="41"/>
        <v>17306.2</v>
      </c>
      <c r="FK21" s="48"/>
      <c r="FL21" s="58"/>
      <c r="FM21" s="48">
        <f t="shared" si="107"/>
        <v>-809.53333333333046</v>
      </c>
      <c r="FN21" s="250">
        <v>18188</v>
      </c>
      <c r="FO21" s="48"/>
      <c r="FP21" s="37">
        <f t="shared" si="90"/>
        <v>12306.2</v>
      </c>
      <c r="FQ21" s="250">
        <v>63929</v>
      </c>
      <c r="FR21" s="48"/>
      <c r="FS21" s="37">
        <f t="shared" si="42"/>
        <v>39000</v>
      </c>
      <c r="FT21" s="48">
        <f t="shared" si="108"/>
        <v>-2428.5999999999913</v>
      </c>
      <c r="FU21" s="48">
        <f>FG21+FJ21+FP21+GM21</f>
        <v>42628.600000000035</v>
      </c>
      <c r="FV21" s="250">
        <v>7767000</v>
      </c>
      <c r="FW21" s="44"/>
      <c r="FX21" s="37">
        <f t="shared" si="43"/>
        <v>37000</v>
      </c>
      <c r="FY21" s="250">
        <v>353870</v>
      </c>
      <c r="FZ21" s="56"/>
      <c r="GA21" s="37">
        <f t="shared" si="44"/>
        <v>6980</v>
      </c>
      <c r="GB21" s="250">
        <v>923.52</v>
      </c>
      <c r="GC21" s="56"/>
      <c r="GD21" s="37">
        <f t="shared" si="45"/>
        <v>1090.0000000000318</v>
      </c>
      <c r="GE21" s="250">
        <v>11311</v>
      </c>
      <c r="GF21" s="56"/>
      <c r="GG21" s="37">
        <f t="shared" si="46"/>
        <v>9399.9999999999545</v>
      </c>
      <c r="GH21" s="250">
        <v>141530</v>
      </c>
      <c r="GI21" s="162"/>
      <c r="GJ21" s="38">
        <f t="shared" si="91"/>
        <v>1400</v>
      </c>
      <c r="GK21" s="250">
        <v>1537.4</v>
      </c>
      <c r="GL21" s="163"/>
      <c r="GM21" s="38">
        <f t="shared" si="47"/>
        <v>1200.0000000000455</v>
      </c>
      <c r="GN21" s="250">
        <v>244260</v>
      </c>
      <c r="GO21" s="57"/>
      <c r="GP21" s="38">
        <f t="shared" si="48"/>
        <v>10</v>
      </c>
      <c r="GQ21" s="250">
        <v>307010</v>
      </c>
      <c r="GR21" s="38"/>
      <c r="GS21" s="38">
        <f t="shared" si="92"/>
        <v>130</v>
      </c>
      <c r="GT21" s="247"/>
      <c r="GU21" s="144">
        <f>DailyOct!B20-DailyOct!N20-DailyOct!V20-DailyOct!Y20-DailyOct!Z20-DailyOct!AA20-DailyOct!AB20-DailyOct!AC20-DailyOct!AD20-DailyOct!AE20-DailyOct!AK20-DailyOct!AO20-DailyOct!AS20-DailyOct!AY20-DailyOct!BD20+DailyOct!BU20-DailyOct!BG20-DailyOct!BT20-DailyOct!AF20-DailyOct!AG20</f>
        <v>1.4348188415169716E-8</v>
      </c>
      <c r="GV21" s="261">
        <v>4593</v>
      </c>
      <c r="GW21" s="60">
        <f t="shared" si="0"/>
        <v>306.2</v>
      </c>
      <c r="GX21" s="260">
        <v>306.2</v>
      </c>
      <c r="GY21" s="140"/>
      <c r="GZ21" s="528"/>
      <c r="HA21" s="528"/>
      <c r="HB21" s="528"/>
      <c r="HC21" s="528"/>
      <c r="HD21" s="74"/>
      <c r="HE21" s="24">
        <f t="shared" si="49"/>
        <v>0</v>
      </c>
      <c r="HF21" s="255"/>
      <c r="HG21" s="279">
        <v>15</v>
      </c>
      <c r="HH21" s="292">
        <v>32287</v>
      </c>
      <c r="HI21" s="292">
        <v>12259</v>
      </c>
      <c r="HJ21" s="61">
        <f t="shared" si="50"/>
        <v>178000</v>
      </c>
      <c r="HK21" s="260">
        <v>2.1432000000000002</v>
      </c>
      <c r="HL21" s="292">
        <v>807.23</v>
      </c>
      <c r="HM21" s="61">
        <f t="shared" si="51"/>
        <v>0</v>
      </c>
      <c r="HN21" s="292">
        <v>8147</v>
      </c>
      <c r="HO21" s="292">
        <v>34650</v>
      </c>
      <c r="HP21" s="61">
        <f t="shared" si="52"/>
        <v>43325.000000000182</v>
      </c>
      <c r="HQ21" s="292">
        <v>5558.4</v>
      </c>
      <c r="HR21" s="292">
        <v>2326.6999999999998</v>
      </c>
      <c r="HS21" s="294">
        <f t="shared" si="53"/>
        <v>30324.999999999272</v>
      </c>
      <c r="HT21" s="292">
        <v>5532.3</v>
      </c>
      <c r="HU21" s="292">
        <v>1981.1</v>
      </c>
      <c r="HV21" s="61">
        <f t="shared" si="54"/>
        <v>28925.000000000546</v>
      </c>
      <c r="HW21" s="292">
        <v>4135.1000000000004</v>
      </c>
      <c r="HX21" s="292">
        <v>1753.6</v>
      </c>
      <c r="HY21" s="61">
        <f t="shared" si="55"/>
        <v>24325.000000000182</v>
      </c>
      <c r="HZ21" s="260">
        <v>3543100</v>
      </c>
      <c r="IA21" s="260">
        <v>15251</v>
      </c>
      <c r="IB21" s="61">
        <f t="shared" si="56"/>
        <v>28300</v>
      </c>
      <c r="IC21" s="292">
        <v>719.8</v>
      </c>
      <c r="ID21" s="292">
        <v>232.78</v>
      </c>
      <c r="IE21" s="61">
        <f t="shared" si="113"/>
        <v>0</v>
      </c>
      <c r="IF21" s="61"/>
      <c r="IG21" s="61"/>
      <c r="IH21" s="280">
        <f t="shared" si="57"/>
        <v>22800</v>
      </c>
      <c r="II21" s="281">
        <f t="shared" si="58"/>
        <v>-1.8189894035458565E-10</v>
      </c>
      <c r="IJ21" s="345"/>
      <c r="IK21" s="345"/>
      <c r="IL21" s="345">
        <f t="shared" si="115"/>
        <v>0</v>
      </c>
      <c r="IM21" s="345"/>
      <c r="IN21" s="345"/>
      <c r="IO21" s="345">
        <f t="shared" si="116"/>
        <v>0</v>
      </c>
      <c r="IP21" s="345"/>
      <c r="IQ21" s="345"/>
      <c r="IR21" s="345">
        <f t="shared" si="117"/>
        <v>0</v>
      </c>
      <c r="IS21" s="345"/>
      <c r="IT21" s="345"/>
      <c r="IU21" s="345">
        <f t="shared" si="118"/>
        <v>0</v>
      </c>
      <c r="IV21" s="345"/>
      <c r="IW21" s="345"/>
      <c r="IX21" s="345">
        <f t="shared" si="119"/>
        <v>0</v>
      </c>
      <c r="IY21" s="345"/>
      <c r="IZ21" s="345"/>
      <c r="JA21" s="345">
        <f t="shared" si="120"/>
        <v>0</v>
      </c>
      <c r="JB21" s="345"/>
      <c r="JC21" s="345"/>
      <c r="JD21" s="345">
        <f t="shared" si="121"/>
        <v>0</v>
      </c>
      <c r="JE21" s="345"/>
      <c r="JF21" s="345"/>
      <c r="JG21" s="345">
        <f t="shared" si="122"/>
        <v>0</v>
      </c>
      <c r="JH21" s="345"/>
      <c r="JI21" s="345"/>
      <c r="JJ21" s="345">
        <f t="shared" si="123"/>
        <v>0</v>
      </c>
      <c r="JK21" s="345"/>
      <c r="JL21" s="345"/>
      <c r="JM21" s="345">
        <f t="shared" si="124"/>
        <v>0</v>
      </c>
      <c r="JN21" s="345"/>
      <c r="JO21" s="345"/>
      <c r="JP21" s="345">
        <f t="shared" si="125"/>
        <v>0</v>
      </c>
      <c r="JQ21" s="345"/>
      <c r="JR21" s="345"/>
      <c r="JS21" s="345">
        <f t="shared" si="126"/>
        <v>0</v>
      </c>
      <c r="JT21" s="345"/>
      <c r="JU21" s="345"/>
      <c r="JV21" s="345">
        <f t="shared" si="127"/>
        <v>0</v>
      </c>
      <c r="JW21" s="345"/>
      <c r="JX21" s="345"/>
      <c r="JY21" s="345">
        <f t="shared" si="128"/>
        <v>0</v>
      </c>
      <c r="JZ21" s="345"/>
      <c r="KA21" s="345"/>
      <c r="KB21" s="345">
        <f t="shared" si="129"/>
        <v>0</v>
      </c>
      <c r="KC21" s="345"/>
      <c r="KD21" s="345"/>
      <c r="KE21" s="345">
        <f t="shared" si="130"/>
        <v>0</v>
      </c>
      <c r="KG21" s="151">
        <f t="shared" si="75"/>
        <v>71625</v>
      </c>
    </row>
    <row r="22" spans="1:293" x14ac:dyDescent="0.25">
      <c r="A22" s="35">
        <f t="shared" si="76"/>
        <v>16</v>
      </c>
      <c r="B22" s="250">
        <v>5866.7</v>
      </c>
      <c r="C22" s="38">
        <f t="shared" si="1"/>
        <v>10.039999999999964</v>
      </c>
      <c r="D22" s="38">
        <f t="shared" si="2"/>
        <v>321279.99999999884</v>
      </c>
      <c r="E22" s="250">
        <v>1176.08</v>
      </c>
      <c r="F22" s="38">
        <f t="shared" si="3"/>
        <v>61119.999999995343</v>
      </c>
      <c r="G22" s="38">
        <f t="shared" si="4"/>
        <v>382399.99999999418</v>
      </c>
      <c r="H22" s="37"/>
      <c r="I22" s="39"/>
      <c r="J22" s="42"/>
      <c r="K22" s="37">
        <f>IF(J22&lt;=0,0,(J22/SQRT(J22^2+(I22-I21)^2)))</f>
        <v>0</v>
      </c>
      <c r="L22" s="250">
        <v>19137900</v>
      </c>
      <c r="M22" s="40"/>
      <c r="N22" s="37">
        <f t="shared" si="94"/>
        <v>376000</v>
      </c>
      <c r="O22" s="250">
        <v>13543.9</v>
      </c>
      <c r="P22" s="37"/>
      <c r="Q22" s="37">
        <f>IF((O22-O21)&lt;=0,0,(O22-O21))*1000</f>
        <v>18799.999999999272</v>
      </c>
      <c r="R22" s="37">
        <f>IF(Q22&lt;=0,0,(Q22/SQRT(Q22^2+(P22-P21)^2)))</f>
        <v>1</v>
      </c>
      <c r="S22" s="250">
        <v>11277668.17</v>
      </c>
      <c r="T22" s="37">
        <f t="shared" si="6"/>
        <v>325.98000000044703</v>
      </c>
      <c r="U22" s="250">
        <v>1523792.57</v>
      </c>
      <c r="V22" s="37">
        <f t="shared" si="7"/>
        <v>0</v>
      </c>
      <c r="W22" s="250">
        <v>4850.1000000000004</v>
      </c>
      <c r="X22" s="37">
        <f t="shared" si="110"/>
        <v>18374.019999998825</v>
      </c>
      <c r="Y22" s="183"/>
      <c r="Z22" s="183"/>
      <c r="AA22" s="250">
        <v>873400</v>
      </c>
      <c r="AB22" s="37">
        <f t="shared" si="8"/>
        <v>100</v>
      </c>
      <c r="AC22" s="250">
        <v>5025.6000000000004</v>
      </c>
      <c r="AD22" s="37"/>
      <c r="AE22" s="37">
        <f>IF((AC22-AC21)&lt;=0,0,(AC22-AC21))*1000</f>
        <v>7400.0000000005457</v>
      </c>
      <c r="AF22" s="37">
        <f>IF(AE22&lt;=0,0,(AE22/SQRT(AE22^2+(AD22-AD21)^2)))</f>
        <v>1</v>
      </c>
      <c r="AG22" s="250">
        <v>10926.6</v>
      </c>
      <c r="AH22" s="37"/>
      <c r="AI22" s="37">
        <f t="shared" si="10"/>
        <v>16733.599999999999</v>
      </c>
      <c r="AJ22" s="37">
        <f t="shared" si="11"/>
        <v>1</v>
      </c>
      <c r="AK22" s="37">
        <f t="shared" si="12"/>
        <v>42833.599999999817</v>
      </c>
      <c r="AL22" s="250">
        <v>12516</v>
      </c>
      <c r="AM22" s="42"/>
      <c r="AN22" s="37">
        <f t="shared" si="77"/>
        <v>5553.6000000004597</v>
      </c>
      <c r="AO22" s="37">
        <f t="shared" si="97"/>
        <v>1</v>
      </c>
      <c r="AP22" s="250">
        <v>9907.2000000000007</v>
      </c>
      <c r="AQ22" s="37"/>
      <c r="AR22" s="37">
        <f t="shared" si="13"/>
        <v>7900.0000000014552</v>
      </c>
      <c r="AS22" s="37">
        <f t="shared" si="98"/>
        <v>1</v>
      </c>
      <c r="AT22" s="183"/>
      <c r="AU22" s="183"/>
      <c r="AV22" s="183"/>
      <c r="AW22" s="183"/>
      <c r="AX22" s="250">
        <v>542790</v>
      </c>
      <c r="AY22" s="37"/>
      <c r="AZ22" s="37">
        <f t="shared" si="14"/>
        <v>180</v>
      </c>
      <c r="BA22" s="250">
        <v>235790</v>
      </c>
      <c r="BB22" s="37"/>
      <c r="BC22" s="37">
        <f t="shared" si="15"/>
        <v>380</v>
      </c>
      <c r="BD22" s="37">
        <f t="shared" si="99"/>
        <v>14013.600000001916</v>
      </c>
      <c r="BE22" s="250">
        <v>2151.1999999999998</v>
      </c>
      <c r="BF22" s="250">
        <v>1213.3</v>
      </c>
      <c r="BG22" s="37">
        <f t="shared" si="16"/>
        <v>1500</v>
      </c>
      <c r="BH22" s="250">
        <v>10232</v>
      </c>
      <c r="BI22" s="250">
        <v>6616.6</v>
      </c>
      <c r="BJ22" s="37">
        <f t="shared" si="17"/>
        <v>9000</v>
      </c>
      <c r="BK22" s="250">
        <v>2167700</v>
      </c>
      <c r="BL22" s="40">
        <f t="shared" si="100"/>
        <v>3800</v>
      </c>
      <c r="BM22" s="250">
        <v>967.54</v>
      </c>
      <c r="BN22" s="37">
        <f t="shared" si="18"/>
        <v>679.99999999994998</v>
      </c>
      <c r="BO22" s="186"/>
      <c r="BP22" s="183">
        <f t="shared" si="19"/>
        <v>0</v>
      </c>
      <c r="BQ22" s="250">
        <v>913.5</v>
      </c>
      <c r="BR22" s="37">
        <f t="shared" si="78"/>
        <v>799.99999999995453</v>
      </c>
      <c r="BS22" s="250">
        <v>128770.74</v>
      </c>
      <c r="BT22" s="37">
        <f t="shared" si="20"/>
        <v>160.74000000000524</v>
      </c>
      <c r="BU22" s="250">
        <v>3821278</v>
      </c>
      <c r="BV22" s="42"/>
      <c r="BW22" s="37">
        <f t="shared" si="21"/>
        <v>4008</v>
      </c>
      <c r="BX22" s="37">
        <f t="shared" si="101"/>
        <v>1</v>
      </c>
      <c r="BY22" s="250">
        <v>443.0795</v>
      </c>
      <c r="BZ22" s="43"/>
      <c r="CA22" s="37">
        <f t="shared" si="131"/>
        <v>750.79999999996971</v>
      </c>
      <c r="CB22" s="37">
        <f t="shared" si="79"/>
        <v>1</v>
      </c>
      <c r="CC22" s="250">
        <v>843028.4</v>
      </c>
      <c r="CD22" s="37">
        <f t="shared" si="23"/>
        <v>0</v>
      </c>
      <c r="CE22" s="250">
        <v>1973516</v>
      </c>
      <c r="CF22" s="37">
        <f t="shared" si="24"/>
        <v>3429</v>
      </c>
      <c r="CG22" s="250">
        <v>122991.9</v>
      </c>
      <c r="CH22" s="37">
        <f t="shared" si="80"/>
        <v>0</v>
      </c>
      <c r="CI22" s="250">
        <v>15096.54</v>
      </c>
      <c r="CJ22" s="40"/>
      <c r="CK22" s="37">
        <f t="shared" si="81"/>
        <v>16172.800000000538</v>
      </c>
      <c r="CL22" s="37">
        <f t="shared" si="25"/>
        <v>1</v>
      </c>
      <c r="CM22" s="250">
        <v>4526.2510000000002</v>
      </c>
      <c r="CN22" s="37"/>
      <c r="CO22" s="37">
        <f t="shared" si="26"/>
        <v>8431.6000000003205</v>
      </c>
      <c r="CP22" s="37">
        <f t="shared" si="102"/>
        <v>1</v>
      </c>
      <c r="CQ22" s="250">
        <v>1049750</v>
      </c>
      <c r="CR22" s="39"/>
      <c r="CS22" s="37">
        <f t="shared" si="82"/>
        <v>6854.6</v>
      </c>
      <c r="CT22" s="37">
        <f t="shared" si="83"/>
        <v>1</v>
      </c>
      <c r="CU22" s="250">
        <v>5015793</v>
      </c>
      <c r="CV22" s="37"/>
      <c r="CW22" s="38">
        <f t="shared" si="27"/>
        <v>16412</v>
      </c>
      <c r="CX22" s="37">
        <f t="shared" si="103"/>
        <v>1</v>
      </c>
      <c r="CY22" s="250">
        <v>2693703</v>
      </c>
      <c r="CZ22" s="37"/>
      <c r="DA22" s="37">
        <f t="shared" si="28"/>
        <v>9460</v>
      </c>
      <c r="DB22" s="37">
        <f t="shared" si="104"/>
        <v>1</v>
      </c>
      <c r="DC22" s="37"/>
      <c r="DD22" s="40"/>
      <c r="DE22" s="37">
        <f t="shared" si="29"/>
        <v>0</v>
      </c>
      <c r="DF22" s="37">
        <f t="shared" si="111"/>
        <v>0</v>
      </c>
      <c r="DG22" s="37">
        <f t="shared" si="30"/>
        <v>-61339.000000000859</v>
      </c>
      <c r="DH22" s="37">
        <f t="shared" si="31"/>
        <v>420333.5999999998</v>
      </c>
      <c r="DI22" s="46"/>
      <c r="DJ22" s="46"/>
      <c r="DK22" s="47"/>
      <c r="DL22" s="47"/>
      <c r="DM22" s="37"/>
      <c r="DN22" s="37"/>
      <c r="DO22" s="37"/>
      <c r="DP22" s="37"/>
      <c r="DQ22" s="250">
        <v>20766</v>
      </c>
      <c r="DR22" s="49">
        <f t="shared" si="84"/>
        <v>10736</v>
      </c>
      <c r="DS22" s="250">
        <v>6920800</v>
      </c>
      <c r="DT22" s="49">
        <f>IF((DS22-DS21)&lt;=0,0,(DS22-DS21))</f>
        <v>28100</v>
      </c>
      <c r="DU22" s="250">
        <v>8535.4</v>
      </c>
      <c r="DV22" s="250">
        <v>4788.8999999999996</v>
      </c>
      <c r="DW22" s="37">
        <f t="shared" si="105"/>
        <v>4299.9999999992724</v>
      </c>
      <c r="DX22" s="250">
        <v>14134</v>
      </c>
      <c r="DY22" s="250">
        <v>8816.9</v>
      </c>
      <c r="DZ22" s="37">
        <f t="shared" si="32"/>
        <v>8733.6</v>
      </c>
      <c r="EA22" s="250">
        <v>32936</v>
      </c>
      <c r="EB22" s="250">
        <v>22.413</v>
      </c>
      <c r="EC22" s="37">
        <f t="shared" si="33"/>
        <v>25893.599999999999</v>
      </c>
      <c r="ED22" s="53">
        <f t="shared" si="34"/>
        <v>38927.199999999269</v>
      </c>
      <c r="EE22" s="250">
        <v>49342</v>
      </c>
      <c r="EF22" s="250">
        <v>32.598999999999997</v>
      </c>
      <c r="EG22" s="37">
        <f t="shared" si="35"/>
        <v>18893.599999999999</v>
      </c>
      <c r="EH22" s="250">
        <v>14668</v>
      </c>
      <c r="EI22" s="250">
        <v>2.1991999999999998</v>
      </c>
      <c r="EJ22" s="37">
        <f t="shared" si="36"/>
        <v>9733.6</v>
      </c>
      <c r="EK22" s="250">
        <v>894.8</v>
      </c>
      <c r="EL22" s="250">
        <v>1280.0999999999999</v>
      </c>
      <c r="EM22" s="37">
        <f t="shared" si="86"/>
        <v>609.99999999989996</v>
      </c>
      <c r="EN22" s="54">
        <f t="shared" si="87"/>
        <v>29237.199999999895</v>
      </c>
      <c r="EO22" s="250">
        <v>14104</v>
      </c>
      <c r="EP22" s="48"/>
      <c r="EQ22" s="37">
        <f t="shared" si="112"/>
        <v>7383.6000000000349</v>
      </c>
      <c r="ER22" s="250">
        <v>11682</v>
      </c>
      <c r="ES22" s="48"/>
      <c r="ET22" s="49">
        <f t="shared" si="114"/>
        <v>13000</v>
      </c>
      <c r="EU22" s="250">
        <v>4967.5</v>
      </c>
      <c r="EV22" s="48"/>
      <c r="EW22" s="49">
        <f t="shared" si="38"/>
        <v>10733.6</v>
      </c>
      <c r="EX22" s="250">
        <v>15159</v>
      </c>
      <c r="EY22" s="48"/>
      <c r="EZ22" s="37">
        <f t="shared" si="39"/>
        <v>10733.6</v>
      </c>
      <c r="FA22" s="48">
        <f t="shared" si="88"/>
        <v>-19475.800000000036</v>
      </c>
      <c r="FB22" s="250">
        <v>39804963</v>
      </c>
      <c r="FC22" s="49">
        <f t="shared" si="106"/>
        <v>22375</v>
      </c>
      <c r="FD22" s="48">
        <f t="shared" si="89"/>
        <v>43240.800000000032</v>
      </c>
      <c r="FE22" s="250">
        <v>18244</v>
      </c>
      <c r="FF22" s="48"/>
      <c r="FG22" s="37">
        <f t="shared" si="40"/>
        <v>11083.599999999966</v>
      </c>
      <c r="FH22" s="250">
        <v>11049</v>
      </c>
      <c r="FI22" s="48"/>
      <c r="FJ22" s="49">
        <f t="shared" si="41"/>
        <v>17733.599999999999</v>
      </c>
      <c r="FK22" s="48"/>
      <c r="FL22" s="58"/>
      <c r="FM22" s="48">
        <f t="shared" si="107"/>
        <v>-1183.5999999999883</v>
      </c>
      <c r="FN22" s="250">
        <v>18200</v>
      </c>
      <c r="FO22" s="48"/>
      <c r="FP22" s="37">
        <f t="shared" si="90"/>
        <v>12733.6</v>
      </c>
      <c r="FQ22" s="250">
        <v>63967</v>
      </c>
      <c r="FR22" s="48"/>
      <c r="FS22" s="37">
        <f t="shared" si="42"/>
        <v>38000</v>
      </c>
      <c r="FT22" s="48">
        <f t="shared" si="108"/>
        <v>-3550.7999999999647</v>
      </c>
      <c r="FU22" s="48">
        <f t="shared" si="109"/>
        <v>42750.799999999785</v>
      </c>
      <c r="FV22" s="250">
        <v>7783000</v>
      </c>
      <c r="FW22" s="44"/>
      <c r="FX22" s="37">
        <f t="shared" si="43"/>
        <v>16000</v>
      </c>
      <c r="FY22" s="250">
        <v>357660</v>
      </c>
      <c r="FZ22" s="56"/>
      <c r="GA22" s="37">
        <f t="shared" si="44"/>
        <v>3790</v>
      </c>
      <c r="GB22" s="250">
        <v>924.03</v>
      </c>
      <c r="GC22" s="56"/>
      <c r="GD22" s="37">
        <f t="shared" si="45"/>
        <v>509.99999999999091</v>
      </c>
      <c r="GE22" s="250">
        <v>11318</v>
      </c>
      <c r="GF22" s="56"/>
      <c r="GG22" s="37">
        <f t="shared" si="46"/>
        <v>4410.0000000001819</v>
      </c>
      <c r="GH22" s="250">
        <v>142920</v>
      </c>
      <c r="GI22" s="162"/>
      <c r="GJ22" s="38">
        <f t="shared" si="91"/>
        <v>1390</v>
      </c>
      <c r="GK22" s="250">
        <v>1538.6</v>
      </c>
      <c r="GL22" s="163"/>
      <c r="GM22" s="38">
        <f t="shared" si="47"/>
        <v>1199.9999999998181</v>
      </c>
      <c r="GN22" s="250">
        <v>244260</v>
      </c>
      <c r="GO22" s="57"/>
      <c r="GP22" s="38">
        <f t="shared" si="48"/>
        <v>0</v>
      </c>
      <c r="GQ22" s="250">
        <v>307080</v>
      </c>
      <c r="GR22" s="38"/>
      <c r="GS22" s="38">
        <f t="shared" si="92"/>
        <v>70</v>
      </c>
      <c r="GT22" s="247"/>
      <c r="GU22" s="144">
        <f>DailyOct!B21-DailyOct!N21-DailyOct!V21-DailyOct!Y21-DailyOct!Z21-DailyOct!AA21-DailyOct!AB21-DailyOct!AC21-DailyOct!AD21-DailyOct!AE21-DailyOct!AK21-DailyOct!AO21-DailyOct!AS21-DailyOct!AY21-DailyOct!BD21+DailyOct!BU21-DailyOct!BG21-DailyOct!BT21-DailyOct!AF21-DailyOct!AG21</f>
        <v>-7.3341652750968933E-9</v>
      </c>
      <c r="GV22" s="261">
        <v>11004</v>
      </c>
      <c r="GW22" s="60">
        <f t="shared" si="0"/>
        <v>733.6</v>
      </c>
      <c r="GX22" s="260">
        <v>733.6</v>
      </c>
      <c r="GY22" s="140"/>
      <c r="GZ22" s="528"/>
      <c r="HA22" s="528"/>
      <c r="HB22" s="528"/>
      <c r="HC22" s="528"/>
      <c r="HD22" s="74"/>
      <c r="HE22" s="24">
        <f t="shared" si="49"/>
        <v>0</v>
      </c>
      <c r="HF22" s="255"/>
      <c r="HG22" s="279">
        <v>16</v>
      </c>
      <c r="HH22" s="292">
        <v>32457</v>
      </c>
      <c r="HI22" s="292">
        <v>12323</v>
      </c>
      <c r="HJ22" s="61">
        <f t="shared" si="50"/>
        <v>170000</v>
      </c>
      <c r="HK22" s="260">
        <v>2.1432000000000002</v>
      </c>
      <c r="HL22" s="292">
        <v>807.23</v>
      </c>
      <c r="HM22" s="61">
        <f t="shared" si="51"/>
        <v>0</v>
      </c>
      <c r="HN22" s="292">
        <v>8186</v>
      </c>
      <c r="HO22" s="292">
        <v>34816</v>
      </c>
      <c r="HP22" s="61">
        <f t="shared" si="52"/>
        <v>38200</v>
      </c>
      <c r="HQ22" s="292">
        <v>5584.7</v>
      </c>
      <c r="HR22" s="292">
        <v>2336.9</v>
      </c>
      <c r="HS22" s="61">
        <f t="shared" si="53"/>
        <v>25500.000000000182</v>
      </c>
      <c r="HT22" s="292">
        <v>5559.8</v>
      </c>
      <c r="HU22" s="292">
        <v>1990.1</v>
      </c>
      <c r="HV22" s="61">
        <f t="shared" si="54"/>
        <v>26700</v>
      </c>
      <c r="HW22" s="292">
        <v>4158.5</v>
      </c>
      <c r="HX22" s="292">
        <v>1763</v>
      </c>
      <c r="HY22" s="61">
        <f t="shared" si="55"/>
        <v>22599.999999999636</v>
      </c>
      <c r="HZ22" s="260">
        <v>3572000</v>
      </c>
      <c r="IA22" s="260">
        <v>15371</v>
      </c>
      <c r="IB22" s="61">
        <f t="shared" si="56"/>
        <v>28900</v>
      </c>
      <c r="IC22" s="292">
        <v>719.8</v>
      </c>
      <c r="ID22" s="292">
        <v>232.78</v>
      </c>
      <c r="IE22" s="61">
        <f t="shared" si="113"/>
        <v>0</v>
      </c>
      <c r="IF22" s="61"/>
      <c r="IG22" s="61"/>
      <c r="IH22" s="280">
        <f t="shared" si="57"/>
        <v>28100</v>
      </c>
      <c r="II22" s="281">
        <f t="shared" si="58"/>
        <v>1.8917489796876907E-10</v>
      </c>
      <c r="IJ22" s="345"/>
      <c r="IK22" s="345"/>
      <c r="IL22" s="345">
        <f t="shared" si="115"/>
        <v>0</v>
      </c>
      <c r="IM22" s="345"/>
      <c r="IN22" s="345"/>
      <c r="IO22" s="345">
        <f t="shared" si="116"/>
        <v>0</v>
      </c>
      <c r="IP22" s="345"/>
      <c r="IQ22" s="345"/>
      <c r="IR22" s="345">
        <f t="shared" si="117"/>
        <v>0</v>
      </c>
      <c r="IS22" s="345"/>
      <c r="IT22" s="345"/>
      <c r="IU22" s="345">
        <f t="shared" si="118"/>
        <v>0</v>
      </c>
      <c r="IV22" s="345"/>
      <c r="IW22" s="345"/>
      <c r="IX22" s="345">
        <f t="shared" si="119"/>
        <v>0</v>
      </c>
      <c r="IY22" s="345"/>
      <c r="IZ22" s="345"/>
      <c r="JA22" s="345">
        <f t="shared" si="120"/>
        <v>0</v>
      </c>
      <c r="JB22" s="345"/>
      <c r="JC22" s="345"/>
      <c r="JD22" s="345">
        <f t="shared" si="121"/>
        <v>0</v>
      </c>
      <c r="JE22" s="345"/>
      <c r="JF22" s="345"/>
      <c r="JG22" s="345">
        <f t="shared" si="122"/>
        <v>0</v>
      </c>
      <c r="JH22" s="345"/>
      <c r="JI22" s="345"/>
      <c r="JJ22" s="345">
        <f t="shared" si="123"/>
        <v>0</v>
      </c>
      <c r="JK22" s="345"/>
      <c r="JL22" s="345"/>
      <c r="JM22" s="345">
        <f t="shared" si="124"/>
        <v>0</v>
      </c>
      <c r="JN22" s="345"/>
      <c r="JO22" s="345"/>
      <c r="JP22" s="345">
        <f t="shared" si="125"/>
        <v>0</v>
      </c>
      <c r="JQ22" s="345"/>
      <c r="JR22" s="345"/>
      <c r="JS22" s="345">
        <f t="shared" si="126"/>
        <v>0</v>
      </c>
      <c r="JT22" s="345"/>
      <c r="JU22" s="345"/>
      <c r="JV22" s="345">
        <f t="shared" si="127"/>
        <v>0</v>
      </c>
      <c r="JW22" s="345"/>
      <c r="JX22" s="345"/>
      <c r="JY22" s="345">
        <f t="shared" si="128"/>
        <v>0</v>
      </c>
      <c r="JZ22" s="345"/>
      <c r="KA22" s="345"/>
      <c r="KB22" s="345">
        <f t="shared" si="129"/>
        <v>0</v>
      </c>
      <c r="KC22" s="345"/>
      <c r="KD22" s="345"/>
      <c r="KE22" s="345">
        <f t="shared" si="130"/>
        <v>0</v>
      </c>
      <c r="KG22" s="151">
        <f t="shared" si="75"/>
        <v>67100.000000000189</v>
      </c>
    </row>
    <row r="23" spans="1:293" x14ac:dyDescent="0.25">
      <c r="A23" s="35">
        <f t="shared" si="76"/>
        <v>17</v>
      </c>
      <c r="B23" s="250">
        <v>5876.72</v>
      </c>
      <c r="C23" s="38">
        <f t="shared" si="1"/>
        <v>10.020000000000437</v>
      </c>
      <c r="D23" s="38">
        <f t="shared" si="2"/>
        <v>320640.00000001397</v>
      </c>
      <c r="E23" s="250">
        <v>1177.94</v>
      </c>
      <c r="F23" s="38">
        <f t="shared" si="3"/>
        <v>59520.000000004075</v>
      </c>
      <c r="G23" s="38">
        <f t="shared" si="4"/>
        <v>380160.00000001804</v>
      </c>
      <c r="H23" s="37"/>
      <c r="I23" s="39"/>
      <c r="J23" s="42"/>
      <c r="K23" s="37">
        <f t="shared" ref="K23:K24" si="132">IF(J23&lt;=0,0,(J23/SQRT(J23^2+(I23-I22)^2)))</f>
        <v>0</v>
      </c>
      <c r="L23" s="250">
        <v>19176000</v>
      </c>
      <c r="M23" s="40"/>
      <c r="N23" s="37">
        <f t="shared" si="94"/>
        <v>381000</v>
      </c>
      <c r="O23" s="250">
        <v>13562.7</v>
      </c>
      <c r="P23" s="37"/>
      <c r="Q23" s="37">
        <f t="shared" ref="Q23:Q36" si="133">IF((O23-O22)&lt;=0,0,(O23-O22))*1000</f>
        <v>18800.000000001091</v>
      </c>
      <c r="R23" s="37">
        <f t="shared" ref="R23:R24" si="134">IF(Q23&lt;=0,0,(Q23/SQRT(Q23^2+(P23-P22)^2)))</f>
        <v>1</v>
      </c>
      <c r="S23" s="250">
        <v>11278002.57</v>
      </c>
      <c r="T23" s="37">
        <f t="shared" si="6"/>
        <v>334.40000000037253</v>
      </c>
      <c r="U23" s="250">
        <v>1523792.57</v>
      </c>
      <c r="V23" s="37">
        <f t="shared" si="7"/>
        <v>0</v>
      </c>
      <c r="W23" s="250">
        <v>4856.8999999999996</v>
      </c>
      <c r="X23" s="37">
        <f t="shared" si="110"/>
        <v>18365.600000000719</v>
      </c>
      <c r="Y23" s="183"/>
      <c r="Z23" s="183"/>
      <c r="AA23" s="250">
        <v>873500</v>
      </c>
      <c r="AB23" s="37">
        <f t="shared" si="8"/>
        <v>100</v>
      </c>
      <c r="AC23" s="250">
        <v>5033.1000000000004</v>
      </c>
      <c r="AD23" s="37"/>
      <c r="AE23" s="37">
        <f t="shared" ref="AE23:AE36" si="135">IF((AC23-AC22)&lt;=0,0,(AC23-AC22))*1000</f>
        <v>7500</v>
      </c>
      <c r="AF23" s="37">
        <f t="shared" ref="AF23:AF24" si="136">IF(AE23&lt;=0,0,(AE23/SQRT(AE23^2+(AD23-AD22)^2)))</f>
        <v>1</v>
      </c>
      <c r="AG23" s="250">
        <v>10942.4</v>
      </c>
      <c r="AH23" s="70"/>
      <c r="AI23" s="37">
        <f t="shared" si="10"/>
        <v>15515.199999999273</v>
      </c>
      <c r="AJ23" s="37">
        <f t="shared" si="11"/>
        <v>1</v>
      </c>
      <c r="AK23" s="37">
        <f t="shared" si="12"/>
        <v>41715.200000000361</v>
      </c>
      <c r="AL23" s="250">
        <v>12526.5</v>
      </c>
      <c r="AM23" s="42"/>
      <c r="AN23" s="37">
        <f t="shared" si="77"/>
        <v>5125.1999999999007</v>
      </c>
      <c r="AO23" s="37">
        <f t="shared" si="97"/>
        <v>1</v>
      </c>
      <c r="AP23" s="250">
        <v>9915.2000000000007</v>
      </c>
      <c r="AQ23" s="37"/>
      <c r="AR23" s="37">
        <f t="shared" si="13"/>
        <v>8000</v>
      </c>
      <c r="AS23" s="37">
        <f t="shared" si="98"/>
        <v>1</v>
      </c>
      <c r="AT23" s="183"/>
      <c r="AU23" s="183"/>
      <c r="AV23" s="183"/>
      <c r="AW23" s="183"/>
      <c r="AX23" s="250">
        <v>543080</v>
      </c>
      <c r="AY23" s="37"/>
      <c r="AZ23" s="37">
        <f t="shared" si="14"/>
        <v>290</v>
      </c>
      <c r="BA23" s="250">
        <v>236270</v>
      </c>
      <c r="BB23" s="37"/>
      <c r="BC23" s="37">
        <f>IF((BA23-BA22)&lt;=0,0,(BA23-BA22))</f>
        <v>480</v>
      </c>
      <c r="BD23" s="37">
        <f t="shared" si="99"/>
        <v>13895.199999999901</v>
      </c>
      <c r="BE23" s="250">
        <v>2152.8000000000002</v>
      </c>
      <c r="BF23" s="250">
        <v>1214.3</v>
      </c>
      <c r="BG23" s="37">
        <f t="shared" si="16"/>
        <v>1600.0000000003638</v>
      </c>
      <c r="BH23" s="250">
        <v>10241</v>
      </c>
      <c r="BI23" s="250">
        <v>6622.3</v>
      </c>
      <c r="BJ23" s="37">
        <f t="shared" si="17"/>
        <v>9000</v>
      </c>
      <c r="BK23" s="250">
        <v>2171400</v>
      </c>
      <c r="BL23" s="40">
        <f t="shared" si="100"/>
        <v>3700</v>
      </c>
      <c r="BM23" s="250">
        <v>968.23</v>
      </c>
      <c r="BN23" s="37">
        <f t="shared" si="18"/>
        <v>690.00000000005457</v>
      </c>
      <c r="BO23" s="186"/>
      <c r="BP23" s="183">
        <f t="shared" si="19"/>
        <v>0</v>
      </c>
      <c r="BQ23" s="250">
        <v>914.2</v>
      </c>
      <c r="BR23" s="37">
        <f t="shared" si="78"/>
        <v>700.00000000004547</v>
      </c>
      <c r="BS23" s="250">
        <v>128957.37</v>
      </c>
      <c r="BT23" s="37">
        <f t="shared" si="20"/>
        <v>186.6299999999901</v>
      </c>
      <c r="BU23" s="250">
        <v>3825728</v>
      </c>
      <c r="BV23" s="42"/>
      <c r="BW23" s="37">
        <f t="shared" si="21"/>
        <v>4450</v>
      </c>
      <c r="BX23" s="37">
        <f t="shared" si="101"/>
        <v>1</v>
      </c>
      <c r="BY23" s="250">
        <v>443.68310000000002</v>
      </c>
      <c r="BZ23" s="43"/>
      <c r="CA23" s="37">
        <f t="shared" si="131"/>
        <v>603.60000000002856</v>
      </c>
      <c r="CB23" s="37">
        <f t="shared" si="79"/>
        <v>1</v>
      </c>
      <c r="CC23" s="250">
        <v>843028.4</v>
      </c>
      <c r="CD23" s="37">
        <f t="shared" si="23"/>
        <v>0</v>
      </c>
      <c r="CE23" s="250">
        <v>1977435</v>
      </c>
      <c r="CF23" s="37">
        <f t="shared" si="24"/>
        <v>3919</v>
      </c>
      <c r="CG23" s="250">
        <v>122991.9</v>
      </c>
      <c r="CH23" s="37">
        <f t="shared" si="80"/>
        <v>0</v>
      </c>
      <c r="CI23" s="250">
        <v>15111.96</v>
      </c>
      <c r="CJ23" s="40"/>
      <c r="CK23" s="37">
        <f t="shared" si="81"/>
        <v>14531.599999998227</v>
      </c>
      <c r="CL23" s="37">
        <f t="shared" si="25"/>
        <v>1</v>
      </c>
      <c r="CM23" s="250">
        <v>4532.9849999999997</v>
      </c>
      <c r="CN23" s="37"/>
      <c r="CO23" s="37">
        <f t="shared" si="26"/>
        <v>6449.1999999994687</v>
      </c>
      <c r="CP23" s="37">
        <f t="shared" si="102"/>
        <v>1</v>
      </c>
      <c r="CQ23" s="250">
        <v>1055427</v>
      </c>
      <c r="CR23" s="39"/>
      <c r="CS23" s="37">
        <f t="shared" si="82"/>
        <v>5392.2</v>
      </c>
      <c r="CT23" s="37">
        <f t="shared" si="83"/>
        <v>1</v>
      </c>
      <c r="CU23" s="250">
        <v>5031426</v>
      </c>
      <c r="CV23" s="37"/>
      <c r="CW23" s="38">
        <f t="shared" si="27"/>
        <v>15633</v>
      </c>
      <c r="CX23" s="37">
        <f t="shared" si="103"/>
        <v>1</v>
      </c>
      <c r="CY23" s="250">
        <v>2702717</v>
      </c>
      <c r="CZ23" s="37"/>
      <c r="DA23" s="37">
        <f t="shared" si="28"/>
        <v>9014</v>
      </c>
      <c r="DB23" s="37">
        <f t="shared" si="104"/>
        <v>1</v>
      </c>
      <c r="DC23" s="37"/>
      <c r="DD23" s="40"/>
      <c r="DE23" s="37">
        <f t="shared" si="29"/>
        <v>0</v>
      </c>
      <c r="DF23" s="37">
        <f t="shared" si="111"/>
        <v>0</v>
      </c>
      <c r="DG23" s="37">
        <f t="shared" si="30"/>
        <v>-55469.999999997701</v>
      </c>
      <c r="DH23" s="37">
        <f t="shared" si="31"/>
        <v>424315.20000000071</v>
      </c>
      <c r="DI23" s="46"/>
      <c r="DJ23" s="46"/>
      <c r="DK23" s="47"/>
      <c r="DL23" s="47"/>
      <c r="DM23" s="37"/>
      <c r="DN23" s="37"/>
      <c r="DO23" s="37"/>
      <c r="DP23" s="37"/>
      <c r="DQ23" s="250">
        <v>31861</v>
      </c>
      <c r="DR23" s="49">
        <f t="shared" si="84"/>
        <v>11095</v>
      </c>
      <c r="DS23" s="250">
        <v>6949400</v>
      </c>
      <c r="DT23" s="49">
        <f>IF((DS23-DS22)&lt;=0,0,(DS23-DS22))</f>
        <v>28600</v>
      </c>
      <c r="DU23" s="250">
        <v>8539.6</v>
      </c>
      <c r="DV23" s="250">
        <v>4790.1000000000004</v>
      </c>
      <c r="DW23" s="37">
        <f t="shared" si="105"/>
        <v>4200.0000000007276</v>
      </c>
      <c r="DX23" s="250">
        <v>14141</v>
      </c>
      <c r="DY23" s="250">
        <v>8818.7000000000007</v>
      </c>
      <c r="DZ23" s="37">
        <f t="shared" si="32"/>
        <v>6715.2</v>
      </c>
      <c r="EA23" s="250">
        <v>32958</v>
      </c>
      <c r="EB23" s="250">
        <v>22.423999999999999</v>
      </c>
      <c r="EC23" s="37">
        <f t="shared" si="33"/>
        <v>23875.200000000001</v>
      </c>
      <c r="ED23" s="53">
        <f t="shared" si="34"/>
        <v>34790.400000000729</v>
      </c>
      <c r="EE23" s="250">
        <v>49363</v>
      </c>
      <c r="EF23" s="250">
        <v>32.616</v>
      </c>
      <c r="EG23" s="37">
        <f t="shared" si="35"/>
        <v>22875.200000000001</v>
      </c>
      <c r="EH23" s="250">
        <v>14678</v>
      </c>
      <c r="EI23" s="250">
        <v>2.2019000000000002</v>
      </c>
      <c r="EJ23" s="37">
        <f t="shared" si="36"/>
        <v>9715.2000000000007</v>
      </c>
      <c r="EK23" s="250">
        <v>895.4</v>
      </c>
      <c r="EL23" s="250">
        <v>1280.9000000000001</v>
      </c>
      <c r="EM23" s="37">
        <f t="shared" si="86"/>
        <v>600.00000000002274</v>
      </c>
      <c r="EN23" s="54">
        <f t="shared" si="87"/>
        <v>33190.400000000023</v>
      </c>
      <c r="EO23" s="250">
        <v>14114</v>
      </c>
      <c r="EP23" s="48"/>
      <c r="EQ23" s="37">
        <f t="shared" si="112"/>
        <v>8300.1999999999807</v>
      </c>
      <c r="ER23" s="250">
        <v>11697</v>
      </c>
      <c r="ES23" s="48"/>
      <c r="ET23" s="49">
        <f t="shared" si="114"/>
        <v>15000</v>
      </c>
      <c r="EU23" s="250">
        <v>4978.5</v>
      </c>
      <c r="EV23" s="48"/>
      <c r="EW23" s="49">
        <f t="shared" si="38"/>
        <v>10715.2</v>
      </c>
      <c r="EX23" s="250">
        <v>15170</v>
      </c>
      <c r="EY23" s="48"/>
      <c r="EZ23" s="37">
        <f t="shared" si="39"/>
        <v>10715.2</v>
      </c>
      <c r="FA23" s="48">
        <f t="shared" si="88"/>
        <v>-22641.599999999984</v>
      </c>
      <c r="FB23" s="250">
        <v>39827052</v>
      </c>
      <c r="FC23" s="49">
        <f t="shared" si="106"/>
        <v>22089</v>
      </c>
      <c r="FD23" s="48">
        <f t="shared" si="89"/>
        <v>46460.599999999977</v>
      </c>
      <c r="FE23" s="250">
        <v>18255</v>
      </c>
      <c r="FF23" s="48"/>
      <c r="FG23" s="37">
        <f t="shared" si="40"/>
        <v>12130.200000000021</v>
      </c>
      <c r="FH23" s="250">
        <v>11064</v>
      </c>
      <c r="FI23" s="48"/>
      <c r="FJ23" s="49">
        <f t="shared" si="41"/>
        <v>14715.2</v>
      </c>
      <c r="FK23" s="48"/>
      <c r="FL23" s="58"/>
      <c r="FM23" s="48">
        <f t="shared" si="107"/>
        <v>146.46666666665988</v>
      </c>
      <c r="FN23" s="250">
        <v>18217</v>
      </c>
      <c r="FO23" s="48"/>
      <c r="FP23" s="37">
        <f t="shared" si="90"/>
        <v>16715.2</v>
      </c>
      <c r="FQ23" s="250">
        <v>64011</v>
      </c>
      <c r="FR23" s="48"/>
      <c r="FS23" s="388">
        <f t="shared" si="42"/>
        <v>44000</v>
      </c>
      <c r="FT23" s="48">
        <f t="shared" si="108"/>
        <v>439.39999999997963</v>
      </c>
      <c r="FU23" s="48">
        <f t="shared" si="109"/>
        <v>45060.60000000002</v>
      </c>
      <c r="FV23" s="250">
        <v>7796600</v>
      </c>
      <c r="FW23" s="44"/>
      <c r="FX23" s="37">
        <f t="shared" si="43"/>
        <v>13600</v>
      </c>
      <c r="FY23" s="250">
        <v>360810</v>
      </c>
      <c r="FZ23" s="56"/>
      <c r="GA23" s="37">
        <f t="shared" si="44"/>
        <v>3150</v>
      </c>
      <c r="GB23" s="250">
        <v>924.61</v>
      </c>
      <c r="GC23" s="56"/>
      <c r="GD23" s="37">
        <f t="shared" si="45"/>
        <v>580.00000000004093</v>
      </c>
      <c r="GE23" s="250">
        <v>11325</v>
      </c>
      <c r="GF23" s="56"/>
      <c r="GG23" s="37">
        <f t="shared" si="46"/>
        <v>3770</v>
      </c>
      <c r="GH23" s="250">
        <v>144650</v>
      </c>
      <c r="GI23" s="162"/>
      <c r="GJ23" s="38">
        <f t="shared" si="91"/>
        <v>1730</v>
      </c>
      <c r="GK23" s="250">
        <v>1540.1</v>
      </c>
      <c r="GL23" s="163"/>
      <c r="GM23" s="38">
        <f t="shared" si="47"/>
        <v>1500</v>
      </c>
      <c r="GN23" s="250">
        <v>244260</v>
      </c>
      <c r="GO23" s="57"/>
      <c r="GP23" s="38">
        <f t="shared" si="48"/>
        <v>0</v>
      </c>
      <c r="GQ23" s="250">
        <v>307180</v>
      </c>
      <c r="GR23" s="38"/>
      <c r="GS23" s="38">
        <f t="shared" si="92"/>
        <v>100</v>
      </c>
      <c r="GT23" s="247"/>
      <c r="GU23" s="144">
        <f>DailyOct!B22-DailyOct!N22-DailyOct!V22-DailyOct!Y22-DailyOct!Z22-DailyOct!AA22-DailyOct!AB22-DailyOct!AC22-DailyOct!AD22-DailyOct!AE22-DailyOct!AK22-DailyOct!AO22-DailyOct!AS22-DailyOct!AY22-DailyOct!BD22+DailyOct!BU22-DailyOct!BG22-DailyOct!BT22-DailyOct!AF22-DailyOct!AG22</f>
        <v>1.885928213596344E-8</v>
      </c>
      <c r="GV23" s="261">
        <v>-4272</v>
      </c>
      <c r="GW23" s="60">
        <f t="shared" si="0"/>
        <v>-284.8</v>
      </c>
      <c r="GX23" s="260">
        <v>-284.8</v>
      </c>
      <c r="GY23" s="140"/>
      <c r="GZ23" s="528"/>
      <c r="HA23" s="528"/>
      <c r="HB23" s="528"/>
      <c r="HC23" s="528"/>
      <c r="HD23" s="74"/>
      <c r="HE23" s="24">
        <f t="shared" si="49"/>
        <v>0</v>
      </c>
      <c r="HF23" s="255"/>
      <c r="HG23" s="279">
        <v>17</v>
      </c>
      <c r="HH23" s="292">
        <v>32640</v>
      </c>
      <c r="HI23" s="292">
        <v>12390</v>
      </c>
      <c r="HJ23" s="61">
        <f t="shared" si="50"/>
        <v>183000</v>
      </c>
      <c r="HK23" s="260">
        <v>2.1432000000000002</v>
      </c>
      <c r="HL23" s="292">
        <v>807.23</v>
      </c>
      <c r="HM23" s="61">
        <f t="shared" si="51"/>
        <v>0</v>
      </c>
      <c r="HN23" s="292">
        <v>8229</v>
      </c>
      <c r="HO23" s="292">
        <v>34995</v>
      </c>
      <c r="HP23" s="61">
        <f t="shared" si="52"/>
        <v>43050</v>
      </c>
      <c r="HQ23" s="292">
        <v>5613.6</v>
      </c>
      <c r="HR23" s="292">
        <v>2348.1</v>
      </c>
      <c r="HS23" s="61">
        <f t="shared" si="53"/>
        <v>28950.000000000546</v>
      </c>
      <c r="HT23" s="292">
        <v>5587.7</v>
      </c>
      <c r="HU23" s="292">
        <v>1994.3</v>
      </c>
      <c r="HV23" s="61">
        <f t="shared" si="54"/>
        <v>27949.999999999636</v>
      </c>
      <c r="HW23" s="292">
        <v>4182.8</v>
      </c>
      <c r="HX23" s="292">
        <v>1772.9</v>
      </c>
      <c r="HY23" s="61">
        <f t="shared" si="55"/>
        <v>24350.000000000182</v>
      </c>
      <c r="HZ23" s="260">
        <v>3602100</v>
      </c>
      <c r="IA23" s="260">
        <v>15496</v>
      </c>
      <c r="IB23" s="61">
        <f t="shared" si="56"/>
        <v>30100</v>
      </c>
      <c r="IC23" s="292">
        <v>719.8</v>
      </c>
      <c r="ID23" s="292">
        <v>232.78</v>
      </c>
      <c r="IE23" s="61">
        <f t="shared" si="113"/>
        <v>0</v>
      </c>
      <c r="IF23" s="61"/>
      <c r="IG23" s="61"/>
      <c r="IH23" s="280">
        <f t="shared" si="57"/>
        <v>28600</v>
      </c>
      <c r="II23" s="281">
        <f t="shared" si="58"/>
        <v>-3.7834979593753815E-10</v>
      </c>
      <c r="IJ23" s="345"/>
      <c r="IK23" s="345"/>
      <c r="IL23" s="345">
        <f t="shared" si="115"/>
        <v>0</v>
      </c>
      <c r="IM23" s="345"/>
      <c r="IN23" s="345"/>
      <c r="IO23" s="345">
        <f t="shared" si="116"/>
        <v>0</v>
      </c>
      <c r="IP23" s="345"/>
      <c r="IQ23" s="345"/>
      <c r="IR23" s="345">
        <f t="shared" si="117"/>
        <v>0</v>
      </c>
      <c r="IS23" s="345"/>
      <c r="IT23" s="345"/>
      <c r="IU23" s="345">
        <f t="shared" si="118"/>
        <v>0</v>
      </c>
      <c r="IV23" s="345"/>
      <c r="IW23" s="345"/>
      <c r="IX23" s="345">
        <f t="shared" si="119"/>
        <v>0</v>
      </c>
      <c r="IY23" s="345"/>
      <c r="IZ23" s="345"/>
      <c r="JA23" s="345">
        <f t="shared" si="120"/>
        <v>0</v>
      </c>
      <c r="JB23" s="345"/>
      <c r="JC23" s="345"/>
      <c r="JD23" s="345">
        <f t="shared" si="121"/>
        <v>0</v>
      </c>
      <c r="JE23" s="345"/>
      <c r="JF23" s="345"/>
      <c r="JG23" s="345">
        <f t="shared" si="122"/>
        <v>0</v>
      </c>
      <c r="JH23" s="345"/>
      <c r="JI23" s="345"/>
      <c r="JJ23" s="345">
        <f t="shared" si="123"/>
        <v>0</v>
      </c>
      <c r="JK23" s="345"/>
      <c r="JL23" s="345"/>
      <c r="JM23" s="345">
        <f t="shared" si="124"/>
        <v>0</v>
      </c>
      <c r="JN23" s="345"/>
      <c r="JO23" s="345"/>
      <c r="JP23" s="345">
        <f t="shared" si="125"/>
        <v>0</v>
      </c>
      <c r="JQ23" s="345"/>
      <c r="JR23" s="345"/>
      <c r="JS23" s="345">
        <f t="shared" si="126"/>
        <v>0</v>
      </c>
      <c r="JT23" s="345"/>
      <c r="JU23" s="345"/>
      <c r="JV23" s="345">
        <f t="shared" si="127"/>
        <v>0</v>
      </c>
      <c r="JW23" s="345"/>
      <c r="JX23" s="345"/>
      <c r="JY23" s="345">
        <f t="shared" si="128"/>
        <v>0</v>
      </c>
      <c r="JZ23" s="345"/>
      <c r="KA23" s="345"/>
      <c r="KB23" s="345">
        <f t="shared" si="129"/>
        <v>0</v>
      </c>
      <c r="KC23" s="345"/>
      <c r="KD23" s="345"/>
      <c r="KE23" s="345">
        <f t="shared" si="130"/>
        <v>0</v>
      </c>
      <c r="KG23" s="151">
        <f t="shared" si="75"/>
        <v>73149.999999999622</v>
      </c>
    </row>
    <row r="24" spans="1:293" x14ac:dyDescent="0.25">
      <c r="A24" s="35">
        <f t="shared" si="76"/>
        <v>18</v>
      </c>
      <c r="B24" s="250">
        <v>5886.59</v>
      </c>
      <c r="C24" s="38">
        <f t="shared" si="1"/>
        <v>9.8699999999998909</v>
      </c>
      <c r="D24" s="38">
        <f t="shared" si="2"/>
        <v>315839.99999999651</v>
      </c>
      <c r="E24" s="250">
        <v>1179.992</v>
      </c>
      <c r="F24" s="38">
        <f t="shared" si="3"/>
        <v>65663.999999997031</v>
      </c>
      <c r="G24" s="38">
        <f t="shared" si="4"/>
        <v>381503.99999999354</v>
      </c>
      <c r="H24" s="37"/>
      <c r="I24" s="39"/>
      <c r="J24" s="42"/>
      <c r="K24" s="37">
        <f t="shared" si="132"/>
        <v>0</v>
      </c>
      <c r="L24" s="250">
        <v>19213400</v>
      </c>
      <c r="M24" s="40"/>
      <c r="N24" s="37">
        <f t="shared" si="94"/>
        <v>374000</v>
      </c>
      <c r="O24" s="250">
        <v>13581.1</v>
      </c>
      <c r="P24" s="37"/>
      <c r="Q24" s="37">
        <f t="shared" si="133"/>
        <v>18399.999999999636</v>
      </c>
      <c r="R24" s="37">
        <f t="shared" si="134"/>
        <v>1</v>
      </c>
      <c r="S24" s="250">
        <v>11278341.59</v>
      </c>
      <c r="T24" s="37">
        <f t="shared" si="6"/>
        <v>339.01999999955297</v>
      </c>
      <c r="U24" s="250">
        <v>1523792.57</v>
      </c>
      <c r="V24" s="37">
        <f t="shared" si="7"/>
        <v>0</v>
      </c>
      <c r="W24" s="250">
        <v>4863.7</v>
      </c>
      <c r="X24" s="37">
        <f t="shared" si="110"/>
        <v>17860.980000000083</v>
      </c>
      <c r="Y24" s="183"/>
      <c r="Z24" s="183"/>
      <c r="AA24" s="250">
        <v>873700</v>
      </c>
      <c r="AB24" s="37">
        <f t="shared" si="8"/>
        <v>200</v>
      </c>
      <c r="AC24" s="250">
        <v>5040.5</v>
      </c>
      <c r="AD24" s="37"/>
      <c r="AE24" s="37">
        <f t="shared" si="135"/>
        <v>7399.9999999996362</v>
      </c>
      <c r="AF24" s="37">
        <f t="shared" si="136"/>
        <v>1</v>
      </c>
      <c r="AG24" s="250">
        <v>10958.2</v>
      </c>
      <c r="AH24" s="37"/>
      <c r="AI24" s="37">
        <f t="shared" si="10"/>
        <v>16329.380000001091</v>
      </c>
      <c r="AJ24" s="37">
        <f t="shared" si="11"/>
        <v>1</v>
      </c>
      <c r="AK24" s="37">
        <f t="shared" si="12"/>
        <v>41929.380000000361</v>
      </c>
      <c r="AL24" s="250">
        <v>12536.9</v>
      </c>
      <c r="AM24" s="42"/>
      <c r="AN24" s="37">
        <f t="shared" si="77"/>
        <v>6369.3799999997127</v>
      </c>
      <c r="AO24" s="37">
        <f t="shared" si="97"/>
        <v>1</v>
      </c>
      <c r="AP24" s="250">
        <v>9923.1</v>
      </c>
      <c r="AQ24" s="37"/>
      <c r="AR24" s="37">
        <f t="shared" si="13"/>
        <v>7899.9999999996362</v>
      </c>
      <c r="AS24" s="37">
        <f t="shared" si="98"/>
        <v>1</v>
      </c>
      <c r="AT24" s="183"/>
      <c r="AU24" s="183"/>
      <c r="AV24" s="183"/>
      <c r="AW24" s="183"/>
      <c r="AX24" s="250">
        <v>543430</v>
      </c>
      <c r="AY24" s="37"/>
      <c r="AZ24" s="37">
        <f t="shared" si="14"/>
        <v>350</v>
      </c>
      <c r="BA24" s="250">
        <v>236840</v>
      </c>
      <c r="BB24" s="37"/>
      <c r="BC24" s="37">
        <f t="shared" si="15"/>
        <v>570</v>
      </c>
      <c r="BD24" s="37">
        <f>AN24+AR24+AZ24+BC24</f>
        <v>15189.37999999935</v>
      </c>
      <c r="BE24" s="250">
        <v>2154.4</v>
      </c>
      <c r="BF24" s="250">
        <v>1215.3</v>
      </c>
      <c r="BG24" s="37">
        <f t="shared" si="16"/>
        <v>1599.9999999999091</v>
      </c>
      <c r="BH24" s="250">
        <v>10250</v>
      </c>
      <c r="BI24" s="250">
        <v>6628.3</v>
      </c>
      <c r="BJ24" s="37">
        <f t="shared" si="17"/>
        <v>9000</v>
      </c>
      <c r="BK24" s="250">
        <v>2175000</v>
      </c>
      <c r="BL24" s="40">
        <f t="shared" si="100"/>
        <v>3600</v>
      </c>
      <c r="BM24" s="250">
        <v>968.39</v>
      </c>
      <c r="BN24" s="37">
        <f t="shared" si="18"/>
        <v>159.99999999996817</v>
      </c>
      <c r="BO24" s="186"/>
      <c r="BP24" s="183">
        <f t="shared" si="19"/>
        <v>0</v>
      </c>
      <c r="BQ24" s="250">
        <v>915</v>
      </c>
      <c r="BR24" s="37">
        <f t="shared" si="78"/>
        <v>799.99999999995453</v>
      </c>
      <c r="BS24" s="250">
        <v>129145.8</v>
      </c>
      <c r="BT24" s="37">
        <f t="shared" si="20"/>
        <v>188.43000000000757</v>
      </c>
      <c r="BU24" s="250">
        <v>3830816</v>
      </c>
      <c r="BV24" s="42"/>
      <c r="BW24" s="37">
        <f t="shared" si="21"/>
        <v>5088</v>
      </c>
      <c r="BX24" s="37">
        <f t="shared" si="101"/>
        <v>1</v>
      </c>
      <c r="BY24" s="250">
        <v>444.32380000000001</v>
      </c>
      <c r="BZ24" s="37"/>
      <c r="CA24" s="37">
        <f t="shared" si="131"/>
        <v>640.69999999998117</v>
      </c>
      <c r="CB24" s="37">
        <f t="shared" si="79"/>
        <v>1</v>
      </c>
      <c r="CC24" s="250">
        <v>843944.7</v>
      </c>
      <c r="CD24" s="37">
        <f t="shared" si="23"/>
        <v>916.29999999993015</v>
      </c>
      <c r="CE24" s="250">
        <v>1980948</v>
      </c>
      <c r="CF24" s="37">
        <f t="shared" si="24"/>
        <v>3513</v>
      </c>
      <c r="CG24" s="250">
        <v>122991.9</v>
      </c>
      <c r="CH24" s="37">
        <f t="shared" si="80"/>
        <v>0</v>
      </c>
      <c r="CI24" s="250">
        <v>15127.02</v>
      </c>
      <c r="CJ24" s="40"/>
      <c r="CK24" s="37">
        <f t="shared" si="81"/>
        <v>14948.680000001328</v>
      </c>
      <c r="CL24" s="37">
        <f t="shared" si="25"/>
        <v>1</v>
      </c>
      <c r="CM24" s="250">
        <v>4540.07</v>
      </c>
      <c r="CN24" s="37"/>
      <c r="CO24" s="37">
        <f t="shared" si="26"/>
        <v>7614.3800000000365</v>
      </c>
      <c r="CP24" s="37">
        <f t="shared" si="102"/>
        <v>1</v>
      </c>
      <c r="CQ24" s="250">
        <v>1060812</v>
      </c>
      <c r="CR24" s="39"/>
      <c r="CS24" s="37">
        <f t="shared" si="82"/>
        <v>5914.38</v>
      </c>
      <c r="CT24" s="37">
        <f t="shared" si="83"/>
        <v>1</v>
      </c>
      <c r="CU24" s="250">
        <v>5042326</v>
      </c>
      <c r="CV24" s="37"/>
      <c r="CW24" s="38">
        <f t="shared" si="27"/>
        <v>10900</v>
      </c>
      <c r="CX24" s="37">
        <f t="shared" si="103"/>
        <v>1</v>
      </c>
      <c r="CY24" s="250">
        <v>2709148</v>
      </c>
      <c r="CZ24" s="37"/>
      <c r="DA24" s="37">
        <f t="shared" si="28"/>
        <v>6431</v>
      </c>
      <c r="DB24" s="37">
        <f t="shared" si="104"/>
        <v>1</v>
      </c>
      <c r="DC24" s="37"/>
      <c r="DD24" s="40"/>
      <c r="DE24" s="37">
        <f t="shared" si="29"/>
        <v>0</v>
      </c>
      <c r="DF24" s="37">
        <f t="shared" si="111"/>
        <v>0</v>
      </c>
      <c r="DG24" s="37">
        <f t="shared" si="30"/>
        <v>-50896.44000000137</v>
      </c>
      <c r="DH24" s="37">
        <f t="shared" si="31"/>
        <v>417529.38000000024</v>
      </c>
      <c r="DI24" s="46"/>
      <c r="DJ24" s="46"/>
      <c r="DK24" s="47"/>
      <c r="DL24" s="47"/>
      <c r="DM24" s="37"/>
      <c r="DN24" s="37"/>
      <c r="DO24" s="37"/>
      <c r="DP24" s="37"/>
      <c r="DQ24" s="250">
        <v>42824</v>
      </c>
      <c r="DR24" s="49">
        <f t="shared" si="84"/>
        <v>10963</v>
      </c>
      <c r="DS24" s="250">
        <v>6978400</v>
      </c>
      <c r="DT24" s="49">
        <f>IF((DS24-DS23)&lt;=0,0,(DS24-DS23))</f>
        <v>29000</v>
      </c>
      <c r="DU24" s="250">
        <v>8544.1</v>
      </c>
      <c r="DV24" s="250">
        <v>4791.3</v>
      </c>
      <c r="DW24" s="37">
        <f t="shared" si="105"/>
        <v>4500</v>
      </c>
      <c r="DX24" s="250">
        <v>14149</v>
      </c>
      <c r="DY24" s="250">
        <v>8820.9</v>
      </c>
      <c r="DZ24" s="37">
        <f t="shared" si="32"/>
        <v>8529.3799999999992</v>
      </c>
      <c r="EA24" s="250">
        <v>32982</v>
      </c>
      <c r="EB24" s="250">
        <v>22.434999999999999</v>
      </c>
      <c r="EC24" s="37">
        <f t="shared" si="33"/>
        <v>26689.38</v>
      </c>
      <c r="ED24" s="53">
        <f t="shared" si="34"/>
        <v>39718.76</v>
      </c>
      <c r="EE24" s="250">
        <v>49388</v>
      </c>
      <c r="EF24" s="250">
        <v>32.636000000000003</v>
      </c>
      <c r="EG24" s="37">
        <f t="shared" si="35"/>
        <v>27689.38</v>
      </c>
      <c r="EH24" s="250">
        <v>14688</v>
      </c>
      <c r="EI24" s="250">
        <v>2.2048999999999999</v>
      </c>
      <c r="EJ24" s="37">
        <f t="shared" si="36"/>
        <v>10529.38</v>
      </c>
      <c r="EK24" s="250">
        <v>895.98</v>
      </c>
      <c r="EL24" s="250">
        <v>1281.7</v>
      </c>
      <c r="EM24" s="37">
        <f t="shared" si="86"/>
        <v>580.00000000004093</v>
      </c>
      <c r="EN24" s="54">
        <f t="shared" si="87"/>
        <v>38798.760000000046</v>
      </c>
      <c r="EO24" s="250">
        <v>14122</v>
      </c>
      <c r="EP24" s="48"/>
      <c r="EQ24" s="37">
        <f t="shared" si="112"/>
        <v>7089.380000000001</v>
      </c>
      <c r="ER24" s="250">
        <v>11713</v>
      </c>
      <c r="ES24" s="48"/>
      <c r="ET24" s="49">
        <f t="shared" si="114"/>
        <v>16000</v>
      </c>
      <c r="EU24" s="250">
        <v>4988.2</v>
      </c>
      <c r="EV24" s="48"/>
      <c r="EW24" s="49">
        <f t="shared" si="38"/>
        <v>10229.379999999817</v>
      </c>
      <c r="EX24" s="250">
        <v>15182</v>
      </c>
      <c r="EY24" s="48"/>
      <c r="EZ24" s="37">
        <f t="shared" si="39"/>
        <v>12529.38</v>
      </c>
      <c r="FA24" s="48">
        <f t="shared" si="88"/>
        <v>-21715.139999999818</v>
      </c>
      <c r="FB24" s="250">
        <v>39851185</v>
      </c>
      <c r="FC24" s="49">
        <f t="shared" si="106"/>
        <v>24133</v>
      </c>
      <c r="FD24" s="48">
        <f t="shared" si="89"/>
        <v>47788.139999999818</v>
      </c>
      <c r="FE24" s="250">
        <v>18266</v>
      </c>
      <c r="FF24" s="48"/>
      <c r="FG24" s="37">
        <f t="shared" si="40"/>
        <v>12969.379999999997</v>
      </c>
      <c r="FH24" s="250">
        <v>11078</v>
      </c>
      <c r="FI24" s="48"/>
      <c r="FJ24" s="49">
        <f t="shared" si="41"/>
        <v>14529.38</v>
      </c>
      <c r="FK24" s="48"/>
      <c r="FL24" s="58"/>
      <c r="FM24" s="48">
        <f t="shared" si="107"/>
        <v>-676.04666666666526</v>
      </c>
      <c r="FN24" s="250">
        <v>18235</v>
      </c>
      <c r="FO24" s="48"/>
      <c r="FP24" s="37">
        <f t="shared" si="90"/>
        <v>18529.38</v>
      </c>
      <c r="FQ24" s="250">
        <v>64055</v>
      </c>
      <c r="FR24" s="48"/>
      <c r="FS24" s="37">
        <f t="shared" si="42"/>
        <v>44000</v>
      </c>
      <c r="FT24" s="48">
        <f t="shared" si="108"/>
        <v>-2028.1399999999958</v>
      </c>
      <c r="FU24" s="48">
        <f t="shared" si="109"/>
        <v>47528.14</v>
      </c>
      <c r="FV24" s="250">
        <v>7811800</v>
      </c>
      <c r="FW24" s="44"/>
      <c r="FX24" s="37">
        <f t="shared" si="43"/>
        <v>15200</v>
      </c>
      <c r="FY24" s="250">
        <v>364270</v>
      </c>
      <c r="FZ24" s="56"/>
      <c r="GA24" s="37">
        <f t="shared" si="44"/>
        <v>3460</v>
      </c>
      <c r="GB24" s="250">
        <v>925.18</v>
      </c>
      <c r="GC24" s="56"/>
      <c r="GD24" s="37">
        <f t="shared" si="45"/>
        <v>569.99999999993634</v>
      </c>
      <c r="GE24" s="250">
        <v>11332</v>
      </c>
      <c r="GF24" s="56"/>
      <c r="GG24" s="37">
        <f t="shared" si="46"/>
        <v>3560</v>
      </c>
      <c r="GH24" s="250">
        <v>146590</v>
      </c>
      <c r="GI24" s="159"/>
      <c r="GJ24" s="38">
        <f t="shared" si="91"/>
        <v>1940</v>
      </c>
      <c r="GK24" s="250">
        <v>1541.6</v>
      </c>
      <c r="GL24" s="160"/>
      <c r="GM24" s="38">
        <f t="shared" si="47"/>
        <v>1500</v>
      </c>
      <c r="GN24" s="250">
        <v>244270</v>
      </c>
      <c r="GO24" s="57"/>
      <c r="GP24" s="38">
        <f t="shared" si="48"/>
        <v>10</v>
      </c>
      <c r="GQ24" s="250">
        <v>307300</v>
      </c>
      <c r="GR24" s="38"/>
      <c r="GS24" s="38">
        <f t="shared" si="92"/>
        <v>120</v>
      </c>
      <c r="GT24" s="247"/>
      <c r="GU24" s="144">
        <f>DailyOct!B23-DailyOct!N23-DailyOct!V23-DailyOct!Y23-DailyOct!Z23-DailyOct!AA23-DailyOct!AB23-DailyOct!AC23-DailyOct!AD23-DailyOct!AE23-DailyOct!AK23-DailyOct!AO23-DailyOct!AS23-DailyOct!AY23-DailyOct!BD23+DailyOct!BU23-DailyOct!BG23-DailyOct!BT23-DailyOct!AF23-DailyOct!AG23</f>
        <v>-7.1304384618997574E-9</v>
      </c>
      <c r="GV24" s="261">
        <v>7940.7</v>
      </c>
      <c r="GW24" s="60">
        <f t="shared" si="0"/>
        <v>529.38</v>
      </c>
      <c r="GX24" s="260">
        <v>529.38</v>
      </c>
      <c r="GY24" s="140"/>
      <c r="GZ24" s="528"/>
      <c r="HA24" s="528"/>
      <c r="HB24" s="528"/>
      <c r="HC24" s="528"/>
      <c r="HD24" s="74"/>
      <c r="HE24" s="24">
        <f t="shared" si="49"/>
        <v>0</v>
      </c>
      <c r="HF24" s="255"/>
      <c r="HG24" s="279">
        <v>18</v>
      </c>
      <c r="HH24" s="292">
        <v>32818</v>
      </c>
      <c r="HI24" s="292">
        <v>12458</v>
      </c>
      <c r="HJ24" s="61">
        <f t="shared" si="50"/>
        <v>178000</v>
      </c>
      <c r="HK24" s="260">
        <v>2.1432000000000002</v>
      </c>
      <c r="HL24" s="292">
        <v>807.23</v>
      </c>
      <c r="HM24" s="61">
        <f t="shared" si="51"/>
        <v>0</v>
      </c>
      <c r="HN24" s="292">
        <v>8269.2999999999993</v>
      </c>
      <c r="HO24" s="292">
        <v>35167</v>
      </c>
      <c r="HP24" s="61">
        <f t="shared" si="52"/>
        <v>39849.999999999272</v>
      </c>
      <c r="HQ24" s="292">
        <v>5641.8</v>
      </c>
      <c r="HR24" s="292">
        <v>2359.1</v>
      </c>
      <c r="HS24" s="61">
        <f t="shared" si="53"/>
        <v>27749.999999999818</v>
      </c>
      <c r="HT24" s="292">
        <v>5614.5</v>
      </c>
      <c r="HU24" s="292">
        <v>2008.4</v>
      </c>
      <c r="HV24" s="61">
        <f t="shared" si="54"/>
        <v>26350.000000000182</v>
      </c>
      <c r="HW24" s="292">
        <v>4206.8999999999996</v>
      </c>
      <c r="HX24" s="292">
        <v>1782.5</v>
      </c>
      <c r="HY24" s="61">
        <f t="shared" si="55"/>
        <v>23649.999999999454</v>
      </c>
      <c r="HZ24" s="260">
        <v>3633500</v>
      </c>
      <c r="IA24" s="260">
        <v>15625</v>
      </c>
      <c r="IB24" s="61">
        <f t="shared" si="56"/>
        <v>31400</v>
      </c>
      <c r="IC24" s="292">
        <v>719.8</v>
      </c>
      <c r="ID24" s="292">
        <v>232.78</v>
      </c>
      <c r="IE24" s="61">
        <f t="shared" si="113"/>
        <v>0</v>
      </c>
      <c r="IF24" s="61"/>
      <c r="IG24" s="61"/>
      <c r="IH24" s="280">
        <f t="shared" si="57"/>
        <v>29000</v>
      </c>
      <c r="II24" s="281">
        <f t="shared" si="58"/>
        <v>1.280568540096283E-9</v>
      </c>
      <c r="IJ24" s="345"/>
      <c r="IK24" s="345"/>
      <c r="IL24" s="345">
        <f t="shared" si="115"/>
        <v>0</v>
      </c>
      <c r="IM24" s="345"/>
      <c r="IN24" s="345"/>
      <c r="IO24" s="345">
        <f t="shared" si="116"/>
        <v>0</v>
      </c>
      <c r="IP24" s="345"/>
      <c r="IQ24" s="345"/>
      <c r="IR24" s="345">
        <f t="shared" si="117"/>
        <v>0</v>
      </c>
      <c r="IS24" s="345"/>
      <c r="IT24" s="345"/>
      <c r="IU24" s="345">
        <f t="shared" si="118"/>
        <v>0</v>
      </c>
      <c r="IV24" s="345"/>
      <c r="IW24" s="345"/>
      <c r="IX24" s="345">
        <f t="shared" si="119"/>
        <v>0</v>
      </c>
      <c r="IY24" s="345"/>
      <c r="IZ24" s="345"/>
      <c r="JA24" s="345">
        <f t="shared" si="120"/>
        <v>0</v>
      </c>
      <c r="JB24" s="345"/>
      <c r="JC24" s="345"/>
      <c r="JD24" s="345">
        <f t="shared" si="121"/>
        <v>0</v>
      </c>
      <c r="JE24" s="345"/>
      <c r="JF24" s="345"/>
      <c r="JG24" s="345">
        <f t="shared" si="122"/>
        <v>0</v>
      </c>
      <c r="JH24" s="345"/>
      <c r="JI24" s="345"/>
      <c r="JJ24" s="345">
        <f t="shared" si="123"/>
        <v>0</v>
      </c>
      <c r="JK24" s="345"/>
      <c r="JL24" s="345"/>
      <c r="JM24" s="345">
        <f t="shared" si="124"/>
        <v>0</v>
      </c>
      <c r="JN24" s="345"/>
      <c r="JO24" s="345"/>
      <c r="JP24" s="345">
        <f t="shared" si="125"/>
        <v>0</v>
      </c>
      <c r="JQ24" s="345"/>
      <c r="JR24" s="345"/>
      <c r="JS24" s="345">
        <f t="shared" si="126"/>
        <v>0</v>
      </c>
      <c r="JT24" s="345"/>
      <c r="JU24" s="345"/>
      <c r="JV24" s="345">
        <f t="shared" si="127"/>
        <v>0</v>
      </c>
      <c r="JW24" s="345"/>
      <c r="JX24" s="345"/>
      <c r="JY24" s="345">
        <f t="shared" si="128"/>
        <v>0</v>
      </c>
      <c r="JZ24" s="345"/>
      <c r="KA24" s="345"/>
      <c r="KB24" s="345">
        <f t="shared" si="129"/>
        <v>0</v>
      </c>
      <c r="KC24" s="345"/>
      <c r="KD24" s="345"/>
      <c r="KE24" s="345">
        <f t="shared" si="130"/>
        <v>0</v>
      </c>
      <c r="KG24" s="151">
        <f t="shared" si="75"/>
        <v>71250.000000000553</v>
      </c>
    </row>
    <row r="25" spans="1:293" x14ac:dyDescent="0.25">
      <c r="A25" s="35">
        <f t="shared" si="76"/>
        <v>19</v>
      </c>
      <c r="B25" s="250">
        <v>5896.25</v>
      </c>
      <c r="C25" s="38">
        <f t="shared" si="1"/>
        <v>9.6599999999998545</v>
      </c>
      <c r="D25" s="38">
        <f>IF((B25-B24)*32000&lt;=0,0,(B25-B24)*32000)</f>
        <v>309119.99999999534</v>
      </c>
      <c r="E25" s="250">
        <v>1181.9000000000001</v>
      </c>
      <c r="F25" s="38">
        <f t="shared" si="3"/>
        <v>61056.000000004133</v>
      </c>
      <c r="G25" s="38">
        <f t="shared" si="4"/>
        <v>370175.99999999948</v>
      </c>
      <c r="H25" s="37"/>
      <c r="I25" s="39"/>
      <c r="J25" s="42"/>
      <c r="K25" s="37">
        <f t="shared" si="93"/>
        <v>0</v>
      </c>
      <c r="L25" s="250">
        <v>19250300</v>
      </c>
      <c r="M25" s="40"/>
      <c r="N25" s="37">
        <f t="shared" si="94"/>
        <v>369000</v>
      </c>
      <c r="O25" s="250">
        <v>13599.9</v>
      </c>
      <c r="P25" s="70"/>
      <c r="Q25" s="37">
        <f t="shared" si="133"/>
        <v>18799.999999999272</v>
      </c>
      <c r="R25" s="37">
        <f t="shared" si="95"/>
        <v>1</v>
      </c>
      <c r="S25" s="250">
        <v>11278700.630000001</v>
      </c>
      <c r="T25" s="37">
        <f t="shared" si="6"/>
        <v>359.04000000096858</v>
      </c>
      <c r="U25" s="250">
        <v>1523792.57</v>
      </c>
      <c r="V25" s="37">
        <f t="shared" si="7"/>
        <v>0</v>
      </c>
      <c r="W25" s="250">
        <v>4870.6000000000004</v>
      </c>
      <c r="X25" s="37">
        <f t="shared" si="110"/>
        <v>18340.959999998304</v>
      </c>
      <c r="Y25" s="183"/>
      <c r="Z25" s="183"/>
      <c r="AA25" s="250">
        <v>873800</v>
      </c>
      <c r="AB25" s="37">
        <f t="shared" si="8"/>
        <v>100</v>
      </c>
      <c r="AC25" s="250">
        <v>5048</v>
      </c>
      <c r="AD25" s="37"/>
      <c r="AE25" s="37">
        <f t="shared" si="135"/>
        <v>7500</v>
      </c>
      <c r="AF25" s="37">
        <f t="shared" si="96"/>
        <v>1</v>
      </c>
      <c r="AG25" s="250">
        <v>10973.7</v>
      </c>
      <c r="AH25" s="37"/>
      <c r="AI25" s="37">
        <f t="shared" si="10"/>
        <v>15368.99</v>
      </c>
      <c r="AJ25" s="37">
        <f t="shared" si="11"/>
        <v>1</v>
      </c>
      <c r="AK25" s="37">
        <f t="shared" si="12"/>
        <v>41568.98999999927</v>
      </c>
      <c r="AL25" s="250">
        <v>12548.1</v>
      </c>
      <c r="AM25" s="42"/>
      <c r="AN25" s="37">
        <f t="shared" si="77"/>
        <v>6868.9900000006819</v>
      </c>
      <c r="AO25" s="37">
        <f t="shared" si="97"/>
        <v>1</v>
      </c>
      <c r="AP25" s="250">
        <v>9931</v>
      </c>
      <c r="AQ25" s="37"/>
      <c r="AR25" s="37">
        <f t="shared" si="13"/>
        <v>7899.9999999996362</v>
      </c>
      <c r="AS25" s="37">
        <f t="shared" si="98"/>
        <v>1</v>
      </c>
      <c r="AT25" s="183"/>
      <c r="AU25" s="183"/>
      <c r="AV25" s="183"/>
      <c r="AW25" s="183"/>
      <c r="AX25" s="250">
        <v>543790</v>
      </c>
      <c r="AY25" s="37"/>
      <c r="AZ25" s="37">
        <f t="shared" si="14"/>
        <v>360</v>
      </c>
      <c r="BA25" s="250">
        <v>237360</v>
      </c>
      <c r="BB25" s="37"/>
      <c r="BC25" s="37">
        <f t="shared" si="15"/>
        <v>520</v>
      </c>
      <c r="BD25" s="37">
        <f t="shared" si="99"/>
        <v>15648.990000000318</v>
      </c>
      <c r="BE25" s="250">
        <v>2156</v>
      </c>
      <c r="BF25" s="250">
        <v>1216.3</v>
      </c>
      <c r="BG25" s="37">
        <f t="shared" si="16"/>
        <v>1599.9999999999091</v>
      </c>
      <c r="BH25" s="250">
        <v>10259</v>
      </c>
      <c r="BI25" s="250">
        <v>6634.5</v>
      </c>
      <c r="BJ25" s="37">
        <f t="shared" si="17"/>
        <v>9000</v>
      </c>
      <c r="BK25" s="250">
        <v>2178500</v>
      </c>
      <c r="BL25" s="40">
        <f t="shared" si="100"/>
        <v>3500</v>
      </c>
      <c r="BM25" s="250">
        <v>968.39</v>
      </c>
      <c r="BN25" s="37">
        <f t="shared" si="18"/>
        <v>0</v>
      </c>
      <c r="BO25" s="186"/>
      <c r="BP25" s="183">
        <f t="shared" si="19"/>
        <v>0</v>
      </c>
      <c r="BQ25" s="250">
        <v>915.7</v>
      </c>
      <c r="BR25" s="37">
        <f t="shared" si="78"/>
        <v>700.00000000004547</v>
      </c>
      <c r="BS25" s="250">
        <v>129332.92</v>
      </c>
      <c r="BT25" s="37">
        <f t="shared" si="20"/>
        <v>187.11999999999534</v>
      </c>
      <c r="BU25" s="250">
        <v>3834499</v>
      </c>
      <c r="BV25" s="42"/>
      <c r="BW25" s="37">
        <f t="shared" si="21"/>
        <v>3683</v>
      </c>
      <c r="BX25" s="37">
        <f t="shared" si="101"/>
        <v>1</v>
      </c>
      <c r="BY25" s="250">
        <v>444.74290000000002</v>
      </c>
      <c r="BZ25" s="37"/>
      <c r="CA25" s="37">
        <f t="shared" si="131"/>
        <v>419.10000000001446</v>
      </c>
      <c r="CB25" s="37">
        <f t="shared" si="79"/>
        <v>1</v>
      </c>
      <c r="CC25" s="250">
        <v>845115.8</v>
      </c>
      <c r="CD25" s="37">
        <f t="shared" si="23"/>
        <v>1171.1000000000931</v>
      </c>
      <c r="CE25" s="250">
        <v>1982775</v>
      </c>
      <c r="CF25" s="37">
        <f t="shared" si="24"/>
        <v>1827</v>
      </c>
      <c r="CG25" s="250">
        <v>122991.9</v>
      </c>
      <c r="CH25" s="37">
        <f t="shared" si="80"/>
        <v>0</v>
      </c>
      <c r="CI25" s="390">
        <v>15137.54</v>
      </c>
      <c r="CJ25" s="40"/>
      <c r="CK25" s="37">
        <f t="shared" si="81"/>
        <v>9969.8900000004214</v>
      </c>
      <c r="CL25" s="37">
        <f t="shared" si="25"/>
        <v>1</v>
      </c>
      <c r="CM25" s="250">
        <v>4544.6689999999999</v>
      </c>
      <c r="CN25" s="37"/>
      <c r="CO25" s="37">
        <f t="shared" si="26"/>
        <v>4467.9900000001599</v>
      </c>
      <c r="CP25" s="37">
        <f t="shared" si="102"/>
        <v>1</v>
      </c>
      <c r="CQ25" s="250">
        <v>1064134</v>
      </c>
      <c r="CR25" s="39"/>
      <c r="CS25" s="37">
        <f t="shared" si="82"/>
        <v>3190.99</v>
      </c>
      <c r="CT25" s="37">
        <f t="shared" si="83"/>
        <v>1</v>
      </c>
      <c r="CU25" s="250">
        <v>5053677</v>
      </c>
      <c r="CV25" s="37"/>
      <c r="CW25" s="38">
        <f t="shared" si="27"/>
        <v>11351</v>
      </c>
      <c r="CX25" s="37">
        <f t="shared" si="103"/>
        <v>1</v>
      </c>
      <c r="CY25" s="250">
        <v>2715102</v>
      </c>
      <c r="CZ25" s="37"/>
      <c r="DA25" s="37">
        <f t="shared" si="28"/>
        <v>5954</v>
      </c>
      <c r="DB25" s="37">
        <f t="shared" si="104"/>
        <v>1</v>
      </c>
      <c r="DC25" s="37"/>
      <c r="DD25" s="40"/>
      <c r="DE25" s="37">
        <f t="shared" si="29"/>
        <v>0</v>
      </c>
      <c r="DF25" s="37">
        <f t="shared" si="111"/>
        <v>0</v>
      </c>
      <c r="DG25" s="37">
        <f t="shared" si="30"/>
        <v>-38616.870000000577</v>
      </c>
      <c r="DH25" s="37">
        <f t="shared" si="31"/>
        <v>412168.98999999918</v>
      </c>
      <c r="DI25" s="46"/>
      <c r="DJ25" s="46"/>
      <c r="DK25" s="47"/>
      <c r="DL25" s="47"/>
      <c r="DM25" s="37"/>
      <c r="DN25" s="37"/>
      <c r="DO25" s="37"/>
      <c r="DP25" s="37"/>
      <c r="DQ25" s="250">
        <v>52141</v>
      </c>
      <c r="DR25" s="49">
        <f t="shared" si="84"/>
        <v>9317</v>
      </c>
      <c r="DS25" s="250">
        <v>7004600</v>
      </c>
      <c r="DT25" s="49">
        <f t="shared" si="85"/>
        <v>26200</v>
      </c>
      <c r="DU25" s="250">
        <v>8548.5</v>
      </c>
      <c r="DV25" s="250">
        <v>4792.5</v>
      </c>
      <c r="DW25" s="37">
        <f t="shared" si="105"/>
        <v>4399.9999999996362</v>
      </c>
      <c r="DX25" s="250">
        <v>14157</v>
      </c>
      <c r="DY25" s="250">
        <v>8822.7000000000007</v>
      </c>
      <c r="DZ25" s="37">
        <f t="shared" si="32"/>
        <v>7868.99</v>
      </c>
      <c r="EA25" s="250">
        <v>33005</v>
      </c>
      <c r="EB25" s="250">
        <v>22.446999999999999</v>
      </c>
      <c r="EC25" s="37">
        <f t="shared" si="33"/>
        <v>25028.99</v>
      </c>
      <c r="ED25" s="53">
        <f t="shared" si="34"/>
        <v>37297.979999999639</v>
      </c>
      <c r="EE25" s="250">
        <v>49411</v>
      </c>
      <c r="EF25" s="250">
        <v>32.655000000000001</v>
      </c>
      <c r="EG25" s="37">
        <f t="shared" si="35"/>
        <v>25028.99</v>
      </c>
      <c r="EH25" s="250">
        <v>14699</v>
      </c>
      <c r="EI25" s="250">
        <v>2.2080000000000002</v>
      </c>
      <c r="EJ25" s="37">
        <f t="shared" si="36"/>
        <v>10868.99</v>
      </c>
      <c r="EK25" s="250">
        <v>896.49</v>
      </c>
      <c r="EL25" s="250">
        <v>1282.3</v>
      </c>
      <c r="EM25" s="37">
        <f t="shared" si="86"/>
        <v>509.99999999999091</v>
      </c>
      <c r="EN25" s="54">
        <f t="shared" si="87"/>
        <v>36407.979999999996</v>
      </c>
      <c r="EO25" s="250">
        <v>14131</v>
      </c>
      <c r="EP25" s="48"/>
      <c r="EQ25" s="37">
        <f t="shared" si="112"/>
        <v>7383.9899999999861</v>
      </c>
      <c r="ER25" s="250">
        <v>11731</v>
      </c>
      <c r="ES25" s="48"/>
      <c r="ET25" s="49">
        <f t="shared" si="114"/>
        <v>18000</v>
      </c>
      <c r="EU25" s="250">
        <v>4998.3999999999996</v>
      </c>
      <c r="EV25" s="48"/>
      <c r="EW25" s="49">
        <f t="shared" si="38"/>
        <v>10068.989999999818</v>
      </c>
      <c r="EX25" s="250">
        <v>15194</v>
      </c>
      <c r="EY25" s="48"/>
      <c r="EZ25" s="37">
        <f t="shared" si="39"/>
        <v>11868.99</v>
      </c>
      <c r="FA25" s="48">
        <f t="shared" si="88"/>
        <v>-22346.969999999805</v>
      </c>
      <c r="FB25" s="250">
        <v>39876160</v>
      </c>
      <c r="FC25" s="49">
        <f t="shared" si="106"/>
        <v>24975</v>
      </c>
      <c r="FD25" s="48">
        <f t="shared" si="89"/>
        <v>49391.969999999805</v>
      </c>
      <c r="FE25" s="250">
        <v>18276</v>
      </c>
      <c r="FF25" s="48"/>
      <c r="FG25" s="37">
        <f t="shared" si="40"/>
        <v>11353.990000000013</v>
      </c>
      <c r="FH25" s="250">
        <v>11097</v>
      </c>
      <c r="FI25" s="48"/>
      <c r="FJ25" s="49">
        <f t="shared" si="41"/>
        <v>18868.990000000002</v>
      </c>
      <c r="FK25" s="48"/>
      <c r="FL25" s="58"/>
      <c r="FM25" s="48">
        <f t="shared" si="107"/>
        <v>-2030.656666666672</v>
      </c>
      <c r="FN25" s="250">
        <v>18253</v>
      </c>
      <c r="FO25" s="48"/>
      <c r="FP25" s="37">
        <f t="shared" si="90"/>
        <v>17868.990000000002</v>
      </c>
      <c r="FQ25" s="250">
        <v>64097</v>
      </c>
      <c r="FR25" s="48"/>
      <c r="FS25" s="37">
        <f t="shared" si="42"/>
        <v>42000</v>
      </c>
      <c r="FT25" s="48">
        <f t="shared" si="108"/>
        <v>-6091.9700000000157</v>
      </c>
      <c r="FU25" s="48">
        <f>FG25+FJ25+FP25+GM25</f>
        <v>49691.970000000154</v>
      </c>
      <c r="FV25" s="250">
        <v>7828000</v>
      </c>
      <c r="FW25" s="44"/>
      <c r="FX25" s="37">
        <f t="shared" si="43"/>
        <v>16200</v>
      </c>
      <c r="FY25" s="250">
        <v>368210</v>
      </c>
      <c r="FZ25" s="56"/>
      <c r="GA25" s="37">
        <f t="shared" si="44"/>
        <v>3940</v>
      </c>
      <c r="GB25" s="250">
        <v>925.88</v>
      </c>
      <c r="GC25" s="56"/>
      <c r="GD25" s="37">
        <f t="shared" si="45"/>
        <v>700.00000000004547</v>
      </c>
      <c r="GE25" s="250">
        <v>11341</v>
      </c>
      <c r="GF25" s="56"/>
      <c r="GG25" s="37">
        <f t="shared" si="46"/>
        <v>5329.9999999998636</v>
      </c>
      <c r="GH25" s="250">
        <v>148660</v>
      </c>
      <c r="GI25" s="159"/>
      <c r="GJ25" s="38">
        <f t="shared" si="91"/>
        <v>2070</v>
      </c>
      <c r="GK25" s="250">
        <v>1543.2</v>
      </c>
      <c r="GL25" s="160"/>
      <c r="GM25" s="38">
        <f t="shared" si="47"/>
        <v>1600.0000000001364</v>
      </c>
      <c r="GN25" s="250">
        <v>244270</v>
      </c>
      <c r="GO25" s="57"/>
      <c r="GP25" s="38">
        <f t="shared" si="48"/>
        <v>0</v>
      </c>
      <c r="GQ25" s="250">
        <v>307430</v>
      </c>
      <c r="GR25" s="38"/>
      <c r="GS25" s="38">
        <f t="shared" si="92"/>
        <v>130</v>
      </c>
      <c r="GT25" s="247"/>
      <c r="GU25" s="144">
        <f>DailyOct!B24-DailyOct!N24-DailyOct!V24-DailyOct!Y24-DailyOct!Z24-DailyOct!AA24-DailyOct!AB24-DailyOct!AC24-DailyOct!AD24-DailyOct!AE24-DailyOct!AK24-DailyOct!AO24-DailyOct!AS24-DailyOct!AY24-DailyOct!BD24+DailyOct!BU24-DailyOct!BG24-DailyOct!BT24-DailyOct!AF24-DailyOct!AG24</f>
        <v>4.9999999813735485E-2</v>
      </c>
      <c r="GV25" s="261">
        <v>-1965.1</v>
      </c>
      <c r="GW25" s="60">
        <f t="shared" si="0"/>
        <v>-131.00666666666666</v>
      </c>
      <c r="GX25" s="260">
        <v>-131.01</v>
      </c>
      <c r="GY25" s="140"/>
      <c r="GZ25" s="528"/>
      <c r="HA25" s="528"/>
      <c r="HB25" s="528"/>
      <c r="HC25" s="528"/>
      <c r="HD25" s="74"/>
      <c r="HE25" s="24">
        <f t="shared" si="49"/>
        <v>0</v>
      </c>
      <c r="HF25" s="255"/>
      <c r="HG25" s="279">
        <v>19</v>
      </c>
      <c r="HH25" s="292">
        <v>32995</v>
      </c>
      <c r="HI25" s="292">
        <v>12525</v>
      </c>
      <c r="HJ25" s="61">
        <f t="shared" si="50"/>
        <v>177000</v>
      </c>
      <c r="HK25" s="260">
        <v>2.1432000000000002</v>
      </c>
      <c r="HL25" s="292">
        <v>807.23</v>
      </c>
      <c r="HM25" s="61">
        <f t="shared" si="51"/>
        <v>0</v>
      </c>
      <c r="HN25" s="292">
        <v>8310.1</v>
      </c>
      <c r="HO25" s="292">
        <v>35341</v>
      </c>
      <c r="HP25" s="61">
        <f t="shared" si="52"/>
        <v>41200.000000001091</v>
      </c>
      <c r="HQ25" s="292">
        <v>5670.6</v>
      </c>
      <c r="HR25" s="292">
        <v>2370.4</v>
      </c>
      <c r="HS25" s="61">
        <f t="shared" si="53"/>
        <v>29200.000000000182</v>
      </c>
      <c r="HT25" s="292">
        <v>5642.2</v>
      </c>
      <c r="HU25" s="292">
        <v>2017.7</v>
      </c>
      <c r="HV25" s="61">
        <f t="shared" si="54"/>
        <v>28099.999999999818</v>
      </c>
      <c r="HW25" s="292">
        <v>4231.2</v>
      </c>
      <c r="HX25" s="292">
        <v>1792.5</v>
      </c>
      <c r="HY25" s="61">
        <f t="shared" si="55"/>
        <v>24700.000000000182</v>
      </c>
      <c r="HZ25" s="260">
        <v>3661100</v>
      </c>
      <c r="IA25" s="260">
        <v>15742</v>
      </c>
      <c r="IB25" s="61">
        <f t="shared" si="56"/>
        <v>27600</v>
      </c>
      <c r="IC25" s="292">
        <v>719.8</v>
      </c>
      <c r="ID25" s="292">
        <v>232.78</v>
      </c>
      <c r="IE25" s="61">
        <f t="shared" si="113"/>
        <v>0</v>
      </c>
      <c r="IF25" s="61"/>
      <c r="IG25" s="61"/>
      <c r="IH25" s="280">
        <f t="shared" si="57"/>
        <v>26200</v>
      </c>
      <c r="II25" s="281">
        <f t="shared" si="58"/>
        <v>-1.2660166248679161E-9</v>
      </c>
      <c r="IJ25" s="345"/>
      <c r="IK25" s="345"/>
      <c r="IL25" s="345">
        <f t="shared" si="115"/>
        <v>0</v>
      </c>
      <c r="IM25" s="345"/>
      <c r="IN25" s="345"/>
      <c r="IO25" s="345">
        <f t="shared" si="116"/>
        <v>0</v>
      </c>
      <c r="IP25" s="345"/>
      <c r="IQ25" s="345"/>
      <c r="IR25" s="345">
        <f t="shared" si="117"/>
        <v>0</v>
      </c>
      <c r="IS25" s="345"/>
      <c r="IT25" s="345"/>
      <c r="IU25" s="345">
        <f t="shared" si="118"/>
        <v>0</v>
      </c>
      <c r="IV25" s="345"/>
      <c r="IW25" s="345"/>
      <c r="IX25" s="345">
        <f t="shared" si="119"/>
        <v>0</v>
      </c>
      <c r="IY25" s="345"/>
      <c r="IZ25" s="345"/>
      <c r="JA25" s="345">
        <f t="shared" si="120"/>
        <v>0</v>
      </c>
      <c r="JB25" s="345"/>
      <c r="JC25" s="345"/>
      <c r="JD25" s="345">
        <f t="shared" si="121"/>
        <v>0</v>
      </c>
      <c r="JE25" s="345"/>
      <c r="JF25" s="345"/>
      <c r="JG25" s="345">
        <f t="shared" si="122"/>
        <v>0</v>
      </c>
      <c r="JH25" s="345"/>
      <c r="JI25" s="345"/>
      <c r="JJ25" s="345">
        <f t="shared" si="123"/>
        <v>0</v>
      </c>
      <c r="JK25" s="345"/>
      <c r="JL25" s="345"/>
      <c r="JM25" s="345">
        <f t="shared" si="124"/>
        <v>0</v>
      </c>
      <c r="JN25" s="345"/>
      <c r="JO25" s="345"/>
      <c r="JP25" s="345">
        <f t="shared" si="125"/>
        <v>0</v>
      </c>
      <c r="JQ25" s="345"/>
      <c r="JR25" s="345"/>
      <c r="JS25" s="345">
        <f t="shared" si="126"/>
        <v>0</v>
      </c>
      <c r="JT25" s="345"/>
      <c r="JU25" s="345"/>
      <c r="JV25" s="345">
        <f t="shared" si="127"/>
        <v>0</v>
      </c>
      <c r="JW25" s="345"/>
      <c r="JX25" s="345"/>
      <c r="JY25" s="345">
        <f t="shared" si="128"/>
        <v>0</v>
      </c>
      <c r="JZ25" s="345"/>
      <c r="KA25" s="345"/>
      <c r="KB25" s="345">
        <f t="shared" si="129"/>
        <v>0</v>
      </c>
      <c r="KC25" s="345"/>
      <c r="KD25" s="345"/>
      <c r="KE25" s="345">
        <f t="shared" si="130"/>
        <v>0</v>
      </c>
      <c r="KG25" s="151">
        <f t="shared" si="75"/>
        <v>68799.999999999825</v>
      </c>
    </row>
    <row r="26" spans="1:293" x14ac:dyDescent="0.25">
      <c r="A26" s="35">
        <f t="shared" si="76"/>
        <v>20</v>
      </c>
      <c r="B26" s="250">
        <v>5906.42</v>
      </c>
      <c r="C26" s="38">
        <f t="shared" si="1"/>
        <v>10.170000000000073</v>
      </c>
      <c r="D26" s="38">
        <f t="shared" si="2"/>
        <v>325440.00000000233</v>
      </c>
      <c r="E26" s="250">
        <v>1183.9000000000001</v>
      </c>
      <c r="F26" s="38">
        <f t="shared" si="3"/>
        <v>64000</v>
      </c>
      <c r="G26" s="38">
        <f t="shared" si="4"/>
        <v>389440.00000000233</v>
      </c>
      <c r="H26" s="37"/>
      <c r="I26" s="39"/>
      <c r="J26" s="42"/>
      <c r="K26" s="37">
        <f t="shared" si="93"/>
        <v>0</v>
      </c>
      <c r="L26" s="250">
        <v>19289100</v>
      </c>
      <c r="M26" s="40"/>
      <c r="N26" s="37">
        <f t="shared" si="94"/>
        <v>388000</v>
      </c>
      <c r="O26" s="250">
        <v>13618.3</v>
      </c>
      <c r="P26" s="37"/>
      <c r="Q26" s="37">
        <f t="shared" si="133"/>
        <v>18399.999999999636</v>
      </c>
      <c r="R26" s="37">
        <f t="shared" si="95"/>
        <v>1</v>
      </c>
      <c r="S26" s="250">
        <v>11279024.66</v>
      </c>
      <c r="T26" s="37">
        <f t="shared" si="6"/>
        <v>324.02999999932945</v>
      </c>
      <c r="U26" s="250">
        <v>1523792.57</v>
      </c>
      <c r="V26" s="37">
        <f t="shared" si="7"/>
        <v>0</v>
      </c>
      <c r="W26" s="250">
        <v>4877.1000000000004</v>
      </c>
      <c r="X26" s="37">
        <f t="shared" si="110"/>
        <v>17875.970000000307</v>
      </c>
      <c r="Y26" s="183"/>
      <c r="Z26" s="183"/>
      <c r="AA26" s="250">
        <v>874000</v>
      </c>
      <c r="AB26" s="37">
        <f t="shared" si="8"/>
        <v>200</v>
      </c>
      <c r="AC26" s="250">
        <v>5055.6000000000004</v>
      </c>
      <c r="AD26" s="37"/>
      <c r="AE26" s="37">
        <f t="shared" si="135"/>
        <v>7600.0000000003638</v>
      </c>
      <c r="AF26" s="37">
        <f>IF(AE26&lt;=0,0,(AE26/SQRT(AE26^2+(AD26-AD25)^2)))</f>
        <v>1</v>
      </c>
      <c r="AG26" s="250">
        <v>10989.6</v>
      </c>
      <c r="AH26" s="37"/>
      <c r="AI26" s="37">
        <f t="shared" si="10"/>
        <v>16553.289999999637</v>
      </c>
      <c r="AJ26" s="37">
        <f t="shared" si="11"/>
        <v>1</v>
      </c>
      <c r="AK26" s="37">
        <f t="shared" si="12"/>
        <v>42353.289999999637</v>
      </c>
      <c r="AL26" s="250">
        <v>12560</v>
      </c>
      <c r="AM26" s="42"/>
      <c r="AN26" s="37">
        <f t="shared" si="77"/>
        <v>8453.2899999996589</v>
      </c>
      <c r="AO26" s="37">
        <f t="shared" si="97"/>
        <v>1</v>
      </c>
      <c r="AP26" s="250">
        <v>9939</v>
      </c>
      <c r="AQ26" s="37"/>
      <c r="AR26" s="37">
        <f t="shared" si="13"/>
        <v>8000</v>
      </c>
      <c r="AS26" s="37">
        <f t="shared" si="98"/>
        <v>1</v>
      </c>
      <c r="AT26" s="183"/>
      <c r="AU26" s="183"/>
      <c r="AV26" s="183"/>
      <c r="AW26" s="183"/>
      <c r="AX26" s="250">
        <v>544140</v>
      </c>
      <c r="AY26" s="37"/>
      <c r="AZ26" s="37">
        <f t="shared" si="14"/>
        <v>350</v>
      </c>
      <c r="BA26" s="250">
        <v>237950</v>
      </c>
      <c r="BB26" s="37"/>
      <c r="BC26" s="37">
        <f t="shared" si="15"/>
        <v>590</v>
      </c>
      <c r="BD26" s="37">
        <f t="shared" si="99"/>
        <v>17393.289999999659</v>
      </c>
      <c r="BE26" s="250">
        <v>2157.6</v>
      </c>
      <c r="BF26" s="250">
        <v>1217.3</v>
      </c>
      <c r="BG26" s="37">
        <f t="shared" si="16"/>
        <v>1599.9999999999091</v>
      </c>
      <c r="BH26" s="250">
        <v>10268</v>
      </c>
      <c r="BI26" s="250">
        <v>6640.6</v>
      </c>
      <c r="BJ26" s="37">
        <f t="shared" si="17"/>
        <v>9000</v>
      </c>
      <c r="BK26" s="250">
        <v>2182200</v>
      </c>
      <c r="BL26" s="40">
        <f t="shared" si="100"/>
        <v>3700</v>
      </c>
      <c r="BM26" s="250">
        <v>968.39</v>
      </c>
      <c r="BN26" s="37">
        <f t="shared" si="18"/>
        <v>0</v>
      </c>
      <c r="BO26" s="186"/>
      <c r="BP26" s="183">
        <f t="shared" si="19"/>
        <v>0</v>
      </c>
      <c r="BQ26" s="250">
        <v>916.1</v>
      </c>
      <c r="BR26" s="37">
        <f t="shared" si="78"/>
        <v>399.99999999997726</v>
      </c>
      <c r="BS26" s="250">
        <v>129531.97</v>
      </c>
      <c r="BT26" s="37">
        <f t="shared" si="20"/>
        <v>199.05000000000291</v>
      </c>
      <c r="BU26" s="250">
        <v>3840828</v>
      </c>
      <c r="BV26" s="42"/>
      <c r="BW26" s="37">
        <f t="shared" si="21"/>
        <v>6329</v>
      </c>
      <c r="BX26" s="37">
        <f t="shared" si="101"/>
        <v>1</v>
      </c>
      <c r="BY26" s="250">
        <v>445.37209999999999</v>
      </c>
      <c r="BZ26" s="37"/>
      <c r="CA26" s="37">
        <f t="shared" si="131"/>
        <v>629.1999999999689</v>
      </c>
      <c r="CB26" s="37">
        <f t="shared" si="79"/>
        <v>1</v>
      </c>
      <c r="CC26" s="250">
        <v>846922.5</v>
      </c>
      <c r="CD26" s="37">
        <f t="shared" si="23"/>
        <v>1806.6999999999534</v>
      </c>
      <c r="CE26" s="250">
        <v>1986489</v>
      </c>
      <c r="CF26" s="37">
        <f t="shared" si="24"/>
        <v>3714</v>
      </c>
      <c r="CG26" s="250">
        <v>122991.9</v>
      </c>
      <c r="CH26" s="37">
        <f t="shared" si="80"/>
        <v>0</v>
      </c>
      <c r="CI26" s="250">
        <v>15153.76</v>
      </c>
      <c r="CJ26" s="40"/>
      <c r="CK26" s="37">
        <f t="shared" si="81"/>
        <v>16244.089999999378</v>
      </c>
      <c r="CL26" s="37">
        <f t="shared" si="25"/>
        <v>1</v>
      </c>
      <c r="CM26" s="250">
        <v>4552.4809999999998</v>
      </c>
      <c r="CN26" s="37"/>
      <c r="CO26" s="37">
        <f t="shared" si="26"/>
        <v>8465.289999999899</v>
      </c>
      <c r="CP26" s="37">
        <f t="shared" si="102"/>
        <v>1</v>
      </c>
      <c r="CQ26" s="250">
        <v>1070126</v>
      </c>
      <c r="CR26" s="39"/>
      <c r="CS26" s="37">
        <f t="shared" si="82"/>
        <v>6645.29</v>
      </c>
      <c r="CT26" s="37">
        <f t="shared" si="83"/>
        <v>1</v>
      </c>
      <c r="CU26" s="250">
        <v>5066141</v>
      </c>
      <c r="CV26" s="37"/>
      <c r="CW26" s="38">
        <f t="shared" si="27"/>
        <v>12464</v>
      </c>
      <c r="CX26" s="37">
        <f t="shared" si="103"/>
        <v>1</v>
      </c>
      <c r="CY26" s="250">
        <v>2721931</v>
      </c>
      <c r="CZ26" s="37"/>
      <c r="DA26" s="37">
        <f t="shared" si="28"/>
        <v>6829</v>
      </c>
      <c r="DB26" s="37">
        <f t="shared" si="104"/>
        <v>1</v>
      </c>
      <c r="DC26" s="37"/>
      <c r="DD26" s="40"/>
      <c r="DE26" s="37">
        <f t="shared" si="29"/>
        <v>0</v>
      </c>
      <c r="DF26" s="37">
        <f t="shared" si="111"/>
        <v>0</v>
      </c>
      <c r="DG26" s="37">
        <f t="shared" si="30"/>
        <v>-56976.669999999278</v>
      </c>
      <c r="DH26" s="37">
        <f t="shared" si="31"/>
        <v>431953.28999999957</v>
      </c>
      <c r="DI26" s="46"/>
      <c r="DJ26" s="46"/>
      <c r="DK26" s="47"/>
      <c r="DL26" s="47"/>
      <c r="DM26" s="37"/>
      <c r="DN26" s="37"/>
      <c r="DO26" s="37"/>
      <c r="DP26" s="37"/>
      <c r="DQ26" s="250">
        <v>60694</v>
      </c>
      <c r="DR26" s="49">
        <f t="shared" si="84"/>
        <v>8553</v>
      </c>
      <c r="DS26" s="250">
        <v>7031900</v>
      </c>
      <c r="DT26" s="49">
        <f t="shared" si="85"/>
        <v>27300</v>
      </c>
      <c r="DU26" s="250">
        <v>8549.2000000000007</v>
      </c>
      <c r="DV26" s="250">
        <v>4792.8999999999996</v>
      </c>
      <c r="DW26" s="37">
        <f t="shared" si="105"/>
        <v>700.0000000007276</v>
      </c>
      <c r="DX26" s="250">
        <v>14158</v>
      </c>
      <c r="DY26" s="250">
        <v>8823.1</v>
      </c>
      <c r="DZ26" s="37">
        <f t="shared" si="32"/>
        <v>1653.29</v>
      </c>
      <c r="EA26" s="250">
        <v>33008</v>
      </c>
      <c r="EB26" s="250">
        <v>22.448</v>
      </c>
      <c r="EC26" s="37">
        <f t="shared" si="33"/>
        <v>5813.29</v>
      </c>
      <c r="ED26" s="53">
        <f t="shared" si="34"/>
        <v>8166.5800000007275</v>
      </c>
      <c r="EE26" s="250">
        <v>49433</v>
      </c>
      <c r="EF26" s="250">
        <v>32.671999999999997</v>
      </c>
      <c r="EG26" s="37">
        <f t="shared" si="35"/>
        <v>24813.29</v>
      </c>
      <c r="EH26" s="250">
        <v>14709</v>
      </c>
      <c r="EI26" s="250">
        <v>2.2111000000000001</v>
      </c>
      <c r="EJ26" s="37">
        <f t="shared" si="36"/>
        <v>10653.29</v>
      </c>
      <c r="EK26" s="250">
        <v>897.19</v>
      </c>
      <c r="EL26" s="250">
        <v>1283.3</v>
      </c>
      <c r="EM26" s="37">
        <f t="shared" si="86"/>
        <v>700.00000000004547</v>
      </c>
      <c r="EN26" s="54">
        <f t="shared" si="87"/>
        <v>36166.580000000045</v>
      </c>
      <c r="EO26" s="250">
        <v>14140</v>
      </c>
      <c r="EP26" s="48"/>
      <c r="EQ26" s="37">
        <f t="shared" si="112"/>
        <v>8288.2899999999918</v>
      </c>
      <c r="ER26" s="250">
        <v>11748</v>
      </c>
      <c r="ES26" s="48"/>
      <c r="ET26" s="49">
        <f t="shared" si="114"/>
        <v>17000</v>
      </c>
      <c r="EU26" s="250">
        <v>5008.6000000000004</v>
      </c>
      <c r="EV26" s="48"/>
      <c r="EW26" s="49">
        <f t="shared" si="38"/>
        <v>10853.290000000728</v>
      </c>
      <c r="EX26" s="250">
        <v>15206</v>
      </c>
      <c r="EY26" s="48"/>
      <c r="EZ26" s="37">
        <f t="shared" si="39"/>
        <v>12653.29</v>
      </c>
      <c r="FA26" s="48">
        <f t="shared" si="88"/>
        <v>-24157.870000000723</v>
      </c>
      <c r="FB26" s="250">
        <v>39900797</v>
      </c>
      <c r="FC26" s="49">
        <f t="shared" si="106"/>
        <v>24637</v>
      </c>
      <c r="FD26" s="48">
        <f t="shared" si="89"/>
        <v>50804.870000000723</v>
      </c>
      <c r="FE26" s="250">
        <v>18286</v>
      </c>
      <c r="FF26" s="48"/>
      <c r="FG26" s="37">
        <f t="shared" si="40"/>
        <v>12018.29000000001</v>
      </c>
      <c r="FH26" s="250">
        <v>11106</v>
      </c>
      <c r="FI26" s="48"/>
      <c r="FJ26" s="49">
        <f t="shared" si="41"/>
        <v>9653.2900000000009</v>
      </c>
      <c r="FK26" s="48"/>
      <c r="FL26" s="58"/>
      <c r="FM26" s="48">
        <f t="shared" si="107"/>
        <v>891.70999999999674</v>
      </c>
      <c r="FN26" s="250">
        <v>18272</v>
      </c>
      <c r="FO26" s="48"/>
      <c r="FP26" s="37">
        <f t="shared" si="90"/>
        <v>19653.29</v>
      </c>
      <c r="FQ26" s="250">
        <v>64141</v>
      </c>
      <c r="FR26" s="48"/>
      <c r="FS26" s="37">
        <f t="shared" si="42"/>
        <v>44000</v>
      </c>
      <c r="FT26" s="48">
        <f t="shared" si="108"/>
        <v>2675.1299999999901</v>
      </c>
      <c r="FU26" s="48">
        <f t="shared" si="109"/>
        <v>42924.869999999923</v>
      </c>
      <c r="FV26" s="250">
        <v>7843500</v>
      </c>
      <c r="FW26" s="44"/>
      <c r="FX26" s="37">
        <f t="shared" si="43"/>
        <v>15500</v>
      </c>
      <c r="FY26" s="250">
        <v>372570</v>
      </c>
      <c r="FZ26" s="56"/>
      <c r="GA26" s="37">
        <f t="shared" si="44"/>
        <v>4360</v>
      </c>
      <c r="GB26" s="250">
        <v>926.46</v>
      </c>
      <c r="GC26" s="56"/>
      <c r="GD26" s="37">
        <f t="shared" si="45"/>
        <v>580.00000000004093</v>
      </c>
      <c r="GE26" s="250">
        <v>11348</v>
      </c>
      <c r="GF26" s="56"/>
      <c r="GG26" s="37">
        <f t="shared" si="46"/>
        <v>3390.0000000000909</v>
      </c>
      <c r="GH26" s="250">
        <v>150670</v>
      </c>
      <c r="GI26" s="159"/>
      <c r="GJ26" s="38">
        <f t="shared" si="91"/>
        <v>2010</v>
      </c>
      <c r="GK26" s="250">
        <v>1544.8</v>
      </c>
      <c r="GL26" s="160"/>
      <c r="GM26" s="38">
        <f t="shared" si="47"/>
        <v>1599.9999999999091</v>
      </c>
      <c r="GN26" s="250">
        <v>244270</v>
      </c>
      <c r="GO26" s="57"/>
      <c r="GP26" s="38">
        <f t="shared" si="48"/>
        <v>0</v>
      </c>
      <c r="GQ26" s="250">
        <v>307560</v>
      </c>
      <c r="GR26" s="38"/>
      <c r="GS26" s="38">
        <f t="shared" si="92"/>
        <v>130</v>
      </c>
      <c r="GT26" s="247"/>
      <c r="GU26" s="144">
        <f>DailyOct!B25-DailyOct!N25-DailyOct!V25-DailyOct!Y25-DailyOct!Z25-DailyOct!AA25-DailyOct!AB25-DailyOct!AC25-DailyOct!AD25-DailyOct!AE25-DailyOct!AK25-DailyOct!AO25-DailyOct!AS25-DailyOct!AY25-DailyOct!BD25+DailyOct!BU25-DailyOct!BG25-DailyOct!BT25-DailyOct!AF25-DailyOct!AG25</f>
        <v>-4.9999997543636709E-2</v>
      </c>
      <c r="GV26" s="261">
        <v>9799.2999999999993</v>
      </c>
      <c r="GW26" s="60">
        <f t="shared" si="0"/>
        <v>653.28666666666663</v>
      </c>
      <c r="GX26" s="260">
        <v>653.29</v>
      </c>
      <c r="GY26" s="140"/>
      <c r="GZ26" s="528"/>
      <c r="HA26" s="528"/>
      <c r="HB26" s="528"/>
      <c r="HC26" s="528"/>
      <c r="HD26" s="74"/>
      <c r="HE26" s="24">
        <f t="shared" si="49"/>
        <v>0</v>
      </c>
      <c r="HF26" s="255"/>
      <c r="HG26" s="279">
        <v>20</v>
      </c>
      <c r="HH26" s="292">
        <v>33177</v>
      </c>
      <c r="HI26" s="292">
        <v>12593</v>
      </c>
      <c r="HJ26" s="61">
        <f t="shared" si="50"/>
        <v>182000</v>
      </c>
      <c r="HK26" s="260">
        <v>2.1432000000000002</v>
      </c>
      <c r="HL26" s="292">
        <v>807.23</v>
      </c>
      <c r="HM26" s="61">
        <f t="shared" si="51"/>
        <v>0</v>
      </c>
      <c r="HN26" s="292">
        <v>8352.6</v>
      </c>
      <c r="HO26" s="292">
        <v>35518</v>
      </c>
      <c r="HP26" s="61">
        <f t="shared" si="52"/>
        <v>45225</v>
      </c>
      <c r="HQ26" s="292">
        <v>5699.8</v>
      </c>
      <c r="HR26" s="292">
        <v>2381.8000000000002</v>
      </c>
      <c r="HS26" s="61">
        <f t="shared" si="53"/>
        <v>31924.999999999818</v>
      </c>
      <c r="HT26" s="292">
        <v>5669.9</v>
      </c>
      <c r="HU26" s="292">
        <v>2026.7</v>
      </c>
      <c r="HV26" s="61">
        <f t="shared" si="54"/>
        <v>30424.999999999818</v>
      </c>
      <c r="HW26" s="292">
        <v>4255.8</v>
      </c>
      <c r="HX26" s="292">
        <v>1802.3</v>
      </c>
      <c r="HY26" s="61">
        <f t="shared" si="55"/>
        <v>27325.000000000364</v>
      </c>
      <c r="HZ26" s="260">
        <v>3680900</v>
      </c>
      <c r="IA26" s="260">
        <v>15865</v>
      </c>
      <c r="IB26" s="61">
        <f t="shared" si="56"/>
        <v>19800</v>
      </c>
      <c r="IC26" s="292">
        <v>719.8</v>
      </c>
      <c r="ID26" s="292">
        <v>232.78</v>
      </c>
      <c r="IE26" s="61">
        <f t="shared" si="113"/>
        <v>0</v>
      </c>
      <c r="IF26" s="61"/>
      <c r="IG26" s="61"/>
      <c r="IH26" s="280">
        <f t="shared" si="57"/>
        <v>27300</v>
      </c>
      <c r="II26" s="281">
        <f t="shared" si="58"/>
        <v>-1.4551915228366852E-11</v>
      </c>
      <c r="IJ26" s="345"/>
      <c r="IK26" s="345"/>
      <c r="IL26" s="345">
        <f t="shared" si="115"/>
        <v>0</v>
      </c>
      <c r="IM26" s="345"/>
      <c r="IN26" s="345"/>
      <c r="IO26" s="345">
        <f t="shared" si="116"/>
        <v>0</v>
      </c>
      <c r="IP26" s="345"/>
      <c r="IQ26" s="345"/>
      <c r="IR26" s="345">
        <f t="shared" si="117"/>
        <v>0</v>
      </c>
      <c r="IS26" s="345"/>
      <c r="IT26" s="345"/>
      <c r="IU26" s="345">
        <f t="shared" si="118"/>
        <v>0</v>
      </c>
      <c r="IV26" s="345"/>
      <c r="IW26" s="345"/>
      <c r="IX26" s="345">
        <f t="shared" si="119"/>
        <v>0</v>
      </c>
      <c r="IY26" s="345"/>
      <c r="IZ26" s="345"/>
      <c r="JA26" s="345">
        <f t="shared" si="120"/>
        <v>0</v>
      </c>
      <c r="JB26" s="345"/>
      <c r="JC26" s="345"/>
      <c r="JD26" s="345">
        <f t="shared" si="121"/>
        <v>0</v>
      </c>
      <c r="JE26" s="345"/>
      <c r="JF26" s="345"/>
      <c r="JG26" s="345">
        <f t="shared" si="122"/>
        <v>0</v>
      </c>
      <c r="JH26" s="345"/>
      <c r="JI26" s="345"/>
      <c r="JJ26" s="345">
        <f t="shared" si="123"/>
        <v>0</v>
      </c>
      <c r="JK26" s="345"/>
      <c r="JL26" s="345"/>
      <c r="JM26" s="345">
        <f t="shared" si="124"/>
        <v>0</v>
      </c>
      <c r="JN26" s="345"/>
      <c r="JO26" s="345"/>
      <c r="JP26" s="345">
        <f t="shared" si="125"/>
        <v>0</v>
      </c>
      <c r="JQ26" s="345"/>
      <c r="JR26" s="345"/>
      <c r="JS26" s="345">
        <f t="shared" si="126"/>
        <v>0</v>
      </c>
      <c r="JT26" s="345"/>
      <c r="JU26" s="345"/>
      <c r="JV26" s="345">
        <f t="shared" si="127"/>
        <v>0</v>
      </c>
      <c r="JW26" s="345"/>
      <c r="JX26" s="345"/>
      <c r="JY26" s="345">
        <f t="shared" si="128"/>
        <v>0</v>
      </c>
      <c r="JZ26" s="345"/>
      <c r="KA26" s="345"/>
      <c r="KB26" s="345">
        <f t="shared" si="129"/>
        <v>0</v>
      </c>
      <c r="KC26" s="345"/>
      <c r="KD26" s="345"/>
      <c r="KE26" s="345">
        <f t="shared" si="130"/>
        <v>0</v>
      </c>
      <c r="KG26" s="151">
        <f t="shared" si="75"/>
        <v>65024.999999999985</v>
      </c>
    </row>
    <row r="27" spans="1:293" x14ac:dyDescent="0.25">
      <c r="A27" s="35">
        <f t="shared" si="76"/>
        <v>21</v>
      </c>
      <c r="B27" s="250">
        <v>5916.86</v>
      </c>
      <c r="C27" s="38">
        <f t="shared" si="1"/>
        <v>10.4399999999996</v>
      </c>
      <c r="D27" s="38">
        <f t="shared" si="2"/>
        <v>334079.99999998719</v>
      </c>
      <c r="E27" s="250">
        <v>1185.8599999999999</v>
      </c>
      <c r="F27" s="38">
        <f t="shared" si="3"/>
        <v>62719.999999993888</v>
      </c>
      <c r="G27" s="38">
        <f t="shared" si="4"/>
        <v>396799.99999998108</v>
      </c>
      <c r="H27" s="37"/>
      <c r="I27" s="39"/>
      <c r="J27" s="42"/>
      <c r="K27" s="37">
        <f t="shared" si="93"/>
        <v>0</v>
      </c>
      <c r="L27" s="250">
        <v>19328400</v>
      </c>
      <c r="M27" s="40"/>
      <c r="N27" s="37">
        <f t="shared" si="94"/>
        <v>393000</v>
      </c>
      <c r="O27" s="250">
        <v>13636.4</v>
      </c>
      <c r="P27" s="37"/>
      <c r="Q27" s="37">
        <f t="shared" si="133"/>
        <v>18100.000000000364</v>
      </c>
      <c r="R27" s="37">
        <f t="shared" si="95"/>
        <v>1</v>
      </c>
      <c r="S27" s="250">
        <v>11279392.369999999</v>
      </c>
      <c r="T27" s="37">
        <f t="shared" si="6"/>
        <v>367.70999999903142</v>
      </c>
      <c r="U27" s="250">
        <v>1523792.57</v>
      </c>
      <c r="V27" s="37">
        <f t="shared" si="7"/>
        <v>0</v>
      </c>
      <c r="W27" s="250">
        <v>4883.5</v>
      </c>
      <c r="X27" s="37">
        <f t="shared" si="110"/>
        <v>17632.290000001332</v>
      </c>
      <c r="Y27" s="183"/>
      <c r="Z27" s="183"/>
      <c r="AA27" s="250">
        <v>874100</v>
      </c>
      <c r="AB27" s="37">
        <f t="shared" si="8"/>
        <v>100</v>
      </c>
      <c r="AC27" s="250">
        <v>5063.1000000000004</v>
      </c>
      <c r="AD27" s="37"/>
      <c r="AE27" s="37">
        <f t="shared" si="135"/>
        <v>7500</v>
      </c>
      <c r="AF27" s="37">
        <f t="shared" si="96"/>
        <v>1</v>
      </c>
      <c r="AG27" s="250">
        <v>11005.5</v>
      </c>
      <c r="AH27" s="37"/>
      <c r="AI27" s="37">
        <f t="shared" si="10"/>
        <v>15472.609999999637</v>
      </c>
      <c r="AJ27" s="37">
        <f t="shared" si="11"/>
        <v>1</v>
      </c>
      <c r="AK27" s="37">
        <f t="shared" si="12"/>
        <v>40972.61</v>
      </c>
      <c r="AL27" s="250">
        <v>12571.8</v>
      </c>
      <c r="AM27" s="42"/>
      <c r="AN27" s="37">
        <f t="shared" si="77"/>
        <v>6772.6099999992957</v>
      </c>
      <c r="AO27" s="37">
        <f t="shared" si="97"/>
        <v>1</v>
      </c>
      <c r="AP27" s="250">
        <v>9947</v>
      </c>
      <c r="AQ27" s="37"/>
      <c r="AR27" s="37">
        <f t="shared" si="13"/>
        <v>8000</v>
      </c>
      <c r="AS27" s="37">
        <f t="shared" si="98"/>
        <v>1</v>
      </c>
      <c r="AT27" s="183"/>
      <c r="AU27" s="183"/>
      <c r="AV27" s="183"/>
      <c r="AW27" s="183"/>
      <c r="AX27" s="250">
        <v>544500</v>
      </c>
      <c r="AY27" s="37"/>
      <c r="AZ27" s="37">
        <f t="shared" si="14"/>
        <v>360</v>
      </c>
      <c r="BA27" s="250">
        <v>238540</v>
      </c>
      <c r="BB27" s="37"/>
      <c r="BC27" s="37">
        <f t="shared" si="15"/>
        <v>590</v>
      </c>
      <c r="BD27" s="37">
        <f t="shared" si="99"/>
        <v>15722.609999999295</v>
      </c>
      <c r="BE27" s="250">
        <v>2159.1999999999998</v>
      </c>
      <c r="BF27" s="250">
        <v>1218.3</v>
      </c>
      <c r="BG27" s="37">
        <f t="shared" si="16"/>
        <v>1599.9999999999091</v>
      </c>
      <c r="BH27" s="250">
        <v>10277</v>
      </c>
      <c r="BI27" s="250">
        <v>6646.6</v>
      </c>
      <c r="BJ27" s="37">
        <f t="shared" si="17"/>
        <v>9000</v>
      </c>
      <c r="BK27" s="250">
        <v>2185900</v>
      </c>
      <c r="BL27" s="40">
        <f t="shared" si="100"/>
        <v>3700</v>
      </c>
      <c r="BM27" s="250">
        <v>968.39</v>
      </c>
      <c r="BN27" s="37">
        <f t="shared" si="18"/>
        <v>0</v>
      </c>
      <c r="BO27" s="186"/>
      <c r="BP27" s="183">
        <f t="shared" si="19"/>
        <v>0</v>
      </c>
      <c r="BQ27" s="250">
        <v>917</v>
      </c>
      <c r="BR27" s="37">
        <f t="shared" si="78"/>
        <v>899.99999999997726</v>
      </c>
      <c r="BS27" s="250">
        <v>129712.12</v>
      </c>
      <c r="BT27" s="37">
        <f t="shared" si="20"/>
        <v>180.14999999999418</v>
      </c>
      <c r="BU27" s="250">
        <v>3847596</v>
      </c>
      <c r="BV27" s="42"/>
      <c r="BW27" s="37">
        <f t="shared" si="21"/>
        <v>6768</v>
      </c>
      <c r="BX27" s="37">
        <f t="shared" si="101"/>
        <v>1</v>
      </c>
      <c r="BY27" s="250">
        <v>446.08210000000003</v>
      </c>
      <c r="BZ27" s="37"/>
      <c r="CA27" s="37">
        <f t="shared" si="131"/>
        <v>710.00000000003638</v>
      </c>
      <c r="CB27" s="37">
        <f t="shared" si="79"/>
        <v>1</v>
      </c>
      <c r="CC27" s="250">
        <v>848878.4</v>
      </c>
      <c r="CD27" s="37">
        <f t="shared" si="23"/>
        <v>1955.9000000000233</v>
      </c>
      <c r="CE27" s="250">
        <v>1990897</v>
      </c>
      <c r="CF27" s="37">
        <f t="shared" si="24"/>
        <v>4408</v>
      </c>
      <c r="CG27" s="250">
        <v>122991.9</v>
      </c>
      <c r="CH27" s="37">
        <f t="shared" si="80"/>
        <v>0</v>
      </c>
      <c r="CI27" s="250">
        <v>15169.8</v>
      </c>
      <c r="CJ27" s="40"/>
      <c r="CK27" s="37">
        <f t="shared" si="81"/>
        <v>14902.609999999018</v>
      </c>
      <c r="CL27" s="37">
        <f t="shared" si="25"/>
        <v>1</v>
      </c>
      <c r="CM27" s="250">
        <v>4560.6019999999999</v>
      </c>
      <c r="CN27" s="37"/>
      <c r="CO27" s="37">
        <f t="shared" si="26"/>
        <v>7693.6100000000943</v>
      </c>
      <c r="CP27" s="37">
        <f t="shared" si="102"/>
        <v>1</v>
      </c>
      <c r="CQ27" s="250">
        <v>1076127</v>
      </c>
      <c r="CR27" s="39"/>
      <c r="CS27" s="37">
        <f t="shared" si="82"/>
        <v>5573.61</v>
      </c>
      <c r="CT27" s="37">
        <f t="shared" si="83"/>
        <v>1</v>
      </c>
      <c r="CU27" s="250">
        <v>5081216</v>
      </c>
      <c r="CV27" s="37"/>
      <c r="CW27" s="38">
        <f t="shared" si="27"/>
        <v>15075</v>
      </c>
      <c r="CX27" s="37">
        <f t="shared" si="103"/>
        <v>1</v>
      </c>
      <c r="CY27" s="250">
        <v>2729753</v>
      </c>
      <c r="CZ27" s="37"/>
      <c r="DA27" s="37">
        <f t="shared" ref="DA27:DA36" si="137">IF((CY27-CY26)&lt;=0,0,(CY27-CY26))/1</f>
        <v>7822</v>
      </c>
      <c r="DB27" s="37">
        <f t="shared" si="104"/>
        <v>1</v>
      </c>
      <c r="DC27" s="37"/>
      <c r="DD27" s="40"/>
      <c r="DE27" s="37">
        <f t="shared" si="29"/>
        <v>0</v>
      </c>
      <c r="DF27" s="37">
        <f t="shared" si="111"/>
        <v>0</v>
      </c>
      <c r="DG27" s="37">
        <f t="shared" si="30"/>
        <v>-57834.829999999114</v>
      </c>
      <c r="DH27" s="37">
        <f t="shared" si="31"/>
        <v>435572.60999999993</v>
      </c>
      <c r="DI27" s="46"/>
      <c r="DJ27" s="46"/>
      <c r="DK27" s="47"/>
      <c r="DL27" s="47"/>
      <c r="DM27" s="37"/>
      <c r="DN27" s="37"/>
      <c r="DO27" s="37"/>
      <c r="DP27" s="37"/>
      <c r="DQ27" s="250">
        <v>70032</v>
      </c>
      <c r="DR27" s="49">
        <f t="shared" si="84"/>
        <v>9338</v>
      </c>
      <c r="DS27" s="250">
        <v>7058000</v>
      </c>
      <c r="DT27" s="49">
        <f t="shared" si="85"/>
        <v>26100</v>
      </c>
      <c r="DU27" s="250">
        <v>8549.9</v>
      </c>
      <c r="DV27" s="250">
        <v>4793.3999999999996</v>
      </c>
      <c r="DW27" s="37">
        <f t="shared" si="105"/>
        <v>699.99999999890861</v>
      </c>
      <c r="DX27" s="250">
        <v>14159</v>
      </c>
      <c r="DY27" s="250">
        <v>8823.7000000000007</v>
      </c>
      <c r="DZ27" s="37">
        <f t="shared" si="32"/>
        <v>572.61</v>
      </c>
      <c r="EA27" s="250">
        <v>33010</v>
      </c>
      <c r="EB27" s="250">
        <v>22.448</v>
      </c>
      <c r="EC27" s="37">
        <f t="shared" si="33"/>
        <v>3732.61</v>
      </c>
      <c r="ED27" s="53">
        <f t="shared" si="34"/>
        <v>5005.2199999989089</v>
      </c>
      <c r="EE27" s="250">
        <v>49455</v>
      </c>
      <c r="EF27" s="250">
        <v>32.691000000000003</v>
      </c>
      <c r="EG27" s="37">
        <f t="shared" si="35"/>
        <v>23732.61</v>
      </c>
      <c r="EH27" s="250">
        <v>14720</v>
      </c>
      <c r="EI27" s="250">
        <v>2.2141999999999999</v>
      </c>
      <c r="EJ27" s="37">
        <f t="shared" si="36"/>
        <v>10572.61</v>
      </c>
      <c r="EK27" s="250">
        <v>897.88</v>
      </c>
      <c r="EL27" s="250">
        <v>1284.3</v>
      </c>
      <c r="EM27" s="37">
        <f t="shared" si="86"/>
        <v>689.99999999994088</v>
      </c>
      <c r="EN27" s="54">
        <f t="shared" si="87"/>
        <v>34995.219999999943</v>
      </c>
      <c r="EO27" s="250">
        <v>14149</v>
      </c>
      <c r="EP27" s="48"/>
      <c r="EQ27" s="37">
        <f t="shared" si="112"/>
        <v>7152.6100000000415</v>
      </c>
      <c r="ER27" s="250">
        <v>11766</v>
      </c>
      <c r="ES27" s="48"/>
      <c r="ET27" s="49">
        <f t="shared" si="114"/>
        <v>18000</v>
      </c>
      <c r="EU27" s="250">
        <v>5018.8</v>
      </c>
      <c r="EV27" s="48"/>
      <c r="EW27" s="49">
        <f t="shared" si="38"/>
        <v>9772.6099999998187</v>
      </c>
      <c r="EX27" s="250">
        <v>15218</v>
      </c>
      <c r="EY27" s="48"/>
      <c r="EZ27" s="37">
        <f t="shared" si="39"/>
        <v>11572.61</v>
      </c>
      <c r="FA27" s="48">
        <f t="shared" si="88"/>
        <v>-22017.82999999986</v>
      </c>
      <c r="FB27" s="250">
        <v>39925277</v>
      </c>
      <c r="FC27" s="49">
        <f t="shared" si="106"/>
        <v>24480</v>
      </c>
      <c r="FD27" s="48">
        <f t="shared" si="89"/>
        <v>48377.829999999856</v>
      </c>
      <c r="FE27" s="250">
        <v>18296</v>
      </c>
      <c r="FF27" s="48"/>
      <c r="FG27" s="37">
        <f t="shared" si="40"/>
        <v>10992.609999999961</v>
      </c>
      <c r="FH27" s="250">
        <v>11120</v>
      </c>
      <c r="FI27" s="48"/>
      <c r="FJ27" s="49">
        <f t="shared" si="41"/>
        <v>13572.61</v>
      </c>
      <c r="FK27" s="48"/>
      <c r="FL27" s="58"/>
      <c r="FM27" s="48">
        <f t="shared" si="107"/>
        <v>287.39000000001278</v>
      </c>
      <c r="FN27" s="250">
        <v>18290</v>
      </c>
      <c r="FO27" s="48"/>
      <c r="FP27" s="37">
        <f t="shared" si="90"/>
        <v>17572.61</v>
      </c>
      <c r="FQ27" s="250">
        <v>64184</v>
      </c>
      <c r="FR27" s="55"/>
      <c r="FS27" s="37">
        <f t="shared" si="42"/>
        <v>43000</v>
      </c>
      <c r="FT27" s="48">
        <f t="shared" si="108"/>
        <v>862.17000000003827</v>
      </c>
      <c r="FU27" s="48">
        <f t="shared" si="109"/>
        <v>43537.830000000045</v>
      </c>
      <c r="FV27" s="250">
        <v>7862300</v>
      </c>
      <c r="FW27" s="44"/>
      <c r="FX27" s="37">
        <f t="shared" si="43"/>
        <v>18800</v>
      </c>
      <c r="FY27" s="250">
        <v>377290</v>
      </c>
      <c r="FZ27" s="56"/>
      <c r="GA27" s="37">
        <f t="shared" si="44"/>
        <v>4720</v>
      </c>
      <c r="GB27" s="250">
        <v>927.12</v>
      </c>
      <c r="GC27" s="56"/>
      <c r="GD27" s="37">
        <f t="shared" si="45"/>
        <v>659.99999999996817</v>
      </c>
      <c r="GE27" s="250">
        <v>11356</v>
      </c>
      <c r="GF27" s="56"/>
      <c r="GG27" s="37">
        <f t="shared" si="46"/>
        <v>4719.9999999999091</v>
      </c>
      <c r="GH27" s="250">
        <v>152550</v>
      </c>
      <c r="GI27" s="159"/>
      <c r="GJ27" s="38">
        <f t="shared" si="91"/>
        <v>1880</v>
      </c>
      <c r="GK27" s="250">
        <v>1546.2</v>
      </c>
      <c r="GL27" s="160"/>
      <c r="GM27" s="38">
        <f t="shared" si="47"/>
        <v>1400.0000000000909</v>
      </c>
      <c r="GN27" s="250">
        <v>244270</v>
      </c>
      <c r="GO27" s="57"/>
      <c r="GP27" s="38">
        <f t="shared" si="48"/>
        <v>0</v>
      </c>
      <c r="GQ27" s="250">
        <v>307730</v>
      </c>
      <c r="GR27" s="38"/>
      <c r="GS27" s="38">
        <f t="shared" si="92"/>
        <v>170</v>
      </c>
      <c r="GT27" s="248"/>
      <c r="GU27" s="144">
        <f>DailyOct!B26-DailyOct!N26-DailyOct!V26-DailyOct!Y26-DailyOct!Z26-DailyOct!AA26-DailyOct!AB26-DailyOct!AC26-DailyOct!AD26-DailyOct!AE26-DailyOct!AK26-DailyOct!AO26-DailyOct!AS26-DailyOct!AY26-DailyOct!BD26+DailyOct!BU26-DailyOct!BG26-DailyOct!BT26-DailyOct!AF26-DailyOct!AG26</f>
        <v>-5.0000015879049897E-2</v>
      </c>
      <c r="GV27" s="261">
        <v>-6410.9</v>
      </c>
      <c r="GW27" s="60">
        <f t="shared" si="0"/>
        <v>-427.39333333333332</v>
      </c>
      <c r="GX27" s="260">
        <v>-427.39</v>
      </c>
      <c r="GY27" s="140"/>
      <c r="GZ27" s="528"/>
      <c r="HA27" s="528"/>
      <c r="HB27" s="528"/>
      <c r="HC27" s="528"/>
      <c r="HD27" s="62"/>
      <c r="HE27" s="24">
        <f t="shared" si="49"/>
        <v>0</v>
      </c>
      <c r="HF27" s="249"/>
      <c r="HG27" s="279">
        <v>21</v>
      </c>
      <c r="HH27" s="292">
        <v>33366</v>
      </c>
      <c r="HI27" s="292">
        <v>12665</v>
      </c>
      <c r="HJ27" s="61">
        <f t="shared" si="50"/>
        <v>189000</v>
      </c>
      <c r="HK27" s="260">
        <v>2.1432000000000002</v>
      </c>
      <c r="HL27" s="260">
        <v>807.23</v>
      </c>
      <c r="HM27" s="61">
        <f t="shared" si="51"/>
        <v>0</v>
      </c>
      <c r="HN27" s="292">
        <v>8396.5</v>
      </c>
      <c r="HO27" s="292">
        <v>35704</v>
      </c>
      <c r="HP27" s="61">
        <f t="shared" si="52"/>
        <v>41824.999999999636</v>
      </c>
      <c r="HQ27" s="292">
        <v>5731</v>
      </c>
      <c r="HR27" s="292">
        <v>2394.1</v>
      </c>
      <c r="HS27" s="61">
        <f t="shared" si="53"/>
        <v>29124.999999999818</v>
      </c>
      <c r="HT27" s="292">
        <v>5698.6</v>
      </c>
      <c r="HU27" s="292">
        <v>2036.6</v>
      </c>
      <c r="HV27" s="61">
        <f t="shared" si="54"/>
        <v>26625.000000000728</v>
      </c>
      <c r="HW27" s="292">
        <v>4281.7</v>
      </c>
      <c r="HX27" s="292">
        <v>1812.8</v>
      </c>
      <c r="HY27" s="61">
        <f t="shared" si="55"/>
        <v>23824.999999999636</v>
      </c>
      <c r="HZ27" s="260">
        <v>3722400</v>
      </c>
      <c r="IA27" s="260">
        <v>15997</v>
      </c>
      <c r="IB27" s="61">
        <f t="shared" si="56"/>
        <v>41500</v>
      </c>
      <c r="IC27" s="292">
        <v>719.8</v>
      </c>
      <c r="ID27" s="292">
        <v>232.78</v>
      </c>
      <c r="IE27" s="61">
        <f t="shared" si="113"/>
        <v>0</v>
      </c>
      <c r="IF27" s="61"/>
      <c r="IG27" s="61"/>
      <c r="IH27" s="280">
        <f t="shared" si="57"/>
        <v>26100</v>
      </c>
      <c r="II27" s="281">
        <f t="shared" si="58"/>
        <v>1.7462298274040222E-10</v>
      </c>
      <c r="IJ27" s="345"/>
      <c r="IK27" s="345"/>
      <c r="IL27" s="345">
        <f t="shared" si="115"/>
        <v>0</v>
      </c>
      <c r="IM27" s="345"/>
      <c r="IN27" s="345"/>
      <c r="IO27" s="345">
        <f t="shared" si="116"/>
        <v>0</v>
      </c>
      <c r="IP27" s="345"/>
      <c r="IQ27" s="345"/>
      <c r="IR27" s="345">
        <f t="shared" si="117"/>
        <v>0</v>
      </c>
      <c r="IS27" s="345"/>
      <c r="IT27" s="345"/>
      <c r="IU27" s="345">
        <f t="shared" si="118"/>
        <v>0</v>
      </c>
      <c r="IV27" s="345"/>
      <c r="IW27" s="345"/>
      <c r="IX27" s="345">
        <f t="shared" si="119"/>
        <v>0</v>
      </c>
      <c r="IY27" s="345"/>
      <c r="IZ27" s="345"/>
      <c r="JA27" s="345">
        <f t="shared" si="120"/>
        <v>0</v>
      </c>
      <c r="JB27" s="345"/>
      <c r="JC27" s="345"/>
      <c r="JD27" s="345">
        <f t="shared" si="121"/>
        <v>0</v>
      </c>
      <c r="JE27" s="345"/>
      <c r="JF27" s="345"/>
      <c r="JG27" s="345">
        <f t="shared" si="122"/>
        <v>0</v>
      </c>
      <c r="JH27" s="345"/>
      <c r="JI27" s="345"/>
      <c r="JJ27" s="345">
        <f t="shared" si="123"/>
        <v>0</v>
      </c>
      <c r="JK27" s="345"/>
      <c r="JL27" s="345"/>
      <c r="JM27" s="345">
        <f t="shared" si="124"/>
        <v>0</v>
      </c>
      <c r="JN27" s="345"/>
      <c r="JO27" s="345"/>
      <c r="JP27" s="345">
        <f t="shared" si="125"/>
        <v>0</v>
      </c>
      <c r="JQ27" s="345"/>
      <c r="JR27" s="345"/>
      <c r="JS27" s="345">
        <f t="shared" si="126"/>
        <v>0</v>
      </c>
      <c r="JT27" s="345"/>
      <c r="JU27" s="345"/>
      <c r="JV27" s="345">
        <f t="shared" si="127"/>
        <v>0</v>
      </c>
      <c r="JW27" s="345"/>
      <c r="JX27" s="345"/>
      <c r="JY27" s="345">
        <f t="shared" si="128"/>
        <v>0</v>
      </c>
      <c r="JZ27" s="345"/>
      <c r="KA27" s="345"/>
      <c r="KB27" s="345">
        <f t="shared" si="129"/>
        <v>0</v>
      </c>
      <c r="KC27" s="345"/>
      <c r="KD27" s="345"/>
      <c r="KE27" s="345">
        <f t="shared" si="130"/>
        <v>0</v>
      </c>
      <c r="KG27" s="151">
        <f t="shared" si="75"/>
        <v>83324.999999999811</v>
      </c>
    </row>
    <row r="28" spans="1:293" x14ac:dyDescent="0.25">
      <c r="A28" s="35">
        <f t="shared" si="76"/>
        <v>22</v>
      </c>
      <c r="B28" s="250">
        <v>5926.8</v>
      </c>
      <c r="C28" s="38">
        <f t="shared" si="1"/>
        <v>9.9400000000005093</v>
      </c>
      <c r="D28" s="38">
        <f t="shared" si="2"/>
        <v>318080.0000000163</v>
      </c>
      <c r="E28" s="250">
        <v>1187.8</v>
      </c>
      <c r="F28" s="38">
        <f t="shared" si="3"/>
        <v>62080.000000001746</v>
      </c>
      <c r="G28" s="38">
        <f t="shared" si="4"/>
        <v>380160.00000001804</v>
      </c>
      <c r="H28" s="37"/>
      <c r="I28" s="39"/>
      <c r="J28" s="42"/>
      <c r="K28" s="37">
        <f t="shared" si="93"/>
        <v>0</v>
      </c>
      <c r="L28" s="250">
        <v>19366300</v>
      </c>
      <c r="M28" s="40"/>
      <c r="N28" s="37">
        <f t="shared" si="94"/>
        <v>379000</v>
      </c>
      <c r="O28" s="250">
        <v>13652.8</v>
      </c>
      <c r="P28" s="37"/>
      <c r="Q28" s="37">
        <f t="shared" si="133"/>
        <v>16399.999999999636</v>
      </c>
      <c r="R28" s="37">
        <f t="shared" si="95"/>
        <v>1</v>
      </c>
      <c r="S28" s="250">
        <v>11279690.51</v>
      </c>
      <c r="T28" s="37">
        <f t="shared" si="6"/>
        <v>298.14000000059605</v>
      </c>
      <c r="U28" s="250">
        <v>1523792.57</v>
      </c>
      <c r="V28" s="37">
        <f>IF((U28-U27)&lt;=0,0,(U28-U27))</f>
        <v>0</v>
      </c>
      <c r="W28" s="250">
        <v>4889.2</v>
      </c>
      <c r="X28" s="37">
        <f t="shared" si="110"/>
        <v>15901.85999999904</v>
      </c>
      <c r="Y28" s="183"/>
      <c r="Z28" s="183"/>
      <c r="AA28" s="250">
        <v>874300</v>
      </c>
      <c r="AB28" s="37">
        <f t="shared" si="8"/>
        <v>200</v>
      </c>
      <c r="AC28" s="250">
        <v>5067.3</v>
      </c>
      <c r="AD28" s="37"/>
      <c r="AE28" s="37">
        <f t="shared" si="135"/>
        <v>4199.9999999998181</v>
      </c>
      <c r="AF28" s="37">
        <f t="shared" si="96"/>
        <v>1</v>
      </c>
      <c r="AG28" s="250">
        <v>11014.33</v>
      </c>
      <c r="AH28" s="37"/>
      <c r="AI28" s="37">
        <f t="shared" si="10"/>
        <v>9152.4299999999275</v>
      </c>
      <c r="AJ28" s="37">
        <f t="shared" si="11"/>
        <v>1</v>
      </c>
      <c r="AK28" s="37">
        <f t="shared" si="12"/>
        <v>29552.429999999382</v>
      </c>
      <c r="AL28" s="250">
        <v>12582.8</v>
      </c>
      <c r="AM28" s="2"/>
      <c r="AN28" s="37">
        <f t="shared" si="77"/>
        <v>6822.4300000000458</v>
      </c>
      <c r="AO28" s="37">
        <f t="shared" si="97"/>
        <v>1</v>
      </c>
      <c r="AP28" s="250">
        <v>9958.7000000000007</v>
      </c>
      <c r="AQ28" s="37"/>
      <c r="AR28" s="37">
        <f t="shared" si="13"/>
        <v>11700.000000000728</v>
      </c>
      <c r="AS28" s="37">
        <f t="shared" si="98"/>
        <v>1</v>
      </c>
      <c r="AT28" s="183"/>
      <c r="AU28" s="183"/>
      <c r="AV28" s="183"/>
      <c r="AW28" s="183"/>
      <c r="AX28" s="250">
        <v>544860</v>
      </c>
      <c r="AY28" s="37"/>
      <c r="AZ28" s="37">
        <f t="shared" si="14"/>
        <v>360</v>
      </c>
      <c r="BA28" s="250">
        <v>239080</v>
      </c>
      <c r="BB28" s="37"/>
      <c r="BC28" s="37">
        <f t="shared" si="15"/>
        <v>540</v>
      </c>
      <c r="BD28" s="37">
        <f t="shared" si="99"/>
        <v>19422.430000000772</v>
      </c>
      <c r="BE28" s="250">
        <v>2160.8000000000002</v>
      </c>
      <c r="BF28" s="250">
        <v>1219.3</v>
      </c>
      <c r="BG28" s="37">
        <f t="shared" si="16"/>
        <v>1600.0000000003638</v>
      </c>
      <c r="BH28" s="250">
        <v>10287</v>
      </c>
      <c r="BI28" s="250">
        <v>6652.9</v>
      </c>
      <c r="BJ28" s="37">
        <f t="shared" si="17"/>
        <v>10000</v>
      </c>
      <c r="BK28" s="250">
        <v>2189600</v>
      </c>
      <c r="BL28" s="40">
        <f t="shared" si="100"/>
        <v>3700</v>
      </c>
      <c r="BM28" s="250">
        <v>968.39</v>
      </c>
      <c r="BN28" s="37">
        <f t="shared" si="18"/>
        <v>0</v>
      </c>
      <c r="BO28" s="186"/>
      <c r="BP28" s="183">
        <f t="shared" si="19"/>
        <v>0</v>
      </c>
      <c r="BQ28" s="250">
        <v>917.8</v>
      </c>
      <c r="BR28" s="37">
        <f t="shared" si="78"/>
        <v>799.99999999995453</v>
      </c>
      <c r="BS28" s="250">
        <v>129872.2</v>
      </c>
      <c r="BT28" s="37">
        <f t="shared" si="20"/>
        <v>160.08000000000175</v>
      </c>
      <c r="BU28" s="250">
        <v>3853954</v>
      </c>
      <c r="BV28" s="42"/>
      <c r="BW28" s="37">
        <f t="shared" si="21"/>
        <v>6358</v>
      </c>
      <c r="BX28" s="37">
        <f t="shared" si="101"/>
        <v>1</v>
      </c>
      <c r="BY28" s="250">
        <v>446.74889999999999</v>
      </c>
      <c r="BZ28" s="37"/>
      <c r="CA28" s="37">
        <f t="shared" si="131"/>
        <v>666.79999999996653</v>
      </c>
      <c r="CB28" s="37">
        <f t="shared" si="79"/>
        <v>1</v>
      </c>
      <c r="CC28" s="250">
        <v>850482</v>
      </c>
      <c r="CD28" s="37">
        <f t="shared" si="23"/>
        <v>1603.5999999999767</v>
      </c>
      <c r="CE28" s="250">
        <v>1995239</v>
      </c>
      <c r="CF28" s="37">
        <f t="shared" si="24"/>
        <v>4342</v>
      </c>
      <c r="CG28" s="250">
        <v>122991.9</v>
      </c>
      <c r="CH28" s="37">
        <f t="shared" si="80"/>
        <v>0</v>
      </c>
      <c r="CI28" s="250">
        <v>15185.65</v>
      </c>
      <c r="CJ28" s="40"/>
      <c r="CK28" s="37">
        <f t="shared" si="81"/>
        <v>15505.630000000398</v>
      </c>
      <c r="CL28" s="37">
        <f t="shared" si="25"/>
        <v>1</v>
      </c>
      <c r="CM28" s="250">
        <v>4568.8530000000001</v>
      </c>
      <c r="CN28" s="37"/>
      <c r="CO28" s="37">
        <f t="shared" si="26"/>
        <v>8573.430000000204</v>
      </c>
      <c r="CP28" s="37">
        <f t="shared" si="102"/>
        <v>1</v>
      </c>
      <c r="CQ28" s="250">
        <v>1082114</v>
      </c>
      <c r="CR28" s="39"/>
      <c r="CS28" s="37">
        <f t="shared" si="82"/>
        <v>6309.43</v>
      </c>
      <c r="CT28" s="37">
        <f t="shared" si="83"/>
        <v>1</v>
      </c>
      <c r="CU28" s="250">
        <v>5093633</v>
      </c>
      <c r="CV28" s="37"/>
      <c r="CW28" s="38">
        <f t="shared" si="27"/>
        <v>12417</v>
      </c>
      <c r="CX28" s="37">
        <f t="shared" si="103"/>
        <v>1</v>
      </c>
      <c r="CY28" s="250">
        <v>2736708</v>
      </c>
      <c r="CZ28" s="37"/>
      <c r="DA28" s="37">
        <f t="shared" si="137"/>
        <v>6955</v>
      </c>
      <c r="DB28" s="37">
        <f>IF(DA28&lt;=0,0,(DA28/SQRT(DA28^2+(CZ28-CZ27)^2)))</f>
        <v>1</v>
      </c>
      <c r="DC28" s="37"/>
      <c r="DD28" s="40"/>
      <c r="DE28" s="37">
        <f t="shared" si="29"/>
        <v>0</v>
      </c>
      <c r="DF28" s="37">
        <f t="shared" si="111"/>
        <v>0</v>
      </c>
      <c r="DG28" s="37">
        <f t="shared" si="30"/>
        <v>-56118.490000000602</v>
      </c>
      <c r="DH28" s="37">
        <f t="shared" si="31"/>
        <v>410152.42999999976</v>
      </c>
      <c r="DI28" s="46"/>
      <c r="DJ28" s="46"/>
      <c r="DK28" s="47"/>
      <c r="DL28" s="47"/>
      <c r="DM28" s="37"/>
      <c r="DN28" s="37"/>
      <c r="DO28" s="37"/>
      <c r="DP28" s="37"/>
      <c r="DQ28" s="250">
        <v>80830</v>
      </c>
      <c r="DR28" s="49">
        <f t="shared" si="84"/>
        <v>10798</v>
      </c>
      <c r="DS28" s="250">
        <v>7081400</v>
      </c>
      <c r="DT28" s="49">
        <f t="shared" si="85"/>
        <v>23400</v>
      </c>
      <c r="DU28" s="250">
        <v>8550.2999999999993</v>
      </c>
      <c r="DV28" s="250">
        <v>4793.7</v>
      </c>
      <c r="DW28" s="37">
        <f t="shared" si="105"/>
        <v>399.9999999996362</v>
      </c>
      <c r="DX28" s="250">
        <v>14160</v>
      </c>
      <c r="DY28" s="250">
        <v>8824.2999999999993</v>
      </c>
      <c r="DZ28" s="37">
        <f t="shared" si="32"/>
        <v>1322.43</v>
      </c>
      <c r="EA28" s="250">
        <v>33012</v>
      </c>
      <c r="EB28" s="250">
        <v>22.449000000000002</v>
      </c>
      <c r="EC28" s="37">
        <f t="shared" si="33"/>
        <v>4482.43</v>
      </c>
      <c r="ED28" s="53">
        <f t="shared" si="34"/>
        <v>6204.8599999996368</v>
      </c>
      <c r="EE28" s="250">
        <v>49480</v>
      </c>
      <c r="EF28" s="250">
        <v>32.71</v>
      </c>
      <c r="EG28" s="37">
        <f t="shared" si="35"/>
        <v>27482.43</v>
      </c>
      <c r="EH28" s="250">
        <v>14730</v>
      </c>
      <c r="EI28" s="250">
        <v>2.2170999999999998</v>
      </c>
      <c r="EJ28" s="37">
        <f t="shared" si="36"/>
        <v>10322.43</v>
      </c>
      <c r="EK28" s="250">
        <v>898.17</v>
      </c>
      <c r="EL28" s="250">
        <v>1284.7</v>
      </c>
      <c r="EM28" s="37">
        <f t="shared" si="86"/>
        <v>289.99999999996362</v>
      </c>
      <c r="EN28" s="54">
        <f t="shared" si="87"/>
        <v>38094.859999999964</v>
      </c>
      <c r="EO28" s="250">
        <v>14157</v>
      </c>
      <c r="EP28" s="48"/>
      <c r="EQ28" s="37">
        <f t="shared" si="112"/>
        <v>6897.4299999999894</v>
      </c>
      <c r="ER28" s="250">
        <v>11783</v>
      </c>
      <c r="ES28" s="48"/>
      <c r="ET28" s="49">
        <f t="shared" si="114"/>
        <v>17000</v>
      </c>
      <c r="EU28" s="250">
        <v>5028.8999999999996</v>
      </c>
      <c r="EV28" s="48"/>
      <c r="EW28" s="49">
        <f t="shared" si="38"/>
        <v>10422.429999999455</v>
      </c>
      <c r="EX28" s="250">
        <v>15229</v>
      </c>
      <c r="EY28" s="48"/>
      <c r="EZ28" s="37">
        <f t="shared" si="39"/>
        <v>11322.43</v>
      </c>
      <c r="FA28" s="48">
        <f t="shared" si="88"/>
        <v>-21617.289999999444</v>
      </c>
      <c r="FB28" s="250">
        <v>39949302</v>
      </c>
      <c r="FC28" s="49">
        <f t="shared" si="106"/>
        <v>24025</v>
      </c>
      <c r="FD28" s="48">
        <f t="shared" si="89"/>
        <v>47122.289999999448</v>
      </c>
      <c r="FE28" s="250">
        <v>18305</v>
      </c>
      <c r="FF28" s="48"/>
      <c r="FG28" s="37">
        <f t="shared" si="40"/>
        <v>10747.430000000011</v>
      </c>
      <c r="FH28" s="250">
        <v>11137</v>
      </c>
      <c r="FI28" s="48"/>
      <c r="FJ28" s="49">
        <f t="shared" si="41"/>
        <v>17322.43</v>
      </c>
      <c r="FK28" s="48"/>
      <c r="FL28" s="58"/>
      <c r="FM28" s="48">
        <f t="shared" si="107"/>
        <v>-464.09666666667061</v>
      </c>
      <c r="FN28" s="250">
        <v>18303</v>
      </c>
      <c r="FO28" s="48"/>
      <c r="FP28" s="37">
        <f t="shared" si="90"/>
        <v>13322.43</v>
      </c>
      <c r="FQ28" s="250">
        <v>64224</v>
      </c>
      <c r="FR28" s="48"/>
      <c r="FS28" s="37">
        <f t="shared" si="42"/>
        <v>40000</v>
      </c>
      <c r="FT28" s="48">
        <f t="shared" si="108"/>
        <v>-1392.2900000000118</v>
      </c>
      <c r="FU28" s="48">
        <f t="shared" si="109"/>
        <v>42992.289999999921</v>
      </c>
      <c r="FV28" s="250">
        <v>7880200</v>
      </c>
      <c r="FW28" s="44"/>
      <c r="FX28" s="37">
        <f t="shared" si="43"/>
        <v>17900</v>
      </c>
      <c r="FY28" s="250">
        <v>381620</v>
      </c>
      <c r="FZ28" s="56"/>
      <c r="GA28" s="37">
        <f t="shared" si="44"/>
        <v>4330</v>
      </c>
      <c r="GB28" s="250">
        <v>927.79</v>
      </c>
      <c r="GC28" s="56"/>
      <c r="GD28" s="37">
        <f t="shared" si="45"/>
        <v>669.99999999995907</v>
      </c>
      <c r="GE28" s="250">
        <v>11364</v>
      </c>
      <c r="GF28" s="56"/>
      <c r="GG28" s="37">
        <f t="shared" si="46"/>
        <v>4920.0000000000909</v>
      </c>
      <c r="GH28" s="250">
        <v>154030</v>
      </c>
      <c r="GI28" s="159"/>
      <c r="GJ28" s="38">
        <f t="shared" si="91"/>
        <v>1480</v>
      </c>
      <c r="GK28" s="250">
        <v>1547.8</v>
      </c>
      <c r="GL28" s="160"/>
      <c r="GM28" s="38">
        <f>IF((GK28-GK27)&lt;=0,0,(GK28-GK27))*1000</f>
        <v>1599.9999999999091</v>
      </c>
      <c r="GN28" s="250">
        <v>244280</v>
      </c>
      <c r="GO28" s="57"/>
      <c r="GP28" s="38">
        <f t="shared" si="48"/>
        <v>10</v>
      </c>
      <c r="GQ28" s="250">
        <v>307870</v>
      </c>
      <c r="GR28" s="38"/>
      <c r="GS28" s="38">
        <f t="shared" si="92"/>
        <v>140</v>
      </c>
      <c r="GT28" s="247"/>
      <c r="GU28" s="144">
        <f>DailyOct!B27-DailyOct!N27-DailyOct!V27-DailyOct!Y27-DailyOct!Z27-DailyOct!AA27-DailyOct!AB27-DailyOct!AC27-DailyOct!AD27-DailyOct!AE27-DailyOct!AK27-DailyOct!AO27-DailyOct!AS27-DailyOct!AY27-DailyOct!BD27+DailyOct!BU27-DailyOct!BG27-DailyOct!BT27-DailyOct!AF27-DailyOct!AG27</f>
        <v>-4.9999982002191246E-2</v>
      </c>
      <c r="GV28" s="261">
        <v>4836.3999999999996</v>
      </c>
      <c r="GW28" s="60">
        <f t="shared" si="0"/>
        <v>322.42666666666662</v>
      </c>
      <c r="GX28" s="260">
        <v>322.43</v>
      </c>
      <c r="GY28" s="140"/>
      <c r="GZ28" s="528"/>
      <c r="HA28" s="528"/>
      <c r="HB28" s="528"/>
      <c r="HC28" s="528"/>
      <c r="HD28" s="74"/>
      <c r="HE28" s="24">
        <f t="shared" si="49"/>
        <v>0</v>
      </c>
      <c r="HF28" s="255"/>
      <c r="HG28" s="279">
        <v>22</v>
      </c>
      <c r="HH28" s="292">
        <v>33544</v>
      </c>
      <c r="HI28" s="292">
        <v>12731</v>
      </c>
      <c r="HJ28" s="61">
        <f t="shared" si="50"/>
        <v>178000</v>
      </c>
      <c r="HK28" s="260">
        <v>2.1432000000000002</v>
      </c>
      <c r="HL28" s="260">
        <v>807.23</v>
      </c>
      <c r="HM28" s="61">
        <f t="shared" si="51"/>
        <v>0</v>
      </c>
      <c r="HN28" s="292">
        <v>8437.2999999999993</v>
      </c>
      <c r="HO28" s="292">
        <v>35875</v>
      </c>
      <c r="HP28" s="61">
        <f t="shared" si="52"/>
        <v>41424.999999999272</v>
      </c>
      <c r="HQ28" s="292">
        <v>5760.1</v>
      </c>
      <c r="HR28" s="292">
        <v>2405.3000000000002</v>
      </c>
      <c r="HS28" s="61">
        <f t="shared" si="53"/>
        <v>29725.000000000364</v>
      </c>
      <c r="HT28" s="292">
        <v>5725.7</v>
      </c>
      <c r="HU28" s="292">
        <v>2045.4</v>
      </c>
      <c r="HV28" s="61">
        <f t="shared" si="54"/>
        <v>27724.999999999454</v>
      </c>
      <c r="HW28" s="292">
        <v>4306.3999999999996</v>
      </c>
      <c r="HX28" s="292">
        <v>1822.6</v>
      </c>
      <c r="HY28" s="61">
        <f t="shared" si="55"/>
        <v>25324.999999999818</v>
      </c>
      <c r="HZ28" s="260">
        <v>3752800</v>
      </c>
      <c r="IA28" s="260">
        <v>16123</v>
      </c>
      <c r="IB28" s="61">
        <f t="shared" si="56"/>
        <v>30400</v>
      </c>
      <c r="IC28" s="292">
        <v>719.8</v>
      </c>
      <c r="ID28" s="292">
        <v>232.78</v>
      </c>
      <c r="IE28" s="61">
        <f t="shared" si="113"/>
        <v>0</v>
      </c>
      <c r="IF28" s="61"/>
      <c r="IG28" s="61"/>
      <c r="IH28" s="280">
        <f t="shared" si="57"/>
        <v>23400</v>
      </c>
      <c r="II28" s="281">
        <f t="shared" si="58"/>
        <v>1.1059455573558807E-9</v>
      </c>
      <c r="IJ28" s="345"/>
      <c r="IK28" s="345"/>
      <c r="IL28" s="345">
        <f t="shared" si="115"/>
        <v>0</v>
      </c>
      <c r="IM28" s="345"/>
      <c r="IN28" s="345"/>
      <c r="IO28" s="345">
        <f t="shared" si="116"/>
        <v>0</v>
      </c>
      <c r="IP28" s="345"/>
      <c r="IQ28" s="345"/>
      <c r="IR28" s="345">
        <f t="shared" si="117"/>
        <v>0</v>
      </c>
      <c r="IS28" s="345"/>
      <c r="IT28" s="345"/>
      <c r="IU28" s="345">
        <f t="shared" si="118"/>
        <v>0</v>
      </c>
      <c r="IV28" s="345"/>
      <c r="IW28" s="345"/>
      <c r="IX28" s="345">
        <f t="shared" si="119"/>
        <v>0</v>
      </c>
      <c r="IY28" s="345"/>
      <c r="IZ28" s="345"/>
      <c r="JA28" s="345">
        <f t="shared" si="120"/>
        <v>0</v>
      </c>
      <c r="JB28" s="345"/>
      <c r="JC28" s="345"/>
      <c r="JD28" s="345">
        <f t="shared" si="121"/>
        <v>0</v>
      </c>
      <c r="JE28" s="345"/>
      <c r="JF28" s="345"/>
      <c r="JG28" s="345">
        <f t="shared" si="122"/>
        <v>0</v>
      </c>
      <c r="JH28" s="345"/>
      <c r="JI28" s="345"/>
      <c r="JJ28" s="345">
        <f t="shared" si="123"/>
        <v>0</v>
      </c>
      <c r="JK28" s="345"/>
      <c r="JL28" s="345"/>
      <c r="JM28" s="345">
        <f t="shared" si="124"/>
        <v>0</v>
      </c>
      <c r="JN28" s="345"/>
      <c r="JO28" s="345"/>
      <c r="JP28" s="345">
        <f t="shared" si="125"/>
        <v>0</v>
      </c>
      <c r="JQ28" s="345"/>
      <c r="JR28" s="345"/>
      <c r="JS28" s="345">
        <f t="shared" si="126"/>
        <v>0</v>
      </c>
      <c r="JT28" s="345"/>
      <c r="JU28" s="345"/>
      <c r="JV28" s="345">
        <f t="shared" si="127"/>
        <v>0</v>
      </c>
      <c r="JW28" s="345"/>
      <c r="JX28" s="345"/>
      <c r="JY28" s="345">
        <f t="shared" si="128"/>
        <v>0</v>
      </c>
      <c r="JZ28" s="345"/>
      <c r="KA28" s="345"/>
      <c r="KB28" s="345">
        <f t="shared" si="129"/>
        <v>0</v>
      </c>
      <c r="KC28" s="345"/>
      <c r="KD28" s="345"/>
      <c r="KE28" s="345">
        <f t="shared" si="130"/>
        <v>0</v>
      </c>
      <c r="KG28" s="151">
        <f t="shared" si="75"/>
        <v>71825.000000000378</v>
      </c>
    </row>
    <row r="29" spans="1:293" x14ac:dyDescent="0.25">
      <c r="A29" s="35">
        <f t="shared" si="76"/>
        <v>23</v>
      </c>
      <c r="B29" s="250">
        <v>5937.24</v>
      </c>
      <c r="C29" s="38">
        <f t="shared" si="1"/>
        <v>10.4399999999996</v>
      </c>
      <c r="D29" s="38">
        <f t="shared" si="2"/>
        <v>334079.99999998719</v>
      </c>
      <c r="E29" s="250">
        <v>1189.71</v>
      </c>
      <c r="F29" s="38">
        <f t="shared" si="3"/>
        <v>61120.000000002619</v>
      </c>
      <c r="G29" s="38">
        <f t="shared" si="4"/>
        <v>395199.99999998981</v>
      </c>
      <c r="H29" s="37"/>
      <c r="I29" s="39"/>
      <c r="J29" s="42"/>
      <c r="K29" s="37">
        <f t="shared" si="93"/>
        <v>0</v>
      </c>
      <c r="L29" s="250">
        <v>19405300</v>
      </c>
      <c r="M29" s="40"/>
      <c r="N29" s="37">
        <f t="shared" si="94"/>
        <v>390000</v>
      </c>
      <c r="O29" s="250">
        <v>13671</v>
      </c>
      <c r="P29" s="37"/>
      <c r="Q29" s="37">
        <f t="shared" si="133"/>
        <v>18200.000000000728</v>
      </c>
      <c r="R29" s="37">
        <f t="shared" si="95"/>
        <v>1</v>
      </c>
      <c r="S29" s="250">
        <v>11280027.24</v>
      </c>
      <c r="T29" s="37">
        <f t="shared" si="6"/>
        <v>336.73000000044703</v>
      </c>
      <c r="U29" s="250">
        <v>1523792.57</v>
      </c>
      <c r="V29" s="37">
        <f t="shared" si="7"/>
        <v>0</v>
      </c>
      <c r="W29" s="250">
        <v>4895.3</v>
      </c>
      <c r="X29" s="37">
        <f t="shared" si="110"/>
        <v>17563.270000000281</v>
      </c>
      <c r="Y29" s="183"/>
      <c r="Z29" s="183"/>
      <c r="AA29" s="250">
        <v>874600</v>
      </c>
      <c r="AB29" s="37">
        <f t="shared" si="8"/>
        <v>300</v>
      </c>
      <c r="AC29" s="250">
        <v>5072</v>
      </c>
      <c r="AD29" s="37"/>
      <c r="AE29" s="37">
        <f t="shared" si="135"/>
        <v>4699.9999999998181</v>
      </c>
      <c r="AF29" s="37">
        <f t="shared" si="96"/>
        <v>1</v>
      </c>
      <c r="AG29" s="250">
        <v>11025.3</v>
      </c>
      <c r="AH29" s="37"/>
      <c r="AI29" s="37">
        <f t="shared" si="10"/>
        <v>11178.739999999345</v>
      </c>
      <c r="AJ29" s="37">
        <f t="shared" si="11"/>
        <v>1</v>
      </c>
      <c r="AK29" s="37">
        <f t="shared" si="12"/>
        <v>33778.739999999889</v>
      </c>
      <c r="AL29" s="250">
        <v>12594.5</v>
      </c>
      <c r="AM29" s="42"/>
      <c r="AN29" s="37">
        <f t="shared" si="77"/>
        <v>7108.7400000006819</v>
      </c>
      <c r="AO29" s="37">
        <f t="shared" si="97"/>
        <v>1</v>
      </c>
      <c r="AP29" s="250">
        <v>9971.7000000000007</v>
      </c>
      <c r="AQ29" s="37"/>
      <c r="AR29" s="37">
        <f t="shared" si="13"/>
        <v>13000</v>
      </c>
      <c r="AS29" s="37">
        <f t="shared" si="98"/>
        <v>1</v>
      </c>
      <c r="AT29" s="183"/>
      <c r="AU29" s="183"/>
      <c r="AV29" s="183"/>
      <c r="AW29" s="183"/>
      <c r="AX29" s="250">
        <v>545250</v>
      </c>
      <c r="AY29" s="37"/>
      <c r="AZ29" s="37">
        <f t="shared" si="14"/>
        <v>390</v>
      </c>
      <c r="BA29" s="250">
        <v>239730</v>
      </c>
      <c r="BB29" s="37"/>
      <c r="BC29" s="37">
        <f t="shared" si="15"/>
        <v>650</v>
      </c>
      <c r="BD29" s="37">
        <f t="shared" si="99"/>
        <v>21148.740000000682</v>
      </c>
      <c r="BE29" s="250">
        <v>2162.4</v>
      </c>
      <c r="BF29" s="250">
        <v>1220.3</v>
      </c>
      <c r="BG29" s="37">
        <f t="shared" si="16"/>
        <v>1599.9999999999091</v>
      </c>
      <c r="BH29" s="250">
        <v>10297</v>
      </c>
      <c r="BI29" s="250">
        <v>6659</v>
      </c>
      <c r="BJ29" s="37">
        <f t="shared" si="17"/>
        <v>10000</v>
      </c>
      <c r="BK29" s="250">
        <v>2193700</v>
      </c>
      <c r="BL29" s="40">
        <f t="shared" si="100"/>
        <v>4100</v>
      </c>
      <c r="BM29" s="250">
        <v>968.39</v>
      </c>
      <c r="BN29" s="37">
        <f t="shared" si="18"/>
        <v>0</v>
      </c>
      <c r="BO29" s="186"/>
      <c r="BP29" s="183">
        <v>0</v>
      </c>
      <c r="BQ29" s="250">
        <v>918.5</v>
      </c>
      <c r="BR29" s="37">
        <f t="shared" si="78"/>
        <v>700.00000000004547</v>
      </c>
      <c r="BS29" s="250">
        <v>130014.56</v>
      </c>
      <c r="BT29" s="37">
        <f t="shared" si="20"/>
        <v>142.36000000000058</v>
      </c>
      <c r="BU29" s="250">
        <v>3861237</v>
      </c>
      <c r="BV29" s="42"/>
      <c r="BW29" s="37">
        <f t="shared" si="21"/>
        <v>7283</v>
      </c>
      <c r="BX29" s="37">
        <f t="shared" si="101"/>
        <v>1</v>
      </c>
      <c r="BY29" s="250">
        <v>447.3904</v>
      </c>
      <c r="BZ29" s="43"/>
      <c r="CA29" s="37">
        <f t="shared" si="131"/>
        <v>641.50000000000773</v>
      </c>
      <c r="CB29" s="37">
        <f t="shared" si="79"/>
        <v>1</v>
      </c>
      <c r="CC29" s="250">
        <v>852513.9</v>
      </c>
      <c r="CD29" s="37">
        <f t="shared" si="23"/>
        <v>2031.9000000000233</v>
      </c>
      <c r="CE29" s="250">
        <v>2000096</v>
      </c>
      <c r="CF29" s="37">
        <f t="shared" si="24"/>
        <v>4857</v>
      </c>
      <c r="CG29" s="250">
        <v>122991.9</v>
      </c>
      <c r="CH29" s="37">
        <f t="shared" si="80"/>
        <v>0</v>
      </c>
      <c r="CI29" s="250">
        <v>15201.8</v>
      </c>
      <c r="CJ29" s="40"/>
      <c r="CK29" s="37">
        <f t="shared" si="81"/>
        <v>15717.239999999629</v>
      </c>
      <c r="CL29" s="37">
        <f t="shared" si="25"/>
        <v>1</v>
      </c>
      <c r="CM29" s="250">
        <v>4576.2690000000002</v>
      </c>
      <c r="CN29" s="37"/>
      <c r="CO29" s="37">
        <f t="shared" si="26"/>
        <v>7624.7400000001671</v>
      </c>
      <c r="CP29" s="37">
        <f t="shared" si="102"/>
        <v>1</v>
      </c>
      <c r="CQ29" s="250">
        <v>1087682</v>
      </c>
      <c r="CR29" s="39"/>
      <c r="CS29" s="37">
        <f t="shared" si="82"/>
        <v>5776.74</v>
      </c>
      <c r="CT29" s="37">
        <f t="shared" si="83"/>
        <v>1</v>
      </c>
      <c r="CU29" s="250">
        <v>5112001</v>
      </c>
      <c r="CV29" s="37"/>
      <c r="CW29" s="38">
        <f t="shared" si="27"/>
        <v>18368</v>
      </c>
      <c r="CX29" s="37">
        <f t="shared" si="103"/>
        <v>1</v>
      </c>
      <c r="CY29" s="250">
        <v>2745929</v>
      </c>
      <c r="CZ29" s="37"/>
      <c r="DA29" s="37">
        <f t="shared" si="137"/>
        <v>9221</v>
      </c>
      <c r="DB29" s="37">
        <f t="shared" si="104"/>
        <v>1</v>
      </c>
      <c r="DC29" s="37"/>
      <c r="DD29" s="40"/>
      <c r="DE29" s="37">
        <f t="shared" si="29"/>
        <v>0</v>
      </c>
      <c r="DF29" s="37">
        <f t="shared" si="111"/>
        <v>0</v>
      </c>
      <c r="DG29" s="37">
        <f t="shared" si="30"/>
        <v>-63990.71999999979</v>
      </c>
      <c r="DH29" s="37">
        <f t="shared" si="31"/>
        <v>425378.73999999982</v>
      </c>
      <c r="DI29" s="46"/>
      <c r="DJ29" s="46"/>
      <c r="DK29" s="47"/>
      <c r="DL29" s="47"/>
      <c r="DM29" s="37"/>
      <c r="DN29" s="37"/>
      <c r="DO29" s="37"/>
      <c r="DP29" s="37"/>
      <c r="DQ29" s="250">
        <v>91237</v>
      </c>
      <c r="DR29" s="49">
        <f t="shared" si="84"/>
        <v>10407</v>
      </c>
      <c r="DS29" s="250">
        <v>7108600</v>
      </c>
      <c r="DT29" s="49">
        <f t="shared" si="85"/>
        <v>27200</v>
      </c>
      <c r="DU29" s="250">
        <v>8550.7999999999993</v>
      </c>
      <c r="DV29" s="250">
        <v>4794</v>
      </c>
      <c r="DW29" s="37">
        <f t="shared" si="105"/>
        <v>500</v>
      </c>
      <c r="DX29" s="250">
        <v>14161</v>
      </c>
      <c r="DY29" s="250">
        <v>8824.7999999999993</v>
      </c>
      <c r="DZ29" s="37">
        <f t="shared" si="32"/>
        <v>1208.74</v>
      </c>
      <c r="EA29" s="250">
        <v>33014</v>
      </c>
      <c r="EB29" s="250">
        <v>22.449000000000002</v>
      </c>
      <c r="EC29" s="37">
        <f t="shared" si="33"/>
        <v>4368.74</v>
      </c>
      <c r="ED29" s="53">
        <f t="shared" si="34"/>
        <v>6077.48</v>
      </c>
      <c r="EE29" s="250">
        <v>49506</v>
      </c>
      <c r="EF29" s="250">
        <v>32.729999999999997</v>
      </c>
      <c r="EG29" s="37">
        <f t="shared" si="35"/>
        <v>28368.74</v>
      </c>
      <c r="EH29" s="250">
        <v>14741</v>
      </c>
      <c r="EI29" s="250">
        <v>2.2201</v>
      </c>
      <c r="EJ29" s="37">
        <f t="shared" si="36"/>
        <v>11208.74</v>
      </c>
      <c r="EK29" s="250">
        <v>898.19</v>
      </c>
      <c r="EL29" s="250">
        <v>1284.8</v>
      </c>
      <c r="EM29" s="37">
        <f t="shared" si="86"/>
        <v>20.000000000095497</v>
      </c>
      <c r="EN29" s="54">
        <f t="shared" si="87"/>
        <v>39597.480000000098</v>
      </c>
      <c r="EO29" s="250">
        <v>14165</v>
      </c>
      <c r="EP29" s="48"/>
      <c r="EQ29" s="37">
        <f t="shared" si="112"/>
        <v>6738.7399999999725</v>
      </c>
      <c r="ER29" s="250">
        <v>11797</v>
      </c>
      <c r="ES29" s="48"/>
      <c r="ET29" s="49">
        <f t="shared" si="114"/>
        <v>14000</v>
      </c>
      <c r="EU29" s="250">
        <v>5039.3999999999996</v>
      </c>
      <c r="EV29" s="48"/>
      <c r="EW29" s="49">
        <f t="shared" si="38"/>
        <v>10708.74</v>
      </c>
      <c r="EX29" s="250">
        <v>15239</v>
      </c>
      <c r="EY29" s="55"/>
      <c r="EZ29" s="37">
        <f t="shared" si="39"/>
        <v>10208.74</v>
      </c>
      <c r="FA29" s="48">
        <f t="shared" si="88"/>
        <v>-19261.219999999972</v>
      </c>
      <c r="FB29" s="250">
        <v>39971697</v>
      </c>
      <c r="FC29" s="49">
        <f t="shared" si="106"/>
        <v>22395</v>
      </c>
      <c r="FD29" s="48">
        <f t="shared" si="89"/>
        <v>43706.219999999972</v>
      </c>
      <c r="FE29" s="250">
        <v>18315</v>
      </c>
      <c r="FF29" s="48"/>
      <c r="FG29" s="37">
        <f t="shared" si="40"/>
        <v>11678.740000000027</v>
      </c>
      <c r="FH29" s="250">
        <v>11156</v>
      </c>
      <c r="FI29" s="48"/>
      <c r="FJ29" s="49">
        <f t="shared" si="41"/>
        <v>19208.740000000002</v>
      </c>
      <c r="FK29" s="48"/>
      <c r="FL29" s="58"/>
      <c r="FM29" s="48">
        <f t="shared" si="107"/>
        <v>-365.40666666667613</v>
      </c>
      <c r="FN29" s="250">
        <v>18314</v>
      </c>
      <c r="FO29" s="48"/>
      <c r="FP29" s="37">
        <f t="shared" si="90"/>
        <v>11208.74</v>
      </c>
      <c r="FQ29" s="250">
        <v>64265</v>
      </c>
      <c r="FR29" s="48"/>
      <c r="FS29" s="37">
        <f t="shared" si="42"/>
        <v>41000</v>
      </c>
      <c r="FT29" s="48">
        <f t="shared" si="108"/>
        <v>-1096.2200000000284</v>
      </c>
      <c r="FU29" s="48">
        <f t="shared" si="109"/>
        <v>42896.219999999987</v>
      </c>
      <c r="FV29" s="250">
        <v>7896500</v>
      </c>
      <c r="FW29" s="65"/>
      <c r="FX29" s="37">
        <f t="shared" si="43"/>
        <v>16300</v>
      </c>
      <c r="FY29" s="250">
        <v>385680</v>
      </c>
      <c r="FZ29" s="56"/>
      <c r="GA29" s="37">
        <f t="shared" si="44"/>
        <v>4060</v>
      </c>
      <c r="GB29" s="250">
        <v>928.45</v>
      </c>
      <c r="GC29" s="56"/>
      <c r="GD29" s="37">
        <f t="shared" si="45"/>
        <v>660.00000000008185</v>
      </c>
      <c r="GE29" s="250">
        <v>11372</v>
      </c>
      <c r="GF29" s="56"/>
      <c r="GG29" s="37">
        <f t="shared" si="46"/>
        <v>5150.0000000000455</v>
      </c>
      <c r="GH29" s="250">
        <v>156080</v>
      </c>
      <c r="GI29" s="159"/>
      <c r="GJ29" s="38">
        <f t="shared" si="91"/>
        <v>2050</v>
      </c>
      <c r="GK29" s="250">
        <v>1548.6</v>
      </c>
      <c r="GL29" s="160"/>
      <c r="GM29" s="38">
        <f t="shared" si="47"/>
        <v>799.99999999995453</v>
      </c>
      <c r="GN29" s="250">
        <v>244280</v>
      </c>
      <c r="GO29" s="57"/>
      <c r="GP29" s="38">
        <f t="shared" si="48"/>
        <v>0</v>
      </c>
      <c r="GQ29" s="250">
        <v>308010</v>
      </c>
      <c r="GR29" s="38"/>
      <c r="GS29" s="38">
        <f t="shared" si="92"/>
        <v>140</v>
      </c>
      <c r="GT29" s="247"/>
      <c r="GU29" s="144">
        <f>DailyOct!B28-DailyOct!N28-DailyOct!V28-DailyOct!Y28-DailyOct!Z28-DailyOct!AA28-DailyOct!AB28-DailyOct!AC28-DailyOct!AD28-DailyOct!AE28-DailyOct!AK28-DailyOct!AO28-DailyOct!AS28-DailyOct!AY28-DailyOct!BD28+DailyOct!BU28-DailyOct!BG28-DailyOct!BT28-DailyOct!AF28-DailyOct!AG28</f>
        <v>-1.0593794286251068E-8</v>
      </c>
      <c r="GV29" s="261">
        <v>3131.1</v>
      </c>
      <c r="GW29" s="60">
        <f t="shared" si="0"/>
        <v>208.73999999999998</v>
      </c>
      <c r="GX29" s="260">
        <v>208.74</v>
      </c>
      <c r="GY29" s="140"/>
      <c r="GZ29" s="528"/>
      <c r="HA29" s="528"/>
      <c r="HB29" s="528"/>
      <c r="HC29" s="528"/>
      <c r="HD29" s="74"/>
      <c r="HE29" s="24">
        <f t="shared" si="49"/>
        <v>0</v>
      </c>
      <c r="HG29" s="279">
        <v>23</v>
      </c>
      <c r="HH29" s="292">
        <v>33727</v>
      </c>
      <c r="HI29" s="292">
        <v>12799</v>
      </c>
      <c r="HJ29" s="61">
        <f t="shared" si="50"/>
        <v>183000</v>
      </c>
      <c r="HK29" s="260">
        <v>2.1432000000000002</v>
      </c>
      <c r="HL29" s="260">
        <v>807.23</v>
      </c>
      <c r="HM29" s="61">
        <f t="shared" si="51"/>
        <v>0</v>
      </c>
      <c r="HN29" s="292">
        <v>8479.7999999999993</v>
      </c>
      <c r="HO29" s="292">
        <v>36053</v>
      </c>
      <c r="HP29" s="61">
        <f t="shared" si="52"/>
        <v>42325</v>
      </c>
      <c r="HQ29" s="292">
        <v>5790</v>
      </c>
      <c r="HR29" s="292">
        <v>2416.8000000000002</v>
      </c>
      <c r="HS29" s="61">
        <f t="shared" si="53"/>
        <v>29724.999999999636</v>
      </c>
      <c r="HT29" s="292">
        <v>5753.5</v>
      </c>
      <c r="HU29" s="292">
        <v>2054.6</v>
      </c>
      <c r="HV29" s="61">
        <f t="shared" si="54"/>
        <v>27625.000000000182</v>
      </c>
      <c r="HW29" s="292">
        <v>4331.3999999999996</v>
      </c>
      <c r="HX29" s="292">
        <v>1832.5</v>
      </c>
      <c r="HY29" s="61">
        <f t="shared" si="55"/>
        <v>24825</v>
      </c>
      <c r="HZ29" s="260">
        <v>3784100</v>
      </c>
      <c r="IA29" s="260">
        <v>16251</v>
      </c>
      <c r="IB29" s="61">
        <f t="shared" si="56"/>
        <v>31300</v>
      </c>
      <c r="IC29" s="292">
        <v>719.8</v>
      </c>
      <c r="ID29" s="292">
        <v>232.78</v>
      </c>
      <c r="IE29" s="61">
        <f t="shared" si="113"/>
        <v>0</v>
      </c>
      <c r="IF29" s="61"/>
      <c r="IG29" s="61"/>
      <c r="IH29" s="280">
        <f t="shared" si="57"/>
        <v>27200</v>
      </c>
      <c r="II29" s="281">
        <f>HJ29+HM29-HS29-HV29-HY29-IH29-HP29-IB29-IE29</f>
        <v>1.7462298274040222E-10</v>
      </c>
      <c r="IJ29" s="345"/>
      <c r="IK29" s="345"/>
      <c r="IL29" s="345">
        <f t="shared" si="115"/>
        <v>0</v>
      </c>
      <c r="IM29" s="345"/>
      <c r="IN29" s="345"/>
      <c r="IO29" s="345">
        <f t="shared" si="116"/>
        <v>0</v>
      </c>
      <c r="IP29" s="345"/>
      <c r="IQ29" s="345"/>
      <c r="IR29" s="345">
        <f t="shared" si="117"/>
        <v>0</v>
      </c>
      <c r="IS29" s="345"/>
      <c r="IT29" s="345"/>
      <c r="IU29" s="345">
        <f t="shared" si="118"/>
        <v>0</v>
      </c>
      <c r="IV29" s="345"/>
      <c r="IW29" s="345"/>
      <c r="IX29" s="345">
        <f t="shared" si="119"/>
        <v>0</v>
      </c>
      <c r="IY29" s="345"/>
      <c r="IZ29" s="345"/>
      <c r="JA29" s="345">
        <f t="shared" si="120"/>
        <v>0</v>
      </c>
      <c r="JB29" s="345"/>
      <c r="JC29" s="345"/>
      <c r="JD29" s="345">
        <f t="shared" si="121"/>
        <v>0</v>
      </c>
      <c r="JE29" s="345"/>
      <c r="JF29" s="345"/>
      <c r="JG29" s="345">
        <f t="shared" si="122"/>
        <v>0</v>
      </c>
      <c r="JH29" s="345"/>
      <c r="JI29" s="345"/>
      <c r="JJ29" s="345">
        <f t="shared" si="123"/>
        <v>0</v>
      </c>
      <c r="JK29" s="345"/>
      <c r="JL29" s="345"/>
      <c r="JM29" s="345">
        <f t="shared" si="124"/>
        <v>0</v>
      </c>
      <c r="JN29" s="345"/>
      <c r="JO29" s="345"/>
      <c r="JP29" s="345">
        <f t="shared" si="125"/>
        <v>0</v>
      </c>
      <c r="JQ29" s="345"/>
      <c r="JR29" s="345"/>
      <c r="JS29" s="345">
        <f t="shared" si="126"/>
        <v>0</v>
      </c>
      <c r="JT29" s="345"/>
      <c r="JU29" s="345"/>
      <c r="JV29" s="345">
        <f t="shared" si="127"/>
        <v>0</v>
      </c>
      <c r="JW29" s="345"/>
      <c r="JX29" s="345"/>
      <c r="JY29" s="345">
        <f t="shared" si="128"/>
        <v>0</v>
      </c>
      <c r="JZ29" s="345"/>
      <c r="KA29" s="345"/>
      <c r="KB29" s="345">
        <f t="shared" si="129"/>
        <v>0</v>
      </c>
      <c r="KC29" s="345"/>
      <c r="KD29" s="345"/>
      <c r="KE29" s="345">
        <f t="shared" si="130"/>
        <v>0</v>
      </c>
      <c r="KG29" s="151">
        <f t="shared" si="75"/>
        <v>73625.000000000175</v>
      </c>
    </row>
    <row r="30" spans="1:293" x14ac:dyDescent="0.25">
      <c r="A30" s="35">
        <f t="shared" si="76"/>
        <v>24</v>
      </c>
      <c r="B30" s="250">
        <v>5947.13</v>
      </c>
      <c r="C30" s="38">
        <f t="shared" si="1"/>
        <v>9.8900000000003274</v>
      </c>
      <c r="D30" s="38">
        <f t="shared" si="2"/>
        <v>316480.00000001048</v>
      </c>
      <c r="E30" s="250">
        <v>1191.5899999999999</v>
      </c>
      <c r="F30" s="38">
        <f t="shared" si="3"/>
        <v>60159.999999996217</v>
      </c>
      <c r="G30" s="38">
        <f t="shared" si="4"/>
        <v>376640.00000000669</v>
      </c>
      <c r="H30" s="37"/>
      <c r="I30" s="39"/>
      <c r="J30" s="42"/>
      <c r="K30" s="37">
        <f>IF(J30&lt;=0,0,(J30/SQRT(J30^2+(I30-I29)^2)))</f>
        <v>0</v>
      </c>
      <c r="L30" s="250">
        <v>19442900</v>
      </c>
      <c r="M30" s="40"/>
      <c r="N30" s="37">
        <f t="shared" si="94"/>
        <v>376000</v>
      </c>
      <c r="O30" s="250">
        <v>13688</v>
      </c>
      <c r="P30" s="37"/>
      <c r="Q30" s="37">
        <f t="shared" si="133"/>
        <v>17000</v>
      </c>
      <c r="R30" s="37">
        <f>IF(Q30&lt;=0,0,(Q30/SQRT(Q30^2+(P30-P29)^2)))</f>
        <v>1</v>
      </c>
      <c r="S30" s="250">
        <v>11280358.6</v>
      </c>
      <c r="T30" s="37">
        <f t="shared" si="6"/>
        <v>331.35999999940395</v>
      </c>
      <c r="U30" s="250">
        <v>1523792.57</v>
      </c>
      <c r="V30" s="37">
        <f t="shared" si="7"/>
        <v>0</v>
      </c>
      <c r="W30" s="250">
        <v>4901.3999999999996</v>
      </c>
      <c r="X30" s="37">
        <f t="shared" si="110"/>
        <v>16468.640000000596</v>
      </c>
      <c r="Y30" s="183"/>
      <c r="Z30" s="183"/>
      <c r="AA30" s="250">
        <v>874800</v>
      </c>
      <c r="AB30" s="37">
        <f t="shared" si="8"/>
        <v>200</v>
      </c>
      <c r="AC30" s="250">
        <v>5076.8</v>
      </c>
      <c r="AD30" s="37"/>
      <c r="AE30" s="37">
        <f t="shared" si="135"/>
        <v>4800.0000000001819</v>
      </c>
      <c r="AF30" s="37">
        <f>IF(AE30&lt;=0,0,(AE30/SQRT(AE30^2+(AD30-AD29)^2)))</f>
        <v>1</v>
      </c>
      <c r="AG30" s="250">
        <v>11035.8</v>
      </c>
      <c r="AH30" s="37"/>
      <c r="AI30" s="37">
        <f t="shared" si="10"/>
        <v>11091.97</v>
      </c>
      <c r="AJ30" s="37">
        <f t="shared" si="11"/>
        <v>1</v>
      </c>
      <c r="AK30" s="37">
        <f t="shared" si="12"/>
        <v>32691.970000000183</v>
      </c>
      <c r="AL30" s="250">
        <v>12606.2</v>
      </c>
      <c r="AM30" s="42"/>
      <c r="AN30" s="37">
        <f t="shared" si="77"/>
        <v>7991.9700000007724</v>
      </c>
      <c r="AO30" s="37">
        <f>IF(AN30&lt;=0,0,(AN30/SQRT(AN30^2+(AM30-AM29)^2)))</f>
        <v>1</v>
      </c>
      <c r="AP30" s="250">
        <v>9984.7999999999993</v>
      </c>
      <c r="AQ30" s="37"/>
      <c r="AR30" s="37">
        <f t="shared" si="13"/>
        <v>13099.999999998545</v>
      </c>
      <c r="AS30" s="37">
        <f>IF(AR30&lt;=0,0,(AR30/SQRT(AR30^2+(AQ30-AQ29)^2)))</f>
        <v>1</v>
      </c>
      <c r="AT30" s="183"/>
      <c r="AU30" s="183"/>
      <c r="AV30" s="183"/>
      <c r="AW30" s="183"/>
      <c r="AX30" s="250">
        <v>545650</v>
      </c>
      <c r="AY30" s="37"/>
      <c r="AZ30" s="37">
        <f t="shared" si="14"/>
        <v>400</v>
      </c>
      <c r="BA30" s="250">
        <v>240370</v>
      </c>
      <c r="BB30" s="37"/>
      <c r="BC30" s="37">
        <f t="shared" si="15"/>
        <v>640</v>
      </c>
      <c r="BD30" s="37">
        <f>AN30+AR30+AZ30+BC30</f>
        <v>22131.969999999317</v>
      </c>
      <c r="BE30" s="250">
        <v>2164</v>
      </c>
      <c r="BF30" s="250">
        <v>1221.3</v>
      </c>
      <c r="BG30" s="37">
        <f t="shared" si="16"/>
        <v>1599.9999999999091</v>
      </c>
      <c r="BH30" s="250">
        <v>10307</v>
      </c>
      <c r="BI30" s="250">
        <v>6665.3</v>
      </c>
      <c r="BJ30" s="37">
        <f t="shared" si="17"/>
        <v>10000</v>
      </c>
      <c r="BK30" s="250">
        <v>2197200</v>
      </c>
      <c r="BL30" s="40">
        <f t="shared" si="100"/>
        <v>3500</v>
      </c>
      <c r="BM30" s="250">
        <v>968.39</v>
      </c>
      <c r="BN30" s="37">
        <f t="shared" si="18"/>
        <v>0</v>
      </c>
      <c r="BO30" s="186"/>
      <c r="BP30" s="183">
        <f t="shared" si="19"/>
        <v>0</v>
      </c>
      <c r="BQ30" s="250">
        <v>919.3</v>
      </c>
      <c r="BR30" s="37">
        <f t="shared" si="78"/>
        <v>799.99999999995453</v>
      </c>
      <c r="BS30" s="250">
        <v>130167.99</v>
      </c>
      <c r="BT30" s="37">
        <f t="shared" si="20"/>
        <v>153.43000000000757</v>
      </c>
      <c r="BU30" s="250">
        <v>3869140</v>
      </c>
      <c r="BV30" s="42"/>
      <c r="BW30" s="37">
        <f t="shared" si="21"/>
        <v>7903</v>
      </c>
      <c r="BX30" s="37">
        <f>IF(BW30&lt;=0,0,(BW30/SQRT(BW30^2+(BV30-BV29)^2)))</f>
        <v>1</v>
      </c>
      <c r="BY30" s="250">
        <v>448.16520000000003</v>
      </c>
      <c r="BZ30" s="37"/>
      <c r="CA30" s="37">
        <f t="shared" si="131"/>
        <v>774.80000000002747</v>
      </c>
      <c r="CB30" s="37">
        <f t="shared" si="79"/>
        <v>1</v>
      </c>
      <c r="CC30" s="250">
        <v>856310.4</v>
      </c>
      <c r="CD30" s="37">
        <f t="shared" si="23"/>
        <v>3796.5</v>
      </c>
      <c r="CE30" s="250">
        <v>2003352</v>
      </c>
      <c r="CF30" s="37">
        <f t="shared" si="24"/>
        <v>3256</v>
      </c>
      <c r="CG30" s="250">
        <v>122991.9</v>
      </c>
      <c r="CH30" s="37">
        <f t="shared" si="80"/>
        <v>0</v>
      </c>
      <c r="CI30" s="250">
        <v>15218.17</v>
      </c>
      <c r="CJ30" s="40"/>
      <c r="CK30" s="37">
        <f t="shared" si="81"/>
        <v>16187.170000000773</v>
      </c>
      <c r="CL30" s="37">
        <f t="shared" si="25"/>
        <v>1</v>
      </c>
      <c r="CM30" s="250">
        <v>4582.3969999999999</v>
      </c>
      <c r="CN30" s="37"/>
      <c r="CO30" s="37">
        <f t="shared" si="26"/>
        <v>6719.9699999997019</v>
      </c>
      <c r="CP30" s="37">
        <f>IF(CO30&lt;=0,0,(CO30/SQRT(CO30^2+(CN30-CN29)^2)))</f>
        <v>1</v>
      </c>
      <c r="CQ30" s="250">
        <v>1093011</v>
      </c>
      <c r="CR30" s="39"/>
      <c r="CS30" s="37">
        <f t="shared" si="82"/>
        <v>5920.97</v>
      </c>
      <c r="CT30" s="37">
        <f t="shared" si="83"/>
        <v>1</v>
      </c>
      <c r="CU30" s="250">
        <v>5129339</v>
      </c>
      <c r="CV30" s="37"/>
      <c r="CW30" s="38">
        <f t="shared" si="27"/>
        <v>17338</v>
      </c>
      <c r="CX30" s="37">
        <f>IF(CW30&lt;=0,0,(CW30/SQRT(CW30^2+(CV30-CV29)^2)))</f>
        <v>1</v>
      </c>
      <c r="CY30" s="250">
        <v>2754859</v>
      </c>
      <c r="CZ30" s="37"/>
      <c r="DA30" s="37">
        <f t="shared" si="137"/>
        <v>8930</v>
      </c>
      <c r="DB30" s="37">
        <f t="shared" si="104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0"/>
        <v>-62999.110000000481</v>
      </c>
      <c r="DH30" s="37">
        <f t="shared" si="31"/>
        <v>410291.97000000009</v>
      </c>
      <c r="DI30" s="46"/>
      <c r="DJ30" s="46"/>
      <c r="DK30" s="47"/>
      <c r="DL30" s="47"/>
      <c r="DM30" s="37"/>
      <c r="DN30" s="37"/>
      <c r="DO30" s="37"/>
      <c r="DP30" s="37"/>
      <c r="DQ30" s="250">
        <v>101220</v>
      </c>
      <c r="DR30" s="49">
        <f t="shared" si="84"/>
        <v>9983</v>
      </c>
      <c r="DS30" s="250">
        <v>7136100</v>
      </c>
      <c r="DT30" s="49">
        <f t="shared" si="85"/>
        <v>27500</v>
      </c>
      <c r="DU30" s="250">
        <v>8551</v>
      </c>
      <c r="DV30" s="250">
        <v>4794.2</v>
      </c>
      <c r="DW30" s="37">
        <f t="shared" si="105"/>
        <v>200.0000000007276</v>
      </c>
      <c r="DX30" s="250">
        <v>14161</v>
      </c>
      <c r="DY30" s="250">
        <v>8825.4</v>
      </c>
      <c r="DZ30" s="37">
        <f t="shared" si="32"/>
        <v>591.97</v>
      </c>
      <c r="EA30" s="250">
        <v>33015</v>
      </c>
      <c r="EB30" s="250">
        <v>22.45</v>
      </c>
      <c r="EC30" s="37">
        <f t="shared" si="33"/>
        <v>3751.9700000000003</v>
      </c>
      <c r="ED30" s="53">
        <f t="shared" si="34"/>
        <v>4543.9400000007281</v>
      </c>
      <c r="EE30" s="250">
        <v>49531</v>
      </c>
      <c r="EF30" s="250">
        <v>32.749000000000002</v>
      </c>
      <c r="EG30" s="37">
        <f t="shared" si="35"/>
        <v>27751.97</v>
      </c>
      <c r="EH30" s="250">
        <v>14751</v>
      </c>
      <c r="EI30" s="250">
        <v>2.2229999999999999</v>
      </c>
      <c r="EJ30" s="37">
        <f t="shared" si="36"/>
        <v>10591.97</v>
      </c>
      <c r="EK30" s="250">
        <v>898.58</v>
      </c>
      <c r="EL30" s="250">
        <v>1285.3</v>
      </c>
      <c r="EM30" s="37">
        <f t="shared" si="86"/>
        <v>389.99999999998636</v>
      </c>
      <c r="EN30" s="54">
        <f t="shared" si="87"/>
        <v>38733.939999999988</v>
      </c>
      <c r="EO30" s="250">
        <v>14174</v>
      </c>
      <c r="EP30" s="48"/>
      <c r="EQ30" s="37">
        <f t="shared" si="112"/>
        <v>8241.9700000000339</v>
      </c>
      <c r="ER30" s="250">
        <v>11808</v>
      </c>
      <c r="ES30" s="48"/>
      <c r="ET30" s="49">
        <f t="shared" si="114"/>
        <v>11000</v>
      </c>
      <c r="EU30" s="250">
        <v>5049.7</v>
      </c>
      <c r="EV30" s="48"/>
      <c r="EW30" s="49">
        <f t="shared" si="38"/>
        <v>10891.970000000181</v>
      </c>
      <c r="EX30" s="250">
        <v>15249</v>
      </c>
      <c r="EY30" s="55"/>
      <c r="EZ30" s="37">
        <f t="shared" si="39"/>
        <v>10591.97</v>
      </c>
      <c r="FA30" s="48">
        <f t="shared" si="88"/>
        <v>-20473.910000000214</v>
      </c>
      <c r="FB30" s="250">
        <v>39991949</v>
      </c>
      <c r="FC30" s="49">
        <f t="shared" si="106"/>
        <v>20252</v>
      </c>
      <c r="FD30" s="48">
        <f t="shared" si="89"/>
        <v>42635.910000000214</v>
      </c>
      <c r="FE30" s="250">
        <v>18326</v>
      </c>
      <c r="FF30" s="55"/>
      <c r="FG30" s="37">
        <f t="shared" si="40"/>
        <v>12941.969999999965</v>
      </c>
      <c r="FH30" s="250">
        <v>11175</v>
      </c>
      <c r="FI30" s="48"/>
      <c r="FJ30" s="49">
        <f t="shared" si="41"/>
        <v>19591.97</v>
      </c>
      <c r="FK30" s="48"/>
      <c r="FL30" s="58"/>
      <c r="FM30" s="48">
        <f t="shared" si="107"/>
        <v>-1041.9699999999884</v>
      </c>
      <c r="FN30" s="250">
        <v>18324</v>
      </c>
      <c r="FO30" s="48"/>
      <c r="FP30" s="37">
        <f t="shared" si="90"/>
        <v>10591.97</v>
      </c>
      <c r="FQ30" s="250">
        <v>64305</v>
      </c>
      <c r="FR30" s="48"/>
      <c r="FS30" s="37">
        <f t="shared" si="42"/>
        <v>40000</v>
      </c>
      <c r="FT30" s="48">
        <f t="shared" si="108"/>
        <v>-3125.9099999999653</v>
      </c>
      <c r="FU30" s="48">
        <f t="shared" si="109"/>
        <v>44425.910000000149</v>
      </c>
      <c r="FV30" s="250">
        <v>7913300</v>
      </c>
      <c r="FW30" s="44"/>
      <c r="FX30" s="37">
        <f t="shared" si="43"/>
        <v>16800</v>
      </c>
      <c r="FY30" s="250">
        <v>389420</v>
      </c>
      <c r="FZ30" s="56"/>
      <c r="GA30" s="37">
        <f t="shared" si="44"/>
        <v>3740</v>
      </c>
      <c r="GB30" s="250">
        <v>929.09</v>
      </c>
      <c r="GC30" s="56"/>
      <c r="GD30" s="37">
        <f t="shared" si="45"/>
        <v>639.99999999998636</v>
      </c>
      <c r="GE30" s="250">
        <v>11379</v>
      </c>
      <c r="GF30" s="56"/>
      <c r="GG30" s="37">
        <f t="shared" si="46"/>
        <v>3789.9999999998181</v>
      </c>
      <c r="GH30" s="250">
        <v>157990</v>
      </c>
      <c r="GI30" s="159"/>
      <c r="GJ30" s="38">
        <f t="shared" si="91"/>
        <v>1910</v>
      </c>
      <c r="GK30" s="250">
        <v>1549.9</v>
      </c>
      <c r="GL30" s="160"/>
      <c r="GM30" s="38">
        <f t="shared" si="47"/>
        <v>1300.0000000001819</v>
      </c>
      <c r="GN30" s="250">
        <v>244280</v>
      </c>
      <c r="GO30" s="57"/>
      <c r="GP30" s="38">
        <f t="shared" si="48"/>
        <v>0</v>
      </c>
      <c r="GQ30" s="250">
        <v>308150</v>
      </c>
      <c r="GR30" s="38"/>
      <c r="GS30" s="38">
        <f t="shared" si="92"/>
        <v>140</v>
      </c>
      <c r="GT30" s="247"/>
      <c r="GU30" s="144">
        <f>DailyOct!B29-DailyOct!N29-DailyOct!V29-DailyOct!Y29-DailyOct!Z29-DailyOct!AA29-DailyOct!AB29-DailyOct!AC29-DailyOct!AD29-DailyOct!AE29-DailyOct!AK29-DailyOct!AO29-DailyOct!AS29-DailyOct!AY29-DailyOct!BD29+DailyOct!BU29-DailyOct!BG29-DailyOct!BT29-DailyOct!AF29-DailyOct!AG29</f>
        <v>-4.9999994051177055E-2</v>
      </c>
      <c r="GV30" s="261">
        <v>8879.5</v>
      </c>
      <c r="GW30" s="60">
        <f t="shared" si="0"/>
        <v>591.9666666666667</v>
      </c>
      <c r="GX30" s="260">
        <v>591.97</v>
      </c>
      <c r="GY30" s="140"/>
      <c r="GZ30" s="528"/>
      <c r="HA30" s="528"/>
      <c r="HB30" s="528"/>
      <c r="HC30" s="528"/>
      <c r="HD30" s="74"/>
      <c r="HE30" s="24">
        <f t="shared" si="49"/>
        <v>0</v>
      </c>
      <c r="HG30" s="279">
        <v>24</v>
      </c>
      <c r="HH30" s="292">
        <v>33899</v>
      </c>
      <c r="HI30" s="292">
        <v>12862</v>
      </c>
      <c r="HJ30" s="61">
        <f t="shared" si="50"/>
        <v>172000</v>
      </c>
      <c r="HK30" s="260">
        <v>2.1432000000000002</v>
      </c>
      <c r="HL30" s="260">
        <v>807.23</v>
      </c>
      <c r="HM30" s="61">
        <f t="shared" si="51"/>
        <v>0</v>
      </c>
      <c r="HN30" s="292">
        <v>8521.2000000000007</v>
      </c>
      <c r="HO30" s="292">
        <v>36225</v>
      </c>
      <c r="HP30" s="61">
        <f t="shared" si="52"/>
        <v>41075.000000001455</v>
      </c>
      <c r="HQ30" s="292">
        <v>5812.9</v>
      </c>
      <c r="HR30" s="292">
        <v>2425.9</v>
      </c>
      <c r="HS30" s="61">
        <f t="shared" si="53"/>
        <v>22574.999999999636</v>
      </c>
      <c r="HT30" s="292">
        <v>5781.2</v>
      </c>
      <c r="HU30" s="292">
        <v>2063.5</v>
      </c>
      <c r="HV30" s="61">
        <f t="shared" si="54"/>
        <v>27374.999999999818</v>
      </c>
      <c r="HW30" s="292">
        <v>4355.3999999999996</v>
      </c>
      <c r="HX30" s="292">
        <v>1841.9</v>
      </c>
      <c r="HY30" s="61">
        <f t="shared" si="55"/>
        <v>23675</v>
      </c>
      <c r="HZ30" s="260">
        <v>3813900</v>
      </c>
      <c r="IA30" s="260">
        <v>16374</v>
      </c>
      <c r="IB30" s="61">
        <f t="shared" si="56"/>
        <v>29800</v>
      </c>
      <c r="IC30" s="292">
        <v>719.8</v>
      </c>
      <c r="ID30" s="292">
        <v>232.78</v>
      </c>
      <c r="IE30" s="61">
        <f t="shared" si="113"/>
        <v>0</v>
      </c>
      <c r="IF30" s="61"/>
      <c r="IG30" s="61"/>
      <c r="IH30" s="280">
        <f t="shared" si="57"/>
        <v>27500</v>
      </c>
      <c r="II30" s="281">
        <f>HJ30+HM30-HS30-HV30-HY30-IH30-HP30-IB30-IE30</f>
        <v>-9.3132257461547852E-10</v>
      </c>
      <c r="IJ30" s="345"/>
      <c r="IK30" s="345"/>
      <c r="IL30" s="345">
        <f t="shared" si="115"/>
        <v>0</v>
      </c>
      <c r="IM30" s="345"/>
      <c r="IN30" s="345"/>
      <c r="IO30" s="345">
        <f t="shared" si="116"/>
        <v>0</v>
      </c>
      <c r="IP30" s="345"/>
      <c r="IQ30" s="345"/>
      <c r="IR30" s="345">
        <f t="shared" si="117"/>
        <v>0</v>
      </c>
      <c r="IS30" s="345"/>
      <c r="IT30" s="345"/>
      <c r="IU30" s="345">
        <f t="shared" si="118"/>
        <v>0</v>
      </c>
      <c r="IV30" s="345"/>
      <c r="IW30" s="345"/>
      <c r="IX30" s="345">
        <f t="shared" si="119"/>
        <v>0</v>
      </c>
      <c r="IY30" s="345"/>
      <c r="IZ30" s="345"/>
      <c r="JA30" s="345">
        <f t="shared" si="120"/>
        <v>0</v>
      </c>
      <c r="JB30" s="345"/>
      <c r="JC30" s="345"/>
      <c r="JD30" s="345">
        <f t="shared" si="121"/>
        <v>0</v>
      </c>
      <c r="JE30" s="345"/>
      <c r="JF30" s="345"/>
      <c r="JG30" s="345">
        <f t="shared" si="122"/>
        <v>0</v>
      </c>
      <c r="JH30" s="345"/>
      <c r="JI30" s="345"/>
      <c r="JJ30" s="345">
        <f t="shared" si="123"/>
        <v>0</v>
      </c>
      <c r="JK30" s="345"/>
      <c r="JL30" s="345"/>
      <c r="JM30" s="345">
        <f t="shared" si="124"/>
        <v>0</v>
      </c>
      <c r="JN30" s="345"/>
      <c r="JO30" s="345"/>
      <c r="JP30" s="345">
        <f t="shared" si="125"/>
        <v>0</v>
      </c>
      <c r="JQ30" s="345"/>
      <c r="JR30" s="345"/>
      <c r="JS30" s="345">
        <f t="shared" si="126"/>
        <v>0</v>
      </c>
      <c r="JT30" s="345"/>
      <c r="JU30" s="345"/>
      <c r="JV30" s="345">
        <f t="shared" si="127"/>
        <v>0</v>
      </c>
      <c r="JW30" s="345"/>
      <c r="JX30" s="345"/>
      <c r="JY30" s="345">
        <f t="shared" si="128"/>
        <v>0</v>
      </c>
      <c r="JZ30" s="345"/>
      <c r="KA30" s="345"/>
      <c r="KB30" s="345">
        <f t="shared" si="129"/>
        <v>0</v>
      </c>
      <c r="KC30" s="345"/>
      <c r="KD30" s="345"/>
      <c r="KE30" s="345">
        <f t="shared" si="130"/>
        <v>0</v>
      </c>
      <c r="KG30" s="151">
        <f t="shared" si="75"/>
        <v>70875.000000000524</v>
      </c>
    </row>
    <row r="31" spans="1:293" x14ac:dyDescent="0.25">
      <c r="A31" s="35">
        <f t="shared" si="76"/>
        <v>25</v>
      </c>
      <c r="B31" s="250">
        <v>5956.4</v>
      </c>
      <c r="C31" s="38">
        <f t="shared" si="1"/>
        <v>9.2699999999995271</v>
      </c>
      <c r="D31" s="38">
        <f t="shared" si="2"/>
        <v>296639.99999998487</v>
      </c>
      <c r="E31" s="250">
        <v>1193.42</v>
      </c>
      <c r="F31" s="38">
        <f t="shared" si="3"/>
        <v>58560.000000004948</v>
      </c>
      <c r="G31" s="38">
        <f t="shared" si="4"/>
        <v>355199.99999998981</v>
      </c>
      <c r="H31" s="37"/>
      <c r="I31" s="39"/>
      <c r="J31" s="42"/>
      <c r="K31" s="37">
        <f t="shared" si="93"/>
        <v>0</v>
      </c>
      <c r="L31" s="250">
        <v>19478100</v>
      </c>
      <c r="M31" s="40"/>
      <c r="N31" s="37">
        <f t="shared" si="94"/>
        <v>352000</v>
      </c>
      <c r="O31" s="250">
        <v>13701</v>
      </c>
      <c r="P31" s="37"/>
      <c r="Q31" s="37">
        <f t="shared" si="133"/>
        <v>13000</v>
      </c>
      <c r="R31" s="37">
        <f t="shared" si="95"/>
        <v>1</v>
      </c>
      <c r="S31" s="391">
        <v>11280363.75</v>
      </c>
      <c r="T31" s="37">
        <f t="shared" si="6"/>
        <v>5.150000000372529</v>
      </c>
      <c r="U31" s="250">
        <v>1523792.57</v>
      </c>
      <c r="V31" s="37">
        <f t="shared" si="7"/>
        <v>0</v>
      </c>
      <c r="W31" s="250">
        <v>4907.2</v>
      </c>
      <c r="X31" s="37">
        <f t="shared" si="110"/>
        <v>7694.8499999996275</v>
      </c>
      <c r="Y31" s="183"/>
      <c r="Z31" s="183"/>
      <c r="AA31" s="391">
        <v>880100</v>
      </c>
      <c r="AB31" s="389">
        <f t="shared" si="8"/>
        <v>5300</v>
      </c>
      <c r="AC31" s="250">
        <v>5079.8</v>
      </c>
      <c r="AD31" s="37"/>
      <c r="AE31" s="37">
        <f t="shared" si="135"/>
        <v>3000</v>
      </c>
      <c r="AF31" s="37">
        <f t="shared" si="96"/>
        <v>1</v>
      </c>
      <c r="AG31" s="250">
        <v>11043.5</v>
      </c>
      <c r="AH31" s="37"/>
      <c r="AI31" s="37">
        <f t="shared" si="10"/>
        <v>8562.7300000007272</v>
      </c>
      <c r="AJ31" s="37">
        <f t="shared" si="11"/>
        <v>1</v>
      </c>
      <c r="AK31" s="37">
        <f t="shared" si="12"/>
        <v>19262.730000000727</v>
      </c>
      <c r="AL31" s="250">
        <v>12616</v>
      </c>
      <c r="AM31" s="2"/>
      <c r="AN31" s="37">
        <f t="shared" si="77"/>
        <v>6162.729999999181</v>
      </c>
      <c r="AO31" s="37">
        <f t="shared" si="97"/>
        <v>1</v>
      </c>
      <c r="AP31" s="250">
        <v>9990.2999999999993</v>
      </c>
      <c r="AQ31" s="37"/>
      <c r="AR31" s="37">
        <f t="shared" si="13"/>
        <v>5500</v>
      </c>
      <c r="AS31" s="37">
        <f t="shared" si="98"/>
        <v>1</v>
      </c>
      <c r="AT31" s="183"/>
      <c r="AU31" s="183"/>
      <c r="AV31" s="183"/>
      <c r="AW31" s="183"/>
      <c r="AX31" s="250">
        <v>545930</v>
      </c>
      <c r="AY31" s="37"/>
      <c r="AZ31" s="37">
        <f t="shared" si="14"/>
        <v>280</v>
      </c>
      <c r="BA31" s="250">
        <v>240820</v>
      </c>
      <c r="BB31" s="37"/>
      <c r="BC31" s="37">
        <f t="shared" si="15"/>
        <v>450</v>
      </c>
      <c r="BD31" s="37">
        <f t="shared" si="99"/>
        <v>12392.729999999181</v>
      </c>
      <c r="BE31" s="250">
        <v>2165.6</v>
      </c>
      <c r="BF31" s="250">
        <v>1222.3</v>
      </c>
      <c r="BG31" s="37">
        <f t="shared" si="16"/>
        <v>1599.9999999999091</v>
      </c>
      <c r="BH31" s="250">
        <v>10316</v>
      </c>
      <c r="BI31" s="250">
        <v>6671.4</v>
      </c>
      <c r="BJ31" s="37">
        <f t="shared" si="17"/>
        <v>9000</v>
      </c>
      <c r="BK31" s="250">
        <v>2200800</v>
      </c>
      <c r="BL31" s="40">
        <f t="shared" si="100"/>
        <v>3600</v>
      </c>
      <c r="BM31" s="250">
        <v>968.39</v>
      </c>
      <c r="BN31" s="37">
        <f t="shared" si="18"/>
        <v>0</v>
      </c>
      <c r="BO31" s="186"/>
      <c r="BP31" s="183">
        <f t="shared" si="19"/>
        <v>0</v>
      </c>
      <c r="BQ31" s="250">
        <v>920.2</v>
      </c>
      <c r="BR31" s="37">
        <f t="shared" si="78"/>
        <v>900.00000000009095</v>
      </c>
      <c r="BS31" s="250">
        <v>130319.41</v>
      </c>
      <c r="BT31" s="37">
        <f t="shared" si="20"/>
        <v>151.41999999999825</v>
      </c>
      <c r="BU31" s="250">
        <v>3873067</v>
      </c>
      <c r="BV31" s="42"/>
      <c r="BW31" s="37">
        <f t="shared" si="21"/>
        <v>3927</v>
      </c>
      <c r="BX31" s="37">
        <f t="shared" si="101"/>
        <v>1</v>
      </c>
      <c r="BY31" s="250">
        <v>448.84210000000002</v>
      </c>
      <c r="BZ31" s="37"/>
      <c r="CA31" s="37">
        <f t="shared" si="131"/>
        <v>676.89999999998918</v>
      </c>
      <c r="CB31" s="37">
        <f t="shared" si="79"/>
        <v>1</v>
      </c>
      <c r="CC31" s="391">
        <v>856310.4</v>
      </c>
      <c r="CD31" s="37">
        <f t="shared" si="23"/>
        <v>0</v>
      </c>
      <c r="CE31" s="250">
        <v>2006569</v>
      </c>
      <c r="CF31" s="37">
        <f t="shared" si="24"/>
        <v>3217</v>
      </c>
      <c r="CG31" s="250">
        <v>122991.9</v>
      </c>
      <c r="CH31" s="37">
        <f t="shared" si="80"/>
        <v>0</v>
      </c>
      <c r="CI31" s="250">
        <v>15233.42</v>
      </c>
      <c r="CJ31" s="40"/>
      <c r="CK31" s="37">
        <f t="shared" si="81"/>
        <v>15435.830000000011</v>
      </c>
      <c r="CL31" s="37">
        <f t="shared" si="25"/>
        <v>1</v>
      </c>
      <c r="CM31" s="250">
        <v>4587.7049999999999</v>
      </c>
      <c r="CN31" s="37"/>
      <c r="CO31" s="37">
        <f t="shared" si="26"/>
        <v>6170.7299999999923</v>
      </c>
      <c r="CP31" s="37">
        <f t="shared" si="102"/>
        <v>1</v>
      </c>
      <c r="CQ31" s="250">
        <v>1098896</v>
      </c>
      <c r="CR31" s="39"/>
      <c r="CS31" s="37">
        <f t="shared" si="82"/>
        <v>6747.73</v>
      </c>
      <c r="CT31" s="37">
        <f t="shared" si="83"/>
        <v>1</v>
      </c>
      <c r="CU31" s="250">
        <v>5147958</v>
      </c>
      <c r="CV31" s="37"/>
      <c r="CW31" s="38">
        <f t="shared" si="27"/>
        <v>18619</v>
      </c>
      <c r="CX31" s="37">
        <f t="shared" si="103"/>
        <v>1</v>
      </c>
      <c r="CY31" s="250">
        <v>2764249</v>
      </c>
      <c r="CZ31" s="37"/>
      <c r="DA31" s="37">
        <f t="shared" si="137"/>
        <v>9390</v>
      </c>
      <c r="DB31" s="37">
        <f t="shared" si="104"/>
        <v>1</v>
      </c>
      <c r="DC31" s="37"/>
      <c r="DD31" s="40"/>
      <c r="DE31" s="37">
        <f t="shared" si="29"/>
        <v>0</v>
      </c>
      <c r="DF31" s="37">
        <f t="shared" si="111"/>
        <v>0</v>
      </c>
      <c r="DG31" s="37">
        <f t="shared" si="30"/>
        <v>-60290.29</v>
      </c>
      <c r="DH31" s="37">
        <f t="shared" si="31"/>
        <v>372862.73000000062</v>
      </c>
      <c r="DI31" s="46"/>
      <c r="DJ31" s="46"/>
      <c r="DK31" s="47"/>
      <c r="DL31" s="47"/>
      <c r="DM31" s="37"/>
      <c r="DN31" s="37"/>
      <c r="DO31" s="37"/>
      <c r="DP31" s="37"/>
      <c r="DQ31" s="250">
        <v>110540</v>
      </c>
      <c r="DR31" s="49">
        <f t="shared" si="84"/>
        <v>9320</v>
      </c>
      <c r="DS31" s="250">
        <v>7156700</v>
      </c>
      <c r="DT31" s="49">
        <f t="shared" si="85"/>
        <v>20600</v>
      </c>
      <c r="DU31" s="250">
        <v>8551.2999999999993</v>
      </c>
      <c r="DV31" s="250">
        <v>4794.3999999999996</v>
      </c>
      <c r="DW31" s="37">
        <f>IF((DU31-DU30)*1000&lt;=0,0,(DU31-DU30)*1000)</f>
        <v>299.9999999992724</v>
      </c>
      <c r="DX31" s="250">
        <v>14162</v>
      </c>
      <c r="DY31" s="250">
        <v>8826</v>
      </c>
      <c r="DZ31" s="37">
        <f t="shared" si="32"/>
        <v>1862.73</v>
      </c>
      <c r="EA31" s="250">
        <v>33017</v>
      </c>
      <c r="EB31" s="250">
        <v>22.45</v>
      </c>
      <c r="EC31" s="37">
        <f t="shared" si="33"/>
        <v>5022.7299999999996</v>
      </c>
      <c r="ED31" s="53">
        <f t="shared" si="34"/>
        <v>7185.4599999992715</v>
      </c>
      <c r="EE31" s="250">
        <v>49557</v>
      </c>
      <c r="EF31" s="250">
        <v>32.770000000000003</v>
      </c>
      <c r="EG31" s="37">
        <f t="shared" si="35"/>
        <v>29022.73</v>
      </c>
      <c r="EH31" s="250">
        <v>14762</v>
      </c>
      <c r="EI31" s="250">
        <v>2.2259000000000002</v>
      </c>
      <c r="EJ31" s="37">
        <f t="shared" si="36"/>
        <v>11862.73</v>
      </c>
      <c r="EK31" s="250">
        <v>899.16</v>
      </c>
      <c r="EL31" s="250">
        <v>1256.0999999999999</v>
      </c>
      <c r="EM31" s="37">
        <f t="shared" si="86"/>
        <v>579.99999999992724</v>
      </c>
      <c r="EN31" s="54">
        <f t="shared" si="87"/>
        <v>41465.459999999926</v>
      </c>
      <c r="EO31" s="250">
        <v>14182</v>
      </c>
      <c r="EP31" s="48"/>
      <c r="EQ31" s="37">
        <f t="shared" si="112"/>
        <v>7462.729999999965</v>
      </c>
      <c r="ER31" s="250">
        <v>11823</v>
      </c>
      <c r="ES31" s="48"/>
      <c r="ET31" s="49">
        <f t="shared" si="114"/>
        <v>15000</v>
      </c>
      <c r="EU31" s="250">
        <v>5060</v>
      </c>
      <c r="EV31" s="48"/>
      <c r="EW31" s="49">
        <f t="shared" si="38"/>
        <v>11162.730000000181</v>
      </c>
      <c r="EX31" s="250">
        <v>15259</v>
      </c>
      <c r="EY31" s="48"/>
      <c r="EZ31" s="37">
        <f t="shared" si="39"/>
        <v>10862.73</v>
      </c>
      <c r="FA31" s="48">
        <f t="shared" si="88"/>
        <v>-22084.190000000148</v>
      </c>
      <c r="FB31" s="250">
        <v>40014353</v>
      </c>
      <c r="FC31" s="49">
        <f t="shared" si="106"/>
        <v>22404</v>
      </c>
      <c r="FD31" s="48">
        <f t="shared" si="89"/>
        <v>46208.190000000148</v>
      </c>
      <c r="FE31" s="250">
        <v>18336</v>
      </c>
      <c r="FF31" s="48"/>
      <c r="FG31" s="37">
        <f t="shared" si="40"/>
        <v>12262.730000000034</v>
      </c>
      <c r="FH31" s="250">
        <v>11193</v>
      </c>
      <c r="FI31" s="48"/>
      <c r="FJ31" s="49">
        <f t="shared" si="41"/>
        <v>18862.73</v>
      </c>
      <c r="FK31" s="48"/>
      <c r="FL31" s="58"/>
      <c r="FM31" s="48">
        <f>FT31/3</f>
        <v>-862.72999999952538</v>
      </c>
      <c r="FN31" s="250">
        <v>18336</v>
      </c>
      <c r="FO31" s="48"/>
      <c r="FP31" s="37">
        <f t="shared" si="90"/>
        <v>12862.73</v>
      </c>
      <c r="FQ31" s="250">
        <v>64346.400000000001</v>
      </c>
      <c r="FR31" s="48"/>
      <c r="FS31" s="37">
        <f t="shared" si="42"/>
        <v>41400.000000001455</v>
      </c>
      <c r="FT31" s="48">
        <f t="shared" si="108"/>
        <v>-2588.1899999985762</v>
      </c>
      <c r="FU31" s="48">
        <f>FG31+FJ31+FP31+GM31</f>
        <v>45988.190000000031</v>
      </c>
      <c r="FV31" s="250">
        <v>7930000</v>
      </c>
      <c r="FW31" s="44"/>
      <c r="FX31" s="37">
        <f t="shared" si="43"/>
        <v>16700</v>
      </c>
      <c r="FY31" s="250">
        <v>393010</v>
      </c>
      <c r="FZ31" s="56"/>
      <c r="GA31" s="37">
        <f t="shared" si="44"/>
        <v>3590</v>
      </c>
      <c r="GB31" s="250">
        <v>929.67</v>
      </c>
      <c r="GC31" s="56"/>
      <c r="GD31" s="37">
        <f t="shared" si="45"/>
        <v>579.99999999992724</v>
      </c>
      <c r="GE31" s="250">
        <v>11388</v>
      </c>
      <c r="GF31" s="56"/>
      <c r="GG31" s="37">
        <f t="shared" si="46"/>
        <v>5280</v>
      </c>
      <c r="GH31" s="250">
        <v>159710</v>
      </c>
      <c r="GI31" s="159"/>
      <c r="GJ31" s="38">
        <f t="shared" si="91"/>
        <v>1720</v>
      </c>
      <c r="GK31" s="250">
        <v>1551.9</v>
      </c>
      <c r="GL31" s="160"/>
      <c r="GM31" s="38">
        <f t="shared" si="47"/>
        <v>2000</v>
      </c>
      <c r="GN31" s="250">
        <v>244290</v>
      </c>
      <c r="GO31" s="57"/>
      <c r="GP31" s="38">
        <f t="shared" si="48"/>
        <v>10</v>
      </c>
      <c r="GQ31" s="250">
        <v>308290</v>
      </c>
      <c r="GR31" s="38"/>
      <c r="GS31" s="38">
        <f t="shared" si="92"/>
        <v>140</v>
      </c>
      <c r="GT31" s="247"/>
      <c r="GU31" s="144">
        <f>DailyOct!B30-DailyOct!N30-DailyOct!V30-DailyOct!Y30-DailyOct!Z30-DailyOct!AA30-DailyOct!AB30-DailyOct!AC30-DailyOct!AD30-DailyOct!AE30-DailyOct!AK30-DailyOct!AO30-DailyOct!AS30-DailyOct!AY30-DailyOct!BD30+DailyOct!BU30-DailyOct!BG30-DailyOct!BT30-DailyOct!AF30-DailyOct!AG30</f>
        <v>4.9999990529613569E-2</v>
      </c>
      <c r="GV31" s="261">
        <v>12941</v>
      </c>
      <c r="GW31" s="60">
        <f t="shared" si="0"/>
        <v>862.73333333333335</v>
      </c>
      <c r="GX31" s="260">
        <v>862.73</v>
      </c>
      <c r="GY31" s="140"/>
      <c r="GZ31" s="528"/>
      <c r="HA31" s="528"/>
      <c r="HB31" s="528"/>
      <c r="HC31" s="528"/>
      <c r="HD31" s="74"/>
      <c r="HE31" s="24">
        <f t="shared" si="49"/>
        <v>0</v>
      </c>
      <c r="HF31" s="249"/>
      <c r="HG31" s="279">
        <v>25</v>
      </c>
      <c r="HH31" s="292">
        <v>34059</v>
      </c>
      <c r="HI31" s="292">
        <v>12921</v>
      </c>
      <c r="HJ31" s="61">
        <f t="shared" si="50"/>
        <v>160000</v>
      </c>
      <c r="HK31" s="260">
        <v>2.1432000000000002</v>
      </c>
      <c r="HL31" s="260">
        <v>807.23</v>
      </c>
      <c r="HM31" s="61">
        <f t="shared" si="51"/>
        <v>0</v>
      </c>
      <c r="HN31" s="292">
        <v>8558.2000000000007</v>
      </c>
      <c r="HO31" s="292">
        <v>36382</v>
      </c>
      <c r="HP31" s="61">
        <f t="shared" si="52"/>
        <v>36850</v>
      </c>
      <c r="HQ31" s="292">
        <v>5838.6</v>
      </c>
      <c r="HR31" s="292">
        <v>2435.9</v>
      </c>
      <c r="HS31" s="61">
        <f t="shared" si="53"/>
        <v>25550.000000000728</v>
      </c>
      <c r="HT31" s="292">
        <v>5806.5</v>
      </c>
      <c r="HU31" s="292">
        <v>2071.9</v>
      </c>
      <c r="HV31" s="61">
        <f t="shared" si="54"/>
        <v>25150.000000000182</v>
      </c>
      <c r="HW31" s="292">
        <v>4378.8</v>
      </c>
      <c r="HX31" s="292">
        <v>1851.1</v>
      </c>
      <c r="HY31" s="61">
        <f t="shared" si="55"/>
        <v>23250.000000000546</v>
      </c>
      <c r="HZ31" s="260">
        <v>3842500</v>
      </c>
      <c r="IA31" s="260">
        <v>16493</v>
      </c>
      <c r="IB31" s="61">
        <f t="shared" si="56"/>
        <v>28600</v>
      </c>
      <c r="IC31" s="292">
        <v>719.8</v>
      </c>
      <c r="ID31" s="292">
        <v>232.78</v>
      </c>
      <c r="IE31" s="61">
        <f t="shared" si="113"/>
        <v>0</v>
      </c>
      <c r="IF31" s="61"/>
      <c r="IG31" s="61"/>
      <c r="IH31" s="280">
        <f t="shared" si="57"/>
        <v>20600</v>
      </c>
      <c r="II31" s="281">
        <f t="shared" ref="II31:II36" si="138">HJ31+HM31-HS31-HV31-HY31-IH31-HP31-IB31</f>
        <v>-1.4551915228366852E-9</v>
      </c>
      <c r="IJ31" s="345"/>
      <c r="IK31" s="345"/>
      <c r="IL31" s="345">
        <f t="shared" si="115"/>
        <v>0</v>
      </c>
      <c r="IM31" s="345"/>
      <c r="IN31" s="345"/>
      <c r="IO31" s="345">
        <f t="shared" si="116"/>
        <v>0</v>
      </c>
      <c r="IP31" s="345"/>
      <c r="IQ31" s="345"/>
      <c r="IR31" s="345">
        <f t="shared" si="117"/>
        <v>0</v>
      </c>
      <c r="IS31" s="345"/>
      <c r="IT31" s="345"/>
      <c r="IU31" s="345">
        <f t="shared" si="118"/>
        <v>0</v>
      </c>
      <c r="IV31" s="345"/>
      <c r="IW31" s="345"/>
      <c r="IX31" s="345">
        <f t="shared" si="119"/>
        <v>0</v>
      </c>
      <c r="IY31" s="345"/>
      <c r="IZ31" s="345"/>
      <c r="JA31" s="345">
        <f t="shared" si="120"/>
        <v>0</v>
      </c>
      <c r="JB31" s="345"/>
      <c r="JC31" s="345"/>
      <c r="JD31" s="345">
        <f t="shared" si="121"/>
        <v>0</v>
      </c>
      <c r="JE31" s="345"/>
      <c r="JF31" s="345"/>
      <c r="JG31" s="345">
        <f t="shared" si="122"/>
        <v>0</v>
      </c>
      <c r="JH31" s="345"/>
      <c r="JI31" s="345"/>
      <c r="JJ31" s="345">
        <f t="shared" si="123"/>
        <v>0</v>
      </c>
      <c r="JK31" s="345"/>
      <c r="JL31" s="345"/>
      <c r="JM31" s="345">
        <f t="shared" si="124"/>
        <v>0</v>
      </c>
      <c r="JN31" s="345"/>
      <c r="JO31" s="345"/>
      <c r="JP31" s="345">
        <f t="shared" si="125"/>
        <v>0</v>
      </c>
      <c r="JQ31" s="345"/>
      <c r="JR31" s="345"/>
      <c r="JS31" s="345">
        <f t="shared" si="126"/>
        <v>0</v>
      </c>
      <c r="JT31" s="345"/>
      <c r="JU31" s="345"/>
      <c r="JV31" s="345">
        <f t="shared" si="127"/>
        <v>0</v>
      </c>
      <c r="JW31" s="345"/>
      <c r="JX31" s="345"/>
      <c r="JY31" s="345">
        <f t="shared" si="128"/>
        <v>0</v>
      </c>
      <c r="JZ31" s="345"/>
      <c r="KA31" s="345"/>
      <c r="KB31" s="345">
        <f t="shared" si="129"/>
        <v>0</v>
      </c>
      <c r="KC31" s="345"/>
      <c r="KD31" s="345"/>
      <c r="KE31" s="345">
        <f t="shared" si="130"/>
        <v>0</v>
      </c>
      <c r="KG31" s="151">
        <f t="shared" si="75"/>
        <v>65449.999999998545</v>
      </c>
    </row>
    <row r="32" spans="1:293" x14ac:dyDescent="0.25">
      <c r="A32" s="35">
        <f t="shared" si="76"/>
        <v>26</v>
      </c>
      <c r="B32" s="250">
        <v>5966.5</v>
      </c>
      <c r="C32" s="38">
        <f t="shared" si="1"/>
        <v>10.100000000000364</v>
      </c>
      <c r="D32" s="38">
        <f t="shared" si="2"/>
        <v>323200.00000001164</v>
      </c>
      <c r="E32" s="250">
        <v>1195.27</v>
      </c>
      <c r="F32" s="38">
        <f t="shared" si="3"/>
        <v>59199.99999999709</v>
      </c>
      <c r="G32" s="38">
        <f t="shared" si="4"/>
        <v>382400.00000000873</v>
      </c>
      <c r="H32" s="37"/>
      <c r="I32" s="39"/>
      <c r="J32" s="42"/>
      <c r="K32" s="37">
        <f t="shared" si="93"/>
        <v>0</v>
      </c>
      <c r="L32" s="250">
        <v>19515600</v>
      </c>
      <c r="M32" s="40"/>
      <c r="N32" s="37">
        <f t="shared" si="94"/>
        <v>375000</v>
      </c>
      <c r="O32" s="250">
        <v>13716</v>
      </c>
      <c r="P32" s="37"/>
      <c r="Q32" s="37">
        <f t="shared" si="133"/>
        <v>15000</v>
      </c>
      <c r="R32" s="37">
        <f t="shared" si="95"/>
        <v>1</v>
      </c>
      <c r="S32" s="250">
        <v>11280363.75</v>
      </c>
      <c r="T32" s="37">
        <f t="shared" si="6"/>
        <v>0</v>
      </c>
      <c r="U32" s="250">
        <v>1523792.57</v>
      </c>
      <c r="V32" s="37">
        <f>IF((U32-U31)&lt;=0,0,(U32-U31))</f>
        <v>0</v>
      </c>
      <c r="W32" s="250">
        <v>4913.8</v>
      </c>
      <c r="X32" s="37">
        <f t="shared" si="110"/>
        <v>8300</v>
      </c>
      <c r="Y32" s="183"/>
      <c r="Z32" s="183"/>
      <c r="AA32" s="250">
        <v>886800</v>
      </c>
      <c r="AB32" s="37">
        <f t="shared" si="8"/>
        <v>6700</v>
      </c>
      <c r="AC32" s="250">
        <v>5084.7</v>
      </c>
      <c r="AD32" s="37"/>
      <c r="AE32" s="37">
        <f t="shared" si="135"/>
        <v>4899.9999999996362</v>
      </c>
      <c r="AF32" s="37">
        <f t="shared" si="96"/>
        <v>1</v>
      </c>
      <c r="AG32" s="250">
        <v>11056.3</v>
      </c>
      <c r="AH32" s="37"/>
      <c r="AI32" s="37">
        <f t="shared" si="10"/>
        <v>13045.319999999272</v>
      </c>
      <c r="AJ32" s="37">
        <f t="shared" si="11"/>
        <v>1</v>
      </c>
      <c r="AK32" s="37">
        <f t="shared" si="12"/>
        <v>26245.319999998908</v>
      </c>
      <c r="AL32" s="250">
        <v>12625.9</v>
      </c>
      <c r="AM32" s="42"/>
      <c r="AN32" s="37">
        <f t="shared" si="77"/>
        <v>5945.3199999996359</v>
      </c>
      <c r="AO32" s="37">
        <f t="shared" si="97"/>
        <v>1</v>
      </c>
      <c r="AP32" s="250">
        <v>9997.7999999999993</v>
      </c>
      <c r="AQ32" s="37"/>
      <c r="AR32" s="37">
        <f t="shared" si="13"/>
        <v>7500</v>
      </c>
      <c r="AS32" s="37">
        <f t="shared" si="98"/>
        <v>1</v>
      </c>
      <c r="AT32" s="183"/>
      <c r="AU32" s="183"/>
      <c r="AV32" s="183"/>
      <c r="AW32" s="183"/>
      <c r="AX32" s="250">
        <v>546240</v>
      </c>
      <c r="AY32" s="37"/>
      <c r="AZ32" s="37">
        <f t="shared" si="14"/>
        <v>310</v>
      </c>
      <c r="BA32" s="250">
        <v>241390</v>
      </c>
      <c r="BB32" s="37"/>
      <c r="BC32" s="37">
        <f t="shared" si="15"/>
        <v>570</v>
      </c>
      <c r="BD32" s="37">
        <f t="shared" si="99"/>
        <v>14325.319999999636</v>
      </c>
      <c r="BE32" s="250">
        <v>2167.1</v>
      </c>
      <c r="BF32" s="250">
        <v>1223.3</v>
      </c>
      <c r="BG32" s="37">
        <f t="shared" si="16"/>
        <v>1500</v>
      </c>
      <c r="BH32" s="250">
        <v>10326</v>
      </c>
      <c r="BI32" s="250">
        <v>6677.1</v>
      </c>
      <c r="BJ32" s="37">
        <f t="shared" si="17"/>
        <v>10000</v>
      </c>
      <c r="BK32" s="250">
        <v>2204500</v>
      </c>
      <c r="BL32" s="40">
        <f t="shared" si="100"/>
        <v>3700</v>
      </c>
      <c r="BM32" s="250">
        <v>968.39</v>
      </c>
      <c r="BN32" s="37">
        <f t="shared" si="18"/>
        <v>0</v>
      </c>
      <c r="BO32" s="186"/>
      <c r="BP32" s="183">
        <f t="shared" si="19"/>
        <v>0</v>
      </c>
      <c r="BQ32" s="250">
        <v>920.7</v>
      </c>
      <c r="BR32" s="37">
        <f t="shared" si="78"/>
        <v>500</v>
      </c>
      <c r="BS32" s="250">
        <v>130492.77</v>
      </c>
      <c r="BT32" s="37">
        <f t="shared" si="20"/>
        <v>173.36000000000058</v>
      </c>
      <c r="BU32" s="250">
        <v>3877889</v>
      </c>
      <c r="BV32" s="42"/>
      <c r="BW32" s="37">
        <f t="shared" si="21"/>
        <v>4822</v>
      </c>
      <c r="BX32" s="37">
        <f t="shared" si="101"/>
        <v>1</v>
      </c>
      <c r="BY32" s="250">
        <v>449.44</v>
      </c>
      <c r="BZ32" s="43"/>
      <c r="CA32" s="37">
        <f t="shared" si="131"/>
        <v>597.89999999998145</v>
      </c>
      <c r="CB32" s="37">
        <f t="shared" si="79"/>
        <v>1</v>
      </c>
      <c r="CC32" s="250">
        <v>856987.6</v>
      </c>
      <c r="CD32" s="37">
        <f t="shared" si="23"/>
        <v>677.19999999995343</v>
      </c>
      <c r="CE32" s="250">
        <v>2009988</v>
      </c>
      <c r="CF32" s="37">
        <f t="shared" si="24"/>
        <v>3419</v>
      </c>
      <c r="CG32" s="250">
        <v>122991.9</v>
      </c>
      <c r="CH32" s="37">
        <f t="shared" si="80"/>
        <v>0</v>
      </c>
      <c r="CI32" s="250">
        <v>15248.5</v>
      </c>
      <c r="CJ32" s="40"/>
      <c r="CK32" s="37">
        <f t="shared" si="81"/>
        <v>14727.419999999946</v>
      </c>
      <c r="CL32" s="37">
        <f t="shared" si="25"/>
        <v>1</v>
      </c>
      <c r="CM32" s="250">
        <v>4592.7179999999998</v>
      </c>
      <c r="CN32" s="37"/>
      <c r="CO32" s="37">
        <f t="shared" si="26"/>
        <v>5258.3199999999197</v>
      </c>
      <c r="CP32" s="37">
        <f t="shared" si="102"/>
        <v>1</v>
      </c>
      <c r="CQ32" s="250">
        <v>1104967</v>
      </c>
      <c r="CR32" s="39"/>
      <c r="CS32" s="37">
        <f t="shared" si="82"/>
        <v>6316.32</v>
      </c>
      <c r="CT32" s="37">
        <f t="shared" si="83"/>
        <v>1</v>
      </c>
      <c r="CU32" s="250">
        <v>5167606</v>
      </c>
      <c r="CV32" s="37"/>
      <c r="CW32" s="38">
        <f t="shared" si="27"/>
        <v>19648</v>
      </c>
      <c r="CX32" s="37">
        <f>IF(CW32&lt;=0,0,(CW32/SQRT(CW32^2+(CV32-CV31)^2)))</f>
        <v>1</v>
      </c>
      <c r="CY32" s="250">
        <v>2774071</v>
      </c>
      <c r="CZ32" s="37"/>
      <c r="DA32" s="37">
        <f t="shared" si="137"/>
        <v>9822</v>
      </c>
      <c r="DB32" s="37">
        <f t="shared" si="104"/>
        <v>1</v>
      </c>
      <c r="DC32" s="37"/>
      <c r="DD32" s="40"/>
      <c r="DE32" s="37">
        <f t="shared" si="29"/>
        <v>0</v>
      </c>
      <c r="DF32" s="37">
        <f t="shared" si="111"/>
        <v>0</v>
      </c>
      <c r="DG32" s="37">
        <f t="shared" si="30"/>
        <v>-60594.059999999867</v>
      </c>
      <c r="DH32" s="37">
        <f t="shared" si="31"/>
        <v>402745.3199999989</v>
      </c>
      <c r="DI32" s="46"/>
      <c r="DJ32" s="46"/>
      <c r="DK32" s="47"/>
      <c r="DL32" s="47"/>
      <c r="DM32" s="37"/>
      <c r="DN32" s="37"/>
      <c r="DO32" s="37"/>
      <c r="DP32" s="37"/>
      <c r="DQ32" s="250">
        <v>120110</v>
      </c>
      <c r="DR32" s="49">
        <f t="shared" si="84"/>
        <v>9570</v>
      </c>
      <c r="DS32" s="250">
        <v>7181900</v>
      </c>
      <c r="DT32" s="49">
        <f t="shared" si="85"/>
        <v>25200</v>
      </c>
      <c r="DU32" s="250">
        <v>8551.6</v>
      </c>
      <c r="DV32" s="250">
        <v>4794.5</v>
      </c>
      <c r="DW32" s="37">
        <f t="shared" si="105"/>
        <v>300.00000000109139</v>
      </c>
      <c r="DX32" s="250">
        <v>14163</v>
      </c>
      <c r="DY32" s="250">
        <v>8826.4</v>
      </c>
      <c r="DZ32" s="37">
        <f t="shared" si="32"/>
        <v>1245.32</v>
      </c>
      <c r="EA32" s="250">
        <v>33019</v>
      </c>
      <c r="EB32" s="250">
        <v>22.451000000000001</v>
      </c>
      <c r="EC32" s="37">
        <f t="shared" si="33"/>
        <v>4405.32</v>
      </c>
      <c r="ED32" s="53">
        <f t="shared" si="34"/>
        <v>5950.6400000010908</v>
      </c>
      <c r="EE32" s="250">
        <v>49582</v>
      </c>
      <c r="EF32" s="250">
        <v>32.789000000000001</v>
      </c>
      <c r="EG32" s="37">
        <f t="shared" si="35"/>
        <v>27405.32</v>
      </c>
      <c r="EH32" s="250">
        <v>14772</v>
      </c>
      <c r="EI32" s="250">
        <v>2.2284999999999999</v>
      </c>
      <c r="EJ32" s="37">
        <f t="shared" si="36"/>
        <v>10245.32</v>
      </c>
      <c r="EK32" s="250">
        <v>899.67</v>
      </c>
      <c r="EL32" s="250">
        <v>1286.8</v>
      </c>
      <c r="EM32" s="37">
        <f t="shared" si="86"/>
        <v>509.99999999999091</v>
      </c>
      <c r="EN32" s="54">
        <f t="shared" si="87"/>
        <v>38160.639999999992</v>
      </c>
      <c r="EO32" s="250">
        <v>14191</v>
      </c>
      <c r="EP32" s="48"/>
      <c r="EQ32" s="37">
        <f>IF((EO32-EO31)*1000&lt;=0,0,(EO32-EO31)*1000)+GX32-FU69+FV69</f>
        <v>7795.3200000000106</v>
      </c>
      <c r="ER32" s="250">
        <v>11842</v>
      </c>
      <c r="ES32" s="48"/>
      <c r="ET32" s="49">
        <f t="shared" si="114"/>
        <v>19000</v>
      </c>
      <c r="EU32" s="250">
        <v>5070</v>
      </c>
      <c r="EV32" s="48"/>
      <c r="EW32" s="49">
        <f>IF((EU32-EU31)&lt;=0,0,(EU32-EU31))*1000+GX32</f>
        <v>10245.32</v>
      </c>
      <c r="EX32" s="250">
        <v>15269</v>
      </c>
      <c r="EY32" s="48"/>
      <c r="EZ32" s="37">
        <f t="shared" si="39"/>
        <v>10245.32</v>
      </c>
      <c r="FA32" s="48">
        <f>FC32-EQ32-ET32-EW32-EZ32</f>
        <v>-22315.96000000001</v>
      </c>
      <c r="FB32" s="250">
        <v>40039323</v>
      </c>
      <c r="FC32" s="49">
        <f t="shared" si="106"/>
        <v>24970</v>
      </c>
      <c r="FD32" s="48">
        <f t="shared" si="89"/>
        <v>49375.960000000014</v>
      </c>
      <c r="FE32" s="250">
        <v>18346</v>
      </c>
      <c r="FF32" s="48"/>
      <c r="FG32" s="37">
        <f>IF((FE32-FE31)*1000&lt;=0,0,(FE32-FE31)*1000)+FL32+GX32+FW69</f>
        <v>11695.319999999989</v>
      </c>
      <c r="FH32" s="250">
        <v>11211</v>
      </c>
      <c r="FI32" s="48"/>
      <c r="FJ32" s="49">
        <f t="shared" si="41"/>
        <v>18245.32</v>
      </c>
      <c r="FK32" s="48"/>
      <c r="FL32" s="58"/>
      <c r="FM32" s="48">
        <f>FT32/3</f>
        <v>-395.31999999999607</v>
      </c>
      <c r="FN32" s="250">
        <v>18347</v>
      </c>
      <c r="FO32" s="48"/>
      <c r="FP32" s="37">
        <f t="shared" si="90"/>
        <v>11245.32</v>
      </c>
      <c r="FQ32" s="250">
        <v>64386.400000000001</v>
      </c>
      <c r="FR32" s="48"/>
      <c r="FS32" s="37">
        <f t="shared" si="42"/>
        <v>40000</v>
      </c>
      <c r="FT32" s="48">
        <f t="shared" si="108"/>
        <v>-1185.9599999999882</v>
      </c>
      <c r="FU32" s="48">
        <f t="shared" si="109"/>
        <v>43185.959999999992</v>
      </c>
      <c r="FV32" s="250">
        <v>7946300</v>
      </c>
      <c r="FW32" s="44"/>
      <c r="FX32" s="37">
        <f t="shared" si="43"/>
        <v>16300</v>
      </c>
      <c r="FY32" s="250">
        <v>396400</v>
      </c>
      <c r="FZ32" s="56"/>
      <c r="GA32" s="37">
        <f t="shared" si="44"/>
        <v>3390</v>
      </c>
      <c r="GB32" s="250">
        <v>930.28</v>
      </c>
      <c r="GC32" s="56"/>
      <c r="GD32" s="37">
        <f t="shared" si="45"/>
        <v>610.00000000001364</v>
      </c>
      <c r="GE32" s="250">
        <v>11396</v>
      </c>
      <c r="GF32" s="56"/>
      <c r="GG32" s="37">
        <f>IF((GE32-GE31)*1000&lt;=0,0,(GE32-GE31)*1000)-GJ32-GM32</f>
        <v>3910</v>
      </c>
      <c r="GH32" s="250">
        <v>161800</v>
      </c>
      <c r="GI32" s="159"/>
      <c r="GJ32" s="38">
        <f t="shared" si="91"/>
        <v>2090</v>
      </c>
      <c r="GK32" s="250">
        <v>1553.9</v>
      </c>
      <c r="GL32" s="160"/>
      <c r="GM32" s="38">
        <f t="shared" si="47"/>
        <v>2000</v>
      </c>
      <c r="GN32" s="250">
        <v>244290</v>
      </c>
      <c r="GO32" s="57"/>
      <c r="GP32" s="38">
        <f t="shared" si="48"/>
        <v>0</v>
      </c>
      <c r="GQ32" s="250">
        <v>308410</v>
      </c>
      <c r="GR32" s="38"/>
      <c r="GS32" s="38">
        <f t="shared" si="92"/>
        <v>120</v>
      </c>
      <c r="GT32" s="247"/>
      <c r="GU32" s="144">
        <f>DailyOct!B31-DailyOct!N31-DailyOct!V31-DailyOct!Y31-DailyOct!Z31-DailyOct!AA31-DailyOct!AB31-DailyOct!AC31-DailyOct!AD31-DailyOct!AE31-DailyOct!AK31-DailyOct!AO31-DailyOct!AS31-DailyOct!AY31-DailyOct!BD31+DailyOct!BU31-DailyOct!BG31-DailyOct!BT31-DailyOct!AF31-DailyOct!AG31</f>
        <v>9.2841219156980515E-9</v>
      </c>
      <c r="GV32" s="261">
        <v>3679.8</v>
      </c>
      <c r="GW32" s="60">
        <f t="shared" si="0"/>
        <v>245.32000000000002</v>
      </c>
      <c r="GX32" s="260">
        <v>245.32</v>
      </c>
      <c r="GY32" s="140"/>
      <c r="GZ32" s="528"/>
      <c r="HA32" s="528"/>
      <c r="HB32" s="528"/>
      <c r="HC32" s="528"/>
      <c r="HD32" s="74"/>
      <c r="HE32" s="24">
        <f t="shared" si="49"/>
        <v>0</v>
      </c>
      <c r="HG32" s="279">
        <v>26</v>
      </c>
      <c r="HH32" s="292">
        <v>34237</v>
      </c>
      <c r="HI32" s="292">
        <v>12988</v>
      </c>
      <c r="HJ32" s="61">
        <f t="shared" si="50"/>
        <v>178000</v>
      </c>
      <c r="HK32" s="260">
        <v>2.1432000000000002</v>
      </c>
      <c r="HL32" s="260">
        <v>807.23</v>
      </c>
      <c r="HM32" s="61">
        <f t="shared" si="51"/>
        <v>0</v>
      </c>
      <c r="HN32" s="292">
        <v>8600.7000000000007</v>
      </c>
      <c r="HO32" s="292">
        <v>36561</v>
      </c>
      <c r="HP32" s="61">
        <f t="shared" si="52"/>
        <v>42575</v>
      </c>
      <c r="HQ32" s="292">
        <v>5866.5</v>
      </c>
      <c r="HR32" s="292">
        <v>2446.8000000000002</v>
      </c>
      <c r="HS32" s="61">
        <f t="shared" si="53"/>
        <v>27974.999999999636</v>
      </c>
      <c r="HT32" s="292">
        <v>5834.1</v>
      </c>
      <c r="HU32" s="292">
        <v>2080.9</v>
      </c>
      <c r="HV32" s="61">
        <f t="shared" si="54"/>
        <v>27675.000000000364</v>
      </c>
      <c r="HW32" s="292">
        <v>4404.3999999999996</v>
      </c>
      <c r="HX32" s="292">
        <v>1861.1</v>
      </c>
      <c r="HY32" s="61">
        <f t="shared" si="55"/>
        <v>25674.999999999454</v>
      </c>
      <c r="HZ32" s="260">
        <v>3871400</v>
      </c>
      <c r="IA32" s="260">
        <v>16615</v>
      </c>
      <c r="IB32" s="61">
        <f t="shared" si="56"/>
        <v>28900</v>
      </c>
      <c r="IC32" s="292">
        <v>719.8</v>
      </c>
      <c r="ID32" s="292">
        <v>232.78</v>
      </c>
      <c r="IE32" s="61">
        <f t="shared" si="113"/>
        <v>0</v>
      </c>
      <c r="IF32" s="61"/>
      <c r="IG32" s="61"/>
      <c r="IH32" s="280">
        <f t="shared" si="57"/>
        <v>25200</v>
      </c>
      <c r="II32" s="281">
        <f t="shared" si="138"/>
        <v>5.2386894822120667E-10</v>
      </c>
      <c r="IJ32" s="345"/>
      <c r="IK32" s="345"/>
      <c r="IL32" s="345">
        <f t="shared" si="115"/>
        <v>0</v>
      </c>
      <c r="IM32" s="345"/>
      <c r="IN32" s="345"/>
      <c r="IO32" s="345">
        <f t="shared" si="116"/>
        <v>0</v>
      </c>
      <c r="IP32" s="345"/>
      <c r="IQ32" s="345"/>
      <c r="IR32" s="345">
        <f t="shared" si="117"/>
        <v>0</v>
      </c>
      <c r="IS32" s="345"/>
      <c r="IT32" s="345"/>
      <c r="IU32" s="345">
        <f t="shared" si="118"/>
        <v>0</v>
      </c>
      <c r="IV32" s="345"/>
      <c r="IW32" s="345"/>
      <c r="IX32" s="345">
        <f t="shared" si="119"/>
        <v>0</v>
      </c>
      <c r="IY32" s="345"/>
      <c r="IZ32" s="345"/>
      <c r="JA32" s="345">
        <f t="shared" si="120"/>
        <v>0</v>
      </c>
      <c r="JB32" s="345"/>
      <c r="JC32" s="345"/>
      <c r="JD32" s="345">
        <f t="shared" si="121"/>
        <v>0</v>
      </c>
      <c r="JE32" s="345"/>
      <c r="JF32" s="345"/>
      <c r="JG32" s="345">
        <f t="shared" si="122"/>
        <v>0</v>
      </c>
      <c r="JH32" s="345"/>
      <c r="JI32" s="345"/>
      <c r="JJ32" s="345">
        <f t="shared" si="123"/>
        <v>0</v>
      </c>
      <c r="JK32" s="345"/>
      <c r="JL32" s="345"/>
      <c r="JM32" s="345">
        <f t="shared" si="124"/>
        <v>0</v>
      </c>
      <c r="JN32" s="345"/>
      <c r="JO32" s="345"/>
      <c r="JP32" s="345">
        <f t="shared" si="125"/>
        <v>0</v>
      </c>
      <c r="JQ32" s="345"/>
      <c r="JR32" s="345"/>
      <c r="JS32" s="345">
        <f t="shared" si="126"/>
        <v>0</v>
      </c>
      <c r="JT32" s="345"/>
      <c r="JU32" s="345"/>
      <c r="JV32" s="345">
        <f t="shared" si="127"/>
        <v>0</v>
      </c>
      <c r="JW32" s="345"/>
      <c r="JX32" s="345"/>
      <c r="JY32" s="345">
        <f t="shared" si="128"/>
        <v>0</v>
      </c>
      <c r="JZ32" s="345"/>
      <c r="KA32" s="345"/>
      <c r="KB32" s="345">
        <f t="shared" si="129"/>
        <v>0</v>
      </c>
      <c r="KC32" s="345"/>
      <c r="KD32" s="345"/>
      <c r="KE32" s="345">
        <f t="shared" si="130"/>
        <v>0</v>
      </c>
      <c r="KG32" s="151">
        <f t="shared" si="75"/>
        <v>71475.000000000524</v>
      </c>
    </row>
    <row r="33" spans="1:293" x14ac:dyDescent="0.25">
      <c r="A33" s="35">
        <f t="shared" si="76"/>
        <v>27</v>
      </c>
      <c r="B33" s="250">
        <v>5975.7</v>
      </c>
      <c r="C33" s="38">
        <f t="shared" si="1"/>
        <v>9.1999999999998181</v>
      </c>
      <c r="D33" s="38">
        <f t="shared" si="2"/>
        <v>294399.99999999418</v>
      </c>
      <c r="E33" s="250">
        <v>1197.08</v>
      </c>
      <c r="F33" s="38">
        <f t="shared" si="3"/>
        <v>57919.999999998254</v>
      </c>
      <c r="G33" s="38">
        <f t="shared" si="4"/>
        <v>352319.99999999243</v>
      </c>
      <c r="H33" s="37"/>
      <c r="I33" s="39"/>
      <c r="J33" s="42"/>
      <c r="K33" s="37">
        <f t="shared" si="93"/>
        <v>0</v>
      </c>
      <c r="L33" s="250">
        <v>19551400</v>
      </c>
      <c r="M33" s="40"/>
      <c r="N33" s="37">
        <f t="shared" si="94"/>
        <v>358000</v>
      </c>
      <c r="O33" s="250">
        <v>13730</v>
      </c>
      <c r="P33" s="37"/>
      <c r="Q33" s="37">
        <f t="shared" si="133"/>
        <v>14000</v>
      </c>
      <c r="R33" s="37">
        <f t="shared" si="95"/>
        <v>1</v>
      </c>
      <c r="S33" s="250">
        <v>11280363.75</v>
      </c>
      <c r="T33" s="37">
        <f t="shared" si="6"/>
        <v>0</v>
      </c>
      <c r="U33" s="250">
        <v>1523792.57</v>
      </c>
      <c r="V33" s="37">
        <f t="shared" si="7"/>
        <v>0</v>
      </c>
      <c r="W33" s="250">
        <v>4920.6000000000004</v>
      </c>
      <c r="X33" s="37">
        <f t="shared" si="110"/>
        <v>7600</v>
      </c>
      <c r="Y33" s="183"/>
      <c r="Z33" s="183"/>
      <c r="AA33" s="250">
        <v>893200</v>
      </c>
      <c r="AB33" s="37">
        <f t="shared" si="8"/>
        <v>6400</v>
      </c>
      <c r="AC33" s="250">
        <v>5089.62</v>
      </c>
      <c r="AD33" s="37"/>
      <c r="AE33" s="37">
        <f t="shared" si="135"/>
        <v>4920.0000000000728</v>
      </c>
      <c r="AF33" s="37">
        <f t="shared" si="96"/>
        <v>1</v>
      </c>
      <c r="AG33" s="250">
        <v>11067.7</v>
      </c>
      <c r="AH33" s="37"/>
      <c r="AI33" s="37">
        <f t="shared" si="10"/>
        <v>11520.110000001456</v>
      </c>
      <c r="AJ33" s="37">
        <f t="shared" si="11"/>
        <v>1</v>
      </c>
      <c r="AK33" s="37">
        <f t="shared" si="12"/>
        <v>24040.110000001529</v>
      </c>
      <c r="AL33" s="250">
        <v>12635.7</v>
      </c>
      <c r="AM33" s="42"/>
      <c r="AN33" s="37">
        <f t="shared" si="77"/>
        <v>5820.1100000011375</v>
      </c>
      <c r="AO33" s="37">
        <f t="shared" si="97"/>
        <v>1</v>
      </c>
      <c r="AP33" s="250">
        <v>10005.6</v>
      </c>
      <c r="AQ33" s="37"/>
      <c r="AR33" s="37">
        <f t="shared" si="13"/>
        <v>7800.0000000010914</v>
      </c>
      <c r="AS33" s="37">
        <f t="shared" si="98"/>
        <v>1</v>
      </c>
      <c r="AT33" s="183"/>
      <c r="AU33" s="183"/>
      <c r="AV33" s="183"/>
      <c r="AW33" s="183"/>
      <c r="AX33" s="250">
        <v>546580</v>
      </c>
      <c r="AY33" s="37"/>
      <c r="AZ33" s="37">
        <f t="shared" si="14"/>
        <v>340</v>
      </c>
      <c r="BA33" s="250">
        <v>241920</v>
      </c>
      <c r="BB33" s="37"/>
      <c r="BC33" s="37">
        <f t="shared" si="15"/>
        <v>530</v>
      </c>
      <c r="BD33" s="37">
        <f t="shared" si="99"/>
        <v>14490.110000002229</v>
      </c>
      <c r="BE33" s="250">
        <v>2168.8000000000002</v>
      </c>
      <c r="BF33" s="250">
        <v>1224.3</v>
      </c>
      <c r="BG33" s="37">
        <f t="shared" si="16"/>
        <v>1700.0000000002728</v>
      </c>
      <c r="BH33" s="250">
        <v>10336</v>
      </c>
      <c r="BI33" s="250">
        <v>6683.9</v>
      </c>
      <c r="BJ33" s="37">
        <f t="shared" si="17"/>
        <v>10000</v>
      </c>
      <c r="BK33" s="250">
        <v>2208300</v>
      </c>
      <c r="BL33" s="40">
        <f t="shared" si="100"/>
        <v>3800</v>
      </c>
      <c r="BM33" s="250">
        <v>968.39</v>
      </c>
      <c r="BN33" s="37">
        <f t="shared" si="18"/>
        <v>0</v>
      </c>
      <c r="BO33" s="186"/>
      <c r="BP33" s="183">
        <f t="shared" si="19"/>
        <v>0</v>
      </c>
      <c r="BQ33" s="250">
        <v>921</v>
      </c>
      <c r="BR33" s="37">
        <f t="shared" si="78"/>
        <v>299.99999999995453</v>
      </c>
      <c r="BS33" s="250">
        <v>130642.56</v>
      </c>
      <c r="BT33" s="37">
        <f t="shared" si="20"/>
        <v>149.7899999999936</v>
      </c>
      <c r="BU33" s="250">
        <v>3883760</v>
      </c>
      <c r="BV33" s="42"/>
      <c r="BW33" s="37">
        <f t="shared" si="21"/>
        <v>5871</v>
      </c>
      <c r="BX33" s="37">
        <f t="shared" si="101"/>
        <v>1</v>
      </c>
      <c r="BY33" s="250">
        <v>450.12889999999999</v>
      </c>
      <c r="BZ33" s="43"/>
      <c r="CA33" s="37">
        <f t="shared" si="131"/>
        <v>688.89999999998963</v>
      </c>
      <c r="CB33" s="37">
        <f t="shared" si="79"/>
        <v>1</v>
      </c>
      <c r="CC33" s="250">
        <v>858175</v>
      </c>
      <c r="CD33" s="37">
        <f t="shared" si="23"/>
        <v>1187.4000000000233</v>
      </c>
      <c r="CE33" s="250">
        <v>2014493</v>
      </c>
      <c r="CF33" s="37">
        <f t="shared" si="24"/>
        <v>4505</v>
      </c>
      <c r="CG33" s="250">
        <v>122991.9</v>
      </c>
      <c r="CH33" s="37">
        <f t="shared" si="80"/>
        <v>0</v>
      </c>
      <c r="CI33" s="250">
        <v>15264.33</v>
      </c>
      <c r="CJ33" s="40"/>
      <c r="CK33" s="37">
        <f t="shared" si="81"/>
        <v>15261.209999999937</v>
      </c>
      <c r="CL33" s="37">
        <f t="shared" si="25"/>
        <v>1</v>
      </c>
      <c r="CM33" s="250">
        <v>4597.6120000000001</v>
      </c>
      <c r="CN33" s="37"/>
      <c r="CO33" s="37">
        <f t="shared" si="26"/>
        <v>5014.1100000002325</v>
      </c>
      <c r="CP33" s="37">
        <f t="shared" si="102"/>
        <v>1</v>
      </c>
      <c r="CQ33" s="250">
        <v>1110880</v>
      </c>
      <c r="CR33" s="39"/>
      <c r="CS33" s="37">
        <f t="shared" si="82"/>
        <v>6033.11</v>
      </c>
      <c r="CT33" s="37">
        <f t="shared" si="83"/>
        <v>1</v>
      </c>
      <c r="CU33" s="250">
        <v>5180674</v>
      </c>
      <c r="CV33" s="37"/>
      <c r="CW33" s="38">
        <f t="shared" si="27"/>
        <v>13068</v>
      </c>
      <c r="CX33" s="37">
        <f t="shared" si="103"/>
        <v>1</v>
      </c>
      <c r="CY33" s="250">
        <v>2781122</v>
      </c>
      <c r="CZ33" s="37"/>
      <c r="DA33" s="37">
        <f t="shared" si="137"/>
        <v>7051</v>
      </c>
      <c r="DB33" s="37">
        <f t="shared" si="104"/>
        <v>1</v>
      </c>
      <c r="DC33" s="37"/>
      <c r="DD33" s="40"/>
      <c r="DE33" s="37">
        <f t="shared" si="29"/>
        <v>0</v>
      </c>
      <c r="DF33" s="37">
        <f t="shared" si="111"/>
        <v>0</v>
      </c>
      <c r="DG33" s="37">
        <f t="shared" si="30"/>
        <v>-52298.430000000168</v>
      </c>
      <c r="DH33" s="37">
        <f t="shared" si="31"/>
        <v>383740.11000000179</v>
      </c>
      <c r="DI33" s="46"/>
      <c r="DJ33" s="46"/>
      <c r="DK33" s="47"/>
      <c r="DL33" s="47"/>
      <c r="DM33" s="37"/>
      <c r="DN33" s="37"/>
      <c r="DO33" s="37"/>
      <c r="DP33" s="37"/>
      <c r="DQ33" s="250">
        <v>129680</v>
      </c>
      <c r="DR33" s="49">
        <f t="shared" si="84"/>
        <v>9570</v>
      </c>
      <c r="DS33" s="250">
        <v>7208500</v>
      </c>
      <c r="DT33" s="49">
        <f t="shared" si="85"/>
        <v>26600</v>
      </c>
      <c r="DU33" s="250">
        <v>8551.9</v>
      </c>
      <c r="DV33" s="250">
        <v>4794.6000000000004</v>
      </c>
      <c r="DW33" s="37">
        <f t="shared" si="105"/>
        <v>299.9999999992724</v>
      </c>
      <c r="DX33" s="250">
        <v>14163</v>
      </c>
      <c r="DY33" s="250">
        <v>8826.7999999999993</v>
      </c>
      <c r="DZ33" s="37">
        <f t="shared" si="32"/>
        <v>120.11</v>
      </c>
      <c r="EA33" s="250">
        <v>33021</v>
      </c>
      <c r="EB33" s="250">
        <v>22.452000000000002</v>
      </c>
      <c r="EC33" s="37">
        <f t="shared" si="33"/>
        <v>4280.1100000000006</v>
      </c>
      <c r="ED33" s="53">
        <f t="shared" si="34"/>
        <v>4700.2199999992727</v>
      </c>
      <c r="EE33" s="250">
        <v>49602</v>
      </c>
      <c r="EF33" s="250">
        <v>32.807000000000002</v>
      </c>
      <c r="EG33" s="37">
        <f t="shared" si="35"/>
        <v>22280.11</v>
      </c>
      <c r="EH33" s="250">
        <v>14783</v>
      </c>
      <c r="EI33" s="250">
        <v>2.2313000000000001</v>
      </c>
      <c r="EJ33" s="37">
        <f t="shared" si="36"/>
        <v>11120.11</v>
      </c>
      <c r="EK33" s="250">
        <v>899.78</v>
      </c>
      <c r="EL33" s="250">
        <v>1287</v>
      </c>
      <c r="EM33" s="37">
        <f t="shared" si="86"/>
        <v>110.00000000001364</v>
      </c>
      <c r="EN33" s="54">
        <f t="shared" si="87"/>
        <v>33510.220000000016</v>
      </c>
      <c r="EO33" s="250">
        <v>14200</v>
      </c>
      <c r="EP33" s="48"/>
      <c r="EQ33" s="37">
        <f t="shared" si="112"/>
        <v>8070.1099999999897</v>
      </c>
      <c r="ER33" s="250">
        <v>11860</v>
      </c>
      <c r="ES33" s="48"/>
      <c r="ET33" s="49">
        <f t="shared" si="114"/>
        <v>18000</v>
      </c>
      <c r="EU33" s="250">
        <v>5080</v>
      </c>
      <c r="EV33" s="48"/>
      <c r="EW33" s="49">
        <f t="shared" si="38"/>
        <v>10120.11</v>
      </c>
      <c r="EX33" s="250">
        <v>15279</v>
      </c>
      <c r="EY33" s="48"/>
      <c r="EZ33" s="37">
        <f t="shared" si="39"/>
        <v>10120.11</v>
      </c>
      <c r="FA33" s="48">
        <f t="shared" si="88"/>
        <v>-22385.329999999991</v>
      </c>
      <c r="FB33" s="250">
        <v>40063248</v>
      </c>
      <c r="FC33" s="49">
        <f t="shared" si="106"/>
        <v>23925</v>
      </c>
      <c r="FD33" s="48">
        <f t="shared" si="89"/>
        <v>47930.329999999987</v>
      </c>
      <c r="FE33" s="250">
        <v>18355</v>
      </c>
      <c r="FF33" s="48"/>
      <c r="FG33" s="37">
        <f t="shared" si="40"/>
        <v>10170.110000000011</v>
      </c>
      <c r="FH33" s="250">
        <v>11222</v>
      </c>
      <c r="FI33" s="48"/>
      <c r="FJ33" s="49">
        <f t="shared" si="41"/>
        <v>11120.11</v>
      </c>
      <c r="FK33" s="48"/>
      <c r="FL33" s="58"/>
      <c r="FM33" s="48">
        <f t="shared" si="107"/>
        <v>-503.44333333285249</v>
      </c>
      <c r="FN33" s="250">
        <v>18356</v>
      </c>
      <c r="FO33" s="48"/>
      <c r="FP33" s="37">
        <f t="shared" si="90"/>
        <v>9120.11</v>
      </c>
      <c r="FQ33" s="250">
        <v>64415.3</v>
      </c>
      <c r="FR33" s="48"/>
      <c r="FS33" s="37">
        <f t="shared" si="42"/>
        <v>28900.000000001455</v>
      </c>
      <c r="FT33" s="48">
        <f t="shared" si="108"/>
        <v>-1510.3299999985575</v>
      </c>
      <c r="FU33" s="48">
        <f t="shared" si="109"/>
        <v>32410.330000000013</v>
      </c>
      <c r="FV33" s="391">
        <v>7953600</v>
      </c>
      <c r="FW33" s="44"/>
      <c r="FX33" s="37">
        <f t="shared" si="43"/>
        <v>7300</v>
      </c>
      <c r="FY33" s="250">
        <v>398310</v>
      </c>
      <c r="FZ33" s="56"/>
      <c r="GA33" s="37">
        <f t="shared" si="44"/>
        <v>1910</v>
      </c>
      <c r="GB33" s="250">
        <v>930.68</v>
      </c>
      <c r="GC33" s="56"/>
      <c r="GD33" s="37">
        <f t="shared" si="45"/>
        <v>399.99999999997726</v>
      </c>
      <c r="GE33" s="250">
        <v>11402</v>
      </c>
      <c r="GF33" s="56"/>
      <c r="GG33" s="37">
        <f t="shared" si="46"/>
        <v>2380</v>
      </c>
      <c r="GH33" s="250">
        <v>163420</v>
      </c>
      <c r="GI33" s="162"/>
      <c r="GJ33" s="38">
        <f t="shared" si="91"/>
        <v>1620</v>
      </c>
      <c r="GK33" s="250">
        <v>1555.9</v>
      </c>
      <c r="GL33" s="163"/>
      <c r="GM33" s="38">
        <f t="shared" si="47"/>
        <v>2000</v>
      </c>
      <c r="GN33" s="250">
        <v>244290</v>
      </c>
      <c r="GO33" s="57"/>
      <c r="GP33" s="38">
        <f t="shared" si="48"/>
        <v>0</v>
      </c>
      <c r="GQ33" s="250">
        <v>308480</v>
      </c>
      <c r="GR33" s="38"/>
      <c r="GS33" s="38">
        <f t="shared" si="92"/>
        <v>70</v>
      </c>
      <c r="GT33" s="247"/>
      <c r="GU33" s="144">
        <f>DailyOct!B32-DailyOct!N32-DailyOct!V32-DailyOct!Y32-DailyOct!Z32-DailyOct!AA32-DailyOct!AB32-DailyOct!AC32-DailyOct!AD32-DailyOct!AE32-DailyOct!AK32-DailyOct!AO32-DailyOct!AS32-DailyOct!AY32-DailyOct!BD32+DailyOct!BU32-DailyOct!BG32-DailyOct!BT32-DailyOct!AF32-DailyOct!AG32</f>
        <v>-5.000001096050255E-2</v>
      </c>
      <c r="GV33" s="261">
        <v>1801.6</v>
      </c>
      <c r="GW33" s="60">
        <f t="shared" si="0"/>
        <v>120.10666666666665</v>
      </c>
      <c r="GX33" s="260">
        <v>120.11</v>
      </c>
      <c r="GY33" s="140"/>
      <c r="GZ33" s="528"/>
      <c r="HA33" s="528"/>
      <c r="HB33" s="528"/>
      <c r="HC33" s="528"/>
      <c r="HD33" s="74"/>
      <c r="HE33" s="24">
        <f t="shared" si="49"/>
        <v>0</v>
      </c>
      <c r="HG33" s="279">
        <v>27</v>
      </c>
      <c r="HH33" s="292">
        <v>34414</v>
      </c>
      <c r="HI33" s="292">
        <v>13054</v>
      </c>
      <c r="HJ33" s="61">
        <f t="shared" si="50"/>
        <v>177000</v>
      </c>
      <c r="HK33" s="260">
        <v>2.1432000000000002</v>
      </c>
      <c r="HL33" s="260">
        <v>807.23</v>
      </c>
      <c r="HM33" s="61">
        <f t="shared" si="51"/>
        <v>0</v>
      </c>
      <c r="HN33" s="292">
        <v>8642.6</v>
      </c>
      <c r="HO33" s="292">
        <v>36739</v>
      </c>
      <c r="HP33" s="294">
        <f t="shared" si="52"/>
        <v>42199.999999999636</v>
      </c>
      <c r="HQ33" s="292">
        <v>5893.3</v>
      </c>
      <c r="HR33" s="292">
        <v>2457.5</v>
      </c>
      <c r="HS33" s="294">
        <f t="shared" si="53"/>
        <v>27100.000000000182</v>
      </c>
      <c r="HT33" s="292">
        <v>5861.5</v>
      </c>
      <c r="HU33" s="292">
        <v>2089.9</v>
      </c>
      <c r="HV33" s="294">
        <f t="shared" si="54"/>
        <v>27699.999999999636</v>
      </c>
      <c r="HW33" s="292">
        <v>4430.1000000000004</v>
      </c>
      <c r="HX33" s="292">
        <v>1871.3</v>
      </c>
      <c r="HY33" s="294">
        <f t="shared" si="55"/>
        <v>26000.000000000728</v>
      </c>
      <c r="HZ33" s="260">
        <v>3898800</v>
      </c>
      <c r="IA33" s="260">
        <v>16731</v>
      </c>
      <c r="IB33" s="61">
        <f t="shared" si="56"/>
        <v>27400</v>
      </c>
      <c r="IC33" s="292">
        <v>719.8</v>
      </c>
      <c r="ID33" s="292">
        <v>232.78</v>
      </c>
      <c r="IE33" s="61">
        <f t="shared" si="113"/>
        <v>0</v>
      </c>
      <c r="IF33" s="61"/>
      <c r="IG33" s="61"/>
      <c r="IH33" s="280">
        <f t="shared" si="57"/>
        <v>26600</v>
      </c>
      <c r="II33" s="281">
        <f t="shared" si="138"/>
        <v>-1.7462298274040222E-10</v>
      </c>
      <c r="IJ33" s="345"/>
      <c r="IK33" s="345"/>
      <c r="IL33" s="345">
        <f t="shared" si="115"/>
        <v>0</v>
      </c>
      <c r="IM33" s="345"/>
      <c r="IN33" s="345"/>
      <c r="IO33" s="345">
        <f t="shared" si="116"/>
        <v>0</v>
      </c>
      <c r="IP33" s="345"/>
      <c r="IQ33" s="345"/>
      <c r="IR33" s="345">
        <f t="shared" si="117"/>
        <v>0</v>
      </c>
      <c r="IS33" s="345"/>
      <c r="IT33" s="345"/>
      <c r="IU33" s="345">
        <f t="shared" si="118"/>
        <v>0</v>
      </c>
      <c r="IV33" s="345"/>
      <c r="IW33" s="345"/>
      <c r="IX33" s="345">
        <f t="shared" si="119"/>
        <v>0</v>
      </c>
      <c r="IY33" s="345"/>
      <c r="IZ33" s="345"/>
      <c r="JA33" s="345">
        <f t="shared" si="120"/>
        <v>0</v>
      </c>
      <c r="JB33" s="345"/>
      <c r="JC33" s="345"/>
      <c r="JD33" s="345">
        <f t="shared" si="121"/>
        <v>0</v>
      </c>
      <c r="JE33" s="345"/>
      <c r="JF33" s="345"/>
      <c r="JG33" s="345">
        <f t="shared" si="122"/>
        <v>0</v>
      </c>
      <c r="JH33" s="345"/>
      <c r="JI33" s="345"/>
      <c r="JJ33" s="345">
        <f t="shared" si="123"/>
        <v>0</v>
      </c>
      <c r="JK33" s="345"/>
      <c r="JL33" s="345"/>
      <c r="JM33" s="345">
        <f t="shared" si="124"/>
        <v>0</v>
      </c>
      <c r="JN33" s="345"/>
      <c r="JO33" s="345"/>
      <c r="JP33" s="345">
        <f t="shared" si="125"/>
        <v>0</v>
      </c>
      <c r="JQ33" s="345"/>
      <c r="JR33" s="345"/>
      <c r="JS33" s="345">
        <f t="shared" si="126"/>
        <v>0</v>
      </c>
      <c r="JT33" s="345"/>
      <c r="JU33" s="345"/>
      <c r="JV33" s="345">
        <f t="shared" si="127"/>
        <v>0</v>
      </c>
      <c r="JW33" s="345"/>
      <c r="JX33" s="345"/>
      <c r="JY33" s="345">
        <f t="shared" si="128"/>
        <v>0</v>
      </c>
      <c r="JZ33" s="345"/>
      <c r="KA33" s="345"/>
      <c r="KB33" s="345">
        <f t="shared" si="129"/>
        <v>0</v>
      </c>
      <c r="KC33" s="345"/>
      <c r="KD33" s="345"/>
      <c r="KE33" s="345">
        <f t="shared" si="130"/>
        <v>0</v>
      </c>
      <c r="KG33" s="151">
        <f t="shared" si="75"/>
        <v>69599.999999999462</v>
      </c>
    </row>
    <row r="34" spans="1:293" x14ac:dyDescent="0.25">
      <c r="A34" s="35">
        <f t="shared" si="76"/>
        <v>28</v>
      </c>
      <c r="B34" s="250">
        <v>5985.6</v>
      </c>
      <c r="C34" s="38">
        <f t="shared" si="1"/>
        <v>9.9000000000005457</v>
      </c>
      <c r="D34" s="38">
        <f t="shared" si="2"/>
        <v>316800.00000001746</v>
      </c>
      <c r="E34" s="250">
        <v>1199</v>
      </c>
      <c r="F34" s="38">
        <f t="shared" si="3"/>
        <v>61440.000000002328</v>
      </c>
      <c r="G34" s="38">
        <f t="shared" si="4"/>
        <v>378240.00000001979</v>
      </c>
      <c r="H34" s="37"/>
      <c r="I34" s="39"/>
      <c r="J34" s="42"/>
      <c r="K34" s="37">
        <f t="shared" si="93"/>
        <v>0</v>
      </c>
      <c r="L34" s="250">
        <v>19588700</v>
      </c>
      <c r="M34" s="40"/>
      <c r="N34" s="37">
        <f t="shared" si="94"/>
        <v>373000</v>
      </c>
      <c r="O34" s="250">
        <v>13745</v>
      </c>
      <c r="P34" s="37"/>
      <c r="Q34" s="37">
        <f t="shared" si="133"/>
        <v>15000</v>
      </c>
      <c r="R34" s="37">
        <f t="shared" si="95"/>
        <v>1</v>
      </c>
      <c r="S34" s="250">
        <v>11280368.25</v>
      </c>
      <c r="T34" s="37">
        <f t="shared" si="6"/>
        <v>4.5</v>
      </c>
      <c r="U34" s="250">
        <v>1523792.57</v>
      </c>
      <c r="V34" s="37">
        <f t="shared" si="7"/>
        <v>0</v>
      </c>
      <c r="W34" s="250">
        <v>4927.2</v>
      </c>
      <c r="X34" s="37">
        <f t="shared" si="110"/>
        <v>8295.5</v>
      </c>
      <c r="Y34" s="183"/>
      <c r="Z34" s="183"/>
      <c r="AA34" s="250">
        <v>899900</v>
      </c>
      <c r="AB34" s="37">
        <f t="shared" si="8"/>
        <v>6700</v>
      </c>
      <c r="AC34" s="250">
        <v>5095.1000000000004</v>
      </c>
      <c r="AD34" s="37"/>
      <c r="AE34" s="37">
        <f t="shared" si="135"/>
        <v>5480.0000000004729</v>
      </c>
      <c r="AF34" s="37">
        <f t="shared" si="96"/>
        <v>1</v>
      </c>
      <c r="AG34" s="250">
        <v>11080.3</v>
      </c>
      <c r="AH34" s="37"/>
      <c r="AI34" s="37">
        <f t="shared" si="10"/>
        <v>13255.909999998545</v>
      </c>
      <c r="AJ34" s="37">
        <f t="shared" si="11"/>
        <v>1</v>
      </c>
      <c r="AK34" s="37">
        <f t="shared" si="12"/>
        <v>27035.909999999018</v>
      </c>
      <c r="AL34" s="250">
        <v>12645.9</v>
      </c>
      <c r="AM34" s="42"/>
      <c r="AN34" s="37">
        <f t="shared" si="77"/>
        <v>6955.9099999989539</v>
      </c>
      <c r="AO34" s="37">
        <f t="shared" si="97"/>
        <v>1</v>
      </c>
      <c r="AP34" s="250">
        <v>10013.799999999999</v>
      </c>
      <c r="AQ34" s="37"/>
      <c r="AR34" s="37">
        <f t="shared" si="13"/>
        <v>8199.9999999989086</v>
      </c>
      <c r="AS34" s="37">
        <f t="shared" si="98"/>
        <v>1</v>
      </c>
      <c r="AT34" s="183"/>
      <c r="AU34" s="183"/>
      <c r="AV34" s="183"/>
      <c r="AW34" s="183"/>
      <c r="AX34" s="250">
        <v>546900</v>
      </c>
      <c r="AY34" s="37"/>
      <c r="AZ34" s="37">
        <f t="shared" si="14"/>
        <v>320</v>
      </c>
      <c r="BA34" s="250">
        <v>242450</v>
      </c>
      <c r="BB34" s="37"/>
      <c r="BC34" s="37">
        <f t="shared" si="15"/>
        <v>530</v>
      </c>
      <c r="BD34" s="37">
        <f t="shared" si="99"/>
        <v>16005.909999997863</v>
      </c>
      <c r="BE34" s="250">
        <v>2170.3000000000002</v>
      </c>
      <c r="BF34" s="250">
        <v>1225.2</v>
      </c>
      <c r="BG34" s="37">
        <f t="shared" si="16"/>
        <v>1500</v>
      </c>
      <c r="BH34" s="250">
        <v>10346</v>
      </c>
      <c r="BI34" s="250">
        <v>6689.9</v>
      </c>
      <c r="BJ34" s="37">
        <f t="shared" si="17"/>
        <v>10000</v>
      </c>
      <c r="BK34" s="250">
        <v>2211900</v>
      </c>
      <c r="BL34" s="40">
        <f t="shared" si="100"/>
        <v>3600</v>
      </c>
      <c r="BM34" s="250">
        <v>968.39</v>
      </c>
      <c r="BN34" s="37">
        <f t="shared" si="18"/>
        <v>0</v>
      </c>
      <c r="BO34" s="186"/>
      <c r="BP34" s="183">
        <f t="shared" si="19"/>
        <v>0</v>
      </c>
      <c r="BQ34" s="250">
        <v>921.3</v>
      </c>
      <c r="BR34" s="37">
        <f t="shared" si="78"/>
        <v>299.99999999995453</v>
      </c>
      <c r="BS34" s="250">
        <v>130791.26</v>
      </c>
      <c r="BT34" s="37">
        <f t="shared" si="20"/>
        <v>148.69999999999709</v>
      </c>
      <c r="BU34" s="250">
        <v>3887704</v>
      </c>
      <c r="BV34" s="42"/>
      <c r="BW34" s="37">
        <f t="shared" si="21"/>
        <v>3944</v>
      </c>
      <c r="BX34" s="37">
        <f>IF(BW34&lt;=0,0,(BW34/SQRT(BW34^2+(BV34-BV33)^2)))</f>
        <v>1</v>
      </c>
      <c r="BY34" s="250">
        <v>450.70060000000001</v>
      </c>
      <c r="BZ34" s="37"/>
      <c r="CA34" s="37">
        <f t="shared" si="131"/>
        <v>571.70000000002119</v>
      </c>
      <c r="CB34" s="37">
        <f t="shared" si="79"/>
        <v>1</v>
      </c>
      <c r="CC34" s="250">
        <v>859254.3</v>
      </c>
      <c r="CD34" s="37">
        <f t="shared" si="23"/>
        <v>1079.3000000000466</v>
      </c>
      <c r="CE34" s="250">
        <v>2016438</v>
      </c>
      <c r="CF34" s="37">
        <f t="shared" si="24"/>
        <v>1945</v>
      </c>
      <c r="CG34" s="250">
        <v>122991.9</v>
      </c>
      <c r="CH34" s="37">
        <f t="shared" si="80"/>
        <v>0</v>
      </c>
      <c r="CI34" s="250">
        <v>15278.708000000001</v>
      </c>
      <c r="CJ34" s="40"/>
      <c r="CK34" s="37">
        <f t="shared" si="81"/>
        <v>14462.21000000059</v>
      </c>
      <c r="CL34" s="37">
        <f t="shared" si="25"/>
        <v>1</v>
      </c>
      <c r="CM34" s="250">
        <v>4601.6809999999996</v>
      </c>
      <c r="CN34" s="37"/>
      <c r="CO34" s="37">
        <f t="shared" si="26"/>
        <v>4724.9099999995051</v>
      </c>
      <c r="CP34" s="37">
        <f t="shared" si="102"/>
        <v>1</v>
      </c>
      <c r="CQ34" s="250">
        <v>1116763</v>
      </c>
      <c r="CR34" s="39"/>
      <c r="CS34" s="37">
        <f t="shared" si="82"/>
        <v>6538.91</v>
      </c>
      <c r="CT34" s="37">
        <f t="shared" si="83"/>
        <v>1</v>
      </c>
      <c r="CU34" s="250">
        <v>5200350</v>
      </c>
      <c r="CV34" s="37"/>
      <c r="CW34" s="38">
        <f t="shared" si="27"/>
        <v>19676</v>
      </c>
      <c r="CX34" s="37">
        <f t="shared" si="103"/>
        <v>1</v>
      </c>
      <c r="CY34" s="250">
        <v>2790313</v>
      </c>
      <c r="CZ34" s="37"/>
      <c r="DA34" s="37">
        <f t="shared" si="137"/>
        <v>9191</v>
      </c>
      <c r="DB34" s="37">
        <f t="shared" si="104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0"/>
        <v>-58537.030000000101</v>
      </c>
      <c r="DH34" s="37">
        <f t="shared" si="31"/>
        <v>401535.90999999904</v>
      </c>
      <c r="DI34" s="46"/>
      <c r="DJ34" s="46"/>
      <c r="DK34" s="47"/>
      <c r="DL34" s="47"/>
      <c r="DM34" s="37"/>
      <c r="DN34" s="37"/>
      <c r="DO34" s="37"/>
      <c r="DP34" s="37"/>
      <c r="DQ34" s="250">
        <v>140690</v>
      </c>
      <c r="DR34" s="49">
        <f t="shared" si="84"/>
        <v>11010</v>
      </c>
      <c r="DS34" s="250">
        <v>7232400</v>
      </c>
      <c r="DT34" s="49">
        <f t="shared" si="85"/>
        <v>23900</v>
      </c>
      <c r="DU34" s="250">
        <v>8555.2000000000007</v>
      </c>
      <c r="DV34" s="250">
        <v>4795.7</v>
      </c>
      <c r="DW34" s="37">
        <f t="shared" si="105"/>
        <v>3300.0000000010914</v>
      </c>
      <c r="DX34" s="250">
        <v>14166</v>
      </c>
      <c r="DY34" s="250">
        <v>8829.9</v>
      </c>
      <c r="DZ34" s="37">
        <f t="shared" si="32"/>
        <v>3655.91</v>
      </c>
      <c r="EA34" s="250">
        <v>33035</v>
      </c>
      <c r="EB34" s="250">
        <v>22.457999999999998</v>
      </c>
      <c r="EC34" s="37">
        <f t="shared" si="33"/>
        <v>16815.91</v>
      </c>
      <c r="ED34" s="53">
        <f t="shared" si="34"/>
        <v>23771.820000001091</v>
      </c>
      <c r="EE34" s="250">
        <v>49627</v>
      </c>
      <c r="EF34" s="250">
        <v>32.826000000000001</v>
      </c>
      <c r="EG34" s="37">
        <f t="shared" si="35"/>
        <v>27815.91</v>
      </c>
      <c r="EH34" s="250">
        <v>14793</v>
      </c>
      <c r="EI34" s="250">
        <v>2.234</v>
      </c>
      <c r="EJ34" s="37">
        <f t="shared" si="36"/>
        <v>10655.91</v>
      </c>
      <c r="EK34" s="250">
        <v>900.33</v>
      </c>
      <c r="EL34" s="250">
        <v>1287.8</v>
      </c>
      <c r="EM34" s="37">
        <f t="shared" si="86"/>
        <v>550.00000000006821</v>
      </c>
      <c r="EN34" s="54">
        <f t="shared" si="87"/>
        <v>39021.820000000065</v>
      </c>
      <c r="EO34" s="250">
        <v>14209</v>
      </c>
      <c r="EP34" s="48"/>
      <c r="EQ34" s="37">
        <f t="shared" si="112"/>
        <v>9305.9100000000344</v>
      </c>
      <c r="ER34" s="250">
        <v>11878</v>
      </c>
      <c r="ES34" s="48"/>
      <c r="ET34" s="49">
        <f t="shared" si="114"/>
        <v>18000</v>
      </c>
      <c r="EU34" s="250">
        <v>5090</v>
      </c>
      <c r="EV34" s="48"/>
      <c r="EW34" s="49">
        <f t="shared" si="38"/>
        <v>10655.91</v>
      </c>
      <c r="EX34" s="250">
        <v>15289</v>
      </c>
      <c r="EY34" s="48"/>
      <c r="EZ34" s="37">
        <f t="shared" si="39"/>
        <v>10655.91</v>
      </c>
      <c r="FA34" s="48">
        <f t="shared" si="88"/>
        <v>-24333.730000000032</v>
      </c>
      <c r="FB34" s="250">
        <v>40087532</v>
      </c>
      <c r="FC34" s="49">
        <f t="shared" si="106"/>
        <v>24284</v>
      </c>
      <c r="FD34" s="48">
        <f t="shared" si="89"/>
        <v>50427.73000000004</v>
      </c>
      <c r="FE34" s="250">
        <v>18363</v>
      </c>
      <c r="FF34" s="48"/>
      <c r="FG34" s="37">
        <f t="shared" si="40"/>
        <v>9005.9099999999653</v>
      </c>
      <c r="FH34" s="250">
        <v>11237</v>
      </c>
      <c r="FI34" s="48"/>
      <c r="FJ34" s="49">
        <f t="shared" si="41"/>
        <v>15655.91</v>
      </c>
      <c r="FK34" s="48"/>
      <c r="FL34" s="58"/>
      <c r="FM34" s="48">
        <f t="shared" si="107"/>
        <v>-339.24333333477745</v>
      </c>
      <c r="FN34" s="250">
        <v>18365</v>
      </c>
      <c r="FO34" s="48"/>
      <c r="FP34" s="37">
        <f t="shared" si="90"/>
        <v>9655.91</v>
      </c>
      <c r="FQ34" s="250">
        <v>64448.6</v>
      </c>
      <c r="FR34" s="48"/>
      <c r="FS34" s="37">
        <f t="shared" si="42"/>
        <v>33299.999999995634</v>
      </c>
      <c r="FT34" s="48">
        <f t="shared" si="108"/>
        <v>-1017.7300000043324</v>
      </c>
      <c r="FU34" s="48">
        <f t="shared" si="109"/>
        <v>36217.729999999829</v>
      </c>
      <c r="FV34" s="250">
        <v>7968200</v>
      </c>
      <c r="FW34" s="44"/>
      <c r="FX34" s="37">
        <f t="shared" si="43"/>
        <v>14600</v>
      </c>
      <c r="FY34" s="250">
        <v>401600</v>
      </c>
      <c r="FZ34" s="56"/>
      <c r="GA34" s="37">
        <f t="shared" si="44"/>
        <v>3290</v>
      </c>
      <c r="GB34" s="250">
        <v>931.26</v>
      </c>
      <c r="GC34" s="56"/>
      <c r="GD34" s="37">
        <f t="shared" si="45"/>
        <v>580.00000000004093</v>
      </c>
      <c r="GE34" s="250">
        <v>11410</v>
      </c>
      <c r="GF34" s="56"/>
      <c r="GG34" s="37">
        <f t="shared" si="46"/>
        <v>4290.0000000001364</v>
      </c>
      <c r="GH34" s="250">
        <v>165230</v>
      </c>
      <c r="GI34" s="159"/>
      <c r="GJ34" s="38">
        <f t="shared" si="91"/>
        <v>1810</v>
      </c>
      <c r="GK34" s="250">
        <v>1557.8</v>
      </c>
      <c r="GL34" s="44"/>
      <c r="GM34" s="38">
        <f t="shared" si="47"/>
        <v>1899.9999999998636</v>
      </c>
      <c r="GN34" s="250">
        <v>244290</v>
      </c>
      <c r="GO34" s="57"/>
      <c r="GP34" s="38">
        <f t="shared" si="48"/>
        <v>0</v>
      </c>
      <c r="GQ34" s="250">
        <v>308620</v>
      </c>
      <c r="GR34" s="38"/>
      <c r="GS34" s="38">
        <f t="shared" si="92"/>
        <v>140</v>
      </c>
      <c r="GT34" s="247"/>
      <c r="GU34" s="144">
        <f>DailyOct!B33-DailyOct!N33-DailyOct!V33-DailyOct!Y33-DailyOct!Z33-DailyOct!AA33-DailyOct!AB33-DailyOct!AC33-DailyOct!AD33-DailyOct!AE33-DailyOct!AK33-DailyOct!AO33-DailyOct!AS33-DailyOct!AY33-DailyOct!BD33+DailyOct!BU33-DailyOct!BG33-DailyOct!BT33-DailyOct!AF33-DailyOct!AG33</f>
        <v>5.0000021670712158E-2</v>
      </c>
      <c r="GV34" s="261">
        <v>9838.7000000000007</v>
      </c>
      <c r="GW34" s="60">
        <f t="shared" si="0"/>
        <v>655.91333333333341</v>
      </c>
      <c r="GX34" s="260">
        <v>655.91</v>
      </c>
      <c r="GY34" s="140"/>
      <c r="GZ34" s="62"/>
      <c r="HA34" s="62"/>
      <c r="HB34" s="74"/>
      <c r="HC34" s="62"/>
      <c r="HD34" s="74"/>
      <c r="HE34" s="24">
        <f t="shared" si="49"/>
        <v>0</v>
      </c>
      <c r="HG34" s="279">
        <v>28</v>
      </c>
      <c r="HH34" s="292">
        <v>34586</v>
      </c>
      <c r="HI34" s="292">
        <v>13119</v>
      </c>
      <c r="HJ34" s="61">
        <f t="shared" si="50"/>
        <v>172000</v>
      </c>
      <c r="HK34" s="260">
        <v>2.1432000000000002</v>
      </c>
      <c r="HL34" s="260">
        <v>807.23</v>
      </c>
      <c r="HM34" s="61">
        <f t="shared" si="51"/>
        <v>0</v>
      </c>
      <c r="HN34" s="292">
        <v>8683.9</v>
      </c>
      <c r="HO34" s="292">
        <v>36911</v>
      </c>
      <c r="HP34" s="61">
        <f t="shared" si="52"/>
        <v>42624.999999999272</v>
      </c>
      <c r="HQ34" s="292">
        <v>5920.3</v>
      </c>
      <c r="HR34" s="292">
        <v>2468.1</v>
      </c>
      <c r="HS34" s="61">
        <f t="shared" si="53"/>
        <v>28325</v>
      </c>
      <c r="HT34" s="292">
        <v>5883.6</v>
      </c>
      <c r="HU34" s="292">
        <v>2098.9</v>
      </c>
      <c r="HV34" s="61">
        <f t="shared" si="54"/>
        <v>23425.000000000364</v>
      </c>
      <c r="HW34" s="292">
        <v>4455.3999999999996</v>
      </c>
      <c r="HX34" s="292">
        <v>1881.3</v>
      </c>
      <c r="HY34" s="61">
        <f t="shared" si="55"/>
        <v>26624.999999999272</v>
      </c>
      <c r="HZ34" s="260">
        <v>3925900</v>
      </c>
      <c r="IA34" s="260">
        <v>16844</v>
      </c>
      <c r="IB34" s="61">
        <f t="shared" si="56"/>
        <v>27100</v>
      </c>
      <c r="IC34" s="292">
        <v>719.8</v>
      </c>
      <c r="ID34" s="292">
        <v>232.78</v>
      </c>
      <c r="IE34" s="61">
        <f t="shared" si="113"/>
        <v>0</v>
      </c>
      <c r="IF34" s="61"/>
      <c r="IG34" s="61"/>
      <c r="IH34" s="280">
        <f t="shared" si="57"/>
        <v>23900</v>
      </c>
      <c r="II34" s="281">
        <f t="shared" si="138"/>
        <v>1.0913936421275139E-9</v>
      </c>
      <c r="IJ34" s="345"/>
      <c r="IK34" s="345"/>
      <c r="IL34" s="345">
        <f t="shared" si="115"/>
        <v>0</v>
      </c>
      <c r="IM34" s="345"/>
      <c r="IN34" s="345"/>
      <c r="IO34" s="345">
        <f t="shared" si="116"/>
        <v>0</v>
      </c>
      <c r="IP34" s="345"/>
      <c r="IQ34" s="345"/>
      <c r="IR34" s="345">
        <f t="shared" si="117"/>
        <v>0</v>
      </c>
      <c r="IS34" s="345"/>
      <c r="IT34" s="345"/>
      <c r="IU34" s="345">
        <f t="shared" si="118"/>
        <v>0</v>
      </c>
      <c r="IV34" s="345"/>
      <c r="IW34" s="345"/>
      <c r="IX34" s="345">
        <f t="shared" si="119"/>
        <v>0</v>
      </c>
      <c r="IY34" s="345"/>
      <c r="IZ34" s="345"/>
      <c r="JA34" s="345">
        <f t="shared" si="120"/>
        <v>0</v>
      </c>
      <c r="JB34" s="345"/>
      <c r="JC34" s="345"/>
      <c r="JD34" s="345">
        <f t="shared" si="121"/>
        <v>0</v>
      </c>
      <c r="JE34" s="345"/>
      <c r="JF34" s="345"/>
      <c r="JG34" s="345">
        <f t="shared" si="122"/>
        <v>0</v>
      </c>
      <c r="JH34" s="345"/>
      <c r="JI34" s="345"/>
      <c r="JJ34" s="345">
        <f t="shared" si="123"/>
        <v>0</v>
      </c>
      <c r="JK34" s="345"/>
      <c r="JL34" s="345"/>
      <c r="JM34" s="345">
        <f t="shared" si="124"/>
        <v>0</v>
      </c>
      <c r="JN34" s="345"/>
      <c r="JO34" s="345"/>
      <c r="JP34" s="345">
        <f t="shared" si="125"/>
        <v>0</v>
      </c>
      <c r="JQ34" s="345"/>
      <c r="JR34" s="345"/>
      <c r="JS34" s="345">
        <f t="shared" si="126"/>
        <v>0</v>
      </c>
      <c r="JT34" s="345"/>
      <c r="JU34" s="345"/>
      <c r="JV34" s="345">
        <f t="shared" si="127"/>
        <v>0</v>
      </c>
      <c r="JW34" s="345"/>
      <c r="JX34" s="345"/>
      <c r="JY34" s="345">
        <f t="shared" si="128"/>
        <v>0</v>
      </c>
      <c r="JZ34" s="345"/>
      <c r="KA34" s="345"/>
      <c r="KB34" s="345">
        <f t="shared" si="129"/>
        <v>0</v>
      </c>
      <c r="KC34" s="345"/>
      <c r="KD34" s="345"/>
      <c r="KE34" s="345">
        <f t="shared" si="130"/>
        <v>0</v>
      </c>
      <c r="KG34" s="151">
        <f t="shared" si="75"/>
        <v>69725.000000000364</v>
      </c>
    </row>
    <row r="35" spans="1:293" x14ac:dyDescent="0.25">
      <c r="A35" s="35">
        <v>29</v>
      </c>
      <c r="B35" s="250">
        <v>5995.04</v>
      </c>
      <c r="C35" s="38">
        <f t="shared" si="1"/>
        <v>9.4399999999995998</v>
      </c>
      <c r="D35" s="38">
        <f t="shared" si="2"/>
        <v>302079.99999998719</v>
      </c>
      <c r="E35" s="250">
        <v>1200.93</v>
      </c>
      <c r="F35" s="38">
        <f t="shared" si="3"/>
        <v>61760.000000002037</v>
      </c>
      <c r="G35" s="38">
        <f t="shared" si="4"/>
        <v>363839.99999998923</v>
      </c>
      <c r="H35" s="37"/>
      <c r="I35" s="39"/>
      <c r="J35" s="42"/>
      <c r="K35" s="37">
        <f>IF(J35&lt;=0,0,(J35/SQRT(J35^2+(I35-I34)^2)))</f>
        <v>0</v>
      </c>
      <c r="L35" s="250">
        <v>19624500</v>
      </c>
      <c r="M35" s="40"/>
      <c r="N35" s="37">
        <f t="shared" si="94"/>
        <v>358000</v>
      </c>
      <c r="O35" s="250">
        <v>13759.2</v>
      </c>
      <c r="P35" s="37"/>
      <c r="Q35" s="37">
        <f t="shared" si="133"/>
        <v>14200.000000000728</v>
      </c>
      <c r="R35" s="37">
        <f>IF(Q35&lt;=0,0,(Q35/SQRT(Q35^2+(P35-P34)^2)))</f>
        <v>1</v>
      </c>
      <c r="S35" s="250">
        <v>11280368.75</v>
      </c>
      <c r="T35" s="37">
        <f t="shared" si="6"/>
        <v>0.5</v>
      </c>
      <c r="U35" s="250">
        <v>1523792.57</v>
      </c>
      <c r="V35" s="37">
        <f t="shared" si="7"/>
        <v>0</v>
      </c>
      <c r="W35" s="250">
        <v>4933.3999999999996</v>
      </c>
      <c r="X35" s="37">
        <f t="shared" si="110"/>
        <v>7799.5000000007276</v>
      </c>
      <c r="Y35" s="183"/>
      <c r="Z35" s="183"/>
      <c r="AA35" s="250">
        <v>906300</v>
      </c>
      <c r="AB35" s="37">
        <f t="shared" si="8"/>
        <v>6400</v>
      </c>
      <c r="AC35" s="250">
        <v>5100.3</v>
      </c>
      <c r="AD35" s="37"/>
      <c r="AE35" s="37">
        <f t="shared" si="135"/>
        <v>5199.9999999998181</v>
      </c>
      <c r="AF35" s="37">
        <f>IF(AE35&lt;=0,0,(AE35/SQRT(AE35^2+(AD35-AD34)^2)))</f>
        <v>1</v>
      </c>
      <c r="AG35" s="250">
        <v>11094.8</v>
      </c>
      <c r="AH35" s="37"/>
      <c r="AI35" s="37">
        <f t="shared" si="10"/>
        <v>13274.39</v>
      </c>
      <c r="AJ35" s="37">
        <f t="shared" si="11"/>
        <v>1</v>
      </c>
      <c r="AK35" s="37">
        <f t="shared" si="12"/>
        <v>26274.390000000545</v>
      </c>
      <c r="AL35" s="250">
        <v>12655.5</v>
      </c>
      <c r="AM35" s="42"/>
      <c r="AN35" s="37">
        <f t="shared" si="77"/>
        <v>3374.3900000003177</v>
      </c>
      <c r="AO35" s="37">
        <f>IF(AN35&lt;=0,0,(AN35/SQRT(AN35^2+(AM35-AM34)^2)))</f>
        <v>1</v>
      </c>
      <c r="AP35" s="250">
        <v>10021.700000000001</v>
      </c>
      <c r="AQ35" s="37"/>
      <c r="AR35" s="37">
        <f t="shared" si="13"/>
        <v>7900.0000000014552</v>
      </c>
      <c r="AS35" s="37">
        <f>IF(AR35&lt;=0,0,(AR35/SQRT(AR35^2+(AQ35-AQ34)^2)))</f>
        <v>1</v>
      </c>
      <c r="AT35" s="183"/>
      <c r="AU35" s="183"/>
      <c r="AV35" s="183"/>
      <c r="AW35" s="183"/>
      <c r="AX35" s="250">
        <v>547160</v>
      </c>
      <c r="AY35" s="37"/>
      <c r="AZ35" s="37">
        <f t="shared" si="14"/>
        <v>260</v>
      </c>
      <c r="BA35" s="250">
        <v>242880</v>
      </c>
      <c r="BB35" s="37"/>
      <c r="BC35" s="37">
        <f t="shared" si="15"/>
        <v>430</v>
      </c>
      <c r="BD35" s="37">
        <f>AN35+AR35+AZ35+BC35</f>
        <v>11964.390000001773</v>
      </c>
      <c r="BE35" s="250">
        <v>2172</v>
      </c>
      <c r="BF35" s="250">
        <v>1226.3</v>
      </c>
      <c r="BG35" s="37">
        <f t="shared" si="16"/>
        <v>1699.9999999998181</v>
      </c>
      <c r="BH35" s="250">
        <v>10356</v>
      </c>
      <c r="BI35" s="250">
        <v>6696.2</v>
      </c>
      <c r="BJ35" s="37">
        <f t="shared" si="17"/>
        <v>10000</v>
      </c>
      <c r="BK35" s="250">
        <v>2215700</v>
      </c>
      <c r="BL35" s="40">
        <f t="shared" si="100"/>
        <v>3800</v>
      </c>
      <c r="BM35" s="250">
        <v>968.39</v>
      </c>
      <c r="BN35" s="37">
        <f t="shared" si="18"/>
        <v>0</v>
      </c>
      <c r="BO35" s="186"/>
      <c r="BP35" s="183">
        <f t="shared" si="19"/>
        <v>0</v>
      </c>
      <c r="BQ35" s="250">
        <v>922.5</v>
      </c>
      <c r="BR35" s="37">
        <f t="shared" si="78"/>
        <v>1200.0000000000455</v>
      </c>
      <c r="BS35" s="250">
        <v>130941.74</v>
      </c>
      <c r="BT35" s="37">
        <f t="shared" si="20"/>
        <v>150.48000000001048</v>
      </c>
      <c r="BU35" s="250">
        <v>3891523</v>
      </c>
      <c r="BV35" s="42"/>
      <c r="BW35" s="37">
        <f t="shared" si="21"/>
        <v>3819</v>
      </c>
      <c r="BX35" s="37">
        <f>IF(BW35&lt;=0,0,(BW35/SQRT(BW35^2+(BV35-BV34)^2)))</f>
        <v>1</v>
      </c>
      <c r="BY35" s="250">
        <v>451.33479999999997</v>
      </c>
      <c r="BZ35" s="37"/>
      <c r="CA35" s="37">
        <f t="shared" si="131"/>
        <v>634.19999999996435</v>
      </c>
      <c r="CB35" s="37">
        <f t="shared" si="79"/>
        <v>1</v>
      </c>
      <c r="CC35" s="250">
        <v>859276.4</v>
      </c>
      <c r="CD35" s="37">
        <f t="shared" si="23"/>
        <v>22.099999999976717</v>
      </c>
      <c r="CE35" s="250">
        <v>2019837</v>
      </c>
      <c r="CF35" s="37">
        <f t="shared" si="24"/>
        <v>3399</v>
      </c>
      <c r="CG35" s="250">
        <v>122991.9</v>
      </c>
      <c r="CH35" s="37">
        <f t="shared" si="80"/>
        <v>0</v>
      </c>
      <c r="CI35" s="250">
        <v>15295.34</v>
      </c>
      <c r="CJ35" s="40"/>
      <c r="CK35" s="37">
        <f t="shared" si="81"/>
        <v>14772.189999999642</v>
      </c>
      <c r="CL35" s="37">
        <f t="shared" si="25"/>
        <v>1</v>
      </c>
      <c r="CM35" s="250">
        <v>4606.0159999999996</v>
      </c>
      <c r="CN35" s="37"/>
      <c r="CO35" s="37">
        <f t="shared" si="26"/>
        <v>3109.3900000000367</v>
      </c>
      <c r="CP35" s="37">
        <f>IF(CO35&lt;=0,0,(CO35/SQRT(CO35^2+(CN35-CN34)^2)))</f>
        <v>1</v>
      </c>
      <c r="CQ35" s="250">
        <v>1122921</v>
      </c>
      <c r="CR35" s="39"/>
      <c r="CS35" s="37">
        <f t="shared" si="82"/>
        <v>4932.3900000000003</v>
      </c>
      <c r="CT35" s="37">
        <f t="shared" si="83"/>
        <v>1</v>
      </c>
      <c r="CU35" s="250">
        <v>5219124</v>
      </c>
      <c r="CV35" s="37"/>
      <c r="CW35" s="38">
        <f t="shared" si="27"/>
        <v>18774</v>
      </c>
      <c r="CX35" s="37">
        <f t="shared" si="103"/>
        <v>1</v>
      </c>
      <c r="CY35" s="250">
        <v>2801057</v>
      </c>
      <c r="CZ35" s="37"/>
      <c r="DA35" s="37">
        <f t="shared" si="137"/>
        <v>10744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0"/>
        <v>-56150.969999999681</v>
      </c>
      <c r="DH35" s="37">
        <f t="shared" si="31"/>
        <v>385974.39000000036</v>
      </c>
      <c r="DI35" s="46"/>
      <c r="DJ35" s="46"/>
      <c r="DK35" s="46"/>
      <c r="DL35" s="47"/>
      <c r="DM35" s="37"/>
      <c r="DN35" s="37"/>
      <c r="DO35" s="37"/>
      <c r="DP35" s="37"/>
      <c r="DQ35" s="250">
        <v>152130</v>
      </c>
      <c r="DR35" s="49">
        <f t="shared" si="84"/>
        <v>11440</v>
      </c>
      <c r="DS35" s="250">
        <v>7254000</v>
      </c>
      <c r="DT35" s="49">
        <f t="shared" si="85"/>
        <v>21600</v>
      </c>
      <c r="DU35" s="250">
        <v>8558.7999999999993</v>
      </c>
      <c r="DV35" s="250">
        <v>4796.7</v>
      </c>
      <c r="DW35" s="37">
        <f t="shared" si="105"/>
        <v>3599.9999999985448</v>
      </c>
      <c r="DX35" s="250">
        <v>14169</v>
      </c>
      <c r="DY35" s="250">
        <v>8833</v>
      </c>
      <c r="DZ35" s="37">
        <f t="shared" si="32"/>
        <v>1774.39</v>
      </c>
      <c r="EA35" s="250">
        <v>33048</v>
      </c>
      <c r="EB35" s="250">
        <v>22.465</v>
      </c>
      <c r="EC35" s="37">
        <f t="shared" si="33"/>
        <v>13934.39</v>
      </c>
      <c r="ED35" s="53">
        <f t="shared" si="34"/>
        <v>19308.779999998544</v>
      </c>
      <c r="EE35" s="250">
        <v>49655</v>
      </c>
      <c r="EF35" s="250">
        <v>32.847000000000001</v>
      </c>
      <c r="EG35" s="37">
        <f t="shared" si="35"/>
        <v>28934.39</v>
      </c>
      <c r="EH35" s="250">
        <v>14804</v>
      </c>
      <c r="EI35" s="250">
        <v>2.2368000000000001</v>
      </c>
      <c r="EJ35" s="37">
        <f t="shared" si="36"/>
        <v>9774.39</v>
      </c>
      <c r="EK35" s="250">
        <v>900.84</v>
      </c>
      <c r="EL35" s="250">
        <v>1288.5</v>
      </c>
      <c r="EM35" s="37">
        <f t="shared" si="86"/>
        <v>509.99999999999091</v>
      </c>
      <c r="EN35" s="54">
        <f t="shared" si="87"/>
        <v>39218.779999999992</v>
      </c>
      <c r="EO35" s="250">
        <v>14218</v>
      </c>
      <c r="EP35" s="48"/>
      <c r="EQ35" s="37">
        <f t="shared" si="112"/>
        <v>5254.3899999999612</v>
      </c>
      <c r="ER35" s="250">
        <v>11896</v>
      </c>
      <c r="ES35" s="48"/>
      <c r="ET35" s="49">
        <f t="shared" si="114"/>
        <v>18000</v>
      </c>
      <c r="EU35" s="250">
        <v>5100.8999999999996</v>
      </c>
      <c r="EV35" s="48"/>
      <c r="EW35" s="49">
        <f t="shared" si="38"/>
        <v>9674.3899999996356</v>
      </c>
      <c r="EX35" s="250">
        <v>15301</v>
      </c>
      <c r="EY35" s="48"/>
      <c r="EZ35" s="37">
        <f t="shared" si="39"/>
        <v>10774.39</v>
      </c>
      <c r="FA35" s="48">
        <f t="shared" si="88"/>
        <v>-18390.169999999598</v>
      </c>
      <c r="FB35" s="250">
        <v>40112845</v>
      </c>
      <c r="FC35" s="49">
        <f t="shared" si="106"/>
        <v>25313</v>
      </c>
      <c r="FD35" s="48">
        <f t="shared" si="89"/>
        <v>45643.169999999598</v>
      </c>
      <c r="FE35" s="250">
        <v>18373</v>
      </c>
      <c r="FF35" s="48"/>
      <c r="FG35" s="37">
        <f t="shared" si="40"/>
        <v>11294.390000000038</v>
      </c>
      <c r="FH35" s="250">
        <v>11256</v>
      </c>
      <c r="FI35" s="48"/>
      <c r="FJ35" s="49">
        <f t="shared" si="41"/>
        <v>17774.39</v>
      </c>
      <c r="FK35" s="48"/>
      <c r="FL35" s="58"/>
      <c r="FM35" s="48">
        <f t="shared" si="107"/>
        <v>185.61000000047352</v>
      </c>
      <c r="FN35" s="250">
        <v>18376</v>
      </c>
      <c r="FO35" s="48"/>
      <c r="FP35" s="37">
        <f t="shared" si="90"/>
        <v>9774.39</v>
      </c>
      <c r="FQ35" s="250">
        <v>64488</v>
      </c>
      <c r="FR35" s="48"/>
      <c r="FS35" s="37">
        <f>IF((FQ35-FQ34)*1000&lt;=0,0,(FQ35-FQ34)*1000)</f>
        <v>39400.000000001455</v>
      </c>
      <c r="FT35" s="48">
        <f t="shared" si="108"/>
        <v>556.83000000142056</v>
      </c>
      <c r="FU35" s="48">
        <f t="shared" si="109"/>
        <v>40643.169999999991</v>
      </c>
      <c r="FV35" s="250">
        <v>7983200</v>
      </c>
      <c r="FW35" s="44"/>
      <c r="FX35" s="37">
        <f t="shared" si="43"/>
        <v>15000</v>
      </c>
      <c r="FY35" s="250">
        <v>404920</v>
      </c>
      <c r="FZ35" s="56"/>
      <c r="GA35" s="37">
        <f t="shared" si="44"/>
        <v>3320</v>
      </c>
      <c r="GB35" s="250">
        <v>931.81</v>
      </c>
      <c r="GC35" s="56"/>
      <c r="GD35" s="37">
        <f t="shared" si="45"/>
        <v>549.99999999995453</v>
      </c>
      <c r="GE35" s="250">
        <v>11418</v>
      </c>
      <c r="GF35" s="56"/>
      <c r="GG35" s="37">
        <f t="shared" si="46"/>
        <v>4260.0000000000455</v>
      </c>
      <c r="GH35" s="250">
        <v>167170</v>
      </c>
      <c r="GI35" s="56"/>
      <c r="GJ35" s="38">
        <f t="shared" si="91"/>
        <v>1940</v>
      </c>
      <c r="GK35" s="250">
        <v>1559.6</v>
      </c>
      <c r="GL35" s="44"/>
      <c r="GM35" s="38">
        <f t="shared" si="47"/>
        <v>1799.9999999999545</v>
      </c>
      <c r="GN35" s="250">
        <v>244290</v>
      </c>
      <c r="GO35" s="57"/>
      <c r="GP35" s="38">
        <f t="shared" si="48"/>
        <v>0</v>
      </c>
      <c r="GQ35" s="250">
        <v>308760</v>
      </c>
      <c r="GR35" s="38"/>
      <c r="GS35" s="38">
        <f t="shared" si="92"/>
        <v>140</v>
      </c>
      <c r="GT35" s="247"/>
      <c r="GU35" s="144">
        <f>DailyOct!B34-DailyOct!N34-DailyOct!V34-DailyOct!Y34-DailyOct!Z34-DailyOct!AA34-DailyOct!AB34-DailyOct!AC34-DailyOct!AD34-DailyOct!AE34-DailyOct!AK34-DailyOct!AO34-DailyOct!AS34-DailyOct!AY34-DailyOct!BD34+DailyOct!BU34-DailyOct!BG34-DailyOct!BT34-DailyOct!AF34-DailyOct!AG34</f>
        <v>4.9999989249045029E-2</v>
      </c>
      <c r="GV35" s="261">
        <v>-18384.099999999999</v>
      </c>
      <c r="GW35" s="60">
        <f t="shared" si="0"/>
        <v>-1225.6066666666666</v>
      </c>
      <c r="GX35" s="260">
        <v>-1225.6099999999999</v>
      </c>
      <c r="GY35" s="140"/>
      <c r="GZ35" s="62"/>
      <c r="HA35" s="62"/>
      <c r="HB35" s="74"/>
      <c r="HC35" s="62"/>
      <c r="HD35" s="74"/>
      <c r="HE35" s="24">
        <f t="shared" si="49"/>
        <v>0</v>
      </c>
      <c r="HG35" s="279">
        <v>29</v>
      </c>
      <c r="HH35" s="292">
        <v>34767</v>
      </c>
      <c r="HI35" s="292">
        <v>13184</v>
      </c>
      <c r="HJ35" s="61">
        <f t="shared" si="50"/>
        <v>181000</v>
      </c>
      <c r="HK35" s="260">
        <v>2.1432000000000002</v>
      </c>
      <c r="HL35" s="260">
        <v>807.23</v>
      </c>
      <c r="HM35" s="61">
        <f t="shared" si="51"/>
        <v>0</v>
      </c>
      <c r="HN35" s="292">
        <v>8726</v>
      </c>
      <c r="HO35" s="292">
        <v>37086</v>
      </c>
      <c r="HP35" s="61">
        <f t="shared" si="52"/>
        <v>42425.000000000364</v>
      </c>
      <c r="HQ35" s="292">
        <v>5948.3</v>
      </c>
      <c r="HR35" s="292">
        <v>2478.9</v>
      </c>
      <c r="HS35" s="61">
        <f t="shared" si="53"/>
        <v>28325</v>
      </c>
      <c r="HT35" s="292">
        <v>5916.5</v>
      </c>
      <c r="HU35" s="292">
        <v>2108.1</v>
      </c>
      <c r="HV35" s="61">
        <f t="shared" si="54"/>
        <v>33224.999999999636</v>
      </c>
      <c r="HW35" s="292">
        <v>4480.8</v>
      </c>
      <c r="HX35" s="292">
        <v>1891.4</v>
      </c>
      <c r="HY35" s="61">
        <f t="shared" si="55"/>
        <v>25725.000000000546</v>
      </c>
      <c r="HZ35" s="260">
        <v>3955600</v>
      </c>
      <c r="IA35" s="260">
        <v>16967</v>
      </c>
      <c r="IB35" s="61">
        <f t="shared" si="56"/>
        <v>29700</v>
      </c>
      <c r="IC35" s="292">
        <v>719.8</v>
      </c>
      <c r="ID35" s="292">
        <v>232.78</v>
      </c>
      <c r="IE35" s="61">
        <f t="shared" si="113"/>
        <v>0</v>
      </c>
      <c r="IF35" s="61"/>
      <c r="IG35" s="61"/>
      <c r="IH35" s="280">
        <f t="shared" si="57"/>
        <v>21600</v>
      </c>
      <c r="II35" s="281">
        <f t="shared" si="138"/>
        <v>-5.3842086344957352E-10</v>
      </c>
      <c r="IJ35" s="345"/>
      <c r="IK35" s="345"/>
      <c r="IL35" s="345">
        <f t="shared" si="115"/>
        <v>0</v>
      </c>
      <c r="IM35" s="345"/>
      <c r="IN35" s="345"/>
      <c r="IO35" s="345">
        <f t="shared" si="116"/>
        <v>0</v>
      </c>
      <c r="IP35" s="345"/>
      <c r="IQ35" s="345"/>
      <c r="IR35" s="345">
        <f t="shared" si="117"/>
        <v>0</v>
      </c>
      <c r="IS35" s="345"/>
      <c r="IT35" s="345"/>
      <c r="IU35" s="345">
        <f t="shared" si="118"/>
        <v>0</v>
      </c>
      <c r="IV35" s="345"/>
      <c r="IW35" s="345"/>
      <c r="IX35" s="345">
        <f t="shared" si="119"/>
        <v>0</v>
      </c>
      <c r="IY35" s="345"/>
      <c r="IZ35" s="345"/>
      <c r="JA35" s="345">
        <f t="shared" si="120"/>
        <v>0</v>
      </c>
      <c r="JB35" s="345"/>
      <c r="JC35" s="345"/>
      <c r="JD35" s="345">
        <f t="shared" si="121"/>
        <v>0</v>
      </c>
      <c r="JE35" s="345"/>
      <c r="JF35" s="345"/>
      <c r="JG35" s="345">
        <f t="shared" si="122"/>
        <v>0</v>
      </c>
      <c r="JH35" s="345"/>
      <c r="JI35" s="345"/>
      <c r="JJ35" s="345">
        <f t="shared" si="123"/>
        <v>0</v>
      </c>
      <c r="JK35" s="345"/>
      <c r="JL35" s="345"/>
      <c r="JM35" s="345">
        <f t="shared" si="124"/>
        <v>0</v>
      </c>
      <c r="JN35" s="345"/>
      <c r="JO35" s="345"/>
      <c r="JP35" s="345">
        <f t="shared" si="125"/>
        <v>0</v>
      </c>
      <c r="JQ35" s="345"/>
      <c r="JR35" s="345"/>
      <c r="JS35" s="345">
        <f t="shared" si="126"/>
        <v>0</v>
      </c>
      <c r="JT35" s="345"/>
      <c r="JU35" s="345"/>
      <c r="JV35" s="345">
        <f t="shared" si="127"/>
        <v>0</v>
      </c>
      <c r="JW35" s="345"/>
      <c r="JX35" s="345"/>
      <c r="JY35" s="345">
        <f t="shared" si="128"/>
        <v>0</v>
      </c>
      <c r="JZ35" s="345"/>
      <c r="KA35" s="345"/>
      <c r="KB35" s="345">
        <f t="shared" si="129"/>
        <v>0</v>
      </c>
      <c r="KC35" s="345"/>
      <c r="KD35" s="345"/>
      <c r="KE35" s="345">
        <f t="shared" si="130"/>
        <v>0</v>
      </c>
      <c r="KG35" s="151">
        <f t="shared" si="75"/>
        <v>72124.999999999825</v>
      </c>
    </row>
    <row r="36" spans="1:293" x14ac:dyDescent="0.25">
      <c r="A36" s="35">
        <f t="shared" si="76"/>
        <v>30</v>
      </c>
      <c r="B36" s="250">
        <v>6005.13</v>
      </c>
      <c r="C36" s="38">
        <f t="shared" si="1"/>
        <v>10.090000000000146</v>
      </c>
      <c r="D36" s="38">
        <f t="shared" si="2"/>
        <v>322880.00000000466</v>
      </c>
      <c r="E36" s="250">
        <v>1202.78</v>
      </c>
      <c r="F36" s="38">
        <f t="shared" si="3"/>
        <v>59199.99999999709</v>
      </c>
      <c r="G36" s="38">
        <f t="shared" si="4"/>
        <v>382080.00000000175</v>
      </c>
      <c r="H36" s="37"/>
      <c r="I36" s="39"/>
      <c r="J36" s="42"/>
      <c r="K36" s="37">
        <f>IF(J36&lt;=0,0,(J36/SQRT(J36^2+(I36-I35)^2)))</f>
        <v>0</v>
      </c>
      <c r="L36" s="250">
        <v>19663000</v>
      </c>
      <c r="M36" s="40"/>
      <c r="N36" s="37">
        <f t="shared" si="94"/>
        <v>385000</v>
      </c>
      <c r="O36" s="250">
        <v>13774</v>
      </c>
      <c r="P36" s="37"/>
      <c r="Q36" s="37">
        <f t="shared" si="133"/>
        <v>14799.999999999272</v>
      </c>
      <c r="R36" s="37">
        <f>IF(Q36&lt;=0,0,(Q36/SQRT(Q36^2+(P36-P35)^2)))</f>
        <v>1</v>
      </c>
      <c r="S36" s="250">
        <v>11280368.75</v>
      </c>
      <c r="T36" s="37">
        <f t="shared" si="6"/>
        <v>0</v>
      </c>
      <c r="U36" s="250">
        <v>1523792.57</v>
      </c>
      <c r="V36" s="37">
        <f>IF((U36-U35)&lt;=0,0,(U36-U35))</f>
        <v>0</v>
      </c>
      <c r="W36" s="250">
        <v>4939.8999999999996</v>
      </c>
      <c r="X36" s="37">
        <f t="shared" si="110"/>
        <v>8099.9999999992724</v>
      </c>
      <c r="Y36" s="183"/>
      <c r="Z36" s="183"/>
      <c r="AA36" s="250">
        <v>913000</v>
      </c>
      <c r="AB36" s="37">
        <f t="shared" si="8"/>
        <v>6700</v>
      </c>
      <c r="AC36" s="250">
        <v>5106.5</v>
      </c>
      <c r="AD36" s="37"/>
      <c r="AE36" s="37">
        <f t="shared" si="135"/>
        <v>6199.9999999998181</v>
      </c>
      <c r="AF36" s="37">
        <f>IF(AE36&lt;=0,0,(AE36/SQRT(AE36^2+(AD36-AD35)^2)))</f>
        <v>1</v>
      </c>
      <c r="AG36" s="250">
        <v>11110</v>
      </c>
      <c r="AH36" s="37"/>
      <c r="AI36" s="37">
        <f t="shared" si="10"/>
        <v>15729.580000000728</v>
      </c>
      <c r="AJ36" s="37">
        <f t="shared" si="11"/>
        <v>1</v>
      </c>
      <c r="AK36" s="37">
        <f t="shared" si="12"/>
        <v>30029.57999999982</v>
      </c>
      <c r="AL36" s="250">
        <v>12666</v>
      </c>
      <c r="AM36" s="42"/>
      <c r="AN36" s="37">
        <f t="shared" si="77"/>
        <v>7169.5800000000318</v>
      </c>
      <c r="AO36" s="37">
        <f>IF(AN36&lt;=0,0,(AN36/SQRT(AN36^2+(AM36-AM35)^2)))</f>
        <v>1</v>
      </c>
      <c r="AP36" s="250">
        <v>10030</v>
      </c>
      <c r="AQ36" s="37"/>
      <c r="AR36" s="37">
        <f t="shared" si="13"/>
        <v>8299.9999999992724</v>
      </c>
      <c r="AS36" s="37">
        <f>IF(AR36&lt;=0,0,(AR36/SQRT(AR36^2+(AQ36-AQ35)^2)))</f>
        <v>1</v>
      </c>
      <c r="AT36" s="183"/>
      <c r="AU36" s="183"/>
      <c r="AV36" s="183"/>
      <c r="AW36" s="183"/>
      <c r="AX36" s="250">
        <v>547513.19999999995</v>
      </c>
      <c r="AY36" s="37"/>
      <c r="AZ36" s="37">
        <f t="shared" si="14"/>
        <v>353.19999999995343</v>
      </c>
      <c r="BA36" s="250">
        <v>243447.46</v>
      </c>
      <c r="BB36" s="37"/>
      <c r="BC36" s="37">
        <f t="shared" si="15"/>
        <v>567.45999999999185</v>
      </c>
      <c r="BD36" s="37">
        <f>AN36+AR36+AZ36+BC36</f>
        <v>16390.239999999249</v>
      </c>
      <c r="BE36" s="250">
        <v>2173.6999999999998</v>
      </c>
      <c r="BF36" s="250">
        <v>1227.4000000000001</v>
      </c>
      <c r="BG36" s="37">
        <f t="shared" si="16"/>
        <v>1699.9999999998181</v>
      </c>
      <c r="BH36" s="250">
        <v>10366</v>
      </c>
      <c r="BI36" s="250">
        <v>6702.3</v>
      </c>
      <c r="BJ36" s="37">
        <f t="shared" si="17"/>
        <v>10000</v>
      </c>
      <c r="BK36" s="250">
        <v>2218900</v>
      </c>
      <c r="BL36" s="40">
        <f t="shared" si="100"/>
        <v>3200</v>
      </c>
      <c r="BM36" s="250">
        <v>968.39</v>
      </c>
      <c r="BN36" s="37">
        <f t="shared" si="18"/>
        <v>0</v>
      </c>
      <c r="BO36" s="186"/>
      <c r="BP36" s="183">
        <f t="shared" si="19"/>
        <v>0</v>
      </c>
      <c r="BQ36" s="250">
        <v>923.16</v>
      </c>
      <c r="BR36" s="37">
        <f t="shared" si="78"/>
        <v>659.99999999996817</v>
      </c>
      <c r="BS36" s="250">
        <v>131076.39000000001</v>
      </c>
      <c r="BT36" s="37">
        <f t="shared" si="20"/>
        <v>134.65000000000873</v>
      </c>
      <c r="BU36" s="250">
        <v>3901500</v>
      </c>
      <c r="BV36" s="42"/>
      <c r="BW36" s="37">
        <f t="shared" si="21"/>
        <v>9977</v>
      </c>
      <c r="BX36" s="37">
        <f>IF(BW36&lt;=0,0,(BW36/SQRT(BW36^2+(BV36-BV35)^2)))</f>
        <v>1</v>
      </c>
      <c r="BY36" s="250">
        <v>452.08</v>
      </c>
      <c r="BZ36" s="43"/>
      <c r="CA36" s="37">
        <f t="shared" si="131"/>
        <v>745.20000000001119</v>
      </c>
      <c r="CB36" s="37">
        <f t="shared" si="79"/>
        <v>1</v>
      </c>
      <c r="CC36" s="250">
        <v>863640</v>
      </c>
      <c r="CD36" s="37">
        <f t="shared" si="23"/>
        <v>4363.5999999999767</v>
      </c>
      <c r="CE36" s="391">
        <v>2024997</v>
      </c>
      <c r="CF36" s="37">
        <f t="shared" si="24"/>
        <v>5160</v>
      </c>
      <c r="CG36" s="250">
        <v>122990</v>
      </c>
      <c r="CH36" s="37">
        <f t="shared" si="80"/>
        <v>0</v>
      </c>
      <c r="CI36" s="250">
        <v>15313</v>
      </c>
      <c r="CJ36" s="40"/>
      <c r="CK36" s="37">
        <f t="shared" ref="CK36" si="139">IF((CI36-CI35)*1000&lt;=0,0,(CI36-CI35)*1000)+GX36-CA36</f>
        <v>17444.379999999845</v>
      </c>
      <c r="CL36" s="37">
        <f t="shared" ref="CL36" si="140">IF(CK36&lt;=0,0,(CK36/SQRT(CK36^2+(CJ36-CJ35)^2)))</f>
        <v>1</v>
      </c>
      <c r="CM36" s="250">
        <v>4611.8</v>
      </c>
      <c r="CN36" s="37"/>
      <c r="CO36" s="37">
        <f t="shared" si="26"/>
        <v>6313.5800000005602</v>
      </c>
      <c r="CP36" s="37">
        <f>IF(CO36&lt;=0,0,(CO36/SQRT(CO36^2+(CN36-CN35)^2)))</f>
        <v>1</v>
      </c>
      <c r="CQ36" s="250">
        <v>1129800</v>
      </c>
      <c r="CR36" s="39"/>
      <c r="CS36" s="37">
        <f t="shared" si="82"/>
        <v>7408.58</v>
      </c>
      <c r="CT36" s="37">
        <f t="shared" si="83"/>
        <v>1</v>
      </c>
      <c r="CU36" s="250">
        <v>5234000</v>
      </c>
      <c r="CV36" s="41"/>
      <c r="CW36" s="38">
        <f>IF((CU36-CU35)&lt;=0,0,(CU36-CU35))</f>
        <v>14876</v>
      </c>
      <c r="CX36" s="37">
        <f t="shared" si="103"/>
        <v>1</v>
      </c>
      <c r="CY36" s="250">
        <v>2809100</v>
      </c>
      <c r="CZ36" s="37"/>
      <c r="DA36" s="37">
        <f t="shared" si="137"/>
        <v>8043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0"/>
        <v>-64062.540000000408</v>
      </c>
      <c r="DH36" s="37">
        <f t="shared" si="31"/>
        <v>416729.57999999961</v>
      </c>
      <c r="DI36" s="46"/>
      <c r="DJ36" s="46"/>
      <c r="DK36" s="47"/>
      <c r="DL36" s="47"/>
      <c r="DM36" s="37"/>
      <c r="DN36" s="37"/>
      <c r="DO36" s="37"/>
      <c r="DP36" s="37"/>
      <c r="DQ36" s="250">
        <v>159770</v>
      </c>
      <c r="DR36" s="49">
        <f t="shared" si="84"/>
        <v>7640</v>
      </c>
      <c r="DS36" s="250">
        <v>7274300</v>
      </c>
      <c r="DT36" s="49">
        <f t="shared" si="85"/>
        <v>20300</v>
      </c>
      <c r="DU36" s="250">
        <v>8560.6</v>
      </c>
      <c r="DV36" s="250">
        <v>4797.3</v>
      </c>
      <c r="DW36" s="37">
        <f t="shared" si="105"/>
        <v>1800.0000000010914</v>
      </c>
      <c r="DX36" s="250">
        <v>14171</v>
      </c>
      <c r="DY36" s="250">
        <v>8835.2000000000007</v>
      </c>
      <c r="DZ36" s="37">
        <f t="shared" si="32"/>
        <v>2529.58</v>
      </c>
      <c r="EA36" s="250">
        <v>33055</v>
      </c>
      <c r="EB36" s="250">
        <v>22.468</v>
      </c>
      <c r="EC36" s="37">
        <f t="shared" si="33"/>
        <v>9689.58</v>
      </c>
      <c r="ED36" s="53">
        <f>DW37+DZ36+EC36</f>
        <v>12719.16</v>
      </c>
      <c r="EE36" s="250">
        <v>49682</v>
      </c>
      <c r="EF36" s="250">
        <v>32.868000000000002</v>
      </c>
      <c r="EG36" s="37">
        <f t="shared" si="35"/>
        <v>29689.58</v>
      </c>
      <c r="EH36" s="250">
        <v>14814</v>
      </c>
      <c r="EI36" s="250">
        <v>2.2395999999999998</v>
      </c>
      <c r="EJ36" s="37">
        <f t="shared" si="36"/>
        <v>10529.58</v>
      </c>
      <c r="EK36" s="250">
        <v>901.51</v>
      </c>
      <c r="EL36" s="250">
        <v>1289.5999999999999</v>
      </c>
      <c r="EM36" s="37">
        <f t="shared" si="86"/>
        <v>669.99999999995907</v>
      </c>
      <c r="EN36" s="54">
        <f t="shared" si="87"/>
        <v>40889.15999999996</v>
      </c>
      <c r="EO36" s="250">
        <v>14226</v>
      </c>
      <c r="EP36" s="48"/>
      <c r="EQ36" s="37">
        <f t="shared" si="112"/>
        <v>7219.5799999999981</v>
      </c>
      <c r="ER36" s="250">
        <v>11913</v>
      </c>
      <c r="ES36" s="55"/>
      <c r="ET36" s="49">
        <f t="shared" si="114"/>
        <v>17000</v>
      </c>
      <c r="EU36" s="250">
        <v>5111.3</v>
      </c>
      <c r="EV36" s="48"/>
      <c r="EW36" s="49">
        <f t="shared" si="38"/>
        <v>10929.580000000546</v>
      </c>
      <c r="EX36" s="250">
        <v>15313</v>
      </c>
      <c r="EY36" s="48"/>
      <c r="EZ36" s="37">
        <f t="shared" si="39"/>
        <v>12529.58</v>
      </c>
      <c r="FA36" s="48">
        <f t="shared" si="88"/>
        <v>-23269.740000000544</v>
      </c>
      <c r="FB36" s="250">
        <v>40137254</v>
      </c>
      <c r="FC36" s="49">
        <f>IF((FB36-FB35)&lt;=0,0,(FB36-FB35))</f>
        <v>24409</v>
      </c>
      <c r="FD36" s="48">
        <f t="shared" si="89"/>
        <v>49508.740000000544</v>
      </c>
      <c r="FE36" s="250">
        <v>18382</v>
      </c>
      <c r="FF36" s="48"/>
      <c r="FG36" s="37">
        <f t="shared" si="40"/>
        <v>10839.580000000002</v>
      </c>
      <c r="FH36" s="250">
        <v>11275</v>
      </c>
      <c r="FI36" s="48"/>
      <c r="FJ36" s="49">
        <f t="shared" si="41"/>
        <v>19529.580000000002</v>
      </c>
      <c r="FK36" s="48"/>
      <c r="FL36" s="58"/>
      <c r="FM36" s="48">
        <f t="shared" si="107"/>
        <v>-299.58000000000112</v>
      </c>
      <c r="FN36" s="250">
        <v>18387</v>
      </c>
      <c r="FO36" s="48"/>
      <c r="FP36" s="37">
        <f t="shared" si="90"/>
        <v>11529.58</v>
      </c>
      <c r="FQ36" s="250">
        <v>64529</v>
      </c>
      <c r="FR36" s="48"/>
      <c r="FS36" s="37">
        <f>IF((FQ36-FQ35)*1000&lt;=0,0,(FQ36-FQ35)*1000)</f>
        <v>41000</v>
      </c>
      <c r="FT36" s="48">
        <f t="shared" si="108"/>
        <v>-898.74000000000342</v>
      </c>
      <c r="FU36" s="48">
        <f t="shared" si="109"/>
        <v>43598.740000000049</v>
      </c>
      <c r="FV36" s="250">
        <v>8002000</v>
      </c>
      <c r="FW36" s="44"/>
      <c r="FX36" s="37">
        <f t="shared" si="43"/>
        <v>18800</v>
      </c>
      <c r="FY36" s="250">
        <v>408780</v>
      </c>
      <c r="FZ36" s="56"/>
      <c r="GA36" s="37">
        <f t="shared" si="44"/>
        <v>3860</v>
      </c>
      <c r="GB36" s="250">
        <v>932.47</v>
      </c>
      <c r="GC36" s="56"/>
      <c r="GD36" s="37">
        <f t="shared" si="45"/>
        <v>660.00000000008185</v>
      </c>
      <c r="GE36" s="250">
        <v>11426</v>
      </c>
      <c r="GF36" s="63"/>
      <c r="GG36" s="37">
        <f t="shared" si="46"/>
        <v>4469.9999999999545</v>
      </c>
      <c r="GH36" s="250">
        <v>169000</v>
      </c>
      <c r="GI36" s="56"/>
      <c r="GJ36" s="38">
        <f t="shared" si="91"/>
        <v>1830</v>
      </c>
      <c r="GK36" s="250">
        <v>1561.3</v>
      </c>
      <c r="GL36" s="44"/>
      <c r="GM36" s="38">
        <f t="shared" si="47"/>
        <v>1700.0000000000455</v>
      </c>
      <c r="GN36" s="250">
        <v>244290</v>
      </c>
      <c r="GO36" s="57"/>
      <c r="GP36" s="38">
        <f t="shared" si="48"/>
        <v>0</v>
      </c>
      <c r="GQ36" s="250">
        <v>308890</v>
      </c>
      <c r="GR36" s="38"/>
      <c r="GS36" s="38">
        <f t="shared" si="92"/>
        <v>130</v>
      </c>
      <c r="GT36" s="247"/>
      <c r="GU36" s="144">
        <f>DailyOct!B35-DailyOct!N35-DailyOct!V35-DailyOct!Y35-DailyOct!Z35-DailyOct!AA35-DailyOct!AB35-DailyOct!AC35-DailyOct!AD35-DailyOct!AE35-DailyOct!AK35-DailyOct!AO35-DailyOct!AS35-DailyOct!AY35-DailyOct!BD35+DailyOct!BU35-DailyOct!BG35-DailyOct!BT35-DailyOct!AF35-DailyOct!AG35</f>
        <v>4.0000000939471647E-2</v>
      </c>
      <c r="GV36" s="261">
        <v>7943.74</v>
      </c>
      <c r="GW36" s="60">
        <f t="shared" si="0"/>
        <v>529.58266666666668</v>
      </c>
      <c r="GX36" s="260">
        <v>529.58000000000004</v>
      </c>
      <c r="GY36" s="140"/>
      <c r="GZ36" s="62"/>
      <c r="HA36" s="62"/>
      <c r="HB36" s="62"/>
      <c r="HC36" s="62"/>
      <c r="HD36" s="74"/>
      <c r="HE36" s="24"/>
      <c r="HG36" s="279">
        <v>30</v>
      </c>
      <c r="HH36" s="292">
        <v>34935</v>
      </c>
      <c r="HI36" s="292">
        <v>13249</v>
      </c>
      <c r="HJ36" s="61">
        <f t="shared" si="50"/>
        <v>168000</v>
      </c>
      <c r="HK36" s="260">
        <v>2.1432000000000002</v>
      </c>
      <c r="HL36" s="260">
        <v>807.23</v>
      </c>
      <c r="HM36" s="61">
        <f t="shared" si="51"/>
        <v>0</v>
      </c>
      <c r="HN36" s="292">
        <v>8769.2000000000007</v>
      </c>
      <c r="HO36" s="292">
        <v>87265</v>
      </c>
      <c r="HP36" s="61">
        <f t="shared" si="52"/>
        <v>42225.000000000728</v>
      </c>
      <c r="HQ36" s="292">
        <v>5976.3</v>
      </c>
      <c r="HR36" s="292">
        <v>2489.8000000000002</v>
      </c>
      <c r="HS36" s="61">
        <f t="shared" si="53"/>
        <v>27025</v>
      </c>
      <c r="HT36" s="292">
        <v>5944.4</v>
      </c>
      <c r="HU36" s="292">
        <v>2117.3000000000002</v>
      </c>
      <c r="HV36" s="61">
        <f>IF((HT36-HT35)&lt;=0,0,(HT36-HT35)*1000)+IL73</f>
        <v>26924.999999999636</v>
      </c>
      <c r="HW36" s="292">
        <v>4505.2</v>
      </c>
      <c r="HX36" s="292">
        <v>1901.3</v>
      </c>
      <c r="HY36" s="61">
        <f t="shared" si="55"/>
        <v>23424.999999999636</v>
      </c>
      <c r="HZ36" s="260">
        <v>3983700</v>
      </c>
      <c r="IA36" s="260">
        <v>17084</v>
      </c>
      <c r="IB36" s="61">
        <f t="shared" si="56"/>
        <v>28100</v>
      </c>
      <c r="IC36" s="292">
        <v>719.8</v>
      </c>
      <c r="ID36" s="292">
        <v>232.78</v>
      </c>
      <c r="IE36" s="61">
        <f t="shared" si="113"/>
        <v>0</v>
      </c>
      <c r="IF36" s="61"/>
      <c r="IG36" s="61"/>
      <c r="IH36" s="280">
        <f t="shared" si="57"/>
        <v>20300</v>
      </c>
      <c r="II36" s="281">
        <f t="shared" si="138"/>
        <v>0</v>
      </c>
      <c r="IJ36" s="345"/>
      <c r="IK36" s="345"/>
      <c r="IL36" s="345">
        <f t="shared" si="115"/>
        <v>0</v>
      </c>
      <c r="IM36" s="345"/>
      <c r="IN36" s="345"/>
      <c r="IO36" s="345">
        <f t="shared" si="116"/>
        <v>0</v>
      </c>
      <c r="IP36" s="345"/>
      <c r="IQ36" s="345"/>
      <c r="IR36" s="345">
        <f t="shared" si="117"/>
        <v>0</v>
      </c>
      <c r="IS36" s="345"/>
      <c r="IT36" s="345"/>
      <c r="IU36" s="345">
        <f t="shared" si="118"/>
        <v>0</v>
      </c>
      <c r="IV36" s="345"/>
      <c r="IW36" s="345"/>
      <c r="IX36" s="345">
        <f t="shared" si="119"/>
        <v>0</v>
      </c>
      <c r="IY36" s="345"/>
      <c r="IZ36" s="345"/>
      <c r="JA36" s="345">
        <f t="shared" si="120"/>
        <v>0</v>
      </c>
      <c r="JB36" s="345"/>
      <c r="JC36" s="345"/>
      <c r="JD36" s="345">
        <f t="shared" si="121"/>
        <v>0</v>
      </c>
      <c r="JE36" s="345"/>
      <c r="JF36" s="345"/>
      <c r="JG36" s="345">
        <f t="shared" si="122"/>
        <v>0</v>
      </c>
      <c r="JH36" s="345"/>
      <c r="JI36" s="345"/>
      <c r="JJ36" s="345">
        <f t="shared" si="123"/>
        <v>0</v>
      </c>
      <c r="JK36" s="345"/>
      <c r="JL36" s="345"/>
      <c r="JM36" s="345">
        <f t="shared" si="124"/>
        <v>0</v>
      </c>
      <c r="JN36" s="345"/>
      <c r="JO36" s="345"/>
      <c r="JP36" s="345">
        <f t="shared" si="125"/>
        <v>0</v>
      </c>
      <c r="JQ36" s="345"/>
      <c r="JR36" s="345"/>
      <c r="JS36" s="345">
        <f t="shared" si="126"/>
        <v>0</v>
      </c>
      <c r="JT36" s="345"/>
      <c r="JU36" s="345"/>
      <c r="JV36" s="345">
        <f t="shared" si="127"/>
        <v>0</v>
      </c>
      <c r="JW36" s="345"/>
      <c r="JX36" s="345"/>
      <c r="JY36" s="345">
        <f t="shared" si="128"/>
        <v>0</v>
      </c>
      <c r="JZ36" s="345"/>
      <c r="KA36" s="345"/>
      <c r="KB36" s="345">
        <f t="shared" si="129"/>
        <v>0</v>
      </c>
      <c r="KC36" s="345"/>
      <c r="KD36" s="345"/>
      <c r="KE36" s="345">
        <f t="shared" si="130"/>
        <v>0</v>
      </c>
      <c r="KG36" s="151">
        <f t="shared" si="75"/>
        <v>70325.000000000728</v>
      </c>
    </row>
    <row r="37" spans="1:293" x14ac:dyDescent="0.25">
      <c r="A37" s="35">
        <v>31</v>
      </c>
      <c r="B37" s="250">
        <v>6015.23</v>
      </c>
      <c r="C37" s="38">
        <f t="shared" si="1"/>
        <v>10.099999999999454</v>
      </c>
      <c r="D37" s="38">
        <f t="shared" si="2"/>
        <v>323199.99999998254</v>
      </c>
      <c r="E37" s="250">
        <v>1204.8</v>
      </c>
      <c r="F37" s="38">
        <f t="shared" si="3"/>
        <v>64639.999999999418</v>
      </c>
      <c r="G37" s="38">
        <f t="shared" si="4"/>
        <v>387839.99999998196</v>
      </c>
      <c r="H37" s="37"/>
      <c r="I37" s="39"/>
      <c r="J37" s="42"/>
      <c r="K37" s="37">
        <v>0</v>
      </c>
      <c r="L37" s="250">
        <v>19701560</v>
      </c>
      <c r="M37" s="40"/>
      <c r="N37" s="37">
        <f t="shared" si="94"/>
        <v>385600</v>
      </c>
      <c r="O37" s="250">
        <v>13788.3</v>
      </c>
      <c r="P37" s="37"/>
      <c r="Q37" s="37">
        <f t="shared" ref="Q37:Q38" si="141">IF((O37-O36)&lt;=0,0,(O37-O36))*1000</f>
        <v>14299.999999999272</v>
      </c>
      <c r="R37" s="37">
        <f>IF(Q37&lt;=0,0,(Q37/SQRT(Q37^2+(P37-P36)^2)))</f>
        <v>1</v>
      </c>
      <c r="S37" s="250">
        <v>11280363.75</v>
      </c>
      <c r="T37" s="37">
        <f t="shared" si="6"/>
        <v>0</v>
      </c>
      <c r="U37" s="250">
        <v>1523792.57</v>
      </c>
      <c r="V37" s="37">
        <v>0</v>
      </c>
      <c r="W37" s="250">
        <v>4946.5</v>
      </c>
      <c r="X37" s="37">
        <f t="shared" si="110"/>
        <v>7999.9999999992724</v>
      </c>
      <c r="Y37" s="183"/>
      <c r="Z37" s="183"/>
      <c r="AA37" s="250">
        <v>919300</v>
      </c>
      <c r="AB37" s="37">
        <f t="shared" si="8"/>
        <v>6300</v>
      </c>
      <c r="AC37" s="250">
        <v>5111.3</v>
      </c>
      <c r="AD37" s="37"/>
      <c r="AE37" s="37">
        <f t="shared" ref="AE37:AE38" si="142">IF((AC37-AC36)&lt;=0,0,(AC37-AC36))*1000</f>
        <v>4800.0000000001819</v>
      </c>
      <c r="AF37" s="37">
        <f>IF(AE37&lt;=0,0,(AE37/SQRT(AE37^2+(AD37-AD36)^2)))</f>
        <v>1</v>
      </c>
      <c r="AG37" s="250">
        <v>11119</v>
      </c>
      <c r="AH37" s="37"/>
      <c r="AI37" s="37">
        <f t="shared" ref="AI37:AI38" si="143">IF((AG37-AG36)&lt;=0,0,(AG37-AG36))*1000+GX37</f>
        <v>9205.2999999999993</v>
      </c>
      <c r="AJ37" s="37">
        <f t="shared" ref="AJ37:AJ38" si="144">IF(AI37&lt;=0,0,(AI37/SQRT(AI37^2+(AH37-AH36)^2)))</f>
        <v>1</v>
      </c>
      <c r="AK37" s="37">
        <f t="shared" ref="AK37:AK38" si="145">T37+V37+X37+AE37+AI37</f>
        <v>22005.299999999454</v>
      </c>
      <c r="AL37" s="250">
        <v>12677.8</v>
      </c>
      <c r="AM37" s="42"/>
      <c r="AN37" s="37">
        <f t="shared" si="77"/>
        <v>7665.2999999992853</v>
      </c>
      <c r="AO37" s="37">
        <v>1</v>
      </c>
      <c r="AP37" s="250">
        <v>10043.200000000001</v>
      </c>
      <c r="AQ37" s="37"/>
      <c r="AR37" s="37">
        <f t="shared" si="13"/>
        <v>13200.000000000728</v>
      </c>
      <c r="AS37" s="37">
        <v>1</v>
      </c>
      <c r="AT37" s="183"/>
      <c r="AU37" s="183"/>
      <c r="AV37" s="183"/>
      <c r="AW37" s="183"/>
      <c r="AX37" s="250">
        <v>547880</v>
      </c>
      <c r="AY37" s="37"/>
      <c r="AZ37" s="37">
        <f t="shared" si="14"/>
        <v>366.80000000004657</v>
      </c>
      <c r="BA37" s="250">
        <v>244110</v>
      </c>
      <c r="BB37" s="37"/>
      <c r="BC37" s="37">
        <f t="shared" si="15"/>
        <v>662.54000000000815</v>
      </c>
      <c r="BD37" s="37">
        <f>AN37+AR37+AZ37+BC37</f>
        <v>21894.640000000069</v>
      </c>
      <c r="BE37" s="250">
        <v>2175.5</v>
      </c>
      <c r="BF37" s="250">
        <v>1228.5</v>
      </c>
      <c r="BG37" s="37">
        <f t="shared" si="16"/>
        <v>1800.0000000001819</v>
      </c>
      <c r="BH37" s="250">
        <v>10376</v>
      </c>
      <c r="BI37" s="250">
        <v>6708.5</v>
      </c>
      <c r="BJ37" s="37">
        <f t="shared" si="17"/>
        <v>10000</v>
      </c>
      <c r="BK37" s="250">
        <v>2222600</v>
      </c>
      <c r="BL37" s="40">
        <f t="shared" si="100"/>
        <v>3700</v>
      </c>
      <c r="BM37" s="250">
        <v>969.12</v>
      </c>
      <c r="BN37" s="37">
        <v>0</v>
      </c>
      <c r="BO37" s="186"/>
      <c r="BP37" s="183">
        <f t="shared" ref="BP37" si="146">IF((BO37-BO36)&lt;=0,0,(BO37-BO36))*1000</f>
        <v>0</v>
      </c>
      <c r="BQ37" s="250">
        <v>923.8</v>
      </c>
      <c r="BR37" s="37">
        <f t="shared" ref="BR37" si="147">IF((BQ37-BQ36)&lt;=0,0,(BQ37-BQ36))*1000</f>
        <v>639.99999999998636</v>
      </c>
      <c r="BS37" s="250">
        <v>131209.84</v>
      </c>
      <c r="BT37" s="37">
        <f t="shared" ref="BT37:BT38" si="148">IF((BS37-BS36)&lt;=0,0,(BS37-BS36))</f>
        <v>133.44999999998254</v>
      </c>
      <c r="BU37" s="250">
        <v>3908470</v>
      </c>
      <c r="BV37" s="42"/>
      <c r="BW37" s="37">
        <f t="shared" ref="BW37:BW38" si="149">IF((BU37-BU36)&lt;=0,0,(BU37-BU36))</f>
        <v>6970</v>
      </c>
      <c r="BX37" s="37">
        <f>IF(BW37&lt;=0,0,(BW37/SQRT(BW37^2+(BV37-BV36)^2)))</f>
        <v>1</v>
      </c>
      <c r="BY37" s="250">
        <v>452.87</v>
      </c>
      <c r="BZ37" s="43"/>
      <c r="CA37" s="37">
        <f t="shared" ref="CA37:CA38" si="150">IF((BY37-BY36)&lt;=0,0,(BY37-BY36)*1000)</f>
        <v>790.00000000002046</v>
      </c>
      <c r="CB37" s="37">
        <f t="shared" ref="CB37" si="151">IF(CA37&lt;=0,0,(CA37/SQRT(CA37^2+(BZ37-BZ36)^2)))</f>
        <v>1</v>
      </c>
      <c r="CC37" s="250">
        <v>865981.2</v>
      </c>
      <c r="CD37" s="37">
        <f t="shared" ref="CD37:CD38" si="152">IF((CC37-CC36)&lt;=0,0,(CC37-CC36))</f>
        <v>2341.1999999999534</v>
      </c>
      <c r="CE37" s="250">
        <v>2028841</v>
      </c>
      <c r="CF37" s="37">
        <f t="shared" ref="CF37:CF38" si="153">IF((CE37-CE36)&lt;=0,0,(CE37-CE36))</f>
        <v>3844</v>
      </c>
      <c r="CG37" s="250">
        <v>122991.9</v>
      </c>
      <c r="CH37" s="37">
        <f t="shared" ref="CH37" si="154">IF((CG37-CG36)&lt;=0,0,(CG37-CG36))</f>
        <v>1.8999999999941792</v>
      </c>
      <c r="CI37" s="250">
        <v>15330.09</v>
      </c>
      <c r="CJ37" s="40"/>
      <c r="CK37" s="37">
        <f t="shared" ref="CK37" si="155">IF((CI37-CI36)*1000&lt;=0,0,(CI37-CI36)*1000)+GX37-CA37</f>
        <v>16505.300000000123</v>
      </c>
      <c r="CL37" s="37">
        <f t="shared" ref="CL37:CL38" si="156">IF(CK37&lt;=0,0,(CK37/SQRT(CK37^2+(CJ37-CJ36)^2)))</f>
        <v>1</v>
      </c>
      <c r="CM37" s="250">
        <v>4618.59</v>
      </c>
      <c r="CN37" s="37"/>
      <c r="CO37" s="37">
        <f t="shared" ref="CO37:CO38" si="157">IF((CM37-CM36)&lt;=0,0,(CM37-CM36))*1000+GX37</f>
        <v>6995.2999999999638</v>
      </c>
      <c r="CP37" s="37">
        <f>IF(CO37&lt;=0,0,(CO37/SQRT(CO37^2+(CN37-CN36)^2)))</f>
        <v>1</v>
      </c>
      <c r="CQ37" s="250">
        <v>1136972</v>
      </c>
      <c r="CR37" s="39"/>
      <c r="CS37" s="37">
        <f t="shared" ref="CS37" si="158">IF((CQ37-CQ36)&lt;=0,0,(CQ37-CQ36))+GX37</f>
        <v>7377.3</v>
      </c>
      <c r="CT37" s="37">
        <f t="shared" ref="CT37" si="159">IF(CS37&lt;=0,0,(CS37/SQRT(CS37^2+(CR37-CR36)^2)))</f>
        <v>1</v>
      </c>
      <c r="CU37" s="250">
        <v>5249704</v>
      </c>
      <c r="CV37" s="41"/>
      <c r="CW37" s="38">
        <f>IF((CU37-CU36)&lt;=0,0,(CU37-CU36))</f>
        <v>15704</v>
      </c>
      <c r="CX37" s="37">
        <f t="shared" ref="CX37" si="160">IF(CW37&lt;=0,0,(CW37/SQRT(CW37^2+(CV37-CV36)^2)))</f>
        <v>1</v>
      </c>
      <c r="CY37" s="250">
        <v>2817238</v>
      </c>
      <c r="CZ37" s="37"/>
      <c r="DA37" s="37">
        <f t="shared" ref="DA37" si="161">IF((CY37-CY36)&lt;=0,0,(CY37-CY36))/1</f>
        <v>8138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ref="DG37:DG38" si="162">(DE37)-DA37-CW37-CS37-CO37-CK37-BW37</f>
        <v>-61689.900000000081</v>
      </c>
      <c r="DH37" s="37">
        <f t="shared" ref="DH37:DH38" si="163">DE37+BG37+AK37+N37</f>
        <v>409405.29999999964</v>
      </c>
      <c r="DI37" s="46"/>
      <c r="DJ37" s="46"/>
      <c r="DK37" s="47"/>
      <c r="DL37" s="47"/>
      <c r="DM37" s="37"/>
      <c r="DN37" s="37"/>
      <c r="DO37" s="37"/>
      <c r="DP37" s="37"/>
      <c r="DQ37" s="250">
        <v>167400</v>
      </c>
      <c r="DR37" s="49">
        <f t="shared" ref="DR37" si="164">IF((DQ37-DQ36)&lt;=0,0,(DQ37-DQ36))</f>
        <v>7630</v>
      </c>
      <c r="DS37" s="250">
        <v>7296400</v>
      </c>
      <c r="DT37" s="49">
        <f t="shared" ref="DT37" si="165">IF((DS37-DS36)&lt;=0,0,(DS37-DS36))</f>
        <v>22100</v>
      </c>
      <c r="DU37" s="250">
        <v>8561.1</v>
      </c>
      <c r="DV37" s="250">
        <v>4797.6000000000004</v>
      </c>
      <c r="DW37" s="37">
        <f t="shared" ref="DW37" si="166">IF((DU37-DU36)*1000&lt;=0,0,(DU37-DU36)*1000)</f>
        <v>500</v>
      </c>
      <c r="DX37" s="250">
        <v>14172</v>
      </c>
      <c r="DY37" s="250">
        <v>8835.9</v>
      </c>
      <c r="DZ37" s="37">
        <f t="shared" ref="DZ37:DZ38" si="167">IF((DX37-DX36)*1000&lt;=0,0,(DX37-DX36)*1000)+GX37</f>
        <v>1205.3</v>
      </c>
      <c r="EA37" s="250">
        <v>33056</v>
      </c>
      <c r="EB37" s="250">
        <v>22.469000000000001</v>
      </c>
      <c r="EC37" s="37">
        <f t="shared" si="33"/>
        <v>3365.3</v>
      </c>
      <c r="ED37" s="53">
        <f>DW38+DZ37+EC37</f>
        <v>4870.5999999992728</v>
      </c>
      <c r="EE37" s="250">
        <v>49709</v>
      </c>
      <c r="EF37" s="250">
        <v>32.889000000000003</v>
      </c>
      <c r="EG37" s="37">
        <f t="shared" si="35"/>
        <v>29365.3</v>
      </c>
      <c r="EH37" s="250">
        <v>14825</v>
      </c>
      <c r="EI37" s="250">
        <v>2.2490999999999999</v>
      </c>
      <c r="EJ37" s="37">
        <f t="shared" ref="EJ37:EJ38" si="168">IF((EH37-EH36)*1000&lt;=0,0,(EH37-EH36)*1000)+GX37</f>
        <v>11205.3</v>
      </c>
      <c r="EK37" s="250">
        <v>901.96</v>
      </c>
      <c r="EL37" s="250">
        <v>1290.5</v>
      </c>
      <c r="EM37" s="37">
        <f t="shared" ref="EM37" si="169">IF((EK37-EK36)&lt;=0,0,(EK37-EK36))*1000</f>
        <v>450.00000000004547</v>
      </c>
      <c r="EN37" s="54">
        <f t="shared" ref="EN37" si="170">EG37+EJ37+EM37</f>
        <v>41020.600000000042</v>
      </c>
      <c r="EO37" s="250">
        <v>14235</v>
      </c>
      <c r="EP37" s="48"/>
      <c r="EQ37" s="37">
        <f t="shared" ref="EQ37" si="171">IF((EO37-EO36)*1000&lt;=0,0,(EO37-EO36)*1000)+GX37-FU74+FV74</f>
        <v>7960.2999999999947</v>
      </c>
      <c r="ER37" s="250">
        <v>11931</v>
      </c>
      <c r="ES37" s="55"/>
      <c r="ET37" s="49">
        <f t="shared" ref="ET37:ET38" si="172">IF((ER37-ER36)&lt;=0,0,(ER37-ER36))*1000</f>
        <v>18000</v>
      </c>
      <c r="EU37" s="250">
        <v>5121.3999999999996</v>
      </c>
      <c r="EV37" s="48"/>
      <c r="EW37" s="49">
        <f t="shared" ref="EW37:EW38" si="173">IF((EU37-EU36)&lt;=0,0,(EU37-EU36))*1000+GX37</f>
        <v>10305.299999999454</v>
      </c>
      <c r="EX37" s="250">
        <v>15326</v>
      </c>
      <c r="EY37" s="48"/>
      <c r="EZ37" s="37">
        <f t="shared" ref="EZ37:EZ38" si="174">IF((EX37-EX36)&lt;=0,0,(EX37-EX36))*1000+GX37</f>
        <v>13205.3</v>
      </c>
      <c r="FA37" s="48">
        <f t="shared" ref="FA37" si="175">FC37-EQ37-ET37-EW37-EZ37</f>
        <v>-24402.899999999448</v>
      </c>
      <c r="FB37" s="250">
        <v>40162322</v>
      </c>
      <c r="FC37" s="49">
        <f>IF((FB37-FB36)&lt;=0,0,(FB37-FB36))</f>
        <v>25068</v>
      </c>
      <c r="FD37" s="48">
        <f t="shared" ref="FD37" si="176">EQ37+ET37+EW37+EZ37+GJ37</f>
        <v>51120.899999999456</v>
      </c>
      <c r="FE37" s="250">
        <v>18392</v>
      </c>
      <c r="FF37" s="48"/>
      <c r="FG37" s="37">
        <f t="shared" ref="FG37:FG38" si="177">IF((FE37-FE36)*1000&lt;=0,0,(FE37-FE36)*1000)+FL37+GX37+FW74</f>
        <v>11450.300000000003</v>
      </c>
      <c r="FH37" s="250">
        <v>11293</v>
      </c>
      <c r="FI37" s="48"/>
      <c r="FJ37" s="49">
        <f t="shared" ref="FJ37:FJ38" si="178">IF((FH37-FH36)&lt;=0,0,(FH37-FH36))*1000+FL37+GX37</f>
        <v>18205.3</v>
      </c>
      <c r="FK37" s="48"/>
      <c r="FL37" s="58"/>
      <c r="FM37" s="48">
        <f t="shared" ref="FM37" si="179">FT37/3</f>
        <v>-620.30000000000052</v>
      </c>
      <c r="FN37" s="250">
        <v>18398</v>
      </c>
      <c r="FO37" s="48"/>
      <c r="FP37" s="37">
        <f t="shared" ref="FP37" si="180">IF((FN37-FN36)*1000&lt;=0,0,(FN37-FN36)*1000)+FL37+GX37</f>
        <v>11205.3</v>
      </c>
      <c r="FQ37" s="250">
        <v>64568</v>
      </c>
      <c r="FR37" s="48"/>
      <c r="FS37" s="37">
        <f>IF((FQ37-FQ36)*1000&lt;=0,0,(FQ37-FQ36)*1000)</f>
        <v>39000</v>
      </c>
      <c r="FT37" s="48">
        <f t="shared" ref="FT37" si="181">FS37-FG37-FJ37-FP37</f>
        <v>-1860.9000000000015</v>
      </c>
      <c r="FU37" s="48">
        <f t="shared" ref="FU37" si="182">FG37+FJ37+FP37+GM37</f>
        <v>41560.900000000045</v>
      </c>
      <c r="FV37" s="250">
        <v>8027400</v>
      </c>
      <c r="FW37" s="44"/>
      <c r="FX37" s="37">
        <f t="shared" ref="FX37:FX38" si="183">IF((FV37-FV36)*1000&lt;=0,0,(FV37-FV36))</f>
        <v>25400</v>
      </c>
      <c r="FY37" s="250">
        <v>413670</v>
      </c>
      <c r="FZ37" s="56"/>
      <c r="GA37" s="37">
        <f t="shared" ref="GA37:GA38" si="184">IF((FY37-FY36)*1000&lt;=0,0,(FY37-FY36))</f>
        <v>4890</v>
      </c>
      <c r="GB37" s="250">
        <v>933.29</v>
      </c>
      <c r="GC37" s="56"/>
      <c r="GD37" s="37">
        <f t="shared" ref="GD37:GD38" si="185">IF((GB37-GB36)*1000&lt;=0,0,(GB37-GB36)*1000)</f>
        <v>819.99999999993634</v>
      </c>
      <c r="GE37" s="250">
        <v>11435</v>
      </c>
      <c r="GF37" s="63"/>
      <c r="GG37" s="37">
        <f t="shared" ref="GG37:GG38" si="186">IF((GE37-GE36)*1000&lt;=0,0,(GE37-GE36)*1000)-GJ37-GM37</f>
        <v>6649.9999999999545</v>
      </c>
      <c r="GH37" s="250">
        <v>170650</v>
      </c>
      <c r="GI37" s="56"/>
      <c r="GJ37" s="38">
        <f t="shared" ref="GJ37" si="187">IF((GH37-GH36)&lt;=0,0,(GH37-GH36))</f>
        <v>1650</v>
      </c>
      <c r="GK37" s="250">
        <v>1562</v>
      </c>
      <c r="GL37" s="44"/>
      <c r="GM37" s="38">
        <f t="shared" ref="GM37" si="188">IF((GK37-GK36)&lt;=0,0,(GK37-GK36))*1000</f>
        <v>700.00000000004547</v>
      </c>
      <c r="GN37" s="250">
        <v>244300</v>
      </c>
      <c r="GO37" s="57"/>
      <c r="GP37" s="38">
        <f t="shared" ref="GP37:GP38" si="189">IF((GN37-GN36)&lt;=0,0,(GN37-GN36))</f>
        <v>10</v>
      </c>
      <c r="GQ37" s="250">
        <v>309110</v>
      </c>
      <c r="GR37" s="38"/>
      <c r="GS37" s="38">
        <f t="shared" ref="GS37" si="190">IF((GQ37-GQ36)&lt;=0,0,(GQ37-GQ36))</f>
        <v>220</v>
      </c>
      <c r="GT37" s="247"/>
      <c r="GU37" s="144">
        <f>DailyOct!B36-DailyOct!N36-DailyOct!V36-DailyOct!Y36-DailyOct!Z36-DailyOct!AA36-DailyOct!AB36-DailyOct!AC36-DailyOct!AD36-DailyOct!AE36-DailyOct!AK36-DailyOct!AO36-DailyOct!AS36-DailyOct!AY36-DailyOct!BD36+DailyOct!BU36-DailyOct!BG36-DailyOct!BT36-DailyOct!AF36-DailyOct!AG36</f>
        <v>5.9999982680892572E-2</v>
      </c>
      <c r="GV37" s="261">
        <v>3079.56</v>
      </c>
      <c r="GW37" s="60">
        <f t="shared" ref="GW37" si="191">GV37/15</f>
        <v>205.304</v>
      </c>
      <c r="GX37" s="260">
        <v>205.3</v>
      </c>
      <c r="GY37" s="140"/>
      <c r="GZ37" s="62"/>
      <c r="HA37" s="62"/>
      <c r="HB37" s="62"/>
      <c r="HC37" s="62"/>
      <c r="HD37" s="74"/>
      <c r="HE37" s="24"/>
      <c r="HG37" s="279">
        <v>31</v>
      </c>
      <c r="HH37" s="292">
        <v>35104</v>
      </c>
      <c r="HI37" s="292">
        <v>13312</v>
      </c>
      <c r="HJ37" s="61">
        <f t="shared" ref="HJ37:HJ38" si="192">IF((HH37-HH36)&lt;=0,0,(HH37-HH36)*1000)</f>
        <v>169000</v>
      </c>
      <c r="HK37" s="260">
        <v>2.1432000000000002</v>
      </c>
      <c r="HL37" s="260">
        <v>807.23</v>
      </c>
      <c r="HM37" s="61">
        <f t="shared" ref="HM37:HM38" si="193">IF((HK37-HK36)&lt;=0,0,(HK37-HK36))</f>
        <v>0</v>
      </c>
      <c r="HN37" s="292">
        <v>8812.9</v>
      </c>
      <c r="HO37" s="292">
        <v>87445</v>
      </c>
      <c r="HP37" s="61">
        <f t="shared" ref="HP37" si="194">IF((HN37-HN36)&lt;=0,0,(HN37-HN36)*1000)+IL74</f>
        <v>43774.999999998909</v>
      </c>
      <c r="HQ37" s="292">
        <v>6002.3</v>
      </c>
      <c r="HR37" s="292">
        <v>2499.9</v>
      </c>
      <c r="HS37" s="61">
        <f t="shared" ref="HS37" si="195">IF((HQ37-HQ36)&lt;=0,0,(HQ37-HQ36)*1000)+IL74</f>
        <v>26075</v>
      </c>
      <c r="HT37" s="292">
        <v>5971.5</v>
      </c>
      <c r="HU37" s="292">
        <v>2126.1999999999998</v>
      </c>
      <c r="HV37" s="61">
        <f>IF((HT37-HT36)&lt;=0,0,(HT37-HT36)*1000)+IL74</f>
        <v>27175.000000000364</v>
      </c>
      <c r="HW37" s="292">
        <v>4529.1000000000004</v>
      </c>
      <c r="HX37" s="292">
        <v>1910.8</v>
      </c>
      <c r="HY37" s="61">
        <f t="shared" ref="HY37" si="196">IF((HW37-HW36)&lt;=0,0,(HW37-HW36)*1000)+IL74</f>
        <v>23975.000000000546</v>
      </c>
      <c r="HZ37" s="260">
        <v>4009600</v>
      </c>
      <c r="IA37" s="260">
        <v>17193</v>
      </c>
      <c r="IB37" s="61">
        <f t="shared" ref="IB37:IB38" si="197">IF((HZ37-HZ36)&lt;=0,0,(HZ37-HZ36))</f>
        <v>25900</v>
      </c>
      <c r="IC37" s="292">
        <v>719.8</v>
      </c>
      <c r="ID37" s="292">
        <v>232.78</v>
      </c>
      <c r="IE37" s="61">
        <f t="shared" ref="IE37:IE38" si="198">IF((IC37-IC36)&lt;=0,0,(IC37-IC36))</f>
        <v>0</v>
      </c>
      <c r="IF37" s="61"/>
      <c r="IG37" s="61"/>
      <c r="IH37" s="280">
        <f t="shared" ref="IH37:IH38" si="199">DT37</f>
        <v>22100</v>
      </c>
      <c r="II37" s="281">
        <f t="shared" ref="II37:II38" si="200">HJ37+HM37-HS37-HV37-HY37-IH37-HP37-IB37</f>
        <v>1.8917489796876907E-10</v>
      </c>
      <c r="IJ37" s="351"/>
      <c r="IK37" s="351"/>
      <c r="IL37" s="351">
        <f t="shared" ref="IL37:IL38" si="201">IF((IJ37-IJ36)&lt;=0,0,(IJ37-IJ36))</f>
        <v>0</v>
      </c>
      <c r="IM37" s="351"/>
      <c r="IN37" s="351"/>
      <c r="IO37" s="351">
        <f t="shared" ref="IO37:IO38" si="202">IF((IM37-IM36)&lt;=0,0,(IM37-IM36)*1000)</f>
        <v>0</v>
      </c>
      <c r="IP37" s="351"/>
      <c r="IQ37" s="351"/>
      <c r="IR37" s="351">
        <f t="shared" ref="IR37:IR38" si="203">IF((IP37-IP36)&lt;=0,0,(IP37-IP36))</f>
        <v>0</v>
      </c>
      <c r="IS37" s="351"/>
      <c r="IT37" s="351"/>
      <c r="IU37" s="351">
        <f t="shared" ref="IU37:IU38" si="204">IF((IS37-IS36)&lt;=0,0,(IS37-IS36))</f>
        <v>0</v>
      </c>
      <c r="IV37" s="351"/>
      <c r="IW37" s="351"/>
      <c r="IX37" s="351">
        <f t="shared" ref="IX37:IX38" si="205">IF((IV37-IV36)&lt;=0,0,(IV37-IV36))</f>
        <v>0</v>
      </c>
      <c r="IY37" s="351"/>
      <c r="IZ37" s="351"/>
      <c r="JA37" s="351">
        <f t="shared" ref="JA37:JA38" si="206">IF((IY37-IY36)&lt;=0,0,(IY37-IY36))</f>
        <v>0</v>
      </c>
      <c r="JB37" s="351"/>
      <c r="JC37" s="351"/>
      <c r="JD37" s="351">
        <f t="shared" ref="JD37:JD38" si="207">IF((JB37-JB36)&lt;=0,0,(JB37-JB36))</f>
        <v>0</v>
      </c>
      <c r="JE37" s="351"/>
      <c r="JF37" s="351"/>
      <c r="JG37" s="351">
        <f t="shared" ref="JG37:JG38" si="208">IF((JE37-JE36)&lt;=0,0,(JE37-JE36))</f>
        <v>0</v>
      </c>
      <c r="JH37" s="351"/>
      <c r="JI37" s="351"/>
      <c r="JJ37" s="351">
        <f t="shared" ref="JJ37:JJ38" si="209">IF((JH37-JH36)&lt;=0,0,(JH37-JH36))</f>
        <v>0</v>
      </c>
      <c r="JK37" s="351"/>
      <c r="JL37" s="351"/>
      <c r="JM37" s="351">
        <f t="shared" ref="JM37:JM38" si="210">IF((JK37-JK36)&lt;=0,0,(JK37-JK36))</f>
        <v>0</v>
      </c>
      <c r="JN37" s="351"/>
      <c r="JO37" s="351"/>
      <c r="JP37" s="351">
        <f t="shared" ref="JP37:JP38" si="211">IF((JN37-JN36)&lt;=0,0,(JN37-JN36))</f>
        <v>0</v>
      </c>
      <c r="JQ37" s="351"/>
      <c r="JR37" s="351"/>
      <c r="JS37" s="351">
        <f t="shared" ref="JS37:JS38" si="212">IF((JQ37-JQ36)&lt;=0,0,(JQ37-JQ36))</f>
        <v>0</v>
      </c>
      <c r="JT37" s="351"/>
      <c r="JU37" s="351"/>
      <c r="JV37" s="351">
        <f t="shared" ref="JV37:JV38" si="213">IF((JT37-JT36)&lt;=0,0,(JT37-JT36))</f>
        <v>0</v>
      </c>
      <c r="JW37" s="351"/>
      <c r="JX37" s="351"/>
      <c r="JY37" s="351">
        <f t="shared" ref="JY37:JY38" si="214">IF((JW37-JW36)&lt;=0,0,(JW37-JW36))</f>
        <v>0</v>
      </c>
      <c r="JZ37" s="351"/>
      <c r="KA37" s="351"/>
      <c r="KB37" s="351">
        <f t="shared" ref="KB37:KB38" si="215">IF((JZ37-JZ36)&lt;=0,0,(JZ37-JZ36))</f>
        <v>0</v>
      </c>
      <c r="KC37" s="351"/>
      <c r="KD37" s="351"/>
      <c r="KE37" s="351">
        <f t="shared" ref="KE37:KE38" si="216">IF((KC37-KC36)&lt;=0,0,(KC37-KC36))</f>
        <v>0</v>
      </c>
      <c r="KG37" s="151">
        <f t="shared" ref="KG37:KG38" si="217">HJ37+HM37-HS37-HV37-HY37-IH37</f>
        <v>69674.999999999098</v>
      </c>
    </row>
    <row r="38" spans="1:293" ht="15.75" thickBot="1" x14ac:dyDescent="0.3">
      <c r="A38" s="35">
        <v>1</v>
      </c>
      <c r="B38" s="250">
        <v>6024.87</v>
      </c>
      <c r="C38" s="38">
        <f t="shared" si="1"/>
        <v>9.6400000000003274</v>
      </c>
      <c r="D38" s="38">
        <f t="shared" si="2"/>
        <v>308480.00000001048</v>
      </c>
      <c r="E38" s="250">
        <v>1206.6099999999999</v>
      </c>
      <c r="F38" s="38">
        <f t="shared" si="3"/>
        <v>57919.999999998254</v>
      </c>
      <c r="G38" s="38">
        <f t="shared" si="4"/>
        <v>366400.00000000873</v>
      </c>
      <c r="H38" s="37"/>
      <c r="I38" s="39"/>
      <c r="J38" s="42"/>
      <c r="K38" s="37">
        <f>IF(J38&lt;=0,0,(J38/SQRT(J38^2+(I38-I37)^2)))</f>
        <v>0</v>
      </c>
      <c r="L38" s="250">
        <v>19737900</v>
      </c>
      <c r="M38" s="40"/>
      <c r="N38" s="37">
        <f>IF((L38-L37)&lt;=0,0,(L38-L37)*10)</f>
        <v>363400</v>
      </c>
      <c r="O38" s="250">
        <v>13803.3</v>
      </c>
      <c r="P38" s="37"/>
      <c r="Q38" s="37">
        <f t="shared" si="141"/>
        <v>15000</v>
      </c>
      <c r="R38" s="37">
        <f>IF(Q38&lt;=0,0,(Q38/SQRT(Q38^2+(P38-P37)^2)))</f>
        <v>1</v>
      </c>
      <c r="S38" s="250">
        <v>11280369.75</v>
      </c>
      <c r="T38" s="37">
        <f t="shared" si="6"/>
        <v>6</v>
      </c>
      <c r="U38" s="250">
        <v>1523792.57</v>
      </c>
      <c r="V38" s="37">
        <f t="shared" ref="V38" si="218">IF((U38-U37)&lt;=0,0,(U38-U37))</f>
        <v>0</v>
      </c>
      <c r="W38" s="250">
        <v>4953.2</v>
      </c>
      <c r="X38" s="37">
        <f>Q38-T38-V38-AB38</f>
        <v>8294</v>
      </c>
      <c r="Y38" s="183"/>
      <c r="Z38" s="183"/>
      <c r="AA38" s="250">
        <v>926000</v>
      </c>
      <c r="AB38" s="37">
        <f t="shared" si="8"/>
        <v>6700</v>
      </c>
      <c r="AC38" s="250">
        <v>5115.8</v>
      </c>
      <c r="AD38" s="37"/>
      <c r="AE38" s="37">
        <f t="shared" si="142"/>
        <v>4500</v>
      </c>
      <c r="AF38" s="37">
        <f>IF(AE38&lt;=0,0,(AE38/SQRT(AE38^2+(AD38-AD37)^2)))</f>
        <v>1</v>
      </c>
      <c r="AG38" s="250">
        <v>11131.5</v>
      </c>
      <c r="AH38" s="37"/>
      <c r="AI38" s="37">
        <f t="shared" si="143"/>
        <v>13034.99</v>
      </c>
      <c r="AJ38" s="37">
        <f t="shared" si="144"/>
        <v>1</v>
      </c>
      <c r="AK38" s="37">
        <f t="shared" si="145"/>
        <v>25834.989999999998</v>
      </c>
      <c r="AL38" s="250">
        <v>12690</v>
      </c>
      <c r="AM38" s="42"/>
      <c r="AN38" s="37">
        <f>IF((AL38-AL37)&lt;=0,0,(AL38-AL37))*1000+GX38-BL38-BN38-BP38-BR38</f>
        <v>7704.9900000006865</v>
      </c>
      <c r="AO38" s="37">
        <f>IF(AN38&lt;=0,0,(AN38/SQRT(AN38^2+(AM38-AM37)^2)))</f>
        <v>1</v>
      </c>
      <c r="AP38" s="250">
        <v>10057.1</v>
      </c>
      <c r="AQ38" s="37"/>
      <c r="AR38" s="37">
        <f t="shared" si="13"/>
        <v>13899.999999999636</v>
      </c>
      <c r="AS38" s="37">
        <f>IF(AR38&lt;=0,0,(AR38/SQRT(AR38^2+(AQ38-AQ37)^2)))</f>
        <v>1</v>
      </c>
      <c r="AT38" s="183"/>
      <c r="AU38" s="183"/>
      <c r="AV38" s="183"/>
      <c r="AW38" s="183"/>
      <c r="AX38" s="250">
        <v>548330</v>
      </c>
      <c r="AY38" s="37"/>
      <c r="AZ38" s="37">
        <f t="shared" si="14"/>
        <v>450</v>
      </c>
      <c r="BA38" s="250">
        <v>244800</v>
      </c>
      <c r="BB38" s="37"/>
      <c r="BC38" s="37">
        <f t="shared" si="15"/>
        <v>690</v>
      </c>
      <c r="BD38" s="37">
        <f>AN38+AR38+AZ38+BC38</f>
        <v>22744.990000000322</v>
      </c>
      <c r="BE38" s="250">
        <v>2177.4</v>
      </c>
      <c r="BF38" s="250">
        <v>1229.7</v>
      </c>
      <c r="BG38" s="37">
        <f t="shared" si="16"/>
        <v>1900.0000000000909</v>
      </c>
      <c r="BH38" s="250">
        <v>10385</v>
      </c>
      <c r="BI38" s="250">
        <v>6714.6</v>
      </c>
      <c r="BJ38" s="37">
        <f t="shared" si="17"/>
        <v>9000</v>
      </c>
      <c r="BK38" s="250">
        <v>2226300</v>
      </c>
      <c r="BL38" s="40">
        <f>IF((BK38-BK37)&lt;=0,0,(BK38-BK37))</f>
        <v>3700</v>
      </c>
      <c r="BM38" s="250">
        <v>969.85</v>
      </c>
      <c r="BN38" s="37">
        <f t="shared" ref="BN38" si="219">IF((BM38-BM37)&lt;=0,0,BM38-BM37)*1000</f>
        <v>730.00000000001819</v>
      </c>
      <c r="BO38" s="186"/>
      <c r="BP38" s="183">
        <v>0</v>
      </c>
      <c r="BQ38" s="250">
        <v>924.4</v>
      </c>
      <c r="BR38" s="37">
        <f>IF((BQ38-BQ37)&lt;=0,0,(BQ38-BQ37))*1000</f>
        <v>600.00000000002274</v>
      </c>
      <c r="BS38" s="250">
        <v>131355.32</v>
      </c>
      <c r="BT38" s="37">
        <f t="shared" si="148"/>
        <v>145.48000000001048</v>
      </c>
      <c r="BU38" s="250">
        <v>3914299</v>
      </c>
      <c r="BV38" s="42"/>
      <c r="BW38" s="37">
        <f t="shared" si="149"/>
        <v>5829</v>
      </c>
      <c r="BX38" s="37">
        <f>IF(BW38&lt;=0,0,(BW38/SQRT(BW38^2+(BV38-BV37)^2)))</f>
        <v>1</v>
      </c>
      <c r="BY38" s="250">
        <v>453.54399999999998</v>
      </c>
      <c r="BZ38" s="43"/>
      <c r="CA38" s="37">
        <f t="shared" si="150"/>
        <v>673.99999999997817</v>
      </c>
      <c r="CB38" s="37">
        <f>IF(CA38&lt;=0,0,(CA38/SQRT(CA38^2+(BZ38-BZ37)^2)))</f>
        <v>1</v>
      </c>
      <c r="CC38" s="250">
        <v>866651.4</v>
      </c>
      <c r="CD38" s="37">
        <f t="shared" si="152"/>
        <v>670.20000000006985</v>
      </c>
      <c r="CE38" s="250">
        <v>2033938</v>
      </c>
      <c r="CF38" s="37">
        <f t="shared" si="153"/>
        <v>5097</v>
      </c>
      <c r="CG38" s="250">
        <v>122991.9</v>
      </c>
      <c r="CH38" s="37">
        <f>IF((CG38-CG37)&lt;=0,0,(CG38-CG37))</f>
        <v>0</v>
      </c>
      <c r="CI38" s="250">
        <v>15346.52</v>
      </c>
      <c r="CJ38" s="40"/>
      <c r="CK38" s="37">
        <f>IF((CI38-CI37)*1000&lt;=0,0,(CI38-CI37)*1000)+GX38-CA38</f>
        <v>16290.990000000314</v>
      </c>
      <c r="CL38" s="37">
        <f t="shared" si="156"/>
        <v>1</v>
      </c>
      <c r="CM38" s="250">
        <v>4625.9390000000003</v>
      </c>
      <c r="CN38" s="37"/>
      <c r="CO38" s="37">
        <f t="shared" si="157"/>
        <v>7883.9900000001599</v>
      </c>
      <c r="CP38" s="37">
        <f>IF(CO38&lt;=0,0,(CO38/SQRT(CO38^2+(CN38-CN37)^2)))</f>
        <v>1</v>
      </c>
      <c r="CQ38" s="250">
        <v>1143312</v>
      </c>
      <c r="CR38" s="39"/>
      <c r="CS38" s="37">
        <f>IF((CQ38-CQ37)&lt;=0,0,(CQ38-CQ37))+GX38</f>
        <v>6874.99</v>
      </c>
      <c r="CT38" s="37">
        <f>IF(CS38&lt;=0,0,(CS38/SQRT(CS38^2+(CR38-CR37)^2)))</f>
        <v>1</v>
      </c>
      <c r="CU38" s="250">
        <v>5263871</v>
      </c>
      <c r="CV38" s="41"/>
      <c r="CW38" s="38">
        <f t="shared" ref="CW38" si="220">IF((CU38-CU37)&lt;=0,0,(CU38-CU37))</f>
        <v>14167</v>
      </c>
      <c r="CX38" s="37">
        <f>IF(CW38&lt;=0,0,(CW38/SQRT(CW38^2+(CV38-CV37)^2)))</f>
        <v>1</v>
      </c>
      <c r="CY38" s="250">
        <v>2824990</v>
      </c>
      <c r="CZ38" s="37"/>
      <c r="DA38" s="37">
        <f t="shared" ref="DA38" si="221">IF((CY38-CY37)&lt;=0,0,(CY38-CY37))</f>
        <v>7752</v>
      </c>
      <c r="DB38" s="37">
        <f>IF(DA38&lt;=0,0,(DA38/SQRT(DA38^2+(CZ38-CZ37)^2)))</f>
        <v>1</v>
      </c>
      <c r="DC38" s="37"/>
      <c r="DD38" s="40"/>
      <c r="DE38" s="37">
        <f t="shared" ref="DE38" si="222">IF((DC38-DC37)&lt;=0,0,(DC38-DC37))</f>
        <v>0</v>
      </c>
      <c r="DF38" s="37">
        <f>IF(DE38&lt;=0,0,(DE38/SQRT(DE38^2+(DD38-DD37)^2)))</f>
        <v>0</v>
      </c>
      <c r="DG38" s="37">
        <f t="shared" si="162"/>
        <v>-58797.970000000467</v>
      </c>
      <c r="DH38" s="37">
        <f t="shared" si="163"/>
        <v>391134.99000000011</v>
      </c>
      <c r="DI38" s="46"/>
      <c r="DJ38" s="46"/>
      <c r="DK38" s="47"/>
      <c r="DL38" s="47"/>
      <c r="DM38" s="37"/>
      <c r="DN38" s="37"/>
      <c r="DO38" s="37"/>
      <c r="DP38" s="37"/>
      <c r="DQ38" s="250">
        <v>179510</v>
      </c>
      <c r="DR38" s="49">
        <f>IF((DQ38-DQ37)&lt;=0,0,(DQ38-DQ37))</f>
        <v>12110</v>
      </c>
      <c r="DS38" s="250">
        <v>7319200</v>
      </c>
      <c r="DT38" s="49">
        <f>IF((DS38-DS37)&lt;=0,0,(DS38-DS37))</f>
        <v>22800</v>
      </c>
      <c r="DU38" s="250">
        <v>8561.4</v>
      </c>
      <c r="DV38" s="250">
        <v>4797.8</v>
      </c>
      <c r="DW38" s="37">
        <f>IF((DU38-DU37)*1000&lt;=0,0,(DU38-DU37)*1000)</f>
        <v>299.9999999992724</v>
      </c>
      <c r="DX38" s="250">
        <v>14172.1</v>
      </c>
      <c r="DY38" s="250">
        <v>8836.2999999999993</v>
      </c>
      <c r="DZ38" s="37">
        <f t="shared" si="167"/>
        <v>634.99000000036381</v>
      </c>
      <c r="EA38" s="250">
        <v>33058</v>
      </c>
      <c r="EB38" s="250">
        <v>22.469000000000001</v>
      </c>
      <c r="EC38" s="37">
        <f t="shared" si="33"/>
        <v>4694.99</v>
      </c>
      <c r="ED38" s="53">
        <f t="shared" ref="ED38" si="223">DW38+DZ38+EC38</f>
        <v>5629.9799999996358</v>
      </c>
      <c r="EE38" s="250">
        <v>49734</v>
      </c>
      <c r="EF38" s="250">
        <v>32.908000000000001</v>
      </c>
      <c r="EG38" s="37">
        <f t="shared" si="35"/>
        <v>27694.99</v>
      </c>
      <c r="EH38" s="250">
        <v>14835</v>
      </c>
      <c r="EI38" s="250">
        <v>2.2446999999999999</v>
      </c>
      <c r="EJ38" s="37">
        <f t="shared" si="168"/>
        <v>10534.99</v>
      </c>
      <c r="EK38" s="250">
        <v>902.6</v>
      </c>
      <c r="EL38" s="250">
        <v>1291.5</v>
      </c>
      <c r="EM38" s="37">
        <f>IF((EK38-EK37)&lt;=0,0,(EK38-EK37))*1000</f>
        <v>639.99999999998636</v>
      </c>
      <c r="EN38" s="54">
        <f>EG38+EJ38+EM38</f>
        <v>38869.979999999989</v>
      </c>
      <c r="EO38" s="250">
        <v>14244</v>
      </c>
      <c r="EP38" s="48"/>
      <c r="EQ38" s="37">
        <f>IF((EO38-EO37)*1000&lt;=0,0,(EO38-EO37)*1000)+GX38-FU75+FV75</f>
        <v>8279.9900000000052</v>
      </c>
      <c r="ER38" s="250">
        <v>11948</v>
      </c>
      <c r="ES38" s="55"/>
      <c r="ET38" s="49">
        <f t="shared" si="172"/>
        <v>17000</v>
      </c>
      <c r="EU38" s="250">
        <v>5131.8</v>
      </c>
      <c r="EV38" s="48"/>
      <c r="EW38" s="49">
        <f t="shared" si="173"/>
        <v>10934.990000000545</v>
      </c>
      <c r="EX38" s="250">
        <v>15337</v>
      </c>
      <c r="EY38" s="48"/>
      <c r="EZ38" s="37">
        <f t="shared" si="174"/>
        <v>11534.99</v>
      </c>
      <c r="FA38" s="48">
        <f>FC38-EQ38-ET38-EW38-EZ38</f>
        <v>-23337.97000000055</v>
      </c>
      <c r="FB38" s="250">
        <v>40186734</v>
      </c>
      <c r="FC38" s="49">
        <f>IF((FB38-FB37)&lt;=0,0,(FB38-FB37))</f>
        <v>24412</v>
      </c>
      <c r="FD38" s="48">
        <f>EQ38+ET38+EW38+EZ38+GJ38</f>
        <v>49559.970000000547</v>
      </c>
      <c r="FE38" s="250">
        <v>18400</v>
      </c>
      <c r="FF38" s="154"/>
      <c r="FG38" s="37">
        <f t="shared" si="177"/>
        <v>9789.9899999999943</v>
      </c>
      <c r="FH38" s="250">
        <v>11308</v>
      </c>
      <c r="FI38" s="48"/>
      <c r="FJ38" s="49">
        <f t="shared" si="178"/>
        <v>15534.99</v>
      </c>
      <c r="FK38" s="48"/>
      <c r="FL38" s="58"/>
      <c r="FM38" s="48">
        <f>FT38/3</f>
        <v>-953.32333333333133</v>
      </c>
      <c r="FN38" s="250">
        <v>18407</v>
      </c>
      <c r="FO38" s="48"/>
      <c r="FP38" s="37">
        <f>IF((FN38-FN37)*1000&lt;=0,0,(FN38-FN37)*1000)+FL38+GX38</f>
        <v>9534.99</v>
      </c>
      <c r="FQ38" s="250">
        <v>64600</v>
      </c>
      <c r="FR38" s="48"/>
      <c r="FS38" s="37">
        <f t="shared" ref="FS38" si="224">IF((FQ38-FQ37)*1000&lt;=0,0,(FQ38-FQ37)*1000)</f>
        <v>32000</v>
      </c>
      <c r="FT38" s="48">
        <f>FS38-FG38-FJ38-FP38</f>
        <v>-2859.9699999999939</v>
      </c>
      <c r="FU38" s="48">
        <f>FG38+FJ38+FP38+GM38</f>
        <v>34859.969999999994</v>
      </c>
      <c r="FV38" s="250">
        <v>8054900</v>
      </c>
      <c r="FW38" s="44"/>
      <c r="FX38" s="37">
        <f t="shared" si="183"/>
        <v>27500</v>
      </c>
      <c r="FY38" s="250">
        <v>419270</v>
      </c>
      <c r="FZ38" s="56"/>
      <c r="GA38" s="37">
        <f t="shared" si="184"/>
        <v>5600</v>
      </c>
      <c r="GB38" s="250">
        <v>934.13099999999997</v>
      </c>
      <c r="GC38" s="56"/>
      <c r="GD38" s="37">
        <f t="shared" si="185"/>
        <v>841.00000000000819</v>
      </c>
      <c r="GE38" s="250">
        <v>11444</v>
      </c>
      <c r="GF38" s="63"/>
      <c r="GG38" s="37">
        <f t="shared" si="186"/>
        <v>7190</v>
      </c>
      <c r="GH38" s="250">
        <v>172460</v>
      </c>
      <c r="GI38" s="56"/>
      <c r="GJ38" s="38">
        <f>IF((GH38-GH37)&lt;=0,0,(GH38-GH37))</f>
        <v>1810</v>
      </c>
      <c r="GK38" s="250">
        <v>1562</v>
      </c>
      <c r="GL38" s="44"/>
      <c r="GM38" s="38">
        <v>0</v>
      </c>
      <c r="GN38" s="250">
        <v>244300</v>
      </c>
      <c r="GO38" s="57"/>
      <c r="GP38" s="38">
        <f t="shared" si="189"/>
        <v>0</v>
      </c>
      <c r="GQ38" s="250">
        <v>309340</v>
      </c>
      <c r="GR38" s="38"/>
      <c r="GS38" s="38">
        <f>IF((GQ38-GQ37)&lt;=0,0,(GQ38-GQ37))</f>
        <v>230</v>
      </c>
      <c r="GT38" s="247"/>
      <c r="GU38" s="144">
        <f>DailyOct!B37-DailyOct!N37-DailyOct!V37-DailyOct!Y37-DailyOct!Z37-DailyOct!AA37-DailyOct!AB37-DailyOct!AC37-DailyOct!AD37-DailyOct!AE37-DailyOct!AK37-DailyOct!AO37-DailyOct!AS37-DailyOct!AY37-DailyOct!BD37+DailyOct!BU37-DailyOct!BG37-DailyOct!BT37-DailyOct!AF37-DailyOct!AG37</f>
        <v>-4.9999992406810634E-2</v>
      </c>
      <c r="GV38" s="261">
        <v>8024.8</v>
      </c>
      <c r="GW38" s="60">
        <f t="shared" ref="GW38" si="225">GV38/15</f>
        <v>534.98666666666668</v>
      </c>
      <c r="GX38" s="260">
        <v>534.99</v>
      </c>
      <c r="GY38" s="140"/>
      <c r="GZ38" s="74"/>
      <c r="HA38" s="62"/>
      <c r="HB38" s="62"/>
      <c r="HC38" s="74"/>
      <c r="HD38" s="74"/>
      <c r="HE38" s="24"/>
      <c r="HG38" s="279">
        <v>1</v>
      </c>
      <c r="HH38" s="292">
        <v>35241</v>
      </c>
      <c r="HI38" s="292">
        <v>13363</v>
      </c>
      <c r="HJ38" s="61">
        <f t="shared" si="192"/>
        <v>137000</v>
      </c>
      <c r="HK38" s="260">
        <v>2.1432000000000002</v>
      </c>
      <c r="HL38" s="260">
        <v>807.23</v>
      </c>
      <c r="HM38" s="61">
        <f t="shared" si="193"/>
        <v>0</v>
      </c>
      <c r="HN38" s="292">
        <v>8846.5</v>
      </c>
      <c r="HO38" s="292">
        <v>87586</v>
      </c>
      <c r="HP38" s="61">
        <f>IFERROR(IF((HN38-HN37)&lt;=0,0,(HN38-HN37)*1000)+IL75,0)</f>
        <v>33500.000000000364</v>
      </c>
      <c r="HQ38" s="292">
        <v>6028.3</v>
      </c>
      <c r="HR38" s="292">
        <v>2510.4</v>
      </c>
      <c r="HS38" s="61">
        <f>IFERROR(IF((HQ38-HQ37)&lt;=0,0,(HQ38-HQ37)*1000)+IL75,0)</f>
        <v>25900</v>
      </c>
      <c r="HT38" s="292">
        <v>5998.2</v>
      </c>
      <c r="HU38" s="292">
        <v>2135.5</v>
      </c>
      <c r="HV38" s="61">
        <f>IFERROR(IF((HT38-HT37)&lt;=0,0,(HT38-HT37)*1000)+IL75,0)</f>
        <v>26599.999999999818</v>
      </c>
      <c r="HW38" s="292">
        <v>4531.7</v>
      </c>
      <c r="HX38" s="292">
        <v>1912.1</v>
      </c>
      <c r="HY38" s="61">
        <f>IFERROR(IF((HW38-HW37)&lt;=0,0,(HW38-HW37)*1000)+IL75,0)</f>
        <v>2499.9999999994543</v>
      </c>
      <c r="HZ38" s="260">
        <v>4035300</v>
      </c>
      <c r="IA38" s="260">
        <v>17302</v>
      </c>
      <c r="IB38" s="61">
        <f t="shared" si="197"/>
        <v>25700</v>
      </c>
      <c r="IC38" s="292">
        <v>719.8</v>
      </c>
      <c r="ID38" s="292">
        <v>232.78</v>
      </c>
      <c r="IE38" s="61">
        <f t="shared" si="198"/>
        <v>0</v>
      </c>
      <c r="IF38" s="61"/>
      <c r="IG38" s="61"/>
      <c r="IH38" s="280">
        <f t="shared" si="199"/>
        <v>22800</v>
      </c>
      <c r="II38" s="281">
        <f t="shared" si="200"/>
        <v>3.637978807091713E-10</v>
      </c>
      <c r="IJ38" s="345"/>
      <c r="IK38" s="345"/>
      <c r="IL38" s="345">
        <f t="shared" si="201"/>
        <v>0</v>
      </c>
      <c r="IM38" s="345"/>
      <c r="IN38" s="345"/>
      <c r="IO38" s="345">
        <f t="shared" si="202"/>
        <v>0</v>
      </c>
      <c r="IP38" s="345"/>
      <c r="IQ38" s="345"/>
      <c r="IR38" s="345">
        <f t="shared" si="203"/>
        <v>0</v>
      </c>
      <c r="IS38" s="345"/>
      <c r="IT38" s="345"/>
      <c r="IU38" s="345">
        <f t="shared" si="204"/>
        <v>0</v>
      </c>
      <c r="IV38" s="345"/>
      <c r="IW38" s="345"/>
      <c r="IX38" s="345">
        <f t="shared" si="205"/>
        <v>0</v>
      </c>
      <c r="IY38" s="345"/>
      <c r="IZ38" s="345"/>
      <c r="JA38" s="345">
        <f t="shared" si="206"/>
        <v>0</v>
      </c>
      <c r="JB38" s="345"/>
      <c r="JC38" s="345"/>
      <c r="JD38" s="345">
        <f t="shared" si="207"/>
        <v>0</v>
      </c>
      <c r="JE38" s="345"/>
      <c r="JF38" s="345"/>
      <c r="JG38" s="345">
        <f t="shared" si="208"/>
        <v>0</v>
      </c>
      <c r="JH38" s="345"/>
      <c r="JI38" s="345"/>
      <c r="JJ38" s="345">
        <f t="shared" si="209"/>
        <v>0</v>
      </c>
      <c r="JK38" s="345"/>
      <c r="JL38" s="345"/>
      <c r="JM38" s="345">
        <f t="shared" si="210"/>
        <v>0</v>
      </c>
      <c r="JN38" s="345"/>
      <c r="JO38" s="345"/>
      <c r="JP38" s="345">
        <f t="shared" si="211"/>
        <v>0</v>
      </c>
      <c r="JQ38" s="345"/>
      <c r="JR38" s="345"/>
      <c r="JS38" s="345">
        <f t="shared" si="212"/>
        <v>0</v>
      </c>
      <c r="JT38" s="345"/>
      <c r="JU38" s="345"/>
      <c r="JV38" s="345">
        <f t="shared" si="213"/>
        <v>0</v>
      </c>
      <c r="JW38" s="345"/>
      <c r="JX38" s="345"/>
      <c r="JY38" s="345">
        <f t="shared" si="214"/>
        <v>0</v>
      </c>
      <c r="JZ38" s="345"/>
      <c r="KA38" s="345"/>
      <c r="KB38" s="345">
        <f t="shared" si="215"/>
        <v>0</v>
      </c>
      <c r="KC38" s="345"/>
      <c r="KD38" s="345"/>
      <c r="KE38" s="345">
        <f t="shared" si="216"/>
        <v>0</v>
      </c>
      <c r="KG38" s="151">
        <f t="shared" si="217"/>
        <v>59200.000000000728</v>
      </c>
    </row>
    <row r="39" spans="1:293" ht="15.75" thickBot="1" x14ac:dyDescent="0.3">
      <c r="A39" s="77" t="s">
        <v>37</v>
      </c>
      <c r="B39" s="78"/>
      <c r="C39" s="78">
        <f>SUM(C8:C38)</f>
        <v>304.69999999999982</v>
      </c>
      <c r="D39" s="78">
        <f>SUM(D8:D38)</f>
        <v>9750399.9999999944</v>
      </c>
      <c r="E39" s="78"/>
      <c r="F39" s="78">
        <f>SUM(F8:F38)</f>
        <v>1913279.9999999986</v>
      </c>
      <c r="G39" s="78">
        <f>SUM(G8:G38)</f>
        <v>11663679.999999994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11589000</v>
      </c>
      <c r="O39" s="79"/>
      <c r="P39" s="79"/>
      <c r="Q39" s="78">
        <f>SUM(Q8:Q38)</f>
        <v>517299.9999999993</v>
      </c>
      <c r="R39" s="79">
        <f>AVERAGE(R8:R38)</f>
        <v>1</v>
      </c>
      <c r="S39" s="79"/>
      <c r="T39" s="78">
        <f>SUM(T8:T38)</f>
        <v>7352.5600000005215</v>
      </c>
      <c r="U39" s="79"/>
      <c r="V39" s="79">
        <f>SUM(V8:V38)</f>
        <v>0</v>
      </c>
      <c r="W39" s="79"/>
      <c r="X39" s="78">
        <f>SUM(X8:X38)</f>
        <v>454357.43999999878</v>
      </c>
      <c r="Y39" s="184"/>
      <c r="Z39" s="184"/>
      <c r="AA39" s="78"/>
      <c r="AB39" s="78"/>
      <c r="AC39" s="79"/>
      <c r="AD39" s="79"/>
      <c r="AE39" s="78">
        <f>SUM(AE8:AE38)</f>
        <v>181300.00000000017</v>
      </c>
      <c r="AF39" s="79">
        <f>AVERAGE(AF8:AF38)</f>
        <v>1</v>
      </c>
      <c r="AG39" s="79"/>
      <c r="AH39" s="79"/>
      <c r="AI39" s="78">
        <f>SUM(AI8:AI38)</f>
        <v>412664.1999999999</v>
      </c>
      <c r="AJ39" s="79">
        <f>AVERAGE(AJ8:AJ38)</f>
        <v>1</v>
      </c>
      <c r="AK39" s="78">
        <f>SUM(AK8:AK38)</f>
        <v>1055674.1999999995</v>
      </c>
      <c r="AL39" s="79"/>
      <c r="AM39" s="79"/>
      <c r="AN39" s="78">
        <f>SUM(AN8:AN38)</f>
        <v>202864.19999999998</v>
      </c>
      <c r="AO39" s="79">
        <f>AVERAGE(AO8:AO38)</f>
        <v>1</v>
      </c>
      <c r="AP39" s="79"/>
      <c r="AQ39" s="79"/>
      <c r="AR39" s="78">
        <f>SUM(AR8:AR38)</f>
        <v>292600.00000000035</v>
      </c>
      <c r="AS39" s="79">
        <f>AVERAGE(AS8:AS38)</f>
        <v>1</v>
      </c>
      <c r="AT39" s="184"/>
      <c r="AU39" s="184"/>
      <c r="AV39" s="184"/>
      <c r="AW39" s="184"/>
      <c r="AX39" s="79"/>
      <c r="AY39" s="79"/>
      <c r="AZ39" s="78">
        <f>SUM(AZ8:AZ38)</f>
        <v>10919</v>
      </c>
      <c r="BA39" s="79"/>
      <c r="BB39" s="79"/>
      <c r="BC39" s="78">
        <f>SUM(BC8:BC38)</f>
        <v>17083</v>
      </c>
      <c r="BD39" s="78">
        <f>SUM(BD8:BD38)</f>
        <v>523466.20000000042</v>
      </c>
      <c r="BE39" s="80"/>
      <c r="BF39" s="81"/>
      <c r="BG39" s="78">
        <f>SUM(BG8:BG38)</f>
        <v>49400.000000000102</v>
      </c>
      <c r="BH39" s="78"/>
      <c r="BI39" s="78"/>
      <c r="BJ39" s="78"/>
      <c r="BK39" s="80"/>
      <c r="BL39" s="78">
        <f>SUM(BL8:BL38)</f>
        <v>117800</v>
      </c>
      <c r="BM39" s="80"/>
      <c r="BN39" s="78">
        <f>SUM(BN8:BN38)</f>
        <v>12320.000000000051</v>
      </c>
      <c r="BO39" s="187"/>
      <c r="BP39" s="188">
        <f>SUM(BP8:BP38)</f>
        <v>0</v>
      </c>
      <c r="BQ39" s="79"/>
      <c r="BR39" s="78">
        <f>SUM(BR8:BR38)</f>
        <v>21179.999999999953</v>
      </c>
      <c r="BS39" s="78"/>
      <c r="BT39" s="78"/>
      <c r="BU39" s="79"/>
      <c r="BV39" s="79"/>
      <c r="BW39" s="78">
        <f>SUM(BW8:BW38)</f>
        <v>156599</v>
      </c>
      <c r="BX39" s="79">
        <f>AVERAGE(BX8:BX38)</f>
        <v>1</v>
      </c>
      <c r="BY39" s="79"/>
      <c r="BZ39" s="79"/>
      <c r="CA39" s="78">
        <f>SUM(CA8:CA38)</f>
        <v>21024.000000000004</v>
      </c>
      <c r="CB39" s="78"/>
      <c r="CC39" s="79"/>
      <c r="CD39" s="79"/>
      <c r="CE39" s="79"/>
      <c r="CF39" s="78">
        <f>SUM(CF8:CF38)</f>
        <v>114738</v>
      </c>
      <c r="CG39" s="79"/>
      <c r="CH39" s="78">
        <f>SUM(CH8:CH38)</f>
        <v>363.79999999998836</v>
      </c>
      <c r="CI39" s="79"/>
      <c r="CJ39" s="79"/>
      <c r="CK39" s="78">
        <f>SUM(CK8:CK38)</f>
        <v>460660.20000000054</v>
      </c>
      <c r="CL39" s="79">
        <f>AVERAGE(CL8:CL38)</f>
        <v>1</v>
      </c>
      <c r="CM39" s="79"/>
      <c r="CN39" s="79"/>
      <c r="CO39" s="78">
        <f>SUM(CO8:CO38)</f>
        <v>199003.19999999995</v>
      </c>
      <c r="CP39" s="79">
        <f>AVERAGE(CP8:CP38)</f>
        <v>1</v>
      </c>
      <c r="CQ39" s="82"/>
      <c r="CR39" s="83"/>
      <c r="CS39" s="78">
        <f>SUM(CS8:CS38)</f>
        <v>192416.19999999998</v>
      </c>
      <c r="CT39" s="79">
        <f>AVERAGE(CT8:CT38)</f>
        <v>1</v>
      </c>
      <c r="CU39" s="79"/>
      <c r="CV39" s="79"/>
      <c r="CW39" s="78">
        <f>SUM(CW8:CW38)</f>
        <v>278671</v>
      </c>
      <c r="CX39" s="79">
        <f>AVERAGE(CX8:CX38)</f>
        <v>1</v>
      </c>
      <c r="CY39" s="79"/>
      <c r="CZ39" s="79"/>
      <c r="DA39" s="78">
        <f>SUM(DA8:DA38)</f>
        <v>150290</v>
      </c>
      <c r="DB39" s="79">
        <f>AVERAGE(DB8:DB38)</f>
        <v>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-1437639.6000000003</v>
      </c>
      <c r="DH39" s="78">
        <f>SUM(DH8:DH38)</f>
        <v>12694074.199999999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307490</v>
      </c>
      <c r="DS39" s="84"/>
      <c r="DT39" s="85">
        <f>SUMIF(DT7:DT38,"&gt;0")</f>
        <v>781100</v>
      </c>
      <c r="DU39" s="86"/>
      <c r="DV39" s="86"/>
      <c r="DW39" s="87">
        <f>SUMIF(DW8:DW38,"&gt;0")</f>
        <v>91799.999999999272</v>
      </c>
      <c r="DX39" s="86"/>
      <c r="DY39" s="86"/>
      <c r="DZ39" s="87">
        <f>SUMIF(DZ8:DZ38,"&gt;0")</f>
        <v>157264.20000000033</v>
      </c>
      <c r="EA39" s="86"/>
      <c r="EB39" s="86"/>
      <c r="EC39" s="87">
        <f>SUMIF(EC8:EC38,"&gt;0")</f>
        <v>541124.19999999984</v>
      </c>
      <c r="ED39" s="88">
        <f>SUMIF(ED8:ED38,"&gt;0")</f>
        <v>788688.39999999793</v>
      </c>
      <c r="EE39" s="86"/>
      <c r="EF39" s="86"/>
      <c r="EG39" s="87">
        <f>SUMIF(EG8:EG38,"&gt;0")</f>
        <v>839124.2</v>
      </c>
      <c r="EH39" s="86"/>
      <c r="EI39" s="86"/>
      <c r="EJ39" s="87">
        <f>SUMIF(EJ8:EJ38,"&gt;0")</f>
        <v>328164.2</v>
      </c>
      <c r="EK39" s="87"/>
      <c r="EL39" s="87"/>
      <c r="EM39" s="87">
        <f>SUMIF(EM8:EM38,"&gt;0")</f>
        <v>17340.000000000029</v>
      </c>
      <c r="EN39" s="89">
        <f>SUMIF(EN8:EN38,"&gt;0")</f>
        <v>1184628.4000000001</v>
      </c>
      <c r="EO39" s="48"/>
      <c r="EP39" s="48"/>
      <c r="EQ39" s="90">
        <f>SUMIF(EQ8:EQ38,"&gt;0")</f>
        <v>225934.19999999995</v>
      </c>
      <c r="ER39" s="90"/>
      <c r="ES39" s="90"/>
      <c r="ET39" s="90">
        <f>SUMIF(ET8:ET38,"&gt;0")</f>
        <v>494000</v>
      </c>
      <c r="EU39" s="90"/>
      <c r="EV39" s="90"/>
      <c r="EW39" s="90">
        <f>SUMIF(EW8:EW38,"&gt;0")</f>
        <v>325264.20000000042</v>
      </c>
      <c r="EX39" s="48"/>
      <c r="EY39" s="48"/>
      <c r="EZ39" s="90">
        <f>SUMIF(EZ8:EZ38,"&gt;0")</f>
        <v>364164.19999999995</v>
      </c>
      <c r="FA39" s="90"/>
      <c r="FB39" s="90"/>
      <c r="FC39" s="90"/>
      <c r="FD39" s="90">
        <f>SUMIF(FD8:FD38,"&gt;0")</f>
        <v>1464532.6000000003</v>
      </c>
      <c r="FE39" s="48"/>
      <c r="FF39" s="48"/>
      <c r="FG39" s="90">
        <f>SUMIF(FG8:FG38,"&gt;0")</f>
        <v>278394.2</v>
      </c>
      <c r="FH39" s="90"/>
      <c r="FI39" s="90"/>
      <c r="FJ39" s="90">
        <f>SUMIF(FJ8:FJ38,"&gt;0")</f>
        <v>372164.19999999995</v>
      </c>
      <c r="FK39" s="90"/>
      <c r="FL39" s="90">
        <f>SUMIF(FL8:FL38,"&gt;0")</f>
        <v>0</v>
      </c>
      <c r="FM39" s="90">
        <f>SUMIF(FM8:FM38,"&gt;0")</f>
        <v>1577.9133333340435</v>
      </c>
      <c r="FN39" s="48"/>
      <c r="FO39" s="48"/>
      <c r="FP39" s="90">
        <f>SUMIF(FP8:FP38,"&gt;0")</f>
        <v>302164.19999999995</v>
      </c>
      <c r="FQ39" s="90"/>
      <c r="FR39" s="90"/>
      <c r="FS39" s="90">
        <f>SUMIF(FS8:FS38,"&gt;0")</f>
        <v>899999.99999999977</v>
      </c>
      <c r="FT39" s="90"/>
      <c r="FU39" s="90">
        <f>SUMIF(FU8:FU38,"&gt;0")</f>
        <v>980822.6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100</v>
      </c>
      <c r="GQ39" s="90"/>
      <c r="GR39" s="90"/>
      <c r="GS39" s="90">
        <f>SUM(GS8:GS38)</f>
        <v>3790</v>
      </c>
      <c r="GT39" s="247"/>
      <c r="GU39" s="90">
        <f>SUM(GU7:GU38)</f>
        <v>-0.15000001112639438</v>
      </c>
      <c r="GV39" s="90">
        <f>SUM(GV8:GV38)</f>
        <v>122462.80000000002</v>
      </c>
      <c r="GW39" s="345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G39" s="92"/>
      <c r="HH39" s="61"/>
      <c r="HI39" s="61"/>
      <c r="HJ39" s="61">
        <f>SUM(HJ7:HJ38)</f>
        <v>5601000</v>
      </c>
      <c r="HK39" s="61"/>
      <c r="HL39" s="61"/>
      <c r="HM39" s="61">
        <f>SUM(HM7:HM38)</f>
        <v>0</v>
      </c>
      <c r="HN39" s="61"/>
      <c r="HO39" s="61"/>
      <c r="HP39" s="61">
        <f>SUM(HP7:HP38)</f>
        <v>1336625.0000000002</v>
      </c>
      <c r="HQ39" s="61"/>
      <c r="HR39" s="61"/>
      <c r="HS39" s="61">
        <f>SUM(HS7:HS38)</f>
        <v>836425.00000000035</v>
      </c>
      <c r="HT39" s="61"/>
      <c r="HU39" s="61"/>
      <c r="HV39" s="61">
        <f>SUM(HV7:HV38)</f>
        <v>888824.99999999988</v>
      </c>
      <c r="HW39" s="61"/>
      <c r="HX39" s="61"/>
      <c r="HY39" s="61">
        <f>SUM(HY7:HY38)</f>
        <v>771524.99999999988</v>
      </c>
      <c r="HZ39" s="61"/>
      <c r="IA39" s="61"/>
      <c r="IB39" s="61">
        <f>SUM(IB7:IB38)</f>
        <v>959900</v>
      </c>
      <c r="IC39" s="61"/>
      <c r="ID39" s="61"/>
      <c r="IE39" s="61">
        <f>SUM(IE7:IE38)</f>
        <v>0</v>
      </c>
      <c r="IF39" s="61"/>
      <c r="IG39" s="61"/>
      <c r="IH39" s="61">
        <f>SUM(IH7:IH38)</f>
        <v>807700</v>
      </c>
      <c r="II39" s="281">
        <f>SUM(II8:II38)</f>
        <v>5.4569682106375694E-10</v>
      </c>
      <c r="IJ39" s="345"/>
      <c r="IK39" s="345"/>
      <c r="IL39" s="345">
        <f>SUM(IL7:IL38)</f>
        <v>0</v>
      </c>
      <c r="IM39" s="345"/>
      <c r="IN39" s="345"/>
      <c r="IO39" s="345">
        <f>SUM(IO7:IO38)</f>
        <v>0</v>
      </c>
      <c r="IP39" s="345"/>
      <c r="IQ39" s="345"/>
      <c r="IR39" s="345">
        <f>SUM(IR7:IR38)</f>
        <v>0</v>
      </c>
      <c r="IS39" s="345"/>
      <c r="IT39" s="345"/>
      <c r="IU39" s="345">
        <f>SUM(IU7:IU38)</f>
        <v>0</v>
      </c>
      <c r="IV39" s="345"/>
      <c r="IW39" s="345"/>
      <c r="IX39" s="345">
        <f>SUM(IX7:IX38)</f>
        <v>0</v>
      </c>
      <c r="IY39" s="345"/>
      <c r="IZ39" s="345"/>
      <c r="JA39" s="345">
        <f>SUM(JA7:JA38)</f>
        <v>0</v>
      </c>
      <c r="JB39" s="345"/>
      <c r="JC39" s="345"/>
      <c r="JD39" s="345">
        <f>SUM(JD7:JD38)</f>
        <v>0</v>
      </c>
      <c r="JE39" s="345"/>
      <c r="JF39" s="345"/>
      <c r="JG39" s="345">
        <f>SUM(JG7:JG38)</f>
        <v>0</v>
      </c>
      <c r="JH39" s="345"/>
      <c r="JI39" s="345"/>
      <c r="JJ39" s="345">
        <f>SUM(JJ7:JJ38)</f>
        <v>0</v>
      </c>
      <c r="JK39" s="345"/>
      <c r="JL39" s="345"/>
      <c r="JM39" s="345">
        <f>SUM(JM7:JM38)</f>
        <v>0</v>
      </c>
      <c r="JN39" s="345"/>
      <c r="JO39" s="345"/>
      <c r="JP39" s="345">
        <f>SUM(JP7:JP38)</f>
        <v>0</v>
      </c>
      <c r="JQ39" s="345"/>
      <c r="JR39" s="345"/>
      <c r="JS39" s="345">
        <f>SUM(JS7:JS38)</f>
        <v>0</v>
      </c>
      <c r="JT39" s="345"/>
      <c r="JU39" s="345"/>
      <c r="JV39" s="345">
        <f>SUM(JV7:JV38)</f>
        <v>0</v>
      </c>
      <c r="JW39" s="345"/>
      <c r="JX39" s="345"/>
      <c r="JY39" s="345">
        <f>SUM(JY7:JY38)</f>
        <v>0</v>
      </c>
      <c r="JZ39" s="345"/>
      <c r="KA39" s="345"/>
      <c r="KB39" s="345">
        <f>SUM(KB7:KB38)</f>
        <v>0</v>
      </c>
      <c r="KC39" s="345"/>
      <c r="KD39" s="345"/>
      <c r="KE39" s="345">
        <f>SUM(KE7:KE38)</f>
        <v>0</v>
      </c>
      <c r="KG39">
        <f>SUM(KG7:KG38)</f>
        <v>2296525</v>
      </c>
    </row>
    <row r="40" spans="1:293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249"/>
      <c r="HC40" s="151"/>
      <c r="HD40" s="74"/>
    </row>
    <row r="41" spans="1:293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419" t="s">
        <v>208</v>
      </c>
      <c r="BV41" s="419"/>
      <c r="BW41" s="419"/>
      <c r="BY41" s="406" t="s">
        <v>205</v>
      </c>
      <c r="BZ41" s="406"/>
      <c r="CA41" s="406"/>
      <c r="CC41" s="91"/>
      <c r="CE41" s="95"/>
      <c r="CF41" s="95"/>
      <c r="CG41" s="95"/>
      <c r="CH41" s="96"/>
      <c r="CI41" s="92"/>
      <c r="CJ41" s="92"/>
      <c r="CK41" s="92"/>
      <c r="CL41" s="92"/>
      <c r="CZ41" s="91"/>
      <c r="DB41" s="91"/>
      <c r="DS41" s="24"/>
      <c r="DT41" s="151"/>
      <c r="DU41" s="406" t="s">
        <v>205</v>
      </c>
      <c r="DV41" s="406"/>
      <c r="DW41" s="406"/>
      <c r="DX41" s="406" t="s">
        <v>203</v>
      </c>
      <c r="DY41" s="406"/>
      <c r="DZ41" s="406"/>
      <c r="EA41" s="406" t="s">
        <v>204</v>
      </c>
      <c r="EB41" s="406"/>
      <c r="EC41" s="406"/>
      <c r="EE41" t="s">
        <v>108</v>
      </c>
      <c r="EF41" s="3"/>
      <c r="EJ41" s="2"/>
      <c r="EK41" s="174"/>
      <c r="EL41" s="174"/>
      <c r="EN41" s="2"/>
      <c r="EO41" s="406" t="s">
        <v>155</v>
      </c>
      <c r="EP41" s="406"/>
      <c r="EQ41" s="406"/>
      <c r="ER41" s="406" t="s">
        <v>135</v>
      </c>
      <c r="ES41" s="406"/>
      <c r="ET41" s="406"/>
      <c r="EU41" s="406" t="s">
        <v>155</v>
      </c>
      <c r="EV41" s="406"/>
      <c r="EW41" s="406"/>
      <c r="EX41" s="406"/>
      <c r="EY41" s="406"/>
      <c r="EZ41" s="406"/>
      <c r="FE41" s="407" t="s">
        <v>155</v>
      </c>
      <c r="FF41" s="407"/>
      <c r="FG41" s="407"/>
      <c r="FH41" s="406" t="s">
        <v>135</v>
      </c>
      <c r="FI41" s="406"/>
      <c r="FJ41" s="406"/>
      <c r="FO41" s="407" t="s">
        <v>155</v>
      </c>
      <c r="FP41" s="407"/>
      <c r="FQ41" s="407"/>
      <c r="FS41" s="273" t="s">
        <v>427</v>
      </c>
      <c r="FX41" s="91">
        <f>SUM(FX8:FX38)</f>
        <v>703100</v>
      </c>
      <c r="GA41" s="91">
        <f>SUM(GA8:GA38)</f>
        <v>157900</v>
      </c>
      <c r="GG41" s="91">
        <f>SUM(GG8:GG38)</f>
        <v>181730.00000000012</v>
      </c>
      <c r="GJ41" s="151"/>
      <c r="GK41" s="151"/>
      <c r="GM41" s="91"/>
      <c r="GN41" s="91"/>
      <c r="GS41" s="3"/>
      <c r="HD41" s="74"/>
      <c r="HH41" s="345" t="s">
        <v>284</v>
      </c>
      <c r="HI41" s="345" t="s">
        <v>289</v>
      </c>
      <c r="HJ41" s="345" t="s">
        <v>288</v>
      </c>
      <c r="HX41" s="151"/>
    </row>
    <row r="42" spans="1:293" ht="33.75" x14ac:dyDescent="0.5">
      <c r="B42" s="94"/>
      <c r="C42" s="94"/>
      <c r="D42" s="94"/>
      <c r="F42" s="94"/>
      <c r="G42" s="94"/>
      <c r="L42" s="24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226">BW8</f>
        <v>25</v>
      </c>
      <c r="CE42" s="96">
        <f t="shared" ref="CE42:CE45" si="227">CD42-CF43</f>
        <v>-405</v>
      </c>
      <c r="CF42" s="98">
        <f t="shared" ref="CF42:CF46" si="228">CD42-CE42</f>
        <v>430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414" t="s">
        <v>224</v>
      </c>
      <c r="DR42" s="414"/>
      <c r="DS42" s="414"/>
      <c r="DT42" s="414"/>
      <c r="EE42" t="s">
        <v>109</v>
      </c>
      <c r="EJ42" s="3"/>
      <c r="EK42" s="174"/>
      <c r="EL42" s="174"/>
      <c r="EN42" s="2"/>
      <c r="EO42" s="151"/>
      <c r="FF42" s="416" t="s">
        <v>243</v>
      </c>
      <c r="FG42" s="416"/>
      <c r="FH42" s="416" t="s">
        <v>246</v>
      </c>
      <c r="FI42" s="416"/>
      <c r="FJ42" s="415" t="s">
        <v>247</v>
      </c>
      <c r="FK42" s="415"/>
      <c r="FL42" s="415" t="s">
        <v>245</v>
      </c>
      <c r="FM42" s="415"/>
      <c r="FN42" s="416" t="s">
        <v>37</v>
      </c>
      <c r="FO42" s="418" t="s">
        <v>310</v>
      </c>
      <c r="FP42" s="406"/>
      <c r="FQ42" s="500"/>
      <c r="FR42" s="402" t="s">
        <v>1</v>
      </c>
      <c r="FS42" s="530" t="s">
        <v>306</v>
      </c>
      <c r="FT42" s="530"/>
      <c r="FU42" s="530"/>
      <c r="FV42" s="345" t="s">
        <v>307</v>
      </c>
      <c r="FW42" s="345"/>
      <c r="GJ42" s="151"/>
      <c r="GK42" s="151"/>
      <c r="GO42" s="91"/>
      <c r="HD42" s="74"/>
      <c r="HH42" s="345" t="s">
        <v>270</v>
      </c>
      <c r="HI42" s="345">
        <f>HJ39</f>
        <v>5601000</v>
      </c>
      <c r="HJ42" s="345"/>
      <c r="HT42" s="151"/>
      <c r="HX42" s="151"/>
      <c r="IE42" s="274" t="s">
        <v>424</v>
      </c>
      <c r="IH42" s="524" t="s">
        <v>401</v>
      </c>
      <c r="II42" s="525"/>
      <c r="IJ42" s="525"/>
      <c r="IK42" s="525"/>
      <c r="IL42" s="526"/>
      <c r="IO42" s="542" t="s">
        <v>403</v>
      </c>
      <c r="IP42" s="542"/>
      <c r="IQ42" s="542"/>
      <c r="IR42" s="542"/>
      <c r="IS42" s="542"/>
      <c r="IT42" s="542"/>
      <c r="JN42" t="s">
        <v>296</v>
      </c>
    </row>
    <row r="43" spans="1:293" x14ac:dyDescent="0.25">
      <c r="B43" s="345" t="s">
        <v>170</v>
      </c>
      <c r="C43" s="345"/>
      <c r="D43" s="345" t="s">
        <v>171</v>
      </c>
      <c r="E43" s="345" t="s">
        <v>170</v>
      </c>
      <c r="F43" s="345"/>
      <c r="G43" s="345" t="s">
        <v>172</v>
      </c>
      <c r="H43" s="345" t="s">
        <v>168</v>
      </c>
      <c r="I43" s="345"/>
      <c r="J43" s="345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226"/>
        <v>4138</v>
      </c>
      <c r="CE43" s="96">
        <f t="shared" si="227"/>
        <v>3708</v>
      </c>
      <c r="CF43" s="98">
        <f t="shared" si="228"/>
        <v>430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408" t="s">
        <v>225</v>
      </c>
      <c r="DR43" s="409"/>
      <c r="DS43" s="408" t="s">
        <v>226</v>
      </c>
      <c r="DT43" s="409"/>
      <c r="EE43" t="s">
        <v>110</v>
      </c>
      <c r="EJ43" s="2"/>
      <c r="EK43" s="174"/>
      <c r="EL43" s="174"/>
      <c r="EN43" s="3"/>
      <c r="EO43" s="151"/>
      <c r="EZ43" s="416" t="s">
        <v>241</v>
      </c>
      <c r="FA43" s="416" t="s">
        <v>242</v>
      </c>
      <c r="FB43" s="416" t="s">
        <v>37</v>
      </c>
      <c r="FD43" s="3"/>
      <c r="FF43" s="416"/>
      <c r="FG43" s="416"/>
      <c r="FH43" s="416"/>
      <c r="FI43" s="416"/>
      <c r="FJ43" s="415"/>
      <c r="FK43" s="415"/>
      <c r="FL43" s="415"/>
      <c r="FM43" s="415"/>
      <c r="FN43" s="416"/>
      <c r="FO43" s="418"/>
      <c r="FP43" s="406"/>
      <c r="FQ43" s="500"/>
      <c r="FR43" s="402"/>
      <c r="FS43" s="179" t="s">
        <v>82</v>
      </c>
      <c r="FT43" s="345" t="s">
        <v>83</v>
      </c>
      <c r="FU43" s="179" t="s">
        <v>257</v>
      </c>
      <c r="FV43" s="345" t="s">
        <v>308</v>
      </c>
      <c r="FW43" s="345" t="s">
        <v>309</v>
      </c>
      <c r="HD43" s="74"/>
      <c r="HH43" s="345" t="s">
        <v>271</v>
      </c>
      <c r="HI43" s="345">
        <f>HM39</f>
        <v>0</v>
      </c>
      <c r="HJ43" s="345"/>
      <c r="HT43" s="151"/>
      <c r="HV43" s="151"/>
      <c r="HW43" s="151"/>
      <c r="HX43" s="151"/>
      <c r="IH43" s="345"/>
      <c r="II43" s="345" t="s">
        <v>291</v>
      </c>
      <c r="IJ43" s="345"/>
      <c r="IK43" s="345"/>
      <c r="IL43" s="345"/>
      <c r="IO43" s="542"/>
      <c r="IP43" s="542"/>
      <c r="IQ43" s="542"/>
      <c r="IR43" s="542"/>
      <c r="IS43" s="542"/>
      <c r="IT43" s="542"/>
      <c r="JN43">
        <f t="shared" ref="JN43:JN63" si="229">HY15-JP15</f>
        <v>23475</v>
      </c>
    </row>
    <row r="44" spans="1:293" x14ac:dyDescent="0.25">
      <c r="B44" s="345" t="s">
        <v>115</v>
      </c>
      <c r="C44" s="345" t="s">
        <v>116</v>
      </c>
      <c r="D44" s="345"/>
      <c r="E44" s="345" t="s">
        <v>115</v>
      </c>
      <c r="F44" s="345" t="s">
        <v>116</v>
      </c>
      <c r="G44" s="345"/>
      <c r="H44" s="345" t="s">
        <v>115</v>
      </c>
      <c r="I44" s="345" t="s">
        <v>116</v>
      </c>
      <c r="J44" s="345"/>
      <c r="AM44" s="151"/>
      <c r="BH44" s="96"/>
      <c r="BI44" s="96"/>
      <c r="BJ44" s="96"/>
      <c r="BW44" s="91"/>
      <c r="BY44" s="91"/>
      <c r="CC44" s="91"/>
      <c r="CD44" s="91">
        <f t="shared" si="226"/>
        <v>4627</v>
      </c>
      <c r="CE44" s="96">
        <f t="shared" si="227"/>
        <v>4197</v>
      </c>
      <c r="CF44" s="98">
        <f t="shared" si="228"/>
        <v>430</v>
      </c>
      <c r="CG44" s="96">
        <v>4450.1999999999753</v>
      </c>
      <c r="CH44" s="96">
        <f t="shared" ref="CH44:CH46" si="230">CG44-CD10-CH10</f>
        <v>4450.1999999999753</v>
      </c>
      <c r="CI44" s="92"/>
      <c r="CJ44" s="92"/>
      <c r="CK44" s="92"/>
      <c r="CL44" s="92"/>
      <c r="CQ44" s="161"/>
      <c r="CR44" s="161"/>
      <c r="CV44" s="91"/>
      <c r="DQ44" s="410"/>
      <c r="DR44" s="411"/>
      <c r="DS44" s="410"/>
      <c r="DT44" s="411"/>
      <c r="EE44" t="s">
        <v>111</v>
      </c>
      <c r="EJ44" s="2"/>
      <c r="EV44" t="s">
        <v>235</v>
      </c>
      <c r="EZ44" s="416"/>
      <c r="FA44" s="416"/>
      <c r="FB44" s="416"/>
      <c r="FC44" s="21"/>
      <c r="FD44" s="345" t="s">
        <v>244</v>
      </c>
      <c r="FE44" s="10"/>
      <c r="FF44" s="345" t="s">
        <v>15</v>
      </c>
      <c r="FG44" s="55" t="s">
        <v>16</v>
      </c>
      <c r="FH44" s="345" t="s">
        <v>132</v>
      </c>
      <c r="FI44" s="345" t="s">
        <v>133</v>
      </c>
      <c r="FJ44" s="345" t="s">
        <v>132</v>
      </c>
      <c r="FK44" s="345" t="s">
        <v>133</v>
      </c>
      <c r="FL44" s="345" t="s">
        <v>132</v>
      </c>
      <c r="FM44" s="345" t="s">
        <v>133</v>
      </c>
      <c r="FN44" s="416"/>
      <c r="FO44" s="418"/>
      <c r="FP44" s="406"/>
      <c r="FQ44" s="500"/>
      <c r="FR44" s="345">
        <v>1</v>
      </c>
      <c r="FS44" s="348">
        <v>900</v>
      </c>
      <c r="FT44" s="345"/>
      <c r="FU44" s="345"/>
      <c r="FV44" s="345"/>
      <c r="FW44" s="345"/>
      <c r="HD44" s="74"/>
      <c r="HH44" s="345" t="s">
        <v>272</v>
      </c>
      <c r="HI44" s="345">
        <f>HS39</f>
        <v>836425.00000000035</v>
      </c>
      <c r="HJ44" s="345"/>
      <c r="HT44" s="151"/>
      <c r="HV44" s="151"/>
      <c r="HW44" s="151"/>
      <c r="HX44" s="151"/>
      <c r="IH44" s="345"/>
      <c r="II44" s="345"/>
      <c r="IJ44" s="345" t="s">
        <v>292</v>
      </c>
      <c r="IK44" s="345"/>
      <c r="IL44" s="345" t="s">
        <v>292</v>
      </c>
      <c r="IO44" s="542"/>
      <c r="IP44" s="542"/>
      <c r="IQ44" s="542"/>
      <c r="IR44" s="542"/>
      <c r="IS44" s="542"/>
      <c r="IT44" s="542"/>
      <c r="JN44">
        <f t="shared" si="229"/>
        <v>24500.000000000091</v>
      </c>
    </row>
    <row r="45" spans="1:293" x14ac:dyDescent="0.25">
      <c r="A45" s="35">
        <v>31</v>
      </c>
      <c r="B45" s="138">
        <v>0.37280000000000002</v>
      </c>
      <c r="C45" s="65"/>
      <c r="D45" s="55"/>
      <c r="E45" s="251">
        <v>35339</v>
      </c>
      <c r="F45" s="345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226"/>
        <v>3500</v>
      </c>
      <c r="CE45" s="96">
        <f t="shared" si="227"/>
        <v>3070</v>
      </c>
      <c r="CF45" s="98">
        <f t="shared" si="228"/>
        <v>430</v>
      </c>
      <c r="CG45" s="96">
        <v>4316.1999999999753</v>
      </c>
      <c r="CH45" s="96">
        <f t="shared" si="230"/>
        <v>4316.1999999999753</v>
      </c>
      <c r="CI45" s="92"/>
      <c r="CJ45" s="92"/>
      <c r="CK45" s="92"/>
      <c r="CL45" s="92"/>
      <c r="DQ45" s="412"/>
      <c r="DR45" s="413"/>
      <c r="DS45" s="412"/>
      <c r="DT45" s="413"/>
      <c r="EE45" t="s">
        <v>114</v>
      </c>
      <c r="EV45" t="s">
        <v>236</v>
      </c>
      <c r="EW45" s="406" t="s">
        <v>238</v>
      </c>
      <c r="EX45" s="406"/>
      <c r="EZ45" s="203">
        <f>EZ8</f>
        <v>9968.65</v>
      </c>
      <c r="FA45" s="205">
        <f>FP8</f>
        <v>2968.65</v>
      </c>
      <c r="FB45" s="201">
        <f>EZ45+FA45</f>
        <v>12937.3</v>
      </c>
      <c r="FC45" s="345">
        <f>85*0.6355*24</f>
        <v>1296.42</v>
      </c>
      <c r="FD45" s="167">
        <f>FB45-$FC$45</f>
        <v>11640.88</v>
      </c>
      <c r="FE45" s="345"/>
      <c r="FF45" s="199">
        <v>1</v>
      </c>
      <c r="FG45" s="200">
        <f t="shared" ref="FG45:FG53" si="231">100%-FF45</f>
        <v>0</v>
      </c>
      <c r="FH45" s="345">
        <f>FF45*$FC$45</f>
        <v>1296.42</v>
      </c>
      <c r="FI45" s="179">
        <f>FG45*$FC$45</f>
        <v>0</v>
      </c>
      <c r="FJ45" s="179">
        <f>FF45*FD45</f>
        <v>11640.88</v>
      </c>
      <c r="FK45" s="179">
        <f>FG45*FD45</f>
        <v>0</v>
      </c>
      <c r="FL45" s="204">
        <f>FH45+FJ45</f>
        <v>12937.3</v>
      </c>
      <c r="FM45" s="206">
        <f>FI45+FK45</f>
        <v>0</v>
      </c>
      <c r="FN45" s="202">
        <f>FL45+FM45</f>
        <v>12937.3</v>
      </c>
      <c r="FQ45" s="217"/>
      <c r="FR45" s="345">
        <v>2</v>
      </c>
      <c r="FS45" s="251">
        <v>902.3</v>
      </c>
      <c r="FT45" s="345"/>
      <c r="FU45" s="345">
        <f>(FS45-FS44)*1000</f>
        <v>2299.9999999999545</v>
      </c>
      <c r="FV45" s="345">
        <f t="shared" ref="FV45:FV75" si="232">FU45/2</f>
        <v>1149.9999999999773</v>
      </c>
      <c r="FW45" s="345">
        <f t="shared" ref="FW45:FW75" si="233">FU45/2</f>
        <v>1149.9999999999773</v>
      </c>
      <c r="HD45" s="74"/>
      <c r="HH45" s="345" t="s">
        <v>273</v>
      </c>
      <c r="HI45" s="345">
        <f>HV39</f>
        <v>888824.99999999988</v>
      </c>
      <c r="HJ45" s="179"/>
      <c r="HR45" s="151"/>
      <c r="HS45" s="151"/>
      <c r="HT45" s="151"/>
      <c r="HV45" s="151"/>
      <c r="HW45" s="151"/>
      <c r="IG45" s="151"/>
      <c r="IH45" s="345">
        <v>1</v>
      </c>
      <c r="II45" s="144">
        <f>DailyOct!BX7+DailyOct!BY7-DailyOct!BZ7-DailyOct!CA7-DailyOct!CB7-DailyOct!CC7-DailyOct!CD7-DailyOct!CF7-DailyOct!CE7</f>
        <v>4.8021320253610611E-10</v>
      </c>
      <c r="IJ45" s="251">
        <v>-9640</v>
      </c>
      <c r="IK45" s="345">
        <f>IJ45/4</f>
        <v>-2410</v>
      </c>
      <c r="IL45" s="251">
        <v>-2410</v>
      </c>
      <c r="IO45" s="542"/>
      <c r="IP45" s="542"/>
      <c r="IQ45" s="542"/>
      <c r="IR45" s="542"/>
      <c r="IS45" s="542"/>
      <c r="IT45" s="542"/>
      <c r="JN45">
        <f t="shared" si="229"/>
        <v>25199.999999999727</v>
      </c>
    </row>
    <row r="46" spans="1:293" ht="15" customHeight="1" x14ac:dyDescent="0.25">
      <c r="A46" s="35">
        <v>1</v>
      </c>
      <c r="B46" s="138">
        <v>0.37280000000000002</v>
      </c>
      <c r="C46" s="65"/>
      <c r="D46" s="37">
        <f>IF((B46-B45)&lt;=0,0,(B46-B45))*1000000</f>
        <v>0</v>
      </c>
      <c r="E46" s="251">
        <v>35426</v>
      </c>
      <c r="F46" s="345"/>
      <c r="G46" s="37">
        <f t="shared" ref="G46:G75" si="234">IF((E46-E45)&lt;=0,0,(E46-E45))*1000</f>
        <v>87000</v>
      </c>
      <c r="H46" s="138"/>
      <c r="I46" s="65"/>
      <c r="J46" s="37">
        <f t="shared" ref="J46:J75" si="235">IF((H46-H45)&lt;=0,0,(H46-H45))*1000</f>
        <v>0</v>
      </c>
      <c r="M46" s="24"/>
      <c r="N46" s="24"/>
      <c r="BH46" s="96"/>
      <c r="BI46" s="96"/>
      <c r="BJ46" s="96"/>
      <c r="CC46" s="91"/>
      <c r="CD46" s="91">
        <f t="shared" si="226"/>
        <v>3904</v>
      </c>
      <c r="CE46" s="96">
        <f>CD46-CF47</f>
        <v>3474</v>
      </c>
      <c r="CF46" s="98">
        <f t="shared" si="228"/>
        <v>430</v>
      </c>
      <c r="CG46" s="96">
        <v>3692.1999999999753</v>
      </c>
      <c r="CH46" s="96">
        <f t="shared" si="230"/>
        <v>3692.1999999999753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333"/>
      <c r="EX46" s="333"/>
      <c r="EZ46" s="203">
        <f t="shared" ref="EZ46:EZ75" si="236">EZ9</f>
        <v>11477.09</v>
      </c>
      <c r="FA46" s="205">
        <f t="shared" ref="FA46:FA74" si="237">FP9</f>
        <v>1477.09</v>
      </c>
      <c r="FB46" s="201">
        <f t="shared" ref="FB46:FB74" si="238">EZ46+FA46</f>
        <v>12954.18</v>
      </c>
      <c r="FC46" s="356">
        <f t="shared" ref="FC46:FC75" si="239">85*0.6355*24</f>
        <v>1296.42</v>
      </c>
      <c r="FD46" s="167">
        <f t="shared" ref="FD46:FD75" si="240">FB46-$FC$45</f>
        <v>11657.76</v>
      </c>
      <c r="FE46" s="345"/>
      <c r="FF46" s="199">
        <v>1</v>
      </c>
      <c r="FG46" s="200">
        <f t="shared" si="231"/>
        <v>0</v>
      </c>
      <c r="FH46" s="345">
        <f t="shared" ref="FH46:FI75" si="241">FF46*$FC$45</f>
        <v>1296.42</v>
      </c>
      <c r="FI46" s="179">
        <f t="shared" si="241"/>
        <v>0</v>
      </c>
      <c r="FJ46" s="179">
        <f t="shared" ref="FJ46:FJ75" si="242">FF46*FD46</f>
        <v>11657.76</v>
      </c>
      <c r="FK46" s="179">
        <f t="shared" ref="FK46:FK75" si="243">FG46*FD46</f>
        <v>0</v>
      </c>
      <c r="FL46" s="204">
        <f t="shared" ref="FL46:FM75" si="244">FH46+FJ46</f>
        <v>12954.18</v>
      </c>
      <c r="FM46" s="206">
        <f t="shared" si="244"/>
        <v>0</v>
      </c>
      <c r="FN46" s="202">
        <f t="shared" ref="FN46:FN75" si="245">FL46+FM46</f>
        <v>12954.18</v>
      </c>
      <c r="FQ46" s="217"/>
      <c r="FR46" s="345">
        <v>3</v>
      </c>
      <c r="FS46" s="251">
        <v>905.1</v>
      </c>
      <c r="FT46" s="345"/>
      <c r="FU46" s="352">
        <f>(FS46-FS45)*1000</f>
        <v>2800.0000000000682</v>
      </c>
      <c r="FV46" s="345">
        <f t="shared" si="232"/>
        <v>1400.0000000000341</v>
      </c>
      <c r="FW46" s="345">
        <f t="shared" si="233"/>
        <v>1400.0000000000341</v>
      </c>
      <c r="HH46" s="345" t="s">
        <v>274</v>
      </c>
      <c r="HI46" s="345">
        <f>HY39</f>
        <v>771524.99999999988</v>
      </c>
      <c r="HJ46" s="345"/>
      <c r="HV46" s="151"/>
      <c r="IH46" s="345">
        <v>2</v>
      </c>
      <c r="II46" s="144">
        <f>DailyOct!BX8+DailyOct!BY8-DailyOct!BZ8-DailyOct!CA8-DailyOct!CB8-DailyOct!CC8-DailyOct!CD8-DailyOct!CF8-DailyOct!CE8</f>
        <v>6.2573235481977463E-10</v>
      </c>
      <c r="IJ46" s="251">
        <v>500</v>
      </c>
      <c r="IK46" s="345">
        <f t="shared" ref="IK46:IK75" si="246">IJ46/4</f>
        <v>125</v>
      </c>
      <c r="IL46" s="251">
        <v>125</v>
      </c>
      <c r="IO46" s="542"/>
      <c r="IP46" s="542"/>
      <c r="IQ46" s="542"/>
      <c r="IR46" s="542"/>
      <c r="IS46" s="542"/>
      <c r="IT46" s="542"/>
      <c r="JN46">
        <f t="shared" si="229"/>
        <v>26500.000000000273</v>
      </c>
    </row>
    <row r="47" spans="1:293" ht="15" customHeight="1" x14ac:dyDescent="0.25">
      <c r="A47" s="35">
        <v>2</v>
      </c>
      <c r="B47" s="138">
        <v>0.37280000000000002</v>
      </c>
      <c r="C47" s="65"/>
      <c r="D47" s="37">
        <f t="shared" ref="D47:D75" si="247">IF((B47-B46)&lt;=0,0,(B47-B46))*1000000</f>
        <v>0</v>
      </c>
      <c r="E47" s="251">
        <v>35490</v>
      </c>
      <c r="F47" s="345"/>
      <c r="G47" s="37">
        <f t="shared" si="234"/>
        <v>64000</v>
      </c>
      <c r="H47" s="138"/>
      <c r="I47" s="65"/>
      <c r="J47" s="37">
        <f t="shared" si="235"/>
        <v>0</v>
      </c>
      <c r="L47" s="287"/>
      <c r="BH47" s="96"/>
      <c r="BI47" s="96"/>
      <c r="BJ47" s="96"/>
      <c r="CC47" s="91"/>
      <c r="CD47" s="91">
        <f>BW13</f>
        <v>4904</v>
      </c>
      <c r="CE47" s="96">
        <f>CD13+CF13+CH13</f>
        <v>4474</v>
      </c>
      <c r="CF47" s="98">
        <f>CD47-CE47</f>
        <v>430</v>
      </c>
      <c r="CG47" s="96">
        <v>5653.1999999999753</v>
      </c>
      <c r="CH47" s="96">
        <f>CG47-CD13-CH13</f>
        <v>5284.1999999999753</v>
      </c>
      <c r="CI47" s="92"/>
      <c r="CJ47" s="92"/>
      <c r="CK47" s="92"/>
      <c r="CL47" s="92"/>
      <c r="CN47" s="91"/>
      <c r="DP47">
        <v>31</v>
      </c>
      <c r="DQ47" s="50">
        <v>8.2584</v>
      </c>
      <c r="DR47" s="49"/>
      <c r="DS47" s="50">
        <v>51.348999999999997</v>
      </c>
      <c r="DT47" s="49"/>
      <c r="EV47" t="s">
        <v>239</v>
      </c>
      <c r="EZ47" s="203">
        <f t="shared" si="236"/>
        <v>12186.11</v>
      </c>
      <c r="FA47" s="205">
        <f t="shared" si="237"/>
        <v>1186.1100000000001</v>
      </c>
      <c r="FB47" s="201">
        <f t="shared" si="238"/>
        <v>13372.220000000001</v>
      </c>
      <c r="FC47" s="356">
        <f t="shared" si="239"/>
        <v>1296.42</v>
      </c>
      <c r="FD47" s="167">
        <f t="shared" si="240"/>
        <v>12075.800000000001</v>
      </c>
      <c r="FE47" s="345"/>
      <c r="FF47" s="199">
        <v>1</v>
      </c>
      <c r="FG47" s="200">
        <f t="shared" si="231"/>
        <v>0</v>
      </c>
      <c r="FH47" s="345">
        <f t="shared" si="241"/>
        <v>1296.42</v>
      </c>
      <c r="FI47" s="179">
        <f t="shared" si="241"/>
        <v>0</v>
      </c>
      <c r="FJ47" s="179">
        <f t="shared" si="242"/>
        <v>12075.800000000001</v>
      </c>
      <c r="FK47" s="179">
        <f t="shared" si="243"/>
        <v>0</v>
      </c>
      <c r="FL47" s="204">
        <f t="shared" si="244"/>
        <v>13372.220000000001</v>
      </c>
      <c r="FM47" s="206">
        <f t="shared" si="244"/>
        <v>0</v>
      </c>
      <c r="FN47" s="202">
        <f t="shared" si="245"/>
        <v>13372.220000000001</v>
      </c>
      <c r="FQ47" s="217"/>
      <c r="FR47" s="345">
        <v>4</v>
      </c>
      <c r="FS47" s="251">
        <v>907.8</v>
      </c>
      <c r="FT47" s="345"/>
      <c r="FU47" s="355">
        <f>(FS47-FS46)*1000</f>
        <v>2699.9999999999318</v>
      </c>
      <c r="FV47" s="345">
        <f t="shared" si="232"/>
        <v>1349.9999999999659</v>
      </c>
      <c r="FW47" s="345">
        <f t="shared" si="233"/>
        <v>1349.9999999999659</v>
      </c>
      <c r="HH47" s="345" t="s">
        <v>319</v>
      </c>
      <c r="HI47" s="345">
        <f>HP39</f>
        <v>1336625.0000000002</v>
      </c>
      <c r="HJ47" s="345"/>
      <c r="HT47" s="151"/>
      <c r="HV47" s="151"/>
      <c r="HW47" s="151"/>
      <c r="IH47" s="345">
        <v>3</v>
      </c>
      <c r="II47" s="144">
        <f>DailyOct!BX9+DailyOct!BY9-DailyOct!BZ9-DailyOct!CA9-DailyOct!CB9-DailyOct!CC9-DailyOct!CD9-DailyOct!CF9-DailyOct!CE9</f>
        <v>-1.7462298274040222E-10</v>
      </c>
      <c r="IJ47" s="251">
        <v>-300</v>
      </c>
      <c r="IK47" s="345">
        <f t="shared" si="246"/>
        <v>-75</v>
      </c>
      <c r="IL47" s="251">
        <v>-75</v>
      </c>
      <c r="IO47" s="542"/>
      <c r="IP47" s="542"/>
      <c r="IQ47" s="542"/>
      <c r="IR47" s="542"/>
      <c r="IS47" s="542"/>
      <c r="IT47" s="542"/>
      <c r="IW47" s="291"/>
      <c r="JN47">
        <f t="shared" si="229"/>
        <v>20749.999999999727</v>
      </c>
    </row>
    <row r="48" spans="1:293" ht="15" customHeight="1" x14ac:dyDescent="0.25">
      <c r="A48" s="35">
        <v>3</v>
      </c>
      <c r="B48" s="138">
        <v>0.37280000000000002</v>
      </c>
      <c r="C48" s="65"/>
      <c r="D48" s="37">
        <f t="shared" si="247"/>
        <v>0</v>
      </c>
      <c r="E48" s="251">
        <v>35583</v>
      </c>
      <c r="F48" s="345"/>
      <c r="G48" s="37">
        <f t="shared" si="234"/>
        <v>93000</v>
      </c>
      <c r="H48" s="138"/>
      <c r="I48" s="65"/>
      <c r="J48" s="37">
        <f t="shared" si="235"/>
        <v>0</v>
      </c>
      <c r="L48" s="287"/>
      <c r="AL48" s="101"/>
      <c r="AM48" s="101"/>
      <c r="AN48" s="101"/>
      <c r="AP48" s="405"/>
      <c r="AQ48" s="405"/>
      <c r="AR48" s="405"/>
      <c r="AS48" s="405"/>
      <c r="AT48" s="332"/>
      <c r="AU48" s="332"/>
      <c r="AV48" s="332"/>
      <c r="AW48" s="33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v>1</v>
      </c>
      <c r="DQ48" s="50">
        <v>8.2584</v>
      </c>
      <c r="DR48" s="49">
        <f t="shared" ref="DR48:DR78" si="248">IF((DQ48-DQ47)&lt;=0,0,(DQ48-DQ47))*10000</f>
        <v>0</v>
      </c>
      <c r="DS48" s="50">
        <v>51.348999999999997</v>
      </c>
      <c r="DT48" s="49">
        <f t="shared" ref="DT48:DT56" si="249">IF((DS48-DS47)&lt;=0,0,(DS48-DS47))*1000</f>
        <v>0</v>
      </c>
      <c r="EE48" s="406" t="s">
        <v>206</v>
      </c>
      <c r="EF48" s="406"/>
      <c r="EG48" s="406"/>
      <c r="EH48" s="406" t="s">
        <v>155</v>
      </c>
      <c r="EI48" s="406"/>
      <c r="EJ48" s="406"/>
      <c r="EK48" s="406" t="s">
        <v>207</v>
      </c>
      <c r="EL48" s="406"/>
      <c r="EM48" s="406"/>
      <c r="EV48" s="406" t="s">
        <v>240</v>
      </c>
      <c r="EW48" s="406"/>
      <c r="EX48">
        <f>85*0.6355*24</f>
        <v>1296.42</v>
      </c>
      <c r="EZ48" s="203">
        <f t="shared" si="236"/>
        <v>12613.22</v>
      </c>
      <c r="FA48" s="205">
        <f t="shared" si="237"/>
        <v>613.22</v>
      </c>
      <c r="FB48" s="201">
        <f t="shared" si="238"/>
        <v>13226.439999999999</v>
      </c>
      <c r="FC48" s="356">
        <f t="shared" si="239"/>
        <v>1296.42</v>
      </c>
      <c r="FD48" s="167">
        <f t="shared" si="240"/>
        <v>11930.019999999999</v>
      </c>
      <c r="FE48" s="345"/>
      <c r="FF48" s="199">
        <v>1</v>
      </c>
      <c r="FG48" s="200">
        <f t="shared" si="231"/>
        <v>0</v>
      </c>
      <c r="FH48" s="345">
        <f t="shared" si="241"/>
        <v>1296.42</v>
      </c>
      <c r="FI48" s="179">
        <f t="shared" si="241"/>
        <v>0</v>
      </c>
      <c r="FJ48" s="179">
        <f t="shared" si="242"/>
        <v>11930.019999999999</v>
      </c>
      <c r="FK48" s="179">
        <f t="shared" si="243"/>
        <v>0</v>
      </c>
      <c r="FL48" s="204">
        <f t="shared" si="244"/>
        <v>13226.439999999999</v>
      </c>
      <c r="FM48" s="206">
        <f t="shared" si="244"/>
        <v>0</v>
      </c>
      <c r="FN48" s="202">
        <f t="shared" si="245"/>
        <v>13226.439999999999</v>
      </c>
      <c r="FQ48" s="217"/>
      <c r="FR48" s="345">
        <v>5</v>
      </c>
      <c r="FS48" s="251">
        <v>910.5</v>
      </c>
      <c r="FT48" s="345"/>
      <c r="FU48" s="359">
        <f t="shared" ref="FU48:FU49" si="250">(FS48-FS47)*1000</f>
        <v>2700.0000000000455</v>
      </c>
      <c r="FV48" s="345">
        <f t="shared" si="232"/>
        <v>1350.0000000000227</v>
      </c>
      <c r="FW48" s="345">
        <f t="shared" si="233"/>
        <v>1350.0000000000227</v>
      </c>
      <c r="HH48" s="345" t="s">
        <v>347</v>
      </c>
      <c r="HI48" s="345">
        <f>IB39</f>
        <v>959900</v>
      </c>
      <c r="HJ48" s="345"/>
      <c r="HT48" s="151"/>
      <c r="IH48" s="345">
        <v>4</v>
      </c>
      <c r="II48" s="144">
        <f>DailyOct!BX10+DailyOct!BY10-DailyOct!BZ10-DailyOct!CA10-DailyOct!CB10-DailyOct!CC10-DailyOct!CD10-DailyOct!CF10-DailyOct!CE10</f>
        <v>-1.2514647096395493E-9</v>
      </c>
      <c r="IJ48" s="251">
        <v>30</v>
      </c>
      <c r="IK48" s="345">
        <f t="shared" si="246"/>
        <v>7.5</v>
      </c>
      <c r="IL48" s="251">
        <v>7.5</v>
      </c>
      <c r="IO48" s="542"/>
      <c r="IP48" s="542"/>
      <c r="IQ48" s="542"/>
      <c r="IR48" s="542"/>
      <c r="IS48" s="542"/>
      <c r="IT48" s="542"/>
      <c r="JN48">
        <f t="shared" si="229"/>
        <v>22950.000000000364</v>
      </c>
    </row>
    <row r="49" spans="1:274" ht="15" customHeight="1" x14ac:dyDescent="0.25">
      <c r="A49" s="35">
        <v>4</v>
      </c>
      <c r="B49" s="138">
        <v>0.37280000000000002</v>
      </c>
      <c r="C49" s="65"/>
      <c r="D49" s="37">
        <f t="shared" si="247"/>
        <v>0</v>
      </c>
      <c r="E49" s="251">
        <v>35673</v>
      </c>
      <c r="F49" s="345"/>
      <c r="G49" s="37">
        <f t="shared" si="234"/>
        <v>90000</v>
      </c>
      <c r="H49" s="138"/>
      <c r="I49" s="65"/>
      <c r="J49" s="37">
        <f t="shared" si="235"/>
        <v>0</v>
      </c>
      <c r="L49" s="287"/>
      <c r="AL49" s="103"/>
      <c r="AM49" s="103"/>
      <c r="AN49" s="96"/>
      <c r="AP49" s="332"/>
      <c r="AQ49" s="332"/>
      <c r="AR49" s="332"/>
      <c r="AS49" s="332"/>
      <c r="AT49" s="332"/>
      <c r="AU49" s="332"/>
      <c r="AV49" s="332"/>
      <c r="AW49" s="33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v>2</v>
      </c>
      <c r="DQ49" s="50">
        <v>8.2584</v>
      </c>
      <c r="DR49" s="49">
        <f t="shared" si="248"/>
        <v>0</v>
      </c>
      <c r="DS49" s="50">
        <v>51.348999999999997</v>
      </c>
      <c r="DT49" s="49">
        <f t="shared" si="249"/>
        <v>0</v>
      </c>
      <c r="EZ49" s="203">
        <f t="shared" si="236"/>
        <v>12360.24</v>
      </c>
      <c r="FA49" s="205">
        <f t="shared" si="237"/>
        <v>1360.24</v>
      </c>
      <c r="FB49" s="201">
        <f t="shared" si="238"/>
        <v>13720.48</v>
      </c>
      <c r="FC49" s="356">
        <f t="shared" si="239"/>
        <v>1296.42</v>
      </c>
      <c r="FD49" s="167">
        <f t="shared" si="240"/>
        <v>12424.06</v>
      </c>
      <c r="FE49" s="345"/>
      <c r="FF49" s="199">
        <v>1</v>
      </c>
      <c r="FG49" s="200">
        <f t="shared" si="231"/>
        <v>0</v>
      </c>
      <c r="FH49" s="345">
        <f t="shared" si="241"/>
        <v>1296.42</v>
      </c>
      <c r="FI49" s="179">
        <f t="shared" si="241"/>
        <v>0</v>
      </c>
      <c r="FJ49" s="179">
        <f t="shared" si="242"/>
        <v>12424.06</v>
      </c>
      <c r="FK49" s="179">
        <f t="shared" si="243"/>
        <v>0</v>
      </c>
      <c r="FL49" s="204">
        <f t="shared" si="244"/>
        <v>13720.48</v>
      </c>
      <c r="FM49" s="206">
        <f t="shared" si="244"/>
        <v>0</v>
      </c>
      <c r="FN49" s="202">
        <f t="shared" si="245"/>
        <v>13720.48</v>
      </c>
      <c r="FQ49" s="217"/>
      <c r="FR49" s="345">
        <v>6</v>
      </c>
      <c r="FS49" s="251">
        <v>913.1</v>
      </c>
      <c r="FT49" s="345"/>
      <c r="FU49" s="359">
        <f t="shared" si="250"/>
        <v>2600.0000000000227</v>
      </c>
      <c r="FV49" s="345">
        <f t="shared" si="232"/>
        <v>1300.0000000000114</v>
      </c>
      <c r="FW49" s="345">
        <f t="shared" si="233"/>
        <v>1300.0000000000114</v>
      </c>
      <c r="HH49" s="345" t="s">
        <v>347</v>
      </c>
      <c r="HI49" s="345">
        <f>IE39</f>
        <v>0</v>
      </c>
      <c r="HJ49" s="345"/>
      <c r="HT49" s="151"/>
      <c r="IH49" s="345">
        <v>5</v>
      </c>
      <c r="II49" s="144">
        <f>DailyOct!BX11+DailyOct!BY11-DailyOct!BZ11-DailyOct!CA11-DailyOct!CB11-DailyOct!CC11-DailyOct!CD11-DailyOct!CF11-DailyOct!CE11</f>
        <v>1.4260876923799515E-9</v>
      </c>
      <c r="IJ49" s="251">
        <v>1470</v>
      </c>
      <c r="IK49" s="345">
        <f t="shared" si="246"/>
        <v>367.5</v>
      </c>
      <c r="IL49" s="251">
        <v>367.5</v>
      </c>
      <c r="IO49" s="542"/>
      <c r="IP49" s="542"/>
      <c r="IQ49" s="542"/>
      <c r="IR49" s="542"/>
      <c r="IS49" s="542"/>
      <c r="IT49" s="542"/>
      <c r="JN49">
        <f t="shared" si="229"/>
        <v>24325.000000000182</v>
      </c>
    </row>
    <row r="50" spans="1:274" ht="15" customHeight="1" x14ac:dyDescent="0.25">
      <c r="A50" s="35">
        <v>5</v>
      </c>
      <c r="B50" s="138">
        <v>0.37280000000000002</v>
      </c>
      <c r="C50" s="65"/>
      <c r="D50" s="37">
        <f t="shared" si="247"/>
        <v>0</v>
      </c>
      <c r="E50" s="251">
        <v>35761</v>
      </c>
      <c r="F50" s="345"/>
      <c r="G50" s="37">
        <f t="shared" si="234"/>
        <v>88000</v>
      </c>
      <c r="H50" s="138"/>
      <c r="I50" s="65"/>
      <c r="J50" s="37">
        <f t="shared" si="235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v>3</v>
      </c>
      <c r="DQ50" s="50">
        <v>8.2584</v>
      </c>
      <c r="DR50" s="49">
        <f t="shared" si="248"/>
        <v>0</v>
      </c>
      <c r="DS50" s="50">
        <v>51.348999999999997</v>
      </c>
      <c r="DT50" s="49">
        <f t="shared" si="249"/>
        <v>0</v>
      </c>
      <c r="EZ50" s="203">
        <f t="shared" si="236"/>
        <v>12882.37</v>
      </c>
      <c r="FA50" s="205">
        <f t="shared" si="237"/>
        <v>882.37</v>
      </c>
      <c r="FB50" s="201">
        <f t="shared" si="238"/>
        <v>13764.740000000002</v>
      </c>
      <c r="FC50" s="356">
        <f t="shared" si="239"/>
        <v>1296.42</v>
      </c>
      <c r="FD50" s="167">
        <f t="shared" si="240"/>
        <v>12468.320000000002</v>
      </c>
      <c r="FE50" s="345"/>
      <c r="FF50" s="199">
        <v>1</v>
      </c>
      <c r="FG50" s="200">
        <f t="shared" si="231"/>
        <v>0</v>
      </c>
      <c r="FH50" s="361">
        <f t="shared" ref="FH50" si="251">FF50*$FC$45</f>
        <v>1296.42</v>
      </c>
      <c r="FI50" s="179">
        <f t="shared" si="241"/>
        <v>0</v>
      </c>
      <c r="FJ50" s="179">
        <f t="shared" si="242"/>
        <v>12468.320000000002</v>
      </c>
      <c r="FK50" s="179">
        <f t="shared" ref="FK50" si="252">FG50*FD50</f>
        <v>0</v>
      </c>
      <c r="FL50" s="204">
        <f t="shared" ref="FL50" si="253">FH50+FJ50</f>
        <v>13764.740000000002</v>
      </c>
      <c r="FM50" s="206">
        <f t="shared" ref="FM50" si="254">FI50+FK50</f>
        <v>0</v>
      </c>
      <c r="FN50" s="202">
        <f t="shared" ref="FN50" si="255">FL50+FM50</f>
        <v>13764.740000000002</v>
      </c>
      <c r="FQ50" s="217"/>
      <c r="FR50" s="345">
        <v>7</v>
      </c>
      <c r="FS50" s="251">
        <v>915.64</v>
      </c>
      <c r="FT50" s="345"/>
      <c r="FU50" s="361">
        <f t="shared" ref="FU50:FU72" si="256">(FS50-FS49)*1000</f>
        <v>2539.9999999999636</v>
      </c>
      <c r="FV50" s="361">
        <f t="shared" ref="FV50" si="257">FU50/2</f>
        <v>1269.9999999999818</v>
      </c>
      <c r="FW50" s="361">
        <f t="shared" ref="FW50" si="258">FU50/2</f>
        <v>1269.9999999999818</v>
      </c>
      <c r="FX50" s="151"/>
      <c r="FY50" s="150"/>
      <c r="FZ50" s="151"/>
      <c r="GV50" s="166"/>
      <c r="HH50" s="345" t="s">
        <v>275</v>
      </c>
      <c r="HI50" s="345">
        <f>$IH$39</f>
        <v>807700</v>
      </c>
      <c r="HJ50" s="345"/>
      <c r="IH50" s="345">
        <v>6</v>
      </c>
      <c r="II50" s="144">
        <f>DailyOct!BX12+DailyOct!BY12-DailyOct!BZ12-DailyOct!CA12-DailyOct!CB12-DailyOct!CC12-DailyOct!CD12-DailyOct!CF12-DailyOct!CE12</f>
        <v>-2.6193447411060333E-10</v>
      </c>
      <c r="IJ50" s="251">
        <v>10500</v>
      </c>
      <c r="IK50" s="345">
        <f t="shared" si="246"/>
        <v>2625</v>
      </c>
      <c r="IL50" s="251">
        <v>2625</v>
      </c>
      <c r="IO50" s="542"/>
      <c r="IP50" s="542"/>
      <c r="IQ50" s="542"/>
      <c r="IR50" s="542"/>
      <c r="IS50" s="542"/>
      <c r="IT50" s="542"/>
      <c r="JN50">
        <f t="shared" si="229"/>
        <v>22599.999999999636</v>
      </c>
    </row>
    <row r="51" spans="1:274" ht="15" customHeight="1" x14ac:dyDescent="0.25">
      <c r="A51" s="35">
        <v>6</v>
      </c>
      <c r="B51" s="138">
        <v>0.37280000000000002</v>
      </c>
      <c r="C51" s="65"/>
      <c r="D51" s="37">
        <f t="shared" si="247"/>
        <v>0</v>
      </c>
      <c r="E51" s="251">
        <v>35846</v>
      </c>
      <c r="F51" s="345"/>
      <c r="G51" s="37">
        <f t="shared" si="234"/>
        <v>85000</v>
      </c>
      <c r="H51" s="138"/>
      <c r="I51" s="65"/>
      <c r="J51" s="37">
        <f t="shared" si="235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v>4</v>
      </c>
      <c r="DQ51" s="50">
        <v>8.2584</v>
      </c>
      <c r="DR51" s="49">
        <f t="shared" si="248"/>
        <v>0</v>
      </c>
      <c r="DS51" s="50">
        <v>51.348999999999997</v>
      </c>
      <c r="DT51" s="49">
        <f t="shared" si="249"/>
        <v>0</v>
      </c>
      <c r="EZ51" s="203">
        <f t="shared" si="236"/>
        <v>14886.65</v>
      </c>
      <c r="FA51" s="205">
        <f t="shared" si="237"/>
        <v>886.65</v>
      </c>
      <c r="FB51" s="201">
        <f t="shared" si="238"/>
        <v>15773.3</v>
      </c>
      <c r="FC51" s="356">
        <f t="shared" si="239"/>
        <v>1296.42</v>
      </c>
      <c r="FD51" s="167">
        <f t="shared" si="240"/>
        <v>14476.88</v>
      </c>
      <c r="FE51" s="345"/>
      <c r="FF51" s="199">
        <v>1</v>
      </c>
      <c r="FG51" s="200">
        <f t="shared" si="231"/>
        <v>0</v>
      </c>
      <c r="FH51" s="345">
        <f t="shared" si="241"/>
        <v>1296.42</v>
      </c>
      <c r="FI51" s="179">
        <f t="shared" si="241"/>
        <v>0</v>
      </c>
      <c r="FJ51" s="179">
        <f t="shared" si="242"/>
        <v>14476.88</v>
      </c>
      <c r="FK51" s="179">
        <f t="shared" si="243"/>
        <v>0</v>
      </c>
      <c r="FL51" s="204">
        <f t="shared" si="244"/>
        <v>15773.3</v>
      </c>
      <c r="FM51" s="206">
        <f t="shared" si="244"/>
        <v>0</v>
      </c>
      <c r="FN51" s="202">
        <f t="shared" si="245"/>
        <v>15773.3</v>
      </c>
      <c r="FQ51" s="217"/>
      <c r="FR51" s="345">
        <v>8</v>
      </c>
      <c r="FS51" s="251">
        <v>917.95</v>
      </c>
      <c r="FT51" s="345"/>
      <c r="FU51" s="362">
        <f t="shared" si="256"/>
        <v>2310.0000000000591</v>
      </c>
      <c r="FV51" s="345">
        <f t="shared" si="232"/>
        <v>1155.0000000000296</v>
      </c>
      <c r="FW51" s="345">
        <f t="shared" si="233"/>
        <v>1155.0000000000296</v>
      </c>
      <c r="GV51" s="166"/>
      <c r="IH51" s="345">
        <v>7</v>
      </c>
      <c r="II51" s="144">
        <f>DailyOct!BX13+DailyOct!BY13-DailyOct!BZ13-DailyOct!CA13-DailyOct!CB13-DailyOct!CC13-DailyOct!CD13-DailyOct!CF13-DailyOct!CE13</f>
        <v>-8.149072527885437E-10</v>
      </c>
      <c r="IJ51" s="251">
        <v>-8200</v>
      </c>
      <c r="IK51" s="345">
        <f t="shared" si="246"/>
        <v>-2050</v>
      </c>
      <c r="IL51" s="251">
        <v>-2050</v>
      </c>
      <c r="IO51" s="542"/>
      <c r="IP51" s="542"/>
      <c r="IQ51" s="542"/>
      <c r="IR51" s="542"/>
      <c r="IS51" s="542"/>
      <c r="IT51" s="542"/>
      <c r="JN51">
        <f t="shared" si="229"/>
        <v>24350.000000000182</v>
      </c>
    </row>
    <row r="52" spans="1:274" ht="15" customHeight="1" x14ac:dyDescent="0.25">
      <c r="A52" s="35">
        <v>7</v>
      </c>
      <c r="B52" s="138">
        <v>0.37280000000000002</v>
      </c>
      <c r="C52" s="65"/>
      <c r="D52" s="37">
        <f t="shared" si="247"/>
        <v>0</v>
      </c>
      <c r="E52" s="251">
        <v>35930</v>
      </c>
      <c r="F52" s="345"/>
      <c r="G52" s="37">
        <f t="shared" si="234"/>
        <v>84000</v>
      </c>
      <c r="H52" s="138"/>
      <c r="I52" s="65"/>
      <c r="J52" s="37">
        <f t="shared" si="235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v>5</v>
      </c>
      <c r="DQ52" s="50">
        <v>8.2584</v>
      </c>
      <c r="DR52" s="49">
        <f t="shared" si="248"/>
        <v>0</v>
      </c>
      <c r="DS52" s="50">
        <v>51.348999999999997</v>
      </c>
      <c r="DT52" s="49">
        <f t="shared" si="249"/>
        <v>0</v>
      </c>
      <c r="EZ52" s="203">
        <f t="shared" si="236"/>
        <v>12972.13</v>
      </c>
      <c r="FA52" s="205">
        <f t="shared" si="237"/>
        <v>972.13</v>
      </c>
      <c r="FB52" s="201">
        <f t="shared" si="238"/>
        <v>13944.259999999998</v>
      </c>
      <c r="FC52" s="356">
        <f t="shared" si="239"/>
        <v>1296.42</v>
      </c>
      <c r="FD52" s="167">
        <f t="shared" si="240"/>
        <v>12647.839999999998</v>
      </c>
      <c r="FE52" s="345"/>
      <c r="FF52" s="199">
        <v>1</v>
      </c>
      <c r="FG52" s="200">
        <f t="shared" si="231"/>
        <v>0</v>
      </c>
      <c r="FH52" s="345">
        <f t="shared" si="241"/>
        <v>1296.42</v>
      </c>
      <c r="FI52" s="179">
        <f t="shared" si="241"/>
        <v>0</v>
      </c>
      <c r="FJ52" s="179">
        <f t="shared" si="242"/>
        <v>12647.839999999998</v>
      </c>
      <c r="FK52" s="179">
        <f t="shared" si="243"/>
        <v>0</v>
      </c>
      <c r="FL52" s="204">
        <f t="shared" si="244"/>
        <v>13944.259999999998</v>
      </c>
      <c r="FM52" s="206">
        <f t="shared" si="244"/>
        <v>0</v>
      </c>
      <c r="FN52" s="202">
        <f t="shared" si="245"/>
        <v>13944.259999999998</v>
      </c>
      <c r="FQ52" s="217"/>
      <c r="FR52" s="345">
        <v>9</v>
      </c>
      <c r="FS52" s="251">
        <v>920.54</v>
      </c>
      <c r="FT52" s="345"/>
      <c r="FU52" s="364">
        <f t="shared" si="256"/>
        <v>2589.9999999999181</v>
      </c>
      <c r="FV52" s="345">
        <f t="shared" si="232"/>
        <v>1294.9999999999591</v>
      </c>
      <c r="FW52" s="345">
        <f t="shared" si="233"/>
        <v>1294.9999999999591</v>
      </c>
      <c r="HH52" s="345" t="s">
        <v>276</v>
      </c>
      <c r="HI52" s="222">
        <f>$HI$42+$HI$43-$HI$44-$HI$45-$HI$46-$HI$47-$HI$48-$HI$50-$HI$49</f>
        <v>-2.3283064365386963E-10</v>
      </c>
      <c r="HJ52" s="179"/>
      <c r="HK52" s="345" t="s">
        <v>115</v>
      </c>
      <c r="IH52" s="345">
        <v>8</v>
      </c>
      <c r="II52" s="144">
        <f>DailyOct!BX14+DailyOct!BY14-DailyOct!BZ14-DailyOct!CA14-DailyOct!CB14-DailyOct!CC14-DailyOct!CD14-DailyOct!CF14-DailyOct!CE14</f>
        <v>3.637978807091713E-10</v>
      </c>
      <c r="IJ52" s="251">
        <v>-2100</v>
      </c>
      <c r="IK52" s="345">
        <f t="shared" si="246"/>
        <v>-525</v>
      </c>
      <c r="IL52" s="251">
        <v>-525</v>
      </c>
      <c r="IO52" s="542"/>
      <c r="IP52" s="542"/>
      <c r="IQ52" s="542"/>
      <c r="IR52" s="542"/>
      <c r="IS52" s="542"/>
      <c r="IT52" s="542"/>
      <c r="JN52">
        <f t="shared" si="229"/>
        <v>23649.999999999454</v>
      </c>
    </row>
    <row r="53" spans="1:274" ht="15" customHeight="1" x14ac:dyDescent="0.25">
      <c r="A53" s="35">
        <v>8</v>
      </c>
      <c r="B53" s="138">
        <v>0.37280000000000002</v>
      </c>
      <c r="C53" s="65"/>
      <c r="D53" s="37">
        <f t="shared" si="247"/>
        <v>0</v>
      </c>
      <c r="E53" s="251">
        <v>36015</v>
      </c>
      <c r="F53" s="345"/>
      <c r="G53" s="37">
        <f t="shared" si="234"/>
        <v>85000</v>
      </c>
      <c r="H53" s="138"/>
      <c r="I53" s="65"/>
      <c r="J53" s="37">
        <f t="shared" si="235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49"/>
      <c r="DP53">
        <v>6</v>
      </c>
      <c r="DQ53" s="50">
        <v>8.2584</v>
      </c>
      <c r="DR53" s="49">
        <f t="shared" si="248"/>
        <v>0</v>
      </c>
      <c r="DS53" s="50">
        <v>51.348999999999997</v>
      </c>
      <c r="DT53" s="49">
        <f t="shared" si="249"/>
        <v>0</v>
      </c>
      <c r="EZ53" s="203">
        <f t="shared" si="236"/>
        <v>13029.93</v>
      </c>
      <c r="FA53" s="205">
        <f t="shared" si="237"/>
        <v>9029.93</v>
      </c>
      <c r="FB53" s="201">
        <f t="shared" si="238"/>
        <v>22059.86</v>
      </c>
      <c r="FC53" s="356">
        <f t="shared" si="239"/>
        <v>1296.42</v>
      </c>
      <c r="FD53" s="167">
        <f t="shared" si="240"/>
        <v>20763.440000000002</v>
      </c>
      <c r="FE53" s="345"/>
      <c r="FF53" s="199">
        <v>1</v>
      </c>
      <c r="FG53" s="200">
        <f t="shared" si="231"/>
        <v>0</v>
      </c>
      <c r="FH53" s="345">
        <f t="shared" si="241"/>
        <v>1296.42</v>
      </c>
      <c r="FI53" s="179">
        <f t="shared" si="241"/>
        <v>0</v>
      </c>
      <c r="FJ53" s="179">
        <f t="shared" si="242"/>
        <v>20763.440000000002</v>
      </c>
      <c r="FK53" s="179">
        <f t="shared" si="243"/>
        <v>0</v>
      </c>
      <c r="FL53" s="204">
        <f t="shared" si="244"/>
        <v>22059.86</v>
      </c>
      <c r="FM53" s="206">
        <f t="shared" si="244"/>
        <v>0</v>
      </c>
      <c r="FN53" s="202">
        <f t="shared" si="245"/>
        <v>22059.86</v>
      </c>
      <c r="FQ53" s="217"/>
      <c r="FR53" s="345">
        <v>10</v>
      </c>
      <c r="FS53" s="251">
        <v>923.36</v>
      </c>
      <c r="FT53" s="345"/>
      <c r="FU53" s="383">
        <f t="shared" si="256"/>
        <v>2820.00000000005</v>
      </c>
      <c r="FV53" s="345">
        <f t="shared" si="232"/>
        <v>1410.000000000025</v>
      </c>
      <c r="FW53" s="345">
        <f t="shared" si="233"/>
        <v>1410.000000000025</v>
      </c>
      <c r="IH53" s="345">
        <v>9</v>
      </c>
      <c r="II53" s="144">
        <f>DailyOct!BX15+DailyOct!BY15-DailyOct!BZ15-DailyOct!CA15-DailyOct!CB15-DailyOct!CC15-DailyOct!CD15-DailyOct!CF15-DailyOct!CE15</f>
        <v>2.6193447411060333E-10</v>
      </c>
      <c r="IJ53" s="251">
        <v>400</v>
      </c>
      <c r="IK53" s="345">
        <f t="shared" si="246"/>
        <v>100</v>
      </c>
      <c r="IL53" s="251">
        <v>100</v>
      </c>
      <c r="IO53" s="542"/>
      <c r="IP53" s="542"/>
      <c r="IQ53" s="542"/>
      <c r="IR53" s="542"/>
      <c r="IS53" s="542"/>
      <c r="IT53" s="542"/>
      <c r="JN53">
        <f t="shared" si="229"/>
        <v>24700.000000000182</v>
      </c>
    </row>
    <row r="54" spans="1:274" ht="15" customHeight="1" x14ac:dyDescent="0.25">
      <c r="A54" s="35">
        <v>9</v>
      </c>
      <c r="B54" s="138">
        <v>0.37280000000000002</v>
      </c>
      <c r="C54" s="65"/>
      <c r="D54" s="37">
        <f t="shared" si="247"/>
        <v>0</v>
      </c>
      <c r="E54" s="251">
        <v>36102</v>
      </c>
      <c r="F54" s="345"/>
      <c r="G54" s="37">
        <f t="shared" si="234"/>
        <v>87000</v>
      </c>
      <c r="H54" s="138"/>
      <c r="I54" s="65"/>
      <c r="J54" s="37">
        <f t="shared" si="235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v>7</v>
      </c>
      <c r="DQ54" s="50">
        <v>8.2584</v>
      </c>
      <c r="DR54" s="49">
        <f t="shared" si="248"/>
        <v>0</v>
      </c>
      <c r="DS54" s="50">
        <v>51.348999999999997</v>
      </c>
      <c r="DT54" s="49">
        <f t="shared" si="249"/>
        <v>0</v>
      </c>
      <c r="EZ54" s="203">
        <f t="shared" si="236"/>
        <v>12208.669999999272</v>
      </c>
      <c r="FA54" s="205">
        <f t="shared" si="237"/>
        <v>11758.669999998545</v>
      </c>
      <c r="FB54" s="201">
        <f t="shared" si="238"/>
        <v>23967.339999997817</v>
      </c>
      <c r="FC54" s="356">
        <f t="shared" si="239"/>
        <v>1296.42</v>
      </c>
      <c r="FD54" s="167">
        <f t="shared" si="240"/>
        <v>22670.919999997815</v>
      </c>
      <c r="FE54" s="345"/>
      <c r="FF54" s="199">
        <v>0.64</v>
      </c>
      <c r="FG54" s="200">
        <f t="shared" ref="FG54:FG75" si="259">100%-FF54</f>
        <v>0.36</v>
      </c>
      <c r="FH54" s="345">
        <f t="shared" si="241"/>
        <v>829.70880000000011</v>
      </c>
      <c r="FI54" s="179">
        <f t="shared" si="241"/>
        <v>466.71120000000002</v>
      </c>
      <c r="FJ54" s="179">
        <f t="shared" si="242"/>
        <v>14509.388799998602</v>
      </c>
      <c r="FK54" s="179">
        <f t="shared" si="243"/>
        <v>8161.5311999992136</v>
      </c>
      <c r="FL54" s="204">
        <f t="shared" si="244"/>
        <v>15339.097599998602</v>
      </c>
      <c r="FM54" s="206">
        <f t="shared" si="244"/>
        <v>8628.2423999992134</v>
      </c>
      <c r="FN54" s="202">
        <f t="shared" si="245"/>
        <v>23967.339999997814</v>
      </c>
      <c r="FQ54" s="217"/>
      <c r="FR54" s="345">
        <v>11</v>
      </c>
      <c r="FS54" s="385">
        <v>926.1</v>
      </c>
      <c r="FT54" s="345"/>
      <c r="FU54" s="383">
        <f t="shared" si="256"/>
        <v>2740.0000000000091</v>
      </c>
      <c r="FV54" s="345">
        <f t="shared" si="232"/>
        <v>1370.0000000000045</v>
      </c>
      <c r="FW54" s="345">
        <f t="shared" si="233"/>
        <v>1370.0000000000045</v>
      </c>
      <c r="FX54" s="151"/>
      <c r="IH54" s="345">
        <v>10</v>
      </c>
      <c r="II54" s="144">
        <f>DailyOct!BX16+DailyOct!BY16-DailyOct!BZ16-DailyOct!CA16-DailyOct!CB16-DailyOct!CC16-DailyOct!CD16-DailyOct!CF16-DailyOct!CE16</f>
        <v>2.7648638933897018E-10</v>
      </c>
      <c r="IJ54" s="251">
        <v>1600</v>
      </c>
      <c r="IK54" s="345">
        <f t="shared" si="246"/>
        <v>400</v>
      </c>
      <c r="IL54" s="251">
        <v>400</v>
      </c>
      <c r="IO54" s="542"/>
      <c r="IP54" s="542"/>
      <c r="IQ54" s="542"/>
      <c r="IR54" s="542"/>
      <c r="IS54" s="542"/>
      <c r="IT54" s="542"/>
      <c r="JN54">
        <f t="shared" si="229"/>
        <v>27325.000000000364</v>
      </c>
    </row>
    <row r="55" spans="1:274" ht="15" customHeight="1" x14ac:dyDescent="0.25">
      <c r="A55" s="35">
        <v>10</v>
      </c>
      <c r="B55" s="138">
        <v>0.37280000000000002</v>
      </c>
      <c r="C55" s="65"/>
      <c r="D55" s="37">
        <f t="shared" si="247"/>
        <v>0</v>
      </c>
      <c r="E55" s="251">
        <v>36205</v>
      </c>
      <c r="F55" s="345"/>
      <c r="G55" s="37">
        <f t="shared" si="234"/>
        <v>103000</v>
      </c>
      <c r="H55" s="138"/>
      <c r="I55" s="65"/>
      <c r="J55" s="37">
        <f t="shared" si="235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v>8</v>
      </c>
      <c r="DQ55" s="50">
        <v>8.2584</v>
      </c>
      <c r="DR55" s="49">
        <f t="shared" si="248"/>
        <v>0</v>
      </c>
      <c r="DS55" s="50">
        <v>51.348999999999997</v>
      </c>
      <c r="DT55" s="49">
        <f t="shared" si="249"/>
        <v>0</v>
      </c>
      <c r="EZ55" s="203">
        <f t="shared" si="236"/>
        <v>12381.390000001309</v>
      </c>
      <c r="FA55" s="205">
        <f t="shared" si="237"/>
        <v>11971.390000001455</v>
      </c>
      <c r="FB55" s="201">
        <f t="shared" si="238"/>
        <v>24352.780000002764</v>
      </c>
      <c r="FC55" s="356">
        <f t="shared" si="239"/>
        <v>1296.42</v>
      </c>
      <c r="FD55" s="167">
        <f t="shared" si="240"/>
        <v>23056.360000002765</v>
      </c>
      <c r="FE55" s="345"/>
      <c r="FF55" s="199">
        <v>0.5</v>
      </c>
      <c r="FG55" s="200">
        <f t="shared" si="259"/>
        <v>0.5</v>
      </c>
      <c r="FH55" s="345">
        <f t="shared" si="241"/>
        <v>648.21</v>
      </c>
      <c r="FI55" s="179">
        <f t="shared" si="241"/>
        <v>648.21</v>
      </c>
      <c r="FJ55" s="179">
        <f t="shared" si="242"/>
        <v>11528.180000001383</v>
      </c>
      <c r="FK55" s="179">
        <f t="shared" si="243"/>
        <v>11528.180000001383</v>
      </c>
      <c r="FL55" s="204">
        <f t="shared" si="244"/>
        <v>12176.390000001382</v>
      </c>
      <c r="FM55" s="206">
        <f t="shared" si="244"/>
        <v>12176.390000001382</v>
      </c>
      <c r="FN55" s="202">
        <f t="shared" si="245"/>
        <v>24352.780000002764</v>
      </c>
      <c r="FQ55" s="217"/>
      <c r="FR55" s="345">
        <v>12</v>
      </c>
      <c r="FS55" s="385">
        <v>929</v>
      </c>
      <c r="FT55" s="345"/>
      <c r="FU55" s="384">
        <f t="shared" si="256"/>
        <v>2899.9999999999773</v>
      </c>
      <c r="FV55" s="345">
        <f t="shared" si="232"/>
        <v>1449.9999999999886</v>
      </c>
      <c r="FW55" s="345">
        <f t="shared" si="233"/>
        <v>1449.9999999999886</v>
      </c>
      <c r="FX55" s="151"/>
      <c r="IH55" s="345">
        <v>11</v>
      </c>
      <c r="II55" s="144">
        <f>DailyOct!BX17+DailyOct!BY17-DailyOct!BZ17-DailyOct!CA17-DailyOct!CB17-DailyOct!CC17-DailyOct!CD17-DailyOct!CF17-DailyOct!CE17</f>
        <v>-6.4028427004814148E-10</v>
      </c>
      <c r="IJ55" s="251">
        <v>1200</v>
      </c>
      <c r="IK55" s="345">
        <f t="shared" si="246"/>
        <v>300</v>
      </c>
      <c r="IL55" s="251">
        <v>300</v>
      </c>
      <c r="IO55" s="542"/>
      <c r="IP55" s="542"/>
      <c r="IQ55" s="542"/>
      <c r="IR55" s="542"/>
      <c r="IS55" s="542"/>
      <c r="IT55" s="542"/>
      <c r="JN55">
        <f t="shared" si="229"/>
        <v>23824.999999999636</v>
      </c>
    </row>
    <row r="56" spans="1:274" ht="15" customHeight="1" x14ac:dyDescent="0.25">
      <c r="A56" s="35">
        <v>11</v>
      </c>
      <c r="B56" s="138">
        <v>0.37280000000000002</v>
      </c>
      <c r="C56" s="65"/>
      <c r="D56" s="37">
        <f t="shared" si="247"/>
        <v>0</v>
      </c>
      <c r="E56" s="251">
        <v>36327</v>
      </c>
      <c r="F56" s="345"/>
      <c r="G56" s="37">
        <f t="shared" si="234"/>
        <v>122000</v>
      </c>
      <c r="H56" s="138"/>
      <c r="I56" s="65"/>
      <c r="J56" s="37">
        <f t="shared" si="235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v>9</v>
      </c>
      <c r="DQ56" s="50">
        <v>8.2584</v>
      </c>
      <c r="DR56" s="49">
        <f t="shared" si="248"/>
        <v>0</v>
      </c>
      <c r="DS56" s="50">
        <v>51.348999999999997</v>
      </c>
      <c r="DT56" s="49">
        <f t="shared" si="249"/>
        <v>0</v>
      </c>
      <c r="EZ56" s="203">
        <f t="shared" si="236"/>
        <v>12305.539999999419</v>
      </c>
      <c r="FA56" s="205">
        <f t="shared" si="237"/>
        <v>12165.54</v>
      </c>
      <c r="FB56" s="201">
        <f t="shared" si="238"/>
        <v>24471.07999999942</v>
      </c>
      <c r="FC56" s="356">
        <f t="shared" si="239"/>
        <v>1296.42</v>
      </c>
      <c r="FD56" s="167">
        <f t="shared" si="240"/>
        <v>23174.659999999421</v>
      </c>
      <c r="FE56" s="345"/>
      <c r="FF56" s="199">
        <v>0.5</v>
      </c>
      <c r="FG56" s="200">
        <f t="shared" si="259"/>
        <v>0.5</v>
      </c>
      <c r="FH56" s="345">
        <f t="shared" si="241"/>
        <v>648.21</v>
      </c>
      <c r="FI56" s="179">
        <f t="shared" si="241"/>
        <v>648.21</v>
      </c>
      <c r="FJ56" s="179">
        <f t="shared" si="242"/>
        <v>11587.329999999711</v>
      </c>
      <c r="FK56" s="179">
        <f t="shared" si="243"/>
        <v>11587.329999999711</v>
      </c>
      <c r="FL56" s="204">
        <f t="shared" si="244"/>
        <v>12235.53999999971</v>
      </c>
      <c r="FM56" s="206">
        <f t="shared" si="244"/>
        <v>12235.53999999971</v>
      </c>
      <c r="FN56" s="202">
        <f t="shared" si="245"/>
        <v>24471.07999999942</v>
      </c>
      <c r="FQ56" s="217"/>
      <c r="FR56" s="345">
        <v>13</v>
      </c>
      <c r="FS56" s="385">
        <v>929.24</v>
      </c>
      <c r="FT56" s="345"/>
      <c r="FU56" s="222">
        <f t="shared" si="256"/>
        <v>240.00000000000909</v>
      </c>
      <c r="FV56" s="345">
        <f t="shared" si="232"/>
        <v>120.00000000000455</v>
      </c>
      <c r="FW56" s="345">
        <f t="shared" si="233"/>
        <v>120.00000000000455</v>
      </c>
      <c r="IH56" s="345">
        <v>12</v>
      </c>
      <c r="II56" s="144">
        <f>DailyOct!BX18+DailyOct!BY18-DailyOct!BZ18-DailyOct!CA18-DailyOct!CB18-DailyOct!CC18-DailyOct!CD18-DailyOct!CF18-DailyOct!CE18</f>
        <v>2.7648638933897018E-10</v>
      </c>
      <c r="IJ56" s="251">
        <v>-200</v>
      </c>
      <c r="IK56" s="345">
        <f t="shared" si="246"/>
        <v>-50</v>
      </c>
      <c r="IL56" s="251">
        <v>-50</v>
      </c>
      <c r="IO56" s="542"/>
      <c r="IP56" s="542"/>
      <c r="IQ56" s="542"/>
      <c r="IR56" s="542"/>
      <c r="IS56" s="542"/>
      <c r="IT56" s="542"/>
      <c r="JN56">
        <f t="shared" si="229"/>
        <v>25324.999999999818</v>
      </c>
    </row>
    <row r="57" spans="1:274" ht="15" customHeight="1" x14ac:dyDescent="0.25">
      <c r="A57" s="35">
        <v>12</v>
      </c>
      <c r="B57" s="138">
        <v>0.37280000000000002</v>
      </c>
      <c r="C57" s="65"/>
      <c r="D57" s="37">
        <f t="shared" si="247"/>
        <v>0</v>
      </c>
      <c r="E57" s="251">
        <v>36457</v>
      </c>
      <c r="F57" s="345"/>
      <c r="G57" s="37">
        <f t="shared" si="234"/>
        <v>130000</v>
      </c>
      <c r="H57" s="138"/>
      <c r="I57" s="65"/>
      <c r="J57" s="37">
        <f t="shared" si="235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v>10</v>
      </c>
      <c r="DQ57" s="50">
        <v>8.2584</v>
      </c>
      <c r="DR57" s="49">
        <f t="shared" si="248"/>
        <v>0</v>
      </c>
      <c r="DS57" s="50">
        <v>51.348999999999997</v>
      </c>
      <c r="DT57" s="49">
        <f>IF((DS57-DS56)&lt;=0,0,(DS57-DS56))*1000</f>
        <v>0</v>
      </c>
      <c r="EZ57" s="203">
        <f t="shared" si="236"/>
        <v>11461.47</v>
      </c>
      <c r="FA57" s="205">
        <f t="shared" si="237"/>
        <v>11461.47</v>
      </c>
      <c r="FB57" s="201">
        <f t="shared" si="238"/>
        <v>22922.94</v>
      </c>
      <c r="FC57" s="356">
        <f t="shared" si="239"/>
        <v>1296.42</v>
      </c>
      <c r="FD57" s="167">
        <f t="shared" si="240"/>
        <v>21626.519999999997</v>
      </c>
      <c r="FE57" s="345"/>
      <c r="FF57" s="199">
        <v>0.5</v>
      </c>
      <c r="FG57" s="200">
        <f t="shared" si="259"/>
        <v>0.5</v>
      </c>
      <c r="FH57" s="345">
        <f t="shared" si="241"/>
        <v>648.21</v>
      </c>
      <c r="FI57" s="179">
        <f t="shared" si="241"/>
        <v>648.21</v>
      </c>
      <c r="FJ57" s="179">
        <f t="shared" si="242"/>
        <v>10813.259999999998</v>
      </c>
      <c r="FK57" s="179">
        <f t="shared" si="243"/>
        <v>10813.259999999998</v>
      </c>
      <c r="FL57" s="204">
        <f t="shared" si="244"/>
        <v>11461.469999999998</v>
      </c>
      <c r="FM57" s="206">
        <f t="shared" si="244"/>
        <v>11461.469999999998</v>
      </c>
      <c r="FN57" s="202">
        <f t="shared" si="245"/>
        <v>22922.939999999995</v>
      </c>
      <c r="FQ57" s="217"/>
      <c r="FR57" s="345">
        <v>14</v>
      </c>
      <c r="FS57" s="385">
        <v>934.84</v>
      </c>
      <c r="FT57" s="345"/>
      <c r="FU57" s="222">
        <f t="shared" si="256"/>
        <v>5600.0000000000227</v>
      </c>
      <c r="FV57" s="345">
        <f t="shared" si="232"/>
        <v>2800.0000000000114</v>
      </c>
      <c r="FW57" s="345">
        <f t="shared" si="233"/>
        <v>2800.0000000000114</v>
      </c>
      <c r="IH57" s="345">
        <v>13</v>
      </c>
      <c r="II57" s="144">
        <f>DailyOct!BX19+DailyOct!BY19-DailyOct!BZ19-DailyOct!CA19-DailyOct!CB19-DailyOct!CC19-DailyOct!CD19-DailyOct!CF19-DailyOct!CE19</f>
        <v>-1.8917489796876907E-10</v>
      </c>
      <c r="IJ57" s="251">
        <v>-600</v>
      </c>
      <c r="IK57" s="345">
        <f>IJ57/4</f>
        <v>-150</v>
      </c>
      <c r="IL57" s="251">
        <v>-150</v>
      </c>
      <c r="IO57" s="542"/>
      <c r="IP57" s="542"/>
      <c r="IQ57" s="542"/>
      <c r="IR57" s="542"/>
      <c r="IS57" s="542"/>
      <c r="IT57" s="542"/>
      <c r="JN57">
        <f t="shared" si="229"/>
        <v>24825</v>
      </c>
    </row>
    <row r="58" spans="1:274" ht="15" customHeight="1" x14ac:dyDescent="0.25">
      <c r="A58" s="35">
        <v>13</v>
      </c>
      <c r="B58" s="138">
        <v>0.37280000000000002</v>
      </c>
      <c r="C58" s="65"/>
      <c r="D58" s="37">
        <f t="shared" si="247"/>
        <v>0</v>
      </c>
      <c r="E58" s="251">
        <v>36578</v>
      </c>
      <c r="F58" s="345"/>
      <c r="G58" s="37">
        <f t="shared" si="234"/>
        <v>121000</v>
      </c>
      <c r="H58" s="138"/>
      <c r="I58" s="65"/>
      <c r="J58" s="37">
        <f t="shared" si="235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v>11</v>
      </c>
      <c r="DQ58" s="50">
        <v>8.2584</v>
      </c>
      <c r="DR58" s="49">
        <f t="shared" si="248"/>
        <v>0</v>
      </c>
      <c r="DS58" s="50">
        <v>51.348999999999997</v>
      </c>
      <c r="DT58" s="49">
        <f t="shared" ref="DT58:DT78" si="260">IF((DS58-DS57)&lt;=0,0,(DS58-DS57))*1000</f>
        <v>0</v>
      </c>
      <c r="EJ58" s="2"/>
      <c r="EZ58" s="203">
        <f t="shared" si="236"/>
        <v>11306.2</v>
      </c>
      <c r="FA58" s="205">
        <f t="shared" si="237"/>
        <v>12306.2</v>
      </c>
      <c r="FB58" s="201">
        <f t="shared" si="238"/>
        <v>23612.400000000001</v>
      </c>
      <c r="FC58" s="356">
        <f t="shared" si="239"/>
        <v>1296.42</v>
      </c>
      <c r="FD58" s="167">
        <f t="shared" si="240"/>
        <v>22315.980000000003</v>
      </c>
      <c r="FE58" s="345"/>
      <c r="FF58" s="199">
        <v>0.5</v>
      </c>
      <c r="FG58" s="200">
        <f t="shared" si="259"/>
        <v>0.5</v>
      </c>
      <c r="FH58" s="345">
        <f>FF58*$FC$45</f>
        <v>648.21</v>
      </c>
      <c r="FI58" s="179">
        <f t="shared" si="241"/>
        <v>648.21</v>
      </c>
      <c r="FJ58" s="179">
        <f>FF58*FD58</f>
        <v>11157.990000000002</v>
      </c>
      <c r="FK58" s="179">
        <f t="shared" si="243"/>
        <v>11157.990000000002</v>
      </c>
      <c r="FL58" s="204">
        <f t="shared" si="244"/>
        <v>11806.2</v>
      </c>
      <c r="FM58" s="206">
        <f t="shared" si="244"/>
        <v>11806.2</v>
      </c>
      <c r="FN58" s="202">
        <f t="shared" si="245"/>
        <v>23612.400000000001</v>
      </c>
      <c r="FQ58" s="217"/>
      <c r="FR58" s="345">
        <v>15</v>
      </c>
      <c r="FS58" s="385">
        <v>937.86</v>
      </c>
      <c r="FT58" s="345"/>
      <c r="FU58" s="222">
        <f t="shared" si="256"/>
        <v>3019.9999999999818</v>
      </c>
      <c r="FV58" s="345">
        <f t="shared" si="232"/>
        <v>1509.9999999999909</v>
      </c>
      <c r="FW58" s="345">
        <f t="shared" si="233"/>
        <v>1509.9999999999909</v>
      </c>
      <c r="IH58" s="345">
        <v>14</v>
      </c>
      <c r="II58" s="144">
        <f>DailyOct!BX20+DailyOct!BY20-DailyOct!BZ20-DailyOct!CA20-DailyOct!CB20-DailyOct!CC20-DailyOct!CD20-DailyOct!CF20-DailyOct!CE20</f>
        <v>-1.8189894035458565E-10</v>
      </c>
      <c r="IJ58" s="251">
        <v>6100</v>
      </c>
      <c r="IK58" s="345">
        <f t="shared" si="246"/>
        <v>1525</v>
      </c>
      <c r="IL58" s="251">
        <v>1525</v>
      </c>
      <c r="IO58" s="542"/>
      <c r="IP58" s="542"/>
      <c r="IQ58" s="542"/>
      <c r="IR58" s="542"/>
      <c r="IS58" s="542"/>
      <c r="IT58" s="542"/>
      <c r="JN58">
        <f t="shared" si="229"/>
        <v>23675</v>
      </c>
    </row>
    <row r="59" spans="1:274" ht="15" customHeight="1" x14ac:dyDescent="0.25">
      <c r="A59" s="35">
        <v>14</v>
      </c>
      <c r="B59" s="138">
        <v>0.37280000000000002</v>
      </c>
      <c r="C59" s="65"/>
      <c r="D59" s="37">
        <f t="shared" si="247"/>
        <v>0</v>
      </c>
      <c r="E59" s="251">
        <v>36696</v>
      </c>
      <c r="F59" s="345"/>
      <c r="G59" s="37">
        <f t="shared" si="234"/>
        <v>118000</v>
      </c>
      <c r="H59" s="138"/>
      <c r="I59" s="65"/>
      <c r="J59" s="37">
        <f t="shared" si="235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v>12</v>
      </c>
      <c r="DQ59" s="50">
        <v>8.2584</v>
      </c>
      <c r="DR59" s="49">
        <f t="shared" si="248"/>
        <v>0</v>
      </c>
      <c r="DS59" s="50">
        <v>51.348999999999997</v>
      </c>
      <c r="DT59" s="49">
        <f t="shared" si="260"/>
        <v>0</v>
      </c>
      <c r="EJ59" s="2"/>
      <c r="EZ59" s="203">
        <f t="shared" si="236"/>
        <v>10733.6</v>
      </c>
      <c r="FA59" s="205">
        <f t="shared" si="237"/>
        <v>12733.6</v>
      </c>
      <c r="FB59" s="201">
        <f t="shared" si="238"/>
        <v>23467.200000000001</v>
      </c>
      <c r="FC59" s="356">
        <f t="shared" si="239"/>
        <v>1296.42</v>
      </c>
      <c r="FD59" s="167">
        <f t="shared" si="240"/>
        <v>22170.78</v>
      </c>
      <c r="FE59" s="345"/>
      <c r="FF59" s="199">
        <v>0.5</v>
      </c>
      <c r="FG59" s="200">
        <f t="shared" si="259"/>
        <v>0.5</v>
      </c>
      <c r="FH59" s="345">
        <f t="shared" si="241"/>
        <v>648.21</v>
      </c>
      <c r="FI59" s="179">
        <f>FG59*$FC$45</f>
        <v>648.21</v>
      </c>
      <c r="FJ59" s="179">
        <f t="shared" si="242"/>
        <v>11085.39</v>
      </c>
      <c r="FK59" s="179">
        <f>FG59*FD59</f>
        <v>11085.39</v>
      </c>
      <c r="FL59" s="204">
        <f t="shared" si="244"/>
        <v>11733.599999999999</v>
      </c>
      <c r="FM59" s="206">
        <f t="shared" si="244"/>
        <v>11733.599999999999</v>
      </c>
      <c r="FN59" s="202">
        <f t="shared" si="245"/>
        <v>23467.199999999997</v>
      </c>
      <c r="FQ59" s="217"/>
      <c r="FR59" s="345">
        <v>16</v>
      </c>
      <c r="FS59" s="385">
        <v>940.56</v>
      </c>
      <c r="FT59" s="345"/>
      <c r="FU59" s="222">
        <f t="shared" si="256"/>
        <v>2699.9999999999318</v>
      </c>
      <c r="FV59" s="345">
        <f t="shared" si="232"/>
        <v>1349.9999999999659</v>
      </c>
      <c r="FW59" s="345">
        <f t="shared" si="233"/>
        <v>1349.9999999999659</v>
      </c>
      <c r="IH59" s="345">
        <v>15</v>
      </c>
      <c r="II59" s="144">
        <f>DailyOct!BX21+DailyOct!BY21-DailyOct!BZ21-DailyOct!CA21-DailyOct!CB21-DailyOct!CC21-DailyOct!CD21-DailyOct!CF21-DailyOct!CE21</f>
        <v>1.8917489796876907E-10</v>
      </c>
      <c r="IJ59" s="251">
        <v>-3200</v>
      </c>
      <c r="IK59" s="345">
        <f t="shared" si="246"/>
        <v>-800</v>
      </c>
      <c r="IL59" s="251">
        <v>-800</v>
      </c>
      <c r="IO59" s="542"/>
      <c r="IP59" s="542"/>
      <c r="IQ59" s="542"/>
      <c r="IR59" s="542"/>
      <c r="IS59" s="542"/>
      <c r="IT59" s="542"/>
      <c r="JN59">
        <f t="shared" si="229"/>
        <v>23250.000000000546</v>
      </c>
    </row>
    <row r="60" spans="1:274" ht="15" customHeight="1" x14ac:dyDescent="0.25">
      <c r="A60" s="35">
        <v>15</v>
      </c>
      <c r="B60" s="138">
        <v>0.37280000000000002</v>
      </c>
      <c r="C60" s="65"/>
      <c r="D60" s="37">
        <f t="shared" si="247"/>
        <v>0</v>
      </c>
      <c r="E60" s="251">
        <v>36821</v>
      </c>
      <c r="F60" s="345"/>
      <c r="G60" s="37">
        <f t="shared" si="234"/>
        <v>125000</v>
      </c>
      <c r="H60" s="138"/>
      <c r="I60" s="65"/>
      <c r="J60" s="37">
        <f t="shared" si="235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v>13</v>
      </c>
      <c r="DQ60" s="50">
        <v>8.2584</v>
      </c>
      <c r="DR60" s="49">
        <f t="shared" si="248"/>
        <v>0</v>
      </c>
      <c r="DS60" s="50">
        <v>51.348999999999997</v>
      </c>
      <c r="DT60" s="49">
        <f t="shared" si="260"/>
        <v>0</v>
      </c>
      <c r="EJ60" s="2"/>
      <c r="EZ60" s="203">
        <f t="shared" si="236"/>
        <v>10715.2</v>
      </c>
      <c r="FA60" s="205">
        <f t="shared" si="237"/>
        <v>16715.2</v>
      </c>
      <c r="FB60" s="201">
        <f t="shared" si="238"/>
        <v>27430.400000000001</v>
      </c>
      <c r="FC60" s="356">
        <f t="shared" si="239"/>
        <v>1296.42</v>
      </c>
      <c r="FD60" s="167">
        <f t="shared" si="240"/>
        <v>26133.980000000003</v>
      </c>
      <c r="FE60" s="345"/>
      <c r="FF60" s="199">
        <v>0.5</v>
      </c>
      <c r="FG60" s="200">
        <f t="shared" si="259"/>
        <v>0.5</v>
      </c>
      <c r="FH60" s="345">
        <f t="shared" si="241"/>
        <v>648.21</v>
      </c>
      <c r="FI60" s="179">
        <f t="shared" si="241"/>
        <v>648.21</v>
      </c>
      <c r="FJ60" s="179">
        <f t="shared" si="242"/>
        <v>13066.990000000002</v>
      </c>
      <c r="FK60" s="179">
        <f t="shared" si="243"/>
        <v>13066.990000000002</v>
      </c>
      <c r="FL60" s="204">
        <f t="shared" si="244"/>
        <v>13715.2</v>
      </c>
      <c r="FM60" s="206">
        <f t="shared" si="244"/>
        <v>13715.2</v>
      </c>
      <c r="FN60" s="202">
        <f t="shared" si="245"/>
        <v>27430.400000000001</v>
      </c>
      <c r="FQ60" s="217"/>
      <c r="FR60" s="345">
        <v>17</v>
      </c>
      <c r="FS60" s="385">
        <v>943.39</v>
      </c>
      <c r="FT60" s="345"/>
      <c r="FU60" s="222">
        <f t="shared" si="256"/>
        <v>2830.0000000000409</v>
      </c>
      <c r="FV60" s="345">
        <f t="shared" si="232"/>
        <v>1415.0000000000205</v>
      </c>
      <c r="FW60" s="345">
        <f t="shared" si="233"/>
        <v>1415.0000000000205</v>
      </c>
      <c r="IH60" s="345">
        <v>16</v>
      </c>
      <c r="II60" s="144">
        <f>DailyOct!BX22+DailyOct!BY22-DailyOct!BZ22-DailyOct!CA22-DailyOct!CB22-DailyOct!CC22-DailyOct!CD22-DailyOct!CF22-DailyOct!CE22</f>
        <v>-3.7107383832335472E-10</v>
      </c>
      <c r="IJ60" s="251">
        <v>200</v>
      </c>
      <c r="IK60" s="345">
        <f t="shared" si="246"/>
        <v>50</v>
      </c>
      <c r="IL60" s="251">
        <v>50</v>
      </c>
      <c r="IO60" s="542"/>
      <c r="IP60" s="542"/>
      <c r="IQ60" s="542"/>
      <c r="IR60" s="542"/>
      <c r="IS60" s="542"/>
      <c r="IT60" s="542"/>
      <c r="JN60">
        <f t="shared" si="229"/>
        <v>25674.999999999454</v>
      </c>
    </row>
    <row r="61" spans="1:274" ht="15" customHeight="1" x14ac:dyDescent="0.25">
      <c r="A61" s="35">
        <v>16</v>
      </c>
      <c r="B61" s="138">
        <v>0.37280000000000002</v>
      </c>
      <c r="C61" s="65"/>
      <c r="D61" s="37">
        <f t="shared" si="247"/>
        <v>0</v>
      </c>
      <c r="E61" s="251">
        <v>36932</v>
      </c>
      <c r="F61" s="345"/>
      <c r="G61" s="37">
        <f t="shared" si="234"/>
        <v>111000</v>
      </c>
      <c r="H61" s="138"/>
      <c r="I61" s="65"/>
      <c r="J61" s="37">
        <f t="shared" si="235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v>14</v>
      </c>
      <c r="DQ61" s="50">
        <v>8.2584</v>
      </c>
      <c r="DR61" s="49">
        <f t="shared" si="248"/>
        <v>0</v>
      </c>
      <c r="DS61" s="50">
        <v>51.348999999999997</v>
      </c>
      <c r="DT61" s="49">
        <f t="shared" si="260"/>
        <v>0</v>
      </c>
      <c r="EJ61" s="2"/>
      <c r="EZ61" s="203">
        <f t="shared" si="236"/>
        <v>12529.38</v>
      </c>
      <c r="FA61" s="205">
        <f t="shared" si="237"/>
        <v>18529.38</v>
      </c>
      <c r="FB61" s="201">
        <f t="shared" si="238"/>
        <v>31058.760000000002</v>
      </c>
      <c r="FC61" s="356">
        <f t="shared" si="239"/>
        <v>1296.42</v>
      </c>
      <c r="FD61" s="167">
        <f t="shared" si="240"/>
        <v>29762.340000000004</v>
      </c>
      <c r="FE61" s="345"/>
      <c r="FF61" s="199">
        <v>0.5</v>
      </c>
      <c r="FG61" s="200">
        <f t="shared" si="259"/>
        <v>0.5</v>
      </c>
      <c r="FH61" s="345">
        <f t="shared" si="241"/>
        <v>648.21</v>
      </c>
      <c r="FI61" s="179">
        <f t="shared" si="241"/>
        <v>648.21</v>
      </c>
      <c r="FJ61" s="179">
        <f t="shared" si="242"/>
        <v>14881.170000000002</v>
      </c>
      <c r="FK61" s="179">
        <f t="shared" si="243"/>
        <v>14881.170000000002</v>
      </c>
      <c r="FL61" s="204">
        <f t="shared" si="244"/>
        <v>15529.380000000001</v>
      </c>
      <c r="FM61" s="206">
        <f t="shared" si="244"/>
        <v>15529.380000000001</v>
      </c>
      <c r="FN61" s="202">
        <f t="shared" si="245"/>
        <v>31058.760000000002</v>
      </c>
      <c r="FQ61" s="217"/>
      <c r="FR61" s="345">
        <v>18</v>
      </c>
      <c r="FS61" s="385">
        <v>946.27</v>
      </c>
      <c r="FT61" s="345"/>
      <c r="FU61" s="222">
        <f t="shared" si="256"/>
        <v>2879.9999999999955</v>
      </c>
      <c r="FV61" s="345">
        <f t="shared" si="232"/>
        <v>1439.9999999999977</v>
      </c>
      <c r="FW61" s="345">
        <f t="shared" si="233"/>
        <v>1439.9999999999977</v>
      </c>
      <c r="IH61" s="345">
        <v>17</v>
      </c>
      <c r="II61" s="144">
        <f>DailyOct!BX23+DailyOct!BY23-DailyOct!BZ23-DailyOct!CA23-DailyOct!CB23-DailyOct!CC23-DailyOct!CD23-DailyOct!CF23-DailyOct!CE23</f>
        <v>1.2732925824820995E-9</v>
      </c>
      <c r="IJ61" s="251">
        <v>-1800</v>
      </c>
      <c r="IK61" s="345">
        <f t="shared" si="246"/>
        <v>-450</v>
      </c>
      <c r="IL61" s="251">
        <v>-450</v>
      </c>
      <c r="IO61" s="542"/>
      <c r="IP61" s="542"/>
      <c r="IQ61" s="542"/>
      <c r="IR61" s="542"/>
      <c r="IS61" s="542"/>
      <c r="IT61" s="542"/>
      <c r="JN61">
        <f t="shared" si="229"/>
        <v>26000.000000000728</v>
      </c>
    </row>
    <row r="62" spans="1:274" ht="15" customHeight="1" x14ac:dyDescent="0.25">
      <c r="A62" s="35">
        <v>17</v>
      </c>
      <c r="B62" s="138">
        <v>0.37280000000000002</v>
      </c>
      <c r="C62" s="65"/>
      <c r="D62" s="37">
        <f t="shared" si="247"/>
        <v>0</v>
      </c>
      <c r="E62" s="251">
        <v>37053</v>
      </c>
      <c r="F62" s="345"/>
      <c r="G62" s="37">
        <f t="shared" si="234"/>
        <v>121000</v>
      </c>
      <c r="H62" s="138"/>
      <c r="I62" s="65"/>
      <c r="J62" s="37">
        <f t="shared" si="235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v>15</v>
      </c>
      <c r="DQ62" s="50">
        <v>8.2584</v>
      </c>
      <c r="DR62" s="49">
        <f t="shared" si="248"/>
        <v>0</v>
      </c>
      <c r="DS62" s="50">
        <v>51.348999999999997</v>
      </c>
      <c r="DT62" s="49">
        <f t="shared" si="260"/>
        <v>0</v>
      </c>
      <c r="EJ62" s="2"/>
      <c r="EZ62" s="203">
        <f t="shared" si="236"/>
        <v>11868.99</v>
      </c>
      <c r="FA62" s="205">
        <f t="shared" si="237"/>
        <v>17868.990000000002</v>
      </c>
      <c r="FB62" s="201">
        <f t="shared" si="238"/>
        <v>29737.980000000003</v>
      </c>
      <c r="FC62" s="356">
        <f t="shared" si="239"/>
        <v>1296.42</v>
      </c>
      <c r="FD62" s="167">
        <f t="shared" si="240"/>
        <v>28441.560000000005</v>
      </c>
      <c r="FE62" s="345"/>
      <c r="FF62" s="199">
        <v>0.5</v>
      </c>
      <c r="FG62" s="200">
        <f t="shared" si="259"/>
        <v>0.5</v>
      </c>
      <c r="FH62" s="345">
        <f t="shared" si="241"/>
        <v>648.21</v>
      </c>
      <c r="FI62" s="179">
        <f t="shared" si="241"/>
        <v>648.21</v>
      </c>
      <c r="FJ62" s="179">
        <f t="shared" si="242"/>
        <v>14220.780000000002</v>
      </c>
      <c r="FK62" s="179">
        <f t="shared" si="243"/>
        <v>14220.780000000002</v>
      </c>
      <c r="FL62" s="204">
        <f t="shared" si="244"/>
        <v>14868.990000000002</v>
      </c>
      <c r="FM62" s="206">
        <f t="shared" si="244"/>
        <v>14868.990000000002</v>
      </c>
      <c r="FN62" s="202">
        <f t="shared" si="245"/>
        <v>29737.980000000003</v>
      </c>
      <c r="FQ62" s="217"/>
      <c r="FR62" s="345">
        <v>19</v>
      </c>
      <c r="FS62" s="385">
        <v>949.24</v>
      </c>
      <c r="FT62" s="345"/>
      <c r="FU62" s="222">
        <f t="shared" si="256"/>
        <v>2970.0000000000273</v>
      </c>
      <c r="FV62" s="345">
        <f t="shared" si="232"/>
        <v>1485.0000000000136</v>
      </c>
      <c r="FW62" s="345">
        <f t="shared" si="233"/>
        <v>1485.0000000000136</v>
      </c>
      <c r="IH62" s="345">
        <v>18</v>
      </c>
      <c r="II62" s="144">
        <f>DailyOct!BX24+DailyOct!BY24-DailyOct!BZ24-DailyOct!CA24-DailyOct!CB24-DailyOct!CC24-DailyOct!CD24-DailyOct!CF24-DailyOct!CE24</f>
        <v>-1.2878444977104664E-9</v>
      </c>
      <c r="IJ62" s="251">
        <v>1600</v>
      </c>
      <c r="IK62" s="345">
        <f t="shared" si="246"/>
        <v>400</v>
      </c>
      <c r="IL62" s="251">
        <v>400</v>
      </c>
      <c r="IO62" s="542"/>
      <c r="IP62" s="542"/>
      <c r="IQ62" s="542"/>
      <c r="IR62" s="542"/>
      <c r="IS62" s="542"/>
      <c r="IT62" s="542"/>
      <c r="JN62">
        <f t="shared" si="229"/>
        <v>26624.999999999272</v>
      </c>
    </row>
    <row r="63" spans="1:274" ht="15" customHeight="1" x14ac:dyDescent="0.25">
      <c r="A63" s="35">
        <v>18</v>
      </c>
      <c r="B63" s="138">
        <v>0.37280000000000002</v>
      </c>
      <c r="C63" s="65"/>
      <c r="D63" s="37">
        <f t="shared" si="247"/>
        <v>0</v>
      </c>
      <c r="E63" s="251">
        <v>37180</v>
      </c>
      <c r="F63" s="345"/>
      <c r="G63" s="37">
        <f t="shared" si="234"/>
        <v>127000</v>
      </c>
      <c r="H63" s="138"/>
      <c r="I63" s="65"/>
      <c r="J63" s="37">
        <f t="shared" si="235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v>16</v>
      </c>
      <c r="DQ63" s="50">
        <v>8.2584</v>
      </c>
      <c r="DR63" s="49">
        <f t="shared" si="248"/>
        <v>0</v>
      </c>
      <c r="DS63" s="50">
        <v>51.348999999999997</v>
      </c>
      <c r="DT63" s="49">
        <f t="shared" si="260"/>
        <v>0</v>
      </c>
      <c r="EJ63" s="2"/>
      <c r="EZ63" s="203">
        <f t="shared" si="236"/>
        <v>12653.29</v>
      </c>
      <c r="FA63" s="205">
        <f t="shared" si="237"/>
        <v>19653.29</v>
      </c>
      <c r="FB63" s="201">
        <f t="shared" si="238"/>
        <v>32306.58</v>
      </c>
      <c r="FC63" s="356">
        <f t="shared" si="239"/>
        <v>1296.42</v>
      </c>
      <c r="FD63" s="167">
        <f t="shared" si="240"/>
        <v>31010.160000000003</v>
      </c>
      <c r="FE63" s="345"/>
      <c r="FF63" s="199">
        <v>0.5</v>
      </c>
      <c r="FG63" s="200">
        <f t="shared" si="259"/>
        <v>0.5</v>
      </c>
      <c r="FH63" s="345">
        <f t="shared" si="241"/>
        <v>648.21</v>
      </c>
      <c r="FI63" s="179">
        <f t="shared" si="241"/>
        <v>648.21</v>
      </c>
      <c r="FJ63" s="179">
        <f t="shared" si="242"/>
        <v>15505.080000000002</v>
      </c>
      <c r="FK63" s="179">
        <f t="shared" si="243"/>
        <v>15505.080000000002</v>
      </c>
      <c r="FL63" s="204">
        <f t="shared" si="244"/>
        <v>16153.29</v>
      </c>
      <c r="FM63" s="206">
        <f t="shared" si="244"/>
        <v>16153.29</v>
      </c>
      <c r="FN63" s="202">
        <f t="shared" si="245"/>
        <v>32306.58</v>
      </c>
      <c r="FQ63" s="217"/>
      <c r="FR63" s="345">
        <v>20</v>
      </c>
      <c r="FS63" s="385">
        <v>951.97</v>
      </c>
      <c r="FT63" s="345"/>
      <c r="FU63" s="222">
        <f t="shared" si="256"/>
        <v>2730.0000000000182</v>
      </c>
      <c r="FV63" s="345">
        <f t="shared" si="232"/>
        <v>1365.0000000000091</v>
      </c>
      <c r="FW63" s="345">
        <f t="shared" si="233"/>
        <v>1365.0000000000091</v>
      </c>
      <c r="IH63" s="345">
        <v>19</v>
      </c>
      <c r="II63" s="144">
        <f>DailyOct!BX25+DailyOct!BY25-DailyOct!BZ25-DailyOct!CA25-DailyOct!CB25-DailyOct!CC25-DailyOct!CD25-DailyOct!CF25-DailyOct!CE25</f>
        <v>-1.4551915228366852E-11</v>
      </c>
      <c r="IJ63" s="251">
        <v>10900</v>
      </c>
      <c r="IK63" s="345">
        <f t="shared" si="246"/>
        <v>2725</v>
      </c>
      <c r="IL63" s="251">
        <v>2725</v>
      </c>
      <c r="IO63" s="542"/>
      <c r="IP63" s="542"/>
      <c r="IQ63" s="542"/>
      <c r="IR63" s="542"/>
      <c r="IS63" s="542"/>
      <c r="IT63" s="542"/>
      <c r="JN63">
        <f t="shared" si="229"/>
        <v>25725.000000000546</v>
      </c>
    </row>
    <row r="64" spans="1:274" ht="15" customHeight="1" x14ac:dyDescent="0.25">
      <c r="A64" s="35">
        <v>19</v>
      </c>
      <c r="B64" s="138">
        <v>0.37280000000000002</v>
      </c>
      <c r="C64" s="65"/>
      <c r="D64" s="37">
        <f t="shared" si="247"/>
        <v>0</v>
      </c>
      <c r="E64" s="251">
        <v>37305</v>
      </c>
      <c r="F64" s="345"/>
      <c r="G64" s="37">
        <f t="shared" si="234"/>
        <v>125000</v>
      </c>
      <c r="H64" s="138"/>
      <c r="I64" s="65"/>
      <c r="J64" s="37">
        <f t="shared" si="235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v>17</v>
      </c>
      <c r="DQ64" s="50">
        <v>8.2584</v>
      </c>
      <c r="DR64" s="49">
        <f t="shared" si="248"/>
        <v>0</v>
      </c>
      <c r="DS64" s="50">
        <v>51.348999999999997</v>
      </c>
      <c r="DT64" s="49">
        <f t="shared" si="260"/>
        <v>0</v>
      </c>
      <c r="EZ64" s="203">
        <f t="shared" si="236"/>
        <v>11572.61</v>
      </c>
      <c r="FA64" s="205">
        <f t="shared" si="237"/>
        <v>17572.61</v>
      </c>
      <c r="FB64" s="201">
        <f t="shared" si="238"/>
        <v>29145.22</v>
      </c>
      <c r="FC64" s="356">
        <f t="shared" si="239"/>
        <v>1296.42</v>
      </c>
      <c r="FD64" s="167">
        <f t="shared" si="240"/>
        <v>27848.800000000003</v>
      </c>
      <c r="FE64" s="345"/>
      <c r="FF64" s="199">
        <v>0.5</v>
      </c>
      <c r="FG64" s="200">
        <f t="shared" si="259"/>
        <v>0.5</v>
      </c>
      <c r="FH64" s="345">
        <f t="shared" si="241"/>
        <v>648.21</v>
      </c>
      <c r="FI64" s="179">
        <f t="shared" si="241"/>
        <v>648.21</v>
      </c>
      <c r="FJ64" s="179">
        <f t="shared" si="242"/>
        <v>13924.400000000001</v>
      </c>
      <c r="FK64" s="179">
        <f t="shared" si="243"/>
        <v>13924.400000000001</v>
      </c>
      <c r="FL64" s="204">
        <f t="shared" si="244"/>
        <v>14572.61</v>
      </c>
      <c r="FM64" s="206">
        <f t="shared" si="244"/>
        <v>14572.61</v>
      </c>
      <c r="FN64" s="202">
        <f t="shared" si="245"/>
        <v>29145.22</v>
      </c>
      <c r="FQ64" s="217"/>
      <c r="FR64" s="345">
        <v>21</v>
      </c>
      <c r="FS64" s="385">
        <v>954.81</v>
      </c>
      <c r="FT64" s="345"/>
      <c r="FU64" s="222">
        <f t="shared" si="256"/>
        <v>2839.9999999999181</v>
      </c>
      <c r="FV64" s="345">
        <f t="shared" si="232"/>
        <v>1419.9999999999591</v>
      </c>
      <c r="FW64" s="345">
        <f t="shared" si="233"/>
        <v>1419.9999999999591</v>
      </c>
      <c r="IH64" s="345">
        <v>20</v>
      </c>
      <c r="II64" s="144">
        <f>DailyOct!BX26+DailyOct!BY26-DailyOct!BZ26-DailyOct!CA26-DailyOct!CB26-DailyOct!CC26-DailyOct!CD26-DailyOct!CF26-DailyOct!CE26</f>
        <v>1.6007106751203537E-10</v>
      </c>
      <c r="IJ64" s="251">
        <v>-8300</v>
      </c>
      <c r="IK64" s="345">
        <f t="shared" si="246"/>
        <v>-2075</v>
      </c>
      <c r="IL64" s="251">
        <v>-2075</v>
      </c>
      <c r="IO64" s="542"/>
      <c r="IP64" s="542"/>
      <c r="IQ64" s="542"/>
      <c r="IR64" s="542"/>
      <c r="IS64" s="542"/>
      <c r="IT64" s="542"/>
    </row>
    <row r="65" spans="1:254" ht="15" customHeight="1" x14ac:dyDescent="0.25">
      <c r="A65" s="35">
        <v>20</v>
      </c>
      <c r="B65" s="138">
        <v>0.37280000000000002</v>
      </c>
      <c r="C65" s="65"/>
      <c r="D65" s="37">
        <f t="shared" si="247"/>
        <v>0</v>
      </c>
      <c r="E65" s="251">
        <v>37399</v>
      </c>
      <c r="F65" s="345"/>
      <c r="G65" s="37">
        <f t="shared" si="234"/>
        <v>94000</v>
      </c>
      <c r="H65" s="138"/>
      <c r="I65" s="65"/>
      <c r="J65" s="37">
        <f t="shared" si="235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v>18</v>
      </c>
      <c r="DQ65" s="50">
        <v>8.2584</v>
      </c>
      <c r="DR65" s="49">
        <f t="shared" si="248"/>
        <v>0</v>
      </c>
      <c r="DS65" s="50">
        <v>51.348999999999997</v>
      </c>
      <c r="DT65" s="49">
        <f t="shared" si="260"/>
        <v>0</v>
      </c>
      <c r="EZ65" s="203">
        <f t="shared" si="236"/>
        <v>11322.43</v>
      </c>
      <c r="FA65" s="205">
        <f t="shared" si="237"/>
        <v>13322.43</v>
      </c>
      <c r="FB65" s="201">
        <f t="shared" si="238"/>
        <v>24644.86</v>
      </c>
      <c r="FC65" s="356">
        <f t="shared" si="239"/>
        <v>1296.42</v>
      </c>
      <c r="FD65" s="167">
        <f t="shared" si="240"/>
        <v>23348.440000000002</v>
      </c>
      <c r="FE65" s="345"/>
      <c r="FF65" s="199">
        <v>0.5</v>
      </c>
      <c r="FG65" s="200">
        <f t="shared" si="259"/>
        <v>0.5</v>
      </c>
      <c r="FH65" s="345">
        <f t="shared" si="241"/>
        <v>648.21</v>
      </c>
      <c r="FI65" s="179">
        <f t="shared" si="241"/>
        <v>648.21</v>
      </c>
      <c r="FJ65" s="179">
        <f t="shared" si="242"/>
        <v>11674.220000000001</v>
      </c>
      <c r="FK65" s="179">
        <f t="shared" si="243"/>
        <v>11674.220000000001</v>
      </c>
      <c r="FL65" s="204">
        <f t="shared" si="244"/>
        <v>12322.43</v>
      </c>
      <c r="FM65" s="206">
        <f t="shared" si="244"/>
        <v>12322.43</v>
      </c>
      <c r="FN65" s="202">
        <f t="shared" si="245"/>
        <v>24644.86</v>
      </c>
      <c r="FQ65" s="217"/>
      <c r="FR65" s="345">
        <v>22</v>
      </c>
      <c r="FS65" s="385">
        <v>957.66</v>
      </c>
      <c r="FT65" s="345"/>
      <c r="FU65" s="222">
        <f t="shared" si="256"/>
        <v>2850.0000000000227</v>
      </c>
      <c r="FV65" s="345">
        <f t="shared" si="232"/>
        <v>1425.0000000000114</v>
      </c>
      <c r="FW65" s="345">
        <f t="shared" si="233"/>
        <v>1425.0000000000114</v>
      </c>
      <c r="IH65" s="345">
        <v>21</v>
      </c>
      <c r="II65" s="144">
        <f>DailyOct!BX27+DailyOct!BY27-DailyOct!BZ27-DailyOct!CA27-DailyOct!CB27-DailyOct!CC27-DailyOct!CD27-DailyOct!CF27-DailyOct!CE27</f>
        <v>1.0841176845133305E-9</v>
      </c>
      <c r="IJ65" s="251">
        <v>2500</v>
      </c>
      <c r="IK65" s="345">
        <f t="shared" si="246"/>
        <v>625</v>
      </c>
      <c r="IL65" s="251">
        <v>625</v>
      </c>
      <c r="IO65" s="542"/>
      <c r="IP65" s="542"/>
      <c r="IQ65" s="542"/>
      <c r="IR65" s="542"/>
      <c r="IS65" s="542"/>
      <c r="IT65" s="542"/>
    </row>
    <row r="66" spans="1:254" ht="15" customHeight="1" x14ac:dyDescent="0.25">
      <c r="A66" s="35">
        <v>21</v>
      </c>
      <c r="B66" s="138">
        <v>0.37280000000000002</v>
      </c>
      <c r="C66" s="65"/>
      <c r="D66" s="37">
        <f t="shared" si="247"/>
        <v>0</v>
      </c>
      <c r="E66" s="251">
        <v>37491</v>
      </c>
      <c r="F66" s="345"/>
      <c r="G66" s="37">
        <f t="shared" si="234"/>
        <v>92000</v>
      </c>
      <c r="H66" s="138"/>
      <c r="I66" s="65"/>
      <c r="J66" s="37">
        <f t="shared" si="235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v>19</v>
      </c>
      <c r="DQ66" s="50">
        <v>8.2584</v>
      </c>
      <c r="DR66" s="49">
        <f t="shared" si="248"/>
        <v>0</v>
      </c>
      <c r="DS66" s="50">
        <v>51.348999999999997</v>
      </c>
      <c r="DT66" s="49">
        <f t="shared" si="260"/>
        <v>0</v>
      </c>
      <c r="EZ66" s="203">
        <f t="shared" si="236"/>
        <v>10208.74</v>
      </c>
      <c r="FA66" s="205">
        <f t="shared" si="237"/>
        <v>11208.74</v>
      </c>
      <c r="FB66" s="201">
        <f t="shared" si="238"/>
        <v>21417.48</v>
      </c>
      <c r="FC66" s="356">
        <f t="shared" si="239"/>
        <v>1296.42</v>
      </c>
      <c r="FD66" s="167">
        <f t="shared" si="240"/>
        <v>20121.059999999998</v>
      </c>
      <c r="FE66" s="345"/>
      <c r="FF66" s="199">
        <v>0.5</v>
      </c>
      <c r="FG66" s="200">
        <f t="shared" si="259"/>
        <v>0.5</v>
      </c>
      <c r="FH66" s="345">
        <f t="shared" si="241"/>
        <v>648.21</v>
      </c>
      <c r="FI66" s="179">
        <f t="shared" si="241"/>
        <v>648.21</v>
      </c>
      <c r="FJ66" s="179">
        <f t="shared" si="242"/>
        <v>10060.529999999999</v>
      </c>
      <c r="FK66" s="179">
        <f t="shared" si="243"/>
        <v>10060.529999999999</v>
      </c>
      <c r="FL66" s="204">
        <f t="shared" si="244"/>
        <v>10708.739999999998</v>
      </c>
      <c r="FM66" s="206">
        <f t="shared" si="244"/>
        <v>10708.739999999998</v>
      </c>
      <c r="FN66" s="202">
        <f t="shared" si="245"/>
        <v>21417.479999999996</v>
      </c>
      <c r="FQ66" s="217"/>
      <c r="FR66" s="345">
        <v>23</v>
      </c>
      <c r="FS66" s="385">
        <v>960.6</v>
      </c>
      <c r="FT66" s="345"/>
      <c r="FU66" s="222">
        <f t="shared" si="256"/>
        <v>2940.0000000000546</v>
      </c>
      <c r="FV66" s="345">
        <f t="shared" si="232"/>
        <v>1470.0000000000273</v>
      </c>
      <c r="FW66" s="345">
        <f t="shared" si="233"/>
        <v>1470.0000000000273</v>
      </c>
      <c r="IH66" s="345">
        <v>22</v>
      </c>
      <c r="II66" s="144">
        <f>DailyOct!BX28+DailyOct!BY28-DailyOct!BZ28-DailyOct!CA28-DailyOct!CB28-DailyOct!CC28-DailyOct!CD28-DailyOct!CF28-DailyOct!CE28</f>
        <v>1.7462298274040222E-10</v>
      </c>
      <c r="IJ66" s="251">
        <v>-700</v>
      </c>
      <c r="IK66" s="345">
        <f t="shared" si="246"/>
        <v>-175</v>
      </c>
      <c r="IL66" s="251">
        <v>-175</v>
      </c>
      <c r="IO66" s="542"/>
      <c r="IP66" s="542"/>
      <c r="IQ66" s="542"/>
      <c r="IR66" s="542"/>
      <c r="IS66" s="542"/>
      <c r="IT66" s="542"/>
    </row>
    <row r="67" spans="1:254" ht="15" customHeight="1" x14ac:dyDescent="0.25">
      <c r="A67" s="35">
        <v>22</v>
      </c>
      <c r="B67" s="138">
        <v>0.37280000000000002</v>
      </c>
      <c r="C67" s="65"/>
      <c r="D67" s="37">
        <f t="shared" si="247"/>
        <v>0</v>
      </c>
      <c r="E67" s="251">
        <v>37583</v>
      </c>
      <c r="F67" s="345"/>
      <c r="G67" s="37">
        <f t="shared" si="234"/>
        <v>92000</v>
      </c>
      <c r="H67" s="138"/>
      <c r="I67" s="65"/>
      <c r="J67" s="37">
        <f t="shared" si="235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v>20</v>
      </c>
      <c r="DQ67" s="50">
        <v>8.2584</v>
      </c>
      <c r="DR67" s="49">
        <f t="shared" si="248"/>
        <v>0</v>
      </c>
      <c r="DS67" s="50">
        <v>51.348999999999997</v>
      </c>
      <c r="DT67" s="49">
        <f t="shared" si="260"/>
        <v>0</v>
      </c>
      <c r="EZ67" s="203">
        <f t="shared" si="236"/>
        <v>10591.97</v>
      </c>
      <c r="FA67" s="205">
        <f t="shared" si="237"/>
        <v>10591.97</v>
      </c>
      <c r="FB67" s="201">
        <f t="shared" si="238"/>
        <v>21183.94</v>
      </c>
      <c r="FC67" s="356">
        <f t="shared" si="239"/>
        <v>1296.42</v>
      </c>
      <c r="FD67" s="167">
        <f t="shared" si="240"/>
        <v>19887.519999999997</v>
      </c>
      <c r="FE67" s="345"/>
      <c r="FF67" s="199">
        <v>0.5</v>
      </c>
      <c r="FG67" s="200">
        <f t="shared" si="259"/>
        <v>0.5</v>
      </c>
      <c r="FH67" s="345">
        <f t="shared" si="241"/>
        <v>648.21</v>
      </c>
      <c r="FI67" s="179">
        <f t="shared" si="241"/>
        <v>648.21</v>
      </c>
      <c r="FJ67" s="179">
        <f t="shared" si="242"/>
        <v>9943.7599999999984</v>
      </c>
      <c r="FK67" s="179">
        <f t="shared" si="243"/>
        <v>9943.7599999999984</v>
      </c>
      <c r="FL67" s="204">
        <f t="shared" si="244"/>
        <v>10591.969999999998</v>
      </c>
      <c r="FM67" s="206">
        <f t="shared" si="244"/>
        <v>10591.969999999998</v>
      </c>
      <c r="FN67" s="202">
        <f t="shared" si="245"/>
        <v>21183.939999999995</v>
      </c>
      <c r="FQ67" s="217"/>
      <c r="FR67" s="345">
        <v>24</v>
      </c>
      <c r="FS67" s="385">
        <v>963.3</v>
      </c>
      <c r="FT67" s="345"/>
      <c r="FU67" s="222">
        <f t="shared" si="256"/>
        <v>2699.9999999999318</v>
      </c>
      <c r="FV67" s="345">
        <f t="shared" si="232"/>
        <v>1349.9999999999659</v>
      </c>
      <c r="FW67" s="345">
        <f t="shared" si="233"/>
        <v>1349.9999999999659</v>
      </c>
      <c r="IH67" s="345">
        <v>23</v>
      </c>
      <c r="II67" s="144">
        <f>DailyOct!BX29+DailyOct!BY29-DailyOct!BZ29-DailyOct!CA29-DailyOct!CB29-DailyOct!CC29-DailyOct!CD29-DailyOct!CF29-DailyOct!CE29</f>
        <v>-9.0221874415874481E-10</v>
      </c>
      <c r="IJ67" s="251">
        <v>-1300</v>
      </c>
      <c r="IK67" s="345">
        <f t="shared" si="246"/>
        <v>-325</v>
      </c>
      <c r="IL67" s="251">
        <v>-325</v>
      </c>
      <c r="IO67" s="542"/>
      <c r="IP67" s="542"/>
      <c r="IQ67" s="542"/>
      <c r="IR67" s="542"/>
      <c r="IS67" s="542"/>
      <c r="IT67" s="542"/>
    </row>
    <row r="68" spans="1:254" ht="15" customHeight="1" x14ac:dyDescent="0.25">
      <c r="A68" s="35">
        <v>23</v>
      </c>
      <c r="B68" s="138">
        <v>0.37280000000000002</v>
      </c>
      <c r="C68" s="65"/>
      <c r="D68" s="37">
        <f t="shared" si="247"/>
        <v>0</v>
      </c>
      <c r="E68" s="251">
        <v>37675</v>
      </c>
      <c r="F68" s="345"/>
      <c r="G68" s="37">
        <f t="shared" si="234"/>
        <v>92000</v>
      </c>
      <c r="H68" s="138"/>
      <c r="I68" s="65"/>
      <c r="J68" s="37">
        <f t="shared" si="235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v>21</v>
      </c>
      <c r="DQ68" s="50">
        <v>8.2584</v>
      </c>
      <c r="DR68" s="49">
        <f t="shared" si="248"/>
        <v>0</v>
      </c>
      <c r="DS68" s="50">
        <v>51.348999999999997</v>
      </c>
      <c r="DT68" s="49">
        <f t="shared" si="260"/>
        <v>0</v>
      </c>
      <c r="EZ68" s="203">
        <f t="shared" si="236"/>
        <v>10862.73</v>
      </c>
      <c r="FA68" s="205">
        <f t="shared" si="237"/>
        <v>12862.73</v>
      </c>
      <c r="FB68" s="201">
        <f t="shared" si="238"/>
        <v>23725.46</v>
      </c>
      <c r="FC68" s="356">
        <f t="shared" si="239"/>
        <v>1296.42</v>
      </c>
      <c r="FD68" s="167">
        <f t="shared" si="240"/>
        <v>22429.040000000001</v>
      </c>
      <c r="FE68" s="345"/>
      <c r="FF68" s="199">
        <v>0.5</v>
      </c>
      <c r="FG68" s="200">
        <f t="shared" si="259"/>
        <v>0.5</v>
      </c>
      <c r="FH68" s="345">
        <f t="shared" si="241"/>
        <v>648.21</v>
      </c>
      <c r="FI68" s="179">
        <f t="shared" si="241"/>
        <v>648.21</v>
      </c>
      <c r="FJ68" s="179">
        <f t="shared" si="242"/>
        <v>11214.52</v>
      </c>
      <c r="FK68" s="179">
        <f t="shared" si="243"/>
        <v>11214.52</v>
      </c>
      <c r="FL68" s="204">
        <f t="shared" si="244"/>
        <v>11862.73</v>
      </c>
      <c r="FM68" s="206">
        <f t="shared" si="244"/>
        <v>11862.73</v>
      </c>
      <c r="FN68" s="202">
        <f t="shared" si="245"/>
        <v>23725.46</v>
      </c>
      <c r="FQ68" s="217"/>
      <c r="FR68" s="345">
        <v>25</v>
      </c>
      <c r="FS68" s="385">
        <v>966.1</v>
      </c>
      <c r="FT68" s="345"/>
      <c r="FU68" s="222">
        <f t="shared" si="256"/>
        <v>2800.0000000000682</v>
      </c>
      <c r="FV68" s="345">
        <f t="shared" si="232"/>
        <v>1400.0000000000341</v>
      </c>
      <c r="FW68" s="345">
        <f t="shared" si="233"/>
        <v>1400.0000000000341</v>
      </c>
      <c r="IH68" s="345">
        <v>24</v>
      </c>
      <c r="II68" s="144">
        <f>DailyOct!BX30+DailyOct!BY30-DailyOct!BZ30-DailyOct!CA30-DailyOct!CB30-DailyOct!CC30-DailyOct!CD30-DailyOct!CF30-DailyOct!CE30</f>
        <v>-1.4479155652225018E-9</v>
      </c>
      <c r="IJ68" s="251">
        <v>-600</v>
      </c>
      <c r="IK68" s="345">
        <f t="shared" si="246"/>
        <v>-150</v>
      </c>
      <c r="IL68" s="251">
        <v>-150</v>
      </c>
    </row>
    <row r="69" spans="1:254" ht="15" customHeight="1" x14ac:dyDescent="0.25">
      <c r="A69" s="35">
        <v>24</v>
      </c>
      <c r="B69" s="138">
        <v>0.37280000000000002</v>
      </c>
      <c r="C69" s="65"/>
      <c r="D69" s="37">
        <f t="shared" si="247"/>
        <v>0</v>
      </c>
      <c r="E69" s="251">
        <v>37769</v>
      </c>
      <c r="F69" s="345"/>
      <c r="G69" s="37">
        <f t="shared" si="234"/>
        <v>94000</v>
      </c>
      <c r="H69" s="138"/>
      <c r="I69" s="65"/>
      <c r="J69" s="37">
        <f t="shared" si="235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v>22</v>
      </c>
      <c r="DQ69" s="50">
        <v>8.2584</v>
      </c>
      <c r="DR69" s="49">
        <f t="shared" si="248"/>
        <v>0</v>
      </c>
      <c r="DS69" s="50">
        <v>51.348999999999997</v>
      </c>
      <c r="DT69" s="49">
        <f t="shared" si="260"/>
        <v>0</v>
      </c>
      <c r="EZ69" s="203">
        <f t="shared" si="236"/>
        <v>10245.32</v>
      </c>
      <c r="FA69" s="205">
        <f t="shared" si="237"/>
        <v>11245.32</v>
      </c>
      <c r="FB69" s="201">
        <f t="shared" si="238"/>
        <v>21490.639999999999</v>
      </c>
      <c r="FC69" s="356">
        <f t="shared" si="239"/>
        <v>1296.42</v>
      </c>
      <c r="FD69" s="167">
        <f t="shared" si="240"/>
        <v>20194.22</v>
      </c>
      <c r="FE69" s="345"/>
      <c r="FF69" s="199">
        <v>0.5</v>
      </c>
      <c r="FG69" s="200">
        <f t="shared" si="259"/>
        <v>0.5</v>
      </c>
      <c r="FH69" s="345">
        <f t="shared" si="241"/>
        <v>648.21</v>
      </c>
      <c r="FI69" s="179">
        <f t="shared" si="241"/>
        <v>648.21</v>
      </c>
      <c r="FJ69" s="179">
        <f t="shared" si="242"/>
        <v>10097.11</v>
      </c>
      <c r="FK69" s="179">
        <f t="shared" si="243"/>
        <v>10097.11</v>
      </c>
      <c r="FL69" s="204">
        <f t="shared" si="244"/>
        <v>10745.32</v>
      </c>
      <c r="FM69" s="206">
        <f t="shared" si="244"/>
        <v>10745.32</v>
      </c>
      <c r="FN69" s="202">
        <f t="shared" si="245"/>
        <v>21490.639999999999</v>
      </c>
      <c r="FQ69" s="217"/>
      <c r="FR69" s="345">
        <v>26</v>
      </c>
      <c r="FS69" s="385">
        <v>969</v>
      </c>
      <c r="FT69" s="345"/>
      <c r="FU69" s="222">
        <f t="shared" si="256"/>
        <v>2899.9999999999773</v>
      </c>
      <c r="FV69" s="345">
        <f t="shared" si="232"/>
        <v>1449.9999999999886</v>
      </c>
      <c r="FW69" s="345">
        <f t="shared" si="233"/>
        <v>1449.9999999999886</v>
      </c>
      <c r="IH69" s="345">
        <v>25</v>
      </c>
      <c r="II69" s="144">
        <f>DailyOct!BX31+DailyOct!BY31-DailyOct!BZ31-DailyOct!CA31-DailyOct!CB31-DailyOct!CC31-DailyOct!CD31-DailyOct!CF31-DailyOct!CE31</f>
        <v>5.4569682106375694E-10</v>
      </c>
      <c r="IJ69" s="251">
        <v>300</v>
      </c>
      <c r="IK69" s="345">
        <f t="shared" si="246"/>
        <v>75</v>
      </c>
      <c r="IL69" s="251">
        <v>75</v>
      </c>
    </row>
    <row r="70" spans="1:254" ht="15" customHeight="1" x14ac:dyDescent="0.25">
      <c r="A70" s="35">
        <v>25</v>
      </c>
      <c r="B70" s="138">
        <v>0.37280000000000002</v>
      </c>
      <c r="C70" s="65"/>
      <c r="D70" s="37">
        <f t="shared" si="247"/>
        <v>0</v>
      </c>
      <c r="E70" s="251">
        <v>37862</v>
      </c>
      <c r="F70" s="345"/>
      <c r="G70" s="37">
        <f t="shared" si="234"/>
        <v>93000</v>
      </c>
      <c r="H70" s="138"/>
      <c r="I70" s="65"/>
      <c r="J70" s="37">
        <f t="shared" si="235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v>23</v>
      </c>
      <c r="DQ70" s="50">
        <v>8.2584</v>
      </c>
      <c r="DR70" s="49">
        <f t="shared" si="248"/>
        <v>0</v>
      </c>
      <c r="DS70" s="50">
        <v>51.348999999999997</v>
      </c>
      <c r="DT70" s="49">
        <f t="shared" si="260"/>
        <v>0</v>
      </c>
      <c r="EZ70" s="203">
        <f t="shared" si="236"/>
        <v>10120.11</v>
      </c>
      <c r="FA70" s="205">
        <f t="shared" si="237"/>
        <v>9120.11</v>
      </c>
      <c r="FB70" s="201">
        <f t="shared" si="238"/>
        <v>19240.22</v>
      </c>
      <c r="FC70" s="356">
        <f t="shared" si="239"/>
        <v>1296.42</v>
      </c>
      <c r="FD70" s="167">
        <f t="shared" si="240"/>
        <v>17943.800000000003</v>
      </c>
      <c r="FE70" s="345"/>
      <c r="FF70" s="199">
        <v>0.5</v>
      </c>
      <c r="FG70" s="200">
        <f t="shared" si="259"/>
        <v>0.5</v>
      </c>
      <c r="FH70" s="345">
        <f t="shared" si="241"/>
        <v>648.21</v>
      </c>
      <c r="FI70" s="179">
        <f t="shared" si="241"/>
        <v>648.21</v>
      </c>
      <c r="FJ70" s="179">
        <f t="shared" si="242"/>
        <v>8971.9000000000015</v>
      </c>
      <c r="FK70" s="179">
        <f t="shared" si="243"/>
        <v>8971.9000000000015</v>
      </c>
      <c r="FL70" s="204">
        <f t="shared" si="244"/>
        <v>9620.11</v>
      </c>
      <c r="FM70" s="206">
        <f t="shared" si="244"/>
        <v>9620.11</v>
      </c>
      <c r="FN70" s="202">
        <f t="shared" si="245"/>
        <v>19240.22</v>
      </c>
      <c r="FQ70" s="217"/>
      <c r="FR70" s="345">
        <v>27</v>
      </c>
      <c r="FS70" s="385">
        <v>971.1</v>
      </c>
      <c r="FT70" s="345"/>
      <c r="FU70" s="222">
        <f t="shared" si="256"/>
        <v>2100.0000000000227</v>
      </c>
      <c r="FV70" s="345">
        <f t="shared" si="232"/>
        <v>1050.0000000000114</v>
      </c>
      <c r="FW70" s="345">
        <f t="shared" si="233"/>
        <v>1050.0000000000114</v>
      </c>
      <c r="IH70" s="345">
        <v>26</v>
      </c>
      <c r="II70" s="144">
        <f>DailyOct!BX32+DailyOct!BY32-DailyOct!BZ32-DailyOct!CA32-DailyOct!CB32-DailyOct!CC32-DailyOct!CD32-DailyOct!CF32-DailyOct!CE32</f>
        <v>-1.8917489796876907E-10</v>
      </c>
      <c r="IJ70" s="251">
        <v>1200</v>
      </c>
      <c r="IK70" s="345">
        <f t="shared" si="246"/>
        <v>300</v>
      </c>
      <c r="IL70" s="251">
        <v>300</v>
      </c>
    </row>
    <row r="71" spans="1:254" ht="15" customHeight="1" x14ac:dyDescent="0.25">
      <c r="A71" s="35">
        <v>26</v>
      </c>
      <c r="B71" s="138">
        <v>0.37280000000000002</v>
      </c>
      <c r="C71" s="65"/>
      <c r="D71" s="37">
        <f t="shared" si="247"/>
        <v>0</v>
      </c>
      <c r="E71" s="251">
        <v>37951</v>
      </c>
      <c r="F71" s="345"/>
      <c r="G71" s="37">
        <f t="shared" si="234"/>
        <v>89000</v>
      </c>
      <c r="H71" s="138"/>
      <c r="I71" s="65"/>
      <c r="J71" s="37">
        <f t="shared" si="235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v>24</v>
      </c>
      <c r="DQ71" s="50">
        <v>8.2584</v>
      </c>
      <c r="DR71" s="49">
        <f t="shared" si="248"/>
        <v>0</v>
      </c>
      <c r="DS71" s="50">
        <v>51.348999999999997</v>
      </c>
      <c r="DT71" s="49">
        <f t="shared" si="260"/>
        <v>0</v>
      </c>
      <c r="EZ71" s="203">
        <f t="shared" si="236"/>
        <v>10655.91</v>
      </c>
      <c r="FA71" s="205">
        <f t="shared" si="237"/>
        <v>9655.91</v>
      </c>
      <c r="FB71" s="201">
        <f t="shared" si="238"/>
        <v>20311.82</v>
      </c>
      <c r="FC71" s="356">
        <f t="shared" si="239"/>
        <v>1296.42</v>
      </c>
      <c r="FD71" s="167">
        <f t="shared" si="240"/>
        <v>19015.400000000001</v>
      </c>
      <c r="FE71" s="345"/>
      <c r="FF71" s="199">
        <v>0.5</v>
      </c>
      <c r="FG71" s="200">
        <f t="shared" si="259"/>
        <v>0.5</v>
      </c>
      <c r="FH71" s="345">
        <f t="shared" si="241"/>
        <v>648.21</v>
      </c>
      <c r="FI71" s="179">
        <f t="shared" si="241"/>
        <v>648.21</v>
      </c>
      <c r="FJ71" s="179">
        <f t="shared" si="242"/>
        <v>9507.7000000000007</v>
      </c>
      <c r="FK71" s="179">
        <f t="shared" si="243"/>
        <v>9507.7000000000007</v>
      </c>
      <c r="FL71" s="204">
        <f t="shared" si="244"/>
        <v>10155.91</v>
      </c>
      <c r="FM71" s="206">
        <f t="shared" si="244"/>
        <v>10155.91</v>
      </c>
      <c r="FN71" s="202">
        <f t="shared" si="245"/>
        <v>20311.82</v>
      </c>
      <c r="FQ71" s="217"/>
      <c r="FR71" s="345">
        <v>28</v>
      </c>
      <c r="FS71" s="385">
        <v>971.8</v>
      </c>
      <c r="FT71" s="345"/>
      <c r="FU71" s="222">
        <f t="shared" si="256"/>
        <v>699.99999999993179</v>
      </c>
      <c r="FV71" s="345">
        <f t="shared" si="232"/>
        <v>349.99999999996589</v>
      </c>
      <c r="FW71" s="345">
        <f t="shared" si="233"/>
        <v>349.99999999996589</v>
      </c>
      <c r="IH71" s="345">
        <v>27</v>
      </c>
      <c r="II71" s="144">
        <f>DailyOct!BX33+DailyOct!BY33-DailyOct!BZ33-DailyOct!CA33-DailyOct!CB33-DailyOct!CC33-DailyOct!CD33-DailyOct!CF33-DailyOct!CE33</f>
        <v>1.0913936421275139E-9</v>
      </c>
      <c r="IJ71" s="251">
        <v>5300</v>
      </c>
      <c r="IK71" s="345">
        <f t="shared" si="246"/>
        <v>1325</v>
      </c>
      <c r="IL71" s="251">
        <v>1325</v>
      </c>
    </row>
    <row r="72" spans="1:254" ht="15" customHeight="1" x14ac:dyDescent="0.25">
      <c r="A72" s="35">
        <v>27</v>
      </c>
      <c r="B72" s="138">
        <v>0.37280000000000002</v>
      </c>
      <c r="C72" s="65"/>
      <c r="D72" s="37">
        <f t="shared" si="247"/>
        <v>0</v>
      </c>
      <c r="E72" s="251">
        <v>38029</v>
      </c>
      <c r="F72" s="345"/>
      <c r="G72" s="37">
        <f t="shared" si="234"/>
        <v>78000</v>
      </c>
      <c r="H72" s="138"/>
      <c r="I72" s="65"/>
      <c r="J72" s="37">
        <f t="shared" si="235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v>25</v>
      </c>
      <c r="DQ72" s="50">
        <v>8.2584</v>
      </c>
      <c r="DR72" s="49">
        <f t="shared" si="248"/>
        <v>0</v>
      </c>
      <c r="DS72" s="50">
        <v>51.348999999999997</v>
      </c>
      <c r="DT72" s="49">
        <f t="shared" si="260"/>
        <v>0</v>
      </c>
      <c r="EZ72" s="203">
        <f t="shared" si="236"/>
        <v>10774.39</v>
      </c>
      <c r="FA72" s="205">
        <f t="shared" si="237"/>
        <v>9774.39</v>
      </c>
      <c r="FB72" s="201">
        <f t="shared" si="238"/>
        <v>20548.78</v>
      </c>
      <c r="FC72" s="356">
        <f t="shared" si="239"/>
        <v>1296.42</v>
      </c>
      <c r="FD72" s="167">
        <f t="shared" si="240"/>
        <v>19252.36</v>
      </c>
      <c r="FE72" s="345"/>
      <c r="FF72" s="199">
        <v>0.5</v>
      </c>
      <c r="FG72" s="200">
        <f t="shared" si="259"/>
        <v>0.5</v>
      </c>
      <c r="FH72" s="345">
        <f t="shared" si="241"/>
        <v>648.21</v>
      </c>
      <c r="FI72" s="179">
        <f t="shared" si="241"/>
        <v>648.21</v>
      </c>
      <c r="FJ72" s="179">
        <f t="shared" si="242"/>
        <v>9626.18</v>
      </c>
      <c r="FK72" s="179">
        <f t="shared" si="243"/>
        <v>9626.18</v>
      </c>
      <c r="FL72" s="204">
        <f t="shared" si="244"/>
        <v>10274.39</v>
      </c>
      <c r="FM72" s="206">
        <f t="shared" si="244"/>
        <v>10274.39</v>
      </c>
      <c r="FN72" s="202">
        <f t="shared" si="245"/>
        <v>20548.78</v>
      </c>
      <c r="FQ72" s="217"/>
      <c r="FR72" s="345">
        <v>29</v>
      </c>
      <c r="FS72" s="385">
        <v>976.84</v>
      </c>
      <c r="FT72" s="345"/>
      <c r="FU72" s="222">
        <f t="shared" si="256"/>
        <v>5040.0000000000773</v>
      </c>
      <c r="FV72" s="345">
        <f t="shared" si="232"/>
        <v>2520.0000000000387</v>
      </c>
      <c r="FW72" s="345">
        <f t="shared" si="233"/>
        <v>2520.0000000000387</v>
      </c>
      <c r="IH72" s="345">
        <v>28</v>
      </c>
      <c r="II72" s="144">
        <f>DailyOct!BX34+DailyOct!BY34-DailyOct!BZ34-DailyOct!CA34-DailyOct!CB34-DailyOct!CC34-DailyOct!CD34-DailyOct!CF34-DailyOct!CE34</f>
        <v>-5.3114490583539009E-10</v>
      </c>
      <c r="IJ72" s="251">
        <v>1300</v>
      </c>
      <c r="IK72" s="345">
        <f t="shared" si="246"/>
        <v>325</v>
      </c>
      <c r="IL72" s="251">
        <v>325</v>
      </c>
    </row>
    <row r="73" spans="1:254" ht="15" customHeight="1" x14ac:dyDescent="0.25">
      <c r="A73" s="35">
        <v>28</v>
      </c>
      <c r="B73" s="138">
        <v>0.37280000000000002</v>
      </c>
      <c r="C73" s="65"/>
      <c r="D73" s="37">
        <f t="shared" si="247"/>
        <v>0</v>
      </c>
      <c r="E73" s="251">
        <v>38129</v>
      </c>
      <c r="F73" s="345"/>
      <c r="G73" s="37">
        <f t="shared" si="234"/>
        <v>100000</v>
      </c>
      <c r="H73" s="138"/>
      <c r="I73" s="65"/>
      <c r="J73" s="37">
        <f t="shared" si="235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v>26</v>
      </c>
      <c r="DQ73" s="50">
        <v>8.2584</v>
      </c>
      <c r="DR73" s="49">
        <f t="shared" si="248"/>
        <v>0</v>
      </c>
      <c r="DS73" s="50">
        <v>51.348999999999997</v>
      </c>
      <c r="DT73" s="49">
        <f t="shared" si="260"/>
        <v>0</v>
      </c>
      <c r="EZ73" s="203">
        <f t="shared" si="236"/>
        <v>12529.58</v>
      </c>
      <c r="FA73" s="205">
        <f t="shared" si="237"/>
        <v>11529.58</v>
      </c>
      <c r="FB73" s="201">
        <f t="shared" si="238"/>
        <v>24059.16</v>
      </c>
      <c r="FC73" s="356">
        <f t="shared" si="239"/>
        <v>1296.42</v>
      </c>
      <c r="FD73" s="167">
        <f t="shared" si="240"/>
        <v>22762.739999999998</v>
      </c>
      <c r="FE73" s="345"/>
      <c r="FF73" s="199">
        <v>0.5</v>
      </c>
      <c r="FG73" s="200">
        <f t="shared" si="259"/>
        <v>0.5</v>
      </c>
      <c r="FH73" s="345">
        <f t="shared" si="241"/>
        <v>648.21</v>
      </c>
      <c r="FI73" s="179">
        <f t="shared" si="241"/>
        <v>648.21</v>
      </c>
      <c r="FJ73" s="179">
        <f t="shared" si="242"/>
        <v>11381.369999999999</v>
      </c>
      <c r="FK73" s="179">
        <f t="shared" si="243"/>
        <v>11381.369999999999</v>
      </c>
      <c r="FL73" s="204">
        <f t="shared" si="244"/>
        <v>12029.579999999998</v>
      </c>
      <c r="FM73" s="206">
        <f t="shared" si="244"/>
        <v>12029.579999999998</v>
      </c>
      <c r="FN73" s="202">
        <f t="shared" si="245"/>
        <v>24059.159999999996</v>
      </c>
      <c r="FQ73" s="217"/>
      <c r="FR73" s="345">
        <v>30</v>
      </c>
      <c r="FS73" s="385">
        <v>979.46</v>
      </c>
      <c r="FT73" s="345"/>
      <c r="FU73" s="222">
        <f t="shared" ref="FU73:FU74" si="261">(FS73-FS72)*1000</f>
        <v>2620.0000000000045</v>
      </c>
      <c r="FV73" s="393">
        <f t="shared" ref="FV73" si="262">FU73/2</f>
        <v>1310.0000000000023</v>
      </c>
      <c r="FW73" s="393">
        <f t="shared" ref="FW73" si="263">FU73/2</f>
        <v>1310.0000000000023</v>
      </c>
      <c r="IH73" s="345">
        <v>29</v>
      </c>
      <c r="II73" s="144">
        <f>DailyOct!BX35+DailyOct!BY35-DailyOct!BZ35-DailyOct!CA35-DailyOct!CB35-DailyOct!CC35-DailyOct!CD35-DailyOct!CF35-DailyOct!CE35</f>
        <v>0</v>
      </c>
      <c r="IJ73" s="251">
        <v>-3900</v>
      </c>
      <c r="IK73" s="345">
        <f t="shared" si="246"/>
        <v>-975</v>
      </c>
      <c r="IL73" s="251">
        <v>-975</v>
      </c>
    </row>
    <row r="74" spans="1:254" ht="15" customHeight="1" x14ac:dyDescent="0.25">
      <c r="A74" s="35">
        <v>29</v>
      </c>
      <c r="B74" s="138">
        <v>0.37280000000000002</v>
      </c>
      <c r="C74" s="65"/>
      <c r="D74" s="37">
        <f t="shared" si="247"/>
        <v>0</v>
      </c>
      <c r="E74" s="251">
        <v>38243</v>
      </c>
      <c r="F74" s="345"/>
      <c r="G74" s="37">
        <f t="shared" si="234"/>
        <v>114000</v>
      </c>
      <c r="H74" s="138"/>
      <c r="I74" s="65"/>
      <c r="J74" s="37">
        <f t="shared" si="235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v>27</v>
      </c>
      <c r="DQ74" s="50">
        <v>8.2584</v>
      </c>
      <c r="DR74" s="49">
        <f t="shared" si="248"/>
        <v>0</v>
      </c>
      <c r="DS74" s="50">
        <v>51.348999999999997</v>
      </c>
      <c r="DT74" s="49">
        <f t="shared" si="260"/>
        <v>0</v>
      </c>
      <c r="EZ74" s="203">
        <f t="shared" si="236"/>
        <v>13205.3</v>
      </c>
      <c r="FA74" s="205">
        <f t="shared" si="237"/>
        <v>11205.3</v>
      </c>
      <c r="FB74" s="201">
        <f t="shared" si="238"/>
        <v>24410.6</v>
      </c>
      <c r="FC74" s="356">
        <f t="shared" si="239"/>
        <v>1296.42</v>
      </c>
      <c r="FD74" s="167">
        <f t="shared" si="240"/>
        <v>23114.18</v>
      </c>
      <c r="FE74" s="345"/>
      <c r="FF74" s="199">
        <v>0.7</v>
      </c>
      <c r="FG74" s="200">
        <f t="shared" si="259"/>
        <v>0.30000000000000004</v>
      </c>
      <c r="FH74" s="345">
        <f t="shared" si="241"/>
        <v>907.49400000000003</v>
      </c>
      <c r="FI74" s="179">
        <f t="shared" si="241"/>
        <v>388.9260000000001</v>
      </c>
      <c r="FJ74" s="179">
        <f t="shared" si="242"/>
        <v>16179.925999999999</v>
      </c>
      <c r="FK74" s="179">
        <f t="shared" si="243"/>
        <v>6934.2540000000008</v>
      </c>
      <c r="FL74" s="204">
        <f t="shared" si="244"/>
        <v>17087.419999999998</v>
      </c>
      <c r="FM74" s="206">
        <f t="shared" si="244"/>
        <v>7323.1800000000012</v>
      </c>
      <c r="FN74" s="202">
        <f t="shared" si="245"/>
        <v>24410.6</v>
      </c>
      <c r="FQ74" s="217"/>
      <c r="FR74" s="345">
        <v>31</v>
      </c>
      <c r="FS74" s="385">
        <v>981.95</v>
      </c>
      <c r="FT74" s="345"/>
      <c r="FU74" s="222">
        <f t="shared" si="261"/>
        <v>2490.0000000000091</v>
      </c>
      <c r="FV74" s="345">
        <f t="shared" si="232"/>
        <v>1245.0000000000045</v>
      </c>
      <c r="FW74" s="345">
        <f t="shared" si="233"/>
        <v>1245.0000000000045</v>
      </c>
      <c r="IH74" s="34">
        <v>30</v>
      </c>
      <c r="II74" s="144">
        <f>DailyOct!BX36+DailyOct!BY36-DailyOct!BZ36-DailyOct!CA36-DailyOct!CB36-DailyOct!CC36-DailyOct!CD36-DailyOct!CF36-DailyOct!CE36</f>
        <v>1.8189894035458565E-10</v>
      </c>
      <c r="IJ74" s="251">
        <v>300</v>
      </c>
      <c r="IK74" s="345">
        <f t="shared" si="246"/>
        <v>75</v>
      </c>
      <c r="IL74" s="251">
        <v>75</v>
      </c>
    </row>
    <row r="75" spans="1:254" ht="15" customHeight="1" x14ac:dyDescent="0.25">
      <c r="A75" s="35">
        <v>30</v>
      </c>
      <c r="B75" s="138">
        <v>0.37280000000000002</v>
      </c>
      <c r="C75" s="65"/>
      <c r="D75" s="37">
        <f t="shared" si="247"/>
        <v>0</v>
      </c>
      <c r="E75" s="251">
        <v>38345</v>
      </c>
      <c r="F75" s="345"/>
      <c r="G75" s="37">
        <f t="shared" si="234"/>
        <v>102000</v>
      </c>
      <c r="H75" s="138"/>
      <c r="I75" s="65"/>
      <c r="J75" s="37">
        <f t="shared" si="235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28</v>
      </c>
      <c r="DQ75" s="50">
        <v>8.2584</v>
      </c>
      <c r="DR75" s="49">
        <f t="shared" si="248"/>
        <v>0</v>
      </c>
      <c r="DS75" s="50">
        <v>51.348999999999997</v>
      </c>
      <c r="DT75" s="49">
        <f t="shared" si="260"/>
        <v>0</v>
      </c>
      <c r="EZ75" s="203">
        <f t="shared" si="236"/>
        <v>11534.99</v>
      </c>
      <c r="FA75" s="205">
        <f t="shared" ref="FA75" si="264">FP38</f>
        <v>9534.99</v>
      </c>
      <c r="FB75" s="201">
        <f t="shared" ref="FB75" si="265">EZ75+FA75</f>
        <v>21069.98</v>
      </c>
      <c r="FC75" s="356">
        <f t="shared" si="239"/>
        <v>1296.42</v>
      </c>
      <c r="FD75" s="167">
        <f t="shared" si="240"/>
        <v>19773.559999999998</v>
      </c>
      <c r="FE75" s="345"/>
      <c r="FF75" s="199">
        <v>1</v>
      </c>
      <c r="FG75" s="200">
        <f t="shared" si="259"/>
        <v>0</v>
      </c>
      <c r="FH75" s="345">
        <f t="shared" si="241"/>
        <v>1296.42</v>
      </c>
      <c r="FI75" s="179">
        <f t="shared" si="241"/>
        <v>0</v>
      </c>
      <c r="FJ75" s="179">
        <f t="shared" si="242"/>
        <v>19773.559999999998</v>
      </c>
      <c r="FK75" s="179">
        <f t="shared" si="243"/>
        <v>0</v>
      </c>
      <c r="FL75" s="204">
        <f t="shared" si="244"/>
        <v>21069.979999999996</v>
      </c>
      <c r="FM75" s="206">
        <f t="shared" si="244"/>
        <v>0</v>
      </c>
      <c r="FN75" s="202">
        <f t="shared" si="245"/>
        <v>21069.979999999996</v>
      </c>
      <c r="FQ75" s="217"/>
      <c r="FR75" s="345">
        <v>1</v>
      </c>
      <c r="FS75" s="251">
        <v>984.46</v>
      </c>
      <c r="FT75" s="397"/>
      <c r="FU75" s="397">
        <f>(FS75-FS74)*1000</f>
        <v>2509.9999999999909</v>
      </c>
      <c r="FV75" s="397">
        <f t="shared" si="232"/>
        <v>1254.9999999999955</v>
      </c>
      <c r="FW75" s="397">
        <f t="shared" si="233"/>
        <v>1254.9999999999955</v>
      </c>
      <c r="IH75" s="34">
        <v>1</v>
      </c>
      <c r="II75" s="144">
        <f>DailyOct!BX37+DailyOct!BY37-DailyOct!BZ37-DailyOct!CA37-DailyOct!CB37-DailyOct!CC37-DailyOct!CD37-DailyOct!CF37-DailyOct!CE37</f>
        <v>3.637978807091713E-10</v>
      </c>
      <c r="IJ75" s="251">
        <v>-400</v>
      </c>
      <c r="IK75" s="345">
        <f t="shared" si="246"/>
        <v>-100</v>
      </c>
      <c r="IL75" s="251">
        <v>-100</v>
      </c>
    </row>
    <row r="76" spans="1:254" ht="15" customHeight="1" x14ac:dyDescent="0.25">
      <c r="A76" s="35">
        <v>31</v>
      </c>
      <c r="B76" s="138">
        <v>0.37280000000000002</v>
      </c>
      <c r="C76" s="65"/>
      <c r="D76" s="37">
        <f t="shared" ref="D76" si="266">IF((B76-B75)&lt;=0,0,(B76-B75))*1000000</f>
        <v>0</v>
      </c>
      <c r="E76" s="251">
        <v>38438</v>
      </c>
      <c r="F76" s="356"/>
      <c r="G76" s="37">
        <f t="shared" ref="G76" si="267">IF((E76-E75)&lt;=0,0,(E76-E75))*1000</f>
        <v>93000</v>
      </c>
      <c r="H76" s="138"/>
      <c r="I76" s="65"/>
      <c r="J76" s="37">
        <f t="shared" ref="J76:J77" si="268">IF((H76-H75)&lt;=0,0,(H76-H75))*1000</f>
        <v>0</v>
      </c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28</v>
      </c>
      <c r="DQ76" s="50">
        <v>8.2584</v>
      </c>
      <c r="DR76" s="49">
        <f t="shared" ref="DR76" si="269">IF((DQ76-DQ75)&lt;=0,0,(DQ76-DQ75))*10000</f>
        <v>0</v>
      </c>
      <c r="DS76" s="50">
        <v>51.348999999999997</v>
      </c>
      <c r="DT76" s="49">
        <f t="shared" ref="DT76" si="270">IF((DS76-DS75)&lt;=0,0,(DS76-DS75))*1000</f>
        <v>0</v>
      </c>
      <c r="EZ76" s="167">
        <f>EZ39</f>
        <v>364164.19999999995</v>
      </c>
      <c r="FA76" s="167">
        <f t="shared" ref="FA76" si="271">FP39</f>
        <v>302164.19999999995</v>
      </c>
      <c r="FB76" s="167">
        <f t="shared" ref="FB76" si="272">EZ76+FA76</f>
        <v>666328.39999999991</v>
      </c>
      <c r="FC76" s="356"/>
      <c r="FD76" s="167">
        <f t="shared" ref="FD76" si="273">FB76-$FC$45</f>
        <v>665031.97999999986</v>
      </c>
      <c r="FE76" s="356"/>
      <c r="FF76" s="199"/>
      <c r="FG76" s="200"/>
      <c r="FH76" s="356"/>
      <c r="FI76" s="179"/>
      <c r="FJ76" s="179"/>
      <c r="FK76" s="179"/>
      <c r="FL76" s="204"/>
      <c r="FM76" s="206"/>
      <c r="FN76" s="202"/>
      <c r="FQ76" s="217"/>
      <c r="FR76" s="356"/>
      <c r="FS76" s="251"/>
      <c r="FT76" s="356"/>
      <c r="FU76" s="356"/>
      <c r="FV76" s="356">
        <f t="shared" ref="FV76" si="274">FU76/2</f>
        <v>0</v>
      </c>
      <c r="FW76" s="356">
        <f t="shared" ref="FW76" si="275">FU76/2</f>
        <v>0</v>
      </c>
      <c r="IH76" s="34">
        <v>1</v>
      </c>
      <c r="II76" s="144">
        <f>DailyOct!BX38+DailyOct!BY38-DailyOct!BZ38-DailyOct!CA38-DailyOct!CB38-DailyOct!CC38-DailyOct!CD38-DailyOct!CF38-DailyOct!CE38</f>
        <v>2.3283064365386963E-10</v>
      </c>
      <c r="IJ76" s="251"/>
      <c r="IK76" s="356">
        <f t="shared" ref="IK76" si="276">IJ76/4</f>
        <v>0</v>
      </c>
      <c r="IL76" s="251"/>
    </row>
    <row r="77" spans="1:254" ht="15.75" thickBot="1" x14ac:dyDescent="0.3">
      <c r="A77" s="157">
        <v>1</v>
      </c>
      <c r="B77" s="138">
        <v>0.37280000000000002</v>
      </c>
      <c r="C77" s="65"/>
      <c r="D77" s="37">
        <f t="shared" ref="D77" si="277">IF((B77-B76)&lt;=0,0,(B77-B76))*1000000</f>
        <v>0</v>
      </c>
      <c r="E77" s="251">
        <v>38521</v>
      </c>
      <c r="F77" s="345"/>
      <c r="G77" s="37">
        <f>IF((E77-E76)&lt;=0,0,(E77-E76))*1000</f>
        <v>83000</v>
      </c>
      <c r="H77" s="138"/>
      <c r="I77" s="65"/>
      <c r="J77" s="37">
        <f t="shared" si="268"/>
        <v>0</v>
      </c>
      <c r="L77" s="345">
        <v>31</v>
      </c>
      <c r="M77" s="59">
        <v>-2986.31</v>
      </c>
      <c r="N77" s="345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30</v>
      </c>
      <c r="DQ77" s="50">
        <v>8.2584</v>
      </c>
      <c r="DR77" s="49">
        <f t="shared" si="248"/>
        <v>0</v>
      </c>
      <c r="DS77" s="50">
        <v>51.348999999999997</v>
      </c>
      <c r="DT77" s="49">
        <f t="shared" si="260"/>
        <v>0</v>
      </c>
      <c r="EZ77" s="91"/>
    </row>
    <row r="78" spans="1:254" ht="15.75" thickBot="1" x14ac:dyDescent="0.3">
      <c r="B78" s="137"/>
      <c r="C78" s="55"/>
      <c r="D78" s="78">
        <f>SUM(D46:D75)</f>
        <v>0</v>
      </c>
      <c r="E78" s="345"/>
      <c r="F78" s="345"/>
      <c r="G78" s="167">
        <f>SUM(G46:G77)</f>
        <v>3182000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v>8.2584</v>
      </c>
      <c r="DR78" s="49">
        <f t="shared" si="248"/>
        <v>0</v>
      </c>
      <c r="DS78" s="50">
        <v>51.348999999999997</v>
      </c>
      <c r="DT78" s="49">
        <f t="shared" si="260"/>
        <v>0</v>
      </c>
      <c r="EZ78" s="91"/>
    </row>
    <row r="79" spans="1:254" ht="15.75" thickBot="1" x14ac:dyDescent="0.3">
      <c r="L79">
        <f>[13]Master!$AU$37</f>
        <v>681599</v>
      </c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0</v>
      </c>
      <c r="DS79" s="84"/>
      <c r="DT79" s="85">
        <f>SUMIF(DT47:DT78,"&gt;0")</f>
        <v>0</v>
      </c>
      <c r="EZ79" s="91"/>
    </row>
    <row r="80" spans="1:254" x14ac:dyDescent="0.25">
      <c r="B80" t="s">
        <v>197</v>
      </c>
      <c r="F80" s="299" t="s">
        <v>435</v>
      </c>
      <c r="G80" s="300"/>
      <c r="H80" s="300"/>
      <c r="I80" s="301"/>
      <c r="J80" s="317" t="s">
        <v>437</v>
      </c>
      <c r="K80" s="318"/>
      <c r="L80" s="319"/>
      <c r="M80" s="320"/>
      <c r="N80" s="317" t="s">
        <v>438</v>
      </c>
      <c r="O80" s="318"/>
      <c r="P80" s="319"/>
      <c r="Q80" s="320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B60</f>
        <v>0.37280000000000002</v>
      </c>
      <c r="F81" s="302" t="s">
        <v>173</v>
      </c>
      <c r="G81" s="303"/>
      <c r="H81" s="304">
        <f>E75</f>
        <v>38345</v>
      </c>
      <c r="I81" s="305"/>
      <c r="J81" s="321" t="s">
        <v>213</v>
      </c>
      <c r="K81" s="322"/>
      <c r="L81" s="323">
        <f>[13]Master!$AU$37</f>
        <v>681599</v>
      </c>
      <c r="M81" s="324"/>
      <c r="N81" s="321" t="s">
        <v>213</v>
      </c>
      <c r="O81" s="322"/>
      <c r="P81" s="323">
        <f>[11]Master!$BN$36</f>
        <v>86159</v>
      </c>
      <c r="Q81" s="3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f>0</f>
        <v>0</v>
      </c>
      <c r="F82" s="302" t="s">
        <v>174</v>
      </c>
      <c r="G82" s="303"/>
      <c r="H82" s="295">
        <f>Sep!E75</f>
        <v>35339</v>
      </c>
      <c r="I82" s="305"/>
      <c r="J82" s="321" t="s">
        <v>214</v>
      </c>
      <c r="K82" s="322"/>
      <c r="L82" s="323">
        <f>[13]Master!$AU$36</f>
        <v>680955</v>
      </c>
      <c r="M82" s="324"/>
      <c r="N82" s="321" t="s">
        <v>214</v>
      </c>
      <c r="O82" s="296"/>
      <c r="P82" s="323">
        <f>[8]Master!$BN$37</f>
        <v>70431</v>
      </c>
      <c r="Q82" s="3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(D81-D82)*1000000</f>
        <v>372800</v>
      </c>
      <c r="E83" t="s">
        <v>176</v>
      </c>
      <c r="F83" s="302" t="s">
        <v>175</v>
      </c>
      <c r="G83" s="303"/>
      <c r="H83" s="306">
        <f>(H81-H82)*1000</f>
        <v>3006000</v>
      </c>
      <c r="I83" s="305" t="s">
        <v>176</v>
      </c>
      <c r="J83" s="321" t="s">
        <v>452</v>
      </c>
      <c r="K83" s="322"/>
      <c r="L83" s="323">
        <v>-21</v>
      </c>
      <c r="M83" s="324" t="s">
        <v>215</v>
      </c>
      <c r="N83" s="321" t="s">
        <v>175</v>
      </c>
      <c r="O83" s="325"/>
      <c r="P83" s="326">
        <f>P81-P82</f>
        <v>15728</v>
      </c>
      <c r="Q83" s="3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F84" s="302"/>
      <c r="G84" s="303"/>
      <c r="H84" s="303"/>
      <c r="I84" s="305"/>
      <c r="J84" s="321" t="s">
        <v>213</v>
      </c>
      <c r="K84" s="322"/>
      <c r="L84" s="323">
        <f>+[14]Master!$AU$37</f>
        <v>18538</v>
      </c>
      <c r="M84" s="324"/>
      <c r="N84" s="302"/>
      <c r="O84" s="298"/>
      <c r="P84" s="298"/>
      <c r="Q84" s="3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F85" s="302"/>
      <c r="G85" s="303"/>
      <c r="H85" s="303"/>
      <c r="I85" s="305"/>
      <c r="J85" s="321" t="s">
        <v>175</v>
      </c>
      <c r="K85" s="325"/>
      <c r="L85" s="326">
        <f>L81-L82-L83+L84</f>
        <v>19203</v>
      </c>
      <c r="M85" s="324" t="s">
        <v>215</v>
      </c>
      <c r="N85" s="302"/>
      <c r="O85" s="303"/>
      <c r="P85" s="303"/>
      <c r="Q85" s="305"/>
    </row>
    <row r="86" spans="2:156" x14ac:dyDescent="0.25">
      <c r="F86" s="307"/>
      <c r="G86" s="308"/>
      <c r="H86" s="308"/>
      <c r="I86" s="309"/>
      <c r="J86" s="307"/>
      <c r="K86" s="308"/>
      <c r="L86" s="308"/>
      <c r="M86" s="309"/>
      <c r="N86" s="307"/>
      <c r="O86" s="308"/>
      <c r="P86" s="308"/>
      <c r="Q86" s="309"/>
    </row>
    <row r="88" spans="2:156" ht="61.5" x14ac:dyDescent="0.25">
      <c r="B88" s="24"/>
      <c r="C88" s="24"/>
      <c r="F88" s="523" t="s">
        <v>434</v>
      </c>
      <c r="G88" s="523"/>
      <c r="H88" s="523"/>
      <c r="I88" s="523"/>
      <c r="J88" s="523"/>
      <c r="K88" s="523"/>
      <c r="L88" s="523"/>
      <c r="M88" s="523"/>
      <c r="N88" s="523"/>
      <c r="O88" s="523"/>
      <c r="P88" s="523"/>
      <c r="Q88" s="523"/>
    </row>
  </sheetData>
  <customSheetViews>
    <customSheetView guid="{48545DB9-4D9D-4699-ACEC-DA6E2D3586A8}" fitToPage="1" hiddenColumns="1">
      <pane xSplit="1" ySplit="6" topLeftCell="HS28" activePane="bottomRight" state="frozen"/>
      <selection pane="bottomRight" activeCell="IA40" sqref="IA40"/>
      <pageMargins left="0.70866141732283472" right="0.70866141732283472" top="0.74803149606299213" bottom="0.74803149606299213" header="0.31496062992125984" footer="0.31496062992125984"/>
      <pageSetup scale="10" orientation="landscape" r:id="rId1"/>
    </customSheetView>
    <customSheetView guid="{32ABFE17-599B-4D0B-A1DB-D95B181877FC}" fitToPage="1" hiddenColumns="1">
      <pane xSplit="1" ySplit="6" topLeftCell="HQ20" activePane="bottomRight" state="frozen"/>
      <selection pane="bottomRight" activeCell="HZ38" sqref="HZ38"/>
      <pageMargins left="0.70866141732283472" right="0.70866141732283472" top="0.74803149606299213" bottom="0.74803149606299213" header="0.31496062992125984" footer="0.31496062992125984"/>
      <pageSetup scale="10" orientation="landscape" r:id="rId2"/>
    </customSheetView>
  </customSheetViews>
  <mergeCells count="161">
    <mergeCell ref="A3:A6"/>
    <mergeCell ref="B3:G4"/>
    <mergeCell ref="H3:N4"/>
    <mergeCell ref="O3:BD3"/>
    <mergeCell ref="BE3:BG3"/>
    <mergeCell ref="BH3:BJ3"/>
    <mergeCell ref="BK3:BP3"/>
    <mergeCell ref="HH3:KE3"/>
    <mergeCell ref="O4:AI4"/>
    <mergeCell ref="AK4:AK5"/>
    <mergeCell ref="AL4:BC4"/>
    <mergeCell ref="BD4:BD5"/>
    <mergeCell ref="BE4:BG5"/>
    <mergeCell ref="BK4:BL5"/>
    <mergeCell ref="DS3:DT5"/>
    <mergeCell ref="DU3:EC3"/>
    <mergeCell ref="EE3:EM3"/>
    <mergeCell ref="EO3:FD3"/>
    <mergeCell ref="FE3:FU3"/>
    <mergeCell ref="FV3:GG3"/>
    <mergeCell ref="EE4:EG4"/>
    <mergeCell ref="EH4:EJ4"/>
    <mergeCell ref="EK4:EM4"/>
    <mergeCell ref="FV4:FX4"/>
    <mergeCell ref="EX5:EZ5"/>
    <mergeCell ref="FB5:FC5"/>
    <mergeCell ref="FE5:FG5"/>
    <mergeCell ref="FH5:FJ5"/>
    <mergeCell ref="BQ3:BR5"/>
    <mergeCell ref="BS3:BT3"/>
    <mergeCell ref="BU3:DG4"/>
    <mergeCell ref="DH3:DH4"/>
    <mergeCell ref="DI3:DP5"/>
    <mergeCell ref="DQ3:DR5"/>
    <mergeCell ref="CG5:CH5"/>
    <mergeCell ref="DX4:DZ4"/>
    <mergeCell ref="EA4:EC4"/>
    <mergeCell ref="BU5:BX5"/>
    <mergeCell ref="BY5:CB5"/>
    <mergeCell ref="CC5:CD5"/>
    <mergeCell ref="CE5:CF5"/>
    <mergeCell ref="IV4:JM4"/>
    <mergeCell ref="JN4:KE4"/>
    <mergeCell ref="HH4:HJ4"/>
    <mergeCell ref="HK4:HM4"/>
    <mergeCell ref="HN4:IH4"/>
    <mergeCell ref="II4:II5"/>
    <mergeCell ref="HN5:HP5"/>
    <mergeCell ref="HQ5:HS5"/>
    <mergeCell ref="HT5:HV5"/>
    <mergeCell ref="HW5:HY5"/>
    <mergeCell ref="IJ5:IL5"/>
    <mergeCell ref="IM5:IO5"/>
    <mergeCell ref="IP5:IR5"/>
    <mergeCell ref="KC5:KE5"/>
    <mergeCell ref="JN5:JP5"/>
    <mergeCell ref="JQ5:JS5"/>
    <mergeCell ref="JT5:JV5"/>
    <mergeCell ref="JW5:JY5"/>
    <mergeCell ref="JZ5:KB5"/>
    <mergeCell ref="JK5:JM5"/>
    <mergeCell ref="IS5:IU5"/>
    <mergeCell ref="IV5:IX5"/>
    <mergeCell ref="IY5:JA5"/>
    <mergeCell ref="JB5:JD5"/>
    <mergeCell ref="B5:D5"/>
    <mergeCell ref="E5:F5"/>
    <mergeCell ref="H5:K5"/>
    <mergeCell ref="L5:N5"/>
    <mergeCell ref="O5:Q5"/>
    <mergeCell ref="S5:T5"/>
    <mergeCell ref="U5:V5"/>
    <mergeCell ref="FY4:GG4"/>
    <mergeCell ref="HG4:HG6"/>
    <mergeCell ref="BM4:BN5"/>
    <mergeCell ref="BO4:BP5"/>
    <mergeCell ref="BS4:BT4"/>
    <mergeCell ref="DU4:DW4"/>
    <mergeCell ref="AP5:AS5"/>
    <mergeCell ref="AT5:AU5"/>
    <mergeCell ref="AV5:AW5"/>
    <mergeCell ref="AX5:AZ5"/>
    <mergeCell ref="BA5:BC5"/>
    <mergeCell ref="BS5:BT5"/>
    <mergeCell ref="W5:X5"/>
    <mergeCell ref="Y5:Z5"/>
    <mergeCell ref="AA5:AB5"/>
    <mergeCell ref="AC5:AF5"/>
    <mergeCell ref="AG5:AJ5"/>
    <mergeCell ref="AL5:AO5"/>
    <mergeCell ref="EE5:EG5"/>
    <mergeCell ref="EH5:EJ5"/>
    <mergeCell ref="EK5:EM5"/>
    <mergeCell ref="EO5:EQ5"/>
    <mergeCell ref="ER5:ET5"/>
    <mergeCell ref="EU5:EW5"/>
    <mergeCell ref="CU5:CX5"/>
    <mergeCell ref="CY5:DB5"/>
    <mergeCell ref="DC5:DF5"/>
    <mergeCell ref="DU5:DW5"/>
    <mergeCell ref="DX5:DZ5"/>
    <mergeCell ref="EA5:EC5"/>
    <mergeCell ref="CI5:CL5"/>
    <mergeCell ref="CQ5:CT5"/>
    <mergeCell ref="JE5:JG5"/>
    <mergeCell ref="JH5:JJ5"/>
    <mergeCell ref="HZ5:IB5"/>
    <mergeCell ref="IC5:IE5"/>
    <mergeCell ref="IF5:IH5"/>
    <mergeCell ref="GZ8:HC33"/>
    <mergeCell ref="BU41:BW41"/>
    <mergeCell ref="BY41:CA41"/>
    <mergeCell ref="DU41:DW41"/>
    <mergeCell ref="DX41:DZ41"/>
    <mergeCell ref="EA41:EC41"/>
    <mergeCell ref="EO41:EQ41"/>
    <mergeCell ref="ER41:ET41"/>
    <mergeCell ref="EU41:EZ41"/>
    <mergeCell ref="FE41:FG41"/>
    <mergeCell ref="FN5:FP5"/>
    <mergeCell ref="FQ5:FS5"/>
    <mergeCell ref="GT1:GT6"/>
    <mergeCell ref="HF1:HF6"/>
    <mergeCell ref="GP2:GQ2"/>
    <mergeCell ref="GH3:GM3"/>
    <mergeCell ref="GN3:GP3"/>
    <mergeCell ref="GQ3:GS3"/>
    <mergeCell ref="IJ4:IU4"/>
    <mergeCell ref="FV6:FX6"/>
    <mergeCell ref="FY6:GA6"/>
    <mergeCell ref="GB6:GD6"/>
    <mergeCell ref="GE6:GG6"/>
    <mergeCell ref="GH6:GJ6"/>
    <mergeCell ref="GK6:GM6"/>
    <mergeCell ref="GU6:GX6"/>
    <mergeCell ref="GY6:HB6"/>
    <mergeCell ref="IO42:IT67"/>
    <mergeCell ref="FH41:FJ41"/>
    <mergeCell ref="FO41:FQ41"/>
    <mergeCell ref="DQ42:DT42"/>
    <mergeCell ref="FF42:FG43"/>
    <mergeCell ref="FH42:FI43"/>
    <mergeCell ref="FJ42:FK43"/>
    <mergeCell ref="FL42:FM43"/>
    <mergeCell ref="FN42:FN44"/>
    <mergeCell ref="FO42:FQ44"/>
    <mergeCell ref="AP48:AS48"/>
    <mergeCell ref="EE48:EG48"/>
    <mergeCell ref="EH48:EJ48"/>
    <mergeCell ref="EK48:EM48"/>
    <mergeCell ref="EV48:EW48"/>
    <mergeCell ref="F88:Q88"/>
    <mergeCell ref="FR42:FR43"/>
    <mergeCell ref="FS42:FU42"/>
    <mergeCell ref="IH42:IL42"/>
    <mergeCell ref="DQ43:DR45"/>
    <mergeCell ref="DS43:DT45"/>
    <mergeCell ref="EZ43:EZ44"/>
    <mergeCell ref="FA43:FA44"/>
    <mergeCell ref="FB43:FB44"/>
    <mergeCell ref="EW45:EX45"/>
  </mergeCells>
  <conditionalFormatting sqref="G45:G77">
    <cfRule type="cellIs" dxfId="1" priority="1" operator="greaterThan">
      <formula>100000</formula>
    </cfRule>
  </conditionalFormatting>
  <hyperlinks>
    <hyperlink ref="BH2" location="Oct!EO3" display="PM 16"/>
    <hyperlink ref="EN2" location="Oct!BE3" display="BOILER &amp; IPAL"/>
    <hyperlink ref="H1" location="Oct!DQ3" display="CVT"/>
    <hyperlink ref="GU3" location="Oct!HH3" display="Go to SUN 2"/>
    <hyperlink ref="IE42" location="Oct!GU3" display="Oct!GU3"/>
    <hyperlink ref="DW1" location="Oct!B79" display="GO TO SYNERGY"/>
    <hyperlink ref="F1" location="Oct!DU3" display="Oct!DU3"/>
    <hyperlink ref="FF2" location="Oct!FX70" display="go to Kompressor"/>
    <hyperlink ref="FS41" location="Oct!FE4" display="back to PM 17"/>
    <hyperlink ref="ID2" location="Oct!IP78" display="GO TO ADJUST SUN2"/>
  </hyperlinks>
  <pageMargins left="0.70866141732283472" right="0.70866141732283472" top="0.74803149606299213" bottom="0.74803149606299213" header="0.31496062992125984" footer="0.31496062992125984"/>
  <pageSetup scale="10" orientation="landscape" r:id="rId3"/>
  <legacyDrawing r:id="rId4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CI86"/>
  <sheetViews>
    <sheetView tabSelected="1" zoomScaleNormal="100" workbookViewId="0">
      <pane xSplit="1" ySplit="6" topLeftCell="AY32" activePane="bottomRight" state="frozen"/>
      <selection pane="topRight" activeCell="B1" sqref="B1"/>
      <selection pane="bottomLeft" activeCell="A7" sqref="A7"/>
      <selection pane="bottomRight" activeCell="BQ41" sqref="BQ41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5" width="10.7109375" hidden="1" customWidth="1"/>
    <col min="6" max="6" width="11.28515625" hidden="1" customWidth="1"/>
    <col min="7" max="7" width="13" hidden="1" customWidth="1"/>
    <col min="8" max="8" width="12.28515625" hidden="1" customWidth="1"/>
    <col min="9" max="9" width="14.28515625" hidden="1" customWidth="1"/>
    <col min="10" max="11" width="12.28515625" hidden="1" customWidth="1"/>
    <col min="12" max="12" width="13.5703125" hidden="1" customWidth="1"/>
    <col min="13" max="13" width="11.28515625" hidden="1" customWidth="1"/>
    <col min="14" max="14" width="13.85546875" bestFit="1" customWidth="1"/>
    <col min="15" max="16" width="11.28515625" hidden="1" customWidth="1"/>
    <col min="17" max="17" width="11.5703125" hidden="1" customWidth="1"/>
    <col min="18" max="18" width="10.5703125" hidden="1" customWidth="1"/>
    <col min="19" max="19" width="12.28515625" hidden="1" customWidth="1"/>
    <col min="20" max="20" width="13" hidden="1" customWidth="1"/>
    <col min="21" max="21" width="12.28515625" hidden="1" customWidth="1"/>
    <col min="22" max="22" width="13.28515625" bestFit="1" customWidth="1"/>
    <col min="23" max="24" width="11.5703125" hidden="1" customWidth="1"/>
    <col min="25" max="25" width="11.28515625" hidden="1" customWidth="1"/>
    <col min="26" max="26" width="10.7109375" hidden="1" customWidth="1"/>
    <col min="27" max="27" width="10.5703125" hidden="1" customWidth="1"/>
    <col min="28" max="28" width="11.5703125" hidden="1" customWidth="1"/>
    <col min="29" max="29" width="12" hidden="1" customWidth="1"/>
    <col min="30" max="30" width="17.85546875" hidden="1" customWidth="1"/>
    <col min="31" max="31" width="12.7109375" hidden="1" customWidth="1"/>
    <col min="32" max="32" width="10.42578125" hidden="1" customWidth="1"/>
    <col min="33" max="33" width="22.140625" hidden="1" customWidth="1"/>
    <col min="34" max="34" width="10.85546875" hidden="1" customWidth="1"/>
    <col min="35" max="35" width="11.28515625" hidden="1" customWidth="1"/>
    <col min="36" max="36" width="13.425781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1.28515625" hidden="1" customWidth="1"/>
    <col min="41" max="41" width="13.28515625" bestFit="1" customWidth="1"/>
    <col min="42" max="44" width="12.28515625" hidden="1" customWidth="1"/>
    <col min="45" max="45" width="13.28515625" hidden="1" customWidth="1"/>
    <col min="46" max="47" width="12.28515625" hidden="1" customWidth="1"/>
    <col min="48" max="48" width="12" hidden="1" customWidth="1"/>
    <col min="49" max="49" width="12.28515625" hidden="1" customWidth="1"/>
    <col min="50" max="50" width="11.28515625" hidden="1" customWidth="1"/>
    <col min="51" max="51" width="13.28515625" bestFit="1" customWidth="1"/>
    <col min="52" max="52" width="13" hidden="1" customWidth="1"/>
    <col min="53" max="54" width="12.28515625" hidden="1" customWidth="1"/>
    <col min="55" max="55" width="11.28515625" hidden="1" customWidth="1"/>
    <col min="56" max="56" width="12.42578125" bestFit="1" customWidth="1"/>
    <col min="57" max="59" width="12.42578125" hidden="1" customWidth="1"/>
    <col min="60" max="60" width="12.28515625" bestFit="1" customWidth="1"/>
    <col min="61" max="63" width="10.7109375" customWidth="1"/>
    <col min="64" max="64" width="13.28515625" bestFit="1" customWidth="1"/>
    <col min="65" max="65" width="12.28515625" bestFit="1" customWidth="1"/>
    <col min="66" max="66" width="10.7109375" customWidth="1"/>
    <col min="67" max="67" width="11.28515625" bestFit="1" customWidth="1"/>
    <col min="68" max="72" width="10.7109375" customWidth="1"/>
    <col min="73" max="73" width="14.42578125" bestFit="1" customWidth="1"/>
    <col min="74" max="74" width="58.42578125" customWidth="1"/>
    <col min="75" max="75" width="16.140625" customWidth="1"/>
    <col min="76" max="76" width="12.28515625" bestFit="1" customWidth="1"/>
    <col min="77" max="77" width="9.5703125" bestFit="1" customWidth="1"/>
    <col min="78" max="78" width="11.7109375" bestFit="1" customWidth="1"/>
    <col min="79" max="82" width="11.28515625" bestFit="1" customWidth="1"/>
    <col min="83" max="83" width="7.28515625" bestFit="1" customWidth="1"/>
    <col min="84" max="84" width="12.85546875" bestFit="1" customWidth="1"/>
    <col min="85" max="89" width="9.140625" customWidth="1"/>
  </cols>
  <sheetData>
    <row r="1" spans="1:84" x14ac:dyDescent="0.25">
      <c r="H1" s="262">
        <f>DailyOct!B8-DailyOct!N8-DailyOct!V8-DailyOct!Y8-DailyOct!Z8-DailyOct!AA8-DailyOct!AB8-DailyOct!AC8-DailyOct!AD8-DailyOct!AE8-DailyOct!AK8-DailyOct!AO8-DailyOct!AS8-DailyOct!AY8-DailyOct!BD8+DailyOct!BU8-DailyOct!BG8-DailyOct!BT8-DailyOct!AF8-DailyOct!AG8</f>
        <v>-4.999998229322955E-2</v>
      </c>
    </row>
    <row r="2" spans="1:84" ht="26.25" x14ac:dyDescent="0.4">
      <c r="A2" s="499" t="s">
        <v>390</v>
      </c>
      <c r="B2" s="499"/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499"/>
      <c r="O2" s="499"/>
      <c r="P2" s="499"/>
      <c r="Q2" s="499"/>
      <c r="R2" s="499"/>
      <c r="S2" s="499"/>
      <c r="T2" s="499"/>
      <c r="U2" s="499"/>
      <c r="V2" s="499"/>
      <c r="W2" s="499"/>
      <c r="X2" s="499"/>
      <c r="Y2" s="499"/>
      <c r="Z2" s="499"/>
      <c r="AA2" s="499"/>
      <c r="AB2" s="499"/>
      <c r="AC2" s="499"/>
      <c r="AD2" s="499"/>
      <c r="AE2" s="499"/>
      <c r="AF2" s="499"/>
      <c r="AG2" s="499"/>
      <c r="AH2" s="499"/>
      <c r="AI2" s="499"/>
      <c r="AJ2" s="499"/>
      <c r="AK2" s="499"/>
      <c r="AL2" s="499"/>
      <c r="AM2" s="499"/>
      <c r="AN2" s="499"/>
      <c r="AO2" s="499"/>
      <c r="AP2" s="499"/>
      <c r="AQ2" s="499"/>
      <c r="AR2" s="499"/>
      <c r="AS2" s="499"/>
      <c r="AT2" s="499"/>
      <c r="AU2" s="499"/>
      <c r="AV2" s="499"/>
      <c r="AW2" s="499"/>
      <c r="AX2" s="499"/>
      <c r="AY2" s="499"/>
      <c r="AZ2" s="499"/>
      <c r="BA2" s="499"/>
      <c r="BB2" s="499"/>
      <c r="BC2" s="499"/>
      <c r="BD2" s="499"/>
      <c r="BE2" s="499"/>
      <c r="BF2" s="499"/>
      <c r="BG2" s="499"/>
      <c r="BH2" s="499"/>
      <c r="BI2" s="499"/>
      <c r="BJ2" s="499"/>
      <c r="BK2" s="499"/>
      <c r="BL2" s="499"/>
      <c r="BM2" s="499"/>
      <c r="BN2" s="499"/>
      <c r="BO2" s="499"/>
      <c r="BP2" s="499"/>
      <c r="BQ2" s="499"/>
      <c r="BR2" s="499"/>
      <c r="BS2" s="499"/>
      <c r="BT2" s="499"/>
      <c r="BU2" s="499"/>
    </row>
    <row r="4" spans="1:84" ht="15" customHeight="1" x14ac:dyDescent="0.25">
      <c r="A4" s="448" t="s">
        <v>1</v>
      </c>
      <c r="B4" s="455" t="s">
        <v>118</v>
      </c>
      <c r="C4" s="455" t="s">
        <v>119</v>
      </c>
      <c r="D4" s="465" t="s">
        <v>4</v>
      </c>
      <c r="E4" s="466"/>
      <c r="F4" s="466"/>
      <c r="G4" s="466"/>
      <c r="H4" s="466"/>
      <c r="I4" s="466"/>
      <c r="J4" s="466"/>
      <c r="K4" s="466"/>
      <c r="L4" s="466"/>
      <c r="M4" s="467"/>
      <c r="N4" s="468" t="s">
        <v>120</v>
      </c>
      <c r="O4" s="110"/>
      <c r="P4" s="110"/>
      <c r="Q4" s="110"/>
      <c r="R4" s="110"/>
      <c r="S4" s="110" t="s">
        <v>121</v>
      </c>
      <c r="T4" s="110"/>
      <c r="U4" s="110"/>
      <c r="V4" s="476" t="s">
        <v>121</v>
      </c>
      <c r="W4" s="460" t="s">
        <v>122</v>
      </c>
      <c r="X4" s="460"/>
      <c r="Y4" s="459" t="s">
        <v>123</v>
      </c>
      <c r="Z4" s="461" t="s">
        <v>124</v>
      </c>
      <c r="AA4" s="462" t="s">
        <v>125</v>
      </c>
      <c r="AB4" s="463" t="s">
        <v>126</v>
      </c>
      <c r="AC4" s="456" t="s">
        <v>127</v>
      </c>
      <c r="AD4" s="457" t="s">
        <v>200</v>
      </c>
      <c r="AE4" s="457" t="s">
        <v>223</v>
      </c>
      <c r="AF4" s="457" t="s">
        <v>248</v>
      </c>
      <c r="AG4" s="457" t="s">
        <v>249</v>
      </c>
      <c r="AH4" s="458" t="s">
        <v>128</v>
      </c>
      <c r="AI4" s="458"/>
      <c r="AJ4" s="458"/>
      <c r="AK4" s="454" t="s">
        <v>129</v>
      </c>
      <c r="AL4" s="454" t="s">
        <v>130</v>
      </c>
      <c r="AM4" s="454"/>
      <c r="AN4" s="454"/>
      <c r="AO4" s="454" t="s">
        <v>14</v>
      </c>
      <c r="AP4" s="459" t="s">
        <v>131</v>
      </c>
      <c r="AQ4" s="459"/>
      <c r="AR4" s="459"/>
      <c r="AS4" s="459" t="s">
        <v>17</v>
      </c>
      <c r="AT4" s="453" t="s">
        <v>132</v>
      </c>
      <c r="AU4" s="453"/>
      <c r="AV4" s="453"/>
      <c r="AW4" s="453"/>
      <c r="AX4" s="340"/>
      <c r="AY4" s="453" t="s">
        <v>15</v>
      </c>
      <c r="AZ4" s="453" t="s">
        <v>133</v>
      </c>
      <c r="BA4" s="453"/>
      <c r="BB4" s="453"/>
      <c r="BC4" s="340"/>
      <c r="BD4" s="453" t="s">
        <v>16</v>
      </c>
      <c r="BE4" s="505" t="s">
        <v>19</v>
      </c>
      <c r="BF4" s="506"/>
      <c r="BG4" s="459" t="s">
        <v>19</v>
      </c>
      <c r="BH4" s="477" t="s">
        <v>201</v>
      </c>
      <c r="BI4" s="478"/>
      <c r="BJ4" s="478"/>
      <c r="BK4" s="479"/>
      <c r="BL4" s="483" t="s">
        <v>134</v>
      </c>
      <c r="BM4" s="483"/>
      <c r="BN4" s="483"/>
      <c r="BO4" s="483"/>
      <c r="BP4" s="501" t="s">
        <v>335</v>
      </c>
      <c r="BQ4" s="501"/>
      <c r="BR4" s="501"/>
      <c r="BS4" s="502"/>
      <c r="BT4" s="455" t="s">
        <v>293</v>
      </c>
      <c r="BU4" s="455" t="s">
        <v>190</v>
      </c>
      <c r="BX4" s="455" t="s">
        <v>278</v>
      </c>
      <c r="BY4" s="455" t="s">
        <v>279</v>
      </c>
      <c r="BZ4" s="455" t="s">
        <v>204</v>
      </c>
      <c r="CA4" s="455" t="s">
        <v>260</v>
      </c>
      <c r="CB4" s="455" t="s">
        <v>261</v>
      </c>
      <c r="CC4" s="455" t="s">
        <v>318</v>
      </c>
      <c r="CD4" s="511" t="s">
        <v>346</v>
      </c>
      <c r="CE4" s="511" t="s">
        <v>357</v>
      </c>
      <c r="CF4" s="455" t="s">
        <v>280</v>
      </c>
    </row>
    <row r="5" spans="1:84" x14ac:dyDescent="0.25">
      <c r="A5" s="448"/>
      <c r="B5" s="455"/>
      <c r="C5" s="455"/>
      <c r="D5" s="471" t="s">
        <v>135</v>
      </c>
      <c r="E5" s="472"/>
      <c r="F5" s="472"/>
      <c r="G5" s="472"/>
      <c r="H5" s="472"/>
      <c r="I5" s="473"/>
      <c r="J5" s="474" t="s">
        <v>136</v>
      </c>
      <c r="K5" s="475"/>
      <c r="L5" s="474" t="s">
        <v>55</v>
      </c>
      <c r="M5" s="475"/>
      <c r="N5" s="469"/>
      <c r="O5" s="110"/>
      <c r="P5" s="110"/>
      <c r="Q5" s="110"/>
      <c r="R5" s="110"/>
      <c r="S5" s="110"/>
      <c r="T5" s="110"/>
      <c r="U5" s="110"/>
      <c r="V5" s="476"/>
      <c r="W5" s="460"/>
      <c r="X5" s="460"/>
      <c r="Y5" s="459"/>
      <c r="Z5" s="461"/>
      <c r="AA5" s="462"/>
      <c r="AB5" s="463"/>
      <c r="AC5" s="456"/>
      <c r="AD5" s="457"/>
      <c r="AE5" s="457"/>
      <c r="AF5" s="457"/>
      <c r="AG5" s="457"/>
      <c r="AH5" s="342"/>
      <c r="AI5" s="342"/>
      <c r="AJ5" s="342"/>
      <c r="AK5" s="454"/>
      <c r="AL5" s="341"/>
      <c r="AM5" s="341"/>
      <c r="AN5" s="341"/>
      <c r="AO5" s="454"/>
      <c r="AP5" s="343"/>
      <c r="AQ5" s="343"/>
      <c r="AR5" s="343"/>
      <c r="AS5" s="459"/>
      <c r="AT5" s="340"/>
      <c r="AU5" s="340"/>
      <c r="AV5" s="340"/>
      <c r="AW5" s="340"/>
      <c r="AX5" s="340"/>
      <c r="AY5" s="453"/>
      <c r="AZ5" s="340"/>
      <c r="BA5" s="340"/>
      <c r="BB5" s="340"/>
      <c r="BC5" s="340"/>
      <c r="BD5" s="453"/>
      <c r="BE5" s="218"/>
      <c r="BF5" s="218"/>
      <c r="BG5" s="459"/>
      <c r="BH5" s="480"/>
      <c r="BI5" s="481"/>
      <c r="BJ5" s="481"/>
      <c r="BK5" s="482"/>
      <c r="BL5" s="483"/>
      <c r="BM5" s="483"/>
      <c r="BN5" s="483"/>
      <c r="BO5" s="483"/>
      <c r="BP5" s="503"/>
      <c r="BQ5" s="503"/>
      <c r="BR5" s="503"/>
      <c r="BS5" s="504"/>
      <c r="BT5" s="455"/>
      <c r="BU5" s="455"/>
      <c r="BX5" s="455"/>
      <c r="BY5" s="455"/>
      <c r="BZ5" s="455"/>
      <c r="CA5" s="455"/>
      <c r="CB5" s="455"/>
      <c r="CC5" s="455"/>
      <c r="CD5" s="512"/>
      <c r="CE5" s="512"/>
      <c r="CF5" s="455"/>
    </row>
    <row r="6" spans="1:84" ht="60" x14ac:dyDescent="0.25">
      <c r="A6" s="448"/>
      <c r="B6" s="455"/>
      <c r="C6" s="455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70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76"/>
      <c r="W6" s="120" t="s">
        <v>62</v>
      </c>
      <c r="X6" s="121" t="s">
        <v>63</v>
      </c>
      <c r="Y6" s="459"/>
      <c r="Z6" s="461"/>
      <c r="AA6" s="462"/>
      <c r="AB6" s="463"/>
      <c r="AC6" s="456"/>
      <c r="AD6" s="457"/>
      <c r="AE6" s="457"/>
      <c r="AF6" s="457"/>
      <c r="AG6" s="457"/>
      <c r="AH6" s="342" t="s">
        <v>66</v>
      </c>
      <c r="AI6" s="342" t="s">
        <v>67</v>
      </c>
      <c r="AJ6" s="342" t="s">
        <v>147</v>
      </c>
      <c r="AK6" s="454"/>
      <c r="AL6" s="122" t="s">
        <v>148</v>
      </c>
      <c r="AM6" s="122" t="s">
        <v>149</v>
      </c>
      <c r="AN6" s="122" t="s">
        <v>150</v>
      </c>
      <c r="AO6" s="454"/>
      <c r="AP6" s="343" t="s">
        <v>99</v>
      </c>
      <c r="AQ6" s="343" t="s">
        <v>100</v>
      </c>
      <c r="AR6" s="343" t="s">
        <v>151</v>
      </c>
      <c r="AS6" s="459"/>
      <c r="AT6" s="340" t="s">
        <v>152</v>
      </c>
      <c r="AU6" s="340" t="s">
        <v>153</v>
      </c>
      <c r="AV6" s="340" t="s">
        <v>154</v>
      </c>
      <c r="AW6" s="340" t="s">
        <v>155</v>
      </c>
      <c r="AX6" s="340" t="s">
        <v>156</v>
      </c>
      <c r="AY6" s="453"/>
      <c r="AZ6" s="340" t="s">
        <v>152</v>
      </c>
      <c r="BA6" s="340" t="s">
        <v>153</v>
      </c>
      <c r="BB6" s="340" t="s">
        <v>155</v>
      </c>
      <c r="BC6" s="340" t="s">
        <v>151</v>
      </c>
      <c r="BD6" s="453"/>
      <c r="BE6" s="343" t="s">
        <v>202</v>
      </c>
      <c r="BF6" s="343" t="s">
        <v>330</v>
      </c>
      <c r="BG6" s="459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455"/>
      <c r="BU6" s="455"/>
      <c r="BX6" s="455"/>
      <c r="BY6" s="455"/>
      <c r="BZ6" s="455"/>
      <c r="CA6" s="455"/>
      <c r="CB6" s="455"/>
      <c r="CC6" s="455"/>
      <c r="CD6" s="513"/>
      <c r="CE6" s="513"/>
      <c r="CF6" s="455"/>
    </row>
    <row r="7" spans="1:84" x14ac:dyDescent="0.25">
      <c r="A7" s="346">
        <v>1</v>
      </c>
      <c r="B7" s="42">
        <f>Oct!G8</f>
        <v>249599.99999999127</v>
      </c>
      <c r="C7" s="42">
        <f>Oct!N8</f>
        <v>251000</v>
      </c>
      <c r="D7" s="42">
        <f>Oct!T8</f>
        <v>98.21000000089407</v>
      </c>
      <c r="E7" s="42">
        <f>Oct!V8</f>
        <v>0</v>
      </c>
      <c r="F7" s="42">
        <f>Oct!AB8</f>
        <v>690</v>
      </c>
      <c r="G7" s="42">
        <f>Oct!X8</f>
        <v>7211.7899999991059</v>
      </c>
      <c r="H7" s="42">
        <f>Oct!AE8</f>
        <v>3300.0000000001819</v>
      </c>
      <c r="I7" s="42">
        <f>Oct!AI8</f>
        <v>9168.6500000007272</v>
      </c>
      <c r="J7" s="42">
        <f>Oct!AN8</f>
        <v>4938.6499999993039</v>
      </c>
      <c r="K7" s="42">
        <f>Oct!AR8</f>
        <v>3899.9999999996362</v>
      </c>
      <c r="L7" s="42">
        <f>Oct!AZ8</f>
        <v>269</v>
      </c>
      <c r="M7" s="42">
        <f>Oct!BC8</f>
        <v>233</v>
      </c>
      <c r="N7" s="125">
        <f t="shared" ref="N7" si="0">SUM(D7:M7)</f>
        <v>29809.29999999985</v>
      </c>
      <c r="O7" s="125">
        <f>Oct!CA8</f>
        <v>158.90000000001692</v>
      </c>
      <c r="P7" s="125">
        <f>Oct!CD8</f>
        <v>2.3000000000465661</v>
      </c>
      <c r="Q7" s="125">
        <f>Oct!CF8</f>
        <v>45</v>
      </c>
      <c r="R7" s="125">
        <f>Oct!CH8</f>
        <v>3</v>
      </c>
      <c r="S7" s="125">
        <f>Oct!CK8</f>
        <v>4939.7499999991824</v>
      </c>
      <c r="T7" s="125">
        <f>Oct!CO8</f>
        <v>1970.649999999498</v>
      </c>
      <c r="U7" s="125">
        <f>Oct!CS8</f>
        <v>2244.65</v>
      </c>
      <c r="V7" s="126">
        <f>SUM(O7:U7)</f>
        <v>9364.2499999987431</v>
      </c>
      <c r="W7" s="126">
        <f>Oct!CW8</f>
        <v>494</v>
      </c>
      <c r="X7" s="126">
        <f>Oct!DA8</f>
        <v>166</v>
      </c>
      <c r="Y7" s="126">
        <f t="shared" ref="Y7:Y36" si="1">W7+X7</f>
        <v>660</v>
      </c>
      <c r="Z7" s="42">
        <f>Oct!BR8</f>
        <v>779.99999999997272</v>
      </c>
      <c r="AA7" s="126">
        <f>Oct!BG8</f>
        <v>1199.9999999998181</v>
      </c>
      <c r="AB7" s="126">
        <f>Oct!BJ8</f>
        <v>9000</v>
      </c>
      <c r="AC7" s="126">
        <f>Oct!BL8+Oct!BN8</f>
        <v>5049.9999999999955</v>
      </c>
      <c r="AD7" s="126">
        <f>Oct!DR8</f>
        <v>9000</v>
      </c>
      <c r="AE7" s="127">
        <f>Oct!DT8-Oct!DR48-Oct!DT48</f>
        <v>22800</v>
      </c>
      <c r="AF7" s="127">
        <f>Oct!DR48+Oct!DT48</f>
        <v>0</v>
      </c>
      <c r="AG7" s="127">
        <f>Oct!HJ8-AE7</f>
        <v>137200</v>
      </c>
      <c r="AH7" s="127">
        <f>Oct!DW8</f>
        <v>2500</v>
      </c>
      <c r="AI7" s="127">
        <f>Oct!DZ8</f>
        <v>4968.6499999999996</v>
      </c>
      <c r="AJ7" s="127">
        <f>Oct!EC8</f>
        <v>17128.650000000001</v>
      </c>
      <c r="AK7" s="127">
        <f>SUM(AH7:AJ7)</f>
        <v>24597.300000000003</v>
      </c>
      <c r="AL7" s="127">
        <f>Oct!EG8</f>
        <v>26128.65</v>
      </c>
      <c r="AM7" s="127">
        <f>Oct!EJ8</f>
        <v>9968.65</v>
      </c>
      <c r="AN7" s="127">
        <f>Oct!EM8</f>
        <v>500</v>
      </c>
      <c r="AO7" s="127">
        <f>SUM(AL7:AN7)</f>
        <v>36597.300000000003</v>
      </c>
      <c r="AP7" s="127">
        <f>Oct!FX8</f>
        <v>6800</v>
      </c>
      <c r="AQ7" s="127">
        <f>Oct!GA8</f>
        <v>230</v>
      </c>
      <c r="AR7" s="127">
        <f>Oct!GG8</f>
        <v>920</v>
      </c>
      <c r="AS7" s="127">
        <f>SUM(AP7:AR7)</f>
        <v>7950</v>
      </c>
      <c r="AT7" s="127">
        <f>Oct!EQ8</f>
        <v>6818.6500000000224</v>
      </c>
      <c r="AU7" s="127">
        <f>Oct!ET8</f>
        <v>8000</v>
      </c>
      <c r="AV7" s="127">
        <f>Oct!EW8</f>
        <v>8568.6500000003634</v>
      </c>
      <c r="AW7" s="127">
        <f>Oct!FL45</f>
        <v>12937.3</v>
      </c>
      <c r="AX7" s="127">
        <f>Oct!GJ8</f>
        <v>1080</v>
      </c>
      <c r="AY7" s="127">
        <f>SUM(AT7:AX7)</f>
        <v>37404.600000000384</v>
      </c>
      <c r="AZ7" s="127">
        <f>Oct!FG8</f>
        <v>3118.6499999999774</v>
      </c>
      <c r="BA7" s="127">
        <f>Oct!FJ8</f>
        <v>2068.6500000003639</v>
      </c>
      <c r="BB7" s="127">
        <f>Oct!FM45</f>
        <v>0</v>
      </c>
      <c r="BC7" s="127">
        <f>Oct!GM8</f>
        <v>0</v>
      </c>
      <c r="BD7" s="127">
        <f>SUM(AZ7:BC7)</f>
        <v>5187.3000000003412</v>
      </c>
      <c r="BE7" s="127">
        <f>Oct!GP8</f>
        <v>0</v>
      </c>
      <c r="BF7" s="127">
        <f>Oct!GS8</f>
        <v>0</v>
      </c>
      <c r="BG7" s="127">
        <f>BE7+BF7</f>
        <v>0</v>
      </c>
      <c r="BH7" s="127">
        <f t="shared" ref="BH7:BH36" si="2">Y7</f>
        <v>660</v>
      </c>
      <c r="BI7" s="127"/>
      <c r="BJ7" s="127"/>
      <c r="BK7" s="127"/>
      <c r="BL7" s="128">
        <f t="shared" ref="BL7:BL8" si="3">+AS7</f>
        <v>7950</v>
      </c>
      <c r="BM7" s="128"/>
      <c r="BN7" s="128"/>
      <c r="BO7" s="128">
        <f>(AS7-BL7)</f>
        <v>0</v>
      </c>
      <c r="BP7" s="128"/>
      <c r="BQ7" s="128"/>
      <c r="BR7" s="128"/>
      <c r="BS7" s="128">
        <f>BG7-BQ7</f>
        <v>0</v>
      </c>
      <c r="BT7" s="42">
        <f>Oct!D46</f>
        <v>0</v>
      </c>
      <c r="BU7" s="42">
        <f>Oct!G46</f>
        <v>87000</v>
      </c>
      <c r="BV7" t="s">
        <v>439</v>
      </c>
      <c r="BX7" s="42">
        <f>Oct!HJ8</f>
        <v>160000</v>
      </c>
      <c r="BY7" s="42">
        <f>Oct!HM8</f>
        <v>0</v>
      </c>
      <c r="BZ7" s="42">
        <f>Oct!HP8</f>
        <v>36489.999999999636</v>
      </c>
      <c r="CA7" s="42">
        <f>Oct!HS8</f>
        <v>16390.000000000182</v>
      </c>
      <c r="CB7" s="42">
        <f>Oct!HV8</f>
        <v>23489.999999999636</v>
      </c>
      <c r="CC7" s="42">
        <f>Oct!HY8</f>
        <v>31030.000000000058</v>
      </c>
      <c r="CD7" s="42">
        <f>Oct!IB8</f>
        <v>29800</v>
      </c>
      <c r="CE7" s="42">
        <f>Oct!IE8</f>
        <v>0</v>
      </c>
      <c r="CF7" s="42">
        <f>Oct!IH8</f>
        <v>22800</v>
      </c>
    </row>
    <row r="8" spans="1:84" x14ac:dyDescent="0.25">
      <c r="A8" s="26">
        <f>A7+1</f>
        <v>2</v>
      </c>
      <c r="B8" s="42">
        <f>Oct!G9</f>
        <v>363840.00000001834</v>
      </c>
      <c r="C8" s="42">
        <f>Oct!N9</f>
        <v>134000</v>
      </c>
      <c r="D8" s="42">
        <f>Oct!T9</f>
        <v>271.06000000052154</v>
      </c>
      <c r="E8" s="42">
        <f>Oct!V9</f>
        <v>0</v>
      </c>
      <c r="F8" s="42">
        <f>Oct!AB9</f>
        <v>100</v>
      </c>
      <c r="G8" s="42">
        <f>Oct!X9</f>
        <v>17628.939999999478</v>
      </c>
      <c r="H8" s="42">
        <f>Oct!AE9</f>
        <v>5800.0000000001819</v>
      </c>
      <c r="I8" s="42">
        <f>Oct!AI9</f>
        <v>13077.089999998545</v>
      </c>
      <c r="J8" s="42">
        <f>Oct!AN9</f>
        <v>6907.0900000006595</v>
      </c>
      <c r="K8" s="42">
        <f>Oct!AR9</f>
        <v>13100.000000000364</v>
      </c>
      <c r="L8" s="42">
        <f>Oct!AZ9</f>
        <v>410</v>
      </c>
      <c r="M8" s="42">
        <f>Oct!BC9</f>
        <v>670</v>
      </c>
      <c r="N8" s="125">
        <f t="shared" ref="N8:N34" si="4">SUM(D8:M8)</f>
        <v>57964.179999999753</v>
      </c>
      <c r="O8" s="125">
        <f>Oct!CA9</f>
        <v>496.39999999999418</v>
      </c>
      <c r="P8" s="125">
        <f>Oct!CD9</f>
        <v>0</v>
      </c>
      <c r="Q8" s="125">
        <f>Oct!CF9</f>
        <v>3975</v>
      </c>
      <c r="R8" s="125">
        <f>Oct!CH9</f>
        <v>0</v>
      </c>
      <c r="S8" s="125">
        <f>Oct!CK9</f>
        <v>14500.690000000443</v>
      </c>
      <c r="T8" s="125">
        <f>Oct!CO9</f>
        <v>7117.0900000003276</v>
      </c>
      <c r="U8" s="125">
        <f>Oct!CS9</f>
        <v>7288.7899999999536</v>
      </c>
      <c r="V8" s="126">
        <f t="shared" ref="V8:V36" si="5">SUM(O8:U8)</f>
        <v>33377.970000000714</v>
      </c>
      <c r="W8" s="126">
        <f>Oct!CW9</f>
        <v>737</v>
      </c>
      <c r="X8" s="126">
        <f>Oct!DA9</f>
        <v>510</v>
      </c>
      <c r="Y8" s="126">
        <f t="shared" si="1"/>
        <v>1247</v>
      </c>
      <c r="Z8" s="42">
        <f>Oct!BR9</f>
        <v>700.00000000004547</v>
      </c>
      <c r="AA8" s="126">
        <f>Oct!BG9</f>
        <v>1600.0000000003638</v>
      </c>
      <c r="AB8" s="126">
        <f>Oct!BJ9</f>
        <v>9000</v>
      </c>
      <c r="AC8" s="126">
        <f>Oct!BL9+Oct!BN9</f>
        <v>4570.0000000000227</v>
      </c>
      <c r="AD8" s="126">
        <f>Oct!DR9</f>
        <v>8000</v>
      </c>
      <c r="AE8" s="127">
        <f>Oct!DT9-Oct!DR49-Oct!DT49</f>
        <v>25600</v>
      </c>
      <c r="AF8" s="127">
        <f>Oct!DR49+Oct!DT49</f>
        <v>0</v>
      </c>
      <c r="AG8" s="127">
        <f>Oct!HJ9-AE8</f>
        <v>147400</v>
      </c>
      <c r="AH8" s="127">
        <f>Oct!DW9</f>
        <v>4600.0000000003638</v>
      </c>
      <c r="AI8" s="127">
        <f>Oct!DZ9</f>
        <v>8477.09</v>
      </c>
      <c r="AJ8" s="127">
        <f>Oct!EC9</f>
        <v>27637.09</v>
      </c>
      <c r="AK8" s="127">
        <f t="shared" ref="AK8:AK36" si="6">SUM(AH8:AJ8)</f>
        <v>40714.180000000364</v>
      </c>
      <c r="AL8" s="127">
        <f>Oct!EG9</f>
        <v>33637.089999999997</v>
      </c>
      <c r="AM8" s="127">
        <f>Oct!EJ9</f>
        <v>10477.09</v>
      </c>
      <c r="AN8" s="127">
        <f>Oct!EM9</f>
        <v>690.00000000005457</v>
      </c>
      <c r="AO8" s="127">
        <f t="shared" ref="AO8:AO28" si="7">SUM(AL8:AN8)</f>
        <v>44804.180000000051</v>
      </c>
      <c r="AP8" s="127">
        <f>Oct!FX9</f>
        <v>19700</v>
      </c>
      <c r="AQ8" s="127">
        <f>Oct!GA9</f>
        <v>6500</v>
      </c>
      <c r="AR8" s="127">
        <f>Oct!GG9</f>
        <v>7290</v>
      </c>
      <c r="AS8" s="127">
        <f t="shared" ref="AS8:AS36" si="8">SUM(AP8:AR8)</f>
        <v>33490</v>
      </c>
      <c r="AT8" s="127">
        <f>Oct!EQ9</f>
        <v>7077.0899999999656</v>
      </c>
      <c r="AU8" s="127">
        <f>Oct!ET9</f>
        <v>10000</v>
      </c>
      <c r="AV8" s="127">
        <f>Oct!EW9</f>
        <v>12377.089999999636</v>
      </c>
      <c r="AW8" s="127">
        <f>Oct!FL46</f>
        <v>12954.18</v>
      </c>
      <c r="AX8" s="127">
        <f>Oct!GJ9</f>
        <v>1710</v>
      </c>
      <c r="AY8" s="127">
        <f t="shared" ref="AY8:AY34" si="9">SUM(AT8:AX8)</f>
        <v>44118.359999999608</v>
      </c>
      <c r="AZ8" s="127">
        <f>Oct!FG9</f>
        <v>2877.0900000000338</v>
      </c>
      <c r="BA8" s="127">
        <f>Oct!FJ9</f>
        <v>1377.0899999996361</v>
      </c>
      <c r="BB8" s="127">
        <f>Oct!FM46</f>
        <v>0</v>
      </c>
      <c r="BC8" s="127">
        <f>Oct!GM9</f>
        <v>0</v>
      </c>
      <c r="BD8" s="127">
        <f t="shared" ref="BD8:BD34" si="10">SUM(AZ8:BC8)</f>
        <v>4254.1799999996701</v>
      </c>
      <c r="BE8" s="127">
        <f>Oct!GP9</f>
        <v>0</v>
      </c>
      <c r="BF8" s="127">
        <f>Oct!GS9</f>
        <v>0</v>
      </c>
      <c r="BG8" s="127">
        <f t="shared" ref="BG8:BG36" si="11">BE8+BF8</f>
        <v>0</v>
      </c>
      <c r="BH8" s="127">
        <f t="shared" si="2"/>
        <v>1247</v>
      </c>
      <c r="BI8" s="127"/>
      <c r="BJ8" s="127"/>
      <c r="BK8" s="127"/>
      <c r="BL8" s="128">
        <f t="shared" si="3"/>
        <v>33490</v>
      </c>
      <c r="BM8" s="128"/>
      <c r="BN8" s="128"/>
      <c r="BO8" s="128">
        <f>(AS8-BL8-BM8-BN8)</f>
        <v>0</v>
      </c>
      <c r="BP8" s="128"/>
      <c r="BQ8" s="128"/>
      <c r="BR8" s="128"/>
      <c r="BS8" s="128">
        <f t="shared" ref="BS8" si="12">BG8-BQ8</f>
        <v>0</v>
      </c>
      <c r="BT8" s="42">
        <f>Oct!D47</f>
        <v>0</v>
      </c>
      <c r="BU8" s="42">
        <f>Oct!G48</f>
        <v>93000</v>
      </c>
      <c r="BV8" t="s">
        <v>440</v>
      </c>
      <c r="BX8" s="42">
        <f>Oct!HJ9</f>
        <v>173000</v>
      </c>
      <c r="BY8" s="42">
        <f>Oct!HM9</f>
        <v>0</v>
      </c>
      <c r="BZ8" s="42">
        <f>Oct!HP9</f>
        <v>41824.999999999818</v>
      </c>
      <c r="CA8" s="42">
        <f>Oct!HS9</f>
        <v>23924.999999999272</v>
      </c>
      <c r="CB8" s="42">
        <f>Oct!HV9</f>
        <v>26225.000000000364</v>
      </c>
      <c r="CC8" s="42">
        <f>Oct!HY9</f>
        <v>25224.999999999909</v>
      </c>
      <c r="CD8" s="42">
        <f>Oct!IB9</f>
        <v>30200</v>
      </c>
      <c r="CE8" s="42">
        <f>Oct!IE9</f>
        <v>0</v>
      </c>
      <c r="CF8" s="42">
        <f>Oct!IH9</f>
        <v>25600</v>
      </c>
    </row>
    <row r="9" spans="1:84" x14ac:dyDescent="0.25">
      <c r="A9" s="26">
        <f t="shared" ref="A9:A37" si="13">A8+1</f>
        <v>3</v>
      </c>
      <c r="B9" s="42">
        <f>Oct!G10</f>
        <v>377600.00000000582</v>
      </c>
      <c r="C9" s="42">
        <f>Oct!N10</f>
        <v>602000</v>
      </c>
      <c r="D9" s="42">
        <f>Oct!T10</f>
        <v>276.94999999925494</v>
      </c>
      <c r="E9" s="42">
        <f>Oct!V10</f>
        <v>0</v>
      </c>
      <c r="F9" s="42">
        <f>Oct!AB10</f>
        <v>200</v>
      </c>
      <c r="G9" s="42">
        <f>Oct!X10</f>
        <v>16623.050000001109</v>
      </c>
      <c r="H9" s="42">
        <f>Oct!AE10</f>
        <v>4399.9999999996362</v>
      </c>
      <c r="I9" s="42">
        <f>Oct!AI10</f>
        <v>11386.110000000728</v>
      </c>
      <c r="J9" s="42">
        <f>Oct!AN10</f>
        <v>7256.1099999992321</v>
      </c>
      <c r="K9" s="42">
        <f>Oct!AR10</f>
        <v>14000</v>
      </c>
      <c r="L9" s="42">
        <f>Oct!AZ10</f>
        <v>430</v>
      </c>
      <c r="M9" s="42">
        <f>Oct!BC10</f>
        <v>710</v>
      </c>
      <c r="N9" s="125">
        <f t="shared" si="4"/>
        <v>55282.219999999958</v>
      </c>
      <c r="O9" s="125">
        <f>Oct!CA10</f>
        <v>870.29999999998608</v>
      </c>
      <c r="P9" s="125">
        <f>Oct!CD10</f>
        <v>0</v>
      </c>
      <c r="Q9" s="125">
        <f>Oct!CF10</f>
        <v>4497</v>
      </c>
      <c r="R9" s="125">
        <f>Oct!CH10</f>
        <v>0</v>
      </c>
      <c r="S9" s="125">
        <f>Oct!CK10</f>
        <v>15645.809999999941</v>
      </c>
      <c r="T9" s="125">
        <f>Oct!CO10</f>
        <v>7690.1099999999051</v>
      </c>
      <c r="U9" s="125">
        <f>Oct!CS10</f>
        <v>7371.510000000023</v>
      </c>
      <c r="V9" s="126">
        <f t="shared" si="5"/>
        <v>36074.729999999858</v>
      </c>
      <c r="W9" s="126">
        <f>Oct!CW10</f>
        <v>816</v>
      </c>
      <c r="X9" s="126">
        <f>Oct!DA10</f>
        <v>536</v>
      </c>
      <c r="Y9" s="126">
        <f t="shared" si="1"/>
        <v>1352</v>
      </c>
      <c r="Z9" s="42">
        <f>Oct!BR10</f>
        <v>899.99999999997726</v>
      </c>
      <c r="AA9" s="126">
        <f>Oct!BG10</f>
        <v>1500</v>
      </c>
      <c r="AB9" s="126">
        <f>Oct!BJ10</f>
        <v>9000</v>
      </c>
      <c r="AC9" s="126">
        <f>Oct!BL10+Oct!BN10</f>
        <v>4830.0000000000637</v>
      </c>
      <c r="AD9" s="126">
        <f>Oct!DR10</f>
        <v>7300</v>
      </c>
      <c r="AE9" s="127">
        <f>Oct!DT10-Oct!DR50-Oct!DT50</f>
        <v>25700</v>
      </c>
      <c r="AF9" s="127">
        <f>Oct!DR50+Oct!DT50</f>
        <v>0</v>
      </c>
      <c r="AG9" s="127">
        <f>Oct!HJ10-AE9</f>
        <v>148300</v>
      </c>
      <c r="AH9" s="127">
        <f>Oct!DW10</f>
        <v>4599.9999999985448</v>
      </c>
      <c r="AI9" s="127">
        <f>Oct!DZ10</f>
        <v>8186.11</v>
      </c>
      <c r="AJ9" s="127">
        <f>Oct!EC10</f>
        <v>26346.11</v>
      </c>
      <c r="AK9" s="127">
        <f t="shared" si="6"/>
        <v>39132.219999998546</v>
      </c>
      <c r="AL9" s="127">
        <f>Oct!EG10</f>
        <v>30346.11</v>
      </c>
      <c r="AM9" s="127">
        <f>Oct!EJ10</f>
        <v>11186.11</v>
      </c>
      <c r="AN9" s="127">
        <f>Oct!EM10</f>
        <v>789.99999999996362</v>
      </c>
      <c r="AO9" s="127">
        <f t="shared" si="7"/>
        <v>42322.219999999965</v>
      </c>
      <c r="AP9" s="127">
        <f>Oct!FX10</f>
        <v>32100</v>
      </c>
      <c r="AQ9" s="127">
        <f>Oct!GA10</f>
        <v>8000</v>
      </c>
      <c r="AR9" s="127">
        <f>Oct!GG10</f>
        <v>8740</v>
      </c>
      <c r="AS9" s="127">
        <f t="shared" si="8"/>
        <v>48840</v>
      </c>
      <c r="AT9" s="127">
        <f>Oct!EQ10</f>
        <v>6836.1100000000333</v>
      </c>
      <c r="AU9" s="127">
        <f>Oct!ET10</f>
        <v>14000</v>
      </c>
      <c r="AV9" s="127">
        <f>Oct!EW10</f>
        <v>9686.11</v>
      </c>
      <c r="AW9" s="127">
        <f>Oct!FL47</f>
        <v>13372.220000000001</v>
      </c>
      <c r="AX9" s="127">
        <f>Oct!GJ10</f>
        <v>1260</v>
      </c>
      <c r="AY9" s="127">
        <f t="shared" si="9"/>
        <v>45154.440000000031</v>
      </c>
      <c r="AZ9" s="127">
        <f>Oct!FG10</f>
        <v>1536.109999999966</v>
      </c>
      <c r="BA9" s="127">
        <f>Oct!FJ10</f>
        <v>186.11</v>
      </c>
      <c r="BB9" s="127">
        <f>Oct!FM47</f>
        <v>0</v>
      </c>
      <c r="BC9" s="127">
        <f>Oct!GM10</f>
        <v>0</v>
      </c>
      <c r="BD9" s="127">
        <f t="shared" si="10"/>
        <v>1722.2199999999661</v>
      </c>
      <c r="BE9" s="127">
        <f>Oct!GP10</f>
        <v>0</v>
      </c>
      <c r="BF9" s="127">
        <f>Oct!GS10</f>
        <v>190</v>
      </c>
      <c r="BG9" s="127">
        <f t="shared" si="11"/>
        <v>190</v>
      </c>
      <c r="BH9" s="127">
        <f t="shared" si="2"/>
        <v>1352</v>
      </c>
      <c r="BI9" s="127"/>
      <c r="BJ9" s="127"/>
      <c r="BK9" s="127"/>
      <c r="BL9" s="128">
        <f>+AS9*0.53</f>
        <v>25885.200000000001</v>
      </c>
      <c r="BM9" s="128">
        <f>(AS9-BL9)</f>
        <v>22954.799999999999</v>
      </c>
      <c r="BN9" s="128"/>
      <c r="BO9" s="128">
        <f t="shared" ref="BO9:BO37" si="14">(AS9-BL9-BM9-BN9)</f>
        <v>0</v>
      </c>
      <c r="BP9" s="128"/>
      <c r="BQ9" s="358">
        <f>+BG9</f>
        <v>190</v>
      </c>
      <c r="BR9" s="128"/>
      <c r="BS9" s="128">
        <f>(BG9-BP9-BQ9-BR9)</f>
        <v>0</v>
      </c>
      <c r="BT9" s="42">
        <f>Oct!D48</f>
        <v>0</v>
      </c>
      <c r="BU9" s="42">
        <f>Oct!G49</f>
        <v>90000</v>
      </c>
      <c r="BV9" s="357" t="s">
        <v>441</v>
      </c>
      <c r="BX9" s="42">
        <f>Oct!HJ10</f>
        <v>174000</v>
      </c>
      <c r="BY9" s="42">
        <f>Oct!HM10</f>
        <v>0</v>
      </c>
      <c r="BZ9" s="42">
        <f>Oct!HP10</f>
        <v>40725.000000000182</v>
      </c>
      <c r="CA9" s="42">
        <f>Oct!HS10</f>
        <v>22225.000000000182</v>
      </c>
      <c r="CB9" s="42">
        <f>Oct!HV10</f>
        <v>27124.999999999818</v>
      </c>
      <c r="CC9" s="42">
        <f>Oct!HY10</f>
        <v>25925</v>
      </c>
      <c r="CD9" s="42">
        <f>Oct!IB10</f>
        <v>32300</v>
      </c>
      <c r="CE9" s="42">
        <f>Oct!IE10</f>
        <v>0</v>
      </c>
      <c r="CF9" s="42">
        <f>Oct!IH10</f>
        <v>25700</v>
      </c>
    </row>
    <row r="10" spans="1:84" x14ac:dyDescent="0.25">
      <c r="A10" s="26">
        <f t="shared" si="13"/>
        <v>4</v>
      </c>
      <c r="B10" s="42">
        <f>Oct!G11</f>
        <v>374079.99999997992</v>
      </c>
      <c r="C10" s="42">
        <f>Oct!N11</f>
        <v>375000</v>
      </c>
      <c r="D10" s="42">
        <f>Oct!T11</f>
        <v>317.40000000037253</v>
      </c>
      <c r="E10" s="42">
        <f>Oct!V11</f>
        <v>0</v>
      </c>
      <c r="F10" s="42">
        <f>Oct!AB11</f>
        <v>100</v>
      </c>
      <c r="G10" s="42">
        <f>Oct!X11</f>
        <v>16882.5999999989</v>
      </c>
      <c r="H10" s="42">
        <f>Oct!AE11</f>
        <v>3100.0000000003638</v>
      </c>
      <c r="I10" s="42">
        <f>Oct!AI11</f>
        <v>8613.2199999999993</v>
      </c>
      <c r="J10" s="42">
        <f>Oct!AN11</f>
        <v>6983.2200000007679</v>
      </c>
      <c r="K10" s="42">
        <f>Oct!AR11</f>
        <v>11600.000000000364</v>
      </c>
      <c r="L10" s="42">
        <f>Oct!AZ11</f>
        <v>390</v>
      </c>
      <c r="M10" s="42">
        <f>Oct!BC11</f>
        <v>580</v>
      </c>
      <c r="N10" s="125">
        <f t="shared" si="4"/>
        <v>48566.440000000766</v>
      </c>
      <c r="O10" s="125">
        <f>Oct!CA11</f>
        <v>662.00000000003456</v>
      </c>
      <c r="P10" s="125">
        <f>Oct!CD11</f>
        <v>0</v>
      </c>
      <c r="Q10" s="125">
        <f>Oct!CF11</f>
        <v>3069</v>
      </c>
      <c r="R10" s="125">
        <f>Oct!CH11</f>
        <v>0</v>
      </c>
      <c r="S10" s="125">
        <f>Oct!CK11</f>
        <v>14071.220000000765</v>
      </c>
      <c r="T10" s="125">
        <f>Oct!CO11</f>
        <v>6160.219999999571</v>
      </c>
      <c r="U10" s="125">
        <f>Oct!CS11</f>
        <v>5659.9200000000701</v>
      </c>
      <c r="V10" s="126">
        <f t="shared" si="5"/>
        <v>29622.360000000444</v>
      </c>
      <c r="W10" s="126">
        <f>Oct!CW11</f>
        <v>724</v>
      </c>
      <c r="X10" s="126">
        <f>Oct!DA11</f>
        <v>525</v>
      </c>
      <c r="Y10" s="126">
        <f t="shared" si="1"/>
        <v>1249</v>
      </c>
      <c r="Z10" s="42">
        <f>Oct!BR11</f>
        <v>500</v>
      </c>
      <c r="AA10" s="126">
        <f>Oct!BG11</f>
        <v>1500</v>
      </c>
      <c r="AB10" s="126">
        <f>Oct!BJ11</f>
        <v>10000</v>
      </c>
      <c r="AC10" s="126">
        <f>Oct!BL11+Oct!BN11</f>
        <v>4829.9999999999591</v>
      </c>
      <c r="AD10" s="126">
        <f>Oct!DR11</f>
        <v>9000</v>
      </c>
      <c r="AE10" s="127">
        <f>Oct!DT11-Oct!DR51-Oct!DT51</f>
        <v>27000</v>
      </c>
      <c r="AF10" s="127">
        <f>Oct!DR51+Oct!DT51</f>
        <v>0</v>
      </c>
      <c r="AG10" s="127">
        <f>Oct!HJ11-AE10</f>
        <v>157000</v>
      </c>
      <c r="AH10" s="127">
        <f>Oct!DW11</f>
        <v>4700.0000000007276</v>
      </c>
      <c r="AI10" s="127">
        <f>Oct!DZ11</f>
        <v>6613.22</v>
      </c>
      <c r="AJ10" s="127">
        <f>Oct!EC11</f>
        <v>25773.22</v>
      </c>
      <c r="AK10" s="127">
        <f t="shared" si="6"/>
        <v>37086.44000000073</v>
      </c>
      <c r="AL10" s="127">
        <f>Oct!EG11</f>
        <v>27773.22</v>
      </c>
      <c r="AM10" s="127">
        <f>Oct!EJ11</f>
        <v>9613.2199999999993</v>
      </c>
      <c r="AN10" s="127">
        <f>Oct!EM11</f>
        <v>819.99999999993634</v>
      </c>
      <c r="AO10" s="127">
        <f t="shared" si="7"/>
        <v>38206.439999999937</v>
      </c>
      <c r="AP10" s="127">
        <f>Oct!FX11</f>
        <v>29000</v>
      </c>
      <c r="AQ10" s="127">
        <f>Oct!GA11</f>
        <v>7090</v>
      </c>
      <c r="AR10" s="127">
        <f>Oct!GG11</f>
        <v>7260</v>
      </c>
      <c r="AS10" s="127">
        <f t="shared" si="8"/>
        <v>43350</v>
      </c>
      <c r="AT10" s="127">
        <f>Oct!EQ11</f>
        <v>6263.2199999999775</v>
      </c>
      <c r="AU10" s="127">
        <f>Oct!ET11</f>
        <v>18000</v>
      </c>
      <c r="AV10" s="127">
        <f>Oct!EW11</f>
        <v>10813.219999999817</v>
      </c>
      <c r="AW10" s="127">
        <f>Oct!FL48</f>
        <v>13226.439999999999</v>
      </c>
      <c r="AX10" s="127">
        <f>Oct!GJ11</f>
        <v>1740</v>
      </c>
      <c r="AY10" s="127">
        <f t="shared" si="9"/>
        <v>50042.879999999801</v>
      </c>
      <c r="AZ10" s="127">
        <f>Oct!FG11</f>
        <v>3963.220000000023</v>
      </c>
      <c r="BA10" s="127">
        <f>Oct!FJ11</f>
        <v>13.219999999636229</v>
      </c>
      <c r="BB10" s="127">
        <f>Oct!FM48</f>
        <v>0</v>
      </c>
      <c r="BC10" s="127">
        <f>Oct!GM11</f>
        <v>0</v>
      </c>
      <c r="BD10" s="127">
        <f t="shared" si="10"/>
        <v>3976.4399999996594</v>
      </c>
      <c r="BE10" s="127">
        <f>Oct!GP11</f>
        <v>20</v>
      </c>
      <c r="BF10" s="127">
        <f>Oct!GS11</f>
        <v>130</v>
      </c>
      <c r="BG10" s="127">
        <f t="shared" si="11"/>
        <v>150</v>
      </c>
      <c r="BH10" s="127">
        <f t="shared" si="2"/>
        <v>1249</v>
      </c>
      <c r="BI10" s="127"/>
      <c r="BJ10" s="127"/>
      <c r="BK10" s="127"/>
      <c r="BL10" s="128">
        <f>+AS10*0.49</f>
        <v>21241.5</v>
      </c>
      <c r="BM10" s="128">
        <f>(AS10-BL10)</f>
        <v>22108.5</v>
      </c>
      <c r="BN10" s="128"/>
      <c r="BO10" s="128">
        <f t="shared" si="14"/>
        <v>0</v>
      </c>
      <c r="BP10" s="128"/>
      <c r="BQ10" s="358">
        <f>+BG10</f>
        <v>150</v>
      </c>
      <c r="BR10" s="128"/>
      <c r="BS10" s="128">
        <f t="shared" ref="BS10:BS37" si="15">(BG10-BP10-BQ10-BR10)</f>
        <v>0</v>
      </c>
      <c r="BT10" s="42">
        <f>Oct!D49</f>
        <v>0</v>
      </c>
      <c r="BU10" s="42">
        <f>Oct!G50</f>
        <v>88000</v>
      </c>
      <c r="BV10" s="357" t="s">
        <v>442</v>
      </c>
      <c r="BX10" s="42">
        <f>Oct!HJ11</f>
        <v>184000</v>
      </c>
      <c r="BY10" s="42">
        <f>Oct!HM11</f>
        <v>0</v>
      </c>
      <c r="BZ10" s="42">
        <f>Oct!HP11</f>
        <v>42607.500000000364</v>
      </c>
      <c r="CA10" s="42">
        <f>Oct!HS11</f>
        <v>26607.500000000364</v>
      </c>
      <c r="CB10" s="42">
        <f>Oct!HV11</f>
        <v>28577.500000000618</v>
      </c>
      <c r="CC10" s="42">
        <f>Oct!HY11</f>
        <v>26107.499999999909</v>
      </c>
      <c r="CD10" s="42">
        <f>Oct!IB11</f>
        <v>33100</v>
      </c>
      <c r="CE10" s="42">
        <f>Oct!IE11</f>
        <v>0</v>
      </c>
      <c r="CF10" s="42">
        <f>Oct!IH11</f>
        <v>27000</v>
      </c>
    </row>
    <row r="11" spans="1:84" x14ac:dyDescent="0.25">
      <c r="A11" s="26">
        <f t="shared" si="13"/>
        <v>5</v>
      </c>
      <c r="B11" s="42">
        <f>Oct!G12</f>
        <v>381120.0000000099</v>
      </c>
      <c r="C11" s="42">
        <f>Oct!N12</f>
        <v>372000</v>
      </c>
      <c r="D11" s="42">
        <f>Oct!T12</f>
        <v>266.75999999977648</v>
      </c>
      <c r="E11" s="42">
        <f>Oct!V12</f>
        <v>0</v>
      </c>
      <c r="F11" s="42">
        <f>Oct!AB12</f>
        <v>200</v>
      </c>
      <c r="G11" s="42">
        <f>Oct!X12</f>
        <v>16433.23999999986</v>
      </c>
      <c r="H11" s="42">
        <f>Oct!AE12</f>
        <v>3799.9999999992724</v>
      </c>
      <c r="I11" s="42">
        <f>Oct!AI12</f>
        <v>9060.2400000007274</v>
      </c>
      <c r="J11" s="42">
        <f>Oct!AN12</f>
        <v>7520.239999999736</v>
      </c>
      <c r="K11" s="42">
        <f>Oct!AR12</f>
        <v>11000</v>
      </c>
      <c r="L11" s="42">
        <f>Oct!AZ12</f>
        <v>410</v>
      </c>
      <c r="M11" s="42">
        <f>Oct!BC12</f>
        <v>600</v>
      </c>
      <c r="N11" s="125">
        <f t="shared" si="4"/>
        <v>49290.47999999937</v>
      </c>
      <c r="O11" s="125">
        <f>Oct!CA12</f>
        <v>754.50000000000728</v>
      </c>
      <c r="P11" s="125">
        <f>Oct!CD12</f>
        <v>0</v>
      </c>
      <c r="Q11" s="125">
        <f>Oct!CF12</f>
        <v>3341</v>
      </c>
      <c r="R11" s="125">
        <f>Oct!CH12</f>
        <v>0</v>
      </c>
      <c r="S11" s="125">
        <f>Oct!CK12</f>
        <v>13835.739999999556</v>
      </c>
      <c r="T11" s="125">
        <f>Oct!CO12</f>
        <v>7010.2400000005455</v>
      </c>
      <c r="U11" s="125">
        <f>Oct!CS12</f>
        <v>6467.6399999999066</v>
      </c>
      <c r="V11" s="126">
        <f t="shared" si="5"/>
        <v>31409.12000000001</v>
      </c>
      <c r="W11" s="126">
        <f>Oct!CW12</f>
        <v>748</v>
      </c>
      <c r="X11" s="126">
        <f>Oct!DA12</f>
        <v>483</v>
      </c>
      <c r="Y11" s="126">
        <f t="shared" si="1"/>
        <v>1231</v>
      </c>
      <c r="Z11" s="42">
        <f>Oct!BR12</f>
        <v>199.99999999993179</v>
      </c>
      <c r="AA11" s="126">
        <f>Oct!BG12</f>
        <v>1699.9999999998181</v>
      </c>
      <c r="AB11" s="126">
        <f>Oct!BJ12</f>
        <v>8000</v>
      </c>
      <c r="AC11" s="126">
        <f>Oct!BL12+Oct!BN12</f>
        <v>4539.9999999999682</v>
      </c>
      <c r="AD11" s="126">
        <f>Oct!DR12</f>
        <v>7300</v>
      </c>
      <c r="AE11" s="127">
        <f>Oct!DT12-Oct!DR52-Oct!DT52</f>
        <v>26300</v>
      </c>
      <c r="AF11" s="127">
        <f>Oct!DR52+Oct!DT52</f>
        <v>0</v>
      </c>
      <c r="AG11" s="127">
        <f>Oct!HJ12-AE11</f>
        <v>160700</v>
      </c>
      <c r="AH11" s="127">
        <f>Oct!DW12</f>
        <v>4500</v>
      </c>
      <c r="AI11" s="127">
        <f>Oct!DZ12</f>
        <v>8360.24</v>
      </c>
      <c r="AJ11" s="127">
        <f>Oct!EC12</f>
        <v>26520.240000000002</v>
      </c>
      <c r="AK11" s="127">
        <f t="shared" si="6"/>
        <v>39380.480000000003</v>
      </c>
      <c r="AL11" s="127">
        <f>Oct!EG12</f>
        <v>27520.240000000002</v>
      </c>
      <c r="AM11" s="127">
        <f>Oct!EJ12</f>
        <v>10360.24</v>
      </c>
      <c r="AN11" s="127">
        <f>Oct!EM12</f>
        <v>640.00000000010004</v>
      </c>
      <c r="AO11" s="127">
        <f t="shared" si="7"/>
        <v>38520.480000000105</v>
      </c>
      <c r="AP11" s="127">
        <f>Oct!FX12</f>
        <v>32000</v>
      </c>
      <c r="AQ11" s="127">
        <f>Oct!GA12</f>
        <v>7166</v>
      </c>
      <c r="AR11" s="127">
        <f>Oct!GG12</f>
        <v>6500</v>
      </c>
      <c r="AS11" s="127">
        <f t="shared" si="8"/>
        <v>45666</v>
      </c>
      <c r="AT11" s="127">
        <f>Oct!EQ12</f>
        <v>7060.2399999999889</v>
      </c>
      <c r="AU11" s="127">
        <f>Oct!ET12</f>
        <v>16000</v>
      </c>
      <c r="AV11" s="127">
        <f>Oct!EW12</f>
        <v>10460.240000000364</v>
      </c>
      <c r="AW11" s="127">
        <f>Oct!FL49</f>
        <v>13720.48</v>
      </c>
      <c r="AX11" s="127">
        <f>Oct!GJ12</f>
        <v>1500</v>
      </c>
      <c r="AY11" s="127">
        <f t="shared" si="9"/>
        <v>48740.960000000356</v>
      </c>
      <c r="AZ11" s="127">
        <f>Oct!FG12</f>
        <v>2660.2400000000116</v>
      </c>
      <c r="BA11" s="127">
        <f>Oct!FJ12</f>
        <v>360.24</v>
      </c>
      <c r="BB11" s="127">
        <f>Oct!FM49</f>
        <v>0</v>
      </c>
      <c r="BC11" s="127">
        <f>Oct!GM12</f>
        <v>0</v>
      </c>
      <c r="BD11" s="127">
        <f t="shared" si="10"/>
        <v>3020.4800000000114</v>
      </c>
      <c r="BE11" s="127">
        <f>Oct!GP12</f>
        <v>10</v>
      </c>
      <c r="BF11" s="127">
        <f>Oct!GS12</f>
        <v>111</v>
      </c>
      <c r="BG11" s="127">
        <f t="shared" si="11"/>
        <v>121</v>
      </c>
      <c r="BH11" s="127">
        <f t="shared" si="2"/>
        <v>1231</v>
      </c>
      <c r="BI11" s="127"/>
      <c r="BJ11" s="127"/>
      <c r="BK11" s="127"/>
      <c r="BL11" s="128">
        <f>+AS11*0.54</f>
        <v>24659.640000000003</v>
      </c>
      <c r="BM11" s="128">
        <f>(AS11-BL11)</f>
        <v>21006.359999999997</v>
      </c>
      <c r="BN11" s="128"/>
      <c r="BO11" s="128">
        <f t="shared" si="14"/>
        <v>0</v>
      </c>
      <c r="BP11" s="128"/>
      <c r="BQ11" s="358">
        <f>+BG11</f>
        <v>121</v>
      </c>
      <c r="BR11" s="128"/>
      <c r="BS11" s="128">
        <f t="shared" si="15"/>
        <v>0</v>
      </c>
      <c r="BT11" s="42">
        <f>Oct!D50</f>
        <v>0</v>
      </c>
      <c r="BU11" s="42">
        <f>Oct!G51</f>
        <v>85000</v>
      </c>
      <c r="BV11" s="357" t="s">
        <v>443</v>
      </c>
      <c r="BX11" s="42">
        <f>Oct!HJ12</f>
        <v>187000</v>
      </c>
      <c r="BY11" s="42">
        <f>Oct!HM12</f>
        <v>0</v>
      </c>
      <c r="BZ11" s="42">
        <f>Oct!HP12</f>
        <v>44967.499999999454</v>
      </c>
      <c r="CA11" s="42">
        <f>Oct!HS12</f>
        <v>28067.499999999818</v>
      </c>
      <c r="CB11" s="42">
        <f>Oct!HV12</f>
        <v>29797.499999999382</v>
      </c>
      <c r="CC11" s="42">
        <f>Oct!HY12</f>
        <v>26967.499999999909</v>
      </c>
      <c r="CD11" s="42">
        <f>Oct!IB12</f>
        <v>30900</v>
      </c>
      <c r="CE11" s="42">
        <f>Oct!IE12</f>
        <v>0</v>
      </c>
      <c r="CF11" s="42">
        <f>Oct!IH12</f>
        <v>26300</v>
      </c>
    </row>
    <row r="12" spans="1:84" x14ac:dyDescent="0.25">
      <c r="A12" s="26">
        <f t="shared" si="13"/>
        <v>6</v>
      </c>
      <c r="B12" s="42">
        <f>Oct!G13</f>
        <v>387839.99999999651</v>
      </c>
      <c r="C12" s="42">
        <f>Oct!N13</f>
        <v>392000</v>
      </c>
      <c r="D12" s="42">
        <f>Oct!T13</f>
        <v>364.98000000044703</v>
      </c>
      <c r="E12" s="42">
        <f>Oct!V13</f>
        <v>0</v>
      </c>
      <c r="F12" s="42">
        <f>Oct!AB13</f>
        <v>400</v>
      </c>
      <c r="G12" s="42">
        <f>Oct!X13</f>
        <v>17535.020000000644</v>
      </c>
      <c r="H12" s="42">
        <f>Oct!AE13</f>
        <v>4400.0000000005457</v>
      </c>
      <c r="I12" s="42">
        <f>Oct!AI13</f>
        <v>9982.3699999985456</v>
      </c>
      <c r="J12" s="42">
        <f>Oct!AN13</f>
        <v>7302.3699999998871</v>
      </c>
      <c r="K12" s="42">
        <f>Oct!AR13</f>
        <v>12199.999999998909</v>
      </c>
      <c r="L12" s="42">
        <f>Oct!AZ13</f>
        <v>410</v>
      </c>
      <c r="M12" s="42">
        <f>Oct!BC13</f>
        <v>640</v>
      </c>
      <c r="N12" s="125">
        <f t="shared" si="4"/>
        <v>53234.739999998979</v>
      </c>
      <c r="O12" s="125">
        <f>Oct!CA13</f>
        <v>861.89999999999145</v>
      </c>
      <c r="P12" s="125">
        <f>Oct!CD13</f>
        <v>369</v>
      </c>
      <c r="Q12" s="125">
        <f>Oct!CF13</f>
        <v>4105</v>
      </c>
      <c r="R12" s="125">
        <f>Oct!CH13</f>
        <v>0</v>
      </c>
      <c r="S12" s="125">
        <f>Oct!CK13</f>
        <v>15750.469999999572</v>
      </c>
      <c r="T12" s="125">
        <f>Oct!CO13</f>
        <v>7883.3700000002036</v>
      </c>
      <c r="U12" s="125">
        <f>Oct!CS13</f>
        <v>7107.87</v>
      </c>
      <c r="V12" s="126">
        <f t="shared" si="5"/>
        <v>36077.609999999768</v>
      </c>
      <c r="W12" s="126">
        <f>Oct!CW13</f>
        <v>808</v>
      </c>
      <c r="X12" s="126">
        <f>Oct!DA13</f>
        <v>513</v>
      </c>
      <c r="Y12" s="126">
        <f t="shared" si="1"/>
        <v>1321</v>
      </c>
      <c r="Z12" s="42">
        <f>Oct!BR13</f>
        <v>800.00000000006821</v>
      </c>
      <c r="AA12" s="126">
        <f>Oct!BG13</f>
        <v>1400.0000000000909</v>
      </c>
      <c r="AB12" s="126">
        <f>Oct!BJ13</f>
        <v>9000</v>
      </c>
      <c r="AC12" s="126">
        <f>Oct!BL13+Oct!BN13</f>
        <v>4780.0000000000455</v>
      </c>
      <c r="AD12" s="126">
        <f>Oct!DR13</f>
        <v>10800</v>
      </c>
      <c r="AE12" s="127">
        <f>Oct!DT13-Oct!DR53-Oct!DT53</f>
        <v>21900</v>
      </c>
      <c r="AF12" s="127">
        <f>Oct!DR53+Oct!DT53</f>
        <v>0</v>
      </c>
      <c r="AG12" s="127">
        <f>Oct!HJ13-AE12</f>
        <v>164100</v>
      </c>
      <c r="AH12" s="127">
        <f>Oct!DW13</f>
        <v>4500</v>
      </c>
      <c r="AI12" s="127">
        <f>Oct!DZ13</f>
        <v>6882.37</v>
      </c>
      <c r="AJ12" s="127">
        <f>Oct!EC13</f>
        <v>26042.37</v>
      </c>
      <c r="AK12" s="127">
        <f t="shared" si="6"/>
        <v>37424.74</v>
      </c>
      <c r="AL12" s="127">
        <f>Oct!EG13</f>
        <v>26042.37</v>
      </c>
      <c r="AM12" s="127">
        <f>Oct!EJ13</f>
        <v>9882.3700000000008</v>
      </c>
      <c r="AN12" s="127">
        <f>Oct!EM13</f>
        <v>469.9999999999136</v>
      </c>
      <c r="AO12" s="127">
        <f t="shared" si="7"/>
        <v>36394.739999999911</v>
      </c>
      <c r="AP12" s="127">
        <f>Oct!FX13</f>
        <v>28300</v>
      </c>
      <c r="AQ12" s="127">
        <f>Oct!GA13</f>
        <v>6014</v>
      </c>
      <c r="AR12" s="127">
        <f>Oct!GG13</f>
        <v>7260</v>
      </c>
      <c r="AS12" s="127">
        <f t="shared" si="8"/>
        <v>41574</v>
      </c>
      <c r="AT12" s="127">
        <f>Oct!EQ13</f>
        <v>7612.370000000019</v>
      </c>
      <c r="AU12" s="127">
        <f>Oct!ET13</f>
        <v>17000</v>
      </c>
      <c r="AV12" s="127">
        <f>Oct!EW13</f>
        <v>10582.369999999819</v>
      </c>
      <c r="AW12" s="127">
        <f>Oct!FL50</f>
        <v>13764.740000000002</v>
      </c>
      <c r="AX12" s="127">
        <f>Oct!GJ13</f>
        <v>1740</v>
      </c>
      <c r="AY12" s="127">
        <f t="shared" si="9"/>
        <v>50699.479999999836</v>
      </c>
      <c r="AZ12" s="127">
        <f>Oct!FG13</f>
        <v>2152.3699999999817</v>
      </c>
      <c r="BA12" s="127">
        <f>Oct!FJ13</f>
        <v>82.3700000007276</v>
      </c>
      <c r="BB12" s="127">
        <f>Oct!FM50</f>
        <v>0</v>
      </c>
      <c r="BC12" s="127">
        <f>Oct!GM13</f>
        <v>0</v>
      </c>
      <c r="BD12" s="127">
        <f t="shared" si="10"/>
        <v>2234.7400000007092</v>
      </c>
      <c r="BE12" s="127">
        <f>Oct!GP13</f>
        <v>0</v>
      </c>
      <c r="BF12" s="127">
        <f>Oct!GS13</f>
        <v>99</v>
      </c>
      <c r="BG12" s="127">
        <f t="shared" si="11"/>
        <v>99</v>
      </c>
      <c r="BH12" s="127">
        <f t="shared" si="2"/>
        <v>1321</v>
      </c>
      <c r="BI12" s="127"/>
      <c r="BJ12" s="127"/>
      <c r="BK12" s="127"/>
      <c r="BL12" s="128">
        <f>+AS12*0.6</f>
        <v>24944.399999999998</v>
      </c>
      <c r="BM12" s="128">
        <f>(AS12-BL12)</f>
        <v>16629.600000000002</v>
      </c>
      <c r="BN12" s="128"/>
      <c r="BO12" s="128">
        <f t="shared" si="14"/>
        <v>0</v>
      </c>
      <c r="BP12" s="128"/>
      <c r="BQ12" s="358">
        <f t="shared" ref="BQ12:BQ37" si="16">+BG12</f>
        <v>99</v>
      </c>
      <c r="BR12" s="128"/>
      <c r="BS12" s="128">
        <f t="shared" si="15"/>
        <v>0</v>
      </c>
      <c r="BT12" s="42">
        <f>Oct!D51</f>
        <v>0</v>
      </c>
      <c r="BU12" s="42">
        <f>Oct!G52</f>
        <v>84000</v>
      </c>
      <c r="BV12" s="357" t="s">
        <v>444</v>
      </c>
      <c r="BX12" s="42">
        <f>Oct!HJ13</f>
        <v>186000</v>
      </c>
      <c r="BY12" s="42">
        <f>Oct!HM13</f>
        <v>0</v>
      </c>
      <c r="BZ12" s="42">
        <f>Oct!HP13</f>
        <v>46225.000000000364</v>
      </c>
      <c r="CA12" s="42">
        <f>Oct!HS13</f>
        <v>28625</v>
      </c>
      <c r="CB12" s="42">
        <f>Oct!HV13</f>
        <v>30324.999999999818</v>
      </c>
      <c r="CC12" s="42">
        <f>Oct!HY13</f>
        <v>27525.000000000091</v>
      </c>
      <c r="CD12" s="42">
        <f>Oct!IB13</f>
        <v>31400</v>
      </c>
      <c r="CE12" s="42">
        <f>Oct!IE13</f>
        <v>0</v>
      </c>
      <c r="CF12" s="42">
        <f>Oct!IH13</f>
        <v>21900</v>
      </c>
    </row>
    <row r="13" spans="1:84" x14ac:dyDescent="0.25">
      <c r="A13" s="26">
        <f t="shared" si="13"/>
        <v>7</v>
      </c>
      <c r="B13" s="42">
        <f>Oct!G14</f>
        <v>401920.00000000553</v>
      </c>
      <c r="C13" s="42">
        <f>Oct!N14</f>
        <v>395000</v>
      </c>
      <c r="D13" s="42">
        <f>Oct!T14</f>
        <v>349.45999999903142</v>
      </c>
      <c r="E13" s="42">
        <f>Oct!V14</f>
        <v>0</v>
      </c>
      <c r="F13" s="42">
        <f>Oct!AB14</f>
        <v>100</v>
      </c>
      <c r="G13" s="42">
        <f>Oct!X14</f>
        <v>16950.540000000605</v>
      </c>
      <c r="H13" s="42">
        <f>Oct!AE14</f>
        <v>5899.9999999996362</v>
      </c>
      <c r="I13" s="42">
        <f>Oct!AI14</f>
        <v>13986.650000000363</v>
      </c>
      <c r="J13" s="42">
        <f>Oct!AN14</f>
        <v>7696.6499999996668</v>
      </c>
      <c r="K13" s="42">
        <f>Oct!AR14</f>
        <v>12000</v>
      </c>
      <c r="L13" s="42">
        <f>Oct!AZ14</f>
        <v>400</v>
      </c>
      <c r="M13" s="42">
        <f>Oct!BC14</f>
        <v>650</v>
      </c>
      <c r="N13" s="125">
        <f t="shared" si="4"/>
        <v>58033.299999999304</v>
      </c>
      <c r="O13" s="125">
        <f>Oct!CA14</f>
        <v>687.70000000000664</v>
      </c>
      <c r="P13" s="125">
        <f>Oct!CD14</f>
        <v>2197.5999999999767</v>
      </c>
      <c r="Q13" s="125">
        <f>Oct!CF14</f>
        <v>3740</v>
      </c>
      <c r="R13" s="125">
        <f>Oct!CH14</f>
        <v>0</v>
      </c>
      <c r="S13" s="125">
        <f>Oct!CK14</f>
        <v>16408.950000000939</v>
      </c>
      <c r="T13" s="125">
        <f>Oct!CO14</f>
        <v>6111.6499999994539</v>
      </c>
      <c r="U13" s="125">
        <f>Oct!CS14</f>
        <v>6846.3500000000695</v>
      </c>
      <c r="V13" s="126">
        <f t="shared" si="5"/>
        <v>35992.250000000451</v>
      </c>
      <c r="W13" s="126">
        <f>Oct!CW14</f>
        <v>768</v>
      </c>
      <c r="X13" s="126">
        <f>Oct!DA14</f>
        <v>490</v>
      </c>
      <c r="Y13" s="126">
        <f t="shared" si="1"/>
        <v>1258</v>
      </c>
      <c r="Z13" s="42">
        <f>Oct!BR14</f>
        <v>1000</v>
      </c>
      <c r="AA13" s="126">
        <f>Oct!BG14</f>
        <v>1599.9999999999091</v>
      </c>
      <c r="AB13" s="126">
        <f>Oct!BJ14</f>
        <v>9000</v>
      </c>
      <c r="AC13" s="126">
        <f>Oct!BL14+Oct!BN14</f>
        <v>4589.9999999999682</v>
      </c>
      <c r="AD13" s="126">
        <f>Oct!DR14</f>
        <v>10600</v>
      </c>
      <c r="AE13" s="127">
        <f>Oct!DT14-Oct!DR54-Oct!DT54</f>
        <v>23000</v>
      </c>
      <c r="AF13" s="127">
        <f>Oct!DR54+Oct!DT54</f>
        <v>0</v>
      </c>
      <c r="AG13" s="127">
        <f>Oct!HJ14-AE13</f>
        <v>155000</v>
      </c>
      <c r="AH13" s="127">
        <f>Oct!DW14</f>
        <v>4500</v>
      </c>
      <c r="AI13" s="127">
        <f>Oct!DZ14</f>
        <v>8886.65</v>
      </c>
      <c r="AJ13" s="127">
        <f>Oct!EC14</f>
        <v>26046.65</v>
      </c>
      <c r="AK13" s="127">
        <f t="shared" si="6"/>
        <v>39433.300000000003</v>
      </c>
      <c r="AL13" s="127">
        <f>Oct!EG14</f>
        <v>27046.65</v>
      </c>
      <c r="AM13" s="127">
        <f>Oct!EJ14</f>
        <v>10886.65</v>
      </c>
      <c r="AN13" s="127">
        <f>Oct!EM14</f>
        <v>400.00000000009095</v>
      </c>
      <c r="AO13" s="127">
        <f t="shared" si="7"/>
        <v>38333.30000000009</v>
      </c>
      <c r="AP13" s="127">
        <f>Oct!FX14</f>
        <v>34500</v>
      </c>
      <c r="AQ13" s="127">
        <f>Oct!GA14</f>
        <v>7340</v>
      </c>
      <c r="AR13" s="127">
        <f>Oct!GG14</f>
        <v>9070</v>
      </c>
      <c r="AS13" s="127">
        <f t="shared" si="8"/>
        <v>50910</v>
      </c>
      <c r="AT13" s="127">
        <f>Oct!EQ14</f>
        <v>7731.6499999999705</v>
      </c>
      <c r="AU13" s="127">
        <f>Oct!ET14</f>
        <v>18000</v>
      </c>
      <c r="AV13" s="127">
        <f>Oct!EW14</f>
        <v>11686.650000000182</v>
      </c>
      <c r="AW13" s="127">
        <f>Oct!FL51</f>
        <v>15773.3</v>
      </c>
      <c r="AX13" s="127">
        <f>Oct!GJ14</f>
        <v>1930</v>
      </c>
      <c r="AY13" s="127">
        <f t="shared" si="9"/>
        <v>55121.600000000151</v>
      </c>
      <c r="AZ13" s="127">
        <f>Oct!FG14</f>
        <v>2041.6500000000296</v>
      </c>
      <c r="BA13" s="127">
        <f>Oct!FJ14</f>
        <v>886.65</v>
      </c>
      <c r="BB13" s="127">
        <f>Oct!FM51</f>
        <v>0</v>
      </c>
      <c r="BC13" s="127">
        <f>Oct!GM14</f>
        <v>0</v>
      </c>
      <c r="BD13" s="127">
        <f t="shared" si="10"/>
        <v>2928.3000000000297</v>
      </c>
      <c r="BE13" s="127">
        <f>Oct!GP14</f>
        <v>0</v>
      </c>
      <c r="BF13" s="127">
        <f>Oct!GS14</f>
        <v>120</v>
      </c>
      <c r="BG13" s="127">
        <f t="shared" si="11"/>
        <v>120</v>
      </c>
      <c r="BH13" s="127">
        <f t="shared" si="2"/>
        <v>1258</v>
      </c>
      <c r="BI13" s="127"/>
      <c r="BJ13" s="127"/>
      <c r="BK13" s="127"/>
      <c r="BL13" s="128">
        <f>+AS13*0.66</f>
        <v>33600.6</v>
      </c>
      <c r="BM13" s="128">
        <f>(AS13-BL13)</f>
        <v>17309.400000000001</v>
      </c>
      <c r="BN13" s="128"/>
      <c r="BO13" s="128">
        <f t="shared" si="14"/>
        <v>0</v>
      </c>
      <c r="BP13" s="128"/>
      <c r="BQ13" s="358">
        <f t="shared" si="16"/>
        <v>120</v>
      </c>
      <c r="BR13" s="128"/>
      <c r="BS13" s="128">
        <f t="shared" si="15"/>
        <v>0</v>
      </c>
      <c r="BT13" s="42">
        <f>Oct!D52</f>
        <v>0</v>
      </c>
      <c r="BU13" s="42">
        <f>Oct!G53</f>
        <v>85000</v>
      </c>
      <c r="BV13" s="357" t="s">
        <v>445</v>
      </c>
      <c r="BX13" s="42">
        <f>Oct!HJ14</f>
        <v>178000</v>
      </c>
      <c r="BY13" s="42">
        <f>Oct!HM14</f>
        <v>0</v>
      </c>
      <c r="BZ13" s="42">
        <f>Oct!HP14</f>
        <v>45649.999999999818</v>
      </c>
      <c r="CA13" s="42">
        <f>Oct!HS14</f>
        <v>25250.000000000182</v>
      </c>
      <c r="CB13" s="42">
        <f>Oct!HV14</f>
        <v>27150.000000000728</v>
      </c>
      <c r="CC13" s="42">
        <f>Oct!HY14</f>
        <v>23850.000000000091</v>
      </c>
      <c r="CD13" s="42">
        <f>Oct!IB14</f>
        <v>33100</v>
      </c>
      <c r="CE13" s="42">
        <f>Oct!IE14</f>
        <v>0</v>
      </c>
      <c r="CF13" s="42">
        <f>Oct!IH14</f>
        <v>23000</v>
      </c>
    </row>
    <row r="14" spans="1:84" x14ac:dyDescent="0.25">
      <c r="A14" s="26">
        <f t="shared" si="13"/>
        <v>8</v>
      </c>
      <c r="B14" s="42">
        <f>Oct!G15</f>
        <v>389119.99999999534</v>
      </c>
      <c r="C14" s="42">
        <f>Oct!N15</f>
        <v>384000</v>
      </c>
      <c r="D14" s="42">
        <f>Oct!T15</f>
        <v>421.83000000007451</v>
      </c>
      <c r="E14" s="42">
        <f>Oct!V15</f>
        <v>0</v>
      </c>
      <c r="F14" s="42">
        <f>Oct!AB15</f>
        <v>200</v>
      </c>
      <c r="G14" s="42">
        <f>Oct!X15</f>
        <v>17478.170000000289</v>
      </c>
      <c r="H14" s="42">
        <f>Oct!AE15</f>
        <v>7600.0000000003638</v>
      </c>
      <c r="I14" s="42">
        <f>Oct!AI15</f>
        <v>15972.13</v>
      </c>
      <c r="J14" s="42">
        <f>Oct!AN15</f>
        <v>7342.1300000008177</v>
      </c>
      <c r="K14" s="42">
        <f>Oct!AR15</f>
        <v>7800.0000000010914</v>
      </c>
      <c r="L14" s="42">
        <f>Oct!AZ15</f>
        <v>390</v>
      </c>
      <c r="M14" s="42">
        <f>Oct!BC15</f>
        <v>570</v>
      </c>
      <c r="N14" s="125">
        <f t="shared" si="4"/>
        <v>57774.260000002636</v>
      </c>
      <c r="O14" s="125">
        <f>Oct!CA15</f>
        <v>674.09999999995307</v>
      </c>
      <c r="P14" s="125">
        <f>Oct!CD15</f>
        <v>1739.5</v>
      </c>
      <c r="Q14" s="125">
        <f>Oct!CF15</f>
        <v>4195</v>
      </c>
      <c r="R14" s="125">
        <f>Oct!CH15</f>
        <v>358.89999999999418</v>
      </c>
      <c r="S14" s="125">
        <f>Oct!CK15</f>
        <v>15138.030000000192</v>
      </c>
      <c r="T14" s="125">
        <f>Oct!CO15</f>
        <v>4575.1300000000656</v>
      </c>
      <c r="U14" s="125">
        <f>Oct!CS15</f>
        <v>5820.7299999999768</v>
      </c>
      <c r="V14" s="126">
        <f t="shared" si="5"/>
        <v>32501.390000000181</v>
      </c>
      <c r="W14" s="126">
        <f>Oct!CW15</f>
        <v>778</v>
      </c>
      <c r="X14" s="126">
        <f>Oct!DA15</f>
        <v>495</v>
      </c>
      <c r="Y14" s="126">
        <f t="shared" si="1"/>
        <v>1273</v>
      </c>
      <c r="Z14" s="42">
        <f>Oct!BR15</f>
        <v>699.99999999993179</v>
      </c>
      <c r="AA14" s="126">
        <f>Oct!BG15</f>
        <v>1500</v>
      </c>
      <c r="AB14" s="126">
        <f>Oct!BJ15</f>
        <v>8000</v>
      </c>
      <c r="AC14" s="126">
        <f>Oct!BL15+Oct!BN15</f>
        <v>4629.9999999999773</v>
      </c>
      <c r="AD14" s="126">
        <f>Oct!DR15</f>
        <v>10400</v>
      </c>
      <c r="AE14" s="127">
        <f>Oct!DT15-Oct!DR55-Oct!DT55</f>
        <v>30400</v>
      </c>
      <c r="AF14" s="127">
        <f>Oct!DR55+Oct!DT55</f>
        <v>0</v>
      </c>
      <c r="AG14" s="127">
        <f>Oct!HJ15-AE14</f>
        <v>153600</v>
      </c>
      <c r="AH14" s="127">
        <f>Oct!DW15</f>
        <v>4700.0000000007276</v>
      </c>
      <c r="AI14" s="127">
        <f>Oct!DZ15</f>
        <v>7972.13</v>
      </c>
      <c r="AJ14" s="127">
        <f>Oct!EC15</f>
        <v>25132.13</v>
      </c>
      <c r="AK14" s="127">
        <f t="shared" si="6"/>
        <v>37804.26000000073</v>
      </c>
      <c r="AL14" s="127">
        <f>Oct!EG15</f>
        <v>29132.13</v>
      </c>
      <c r="AM14" s="127">
        <f>Oct!EJ15</f>
        <v>10972.13</v>
      </c>
      <c r="AN14" s="127">
        <f>Oct!EM15</f>
        <v>569.99999999993634</v>
      </c>
      <c r="AO14" s="127">
        <f t="shared" si="7"/>
        <v>40674.259999999937</v>
      </c>
      <c r="AP14" s="127">
        <f>Oct!FX15</f>
        <v>31700</v>
      </c>
      <c r="AQ14" s="127">
        <f>Oct!GA15</f>
        <v>6800</v>
      </c>
      <c r="AR14" s="127">
        <f>Oct!GG15</f>
        <v>7340.0000000000909</v>
      </c>
      <c r="AS14" s="127">
        <f t="shared" si="8"/>
        <v>45840.000000000087</v>
      </c>
      <c r="AT14" s="127">
        <f>Oct!EQ15</f>
        <v>6677.130000000041</v>
      </c>
      <c r="AU14" s="127">
        <f>Oct!ET15</f>
        <v>16000</v>
      </c>
      <c r="AV14" s="127">
        <f>Oct!EW15</f>
        <v>10272.130000000181</v>
      </c>
      <c r="AW14" s="127">
        <f>Oct!FL52</f>
        <v>13944.259999999998</v>
      </c>
      <c r="AX14" s="127">
        <f>Oct!GJ15</f>
        <v>1560</v>
      </c>
      <c r="AY14" s="127">
        <f t="shared" si="9"/>
        <v>48453.520000000222</v>
      </c>
      <c r="AZ14" s="127">
        <f>Oct!FG15</f>
        <v>2267.1299999999592</v>
      </c>
      <c r="BA14" s="127">
        <f>Oct!FJ15</f>
        <v>72.130000000363793</v>
      </c>
      <c r="BB14" s="127">
        <f>Oct!FM52</f>
        <v>0</v>
      </c>
      <c r="BC14" s="127">
        <f>Oct!GM15</f>
        <v>99.999999999909051</v>
      </c>
      <c r="BD14" s="127">
        <f t="shared" si="10"/>
        <v>2439.2600000002321</v>
      </c>
      <c r="BE14" s="127">
        <f>Oct!GP15</f>
        <v>0</v>
      </c>
      <c r="BF14" s="127">
        <f>Oct!GS15</f>
        <v>130</v>
      </c>
      <c r="BG14" s="127">
        <f t="shared" si="11"/>
        <v>130</v>
      </c>
      <c r="BH14" s="127">
        <f t="shared" si="2"/>
        <v>1273</v>
      </c>
      <c r="BI14" s="127"/>
      <c r="BJ14" s="127"/>
      <c r="BK14" s="127"/>
      <c r="BL14" s="128">
        <f>+AS14*0.56</f>
        <v>25670.400000000052</v>
      </c>
      <c r="BM14" s="128">
        <f t="shared" ref="BM14:BM35" si="17">(AS14-BL14)</f>
        <v>20169.600000000035</v>
      </c>
      <c r="BN14" s="128"/>
      <c r="BO14" s="128">
        <f t="shared" si="14"/>
        <v>0</v>
      </c>
      <c r="BP14" s="128"/>
      <c r="BQ14" s="358">
        <f t="shared" si="16"/>
        <v>130</v>
      </c>
      <c r="BR14" s="128"/>
      <c r="BS14" s="128">
        <f t="shared" si="15"/>
        <v>0</v>
      </c>
      <c r="BT14" s="42">
        <f>Oct!D53</f>
        <v>0</v>
      </c>
      <c r="BU14" s="42">
        <f>Oct!G54</f>
        <v>87000</v>
      </c>
      <c r="BV14" s="357" t="s">
        <v>446</v>
      </c>
      <c r="BX14" s="42">
        <f>Oct!HJ15</f>
        <v>184000</v>
      </c>
      <c r="BY14" s="42">
        <f>Oct!HM15</f>
        <v>0</v>
      </c>
      <c r="BZ14" s="42">
        <f>Oct!HP15</f>
        <v>43275.000000000182</v>
      </c>
      <c r="CA14" s="42">
        <f>Oct!HS15</f>
        <v>26174.999999999818</v>
      </c>
      <c r="CB14" s="42">
        <f>Oct!HV15</f>
        <v>28374.999999999636</v>
      </c>
      <c r="CC14" s="42">
        <f>Oct!HY15</f>
        <v>23475</v>
      </c>
      <c r="CD14" s="42">
        <f>Oct!IB15</f>
        <v>32300</v>
      </c>
      <c r="CE14" s="42">
        <f>Oct!IE15</f>
        <v>0</v>
      </c>
      <c r="CF14" s="42">
        <f>Oct!IH15</f>
        <v>30400</v>
      </c>
    </row>
    <row r="15" spans="1:84" x14ac:dyDescent="0.25">
      <c r="A15" s="26">
        <f t="shared" si="13"/>
        <v>9</v>
      </c>
      <c r="B15" s="42">
        <f>Oct!G16</f>
        <v>398079.99999999447</v>
      </c>
      <c r="C15" s="42">
        <f>Oct!N16</f>
        <v>402000</v>
      </c>
      <c r="D15" s="42">
        <f>Oct!T16</f>
        <v>270.24000000022352</v>
      </c>
      <c r="E15" s="42">
        <f>Oct!V16</f>
        <v>0</v>
      </c>
      <c r="F15" s="42">
        <f>Oct!AB16</f>
        <v>200</v>
      </c>
      <c r="G15" s="42">
        <f>Oct!X16</f>
        <v>17629.76000000014</v>
      </c>
      <c r="H15" s="42">
        <f>Oct!AE16</f>
        <v>8000</v>
      </c>
      <c r="I15" s="42">
        <f>Oct!AI16</f>
        <v>17329.930000001092</v>
      </c>
      <c r="J15" s="42">
        <f>Oct!AN16</f>
        <v>6699.9300000002777</v>
      </c>
      <c r="K15" s="42">
        <f>Oct!AR16</f>
        <v>8600.0000000003638</v>
      </c>
      <c r="L15" s="42">
        <f>Oct!AZ16</f>
        <v>410</v>
      </c>
      <c r="M15" s="42">
        <f>Oct!BC16</f>
        <v>540</v>
      </c>
      <c r="N15" s="125">
        <f t="shared" si="4"/>
        <v>59679.860000002096</v>
      </c>
      <c r="O15" s="125">
        <f>Oct!CA16</f>
        <v>564.00000000002137</v>
      </c>
      <c r="P15" s="125">
        <f>Oct!CD16</f>
        <v>0</v>
      </c>
      <c r="Q15" s="125">
        <f>Oct!CF16</f>
        <v>4264</v>
      </c>
      <c r="R15" s="125">
        <f>Oct!CH16</f>
        <v>0</v>
      </c>
      <c r="S15" s="125">
        <f>Oct!CK16</f>
        <v>15035.929999999687</v>
      </c>
      <c r="T15" s="125">
        <f>Oct!CO16</f>
        <v>4809.9299999997456</v>
      </c>
      <c r="U15" s="125">
        <f>Oct!CS16</f>
        <v>6179.93</v>
      </c>
      <c r="V15" s="126">
        <f t="shared" si="5"/>
        <v>30853.789999999455</v>
      </c>
      <c r="W15" s="126">
        <f>Oct!CW16</f>
        <v>881</v>
      </c>
      <c r="X15" s="126">
        <f>Oct!DA16</f>
        <v>506</v>
      </c>
      <c r="Y15" s="126">
        <f t="shared" si="1"/>
        <v>1387</v>
      </c>
      <c r="Z15" s="42">
        <f>Oct!BR16</f>
        <v>600.00000000002274</v>
      </c>
      <c r="AA15" s="126">
        <f>Oct!BG16</f>
        <v>1500</v>
      </c>
      <c r="AB15" s="126">
        <f>Oct!BJ16</f>
        <v>9000</v>
      </c>
      <c r="AC15" s="126">
        <f>Oct!BL16+Oct!BN16</f>
        <v>5330.0000000000637</v>
      </c>
      <c r="AD15" s="126">
        <f>Oct!DR16</f>
        <v>11200</v>
      </c>
      <c r="AE15" s="127">
        <f>Oct!DT16-Oct!DR56-Oct!DT56</f>
        <v>26500</v>
      </c>
      <c r="AF15" s="127">
        <f>Oct!DR56+Oct!DT56</f>
        <v>0</v>
      </c>
      <c r="AG15" s="127">
        <f>Oct!HJ16-AE15</f>
        <v>155500</v>
      </c>
      <c r="AH15" s="127">
        <f>Oct!DW16</f>
        <v>4399.9999999996362</v>
      </c>
      <c r="AI15" s="127">
        <f>Oct!DZ16</f>
        <v>8029.93</v>
      </c>
      <c r="AJ15" s="127">
        <f>Oct!EC16</f>
        <v>25189.93</v>
      </c>
      <c r="AK15" s="127">
        <f t="shared" si="6"/>
        <v>37619.859999999637</v>
      </c>
      <c r="AL15" s="127">
        <f>Oct!EG16</f>
        <v>22189.93</v>
      </c>
      <c r="AM15" s="127">
        <f>Oct!EJ16</f>
        <v>10029.93</v>
      </c>
      <c r="AN15" s="127">
        <f>Oct!EM16</f>
        <v>700.00000000004547</v>
      </c>
      <c r="AO15" s="127">
        <f t="shared" si="7"/>
        <v>32919.860000000044</v>
      </c>
      <c r="AP15" s="127">
        <f>Oct!FX16</f>
        <v>36500</v>
      </c>
      <c r="AQ15" s="127">
        <f>Oct!GA16</f>
        <v>8210</v>
      </c>
      <c r="AR15" s="127">
        <f>Oct!GG16</f>
        <v>8349.9999999999091</v>
      </c>
      <c r="AS15" s="127">
        <f t="shared" si="8"/>
        <v>53059.999999999913</v>
      </c>
      <c r="AT15" s="127">
        <f>Oct!EQ16</f>
        <v>6619.9299999999748</v>
      </c>
      <c r="AU15" s="127">
        <f>Oct!ET16</f>
        <v>18000</v>
      </c>
      <c r="AV15" s="127">
        <f>Oct!EW16</f>
        <v>10729.929999999818</v>
      </c>
      <c r="AW15" s="127">
        <f>Oct!FL53</f>
        <v>22059.86</v>
      </c>
      <c r="AX15" s="127">
        <f>Oct!GJ16</f>
        <v>1750</v>
      </c>
      <c r="AY15" s="127">
        <f t="shared" si="9"/>
        <v>59159.719999999797</v>
      </c>
      <c r="AZ15" s="127">
        <f>Oct!FG16</f>
        <v>8439.9300000000258</v>
      </c>
      <c r="BA15" s="127">
        <f>Oct!FJ16</f>
        <v>7329.9299999992727</v>
      </c>
      <c r="BB15" s="127">
        <f>Oct!FM53</f>
        <v>0</v>
      </c>
      <c r="BC15" s="127">
        <f>Oct!GM16</f>
        <v>900.00000000009095</v>
      </c>
      <c r="BD15" s="127">
        <f t="shared" si="10"/>
        <v>16669.859999999389</v>
      </c>
      <c r="BE15" s="127">
        <f>Oct!GP16</f>
        <v>10</v>
      </c>
      <c r="BF15" s="127">
        <f>Oct!GS16</f>
        <v>90</v>
      </c>
      <c r="BG15" s="127">
        <f t="shared" si="11"/>
        <v>100</v>
      </c>
      <c r="BH15" s="127">
        <f t="shared" si="2"/>
        <v>1387</v>
      </c>
      <c r="BI15" s="127"/>
      <c r="BJ15" s="127"/>
      <c r="BK15" s="127"/>
      <c r="BL15" s="128">
        <f>+AS15*0.67</f>
        <v>35550.199999999946</v>
      </c>
      <c r="BM15" s="128">
        <f t="shared" si="17"/>
        <v>17509.799999999967</v>
      </c>
      <c r="BN15" s="128"/>
      <c r="BO15" s="128">
        <f t="shared" si="14"/>
        <v>0</v>
      </c>
      <c r="BP15" s="128"/>
      <c r="BQ15" s="358">
        <f t="shared" si="16"/>
        <v>100</v>
      </c>
      <c r="BR15" s="128"/>
      <c r="BS15" s="128">
        <f t="shared" si="15"/>
        <v>0</v>
      </c>
      <c r="BT15" s="42">
        <f>Oct!D54</f>
        <v>0</v>
      </c>
      <c r="BU15" s="42">
        <f>Oct!G55</f>
        <v>103000</v>
      </c>
      <c r="BV15" s="357" t="s">
        <v>447</v>
      </c>
      <c r="BW15" s="151"/>
      <c r="BX15" s="42">
        <f>Oct!HJ16</f>
        <v>182000</v>
      </c>
      <c r="BY15" s="42">
        <f>Oct!HM16</f>
        <v>0</v>
      </c>
      <c r="BZ15" s="42">
        <f>Oct!HP16</f>
        <v>42499.999999999636</v>
      </c>
      <c r="CA15" s="42">
        <f>Oct!HS16</f>
        <v>26799.999999999818</v>
      </c>
      <c r="CB15" s="42">
        <f>Oct!HV16</f>
        <v>29400.000000000182</v>
      </c>
      <c r="CC15" s="42">
        <f>Oct!HY16</f>
        <v>24500.000000000091</v>
      </c>
      <c r="CD15" s="42">
        <f>Oct!IB16</f>
        <v>32300</v>
      </c>
      <c r="CE15" s="42">
        <f>Oct!IE16</f>
        <v>0</v>
      </c>
      <c r="CF15" s="42">
        <f>Oct!IH16</f>
        <v>26500</v>
      </c>
    </row>
    <row r="16" spans="1:84" x14ac:dyDescent="0.25">
      <c r="A16" s="26">
        <f t="shared" si="13"/>
        <v>10</v>
      </c>
      <c r="B16" s="42">
        <f>Oct!G17</f>
        <v>390079.99999999447</v>
      </c>
      <c r="C16" s="42">
        <f>Oct!N17</f>
        <v>387000</v>
      </c>
      <c r="D16" s="42">
        <f>Oct!T17</f>
        <v>346.10999999940395</v>
      </c>
      <c r="E16" s="42">
        <f>Oct!V17</f>
        <v>0</v>
      </c>
      <c r="F16" s="42">
        <f>Oct!AB17</f>
        <v>100</v>
      </c>
      <c r="G16" s="42">
        <f>Oct!X17</f>
        <v>17253.889999999505</v>
      </c>
      <c r="H16" s="42">
        <f>Oct!AE17</f>
        <v>7599.9999999994543</v>
      </c>
      <c r="I16" s="42">
        <f>Oct!AI17</f>
        <v>16058.669999999636</v>
      </c>
      <c r="J16" s="42">
        <f>Oct!AN17</f>
        <v>8738.6700000003602</v>
      </c>
      <c r="K16" s="42">
        <f>Oct!AR17</f>
        <v>8099.9999999985448</v>
      </c>
      <c r="L16" s="42">
        <f>Oct!AZ17</f>
        <v>360</v>
      </c>
      <c r="M16" s="42">
        <f>Oct!BC17</f>
        <v>550</v>
      </c>
      <c r="N16" s="125">
        <f t="shared" si="4"/>
        <v>59107.339999996904</v>
      </c>
      <c r="O16" s="125">
        <f>Oct!CA17</f>
        <v>730.40000000003147</v>
      </c>
      <c r="P16" s="125">
        <f>Oct!CD17</f>
        <v>0</v>
      </c>
      <c r="Q16" s="125">
        <f>Oct!CF17</f>
        <v>3831</v>
      </c>
      <c r="R16" s="125">
        <f>Oct!CH17</f>
        <v>0</v>
      </c>
      <c r="S16" s="125">
        <f>Oct!CK17</f>
        <v>15108.270000000259</v>
      </c>
      <c r="T16" s="125">
        <f>Oct!CO17</f>
        <v>6060.6700000000437</v>
      </c>
      <c r="U16" s="125">
        <f>Oct!CS17</f>
        <v>6596.67</v>
      </c>
      <c r="V16" s="126">
        <f t="shared" si="5"/>
        <v>32327.010000000329</v>
      </c>
      <c r="W16" s="126">
        <f>Oct!CW17</f>
        <v>864</v>
      </c>
      <c r="X16" s="126">
        <f>Oct!DA17</f>
        <v>458</v>
      </c>
      <c r="Y16" s="126">
        <f t="shared" si="1"/>
        <v>1322</v>
      </c>
      <c r="Z16" s="42">
        <f>Oct!BR17</f>
        <v>700.00000000004547</v>
      </c>
      <c r="AA16" s="126">
        <f>Oct!BG17</f>
        <v>1599.9999999999091</v>
      </c>
      <c r="AB16" s="126">
        <f>Oct!BJ17</f>
        <v>9000</v>
      </c>
      <c r="AC16" s="126">
        <f>Oct!BL17+Oct!BN17+Oct!BP17</f>
        <v>2319.9999999999591</v>
      </c>
      <c r="AD16" s="126">
        <f>Oct!DR17</f>
        <v>11300</v>
      </c>
      <c r="AE16" s="127">
        <f>Oct!DT17-Oct!DR57-Oct!DT57</f>
        <v>23600</v>
      </c>
      <c r="AF16" s="127">
        <f>Oct!DR57+Oct!DT57</f>
        <v>0</v>
      </c>
      <c r="AG16" s="127">
        <f>Oct!HJ17-AE16</f>
        <v>154400</v>
      </c>
      <c r="AH16" s="127">
        <f>Oct!DW17</f>
        <v>4500</v>
      </c>
      <c r="AI16" s="127">
        <f>Oct!DZ17</f>
        <v>8158.67</v>
      </c>
      <c r="AJ16" s="127">
        <f>Oct!EC17</f>
        <v>26318.67</v>
      </c>
      <c r="AK16" s="127">
        <f t="shared" si="6"/>
        <v>38977.339999999997</v>
      </c>
      <c r="AL16" s="127">
        <f>Oct!EG17</f>
        <v>29318.67</v>
      </c>
      <c r="AM16" s="127">
        <f>Oct!EJ17</f>
        <v>11158.67</v>
      </c>
      <c r="AN16" s="127">
        <f>Oct!EM17</f>
        <v>799.99999999995453</v>
      </c>
      <c r="AO16" s="127">
        <f t="shared" si="7"/>
        <v>41277.339999999953</v>
      </c>
      <c r="AP16" s="127">
        <f>Oct!FX17</f>
        <v>33016</v>
      </c>
      <c r="AQ16" s="127">
        <f>Oct!GA17</f>
        <v>7484</v>
      </c>
      <c r="AR16" s="127">
        <f>Oct!GG17</f>
        <v>7740.0000000000455</v>
      </c>
      <c r="AS16" s="127">
        <f t="shared" si="8"/>
        <v>48240.000000000044</v>
      </c>
      <c r="AT16" s="127">
        <f>Oct!EQ17</f>
        <v>6968.6700000002866</v>
      </c>
      <c r="AU16" s="127">
        <f>Oct!ET17</f>
        <v>17700.000000000728</v>
      </c>
      <c r="AV16" s="127">
        <f>Oct!EW17</f>
        <v>10006.669999999956</v>
      </c>
      <c r="AW16" s="127">
        <f>Oct!FL54</f>
        <v>15339.097599998602</v>
      </c>
      <c r="AX16" s="127">
        <f>Oct!GJ17</f>
        <v>1960</v>
      </c>
      <c r="AY16" s="127">
        <f t="shared" si="9"/>
        <v>51974.437599999575</v>
      </c>
      <c r="AZ16" s="127">
        <f>Oct!FG17</f>
        <v>11628.66999999855</v>
      </c>
      <c r="BA16" s="127">
        <f>Oct!FJ17</f>
        <v>15258.670000000364</v>
      </c>
      <c r="BB16" s="127">
        <f>Oct!FM54</f>
        <v>8628.2423999992134</v>
      </c>
      <c r="BC16" s="127">
        <f>Oct!GM17</f>
        <v>299.99999999995453</v>
      </c>
      <c r="BD16" s="127">
        <f t="shared" si="10"/>
        <v>35815.582399998078</v>
      </c>
      <c r="BE16" s="127">
        <f>Oct!GP17</f>
        <v>10</v>
      </c>
      <c r="BF16" s="127">
        <f>Oct!GS17</f>
        <v>109</v>
      </c>
      <c r="BG16" s="127">
        <f t="shared" si="11"/>
        <v>119</v>
      </c>
      <c r="BH16" s="127">
        <f t="shared" si="2"/>
        <v>1322</v>
      </c>
      <c r="BI16" s="127"/>
      <c r="BJ16" s="127"/>
      <c r="BK16" s="127"/>
      <c r="BL16" s="128">
        <f>+AS16*0.62</f>
        <v>29908.800000000028</v>
      </c>
      <c r="BM16" s="128">
        <f t="shared" si="17"/>
        <v>18331.200000000015</v>
      </c>
      <c r="BN16" s="128"/>
      <c r="BO16" s="128">
        <f t="shared" si="14"/>
        <v>0</v>
      </c>
      <c r="BP16" s="128"/>
      <c r="BQ16" s="358">
        <f t="shared" si="16"/>
        <v>119</v>
      </c>
      <c r="BR16" s="128"/>
      <c r="BS16" s="128">
        <f t="shared" si="15"/>
        <v>0</v>
      </c>
      <c r="BT16" s="42">
        <f>Oct!D55</f>
        <v>0</v>
      </c>
      <c r="BU16" s="42">
        <f>Oct!G56</f>
        <v>122000</v>
      </c>
      <c r="BV16" s="357" t="s">
        <v>448</v>
      </c>
      <c r="BX16" s="42">
        <f>Oct!HJ17</f>
        <v>178000</v>
      </c>
      <c r="BY16" s="42">
        <f>Oct!HM17</f>
        <v>0</v>
      </c>
      <c r="BZ16" s="42">
        <f>Oct!HP17</f>
        <v>42400</v>
      </c>
      <c r="CA16" s="42">
        <f>Oct!HS17</f>
        <v>27700.000000000182</v>
      </c>
      <c r="CB16" s="42">
        <f>Oct!HV17</f>
        <v>28599.999999999818</v>
      </c>
      <c r="CC16" s="42">
        <f>Oct!HY17</f>
        <v>25199.999999999727</v>
      </c>
      <c r="CD16" s="42">
        <f>Oct!IB17</f>
        <v>30500</v>
      </c>
      <c r="CE16" s="42">
        <f>Oct!IE17</f>
        <v>0</v>
      </c>
      <c r="CF16" s="42">
        <f>Oct!IH17</f>
        <v>23600</v>
      </c>
    </row>
    <row r="17" spans="1:84" x14ac:dyDescent="0.25">
      <c r="A17" s="26">
        <f t="shared" si="13"/>
        <v>11</v>
      </c>
      <c r="B17" s="42">
        <f>Oct!G18</f>
        <v>380480.00000001775</v>
      </c>
      <c r="C17" s="42">
        <f>Oct!N18</f>
        <v>379000</v>
      </c>
      <c r="D17" s="42">
        <f>Oct!T18</f>
        <v>284.33999999985099</v>
      </c>
      <c r="E17" s="42">
        <f>Oct!V18</f>
        <v>0</v>
      </c>
      <c r="F17" s="42">
        <f>Oct!AB18</f>
        <v>100</v>
      </c>
      <c r="G17" s="42">
        <f>Oct!X18</f>
        <v>17615.660000000149</v>
      </c>
      <c r="H17" s="42">
        <f>Oct!AE18</f>
        <v>7400.0000000005457</v>
      </c>
      <c r="I17" s="42">
        <f>Oct!AI18</f>
        <v>14971.389999999636</v>
      </c>
      <c r="J17" s="42">
        <f>Oct!AN18</f>
        <v>6971.3899999988216</v>
      </c>
      <c r="K17" s="42">
        <f>Oct!AR18</f>
        <v>8600.0000000003638</v>
      </c>
      <c r="L17" s="42">
        <f>Oct!AZ18</f>
        <v>340</v>
      </c>
      <c r="M17" s="42">
        <f>Oct!BC18</f>
        <v>610</v>
      </c>
      <c r="N17" s="125">
        <f t="shared" si="4"/>
        <v>56892.779999999366</v>
      </c>
      <c r="O17" s="125">
        <f>Oct!CA18</f>
        <v>847.99999999995634</v>
      </c>
      <c r="P17" s="125">
        <f>Oct!CD18</f>
        <v>0</v>
      </c>
      <c r="Q17" s="125">
        <f>Oct!CF18</f>
        <v>4112</v>
      </c>
      <c r="R17" s="125">
        <f>Oct!CH18</f>
        <v>0</v>
      </c>
      <c r="S17" s="125">
        <f>Oct!CK18</f>
        <v>15463.389999999825</v>
      </c>
      <c r="T17" s="125">
        <f>Oct!CO18</f>
        <v>7852.3899999999494</v>
      </c>
      <c r="U17" s="125">
        <f>Oct!CS18</f>
        <v>7220.39</v>
      </c>
      <c r="V17" s="126">
        <f t="shared" si="5"/>
        <v>35496.169999999729</v>
      </c>
      <c r="W17" s="126">
        <f>Oct!CW18</f>
        <v>895</v>
      </c>
      <c r="X17" s="126">
        <f>Oct!DA18</f>
        <v>563</v>
      </c>
      <c r="Y17" s="126">
        <f t="shared" si="1"/>
        <v>1458</v>
      </c>
      <c r="Z17" s="42">
        <f>Oct!BR18</f>
        <v>600.00000000002274</v>
      </c>
      <c r="AA17" s="126">
        <f>Oct!BG18</f>
        <v>1700.0000000002728</v>
      </c>
      <c r="AB17" s="126">
        <f>Oct!BJ18</f>
        <v>9000</v>
      </c>
      <c r="AC17" s="126">
        <f>Oct!BL18+Oct!BN18+Oct!BP18</f>
        <v>2700.0000000000637</v>
      </c>
      <c r="AD17" s="126">
        <f>Oct!DR18</f>
        <v>3617</v>
      </c>
      <c r="AE17" s="127">
        <f>Oct!DT18-Oct!DR58-Oct!DT58</f>
        <v>25200</v>
      </c>
      <c r="AF17" s="127">
        <f>Oct!DR58+Oct!DT58</f>
        <v>0</v>
      </c>
      <c r="AG17" s="127">
        <f>Oct!HJ18-AE17</f>
        <v>156800</v>
      </c>
      <c r="AH17" s="127">
        <f>Oct!DW18</f>
        <v>4600.0000000003638</v>
      </c>
      <c r="AI17" s="127">
        <f>Oct!DZ18</f>
        <v>8071.39</v>
      </c>
      <c r="AJ17" s="127">
        <f>Oct!EC18</f>
        <v>26231.39</v>
      </c>
      <c r="AK17" s="127">
        <f t="shared" si="6"/>
        <v>38902.780000000363</v>
      </c>
      <c r="AL17" s="127">
        <f>Oct!EG18</f>
        <v>30231.39</v>
      </c>
      <c r="AM17" s="127">
        <f>Oct!EJ18</f>
        <v>11071.39</v>
      </c>
      <c r="AN17" s="127">
        <f>Oct!EM18</f>
        <v>870.00000000000455</v>
      </c>
      <c r="AO17" s="127">
        <f t="shared" si="7"/>
        <v>42172.780000000006</v>
      </c>
      <c r="AP17" s="127">
        <f>Oct!FX18</f>
        <v>31806</v>
      </c>
      <c r="AQ17" s="127">
        <f>Oct!GA18</f>
        <v>7382.7000000000116</v>
      </c>
      <c r="AR17" s="127">
        <f>Oct!GG18</f>
        <v>7800</v>
      </c>
      <c r="AS17" s="127">
        <f t="shared" si="8"/>
        <v>46988.700000000012</v>
      </c>
      <c r="AT17" s="127">
        <f>Oct!EQ18</f>
        <v>7071.3899999989189</v>
      </c>
      <c r="AU17" s="127">
        <f>Oct!ET18</f>
        <v>17170.000000000073</v>
      </c>
      <c r="AV17" s="127">
        <f>Oct!EW18</f>
        <v>10145.389999999614</v>
      </c>
      <c r="AW17" s="127">
        <f>Oct!FL55</f>
        <v>12176.390000001382</v>
      </c>
      <c r="AX17" s="127">
        <f>Oct!GJ18</f>
        <v>2200</v>
      </c>
      <c r="AY17" s="127">
        <f t="shared" si="9"/>
        <v>48763.169999999984</v>
      </c>
      <c r="AZ17" s="127">
        <f>Oct!FG18</f>
        <v>11621.390000002171</v>
      </c>
      <c r="BA17" s="127">
        <f>Oct!FJ18</f>
        <v>16271.389999998908</v>
      </c>
      <c r="BB17" s="127">
        <f>Oct!FM55</f>
        <v>12176.390000001382</v>
      </c>
      <c r="BC17" s="127">
        <f>Oct!GM18</f>
        <v>0</v>
      </c>
      <c r="BD17" s="127">
        <f t="shared" si="10"/>
        <v>40069.170000002458</v>
      </c>
      <c r="BE17" s="127">
        <f>Oct!GP18</f>
        <v>0</v>
      </c>
      <c r="BF17" s="127">
        <f>Oct!GS18</f>
        <v>119.40000000002328</v>
      </c>
      <c r="BG17" s="127">
        <f t="shared" si="11"/>
        <v>119.40000000002328</v>
      </c>
      <c r="BH17" s="127">
        <f t="shared" si="2"/>
        <v>1458</v>
      </c>
      <c r="BI17" s="127"/>
      <c r="BJ17" s="127"/>
      <c r="BK17" s="127"/>
      <c r="BL17" s="128">
        <f>+AS17*0.58</f>
        <v>27253.446000000004</v>
      </c>
      <c r="BM17" s="128">
        <f t="shared" si="17"/>
        <v>19735.254000000008</v>
      </c>
      <c r="BN17" s="128"/>
      <c r="BO17" s="128">
        <f t="shared" si="14"/>
        <v>0</v>
      </c>
      <c r="BP17" s="128"/>
      <c r="BQ17" s="358">
        <f t="shared" si="16"/>
        <v>119.40000000002328</v>
      </c>
      <c r="BR17" s="128"/>
      <c r="BS17" s="128">
        <f t="shared" si="15"/>
        <v>0</v>
      </c>
      <c r="BT17" s="42">
        <f>Oct!D56</f>
        <v>0</v>
      </c>
      <c r="BU17" s="42">
        <f>Oct!G57</f>
        <v>130000</v>
      </c>
      <c r="BV17" s="357" t="s">
        <v>449</v>
      </c>
      <c r="BX17" s="42">
        <f>Oct!HJ18</f>
        <v>182000</v>
      </c>
      <c r="BY17" s="42">
        <f>Oct!HM18</f>
        <v>0</v>
      </c>
      <c r="BZ17" s="42">
        <f>Oct!HP18</f>
        <v>45200.000000000546</v>
      </c>
      <c r="CA17" s="42">
        <f>Oct!HS18</f>
        <v>20600.000000000182</v>
      </c>
      <c r="CB17" s="42">
        <f>Oct!HV18</f>
        <v>30699.999999999636</v>
      </c>
      <c r="CC17" s="42">
        <f>Oct!HY18</f>
        <v>26500.000000000273</v>
      </c>
      <c r="CD17" s="42">
        <f>Oct!IB18</f>
        <v>33800</v>
      </c>
      <c r="CE17" s="42">
        <f>Oct!IE18</f>
        <v>0</v>
      </c>
      <c r="CF17" s="42">
        <f>Oct!IH18</f>
        <v>25200</v>
      </c>
    </row>
    <row r="18" spans="1:84" x14ac:dyDescent="0.25">
      <c r="A18" s="26">
        <f t="shared" si="13"/>
        <v>12</v>
      </c>
      <c r="B18" s="42">
        <f>Oct!G19</f>
        <v>375359.99999999331</v>
      </c>
      <c r="C18" s="42">
        <f>Oct!N19</f>
        <v>372000</v>
      </c>
      <c r="D18" s="42">
        <f>Oct!T19</f>
        <v>372.08000000007451</v>
      </c>
      <c r="E18" s="42">
        <f>Oct!V19</f>
        <v>0</v>
      </c>
      <c r="F18" s="42">
        <f>Oct!AB19</f>
        <v>200</v>
      </c>
      <c r="G18" s="42">
        <f>Oct!X19</f>
        <v>17327.919999999562</v>
      </c>
      <c r="H18" s="42">
        <f>Oct!AE19</f>
        <v>7399.9999999996362</v>
      </c>
      <c r="I18" s="42">
        <f>Oct!AI19</f>
        <v>16265.540000000365</v>
      </c>
      <c r="J18" s="42">
        <f>Oct!AN19</f>
        <v>6635.5400000000873</v>
      </c>
      <c r="K18" s="42">
        <f>Oct!AR19</f>
        <v>8000</v>
      </c>
      <c r="L18" s="42">
        <f>Oct!AZ19</f>
        <v>370</v>
      </c>
      <c r="M18" s="42">
        <f>Oct!BC19</f>
        <v>540</v>
      </c>
      <c r="N18" s="125">
        <f t="shared" si="4"/>
        <v>57111.079999999725</v>
      </c>
      <c r="O18" s="125">
        <f>Oct!CA19</f>
        <v>799.59999999999809</v>
      </c>
      <c r="P18" s="125">
        <f>Oct!CD19</f>
        <v>0</v>
      </c>
      <c r="Q18" s="125">
        <f>Oct!CF19</f>
        <v>3581</v>
      </c>
      <c r="R18" s="125">
        <f>Oct!CH19</f>
        <v>0</v>
      </c>
      <c r="S18" s="125">
        <f>Oct!CK19</f>
        <v>15155.939999999056</v>
      </c>
      <c r="T18" s="125">
        <f>Oct!CO19</f>
        <v>7119.540000000633</v>
      </c>
      <c r="U18" s="125">
        <f>Oct!CS19</f>
        <v>7031.54</v>
      </c>
      <c r="V18" s="126">
        <f t="shared" si="5"/>
        <v>33687.61999999969</v>
      </c>
      <c r="W18" s="126">
        <f>Oct!CW19</f>
        <v>748</v>
      </c>
      <c r="X18" s="126">
        <f>Oct!DA19</f>
        <v>511</v>
      </c>
      <c r="Y18" s="126">
        <f t="shared" si="1"/>
        <v>1259</v>
      </c>
      <c r="Z18" s="42">
        <f>Oct!BR19</f>
        <v>299.99999999995453</v>
      </c>
      <c r="AA18" s="126">
        <f>Oct!BG19</f>
        <v>1699.9999999998181</v>
      </c>
      <c r="AB18" s="126">
        <f>Oct!BJ19</f>
        <v>8000</v>
      </c>
      <c r="AC18" s="126">
        <f>Oct!BL19+Oct!BN19+Oct!BP19</f>
        <v>4229.9999999999591</v>
      </c>
      <c r="AD18" s="126">
        <f>Oct!DR19</f>
        <v>7606</v>
      </c>
      <c r="AE18" s="127">
        <f>Oct!DT19-Oct!DR59-Oct!DT59</f>
        <v>26700</v>
      </c>
      <c r="AF18" s="127">
        <f>Oct!DR59+Oct!DT59</f>
        <v>0</v>
      </c>
      <c r="AG18" s="127">
        <f>Oct!HJ19-AE18</f>
        <v>138300</v>
      </c>
      <c r="AH18" s="127">
        <f>Oct!DW19</f>
        <v>4399.9999999996362</v>
      </c>
      <c r="AI18" s="127">
        <f>Oct!DZ19</f>
        <v>7665.54</v>
      </c>
      <c r="AJ18" s="127">
        <f>Oct!EC19</f>
        <v>25825.54</v>
      </c>
      <c r="AK18" s="127">
        <f t="shared" si="6"/>
        <v>37891.079999999638</v>
      </c>
      <c r="AL18" s="127">
        <f>Oct!EG19</f>
        <v>29825.54</v>
      </c>
      <c r="AM18" s="127">
        <f>Oct!EJ19</f>
        <v>11665.54</v>
      </c>
      <c r="AN18" s="127">
        <f>Oct!EM19</f>
        <v>500</v>
      </c>
      <c r="AO18" s="127">
        <f t="shared" si="7"/>
        <v>41991.08</v>
      </c>
      <c r="AP18" s="127">
        <f>Oct!FX19</f>
        <v>34278</v>
      </c>
      <c r="AQ18" s="127">
        <f>Oct!GA19</f>
        <v>7473.2999999999884</v>
      </c>
      <c r="AR18" s="127">
        <f>Oct!GG19</f>
        <v>8550</v>
      </c>
      <c r="AS18" s="127">
        <f t="shared" si="8"/>
        <v>50301.299999999988</v>
      </c>
      <c r="AT18" s="127">
        <f>Oct!EQ19</f>
        <v>8915.5400000007976</v>
      </c>
      <c r="AU18" s="127">
        <f>Oct!ET19</f>
        <v>15129.9999999992</v>
      </c>
      <c r="AV18" s="127">
        <f>Oct!EW19</f>
        <v>11243.54000000043</v>
      </c>
      <c r="AW18" s="127">
        <f>Oct!FL56</f>
        <v>12235.53999999971</v>
      </c>
      <c r="AX18" s="127">
        <f>Oct!GJ19</f>
        <v>2450</v>
      </c>
      <c r="AY18" s="127">
        <f t="shared" si="9"/>
        <v>49974.620000000134</v>
      </c>
      <c r="AZ18" s="127">
        <f>Oct!FG19</f>
        <v>9585.5399999992769</v>
      </c>
      <c r="BA18" s="127">
        <f>Oct!FJ19</f>
        <v>15365.540000000728</v>
      </c>
      <c r="BB18" s="127">
        <f>Oct!FM56</f>
        <v>12235.53999999971</v>
      </c>
      <c r="BC18" s="127">
        <f>Oct!GM19</f>
        <v>0</v>
      </c>
      <c r="BD18" s="127">
        <f t="shared" si="10"/>
        <v>37186.619999999719</v>
      </c>
      <c r="BE18" s="127">
        <f>Oct!GP19</f>
        <v>0</v>
      </c>
      <c r="BF18" s="127">
        <f>Oct!GS19</f>
        <v>121.59999999997672</v>
      </c>
      <c r="BG18" s="127">
        <f t="shared" si="11"/>
        <v>121.59999999997672</v>
      </c>
      <c r="BH18" s="127">
        <f t="shared" si="2"/>
        <v>1259</v>
      </c>
      <c r="BI18" s="127"/>
      <c r="BJ18" s="127"/>
      <c r="BK18" s="127"/>
      <c r="BL18" s="128">
        <f>+AS18*0.54</f>
        <v>27162.701999999994</v>
      </c>
      <c r="BM18" s="128">
        <f t="shared" si="17"/>
        <v>23138.597999999994</v>
      </c>
      <c r="BN18" s="128"/>
      <c r="BO18" s="128">
        <f t="shared" si="14"/>
        <v>0</v>
      </c>
      <c r="BP18" s="128"/>
      <c r="BQ18" s="358">
        <f t="shared" si="16"/>
        <v>121.59999999997672</v>
      </c>
      <c r="BR18" s="128"/>
      <c r="BS18" s="128">
        <f t="shared" si="15"/>
        <v>0</v>
      </c>
      <c r="BT18" s="42">
        <f>Oct!D57</f>
        <v>0</v>
      </c>
      <c r="BU18" s="42">
        <f>Oct!G58</f>
        <v>121000</v>
      </c>
      <c r="BV18" s="357" t="s">
        <v>443</v>
      </c>
      <c r="BX18" s="42">
        <f>Oct!HJ19</f>
        <v>165000</v>
      </c>
      <c r="BY18" s="42">
        <f>Oct!HM19</f>
        <v>0</v>
      </c>
      <c r="BZ18" s="42">
        <f>Oct!HP19</f>
        <v>38849.999999999636</v>
      </c>
      <c r="CA18" s="42">
        <f>Oct!HS19</f>
        <v>24849.999999999636</v>
      </c>
      <c r="CB18" s="42">
        <f>Oct!HV19</f>
        <v>25650.000000000728</v>
      </c>
      <c r="CC18" s="42">
        <f>Oct!HY19</f>
        <v>20749.999999999727</v>
      </c>
      <c r="CD18" s="42">
        <f>Oct!IB19</f>
        <v>28200</v>
      </c>
      <c r="CE18" s="42">
        <f>Oct!IE19</f>
        <v>0</v>
      </c>
      <c r="CF18" s="42">
        <f>Oct!IH19</f>
        <v>26700</v>
      </c>
    </row>
    <row r="19" spans="1:84" x14ac:dyDescent="0.25">
      <c r="A19" s="26">
        <f t="shared" si="13"/>
        <v>13</v>
      </c>
      <c r="B19" s="42">
        <f>Oct!G20</f>
        <v>379199.99999998254</v>
      </c>
      <c r="C19" s="42">
        <f>Oct!N20</f>
        <v>377000</v>
      </c>
      <c r="D19" s="42">
        <f>Oct!T20</f>
        <v>332.90000000037253</v>
      </c>
      <c r="E19" s="42">
        <f>Oct!V20</f>
        <v>0</v>
      </c>
      <c r="F19" s="42">
        <f>Oct!AB20</f>
        <v>100</v>
      </c>
      <c r="G19" s="42">
        <f>Oct!X20</f>
        <v>17367.100000000719</v>
      </c>
      <c r="H19" s="42">
        <f>Oct!AE20</f>
        <v>7400.0000000005457</v>
      </c>
      <c r="I19" s="42">
        <f>Oct!AI20</f>
        <v>15061.470000000363</v>
      </c>
      <c r="J19" s="42">
        <f>Oct!AN20</f>
        <v>3881.4700000004586</v>
      </c>
      <c r="K19" s="42">
        <f>Oct!AR20</f>
        <v>8000</v>
      </c>
      <c r="L19" s="42">
        <f>Oct!AZ20</f>
        <v>360</v>
      </c>
      <c r="M19" s="42">
        <f>Oct!BC20</f>
        <v>550</v>
      </c>
      <c r="N19" s="125">
        <f t="shared" si="4"/>
        <v>53052.940000002462</v>
      </c>
      <c r="O19" s="125">
        <f>Oct!CA20</f>
        <v>844.50000000003911</v>
      </c>
      <c r="P19" s="125">
        <f>Oct!CD20</f>
        <v>0</v>
      </c>
      <c r="Q19" s="125">
        <f>Oct!CF20</f>
        <v>4052</v>
      </c>
      <c r="R19" s="125">
        <f>Oct!CH20</f>
        <v>0</v>
      </c>
      <c r="S19" s="125">
        <f>Oct!CK20</f>
        <v>14816.970000000689</v>
      </c>
      <c r="T19" s="125">
        <f>Oct!CO20</f>
        <v>6617.4699999999493</v>
      </c>
      <c r="U19" s="125">
        <f>Oct!CS20</f>
        <v>6187.47</v>
      </c>
      <c r="V19" s="126">
        <f t="shared" si="5"/>
        <v>32518.41000000068</v>
      </c>
      <c r="W19" s="126">
        <f>Oct!CW20</f>
        <v>844</v>
      </c>
      <c r="X19" s="126">
        <f>Oct!DA20</f>
        <v>503</v>
      </c>
      <c r="Y19" s="126">
        <f t="shared" si="1"/>
        <v>1347</v>
      </c>
      <c r="Z19" s="42">
        <f>Oct!BR20</f>
        <v>799.99999999995453</v>
      </c>
      <c r="AA19" s="126">
        <f>Oct!BG20</f>
        <v>1599.9999999999091</v>
      </c>
      <c r="AB19" s="126">
        <f>Oct!BJ20</f>
        <v>9000</v>
      </c>
      <c r="AC19" s="126">
        <f>Oct!BL20+Oct!BN20+Oct!BP20</f>
        <v>5379.99999999995</v>
      </c>
      <c r="AD19" s="126">
        <f>Oct!DR20</f>
        <v>21857</v>
      </c>
      <c r="AE19" s="127">
        <f>Oct!DT20-Oct!DR60-Oct!DT60</f>
        <v>27100</v>
      </c>
      <c r="AF19" s="127">
        <f>Oct!DR60+Oct!DT60</f>
        <v>0</v>
      </c>
      <c r="AG19" s="127">
        <f>Oct!HJ20-AE19</f>
        <v>146900</v>
      </c>
      <c r="AH19" s="127">
        <f>Oct!DW20</f>
        <v>4500</v>
      </c>
      <c r="AI19" s="127">
        <f>Oct!DZ20</f>
        <v>7461.47</v>
      </c>
      <c r="AJ19" s="127">
        <f>Oct!EC20</f>
        <v>25621.47</v>
      </c>
      <c r="AK19" s="127">
        <f t="shared" si="6"/>
        <v>37582.94</v>
      </c>
      <c r="AL19" s="127">
        <f>Oct!EG20</f>
        <v>22621.47</v>
      </c>
      <c r="AM19" s="127">
        <f>Oct!EJ20</f>
        <v>9461.4699999999993</v>
      </c>
      <c r="AN19" s="127">
        <f>Oct!EM20</f>
        <v>669.99999999995907</v>
      </c>
      <c r="AO19" s="127">
        <f t="shared" si="7"/>
        <v>32752.939999999962</v>
      </c>
      <c r="AP19" s="127">
        <f>Oct!FX20</f>
        <v>28500</v>
      </c>
      <c r="AQ19" s="127">
        <f>Oct!GA20</f>
        <v>5830</v>
      </c>
      <c r="AR19" s="127">
        <f>Oct!GG20</f>
        <v>8040</v>
      </c>
      <c r="AS19" s="127">
        <f t="shared" si="8"/>
        <v>42370</v>
      </c>
      <c r="AT19" s="127">
        <f>Oct!EQ20</f>
        <v>4661.4699999999884</v>
      </c>
      <c r="AU19" s="127">
        <f>Oct!ET20</f>
        <v>17000</v>
      </c>
      <c r="AV19" s="127">
        <f>Oct!EW20</f>
        <v>9561.4700000003631</v>
      </c>
      <c r="AW19" s="127">
        <f>Oct!FL57</f>
        <v>11461.469999999998</v>
      </c>
      <c r="AX19" s="127">
        <f>Oct!GJ20</f>
        <v>1960</v>
      </c>
      <c r="AY19" s="127">
        <f t="shared" si="9"/>
        <v>44644.410000000353</v>
      </c>
      <c r="AZ19" s="127">
        <f>Oct!FG20</f>
        <v>12261.47000000001</v>
      </c>
      <c r="BA19" s="127">
        <f>Oct!FJ20</f>
        <v>15461.47</v>
      </c>
      <c r="BB19" s="127">
        <f>Oct!FM57</f>
        <v>11461.469999999998</v>
      </c>
      <c r="BC19" s="127">
        <f>Oct!GM20</f>
        <v>1000</v>
      </c>
      <c r="BD19" s="127">
        <f t="shared" si="10"/>
        <v>40184.410000000003</v>
      </c>
      <c r="BE19" s="127">
        <f>Oct!GP20</f>
        <v>0</v>
      </c>
      <c r="BF19" s="127">
        <f>Oct!GS20</f>
        <v>110</v>
      </c>
      <c r="BG19" s="127">
        <f t="shared" si="11"/>
        <v>110</v>
      </c>
      <c r="BH19" s="127">
        <f t="shared" si="2"/>
        <v>1347</v>
      </c>
      <c r="BI19" s="127"/>
      <c r="BJ19" s="127"/>
      <c r="BK19" s="127"/>
      <c r="BL19" s="128">
        <f>+AS19*0.59</f>
        <v>24998.3</v>
      </c>
      <c r="BM19" s="128">
        <f t="shared" si="17"/>
        <v>17371.7</v>
      </c>
      <c r="BN19" s="128"/>
      <c r="BO19" s="128">
        <f t="shared" si="14"/>
        <v>0</v>
      </c>
      <c r="BP19" s="128"/>
      <c r="BQ19" s="358">
        <f t="shared" si="16"/>
        <v>110</v>
      </c>
      <c r="BR19" s="128"/>
      <c r="BS19" s="128">
        <f t="shared" si="15"/>
        <v>0</v>
      </c>
      <c r="BT19" s="42">
        <f>Oct!D58</f>
        <v>0</v>
      </c>
      <c r="BU19" s="42">
        <f>Oct!G59</f>
        <v>118000</v>
      </c>
      <c r="BV19" s="357" t="s">
        <v>449</v>
      </c>
      <c r="BW19" s="151"/>
      <c r="BX19" s="42">
        <f>Oct!HJ20</f>
        <v>174000</v>
      </c>
      <c r="BY19" s="42">
        <f>Oct!HM20</f>
        <v>0</v>
      </c>
      <c r="BZ19" s="42">
        <f>Oct!HP20</f>
        <v>40350</v>
      </c>
      <c r="CA19" s="42">
        <f>Oct!HS20</f>
        <v>26750.000000000546</v>
      </c>
      <c r="CB19" s="42">
        <f>Oct!HV20</f>
        <v>27649.999999999272</v>
      </c>
      <c r="CC19" s="42">
        <f>Oct!HY20</f>
        <v>22950.000000000364</v>
      </c>
      <c r="CD19" s="42">
        <f>Oct!IB20</f>
        <v>29200</v>
      </c>
      <c r="CE19" s="42">
        <f>Oct!IE20</f>
        <v>0</v>
      </c>
      <c r="CF19" s="42">
        <f>Oct!IH20</f>
        <v>27100</v>
      </c>
    </row>
    <row r="20" spans="1:84" x14ac:dyDescent="0.25">
      <c r="A20" s="26">
        <f t="shared" si="13"/>
        <v>14</v>
      </c>
      <c r="B20" s="42">
        <f>Oct!G21</f>
        <v>394560.00000001222</v>
      </c>
      <c r="C20" s="42">
        <f>Oct!N21</f>
        <v>391000</v>
      </c>
      <c r="D20" s="42">
        <f>Oct!T21</f>
        <v>347.67999999970198</v>
      </c>
      <c r="E20" s="42">
        <f>Oct!V21</f>
        <v>0</v>
      </c>
      <c r="F20" s="42">
        <f>Oct!AB21</f>
        <v>200</v>
      </c>
      <c r="G20" s="42">
        <f>Oct!X21</f>
        <v>17952.320000000298</v>
      </c>
      <c r="H20" s="42">
        <f>Oct!AE21</f>
        <v>7599.9999999994543</v>
      </c>
      <c r="I20" s="42">
        <f>Oct!AI21</f>
        <v>16706.199999999637</v>
      </c>
      <c r="J20" s="42">
        <f>Oct!AN21</f>
        <v>2126.1999999994823</v>
      </c>
      <c r="K20" s="42">
        <f>Oct!AR21</f>
        <v>7899.9999999996362</v>
      </c>
      <c r="L20" s="42">
        <f>Oct!AZ21</f>
        <v>250</v>
      </c>
      <c r="M20" s="42">
        <f>Oct!BC21</f>
        <v>250</v>
      </c>
      <c r="N20" s="125">
        <f t="shared" si="4"/>
        <v>53332.399999998212</v>
      </c>
      <c r="O20" s="125">
        <f>Oct!CA21</f>
        <v>856.40000000000782</v>
      </c>
      <c r="P20" s="125">
        <f>Oct!CD21</f>
        <v>0</v>
      </c>
      <c r="Q20" s="125">
        <f>Oct!CF21</f>
        <v>4080</v>
      </c>
      <c r="R20" s="125">
        <f>Oct!CH21</f>
        <v>0</v>
      </c>
      <c r="S20" s="125">
        <f>Oct!CK21</f>
        <v>15709.80000000021</v>
      </c>
      <c r="T20" s="125">
        <f>Oct!CO21</f>
        <v>6514.1999999996287</v>
      </c>
      <c r="U20" s="125">
        <f>Oct!CS21</f>
        <v>6585.2</v>
      </c>
      <c r="V20" s="126">
        <f t="shared" si="5"/>
        <v>33745.599999999846</v>
      </c>
      <c r="W20" s="126">
        <f>Oct!CW21</f>
        <v>4076</v>
      </c>
      <c r="X20" s="126">
        <f>Oct!DA21</f>
        <v>3284</v>
      </c>
      <c r="Y20" s="126">
        <f t="shared" si="1"/>
        <v>7360</v>
      </c>
      <c r="Z20" s="42">
        <f>Oct!BR21</f>
        <v>900.00000000009095</v>
      </c>
      <c r="AA20" s="126">
        <f>Oct!BG21</f>
        <v>1599.9999999999091</v>
      </c>
      <c r="AB20" s="126">
        <f>Oct!BJ21</f>
        <v>10000</v>
      </c>
      <c r="AC20" s="126">
        <f>Oct!BL21+Oct!BN21+Oct!BP21</f>
        <v>7680.0000000000637</v>
      </c>
      <c r="AD20" s="126">
        <f>Oct!DR21</f>
        <v>10030</v>
      </c>
      <c r="AE20" s="127">
        <f>Oct!DT21-Oct!DR61-Oct!DT61</f>
        <v>22800</v>
      </c>
      <c r="AF20" s="127">
        <f>Oct!DR61+Oct!DT61</f>
        <v>0</v>
      </c>
      <c r="AG20" s="127">
        <f>Oct!HJ21-AE20</f>
        <v>155200</v>
      </c>
      <c r="AH20" s="127">
        <f>Oct!DW21</f>
        <v>4500</v>
      </c>
      <c r="AI20" s="127">
        <f>Oct!DZ21</f>
        <v>7306.2</v>
      </c>
      <c r="AJ20" s="127">
        <f>Oct!EC21</f>
        <v>25466.2</v>
      </c>
      <c r="AK20" s="127">
        <f t="shared" si="6"/>
        <v>37272.400000000001</v>
      </c>
      <c r="AL20" s="127">
        <f>Oct!EG21</f>
        <v>28466.2</v>
      </c>
      <c r="AM20" s="127">
        <f>Oct!EJ21</f>
        <v>11306.2</v>
      </c>
      <c r="AN20" s="127">
        <f>Oct!EM21</f>
        <v>510.00000000010459</v>
      </c>
      <c r="AO20" s="127">
        <f t="shared" si="7"/>
        <v>40282.400000000103</v>
      </c>
      <c r="AP20" s="127">
        <f>Oct!FX21</f>
        <v>37000</v>
      </c>
      <c r="AQ20" s="127">
        <f>Oct!GA21</f>
        <v>6980</v>
      </c>
      <c r="AR20" s="127">
        <f>Oct!GG21</f>
        <v>9399.9999999999545</v>
      </c>
      <c r="AS20" s="127">
        <f t="shared" si="8"/>
        <v>53379.999999999956</v>
      </c>
      <c r="AT20" s="127">
        <f>Oct!EQ21</f>
        <v>6796.2000000000098</v>
      </c>
      <c r="AU20" s="127">
        <f>Oct!ET21</f>
        <v>13000</v>
      </c>
      <c r="AV20" s="127">
        <f>Oct!EW21</f>
        <v>10706.199999999637</v>
      </c>
      <c r="AW20" s="127">
        <f>Oct!FL58</f>
        <v>11806.2</v>
      </c>
      <c r="AX20" s="127">
        <f>Oct!GJ21</f>
        <v>1400</v>
      </c>
      <c r="AY20" s="127">
        <f t="shared" si="9"/>
        <v>43708.599999999649</v>
      </c>
      <c r="AZ20" s="127">
        <f>Oct!FG21</f>
        <v>11816.199999999992</v>
      </c>
      <c r="BA20" s="127">
        <f>Oct!FJ21</f>
        <v>17306.2</v>
      </c>
      <c r="BB20" s="127">
        <f>Oct!FM58</f>
        <v>11806.2</v>
      </c>
      <c r="BC20" s="127">
        <f>Oct!GM21</f>
        <v>1200.0000000000455</v>
      </c>
      <c r="BD20" s="127">
        <f t="shared" si="10"/>
        <v>42128.600000000035</v>
      </c>
      <c r="BE20" s="127">
        <f>Oct!GP21</f>
        <v>10</v>
      </c>
      <c r="BF20" s="127">
        <f>Oct!GS21</f>
        <v>130</v>
      </c>
      <c r="BG20" s="127">
        <f t="shared" si="11"/>
        <v>140</v>
      </c>
      <c r="BH20" s="127">
        <f t="shared" si="2"/>
        <v>7360</v>
      </c>
      <c r="BI20" s="127"/>
      <c r="BJ20" s="127"/>
      <c r="BK20" s="127"/>
      <c r="BL20" s="128">
        <f>+AS20*0.58</f>
        <v>30960.399999999972</v>
      </c>
      <c r="BM20" s="128">
        <f t="shared" si="17"/>
        <v>22419.599999999984</v>
      </c>
      <c r="BN20" s="128"/>
      <c r="BO20" s="128">
        <f t="shared" si="14"/>
        <v>0</v>
      </c>
      <c r="BP20" s="128"/>
      <c r="BQ20" s="358">
        <f t="shared" si="16"/>
        <v>140</v>
      </c>
      <c r="BR20" s="128"/>
      <c r="BS20" s="128">
        <f t="shared" si="15"/>
        <v>0</v>
      </c>
      <c r="BT20" s="42">
        <f>Oct!D59</f>
        <v>0</v>
      </c>
      <c r="BU20" s="42">
        <f>Oct!G60</f>
        <v>125000</v>
      </c>
      <c r="BV20" s="357" t="s">
        <v>450</v>
      </c>
      <c r="BX20" s="42">
        <f>Oct!HJ21</f>
        <v>178000</v>
      </c>
      <c r="BY20" s="42">
        <f>Oct!HM21</f>
        <v>0</v>
      </c>
      <c r="BZ20" s="42">
        <f>Oct!HP21</f>
        <v>43325.000000000182</v>
      </c>
      <c r="CA20" s="42">
        <f>Oct!HS21</f>
        <v>30324.999999999272</v>
      </c>
      <c r="CB20" s="42">
        <f>Oct!HV21</f>
        <v>28925.000000000546</v>
      </c>
      <c r="CC20" s="42">
        <f>Oct!HY21</f>
        <v>24325.000000000182</v>
      </c>
      <c r="CD20" s="42">
        <f>Oct!IB21</f>
        <v>28300</v>
      </c>
      <c r="CE20" s="42">
        <f>Oct!IE21</f>
        <v>0</v>
      </c>
      <c r="CF20" s="42">
        <f>Oct!IH21</f>
        <v>22800</v>
      </c>
    </row>
    <row r="21" spans="1:84" x14ac:dyDescent="0.25">
      <c r="A21" s="26">
        <f t="shared" si="13"/>
        <v>15</v>
      </c>
      <c r="B21" s="42">
        <f>Oct!G22</f>
        <v>382399.99999999418</v>
      </c>
      <c r="C21" s="42">
        <f>Oct!N22</f>
        <v>376000</v>
      </c>
      <c r="D21" s="42">
        <f>Oct!T22</f>
        <v>325.98000000044703</v>
      </c>
      <c r="E21" s="42">
        <f>Oct!V22</f>
        <v>0</v>
      </c>
      <c r="F21" s="42">
        <f>Oct!AB22</f>
        <v>100</v>
      </c>
      <c r="G21" s="42">
        <f>Oct!X22</f>
        <v>18374.019999998825</v>
      </c>
      <c r="H21" s="42">
        <f>Oct!AE22</f>
        <v>7400.0000000005457</v>
      </c>
      <c r="I21" s="42">
        <f>Oct!AI22</f>
        <v>16733.599999999999</v>
      </c>
      <c r="J21" s="42">
        <f>Oct!AN22</f>
        <v>5553.6000000004597</v>
      </c>
      <c r="K21" s="42">
        <f>Oct!AR22</f>
        <v>7900.0000000014552</v>
      </c>
      <c r="L21" s="42">
        <f>Oct!AZ22</f>
        <v>180</v>
      </c>
      <c r="M21" s="42">
        <f>Oct!BC22</f>
        <v>380</v>
      </c>
      <c r="N21" s="125">
        <f t="shared" si="4"/>
        <v>56947.200000001729</v>
      </c>
      <c r="O21" s="125">
        <f>Oct!CA22</f>
        <v>750.79999999996971</v>
      </c>
      <c r="P21" s="125">
        <f>Oct!CD22</f>
        <v>0</v>
      </c>
      <c r="Q21" s="125">
        <f>Oct!CF22</f>
        <v>3429</v>
      </c>
      <c r="R21" s="125">
        <f>Oct!CH22</f>
        <v>0</v>
      </c>
      <c r="S21" s="125">
        <f>Oct!CK22</f>
        <v>16172.800000000538</v>
      </c>
      <c r="T21" s="125">
        <f>Oct!CO22</f>
        <v>8431.6000000003205</v>
      </c>
      <c r="U21" s="125">
        <f>Oct!CS22</f>
        <v>6854.6</v>
      </c>
      <c r="V21" s="126">
        <f t="shared" si="5"/>
        <v>35638.800000000825</v>
      </c>
      <c r="W21" s="126">
        <f>Oct!CW22</f>
        <v>16412</v>
      </c>
      <c r="X21" s="126">
        <f>Oct!DA22</f>
        <v>9460</v>
      </c>
      <c r="Y21" s="126">
        <f t="shared" si="1"/>
        <v>25872</v>
      </c>
      <c r="Z21" s="42">
        <f>Oct!BR22</f>
        <v>799.99999999995453</v>
      </c>
      <c r="AA21" s="126">
        <f>Oct!BG22</f>
        <v>1500</v>
      </c>
      <c r="AB21" s="126">
        <f>Oct!BJ22</f>
        <v>9000</v>
      </c>
      <c r="AC21" s="126">
        <f>Oct!BL22+Oct!BN22+Oct!BP22</f>
        <v>4479.99999999995</v>
      </c>
      <c r="AD21" s="126">
        <f>Oct!DR22</f>
        <v>10736</v>
      </c>
      <c r="AE21" s="127">
        <f>Oct!DT22-Oct!DR62-Oct!DT62</f>
        <v>28100</v>
      </c>
      <c r="AF21" s="127">
        <f>Oct!DR62+Oct!DT62</f>
        <v>0</v>
      </c>
      <c r="AG21" s="127">
        <f>Oct!HJ22-AE21</f>
        <v>141900</v>
      </c>
      <c r="AH21" s="127">
        <f>Oct!DW22</f>
        <v>4299.9999999992724</v>
      </c>
      <c r="AI21" s="127">
        <f>Oct!DZ22</f>
        <v>8733.6</v>
      </c>
      <c r="AJ21" s="127">
        <f>Oct!EC22</f>
        <v>25893.599999999999</v>
      </c>
      <c r="AK21" s="127">
        <f t="shared" si="6"/>
        <v>38927.199999999269</v>
      </c>
      <c r="AL21" s="127">
        <f>Oct!EG22</f>
        <v>18893.599999999999</v>
      </c>
      <c r="AM21" s="127">
        <f>Oct!EJ22</f>
        <v>9733.6</v>
      </c>
      <c r="AN21" s="127">
        <f>Oct!EM22</f>
        <v>609.99999999989996</v>
      </c>
      <c r="AO21" s="127">
        <f t="shared" si="7"/>
        <v>29237.199999999895</v>
      </c>
      <c r="AP21" s="127">
        <f>Oct!FX22</f>
        <v>16000</v>
      </c>
      <c r="AQ21" s="127">
        <f>Oct!GA22</f>
        <v>3790</v>
      </c>
      <c r="AR21" s="127">
        <f>Oct!GG22</f>
        <v>4410.0000000001819</v>
      </c>
      <c r="AS21" s="127">
        <f t="shared" si="8"/>
        <v>24200.000000000182</v>
      </c>
      <c r="AT21" s="127">
        <f>Oct!EQ22</f>
        <v>7383.6000000000349</v>
      </c>
      <c r="AU21" s="127">
        <f>Oct!ET22</f>
        <v>13000</v>
      </c>
      <c r="AV21" s="127">
        <f>Oct!EW22</f>
        <v>10733.6</v>
      </c>
      <c r="AW21" s="127">
        <f>Oct!FL59</f>
        <v>11733.599999999999</v>
      </c>
      <c r="AX21" s="127">
        <f>Oct!GJ22</f>
        <v>1390</v>
      </c>
      <c r="AY21" s="127">
        <f t="shared" si="9"/>
        <v>44240.800000000032</v>
      </c>
      <c r="AZ21" s="127">
        <f>Oct!FG22</f>
        <v>11083.599999999966</v>
      </c>
      <c r="BA21" s="127">
        <f>Oct!FJ22</f>
        <v>17733.599999999999</v>
      </c>
      <c r="BB21" s="127">
        <f>Oct!FM59</f>
        <v>11733.599999999999</v>
      </c>
      <c r="BC21" s="127">
        <f>Oct!GM22</f>
        <v>1199.9999999998181</v>
      </c>
      <c r="BD21" s="127">
        <f t="shared" si="10"/>
        <v>41750.799999999777</v>
      </c>
      <c r="BE21" s="127">
        <f>Oct!GP22</f>
        <v>0</v>
      </c>
      <c r="BF21" s="127">
        <f>Oct!GS22</f>
        <v>70</v>
      </c>
      <c r="BG21" s="127">
        <f t="shared" si="11"/>
        <v>70</v>
      </c>
      <c r="BH21" s="127">
        <f t="shared" si="2"/>
        <v>25872</v>
      </c>
      <c r="BI21" s="127"/>
      <c r="BJ21" s="127"/>
      <c r="BK21" s="127"/>
      <c r="BL21" s="128">
        <v>0</v>
      </c>
      <c r="BM21" s="128">
        <f>(AS21-BL21)</f>
        <v>24200.000000000182</v>
      </c>
      <c r="BN21" s="128"/>
      <c r="BO21" s="128">
        <f t="shared" si="14"/>
        <v>0</v>
      </c>
      <c r="BP21" s="128"/>
      <c r="BQ21" s="358">
        <f t="shared" si="16"/>
        <v>70</v>
      </c>
      <c r="BR21" s="128"/>
      <c r="BS21" s="128">
        <f t="shared" si="15"/>
        <v>0</v>
      </c>
      <c r="BT21" s="42">
        <f>Oct!D60</f>
        <v>0</v>
      </c>
      <c r="BU21" s="42">
        <f>Oct!G61</f>
        <v>111000</v>
      </c>
      <c r="BV21" s="357" t="s">
        <v>451</v>
      </c>
      <c r="BX21" s="42">
        <f>Oct!HJ22</f>
        <v>170000</v>
      </c>
      <c r="BY21" s="42">
        <f>Oct!HM22</f>
        <v>0</v>
      </c>
      <c r="BZ21" s="42">
        <f>Oct!HP22</f>
        <v>38200</v>
      </c>
      <c r="CA21" s="42">
        <f>Oct!HS22</f>
        <v>25500.000000000182</v>
      </c>
      <c r="CB21" s="42">
        <f>Oct!HV22</f>
        <v>26700</v>
      </c>
      <c r="CC21" s="42">
        <f>Oct!HY22</f>
        <v>22599.999999999636</v>
      </c>
      <c r="CD21" s="42">
        <f>Oct!IB22</f>
        <v>28900</v>
      </c>
      <c r="CE21" s="42">
        <f>Oct!IE22</f>
        <v>0</v>
      </c>
      <c r="CF21" s="42">
        <f>Oct!IH22</f>
        <v>28100</v>
      </c>
    </row>
    <row r="22" spans="1:84" x14ac:dyDescent="0.25">
      <c r="A22" s="26">
        <f t="shared" si="13"/>
        <v>16</v>
      </c>
      <c r="B22" s="42">
        <f>Oct!G23</f>
        <v>380160.00000001804</v>
      </c>
      <c r="C22" s="42">
        <f>Oct!N23</f>
        <v>381000</v>
      </c>
      <c r="D22" s="42">
        <f>Oct!T23</f>
        <v>334.40000000037253</v>
      </c>
      <c r="E22" s="42">
        <f>Oct!V23</f>
        <v>0</v>
      </c>
      <c r="F22" s="42">
        <f>Oct!AB23</f>
        <v>100</v>
      </c>
      <c r="G22" s="42">
        <f>Oct!X23</f>
        <v>18365.600000000719</v>
      </c>
      <c r="H22" s="42">
        <f>Oct!AE23</f>
        <v>7500</v>
      </c>
      <c r="I22" s="42">
        <f>Oct!AI23</f>
        <v>15515.199999999273</v>
      </c>
      <c r="J22" s="42">
        <f>Oct!AN23</f>
        <v>5125.1999999999007</v>
      </c>
      <c r="K22" s="42">
        <f>Oct!AR23</f>
        <v>8000</v>
      </c>
      <c r="L22" s="42">
        <f>Oct!AZ23</f>
        <v>290</v>
      </c>
      <c r="M22" s="42">
        <f>Oct!BC23</f>
        <v>480</v>
      </c>
      <c r="N22" s="125">
        <f t="shared" si="4"/>
        <v>55710.400000000263</v>
      </c>
      <c r="O22" s="125">
        <f>Oct!CA23</f>
        <v>603.60000000002856</v>
      </c>
      <c r="P22" s="125">
        <f>Oct!CD23</f>
        <v>0</v>
      </c>
      <c r="Q22" s="125">
        <f>Oct!CF23</f>
        <v>3919</v>
      </c>
      <c r="R22" s="125">
        <f>Oct!CH23</f>
        <v>0</v>
      </c>
      <c r="S22" s="125">
        <f>Oct!CK23</f>
        <v>14531.599999998227</v>
      </c>
      <c r="T22" s="125">
        <f>Oct!CO23</f>
        <v>6449.1999999994687</v>
      </c>
      <c r="U22" s="125">
        <f>Oct!CS23</f>
        <v>5392.2</v>
      </c>
      <c r="V22" s="126">
        <f t="shared" si="5"/>
        <v>30895.599999997725</v>
      </c>
      <c r="W22" s="126">
        <f>Oct!CW23</f>
        <v>15633</v>
      </c>
      <c r="X22" s="126">
        <f>Oct!DA23</f>
        <v>9014</v>
      </c>
      <c r="Y22" s="126">
        <f t="shared" si="1"/>
        <v>24647</v>
      </c>
      <c r="Z22" s="42">
        <f>Oct!BR23</f>
        <v>700.00000000004547</v>
      </c>
      <c r="AA22" s="126">
        <f>Oct!BG23</f>
        <v>1600.0000000003638</v>
      </c>
      <c r="AB22" s="126">
        <f>Oct!BJ23</f>
        <v>9000</v>
      </c>
      <c r="AC22" s="126">
        <f>Oct!BL23+Oct!BN23+Oct!BP23</f>
        <v>4390.0000000000546</v>
      </c>
      <c r="AD22" s="126">
        <f>Oct!DR23</f>
        <v>11095</v>
      </c>
      <c r="AE22" s="127">
        <f>Oct!DT23-Oct!DR63-Oct!DT63</f>
        <v>28600</v>
      </c>
      <c r="AF22" s="127">
        <f>Oct!DR63+Oct!DT63</f>
        <v>0</v>
      </c>
      <c r="AG22" s="127">
        <f>Oct!HJ23-AE22</f>
        <v>154400</v>
      </c>
      <c r="AH22" s="127">
        <f>Oct!DW23</f>
        <v>4200.0000000007276</v>
      </c>
      <c r="AI22" s="127">
        <f>Oct!DZ23</f>
        <v>6715.2</v>
      </c>
      <c r="AJ22" s="127">
        <f>Oct!EC23</f>
        <v>23875.200000000001</v>
      </c>
      <c r="AK22" s="127">
        <f t="shared" si="6"/>
        <v>34790.400000000729</v>
      </c>
      <c r="AL22" s="127">
        <f>Oct!EG23</f>
        <v>22875.200000000001</v>
      </c>
      <c r="AM22" s="127">
        <f>Oct!EJ23</f>
        <v>9715.2000000000007</v>
      </c>
      <c r="AN22" s="127">
        <f>Oct!EM23</f>
        <v>600.00000000002274</v>
      </c>
      <c r="AO22" s="127">
        <f t="shared" si="7"/>
        <v>33190.400000000023</v>
      </c>
      <c r="AP22" s="127">
        <f>Oct!FX23</f>
        <v>13600</v>
      </c>
      <c r="AQ22" s="127">
        <f>Oct!GA23</f>
        <v>3150</v>
      </c>
      <c r="AR22" s="127">
        <f>Oct!GG23</f>
        <v>3770</v>
      </c>
      <c r="AS22" s="127">
        <f t="shared" si="8"/>
        <v>20520</v>
      </c>
      <c r="AT22" s="127">
        <f>Oct!EQ23</f>
        <v>8300.1999999999807</v>
      </c>
      <c r="AU22" s="127">
        <f>Oct!ET23</f>
        <v>15000</v>
      </c>
      <c r="AV22" s="127">
        <f>Oct!EW23</f>
        <v>10715.2</v>
      </c>
      <c r="AW22" s="127">
        <f>Oct!FL60</f>
        <v>13715.2</v>
      </c>
      <c r="AX22" s="127">
        <f>Oct!GJ23</f>
        <v>1730</v>
      </c>
      <c r="AY22" s="127">
        <f t="shared" si="9"/>
        <v>49460.599999999977</v>
      </c>
      <c r="AZ22" s="127">
        <f>Oct!FG23</f>
        <v>12130.200000000021</v>
      </c>
      <c r="BA22" s="127">
        <f>Oct!FJ23</f>
        <v>14715.2</v>
      </c>
      <c r="BB22" s="127">
        <f>Oct!FM60</f>
        <v>13715.2</v>
      </c>
      <c r="BC22" s="127">
        <f>Oct!GM23</f>
        <v>1500</v>
      </c>
      <c r="BD22" s="127">
        <f t="shared" si="10"/>
        <v>42060.60000000002</v>
      </c>
      <c r="BE22" s="127">
        <f>Oct!GP23</f>
        <v>0</v>
      </c>
      <c r="BF22" s="127">
        <f>Oct!GS23</f>
        <v>100</v>
      </c>
      <c r="BG22" s="127">
        <f t="shared" si="11"/>
        <v>100</v>
      </c>
      <c r="BH22" s="127">
        <f t="shared" si="2"/>
        <v>24647</v>
      </c>
      <c r="BI22" s="127"/>
      <c r="BJ22" s="127"/>
      <c r="BK22" s="127"/>
      <c r="BL22" s="128">
        <v>0</v>
      </c>
      <c r="BM22" s="128">
        <f>(AS22-BL22)</f>
        <v>20520</v>
      </c>
      <c r="BN22" s="128"/>
      <c r="BO22" s="128">
        <f t="shared" si="14"/>
        <v>0</v>
      </c>
      <c r="BP22" s="128"/>
      <c r="BQ22" s="358">
        <f t="shared" si="16"/>
        <v>100</v>
      </c>
      <c r="BR22" s="128"/>
      <c r="BS22" s="128">
        <f t="shared" si="15"/>
        <v>0</v>
      </c>
      <c r="BT22" s="42">
        <f>Oct!D61</f>
        <v>0</v>
      </c>
      <c r="BU22" s="42">
        <f>Oct!G62</f>
        <v>121000</v>
      </c>
      <c r="BV22" s="357" t="s">
        <v>451</v>
      </c>
      <c r="BW22" s="151"/>
      <c r="BX22" s="42">
        <f>Oct!HJ23</f>
        <v>183000</v>
      </c>
      <c r="BY22" s="42">
        <f>Oct!HM23</f>
        <v>0</v>
      </c>
      <c r="BZ22" s="42">
        <f>Oct!HP23</f>
        <v>43050</v>
      </c>
      <c r="CA22" s="42">
        <f>Oct!HS23</f>
        <v>28950.000000000546</v>
      </c>
      <c r="CB22" s="42">
        <f>Oct!HV23</f>
        <v>27949.999999999636</v>
      </c>
      <c r="CC22" s="42">
        <f>Oct!HY23</f>
        <v>24350.000000000182</v>
      </c>
      <c r="CD22" s="42">
        <f>Oct!IB23</f>
        <v>30100</v>
      </c>
      <c r="CE22" s="42">
        <f>Oct!IE23</f>
        <v>0</v>
      </c>
      <c r="CF22" s="42">
        <f>Oct!IH23</f>
        <v>28600</v>
      </c>
    </row>
    <row r="23" spans="1:84" x14ac:dyDescent="0.25">
      <c r="A23" s="26">
        <f t="shared" si="13"/>
        <v>17</v>
      </c>
      <c r="B23" s="42">
        <f>Oct!G24</f>
        <v>381503.99999999354</v>
      </c>
      <c r="C23" s="42">
        <f>Oct!N24</f>
        <v>374000</v>
      </c>
      <c r="D23" s="42">
        <f>Oct!T24</f>
        <v>339.01999999955297</v>
      </c>
      <c r="E23" s="42">
        <f>Oct!V24</f>
        <v>0</v>
      </c>
      <c r="F23" s="42">
        <f>Oct!AB24</f>
        <v>200</v>
      </c>
      <c r="G23" s="42">
        <f>Oct!X24</f>
        <v>17860.980000000083</v>
      </c>
      <c r="H23" s="42">
        <f>Oct!AE24</f>
        <v>7399.9999999996362</v>
      </c>
      <c r="I23" s="42">
        <f>Oct!AI24</f>
        <v>16329.380000001091</v>
      </c>
      <c r="J23" s="42">
        <f>Oct!AN24</f>
        <v>6369.3799999997127</v>
      </c>
      <c r="K23" s="42">
        <f>Oct!AR24</f>
        <v>7899.9999999996362</v>
      </c>
      <c r="L23" s="42">
        <f>Oct!AZ24</f>
        <v>350</v>
      </c>
      <c r="M23" s="42">
        <f>Oct!BC24</f>
        <v>570</v>
      </c>
      <c r="N23" s="125">
        <f t="shared" si="4"/>
        <v>57318.759999999711</v>
      </c>
      <c r="O23" s="125">
        <f>Oct!CA24</f>
        <v>640.69999999998117</v>
      </c>
      <c r="P23" s="125">
        <f>Oct!CD24</f>
        <v>916.29999999993015</v>
      </c>
      <c r="Q23" s="125">
        <f>Oct!CF24</f>
        <v>3513</v>
      </c>
      <c r="R23" s="125">
        <f>Oct!CH24</f>
        <v>0</v>
      </c>
      <c r="S23" s="125">
        <f>Oct!CK24</f>
        <v>14948.680000001328</v>
      </c>
      <c r="T23" s="125">
        <f>Oct!CO24</f>
        <v>7614.3800000000365</v>
      </c>
      <c r="U23" s="125">
        <f>Oct!CS24</f>
        <v>5914.38</v>
      </c>
      <c r="V23" s="126">
        <f t="shared" si="5"/>
        <v>33547.440000001276</v>
      </c>
      <c r="W23" s="126">
        <f>Oct!CW24</f>
        <v>10900</v>
      </c>
      <c r="X23" s="126">
        <f>Oct!DA24</f>
        <v>6431</v>
      </c>
      <c r="Y23" s="126">
        <f t="shared" si="1"/>
        <v>17331</v>
      </c>
      <c r="Z23" s="42">
        <f>Oct!BR24</f>
        <v>799.99999999995453</v>
      </c>
      <c r="AA23" s="126">
        <f>Oct!BG24</f>
        <v>1599.9999999999091</v>
      </c>
      <c r="AB23" s="126">
        <f>Oct!BJ24</f>
        <v>9000</v>
      </c>
      <c r="AC23" s="126">
        <f>Oct!BL24+Oct!BN24+Oct!BP24</f>
        <v>3759.9999999999682</v>
      </c>
      <c r="AD23" s="126">
        <f>Oct!DR24</f>
        <v>10963</v>
      </c>
      <c r="AE23" s="127">
        <f>Oct!DT24-Oct!DR64-Oct!DT64</f>
        <v>29000</v>
      </c>
      <c r="AF23" s="127">
        <f>Oct!DR64+Oct!DT64</f>
        <v>0</v>
      </c>
      <c r="AG23" s="127">
        <f>Oct!HJ24-AE23</f>
        <v>149000</v>
      </c>
      <c r="AH23" s="127">
        <f>Oct!DW24</f>
        <v>4500</v>
      </c>
      <c r="AI23" s="127">
        <f>Oct!DZ24</f>
        <v>8529.3799999999992</v>
      </c>
      <c r="AJ23" s="127">
        <f>Oct!EC24</f>
        <v>26689.38</v>
      </c>
      <c r="AK23" s="127">
        <f t="shared" si="6"/>
        <v>39718.76</v>
      </c>
      <c r="AL23" s="127">
        <f>Oct!EG24</f>
        <v>27689.38</v>
      </c>
      <c r="AM23" s="127">
        <f>Oct!EJ24</f>
        <v>10529.38</v>
      </c>
      <c r="AN23" s="127">
        <f>Oct!EM24</f>
        <v>580.00000000004093</v>
      </c>
      <c r="AO23" s="127">
        <f t="shared" si="7"/>
        <v>38798.760000000046</v>
      </c>
      <c r="AP23" s="127">
        <f>Oct!FX24</f>
        <v>15200</v>
      </c>
      <c r="AQ23" s="127">
        <f>Oct!GA24</f>
        <v>3460</v>
      </c>
      <c r="AR23" s="127">
        <f>Oct!GG24</f>
        <v>3560</v>
      </c>
      <c r="AS23" s="127">
        <f t="shared" si="8"/>
        <v>22220</v>
      </c>
      <c r="AT23" s="127">
        <f>Oct!EQ24</f>
        <v>7089.380000000001</v>
      </c>
      <c r="AU23" s="127">
        <f>Oct!ET24</f>
        <v>16000</v>
      </c>
      <c r="AV23" s="127">
        <f>Oct!EW24</f>
        <v>10229.379999999817</v>
      </c>
      <c r="AW23" s="127">
        <f>Oct!FL61</f>
        <v>15529.380000000001</v>
      </c>
      <c r="AX23" s="127">
        <f>Oct!GJ24</f>
        <v>1940</v>
      </c>
      <c r="AY23" s="127">
        <f t="shared" si="9"/>
        <v>50788.139999999825</v>
      </c>
      <c r="AZ23" s="127">
        <f>Oct!FG24</f>
        <v>12969.379999999997</v>
      </c>
      <c r="BA23" s="127">
        <f>Oct!FJ24</f>
        <v>14529.38</v>
      </c>
      <c r="BB23" s="127">
        <f>Oct!FM61</f>
        <v>15529.380000000001</v>
      </c>
      <c r="BC23" s="127">
        <f>Oct!GM24</f>
        <v>1500</v>
      </c>
      <c r="BD23" s="127">
        <f t="shared" si="10"/>
        <v>44528.14</v>
      </c>
      <c r="BE23" s="127">
        <f>Oct!GP24</f>
        <v>10</v>
      </c>
      <c r="BF23" s="127">
        <f>Oct!GS24</f>
        <v>120</v>
      </c>
      <c r="BG23" s="127">
        <f t="shared" si="11"/>
        <v>130</v>
      </c>
      <c r="BH23" s="127">
        <f t="shared" si="2"/>
        <v>17331</v>
      </c>
      <c r="BI23" s="127"/>
      <c r="BJ23" s="127"/>
      <c r="BK23" s="127"/>
      <c r="BL23" s="128">
        <v>0</v>
      </c>
      <c r="BM23" s="128">
        <f t="shared" si="17"/>
        <v>22220</v>
      </c>
      <c r="BN23" s="128"/>
      <c r="BO23" s="128">
        <f t="shared" si="14"/>
        <v>0</v>
      </c>
      <c r="BP23" s="128"/>
      <c r="BQ23" s="358">
        <f t="shared" si="16"/>
        <v>130</v>
      </c>
      <c r="BR23" s="128"/>
      <c r="BS23" s="128">
        <f t="shared" si="15"/>
        <v>0</v>
      </c>
      <c r="BT23" s="42">
        <f>Oct!D62</f>
        <v>0</v>
      </c>
      <c r="BU23" s="42">
        <f>Oct!G63</f>
        <v>127000</v>
      </c>
      <c r="BV23" s="357" t="s">
        <v>451</v>
      </c>
      <c r="BX23" s="42">
        <f>Oct!HJ24</f>
        <v>178000</v>
      </c>
      <c r="BY23" s="42">
        <f>Oct!HM24</f>
        <v>0</v>
      </c>
      <c r="BZ23" s="42">
        <f>Oct!HP24</f>
        <v>39849.999999999272</v>
      </c>
      <c r="CA23" s="42">
        <f>Oct!HS24</f>
        <v>27749.999999999818</v>
      </c>
      <c r="CB23" s="42">
        <f>Oct!HV24</f>
        <v>26350.000000000182</v>
      </c>
      <c r="CC23" s="42">
        <f>Oct!HY24</f>
        <v>23649.999999999454</v>
      </c>
      <c r="CD23" s="42">
        <f>Oct!IB24</f>
        <v>31400</v>
      </c>
      <c r="CE23" s="42">
        <f>Oct!IE24</f>
        <v>0</v>
      </c>
      <c r="CF23" s="42">
        <f>Oct!IH24</f>
        <v>29000</v>
      </c>
    </row>
    <row r="24" spans="1:84" x14ac:dyDescent="0.25">
      <c r="A24" s="26">
        <f t="shared" si="13"/>
        <v>18</v>
      </c>
      <c r="B24" s="42">
        <f>Oct!G25</f>
        <v>370175.99999999948</v>
      </c>
      <c r="C24" s="42">
        <f>Oct!N25</f>
        <v>369000</v>
      </c>
      <c r="D24" s="42">
        <f>Oct!T25</f>
        <v>359.04000000096858</v>
      </c>
      <c r="E24" s="42">
        <f>Oct!V25</f>
        <v>0</v>
      </c>
      <c r="F24" s="42">
        <f>Oct!AB25</f>
        <v>100</v>
      </c>
      <c r="G24" s="42">
        <f>Oct!X25</f>
        <v>18340.959999998304</v>
      </c>
      <c r="H24" s="42">
        <f>Oct!AE25</f>
        <v>7500</v>
      </c>
      <c r="I24" s="42">
        <f>Oct!AI25</f>
        <v>15368.99</v>
      </c>
      <c r="J24" s="42">
        <f>Oct!AN25</f>
        <v>6868.9900000006819</v>
      </c>
      <c r="K24" s="42">
        <f>Oct!AR25</f>
        <v>7899.9999999996362</v>
      </c>
      <c r="L24" s="42">
        <f>Oct!AZ25</f>
        <v>360</v>
      </c>
      <c r="M24" s="42">
        <f>Oct!BC25</f>
        <v>520</v>
      </c>
      <c r="N24" s="125">
        <f t="shared" si="4"/>
        <v>57317.979999999588</v>
      </c>
      <c r="O24" s="125">
        <f>Oct!CA25</f>
        <v>419.10000000001446</v>
      </c>
      <c r="P24" s="125">
        <f>Oct!CD25</f>
        <v>1171.1000000000931</v>
      </c>
      <c r="Q24" s="125">
        <f>Oct!CF25</f>
        <v>1827</v>
      </c>
      <c r="R24" s="125">
        <f>Oct!CH25</f>
        <v>0</v>
      </c>
      <c r="S24" s="125">
        <f>Oct!CK25</f>
        <v>9969.8900000004214</v>
      </c>
      <c r="T24" s="125">
        <f>Oct!CO25</f>
        <v>4467.9900000001599</v>
      </c>
      <c r="U24" s="125">
        <f>Oct!CS25</f>
        <v>3190.99</v>
      </c>
      <c r="V24" s="126">
        <f t="shared" si="5"/>
        <v>21046.070000000691</v>
      </c>
      <c r="W24" s="126">
        <f>Oct!CW25</f>
        <v>11351</v>
      </c>
      <c r="X24" s="126">
        <f>Oct!DA25</f>
        <v>5954</v>
      </c>
      <c r="Y24" s="126">
        <f t="shared" si="1"/>
        <v>17305</v>
      </c>
      <c r="Z24" s="42">
        <f>Oct!BR25</f>
        <v>700.00000000004547</v>
      </c>
      <c r="AA24" s="126">
        <f>Oct!BG25</f>
        <v>1599.9999999999091</v>
      </c>
      <c r="AB24" s="126">
        <f>Oct!BJ25</f>
        <v>9000</v>
      </c>
      <c r="AC24" s="126">
        <f>Oct!BL25+Oct!BN25+Oct!BP25</f>
        <v>3500</v>
      </c>
      <c r="AD24" s="126">
        <f>Oct!DR25</f>
        <v>9317</v>
      </c>
      <c r="AE24" s="127">
        <f>Oct!DT25-Oct!DR65-Oct!DT65</f>
        <v>26200</v>
      </c>
      <c r="AF24" s="127">
        <f>Oct!DR65+Oct!DT65</f>
        <v>0</v>
      </c>
      <c r="AG24" s="127">
        <f>Oct!HJ25-AE24</f>
        <v>150800</v>
      </c>
      <c r="AH24" s="127">
        <f>Oct!DW25</f>
        <v>4399.9999999996362</v>
      </c>
      <c r="AI24" s="127">
        <f>Oct!DZ25</f>
        <v>7868.99</v>
      </c>
      <c r="AJ24" s="127">
        <f>Oct!EC25</f>
        <v>25028.99</v>
      </c>
      <c r="AK24" s="127">
        <f t="shared" si="6"/>
        <v>37297.979999999639</v>
      </c>
      <c r="AL24" s="127">
        <f>Oct!EG25</f>
        <v>25028.99</v>
      </c>
      <c r="AM24" s="127">
        <f>Oct!EJ25</f>
        <v>10868.99</v>
      </c>
      <c r="AN24" s="127">
        <f>Oct!EM25</f>
        <v>509.99999999999091</v>
      </c>
      <c r="AO24" s="127">
        <f t="shared" si="7"/>
        <v>36407.979999999996</v>
      </c>
      <c r="AP24" s="127">
        <f>Oct!FX25</f>
        <v>16200</v>
      </c>
      <c r="AQ24" s="127">
        <f>Oct!GA25</f>
        <v>3940</v>
      </c>
      <c r="AR24" s="127">
        <f>Oct!GG25</f>
        <v>5329.9999999998636</v>
      </c>
      <c r="AS24" s="127">
        <f t="shared" si="8"/>
        <v>25469.999999999862</v>
      </c>
      <c r="AT24" s="127">
        <f>Oct!EQ25</f>
        <v>7383.9899999999861</v>
      </c>
      <c r="AU24" s="127">
        <f>Oct!ET25</f>
        <v>18000</v>
      </c>
      <c r="AV24" s="127">
        <f>Oct!EW25</f>
        <v>10068.989999999818</v>
      </c>
      <c r="AW24" s="127">
        <f>Oct!FL62</f>
        <v>14868.990000000002</v>
      </c>
      <c r="AX24" s="127">
        <f>Oct!GJ25</f>
        <v>2070</v>
      </c>
      <c r="AY24" s="127">
        <f t="shared" si="9"/>
        <v>52391.969999999812</v>
      </c>
      <c r="AZ24" s="127">
        <f>Oct!FG25</f>
        <v>11353.990000000013</v>
      </c>
      <c r="BA24" s="127">
        <f>Oct!FJ25</f>
        <v>18868.990000000002</v>
      </c>
      <c r="BB24" s="127">
        <f>Oct!FM62</f>
        <v>14868.990000000002</v>
      </c>
      <c r="BC24" s="127">
        <f>Oct!GM25</f>
        <v>1600.0000000001364</v>
      </c>
      <c r="BD24" s="127">
        <f t="shared" si="10"/>
        <v>46691.970000000154</v>
      </c>
      <c r="BE24" s="127">
        <f>Oct!GP25</f>
        <v>0</v>
      </c>
      <c r="BF24" s="127">
        <f>Oct!GS25</f>
        <v>130</v>
      </c>
      <c r="BG24" s="127">
        <f t="shared" si="11"/>
        <v>130</v>
      </c>
      <c r="BH24" s="127">
        <f t="shared" si="2"/>
        <v>17305</v>
      </c>
      <c r="BI24" s="127"/>
      <c r="BJ24" s="127"/>
      <c r="BK24" s="127"/>
      <c r="BL24" s="128">
        <v>0</v>
      </c>
      <c r="BM24" s="128">
        <f t="shared" si="17"/>
        <v>25469.999999999862</v>
      </c>
      <c r="BN24" s="128"/>
      <c r="BO24" s="128">
        <f t="shared" si="14"/>
        <v>0</v>
      </c>
      <c r="BP24" s="128"/>
      <c r="BQ24" s="358">
        <f t="shared" si="16"/>
        <v>130</v>
      </c>
      <c r="BR24" s="128"/>
      <c r="BS24" s="128">
        <f t="shared" si="15"/>
        <v>0</v>
      </c>
      <c r="BT24" s="42">
        <f>Oct!D63</f>
        <v>0</v>
      </c>
      <c r="BU24" s="42">
        <f>Oct!G64</f>
        <v>125000</v>
      </c>
      <c r="BV24" s="357" t="s">
        <v>451</v>
      </c>
      <c r="BX24" s="42">
        <f>Oct!HJ25</f>
        <v>177000</v>
      </c>
      <c r="BY24" s="42">
        <f>Oct!HM25</f>
        <v>0</v>
      </c>
      <c r="BZ24" s="42">
        <f>Oct!HP25</f>
        <v>41200.000000001091</v>
      </c>
      <c r="CA24" s="42">
        <f>Oct!HS25</f>
        <v>29200.000000000182</v>
      </c>
      <c r="CB24" s="42">
        <f>Oct!HV25</f>
        <v>28099.999999999818</v>
      </c>
      <c r="CC24" s="42">
        <f>Oct!HY25</f>
        <v>24700.000000000182</v>
      </c>
      <c r="CD24" s="42">
        <f>Oct!IB25</f>
        <v>27600</v>
      </c>
      <c r="CE24" s="42">
        <f>Oct!IE25</f>
        <v>0</v>
      </c>
      <c r="CF24" s="42">
        <f>Oct!IH25</f>
        <v>26200</v>
      </c>
    </row>
    <row r="25" spans="1:84" x14ac:dyDescent="0.25">
      <c r="A25" s="26">
        <f t="shared" si="13"/>
        <v>19</v>
      </c>
      <c r="B25" s="42">
        <f>Oct!G26</f>
        <v>389440.00000000233</v>
      </c>
      <c r="C25" s="42">
        <f>Oct!N26</f>
        <v>388000</v>
      </c>
      <c r="D25" s="42">
        <f>Oct!T26</f>
        <v>324.02999999932945</v>
      </c>
      <c r="E25" s="42">
        <f>Oct!V26</f>
        <v>0</v>
      </c>
      <c r="F25" s="42">
        <f>Oct!AB26</f>
        <v>200</v>
      </c>
      <c r="G25" s="42">
        <f>Oct!X26</f>
        <v>17875.970000000307</v>
      </c>
      <c r="H25" s="42">
        <f>Oct!AE26</f>
        <v>7600.0000000003638</v>
      </c>
      <c r="I25" s="42">
        <f>Oct!AI26</f>
        <v>16553.289999999637</v>
      </c>
      <c r="J25" s="42">
        <f>Oct!AN26</f>
        <v>8453.2899999996589</v>
      </c>
      <c r="K25" s="42">
        <f>Oct!AR26</f>
        <v>8000</v>
      </c>
      <c r="L25" s="42">
        <f>Oct!AZ26</f>
        <v>350</v>
      </c>
      <c r="M25" s="42">
        <f>Oct!BC26</f>
        <v>590</v>
      </c>
      <c r="N25" s="125">
        <f t="shared" si="4"/>
        <v>59946.579999999296</v>
      </c>
      <c r="O25" s="125">
        <f>Oct!CA26</f>
        <v>629.1999999999689</v>
      </c>
      <c r="P25" s="125">
        <f>Oct!CD26</f>
        <v>1806.6999999999534</v>
      </c>
      <c r="Q25" s="125">
        <f>Oct!CF26</f>
        <v>3714</v>
      </c>
      <c r="R25" s="125">
        <f>Oct!CH26</f>
        <v>0</v>
      </c>
      <c r="S25" s="125">
        <f>Oct!CK26</f>
        <v>16244.089999999378</v>
      </c>
      <c r="T25" s="125">
        <f>Oct!CO26</f>
        <v>8465.289999999899</v>
      </c>
      <c r="U25" s="125">
        <f>Oct!CS26</f>
        <v>6645.29</v>
      </c>
      <c r="V25" s="126">
        <f t="shared" si="5"/>
        <v>37504.569999999199</v>
      </c>
      <c r="W25" s="126">
        <f>Oct!CW26</f>
        <v>12464</v>
      </c>
      <c r="X25" s="126">
        <f>Oct!DA26</f>
        <v>6829</v>
      </c>
      <c r="Y25" s="126">
        <f t="shared" si="1"/>
        <v>19293</v>
      </c>
      <c r="Z25" s="42">
        <f>Oct!BR26</f>
        <v>399.99999999997726</v>
      </c>
      <c r="AA25" s="126">
        <f>Oct!BG26</f>
        <v>1599.9999999999091</v>
      </c>
      <c r="AB25" s="126">
        <f>Oct!BJ26</f>
        <v>9000</v>
      </c>
      <c r="AC25" s="126">
        <f>Oct!BL26+Oct!BN26+Oct!BP26</f>
        <v>3700</v>
      </c>
      <c r="AD25" s="126">
        <f>Oct!DR26</f>
        <v>8553</v>
      </c>
      <c r="AE25" s="127">
        <f>Oct!DT26-Oct!DR66-Oct!DT66</f>
        <v>27300</v>
      </c>
      <c r="AF25" s="127">
        <f>Oct!DR66+Oct!DT66</f>
        <v>0</v>
      </c>
      <c r="AG25" s="127">
        <f>Oct!HJ26-AE25</f>
        <v>154700</v>
      </c>
      <c r="AH25" s="127">
        <f>Oct!DW26</f>
        <v>700.0000000007276</v>
      </c>
      <c r="AI25" s="127">
        <f>Oct!DZ26</f>
        <v>1653.29</v>
      </c>
      <c r="AJ25" s="127">
        <f>Oct!EC26</f>
        <v>5813.29</v>
      </c>
      <c r="AK25" s="127">
        <f t="shared" si="6"/>
        <v>8166.5800000007275</v>
      </c>
      <c r="AL25" s="127">
        <f>Oct!EG26</f>
        <v>24813.29</v>
      </c>
      <c r="AM25" s="127">
        <f>Oct!EJ26</f>
        <v>10653.29</v>
      </c>
      <c r="AN25" s="127">
        <f>Oct!EM26</f>
        <v>700.00000000004547</v>
      </c>
      <c r="AO25" s="127">
        <f t="shared" si="7"/>
        <v>36166.580000000045</v>
      </c>
      <c r="AP25" s="127">
        <f>Oct!FX26</f>
        <v>15500</v>
      </c>
      <c r="AQ25" s="127">
        <f>Oct!GA26</f>
        <v>4360</v>
      </c>
      <c r="AR25" s="127">
        <f>Oct!GG26</f>
        <v>3390.0000000000909</v>
      </c>
      <c r="AS25" s="127">
        <f t="shared" si="8"/>
        <v>23250.000000000091</v>
      </c>
      <c r="AT25" s="127">
        <f>Oct!EQ26</f>
        <v>8288.2899999999918</v>
      </c>
      <c r="AU25" s="127">
        <f>Oct!ET26</f>
        <v>17000</v>
      </c>
      <c r="AV25" s="127">
        <f>Oct!EW26</f>
        <v>10853.290000000728</v>
      </c>
      <c r="AW25" s="127">
        <f>Oct!FL63</f>
        <v>16153.29</v>
      </c>
      <c r="AX25" s="127">
        <f>Oct!GJ26</f>
        <v>2010</v>
      </c>
      <c r="AY25" s="127">
        <f t="shared" si="9"/>
        <v>54304.870000000723</v>
      </c>
      <c r="AZ25" s="127">
        <f>Oct!FG26</f>
        <v>12018.29000000001</v>
      </c>
      <c r="BA25" s="127">
        <f>Oct!FJ26</f>
        <v>9653.2900000000009</v>
      </c>
      <c r="BB25" s="127">
        <f>Oct!FM63</f>
        <v>16153.29</v>
      </c>
      <c r="BC25" s="127">
        <f>Oct!GM26</f>
        <v>1599.9999999999091</v>
      </c>
      <c r="BD25" s="127">
        <f t="shared" si="10"/>
        <v>39424.869999999923</v>
      </c>
      <c r="BE25" s="127">
        <f>Oct!GP26</f>
        <v>0</v>
      </c>
      <c r="BF25" s="127">
        <f>Oct!GS26</f>
        <v>130</v>
      </c>
      <c r="BG25" s="127">
        <f t="shared" si="11"/>
        <v>130</v>
      </c>
      <c r="BH25" s="127">
        <f t="shared" si="2"/>
        <v>19293</v>
      </c>
      <c r="BI25" s="127"/>
      <c r="BJ25" s="127"/>
      <c r="BK25" s="127"/>
      <c r="BL25" s="128">
        <v>0</v>
      </c>
      <c r="BM25" s="128">
        <f t="shared" si="17"/>
        <v>23250.000000000091</v>
      </c>
      <c r="BN25" s="128"/>
      <c r="BO25" s="128">
        <f t="shared" si="14"/>
        <v>0</v>
      </c>
      <c r="BP25" s="128"/>
      <c r="BQ25" s="358">
        <f t="shared" si="16"/>
        <v>130</v>
      </c>
      <c r="BR25" s="128"/>
      <c r="BS25" s="128">
        <f t="shared" si="15"/>
        <v>0</v>
      </c>
      <c r="BT25" s="42">
        <f>Oct!D64</f>
        <v>0</v>
      </c>
      <c r="BU25" s="42">
        <f>Oct!G65</f>
        <v>94000</v>
      </c>
      <c r="BV25" s="357" t="s">
        <v>451</v>
      </c>
      <c r="BX25" s="42">
        <f>Oct!HJ26</f>
        <v>182000</v>
      </c>
      <c r="BY25" s="42">
        <f>Oct!HM26</f>
        <v>0</v>
      </c>
      <c r="BZ25" s="42">
        <f>Oct!HP26</f>
        <v>45225</v>
      </c>
      <c r="CA25" s="42">
        <f>Oct!HS26</f>
        <v>31924.999999999818</v>
      </c>
      <c r="CB25" s="42">
        <f>Oct!HV26</f>
        <v>30424.999999999818</v>
      </c>
      <c r="CC25" s="42">
        <f>Oct!HY26</f>
        <v>27325.000000000364</v>
      </c>
      <c r="CD25" s="42">
        <f>Oct!IB26</f>
        <v>19800</v>
      </c>
      <c r="CE25" s="42">
        <f>Oct!IE26</f>
        <v>0</v>
      </c>
      <c r="CF25" s="42">
        <f>Oct!IH26</f>
        <v>27300</v>
      </c>
    </row>
    <row r="26" spans="1:84" x14ac:dyDescent="0.25">
      <c r="A26" s="26">
        <f t="shared" si="13"/>
        <v>20</v>
      </c>
      <c r="B26" s="42">
        <f>Oct!G27</f>
        <v>396799.99999998108</v>
      </c>
      <c r="C26" s="42">
        <f>Oct!N27</f>
        <v>393000</v>
      </c>
      <c r="D26" s="42">
        <f>Oct!T27</f>
        <v>367.70999999903142</v>
      </c>
      <c r="E26" s="42">
        <f>Oct!V27</f>
        <v>0</v>
      </c>
      <c r="F26" s="42">
        <f>Oct!AB27</f>
        <v>100</v>
      </c>
      <c r="G26" s="42">
        <f>Oct!X27</f>
        <v>17632.290000001332</v>
      </c>
      <c r="H26" s="42">
        <f>Oct!AE27</f>
        <v>7500</v>
      </c>
      <c r="I26" s="42">
        <f>Oct!AI27</f>
        <v>15472.609999999637</v>
      </c>
      <c r="J26" s="42">
        <f>Oct!AN27</f>
        <v>6772.6099999992957</v>
      </c>
      <c r="K26" s="42">
        <f>Oct!AR27</f>
        <v>8000</v>
      </c>
      <c r="L26" s="42">
        <f>Oct!AZ27</f>
        <v>360</v>
      </c>
      <c r="M26" s="42">
        <f>Oct!BC27</f>
        <v>590</v>
      </c>
      <c r="N26" s="125">
        <f t="shared" si="4"/>
        <v>56795.219999999295</v>
      </c>
      <c r="O26" s="125">
        <f>Oct!CA27</f>
        <v>710.00000000003638</v>
      </c>
      <c r="P26" s="125">
        <f>Oct!CD27</f>
        <v>1955.9000000000233</v>
      </c>
      <c r="Q26" s="125">
        <f>Oct!CF27</f>
        <v>4408</v>
      </c>
      <c r="R26" s="125">
        <f>Oct!CH27</f>
        <v>0</v>
      </c>
      <c r="S26" s="125">
        <f>Oct!CK27</f>
        <v>14902.609999999018</v>
      </c>
      <c r="T26" s="125">
        <f>Oct!CO27</f>
        <v>7693.6100000000943</v>
      </c>
      <c r="U26" s="125">
        <f>Oct!CS27</f>
        <v>5573.61</v>
      </c>
      <c r="V26" s="126">
        <f t="shared" si="5"/>
        <v>35243.729999999174</v>
      </c>
      <c r="W26" s="126">
        <f>Oct!CW27</f>
        <v>15075</v>
      </c>
      <c r="X26" s="126">
        <f>Oct!DA27</f>
        <v>7822</v>
      </c>
      <c r="Y26" s="126">
        <f t="shared" si="1"/>
        <v>22897</v>
      </c>
      <c r="Z26" s="42">
        <f>Oct!BR27</f>
        <v>899.99999999997726</v>
      </c>
      <c r="AA26" s="126">
        <f>Oct!BG27</f>
        <v>1599.9999999999091</v>
      </c>
      <c r="AB26" s="126">
        <f>Oct!BJ27</f>
        <v>9000</v>
      </c>
      <c r="AC26" s="126">
        <f>Oct!BL27+Oct!BN27+Oct!BP27</f>
        <v>3700</v>
      </c>
      <c r="AD26" s="126">
        <f>Oct!DR27</f>
        <v>9338</v>
      </c>
      <c r="AE26" s="127">
        <f>Oct!DT27-Oct!DR67-Oct!DT67</f>
        <v>26100</v>
      </c>
      <c r="AF26" s="127">
        <f>Oct!DR67+Oct!DT67</f>
        <v>0</v>
      </c>
      <c r="AG26" s="127">
        <f>Oct!HJ27-AE26</f>
        <v>162900</v>
      </c>
      <c r="AH26" s="127">
        <f>Oct!DW27</f>
        <v>699.99999999890861</v>
      </c>
      <c r="AI26" s="127">
        <f>Oct!DZ27</f>
        <v>572.61</v>
      </c>
      <c r="AJ26" s="127">
        <f>Oct!EC27</f>
        <v>3732.61</v>
      </c>
      <c r="AK26" s="127">
        <f t="shared" si="6"/>
        <v>5005.2199999989089</v>
      </c>
      <c r="AL26" s="127">
        <f>Oct!EG27</f>
        <v>23732.61</v>
      </c>
      <c r="AM26" s="127">
        <f>Oct!EJ27</f>
        <v>10572.61</v>
      </c>
      <c r="AN26" s="127">
        <f>Oct!EM27</f>
        <v>689.99999999994088</v>
      </c>
      <c r="AO26" s="127">
        <f t="shared" si="7"/>
        <v>34995.219999999943</v>
      </c>
      <c r="AP26" s="127">
        <f>Oct!FX27</f>
        <v>18800</v>
      </c>
      <c r="AQ26" s="127">
        <f>Oct!GA27</f>
        <v>4720</v>
      </c>
      <c r="AR26" s="127">
        <f>Oct!GG27</f>
        <v>4719.9999999999091</v>
      </c>
      <c r="AS26" s="127">
        <f t="shared" si="8"/>
        <v>28239.999999999909</v>
      </c>
      <c r="AT26" s="127">
        <f>Oct!EQ27</f>
        <v>7152.6100000000415</v>
      </c>
      <c r="AU26" s="127">
        <f>Oct!ET27</f>
        <v>18000</v>
      </c>
      <c r="AV26" s="127">
        <f>Oct!EW27</f>
        <v>9772.6099999998187</v>
      </c>
      <c r="AW26" s="127">
        <f>Oct!FL64</f>
        <v>14572.61</v>
      </c>
      <c r="AX26" s="127">
        <f>Oct!GJ27</f>
        <v>1880</v>
      </c>
      <c r="AY26" s="127">
        <f t="shared" si="9"/>
        <v>51377.829999999856</v>
      </c>
      <c r="AZ26" s="127">
        <f>Oct!FG27</f>
        <v>10992.609999999961</v>
      </c>
      <c r="BA26" s="127">
        <f>Oct!FJ27</f>
        <v>13572.61</v>
      </c>
      <c r="BB26" s="127">
        <f>Oct!FM64</f>
        <v>14572.61</v>
      </c>
      <c r="BC26" s="127">
        <f>Oct!GM27</f>
        <v>1400.0000000000909</v>
      </c>
      <c r="BD26" s="127">
        <f t="shared" si="10"/>
        <v>40537.830000000045</v>
      </c>
      <c r="BE26" s="127">
        <f>Oct!GP27</f>
        <v>0</v>
      </c>
      <c r="BF26" s="127">
        <f>Oct!GS27</f>
        <v>170</v>
      </c>
      <c r="BG26" s="127">
        <f t="shared" si="11"/>
        <v>170</v>
      </c>
      <c r="BH26" s="127">
        <f t="shared" si="2"/>
        <v>22897</v>
      </c>
      <c r="BI26" s="127"/>
      <c r="BJ26" s="127"/>
      <c r="BK26" s="127"/>
      <c r="BL26" s="128">
        <v>0</v>
      </c>
      <c r="BM26" s="128">
        <f t="shared" si="17"/>
        <v>28239.999999999909</v>
      </c>
      <c r="BN26" s="128"/>
      <c r="BO26" s="128">
        <f t="shared" si="14"/>
        <v>0</v>
      </c>
      <c r="BP26" s="128"/>
      <c r="BQ26" s="358">
        <f t="shared" si="16"/>
        <v>170</v>
      </c>
      <c r="BR26" s="128"/>
      <c r="BS26" s="128">
        <f t="shared" si="15"/>
        <v>0</v>
      </c>
      <c r="BT26" s="42">
        <f>Oct!D65</f>
        <v>0</v>
      </c>
      <c r="BU26" s="42">
        <f>Oct!G66</f>
        <v>92000</v>
      </c>
      <c r="BV26" s="357" t="s">
        <v>451</v>
      </c>
      <c r="BX26" s="42">
        <f>Oct!HJ27</f>
        <v>189000</v>
      </c>
      <c r="BY26" s="42">
        <f>Oct!HM27</f>
        <v>0</v>
      </c>
      <c r="BZ26" s="42">
        <f>Oct!HP27</f>
        <v>41824.999999999636</v>
      </c>
      <c r="CA26" s="42">
        <f>Oct!HS27</f>
        <v>29124.999999999818</v>
      </c>
      <c r="CB26" s="42">
        <f>Oct!HV27</f>
        <v>26625.000000000728</v>
      </c>
      <c r="CC26" s="42">
        <f>Oct!HY27</f>
        <v>23824.999999999636</v>
      </c>
      <c r="CD26" s="42">
        <f>Oct!IB27</f>
        <v>41500</v>
      </c>
      <c r="CE26" s="42">
        <f>Oct!IE27</f>
        <v>0</v>
      </c>
      <c r="CF26" s="42">
        <f>Oct!IH27</f>
        <v>26100</v>
      </c>
    </row>
    <row r="27" spans="1:84" x14ac:dyDescent="0.25">
      <c r="A27" s="26">
        <f t="shared" si="13"/>
        <v>21</v>
      </c>
      <c r="B27" s="42">
        <f>Oct!G28</f>
        <v>380160.00000001804</v>
      </c>
      <c r="C27" s="42">
        <f>Oct!N28</f>
        <v>379000</v>
      </c>
      <c r="D27" s="42">
        <f>Oct!T28</f>
        <v>298.14000000059605</v>
      </c>
      <c r="E27" s="42">
        <f>Oct!V28</f>
        <v>0</v>
      </c>
      <c r="F27" s="42">
        <f>Oct!AB28</f>
        <v>200</v>
      </c>
      <c r="G27" s="42">
        <f>Oct!X28</f>
        <v>15901.85999999904</v>
      </c>
      <c r="H27" s="42">
        <f>Oct!AE28</f>
        <v>4199.9999999998181</v>
      </c>
      <c r="I27" s="42">
        <f>Oct!AI28</f>
        <v>9152.4299999999275</v>
      </c>
      <c r="J27" s="42">
        <f>Oct!AN28</f>
        <v>6822.4300000000458</v>
      </c>
      <c r="K27" s="42">
        <f>Oct!AR28</f>
        <v>11700.000000000728</v>
      </c>
      <c r="L27" s="42">
        <f>Oct!AZ28</f>
        <v>360</v>
      </c>
      <c r="M27" s="42">
        <f>Oct!BC28</f>
        <v>540</v>
      </c>
      <c r="N27" s="125">
        <f t="shared" si="4"/>
        <v>49174.860000000153</v>
      </c>
      <c r="O27" s="125">
        <f>Oct!CA28</f>
        <v>666.79999999996653</v>
      </c>
      <c r="P27" s="125">
        <f>Oct!CD28</f>
        <v>1603.5999999999767</v>
      </c>
      <c r="Q27" s="125">
        <f>Oct!CF28</f>
        <v>4342</v>
      </c>
      <c r="R27" s="125">
        <f>Oct!CH28</f>
        <v>0</v>
      </c>
      <c r="S27" s="125">
        <f>Oct!CK28</f>
        <v>15505.630000000398</v>
      </c>
      <c r="T27" s="125">
        <f>Oct!CO28</f>
        <v>8573.430000000204</v>
      </c>
      <c r="U27" s="125">
        <f>Oct!CS28</f>
        <v>6309.43</v>
      </c>
      <c r="V27" s="126">
        <f t="shared" si="5"/>
        <v>37000.890000000545</v>
      </c>
      <c r="W27" s="126">
        <f>Oct!CW28</f>
        <v>12417</v>
      </c>
      <c r="X27" s="126">
        <f>Oct!DA28</f>
        <v>6955</v>
      </c>
      <c r="Y27" s="126">
        <f t="shared" si="1"/>
        <v>19372</v>
      </c>
      <c r="Z27" s="42">
        <f>Oct!BR28</f>
        <v>799.99999999995453</v>
      </c>
      <c r="AA27" s="126">
        <f>Oct!BG28</f>
        <v>1600.0000000003638</v>
      </c>
      <c r="AB27" s="126">
        <f>Oct!BJ28</f>
        <v>10000</v>
      </c>
      <c r="AC27" s="126">
        <f>Oct!BL28+Oct!BN28+Oct!BP28</f>
        <v>3700</v>
      </c>
      <c r="AD27" s="126">
        <f>Oct!DR28</f>
        <v>10798</v>
      </c>
      <c r="AE27" s="127">
        <f>Oct!DT28-Oct!DR68-Oct!DT68</f>
        <v>23400</v>
      </c>
      <c r="AF27" s="127">
        <f>Oct!DR68+Oct!DT68</f>
        <v>0</v>
      </c>
      <c r="AG27" s="127">
        <f>Oct!HJ28-AE27</f>
        <v>154600</v>
      </c>
      <c r="AH27" s="127">
        <f>Oct!DW28</f>
        <v>399.9999999996362</v>
      </c>
      <c r="AI27" s="127">
        <f>Oct!DZ28</f>
        <v>1322.43</v>
      </c>
      <c r="AJ27" s="127">
        <f>Oct!EC28</f>
        <v>4482.43</v>
      </c>
      <c r="AK27" s="127">
        <f t="shared" si="6"/>
        <v>6204.8599999996368</v>
      </c>
      <c r="AL27" s="127">
        <f>Oct!EG28</f>
        <v>27482.43</v>
      </c>
      <c r="AM27" s="127">
        <f>Oct!EJ28</f>
        <v>10322.43</v>
      </c>
      <c r="AN27" s="127">
        <f>Oct!EM28</f>
        <v>289.99999999996362</v>
      </c>
      <c r="AO27" s="127">
        <f t="shared" si="7"/>
        <v>38094.859999999964</v>
      </c>
      <c r="AP27" s="127">
        <f>Oct!FX28</f>
        <v>17900</v>
      </c>
      <c r="AQ27" s="127">
        <f>Oct!GA28</f>
        <v>4330</v>
      </c>
      <c r="AR27" s="127">
        <f>Oct!GG28</f>
        <v>4920.0000000000909</v>
      </c>
      <c r="AS27" s="127">
        <f t="shared" si="8"/>
        <v>27150.000000000091</v>
      </c>
      <c r="AT27" s="127">
        <f>Oct!EQ28</f>
        <v>6897.4299999999894</v>
      </c>
      <c r="AU27" s="127">
        <f>Oct!ET28</f>
        <v>17000</v>
      </c>
      <c r="AV27" s="127">
        <f>Oct!EW28</f>
        <v>10422.429999999455</v>
      </c>
      <c r="AW27" s="127">
        <f>Oct!FL65</f>
        <v>12322.43</v>
      </c>
      <c r="AX27" s="127">
        <f>Oct!GJ28</f>
        <v>1480</v>
      </c>
      <c r="AY27" s="127">
        <f t="shared" si="9"/>
        <v>48122.289999999448</v>
      </c>
      <c r="AZ27" s="127">
        <f>Oct!FG28</f>
        <v>10747.430000000011</v>
      </c>
      <c r="BA27" s="127">
        <f>Oct!FJ28</f>
        <v>17322.43</v>
      </c>
      <c r="BB27" s="127">
        <f>Oct!FM65</f>
        <v>12322.43</v>
      </c>
      <c r="BC27" s="127">
        <f>Oct!GM28</f>
        <v>1599.9999999999091</v>
      </c>
      <c r="BD27" s="127">
        <f t="shared" si="10"/>
        <v>41992.289999999921</v>
      </c>
      <c r="BE27" s="127">
        <f>Oct!GP28</f>
        <v>10</v>
      </c>
      <c r="BF27" s="127">
        <f>Oct!GS28</f>
        <v>140</v>
      </c>
      <c r="BG27" s="127">
        <f t="shared" si="11"/>
        <v>150</v>
      </c>
      <c r="BH27" s="127">
        <f t="shared" si="2"/>
        <v>19372</v>
      </c>
      <c r="BI27" s="127"/>
      <c r="BJ27" s="127"/>
      <c r="BK27" s="127"/>
      <c r="BL27" s="128">
        <v>0</v>
      </c>
      <c r="BM27" s="128">
        <f t="shared" si="17"/>
        <v>27150.000000000091</v>
      </c>
      <c r="BN27" s="128"/>
      <c r="BO27" s="128">
        <f t="shared" si="14"/>
        <v>0</v>
      </c>
      <c r="BP27" s="128"/>
      <c r="BQ27" s="358">
        <f t="shared" si="16"/>
        <v>150</v>
      </c>
      <c r="BR27" s="128"/>
      <c r="BS27" s="128">
        <f t="shared" si="15"/>
        <v>0</v>
      </c>
      <c r="BT27" s="42">
        <f>Oct!D66</f>
        <v>0</v>
      </c>
      <c r="BU27" s="42">
        <f>Oct!G67</f>
        <v>92000</v>
      </c>
      <c r="BV27" s="357" t="s">
        <v>451</v>
      </c>
      <c r="BX27" s="42">
        <f>Oct!HJ28</f>
        <v>178000</v>
      </c>
      <c r="BY27" s="42">
        <f>Oct!HM28</f>
        <v>0</v>
      </c>
      <c r="BZ27" s="42">
        <f>Oct!HP28</f>
        <v>41424.999999999272</v>
      </c>
      <c r="CA27" s="42">
        <f>Oct!HS28</f>
        <v>29725.000000000364</v>
      </c>
      <c r="CB27" s="42">
        <f>Oct!HV28</f>
        <v>27724.999999999454</v>
      </c>
      <c r="CC27" s="42">
        <f>Oct!HY28</f>
        <v>25324.999999999818</v>
      </c>
      <c r="CD27" s="42">
        <f>Oct!IB28</f>
        <v>30400</v>
      </c>
      <c r="CE27" s="42">
        <f>Oct!IE28</f>
        <v>0</v>
      </c>
      <c r="CF27" s="42">
        <f>Oct!IH28</f>
        <v>23400</v>
      </c>
    </row>
    <row r="28" spans="1:84" x14ac:dyDescent="0.25">
      <c r="A28" s="26">
        <f t="shared" si="13"/>
        <v>22</v>
      </c>
      <c r="B28" s="42">
        <f>Oct!G29</f>
        <v>395199.99999998981</v>
      </c>
      <c r="C28" s="42">
        <f>Oct!N29</f>
        <v>390000</v>
      </c>
      <c r="D28" s="42">
        <f>Oct!T29</f>
        <v>336.73000000044703</v>
      </c>
      <c r="E28" s="42">
        <f>Oct!V29</f>
        <v>0</v>
      </c>
      <c r="F28" s="42">
        <f>Oct!AB29</f>
        <v>300</v>
      </c>
      <c r="G28" s="42">
        <f>Oct!X29</f>
        <v>17563.270000000281</v>
      </c>
      <c r="H28" s="42">
        <f>Oct!AE29</f>
        <v>4699.9999999998181</v>
      </c>
      <c r="I28" s="42">
        <f>Oct!AI29</f>
        <v>11178.739999999345</v>
      </c>
      <c r="J28" s="42">
        <f>Oct!AN29</f>
        <v>7108.7400000006819</v>
      </c>
      <c r="K28" s="42">
        <f>Oct!AR29</f>
        <v>13000</v>
      </c>
      <c r="L28" s="42">
        <f>Oct!AZ29</f>
        <v>390</v>
      </c>
      <c r="M28" s="42">
        <f>Oct!BC29</f>
        <v>650</v>
      </c>
      <c r="N28" s="125">
        <f t="shared" si="4"/>
        <v>55227.480000000571</v>
      </c>
      <c r="O28" s="125">
        <f>Oct!CA29</f>
        <v>641.50000000000773</v>
      </c>
      <c r="P28" s="125">
        <f>Oct!CD29</f>
        <v>2031.9000000000233</v>
      </c>
      <c r="Q28" s="125">
        <f>Oct!CF29</f>
        <v>4857</v>
      </c>
      <c r="R28" s="125">
        <f>Oct!CH29</f>
        <v>0</v>
      </c>
      <c r="S28" s="125">
        <f>Oct!CK29</f>
        <v>15717.239999999629</v>
      </c>
      <c r="T28" s="125">
        <f>Oct!CO29</f>
        <v>7624.7400000001671</v>
      </c>
      <c r="U28" s="125">
        <f>Oct!CS29</f>
        <v>5776.74</v>
      </c>
      <c r="V28" s="126">
        <f t="shared" si="5"/>
        <v>36649.119999999821</v>
      </c>
      <c r="W28" s="126">
        <f>Oct!CW29</f>
        <v>18368</v>
      </c>
      <c r="X28" s="126">
        <f>Oct!DA29</f>
        <v>9221</v>
      </c>
      <c r="Y28" s="126">
        <f t="shared" si="1"/>
        <v>27589</v>
      </c>
      <c r="Z28" s="42">
        <f>Oct!BR29</f>
        <v>700.00000000004547</v>
      </c>
      <c r="AA28" s="126">
        <f>Oct!BG29</f>
        <v>1599.9999999999091</v>
      </c>
      <c r="AB28" s="126">
        <f>Oct!BJ29</f>
        <v>10000</v>
      </c>
      <c r="AC28" s="126">
        <f>Oct!BL29+Oct!BN29+Oct!BP29</f>
        <v>4100</v>
      </c>
      <c r="AD28" s="126">
        <f>Oct!DR29</f>
        <v>10407</v>
      </c>
      <c r="AE28" s="127">
        <f>Oct!DT29-Oct!DR69-Oct!DT69</f>
        <v>27200</v>
      </c>
      <c r="AF28" s="127">
        <f>Oct!DR69+Oct!DT69</f>
        <v>0</v>
      </c>
      <c r="AG28" s="127">
        <f>Oct!HJ29-AE28</f>
        <v>155800</v>
      </c>
      <c r="AH28" s="127">
        <f>Oct!DW29</f>
        <v>500</v>
      </c>
      <c r="AI28" s="127">
        <f>Oct!DZ29</f>
        <v>1208.74</v>
      </c>
      <c r="AJ28" s="127">
        <f>Oct!EC29</f>
        <v>4368.74</v>
      </c>
      <c r="AK28" s="127">
        <f t="shared" si="6"/>
        <v>6077.48</v>
      </c>
      <c r="AL28" s="127">
        <f>Oct!EG29</f>
        <v>28368.74</v>
      </c>
      <c r="AM28" s="127">
        <f>Oct!EJ29</f>
        <v>11208.74</v>
      </c>
      <c r="AN28" s="127">
        <f>Oct!EM29</f>
        <v>20.000000000095497</v>
      </c>
      <c r="AO28" s="127">
        <f t="shared" si="7"/>
        <v>39597.480000000098</v>
      </c>
      <c r="AP28" s="127">
        <f>Oct!FX29</f>
        <v>16300</v>
      </c>
      <c r="AQ28" s="127">
        <f>Oct!GA29</f>
        <v>4060</v>
      </c>
      <c r="AR28" s="127">
        <f>Oct!GG29</f>
        <v>5150.0000000000455</v>
      </c>
      <c r="AS28" s="127">
        <f t="shared" si="8"/>
        <v>25510.000000000044</v>
      </c>
      <c r="AT28" s="127">
        <f>Oct!EQ29</f>
        <v>6738.7399999999725</v>
      </c>
      <c r="AU28" s="127">
        <f>Oct!ET29</f>
        <v>14000</v>
      </c>
      <c r="AV28" s="127">
        <f>Oct!EW29</f>
        <v>10708.74</v>
      </c>
      <c r="AW28" s="127">
        <f>Oct!FL66</f>
        <v>10708.739999999998</v>
      </c>
      <c r="AX28" s="127">
        <f>Oct!GJ29</f>
        <v>2050</v>
      </c>
      <c r="AY28" s="127">
        <f t="shared" si="9"/>
        <v>44206.219999999972</v>
      </c>
      <c r="AZ28" s="127">
        <f>Oct!FG29</f>
        <v>11678.740000000027</v>
      </c>
      <c r="BA28" s="127">
        <f>Oct!FJ29</f>
        <v>19208.740000000002</v>
      </c>
      <c r="BB28" s="127">
        <f>Oct!FM66</f>
        <v>10708.739999999998</v>
      </c>
      <c r="BC28" s="127">
        <f>Oct!GM29</f>
        <v>799.99999999995453</v>
      </c>
      <c r="BD28" s="127">
        <f t="shared" si="10"/>
        <v>42396.219999999987</v>
      </c>
      <c r="BE28" s="127">
        <f>Oct!GP29</f>
        <v>0</v>
      </c>
      <c r="BF28" s="127">
        <f>Oct!GS29</f>
        <v>140</v>
      </c>
      <c r="BG28" s="127">
        <f t="shared" si="11"/>
        <v>140</v>
      </c>
      <c r="BH28" s="127">
        <f t="shared" si="2"/>
        <v>27589</v>
      </c>
      <c r="BI28" s="127"/>
      <c r="BJ28" s="127"/>
      <c r="BK28" s="127"/>
      <c r="BL28" s="128">
        <v>0</v>
      </c>
      <c r="BM28" s="128">
        <f t="shared" si="17"/>
        <v>25510.000000000044</v>
      </c>
      <c r="BN28" s="128"/>
      <c r="BO28" s="128">
        <f t="shared" si="14"/>
        <v>0</v>
      </c>
      <c r="BP28" s="128"/>
      <c r="BQ28" s="358">
        <f t="shared" si="16"/>
        <v>140</v>
      </c>
      <c r="BR28" s="128"/>
      <c r="BS28" s="128">
        <f t="shared" si="15"/>
        <v>0</v>
      </c>
      <c r="BT28" s="42">
        <f>Oct!D67</f>
        <v>0</v>
      </c>
      <c r="BU28" s="42">
        <f>Oct!G68</f>
        <v>92000</v>
      </c>
      <c r="BV28" s="357" t="s">
        <v>451</v>
      </c>
      <c r="BX28" s="42">
        <f>Oct!HJ29</f>
        <v>183000</v>
      </c>
      <c r="BY28" s="42">
        <f>Oct!HM29</f>
        <v>0</v>
      </c>
      <c r="BZ28" s="42">
        <f>Oct!HP29</f>
        <v>42325</v>
      </c>
      <c r="CA28" s="42">
        <f>Oct!HS29</f>
        <v>29724.999999999636</v>
      </c>
      <c r="CB28" s="42">
        <f>Oct!HV29</f>
        <v>27625.000000000182</v>
      </c>
      <c r="CC28" s="42">
        <f>Oct!HY29</f>
        <v>24825</v>
      </c>
      <c r="CD28" s="42">
        <f>Oct!IB29</f>
        <v>31300</v>
      </c>
      <c r="CE28" s="42">
        <f>Oct!IE29</f>
        <v>0</v>
      </c>
      <c r="CF28" s="42">
        <f>Oct!IH29</f>
        <v>27200</v>
      </c>
    </row>
    <row r="29" spans="1:84" x14ac:dyDescent="0.25">
      <c r="A29" s="26">
        <f t="shared" si="13"/>
        <v>23</v>
      </c>
      <c r="B29" s="42">
        <f>Oct!G30</f>
        <v>376640.00000000669</v>
      </c>
      <c r="C29" s="42">
        <f>Oct!N30</f>
        <v>376000</v>
      </c>
      <c r="D29" s="42">
        <f>Oct!T30</f>
        <v>331.35999999940395</v>
      </c>
      <c r="E29" s="42">
        <f>Oct!V30</f>
        <v>0</v>
      </c>
      <c r="F29" s="42">
        <f>Oct!AB30</f>
        <v>200</v>
      </c>
      <c r="G29" s="42">
        <f>Oct!X30</f>
        <v>16468.640000000596</v>
      </c>
      <c r="H29" s="42">
        <f>Oct!AE30</f>
        <v>4800.0000000001819</v>
      </c>
      <c r="I29" s="42">
        <f>Oct!AI30</f>
        <v>11091.97</v>
      </c>
      <c r="J29" s="42">
        <f>Oct!AN30</f>
        <v>7991.9700000007724</v>
      </c>
      <c r="K29" s="42">
        <f>Oct!AR30</f>
        <v>13099.999999998545</v>
      </c>
      <c r="L29" s="42">
        <f>Oct!AZ30</f>
        <v>400</v>
      </c>
      <c r="M29" s="42">
        <f>Oct!BC30</f>
        <v>640</v>
      </c>
      <c r="N29" s="125">
        <f t="shared" si="4"/>
        <v>55023.9399999995</v>
      </c>
      <c r="O29" s="125">
        <f>Oct!CA30</f>
        <v>774.80000000002747</v>
      </c>
      <c r="P29" s="125">
        <f>Oct!CD30</f>
        <v>3796.5</v>
      </c>
      <c r="Q29" s="125">
        <f>Oct!CF30</f>
        <v>3256</v>
      </c>
      <c r="R29" s="125">
        <f>Oct!CH30</f>
        <v>0</v>
      </c>
      <c r="S29" s="125">
        <f>Oct!CK30</f>
        <v>16187.170000000773</v>
      </c>
      <c r="T29" s="125">
        <f>Oct!CO30</f>
        <v>6719.9699999997019</v>
      </c>
      <c r="U29" s="125">
        <f>Oct!CS30</f>
        <v>5920.97</v>
      </c>
      <c r="V29" s="126">
        <f t="shared" si="5"/>
        <v>36655.410000000506</v>
      </c>
      <c r="W29" s="126">
        <f>Oct!CW30</f>
        <v>17338</v>
      </c>
      <c r="X29" s="126">
        <f>Oct!DA30</f>
        <v>8930</v>
      </c>
      <c r="Y29" s="126">
        <f t="shared" si="1"/>
        <v>26268</v>
      </c>
      <c r="Z29" s="42">
        <f>Oct!BR30</f>
        <v>799.99999999995453</v>
      </c>
      <c r="AA29" s="126">
        <f>Oct!BG30</f>
        <v>1599.9999999999091</v>
      </c>
      <c r="AB29" s="126">
        <f>Oct!BJ30</f>
        <v>10000</v>
      </c>
      <c r="AC29" s="126">
        <f>Oct!BL30+Oct!BN30+Oct!BP30</f>
        <v>3500</v>
      </c>
      <c r="AD29" s="126">
        <f>Oct!DR30</f>
        <v>9983</v>
      </c>
      <c r="AE29" s="127">
        <f>Oct!DT30-Oct!DR70-Oct!DT70</f>
        <v>27500</v>
      </c>
      <c r="AF29" s="127">
        <f>Oct!DR70+Oct!DT70</f>
        <v>0</v>
      </c>
      <c r="AG29" s="127">
        <f>Oct!HJ30-AE29</f>
        <v>144500</v>
      </c>
      <c r="AH29" s="127">
        <f>Oct!DW30</f>
        <v>200.0000000007276</v>
      </c>
      <c r="AI29" s="127">
        <f>Oct!DZ30</f>
        <v>591.97</v>
      </c>
      <c r="AJ29" s="127">
        <f>Oct!EC30</f>
        <v>3751.9700000000003</v>
      </c>
      <c r="AK29" s="127">
        <f t="shared" si="6"/>
        <v>4543.9400000007281</v>
      </c>
      <c r="AL29" s="127">
        <f>Oct!EG30</f>
        <v>27751.97</v>
      </c>
      <c r="AM29" s="127">
        <f>Oct!EJ30</f>
        <v>10591.97</v>
      </c>
      <c r="AN29" s="127">
        <f>Oct!EM30</f>
        <v>389.99999999998636</v>
      </c>
      <c r="AO29" s="127">
        <f t="shared" ref="AO29:AO36" si="18">SUM(AL29:AN29)</f>
        <v>38733.939999999988</v>
      </c>
      <c r="AP29" s="127">
        <f>Oct!FX30</f>
        <v>16800</v>
      </c>
      <c r="AQ29" s="127">
        <f>Oct!GA30</f>
        <v>3740</v>
      </c>
      <c r="AR29" s="127">
        <f>Oct!GG30</f>
        <v>3789.9999999998181</v>
      </c>
      <c r="AS29" s="127">
        <f t="shared" si="8"/>
        <v>24329.999999999818</v>
      </c>
      <c r="AT29" s="127">
        <f>Oct!EQ30</f>
        <v>8241.9700000000339</v>
      </c>
      <c r="AU29" s="127">
        <f>Oct!ET30</f>
        <v>11000</v>
      </c>
      <c r="AV29" s="127">
        <f>Oct!EW30</f>
        <v>10891.970000000181</v>
      </c>
      <c r="AW29" s="127">
        <f>Oct!FL67</f>
        <v>10591.969999999998</v>
      </c>
      <c r="AX29" s="127">
        <f>Oct!GJ30</f>
        <v>1910</v>
      </c>
      <c r="AY29" s="127">
        <f t="shared" si="9"/>
        <v>42635.910000000207</v>
      </c>
      <c r="AZ29" s="127">
        <f>Oct!FG30</f>
        <v>12941.969999999965</v>
      </c>
      <c r="BA29" s="127">
        <f>Oct!FJ30</f>
        <v>19591.97</v>
      </c>
      <c r="BB29" s="127">
        <f>Oct!FM67</f>
        <v>10591.969999999998</v>
      </c>
      <c r="BC29" s="127">
        <f>Oct!GM30</f>
        <v>1300.0000000001819</v>
      </c>
      <c r="BD29" s="127">
        <f t="shared" si="10"/>
        <v>44425.910000000142</v>
      </c>
      <c r="BE29" s="127">
        <f>Oct!GP30</f>
        <v>0</v>
      </c>
      <c r="BF29" s="127">
        <f>Oct!GS30</f>
        <v>140</v>
      </c>
      <c r="BG29" s="127">
        <f t="shared" si="11"/>
        <v>140</v>
      </c>
      <c r="BH29" s="127">
        <f t="shared" si="2"/>
        <v>26268</v>
      </c>
      <c r="BI29" s="127"/>
      <c r="BJ29" s="127"/>
      <c r="BK29" s="127"/>
      <c r="BL29" s="128">
        <v>0</v>
      </c>
      <c r="BM29" s="128">
        <f t="shared" si="17"/>
        <v>24329.999999999818</v>
      </c>
      <c r="BN29" s="128"/>
      <c r="BO29" s="128">
        <f t="shared" si="14"/>
        <v>0</v>
      </c>
      <c r="BP29" s="128"/>
      <c r="BQ29" s="358">
        <f t="shared" si="16"/>
        <v>140</v>
      </c>
      <c r="BR29" s="128"/>
      <c r="BS29" s="128">
        <f t="shared" si="15"/>
        <v>0</v>
      </c>
      <c r="BT29" s="42">
        <f>Oct!D68</f>
        <v>0</v>
      </c>
      <c r="BU29" s="42">
        <f>Oct!G69</f>
        <v>94000</v>
      </c>
      <c r="BV29" s="357" t="s">
        <v>451</v>
      </c>
      <c r="BX29" s="42">
        <f>Oct!HJ30</f>
        <v>172000</v>
      </c>
      <c r="BY29" s="42">
        <f>Oct!HM30</f>
        <v>0</v>
      </c>
      <c r="BZ29" s="42">
        <f>Oct!HP30</f>
        <v>41075.000000001455</v>
      </c>
      <c r="CA29" s="42">
        <f>Oct!HS30</f>
        <v>22574.999999999636</v>
      </c>
      <c r="CB29" s="42">
        <f>Oct!HV30</f>
        <v>27374.999999999818</v>
      </c>
      <c r="CC29" s="42">
        <f>Oct!HY30</f>
        <v>23675</v>
      </c>
      <c r="CD29" s="42">
        <f>Oct!IB30</f>
        <v>29800</v>
      </c>
      <c r="CE29" s="42">
        <f>Oct!IE30</f>
        <v>0</v>
      </c>
      <c r="CF29" s="42">
        <f>Oct!IH30</f>
        <v>27500</v>
      </c>
    </row>
    <row r="30" spans="1:84" x14ac:dyDescent="0.25">
      <c r="A30" s="26">
        <f t="shared" si="13"/>
        <v>24</v>
      </c>
      <c r="B30" s="42">
        <f>Oct!G31</f>
        <v>355199.99999998981</v>
      </c>
      <c r="C30" s="42">
        <f>Oct!N31</f>
        <v>352000</v>
      </c>
      <c r="D30" s="42">
        <f>Oct!T31</f>
        <v>5.150000000372529</v>
      </c>
      <c r="E30" s="42">
        <f>Oct!V31</f>
        <v>0</v>
      </c>
      <c r="F30" s="42">
        <f>Oct!AB31</f>
        <v>5300</v>
      </c>
      <c r="G30" s="42">
        <f>Oct!X31</f>
        <v>7694.8499999996275</v>
      </c>
      <c r="H30" s="42">
        <f>Oct!AE31</f>
        <v>3000</v>
      </c>
      <c r="I30" s="42">
        <f>Oct!AI31</f>
        <v>8562.7300000007272</v>
      </c>
      <c r="J30" s="42">
        <f>Oct!AN31</f>
        <v>6162.729999999181</v>
      </c>
      <c r="K30" s="42">
        <f>Oct!AR31</f>
        <v>5500</v>
      </c>
      <c r="L30" s="42">
        <f>Oct!AZ31</f>
        <v>280</v>
      </c>
      <c r="M30" s="42">
        <f>Oct!BC31</f>
        <v>450</v>
      </c>
      <c r="N30" s="125">
        <f t="shared" si="4"/>
        <v>36955.459999999905</v>
      </c>
      <c r="O30" s="125">
        <f>Oct!CA31</f>
        <v>676.89999999998918</v>
      </c>
      <c r="P30" s="125">
        <f>Oct!CD31</f>
        <v>0</v>
      </c>
      <c r="Q30" s="125">
        <f>Oct!CF31</f>
        <v>3217</v>
      </c>
      <c r="R30" s="125">
        <f>Oct!CH31</f>
        <v>0</v>
      </c>
      <c r="S30" s="125">
        <f>Oct!CK31</f>
        <v>15435.830000000011</v>
      </c>
      <c r="T30" s="125">
        <f>Oct!CO31</f>
        <v>6170.7299999999923</v>
      </c>
      <c r="U30" s="125">
        <f>Oct!CS31</f>
        <v>6747.73</v>
      </c>
      <c r="V30" s="126">
        <f t="shared" si="5"/>
        <v>32248.189999999991</v>
      </c>
      <c r="W30" s="126">
        <f>Oct!CW31</f>
        <v>18619</v>
      </c>
      <c r="X30" s="126">
        <f>Oct!DA31</f>
        <v>9390</v>
      </c>
      <c r="Y30" s="126">
        <f t="shared" si="1"/>
        <v>28009</v>
      </c>
      <c r="Z30" s="42">
        <f>Oct!BR31</f>
        <v>900.00000000009095</v>
      </c>
      <c r="AA30" s="126">
        <f>Oct!BG31</f>
        <v>1599.9999999999091</v>
      </c>
      <c r="AB30" s="126">
        <f>Oct!BJ31</f>
        <v>9000</v>
      </c>
      <c r="AC30" s="126">
        <f>Oct!BL31+Oct!BN31+Oct!BP31</f>
        <v>3600</v>
      </c>
      <c r="AD30" s="126">
        <f>Oct!DR31</f>
        <v>9320</v>
      </c>
      <c r="AE30" s="127">
        <f>Oct!DT31-Oct!DR71-Oct!DT71</f>
        <v>20600</v>
      </c>
      <c r="AF30" s="127">
        <f>Oct!DR71+Oct!DT71</f>
        <v>0</v>
      </c>
      <c r="AG30" s="127">
        <f>Oct!HJ31-AE30</f>
        <v>139400</v>
      </c>
      <c r="AH30" s="127">
        <f>Oct!DW31</f>
        <v>299.9999999992724</v>
      </c>
      <c r="AI30" s="127">
        <f>Oct!DZ31</f>
        <v>1862.73</v>
      </c>
      <c r="AJ30" s="127">
        <f>Oct!EC31</f>
        <v>5022.7299999999996</v>
      </c>
      <c r="AK30" s="127">
        <f t="shared" si="6"/>
        <v>7185.4599999992715</v>
      </c>
      <c r="AL30" s="127">
        <f>Oct!EG31</f>
        <v>29022.73</v>
      </c>
      <c r="AM30" s="127">
        <f>Oct!EJ31</f>
        <v>11862.73</v>
      </c>
      <c r="AN30" s="127">
        <f>Oct!EM31</f>
        <v>579.99999999992724</v>
      </c>
      <c r="AO30" s="127">
        <f t="shared" si="18"/>
        <v>41465.459999999926</v>
      </c>
      <c r="AP30" s="127">
        <f>Oct!FX31</f>
        <v>16700</v>
      </c>
      <c r="AQ30" s="127">
        <f>Oct!GA31</f>
        <v>3590</v>
      </c>
      <c r="AR30" s="127">
        <f>Oct!GG31</f>
        <v>5280</v>
      </c>
      <c r="AS30" s="127">
        <f t="shared" si="8"/>
        <v>25570</v>
      </c>
      <c r="AT30" s="127">
        <f>Oct!EQ31</f>
        <v>7462.729999999965</v>
      </c>
      <c r="AU30" s="127">
        <f>Oct!ET31</f>
        <v>15000</v>
      </c>
      <c r="AV30" s="127">
        <f>Oct!EW31</f>
        <v>11162.730000000181</v>
      </c>
      <c r="AW30" s="127">
        <f>Oct!FL68</f>
        <v>11862.73</v>
      </c>
      <c r="AX30" s="127">
        <f>Oct!GJ31</f>
        <v>1720</v>
      </c>
      <c r="AY30" s="127">
        <f t="shared" si="9"/>
        <v>47208.190000000148</v>
      </c>
      <c r="AZ30" s="127">
        <f>Oct!FG31</f>
        <v>12262.730000000034</v>
      </c>
      <c r="BA30" s="127">
        <f>Oct!FJ31</f>
        <v>18862.73</v>
      </c>
      <c r="BB30" s="127">
        <f>Oct!FM68</f>
        <v>11862.73</v>
      </c>
      <c r="BC30" s="127">
        <f>Oct!GM31</f>
        <v>2000</v>
      </c>
      <c r="BD30" s="127">
        <f t="shared" si="10"/>
        <v>44988.190000000031</v>
      </c>
      <c r="BE30" s="127">
        <f>Oct!GP31</f>
        <v>10</v>
      </c>
      <c r="BF30" s="127">
        <f>Oct!GS31</f>
        <v>140</v>
      </c>
      <c r="BG30" s="127">
        <f t="shared" si="11"/>
        <v>150</v>
      </c>
      <c r="BH30" s="127">
        <f t="shared" si="2"/>
        <v>28009</v>
      </c>
      <c r="BI30" s="127"/>
      <c r="BJ30" s="127"/>
      <c r="BK30" s="127"/>
      <c r="BL30" s="128">
        <v>0</v>
      </c>
      <c r="BM30" s="128">
        <f t="shared" si="17"/>
        <v>25570</v>
      </c>
      <c r="BN30" s="128"/>
      <c r="BO30" s="128">
        <f t="shared" si="14"/>
        <v>0</v>
      </c>
      <c r="BP30" s="128"/>
      <c r="BQ30" s="358">
        <f t="shared" si="16"/>
        <v>150</v>
      </c>
      <c r="BR30" s="128"/>
      <c r="BS30" s="128">
        <f t="shared" si="15"/>
        <v>0</v>
      </c>
      <c r="BT30" s="42">
        <f>Oct!D69</f>
        <v>0</v>
      </c>
      <c r="BU30" s="42">
        <f>Oct!G70</f>
        <v>93000</v>
      </c>
      <c r="BV30" s="357" t="s">
        <v>451</v>
      </c>
      <c r="BX30" s="42">
        <f>Oct!HJ31</f>
        <v>160000</v>
      </c>
      <c r="BY30" s="42">
        <f>Oct!HM31</f>
        <v>0</v>
      </c>
      <c r="BZ30" s="42">
        <f>Oct!HP31</f>
        <v>36850</v>
      </c>
      <c r="CA30" s="42">
        <f>Oct!HS31</f>
        <v>25550.000000000728</v>
      </c>
      <c r="CB30" s="42">
        <f>Oct!HV31</f>
        <v>25150.000000000182</v>
      </c>
      <c r="CC30" s="42">
        <f>Oct!HY31</f>
        <v>23250.000000000546</v>
      </c>
      <c r="CD30" s="42">
        <f>Oct!IB31</f>
        <v>28600</v>
      </c>
      <c r="CE30" s="42">
        <f>Oct!IE31</f>
        <v>0</v>
      </c>
      <c r="CF30" s="42">
        <f>Oct!IH31</f>
        <v>20600</v>
      </c>
    </row>
    <row r="31" spans="1:84" x14ac:dyDescent="0.25">
      <c r="A31" s="26">
        <f t="shared" si="13"/>
        <v>25</v>
      </c>
      <c r="B31" s="42">
        <f>Oct!G32</f>
        <v>382400.00000000873</v>
      </c>
      <c r="C31" s="42">
        <f>Oct!N32</f>
        <v>375000</v>
      </c>
      <c r="D31" s="42">
        <f>Oct!T32</f>
        <v>0</v>
      </c>
      <c r="E31" s="42">
        <f>Oct!V32</f>
        <v>0</v>
      </c>
      <c r="F31" s="42">
        <f>Oct!AB32</f>
        <v>6700</v>
      </c>
      <c r="G31" s="42">
        <f>Oct!X32</f>
        <v>8300</v>
      </c>
      <c r="H31" s="42">
        <f>Oct!AE32</f>
        <v>4899.9999999996362</v>
      </c>
      <c r="I31" s="42">
        <f>Oct!AI32</f>
        <v>13045.319999999272</v>
      </c>
      <c r="J31" s="42">
        <f>Oct!AN32</f>
        <v>5945.3199999996359</v>
      </c>
      <c r="K31" s="42">
        <f>Oct!AR32</f>
        <v>7500</v>
      </c>
      <c r="L31" s="42">
        <f>Oct!AZ32</f>
        <v>310</v>
      </c>
      <c r="M31" s="42">
        <f>Oct!BC32</f>
        <v>570</v>
      </c>
      <c r="N31" s="125">
        <f t="shared" si="4"/>
        <v>47270.639999998544</v>
      </c>
      <c r="O31" s="125">
        <f>Oct!CA32</f>
        <v>597.89999999998145</v>
      </c>
      <c r="P31" s="125">
        <f>Oct!CD32</f>
        <v>677.19999999995343</v>
      </c>
      <c r="Q31" s="125">
        <f>Oct!CF32</f>
        <v>3419</v>
      </c>
      <c r="R31" s="125">
        <f>Oct!CH32</f>
        <v>0</v>
      </c>
      <c r="S31" s="125">
        <f>Oct!CK32</f>
        <v>14727.419999999946</v>
      </c>
      <c r="T31" s="125">
        <f>Oct!CO32</f>
        <v>5258.3199999999197</v>
      </c>
      <c r="U31" s="125">
        <f>Oct!CS32</f>
        <v>6316.32</v>
      </c>
      <c r="V31" s="126">
        <f t="shared" si="5"/>
        <v>30996.1599999998</v>
      </c>
      <c r="W31" s="126">
        <f>Oct!CW32</f>
        <v>19648</v>
      </c>
      <c r="X31" s="126">
        <f>Oct!DA32</f>
        <v>9822</v>
      </c>
      <c r="Y31" s="126">
        <f t="shared" si="1"/>
        <v>29470</v>
      </c>
      <c r="Z31" s="42">
        <f>Oct!BR32</f>
        <v>500</v>
      </c>
      <c r="AA31" s="126">
        <f>Oct!BG32</f>
        <v>1500</v>
      </c>
      <c r="AB31" s="126">
        <f>Oct!BJ32</f>
        <v>10000</v>
      </c>
      <c r="AC31" s="126">
        <f>Oct!BL32+Oct!BN32+Oct!BP32</f>
        <v>3700</v>
      </c>
      <c r="AD31" s="126">
        <f>Oct!DR32</f>
        <v>9570</v>
      </c>
      <c r="AE31" s="127">
        <f>Oct!DT32-Oct!DR72-Oct!DT72</f>
        <v>25200</v>
      </c>
      <c r="AF31" s="127">
        <f>Oct!DR72+Oct!DT72</f>
        <v>0</v>
      </c>
      <c r="AG31" s="127">
        <f>Oct!HJ32-AE31</f>
        <v>152800</v>
      </c>
      <c r="AH31" s="127">
        <f>Oct!DW32</f>
        <v>300.00000000109139</v>
      </c>
      <c r="AI31" s="127">
        <f>Oct!DZ32</f>
        <v>1245.32</v>
      </c>
      <c r="AJ31" s="127">
        <f>Oct!EC32</f>
        <v>4405.32</v>
      </c>
      <c r="AK31" s="127">
        <f t="shared" si="6"/>
        <v>5950.6400000010908</v>
      </c>
      <c r="AL31" s="127">
        <f>Oct!EG32</f>
        <v>27405.32</v>
      </c>
      <c r="AM31" s="127">
        <f>Oct!EJ32</f>
        <v>10245.32</v>
      </c>
      <c r="AN31" s="127">
        <f>Oct!EM32</f>
        <v>509.99999999999091</v>
      </c>
      <c r="AO31" s="127">
        <f t="shared" si="18"/>
        <v>38160.639999999992</v>
      </c>
      <c r="AP31" s="127">
        <f>Oct!FX32</f>
        <v>16300</v>
      </c>
      <c r="AQ31" s="127">
        <f>Oct!GA32</f>
        <v>3390</v>
      </c>
      <c r="AR31" s="127">
        <f>Oct!GG32</f>
        <v>3910</v>
      </c>
      <c r="AS31" s="127">
        <f t="shared" si="8"/>
        <v>23600</v>
      </c>
      <c r="AT31" s="127">
        <f>Oct!EQ32</f>
        <v>7795.3200000000106</v>
      </c>
      <c r="AU31" s="127">
        <f>Oct!ET32</f>
        <v>19000</v>
      </c>
      <c r="AV31" s="127">
        <f>Oct!EW32</f>
        <v>10245.32</v>
      </c>
      <c r="AW31" s="127">
        <f>Oct!FL69</f>
        <v>10745.32</v>
      </c>
      <c r="AX31" s="127">
        <f>Oct!GJ32</f>
        <v>2090</v>
      </c>
      <c r="AY31" s="127">
        <f t="shared" si="9"/>
        <v>49875.960000000014</v>
      </c>
      <c r="AZ31" s="127">
        <f>Oct!FG32</f>
        <v>11695.319999999989</v>
      </c>
      <c r="BA31" s="127">
        <f>Oct!FJ32</f>
        <v>18245.32</v>
      </c>
      <c r="BB31" s="127">
        <f>Oct!FM69</f>
        <v>10745.32</v>
      </c>
      <c r="BC31" s="127">
        <f>Oct!GM32</f>
        <v>2000</v>
      </c>
      <c r="BD31" s="127">
        <f t="shared" si="10"/>
        <v>42685.959999999992</v>
      </c>
      <c r="BE31" s="127">
        <f>Oct!GP32</f>
        <v>0</v>
      </c>
      <c r="BF31" s="127">
        <f>Oct!GS32</f>
        <v>120</v>
      </c>
      <c r="BG31" s="127">
        <f t="shared" si="11"/>
        <v>120</v>
      </c>
      <c r="BH31" s="127">
        <f t="shared" si="2"/>
        <v>29470</v>
      </c>
      <c r="BI31" s="127"/>
      <c r="BJ31" s="127"/>
      <c r="BK31" s="127"/>
      <c r="BL31" s="128">
        <v>0</v>
      </c>
      <c r="BM31" s="128">
        <f t="shared" si="17"/>
        <v>23600</v>
      </c>
      <c r="BN31" s="128"/>
      <c r="BO31" s="128">
        <f t="shared" si="14"/>
        <v>0</v>
      </c>
      <c r="BP31" s="128"/>
      <c r="BQ31" s="358">
        <f t="shared" si="16"/>
        <v>120</v>
      </c>
      <c r="BR31" s="128"/>
      <c r="BS31" s="128">
        <f t="shared" si="15"/>
        <v>0</v>
      </c>
      <c r="BT31" s="42">
        <f>Oct!D70</f>
        <v>0</v>
      </c>
      <c r="BU31" s="42">
        <f>Oct!G71</f>
        <v>89000</v>
      </c>
      <c r="BV31" s="357" t="s">
        <v>451</v>
      </c>
      <c r="BX31" s="42">
        <f>Oct!HJ32</f>
        <v>178000</v>
      </c>
      <c r="BY31" s="42">
        <f>Oct!HM32</f>
        <v>0</v>
      </c>
      <c r="BZ31" s="42">
        <f>Oct!HP32</f>
        <v>42575</v>
      </c>
      <c r="CA31" s="42">
        <f>Oct!HS32</f>
        <v>27974.999999999636</v>
      </c>
      <c r="CB31" s="42">
        <f>Oct!HV32</f>
        <v>27675.000000000364</v>
      </c>
      <c r="CC31" s="42">
        <f>Oct!HY32</f>
        <v>25674.999999999454</v>
      </c>
      <c r="CD31" s="42">
        <f>Oct!IB32</f>
        <v>28900</v>
      </c>
      <c r="CE31" s="42">
        <f>Oct!IE32</f>
        <v>0</v>
      </c>
      <c r="CF31" s="42">
        <f>Oct!IH32</f>
        <v>25200</v>
      </c>
    </row>
    <row r="32" spans="1:84" x14ac:dyDescent="0.25">
      <c r="A32" s="26">
        <f t="shared" si="13"/>
        <v>26</v>
      </c>
      <c r="B32" s="42">
        <f>Oct!G33</f>
        <v>352319.99999999243</v>
      </c>
      <c r="C32" s="42">
        <f>Oct!N33</f>
        <v>358000</v>
      </c>
      <c r="D32" s="42">
        <f>Oct!T33</f>
        <v>0</v>
      </c>
      <c r="E32" s="42">
        <f>Oct!V33</f>
        <v>0</v>
      </c>
      <c r="F32" s="42">
        <f>Oct!AB33</f>
        <v>6400</v>
      </c>
      <c r="G32" s="42">
        <f>Oct!X33</f>
        <v>7600</v>
      </c>
      <c r="H32" s="42">
        <f>Oct!AE33</f>
        <v>4920.0000000000728</v>
      </c>
      <c r="I32" s="42">
        <f>Oct!AI33</f>
        <v>11520.110000001456</v>
      </c>
      <c r="J32" s="42">
        <f>Oct!AN33</f>
        <v>5820.1100000011375</v>
      </c>
      <c r="K32" s="42">
        <f>Oct!AR33</f>
        <v>7800.0000000010914</v>
      </c>
      <c r="L32" s="42">
        <f>Oct!AZ33</f>
        <v>340</v>
      </c>
      <c r="M32" s="42">
        <f>Oct!BC33</f>
        <v>530</v>
      </c>
      <c r="N32" s="125">
        <f t="shared" si="4"/>
        <v>44930.220000003756</v>
      </c>
      <c r="O32" s="125">
        <f>Oct!CA33</f>
        <v>688.89999999998963</v>
      </c>
      <c r="P32" s="125">
        <f>Oct!CD33</f>
        <v>1187.4000000000233</v>
      </c>
      <c r="Q32" s="125">
        <f>Oct!CF33</f>
        <v>4505</v>
      </c>
      <c r="R32" s="125">
        <f>Oct!CH33</f>
        <v>0</v>
      </c>
      <c r="S32" s="125">
        <f>Oct!CK33</f>
        <v>15261.209999999937</v>
      </c>
      <c r="T32" s="125">
        <f>Oct!CO33</f>
        <v>5014.1100000002325</v>
      </c>
      <c r="U32" s="125">
        <f>Oct!CS33</f>
        <v>6033.11</v>
      </c>
      <c r="V32" s="126">
        <f t="shared" si="5"/>
        <v>32689.730000000185</v>
      </c>
      <c r="W32" s="126">
        <f>Oct!CW33</f>
        <v>13068</v>
      </c>
      <c r="X32" s="126">
        <f>Oct!DA33</f>
        <v>7051</v>
      </c>
      <c r="Y32" s="126">
        <f t="shared" si="1"/>
        <v>20119</v>
      </c>
      <c r="Z32" s="42">
        <f>Oct!BR33</f>
        <v>299.99999999995453</v>
      </c>
      <c r="AA32" s="126">
        <f>Oct!BG33</f>
        <v>1700.0000000002728</v>
      </c>
      <c r="AB32" s="126">
        <f>Oct!BJ33</f>
        <v>10000</v>
      </c>
      <c r="AC32" s="126">
        <f>Oct!BL33+Oct!BN33+Oct!BP33</f>
        <v>3800</v>
      </c>
      <c r="AD32" s="126">
        <f>Oct!DR33</f>
        <v>9570</v>
      </c>
      <c r="AE32" s="127">
        <f>Oct!DT33-Oct!DR73-Oct!DT73</f>
        <v>26600</v>
      </c>
      <c r="AF32" s="127">
        <f>Oct!DR73+Oct!DT73</f>
        <v>0</v>
      </c>
      <c r="AG32" s="127">
        <f>Oct!HJ33-AE32</f>
        <v>150400</v>
      </c>
      <c r="AH32" s="127">
        <f>Oct!DW33</f>
        <v>299.9999999992724</v>
      </c>
      <c r="AI32" s="127">
        <f>Oct!DZ33</f>
        <v>120.11</v>
      </c>
      <c r="AJ32" s="127">
        <f>Oct!EC33</f>
        <v>4280.1100000000006</v>
      </c>
      <c r="AK32" s="127">
        <f t="shared" si="6"/>
        <v>4700.2199999992727</v>
      </c>
      <c r="AL32" s="127">
        <f>Oct!EG33</f>
        <v>22280.11</v>
      </c>
      <c r="AM32" s="127">
        <f>Oct!EJ33</f>
        <v>11120.11</v>
      </c>
      <c r="AN32" s="127">
        <f>Oct!EM33</f>
        <v>110.00000000001364</v>
      </c>
      <c r="AO32" s="127">
        <f t="shared" si="18"/>
        <v>33510.220000000016</v>
      </c>
      <c r="AP32" s="127">
        <f>Oct!FX33</f>
        <v>7300</v>
      </c>
      <c r="AQ32" s="127">
        <f>Oct!GA33</f>
        <v>1910</v>
      </c>
      <c r="AR32" s="127">
        <f>Oct!GG33</f>
        <v>2380</v>
      </c>
      <c r="AS32" s="127">
        <f t="shared" si="8"/>
        <v>11590</v>
      </c>
      <c r="AT32" s="127">
        <f>Oct!EQ33</f>
        <v>8070.1099999999897</v>
      </c>
      <c r="AU32" s="127">
        <f>Oct!ET33</f>
        <v>18000</v>
      </c>
      <c r="AV32" s="127">
        <f>Oct!EW33</f>
        <v>10120.11</v>
      </c>
      <c r="AW32" s="127">
        <f>Oct!FL70</f>
        <v>9620.11</v>
      </c>
      <c r="AX32" s="127">
        <f>Oct!GJ33</f>
        <v>1620</v>
      </c>
      <c r="AY32" s="127">
        <f t="shared" si="9"/>
        <v>47430.329999999987</v>
      </c>
      <c r="AZ32" s="127">
        <f>Oct!FG33</f>
        <v>10170.110000000011</v>
      </c>
      <c r="BA32" s="127">
        <f>Oct!FJ33</f>
        <v>11120.11</v>
      </c>
      <c r="BB32" s="127">
        <f>Oct!FM70</f>
        <v>9620.11</v>
      </c>
      <c r="BC32" s="127">
        <f>Oct!GM33</f>
        <v>2000</v>
      </c>
      <c r="BD32" s="127">
        <f t="shared" si="10"/>
        <v>32910.330000000016</v>
      </c>
      <c r="BE32" s="127">
        <f>Oct!GP33</f>
        <v>0</v>
      </c>
      <c r="BF32" s="127">
        <f>Oct!GS33</f>
        <v>70</v>
      </c>
      <c r="BG32" s="127">
        <f t="shared" si="11"/>
        <v>70</v>
      </c>
      <c r="BH32" s="127">
        <f t="shared" si="2"/>
        <v>20119</v>
      </c>
      <c r="BI32" s="127"/>
      <c r="BJ32" s="127"/>
      <c r="BK32" s="127"/>
      <c r="BL32" s="128">
        <v>0</v>
      </c>
      <c r="BM32" s="128">
        <f t="shared" si="17"/>
        <v>11590</v>
      </c>
      <c r="BN32" s="128"/>
      <c r="BO32" s="128">
        <f t="shared" si="14"/>
        <v>0</v>
      </c>
      <c r="BP32" s="128"/>
      <c r="BQ32" s="358">
        <f t="shared" si="16"/>
        <v>70</v>
      </c>
      <c r="BR32" s="128"/>
      <c r="BS32" s="128">
        <f t="shared" si="15"/>
        <v>0</v>
      </c>
      <c r="BT32" s="42">
        <f>Oct!D71</f>
        <v>0</v>
      </c>
      <c r="BU32" s="42">
        <f>Oct!G72</f>
        <v>78000</v>
      </c>
      <c r="BV32" s="357" t="s">
        <v>451</v>
      </c>
      <c r="BX32" s="42">
        <f>Oct!HJ33</f>
        <v>177000</v>
      </c>
      <c r="BY32" s="42">
        <f>Oct!HM33</f>
        <v>0</v>
      </c>
      <c r="BZ32" s="42">
        <f>Oct!HP33</f>
        <v>42199.999999999636</v>
      </c>
      <c r="CA32" s="42">
        <f>Oct!HS33</f>
        <v>27100.000000000182</v>
      </c>
      <c r="CB32" s="42">
        <f>Oct!HV33</f>
        <v>27699.999999999636</v>
      </c>
      <c r="CC32" s="42">
        <f>Oct!HY33</f>
        <v>26000.000000000728</v>
      </c>
      <c r="CD32" s="42">
        <f>Oct!IB33</f>
        <v>27400</v>
      </c>
      <c r="CE32" s="42">
        <f>Oct!IE33</f>
        <v>0</v>
      </c>
      <c r="CF32" s="42">
        <f>Oct!IH33</f>
        <v>26600</v>
      </c>
    </row>
    <row r="33" spans="1:87" x14ac:dyDescent="0.25">
      <c r="A33" s="26">
        <f t="shared" si="13"/>
        <v>27</v>
      </c>
      <c r="B33" s="42">
        <f>Oct!G34</f>
        <v>378240.00000001979</v>
      </c>
      <c r="C33" s="42">
        <f>Oct!N34</f>
        <v>373000</v>
      </c>
      <c r="D33" s="42">
        <f>Oct!T34</f>
        <v>4.5</v>
      </c>
      <c r="E33" s="42">
        <f>Oct!V34</f>
        <v>0</v>
      </c>
      <c r="F33" s="42">
        <f>Oct!AB34</f>
        <v>6700</v>
      </c>
      <c r="G33" s="42">
        <f>Oct!X34</f>
        <v>8295.5</v>
      </c>
      <c r="H33" s="42">
        <f>Oct!AE34</f>
        <v>5480.0000000004729</v>
      </c>
      <c r="I33" s="42">
        <f>Oct!AI34</f>
        <v>13255.909999998545</v>
      </c>
      <c r="J33" s="42">
        <f>Oct!AN34</f>
        <v>6955.9099999989539</v>
      </c>
      <c r="K33" s="42">
        <f>Oct!AR34</f>
        <v>8199.9999999989086</v>
      </c>
      <c r="L33" s="42">
        <f>Oct!AZ34</f>
        <v>320</v>
      </c>
      <c r="M33" s="42">
        <f>Oct!BC34</f>
        <v>530</v>
      </c>
      <c r="N33" s="125">
        <f t="shared" si="4"/>
        <v>49741.819999996878</v>
      </c>
      <c r="O33" s="125">
        <f>Oct!CA34</f>
        <v>571.70000000002119</v>
      </c>
      <c r="P33" s="125">
        <f>Oct!CD34</f>
        <v>1079.3000000000466</v>
      </c>
      <c r="Q33" s="125">
        <f>Oct!CF34</f>
        <v>1945</v>
      </c>
      <c r="R33" s="125">
        <f>Oct!CH34</f>
        <v>0</v>
      </c>
      <c r="S33" s="125">
        <f>Oct!CK34</f>
        <v>14462.21000000059</v>
      </c>
      <c r="T33" s="125">
        <f>Oct!CO34</f>
        <v>4724.9099999995051</v>
      </c>
      <c r="U33" s="125">
        <f>Oct!CS34</f>
        <v>6538.91</v>
      </c>
      <c r="V33" s="126">
        <f t="shared" si="5"/>
        <v>29322.030000000163</v>
      </c>
      <c r="W33" s="126">
        <f>Oct!CW34</f>
        <v>19676</v>
      </c>
      <c r="X33" s="126">
        <f>Oct!DA34</f>
        <v>9191</v>
      </c>
      <c r="Y33" s="126">
        <f t="shared" si="1"/>
        <v>28867</v>
      </c>
      <c r="Z33" s="42">
        <f>Oct!BR34</f>
        <v>299.99999999995453</v>
      </c>
      <c r="AA33" s="126">
        <f>Oct!BG34</f>
        <v>1500</v>
      </c>
      <c r="AB33" s="126">
        <f>Oct!BJ34</f>
        <v>10000</v>
      </c>
      <c r="AC33" s="126">
        <f>Oct!BL34+Oct!BN34+Oct!BP34</f>
        <v>3600</v>
      </c>
      <c r="AD33" s="126">
        <f>Oct!DR34</f>
        <v>11010</v>
      </c>
      <c r="AE33" s="127">
        <f>Oct!DT34-Oct!DR74-Oct!DT74</f>
        <v>23900</v>
      </c>
      <c r="AF33" s="127">
        <f>Oct!DR74+Oct!DT74</f>
        <v>0</v>
      </c>
      <c r="AG33" s="127">
        <f>Oct!HJ34-AE33</f>
        <v>148100</v>
      </c>
      <c r="AH33" s="127">
        <f>Oct!DW34</f>
        <v>3300.0000000010914</v>
      </c>
      <c r="AI33" s="127">
        <f>Oct!DZ34</f>
        <v>3655.91</v>
      </c>
      <c r="AJ33" s="127">
        <f>Oct!EC34</f>
        <v>16815.91</v>
      </c>
      <c r="AK33" s="127">
        <f t="shared" si="6"/>
        <v>23771.820000001091</v>
      </c>
      <c r="AL33" s="127">
        <f>Oct!EG34</f>
        <v>27815.91</v>
      </c>
      <c r="AM33" s="127">
        <f>Oct!EJ34</f>
        <v>10655.91</v>
      </c>
      <c r="AN33" s="127">
        <f>Oct!EM34</f>
        <v>550.00000000006821</v>
      </c>
      <c r="AO33" s="127">
        <f t="shared" si="18"/>
        <v>39021.820000000065</v>
      </c>
      <c r="AP33" s="127">
        <f>Oct!FX34</f>
        <v>14600</v>
      </c>
      <c r="AQ33" s="127">
        <f>Oct!GA34</f>
        <v>3290</v>
      </c>
      <c r="AR33" s="127">
        <f>Oct!GG34</f>
        <v>4290.0000000001364</v>
      </c>
      <c r="AS33" s="127">
        <f t="shared" si="8"/>
        <v>22180.000000000138</v>
      </c>
      <c r="AT33" s="127">
        <f>Oct!EQ34</f>
        <v>9305.9100000000344</v>
      </c>
      <c r="AU33" s="127">
        <f>Oct!ET34</f>
        <v>18000</v>
      </c>
      <c r="AV33" s="127">
        <f>Oct!EW34</f>
        <v>10655.91</v>
      </c>
      <c r="AW33" s="127">
        <f>Oct!FL71</f>
        <v>10155.91</v>
      </c>
      <c r="AX33" s="127">
        <f>Oct!GJ34+((Oct!GP34+Oct!GS34)*50/100)</f>
        <v>1880</v>
      </c>
      <c r="AY33" s="127">
        <f t="shared" si="9"/>
        <v>49997.73000000004</v>
      </c>
      <c r="AZ33" s="127">
        <f>Oct!FG34</f>
        <v>9005.9099999999653</v>
      </c>
      <c r="BA33" s="127">
        <f>Oct!FJ34</f>
        <v>15655.91</v>
      </c>
      <c r="BB33" s="127">
        <f>Oct!FM71</f>
        <v>10155.91</v>
      </c>
      <c r="BC33" s="127">
        <f>Oct!GM34+((Oct!GP34+Oct!GS34)*50/100)</f>
        <v>1969.9999999998636</v>
      </c>
      <c r="BD33" s="127">
        <f t="shared" si="10"/>
        <v>36787.729999999829</v>
      </c>
      <c r="BE33" s="127">
        <f>Oct!GP34</f>
        <v>0</v>
      </c>
      <c r="BF33" s="127">
        <f>Oct!GS34</f>
        <v>140</v>
      </c>
      <c r="BG33" s="127">
        <f t="shared" si="11"/>
        <v>140</v>
      </c>
      <c r="BH33" s="127">
        <f t="shared" si="2"/>
        <v>28867</v>
      </c>
      <c r="BI33" s="127"/>
      <c r="BJ33" s="127"/>
      <c r="BK33" s="127"/>
      <c r="BL33" s="128">
        <v>0</v>
      </c>
      <c r="BM33" s="128">
        <f t="shared" si="17"/>
        <v>22180.000000000138</v>
      </c>
      <c r="BN33" s="128"/>
      <c r="BO33" s="128">
        <f t="shared" si="14"/>
        <v>0</v>
      </c>
      <c r="BP33" s="128"/>
      <c r="BQ33" s="358">
        <f t="shared" si="16"/>
        <v>140</v>
      </c>
      <c r="BR33" s="128"/>
      <c r="BS33" s="128">
        <f t="shared" si="15"/>
        <v>0</v>
      </c>
      <c r="BT33" s="42">
        <f>Oct!D72</f>
        <v>0</v>
      </c>
      <c r="BU33" s="42">
        <f>Oct!G73</f>
        <v>100000</v>
      </c>
      <c r="BV33" s="357" t="s">
        <v>451</v>
      </c>
      <c r="BX33" s="42">
        <f>Oct!HJ34</f>
        <v>172000</v>
      </c>
      <c r="BY33" s="42">
        <f>Oct!HM34</f>
        <v>0</v>
      </c>
      <c r="BZ33" s="42">
        <f>Oct!HP34</f>
        <v>42624.999999999272</v>
      </c>
      <c r="CA33" s="42">
        <f>Oct!HS34</f>
        <v>28325</v>
      </c>
      <c r="CB33" s="42">
        <f>Oct!HV34</f>
        <v>23425.000000000364</v>
      </c>
      <c r="CC33" s="42">
        <f>Oct!HY34</f>
        <v>26624.999999999272</v>
      </c>
      <c r="CD33" s="42">
        <f>Oct!IB34</f>
        <v>27100</v>
      </c>
      <c r="CE33" s="42">
        <f>Oct!IE34</f>
        <v>0</v>
      </c>
      <c r="CF33" s="42">
        <f>Oct!IH34</f>
        <v>23900</v>
      </c>
    </row>
    <row r="34" spans="1:87" x14ac:dyDescent="0.25">
      <c r="A34" s="26">
        <f t="shared" si="13"/>
        <v>28</v>
      </c>
      <c r="B34" s="42">
        <f>Oct!G35</f>
        <v>363839.99999998923</v>
      </c>
      <c r="C34" s="42">
        <f>Oct!N35</f>
        <v>358000</v>
      </c>
      <c r="D34" s="42">
        <f>Oct!T35</f>
        <v>0.5</v>
      </c>
      <c r="E34" s="42">
        <f>Oct!V35</f>
        <v>0</v>
      </c>
      <c r="F34" s="42">
        <f>Oct!AB35</f>
        <v>6400</v>
      </c>
      <c r="G34" s="42">
        <f>Oct!X35</f>
        <v>7799.5000000007276</v>
      </c>
      <c r="H34" s="42">
        <f>Oct!AE35</f>
        <v>5199.9999999998181</v>
      </c>
      <c r="I34" s="42">
        <f>Oct!AI35</f>
        <v>13274.39</v>
      </c>
      <c r="J34" s="42">
        <f>Oct!AN35</f>
        <v>3374.3900000003177</v>
      </c>
      <c r="K34" s="42">
        <f>Oct!AR35</f>
        <v>7900.0000000014552</v>
      </c>
      <c r="L34" s="42">
        <f>Oct!AZ35</f>
        <v>260</v>
      </c>
      <c r="M34" s="42">
        <f>Oct!BC35</f>
        <v>430</v>
      </c>
      <c r="N34" s="125">
        <f t="shared" si="4"/>
        <v>44638.78000000232</v>
      </c>
      <c r="O34" s="125">
        <f>Oct!CA35</f>
        <v>634.19999999996435</v>
      </c>
      <c r="P34" s="125">
        <f>Oct!CD35</f>
        <v>22.099999999976717</v>
      </c>
      <c r="Q34" s="125">
        <f>Oct!CF35</f>
        <v>3399</v>
      </c>
      <c r="R34" s="125">
        <f>Oct!CH35</f>
        <v>0</v>
      </c>
      <c r="S34" s="125">
        <f>Oct!CK35</f>
        <v>14772.189999999642</v>
      </c>
      <c r="T34" s="125">
        <f>Oct!CO35</f>
        <v>3109.3900000000367</v>
      </c>
      <c r="U34" s="125">
        <f>Oct!CS35</f>
        <v>4932.3900000000003</v>
      </c>
      <c r="V34" s="126">
        <f t="shared" si="5"/>
        <v>26869.269999999618</v>
      </c>
      <c r="W34" s="126">
        <f>Oct!CW35</f>
        <v>18774</v>
      </c>
      <c r="X34" s="126">
        <f>Oct!DA35</f>
        <v>10744</v>
      </c>
      <c r="Y34" s="126">
        <f t="shared" si="1"/>
        <v>29518</v>
      </c>
      <c r="Z34" s="42">
        <f>Oct!BR35</f>
        <v>1200.0000000000455</v>
      </c>
      <c r="AA34" s="126">
        <f>Oct!BG35</f>
        <v>1699.9999999998181</v>
      </c>
      <c r="AB34" s="126">
        <f>Oct!BJ35</f>
        <v>10000</v>
      </c>
      <c r="AC34" s="126">
        <f>Oct!BL35+Oct!BN35+Oct!BP35</f>
        <v>3800</v>
      </c>
      <c r="AD34" s="126">
        <f>Oct!DR35</f>
        <v>11440</v>
      </c>
      <c r="AE34" s="127">
        <f>Oct!DT35-Oct!DR75-Oct!DT75</f>
        <v>21600</v>
      </c>
      <c r="AF34" s="127">
        <f>Oct!DR75+Oct!DT75</f>
        <v>0</v>
      </c>
      <c r="AG34" s="127">
        <f>Oct!HJ35-AE34</f>
        <v>159400</v>
      </c>
      <c r="AH34" s="127">
        <f>Oct!DW35</f>
        <v>3599.9999999985448</v>
      </c>
      <c r="AI34" s="127">
        <f>Oct!DZ35</f>
        <v>1774.39</v>
      </c>
      <c r="AJ34" s="127">
        <f>Oct!EC35</f>
        <v>13934.39</v>
      </c>
      <c r="AK34" s="127">
        <f t="shared" si="6"/>
        <v>19308.779999998544</v>
      </c>
      <c r="AL34" s="127">
        <f>Oct!EG35</f>
        <v>28934.39</v>
      </c>
      <c r="AM34" s="127">
        <f>Oct!EJ35</f>
        <v>9774.39</v>
      </c>
      <c r="AN34" s="127">
        <f>Oct!EM35</f>
        <v>509.99999999999091</v>
      </c>
      <c r="AO34" s="127">
        <f t="shared" si="18"/>
        <v>39218.779999999992</v>
      </c>
      <c r="AP34" s="127">
        <f>Oct!FX35</f>
        <v>15000</v>
      </c>
      <c r="AQ34" s="127">
        <f>Oct!GA35</f>
        <v>3320</v>
      </c>
      <c r="AR34" s="127">
        <f>Oct!GG35</f>
        <v>4260.0000000000455</v>
      </c>
      <c r="AS34" s="127">
        <f t="shared" si="8"/>
        <v>22580.000000000044</v>
      </c>
      <c r="AT34" s="127">
        <f>Oct!EQ35</f>
        <v>5254.3899999999612</v>
      </c>
      <c r="AU34" s="127">
        <f>Oct!ET35</f>
        <v>18000</v>
      </c>
      <c r="AV34" s="127">
        <f>Oct!EW35</f>
        <v>9674.3899999996356</v>
      </c>
      <c r="AW34" s="127">
        <f>Oct!FL72</f>
        <v>10274.39</v>
      </c>
      <c r="AX34" s="127">
        <f>Oct!GJ35+((Oct!GP35+Oct!GS35)*50/100)</f>
        <v>2010</v>
      </c>
      <c r="AY34" s="127">
        <f t="shared" si="9"/>
        <v>45213.169999999598</v>
      </c>
      <c r="AZ34" s="127">
        <f>Oct!FG35</f>
        <v>11294.390000000038</v>
      </c>
      <c r="BA34" s="127">
        <f>Oct!FJ35</f>
        <v>17774.39</v>
      </c>
      <c r="BB34" s="127">
        <f>Oct!FM72</f>
        <v>10274.39</v>
      </c>
      <c r="BC34" s="127">
        <f>Oct!GM35+((Oct!GP35+Oct!GS35)*50/100)</f>
        <v>1869.9999999999545</v>
      </c>
      <c r="BD34" s="127">
        <f t="shared" si="10"/>
        <v>41213.169999999991</v>
      </c>
      <c r="BE34" s="127">
        <f>Oct!GP35</f>
        <v>0</v>
      </c>
      <c r="BF34" s="127">
        <f>Oct!GS35</f>
        <v>140</v>
      </c>
      <c r="BG34" s="127">
        <f t="shared" si="11"/>
        <v>140</v>
      </c>
      <c r="BH34" s="127">
        <f t="shared" si="2"/>
        <v>29518</v>
      </c>
      <c r="BI34" s="127"/>
      <c r="BJ34" s="127"/>
      <c r="BK34" s="127"/>
      <c r="BL34" s="128">
        <v>0</v>
      </c>
      <c r="BM34" s="128">
        <f t="shared" si="17"/>
        <v>22580.000000000044</v>
      </c>
      <c r="BN34" s="128"/>
      <c r="BO34" s="128">
        <f t="shared" si="14"/>
        <v>0</v>
      </c>
      <c r="BP34" s="128"/>
      <c r="BQ34" s="358">
        <f t="shared" si="16"/>
        <v>140</v>
      </c>
      <c r="BR34" s="128"/>
      <c r="BS34" s="128">
        <f t="shared" si="15"/>
        <v>0</v>
      </c>
      <c r="BT34" s="42">
        <f>Oct!D73</f>
        <v>0</v>
      </c>
      <c r="BU34" s="42">
        <f>Oct!G74</f>
        <v>114000</v>
      </c>
      <c r="BV34" s="357" t="s">
        <v>451</v>
      </c>
      <c r="BX34" s="42">
        <f>Oct!HJ35</f>
        <v>181000</v>
      </c>
      <c r="BY34" s="42">
        <f>Oct!HM35</f>
        <v>0</v>
      </c>
      <c r="BZ34" s="42">
        <f>Oct!HP35</f>
        <v>42425.000000000364</v>
      </c>
      <c r="CA34" s="42">
        <f>Oct!HS35</f>
        <v>28325</v>
      </c>
      <c r="CB34" s="42">
        <f>Oct!HV35</f>
        <v>33224.999999999636</v>
      </c>
      <c r="CC34" s="42">
        <f>Oct!HY35</f>
        <v>25725.000000000546</v>
      </c>
      <c r="CD34" s="42">
        <f>Oct!IB35</f>
        <v>29700</v>
      </c>
      <c r="CE34" s="42">
        <f>Oct!IE35</f>
        <v>0</v>
      </c>
      <c r="CF34" s="42">
        <f>Oct!IH35</f>
        <v>21600</v>
      </c>
    </row>
    <row r="35" spans="1:87" ht="15" customHeight="1" x14ac:dyDescent="0.25">
      <c r="A35" s="26">
        <f t="shared" si="13"/>
        <v>29</v>
      </c>
      <c r="B35" s="42">
        <f>Oct!G36</f>
        <v>382080.00000000175</v>
      </c>
      <c r="C35" s="42">
        <f>Oct!N36</f>
        <v>385000</v>
      </c>
      <c r="D35" s="42">
        <f>Oct!T36</f>
        <v>0</v>
      </c>
      <c r="E35" s="42">
        <f>Oct!V36</f>
        <v>0</v>
      </c>
      <c r="F35" s="42">
        <f>Oct!AB36</f>
        <v>6700</v>
      </c>
      <c r="G35" s="42">
        <f>Oct!X36</f>
        <v>8099.9999999992724</v>
      </c>
      <c r="H35" s="42">
        <f>Oct!AE36</f>
        <v>6199.9999999998181</v>
      </c>
      <c r="I35" s="42">
        <f>Oct!AI36</f>
        <v>15729.580000000728</v>
      </c>
      <c r="J35" s="42">
        <f>Oct!AN36</f>
        <v>7169.5800000000318</v>
      </c>
      <c r="K35" s="42">
        <f>Oct!AR36</f>
        <v>8299.9999999992724</v>
      </c>
      <c r="L35" s="42">
        <f>Oct!AZ36</f>
        <v>353.19999999995343</v>
      </c>
      <c r="M35" s="42">
        <f>Oct!BC36</f>
        <v>567.45999999999185</v>
      </c>
      <c r="N35" s="125">
        <f t="shared" ref="N35:N36" si="19">SUM(D35:M35)</f>
        <v>53119.819999999068</v>
      </c>
      <c r="O35" s="125">
        <f>Oct!CA36</f>
        <v>745.20000000001119</v>
      </c>
      <c r="P35" s="125">
        <f>Oct!CD36</f>
        <v>4363.5999999999767</v>
      </c>
      <c r="Q35" s="125">
        <f>Oct!CF36</f>
        <v>5160</v>
      </c>
      <c r="R35" s="125">
        <f>Oct!CH36</f>
        <v>0</v>
      </c>
      <c r="S35" s="125">
        <f>Oct!CK36</f>
        <v>17444.379999999845</v>
      </c>
      <c r="T35" s="125">
        <f>Oct!CO36</f>
        <v>6313.5800000005602</v>
      </c>
      <c r="U35" s="125">
        <f>Oct!CS36</f>
        <v>7408.58</v>
      </c>
      <c r="V35" s="126">
        <f t="shared" si="5"/>
        <v>41435.340000000397</v>
      </c>
      <c r="W35" s="126">
        <f>Oct!CW36</f>
        <v>14876</v>
      </c>
      <c r="X35" s="126">
        <f>Oct!DA36</f>
        <v>8043</v>
      </c>
      <c r="Y35" s="126">
        <f t="shared" si="1"/>
        <v>22919</v>
      </c>
      <c r="Z35" s="42">
        <f>Oct!BR36</f>
        <v>659.99999999996817</v>
      </c>
      <c r="AA35" s="126">
        <f>Oct!BG36</f>
        <v>1699.9999999998181</v>
      </c>
      <c r="AB35" s="126">
        <f>Oct!BJ36</f>
        <v>10000</v>
      </c>
      <c r="AC35" s="126">
        <f>Oct!BL36+Oct!BN36+Oct!BP36</f>
        <v>3200</v>
      </c>
      <c r="AD35" s="126">
        <f>Oct!DR36</f>
        <v>7640</v>
      </c>
      <c r="AE35" s="127">
        <f>Oct!DT36-Oct!DR76-Oct!DT76</f>
        <v>20300</v>
      </c>
      <c r="AF35" s="127">
        <f>Oct!DR76+Oct!DT76</f>
        <v>0</v>
      </c>
      <c r="AG35" s="127">
        <f>Oct!HJ36-AE35</f>
        <v>147700</v>
      </c>
      <c r="AH35" s="127">
        <f>Oct!DW36</f>
        <v>1800.0000000010914</v>
      </c>
      <c r="AI35" s="127">
        <f>Oct!DZ36</f>
        <v>2529.58</v>
      </c>
      <c r="AJ35" s="127">
        <f>Oct!EC36</f>
        <v>9689.58</v>
      </c>
      <c r="AK35" s="127">
        <f t="shared" si="6"/>
        <v>14019.160000001091</v>
      </c>
      <c r="AL35" s="127">
        <f>Oct!EG36</f>
        <v>29689.58</v>
      </c>
      <c r="AM35" s="127">
        <f>Oct!EJ36</f>
        <v>10529.58</v>
      </c>
      <c r="AN35" s="127">
        <f>Oct!EM36</f>
        <v>669.99999999995907</v>
      </c>
      <c r="AO35" s="127">
        <f t="shared" si="18"/>
        <v>40889.15999999996</v>
      </c>
      <c r="AP35" s="127">
        <f>Oct!FX36</f>
        <v>18800</v>
      </c>
      <c r="AQ35" s="127">
        <f>Oct!GA36</f>
        <v>3860</v>
      </c>
      <c r="AR35" s="127">
        <f>Oct!GG36</f>
        <v>4469.9999999999545</v>
      </c>
      <c r="AS35" s="127">
        <f t="shared" si="8"/>
        <v>27129.999999999956</v>
      </c>
      <c r="AT35" s="127">
        <f>Oct!EQ36</f>
        <v>7219.5799999999981</v>
      </c>
      <c r="AU35" s="127">
        <f>Oct!ET36</f>
        <v>17000</v>
      </c>
      <c r="AV35" s="127">
        <f>Oct!EW36</f>
        <v>10929.580000000546</v>
      </c>
      <c r="AW35" s="127">
        <f>Oct!FL73</f>
        <v>12029.579999999998</v>
      </c>
      <c r="AX35" s="127">
        <f>Oct!GJ36+((Oct!GP36+Oct!GS36)*50/100)</f>
        <v>1895</v>
      </c>
      <c r="AY35" s="127">
        <f t="shared" ref="AY35:AY36" si="20">SUM(AT35:AX35)</f>
        <v>49073.740000000544</v>
      </c>
      <c r="AZ35" s="127">
        <f>Oct!FG36</f>
        <v>10839.580000000002</v>
      </c>
      <c r="BA35" s="127">
        <f>Oct!FJ36</f>
        <v>19529.580000000002</v>
      </c>
      <c r="BB35" s="127">
        <f>Oct!FM73</f>
        <v>12029.579999999998</v>
      </c>
      <c r="BC35" s="127">
        <f>Oct!GM36+((Oct!GP36+Oct!GS36)*50/100)</f>
        <v>1765.0000000000455</v>
      </c>
      <c r="BD35" s="127">
        <f t="shared" ref="BD35:BD36" si="21">SUM(AZ35:BC35)</f>
        <v>44163.740000000049</v>
      </c>
      <c r="BE35" s="127">
        <f>Oct!GP36</f>
        <v>0</v>
      </c>
      <c r="BF35" s="127">
        <f>Oct!GS36</f>
        <v>130</v>
      </c>
      <c r="BG35" s="127">
        <f t="shared" si="11"/>
        <v>130</v>
      </c>
      <c r="BH35" s="127">
        <f t="shared" si="2"/>
        <v>22919</v>
      </c>
      <c r="BI35" s="127"/>
      <c r="BJ35" s="127"/>
      <c r="BK35" s="127"/>
      <c r="BL35" s="128">
        <v>0</v>
      </c>
      <c r="BM35" s="128">
        <f t="shared" si="17"/>
        <v>27129.999999999956</v>
      </c>
      <c r="BN35" s="128"/>
      <c r="BO35" s="128">
        <f t="shared" si="14"/>
        <v>0</v>
      </c>
      <c r="BP35" s="128"/>
      <c r="BQ35" s="358">
        <f t="shared" si="16"/>
        <v>130</v>
      </c>
      <c r="BR35" s="128"/>
      <c r="BS35" s="128">
        <f t="shared" si="15"/>
        <v>0</v>
      </c>
      <c r="BT35" s="42">
        <f>Oct!D74</f>
        <v>0</v>
      </c>
      <c r="BU35" s="42">
        <f>Oct!G75</f>
        <v>102000</v>
      </c>
      <c r="BV35" s="357" t="s">
        <v>451</v>
      </c>
      <c r="BX35" s="42">
        <f>Oct!HJ36</f>
        <v>168000</v>
      </c>
      <c r="BY35" s="42">
        <f>Oct!HM36</f>
        <v>0</v>
      </c>
      <c r="BZ35" s="42">
        <f>Oct!HP36</f>
        <v>42225.000000000728</v>
      </c>
      <c r="CA35" s="42">
        <f>Oct!HS36</f>
        <v>27025</v>
      </c>
      <c r="CB35" s="42">
        <f>Oct!HV36</f>
        <v>26924.999999999636</v>
      </c>
      <c r="CC35" s="42">
        <f>Oct!HY36</f>
        <v>23424.999999999636</v>
      </c>
      <c r="CD35" s="42">
        <f>Oct!IB36</f>
        <v>28100</v>
      </c>
      <c r="CE35" s="42">
        <f>Oct!IE36</f>
        <v>0</v>
      </c>
      <c r="CF35" s="42">
        <f>Oct!IH36</f>
        <v>20300</v>
      </c>
    </row>
    <row r="36" spans="1:87" x14ac:dyDescent="0.25">
      <c r="A36" s="26">
        <f t="shared" si="13"/>
        <v>30</v>
      </c>
      <c r="B36" s="42">
        <f>Oct!G37</f>
        <v>387839.99999998196</v>
      </c>
      <c r="C36" s="42">
        <f>Oct!N37</f>
        <v>385600</v>
      </c>
      <c r="D36" s="42">
        <f>Oct!T37</f>
        <v>0</v>
      </c>
      <c r="E36" s="42">
        <f>Oct!V37</f>
        <v>0</v>
      </c>
      <c r="F36" s="42">
        <f>Oct!AB37</f>
        <v>6300</v>
      </c>
      <c r="G36" s="42">
        <f>Oct!X37</f>
        <v>7999.9999999992724</v>
      </c>
      <c r="H36" s="42">
        <f>Oct!AE37</f>
        <v>4800.0000000001819</v>
      </c>
      <c r="I36" s="42">
        <f>Oct!AI37</f>
        <v>9205.2999999999993</v>
      </c>
      <c r="J36" s="42">
        <f>Oct!AN37</f>
        <v>7665.2999999992853</v>
      </c>
      <c r="K36" s="42">
        <f>Oct!AR37</f>
        <v>13200.000000000728</v>
      </c>
      <c r="L36" s="42">
        <f>Oct!AZ37</f>
        <v>366.80000000004657</v>
      </c>
      <c r="M36" s="42">
        <f>Oct!BC37</f>
        <v>662.54000000000815</v>
      </c>
      <c r="N36" s="125">
        <f t="shared" si="19"/>
        <v>50199.939999999522</v>
      </c>
      <c r="O36" s="125">
        <f>Oct!CA37</f>
        <v>790.00000000002046</v>
      </c>
      <c r="P36" s="125">
        <f>Oct!CD37</f>
        <v>2341.1999999999534</v>
      </c>
      <c r="Q36" s="125">
        <f>Oct!CF37</f>
        <v>3844</v>
      </c>
      <c r="R36" s="125">
        <f>Oct!CH37</f>
        <v>1.8999999999941792</v>
      </c>
      <c r="S36" s="125">
        <f>Oct!CK37</f>
        <v>16505.300000000123</v>
      </c>
      <c r="T36" s="125">
        <f>Oct!CO37</f>
        <v>6995.2999999999638</v>
      </c>
      <c r="U36" s="125">
        <f>Oct!CS37</f>
        <v>7377.3</v>
      </c>
      <c r="V36" s="126">
        <f t="shared" si="5"/>
        <v>37855.000000000051</v>
      </c>
      <c r="W36" s="126">
        <f>Oct!CW37</f>
        <v>15704</v>
      </c>
      <c r="X36" s="126">
        <f>Oct!DA37</f>
        <v>8138</v>
      </c>
      <c r="Y36" s="126">
        <f t="shared" si="1"/>
        <v>23842</v>
      </c>
      <c r="Z36" s="42">
        <f>Oct!BR37</f>
        <v>639.99999999998636</v>
      </c>
      <c r="AA36" s="126">
        <f>Oct!BG37</f>
        <v>1800.0000000001819</v>
      </c>
      <c r="AB36" s="126">
        <f>Oct!BJ37</f>
        <v>10000</v>
      </c>
      <c r="AC36" s="126">
        <f>Oct!BL37+Oct!BN37+Oct!BP37</f>
        <v>3700</v>
      </c>
      <c r="AD36" s="126">
        <f>Oct!DR37</f>
        <v>7630</v>
      </c>
      <c r="AE36" s="127">
        <f>Oct!DT37-Oct!DR77-Oct!DT77</f>
        <v>22100</v>
      </c>
      <c r="AF36" s="127">
        <f>Oct!DR77+Oct!DT77</f>
        <v>0</v>
      </c>
      <c r="AG36" s="127">
        <f>Oct!HJ37-AE36</f>
        <v>146900</v>
      </c>
      <c r="AH36" s="127">
        <f>Oct!DW37</f>
        <v>500</v>
      </c>
      <c r="AI36" s="127">
        <f>Oct!DZ37</f>
        <v>1205.3</v>
      </c>
      <c r="AJ36" s="127">
        <f>Oct!EC37</f>
        <v>3365.3</v>
      </c>
      <c r="AK36" s="127">
        <f t="shared" si="6"/>
        <v>5070.6000000000004</v>
      </c>
      <c r="AL36" s="127">
        <f>Oct!EG37</f>
        <v>29365.3</v>
      </c>
      <c r="AM36" s="127">
        <f>Oct!EJ37</f>
        <v>11205.3</v>
      </c>
      <c r="AN36" s="127">
        <f>Oct!EM37</f>
        <v>450.00000000004547</v>
      </c>
      <c r="AO36" s="127">
        <f t="shared" si="18"/>
        <v>41020.600000000042</v>
      </c>
      <c r="AP36" s="127">
        <f>Oct!FX37</f>
        <v>25400</v>
      </c>
      <c r="AQ36" s="127">
        <f>Oct!GA37</f>
        <v>4890</v>
      </c>
      <c r="AR36" s="127">
        <f>Oct!GG37</f>
        <v>6649.9999999999545</v>
      </c>
      <c r="AS36" s="127">
        <f t="shared" si="8"/>
        <v>36939.999999999956</v>
      </c>
      <c r="AT36" s="127">
        <f>Oct!EQ37</f>
        <v>7960.2999999999947</v>
      </c>
      <c r="AU36" s="127">
        <f>Oct!ET37</f>
        <v>18000</v>
      </c>
      <c r="AV36" s="127">
        <f>Oct!EW37</f>
        <v>10305.299999999454</v>
      </c>
      <c r="AW36" s="127">
        <f>Oct!FL74</f>
        <v>17087.419999999998</v>
      </c>
      <c r="AX36" s="127">
        <f>Oct!GJ37+((Oct!GP37+Oct!GS37)*50/100)</f>
        <v>1765</v>
      </c>
      <c r="AY36" s="127">
        <f t="shared" si="20"/>
        <v>55118.019999999451</v>
      </c>
      <c r="AZ36" s="127">
        <f>Oct!FG37</f>
        <v>11450.300000000003</v>
      </c>
      <c r="BA36" s="127">
        <f>Oct!FJ37</f>
        <v>18205.3</v>
      </c>
      <c r="BB36" s="127">
        <f>Oct!FM74</f>
        <v>7323.1800000000012</v>
      </c>
      <c r="BC36" s="127">
        <f>Oct!GM37+((Oct!GP37+Oct!GS37)*50/100)</f>
        <v>815.00000000004547</v>
      </c>
      <c r="BD36" s="127">
        <f t="shared" si="21"/>
        <v>37793.78000000005</v>
      </c>
      <c r="BE36" s="127">
        <f>Oct!GP37</f>
        <v>10</v>
      </c>
      <c r="BF36" s="127">
        <f>Oct!GS37</f>
        <v>220</v>
      </c>
      <c r="BG36" s="127">
        <f t="shared" si="11"/>
        <v>230</v>
      </c>
      <c r="BH36" s="127">
        <f t="shared" si="2"/>
        <v>23842</v>
      </c>
      <c r="BI36" s="127"/>
      <c r="BJ36" s="127"/>
      <c r="BK36" s="127"/>
      <c r="BL36" s="128">
        <v>0</v>
      </c>
      <c r="BM36" s="128">
        <f>(AS36-BL36)*0.73</f>
        <v>26966.199999999968</v>
      </c>
      <c r="BN36" s="128"/>
      <c r="BO36" s="128">
        <f>(AS36-BL36-BM36-BN36)</f>
        <v>9973.7999999999884</v>
      </c>
      <c r="BP36" s="128"/>
      <c r="BQ36" s="358">
        <f t="shared" si="16"/>
        <v>230</v>
      </c>
      <c r="BR36" s="128"/>
      <c r="BS36" s="128">
        <f t="shared" si="15"/>
        <v>0</v>
      </c>
      <c r="BT36" s="42">
        <f>Oct!D75</f>
        <v>0</v>
      </c>
      <c r="BU36" s="42">
        <f>Oct!G76</f>
        <v>93000</v>
      </c>
      <c r="BV36" s="357" t="s">
        <v>453</v>
      </c>
      <c r="BX36" s="42">
        <f>Oct!HJ37</f>
        <v>169000</v>
      </c>
      <c r="BY36" s="42">
        <f>Oct!HM37</f>
        <v>0</v>
      </c>
      <c r="BZ36" s="42">
        <f>Oct!HP37</f>
        <v>43774.999999998909</v>
      </c>
      <c r="CA36" s="42">
        <f>Oct!HS37</f>
        <v>26075</v>
      </c>
      <c r="CB36" s="42">
        <f>Oct!HV37</f>
        <v>27175.000000000364</v>
      </c>
      <c r="CC36" s="42">
        <f>Oct!HY37</f>
        <v>23975.000000000546</v>
      </c>
      <c r="CD36" s="42">
        <f>Oct!IB37</f>
        <v>25900</v>
      </c>
      <c r="CE36" s="42">
        <f>Oct!IE37</f>
        <v>0</v>
      </c>
      <c r="CF36" s="42">
        <f>Oct!IH37</f>
        <v>22100</v>
      </c>
    </row>
    <row r="37" spans="1:87" x14ac:dyDescent="0.25">
      <c r="A37" s="26">
        <f t="shared" si="13"/>
        <v>31</v>
      </c>
      <c r="B37" s="42">
        <f>Oct!G38</f>
        <v>366400.00000000873</v>
      </c>
      <c r="C37" s="42">
        <f>Oct!N38</f>
        <v>363400</v>
      </c>
      <c r="D37" s="42">
        <f>Oct!T38</f>
        <v>6</v>
      </c>
      <c r="E37" s="42">
        <f>Oct!V38</f>
        <v>0</v>
      </c>
      <c r="F37" s="42">
        <f>Oct!AB38</f>
        <v>6700</v>
      </c>
      <c r="G37" s="42">
        <f>Oct!X38</f>
        <v>8294</v>
      </c>
      <c r="H37" s="42">
        <f>Oct!AE38</f>
        <v>4500</v>
      </c>
      <c r="I37" s="42">
        <f>Oct!AI38</f>
        <v>13034.99</v>
      </c>
      <c r="J37" s="42">
        <f>Oct!AN38</f>
        <v>7704.9900000006865</v>
      </c>
      <c r="K37" s="42">
        <f>Oct!AR38</f>
        <v>13899.999999999636</v>
      </c>
      <c r="L37" s="42">
        <f>Oct!AZ38</f>
        <v>450</v>
      </c>
      <c r="M37" s="42">
        <f>Oct!BC38</f>
        <v>690</v>
      </c>
      <c r="N37" s="125">
        <f t="shared" ref="N37" si="22">SUM(D37:M37)</f>
        <v>55279.980000000323</v>
      </c>
      <c r="O37" s="125">
        <f>Oct!CA38</f>
        <v>673.99999999997817</v>
      </c>
      <c r="P37" s="125">
        <f>Oct!CD38</f>
        <v>670.20000000006985</v>
      </c>
      <c r="Q37" s="125">
        <f>Oct!CF38</f>
        <v>5097</v>
      </c>
      <c r="R37" s="125">
        <f>Oct!CH38</f>
        <v>0</v>
      </c>
      <c r="S37" s="125">
        <f>Oct!CK38</f>
        <v>16290.990000000314</v>
      </c>
      <c r="T37" s="125">
        <f>Oct!CO38</f>
        <v>7883.9900000001599</v>
      </c>
      <c r="U37" s="125">
        <f>Oct!CS38</f>
        <v>6874.99</v>
      </c>
      <c r="V37" s="126">
        <f t="shared" ref="V37" si="23">SUM(O37:U37)</f>
        <v>37491.170000000522</v>
      </c>
      <c r="W37" s="126">
        <f>Oct!CW38</f>
        <v>14167</v>
      </c>
      <c r="X37" s="126">
        <f>Oct!DA38</f>
        <v>7752</v>
      </c>
      <c r="Y37" s="126">
        <f t="shared" ref="Y37" si="24">W37+X37</f>
        <v>21919</v>
      </c>
      <c r="Z37" s="42">
        <f>Oct!BR38</f>
        <v>600.00000000002274</v>
      </c>
      <c r="AA37" s="126">
        <f>Oct!BG38</f>
        <v>1900.0000000000909</v>
      </c>
      <c r="AB37" s="126">
        <f>Oct!BJ38</f>
        <v>9000</v>
      </c>
      <c r="AC37" s="126">
        <f>Oct!BL38+Oct!BN38+Oct!BP38</f>
        <v>4430.0000000000182</v>
      </c>
      <c r="AD37" s="126">
        <f>Oct!DR38</f>
        <v>12110</v>
      </c>
      <c r="AE37" s="127">
        <f>Oct!DT38-Oct!DR78-Oct!DT78</f>
        <v>22800</v>
      </c>
      <c r="AF37" s="127">
        <f>Oct!DR78+Oct!DT78</f>
        <v>0</v>
      </c>
      <c r="AG37" s="127">
        <f>Oct!HJ38-AE37</f>
        <v>114200</v>
      </c>
      <c r="AH37" s="127">
        <f>Oct!DW38</f>
        <v>299.9999999992724</v>
      </c>
      <c r="AI37" s="127">
        <f>Oct!DZ38</f>
        <v>634.99000000036381</v>
      </c>
      <c r="AJ37" s="127">
        <f>Oct!EC38</f>
        <v>4694.99</v>
      </c>
      <c r="AK37" s="127">
        <f t="shared" ref="AK37" si="25">SUM(AH37:AJ37)</f>
        <v>5629.9799999996358</v>
      </c>
      <c r="AL37" s="127">
        <f>Oct!EG38</f>
        <v>27694.99</v>
      </c>
      <c r="AM37" s="127">
        <f>Oct!EJ38</f>
        <v>10534.99</v>
      </c>
      <c r="AN37" s="127">
        <f>Oct!EM38</f>
        <v>639.99999999998636</v>
      </c>
      <c r="AO37" s="127">
        <f t="shared" ref="AO37" si="26">SUM(AL37:AN37)</f>
        <v>38869.979999999989</v>
      </c>
      <c r="AP37" s="127">
        <f>Oct!FX38</f>
        <v>27500</v>
      </c>
      <c r="AQ37" s="127">
        <f>Oct!GA38</f>
        <v>5600</v>
      </c>
      <c r="AR37" s="127">
        <f>Oct!GG38</f>
        <v>7190</v>
      </c>
      <c r="AS37" s="127">
        <f t="shared" ref="AS37" si="27">SUM(AP37:AR37)</f>
        <v>40290</v>
      </c>
      <c r="AT37" s="127">
        <f>Oct!EQ38</f>
        <v>8279.9900000000052</v>
      </c>
      <c r="AU37" s="127">
        <f>Oct!ET38</f>
        <v>17000</v>
      </c>
      <c r="AV37" s="127">
        <f>Oct!EW38</f>
        <v>10934.990000000545</v>
      </c>
      <c r="AW37" s="127">
        <f>Oct!FL75</f>
        <v>21069.979999999996</v>
      </c>
      <c r="AX37" s="127">
        <f>Oct!GJ38+((Oct!GP38+Oct!GS38)*50/100)</f>
        <v>1925</v>
      </c>
      <c r="AY37" s="127">
        <f t="shared" ref="AY37" si="28">SUM(AT37:AX37)</f>
        <v>59209.960000000545</v>
      </c>
      <c r="AZ37" s="127">
        <f>Oct!FG38</f>
        <v>9789.9899999999943</v>
      </c>
      <c r="BA37" s="127">
        <f>Oct!FJ38</f>
        <v>15534.99</v>
      </c>
      <c r="BB37" s="127">
        <f>Oct!FM75</f>
        <v>0</v>
      </c>
      <c r="BC37" s="127">
        <f>Oct!GM38+((Oct!GP38+Oct!GS38)*50/100)</f>
        <v>115</v>
      </c>
      <c r="BD37" s="127">
        <f t="shared" ref="BD37" si="29">SUM(AZ37:BC37)</f>
        <v>25439.979999999996</v>
      </c>
      <c r="BE37" s="127">
        <f>Oct!GP38</f>
        <v>0</v>
      </c>
      <c r="BF37" s="127">
        <f>Oct!GS38</f>
        <v>230</v>
      </c>
      <c r="BG37" s="127">
        <f t="shared" ref="BG37" si="30">BE37+BF37</f>
        <v>230</v>
      </c>
      <c r="BH37" s="127">
        <f t="shared" ref="BH37" si="31">Y37</f>
        <v>21919</v>
      </c>
      <c r="BI37" s="127"/>
      <c r="BJ37" s="127"/>
      <c r="BK37" s="127"/>
      <c r="BL37" s="128">
        <v>0</v>
      </c>
      <c r="BM37" s="128">
        <f>(AS37-BL37)*0.52</f>
        <v>20950.8</v>
      </c>
      <c r="BN37" s="128"/>
      <c r="BO37" s="128">
        <f t="shared" si="14"/>
        <v>19339.2</v>
      </c>
      <c r="BP37" s="128"/>
      <c r="BQ37" s="358">
        <f t="shared" si="16"/>
        <v>230</v>
      </c>
      <c r="BR37" s="128"/>
      <c r="BS37" s="128">
        <f t="shared" si="15"/>
        <v>0</v>
      </c>
      <c r="BT37" s="42">
        <f>Oct!D76</f>
        <v>0</v>
      </c>
      <c r="BU37" s="42">
        <f>Oct!G77</f>
        <v>83000</v>
      </c>
      <c r="BV37" s="357" t="s">
        <v>455</v>
      </c>
      <c r="BX37" s="42">
        <f>Oct!HJ38</f>
        <v>137000</v>
      </c>
      <c r="BY37" s="42">
        <f>Oct!HM38</f>
        <v>0</v>
      </c>
      <c r="BZ37" s="42">
        <f>Oct!HP38</f>
        <v>33500.000000000364</v>
      </c>
      <c r="CA37" s="42">
        <f>Oct!HS38</f>
        <v>25900</v>
      </c>
      <c r="CB37" s="42">
        <f>Oct!HV38</f>
        <v>26599.999999999818</v>
      </c>
      <c r="CC37" s="42">
        <f>Oct!HY38</f>
        <v>2499.9999999994543</v>
      </c>
      <c r="CD37" s="42">
        <f>Oct!IB38</f>
        <v>25700</v>
      </c>
      <c r="CE37" s="42">
        <f>Oct!IE38</f>
        <v>0</v>
      </c>
      <c r="CF37" s="42">
        <f>Oct!IH38</f>
        <v>22800</v>
      </c>
    </row>
    <row r="38" spans="1:87" x14ac:dyDescent="0.25">
      <c r="A38" s="129" t="s">
        <v>37</v>
      </c>
      <c r="B38" s="90">
        <f t="shared" ref="B38:BM38" si="32">SUMIF(B7:B37,"&gt;0")</f>
        <v>11663679.999999994</v>
      </c>
      <c r="C38" s="90">
        <f t="shared" si="32"/>
        <v>11589000</v>
      </c>
      <c r="D38" s="90">
        <f t="shared" si="32"/>
        <v>7352.5600000005215</v>
      </c>
      <c r="E38" s="90">
        <f t="shared" si="32"/>
        <v>0</v>
      </c>
      <c r="F38" s="90">
        <f t="shared" si="32"/>
        <v>55590</v>
      </c>
      <c r="G38" s="90">
        <f t="shared" si="32"/>
        <v>454357.43999999878</v>
      </c>
      <c r="H38" s="90">
        <f t="shared" si="32"/>
        <v>181300.00000000017</v>
      </c>
      <c r="I38" s="90">
        <f t="shared" si="32"/>
        <v>412664.1999999999</v>
      </c>
      <c r="J38" s="90">
        <f t="shared" si="32"/>
        <v>202864.19999999998</v>
      </c>
      <c r="K38" s="90">
        <f t="shared" si="32"/>
        <v>292600.00000000035</v>
      </c>
      <c r="L38" s="90">
        <f t="shared" si="32"/>
        <v>10919</v>
      </c>
      <c r="M38" s="90">
        <f t="shared" si="32"/>
        <v>17083</v>
      </c>
      <c r="N38" s="90">
        <f t="shared" si="32"/>
        <v>1634730.3999999994</v>
      </c>
      <c r="O38" s="90">
        <f t="shared" si="32"/>
        <v>21024.000000000004</v>
      </c>
      <c r="P38" s="90">
        <f t="shared" si="32"/>
        <v>27931.400000000023</v>
      </c>
      <c r="Q38" s="90">
        <f t="shared" si="32"/>
        <v>114738</v>
      </c>
      <c r="R38" s="90">
        <f t="shared" si="32"/>
        <v>363.79999999998836</v>
      </c>
      <c r="S38" s="90">
        <f t="shared" si="32"/>
        <v>460660.20000000054</v>
      </c>
      <c r="T38" s="90">
        <f t="shared" si="32"/>
        <v>199003.19999999995</v>
      </c>
      <c r="U38" s="90">
        <f t="shared" si="32"/>
        <v>192416.19999999998</v>
      </c>
      <c r="V38" s="90">
        <f t="shared" si="32"/>
        <v>1016136.8000000005</v>
      </c>
      <c r="W38" s="90">
        <f t="shared" si="32"/>
        <v>278671</v>
      </c>
      <c r="X38" s="90">
        <f t="shared" si="32"/>
        <v>150290</v>
      </c>
      <c r="Y38" s="90">
        <f t="shared" si="32"/>
        <v>428961</v>
      </c>
      <c r="Z38" s="90">
        <f t="shared" si="32"/>
        <v>21179.999999999953</v>
      </c>
      <c r="AA38" s="90">
        <f t="shared" si="32"/>
        <v>49400.000000000102</v>
      </c>
      <c r="AB38" s="90">
        <f t="shared" si="32"/>
        <v>287000</v>
      </c>
      <c r="AC38" s="90">
        <f t="shared" si="32"/>
        <v>130120.00000000006</v>
      </c>
      <c r="AD38" s="90">
        <f t="shared" si="32"/>
        <v>307490</v>
      </c>
      <c r="AE38" s="90">
        <f t="shared" si="32"/>
        <v>781100</v>
      </c>
      <c r="AF38" s="90">
        <f t="shared" si="32"/>
        <v>0</v>
      </c>
      <c r="AG38" s="90">
        <f t="shared" si="32"/>
        <v>4657900</v>
      </c>
      <c r="AH38" s="90">
        <f t="shared" si="32"/>
        <v>91799.999999999272</v>
      </c>
      <c r="AI38" s="90">
        <f t="shared" si="32"/>
        <v>157264.20000000033</v>
      </c>
      <c r="AJ38" s="90">
        <f t="shared" si="32"/>
        <v>541124.19999999984</v>
      </c>
      <c r="AK38" s="90">
        <f t="shared" si="32"/>
        <v>790188.39999999967</v>
      </c>
      <c r="AL38" s="90">
        <f t="shared" si="32"/>
        <v>839124.2</v>
      </c>
      <c r="AM38" s="90">
        <f t="shared" si="32"/>
        <v>328164.2</v>
      </c>
      <c r="AN38" s="90">
        <f t="shared" si="32"/>
        <v>17340.000000000029</v>
      </c>
      <c r="AO38" s="90">
        <f t="shared" si="32"/>
        <v>1184628.4000000001</v>
      </c>
      <c r="AP38" s="90">
        <f t="shared" si="32"/>
        <v>703100</v>
      </c>
      <c r="AQ38" s="90">
        <f t="shared" si="32"/>
        <v>157900</v>
      </c>
      <c r="AR38" s="90">
        <f t="shared" si="32"/>
        <v>181730.00000000012</v>
      </c>
      <c r="AS38" s="90">
        <f t="shared" si="32"/>
        <v>1042730.0000000001</v>
      </c>
      <c r="AT38" s="90">
        <f t="shared" si="32"/>
        <v>225934.19999999995</v>
      </c>
      <c r="AU38" s="90">
        <f t="shared" si="32"/>
        <v>494000</v>
      </c>
      <c r="AV38" s="90">
        <f t="shared" si="32"/>
        <v>325264.20000000042</v>
      </c>
      <c r="AW38" s="90">
        <f t="shared" si="32"/>
        <v>417813.1275999996</v>
      </c>
      <c r="AX38" s="90">
        <f t="shared" si="32"/>
        <v>55605</v>
      </c>
      <c r="AY38" s="90">
        <f t="shared" si="32"/>
        <v>1518616.5276000001</v>
      </c>
      <c r="AZ38" s="90">
        <f t="shared" si="32"/>
        <v>278394.2</v>
      </c>
      <c r="BA38" s="90">
        <f t="shared" si="32"/>
        <v>372164.19999999995</v>
      </c>
      <c r="BB38" s="90">
        <f t="shared" si="32"/>
        <v>248515.27240000028</v>
      </c>
      <c r="BC38" s="90">
        <f t="shared" si="32"/>
        <v>28534.999999999905</v>
      </c>
      <c r="BD38" s="90">
        <f t="shared" si="32"/>
        <v>927608.67240000027</v>
      </c>
      <c r="BE38" s="90">
        <f t="shared" si="32"/>
        <v>100</v>
      </c>
      <c r="BF38" s="90">
        <f t="shared" si="32"/>
        <v>3790</v>
      </c>
      <c r="BG38" s="90">
        <f t="shared" si="32"/>
        <v>3890</v>
      </c>
      <c r="BH38" s="90">
        <f t="shared" si="32"/>
        <v>428961</v>
      </c>
      <c r="BI38" s="90">
        <f t="shared" si="32"/>
        <v>0</v>
      </c>
      <c r="BJ38" s="90">
        <f t="shared" si="32"/>
        <v>0</v>
      </c>
      <c r="BK38" s="90">
        <f t="shared" si="32"/>
        <v>0</v>
      </c>
      <c r="BL38" s="90">
        <f t="shared" si="32"/>
        <v>373275.58799999999</v>
      </c>
      <c r="BM38" s="90">
        <f t="shared" si="32"/>
        <v>640141.41200000024</v>
      </c>
      <c r="BN38" s="90">
        <f t="shared" ref="BN38:BU38" si="33">SUMIF(BN7:BN37,"&gt;0")</f>
        <v>0</v>
      </c>
      <c r="BO38" s="90">
        <f t="shared" si="33"/>
        <v>29312.999999999989</v>
      </c>
      <c r="BP38" s="90">
        <f t="shared" si="33"/>
        <v>0</v>
      </c>
      <c r="BQ38" s="90">
        <f t="shared" si="33"/>
        <v>3890</v>
      </c>
      <c r="BR38" s="90">
        <f t="shared" si="33"/>
        <v>0</v>
      </c>
      <c r="BS38" s="90">
        <f t="shared" si="33"/>
        <v>0</v>
      </c>
      <c r="BT38" s="90">
        <f t="shared" si="33"/>
        <v>0</v>
      </c>
      <c r="BU38" s="90">
        <f t="shared" si="33"/>
        <v>3118000</v>
      </c>
      <c r="BV38" s="164"/>
      <c r="BX38" s="130">
        <f t="shared" ref="BX38:CF38" si="34">SUM(BX7:BX37)</f>
        <v>5439000</v>
      </c>
      <c r="BY38" s="130">
        <f t="shared" si="34"/>
        <v>0</v>
      </c>
      <c r="BZ38" s="130">
        <f t="shared" si="34"/>
        <v>1294740</v>
      </c>
      <c r="CA38" s="130">
        <f t="shared" si="34"/>
        <v>825040</v>
      </c>
      <c r="CB38" s="130">
        <f t="shared" si="34"/>
        <v>858739.99999999977</v>
      </c>
      <c r="CC38" s="130">
        <f t="shared" si="34"/>
        <v>751779.99999999977</v>
      </c>
      <c r="CD38" s="130">
        <f t="shared" si="34"/>
        <v>927600</v>
      </c>
      <c r="CE38" s="130">
        <f t="shared" si="34"/>
        <v>0</v>
      </c>
      <c r="CF38" s="130">
        <f t="shared" si="34"/>
        <v>781100</v>
      </c>
    </row>
    <row r="39" spans="1:87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L40" s="91"/>
      <c r="BM40" s="91"/>
      <c r="BN40" s="91"/>
      <c r="BO40" s="91"/>
      <c r="BP40" s="91"/>
      <c r="BQ40" s="221"/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AV41" s="3"/>
      <c r="BQ41" s="221"/>
      <c r="BR41" s="91"/>
      <c r="BV41" s="91"/>
      <c r="BW41" t="s">
        <v>281</v>
      </c>
      <c r="BX41" s="91">
        <f>BX38</f>
        <v>5439000</v>
      </c>
      <c r="CH41" t="s">
        <v>336</v>
      </c>
      <c r="CI41">
        <f>$Y$38</f>
        <v>428961</v>
      </c>
    </row>
    <row r="42" spans="1:87" x14ac:dyDescent="0.25">
      <c r="B42" t="s">
        <v>106</v>
      </c>
      <c r="C42" s="24">
        <f>B38</f>
        <v>11663679.999999994</v>
      </c>
      <c r="D42" s="91"/>
      <c r="N42" s="132"/>
      <c r="O42" s="132"/>
      <c r="P42" s="132"/>
      <c r="Q42" s="132"/>
      <c r="R42" s="132"/>
      <c r="S42" s="132"/>
      <c r="T42" s="132"/>
      <c r="U42" s="132"/>
      <c r="V42" s="497">
        <v>45931</v>
      </c>
      <c r="W42" s="497"/>
      <c r="X42" s="497"/>
      <c r="Y42" s="497"/>
      <c r="Z42" s="497"/>
      <c r="AA42" s="497"/>
      <c r="AB42" s="497"/>
      <c r="AC42" s="497"/>
      <c r="AD42" s="497"/>
      <c r="AK42" s="3"/>
      <c r="AL42" s="3"/>
      <c r="AM42" s="3"/>
      <c r="AN42" s="3"/>
      <c r="AO42" s="3"/>
      <c r="AP42" s="3"/>
      <c r="AQ42" s="3"/>
      <c r="AR42" s="3"/>
      <c r="AV42" s="151"/>
      <c r="BQ42" s="221"/>
      <c r="BW42" t="s">
        <v>258</v>
      </c>
      <c r="BX42" s="91">
        <f>BY38</f>
        <v>0</v>
      </c>
      <c r="CH42" t="s">
        <v>17</v>
      </c>
      <c r="CI42">
        <f>$AS$38</f>
        <v>1042730.0000000001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406" t="s">
        <v>158</v>
      </c>
      <c r="W43" s="406"/>
      <c r="X43" s="406"/>
      <c r="Y43" s="406"/>
      <c r="Z43" s="406"/>
      <c r="AA43" s="406" t="s">
        <v>159</v>
      </c>
      <c r="AB43" s="406"/>
      <c r="AC43" s="406"/>
      <c r="AD43" s="406"/>
      <c r="AK43" s="169"/>
      <c r="AL43" s="134"/>
      <c r="AM43" s="134"/>
      <c r="AN43" s="170"/>
      <c r="AO43" s="169"/>
      <c r="AP43" s="134"/>
      <c r="AQ43" s="134"/>
      <c r="AR43" s="134"/>
      <c r="BQ43" s="221"/>
      <c r="BW43" t="s">
        <v>204</v>
      </c>
      <c r="BX43" s="91">
        <f>BZ38</f>
        <v>1294740</v>
      </c>
      <c r="CH43" t="s">
        <v>19</v>
      </c>
      <c r="CI43">
        <f>$BG$38</f>
        <v>3890</v>
      </c>
    </row>
    <row r="44" spans="1:87" x14ac:dyDescent="0.25">
      <c r="B44" t="s">
        <v>120</v>
      </c>
      <c r="C44" s="24">
        <f>N38</f>
        <v>1634730.3999999994</v>
      </c>
      <c r="D44" s="91"/>
      <c r="N44" s="132"/>
      <c r="O44" s="132"/>
      <c r="P44" s="132"/>
      <c r="Q44" s="132"/>
      <c r="R44" s="132"/>
      <c r="S44" s="132"/>
      <c r="T44" s="132"/>
      <c r="U44" s="132"/>
      <c r="Y44" s="333"/>
      <c r="AK44" s="3"/>
      <c r="AL44" s="3"/>
      <c r="AM44" s="3"/>
      <c r="AN44" s="3"/>
      <c r="AO44" s="3"/>
      <c r="AP44" s="3"/>
      <c r="AQ44" s="3"/>
      <c r="AR44" s="3"/>
      <c r="BQ44" s="221"/>
      <c r="BW44" t="s">
        <v>260</v>
      </c>
      <c r="BX44" s="91">
        <f>CA38</f>
        <v>825040</v>
      </c>
      <c r="CI44">
        <f>SUM(CI41:CI43)</f>
        <v>1475581</v>
      </c>
    </row>
    <row r="45" spans="1:87" x14ac:dyDescent="0.25">
      <c r="B45" t="s">
        <v>157</v>
      </c>
      <c r="C45" s="24">
        <f>V38</f>
        <v>1016136.8000000005</v>
      </c>
      <c r="D45" s="91"/>
      <c r="N45" s="132"/>
      <c r="O45" s="132"/>
      <c r="P45" s="132"/>
      <c r="Q45" s="132"/>
      <c r="R45" s="132"/>
      <c r="S45" s="132"/>
      <c r="T45" s="132"/>
      <c r="U45" s="132"/>
      <c r="Y45" s="333"/>
      <c r="AK45" s="3"/>
      <c r="AL45" s="3"/>
      <c r="AM45" s="3"/>
      <c r="AN45" s="3"/>
      <c r="AO45" s="3"/>
      <c r="AP45" s="3"/>
      <c r="AQ45" s="3"/>
      <c r="AR45" s="3"/>
      <c r="BQ45" s="221"/>
      <c r="BW45" t="s">
        <v>261</v>
      </c>
      <c r="BX45" s="91">
        <f>CB38</f>
        <v>858739.99999999977</v>
      </c>
      <c r="CH45" t="s">
        <v>337</v>
      </c>
      <c r="CI45">
        <f>SUM($BH$38:$BK$38)</f>
        <v>428961</v>
      </c>
    </row>
    <row r="46" spans="1:87" x14ac:dyDescent="0.25">
      <c r="B46" t="s">
        <v>160</v>
      </c>
      <c r="C46" s="24">
        <f>Y38</f>
        <v>428961</v>
      </c>
      <c r="D46" s="91"/>
      <c r="N46" s="132"/>
      <c r="O46" s="132"/>
      <c r="P46" s="132"/>
      <c r="Q46" s="132"/>
      <c r="R46" s="132"/>
      <c r="S46" s="132"/>
      <c r="T46" s="132"/>
      <c r="U46" s="132"/>
      <c r="Y46" s="333"/>
      <c r="AK46" s="151"/>
      <c r="AO46" s="3"/>
      <c r="AP46" s="3"/>
      <c r="AQ46" s="3"/>
      <c r="AR46" s="3"/>
      <c r="BQ46" s="221"/>
      <c r="BW46" t="s">
        <v>318</v>
      </c>
      <c r="BX46" s="91">
        <f>$CC$38</f>
        <v>751779.99999999977</v>
      </c>
      <c r="CH46" t="s">
        <v>333</v>
      </c>
      <c r="CI46">
        <f>SUM($BL$38:$BO$38)</f>
        <v>1042730.0000000002</v>
      </c>
    </row>
    <row r="47" spans="1:87" x14ac:dyDescent="0.25">
      <c r="B47" t="s">
        <v>128</v>
      </c>
      <c r="C47" s="24">
        <f>AK38</f>
        <v>790188.39999999967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333"/>
      <c r="BQ47" s="221"/>
      <c r="BW47" t="s">
        <v>346</v>
      </c>
      <c r="BX47" s="91">
        <f>$CD$38</f>
        <v>927600</v>
      </c>
      <c r="CH47" t="s">
        <v>331</v>
      </c>
      <c r="CI47">
        <f>SUM($BP$38:$BS$38)</f>
        <v>3890</v>
      </c>
    </row>
    <row r="48" spans="1:87" x14ac:dyDescent="0.25">
      <c r="B48" t="s">
        <v>130</v>
      </c>
      <c r="C48" s="24">
        <f>AO38</f>
        <v>1184628.4000000001</v>
      </c>
      <c r="D48" s="91"/>
      <c r="N48" s="132"/>
      <c r="O48" s="132"/>
      <c r="P48" s="132"/>
      <c r="Q48" s="132"/>
      <c r="R48" s="132"/>
      <c r="S48" s="132"/>
      <c r="T48" s="132"/>
      <c r="U48" s="132"/>
      <c r="V48" s="406" t="s">
        <v>396</v>
      </c>
      <c r="W48" s="406"/>
      <c r="X48" s="406"/>
      <c r="Y48" s="406"/>
      <c r="Z48" s="406"/>
      <c r="AA48" s="406" t="s">
        <v>161</v>
      </c>
      <c r="AB48" s="406"/>
      <c r="AC48" s="406" t="s">
        <v>162</v>
      </c>
      <c r="AD48" s="406"/>
      <c r="BQ48" s="221"/>
      <c r="BW48" t="s">
        <v>358</v>
      </c>
      <c r="BX48" s="91">
        <f>CE38</f>
        <v>0</v>
      </c>
      <c r="CI48">
        <f>SUM(CI45:CI47)</f>
        <v>1475581.0000000002</v>
      </c>
    </row>
    <row r="49" spans="2:76" x14ac:dyDescent="0.25">
      <c r="B49" t="s">
        <v>132</v>
      </c>
      <c r="C49" s="24">
        <f>AY38</f>
        <v>1518616.5276000001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344"/>
      <c r="BQ49" s="221"/>
      <c r="BW49" t="s">
        <v>282</v>
      </c>
      <c r="BX49" s="91">
        <f>$CF$38</f>
        <v>781100</v>
      </c>
    </row>
    <row r="50" spans="2:76" x14ac:dyDescent="0.25">
      <c r="B50" t="s">
        <v>133</v>
      </c>
      <c r="C50" s="69">
        <f>BD38</f>
        <v>927608.67240000027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333"/>
      <c r="BQ50" s="221"/>
      <c r="BX50" s="91"/>
    </row>
    <row r="51" spans="2:76" x14ac:dyDescent="0.25">
      <c r="B51" t="s">
        <v>131</v>
      </c>
      <c r="C51" s="24">
        <f>AS38</f>
        <v>1042730.0000000001</v>
      </c>
      <c r="D51" s="91"/>
      <c r="N51" s="91"/>
      <c r="O51" s="91"/>
      <c r="P51" s="91"/>
      <c r="Q51" s="91"/>
      <c r="R51" s="91"/>
      <c r="S51" s="91"/>
      <c r="T51" s="91"/>
      <c r="U51" s="91"/>
      <c r="Z51" s="333"/>
      <c r="BQ51" s="221"/>
      <c r="BW51" t="s">
        <v>98</v>
      </c>
      <c r="BX51" s="91">
        <f>BX41+BX42-BX43-BX44-BX45-BX46-BX47-BX48-BX49</f>
        <v>0</v>
      </c>
    </row>
    <row r="52" spans="2:76" x14ac:dyDescent="0.25">
      <c r="B52" t="s">
        <v>19</v>
      </c>
      <c r="C52" s="24">
        <f>BG38</f>
        <v>3890</v>
      </c>
      <c r="D52" s="91"/>
      <c r="N52" s="91"/>
      <c r="O52" s="91"/>
      <c r="P52" s="91"/>
      <c r="Q52" s="91"/>
      <c r="R52" s="91"/>
      <c r="S52" s="91"/>
      <c r="T52" s="91"/>
      <c r="U52" s="91"/>
      <c r="Z52" s="333"/>
      <c r="BQ52" s="221"/>
    </row>
    <row r="53" spans="2:76" x14ac:dyDescent="0.25">
      <c r="B53" t="s">
        <v>163</v>
      </c>
      <c r="C53" s="24">
        <f>AA38</f>
        <v>49400.000000000102</v>
      </c>
      <c r="D53" s="91"/>
      <c r="N53" s="91"/>
      <c r="O53" s="91"/>
      <c r="P53" s="91"/>
      <c r="Q53" s="91"/>
      <c r="R53" s="91"/>
      <c r="S53" s="91"/>
      <c r="T53" s="91"/>
      <c r="U53" s="91"/>
      <c r="Z53" s="333"/>
      <c r="BQ53" s="221"/>
    </row>
    <row r="54" spans="2:76" x14ac:dyDescent="0.25">
      <c r="B54" t="s">
        <v>6</v>
      </c>
      <c r="C54" s="24">
        <f>AB38</f>
        <v>287000</v>
      </c>
      <c r="D54" s="91"/>
      <c r="N54" s="91"/>
      <c r="O54" s="91"/>
      <c r="P54" s="91"/>
      <c r="Q54" s="91"/>
      <c r="R54" s="91"/>
      <c r="S54" s="91"/>
      <c r="T54" s="91"/>
      <c r="U54" s="91"/>
      <c r="Z54" s="333"/>
      <c r="BQ54" s="221"/>
    </row>
    <row r="55" spans="2:76" x14ac:dyDescent="0.25">
      <c r="B55" t="s">
        <v>164</v>
      </c>
      <c r="C55" s="24">
        <f>Z38</f>
        <v>21179.999999999953</v>
      </c>
      <c r="D55" s="91"/>
      <c r="N55" s="91"/>
      <c r="O55" s="91"/>
      <c r="P55" s="91"/>
      <c r="Q55" s="91"/>
      <c r="R55" s="91"/>
      <c r="S55" s="91"/>
      <c r="T55" s="91"/>
      <c r="U55" s="91"/>
      <c r="Z55" s="333"/>
      <c r="BQ55" s="221"/>
    </row>
    <row r="56" spans="2:76" x14ac:dyDescent="0.25">
      <c r="B56" t="s">
        <v>165</v>
      </c>
      <c r="C56" s="24">
        <f>AC38</f>
        <v>130120.00000000006</v>
      </c>
      <c r="D56" s="91"/>
      <c r="N56" s="91"/>
      <c r="O56" s="91"/>
      <c r="P56" s="91"/>
      <c r="Q56" s="91"/>
      <c r="R56" s="91"/>
      <c r="S56" s="91"/>
      <c r="T56" s="91"/>
      <c r="U56" s="91"/>
      <c r="Z56" s="333"/>
      <c r="BQ56" s="221"/>
    </row>
    <row r="57" spans="2:76" x14ac:dyDescent="0.25">
      <c r="B57" t="s">
        <v>181</v>
      </c>
      <c r="C57" s="24">
        <f>AD38</f>
        <v>307490</v>
      </c>
      <c r="D57" s="91"/>
      <c r="N57" s="91"/>
      <c r="O57" s="91"/>
      <c r="P57" s="91"/>
      <c r="Q57" s="91"/>
      <c r="R57" s="91"/>
      <c r="S57" s="91"/>
      <c r="T57" s="91"/>
      <c r="U57" s="91"/>
      <c r="Z57" s="333"/>
      <c r="BQ57" s="221"/>
    </row>
    <row r="58" spans="2:76" x14ac:dyDescent="0.25">
      <c r="B58" t="s">
        <v>166</v>
      </c>
      <c r="C58" s="24">
        <f>AE38</f>
        <v>781100</v>
      </c>
      <c r="D58" s="91"/>
      <c r="N58" s="91"/>
      <c r="O58" s="91"/>
      <c r="P58" s="91"/>
      <c r="Q58" s="91"/>
      <c r="R58" s="91"/>
      <c r="S58" s="91"/>
      <c r="T58" s="91"/>
      <c r="U58" s="91"/>
      <c r="BQ58" s="221"/>
    </row>
    <row r="59" spans="2:76" x14ac:dyDescent="0.25">
      <c r="B59" t="s">
        <v>250</v>
      </c>
      <c r="C59" s="24">
        <f>AF38</f>
        <v>0</v>
      </c>
      <c r="D59" s="91"/>
      <c r="N59" s="91"/>
      <c r="O59" s="91"/>
      <c r="P59" s="91"/>
      <c r="Q59" s="91"/>
      <c r="R59" s="91"/>
      <c r="S59" s="91"/>
      <c r="T59" s="91"/>
      <c r="U59" s="91"/>
      <c r="BQ59" s="221"/>
    </row>
    <row r="60" spans="2:76" x14ac:dyDescent="0.25">
      <c r="B60" t="s">
        <v>251</v>
      </c>
      <c r="C60" s="24">
        <f>AG38</f>
        <v>4657900</v>
      </c>
      <c r="D60" s="91"/>
      <c r="N60" s="91"/>
      <c r="O60" s="91"/>
      <c r="P60" s="91"/>
      <c r="Q60" s="91"/>
      <c r="R60" s="91"/>
      <c r="S60" s="91"/>
      <c r="T60" s="91"/>
      <c r="U60" s="91"/>
      <c r="BQ60" s="221"/>
    </row>
    <row r="61" spans="2:76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Q61" s="221"/>
    </row>
    <row r="62" spans="2:76" x14ac:dyDescent="0.25">
      <c r="B62" t="s">
        <v>192</v>
      </c>
      <c r="C62" s="24">
        <f>BU38</f>
        <v>3118000</v>
      </c>
      <c r="D62" s="91"/>
      <c r="N62" s="3"/>
      <c r="O62" s="3"/>
      <c r="P62" s="3"/>
      <c r="Q62" s="3"/>
      <c r="R62" s="3"/>
      <c r="S62" s="3"/>
      <c r="T62" s="3"/>
      <c r="U62" s="3"/>
      <c r="BQ62" s="221"/>
    </row>
    <row r="63" spans="2:76" x14ac:dyDescent="0.25">
      <c r="B63" t="s">
        <v>167</v>
      </c>
      <c r="C63" s="24">
        <f>C42-C44-C45-C46-C47-C48-C49-C50-C51-C52-C53-C54-C55-C56-C57-C58-C61+C62-C59-C60</f>
        <v>-0.20000000763684511</v>
      </c>
      <c r="D63" s="3"/>
      <c r="N63" s="3"/>
      <c r="O63" s="3"/>
      <c r="P63" s="3"/>
      <c r="Q63" s="3"/>
      <c r="R63" s="3"/>
      <c r="S63" s="3"/>
      <c r="T63" s="3"/>
      <c r="U63" s="3"/>
      <c r="BQ63" s="221"/>
    </row>
    <row r="64" spans="2:76" x14ac:dyDescent="0.25">
      <c r="BQ64" s="221"/>
    </row>
    <row r="65" spans="2:69" x14ac:dyDescent="0.25">
      <c r="BQ65" s="221"/>
    </row>
    <row r="66" spans="2:69" x14ac:dyDescent="0.25">
      <c r="B66" s="3"/>
      <c r="C66" s="3"/>
      <c r="D66" s="151"/>
      <c r="BQ66" s="221"/>
    </row>
    <row r="67" spans="2:69" x14ac:dyDescent="0.25">
      <c r="BQ67" s="221"/>
    </row>
    <row r="68" spans="2:69" x14ac:dyDescent="0.25">
      <c r="BQ68" s="221"/>
    </row>
    <row r="69" spans="2:69" x14ac:dyDescent="0.25">
      <c r="BQ69" s="221"/>
    </row>
    <row r="70" spans="2:69" x14ac:dyDescent="0.25">
      <c r="BQ70" s="221"/>
    </row>
    <row r="71" spans="2:69" x14ac:dyDescent="0.25">
      <c r="BQ71" s="221"/>
    </row>
    <row r="72" spans="2:69" x14ac:dyDescent="0.25">
      <c r="BQ72" s="221"/>
    </row>
    <row r="80" spans="2:69" x14ac:dyDescent="0.25">
      <c r="F80" s="310" t="s">
        <v>436</v>
      </c>
      <c r="G80" s="311"/>
      <c r="H80" s="311"/>
      <c r="I80" s="312"/>
      <c r="J80" s="327" t="s">
        <v>437</v>
      </c>
      <c r="K80" s="311"/>
      <c r="L80" s="311"/>
      <c r="M80" s="312"/>
      <c r="N80" s="327" t="s">
        <v>436</v>
      </c>
      <c r="O80" s="311"/>
      <c r="P80" s="311"/>
      <c r="Q80" s="312"/>
    </row>
    <row r="81" spans="6:17" x14ac:dyDescent="0.25">
      <c r="F81" s="139"/>
      <c r="G81" s="313"/>
      <c r="H81" s="313"/>
      <c r="I81" s="177"/>
      <c r="J81" s="139"/>
      <c r="K81" s="313"/>
      <c r="L81" s="313"/>
      <c r="M81" s="177"/>
      <c r="N81" s="139"/>
      <c r="O81" s="313"/>
      <c r="P81" s="313"/>
      <c r="Q81" s="177"/>
    </row>
    <row r="82" spans="6:17" x14ac:dyDescent="0.25">
      <c r="F82" s="139"/>
      <c r="G82" s="313"/>
      <c r="H82" s="313">
        <f>Aug!E76</f>
        <v>32907</v>
      </c>
      <c r="I82" s="177"/>
      <c r="J82" s="139"/>
      <c r="K82" s="313"/>
      <c r="L82" s="313"/>
      <c r="M82" s="177"/>
      <c r="N82" s="139"/>
      <c r="O82" s="313"/>
      <c r="P82" s="313"/>
      <c r="Q82" s="177"/>
    </row>
    <row r="83" spans="6:17" x14ac:dyDescent="0.25">
      <c r="F83" s="139"/>
      <c r="G83" s="313"/>
      <c r="H83" s="313"/>
      <c r="I83" s="177"/>
      <c r="J83" s="139"/>
      <c r="K83" s="313"/>
      <c r="L83" s="313"/>
      <c r="M83" s="177"/>
      <c r="N83" s="139"/>
      <c r="O83" s="313"/>
      <c r="P83" s="313"/>
      <c r="Q83" s="177"/>
    </row>
    <row r="84" spans="6:17" x14ac:dyDescent="0.25">
      <c r="F84" s="139"/>
      <c r="G84" s="313"/>
      <c r="H84" s="313"/>
      <c r="I84" s="177"/>
      <c r="J84" s="139"/>
      <c r="K84" s="313"/>
      <c r="L84" s="313"/>
      <c r="M84" s="177"/>
      <c r="N84" s="139"/>
      <c r="O84" s="313"/>
      <c r="P84" s="313"/>
      <c r="Q84" s="177"/>
    </row>
    <row r="85" spans="6:17" x14ac:dyDescent="0.25">
      <c r="F85" s="139"/>
      <c r="G85" s="313"/>
      <c r="H85" s="313"/>
      <c r="I85" s="177"/>
      <c r="J85" s="139"/>
      <c r="K85" s="313"/>
      <c r="L85" s="313"/>
      <c r="M85" s="177"/>
      <c r="N85" s="139"/>
      <c r="O85" s="313"/>
      <c r="P85" s="313"/>
      <c r="Q85" s="177"/>
    </row>
    <row r="86" spans="6:17" x14ac:dyDescent="0.25">
      <c r="F86" s="314"/>
      <c r="G86" s="315"/>
      <c r="H86" s="315"/>
      <c r="I86" s="316"/>
      <c r="J86" s="314"/>
      <c r="K86" s="315"/>
      <c r="L86" s="315"/>
      <c r="M86" s="316"/>
      <c r="N86" s="314"/>
      <c r="O86" s="315"/>
      <c r="P86" s="315"/>
      <c r="Q86" s="316"/>
    </row>
  </sheetData>
  <customSheetViews>
    <customSheetView guid="{48545DB9-4D9D-4699-ACEC-DA6E2D3586A8}" fitToPage="1" hiddenColumns="1">
      <pane xSplit="1" ySplit="6" topLeftCell="AY32" activePane="bottomRight" state="frozen"/>
      <selection pane="bottomRight" activeCell="BQ41" sqref="BQ41"/>
      <pageMargins left="0.11811023622047245" right="0" top="0.74803149606299213" bottom="0.35433070866141736" header="0.31496062992125984" footer="0.31496062992125984"/>
      <pageSetup paperSize="9" scale="43" orientation="landscape" r:id="rId1"/>
    </customSheetView>
    <customSheetView guid="{32ABFE17-599B-4D0B-A1DB-D95B181877FC}" fitToPage="1">
      <pane xSplit="1" ySplit="6" topLeftCell="BR19" activePane="bottomRight" state="frozen"/>
      <selection pane="bottomRight" activeCell="BU37" sqref="BU37"/>
      <pageMargins left="0.11811023622047245" right="0" top="0.74803149606299213" bottom="0.35433070866141736" header="0.31496062992125984" footer="0.31496062992125984"/>
      <pageSetup paperSize="9" scale="43" orientation="landscape" r:id="rId2"/>
    </customSheetView>
  </customSheetViews>
  <mergeCells count="52"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P4:AR4"/>
    <mergeCell ref="AA4:AA6"/>
    <mergeCell ref="AB4:AB6"/>
    <mergeCell ref="AC4:AC6"/>
    <mergeCell ref="AD4:AD6"/>
    <mergeCell ref="AE4:AE6"/>
    <mergeCell ref="AF4:AF6"/>
    <mergeCell ref="AG4:AG6"/>
    <mergeCell ref="AH4:AJ4"/>
    <mergeCell ref="AK4:AK6"/>
    <mergeCell ref="AL4:AN4"/>
    <mergeCell ref="AO4:AO6"/>
    <mergeCell ref="BT4:BT6"/>
    <mergeCell ref="BU4:BU6"/>
    <mergeCell ref="AS4:AS6"/>
    <mergeCell ref="AT4:AW4"/>
    <mergeCell ref="AY4:AY6"/>
    <mergeCell ref="AZ4:BB4"/>
    <mergeCell ref="BD4:BD6"/>
    <mergeCell ref="BE4:BF4"/>
    <mergeCell ref="CD4:CD6"/>
    <mergeCell ref="CE4:CE6"/>
    <mergeCell ref="CF4:CF6"/>
    <mergeCell ref="D5:I5"/>
    <mergeCell ref="J5:K5"/>
    <mergeCell ref="L5:M5"/>
    <mergeCell ref="BX4:BX6"/>
    <mergeCell ref="BY4:BY6"/>
    <mergeCell ref="BZ4:BZ6"/>
    <mergeCell ref="CA4:CA6"/>
    <mergeCell ref="CB4:CB6"/>
    <mergeCell ref="CC4:CC6"/>
    <mergeCell ref="BG4:BG6"/>
    <mergeCell ref="BH4:BK5"/>
    <mergeCell ref="BL4:BO5"/>
    <mergeCell ref="BP4:BS5"/>
    <mergeCell ref="V42:AD42"/>
    <mergeCell ref="V43:Z43"/>
    <mergeCell ref="AA43:AD43"/>
    <mergeCell ref="V48:Z48"/>
    <mergeCell ref="AA48:AB48"/>
    <mergeCell ref="AC48:AD48"/>
  </mergeCells>
  <pageMargins left="0.11811023622047245" right="0" top="0.74803149606299213" bottom="0.35433070866141736" header="0.31496062992125984" footer="0.31496062992125984"/>
  <pageSetup paperSize="9" scale="43" orientation="landscape" r:id="rId3"/>
  <drawing r:id="rId4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1">
    <pageSetUpPr fitToPage="1"/>
  </sheetPr>
  <dimension ref="A1:XAU89"/>
  <sheetViews>
    <sheetView zoomScaleNormal="100" workbookViewId="0">
      <pane xSplit="1" ySplit="6" topLeftCell="BG7" activePane="bottomRight" state="frozen"/>
      <selection pane="topRight" activeCell="B1" sqref="B1"/>
      <selection pane="bottomLeft" activeCell="A7" sqref="A7"/>
      <selection pane="bottomRight" activeCell="BR11" sqref="BR11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5" bestFit="1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425781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4.28515625" bestFit="1" customWidth="1"/>
    <col min="64" max="64" width="13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0" width="10.85546875" customWidth="1"/>
    <col min="71" max="71" width="11.5703125" bestFit="1" customWidth="1"/>
    <col min="72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2.42578125" bestFit="1" customWidth="1"/>
    <col min="82" max="82" width="10.85546875" bestFit="1" customWidth="1"/>
    <col min="83" max="83" width="13.85546875" bestFit="1" customWidth="1"/>
    <col min="84" max="84" width="10.85546875" bestFit="1" customWidth="1"/>
    <col min="85" max="85" width="12" bestFit="1" customWidth="1"/>
    <col min="86" max="86" width="9.28515625" customWidth="1"/>
    <col min="87" max="87" width="13.42578125" bestFit="1" customWidth="1"/>
    <col min="88" max="88" width="10.42578125" bestFit="1" customWidth="1"/>
    <col min="89" max="89" width="11.5703125" bestFit="1" customWidth="1"/>
    <col min="90" max="90" width="5.28515625" bestFit="1" customWidth="1"/>
    <col min="91" max="91" width="12.42578125" bestFit="1" customWidth="1"/>
    <col min="92" max="92" width="10.42578125" bestFit="1" customWidth="1"/>
    <col min="93" max="93" width="12.5703125" bestFit="1" customWidth="1"/>
    <col min="94" max="94" width="5.28515625" bestFit="1" customWidth="1"/>
    <col min="95" max="95" width="15.85546875" customWidth="1"/>
    <col min="96" max="97" width="11.5703125" bestFit="1" customWidth="1"/>
    <col min="98" max="98" width="5.28515625" bestFit="1" customWidth="1"/>
    <col min="99" max="99" width="14.28515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57031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2.7109375" bestFit="1" customWidth="1"/>
    <col min="162" max="163" width="12.28515625" bestFit="1" customWidth="1"/>
    <col min="164" max="164" width="10.5703125" bestFit="1" customWidth="1"/>
    <col min="165" max="165" width="11" bestFit="1" customWidth="1"/>
    <col min="166" max="166" width="12.28515625" bestFit="1" customWidth="1"/>
    <col min="167" max="168" width="11.28515625" bestFit="1" customWidth="1"/>
    <col min="169" max="169" width="12.28515625" bestFit="1" customWidth="1"/>
    <col min="170" max="170" width="14.42578125" bestFit="1" customWidth="1"/>
    <col min="171" max="171" width="11.28515625" bestFit="1" customWidth="1"/>
    <col min="172" max="172" width="12.28515625" bestFit="1" customWidth="1"/>
    <col min="173" max="173" width="12.710937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42578125" bestFit="1" customWidth="1"/>
    <col min="182" max="182" width="11.5703125" bestFit="1" customWidth="1"/>
    <col min="183" max="183" width="13.85546875" customWidth="1"/>
    <col min="184" max="185" width="10.7109375" bestFit="1" customWidth="1"/>
    <col min="186" max="186" width="9.5703125" bestFit="1" customWidth="1"/>
    <col min="187" max="187" width="13.85546875" customWidth="1"/>
    <col min="188" max="188" width="12" bestFit="1" customWidth="1"/>
    <col min="189" max="201" width="13.85546875" customWidth="1"/>
    <col min="202" max="202" width="11.5703125" style="246" bestFit="1" customWidth="1"/>
    <col min="203" max="203" width="15.140625" customWidth="1"/>
    <col min="204" max="204" width="15" bestFit="1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style="246" customWidth="1"/>
    <col min="215" max="216" width="12" bestFit="1" customWidth="1"/>
    <col min="217" max="217" width="13" bestFit="1" customWidth="1"/>
    <col min="218" max="218" width="12" bestFit="1" customWidth="1"/>
    <col min="219" max="219" width="7.42578125" bestFit="1" customWidth="1"/>
    <col min="220" max="220" width="16.28515625" bestFit="1" customWidth="1"/>
    <col min="221" max="221" width="11" bestFit="1" customWidth="1"/>
    <col min="222" max="224" width="11" customWidth="1"/>
    <col min="225" max="225" width="8.5703125" bestFit="1" customWidth="1"/>
    <col min="226" max="226" width="8.140625" bestFit="1" customWidth="1"/>
    <col min="227" max="227" width="11" bestFit="1" customWidth="1"/>
    <col min="228" max="229" width="8.140625" bestFit="1" customWidth="1"/>
    <col min="230" max="230" width="11.7109375" bestFit="1" customWidth="1"/>
    <col min="231" max="231" width="9.5703125" bestFit="1" customWidth="1"/>
    <col min="232" max="232" width="8.140625" bestFit="1" customWidth="1"/>
    <col min="233" max="233" width="11" bestFit="1" customWidth="1"/>
    <col min="234" max="239" width="11" customWidth="1"/>
    <col min="240" max="240" width="5.5703125" bestFit="1" customWidth="1"/>
    <col min="241" max="241" width="7.28515625" bestFit="1" customWidth="1"/>
    <col min="242" max="242" width="12.42578125" bestFit="1" customWidth="1"/>
    <col min="243" max="243" width="24.140625" bestFit="1" customWidth="1"/>
    <col min="244" max="244" width="9.5703125" bestFit="1" customWidth="1"/>
    <col min="245" max="245" width="8.5703125" bestFit="1" customWidth="1"/>
    <col min="246" max="246" width="11" bestFit="1" customWidth="1"/>
    <col min="247" max="248" width="7.42578125" bestFit="1" customWidth="1"/>
    <col min="249" max="249" width="11" bestFit="1" customWidth="1"/>
    <col min="250" max="251" width="8.5703125" bestFit="1" customWidth="1"/>
    <col min="252" max="252" width="11" bestFit="1" customWidth="1"/>
    <col min="253" max="254" width="8.5703125" bestFit="1" customWidth="1"/>
    <col min="255" max="255" width="11" bestFit="1" customWidth="1"/>
    <col min="256" max="257" width="9.5703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8.5703125" bestFit="1" customWidth="1"/>
    <col min="263" max="263" width="7.42578125" bestFit="1" customWidth="1"/>
    <col min="264" max="264" width="11" bestFit="1" customWidth="1"/>
    <col min="265" max="265" width="9.5703125" bestFit="1" customWidth="1"/>
    <col min="266" max="266" width="8.5703125" bestFit="1" customWidth="1"/>
    <col min="267" max="267" width="11" bestFit="1" customWidth="1"/>
    <col min="268" max="268" width="9.5703125" bestFit="1" customWidth="1"/>
    <col min="269" max="269" width="7.42578125" bestFit="1" customWidth="1"/>
    <col min="270" max="270" width="11" bestFit="1" customWidth="1"/>
    <col min="271" max="272" width="8.5703125" bestFit="1" customWidth="1"/>
    <col min="273" max="273" width="11" bestFit="1" customWidth="1"/>
    <col min="274" max="275" width="9.5703125" bestFit="1" customWidth="1"/>
    <col min="276" max="276" width="11" bestFit="1" customWidth="1"/>
    <col min="277" max="277" width="9.5703125" bestFit="1" customWidth="1"/>
    <col min="278" max="278" width="8.5703125" bestFit="1" customWidth="1"/>
    <col min="279" max="279" width="11" bestFit="1" customWidth="1"/>
    <col min="280" max="281" width="8.5703125" bestFit="1" customWidth="1"/>
    <col min="282" max="282" width="11" bestFit="1" customWidth="1"/>
    <col min="283" max="283" width="9.5703125" bestFit="1" customWidth="1"/>
    <col min="284" max="284" width="10.5703125" bestFit="1" customWidth="1"/>
    <col min="285" max="285" width="11" bestFit="1" customWidth="1"/>
    <col min="286" max="286" width="7.42578125" bestFit="1" customWidth="1"/>
    <col min="287" max="287" width="7.28515625" bestFit="1" customWidth="1"/>
    <col min="288" max="288" width="11" bestFit="1" customWidth="1"/>
    <col min="289" max="289" width="8.5703125" bestFit="1" customWidth="1"/>
    <col min="290" max="290" width="7.42578125" bestFit="1" customWidth="1"/>
    <col min="291" max="291" width="11" bestFit="1" customWidth="1"/>
    <col min="292" max="292" width="12.140625" style="258" bestFit="1" customWidth="1"/>
    <col min="293" max="293" width="14.42578125" bestFit="1" customWidth="1"/>
    <col min="294" max="294" width="13.28515625" bestFit="1" customWidth="1"/>
    <col min="295" max="295" width="11.5703125" bestFit="1" customWidth="1"/>
    <col min="296" max="296" width="7.7109375" bestFit="1" customWidth="1"/>
    <col min="297" max="298" width="14.42578125" bestFit="1" customWidth="1"/>
    <col min="299" max="299" width="11.5703125" bestFit="1" customWidth="1"/>
    <col min="300" max="300" width="7.7109375" bestFit="1" customWidth="1"/>
    <col min="301" max="301" width="13.5703125" customWidth="1"/>
    <col min="302" max="302" width="15.28515625" customWidth="1"/>
    <col min="303" max="303" width="14.5703125" customWidth="1"/>
    <col min="304" max="304" width="13.28515625" bestFit="1" customWidth="1"/>
    <col min="305" max="305" width="7.7109375" bestFit="1" customWidth="1"/>
    <col min="306" max="306" width="12.7109375" bestFit="1" customWidth="1"/>
    <col min="307" max="307" width="11.7109375" bestFit="1" customWidth="1"/>
    <col min="308" max="308" width="11.5703125" bestFit="1" customWidth="1"/>
    <col min="309" max="309" width="5.28515625" bestFit="1" customWidth="1"/>
    <col min="310" max="310" width="13.28515625" bestFit="1" customWidth="1"/>
    <col min="311" max="311" width="13.5703125" bestFit="1" customWidth="1"/>
    <col min="312" max="312" width="10.5703125" bestFit="1" customWidth="1"/>
    <col min="313" max="313" width="13.28515625" bestFit="1" customWidth="1"/>
    <col min="314" max="314" width="11.5703125" bestFit="1" customWidth="1"/>
    <col min="315" max="315" width="10.5703125" bestFit="1" customWidth="1"/>
    <col min="316" max="316" width="16.140625" bestFit="1" customWidth="1"/>
    <col min="317" max="318" width="11.28515625" bestFit="1" customWidth="1"/>
    <col min="319" max="319" width="13.28515625" bestFit="1" customWidth="1"/>
    <col min="320" max="320" width="7.7109375" bestFit="1" customWidth="1"/>
    <col min="321" max="324" width="9.140625" hidden="1" customWidth="1"/>
    <col min="325" max="325" width="10.42578125" bestFit="1" customWidth="1"/>
    <col min="326" max="326" width="10.5703125" bestFit="1" customWidth="1"/>
    <col min="327" max="327" width="10.42578125" bestFit="1" customWidth="1"/>
    <col min="328" max="328" width="10.5703125" bestFit="1" customWidth="1"/>
    <col min="329" max="329" width="9.5703125" bestFit="1" customWidth="1"/>
    <col min="330" max="330" width="11.5703125" bestFit="1" customWidth="1"/>
    <col min="331" max="331" width="10.42578125" bestFit="1" customWidth="1"/>
    <col min="332" max="332" width="10.85546875" customWidth="1"/>
    <col min="333" max="334" width="9.85546875" bestFit="1" customWidth="1"/>
    <col min="335" max="335" width="13.5703125" bestFit="1" customWidth="1"/>
    <col min="336" max="336" width="7.7109375" bestFit="1" customWidth="1"/>
    <col min="337" max="337" width="13.28515625" bestFit="1" customWidth="1"/>
    <col min="338" max="338" width="11.5703125" bestFit="1" customWidth="1"/>
    <col min="339" max="339" width="10.42578125" bestFit="1" customWidth="1"/>
    <col min="340" max="340" width="7.7109375" bestFit="1" customWidth="1"/>
    <col min="341" max="341" width="11.5703125" bestFit="1" customWidth="1"/>
    <col min="342" max="342" width="10.85546875" bestFit="1" customWidth="1"/>
    <col min="343" max="343" width="13.28515625" bestFit="1" customWidth="1"/>
    <col min="344" max="344" width="10.85546875" bestFit="1" customWidth="1"/>
    <col min="345" max="346" width="7.5703125" bestFit="1" customWidth="1"/>
    <col min="347" max="348" width="10.42578125" bestFit="1" customWidth="1"/>
    <col min="349" max="349" width="11.5703125" bestFit="1" customWidth="1"/>
    <col min="350" max="350" width="5.28515625" bestFit="1" customWidth="1"/>
    <col min="351" max="351" width="10.28515625" bestFit="1" customWidth="1"/>
    <col min="352" max="352" width="10.42578125" bestFit="1" customWidth="1"/>
    <col min="353" max="353" width="11.5703125" bestFit="1" customWidth="1"/>
    <col min="354" max="354" width="5.28515625" bestFit="1" customWidth="1"/>
    <col min="355" max="357" width="11.5703125" bestFit="1" customWidth="1"/>
    <col min="358" max="358" width="5.28515625" bestFit="1" customWidth="1"/>
    <col min="359" max="360" width="10.42578125" bestFit="1" customWidth="1"/>
    <col min="361" max="361" width="11.5703125" bestFit="1" customWidth="1"/>
    <col min="362" max="362" width="5.28515625" bestFit="1" customWidth="1"/>
    <col min="363" max="363" width="14.28515625" bestFit="1" customWidth="1"/>
    <col min="364" max="364" width="13" bestFit="1" customWidth="1"/>
    <col min="365" max="365" width="11.5703125" bestFit="1" customWidth="1"/>
    <col min="366" max="366" width="8.85546875" bestFit="1" customWidth="1"/>
    <col min="367" max="367" width="14.42578125" bestFit="1" customWidth="1"/>
    <col min="368" max="368" width="10.42578125" bestFit="1" customWidth="1"/>
    <col min="369" max="369" width="12.28515625" bestFit="1" customWidth="1"/>
    <col min="370" max="370" width="13.85546875" bestFit="1" customWidth="1"/>
    <col min="371" max="371" width="11.28515625" customWidth="1"/>
    <col min="372" max="372" width="11.5703125" customWidth="1"/>
    <col min="373" max="373" width="13.42578125" bestFit="1" customWidth="1"/>
    <col min="374" max="374" width="10.42578125" customWidth="1"/>
    <col min="375" max="375" width="13.85546875" bestFit="1" customWidth="1"/>
    <col min="376" max="376" width="15.42578125" bestFit="1" customWidth="1"/>
    <col min="377" max="377" width="12.28515625" bestFit="1" customWidth="1"/>
    <col min="378" max="378" width="12.7109375" customWidth="1"/>
    <col min="379" max="379" width="10.7109375" bestFit="1" customWidth="1"/>
    <col min="380" max="380" width="9.85546875" customWidth="1"/>
    <col min="381" max="382" width="10.140625" bestFit="1" customWidth="1"/>
    <col min="383" max="383" width="7.5703125" bestFit="1" customWidth="1"/>
    <col min="384" max="384" width="9.42578125" bestFit="1" customWidth="1"/>
    <col min="385" max="385" width="14.5703125" bestFit="1" customWidth="1"/>
    <col min="386" max="386" width="14.85546875" customWidth="1"/>
    <col min="387" max="387" width="15.140625" bestFit="1" customWidth="1"/>
    <col min="388" max="388" width="12.140625" bestFit="1" customWidth="1"/>
    <col min="389" max="389" width="14.85546875" bestFit="1" customWidth="1"/>
    <col min="390" max="390" width="12.28515625" bestFit="1" customWidth="1"/>
    <col min="391" max="399" width="9.140625" hidden="1" customWidth="1"/>
    <col min="400" max="400" width="5.28515625" bestFit="1" customWidth="1"/>
    <col min="401" max="406" width="11.5703125" bestFit="1" customWidth="1"/>
    <col min="407" max="407" width="11.28515625" bestFit="1" customWidth="1"/>
    <col min="408" max="408" width="10.140625" bestFit="1" customWidth="1"/>
    <col min="409" max="409" width="11.5703125" bestFit="1" customWidth="1"/>
    <col min="410" max="410" width="16.140625" customWidth="1"/>
    <col min="411" max="411" width="13.42578125" customWidth="1"/>
    <col min="412" max="412" width="10.140625" bestFit="1" customWidth="1"/>
    <col min="413" max="413" width="12.85546875" bestFit="1" customWidth="1"/>
    <col min="414" max="414" width="12.28515625" bestFit="1" customWidth="1"/>
    <col min="415" max="415" width="11.28515625" bestFit="1" customWidth="1"/>
    <col min="416" max="416" width="11.5703125" bestFit="1" customWidth="1"/>
    <col min="417" max="417" width="10.85546875" bestFit="1" customWidth="1"/>
    <col min="418" max="418" width="11.28515625" bestFit="1" customWidth="1"/>
    <col min="419" max="419" width="10.140625" bestFit="1" customWidth="1"/>
    <col min="420" max="420" width="13.28515625" bestFit="1" customWidth="1"/>
    <col min="421" max="422" width="12.7109375" bestFit="1" customWidth="1"/>
    <col min="423" max="423" width="11" bestFit="1" customWidth="1"/>
    <col min="424" max="424" width="11.28515625" bestFit="1" customWidth="1"/>
    <col min="425" max="425" width="11.5703125" bestFit="1" customWidth="1"/>
    <col min="426" max="426" width="12.28515625" bestFit="1" customWidth="1"/>
    <col min="427" max="427" width="15.140625" bestFit="1" customWidth="1"/>
    <col min="428" max="428" width="14.42578125" bestFit="1" customWidth="1"/>
    <col min="429" max="429" width="12.28515625" bestFit="1" customWidth="1"/>
    <col min="430" max="430" width="15.140625" bestFit="1" customWidth="1"/>
    <col min="431" max="431" width="14.42578125" bestFit="1" customWidth="1"/>
    <col min="432" max="432" width="12.28515625" bestFit="1" customWidth="1"/>
    <col min="433" max="433" width="14.42578125" bestFit="1" customWidth="1"/>
    <col min="434" max="434" width="11.28515625" bestFit="1" customWidth="1"/>
    <col min="435" max="435" width="12.28515625" bestFit="1" customWidth="1"/>
    <col min="436" max="436" width="13" bestFit="1" customWidth="1"/>
    <col min="437" max="437" width="15.140625" bestFit="1" customWidth="1"/>
    <col min="438" max="438" width="12.28515625" bestFit="1" customWidth="1"/>
    <col min="439" max="439" width="13.85546875" bestFit="1" customWidth="1"/>
    <col min="440" max="440" width="11.28515625" bestFit="1" customWidth="1"/>
    <col min="441" max="441" width="12.28515625" bestFit="1" customWidth="1"/>
    <col min="442" max="442" width="13.85546875" bestFit="1" customWidth="1"/>
    <col min="443" max="444" width="15.140625" bestFit="1" customWidth="1"/>
    <col min="445" max="445" width="12.28515625" bestFit="1" customWidth="1"/>
    <col min="446" max="446" width="5.7109375" bestFit="1" customWidth="1"/>
    <col min="447" max="447" width="8.5703125" bestFit="1" customWidth="1"/>
    <col min="448" max="448" width="5.5703125" bestFit="1" customWidth="1"/>
    <col min="449" max="449" width="14.42578125" bestFit="1" customWidth="1"/>
    <col min="450" max="450" width="11.28515625" bestFit="1" customWidth="1"/>
    <col min="451" max="452" width="12.28515625" bestFit="1" customWidth="1"/>
    <col min="453" max="453" width="11.28515625" bestFit="1" customWidth="1"/>
    <col min="454" max="454" width="13.85546875" bestFit="1" customWidth="1"/>
    <col min="455" max="455" width="12" bestFit="1" customWidth="1"/>
    <col min="456" max="456" width="13.85546875" bestFit="1" customWidth="1"/>
    <col min="457" max="458" width="14.42578125" customWidth="1"/>
    <col min="459" max="459" width="10.140625" bestFit="1" customWidth="1"/>
    <col min="460" max="460" width="12.28515625" bestFit="1" customWidth="1"/>
    <col min="461" max="461" width="7.42578125" bestFit="1" customWidth="1"/>
    <col min="462" max="462" width="8.5703125" bestFit="1" customWidth="1"/>
    <col min="463" max="463" width="11.5703125" bestFit="1" customWidth="1"/>
    <col min="464" max="464" width="13.28515625" bestFit="1" customWidth="1"/>
    <col min="465" max="465" width="13.28515625" customWidth="1"/>
    <col min="466" max="466" width="13.140625" customWidth="1"/>
    <col min="467" max="467" width="12.7109375" bestFit="1" customWidth="1"/>
    <col min="468" max="468" width="13.28515625" bestFit="1" customWidth="1"/>
    <col min="469" max="471" width="13.28515625" customWidth="1"/>
    <col min="472" max="472" width="12.140625" bestFit="1" customWidth="1"/>
    <col min="473" max="473" width="12.7109375" bestFit="1" customWidth="1"/>
    <col min="474" max="474" width="11" customWidth="1"/>
    <col min="475" max="475" width="16.7109375" customWidth="1"/>
    <col min="476" max="476" width="17" customWidth="1"/>
    <col min="477" max="477" width="10.42578125" bestFit="1" customWidth="1"/>
    <col min="521" max="521" width="3.85546875" customWidth="1"/>
    <col min="522" max="522" width="15.28515625" bestFit="1" customWidth="1"/>
    <col min="523" max="523" width="12.28515625" customWidth="1"/>
    <col min="524" max="524" width="16.28515625" bestFit="1" customWidth="1"/>
    <col min="525" max="525" width="6.42578125" bestFit="1" customWidth="1"/>
    <col min="526" max="526" width="9.28515625" bestFit="1" customWidth="1"/>
    <col min="527" max="527" width="7.5703125" bestFit="1" customWidth="1"/>
    <col min="528" max="528" width="13.28515625" bestFit="1" customWidth="1"/>
    <col min="529" max="529" width="9.28515625" bestFit="1" customWidth="1"/>
    <col min="530" max="530" width="11.5703125" bestFit="1" customWidth="1"/>
    <col min="531" max="531" width="13.28515625" bestFit="1" customWidth="1"/>
    <col min="532" max="532" width="7.140625" bestFit="1" customWidth="1"/>
    <col min="533" max="533" width="12" bestFit="1" customWidth="1"/>
    <col min="534" max="534" width="13.28515625" bestFit="1" customWidth="1"/>
    <col min="535" max="535" width="7" bestFit="1" customWidth="1"/>
    <col min="536" max="536" width="12.7109375" bestFit="1" customWidth="1"/>
    <col min="537" max="537" width="11.5703125" bestFit="1" customWidth="1"/>
    <col min="538" max="538" width="10.5703125" bestFit="1" customWidth="1"/>
    <col min="539" max="540" width="15.7109375" bestFit="1" customWidth="1"/>
    <col min="541" max="541" width="11.5703125" bestFit="1" customWidth="1"/>
    <col min="542" max="542" width="7.7109375" bestFit="1" customWidth="1"/>
    <col min="543" max="543" width="15.140625" bestFit="1" customWidth="1"/>
    <col min="544" max="544" width="11.5703125" bestFit="1" customWidth="1"/>
    <col min="545" max="545" width="13.28515625" bestFit="1" customWidth="1"/>
    <col min="546" max="546" width="10.42578125" bestFit="1" customWidth="1"/>
    <col min="547" max="547" width="13.28515625" bestFit="1" customWidth="1"/>
    <col min="548" max="548" width="12.140625" bestFit="1" customWidth="1"/>
    <col min="549" max="549" width="14.42578125" bestFit="1" customWidth="1"/>
    <col min="550" max="550" width="13.28515625" bestFit="1" customWidth="1"/>
    <col min="551" max="551" width="11.5703125" bestFit="1" customWidth="1"/>
    <col min="552" max="552" width="7.7109375" bestFit="1" customWidth="1"/>
    <col min="553" max="554" width="14.42578125" bestFit="1" customWidth="1"/>
    <col min="555" max="555" width="11.5703125" bestFit="1" customWidth="1"/>
    <col min="556" max="556" width="7.7109375" bestFit="1" customWidth="1"/>
    <col min="557" max="557" width="13.5703125" customWidth="1"/>
    <col min="558" max="558" width="15.28515625" customWidth="1"/>
    <col min="559" max="559" width="14.5703125" customWidth="1"/>
    <col min="560" max="560" width="13.28515625" bestFit="1" customWidth="1"/>
    <col min="561" max="561" width="7.7109375" bestFit="1" customWidth="1"/>
    <col min="562" max="562" width="12.7109375" bestFit="1" customWidth="1"/>
    <col min="563" max="563" width="11.7109375" bestFit="1" customWidth="1"/>
    <col min="564" max="564" width="11.5703125" bestFit="1" customWidth="1"/>
    <col min="565" max="565" width="5.28515625" bestFit="1" customWidth="1"/>
    <col min="566" max="566" width="13.28515625" bestFit="1" customWidth="1"/>
    <col min="567" max="567" width="13.5703125" bestFit="1" customWidth="1"/>
    <col min="568" max="568" width="10.5703125" bestFit="1" customWidth="1"/>
    <col min="569" max="569" width="13.28515625" bestFit="1" customWidth="1"/>
    <col min="570" max="570" width="11.5703125" bestFit="1" customWidth="1"/>
    <col min="571" max="571" width="10.5703125" bestFit="1" customWidth="1"/>
    <col min="572" max="572" width="16.140625" bestFit="1" customWidth="1"/>
    <col min="573" max="574" width="11.28515625" bestFit="1" customWidth="1"/>
    <col min="575" max="575" width="13.28515625" bestFit="1" customWidth="1"/>
    <col min="576" max="576" width="7.7109375" bestFit="1" customWidth="1"/>
    <col min="577" max="580" width="9.140625" hidden="1" customWidth="1"/>
    <col min="581" max="581" width="10.42578125" bestFit="1" customWidth="1"/>
    <col min="582" max="582" width="10.5703125" bestFit="1" customWidth="1"/>
    <col min="583" max="583" width="10.42578125" bestFit="1" customWidth="1"/>
    <col min="584" max="584" width="10.5703125" bestFit="1" customWidth="1"/>
    <col min="585" max="585" width="9.5703125" bestFit="1" customWidth="1"/>
    <col min="586" max="586" width="11.5703125" bestFit="1" customWidth="1"/>
    <col min="587" max="587" width="10.42578125" bestFit="1" customWidth="1"/>
    <col min="588" max="588" width="10.85546875" customWidth="1"/>
    <col min="589" max="590" width="9.85546875" bestFit="1" customWidth="1"/>
    <col min="591" max="591" width="13.5703125" bestFit="1" customWidth="1"/>
    <col min="592" max="592" width="7.7109375" bestFit="1" customWidth="1"/>
    <col min="593" max="593" width="13.28515625" bestFit="1" customWidth="1"/>
    <col min="594" max="594" width="11.5703125" bestFit="1" customWidth="1"/>
    <col min="595" max="595" width="10.42578125" bestFit="1" customWidth="1"/>
    <col min="596" max="596" width="7.7109375" bestFit="1" customWidth="1"/>
    <col min="597" max="597" width="11.5703125" bestFit="1" customWidth="1"/>
    <col min="598" max="598" width="10.85546875" bestFit="1" customWidth="1"/>
    <col min="599" max="599" width="13.28515625" bestFit="1" customWidth="1"/>
    <col min="600" max="600" width="10.85546875" bestFit="1" customWidth="1"/>
    <col min="601" max="602" width="7.5703125" bestFit="1" customWidth="1"/>
    <col min="603" max="604" width="10.42578125" bestFit="1" customWidth="1"/>
    <col min="605" max="605" width="11.5703125" bestFit="1" customWidth="1"/>
    <col min="606" max="606" width="5.28515625" bestFit="1" customWidth="1"/>
    <col min="607" max="607" width="10.28515625" bestFit="1" customWidth="1"/>
    <col min="608" max="608" width="10.42578125" bestFit="1" customWidth="1"/>
    <col min="609" max="609" width="11.5703125" bestFit="1" customWidth="1"/>
    <col min="610" max="610" width="5.28515625" bestFit="1" customWidth="1"/>
    <col min="611" max="613" width="11.5703125" bestFit="1" customWidth="1"/>
    <col min="614" max="614" width="5.28515625" bestFit="1" customWidth="1"/>
    <col min="615" max="616" width="10.42578125" bestFit="1" customWidth="1"/>
    <col min="617" max="617" width="11.5703125" bestFit="1" customWidth="1"/>
    <col min="618" max="618" width="5.28515625" bestFit="1" customWidth="1"/>
    <col min="619" max="619" width="14.28515625" bestFit="1" customWidth="1"/>
    <col min="620" max="620" width="13" bestFit="1" customWidth="1"/>
    <col min="621" max="621" width="11.5703125" bestFit="1" customWidth="1"/>
    <col min="622" max="622" width="8.85546875" bestFit="1" customWidth="1"/>
    <col min="623" max="623" width="14.42578125" bestFit="1" customWidth="1"/>
    <col min="624" max="624" width="10.42578125" bestFit="1" customWidth="1"/>
    <col min="625" max="625" width="12.28515625" bestFit="1" customWidth="1"/>
    <col min="626" max="626" width="13.85546875" bestFit="1" customWidth="1"/>
    <col min="627" max="627" width="11.28515625" customWidth="1"/>
    <col min="628" max="628" width="11.5703125" customWidth="1"/>
    <col min="629" max="629" width="13.42578125" bestFit="1" customWidth="1"/>
    <col min="630" max="630" width="10.42578125" customWidth="1"/>
    <col min="631" max="631" width="13.85546875" bestFit="1" customWidth="1"/>
    <col min="632" max="632" width="15.42578125" bestFit="1" customWidth="1"/>
    <col min="633" max="633" width="12.28515625" bestFit="1" customWidth="1"/>
    <col min="634" max="634" width="12.7109375" customWidth="1"/>
    <col min="635" max="635" width="10.7109375" bestFit="1" customWidth="1"/>
    <col min="636" max="636" width="9.85546875" customWidth="1"/>
    <col min="637" max="638" width="10.140625" bestFit="1" customWidth="1"/>
    <col min="639" max="639" width="7.5703125" bestFit="1" customWidth="1"/>
    <col min="640" max="640" width="9.42578125" bestFit="1" customWidth="1"/>
    <col min="641" max="641" width="14.5703125" bestFit="1" customWidth="1"/>
    <col min="642" max="642" width="14.85546875" customWidth="1"/>
    <col min="643" max="643" width="15.140625" bestFit="1" customWidth="1"/>
    <col min="644" max="644" width="12.140625" bestFit="1" customWidth="1"/>
    <col min="645" max="645" width="14.85546875" bestFit="1" customWidth="1"/>
    <col min="646" max="646" width="12.28515625" bestFit="1" customWidth="1"/>
    <col min="647" max="655" width="9.140625" hidden="1" customWidth="1"/>
    <col min="656" max="656" width="5.28515625" bestFit="1" customWidth="1"/>
    <col min="657" max="662" width="11.5703125" bestFit="1" customWidth="1"/>
    <col min="663" max="663" width="11.28515625" bestFit="1" customWidth="1"/>
    <col min="664" max="664" width="10.140625" bestFit="1" customWidth="1"/>
    <col min="665" max="665" width="11.5703125" bestFit="1" customWidth="1"/>
    <col min="666" max="666" width="16.140625" customWidth="1"/>
    <col min="667" max="667" width="13.42578125" customWidth="1"/>
    <col min="668" max="668" width="10.140625" bestFit="1" customWidth="1"/>
    <col min="669" max="669" width="12.85546875" bestFit="1" customWidth="1"/>
    <col min="670" max="670" width="12.28515625" bestFit="1" customWidth="1"/>
    <col min="671" max="671" width="11.28515625" bestFit="1" customWidth="1"/>
    <col min="672" max="672" width="11.5703125" bestFit="1" customWidth="1"/>
    <col min="673" max="673" width="10.85546875" bestFit="1" customWidth="1"/>
    <col min="674" max="674" width="11.28515625" bestFit="1" customWidth="1"/>
    <col min="675" max="675" width="10.140625" bestFit="1" customWidth="1"/>
    <col min="676" max="676" width="13.28515625" bestFit="1" customWidth="1"/>
    <col min="677" max="678" width="12.7109375" bestFit="1" customWidth="1"/>
    <col min="679" max="679" width="11" bestFit="1" customWidth="1"/>
    <col min="680" max="680" width="11.28515625" bestFit="1" customWidth="1"/>
    <col min="681" max="681" width="11.5703125" bestFit="1" customWidth="1"/>
    <col min="682" max="682" width="12.28515625" bestFit="1" customWidth="1"/>
    <col min="683" max="683" width="15.140625" bestFit="1" customWidth="1"/>
    <col min="684" max="684" width="14.42578125" bestFit="1" customWidth="1"/>
    <col min="685" max="685" width="12.28515625" bestFit="1" customWidth="1"/>
    <col min="686" max="686" width="15.140625" bestFit="1" customWidth="1"/>
    <col min="687" max="687" width="14.42578125" bestFit="1" customWidth="1"/>
    <col min="688" max="688" width="12.28515625" bestFit="1" customWidth="1"/>
    <col min="689" max="689" width="14.42578125" bestFit="1" customWidth="1"/>
    <col min="690" max="690" width="11.28515625" bestFit="1" customWidth="1"/>
    <col min="691" max="691" width="12.28515625" bestFit="1" customWidth="1"/>
    <col min="692" max="692" width="13" bestFit="1" customWidth="1"/>
    <col min="693" max="693" width="15.140625" bestFit="1" customWidth="1"/>
    <col min="694" max="694" width="12.28515625" bestFit="1" customWidth="1"/>
    <col min="695" max="695" width="13.85546875" bestFit="1" customWidth="1"/>
    <col min="696" max="696" width="11.28515625" bestFit="1" customWidth="1"/>
    <col min="697" max="697" width="12.28515625" bestFit="1" customWidth="1"/>
    <col min="698" max="698" width="13.85546875" bestFit="1" customWidth="1"/>
    <col min="699" max="700" width="15.140625" bestFit="1" customWidth="1"/>
    <col min="701" max="701" width="12.28515625" bestFit="1" customWidth="1"/>
    <col min="702" max="702" width="5.7109375" bestFit="1" customWidth="1"/>
    <col min="703" max="703" width="8.5703125" bestFit="1" customWidth="1"/>
    <col min="704" max="704" width="5.5703125" bestFit="1" customWidth="1"/>
    <col min="705" max="705" width="14.42578125" bestFit="1" customWidth="1"/>
    <col min="706" max="706" width="11.28515625" bestFit="1" customWidth="1"/>
    <col min="707" max="708" width="12.28515625" bestFit="1" customWidth="1"/>
    <col min="709" max="709" width="11.28515625" bestFit="1" customWidth="1"/>
    <col min="710" max="710" width="13.85546875" bestFit="1" customWidth="1"/>
    <col min="711" max="711" width="12" bestFit="1" customWidth="1"/>
    <col min="712" max="712" width="13.85546875" bestFit="1" customWidth="1"/>
    <col min="713" max="714" width="14.42578125" customWidth="1"/>
    <col min="715" max="715" width="10.140625" bestFit="1" customWidth="1"/>
    <col min="716" max="716" width="12.28515625" bestFit="1" customWidth="1"/>
    <col min="717" max="717" width="7.42578125" bestFit="1" customWidth="1"/>
    <col min="718" max="718" width="8.5703125" bestFit="1" customWidth="1"/>
    <col min="719" max="719" width="11.5703125" bestFit="1" customWidth="1"/>
    <col min="720" max="720" width="13.28515625" bestFit="1" customWidth="1"/>
    <col min="721" max="721" width="13.28515625" customWidth="1"/>
    <col min="722" max="722" width="13.140625" customWidth="1"/>
    <col min="723" max="723" width="12.7109375" bestFit="1" customWidth="1"/>
    <col min="724" max="724" width="13.28515625" bestFit="1" customWidth="1"/>
    <col min="725" max="727" width="13.28515625" customWidth="1"/>
    <col min="728" max="728" width="12.140625" bestFit="1" customWidth="1"/>
    <col min="729" max="729" width="12.7109375" bestFit="1" customWidth="1"/>
    <col min="730" max="730" width="11" customWidth="1"/>
    <col min="731" max="731" width="16.7109375" customWidth="1"/>
    <col min="732" max="732" width="17" customWidth="1"/>
    <col min="733" max="733" width="10.42578125" bestFit="1" customWidth="1"/>
    <col min="777" max="777" width="3.85546875" customWidth="1"/>
    <col min="778" max="778" width="15.28515625" bestFit="1" customWidth="1"/>
    <col min="779" max="779" width="12.28515625" customWidth="1"/>
    <col min="780" max="780" width="16.28515625" bestFit="1" customWidth="1"/>
    <col min="781" max="781" width="6.42578125" bestFit="1" customWidth="1"/>
    <col min="782" max="782" width="9.28515625" bestFit="1" customWidth="1"/>
    <col min="783" max="783" width="7.5703125" bestFit="1" customWidth="1"/>
    <col min="784" max="784" width="13.28515625" bestFit="1" customWidth="1"/>
    <col min="785" max="785" width="9.28515625" bestFit="1" customWidth="1"/>
    <col min="786" max="786" width="11.5703125" bestFit="1" customWidth="1"/>
    <col min="787" max="787" width="13.28515625" bestFit="1" customWidth="1"/>
    <col min="788" max="788" width="7.140625" bestFit="1" customWidth="1"/>
    <col min="789" max="789" width="12" bestFit="1" customWidth="1"/>
    <col min="790" max="790" width="13.28515625" bestFit="1" customWidth="1"/>
    <col min="791" max="791" width="7" bestFit="1" customWidth="1"/>
    <col min="792" max="792" width="12.7109375" bestFit="1" customWidth="1"/>
    <col min="793" max="793" width="11.5703125" bestFit="1" customWidth="1"/>
    <col min="794" max="794" width="10.5703125" bestFit="1" customWidth="1"/>
    <col min="795" max="796" width="15.7109375" bestFit="1" customWidth="1"/>
    <col min="797" max="797" width="11.5703125" bestFit="1" customWidth="1"/>
    <col min="798" max="798" width="7.7109375" bestFit="1" customWidth="1"/>
    <col min="799" max="799" width="15.140625" bestFit="1" customWidth="1"/>
    <col min="800" max="800" width="11.5703125" bestFit="1" customWidth="1"/>
    <col min="801" max="801" width="13.28515625" bestFit="1" customWidth="1"/>
    <col min="802" max="802" width="10.42578125" bestFit="1" customWidth="1"/>
    <col min="803" max="803" width="13.28515625" bestFit="1" customWidth="1"/>
    <col min="804" max="804" width="12.140625" bestFit="1" customWidth="1"/>
    <col min="805" max="805" width="14.42578125" bestFit="1" customWidth="1"/>
    <col min="806" max="806" width="13.28515625" bestFit="1" customWidth="1"/>
    <col min="807" max="807" width="11.5703125" bestFit="1" customWidth="1"/>
    <col min="808" max="808" width="7.7109375" bestFit="1" customWidth="1"/>
    <col min="809" max="810" width="14.42578125" bestFit="1" customWidth="1"/>
    <col min="811" max="811" width="11.5703125" bestFit="1" customWidth="1"/>
    <col min="812" max="812" width="7.7109375" bestFit="1" customWidth="1"/>
    <col min="813" max="813" width="13.5703125" customWidth="1"/>
    <col min="814" max="814" width="15.28515625" customWidth="1"/>
    <col min="815" max="815" width="14.5703125" customWidth="1"/>
    <col min="816" max="816" width="13.28515625" bestFit="1" customWidth="1"/>
    <col min="817" max="817" width="7.7109375" bestFit="1" customWidth="1"/>
    <col min="818" max="818" width="12.7109375" bestFit="1" customWidth="1"/>
    <col min="819" max="819" width="11.7109375" bestFit="1" customWidth="1"/>
    <col min="820" max="820" width="11.5703125" bestFit="1" customWidth="1"/>
    <col min="821" max="821" width="5.28515625" bestFit="1" customWidth="1"/>
    <col min="822" max="822" width="13.28515625" bestFit="1" customWidth="1"/>
    <col min="823" max="823" width="13.5703125" bestFit="1" customWidth="1"/>
    <col min="824" max="824" width="10.5703125" bestFit="1" customWidth="1"/>
    <col min="825" max="825" width="13.28515625" bestFit="1" customWidth="1"/>
    <col min="826" max="826" width="11.5703125" bestFit="1" customWidth="1"/>
    <col min="827" max="827" width="10.5703125" bestFit="1" customWidth="1"/>
    <col min="828" max="828" width="16.140625" bestFit="1" customWidth="1"/>
    <col min="829" max="830" width="11.28515625" bestFit="1" customWidth="1"/>
    <col min="831" max="831" width="13.28515625" bestFit="1" customWidth="1"/>
    <col min="832" max="832" width="7.7109375" bestFit="1" customWidth="1"/>
    <col min="833" max="836" width="9.140625" hidden="1" customWidth="1"/>
    <col min="837" max="837" width="10.42578125" bestFit="1" customWidth="1"/>
    <col min="838" max="838" width="10.5703125" bestFit="1" customWidth="1"/>
    <col min="839" max="839" width="10.42578125" bestFit="1" customWidth="1"/>
    <col min="840" max="840" width="10.5703125" bestFit="1" customWidth="1"/>
    <col min="841" max="841" width="9.5703125" bestFit="1" customWidth="1"/>
    <col min="842" max="842" width="11.5703125" bestFit="1" customWidth="1"/>
    <col min="843" max="843" width="10.42578125" bestFit="1" customWidth="1"/>
    <col min="844" max="844" width="10.85546875" customWidth="1"/>
    <col min="845" max="846" width="9.85546875" bestFit="1" customWidth="1"/>
    <col min="847" max="847" width="13.5703125" bestFit="1" customWidth="1"/>
    <col min="848" max="848" width="7.7109375" bestFit="1" customWidth="1"/>
    <col min="849" max="849" width="13.28515625" bestFit="1" customWidth="1"/>
    <col min="850" max="850" width="11.5703125" bestFit="1" customWidth="1"/>
    <col min="851" max="851" width="10.42578125" bestFit="1" customWidth="1"/>
    <col min="852" max="852" width="7.7109375" bestFit="1" customWidth="1"/>
    <col min="853" max="853" width="11.5703125" bestFit="1" customWidth="1"/>
    <col min="854" max="854" width="10.85546875" bestFit="1" customWidth="1"/>
    <col min="855" max="855" width="13.28515625" bestFit="1" customWidth="1"/>
    <col min="856" max="856" width="10.85546875" bestFit="1" customWidth="1"/>
    <col min="857" max="858" width="7.5703125" bestFit="1" customWidth="1"/>
    <col min="859" max="860" width="10.42578125" bestFit="1" customWidth="1"/>
    <col min="861" max="861" width="11.5703125" bestFit="1" customWidth="1"/>
    <col min="862" max="862" width="5.28515625" bestFit="1" customWidth="1"/>
    <col min="863" max="863" width="10.28515625" bestFit="1" customWidth="1"/>
    <col min="864" max="864" width="10.42578125" bestFit="1" customWidth="1"/>
    <col min="865" max="865" width="11.5703125" bestFit="1" customWidth="1"/>
    <col min="866" max="866" width="5.28515625" bestFit="1" customWidth="1"/>
    <col min="867" max="869" width="11.5703125" bestFit="1" customWidth="1"/>
    <col min="870" max="870" width="5.28515625" bestFit="1" customWidth="1"/>
    <col min="871" max="872" width="10.42578125" bestFit="1" customWidth="1"/>
    <col min="873" max="873" width="11.5703125" bestFit="1" customWidth="1"/>
    <col min="874" max="874" width="5.28515625" bestFit="1" customWidth="1"/>
    <col min="875" max="875" width="14.28515625" bestFit="1" customWidth="1"/>
    <col min="876" max="876" width="13" bestFit="1" customWidth="1"/>
    <col min="877" max="877" width="11.5703125" bestFit="1" customWidth="1"/>
    <col min="878" max="878" width="8.85546875" bestFit="1" customWidth="1"/>
    <col min="879" max="879" width="14.42578125" bestFit="1" customWidth="1"/>
    <col min="880" max="880" width="10.42578125" bestFit="1" customWidth="1"/>
    <col min="881" max="881" width="12.28515625" bestFit="1" customWidth="1"/>
    <col min="882" max="882" width="13.85546875" bestFit="1" customWidth="1"/>
    <col min="883" max="883" width="11.28515625" customWidth="1"/>
    <col min="884" max="884" width="11.5703125" customWidth="1"/>
    <col min="885" max="885" width="13.42578125" bestFit="1" customWidth="1"/>
    <col min="886" max="886" width="10.42578125" customWidth="1"/>
    <col min="887" max="887" width="13.85546875" bestFit="1" customWidth="1"/>
    <col min="888" max="888" width="15.42578125" bestFit="1" customWidth="1"/>
    <col min="889" max="889" width="12.28515625" bestFit="1" customWidth="1"/>
    <col min="890" max="890" width="12.7109375" customWidth="1"/>
    <col min="891" max="891" width="10.7109375" bestFit="1" customWidth="1"/>
    <col min="892" max="892" width="9.85546875" customWidth="1"/>
    <col min="893" max="894" width="10.140625" bestFit="1" customWidth="1"/>
    <col min="895" max="895" width="7.5703125" bestFit="1" customWidth="1"/>
    <col min="896" max="896" width="9.42578125" bestFit="1" customWidth="1"/>
    <col min="897" max="897" width="14.5703125" bestFit="1" customWidth="1"/>
    <col min="898" max="898" width="14.85546875" customWidth="1"/>
    <col min="899" max="899" width="15.140625" bestFit="1" customWidth="1"/>
    <col min="900" max="900" width="12.140625" bestFit="1" customWidth="1"/>
    <col min="901" max="901" width="14.85546875" bestFit="1" customWidth="1"/>
    <col min="902" max="902" width="12.28515625" bestFit="1" customWidth="1"/>
    <col min="903" max="911" width="9.140625" hidden="1" customWidth="1"/>
    <col min="912" max="912" width="5.28515625" bestFit="1" customWidth="1"/>
    <col min="913" max="918" width="11.5703125" bestFit="1" customWidth="1"/>
    <col min="919" max="919" width="11.28515625" bestFit="1" customWidth="1"/>
    <col min="920" max="920" width="10.140625" bestFit="1" customWidth="1"/>
    <col min="921" max="921" width="11.5703125" bestFit="1" customWidth="1"/>
    <col min="922" max="922" width="16.140625" customWidth="1"/>
    <col min="923" max="923" width="13.42578125" customWidth="1"/>
    <col min="924" max="924" width="10.140625" bestFit="1" customWidth="1"/>
    <col min="925" max="925" width="12.85546875" bestFit="1" customWidth="1"/>
    <col min="926" max="926" width="12.28515625" bestFit="1" customWidth="1"/>
    <col min="927" max="927" width="11.28515625" bestFit="1" customWidth="1"/>
    <col min="928" max="928" width="11.5703125" bestFit="1" customWidth="1"/>
    <col min="929" max="929" width="10.85546875" bestFit="1" customWidth="1"/>
    <col min="930" max="930" width="11.28515625" bestFit="1" customWidth="1"/>
    <col min="931" max="931" width="10.140625" bestFit="1" customWidth="1"/>
    <col min="932" max="932" width="13.28515625" bestFit="1" customWidth="1"/>
    <col min="933" max="934" width="12.7109375" bestFit="1" customWidth="1"/>
    <col min="935" max="935" width="11" bestFit="1" customWidth="1"/>
    <col min="936" max="936" width="11.28515625" bestFit="1" customWidth="1"/>
    <col min="937" max="937" width="11.5703125" bestFit="1" customWidth="1"/>
    <col min="938" max="938" width="12.28515625" bestFit="1" customWidth="1"/>
    <col min="939" max="939" width="15.140625" bestFit="1" customWidth="1"/>
    <col min="940" max="940" width="14.42578125" bestFit="1" customWidth="1"/>
    <col min="941" max="941" width="12.28515625" bestFit="1" customWidth="1"/>
    <col min="942" max="942" width="15.140625" bestFit="1" customWidth="1"/>
    <col min="943" max="943" width="14.42578125" bestFit="1" customWidth="1"/>
    <col min="944" max="944" width="12.28515625" bestFit="1" customWidth="1"/>
    <col min="945" max="945" width="14.42578125" bestFit="1" customWidth="1"/>
    <col min="946" max="946" width="11.28515625" bestFit="1" customWidth="1"/>
    <col min="947" max="947" width="12.28515625" bestFit="1" customWidth="1"/>
    <col min="948" max="948" width="13" bestFit="1" customWidth="1"/>
    <col min="949" max="949" width="15.140625" bestFit="1" customWidth="1"/>
    <col min="950" max="950" width="12.28515625" bestFit="1" customWidth="1"/>
    <col min="951" max="951" width="13.85546875" bestFit="1" customWidth="1"/>
    <col min="952" max="952" width="11.28515625" bestFit="1" customWidth="1"/>
    <col min="953" max="953" width="12.28515625" bestFit="1" customWidth="1"/>
    <col min="954" max="954" width="13.85546875" bestFit="1" customWidth="1"/>
    <col min="955" max="956" width="15.140625" bestFit="1" customWidth="1"/>
    <col min="957" max="957" width="12.28515625" bestFit="1" customWidth="1"/>
    <col min="958" max="958" width="5.7109375" bestFit="1" customWidth="1"/>
    <col min="959" max="959" width="8.5703125" bestFit="1" customWidth="1"/>
    <col min="960" max="960" width="5.5703125" bestFit="1" customWidth="1"/>
    <col min="961" max="961" width="14.42578125" bestFit="1" customWidth="1"/>
    <col min="962" max="962" width="11.28515625" bestFit="1" customWidth="1"/>
    <col min="963" max="964" width="12.28515625" bestFit="1" customWidth="1"/>
    <col min="965" max="965" width="11.28515625" bestFit="1" customWidth="1"/>
    <col min="966" max="966" width="13.85546875" bestFit="1" customWidth="1"/>
    <col min="967" max="967" width="12" bestFit="1" customWidth="1"/>
    <col min="968" max="968" width="13.85546875" bestFit="1" customWidth="1"/>
    <col min="969" max="970" width="14.42578125" customWidth="1"/>
    <col min="971" max="971" width="10.140625" bestFit="1" customWidth="1"/>
    <col min="972" max="972" width="12.28515625" bestFit="1" customWidth="1"/>
    <col min="973" max="973" width="7.42578125" bestFit="1" customWidth="1"/>
    <col min="974" max="974" width="8.5703125" bestFit="1" customWidth="1"/>
    <col min="975" max="975" width="11.5703125" bestFit="1" customWidth="1"/>
    <col min="976" max="976" width="13.28515625" bestFit="1" customWidth="1"/>
    <col min="977" max="977" width="13.28515625" customWidth="1"/>
    <col min="978" max="978" width="13.140625" customWidth="1"/>
    <col min="979" max="979" width="12.7109375" bestFit="1" customWidth="1"/>
    <col min="980" max="980" width="13.28515625" bestFit="1" customWidth="1"/>
    <col min="981" max="983" width="13.28515625" customWidth="1"/>
    <col min="984" max="984" width="12.140625" bestFit="1" customWidth="1"/>
    <col min="985" max="985" width="12.7109375" bestFit="1" customWidth="1"/>
    <col min="986" max="986" width="11" customWidth="1"/>
    <col min="987" max="987" width="16.7109375" customWidth="1"/>
    <col min="988" max="988" width="17" customWidth="1"/>
    <col min="989" max="989" width="10.42578125" bestFit="1" customWidth="1"/>
    <col min="1033" max="1033" width="3.85546875" customWidth="1"/>
    <col min="1034" max="1034" width="15.28515625" bestFit="1" customWidth="1"/>
    <col min="1035" max="1035" width="12.28515625" customWidth="1"/>
    <col min="1036" max="1036" width="16.28515625" bestFit="1" customWidth="1"/>
    <col min="1037" max="1037" width="6.42578125" bestFit="1" customWidth="1"/>
    <col min="1038" max="1038" width="9.28515625" bestFit="1" customWidth="1"/>
    <col min="1039" max="1039" width="7.5703125" bestFit="1" customWidth="1"/>
    <col min="1040" max="1040" width="13.28515625" bestFit="1" customWidth="1"/>
    <col min="1041" max="1041" width="9.28515625" bestFit="1" customWidth="1"/>
    <col min="1042" max="1042" width="11.5703125" bestFit="1" customWidth="1"/>
    <col min="1043" max="1043" width="13.28515625" bestFit="1" customWidth="1"/>
    <col min="1044" max="1044" width="7.140625" bestFit="1" customWidth="1"/>
    <col min="1045" max="1045" width="12" bestFit="1" customWidth="1"/>
    <col min="1046" max="1046" width="13.28515625" bestFit="1" customWidth="1"/>
    <col min="1047" max="1047" width="7" bestFit="1" customWidth="1"/>
    <col min="1048" max="1048" width="12.7109375" bestFit="1" customWidth="1"/>
    <col min="1049" max="1049" width="11.5703125" bestFit="1" customWidth="1"/>
    <col min="1050" max="1050" width="10.5703125" bestFit="1" customWidth="1"/>
    <col min="1051" max="1052" width="15.7109375" bestFit="1" customWidth="1"/>
    <col min="1053" max="1053" width="11.5703125" bestFit="1" customWidth="1"/>
    <col min="1054" max="1054" width="7.7109375" bestFit="1" customWidth="1"/>
    <col min="1055" max="1055" width="15.140625" bestFit="1" customWidth="1"/>
    <col min="1056" max="1056" width="11.5703125" bestFit="1" customWidth="1"/>
    <col min="1057" max="1057" width="13.28515625" bestFit="1" customWidth="1"/>
    <col min="1058" max="1058" width="10.42578125" bestFit="1" customWidth="1"/>
    <col min="1059" max="1059" width="13.28515625" bestFit="1" customWidth="1"/>
    <col min="1060" max="1060" width="12.140625" bestFit="1" customWidth="1"/>
    <col min="1061" max="1061" width="14.42578125" bestFit="1" customWidth="1"/>
    <col min="1062" max="1062" width="13.28515625" bestFit="1" customWidth="1"/>
    <col min="1063" max="1063" width="11.5703125" bestFit="1" customWidth="1"/>
    <col min="1064" max="1064" width="7.7109375" bestFit="1" customWidth="1"/>
    <col min="1065" max="1066" width="14.42578125" bestFit="1" customWidth="1"/>
    <col min="1067" max="1067" width="11.5703125" bestFit="1" customWidth="1"/>
    <col min="1068" max="1068" width="7.7109375" bestFit="1" customWidth="1"/>
    <col min="1069" max="1069" width="13.5703125" customWidth="1"/>
    <col min="1070" max="1070" width="15.28515625" customWidth="1"/>
    <col min="1071" max="1071" width="14.5703125" customWidth="1"/>
    <col min="1072" max="1072" width="13.28515625" bestFit="1" customWidth="1"/>
    <col min="1073" max="1073" width="7.7109375" bestFit="1" customWidth="1"/>
    <col min="1074" max="1074" width="12.7109375" bestFit="1" customWidth="1"/>
    <col min="1075" max="1075" width="11.7109375" bestFit="1" customWidth="1"/>
    <col min="1076" max="1076" width="11.5703125" bestFit="1" customWidth="1"/>
    <col min="1077" max="1077" width="5.28515625" bestFit="1" customWidth="1"/>
    <col min="1078" max="1078" width="13.28515625" bestFit="1" customWidth="1"/>
    <col min="1079" max="1079" width="13.5703125" bestFit="1" customWidth="1"/>
    <col min="1080" max="1080" width="10.5703125" bestFit="1" customWidth="1"/>
    <col min="1081" max="1081" width="13.28515625" bestFit="1" customWidth="1"/>
    <col min="1082" max="1082" width="11.5703125" bestFit="1" customWidth="1"/>
    <col min="1083" max="1083" width="10.5703125" bestFit="1" customWidth="1"/>
    <col min="1084" max="1084" width="16.140625" bestFit="1" customWidth="1"/>
    <col min="1085" max="1086" width="11.28515625" bestFit="1" customWidth="1"/>
    <col min="1087" max="1087" width="13.28515625" bestFit="1" customWidth="1"/>
    <col min="1088" max="1088" width="7.7109375" bestFit="1" customWidth="1"/>
    <col min="1089" max="1092" width="9.140625" hidden="1" customWidth="1"/>
    <col min="1093" max="1093" width="10.42578125" bestFit="1" customWidth="1"/>
    <col min="1094" max="1094" width="10.5703125" bestFit="1" customWidth="1"/>
    <col min="1095" max="1095" width="10.42578125" bestFit="1" customWidth="1"/>
    <col min="1096" max="1096" width="10.5703125" bestFit="1" customWidth="1"/>
    <col min="1097" max="1097" width="9.5703125" bestFit="1" customWidth="1"/>
    <col min="1098" max="1098" width="11.5703125" bestFit="1" customWidth="1"/>
    <col min="1099" max="1099" width="10.42578125" bestFit="1" customWidth="1"/>
    <col min="1100" max="1100" width="10.85546875" customWidth="1"/>
    <col min="1101" max="1102" width="9.85546875" bestFit="1" customWidth="1"/>
    <col min="1103" max="1103" width="13.5703125" bestFit="1" customWidth="1"/>
    <col min="1104" max="1104" width="7.7109375" bestFit="1" customWidth="1"/>
    <col min="1105" max="1105" width="13.28515625" bestFit="1" customWidth="1"/>
    <col min="1106" max="1106" width="11.5703125" bestFit="1" customWidth="1"/>
    <col min="1107" max="1107" width="10.42578125" bestFit="1" customWidth="1"/>
    <col min="1108" max="1108" width="7.7109375" bestFit="1" customWidth="1"/>
    <col min="1109" max="1109" width="11.5703125" bestFit="1" customWidth="1"/>
    <col min="1110" max="1110" width="10.85546875" bestFit="1" customWidth="1"/>
    <col min="1111" max="1111" width="13.28515625" bestFit="1" customWidth="1"/>
    <col min="1112" max="1112" width="10.85546875" bestFit="1" customWidth="1"/>
    <col min="1113" max="1114" width="7.5703125" bestFit="1" customWidth="1"/>
    <col min="1115" max="1116" width="10.42578125" bestFit="1" customWidth="1"/>
    <col min="1117" max="1117" width="11.5703125" bestFit="1" customWidth="1"/>
    <col min="1118" max="1118" width="5.28515625" bestFit="1" customWidth="1"/>
    <col min="1119" max="1119" width="10.28515625" bestFit="1" customWidth="1"/>
    <col min="1120" max="1120" width="10.42578125" bestFit="1" customWidth="1"/>
    <col min="1121" max="1121" width="11.5703125" bestFit="1" customWidth="1"/>
    <col min="1122" max="1122" width="5.28515625" bestFit="1" customWidth="1"/>
    <col min="1123" max="1125" width="11.5703125" bestFit="1" customWidth="1"/>
    <col min="1126" max="1126" width="5.28515625" bestFit="1" customWidth="1"/>
    <col min="1127" max="1128" width="10.42578125" bestFit="1" customWidth="1"/>
    <col min="1129" max="1129" width="11.5703125" bestFit="1" customWidth="1"/>
    <col min="1130" max="1130" width="5.28515625" bestFit="1" customWidth="1"/>
    <col min="1131" max="1131" width="14.28515625" bestFit="1" customWidth="1"/>
    <col min="1132" max="1132" width="13" bestFit="1" customWidth="1"/>
    <col min="1133" max="1133" width="11.5703125" bestFit="1" customWidth="1"/>
    <col min="1134" max="1134" width="8.85546875" bestFit="1" customWidth="1"/>
    <col min="1135" max="1135" width="14.42578125" bestFit="1" customWidth="1"/>
    <col min="1136" max="1136" width="10.42578125" bestFit="1" customWidth="1"/>
    <col min="1137" max="1137" width="12.28515625" bestFit="1" customWidth="1"/>
    <col min="1138" max="1138" width="13.85546875" bestFit="1" customWidth="1"/>
    <col min="1139" max="1139" width="11.28515625" customWidth="1"/>
    <col min="1140" max="1140" width="11.5703125" customWidth="1"/>
    <col min="1141" max="1141" width="13.42578125" bestFit="1" customWidth="1"/>
    <col min="1142" max="1142" width="10.42578125" customWidth="1"/>
    <col min="1143" max="1143" width="13.85546875" bestFit="1" customWidth="1"/>
    <col min="1144" max="1144" width="15.42578125" bestFit="1" customWidth="1"/>
    <col min="1145" max="1145" width="12.28515625" bestFit="1" customWidth="1"/>
    <col min="1146" max="1146" width="12.7109375" customWidth="1"/>
    <col min="1147" max="1147" width="10.7109375" bestFit="1" customWidth="1"/>
    <col min="1148" max="1148" width="9.85546875" customWidth="1"/>
    <col min="1149" max="1150" width="10.140625" bestFit="1" customWidth="1"/>
    <col min="1151" max="1151" width="7.5703125" bestFit="1" customWidth="1"/>
    <col min="1152" max="1152" width="9.42578125" bestFit="1" customWidth="1"/>
    <col min="1153" max="1153" width="14.5703125" bestFit="1" customWidth="1"/>
    <col min="1154" max="1154" width="14.85546875" customWidth="1"/>
    <col min="1155" max="1155" width="15.140625" bestFit="1" customWidth="1"/>
    <col min="1156" max="1156" width="12.140625" bestFit="1" customWidth="1"/>
    <col min="1157" max="1157" width="14.85546875" bestFit="1" customWidth="1"/>
    <col min="1158" max="1158" width="12.28515625" bestFit="1" customWidth="1"/>
    <col min="1159" max="1167" width="9.140625" hidden="1" customWidth="1"/>
    <col min="1168" max="1168" width="5.28515625" bestFit="1" customWidth="1"/>
    <col min="1169" max="1174" width="11.5703125" bestFit="1" customWidth="1"/>
    <col min="1175" max="1175" width="11.28515625" bestFit="1" customWidth="1"/>
    <col min="1176" max="1176" width="10.140625" bestFit="1" customWidth="1"/>
    <col min="1177" max="1177" width="11.5703125" bestFit="1" customWidth="1"/>
    <col min="1178" max="1178" width="16.140625" customWidth="1"/>
    <col min="1179" max="1179" width="13.42578125" customWidth="1"/>
    <col min="1180" max="1180" width="10.140625" bestFit="1" customWidth="1"/>
    <col min="1181" max="1181" width="12.85546875" bestFit="1" customWidth="1"/>
    <col min="1182" max="1182" width="12.28515625" bestFit="1" customWidth="1"/>
    <col min="1183" max="1183" width="11.28515625" bestFit="1" customWidth="1"/>
    <col min="1184" max="1184" width="11.5703125" bestFit="1" customWidth="1"/>
    <col min="1185" max="1185" width="10.85546875" bestFit="1" customWidth="1"/>
    <col min="1186" max="1186" width="11.28515625" bestFit="1" customWidth="1"/>
    <col min="1187" max="1187" width="10.140625" bestFit="1" customWidth="1"/>
    <col min="1188" max="1188" width="13.28515625" bestFit="1" customWidth="1"/>
    <col min="1189" max="1190" width="12.7109375" bestFit="1" customWidth="1"/>
    <col min="1191" max="1191" width="11" bestFit="1" customWidth="1"/>
    <col min="1192" max="1192" width="11.28515625" bestFit="1" customWidth="1"/>
    <col min="1193" max="1193" width="11.5703125" bestFit="1" customWidth="1"/>
    <col min="1194" max="1194" width="12.28515625" bestFit="1" customWidth="1"/>
    <col min="1195" max="1195" width="15.140625" bestFit="1" customWidth="1"/>
    <col min="1196" max="1196" width="14.42578125" bestFit="1" customWidth="1"/>
    <col min="1197" max="1197" width="12.28515625" bestFit="1" customWidth="1"/>
    <col min="1198" max="1198" width="15.140625" bestFit="1" customWidth="1"/>
    <col min="1199" max="1199" width="14.42578125" bestFit="1" customWidth="1"/>
    <col min="1200" max="1200" width="12.28515625" bestFit="1" customWidth="1"/>
    <col min="1201" max="1201" width="14.42578125" bestFit="1" customWidth="1"/>
    <col min="1202" max="1202" width="11.28515625" bestFit="1" customWidth="1"/>
    <col min="1203" max="1203" width="12.28515625" bestFit="1" customWidth="1"/>
    <col min="1204" max="1204" width="13" bestFit="1" customWidth="1"/>
    <col min="1205" max="1205" width="15.140625" bestFit="1" customWidth="1"/>
    <col min="1206" max="1206" width="12.28515625" bestFit="1" customWidth="1"/>
    <col min="1207" max="1207" width="13.85546875" bestFit="1" customWidth="1"/>
    <col min="1208" max="1208" width="11.28515625" bestFit="1" customWidth="1"/>
    <col min="1209" max="1209" width="12.28515625" bestFit="1" customWidth="1"/>
    <col min="1210" max="1210" width="13.85546875" bestFit="1" customWidth="1"/>
    <col min="1211" max="1212" width="15.140625" bestFit="1" customWidth="1"/>
    <col min="1213" max="1213" width="12.28515625" bestFit="1" customWidth="1"/>
    <col min="1214" max="1214" width="5.7109375" bestFit="1" customWidth="1"/>
    <col min="1215" max="1215" width="8.5703125" bestFit="1" customWidth="1"/>
    <col min="1216" max="1216" width="5.5703125" bestFit="1" customWidth="1"/>
    <col min="1217" max="1217" width="14.42578125" bestFit="1" customWidth="1"/>
    <col min="1218" max="1218" width="11.28515625" bestFit="1" customWidth="1"/>
    <col min="1219" max="1220" width="12.28515625" bestFit="1" customWidth="1"/>
    <col min="1221" max="1221" width="11.28515625" bestFit="1" customWidth="1"/>
    <col min="1222" max="1222" width="13.85546875" bestFit="1" customWidth="1"/>
    <col min="1223" max="1223" width="12" bestFit="1" customWidth="1"/>
    <col min="1224" max="1224" width="13.85546875" bestFit="1" customWidth="1"/>
    <col min="1225" max="1226" width="14.42578125" customWidth="1"/>
    <col min="1227" max="1227" width="10.140625" bestFit="1" customWidth="1"/>
    <col min="1228" max="1228" width="12.28515625" bestFit="1" customWidth="1"/>
    <col min="1229" max="1229" width="7.42578125" bestFit="1" customWidth="1"/>
    <col min="1230" max="1230" width="8.5703125" bestFit="1" customWidth="1"/>
    <col min="1231" max="1231" width="11.5703125" bestFit="1" customWidth="1"/>
    <col min="1232" max="1232" width="13.28515625" bestFit="1" customWidth="1"/>
    <col min="1233" max="1233" width="13.28515625" customWidth="1"/>
    <col min="1234" max="1234" width="13.140625" customWidth="1"/>
    <col min="1235" max="1235" width="12.7109375" bestFit="1" customWidth="1"/>
    <col min="1236" max="1236" width="13.28515625" bestFit="1" customWidth="1"/>
    <col min="1237" max="1239" width="13.28515625" customWidth="1"/>
    <col min="1240" max="1240" width="12.140625" bestFit="1" customWidth="1"/>
    <col min="1241" max="1241" width="12.7109375" bestFit="1" customWidth="1"/>
    <col min="1242" max="1242" width="11" customWidth="1"/>
    <col min="1243" max="1243" width="16.7109375" customWidth="1"/>
    <col min="1244" max="1244" width="17" customWidth="1"/>
    <col min="1245" max="1245" width="10.42578125" bestFit="1" customWidth="1"/>
    <col min="1289" max="1289" width="3.85546875" customWidth="1"/>
    <col min="1290" max="1290" width="15.28515625" bestFit="1" customWidth="1"/>
    <col min="1291" max="1291" width="12.28515625" customWidth="1"/>
    <col min="1292" max="1292" width="16.28515625" bestFit="1" customWidth="1"/>
    <col min="1293" max="1293" width="6.42578125" bestFit="1" customWidth="1"/>
    <col min="1294" max="1294" width="9.28515625" bestFit="1" customWidth="1"/>
    <col min="1295" max="1295" width="7.5703125" bestFit="1" customWidth="1"/>
    <col min="1296" max="1296" width="13.28515625" bestFit="1" customWidth="1"/>
    <col min="1297" max="1297" width="9.28515625" bestFit="1" customWidth="1"/>
    <col min="1298" max="1298" width="11.5703125" bestFit="1" customWidth="1"/>
    <col min="1299" max="1299" width="13.28515625" bestFit="1" customWidth="1"/>
    <col min="1300" max="1300" width="7.140625" bestFit="1" customWidth="1"/>
    <col min="1301" max="1301" width="12" bestFit="1" customWidth="1"/>
    <col min="1302" max="1302" width="13.28515625" bestFit="1" customWidth="1"/>
    <col min="1303" max="1303" width="7" bestFit="1" customWidth="1"/>
    <col min="1304" max="1304" width="12.7109375" bestFit="1" customWidth="1"/>
    <col min="1305" max="1305" width="11.5703125" bestFit="1" customWidth="1"/>
    <col min="1306" max="1306" width="10.5703125" bestFit="1" customWidth="1"/>
    <col min="1307" max="1308" width="15.7109375" bestFit="1" customWidth="1"/>
    <col min="1309" max="1309" width="11.5703125" bestFit="1" customWidth="1"/>
    <col min="1310" max="1310" width="7.7109375" bestFit="1" customWidth="1"/>
    <col min="1311" max="1311" width="15.140625" bestFit="1" customWidth="1"/>
    <col min="1312" max="1312" width="11.5703125" bestFit="1" customWidth="1"/>
    <col min="1313" max="1313" width="13.28515625" bestFit="1" customWidth="1"/>
    <col min="1314" max="1314" width="10.42578125" bestFit="1" customWidth="1"/>
    <col min="1315" max="1315" width="13.28515625" bestFit="1" customWidth="1"/>
    <col min="1316" max="1316" width="12.140625" bestFit="1" customWidth="1"/>
    <col min="1317" max="1317" width="14.42578125" bestFit="1" customWidth="1"/>
    <col min="1318" max="1318" width="13.28515625" bestFit="1" customWidth="1"/>
    <col min="1319" max="1319" width="11.5703125" bestFit="1" customWidth="1"/>
    <col min="1320" max="1320" width="7.7109375" bestFit="1" customWidth="1"/>
    <col min="1321" max="1322" width="14.42578125" bestFit="1" customWidth="1"/>
    <col min="1323" max="1323" width="11.5703125" bestFit="1" customWidth="1"/>
    <col min="1324" max="1324" width="7.7109375" bestFit="1" customWidth="1"/>
    <col min="1325" max="1325" width="13.5703125" customWidth="1"/>
    <col min="1326" max="1326" width="15.28515625" customWidth="1"/>
    <col min="1327" max="1327" width="14.5703125" customWidth="1"/>
    <col min="1328" max="1328" width="13.28515625" bestFit="1" customWidth="1"/>
    <col min="1329" max="1329" width="7.7109375" bestFit="1" customWidth="1"/>
    <col min="1330" max="1330" width="12.7109375" bestFit="1" customWidth="1"/>
    <col min="1331" max="1331" width="11.7109375" bestFit="1" customWidth="1"/>
    <col min="1332" max="1332" width="11.5703125" bestFit="1" customWidth="1"/>
    <col min="1333" max="1333" width="5.28515625" bestFit="1" customWidth="1"/>
    <col min="1334" max="1334" width="13.28515625" bestFit="1" customWidth="1"/>
    <col min="1335" max="1335" width="13.5703125" bestFit="1" customWidth="1"/>
    <col min="1336" max="1336" width="10.5703125" bestFit="1" customWidth="1"/>
    <col min="1337" max="1337" width="13.28515625" bestFit="1" customWidth="1"/>
    <col min="1338" max="1338" width="11.5703125" bestFit="1" customWidth="1"/>
    <col min="1339" max="1339" width="10.5703125" bestFit="1" customWidth="1"/>
    <col min="1340" max="1340" width="16.140625" bestFit="1" customWidth="1"/>
    <col min="1341" max="1342" width="11.28515625" bestFit="1" customWidth="1"/>
    <col min="1343" max="1343" width="13.28515625" bestFit="1" customWidth="1"/>
    <col min="1344" max="1344" width="7.7109375" bestFit="1" customWidth="1"/>
    <col min="1345" max="1348" width="9.140625" hidden="1" customWidth="1"/>
    <col min="1349" max="1349" width="10.42578125" bestFit="1" customWidth="1"/>
    <col min="1350" max="1350" width="10.5703125" bestFit="1" customWidth="1"/>
    <col min="1351" max="1351" width="10.42578125" bestFit="1" customWidth="1"/>
    <col min="1352" max="1352" width="10.5703125" bestFit="1" customWidth="1"/>
    <col min="1353" max="1353" width="9.5703125" bestFit="1" customWidth="1"/>
    <col min="1354" max="1354" width="11.5703125" bestFit="1" customWidth="1"/>
    <col min="1355" max="1355" width="10.42578125" bestFit="1" customWidth="1"/>
    <col min="1356" max="1356" width="10.85546875" customWidth="1"/>
    <col min="1357" max="1358" width="9.85546875" bestFit="1" customWidth="1"/>
    <col min="1359" max="1359" width="13.5703125" bestFit="1" customWidth="1"/>
    <col min="1360" max="1360" width="7.7109375" bestFit="1" customWidth="1"/>
    <col min="1361" max="1361" width="13.28515625" bestFit="1" customWidth="1"/>
    <col min="1362" max="1362" width="11.5703125" bestFit="1" customWidth="1"/>
    <col min="1363" max="1363" width="10.42578125" bestFit="1" customWidth="1"/>
    <col min="1364" max="1364" width="7.7109375" bestFit="1" customWidth="1"/>
    <col min="1365" max="1365" width="11.5703125" bestFit="1" customWidth="1"/>
    <col min="1366" max="1366" width="10.85546875" bestFit="1" customWidth="1"/>
    <col min="1367" max="1367" width="13.28515625" bestFit="1" customWidth="1"/>
    <col min="1368" max="1368" width="10.85546875" bestFit="1" customWidth="1"/>
    <col min="1369" max="1370" width="7.5703125" bestFit="1" customWidth="1"/>
    <col min="1371" max="1372" width="10.42578125" bestFit="1" customWidth="1"/>
    <col min="1373" max="1373" width="11.5703125" bestFit="1" customWidth="1"/>
    <col min="1374" max="1374" width="5.28515625" bestFit="1" customWidth="1"/>
    <col min="1375" max="1375" width="10.28515625" bestFit="1" customWidth="1"/>
    <col min="1376" max="1376" width="10.42578125" bestFit="1" customWidth="1"/>
    <col min="1377" max="1377" width="11.5703125" bestFit="1" customWidth="1"/>
    <col min="1378" max="1378" width="5.28515625" bestFit="1" customWidth="1"/>
    <col min="1379" max="1381" width="11.5703125" bestFit="1" customWidth="1"/>
    <col min="1382" max="1382" width="5.28515625" bestFit="1" customWidth="1"/>
    <col min="1383" max="1384" width="10.42578125" bestFit="1" customWidth="1"/>
    <col min="1385" max="1385" width="11.5703125" bestFit="1" customWidth="1"/>
    <col min="1386" max="1386" width="5.28515625" bestFit="1" customWidth="1"/>
    <col min="1387" max="1387" width="14.28515625" bestFit="1" customWidth="1"/>
    <col min="1388" max="1388" width="13" bestFit="1" customWidth="1"/>
    <col min="1389" max="1389" width="11.5703125" bestFit="1" customWidth="1"/>
    <col min="1390" max="1390" width="8.85546875" bestFit="1" customWidth="1"/>
    <col min="1391" max="1391" width="14.42578125" bestFit="1" customWidth="1"/>
    <col min="1392" max="1392" width="10.42578125" bestFit="1" customWidth="1"/>
    <col min="1393" max="1393" width="12.28515625" bestFit="1" customWidth="1"/>
    <col min="1394" max="1394" width="13.85546875" bestFit="1" customWidth="1"/>
    <col min="1395" max="1395" width="11.28515625" customWidth="1"/>
    <col min="1396" max="1396" width="11.5703125" customWidth="1"/>
    <col min="1397" max="1397" width="13.42578125" bestFit="1" customWidth="1"/>
    <col min="1398" max="1398" width="10.42578125" customWidth="1"/>
    <col min="1399" max="1399" width="13.85546875" bestFit="1" customWidth="1"/>
    <col min="1400" max="1400" width="15.42578125" bestFit="1" customWidth="1"/>
    <col min="1401" max="1401" width="12.28515625" bestFit="1" customWidth="1"/>
    <col min="1402" max="1402" width="12.7109375" customWidth="1"/>
    <col min="1403" max="1403" width="10.7109375" bestFit="1" customWidth="1"/>
    <col min="1404" max="1404" width="9.85546875" customWidth="1"/>
    <col min="1405" max="1406" width="10.140625" bestFit="1" customWidth="1"/>
    <col min="1407" max="1407" width="7.5703125" bestFit="1" customWidth="1"/>
    <col min="1408" max="1408" width="9.42578125" bestFit="1" customWidth="1"/>
    <col min="1409" max="1409" width="14.5703125" bestFit="1" customWidth="1"/>
    <col min="1410" max="1410" width="14.85546875" customWidth="1"/>
    <col min="1411" max="1411" width="15.140625" bestFit="1" customWidth="1"/>
    <col min="1412" max="1412" width="12.140625" bestFit="1" customWidth="1"/>
    <col min="1413" max="1413" width="14.85546875" bestFit="1" customWidth="1"/>
    <col min="1414" max="1414" width="12.28515625" bestFit="1" customWidth="1"/>
    <col min="1415" max="1423" width="9.140625" hidden="1" customWidth="1"/>
    <col min="1424" max="1424" width="5.28515625" bestFit="1" customWidth="1"/>
    <col min="1425" max="1430" width="11.5703125" bestFit="1" customWidth="1"/>
    <col min="1431" max="1431" width="11.28515625" bestFit="1" customWidth="1"/>
    <col min="1432" max="1432" width="10.140625" bestFit="1" customWidth="1"/>
    <col min="1433" max="1433" width="11.5703125" bestFit="1" customWidth="1"/>
    <col min="1434" max="1434" width="16.140625" customWidth="1"/>
    <col min="1435" max="1435" width="13.42578125" customWidth="1"/>
    <col min="1436" max="1436" width="10.140625" bestFit="1" customWidth="1"/>
    <col min="1437" max="1437" width="12.85546875" bestFit="1" customWidth="1"/>
    <col min="1438" max="1438" width="12.28515625" bestFit="1" customWidth="1"/>
    <col min="1439" max="1439" width="11.28515625" bestFit="1" customWidth="1"/>
    <col min="1440" max="1440" width="11.5703125" bestFit="1" customWidth="1"/>
    <col min="1441" max="1441" width="10.85546875" bestFit="1" customWidth="1"/>
    <col min="1442" max="1442" width="11.28515625" bestFit="1" customWidth="1"/>
    <col min="1443" max="1443" width="10.140625" bestFit="1" customWidth="1"/>
    <col min="1444" max="1444" width="13.28515625" bestFit="1" customWidth="1"/>
    <col min="1445" max="1446" width="12.7109375" bestFit="1" customWidth="1"/>
    <col min="1447" max="1447" width="11" bestFit="1" customWidth="1"/>
    <col min="1448" max="1448" width="11.28515625" bestFit="1" customWidth="1"/>
    <col min="1449" max="1449" width="11.5703125" bestFit="1" customWidth="1"/>
    <col min="1450" max="1450" width="12.28515625" bestFit="1" customWidth="1"/>
    <col min="1451" max="1451" width="15.140625" bestFit="1" customWidth="1"/>
    <col min="1452" max="1452" width="14.42578125" bestFit="1" customWidth="1"/>
    <col min="1453" max="1453" width="12.28515625" bestFit="1" customWidth="1"/>
    <col min="1454" max="1454" width="15.140625" bestFit="1" customWidth="1"/>
    <col min="1455" max="1455" width="14.42578125" bestFit="1" customWidth="1"/>
    <col min="1456" max="1456" width="12.28515625" bestFit="1" customWidth="1"/>
    <col min="1457" max="1457" width="14.42578125" bestFit="1" customWidth="1"/>
    <col min="1458" max="1458" width="11.28515625" bestFit="1" customWidth="1"/>
    <col min="1459" max="1459" width="12.28515625" bestFit="1" customWidth="1"/>
    <col min="1460" max="1460" width="13" bestFit="1" customWidth="1"/>
    <col min="1461" max="1461" width="15.140625" bestFit="1" customWidth="1"/>
    <col min="1462" max="1462" width="12.28515625" bestFit="1" customWidth="1"/>
    <col min="1463" max="1463" width="13.85546875" bestFit="1" customWidth="1"/>
    <col min="1464" max="1464" width="11.28515625" bestFit="1" customWidth="1"/>
    <col min="1465" max="1465" width="12.28515625" bestFit="1" customWidth="1"/>
    <col min="1466" max="1466" width="13.85546875" bestFit="1" customWidth="1"/>
    <col min="1467" max="1468" width="15.140625" bestFit="1" customWidth="1"/>
    <col min="1469" max="1469" width="12.28515625" bestFit="1" customWidth="1"/>
    <col min="1470" max="1470" width="5.7109375" bestFit="1" customWidth="1"/>
    <col min="1471" max="1471" width="8.5703125" bestFit="1" customWidth="1"/>
    <col min="1472" max="1472" width="5.5703125" bestFit="1" customWidth="1"/>
    <col min="1473" max="1473" width="14.42578125" bestFit="1" customWidth="1"/>
    <col min="1474" max="1474" width="11.28515625" bestFit="1" customWidth="1"/>
    <col min="1475" max="1476" width="12.28515625" bestFit="1" customWidth="1"/>
    <col min="1477" max="1477" width="11.28515625" bestFit="1" customWidth="1"/>
    <col min="1478" max="1478" width="13.85546875" bestFit="1" customWidth="1"/>
    <col min="1479" max="1479" width="12" bestFit="1" customWidth="1"/>
    <col min="1480" max="1480" width="13.85546875" bestFit="1" customWidth="1"/>
    <col min="1481" max="1482" width="14.42578125" customWidth="1"/>
    <col min="1483" max="1483" width="10.140625" bestFit="1" customWidth="1"/>
    <col min="1484" max="1484" width="12.28515625" bestFit="1" customWidth="1"/>
    <col min="1485" max="1485" width="7.42578125" bestFit="1" customWidth="1"/>
    <col min="1486" max="1486" width="8.5703125" bestFit="1" customWidth="1"/>
    <col min="1487" max="1487" width="11.5703125" bestFit="1" customWidth="1"/>
    <col min="1488" max="1488" width="13.28515625" bestFit="1" customWidth="1"/>
    <col min="1489" max="1489" width="13.28515625" customWidth="1"/>
    <col min="1490" max="1490" width="13.140625" customWidth="1"/>
    <col min="1491" max="1491" width="12.7109375" bestFit="1" customWidth="1"/>
    <col min="1492" max="1492" width="13.28515625" bestFit="1" customWidth="1"/>
    <col min="1493" max="1495" width="13.28515625" customWidth="1"/>
    <col min="1496" max="1496" width="12.140625" bestFit="1" customWidth="1"/>
    <col min="1497" max="1497" width="12.7109375" bestFit="1" customWidth="1"/>
    <col min="1498" max="1498" width="11" customWidth="1"/>
    <col min="1499" max="1499" width="16.7109375" customWidth="1"/>
    <col min="1500" max="1500" width="17" customWidth="1"/>
    <col min="1501" max="1501" width="10.42578125" bestFit="1" customWidth="1"/>
    <col min="1545" max="1545" width="3.85546875" customWidth="1"/>
    <col min="1546" max="1546" width="15.28515625" bestFit="1" customWidth="1"/>
    <col min="1547" max="1547" width="12.28515625" customWidth="1"/>
    <col min="1548" max="1548" width="16.28515625" bestFit="1" customWidth="1"/>
    <col min="1549" max="1549" width="6.42578125" bestFit="1" customWidth="1"/>
    <col min="1550" max="1550" width="9.28515625" bestFit="1" customWidth="1"/>
    <col min="1551" max="1551" width="7.5703125" bestFit="1" customWidth="1"/>
    <col min="1552" max="1552" width="13.28515625" bestFit="1" customWidth="1"/>
    <col min="1553" max="1553" width="9.28515625" bestFit="1" customWidth="1"/>
    <col min="1554" max="1554" width="11.5703125" bestFit="1" customWidth="1"/>
    <col min="1555" max="1555" width="13.28515625" bestFit="1" customWidth="1"/>
    <col min="1556" max="1556" width="7.140625" bestFit="1" customWidth="1"/>
    <col min="1557" max="1557" width="12" bestFit="1" customWidth="1"/>
    <col min="1558" max="1558" width="13.28515625" bestFit="1" customWidth="1"/>
    <col min="1559" max="1559" width="7" bestFit="1" customWidth="1"/>
    <col min="1560" max="1560" width="12.7109375" bestFit="1" customWidth="1"/>
    <col min="1561" max="1561" width="11.5703125" bestFit="1" customWidth="1"/>
    <col min="1562" max="1562" width="10.5703125" bestFit="1" customWidth="1"/>
    <col min="1563" max="1564" width="15.7109375" bestFit="1" customWidth="1"/>
    <col min="1565" max="1565" width="11.5703125" bestFit="1" customWidth="1"/>
    <col min="1566" max="1566" width="7.7109375" bestFit="1" customWidth="1"/>
    <col min="1567" max="1567" width="15.140625" bestFit="1" customWidth="1"/>
    <col min="1568" max="1568" width="11.5703125" bestFit="1" customWidth="1"/>
    <col min="1569" max="1569" width="13.28515625" bestFit="1" customWidth="1"/>
    <col min="1570" max="1570" width="10.42578125" bestFit="1" customWidth="1"/>
    <col min="1571" max="1571" width="13.28515625" bestFit="1" customWidth="1"/>
    <col min="1572" max="1572" width="12.140625" bestFit="1" customWidth="1"/>
    <col min="1573" max="1573" width="14.42578125" bestFit="1" customWidth="1"/>
    <col min="1574" max="1574" width="13.28515625" bestFit="1" customWidth="1"/>
    <col min="1575" max="1575" width="11.5703125" bestFit="1" customWidth="1"/>
    <col min="1576" max="1576" width="7.7109375" bestFit="1" customWidth="1"/>
    <col min="1577" max="1578" width="14.42578125" bestFit="1" customWidth="1"/>
    <col min="1579" max="1579" width="11.5703125" bestFit="1" customWidth="1"/>
    <col min="1580" max="1580" width="7.7109375" bestFit="1" customWidth="1"/>
    <col min="1581" max="1581" width="13.5703125" customWidth="1"/>
    <col min="1582" max="1582" width="15.28515625" customWidth="1"/>
    <col min="1583" max="1583" width="14.5703125" customWidth="1"/>
    <col min="1584" max="1584" width="13.28515625" bestFit="1" customWidth="1"/>
    <col min="1585" max="1585" width="7.7109375" bestFit="1" customWidth="1"/>
    <col min="1586" max="1586" width="12.7109375" bestFit="1" customWidth="1"/>
    <col min="1587" max="1587" width="11.7109375" bestFit="1" customWidth="1"/>
    <col min="1588" max="1588" width="11.5703125" bestFit="1" customWidth="1"/>
    <col min="1589" max="1589" width="5.28515625" bestFit="1" customWidth="1"/>
    <col min="1590" max="1590" width="13.28515625" bestFit="1" customWidth="1"/>
    <col min="1591" max="1591" width="13.5703125" bestFit="1" customWidth="1"/>
    <col min="1592" max="1592" width="10.5703125" bestFit="1" customWidth="1"/>
    <col min="1593" max="1593" width="13.28515625" bestFit="1" customWidth="1"/>
    <col min="1594" max="1594" width="11.5703125" bestFit="1" customWidth="1"/>
    <col min="1595" max="1595" width="10.5703125" bestFit="1" customWidth="1"/>
    <col min="1596" max="1596" width="16.140625" bestFit="1" customWidth="1"/>
    <col min="1597" max="1598" width="11.28515625" bestFit="1" customWidth="1"/>
    <col min="1599" max="1599" width="13.28515625" bestFit="1" customWidth="1"/>
    <col min="1600" max="1600" width="7.7109375" bestFit="1" customWidth="1"/>
    <col min="1601" max="1604" width="9.140625" hidden="1" customWidth="1"/>
    <col min="1605" max="1605" width="10.42578125" bestFit="1" customWidth="1"/>
    <col min="1606" max="1606" width="10.5703125" bestFit="1" customWidth="1"/>
    <col min="1607" max="1607" width="10.42578125" bestFit="1" customWidth="1"/>
    <col min="1608" max="1608" width="10.5703125" bestFit="1" customWidth="1"/>
    <col min="1609" max="1609" width="9.5703125" bestFit="1" customWidth="1"/>
    <col min="1610" max="1610" width="11.5703125" bestFit="1" customWidth="1"/>
    <col min="1611" max="1611" width="10.42578125" bestFit="1" customWidth="1"/>
    <col min="1612" max="1612" width="10.85546875" customWidth="1"/>
    <col min="1613" max="1614" width="9.85546875" bestFit="1" customWidth="1"/>
    <col min="1615" max="1615" width="13.5703125" bestFit="1" customWidth="1"/>
    <col min="1616" max="1616" width="7.7109375" bestFit="1" customWidth="1"/>
    <col min="1617" max="1617" width="13.28515625" bestFit="1" customWidth="1"/>
    <col min="1618" max="1618" width="11.5703125" bestFit="1" customWidth="1"/>
    <col min="1619" max="1619" width="10.42578125" bestFit="1" customWidth="1"/>
    <col min="1620" max="1620" width="7.7109375" bestFit="1" customWidth="1"/>
    <col min="1621" max="1621" width="11.5703125" bestFit="1" customWidth="1"/>
    <col min="1622" max="1622" width="10.85546875" bestFit="1" customWidth="1"/>
    <col min="1623" max="1623" width="13.28515625" bestFit="1" customWidth="1"/>
    <col min="1624" max="1624" width="10.85546875" bestFit="1" customWidth="1"/>
    <col min="1625" max="1626" width="7.5703125" bestFit="1" customWidth="1"/>
    <col min="1627" max="1628" width="10.42578125" bestFit="1" customWidth="1"/>
    <col min="1629" max="1629" width="11.5703125" bestFit="1" customWidth="1"/>
    <col min="1630" max="1630" width="5.28515625" bestFit="1" customWidth="1"/>
    <col min="1631" max="1631" width="10.28515625" bestFit="1" customWidth="1"/>
    <col min="1632" max="1632" width="10.42578125" bestFit="1" customWidth="1"/>
    <col min="1633" max="1633" width="11.5703125" bestFit="1" customWidth="1"/>
    <col min="1634" max="1634" width="5.28515625" bestFit="1" customWidth="1"/>
    <col min="1635" max="1637" width="11.5703125" bestFit="1" customWidth="1"/>
    <col min="1638" max="1638" width="5.28515625" bestFit="1" customWidth="1"/>
    <col min="1639" max="1640" width="10.42578125" bestFit="1" customWidth="1"/>
    <col min="1641" max="1641" width="11.5703125" bestFit="1" customWidth="1"/>
    <col min="1642" max="1642" width="5.28515625" bestFit="1" customWidth="1"/>
    <col min="1643" max="1643" width="14.28515625" bestFit="1" customWidth="1"/>
    <col min="1644" max="1644" width="13" bestFit="1" customWidth="1"/>
    <col min="1645" max="1645" width="11.5703125" bestFit="1" customWidth="1"/>
    <col min="1646" max="1646" width="8.85546875" bestFit="1" customWidth="1"/>
    <col min="1647" max="1647" width="14.42578125" bestFit="1" customWidth="1"/>
    <col min="1648" max="1648" width="10.42578125" bestFit="1" customWidth="1"/>
    <col min="1649" max="1649" width="12.28515625" bestFit="1" customWidth="1"/>
    <col min="1650" max="1650" width="13.85546875" bestFit="1" customWidth="1"/>
    <col min="1651" max="1651" width="11.28515625" customWidth="1"/>
    <col min="1652" max="1652" width="11.5703125" customWidth="1"/>
    <col min="1653" max="1653" width="13.42578125" bestFit="1" customWidth="1"/>
    <col min="1654" max="1654" width="10.42578125" customWidth="1"/>
    <col min="1655" max="1655" width="13.85546875" bestFit="1" customWidth="1"/>
    <col min="1656" max="1656" width="15.42578125" bestFit="1" customWidth="1"/>
    <col min="1657" max="1657" width="12.28515625" bestFit="1" customWidth="1"/>
    <col min="1658" max="1658" width="12.7109375" customWidth="1"/>
    <col min="1659" max="1659" width="10.7109375" bestFit="1" customWidth="1"/>
    <col min="1660" max="1660" width="9.85546875" customWidth="1"/>
    <col min="1661" max="1662" width="10.140625" bestFit="1" customWidth="1"/>
    <col min="1663" max="1663" width="7.5703125" bestFit="1" customWidth="1"/>
    <col min="1664" max="1664" width="9.42578125" bestFit="1" customWidth="1"/>
    <col min="1665" max="1665" width="14.5703125" bestFit="1" customWidth="1"/>
    <col min="1666" max="1666" width="14.85546875" customWidth="1"/>
    <col min="1667" max="1667" width="15.140625" bestFit="1" customWidth="1"/>
    <col min="1668" max="1668" width="12.140625" bestFit="1" customWidth="1"/>
    <col min="1669" max="1669" width="14.85546875" bestFit="1" customWidth="1"/>
    <col min="1670" max="1670" width="12.28515625" bestFit="1" customWidth="1"/>
    <col min="1671" max="1679" width="9.140625" hidden="1" customWidth="1"/>
    <col min="1680" max="1680" width="5.28515625" bestFit="1" customWidth="1"/>
    <col min="1681" max="1686" width="11.5703125" bestFit="1" customWidth="1"/>
    <col min="1687" max="1687" width="11.28515625" bestFit="1" customWidth="1"/>
    <col min="1688" max="1688" width="10.140625" bestFit="1" customWidth="1"/>
    <col min="1689" max="1689" width="11.5703125" bestFit="1" customWidth="1"/>
    <col min="1690" max="1690" width="16.140625" customWidth="1"/>
    <col min="1691" max="1691" width="13.42578125" customWidth="1"/>
    <col min="1692" max="1692" width="10.140625" bestFit="1" customWidth="1"/>
    <col min="1693" max="1693" width="12.85546875" bestFit="1" customWidth="1"/>
    <col min="1694" max="1694" width="12.28515625" bestFit="1" customWidth="1"/>
    <col min="1695" max="1695" width="11.28515625" bestFit="1" customWidth="1"/>
    <col min="1696" max="1696" width="11.5703125" bestFit="1" customWidth="1"/>
    <col min="1697" max="1697" width="10.85546875" bestFit="1" customWidth="1"/>
    <col min="1698" max="1698" width="11.28515625" bestFit="1" customWidth="1"/>
    <col min="1699" max="1699" width="10.140625" bestFit="1" customWidth="1"/>
    <col min="1700" max="1700" width="13.28515625" bestFit="1" customWidth="1"/>
    <col min="1701" max="1702" width="12.7109375" bestFit="1" customWidth="1"/>
    <col min="1703" max="1703" width="11" bestFit="1" customWidth="1"/>
    <col min="1704" max="1704" width="11.28515625" bestFit="1" customWidth="1"/>
    <col min="1705" max="1705" width="11.5703125" bestFit="1" customWidth="1"/>
    <col min="1706" max="1706" width="12.28515625" bestFit="1" customWidth="1"/>
    <col min="1707" max="1707" width="15.140625" bestFit="1" customWidth="1"/>
    <col min="1708" max="1708" width="14.42578125" bestFit="1" customWidth="1"/>
    <col min="1709" max="1709" width="12.28515625" bestFit="1" customWidth="1"/>
    <col min="1710" max="1710" width="15.140625" bestFit="1" customWidth="1"/>
    <col min="1711" max="1711" width="14.42578125" bestFit="1" customWidth="1"/>
    <col min="1712" max="1712" width="12.28515625" bestFit="1" customWidth="1"/>
    <col min="1713" max="1713" width="14.42578125" bestFit="1" customWidth="1"/>
    <col min="1714" max="1714" width="11.28515625" bestFit="1" customWidth="1"/>
    <col min="1715" max="1715" width="12.28515625" bestFit="1" customWidth="1"/>
    <col min="1716" max="1716" width="13" bestFit="1" customWidth="1"/>
    <col min="1717" max="1717" width="15.140625" bestFit="1" customWidth="1"/>
    <col min="1718" max="1718" width="12.28515625" bestFit="1" customWidth="1"/>
    <col min="1719" max="1719" width="13.85546875" bestFit="1" customWidth="1"/>
    <col min="1720" max="1720" width="11.28515625" bestFit="1" customWidth="1"/>
    <col min="1721" max="1721" width="12.28515625" bestFit="1" customWidth="1"/>
    <col min="1722" max="1722" width="13.85546875" bestFit="1" customWidth="1"/>
    <col min="1723" max="1724" width="15.140625" bestFit="1" customWidth="1"/>
    <col min="1725" max="1725" width="12.28515625" bestFit="1" customWidth="1"/>
    <col min="1726" max="1726" width="5.7109375" bestFit="1" customWidth="1"/>
    <col min="1727" max="1727" width="8.5703125" bestFit="1" customWidth="1"/>
    <col min="1728" max="1728" width="5.5703125" bestFit="1" customWidth="1"/>
    <col min="1729" max="1729" width="14.42578125" bestFit="1" customWidth="1"/>
    <col min="1730" max="1730" width="11.28515625" bestFit="1" customWidth="1"/>
    <col min="1731" max="1732" width="12.28515625" bestFit="1" customWidth="1"/>
    <col min="1733" max="1733" width="11.28515625" bestFit="1" customWidth="1"/>
    <col min="1734" max="1734" width="13.85546875" bestFit="1" customWidth="1"/>
    <col min="1735" max="1735" width="12" bestFit="1" customWidth="1"/>
    <col min="1736" max="1736" width="13.85546875" bestFit="1" customWidth="1"/>
    <col min="1737" max="1738" width="14.42578125" customWidth="1"/>
    <col min="1739" max="1739" width="10.140625" bestFit="1" customWidth="1"/>
    <col min="1740" max="1740" width="12.28515625" bestFit="1" customWidth="1"/>
    <col min="1741" max="1741" width="7.42578125" bestFit="1" customWidth="1"/>
    <col min="1742" max="1742" width="8.5703125" bestFit="1" customWidth="1"/>
    <col min="1743" max="1743" width="11.5703125" bestFit="1" customWidth="1"/>
    <col min="1744" max="1744" width="13.28515625" bestFit="1" customWidth="1"/>
    <col min="1745" max="1745" width="13.28515625" customWidth="1"/>
    <col min="1746" max="1746" width="13.140625" customWidth="1"/>
    <col min="1747" max="1747" width="12.7109375" bestFit="1" customWidth="1"/>
    <col min="1748" max="1748" width="13.28515625" bestFit="1" customWidth="1"/>
    <col min="1749" max="1751" width="13.28515625" customWidth="1"/>
    <col min="1752" max="1752" width="12.140625" bestFit="1" customWidth="1"/>
    <col min="1753" max="1753" width="12.7109375" bestFit="1" customWidth="1"/>
    <col min="1754" max="1754" width="11" customWidth="1"/>
    <col min="1755" max="1755" width="16.7109375" customWidth="1"/>
    <col min="1756" max="1756" width="17" customWidth="1"/>
    <col min="1757" max="1757" width="10.42578125" bestFit="1" customWidth="1"/>
    <col min="1801" max="1801" width="3.85546875" customWidth="1"/>
    <col min="1802" max="1802" width="15.28515625" bestFit="1" customWidth="1"/>
    <col min="1803" max="1803" width="12.28515625" customWidth="1"/>
    <col min="1804" max="1804" width="16.28515625" bestFit="1" customWidth="1"/>
    <col min="1805" max="1805" width="6.42578125" bestFit="1" customWidth="1"/>
    <col min="1806" max="1806" width="9.28515625" bestFit="1" customWidth="1"/>
    <col min="1807" max="1807" width="7.5703125" bestFit="1" customWidth="1"/>
    <col min="1808" max="1808" width="13.28515625" bestFit="1" customWidth="1"/>
    <col min="1809" max="1809" width="9.28515625" bestFit="1" customWidth="1"/>
    <col min="1810" max="1810" width="11.5703125" bestFit="1" customWidth="1"/>
    <col min="1811" max="1811" width="13.28515625" bestFit="1" customWidth="1"/>
    <col min="1812" max="1812" width="7.140625" bestFit="1" customWidth="1"/>
    <col min="1813" max="1813" width="12" bestFit="1" customWidth="1"/>
    <col min="1814" max="1814" width="13.28515625" bestFit="1" customWidth="1"/>
    <col min="1815" max="1815" width="7" bestFit="1" customWidth="1"/>
    <col min="1816" max="1816" width="12.7109375" bestFit="1" customWidth="1"/>
    <col min="1817" max="1817" width="11.5703125" bestFit="1" customWidth="1"/>
    <col min="1818" max="1818" width="10.5703125" bestFit="1" customWidth="1"/>
    <col min="1819" max="1820" width="15.7109375" bestFit="1" customWidth="1"/>
    <col min="1821" max="1821" width="11.5703125" bestFit="1" customWidth="1"/>
    <col min="1822" max="1822" width="7.7109375" bestFit="1" customWidth="1"/>
    <col min="1823" max="1823" width="15.140625" bestFit="1" customWidth="1"/>
    <col min="1824" max="1824" width="11.5703125" bestFit="1" customWidth="1"/>
    <col min="1825" max="1825" width="13.28515625" bestFit="1" customWidth="1"/>
    <col min="1826" max="1826" width="10.42578125" bestFit="1" customWidth="1"/>
    <col min="1827" max="1827" width="13.28515625" bestFit="1" customWidth="1"/>
    <col min="1828" max="1828" width="12.140625" bestFit="1" customWidth="1"/>
    <col min="1829" max="1829" width="14.42578125" bestFit="1" customWidth="1"/>
    <col min="1830" max="1830" width="13.28515625" bestFit="1" customWidth="1"/>
    <col min="1831" max="1831" width="11.5703125" bestFit="1" customWidth="1"/>
    <col min="1832" max="1832" width="7.7109375" bestFit="1" customWidth="1"/>
    <col min="1833" max="1834" width="14.42578125" bestFit="1" customWidth="1"/>
    <col min="1835" max="1835" width="11.5703125" bestFit="1" customWidth="1"/>
    <col min="1836" max="1836" width="7.7109375" bestFit="1" customWidth="1"/>
    <col min="1837" max="1837" width="13.5703125" customWidth="1"/>
    <col min="1838" max="1838" width="15.28515625" customWidth="1"/>
    <col min="1839" max="1839" width="14.5703125" customWidth="1"/>
    <col min="1840" max="1840" width="13.28515625" bestFit="1" customWidth="1"/>
    <col min="1841" max="1841" width="7.7109375" bestFit="1" customWidth="1"/>
    <col min="1842" max="1842" width="12.7109375" bestFit="1" customWidth="1"/>
    <col min="1843" max="1843" width="11.7109375" bestFit="1" customWidth="1"/>
    <col min="1844" max="1844" width="11.5703125" bestFit="1" customWidth="1"/>
    <col min="1845" max="1845" width="5.28515625" bestFit="1" customWidth="1"/>
    <col min="1846" max="1846" width="13.28515625" bestFit="1" customWidth="1"/>
    <col min="1847" max="1847" width="13.5703125" bestFit="1" customWidth="1"/>
    <col min="1848" max="1848" width="10.5703125" bestFit="1" customWidth="1"/>
    <col min="1849" max="1849" width="13.28515625" bestFit="1" customWidth="1"/>
    <col min="1850" max="1850" width="11.5703125" bestFit="1" customWidth="1"/>
    <col min="1851" max="1851" width="10.5703125" bestFit="1" customWidth="1"/>
    <col min="1852" max="1852" width="16.140625" bestFit="1" customWidth="1"/>
    <col min="1853" max="1854" width="11.28515625" bestFit="1" customWidth="1"/>
    <col min="1855" max="1855" width="13.28515625" bestFit="1" customWidth="1"/>
    <col min="1856" max="1856" width="7.7109375" bestFit="1" customWidth="1"/>
    <col min="1857" max="1860" width="9.140625" hidden="1" customWidth="1"/>
    <col min="1861" max="1861" width="10.42578125" bestFit="1" customWidth="1"/>
    <col min="1862" max="1862" width="10.5703125" bestFit="1" customWidth="1"/>
    <col min="1863" max="1863" width="10.42578125" bestFit="1" customWidth="1"/>
    <col min="1864" max="1864" width="10.5703125" bestFit="1" customWidth="1"/>
    <col min="1865" max="1865" width="9.5703125" bestFit="1" customWidth="1"/>
    <col min="1866" max="1866" width="11.5703125" bestFit="1" customWidth="1"/>
    <col min="1867" max="1867" width="10.42578125" bestFit="1" customWidth="1"/>
    <col min="1868" max="1868" width="10.85546875" customWidth="1"/>
    <col min="1869" max="1870" width="9.85546875" bestFit="1" customWidth="1"/>
    <col min="1871" max="1871" width="13.5703125" bestFit="1" customWidth="1"/>
    <col min="1872" max="1872" width="7.7109375" bestFit="1" customWidth="1"/>
    <col min="1873" max="1873" width="13.28515625" bestFit="1" customWidth="1"/>
    <col min="1874" max="1874" width="11.5703125" bestFit="1" customWidth="1"/>
    <col min="1875" max="1875" width="10.42578125" bestFit="1" customWidth="1"/>
    <col min="1876" max="1876" width="7.7109375" bestFit="1" customWidth="1"/>
    <col min="1877" max="1877" width="11.5703125" bestFit="1" customWidth="1"/>
    <col min="1878" max="1878" width="10.85546875" bestFit="1" customWidth="1"/>
    <col min="1879" max="1879" width="13.28515625" bestFit="1" customWidth="1"/>
    <col min="1880" max="1880" width="10.85546875" bestFit="1" customWidth="1"/>
    <col min="1881" max="1882" width="7.5703125" bestFit="1" customWidth="1"/>
    <col min="1883" max="1884" width="10.42578125" bestFit="1" customWidth="1"/>
    <col min="1885" max="1885" width="11.5703125" bestFit="1" customWidth="1"/>
    <col min="1886" max="1886" width="5.28515625" bestFit="1" customWidth="1"/>
    <col min="1887" max="1887" width="10.28515625" bestFit="1" customWidth="1"/>
    <col min="1888" max="1888" width="10.42578125" bestFit="1" customWidth="1"/>
    <col min="1889" max="1889" width="11.5703125" bestFit="1" customWidth="1"/>
    <col min="1890" max="1890" width="5.28515625" bestFit="1" customWidth="1"/>
    <col min="1891" max="1893" width="11.5703125" bestFit="1" customWidth="1"/>
    <col min="1894" max="1894" width="5.28515625" bestFit="1" customWidth="1"/>
    <col min="1895" max="1896" width="10.42578125" bestFit="1" customWidth="1"/>
    <col min="1897" max="1897" width="11.5703125" bestFit="1" customWidth="1"/>
    <col min="1898" max="1898" width="5.28515625" bestFit="1" customWidth="1"/>
    <col min="1899" max="1899" width="14.28515625" bestFit="1" customWidth="1"/>
    <col min="1900" max="1900" width="13" bestFit="1" customWidth="1"/>
    <col min="1901" max="1901" width="11.5703125" bestFit="1" customWidth="1"/>
    <col min="1902" max="1902" width="8.85546875" bestFit="1" customWidth="1"/>
    <col min="1903" max="1903" width="14.42578125" bestFit="1" customWidth="1"/>
    <col min="1904" max="1904" width="10.42578125" bestFit="1" customWidth="1"/>
    <col min="1905" max="1905" width="12.28515625" bestFit="1" customWidth="1"/>
    <col min="1906" max="1906" width="13.85546875" bestFit="1" customWidth="1"/>
    <col min="1907" max="1907" width="11.28515625" customWidth="1"/>
    <col min="1908" max="1908" width="11.5703125" customWidth="1"/>
    <col min="1909" max="1909" width="13.42578125" bestFit="1" customWidth="1"/>
    <col min="1910" max="1910" width="10.42578125" customWidth="1"/>
    <col min="1911" max="1911" width="13.85546875" bestFit="1" customWidth="1"/>
    <col min="1912" max="1912" width="15.42578125" bestFit="1" customWidth="1"/>
    <col min="1913" max="1913" width="12.28515625" bestFit="1" customWidth="1"/>
    <col min="1914" max="1914" width="12.7109375" customWidth="1"/>
    <col min="1915" max="1915" width="10.7109375" bestFit="1" customWidth="1"/>
    <col min="1916" max="1916" width="9.85546875" customWidth="1"/>
    <col min="1917" max="1918" width="10.140625" bestFit="1" customWidth="1"/>
    <col min="1919" max="1919" width="7.5703125" bestFit="1" customWidth="1"/>
    <col min="1920" max="1920" width="9.42578125" bestFit="1" customWidth="1"/>
    <col min="1921" max="1921" width="14.5703125" bestFit="1" customWidth="1"/>
    <col min="1922" max="1922" width="14.85546875" customWidth="1"/>
    <col min="1923" max="1923" width="15.140625" bestFit="1" customWidth="1"/>
    <col min="1924" max="1924" width="12.140625" bestFit="1" customWidth="1"/>
    <col min="1925" max="1925" width="14.85546875" bestFit="1" customWidth="1"/>
    <col min="1926" max="1926" width="12.28515625" bestFit="1" customWidth="1"/>
    <col min="1927" max="1935" width="9.140625" hidden="1" customWidth="1"/>
    <col min="1936" max="1936" width="5.28515625" bestFit="1" customWidth="1"/>
    <col min="1937" max="1942" width="11.5703125" bestFit="1" customWidth="1"/>
    <col min="1943" max="1943" width="11.28515625" bestFit="1" customWidth="1"/>
    <col min="1944" max="1944" width="10.140625" bestFit="1" customWidth="1"/>
    <col min="1945" max="1945" width="11.5703125" bestFit="1" customWidth="1"/>
    <col min="1946" max="1946" width="16.140625" customWidth="1"/>
    <col min="1947" max="1947" width="13.42578125" customWidth="1"/>
    <col min="1948" max="1948" width="10.140625" bestFit="1" customWidth="1"/>
    <col min="1949" max="1949" width="12.85546875" bestFit="1" customWidth="1"/>
    <col min="1950" max="1950" width="12.28515625" bestFit="1" customWidth="1"/>
    <col min="1951" max="1951" width="11.28515625" bestFit="1" customWidth="1"/>
    <col min="1952" max="1952" width="11.5703125" bestFit="1" customWidth="1"/>
    <col min="1953" max="1953" width="10.85546875" bestFit="1" customWidth="1"/>
    <col min="1954" max="1954" width="11.28515625" bestFit="1" customWidth="1"/>
    <col min="1955" max="1955" width="10.140625" bestFit="1" customWidth="1"/>
    <col min="1956" max="1956" width="13.28515625" bestFit="1" customWidth="1"/>
    <col min="1957" max="1958" width="12.7109375" bestFit="1" customWidth="1"/>
    <col min="1959" max="1959" width="11" bestFit="1" customWidth="1"/>
    <col min="1960" max="1960" width="11.28515625" bestFit="1" customWidth="1"/>
    <col min="1961" max="1961" width="11.5703125" bestFit="1" customWidth="1"/>
    <col min="1962" max="1962" width="12.28515625" bestFit="1" customWidth="1"/>
    <col min="1963" max="1963" width="15.140625" bestFit="1" customWidth="1"/>
    <col min="1964" max="1964" width="14.42578125" bestFit="1" customWidth="1"/>
    <col min="1965" max="1965" width="12.28515625" bestFit="1" customWidth="1"/>
    <col min="1966" max="1966" width="15.140625" bestFit="1" customWidth="1"/>
    <col min="1967" max="1967" width="14.42578125" bestFit="1" customWidth="1"/>
    <col min="1968" max="1968" width="12.28515625" bestFit="1" customWidth="1"/>
    <col min="1969" max="1969" width="14.42578125" bestFit="1" customWidth="1"/>
    <col min="1970" max="1970" width="11.28515625" bestFit="1" customWidth="1"/>
    <col min="1971" max="1971" width="12.28515625" bestFit="1" customWidth="1"/>
    <col min="1972" max="1972" width="13" bestFit="1" customWidth="1"/>
    <col min="1973" max="1973" width="15.140625" bestFit="1" customWidth="1"/>
    <col min="1974" max="1974" width="12.28515625" bestFit="1" customWidth="1"/>
    <col min="1975" max="1975" width="13.85546875" bestFit="1" customWidth="1"/>
    <col min="1976" max="1976" width="11.28515625" bestFit="1" customWidth="1"/>
    <col min="1977" max="1977" width="12.28515625" bestFit="1" customWidth="1"/>
    <col min="1978" max="1978" width="13.85546875" bestFit="1" customWidth="1"/>
    <col min="1979" max="1980" width="15.140625" bestFit="1" customWidth="1"/>
    <col min="1981" max="1981" width="12.28515625" bestFit="1" customWidth="1"/>
    <col min="1982" max="1982" width="5.7109375" bestFit="1" customWidth="1"/>
    <col min="1983" max="1983" width="8.5703125" bestFit="1" customWidth="1"/>
    <col min="1984" max="1984" width="5.5703125" bestFit="1" customWidth="1"/>
    <col min="1985" max="1985" width="14.42578125" bestFit="1" customWidth="1"/>
    <col min="1986" max="1986" width="11.28515625" bestFit="1" customWidth="1"/>
    <col min="1987" max="1988" width="12.28515625" bestFit="1" customWidth="1"/>
    <col min="1989" max="1989" width="11.28515625" bestFit="1" customWidth="1"/>
    <col min="1990" max="1990" width="13.85546875" bestFit="1" customWidth="1"/>
    <col min="1991" max="1991" width="12" bestFit="1" customWidth="1"/>
    <col min="1992" max="1992" width="13.85546875" bestFit="1" customWidth="1"/>
    <col min="1993" max="1994" width="14.42578125" customWidth="1"/>
    <col min="1995" max="1995" width="10.140625" bestFit="1" customWidth="1"/>
    <col min="1996" max="1996" width="12.28515625" bestFit="1" customWidth="1"/>
    <col min="1997" max="1997" width="7.42578125" bestFit="1" customWidth="1"/>
    <col min="1998" max="1998" width="8.5703125" bestFit="1" customWidth="1"/>
    <col min="1999" max="1999" width="11.5703125" bestFit="1" customWidth="1"/>
    <col min="2000" max="2000" width="13.28515625" bestFit="1" customWidth="1"/>
    <col min="2001" max="2001" width="13.28515625" customWidth="1"/>
    <col min="2002" max="2002" width="13.140625" customWidth="1"/>
    <col min="2003" max="2003" width="12.7109375" bestFit="1" customWidth="1"/>
    <col min="2004" max="2004" width="13.28515625" bestFit="1" customWidth="1"/>
    <col min="2005" max="2007" width="13.28515625" customWidth="1"/>
    <col min="2008" max="2008" width="12.140625" bestFit="1" customWidth="1"/>
    <col min="2009" max="2009" width="12.7109375" bestFit="1" customWidth="1"/>
    <col min="2010" max="2010" width="11" customWidth="1"/>
    <col min="2011" max="2011" width="16.7109375" customWidth="1"/>
    <col min="2012" max="2012" width="17" customWidth="1"/>
    <col min="2013" max="2013" width="10.42578125" bestFit="1" customWidth="1"/>
    <col min="2057" max="2057" width="3.85546875" customWidth="1"/>
    <col min="2058" max="2058" width="15.28515625" bestFit="1" customWidth="1"/>
    <col min="2059" max="2059" width="12.28515625" customWidth="1"/>
    <col min="2060" max="2060" width="16.28515625" bestFit="1" customWidth="1"/>
    <col min="2061" max="2061" width="6.42578125" bestFit="1" customWidth="1"/>
    <col min="2062" max="2062" width="9.28515625" bestFit="1" customWidth="1"/>
    <col min="2063" max="2063" width="7.5703125" bestFit="1" customWidth="1"/>
    <col min="2064" max="2064" width="13.28515625" bestFit="1" customWidth="1"/>
    <col min="2065" max="2065" width="9.28515625" bestFit="1" customWidth="1"/>
    <col min="2066" max="2066" width="11.5703125" bestFit="1" customWidth="1"/>
    <col min="2067" max="2067" width="13.28515625" bestFit="1" customWidth="1"/>
    <col min="2068" max="2068" width="7.140625" bestFit="1" customWidth="1"/>
    <col min="2069" max="2069" width="12" bestFit="1" customWidth="1"/>
    <col min="2070" max="2070" width="13.28515625" bestFit="1" customWidth="1"/>
    <col min="2071" max="2071" width="7" bestFit="1" customWidth="1"/>
    <col min="2072" max="2072" width="12.7109375" bestFit="1" customWidth="1"/>
    <col min="2073" max="2073" width="11.5703125" bestFit="1" customWidth="1"/>
    <col min="2074" max="2074" width="10.5703125" bestFit="1" customWidth="1"/>
    <col min="2075" max="2076" width="15.7109375" bestFit="1" customWidth="1"/>
    <col min="2077" max="2077" width="11.5703125" bestFit="1" customWidth="1"/>
    <col min="2078" max="2078" width="7.7109375" bestFit="1" customWidth="1"/>
    <col min="2079" max="2079" width="15.140625" bestFit="1" customWidth="1"/>
    <col min="2080" max="2080" width="11.5703125" bestFit="1" customWidth="1"/>
    <col min="2081" max="2081" width="13.28515625" bestFit="1" customWidth="1"/>
    <col min="2082" max="2082" width="10.42578125" bestFit="1" customWidth="1"/>
    <col min="2083" max="2083" width="13.28515625" bestFit="1" customWidth="1"/>
    <col min="2084" max="2084" width="12.140625" bestFit="1" customWidth="1"/>
    <col min="2085" max="2085" width="14.42578125" bestFit="1" customWidth="1"/>
    <col min="2086" max="2086" width="13.28515625" bestFit="1" customWidth="1"/>
    <col min="2087" max="2087" width="11.5703125" bestFit="1" customWidth="1"/>
    <col min="2088" max="2088" width="7.7109375" bestFit="1" customWidth="1"/>
    <col min="2089" max="2090" width="14.42578125" bestFit="1" customWidth="1"/>
    <col min="2091" max="2091" width="11.5703125" bestFit="1" customWidth="1"/>
    <col min="2092" max="2092" width="7.7109375" bestFit="1" customWidth="1"/>
    <col min="2093" max="2093" width="13.5703125" customWidth="1"/>
    <col min="2094" max="2094" width="15.28515625" customWidth="1"/>
    <col min="2095" max="2095" width="14.5703125" customWidth="1"/>
    <col min="2096" max="2096" width="13.28515625" bestFit="1" customWidth="1"/>
    <col min="2097" max="2097" width="7.7109375" bestFit="1" customWidth="1"/>
    <col min="2098" max="2098" width="12.7109375" bestFit="1" customWidth="1"/>
    <col min="2099" max="2099" width="11.7109375" bestFit="1" customWidth="1"/>
    <col min="2100" max="2100" width="11.5703125" bestFit="1" customWidth="1"/>
    <col min="2101" max="2101" width="5.28515625" bestFit="1" customWidth="1"/>
    <col min="2102" max="2102" width="13.28515625" bestFit="1" customWidth="1"/>
    <col min="2103" max="2103" width="13.5703125" bestFit="1" customWidth="1"/>
    <col min="2104" max="2104" width="10.5703125" bestFit="1" customWidth="1"/>
    <col min="2105" max="2105" width="13.28515625" bestFit="1" customWidth="1"/>
    <col min="2106" max="2106" width="11.5703125" bestFit="1" customWidth="1"/>
    <col min="2107" max="2107" width="10.5703125" bestFit="1" customWidth="1"/>
    <col min="2108" max="2108" width="16.140625" bestFit="1" customWidth="1"/>
    <col min="2109" max="2110" width="11.28515625" bestFit="1" customWidth="1"/>
    <col min="2111" max="2111" width="13.28515625" bestFit="1" customWidth="1"/>
    <col min="2112" max="2112" width="7.7109375" bestFit="1" customWidth="1"/>
    <col min="2113" max="2116" width="9.140625" hidden="1" customWidth="1"/>
    <col min="2117" max="2117" width="10.42578125" bestFit="1" customWidth="1"/>
    <col min="2118" max="2118" width="10.5703125" bestFit="1" customWidth="1"/>
    <col min="2119" max="2119" width="10.42578125" bestFit="1" customWidth="1"/>
    <col min="2120" max="2120" width="10.5703125" bestFit="1" customWidth="1"/>
    <col min="2121" max="2121" width="9.5703125" bestFit="1" customWidth="1"/>
    <col min="2122" max="2122" width="11.5703125" bestFit="1" customWidth="1"/>
    <col min="2123" max="2123" width="10.42578125" bestFit="1" customWidth="1"/>
    <col min="2124" max="2124" width="10.85546875" customWidth="1"/>
    <col min="2125" max="2126" width="9.85546875" bestFit="1" customWidth="1"/>
    <col min="2127" max="2127" width="13.5703125" bestFit="1" customWidth="1"/>
    <col min="2128" max="2128" width="7.7109375" bestFit="1" customWidth="1"/>
    <col min="2129" max="2129" width="13.28515625" bestFit="1" customWidth="1"/>
    <col min="2130" max="2130" width="11.5703125" bestFit="1" customWidth="1"/>
    <col min="2131" max="2131" width="10.42578125" bestFit="1" customWidth="1"/>
    <col min="2132" max="2132" width="7.7109375" bestFit="1" customWidth="1"/>
    <col min="2133" max="2133" width="11.5703125" bestFit="1" customWidth="1"/>
    <col min="2134" max="2134" width="10.85546875" bestFit="1" customWidth="1"/>
    <col min="2135" max="2135" width="13.28515625" bestFit="1" customWidth="1"/>
    <col min="2136" max="2136" width="10.85546875" bestFit="1" customWidth="1"/>
    <col min="2137" max="2138" width="7.5703125" bestFit="1" customWidth="1"/>
    <col min="2139" max="2140" width="10.42578125" bestFit="1" customWidth="1"/>
    <col min="2141" max="2141" width="11.5703125" bestFit="1" customWidth="1"/>
    <col min="2142" max="2142" width="5.28515625" bestFit="1" customWidth="1"/>
    <col min="2143" max="2143" width="10.28515625" bestFit="1" customWidth="1"/>
    <col min="2144" max="2144" width="10.42578125" bestFit="1" customWidth="1"/>
    <col min="2145" max="2145" width="11.5703125" bestFit="1" customWidth="1"/>
    <col min="2146" max="2146" width="5.28515625" bestFit="1" customWidth="1"/>
    <col min="2147" max="2149" width="11.5703125" bestFit="1" customWidth="1"/>
    <col min="2150" max="2150" width="5.28515625" bestFit="1" customWidth="1"/>
    <col min="2151" max="2152" width="10.42578125" bestFit="1" customWidth="1"/>
    <col min="2153" max="2153" width="11.5703125" bestFit="1" customWidth="1"/>
    <col min="2154" max="2154" width="5.28515625" bestFit="1" customWidth="1"/>
    <col min="2155" max="2155" width="14.28515625" bestFit="1" customWidth="1"/>
    <col min="2156" max="2156" width="13" bestFit="1" customWidth="1"/>
    <col min="2157" max="2157" width="11.5703125" bestFit="1" customWidth="1"/>
    <col min="2158" max="2158" width="8.85546875" bestFit="1" customWidth="1"/>
    <col min="2159" max="2159" width="14.42578125" bestFit="1" customWidth="1"/>
    <col min="2160" max="2160" width="10.42578125" bestFit="1" customWidth="1"/>
    <col min="2161" max="2161" width="12.28515625" bestFit="1" customWidth="1"/>
    <col min="2162" max="2162" width="13.85546875" bestFit="1" customWidth="1"/>
    <col min="2163" max="2163" width="11.28515625" customWidth="1"/>
    <col min="2164" max="2164" width="11.5703125" customWidth="1"/>
    <col min="2165" max="2165" width="13.42578125" bestFit="1" customWidth="1"/>
    <col min="2166" max="2166" width="10.42578125" customWidth="1"/>
    <col min="2167" max="2167" width="13.85546875" bestFit="1" customWidth="1"/>
    <col min="2168" max="2168" width="15.42578125" bestFit="1" customWidth="1"/>
    <col min="2169" max="2169" width="12.28515625" bestFit="1" customWidth="1"/>
    <col min="2170" max="2170" width="12.7109375" customWidth="1"/>
    <col min="2171" max="2171" width="10.7109375" bestFit="1" customWidth="1"/>
    <col min="2172" max="2172" width="9.85546875" customWidth="1"/>
    <col min="2173" max="2174" width="10.140625" bestFit="1" customWidth="1"/>
    <col min="2175" max="2175" width="7.5703125" bestFit="1" customWidth="1"/>
    <col min="2176" max="2176" width="9.42578125" bestFit="1" customWidth="1"/>
    <col min="2177" max="2177" width="14.5703125" bestFit="1" customWidth="1"/>
    <col min="2178" max="2178" width="14.85546875" customWidth="1"/>
    <col min="2179" max="2179" width="15.140625" bestFit="1" customWidth="1"/>
    <col min="2180" max="2180" width="12.140625" bestFit="1" customWidth="1"/>
    <col min="2181" max="2181" width="14.85546875" bestFit="1" customWidth="1"/>
    <col min="2182" max="2182" width="12.28515625" bestFit="1" customWidth="1"/>
    <col min="2183" max="2191" width="9.140625" hidden="1" customWidth="1"/>
    <col min="2192" max="2192" width="5.28515625" bestFit="1" customWidth="1"/>
    <col min="2193" max="2198" width="11.5703125" bestFit="1" customWidth="1"/>
    <col min="2199" max="2199" width="11.28515625" bestFit="1" customWidth="1"/>
    <col min="2200" max="2200" width="10.140625" bestFit="1" customWidth="1"/>
    <col min="2201" max="2201" width="11.5703125" bestFit="1" customWidth="1"/>
    <col min="2202" max="2202" width="16.140625" customWidth="1"/>
    <col min="2203" max="2203" width="13.42578125" customWidth="1"/>
    <col min="2204" max="2204" width="10.140625" bestFit="1" customWidth="1"/>
    <col min="2205" max="2205" width="12.85546875" bestFit="1" customWidth="1"/>
    <col min="2206" max="2206" width="12.28515625" bestFit="1" customWidth="1"/>
    <col min="2207" max="2207" width="11.28515625" bestFit="1" customWidth="1"/>
    <col min="2208" max="2208" width="11.5703125" bestFit="1" customWidth="1"/>
    <col min="2209" max="2209" width="10.85546875" bestFit="1" customWidth="1"/>
    <col min="2210" max="2210" width="11.28515625" bestFit="1" customWidth="1"/>
    <col min="2211" max="2211" width="10.140625" bestFit="1" customWidth="1"/>
    <col min="2212" max="2212" width="13.28515625" bestFit="1" customWidth="1"/>
    <col min="2213" max="2214" width="12.7109375" bestFit="1" customWidth="1"/>
    <col min="2215" max="2215" width="11" bestFit="1" customWidth="1"/>
    <col min="2216" max="2216" width="11.28515625" bestFit="1" customWidth="1"/>
    <col min="2217" max="2217" width="11.5703125" bestFit="1" customWidth="1"/>
    <col min="2218" max="2218" width="12.28515625" bestFit="1" customWidth="1"/>
    <col min="2219" max="2219" width="15.140625" bestFit="1" customWidth="1"/>
    <col min="2220" max="2220" width="14.42578125" bestFit="1" customWidth="1"/>
    <col min="2221" max="2221" width="12.28515625" bestFit="1" customWidth="1"/>
    <col min="2222" max="2222" width="15.140625" bestFit="1" customWidth="1"/>
    <col min="2223" max="2223" width="14.42578125" bestFit="1" customWidth="1"/>
    <col min="2224" max="2224" width="12.28515625" bestFit="1" customWidth="1"/>
    <col min="2225" max="2225" width="14.42578125" bestFit="1" customWidth="1"/>
    <col min="2226" max="2226" width="11.28515625" bestFit="1" customWidth="1"/>
    <col min="2227" max="2227" width="12.28515625" bestFit="1" customWidth="1"/>
    <col min="2228" max="2228" width="13" bestFit="1" customWidth="1"/>
    <col min="2229" max="2229" width="15.140625" bestFit="1" customWidth="1"/>
    <col min="2230" max="2230" width="12.28515625" bestFit="1" customWidth="1"/>
    <col min="2231" max="2231" width="13.85546875" bestFit="1" customWidth="1"/>
    <col min="2232" max="2232" width="11.28515625" bestFit="1" customWidth="1"/>
    <col min="2233" max="2233" width="12.28515625" bestFit="1" customWidth="1"/>
    <col min="2234" max="2234" width="13.85546875" bestFit="1" customWidth="1"/>
    <col min="2235" max="2236" width="15.140625" bestFit="1" customWidth="1"/>
    <col min="2237" max="2237" width="12.28515625" bestFit="1" customWidth="1"/>
    <col min="2238" max="2238" width="5.7109375" bestFit="1" customWidth="1"/>
    <col min="2239" max="2239" width="8.5703125" bestFit="1" customWidth="1"/>
    <col min="2240" max="2240" width="5.5703125" bestFit="1" customWidth="1"/>
    <col min="2241" max="2241" width="14.42578125" bestFit="1" customWidth="1"/>
    <col min="2242" max="2242" width="11.28515625" bestFit="1" customWidth="1"/>
    <col min="2243" max="2244" width="12.28515625" bestFit="1" customWidth="1"/>
    <col min="2245" max="2245" width="11.28515625" bestFit="1" customWidth="1"/>
    <col min="2246" max="2246" width="13.85546875" bestFit="1" customWidth="1"/>
    <col min="2247" max="2247" width="12" bestFit="1" customWidth="1"/>
    <col min="2248" max="2248" width="13.85546875" bestFit="1" customWidth="1"/>
    <col min="2249" max="2250" width="14.42578125" customWidth="1"/>
    <col min="2251" max="2251" width="10.140625" bestFit="1" customWidth="1"/>
    <col min="2252" max="2252" width="12.28515625" bestFit="1" customWidth="1"/>
    <col min="2253" max="2253" width="7.42578125" bestFit="1" customWidth="1"/>
    <col min="2254" max="2254" width="8.5703125" bestFit="1" customWidth="1"/>
    <col min="2255" max="2255" width="11.5703125" bestFit="1" customWidth="1"/>
    <col min="2256" max="2256" width="13.28515625" bestFit="1" customWidth="1"/>
    <col min="2257" max="2257" width="13.28515625" customWidth="1"/>
    <col min="2258" max="2258" width="13.140625" customWidth="1"/>
    <col min="2259" max="2259" width="12.7109375" bestFit="1" customWidth="1"/>
    <col min="2260" max="2260" width="13.28515625" bestFit="1" customWidth="1"/>
    <col min="2261" max="2263" width="13.28515625" customWidth="1"/>
    <col min="2264" max="2264" width="12.140625" bestFit="1" customWidth="1"/>
    <col min="2265" max="2265" width="12.7109375" bestFit="1" customWidth="1"/>
    <col min="2266" max="2266" width="11" customWidth="1"/>
    <col min="2267" max="2267" width="16.7109375" customWidth="1"/>
    <col min="2268" max="2268" width="17" customWidth="1"/>
    <col min="2269" max="2269" width="10.42578125" bestFit="1" customWidth="1"/>
    <col min="2313" max="2313" width="3.85546875" customWidth="1"/>
    <col min="2314" max="2314" width="15.28515625" bestFit="1" customWidth="1"/>
    <col min="2315" max="2315" width="12.28515625" customWidth="1"/>
    <col min="2316" max="2316" width="16.28515625" bestFit="1" customWidth="1"/>
    <col min="2317" max="2317" width="6.42578125" bestFit="1" customWidth="1"/>
    <col min="2318" max="2318" width="9.28515625" bestFit="1" customWidth="1"/>
    <col min="2319" max="2319" width="7.5703125" bestFit="1" customWidth="1"/>
    <col min="2320" max="2320" width="13.28515625" bestFit="1" customWidth="1"/>
    <col min="2321" max="2321" width="9.28515625" bestFit="1" customWidth="1"/>
    <col min="2322" max="2322" width="11.5703125" bestFit="1" customWidth="1"/>
    <col min="2323" max="2323" width="13.28515625" bestFit="1" customWidth="1"/>
    <col min="2324" max="2324" width="7.140625" bestFit="1" customWidth="1"/>
    <col min="2325" max="2325" width="12" bestFit="1" customWidth="1"/>
    <col min="2326" max="2326" width="13.28515625" bestFit="1" customWidth="1"/>
    <col min="2327" max="2327" width="7" bestFit="1" customWidth="1"/>
    <col min="2328" max="2328" width="12.7109375" bestFit="1" customWidth="1"/>
    <col min="2329" max="2329" width="11.5703125" bestFit="1" customWidth="1"/>
    <col min="2330" max="2330" width="10.5703125" bestFit="1" customWidth="1"/>
    <col min="2331" max="2332" width="15.7109375" bestFit="1" customWidth="1"/>
    <col min="2333" max="2333" width="11.5703125" bestFit="1" customWidth="1"/>
    <col min="2334" max="2334" width="7.7109375" bestFit="1" customWidth="1"/>
    <col min="2335" max="2335" width="15.140625" bestFit="1" customWidth="1"/>
    <col min="2336" max="2336" width="11.5703125" bestFit="1" customWidth="1"/>
    <col min="2337" max="2337" width="13.28515625" bestFit="1" customWidth="1"/>
    <col min="2338" max="2338" width="10.42578125" bestFit="1" customWidth="1"/>
    <col min="2339" max="2339" width="13.28515625" bestFit="1" customWidth="1"/>
    <col min="2340" max="2340" width="12.140625" bestFit="1" customWidth="1"/>
    <col min="2341" max="2341" width="14.42578125" bestFit="1" customWidth="1"/>
    <col min="2342" max="2342" width="13.28515625" bestFit="1" customWidth="1"/>
    <col min="2343" max="2343" width="11.5703125" bestFit="1" customWidth="1"/>
    <col min="2344" max="2344" width="7.7109375" bestFit="1" customWidth="1"/>
    <col min="2345" max="2346" width="14.42578125" bestFit="1" customWidth="1"/>
    <col min="2347" max="2347" width="11.5703125" bestFit="1" customWidth="1"/>
    <col min="2348" max="2348" width="7.7109375" bestFit="1" customWidth="1"/>
    <col min="2349" max="2349" width="13.5703125" customWidth="1"/>
    <col min="2350" max="2350" width="15.28515625" customWidth="1"/>
    <col min="2351" max="2351" width="14.5703125" customWidth="1"/>
    <col min="2352" max="2352" width="13.28515625" bestFit="1" customWidth="1"/>
    <col min="2353" max="2353" width="7.7109375" bestFit="1" customWidth="1"/>
    <col min="2354" max="2354" width="12.7109375" bestFit="1" customWidth="1"/>
    <col min="2355" max="2355" width="11.7109375" bestFit="1" customWidth="1"/>
    <col min="2356" max="2356" width="11.5703125" bestFit="1" customWidth="1"/>
    <col min="2357" max="2357" width="5.28515625" bestFit="1" customWidth="1"/>
    <col min="2358" max="2358" width="13.28515625" bestFit="1" customWidth="1"/>
    <col min="2359" max="2359" width="13.5703125" bestFit="1" customWidth="1"/>
    <col min="2360" max="2360" width="10.5703125" bestFit="1" customWidth="1"/>
    <col min="2361" max="2361" width="13.28515625" bestFit="1" customWidth="1"/>
    <col min="2362" max="2362" width="11.5703125" bestFit="1" customWidth="1"/>
    <col min="2363" max="2363" width="10.5703125" bestFit="1" customWidth="1"/>
    <col min="2364" max="2364" width="16.140625" bestFit="1" customWidth="1"/>
    <col min="2365" max="2366" width="11.28515625" bestFit="1" customWidth="1"/>
    <col min="2367" max="2367" width="13.28515625" bestFit="1" customWidth="1"/>
    <col min="2368" max="2368" width="7.7109375" bestFit="1" customWidth="1"/>
    <col min="2369" max="2372" width="9.140625" hidden="1" customWidth="1"/>
    <col min="2373" max="2373" width="10.42578125" bestFit="1" customWidth="1"/>
    <col min="2374" max="2374" width="10.5703125" bestFit="1" customWidth="1"/>
    <col min="2375" max="2375" width="10.42578125" bestFit="1" customWidth="1"/>
    <col min="2376" max="2376" width="10.5703125" bestFit="1" customWidth="1"/>
    <col min="2377" max="2377" width="9.5703125" bestFit="1" customWidth="1"/>
    <col min="2378" max="2378" width="11.5703125" bestFit="1" customWidth="1"/>
    <col min="2379" max="2379" width="10.42578125" bestFit="1" customWidth="1"/>
    <col min="2380" max="2380" width="10.85546875" customWidth="1"/>
    <col min="2381" max="2382" width="9.85546875" bestFit="1" customWidth="1"/>
    <col min="2383" max="2383" width="13.5703125" bestFit="1" customWidth="1"/>
    <col min="2384" max="2384" width="7.7109375" bestFit="1" customWidth="1"/>
    <col min="2385" max="2385" width="13.28515625" bestFit="1" customWidth="1"/>
    <col min="2386" max="2386" width="11.5703125" bestFit="1" customWidth="1"/>
    <col min="2387" max="2387" width="10.42578125" bestFit="1" customWidth="1"/>
    <col min="2388" max="2388" width="7.7109375" bestFit="1" customWidth="1"/>
    <col min="2389" max="2389" width="11.5703125" bestFit="1" customWidth="1"/>
    <col min="2390" max="2390" width="10.85546875" bestFit="1" customWidth="1"/>
    <col min="2391" max="2391" width="13.28515625" bestFit="1" customWidth="1"/>
    <col min="2392" max="2392" width="10.85546875" bestFit="1" customWidth="1"/>
    <col min="2393" max="2394" width="7.5703125" bestFit="1" customWidth="1"/>
    <col min="2395" max="2396" width="10.42578125" bestFit="1" customWidth="1"/>
    <col min="2397" max="2397" width="11.5703125" bestFit="1" customWidth="1"/>
    <col min="2398" max="2398" width="5.28515625" bestFit="1" customWidth="1"/>
    <col min="2399" max="2399" width="10.28515625" bestFit="1" customWidth="1"/>
    <col min="2400" max="2400" width="10.42578125" bestFit="1" customWidth="1"/>
    <col min="2401" max="2401" width="11.5703125" bestFit="1" customWidth="1"/>
    <col min="2402" max="2402" width="5.28515625" bestFit="1" customWidth="1"/>
    <col min="2403" max="2405" width="11.5703125" bestFit="1" customWidth="1"/>
    <col min="2406" max="2406" width="5.28515625" bestFit="1" customWidth="1"/>
    <col min="2407" max="2408" width="10.42578125" bestFit="1" customWidth="1"/>
    <col min="2409" max="2409" width="11.5703125" bestFit="1" customWidth="1"/>
    <col min="2410" max="2410" width="5.28515625" bestFit="1" customWidth="1"/>
    <col min="2411" max="2411" width="14.28515625" bestFit="1" customWidth="1"/>
    <col min="2412" max="2412" width="13" bestFit="1" customWidth="1"/>
    <col min="2413" max="2413" width="11.5703125" bestFit="1" customWidth="1"/>
    <col min="2414" max="2414" width="8.85546875" bestFit="1" customWidth="1"/>
    <col min="2415" max="2415" width="14.42578125" bestFit="1" customWidth="1"/>
    <col min="2416" max="2416" width="10.42578125" bestFit="1" customWidth="1"/>
    <col min="2417" max="2417" width="12.28515625" bestFit="1" customWidth="1"/>
    <col min="2418" max="2418" width="13.85546875" bestFit="1" customWidth="1"/>
    <col min="2419" max="2419" width="11.28515625" customWidth="1"/>
    <col min="2420" max="2420" width="11.5703125" customWidth="1"/>
    <col min="2421" max="2421" width="13.42578125" bestFit="1" customWidth="1"/>
    <col min="2422" max="2422" width="10.42578125" customWidth="1"/>
    <col min="2423" max="2423" width="13.85546875" bestFit="1" customWidth="1"/>
    <col min="2424" max="2424" width="15.42578125" bestFit="1" customWidth="1"/>
    <col min="2425" max="2425" width="12.28515625" bestFit="1" customWidth="1"/>
    <col min="2426" max="2426" width="12.7109375" customWidth="1"/>
    <col min="2427" max="2427" width="10.7109375" bestFit="1" customWidth="1"/>
    <col min="2428" max="2428" width="9.85546875" customWidth="1"/>
    <col min="2429" max="2430" width="10.140625" bestFit="1" customWidth="1"/>
    <col min="2431" max="2431" width="7.5703125" bestFit="1" customWidth="1"/>
    <col min="2432" max="2432" width="9.42578125" bestFit="1" customWidth="1"/>
    <col min="2433" max="2433" width="14.5703125" bestFit="1" customWidth="1"/>
    <col min="2434" max="2434" width="14.85546875" customWidth="1"/>
    <col min="2435" max="2435" width="15.140625" bestFit="1" customWidth="1"/>
    <col min="2436" max="2436" width="12.140625" bestFit="1" customWidth="1"/>
    <col min="2437" max="2437" width="14.85546875" bestFit="1" customWidth="1"/>
    <col min="2438" max="2438" width="12.28515625" bestFit="1" customWidth="1"/>
    <col min="2439" max="2447" width="9.140625" hidden="1" customWidth="1"/>
    <col min="2448" max="2448" width="5.28515625" bestFit="1" customWidth="1"/>
    <col min="2449" max="2454" width="11.5703125" bestFit="1" customWidth="1"/>
    <col min="2455" max="2455" width="11.28515625" bestFit="1" customWidth="1"/>
    <col min="2456" max="2456" width="10.140625" bestFit="1" customWidth="1"/>
    <col min="2457" max="2457" width="11.5703125" bestFit="1" customWidth="1"/>
    <col min="2458" max="2458" width="16.140625" customWidth="1"/>
    <col min="2459" max="2459" width="13.42578125" customWidth="1"/>
    <col min="2460" max="2460" width="10.140625" bestFit="1" customWidth="1"/>
    <col min="2461" max="2461" width="12.85546875" bestFit="1" customWidth="1"/>
    <col min="2462" max="2462" width="12.28515625" bestFit="1" customWidth="1"/>
    <col min="2463" max="2463" width="11.28515625" bestFit="1" customWidth="1"/>
    <col min="2464" max="2464" width="11.5703125" bestFit="1" customWidth="1"/>
    <col min="2465" max="2465" width="10.85546875" bestFit="1" customWidth="1"/>
    <col min="2466" max="2466" width="11.28515625" bestFit="1" customWidth="1"/>
    <col min="2467" max="2467" width="10.140625" bestFit="1" customWidth="1"/>
    <col min="2468" max="2468" width="13.28515625" bestFit="1" customWidth="1"/>
    <col min="2469" max="2470" width="12.7109375" bestFit="1" customWidth="1"/>
    <col min="2471" max="2471" width="11" bestFit="1" customWidth="1"/>
    <col min="2472" max="2472" width="11.28515625" bestFit="1" customWidth="1"/>
    <col min="2473" max="2473" width="11.5703125" bestFit="1" customWidth="1"/>
    <col min="2474" max="2474" width="12.28515625" bestFit="1" customWidth="1"/>
    <col min="2475" max="2475" width="15.140625" bestFit="1" customWidth="1"/>
    <col min="2476" max="2476" width="14.42578125" bestFit="1" customWidth="1"/>
    <col min="2477" max="2477" width="12.28515625" bestFit="1" customWidth="1"/>
    <col min="2478" max="2478" width="15.140625" bestFit="1" customWidth="1"/>
    <col min="2479" max="2479" width="14.42578125" bestFit="1" customWidth="1"/>
    <col min="2480" max="2480" width="12.28515625" bestFit="1" customWidth="1"/>
    <col min="2481" max="2481" width="14.42578125" bestFit="1" customWidth="1"/>
    <col min="2482" max="2482" width="11.28515625" bestFit="1" customWidth="1"/>
    <col min="2483" max="2483" width="12.28515625" bestFit="1" customWidth="1"/>
    <col min="2484" max="2484" width="13" bestFit="1" customWidth="1"/>
    <col min="2485" max="2485" width="15.140625" bestFit="1" customWidth="1"/>
    <col min="2486" max="2486" width="12.28515625" bestFit="1" customWidth="1"/>
    <col min="2487" max="2487" width="13.85546875" bestFit="1" customWidth="1"/>
    <col min="2488" max="2488" width="11.28515625" bestFit="1" customWidth="1"/>
    <col min="2489" max="2489" width="12.28515625" bestFit="1" customWidth="1"/>
    <col min="2490" max="2490" width="13.85546875" bestFit="1" customWidth="1"/>
    <col min="2491" max="2492" width="15.140625" bestFit="1" customWidth="1"/>
    <col min="2493" max="2493" width="12.28515625" bestFit="1" customWidth="1"/>
    <col min="2494" max="2494" width="5.7109375" bestFit="1" customWidth="1"/>
    <col min="2495" max="2495" width="8.5703125" bestFit="1" customWidth="1"/>
    <col min="2496" max="2496" width="5.5703125" bestFit="1" customWidth="1"/>
    <col min="2497" max="2497" width="14.42578125" bestFit="1" customWidth="1"/>
    <col min="2498" max="2498" width="11.28515625" bestFit="1" customWidth="1"/>
    <col min="2499" max="2500" width="12.28515625" bestFit="1" customWidth="1"/>
    <col min="2501" max="2501" width="11.28515625" bestFit="1" customWidth="1"/>
    <col min="2502" max="2502" width="13.85546875" bestFit="1" customWidth="1"/>
    <col min="2503" max="2503" width="12" bestFit="1" customWidth="1"/>
    <col min="2504" max="2504" width="13.85546875" bestFit="1" customWidth="1"/>
    <col min="2505" max="2506" width="14.42578125" customWidth="1"/>
    <col min="2507" max="2507" width="10.140625" bestFit="1" customWidth="1"/>
    <col min="2508" max="2508" width="12.28515625" bestFit="1" customWidth="1"/>
    <col min="2509" max="2509" width="7.42578125" bestFit="1" customWidth="1"/>
    <col min="2510" max="2510" width="8.5703125" bestFit="1" customWidth="1"/>
    <col min="2511" max="2511" width="11.5703125" bestFit="1" customWidth="1"/>
    <col min="2512" max="2512" width="13.28515625" bestFit="1" customWidth="1"/>
    <col min="2513" max="2513" width="13.28515625" customWidth="1"/>
    <col min="2514" max="2514" width="13.140625" customWidth="1"/>
    <col min="2515" max="2515" width="12.7109375" bestFit="1" customWidth="1"/>
    <col min="2516" max="2516" width="13.28515625" bestFit="1" customWidth="1"/>
    <col min="2517" max="2519" width="13.28515625" customWidth="1"/>
    <col min="2520" max="2520" width="12.140625" bestFit="1" customWidth="1"/>
    <col min="2521" max="2521" width="12.7109375" bestFit="1" customWidth="1"/>
    <col min="2522" max="2522" width="11" customWidth="1"/>
    <col min="2523" max="2523" width="16.7109375" customWidth="1"/>
    <col min="2524" max="2524" width="17" customWidth="1"/>
    <col min="2525" max="2525" width="10.42578125" bestFit="1" customWidth="1"/>
    <col min="2569" max="2569" width="3.85546875" customWidth="1"/>
    <col min="2570" max="2570" width="15.28515625" bestFit="1" customWidth="1"/>
    <col min="2571" max="2571" width="12.28515625" customWidth="1"/>
    <col min="2572" max="2572" width="16.28515625" bestFit="1" customWidth="1"/>
    <col min="2573" max="2573" width="6.42578125" bestFit="1" customWidth="1"/>
    <col min="2574" max="2574" width="9.28515625" bestFit="1" customWidth="1"/>
    <col min="2575" max="2575" width="7.5703125" bestFit="1" customWidth="1"/>
    <col min="2576" max="2576" width="13.28515625" bestFit="1" customWidth="1"/>
    <col min="2577" max="2577" width="9.28515625" bestFit="1" customWidth="1"/>
    <col min="2578" max="2578" width="11.5703125" bestFit="1" customWidth="1"/>
    <col min="2579" max="2579" width="13.28515625" bestFit="1" customWidth="1"/>
    <col min="2580" max="2580" width="7.140625" bestFit="1" customWidth="1"/>
    <col min="2581" max="2581" width="12" bestFit="1" customWidth="1"/>
    <col min="2582" max="2582" width="13.28515625" bestFit="1" customWidth="1"/>
    <col min="2583" max="2583" width="7" bestFit="1" customWidth="1"/>
    <col min="2584" max="2584" width="12.7109375" bestFit="1" customWidth="1"/>
    <col min="2585" max="2585" width="11.5703125" bestFit="1" customWidth="1"/>
    <col min="2586" max="2586" width="10.5703125" bestFit="1" customWidth="1"/>
    <col min="2587" max="2588" width="15.7109375" bestFit="1" customWidth="1"/>
    <col min="2589" max="2589" width="11.5703125" bestFit="1" customWidth="1"/>
    <col min="2590" max="2590" width="7.7109375" bestFit="1" customWidth="1"/>
    <col min="2591" max="2591" width="15.140625" bestFit="1" customWidth="1"/>
    <col min="2592" max="2592" width="11.5703125" bestFit="1" customWidth="1"/>
    <col min="2593" max="2593" width="13.28515625" bestFit="1" customWidth="1"/>
    <col min="2594" max="2594" width="10.42578125" bestFit="1" customWidth="1"/>
    <col min="2595" max="2595" width="13.28515625" bestFit="1" customWidth="1"/>
    <col min="2596" max="2596" width="12.140625" bestFit="1" customWidth="1"/>
    <col min="2597" max="2597" width="14.42578125" bestFit="1" customWidth="1"/>
    <col min="2598" max="2598" width="13.28515625" bestFit="1" customWidth="1"/>
    <col min="2599" max="2599" width="11.5703125" bestFit="1" customWidth="1"/>
    <col min="2600" max="2600" width="7.7109375" bestFit="1" customWidth="1"/>
    <col min="2601" max="2602" width="14.42578125" bestFit="1" customWidth="1"/>
    <col min="2603" max="2603" width="11.5703125" bestFit="1" customWidth="1"/>
    <col min="2604" max="2604" width="7.7109375" bestFit="1" customWidth="1"/>
    <col min="2605" max="2605" width="13.5703125" customWidth="1"/>
    <col min="2606" max="2606" width="15.28515625" customWidth="1"/>
    <col min="2607" max="2607" width="14.5703125" customWidth="1"/>
    <col min="2608" max="2608" width="13.28515625" bestFit="1" customWidth="1"/>
    <col min="2609" max="2609" width="7.7109375" bestFit="1" customWidth="1"/>
    <col min="2610" max="2610" width="12.7109375" bestFit="1" customWidth="1"/>
    <col min="2611" max="2611" width="11.7109375" bestFit="1" customWidth="1"/>
    <col min="2612" max="2612" width="11.5703125" bestFit="1" customWidth="1"/>
    <col min="2613" max="2613" width="5.28515625" bestFit="1" customWidth="1"/>
    <col min="2614" max="2614" width="13.28515625" bestFit="1" customWidth="1"/>
    <col min="2615" max="2615" width="13.5703125" bestFit="1" customWidth="1"/>
    <col min="2616" max="2616" width="10.5703125" bestFit="1" customWidth="1"/>
    <col min="2617" max="2617" width="13.28515625" bestFit="1" customWidth="1"/>
    <col min="2618" max="2618" width="11.5703125" bestFit="1" customWidth="1"/>
    <col min="2619" max="2619" width="10.5703125" bestFit="1" customWidth="1"/>
    <col min="2620" max="2620" width="16.140625" bestFit="1" customWidth="1"/>
    <col min="2621" max="2622" width="11.28515625" bestFit="1" customWidth="1"/>
    <col min="2623" max="2623" width="13.28515625" bestFit="1" customWidth="1"/>
    <col min="2624" max="2624" width="7.7109375" bestFit="1" customWidth="1"/>
    <col min="2625" max="2628" width="9.140625" hidden="1" customWidth="1"/>
    <col min="2629" max="2629" width="10.42578125" bestFit="1" customWidth="1"/>
    <col min="2630" max="2630" width="10.5703125" bestFit="1" customWidth="1"/>
    <col min="2631" max="2631" width="10.42578125" bestFit="1" customWidth="1"/>
    <col min="2632" max="2632" width="10.5703125" bestFit="1" customWidth="1"/>
    <col min="2633" max="2633" width="9.5703125" bestFit="1" customWidth="1"/>
    <col min="2634" max="2634" width="11.5703125" bestFit="1" customWidth="1"/>
    <col min="2635" max="2635" width="10.42578125" bestFit="1" customWidth="1"/>
    <col min="2636" max="2636" width="10.85546875" customWidth="1"/>
    <col min="2637" max="2638" width="9.85546875" bestFit="1" customWidth="1"/>
    <col min="2639" max="2639" width="13.5703125" bestFit="1" customWidth="1"/>
    <col min="2640" max="2640" width="7.7109375" bestFit="1" customWidth="1"/>
    <col min="2641" max="2641" width="13.28515625" bestFit="1" customWidth="1"/>
    <col min="2642" max="2642" width="11.5703125" bestFit="1" customWidth="1"/>
    <col min="2643" max="2643" width="10.42578125" bestFit="1" customWidth="1"/>
    <col min="2644" max="2644" width="7.7109375" bestFit="1" customWidth="1"/>
    <col min="2645" max="2645" width="11.5703125" bestFit="1" customWidth="1"/>
    <col min="2646" max="2646" width="10.85546875" bestFit="1" customWidth="1"/>
    <col min="2647" max="2647" width="13.28515625" bestFit="1" customWidth="1"/>
    <col min="2648" max="2648" width="10.85546875" bestFit="1" customWidth="1"/>
    <col min="2649" max="2650" width="7.5703125" bestFit="1" customWidth="1"/>
    <col min="2651" max="2652" width="10.42578125" bestFit="1" customWidth="1"/>
    <col min="2653" max="2653" width="11.5703125" bestFit="1" customWidth="1"/>
    <col min="2654" max="2654" width="5.28515625" bestFit="1" customWidth="1"/>
    <col min="2655" max="2655" width="10.28515625" bestFit="1" customWidth="1"/>
    <col min="2656" max="2656" width="10.42578125" bestFit="1" customWidth="1"/>
    <col min="2657" max="2657" width="11.5703125" bestFit="1" customWidth="1"/>
    <col min="2658" max="2658" width="5.28515625" bestFit="1" customWidth="1"/>
    <col min="2659" max="2661" width="11.5703125" bestFit="1" customWidth="1"/>
    <col min="2662" max="2662" width="5.28515625" bestFit="1" customWidth="1"/>
    <col min="2663" max="2664" width="10.42578125" bestFit="1" customWidth="1"/>
    <col min="2665" max="2665" width="11.5703125" bestFit="1" customWidth="1"/>
    <col min="2666" max="2666" width="5.28515625" bestFit="1" customWidth="1"/>
    <col min="2667" max="2667" width="14.28515625" bestFit="1" customWidth="1"/>
    <col min="2668" max="2668" width="13" bestFit="1" customWidth="1"/>
    <col min="2669" max="2669" width="11.5703125" bestFit="1" customWidth="1"/>
    <col min="2670" max="2670" width="8.85546875" bestFit="1" customWidth="1"/>
    <col min="2671" max="2671" width="14.42578125" bestFit="1" customWidth="1"/>
    <col min="2672" max="2672" width="10.42578125" bestFit="1" customWidth="1"/>
    <col min="2673" max="2673" width="12.28515625" bestFit="1" customWidth="1"/>
    <col min="2674" max="2674" width="13.85546875" bestFit="1" customWidth="1"/>
    <col min="2675" max="2675" width="11.28515625" customWidth="1"/>
    <col min="2676" max="2676" width="11.5703125" customWidth="1"/>
    <col min="2677" max="2677" width="13.42578125" bestFit="1" customWidth="1"/>
    <col min="2678" max="2678" width="10.42578125" customWidth="1"/>
    <col min="2679" max="2679" width="13.85546875" bestFit="1" customWidth="1"/>
    <col min="2680" max="2680" width="15.42578125" bestFit="1" customWidth="1"/>
    <col min="2681" max="2681" width="12.28515625" bestFit="1" customWidth="1"/>
    <col min="2682" max="2682" width="12.7109375" customWidth="1"/>
    <col min="2683" max="2683" width="10.7109375" bestFit="1" customWidth="1"/>
    <col min="2684" max="2684" width="9.85546875" customWidth="1"/>
    <col min="2685" max="2686" width="10.140625" bestFit="1" customWidth="1"/>
    <col min="2687" max="2687" width="7.5703125" bestFit="1" customWidth="1"/>
    <col min="2688" max="2688" width="9.42578125" bestFit="1" customWidth="1"/>
    <col min="2689" max="2689" width="14.5703125" bestFit="1" customWidth="1"/>
    <col min="2690" max="2690" width="14.85546875" customWidth="1"/>
    <col min="2691" max="2691" width="15.140625" bestFit="1" customWidth="1"/>
    <col min="2692" max="2692" width="12.140625" bestFit="1" customWidth="1"/>
    <col min="2693" max="2693" width="14.85546875" bestFit="1" customWidth="1"/>
    <col min="2694" max="2694" width="12.28515625" bestFit="1" customWidth="1"/>
    <col min="2695" max="2703" width="9.140625" hidden="1" customWidth="1"/>
    <col min="2704" max="2704" width="5.28515625" bestFit="1" customWidth="1"/>
    <col min="2705" max="2710" width="11.5703125" bestFit="1" customWidth="1"/>
    <col min="2711" max="2711" width="11.28515625" bestFit="1" customWidth="1"/>
    <col min="2712" max="2712" width="10.140625" bestFit="1" customWidth="1"/>
    <col min="2713" max="2713" width="11.5703125" bestFit="1" customWidth="1"/>
    <col min="2714" max="2714" width="16.140625" customWidth="1"/>
    <col min="2715" max="2715" width="13.42578125" customWidth="1"/>
    <col min="2716" max="2716" width="10.140625" bestFit="1" customWidth="1"/>
    <col min="2717" max="2717" width="12.85546875" bestFit="1" customWidth="1"/>
    <col min="2718" max="2718" width="12.28515625" bestFit="1" customWidth="1"/>
    <col min="2719" max="2719" width="11.28515625" bestFit="1" customWidth="1"/>
    <col min="2720" max="2720" width="11.5703125" bestFit="1" customWidth="1"/>
    <col min="2721" max="2721" width="10.85546875" bestFit="1" customWidth="1"/>
    <col min="2722" max="2722" width="11.28515625" bestFit="1" customWidth="1"/>
    <col min="2723" max="2723" width="10.140625" bestFit="1" customWidth="1"/>
    <col min="2724" max="2724" width="13.28515625" bestFit="1" customWidth="1"/>
    <col min="2725" max="2726" width="12.7109375" bestFit="1" customWidth="1"/>
    <col min="2727" max="2727" width="11" bestFit="1" customWidth="1"/>
    <col min="2728" max="2728" width="11.28515625" bestFit="1" customWidth="1"/>
    <col min="2729" max="2729" width="11.5703125" bestFit="1" customWidth="1"/>
    <col min="2730" max="2730" width="12.28515625" bestFit="1" customWidth="1"/>
    <col min="2731" max="2731" width="15.140625" bestFit="1" customWidth="1"/>
    <col min="2732" max="2732" width="14.42578125" bestFit="1" customWidth="1"/>
    <col min="2733" max="2733" width="12.28515625" bestFit="1" customWidth="1"/>
    <col min="2734" max="2734" width="15.140625" bestFit="1" customWidth="1"/>
    <col min="2735" max="2735" width="14.42578125" bestFit="1" customWidth="1"/>
    <col min="2736" max="2736" width="12.28515625" bestFit="1" customWidth="1"/>
    <col min="2737" max="2737" width="14.42578125" bestFit="1" customWidth="1"/>
    <col min="2738" max="2738" width="11.28515625" bestFit="1" customWidth="1"/>
    <col min="2739" max="2739" width="12.28515625" bestFit="1" customWidth="1"/>
    <col min="2740" max="2740" width="13" bestFit="1" customWidth="1"/>
    <col min="2741" max="2741" width="15.140625" bestFit="1" customWidth="1"/>
    <col min="2742" max="2742" width="12.28515625" bestFit="1" customWidth="1"/>
    <col min="2743" max="2743" width="13.85546875" bestFit="1" customWidth="1"/>
    <col min="2744" max="2744" width="11.28515625" bestFit="1" customWidth="1"/>
    <col min="2745" max="2745" width="12.28515625" bestFit="1" customWidth="1"/>
    <col min="2746" max="2746" width="13.85546875" bestFit="1" customWidth="1"/>
    <col min="2747" max="2748" width="15.140625" bestFit="1" customWidth="1"/>
    <col min="2749" max="2749" width="12.28515625" bestFit="1" customWidth="1"/>
    <col min="2750" max="2750" width="5.7109375" bestFit="1" customWidth="1"/>
    <col min="2751" max="2751" width="8.5703125" bestFit="1" customWidth="1"/>
    <col min="2752" max="2752" width="5.5703125" bestFit="1" customWidth="1"/>
    <col min="2753" max="2753" width="14.42578125" bestFit="1" customWidth="1"/>
    <col min="2754" max="2754" width="11.28515625" bestFit="1" customWidth="1"/>
    <col min="2755" max="2756" width="12.28515625" bestFit="1" customWidth="1"/>
    <col min="2757" max="2757" width="11.28515625" bestFit="1" customWidth="1"/>
    <col min="2758" max="2758" width="13.85546875" bestFit="1" customWidth="1"/>
    <col min="2759" max="2759" width="12" bestFit="1" customWidth="1"/>
    <col min="2760" max="2760" width="13.85546875" bestFit="1" customWidth="1"/>
    <col min="2761" max="2762" width="14.42578125" customWidth="1"/>
    <col min="2763" max="2763" width="10.140625" bestFit="1" customWidth="1"/>
    <col min="2764" max="2764" width="12.28515625" bestFit="1" customWidth="1"/>
    <col min="2765" max="2765" width="7.42578125" bestFit="1" customWidth="1"/>
    <col min="2766" max="2766" width="8.5703125" bestFit="1" customWidth="1"/>
    <col min="2767" max="2767" width="11.5703125" bestFit="1" customWidth="1"/>
    <col min="2768" max="2768" width="13.28515625" bestFit="1" customWidth="1"/>
    <col min="2769" max="2769" width="13.28515625" customWidth="1"/>
    <col min="2770" max="2770" width="13.140625" customWidth="1"/>
    <col min="2771" max="2771" width="12.7109375" bestFit="1" customWidth="1"/>
    <col min="2772" max="2772" width="13.28515625" bestFit="1" customWidth="1"/>
    <col min="2773" max="2775" width="13.28515625" customWidth="1"/>
    <col min="2776" max="2776" width="12.140625" bestFit="1" customWidth="1"/>
    <col min="2777" max="2777" width="12.7109375" bestFit="1" customWidth="1"/>
    <col min="2778" max="2778" width="11" customWidth="1"/>
    <col min="2779" max="2779" width="16.7109375" customWidth="1"/>
    <col min="2780" max="2780" width="17" customWidth="1"/>
    <col min="2781" max="2781" width="10.42578125" bestFit="1" customWidth="1"/>
    <col min="2825" max="2825" width="3.85546875" customWidth="1"/>
    <col min="2826" max="2826" width="15.28515625" bestFit="1" customWidth="1"/>
    <col min="2827" max="2827" width="12.28515625" customWidth="1"/>
    <col min="2828" max="2828" width="16.28515625" bestFit="1" customWidth="1"/>
    <col min="2829" max="2829" width="6.42578125" bestFit="1" customWidth="1"/>
    <col min="2830" max="2830" width="9.28515625" bestFit="1" customWidth="1"/>
    <col min="2831" max="2831" width="7.5703125" bestFit="1" customWidth="1"/>
    <col min="2832" max="2832" width="13.28515625" bestFit="1" customWidth="1"/>
    <col min="2833" max="2833" width="9.28515625" bestFit="1" customWidth="1"/>
    <col min="2834" max="2834" width="11.5703125" bestFit="1" customWidth="1"/>
    <col min="2835" max="2835" width="13.28515625" bestFit="1" customWidth="1"/>
    <col min="2836" max="2836" width="7.140625" bestFit="1" customWidth="1"/>
    <col min="2837" max="2837" width="12" bestFit="1" customWidth="1"/>
    <col min="2838" max="2838" width="13.28515625" bestFit="1" customWidth="1"/>
    <col min="2839" max="2839" width="7" bestFit="1" customWidth="1"/>
    <col min="2840" max="2840" width="12.7109375" bestFit="1" customWidth="1"/>
    <col min="2841" max="2841" width="11.5703125" bestFit="1" customWidth="1"/>
    <col min="2842" max="2842" width="10.5703125" bestFit="1" customWidth="1"/>
    <col min="2843" max="2844" width="15.7109375" bestFit="1" customWidth="1"/>
    <col min="2845" max="2845" width="11.5703125" bestFit="1" customWidth="1"/>
    <col min="2846" max="2846" width="7.7109375" bestFit="1" customWidth="1"/>
    <col min="2847" max="2847" width="15.140625" bestFit="1" customWidth="1"/>
    <col min="2848" max="2848" width="11.5703125" bestFit="1" customWidth="1"/>
    <col min="2849" max="2849" width="13.28515625" bestFit="1" customWidth="1"/>
    <col min="2850" max="2850" width="10.42578125" bestFit="1" customWidth="1"/>
    <col min="2851" max="2851" width="13.28515625" bestFit="1" customWidth="1"/>
    <col min="2852" max="2852" width="12.140625" bestFit="1" customWidth="1"/>
    <col min="2853" max="2853" width="14.42578125" bestFit="1" customWidth="1"/>
    <col min="2854" max="2854" width="13.28515625" bestFit="1" customWidth="1"/>
    <col min="2855" max="2855" width="11.5703125" bestFit="1" customWidth="1"/>
    <col min="2856" max="2856" width="7.7109375" bestFit="1" customWidth="1"/>
    <col min="2857" max="2858" width="14.42578125" bestFit="1" customWidth="1"/>
    <col min="2859" max="2859" width="11.5703125" bestFit="1" customWidth="1"/>
    <col min="2860" max="2860" width="7.7109375" bestFit="1" customWidth="1"/>
    <col min="2861" max="2861" width="13.5703125" customWidth="1"/>
    <col min="2862" max="2862" width="15.28515625" customWidth="1"/>
    <col min="2863" max="2863" width="14.5703125" customWidth="1"/>
    <col min="2864" max="2864" width="13.28515625" bestFit="1" customWidth="1"/>
    <col min="2865" max="2865" width="7.7109375" bestFit="1" customWidth="1"/>
    <col min="2866" max="2866" width="12.7109375" bestFit="1" customWidth="1"/>
    <col min="2867" max="2867" width="11.7109375" bestFit="1" customWidth="1"/>
    <col min="2868" max="2868" width="11.5703125" bestFit="1" customWidth="1"/>
    <col min="2869" max="2869" width="5.28515625" bestFit="1" customWidth="1"/>
    <col min="2870" max="2870" width="13.28515625" bestFit="1" customWidth="1"/>
    <col min="2871" max="2871" width="13.5703125" bestFit="1" customWidth="1"/>
    <col min="2872" max="2872" width="10.5703125" bestFit="1" customWidth="1"/>
    <col min="2873" max="2873" width="13.28515625" bestFit="1" customWidth="1"/>
    <col min="2874" max="2874" width="11.5703125" bestFit="1" customWidth="1"/>
    <col min="2875" max="2875" width="10.5703125" bestFit="1" customWidth="1"/>
    <col min="2876" max="2876" width="16.140625" bestFit="1" customWidth="1"/>
    <col min="2877" max="2878" width="11.28515625" bestFit="1" customWidth="1"/>
    <col min="2879" max="2879" width="13.28515625" bestFit="1" customWidth="1"/>
    <col min="2880" max="2880" width="7.7109375" bestFit="1" customWidth="1"/>
    <col min="2881" max="2884" width="9.140625" hidden="1" customWidth="1"/>
    <col min="2885" max="2885" width="10.42578125" bestFit="1" customWidth="1"/>
    <col min="2886" max="2886" width="10.5703125" bestFit="1" customWidth="1"/>
    <col min="2887" max="2887" width="10.42578125" bestFit="1" customWidth="1"/>
    <col min="2888" max="2888" width="10.5703125" bestFit="1" customWidth="1"/>
    <col min="2889" max="2889" width="9.5703125" bestFit="1" customWidth="1"/>
    <col min="2890" max="2890" width="11.5703125" bestFit="1" customWidth="1"/>
    <col min="2891" max="2891" width="10.42578125" bestFit="1" customWidth="1"/>
    <col min="2892" max="2892" width="10.85546875" customWidth="1"/>
    <col min="2893" max="2894" width="9.85546875" bestFit="1" customWidth="1"/>
    <col min="2895" max="2895" width="13.5703125" bestFit="1" customWidth="1"/>
    <col min="2896" max="2896" width="7.7109375" bestFit="1" customWidth="1"/>
    <col min="2897" max="2897" width="13.28515625" bestFit="1" customWidth="1"/>
    <col min="2898" max="2898" width="11.5703125" bestFit="1" customWidth="1"/>
    <col min="2899" max="2899" width="10.42578125" bestFit="1" customWidth="1"/>
    <col min="2900" max="2900" width="7.7109375" bestFit="1" customWidth="1"/>
    <col min="2901" max="2901" width="11.5703125" bestFit="1" customWidth="1"/>
    <col min="2902" max="2902" width="10.85546875" bestFit="1" customWidth="1"/>
    <col min="2903" max="2903" width="13.28515625" bestFit="1" customWidth="1"/>
    <col min="2904" max="2904" width="10.85546875" bestFit="1" customWidth="1"/>
    <col min="2905" max="2906" width="7.5703125" bestFit="1" customWidth="1"/>
    <col min="2907" max="2908" width="10.42578125" bestFit="1" customWidth="1"/>
    <col min="2909" max="2909" width="11.5703125" bestFit="1" customWidth="1"/>
    <col min="2910" max="2910" width="5.28515625" bestFit="1" customWidth="1"/>
    <col min="2911" max="2911" width="10.28515625" bestFit="1" customWidth="1"/>
    <col min="2912" max="2912" width="10.42578125" bestFit="1" customWidth="1"/>
    <col min="2913" max="2913" width="11.5703125" bestFit="1" customWidth="1"/>
    <col min="2914" max="2914" width="5.28515625" bestFit="1" customWidth="1"/>
    <col min="2915" max="2917" width="11.5703125" bestFit="1" customWidth="1"/>
    <col min="2918" max="2918" width="5.28515625" bestFit="1" customWidth="1"/>
    <col min="2919" max="2920" width="10.42578125" bestFit="1" customWidth="1"/>
    <col min="2921" max="2921" width="11.5703125" bestFit="1" customWidth="1"/>
    <col min="2922" max="2922" width="5.28515625" bestFit="1" customWidth="1"/>
    <col min="2923" max="2923" width="14.28515625" bestFit="1" customWidth="1"/>
    <col min="2924" max="2924" width="13" bestFit="1" customWidth="1"/>
    <col min="2925" max="2925" width="11.5703125" bestFit="1" customWidth="1"/>
    <col min="2926" max="2926" width="8.85546875" bestFit="1" customWidth="1"/>
    <col min="2927" max="2927" width="14.42578125" bestFit="1" customWidth="1"/>
    <col min="2928" max="2928" width="10.42578125" bestFit="1" customWidth="1"/>
    <col min="2929" max="2929" width="12.28515625" bestFit="1" customWidth="1"/>
    <col min="2930" max="2930" width="13.85546875" bestFit="1" customWidth="1"/>
    <col min="2931" max="2931" width="11.28515625" customWidth="1"/>
    <col min="2932" max="2932" width="11.5703125" customWidth="1"/>
    <col min="2933" max="2933" width="13.42578125" bestFit="1" customWidth="1"/>
    <col min="2934" max="2934" width="10.42578125" customWidth="1"/>
    <col min="2935" max="2935" width="13.85546875" bestFit="1" customWidth="1"/>
    <col min="2936" max="2936" width="15.42578125" bestFit="1" customWidth="1"/>
    <col min="2937" max="2937" width="12.28515625" bestFit="1" customWidth="1"/>
    <col min="2938" max="2938" width="12.7109375" customWidth="1"/>
    <col min="2939" max="2939" width="10.7109375" bestFit="1" customWidth="1"/>
    <col min="2940" max="2940" width="9.85546875" customWidth="1"/>
    <col min="2941" max="2942" width="10.140625" bestFit="1" customWidth="1"/>
    <col min="2943" max="2943" width="7.5703125" bestFit="1" customWidth="1"/>
    <col min="2944" max="2944" width="9.42578125" bestFit="1" customWidth="1"/>
    <col min="2945" max="2945" width="14.5703125" bestFit="1" customWidth="1"/>
    <col min="2946" max="2946" width="14.85546875" customWidth="1"/>
    <col min="2947" max="2947" width="15.140625" bestFit="1" customWidth="1"/>
    <col min="2948" max="2948" width="12.140625" bestFit="1" customWidth="1"/>
    <col min="2949" max="2949" width="14.85546875" bestFit="1" customWidth="1"/>
    <col min="2950" max="2950" width="12.28515625" bestFit="1" customWidth="1"/>
    <col min="2951" max="2959" width="9.140625" hidden="1" customWidth="1"/>
    <col min="2960" max="2960" width="5.28515625" bestFit="1" customWidth="1"/>
    <col min="2961" max="2966" width="11.5703125" bestFit="1" customWidth="1"/>
    <col min="2967" max="2967" width="11.28515625" bestFit="1" customWidth="1"/>
    <col min="2968" max="2968" width="10.140625" bestFit="1" customWidth="1"/>
    <col min="2969" max="2969" width="11.5703125" bestFit="1" customWidth="1"/>
    <col min="2970" max="2970" width="16.140625" customWidth="1"/>
    <col min="2971" max="2971" width="13.42578125" customWidth="1"/>
    <col min="2972" max="2972" width="10.140625" bestFit="1" customWidth="1"/>
    <col min="2973" max="2973" width="12.85546875" bestFit="1" customWidth="1"/>
    <col min="2974" max="2974" width="12.28515625" bestFit="1" customWidth="1"/>
    <col min="2975" max="2975" width="11.28515625" bestFit="1" customWidth="1"/>
    <col min="2976" max="2976" width="11.5703125" bestFit="1" customWidth="1"/>
    <col min="2977" max="2977" width="10.85546875" bestFit="1" customWidth="1"/>
    <col min="2978" max="2978" width="11.28515625" bestFit="1" customWidth="1"/>
    <col min="2979" max="2979" width="10.140625" bestFit="1" customWidth="1"/>
    <col min="2980" max="2980" width="13.28515625" bestFit="1" customWidth="1"/>
    <col min="2981" max="2982" width="12.7109375" bestFit="1" customWidth="1"/>
    <col min="2983" max="2983" width="11" bestFit="1" customWidth="1"/>
    <col min="2984" max="2984" width="11.28515625" bestFit="1" customWidth="1"/>
    <col min="2985" max="2985" width="11.5703125" bestFit="1" customWidth="1"/>
    <col min="2986" max="2986" width="12.28515625" bestFit="1" customWidth="1"/>
    <col min="2987" max="2987" width="15.140625" bestFit="1" customWidth="1"/>
    <col min="2988" max="2988" width="14.42578125" bestFit="1" customWidth="1"/>
    <col min="2989" max="2989" width="12.28515625" bestFit="1" customWidth="1"/>
    <col min="2990" max="2990" width="15.140625" bestFit="1" customWidth="1"/>
    <col min="2991" max="2991" width="14.42578125" bestFit="1" customWidth="1"/>
    <col min="2992" max="2992" width="12.28515625" bestFit="1" customWidth="1"/>
    <col min="2993" max="2993" width="14.42578125" bestFit="1" customWidth="1"/>
    <col min="2994" max="2994" width="11.28515625" bestFit="1" customWidth="1"/>
    <col min="2995" max="2995" width="12.28515625" bestFit="1" customWidth="1"/>
    <col min="2996" max="2996" width="13" bestFit="1" customWidth="1"/>
    <col min="2997" max="2997" width="15.140625" bestFit="1" customWidth="1"/>
    <col min="2998" max="2998" width="12.28515625" bestFit="1" customWidth="1"/>
    <col min="2999" max="2999" width="13.85546875" bestFit="1" customWidth="1"/>
    <col min="3000" max="3000" width="11.28515625" bestFit="1" customWidth="1"/>
    <col min="3001" max="3001" width="12.28515625" bestFit="1" customWidth="1"/>
    <col min="3002" max="3002" width="13.85546875" bestFit="1" customWidth="1"/>
    <col min="3003" max="3004" width="15.140625" bestFit="1" customWidth="1"/>
    <col min="3005" max="3005" width="12.28515625" bestFit="1" customWidth="1"/>
    <col min="3006" max="3006" width="5.7109375" bestFit="1" customWidth="1"/>
    <col min="3007" max="3007" width="8.5703125" bestFit="1" customWidth="1"/>
    <col min="3008" max="3008" width="5.5703125" bestFit="1" customWidth="1"/>
    <col min="3009" max="3009" width="14.42578125" bestFit="1" customWidth="1"/>
    <col min="3010" max="3010" width="11.28515625" bestFit="1" customWidth="1"/>
    <col min="3011" max="3012" width="12.28515625" bestFit="1" customWidth="1"/>
    <col min="3013" max="3013" width="11.28515625" bestFit="1" customWidth="1"/>
    <col min="3014" max="3014" width="13.85546875" bestFit="1" customWidth="1"/>
    <col min="3015" max="3015" width="12" bestFit="1" customWidth="1"/>
    <col min="3016" max="3016" width="13.85546875" bestFit="1" customWidth="1"/>
    <col min="3017" max="3018" width="14.42578125" customWidth="1"/>
    <col min="3019" max="3019" width="10.140625" bestFit="1" customWidth="1"/>
    <col min="3020" max="3020" width="12.28515625" bestFit="1" customWidth="1"/>
    <col min="3021" max="3021" width="7.42578125" bestFit="1" customWidth="1"/>
    <col min="3022" max="3022" width="8.5703125" bestFit="1" customWidth="1"/>
    <col min="3023" max="3023" width="11.5703125" bestFit="1" customWidth="1"/>
    <col min="3024" max="3024" width="13.28515625" bestFit="1" customWidth="1"/>
    <col min="3025" max="3025" width="13.28515625" customWidth="1"/>
    <col min="3026" max="3026" width="13.140625" customWidth="1"/>
    <col min="3027" max="3027" width="12.7109375" bestFit="1" customWidth="1"/>
    <col min="3028" max="3028" width="13.28515625" bestFit="1" customWidth="1"/>
    <col min="3029" max="3031" width="13.28515625" customWidth="1"/>
    <col min="3032" max="3032" width="12.140625" bestFit="1" customWidth="1"/>
    <col min="3033" max="3033" width="12.7109375" bestFit="1" customWidth="1"/>
    <col min="3034" max="3034" width="11" customWidth="1"/>
    <col min="3035" max="3035" width="16.7109375" customWidth="1"/>
    <col min="3036" max="3036" width="17" customWidth="1"/>
    <col min="3037" max="3037" width="10.42578125" bestFit="1" customWidth="1"/>
    <col min="3081" max="3081" width="3.85546875" customWidth="1"/>
    <col min="3082" max="3082" width="15.28515625" bestFit="1" customWidth="1"/>
    <col min="3083" max="3083" width="12.28515625" customWidth="1"/>
    <col min="3084" max="3084" width="16.28515625" bestFit="1" customWidth="1"/>
    <col min="3085" max="3085" width="6.42578125" bestFit="1" customWidth="1"/>
    <col min="3086" max="3086" width="9.28515625" bestFit="1" customWidth="1"/>
    <col min="3087" max="3087" width="7.5703125" bestFit="1" customWidth="1"/>
    <col min="3088" max="3088" width="13.28515625" bestFit="1" customWidth="1"/>
    <col min="3089" max="3089" width="9.28515625" bestFit="1" customWidth="1"/>
    <col min="3090" max="3090" width="11.5703125" bestFit="1" customWidth="1"/>
    <col min="3091" max="3091" width="13.28515625" bestFit="1" customWidth="1"/>
    <col min="3092" max="3092" width="7.140625" bestFit="1" customWidth="1"/>
    <col min="3093" max="3093" width="12" bestFit="1" customWidth="1"/>
    <col min="3094" max="3094" width="13.28515625" bestFit="1" customWidth="1"/>
    <col min="3095" max="3095" width="7" bestFit="1" customWidth="1"/>
    <col min="3096" max="3096" width="12.7109375" bestFit="1" customWidth="1"/>
    <col min="3097" max="3097" width="11.5703125" bestFit="1" customWidth="1"/>
    <col min="3098" max="3098" width="10.5703125" bestFit="1" customWidth="1"/>
    <col min="3099" max="3100" width="15.7109375" bestFit="1" customWidth="1"/>
    <col min="3101" max="3101" width="11.5703125" bestFit="1" customWidth="1"/>
    <col min="3102" max="3102" width="7.7109375" bestFit="1" customWidth="1"/>
    <col min="3103" max="3103" width="15.140625" bestFit="1" customWidth="1"/>
    <col min="3104" max="3104" width="11.5703125" bestFit="1" customWidth="1"/>
    <col min="3105" max="3105" width="13.28515625" bestFit="1" customWidth="1"/>
    <col min="3106" max="3106" width="10.42578125" bestFit="1" customWidth="1"/>
    <col min="3107" max="3107" width="13.28515625" bestFit="1" customWidth="1"/>
    <col min="3108" max="3108" width="12.140625" bestFit="1" customWidth="1"/>
    <col min="3109" max="3109" width="14.42578125" bestFit="1" customWidth="1"/>
    <col min="3110" max="3110" width="13.28515625" bestFit="1" customWidth="1"/>
    <col min="3111" max="3111" width="11.5703125" bestFit="1" customWidth="1"/>
    <col min="3112" max="3112" width="7.7109375" bestFit="1" customWidth="1"/>
    <col min="3113" max="3114" width="14.42578125" bestFit="1" customWidth="1"/>
    <col min="3115" max="3115" width="11.5703125" bestFit="1" customWidth="1"/>
    <col min="3116" max="3116" width="7.7109375" bestFit="1" customWidth="1"/>
    <col min="3117" max="3117" width="13.5703125" customWidth="1"/>
    <col min="3118" max="3118" width="15.28515625" customWidth="1"/>
    <col min="3119" max="3119" width="14.5703125" customWidth="1"/>
    <col min="3120" max="3120" width="13.28515625" bestFit="1" customWidth="1"/>
    <col min="3121" max="3121" width="7.7109375" bestFit="1" customWidth="1"/>
    <col min="3122" max="3122" width="12.7109375" bestFit="1" customWidth="1"/>
    <col min="3123" max="3123" width="11.7109375" bestFit="1" customWidth="1"/>
    <col min="3124" max="3124" width="11.5703125" bestFit="1" customWidth="1"/>
    <col min="3125" max="3125" width="5.28515625" bestFit="1" customWidth="1"/>
    <col min="3126" max="3126" width="13.28515625" bestFit="1" customWidth="1"/>
    <col min="3127" max="3127" width="13.5703125" bestFit="1" customWidth="1"/>
    <col min="3128" max="3128" width="10.5703125" bestFit="1" customWidth="1"/>
    <col min="3129" max="3129" width="13.28515625" bestFit="1" customWidth="1"/>
    <col min="3130" max="3130" width="11.5703125" bestFit="1" customWidth="1"/>
    <col min="3131" max="3131" width="10.5703125" bestFit="1" customWidth="1"/>
    <col min="3132" max="3132" width="16.140625" bestFit="1" customWidth="1"/>
    <col min="3133" max="3134" width="11.28515625" bestFit="1" customWidth="1"/>
    <col min="3135" max="3135" width="13.28515625" bestFit="1" customWidth="1"/>
    <col min="3136" max="3136" width="7.7109375" bestFit="1" customWidth="1"/>
    <col min="3137" max="3140" width="9.140625" hidden="1" customWidth="1"/>
    <col min="3141" max="3141" width="10.42578125" bestFit="1" customWidth="1"/>
    <col min="3142" max="3142" width="10.5703125" bestFit="1" customWidth="1"/>
    <col min="3143" max="3143" width="10.42578125" bestFit="1" customWidth="1"/>
    <col min="3144" max="3144" width="10.5703125" bestFit="1" customWidth="1"/>
    <col min="3145" max="3145" width="9.5703125" bestFit="1" customWidth="1"/>
    <col min="3146" max="3146" width="11.5703125" bestFit="1" customWidth="1"/>
    <col min="3147" max="3147" width="10.42578125" bestFit="1" customWidth="1"/>
    <col min="3148" max="3148" width="10.85546875" customWidth="1"/>
    <col min="3149" max="3150" width="9.85546875" bestFit="1" customWidth="1"/>
    <col min="3151" max="3151" width="13.5703125" bestFit="1" customWidth="1"/>
    <col min="3152" max="3152" width="7.7109375" bestFit="1" customWidth="1"/>
    <col min="3153" max="3153" width="13.28515625" bestFit="1" customWidth="1"/>
    <col min="3154" max="3154" width="11.5703125" bestFit="1" customWidth="1"/>
    <col min="3155" max="3155" width="10.42578125" bestFit="1" customWidth="1"/>
    <col min="3156" max="3156" width="7.7109375" bestFit="1" customWidth="1"/>
    <col min="3157" max="3157" width="11.5703125" bestFit="1" customWidth="1"/>
    <col min="3158" max="3158" width="10.85546875" bestFit="1" customWidth="1"/>
    <col min="3159" max="3159" width="13.28515625" bestFit="1" customWidth="1"/>
    <col min="3160" max="3160" width="10.85546875" bestFit="1" customWidth="1"/>
    <col min="3161" max="3162" width="7.5703125" bestFit="1" customWidth="1"/>
    <col min="3163" max="3164" width="10.42578125" bestFit="1" customWidth="1"/>
    <col min="3165" max="3165" width="11.5703125" bestFit="1" customWidth="1"/>
    <col min="3166" max="3166" width="5.28515625" bestFit="1" customWidth="1"/>
    <col min="3167" max="3167" width="10.28515625" bestFit="1" customWidth="1"/>
    <col min="3168" max="3168" width="10.42578125" bestFit="1" customWidth="1"/>
    <col min="3169" max="3169" width="11.5703125" bestFit="1" customWidth="1"/>
    <col min="3170" max="3170" width="5.28515625" bestFit="1" customWidth="1"/>
    <col min="3171" max="3173" width="11.5703125" bestFit="1" customWidth="1"/>
    <col min="3174" max="3174" width="5.28515625" bestFit="1" customWidth="1"/>
    <col min="3175" max="3176" width="10.42578125" bestFit="1" customWidth="1"/>
    <col min="3177" max="3177" width="11.5703125" bestFit="1" customWidth="1"/>
    <col min="3178" max="3178" width="5.28515625" bestFit="1" customWidth="1"/>
    <col min="3179" max="3179" width="14.28515625" bestFit="1" customWidth="1"/>
    <col min="3180" max="3180" width="13" bestFit="1" customWidth="1"/>
    <col min="3181" max="3181" width="11.5703125" bestFit="1" customWidth="1"/>
    <col min="3182" max="3182" width="8.85546875" bestFit="1" customWidth="1"/>
    <col min="3183" max="3183" width="14.42578125" bestFit="1" customWidth="1"/>
    <col min="3184" max="3184" width="10.42578125" bestFit="1" customWidth="1"/>
    <col min="3185" max="3185" width="12.28515625" bestFit="1" customWidth="1"/>
    <col min="3186" max="3186" width="13.85546875" bestFit="1" customWidth="1"/>
    <col min="3187" max="3187" width="11.28515625" customWidth="1"/>
    <col min="3188" max="3188" width="11.5703125" customWidth="1"/>
    <col min="3189" max="3189" width="13.42578125" bestFit="1" customWidth="1"/>
    <col min="3190" max="3190" width="10.42578125" customWidth="1"/>
    <col min="3191" max="3191" width="13.85546875" bestFit="1" customWidth="1"/>
    <col min="3192" max="3192" width="15.42578125" bestFit="1" customWidth="1"/>
    <col min="3193" max="3193" width="12.28515625" bestFit="1" customWidth="1"/>
    <col min="3194" max="3194" width="12.7109375" customWidth="1"/>
    <col min="3195" max="3195" width="10.7109375" bestFit="1" customWidth="1"/>
    <col min="3196" max="3196" width="9.85546875" customWidth="1"/>
    <col min="3197" max="3198" width="10.140625" bestFit="1" customWidth="1"/>
    <col min="3199" max="3199" width="7.5703125" bestFit="1" customWidth="1"/>
    <col min="3200" max="3200" width="9.42578125" bestFit="1" customWidth="1"/>
    <col min="3201" max="3201" width="14.5703125" bestFit="1" customWidth="1"/>
    <col min="3202" max="3202" width="14.85546875" customWidth="1"/>
    <col min="3203" max="3203" width="15.140625" bestFit="1" customWidth="1"/>
    <col min="3204" max="3204" width="12.140625" bestFit="1" customWidth="1"/>
    <col min="3205" max="3205" width="14.85546875" bestFit="1" customWidth="1"/>
    <col min="3206" max="3206" width="12.28515625" bestFit="1" customWidth="1"/>
    <col min="3207" max="3215" width="9.140625" hidden="1" customWidth="1"/>
    <col min="3216" max="3216" width="5.28515625" bestFit="1" customWidth="1"/>
    <col min="3217" max="3222" width="11.5703125" bestFit="1" customWidth="1"/>
    <col min="3223" max="3223" width="11.28515625" bestFit="1" customWidth="1"/>
    <col min="3224" max="3224" width="10.140625" bestFit="1" customWidth="1"/>
    <col min="3225" max="3225" width="11.5703125" bestFit="1" customWidth="1"/>
    <col min="3226" max="3226" width="16.140625" customWidth="1"/>
    <col min="3227" max="3227" width="13.42578125" customWidth="1"/>
    <col min="3228" max="3228" width="10.140625" bestFit="1" customWidth="1"/>
    <col min="3229" max="3229" width="12.85546875" bestFit="1" customWidth="1"/>
    <col min="3230" max="3230" width="12.28515625" bestFit="1" customWidth="1"/>
    <col min="3231" max="3231" width="11.28515625" bestFit="1" customWidth="1"/>
    <col min="3232" max="3232" width="11.5703125" bestFit="1" customWidth="1"/>
    <col min="3233" max="3233" width="10.85546875" bestFit="1" customWidth="1"/>
    <col min="3234" max="3234" width="11.28515625" bestFit="1" customWidth="1"/>
    <col min="3235" max="3235" width="10.140625" bestFit="1" customWidth="1"/>
    <col min="3236" max="3236" width="13.28515625" bestFit="1" customWidth="1"/>
    <col min="3237" max="3238" width="12.7109375" bestFit="1" customWidth="1"/>
    <col min="3239" max="3239" width="11" bestFit="1" customWidth="1"/>
    <col min="3240" max="3240" width="11.28515625" bestFit="1" customWidth="1"/>
    <col min="3241" max="3241" width="11.5703125" bestFit="1" customWidth="1"/>
    <col min="3242" max="3242" width="12.28515625" bestFit="1" customWidth="1"/>
    <col min="3243" max="3243" width="15.140625" bestFit="1" customWidth="1"/>
    <col min="3244" max="3244" width="14.42578125" bestFit="1" customWidth="1"/>
    <col min="3245" max="3245" width="12.28515625" bestFit="1" customWidth="1"/>
    <col min="3246" max="3246" width="15.140625" bestFit="1" customWidth="1"/>
    <col min="3247" max="3247" width="14.42578125" bestFit="1" customWidth="1"/>
    <col min="3248" max="3248" width="12.28515625" bestFit="1" customWidth="1"/>
    <col min="3249" max="3249" width="14.42578125" bestFit="1" customWidth="1"/>
    <col min="3250" max="3250" width="11.28515625" bestFit="1" customWidth="1"/>
    <col min="3251" max="3251" width="12.28515625" bestFit="1" customWidth="1"/>
    <col min="3252" max="3252" width="13" bestFit="1" customWidth="1"/>
    <col min="3253" max="3253" width="15.140625" bestFit="1" customWidth="1"/>
    <col min="3254" max="3254" width="12.28515625" bestFit="1" customWidth="1"/>
    <col min="3255" max="3255" width="13.85546875" bestFit="1" customWidth="1"/>
    <col min="3256" max="3256" width="11.28515625" bestFit="1" customWidth="1"/>
    <col min="3257" max="3257" width="12.28515625" bestFit="1" customWidth="1"/>
    <col min="3258" max="3258" width="13.85546875" bestFit="1" customWidth="1"/>
    <col min="3259" max="3260" width="15.140625" bestFit="1" customWidth="1"/>
    <col min="3261" max="3261" width="12.28515625" bestFit="1" customWidth="1"/>
    <col min="3262" max="3262" width="5.7109375" bestFit="1" customWidth="1"/>
    <col min="3263" max="3263" width="8.5703125" bestFit="1" customWidth="1"/>
    <col min="3264" max="3264" width="5.5703125" bestFit="1" customWidth="1"/>
    <col min="3265" max="3265" width="14.42578125" bestFit="1" customWidth="1"/>
    <col min="3266" max="3266" width="11.28515625" bestFit="1" customWidth="1"/>
    <col min="3267" max="3268" width="12.28515625" bestFit="1" customWidth="1"/>
    <col min="3269" max="3269" width="11.28515625" bestFit="1" customWidth="1"/>
    <col min="3270" max="3270" width="13.85546875" bestFit="1" customWidth="1"/>
    <col min="3271" max="3271" width="12" bestFit="1" customWidth="1"/>
    <col min="3272" max="3272" width="13.85546875" bestFit="1" customWidth="1"/>
    <col min="3273" max="3274" width="14.42578125" customWidth="1"/>
    <col min="3275" max="3275" width="10.140625" bestFit="1" customWidth="1"/>
    <col min="3276" max="3276" width="12.28515625" bestFit="1" customWidth="1"/>
    <col min="3277" max="3277" width="7.42578125" bestFit="1" customWidth="1"/>
    <col min="3278" max="3278" width="8.5703125" bestFit="1" customWidth="1"/>
    <col min="3279" max="3279" width="11.5703125" bestFit="1" customWidth="1"/>
    <col min="3280" max="3280" width="13.28515625" bestFit="1" customWidth="1"/>
    <col min="3281" max="3281" width="13.28515625" customWidth="1"/>
    <col min="3282" max="3282" width="13.140625" customWidth="1"/>
    <col min="3283" max="3283" width="12.7109375" bestFit="1" customWidth="1"/>
    <col min="3284" max="3284" width="13.28515625" bestFit="1" customWidth="1"/>
    <col min="3285" max="3287" width="13.28515625" customWidth="1"/>
    <col min="3288" max="3288" width="12.140625" bestFit="1" customWidth="1"/>
    <col min="3289" max="3289" width="12.7109375" bestFit="1" customWidth="1"/>
    <col min="3290" max="3290" width="11" customWidth="1"/>
    <col min="3291" max="3291" width="16.7109375" customWidth="1"/>
    <col min="3292" max="3292" width="17" customWidth="1"/>
    <col min="3293" max="3293" width="10.42578125" bestFit="1" customWidth="1"/>
    <col min="3337" max="3337" width="3.85546875" customWidth="1"/>
    <col min="3338" max="3338" width="15.28515625" bestFit="1" customWidth="1"/>
    <col min="3339" max="3339" width="12.28515625" customWidth="1"/>
    <col min="3340" max="3340" width="16.28515625" bestFit="1" customWidth="1"/>
    <col min="3341" max="3341" width="6.42578125" bestFit="1" customWidth="1"/>
    <col min="3342" max="3342" width="9.28515625" bestFit="1" customWidth="1"/>
    <col min="3343" max="3343" width="7.5703125" bestFit="1" customWidth="1"/>
    <col min="3344" max="3344" width="13.28515625" bestFit="1" customWidth="1"/>
    <col min="3345" max="3345" width="9.28515625" bestFit="1" customWidth="1"/>
    <col min="3346" max="3346" width="11.5703125" bestFit="1" customWidth="1"/>
    <col min="3347" max="3347" width="13.28515625" bestFit="1" customWidth="1"/>
    <col min="3348" max="3348" width="7.140625" bestFit="1" customWidth="1"/>
    <col min="3349" max="3349" width="12" bestFit="1" customWidth="1"/>
    <col min="3350" max="3350" width="13.28515625" bestFit="1" customWidth="1"/>
    <col min="3351" max="3351" width="7" bestFit="1" customWidth="1"/>
    <col min="3352" max="3352" width="12.7109375" bestFit="1" customWidth="1"/>
    <col min="3353" max="3353" width="11.5703125" bestFit="1" customWidth="1"/>
    <col min="3354" max="3354" width="10.5703125" bestFit="1" customWidth="1"/>
    <col min="3355" max="3356" width="15.7109375" bestFit="1" customWidth="1"/>
    <col min="3357" max="3357" width="11.5703125" bestFit="1" customWidth="1"/>
    <col min="3358" max="3358" width="7.7109375" bestFit="1" customWidth="1"/>
    <col min="3359" max="3359" width="15.140625" bestFit="1" customWidth="1"/>
    <col min="3360" max="3360" width="11.5703125" bestFit="1" customWidth="1"/>
    <col min="3361" max="3361" width="13.28515625" bestFit="1" customWidth="1"/>
    <col min="3362" max="3362" width="10.42578125" bestFit="1" customWidth="1"/>
    <col min="3363" max="3363" width="13.28515625" bestFit="1" customWidth="1"/>
    <col min="3364" max="3364" width="12.140625" bestFit="1" customWidth="1"/>
    <col min="3365" max="3365" width="14.42578125" bestFit="1" customWidth="1"/>
    <col min="3366" max="3366" width="13.28515625" bestFit="1" customWidth="1"/>
    <col min="3367" max="3367" width="11.5703125" bestFit="1" customWidth="1"/>
    <col min="3368" max="3368" width="7.7109375" bestFit="1" customWidth="1"/>
    <col min="3369" max="3370" width="14.42578125" bestFit="1" customWidth="1"/>
    <col min="3371" max="3371" width="11.5703125" bestFit="1" customWidth="1"/>
    <col min="3372" max="3372" width="7.7109375" bestFit="1" customWidth="1"/>
    <col min="3373" max="3373" width="13.5703125" customWidth="1"/>
    <col min="3374" max="3374" width="15.28515625" customWidth="1"/>
    <col min="3375" max="3375" width="14.5703125" customWidth="1"/>
    <col min="3376" max="3376" width="13.28515625" bestFit="1" customWidth="1"/>
    <col min="3377" max="3377" width="7.7109375" bestFit="1" customWidth="1"/>
    <col min="3378" max="3378" width="12.7109375" bestFit="1" customWidth="1"/>
    <col min="3379" max="3379" width="11.7109375" bestFit="1" customWidth="1"/>
    <col min="3380" max="3380" width="11.5703125" bestFit="1" customWidth="1"/>
    <col min="3381" max="3381" width="5.28515625" bestFit="1" customWidth="1"/>
    <col min="3382" max="3382" width="13.28515625" bestFit="1" customWidth="1"/>
    <col min="3383" max="3383" width="13.5703125" bestFit="1" customWidth="1"/>
    <col min="3384" max="3384" width="10.5703125" bestFit="1" customWidth="1"/>
    <col min="3385" max="3385" width="13.28515625" bestFit="1" customWidth="1"/>
    <col min="3386" max="3386" width="11.5703125" bestFit="1" customWidth="1"/>
    <col min="3387" max="3387" width="10.5703125" bestFit="1" customWidth="1"/>
    <col min="3388" max="3388" width="16.140625" bestFit="1" customWidth="1"/>
    <col min="3389" max="3390" width="11.28515625" bestFit="1" customWidth="1"/>
    <col min="3391" max="3391" width="13.28515625" bestFit="1" customWidth="1"/>
    <col min="3392" max="3392" width="7.7109375" bestFit="1" customWidth="1"/>
    <col min="3393" max="3396" width="9.140625" hidden="1" customWidth="1"/>
    <col min="3397" max="3397" width="10.42578125" bestFit="1" customWidth="1"/>
    <col min="3398" max="3398" width="10.5703125" bestFit="1" customWidth="1"/>
    <col min="3399" max="3399" width="10.42578125" bestFit="1" customWidth="1"/>
    <col min="3400" max="3400" width="10.5703125" bestFit="1" customWidth="1"/>
    <col min="3401" max="3401" width="9.5703125" bestFit="1" customWidth="1"/>
    <col min="3402" max="3402" width="11.5703125" bestFit="1" customWidth="1"/>
    <col min="3403" max="3403" width="10.42578125" bestFit="1" customWidth="1"/>
    <col min="3404" max="3404" width="10.85546875" customWidth="1"/>
    <col min="3405" max="3406" width="9.85546875" bestFit="1" customWidth="1"/>
    <col min="3407" max="3407" width="13.5703125" bestFit="1" customWidth="1"/>
    <col min="3408" max="3408" width="7.7109375" bestFit="1" customWidth="1"/>
    <col min="3409" max="3409" width="13.28515625" bestFit="1" customWidth="1"/>
    <col min="3410" max="3410" width="11.5703125" bestFit="1" customWidth="1"/>
    <col min="3411" max="3411" width="10.42578125" bestFit="1" customWidth="1"/>
    <col min="3412" max="3412" width="7.7109375" bestFit="1" customWidth="1"/>
    <col min="3413" max="3413" width="11.5703125" bestFit="1" customWidth="1"/>
    <col min="3414" max="3414" width="10.85546875" bestFit="1" customWidth="1"/>
    <col min="3415" max="3415" width="13.28515625" bestFit="1" customWidth="1"/>
    <col min="3416" max="3416" width="10.85546875" bestFit="1" customWidth="1"/>
    <col min="3417" max="3418" width="7.5703125" bestFit="1" customWidth="1"/>
    <col min="3419" max="3420" width="10.42578125" bestFit="1" customWidth="1"/>
    <col min="3421" max="3421" width="11.5703125" bestFit="1" customWidth="1"/>
    <col min="3422" max="3422" width="5.28515625" bestFit="1" customWidth="1"/>
    <col min="3423" max="3423" width="10.28515625" bestFit="1" customWidth="1"/>
    <col min="3424" max="3424" width="10.42578125" bestFit="1" customWidth="1"/>
    <col min="3425" max="3425" width="11.5703125" bestFit="1" customWidth="1"/>
    <col min="3426" max="3426" width="5.28515625" bestFit="1" customWidth="1"/>
    <col min="3427" max="3429" width="11.5703125" bestFit="1" customWidth="1"/>
    <col min="3430" max="3430" width="5.28515625" bestFit="1" customWidth="1"/>
    <col min="3431" max="3432" width="10.42578125" bestFit="1" customWidth="1"/>
    <col min="3433" max="3433" width="11.5703125" bestFit="1" customWidth="1"/>
    <col min="3434" max="3434" width="5.28515625" bestFit="1" customWidth="1"/>
    <col min="3435" max="3435" width="14.28515625" bestFit="1" customWidth="1"/>
    <col min="3436" max="3436" width="13" bestFit="1" customWidth="1"/>
    <col min="3437" max="3437" width="11.5703125" bestFit="1" customWidth="1"/>
    <col min="3438" max="3438" width="8.85546875" bestFit="1" customWidth="1"/>
    <col min="3439" max="3439" width="14.42578125" bestFit="1" customWidth="1"/>
    <col min="3440" max="3440" width="10.42578125" bestFit="1" customWidth="1"/>
    <col min="3441" max="3441" width="12.28515625" bestFit="1" customWidth="1"/>
    <col min="3442" max="3442" width="13.85546875" bestFit="1" customWidth="1"/>
    <col min="3443" max="3443" width="11.28515625" customWidth="1"/>
    <col min="3444" max="3444" width="11.5703125" customWidth="1"/>
    <col min="3445" max="3445" width="13.42578125" bestFit="1" customWidth="1"/>
    <col min="3446" max="3446" width="10.42578125" customWidth="1"/>
    <col min="3447" max="3447" width="13.85546875" bestFit="1" customWidth="1"/>
    <col min="3448" max="3448" width="15.42578125" bestFit="1" customWidth="1"/>
    <col min="3449" max="3449" width="12.28515625" bestFit="1" customWidth="1"/>
    <col min="3450" max="3450" width="12.7109375" customWidth="1"/>
    <col min="3451" max="3451" width="10.7109375" bestFit="1" customWidth="1"/>
    <col min="3452" max="3452" width="9.85546875" customWidth="1"/>
    <col min="3453" max="3454" width="10.140625" bestFit="1" customWidth="1"/>
    <col min="3455" max="3455" width="7.5703125" bestFit="1" customWidth="1"/>
    <col min="3456" max="3456" width="9.42578125" bestFit="1" customWidth="1"/>
    <col min="3457" max="3457" width="14.5703125" bestFit="1" customWidth="1"/>
    <col min="3458" max="3458" width="14.85546875" customWidth="1"/>
    <col min="3459" max="3459" width="15.140625" bestFit="1" customWidth="1"/>
    <col min="3460" max="3460" width="12.140625" bestFit="1" customWidth="1"/>
    <col min="3461" max="3461" width="14.85546875" bestFit="1" customWidth="1"/>
    <col min="3462" max="3462" width="12.28515625" bestFit="1" customWidth="1"/>
    <col min="3463" max="3471" width="9.140625" hidden="1" customWidth="1"/>
    <col min="3472" max="3472" width="5.28515625" bestFit="1" customWidth="1"/>
    <col min="3473" max="3478" width="11.5703125" bestFit="1" customWidth="1"/>
    <col min="3479" max="3479" width="11.28515625" bestFit="1" customWidth="1"/>
    <col min="3480" max="3480" width="10.140625" bestFit="1" customWidth="1"/>
    <col min="3481" max="3481" width="11.5703125" bestFit="1" customWidth="1"/>
    <col min="3482" max="3482" width="16.140625" customWidth="1"/>
    <col min="3483" max="3483" width="13.42578125" customWidth="1"/>
    <col min="3484" max="3484" width="10.140625" bestFit="1" customWidth="1"/>
    <col min="3485" max="3485" width="12.85546875" bestFit="1" customWidth="1"/>
    <col min="3486" max="3486" width="12.28515625" bestFit="1" customWidth="1"/>
    <col min="3487" max="3487" width="11.28515625" bestFit="1" customWidth="1"/>
    <col min="3488" max="3488" width="11.5703125" bestFit="1" customWidth="1"/>
    <col min="3489" max="3489" width="10.85546875" bestFit="1" customWidth="1"/>
    <col min="3490" max="3490" width="11.28515625" bestFit="1" customWidth="1"/>
    <col min="3491" max="3491" width="10.140625" bestFit="1" customWidth="1"/>
    <col min="3492" max="3492" width="13.28515625" bestFit="1" customWidth="1"/>
    <col min="3493" max="3494" width="12.7109375" bestFit="1" customWidth="1"/>
    <col min="3495" max="3495" width="11" bestFit="1" customWidth="1"/>
    <col min="3496" max="3496" width="11.28515625" bestFit="1" customWidth="1"/>
    <col min="3497" max="3497" width="11.5703125" bestFit="1" customWidth="1"/>
    <col min="3498" max="3498" width="12.28515625" bestFit="1" customWidth="1"/>
    <col min="3499" max="3499" width="15.140625" bestFit="1" customWidth="1"/>
    <col min="3500" max="3500" width="14.42578125" bestFit="1" customWidth="1"/>
    <col min="3501" max="3501" width="12.28515625" bestFit="1" customWidth="1"/>
    <col min="3502" max="3502" width="15.140625" bestFit="1" customWidth="1"/>
    <col min="3503" max="3503" width="14.42578125" bestFit="1" customWidth="1"/>
    <col min="3504" max="3504" width="12.28515625" bestFit="1" customWidth="1"/>
    <col min="3505" max="3505" width="14.42578125" bestFit="1" customWidth="1"/>
    <col min="3506" max="3506" width="11.28515625" bestFit="1" customWidth="1"/>
    <col min="3507" max="3507" width="12.28515625" bestFit="1" customWidth="1"/>
    <col min="3508" max="3508" width="13" bestFit="1" customWidth="1"/>
    <col min="3509" max="3509" width="15.140625" bestFit="1" customWidth="1"/>
    <col min="3510" max="3510" width="12.28515625" bestFit="1" customWidth="1"/>
    <col min="3511" max="3511" width="13.85546875" bestFit="1" customWidth="1"/>
    <col min="3512" max="3512" width="11.28515625" bestFit="1" customWidth="1"/>
    <col min="3513" max="3513" width="12.28515625" bestFit="1" customWidth="1"/>
    <col min="3514" max="3514" width="13.85546875" bestFit="1" customWidth="1"/>
    <col min="3515" max="3516" width="15.140625" bestFit="1" customWidth="1"/>
    <col min="3517" max="3517" width="12.28515625" bestFit="1" customWidth="1"/>
    <col min="3518" max="3518" width="5.7109375" bestFit="1" customWidth="1"/>
    <col min="3519" max="3519" width="8.5703125" bestFit="1" customWidth="1"/>
    <col min="3520" max="3520" width="5.5703125" bestFit="1" customWidth="1"/>
    <col min="3521" max="3521" width="14.42578125" bestFit="1" customWidth="1"/>
    <col min="3522" max="3522" width="11.28515625" bestFit="1" customWidth="1"/>
    <col min="3523" max="3524" width="12.28515625" bestFit="1" customWidth="1"/>
    <col min="3525" max="3525" width="11.28515625" bestFit="1" customWidth="1"/>
    <col min="3526" max="3526" width="13.85546875" bestFit="1" customWidth="1"/>
    <col min="3527" max="3527" width="12" bestFit="1" customWidth="1"/>
    <col min="3528" max="3528" width="13.85546875" bestFit="1" customWidth="1"/>
    <col min="3529" max="3530" width="14.42578125" customWidth="1"/>
    <col min="3531" max="3531" width="10.140625" bestFit="1" customWidth="1"/>
    <col min="3532" max="3532" width="12.28515625" bestFit="1" customWidth="1"/>
    <col min="3533" max="3533" width="7.42578125" bestFit="1" customWidth="1"/>
    <col min="3534" max="3534" width="8.5703125" bestFit="1" customWidth="1"/>
    <col min="3535" max="3535" width="11.5703125" bestFit="1" customWidth="1"/>
    <col min="3536" max="3536" width="13.28515625" bestFit="1" customWidth="1"/>
    <col min="3537" max="3537" width="13.28515625" customWidth="1"/>
    <col min="3538" max="3538" width="13.140625" customWidth="1"/>
    <col min="3539" max="3539" width="12.7109375" bestFit="1" customWidth="1"/>
    <col min="3540" max="3540" width="13.28515625" bestFit="1" customWidth="1"/>
    <col min="3541" max="3543" width="13.28515625" customWidth="1"/>
    <col min="3544" max="3544" width="12.140625" bestFit="1" customWidth="1"/>
    <col min="3545" max="3545" width="12.7109375" bestFit="1" customWidth="1"/>
    <col min="3546" max="3546" width="11" customWidth="1"/>
    <col min="3547" max="3547" width="16.7109375" customWidth="1"/>
    <col min="3548" max="3548" width="17" customWidth="1"/>
    <col min="3549" max="3549" width="10.42578125" bestFit="1" customWidth="1"/>
    <col min="3593" max="3593" width="3.85546875" customWidth="1"/>
    <col min="3594" max="3594" width="15.28515625" bestFit="1" customWidth="1"/>
    <col min="3595" max="3595" width="12.28515625" customWidth="1"/>
    <col min="3596" max="3596" width="16.28515625" bestFit="1" customWidth="1"/>
    <col min="3597" max="3597" width="6.42578125" bestFit="1" customWidth="1"/>
    <col min="3598" max="3598" width="9.28515625" bestFit="1" customWidth="1"/>
    <col min="3599" max="3599" width="7.5703125" bestFit="1" customWidth="1"/>
    <col min="3600" max="3600" width="13.28515625" bestFit="1" customWidth="1"/>
    <col min="3601" max="3601" width="9.28515625" bestFit="1" customWidth="1"/>
    <col min="3602" max="3602" width="11.5703125" bestFit="1" customWidth="1"/>
    <col min="3603" max="3603" width="13.28515625" bestFit="1" customWidth="1"/>
    <col min="3604" max="3604" width="7.140625" bestFit="1" customWidth="1"/>
    <col min="3605" max="3605" width="12" bestFit="1" customWidth="1"/>
    <col min="3606" max="3606" width="13.28515625" bestFit="1" customWidth="1"/>
    <col min="3607" max="3607" width="7" bestFit="1" customWidth="1"/>
    <col min="3608" max="3608" width="12.7109375" bestFit="1" customWidth="1"/>
    <col min="3609" max="3609" width="11.5703125" bestFit="1" customWidth="1"/>
    <col min="3610" max="3610" width="10.5703125" bestFit="1" customWidth="1"/>
    <col min="3611" max="3612" width="15.7109375" bestFit="1" customWidth="1"/>
    <col min="3613" max="3613" width="11.5703125" bestFit="1" customWidth="1"/>
    <col min="3614" max="3614" width="7.7109375" bestFit="1" customWidth="1"/>
    <col min="3615" max="3615" width="15.140625" bestFit="1" customWidth="1"/>
    <col min="3616" max="3616" width="11.5703125" bestFit="1" customWidth="1"/>
    <col min="3617" max="3617" width="13.28515625" bestFit="1" customWidth="1"/>
    <col min="3618" max="3618" width="10.42578125" bestFit="1" customWidth="1"/>
    <col min="3619" max="3619" width="13.28515625" bestFit="1" customWidth="1"/>
    <col min="3620" max="3620" width="12.140625" bestFit="1" customWidth="1"/>
    <col min="3621" max="3621" width="14.42578125" bestFit="1" customWidth="1"/>
    <col min="3622" max="3622" width="13.28515625" bestFit="1" customWidth="1"/>
    <col min="3623" max="3623" width="11.5703125" bestFit="1" customWidth="1"/>
    <col min="3624" max="3624" width="7.7109375" bestFit="1" customWidth="1"/>
    <col min="3625" max="3626" width="14.42578125" bestFit="1" customWidth="1"/>
    <col min="3627" max="3627" width="11.5703125" bestFit="1" customWidth="1"/>
    <col min="3628" max="3628" width="7.7109375" bestFit="1" customWidth="1"/>
    <col min="3629" max="3629" width="13.5703125" customWidth="1"/>
    <col min="3630" max="3630" width="15.28515625" customWidth="1"/>
    <col min="3631" max="3631" width="14.5703125" customWidth="1"/>
    <col min="3632" max="3632" width="13.28515625" bestFit="1" customWidth="1"/>
    <col min="3633" max="3633" width="7.7109375" bestFit="1" customWidth="1"/>
    <col min="3634" max="3634" width="12.7109375" bestFit="1" customWidth="1"/>
    <col min="3635" max="3635" width="11.7109375" bestFit="1" customWidth="1"/>
    <col min="3636" max="3636" width="11.5703125" bestFit="1" customWidth="1"/>
    <col min="3637" max="3637" width="5.28515625" bestFit="1" customWidth="1"/>
    <col min="3638" max="3638" width="13.28515625" bestFit="1" customWidth="1"/>
    <col min="3639" max="3639" width="13.5703125" bestFit="1" customWidth="1"/>
    <col min="3640" max="3640" width="10.5703125" bestFit="1" customWidth="1"/>
    <col min="3641" max="3641" width="13.28515625" bestFit="1" customWidth="1"/>
    <col min="3642" max="3642" width="11.5703125" bestFit="1" customWidth="1"/>
    <col min="3643" max="3643" width="10.5703125" bestFit="1" customWidth="1"/>
    <col min="3644" max="3644" width="16.140625" bestFit="1" customWidth="1"/>
    <col min="3645" max="3646" width="11.28515625" bestFit="1" customWidth="1"/>
    <col min="3647" max="3647" width="13.28515625" bestFit="1" customWidth="1"/>
    <col min="3648" max="3648" width="7.7109375" bestFit="1" customWidth="1"/>
    <col min="3649" max="3652" width="9.140625" hidden="1" customWidth="1"/>
    <col min="3653" max="3653" width="10.42578125" bestFit="1" customWidth="1"/>
    <col min="3654" max="3654" width="10.5703125" bestFit="1" customWidth="1"/>
    <col min="3655" max="3655" width="10.42578125" bestFit="1" customWidth="1"/>
    <col min="3656" max="3656" width="10.5703125" bestFit="1" customWidth="1"/>
    <col min="3657" max="3657" width="9.5703125" bestFit="1" customWidth="1"/>
    <col min="3658" max="3658" width="11.5703125" bestFit="1" customWidth="1"/>
    <col min="3659" max="3659" width="10.42578125" bestFit="1" customWidth="1"/>
    <col min="3660" max="3660" width="10.85546875" customWidth="1"/>
    <col min="3661" max="3662" width="9.85546875" bestFit="1" customWidth="1"/>
    <col min="3663" max="3663" width="13.5703125" bestFit="1" customWidth="1"/>
    <col min="3664" max="3664" width="7.7109375" bestFit="1" customWidth="1"/>
    <col min="3665" max="3665" width="13.28515625" bestFit="1" customWidth="1"/>
    <col min="3666" max="3666" width="11.5703125" bestFit="1" customWidth="1"/>
    <col min="3667" max="3667" width="10.42578125" bestFit="1" customWidth="1"/>
    <col min="3668" max="3668" width="7.7109375" bestFit="1" customWidth="1"/>
    <col min="3669" max="3669" width="11.5703125" bestFit="1" customWidth="1"/>
    <col min="3670" max="3670" width="10.85546875" bestFit="1" customWidth="1"/>
    <col min="3671" max="3671" width="13.28515625" bestFit="1" customWidth="1"/>
    <col min="3672" max="3672" width="10.85546875" bestFit="1" customWidth="1"/>
    <col min="3673" max="3674" width="7.5703125" bestFit="1" customWidth="1"/>
    <col min="3675" max="3676" width="10.42578125" bestFit="1" customWidth="1"/>
    <col min="3677" max="3677" width="11.5703125" bestFit="1" customWidth="1"/>
    <col min="3678" max="3678" width="5.28515625" bestFit="1" customWidth="1"/>
    <col min="3679" max="3679" width="10.28515625" bestFit="1" customWidth="1"/>
    <col min="3680" max="3680" width="10.42578125" bestFit="1" customWidth="1"/>
    <col min="3681" max="3681" width="11.5703125" bestFit="1" customWidth="1"/>
    <col min="3682" max="3682" width="5.28515625" bestFit="1" customWidth="1"/>
    <col min="3683" max="3685" width="11.5703125" bestFit="1" customWidth="1"/>
    <col min="3686" max="3686" width="5.28515625" bestFit="1" customWidth="1"/>
    <col min="3687" max="3688" width="10.42578125" bestFit="1" customWidth="1"/>
    <col min="3689" max="3689" width="11.5703125" bestFit="1" customWidth="1"/>
    <col min="3690" max="3690" width="5.28515625" bestFit="1" customWidth="1"/>
    <col min="3691" max="3691" width="14.28515625" bestFit="1" customWidth="1"/>
    <col min="3692" max="3692" width="13" bestFit="1" customWidth="1"/>
    <col min="3693" max="3693" width="11.5703125" bestFit="1" customWidth="1"/>
    <col min="3694" max="3694" width="8.85546875" bestFit="1" customWidth="1"/>
    <col min="3695" max="3695" width="14.42578125" bestFit="1" customWidth="1"/>
    <col min="3696" max="3696" width="10.42578125" bestFit="1" customWidth="1"/>
    <col min="3697" max="3697" width="12.28515625" bestFit="1" customWidth="1"/>
    <col min="3698" max="3698" width="13.85546875" bestFit="1" customWidth="1"/>
    <col min="3699" max="3699" width="11.28515625" customWidth="1"/>
    <col min="3700" max="3700" width="11.5703125" customWidth="1"/>
    <col min="3701" max="3701" width="13.42578125" bestFit="1" customWidth="1"/>
    <col min="3702" max="3702" width="10.42578125" customWidth="1"/>
    <col min="3703" max="3703" width="13.85546875" bestFit="1" customWidth="1"/>
    <col min="3704" max="3704" width="15.42578125" bestFit="1" customWidth="1"/>
    <col min="3705" max="3705" width="12.28515625" bestFit="1" customWidth="1"/>
    <col min="3706" max="3706" width="12.7109375" customWidth="1"/>
    <col min="3707" max="3707" width="10.7109375" bestFit="1" customWidth="1"/>
    <col min="3708" max="3708" width="9.85546875" customWidth="1"/>
    <col min="3709" max="3710" width="10.140625" bestFit="1" customWidth="1"/>
    <col min="3711" max="3711" width="7.5703125" bestFit="1" customWidth="1"/>
    <col min="3712" max="3712" width="9.42578125" bestFit="1" customWidth="1"/>
    <col min="3713" max="3713" width="14.5703125" bestFit="1" customWidth="1"/>
    <col min="3714" max="3714" width="14.85546875" customWidth="1"/>
    <col min="3715" max="3715" width="15.140625" bestFit="1" customWidth="1"/>
    <col min="3716" max="3716" width="12.140625" bestFit="1" customWidth="1"/>
    <col min="3717" max="3717" width="14.85546875" bestFit="1" customWidth="1"/>
    <col min="3718" max="3718" width="12.28515625" bestFit="1" customWidth="1"/>
    <col min="3719" max="3727" width="9.140625" hidden="1" customWidth="1"/>
    <col min="3728" max="3728" width="5.28515625" bestFit="1" customWidth="1"/>
    <col min="3729" max="3734" width="11.5703125" bestFit="1" customWidth="1"/>
    <col min="3735" max="3735" width="11.28515625" bestFit="1" customWidth="1"/>
    <col min="3736" max="3736" width="10.140625" bestFit="1" customWidth="1"/>
    <col min="3737" max="3737" width="11.5703125" bestFit="1" customWidth="1"/>
    <col min="3738" max="3738" width="16.140625" customWidth="1"/>
    <col min="3739" max="3739" width="13.42578125" customWidth="1"/>
    <col min="3740" max="3740" width="10.140625" bestFit="1" customWidth="1"/>
    <col min="3741" max="3741" width="12.85546875" bestFit="1" customWidth="1"/>
    <col min="3742" max="3742" width="12.28515625" bestFit="1" customWidth="1"/>
    <col min="3743" max="3743" width="11.28515625" bestFit="1" customWidth="1"/>
    <col min="3744" max="3744" width="11.5703125" bestFit="1" customWidth="1"/>
    <col min="3745" max="3745" width="10.85546875" bestFit="1" customWidth="1"/>
    <col min="3746" max="3746" width="11.28515625" bestFit="1" customWidth="1"/>
    <col min="3747" max="3747" width="10.140625" bestFit="1" customWidth="1"/>
    <col min="3748" max="3748" width="13.28515625" bestFit="1" customWidth="1"/>
    <col min="3749" max="3750" width="12.7109375" bestFit="1" customWidth="1"/>
    <col min="3751" max="3751" width="11" bestFit="1" customWidth="1"/>
    <col min="3752" max="3752" width="11.28515625" bestFit="1" customWidth="1"/>
    <col min="3753" max="3753" width="11.5703125" bestFit="1" customWidth="1"/>
    <col min="3754" max="3754" width="12.28515625" bestFit="1" customWidth="1"/>
    <col min="3755" max="3755" width="15.140625" bestFit="1" customWidth="1"/>
    <col min="3756" max="3756" width="14.42578125" bestFit="1" customWidth="1"/>
    <col min="3757" max="3757" width="12.28515625" bestFit="1" customWidth="1"/>
    <col min="3758" max="3758" width="15.140625" bestFit="1" customWidth="1"/>
    <col min="3759" max="3759" width="14.42578125" bestFit="1" customWidth="1"/>
    <col min="3760" max="3760" width="12.28515625" bestFit="1" customWidth="1"/>
    <col min="3761" max="3761" width="14.42578125" bestFit="1" customWidth="1"/>
    <col min="3762" max="3762" width="11.28515625" bestFit="1" customWidth="1"/>
    <col min="3763" max="3763" width="12.28515625" bestFit="1" customWidth="1"/>
    <col min="3764" max="3764" width="13" bestFit="1" customWidth="1"/>
    <col min="3765" max="3765" width="15.140625" bestFit="1" customWidth="1"/>
    <col min="3766" max="3766" width="12.28515625" bestFit="1" customWidth="1"/>
    <col min="3767" max="3767" width="13.85546875" bestFit="1" customWidth="1"/>
    <col min="3768" max="3768" width="11.28515625" bestFit="1" customWidth="1"/>
    <col min="3769" max="3769" width="12.28515625" bestFit="1" customWidth="1"/>
    <col min="3770" max="3770" width="13.85546875" bestFit="1" customWidth="1"/>
    <col min="3771" max="3772" width="15.140625" bestFit="1" customWidth="1"/>
    <col min="3773" max="3773" width="12.28515625" bestFit="1" customWidth="1"/>
    <col min="3774" max="3774" width="5.7109375" bestFit="1" customWidth="1"/>
    <col min="3775" max="3775" width="8.5703125" bestFit="1" customWidth="1"/>
    <col min="3776" max="3776" width="5.5703125" bestFit="1" customWidth="1"/>
    <col min="3777" max="3777" width="14.42578125" bestFit="1" customWidth="1"/>
    <col min="3778" max="3778" width="11.28515625" bestFit="1" customWidth="1"/>
    <col min="3779" max="3780" width="12.28515625" bestFit="1" customWidth="1"/>
    <col min="3781" max="3781" width="11.28515625" bestFit="1" customWidth="1"/>
    <col min="3782" max="3782" width="13.85546875" bestFit="1" customWidth="1"/>
    <col min="3783" max="3783" width="12" bestFit="1" customWidth="1"/>
    <col min="3784" max="3784" width="13.85546875" bestFit="1" customWidth="1"/>
    <col min="3785" max="3786" width="14.42578125" customWidth="1"/>
    <col min="3787" max="3787" width="10.140625" bestFit="1" customWidth="1"/>
    <col min="3788" max="3788" width="12.28515625" bestFit="1" customWidth="1"/>
    <col min="3789" max="3789" width="7.42578125" bestFit="1" customWidth="1"/>
    <col min="3790" max="3790" width="8.5703125" bestFit="1" customWidth="1"/>
    <col min="3791" max="3791" width="11.5703125" bestFit="1" customWidth="1"/>
    <col min="3792" max="3792" width="13.28515625" bestFit="1" customWidth="1"/>
    <col min="3793" max="3793" width="13.28515625" customWidth="1"/>
    <col min="3794" max="3794" width="13.140625" customWidth="1"/>
    <col min="3795" max="3795" width="12.7109375" bestFit="1" customWidth="1"/>
    <col min="3796" max="3796" width="13.28515625" bestFit="1" customWidth="1"/>
    <col min="3797" max="3799" width="13.28515625" customWidth="1"/>
    <col min="3800" max="3800" width="12.140625" bestFit="1" customWidth="1"/>
    <col min="3801" max="3801" width="12.7109375" bestFit="1" customWidth="1"/>
    <col min="3802" max="3802" width="11" customWidth="1"/>
    <col min="3803" max="3803" width="16.7109375" customWidth="1"/>
    <col min="3804" max="3804" width="17" customWidth="1"/>
    <col min="3805" max="3805" width="10.42578125" bestFit="1" customWidth="1"/>
    <col min="3849" max="3849" width="3.85546875" customWidth="1"/>
    <col min="3850" max="3850" width="15.28515625" bestFit="1" customWidth="1"/>
    <col min="3851" max="3851" width="12.28515625" customWidth="1"/>
    <col min="3852" max="3852" width="16.28515625" bestFit="1" customWidth="1"/>
    <col min="3853" max="3853" width="6.42578125" bestFit="1" customWidth="1"/>
    <col min="3854" max="3854" width="9.28515625" bestFit="1" customWidth="1"/>
    <col min="3855" max="3855" width="7.5703125" bestFit="1" customWidth="1"/>
    <col min="3856" max="3856" width="13.28515625" bestFit="1" customWidth="1"/>
    <col min="3857" max="3857" width="9.28515625" bestFit="1" customWidth="1"/>
    <col min="3858" max="3858" width="11.5703125" bestFit="1" customWidth="1"/>
    <col min="3859" max="3859" width="13.28515625" bestFit="1" customWidth="1"/>
    <col min="3860" max="3860" width="7.140625" bestFit="1" customWidth="1"/>
    <col min="3861" max="3861" width="12" bestFit="1" customWidth="1"/>
    <col min="3862" max="3862" width="13.28515625" bestFit="1" customWidth="1"/>
    <col min="3863" max="3863" width="7" bestFit="1" customWidth="1"/>
    <col min="3864" max="3864" width="12.7109375" bestFit="1" customWidth="1"/>
    <col min="3865" max="3865" width="11.5703125" bestFit="1" customWidth="1"/>
    <col min="3866" max="3866" width="10.5703125" bestFit="1" customWidth="1"/>
    <col min="3867" max="3868" width="15.7109375" bestFit="1" customWidth="1"/>
    <col min="3869" max="3869" width="11.5703125" bestFit="1" customWidth="1"/>
    <col min="3870" max="3870" width="7.7109375" bestFit="1" customWidth="1"/>
    <col min="3871" max="3871" width="15.140625" bestFit="1" customWidth="1"/>
    <col min="3872" max="3872" width="11.5703125" bestFit="1" customWidth="1"/>
    <col min="3873" max="3873" width="13.28515625" bestFit="1" customWidth="1"/>
    <col min="3874" max="3874" width="10.42578125" bestFit="1" customWidth="1"/>
    <col min="3875" max="3875" width="13.28515625" bestFit="1" customWidth="1"/>
    <col min="3876" max="3876" width="12.140625" bestFit="1" customWidth="1"/>
    <col min="3877" max="3877" width="14.42578125" bestFit="1" customWidth="1"/>
    <col min="3878" max="3878" width="13.28515625" bestFit="1" customWidth="1"/>
    <col min="3879" max="3879" width="11.5703125" bestFit="1" customWidth="1"/>
    <col min="3880" max="3880" width="7.7109375" bestFit="1" customWidth="1"/>
    <col min="3881" max="3882" width="14.42578125" bestFit="1" customWidth="1"/>
    <col min="3883" max="3883" width="11.5703125" bestFit="1" customWidth="1"/>
    <col min="3884" max="3884" width="7.7109375" bestFit="1" customWidth="1"/>
    <col min="3885" max="3885" width="13.5703125" customWidth="1"/>
    <col min="3886" max="3886" width="15.28515625" customWidth="1"/>
    <col min="3887" max="3887" width="14.5703125" customWidth="1"/>
    <col min="3888" max="3888" width="13.28515625" bestFit="1" customWidth="1"/>
    <col min="3889" max="3889" width="7.7109375" bestFit="1" customWidth="1"/>
    <col min="3890" max="3890" width="12.7109375" bestFit="1" customWidth="1"/>
    <col min="3891" max="3891" width="11.7109375" bestFit="1" customWidth="1"/>
    <col min="3892" max="3892" width="11.5703125" bestFit="1" customWidth="1"/>
    <col min="3893" max="3893" width="5.28515625" bestFit="1" customWidth="1"/>
    <col min="3894" max="3894" width="13.28515625" bestFit="1" customWidth="1"/>
    <col min="3895" max="3895" width="13.5703125" bestFit="1" customWidth="1"/>
    <col min="3896" max="3896" width="10.5703125" bestFit="1" customWidth="1"/>
    <col min="3897" max="3897" width="13.28515625" bestFit="1" customWidth="1"/>
    <col min="3898" max="3898" width="11.5703125" bestFit="1" customWidth="1"/>
    <col min="3899" max="3899" width="10.5703125" bestFit="1" customWidth="1"/>
    <col min="3900" max="3900" width="16.140625" bestFit="1" customWidth="1"/>
    <col min="3901" max="3902" width="11.28515625" bestFit="1" customWidth="1"/>
    <col min="3903" max="3903" width="13.28515625" bestFit="1" customWidth="1"/>
    <col min="3904" max="3904" width="7.7109375" bestFit="1" customWidth="1"/>
    <col min="3905" max="3908" width="9.140625" hidden="1" customWidth="1"/>
    <col min="3909" max="3909" width="10.42578125" bestFit="1" customWidth="1"/>
    <col min="3910" max="3910" width="10.5703125" bestFit="1" customWidth="1"/>
    <col min="3911" max="3911" width="10.42578125" bestFit="1" customWidth="1"/>
    <col min="3912" max="3912" width="10.5703125" bestFit="1" customWidth="1"/>
    <col min="3913" max="3913" width="9.5703125" bestFit="1" customWidth="1"/>
    <col min="3914" max="3914" width="11.5703125" bestFit="1" customWidth="1"/>
    <col min="3915" max="3915" width="10.42578125" bestFit="1" customWidth="1"/>
    <col min="3916" max="3916" width="10.85546875" customWidth="1"/>
    <col min="3917" max="3918" width="9.85546875" bestFit="1" customWidth="1"/>
    <col min="3919" max="3919" width="13.5703125" bestFit="1" customWidth="1"/>
    <col min="3920" max="3920" width="7.7109375" bestFit="1" customWidth="1"/>
    <col min="3921" max="3921" width="13.28515625" bestFit="1" customWidth="1"/>
    <col min="3922" max="3922" width="11.5703125" bestFit="1" customWidth="1"/>
    <col min="3923" max="3923" width="10.42578125" bestFit="1" customWidth="1"/>
    <col min="3924" max="3924" width="7.7109375" bestFit="1" customWidth="1"/>
    <col min="3925" max="3925" width="11.5703125" bestFit="1" customWidth="1"/>
    <col min="3926" max="3926" width="10.85546875" bestFit="1" customWidth="1"/>
    <col min="3927" max="3927" width="13.28515625" bestFit="1" customWidth="1"/>
    <col min="3928" max="3928" width="10.85546875" bestFit="1" customWidth="1"/>
    <col min="3929" max="3930" width="7.5703125" bestFit="1" customWidth="1"/>
    <col min="3931" max="3932" width="10.42578125" bestFit="1" customWidth="1"/>
    <col min="3933" max="3933" width="11.5703125" bestFit="1" customWidth="1"/>
    <col min="3934" max="3934" width="5.28515625" bestFit="1" customWidth="1"/>
    <col min="3935" max="3935" width="10.28515625" bestFit="1" customWidth="1"/>
    <col min="3936" max="3936" width="10.42578125" bestFit="1" customWidth="1"/>
    <col min="3937" max="3937" width="11.5703125" bestFit="1" customWidth="1"/>
    <col min="3938" max="3938" width="5.28515625" bestFit="1" customWidth="1"/>
    <col min="3939" max="3941" width="11.5703125" bestFit="1" customWidth="1"/>
    <col min="3942" max="3942" width="5.28515625" bestFit="1" customWidth="1"/>
    <col min="3943" max="3944" width="10.42578125" bestFit="1" customWidth="1"/>
    <col min="3945" max="3945" width="11.5703125" bestFit="1" customWidth="1"/>
    <col min="3946" max="3946" width="5.28515625" bestFit="1" customWidth="1"/>
    <col min="3947" max="3947" width="14.28515625" bestFit="1" customWidth="1"/>
    <col min="3948" max="3948" width="13" bestFit="1" customWidth="1"/>
    <col min="3949" max="3949" width="11.5703125" bestFit="1" customWidth="1"/>
    <col min="3950" max="3950" width="8.85546875" bestFit="1" customWidth="1"/>
    <col min="3951" max="3951" width="14.42578125" bestFit="1" customWidth="1"/>
    <col min="3952" max="3952" width="10.42578125" bestFit="1" customWidth="1"/>
    <col min="3953" max="3953" width="12.28515625" bestFit="1" customWidth="1"/>
    <col min="3954" max="3954" width="13.85546875" bestFit="1" customWidth="1"/>
    <col min="3955" max="3955" width="11.28515625" customWidth="1"/>
    <col min="3956" max="3956" width="11.5703125" customWidth="1"/>
    <col min="3957" max="3957" width="13.42578125" bestFit="1" customWidth="1"/>
    <col min="3958" max="3958" width="10.42578125" customWidth="1"/>
    <col min="3959" max="3959" width="13.85546875" bestFit="1" customWidth="1"/>
    <col min="3960" max="3960" width="15.42578125" bestFit="1" customWidth="1"/>
    <col min="3961" max="3961" width="12.28515625" bestFit="1" customWidth="1"/>
    <col min="3962" max="3962" width="12.7109375" customWidth="1"/>
    <col min="3963" max="3963" width="10.7109375" bestFit="1" customWidth="1"/>
    <col min="3964" max="3964" width="9.85546875" customWidth="1"/>
    <col min="3965" max="3966" width="10.140625" bestFit="1" customWidth="1"/>
    <col min="3967" max="3967" width="7.5703125" bestFit="1" customWidth="1"/>
    <col min="3968" max="3968" width="9.42578125" bestFit="1" customWidth="1"/>
    <col min="3969" max="3969" width="14.5703125" bestFit="1" customWidth="1"/>
    <col min="3970" max="3970" width="14.85546875" customWidth="1"/>
    <col min="3971" max="3971" width="15.140625" bestFit="1" customWidth="1"/>
    <col min="3972" max="3972" width="12.140625" bestFit="1" customWidth="1"/>
    <col min="3973" max="3973" width="14.85546875" bestFit="1" customWidth="1"/>
    <col min="3974" max="3974" width="12.28515625" bestFit="1" customWidth="1"/>
    <col min="3975" max="3983" width="9.140625" hidden="1" customWidth="1"/>
    <col min="3984" max="3984" width="5.28515625" bestFit="1" customWidth="1"/>
    <col min="3985" max="3990" width="11.5703125" bestFit="1" customWidth="1"/>
    <col min="3991" max="3991" width="11.28515625" bestFit="1" customWidth="1"/>
    <col min="3992" max="3992" width="10.140625" bestFit="1" customWidth="1"/>
    <col min="3993" max="3993" width="11.5703125" bestFit="1" customWidth="1"/>
    <col min="3994" max="3994" width="16.140625" customWidth="1"/>
    <col min="3995" max="3995" width="13.42578125" customWidth="1"/>
    <col min="3996" max="3996" width="10.140625" bestFit="1" customWidth="1"/>
    <col min="3997" max="3997" width="12.85546875" bestFit="1" customWidth="1"/>
    <col min="3998" max="3998" width="12.28515625" bestFit="1" customWidth="1"/>
    <col min="3999" max="3999" width="11.28515625" bestFit="1" customWidth="1"/>
    <col min="4000" max="4000" width="11.5703125" bestFit="1" customWidth="1"/>
    <col min="4001" max="4001" width="10.85546875" bestFit="1" customWidth="1"/>
    <col min="4002" max="4002" width="11.28515625" bestFit="1" customWidth="1"/>
    <col min="4003" max="4003" width="10.140625" bestFit="1" customWidth="1"/>
    <col min="4004" max="4004" width="13.28515625" bestFit="1" customWidth="1"/>
    <col min="4005" max="4006" width="12.7109375" bestFit="1" customWidth="1"/>
    <col min="4007" max="4007" width="11" bestFit="1" customWidth="1"/>
    <col min="4008" max="4008" width="11.28515625" bestFit="1" customWidth="1"/>
    <col min="4009" max="4009" width="11.5703125" bestFit="1" customWidth="1"/>
    <col min="4010" max="4010" width="12.28515625" bestFit="1" customWidth="1"/>
    <col min="4011" max="4011" width="15.140625" bestFit="1" customWidth="1"/>
    <col min="4012" max="4012" width="14.42578125" bestFit="1" customWidth="1"/>
    <col min="4013" max="4013" width="12.28515625" bestFit="1" customWidth="1"/>
    <col min="4014" max="4014" width="15.140625" bestFit="1" customWidth="1"/>
    <col min="4015" max="4015" width="14.42578125" bestFit="1" customWidth="1"/>
    <col min="4016" max="4016" width="12.28515625" bestFit="1" customWidth="1"/>
    <col min="4017" max="4017" width="14.42578125" bestFit="1" customWidth="1"/>
    <col min="4018" max="4018" width="11.28515625" bestFit="1" customWidth="1"/>
    <col min="4019" max="4019" width="12.28515625" bestFit="1" customWidth="1"/>
    <col min="4020" max="4020" width="13" bestFit="1" customWidth="1"/>
    <col min="4021" max="4021" width="15.140625" bestFit="1" customWidth="1"/>
    <col min="4022" max="4022" width="12.28515625" bestFit="1" customWidth="1"/>
    <col min="4023" max="4023" width="13.85546875" bestFit="1" customWidth="1"/>
    <col min="4024" max="4024" width="11.28515625" bestFit="1" customWidth="1"/>
    <col min="4025" max="4025" width="12.28515625" bestFit="1" customWidth="1"/>
    <col min="4026" max="4026" width="13.85546875" bestFit="1" customWidth="1"/>
    <col min="4027" max="4028" width="15.140625" bestFit="1" customWidth="1"/>
    <col min="4029" max="4029" width="12.28515625" bestFit="1" customWidth="1"/>
    <col min="4030" max="4030" width="5.7109375" bestFit="1" customWidth="1"/>
    <col min="4031" max="4031" width="8.5703125" bestFit="1" customWidth="1"/>
    <col min="4032" max="4032" width="5.5703125" bestFit="1" customWidth="1"/>
    <col min="4033" max="4033" width="14.42578125" bestFit="1" customWidth="1"/>
    <col min="4034" max="4034" width="11.28515625" bestFit="1" customWidth="1"/>
    <col min="4035" max="4036" width="12.28515625" bestFit="1" customWidth="1"/>
    <col min="4037" max="4037" width="11.28515625" bestFit="1" customWidth="1"/>
    <col min="4038" max="4038" width="13.85546875" bestFit="1" customWidth="1"/>
    <col min="4039" max="4039" width="12" bestFit="1" customWidth="1"/>
    <col min="4040" max="4040" width="13.85546875" bestFit="1" customWidth="1"/>
    <col min="4041" max="4042" width="14.42578125" customWidth="1"/>
    <col min="4043" max="4043" width="10.140625" bestFit="1" customWidth="1"/>
    <col min="4044" max="4044" width="12.28515625" bestFit="1" customWidth="1"/>
    <col min="4045" max="4045" width="7.42578125" bestFit="1" customWidth="1"/>
    <col min="4046" max="4046" width="8.5703125" bestFit="1" customWidth="1"/>
    <col min="4047" max="4047" width="11.5703125" bestFit="1" customWidth="1"/>
    <col min="4048" max="4048" width="13.28515625" bestFit="1" customWidth="1"/>
    <col min="4049" max="4049" width="13.28515625" customWidth="1"/>
    <col min="4050" max="4050" width="13.140625" customWidth="1"/>
    <col min="4051" max="4051" width="12.7109375" bestFit="1" customWidth="1"/>
    <col min="4052" max="4052" width="13.28515625" bestFit="1" customWidth="1"/>
    <col min="4053" max="4055" width="13.28515625" customWidth="1"/>
    <col min="4056" max="4056" width="12.140625" bestFit="1" customWidth="1"/>
    <col min="4057" max="4057" width="12.7109375" bestFit="1" customWidth="1"/>
    <col min="4058" max="4058" width="11" customWidth="1"/>
    <col min="4059" max="4059" width="16.7109375" customWidth="1"/>
    <col min="4060" max="4060" width="17" customWidth="1"/>
    <col min="4061" max="4061" width="10.42578125" bestFit="1" customWidth="1"/>
    <col min="4105" max="4105" width="3.85546875" customWidth="1"/>
    <col min="4106" max="4106" width="15.28515625" bestFit="1" customWidth="1"/>
    <col min="4107" max="4107" width="12.28515625" customWidth="1"/>
    <col min="4108" max="4108" width="16.28515625" bestFit="1" customWidth="1"/>
    <col min="4109" max="4109" width="6.42578125" bestFit="1" customWidth="1"/>
    <col min="4110" max="4110" width="9.28515625" bestFit="1" customWidth="1"/>
    <col min="4111" max="4111" width="7.5703125" bestFit="1" customWidth="1"/>
    <col min="4112" max="4112" width="13.28515625" bestFit="1" customWidth="1"/>
    <col min="4113" max="4113" width="9.28515625" bestFit="1" customWidth="1"/>
    <col min="4114" max="4114" width="11.5703125" bestFit="1" customWidth="1"/>
    <col min="4115" max="4115" width="13.28515625" bestFit="1" customWidth="1"/>
    <col min="4116" max="4116" width="7.140625" bestFit="1" customWidth="1"/>
    <col min="4117" max="4117" width="12" bestFit="1" customWidth="1"/>
    <col min="4118" max="4118" width="13.28515625" bestFit="1" customWidth="1"/>
    <col min="4119" max="4119" width="7" bestFit="1" customWidth="1"/>
    <col min="4120" max="4120" width="12.7109375" bestFit="1" customWidth="1"/>
    <col min="4121" max="4121" width="11.5703125" bestFit="1" customWidth="1"/>
    <col min="4122" max="4122" width="10.5703125" bestFit="1" customWidth="1"/>
    <col min="4123" max="4124" width="15.7109375" bestFit="1" customWidth="1"/>
    <col min="4125" max="4125" width="11.5703125" bestFit="1" customWidth="1"/>
    <col min="4126" max="4126" width="7.7109375" bestFit="1" customWidth="1"/>
    <col min="4127" max="4127" width="15.140625" bestFit="1" customWidth="1"/>
    <col min="4128" max="4128" width="11.5703125" bestFit="1" customWidth="1"/>
    <col min="4129" max="4129" width="13.28515625" bestFit="1" customWidth="1"/>
    <col min="4130" max="4130" width="10.42578125" bestFit="1" customWidth="1"/>
    <col min="4131" max="4131" width="13.28515625" bestFit="1" customWidth="1"/>
    <col min="4132" max="4132" width="12.140625" bestFit="1" customWidth="1"/>
    <col min="4133" max="4133" width="14.42578125" bestFit="1" customWidth="1"/>
    <col min="4134" max="4134" width="13.28515625" bestFit="1" customWidth="1"/>
    <col min="4135" max="4135" width="11.5703125" bestFit="1" customWidth="1"/>
    <col min="4136" max="4136" width="7.7109375" bestFit="1" customWidth="1"/>
    <col min="4137" max="4138" width="14.42578125" bestFit="1" customWidth="1"/>
    <col min="4139" max="4139" width="11.5703125" bestFit="1" customWidth="1"/>
    <col min="4140" max="4140" width="7.7109375" bestFit="1" customWidth="1"/>
    <col min="4141" max="4141" width="13.5703125" customWidth="1"/>
    <col min="4142" max="4142" width="15.28515625" customWidth="1"/>
    <col min="4143" max="4143" width="14.5703125" customWidth="1"/>
    <col min="4144" max="4144" width="13.28515625" bestFit="1" customWidth="1"/>
    <col min="4145" max="4145" width="7.7109375" bestFit="1" customWidth="1"/>
    <col min="4146" max="4146" width="12.7109375" bestFit="1" customWidth="1"/>
    <col min="4147" max="4147" width="11.7109375" bestFit="1" customWidth="1"/>
    <col min="4148" max="4148" width="11.5703125" bestFit="1" customWidth="1"/>
    <col min="4149" max="4149" width="5.28515625" bestFit="1" customWidth="1"/>
    <col min="4150" max="4150" width="13.28515625" bestFit="1" customWidth="1"/>
    <col min="4151" max="4151" width="13.5703125" bestFit="1" customWidth="1"/>
    <col min="4152" max="4152" width="10.5703125" bestFit="1" customWidth="1"/>
    <col min="4153" max="4153" width="13.28515625" bestFit="1" customWidth="1"/>
    <col min="4154" max="4154" width="11.5703125" bestFit="1" customWidth="1"/>
    <col min="4155" max="4155" width="10.5703125" bestFit="1" customWidth="1"/>
    <col min="4156" max="4156" width="16.140625" bestFit="1" customWidth="1"/>
    <col min="4157" max="4158" width="11.28515625" bestFit="1" customWidth="1"/>
    <col min="4159" max="4159" width="13.28515625" bestFit="1" customWidth="1"/>
    <col min="4160" max="4160" width="7.7109375" bestFit="1" customWidth="1"/>
    <col min="4161" max="4164" width="9.140625" hidden="1" customWidth="1"/>
    <col min="4165" max="4165" width="10.42578125" bestFit="1" customWidth="1"/>
    <col min="4166" max="4166" width="10.5703125" bestFit="1" customWidth="1"/>
    <col min="4167" max="4167" width="10.42578125" bestFit="1" customWidth="1"/>
    <col min="4168" max="4168" width="10.5703125" bestFit="1" customWidth="1"/>
    <col min="4169" max="4169" width="9.5703125" bestFit="1" customWidth="1"/>
    <col min="4170" max="4170" width="11.5703125" bestFit="1" customWidth="1"/>
    <col min="4171" max="4171" width="10.42578125" bestFit="1" customWidth="1"/>
    <col min="4172" max="4172" width="10.85546875" customWidth="1"/>
    <col min="4173" max="4174" width="9.85546875" bestFit="1" customWidth="1"/>
    <col min="4175" max="4175" width="13.5703125" bestFit="1" customWidth="1"/>
    <col min="4176" max="4176" width="7.7109375" bestFit="1" customWidth="1"/>
    <col min="4177" max="4177" width="13.28515625" bestFit="1" customWidth="1"/>
    <col min="4178" max="4178" width="11.5703125" bestFit="1" customWidth="1"/>
    <col min="4179" max="4179" width="10.42578125" bestFit="1" customWidth="1"/>
    <col min="4180" max="4180" width="7.7109375" bestFit="1" customWidth="1"/>
    <col min="4181" max="4181" width="11.5703125" bestFit="1" customWidth="1"/>
    <col min="4182" max="4182" width="10.85546875" bestFit="1" customWidth="1"/>
    <col min="4183" max="4183" width="13.28515625" bestFit="1" customWidth="1"/>
    <col min="4184" max="4184" width="10.85546875" bestFit="1" customWidth="1"/>
    <col min="4185" max="4186" width="7.5703125" bestFit="1" customWidth="1"/>
    <col min="4187" max="4188" width="10.42578125" bestFit="1" customWidth="1"/>
    <col min="4189" max="4189" width="11.5703125" bestFit="1" customWidth="1"/>
    <col min="4190" max="4190" width="5.28515625" bestFit="1" customWidth="1"/>
    <col min="4191" max="4191" width="10.28515625" bestFit="1" customWidth="1"/>
    <col min="4192" max="4192" width="10.42578125" bestFit="1" customWidth="1"/>
    <col min="4193" max="4193" width="11.5703125" bestFit="1" customWidth="1"/>
    <col min="4194" max="4194" width="5.28515625" bestFit="1" customWidth="1"/>
    <col min="4195" max="4197" width="11.5703125" bestFit="1" customWidth="1"/>
    <col min="4198" max="4198" width="5.28515625" bestFit="1" customWidth="1"/>
    <col min="4199" max="4200" width="10.42578125" bestFit="1" customWidth="1"/>
    <col min="4201" max="4201" width="11.5703125" bestFit="1" customWidth="1"/>
    <col min="4202" max="4202" width="5.28515625" bestFit="1" customWidth="1"/>
    <col min="4203" max="4203" width="14.28515625" bestFit="1" customWidth="1"/>
    <col min="4204" max="4204" width="13" bestFit="1" customWidth="1"/>
    <col min="4205" max="4205" width="11.5703125" bestFit="1" customWidth="1"/>
    <col min="4206" max="4206" width="8.85546875" bestFit="1" customWidth="1"/>
    <col min="4207" max="4207" width="14.42578125" bestFit="1" customWidth="1"/>
    <col min="4208" max="4208" width="10.42578125" bestFit="1" customWidth="1"/>
    <col min="4209" max="4209" width="12.28515625" bestFit="1" customWidth="1"/>
    <col min="4210" max="4210" width="13.85546875" bestFit="1" customWidth="1"/>
    <col min="4211" max="4211" width="11.28515625" customWidth="1"/>
    <col min="4212" max="4212" width="11.5703125" customWidth="1"/>
    <col min="4213" max="4213" width="13.42578125" bestFit="1" customWidth="1"/>
    <col min="4214" max="4214" width="10.42578125" customWidth="1"/>
    <col min="4215" max="4215" width="13.85546875" bestFit="1" customWidth="1"/>
    <col min="4216" max="4216" width="15.42578125" bestFit="1" customWidth="1"/>
    <col min="4217" max="4217" width="12.28515625" bestFit="1" customWidth="1"/>
    <col min="4218" max="4218" width="12.7109375" customWidth="1"/>
    <col min="4219" max="4219" width="10.7109375" bestFit="1" customWidth="1"/>
    <col min="4220" max="4220" width="9.85546875" customWidth="1"/>
    <col min="4221" max="4222" width="10.140625" bestFit="1" customWidth="1"/>
    <col min="4223" max="4223" width="7.5703125" bestFit="1" customWidth="1"/>
    <col min="4224" max="4224" width="9.42578125" bestFit="1" customWidth="1"/>
    <col min="4225" max="4225" width="14.5703125" bestFit="1" customWidth="1"/>
    <col min="4226" max="4226" width="14.85546875" customWidth="1"/>
    <col min="4227" max="4227" width="15.140625" bestFit="1" customWidth="1"/>
    <col min="4228" max="4228" width="12.140625" bestFit="1" customWidth="1"/>
    <col min="4229" max="4229" width="14.85546875" bestFit="1" customWidth="1"/>
    <col min="4230" max="4230" width="12.28515625" bestFit="1" customWidth="1"/>
    <col min="4231" max="4239" width="9.140625" hidden="1" customWidth="1"/>
    <col min="4240" max="4240" width="5.28515625" bestFit="1" customWidth="1"/>
    <col min="4241" max="4246" width="11.5703125" bestFit="1" customWidth="1"/>
    <col min="4247" max="4247" width="11.28515625" bestFit="1" customWidth="1"/>
    <col min="4248" max="4248" width="10.140625" bestFit="1" customWidth="1"/>
    <col min="4249" max="4249" width="11.5703125" bestFit="1" customWidth="1"/>
    <col min="4250" max="4250" width="16.140625" customWidth="1"/>
    <col min="4251" max="4251" width="13.42578125" customWidth="1"/>
    <col min="4252" max="4252" width="10.140625" bestFit="1" customWidth="1"/>
    <col min="4253" max="4253" width="12.85546875" bestFit="1" customWidth="1"/>
    <col min="4254" max="4254" width="12.28515625" bestFit="1" customWidth="1"/>
    <col min="4255" max="4255" width="11.28515625" bestFit="1" customWidth="1"/>
    <col min="4256" max="4256" width="11.5703125" bestFit="1" customWidth="1"/>
    <col min="4257" max="4257" width="10.85546875" bestFit="1" customWidth="1"/>
    <col min="4258" max="4258" width="11.28515625" bestFit="1" customWidth="1"/>
    <col min="4259" max="4259" width="10.140625" bestFit="1" customWidth="1"/>
    <col min="4260" max="4260" width="13.28515625" bestFit="1" customWidth="1"/>
    <col min="4261" max="4262" width="12.7109375" bestFit="1" customWidth="1"/>
    <col min="4263" max="4263" width="11" bestFit="1" customWidth="1"/>
    <col min="4264" max="4264" width="11.28515625" bestFit="1" customWidth="1"/>
    <col min="4265" max="4265" width="11.5703125" bestFit="1" customWidth="1"/>
    <col min="4266" max="4266" width="12.28515625" bestFit="1" customWidth="1"/>
    <col min="4267" max="4267" width="15.140625" bestFit="1" customWidth="1"/>
    <col min="4268" max="4268" width="14.42578125" bestFit="1" customWidth="1"/>
    <col min="4269" max="4269" width="12.28515625" bestFit="1" customWidth="1"/>
    <col min="4270" max="4270" width="15.140625" bestFit="1" customWidth="1"/>
    <col min="4271" max="4271" width="14.42578125" bestFit="1" customWidth="1"/>
    <col min="4272" max="4272" width="12.28515625" bestFit="1" customWidth="1"/>
    <col min="4273" max="4273" width="14.42578125" bestFit="1" customWidth="1"/>
    <col min="4274" max="4274" width="11.28515625" bestFit="1" customWidth="1"/>
    <col min="4275" max="4275" width="12.28515625" bestFit="1" customWidth="1"/>
    <col min="4276" max="4276" width="13" bestFit="1" customWidth="1"/>
    <col min="4277" max="4277" width="15.140625" bestFit="1" customWidth="1"/>
    <col min="4278" max="4278" width="12.28515625" bestFit="1" customWidth="1"/>
    <col min="4279" max="4279" width="13.85546875" bestFit="1" customWidth="1"/>
    <col min="4280" max="4280" width="11.28515625" bestFit="1" customWidth="1"/>
    <col min="4281" max="4281" width="12.28515625" bestFit="1" customWidth="1"/>
    <col min="4282" max="4282" width="13.85546875" bestFit="1" customWidth="1"/>
    <col min="4283" max="4284" width="15.140625" bestFit="1" customWidth="1"/>
    <col min="4285" max="4285" width="12.28515625" bestFit="1" customWidth="1"/>
    <col min="4286" max="4286" width="5.7109375" bestFit="1" customWidth="1"/>
    <col min="4287" max="4287" width="8.5703125" bestFit="1" customWidth="1"/>
    <col min="4288" max="4288" width="5.5703125" bestFit="1" customWidth="1"/>
    <col min="4289" max="4289" width="14.42578125" bestFit="1" customWidth="1"/>
    <col min="4290" max="4290" width="11.28515625" bestFit="1" customWidth="1"/>
    <col min="4291" max="4292" width="12.28515625" bestFit="1" customWidth="1"/>
    <col min="4293" max="4293" width="11.28515625" bestFit="1" customWidth="1"/>
    <col min="4294" max="4294" width="13.85546875" bestFit="1" customWidth="1"/>
    <col min="4295" max="4295" width="12" bestFit="1" customWidth="1"/>
    <col min="4296" max="4296" width="13.85546875" bestFit="1" customWidth="1"/>
    <col min="4297" max="4298" width="14.42578125" customWidth="1"/>
    <col min="4299" max="4299" width="10.140625" bestFit="1" customWidth="1"/>
    <col min="4300" max="4300" width="12.28515625" bestFit="1" customWidth="1"/>
    <col min="4301" max="4301" width="7.42578125" bestFit="1" customWidth="1"/>
    <col min="4302" max="4302" width="8.5703125" bestFit="1" customWidth="1"/>
    <col min="4303" max="4303" width="11.5703125" bestFit="1" customWidth="1"/>
    <col min="4304" max="4304" width="13.28515625" bestFit="1" customWidth="1"/>
    <col min="4305" max="4305" width="13.28515625" customWidth="1"/>
    <col min="4306" max="4306" width="13.140625" customWidth="1"/>
    <col min="4307" max="4307" width="12.7109375" bestFit="1" customWidth="1"/>
    <col min="4308" max="4308" width="13.28515625" bestFit="1" customWidth="1"/>
    <col min="4309" max="4311" width="13.28515625" customWidth="1"/>
    <col min="4312" max="4312" width="12.140625" bestFit="1" customWidth="1"/>
    <col min="4313" max="4313" width="12.7109375" bestFit="1" customWidth="1"/>
    <col min="4314" max="4314" width="11" customWidth="1"/>
    <col min="4315" max="4315" width="16.7109375" customWidth="1"/>
    <col min="4316" max="4316" width="17" customWidth="1"/>
    <col min="4317" max="4317" width="10.42578125" bestFit="1" customWidth="1"/>
    <col min="4361" max="4361" width="3.85546875" customWidth="1"/>
    <col min="4362" max="4362" width="15.28515625" bestFit="1" customWidth="1"/>
    <col min="4363" max="4363" width="12.28515625" customWidth="1"/>
    <col min="4364" max="4364" width="16.28515625" bestFit="1" customWidth="1"/>
    <col min="4365" max="4365" width="6.42578125" bestFit="1" customWidth="1"/>
    <col min="4366" max="4366" width="9.28515625" bestFit="1" customWidth="1"/>
    <col min="4367" max="4367" width="7.5703125" bestFit="1" customWidth="1"/>
    <col min="4368" max="4368" width="13.28515625" bestFit="1" customWidth="1"/>
    <col min="4369" max="4369" width="9.28515625" bestFit="1" customWidth="1"/>
    <col min="4370" max="4370" width="11.5703125" bestFit="1" customWidth="1"/>
    <col min="4371" max="4371" width="13.28515625" bestFit="1" customWidth="1"/>
    <col min="4372" max="4372" width="7.140625" bestFit="1" customWidth="1"/>
    <col min="4373" max="4373" width="12" bestFit="1" customWidth="1"/>
    <col min="4374" max="4374" width="13.28515625" bestFit="1" customWidth="1"/>
    <col min="4375" max="4375" width="7" bestFit="1" customWidth="1"/>
    <col min="4376" max="4376" width="12.7109375" bestFit="1" customWidth="1"/>
    <col min="4377" max="4377" width="11.5703125" bestFit="1" customWidth="1"/>
    <col min="4378" max="4378" width="10.5703125" bestFit="1" customWidth="1"/>
    <col min="4379" max="4380" width="15.7109375" bestFit="1" customWidth="1"/>
    <col min="4381" max="4381" width="11.5703125" bestFit="1" customWidth="1"/>
    <col min="4382" max="4382" width="7.7109375" bestFit="1" customWidth="1"/>
    <col min="4383" max="4383" width="15.140625" bestFit="1" customWidth="1"/>
    <col min="4384" max="4384" width="11.5703125" bestFit="1" customWidth="1"/>
    <col min="4385" max="4385" width="13.28515625" bestFit="1" customWidth="1"/>
    <col min="4386" max="4386" width="10.42578125" bestFit="1" customWidth="1"/>
    <col min="4387" max="4387" width="13.28515625" bestFit="1" customWidth="1"/>
    <col min="4388" max="4388" width="12.140625" bestFit="1" customWidth="1"/>
    <col min="4389" max="4389" width="14.42578125" bestFit="1" customWidth="1"/>
    <col min="4390" max="4390" width="13.28515625" bestFit="1" customWidth="1"/>
    <col min="4391" max="4391" width="11.5703125" bestFit="1" customWidth="1"/>
    <col min="4392" max="4392" width="7.7109375" bestFit="1" customWidth="1"/>
    <col min="4393" max="4394" width="14.42578125" bestFit="1" customWidth="1"/>
    <col min="4395" max="4395" width="11.5703125" bestFit="1" customWidth="1"/>
    <col min="4396" max="4396" width="7.7109375" bestFit="1" customWidth="1"/>
    <col min="4397" max="4397" width="13.5703125" customWidth="1"/>
    <col min="4398" max="4398" width="15.28515625" customWidth="1"/>
    <col min="4399" max="4399" width="14.5703125" customWidth="1"/>
    <col min="4400" max="4400" width="13.28515625" bestFit="1" customWidth="1"/>
    <col min="4401" max="4401" width="7.7109375" bestFit="1" customWidth="1"/>
    <col min="4402" max="4402" width="12.7109375" bestFit="1" customWidth="1"/>
    <col min="4403" max="4403" width="11.7109375" bestFit="1" customWidth="1"/>
    <col min="4404" max="4404" width="11.5703125" bestFit="1" customWidth="1"/>
    <col min="4405" max="4405" width="5.28515625" bestFit="1" customWidth="1"/>
    <col min="4406" max="4406" width="13.28515625" bestFit="1" customWidth="1"/>
    <col min="4407" max="4407" width="13.5703125" bestFit="1" customWidth="1"/>
    <col min="4408" max="4408" width="10.5703125" bestFit="1" customWidth="1"/>
    <col min="4409" max="4409" width="13.28515625" bestFit="1" customWidth="1"/>
    <col min="4410" max="4410" width="11.5703125" bestFit="1" customWidth="1"/>
    <col min="4411" max="4411" width="10.5703125" bestFit="1" customWidth="1"/>
    <col min="4412" max="4412" width="16.140625" bestFit="1" customWidth="1"/>
    <col min="4413" max="4414" width="11.28515625" bestFit="1" customWidth="1"/>
    <col min="4415" max="4415" width="13.28515625" bestFit="1" customWidth="1"/>
    <col min="4416" max="4416" width="7.7109375" bestFit="1" customWidth="1"/>
    <col min="4417" max="4420" width="9.140625" hidden="1" customWidth="1"/>
    <col min="4421" max="4421" width="10.42578125" bestFit="1" customWidth="1"/>
    <col min="4422" max="4422" width="10.5703125" bestFit="1" customWidth="1"/>
    <col min="4423" max="4423" width="10.42578125" bestFit="1" customWidth="1"/>
    <col min="4424" max="4424" width="10.5703125" bestFit="1" customWidth="1"/>
    <col min="4425" max="4425" width="9.5703125" bestFit="1" customWidth="1"/>
    <col min="4426" max="4426" width="11.5703125" bestFit="1" customWidth="1"/>
    <col min="4427" max="4427" width="10.42578125" bestFit="1" customWidth="1"/>
    <col min="4428" max="4428" width="10.85546875" customWidth="1"/>
    <col min="4429" max="4430" width="9.85546875" bestFit="1" customWidth="1"/>
    <col min="4431" max="4431" width="13.5703125" bestFit="1" customWidth="1"/>
    <col min="4432" max="4432" width="7.7109375" bestFit="1" customWidth="1"/>
    <col min="4433" max="4433" width="13.28515625" bestFit="1" customWidth="1"/>
    <col min="4434" max="4434" width="11.5703125" bestFit="1" customWidth="1"/>
    <col min="4435" max="4435" width="10.42578125" bestFit="1" customWidth="1"/>
    <col min="4436" max="4436" width="7.7109375" bestFit="1" customWidth="1"/>
    <col min="4437" max="4437" width="11.5703125" bestFit="1" customWidth="1"/>
    <col min="4438" max="4438" width="10.85546875" bestFit="1" customWidth="1"/>
    <col min="4439" max="4439" width="13.28515625" bestFit="1" customWidth="1"/>
    <col min="4440" max="4440" width="10.85546875" bestFit="1" customWidth="1"/>
    <col min="4441" max="4442" width="7.5703125" bestFit="1" customWidth="1"/>
    <col min="4443" max="4444" width="10.42578125" bestFit="1" customWidth="1"/>
    <col min="4445" max="4445" width="11.5703125" bestFit="1" customWidth="1"/>
    <col min="4446" max="4446" width="5.28515625" bestFit="1" customWidth="1"/>
    <col min="4447" max="4447" width="10.28515625" bestFit="1" customWidth="1"/>
    <col min="4448" max="4448" width="10.42578125" bestFit="1" customWidth="1"/>
    <col min="4449" max="4449" width="11.5703125" bestFit="1" customWidth="1"/>
    <col min="4450" max="4450" width="5.28515625" bestFit="1" customWidth="1"/>
    <col min="4451" max="4453" width="11.5703125" bestFit="1" customWidth="1"/>
    <col min="4454" max="4454" width="5.28515625" bestFit="1" customWidth="1"/>
    <col min="4455" max="4456" width="10.42578125" bestFit="1" customWidth="1"/>
    <col min="4457" max="4457" width="11.5703125" bestFit="1" customWidth="1"/>
    <col min="4458" max="4458" width="5.28515625" bestFit="1" customWidth="1"/>
    <col min="4459" max="4459" width="14.28515625" bestFit="1" customWidth="1"/>
    <col min="4460" max="4460" width="13" bestFit="1" customWidth="1"/>
    <col min="4461" max="4461" width="11.5703125" bestFit="1" customWidth="1"/>
    <col min="4462" max="4462" width="8.85546875" bestFit="1" customWidth="1"/>
    <col min="4463" max="4463" width="14.42578125" bestFit="1" customWidth="1"/>
    <col min="4464" max="4464" width="10.42578125" bestFit="1" customWidth="1"/>
    <col min="4465" max="4465" width="12.28515625" bestFit="1" customWidth="1"/>
    <col min="4466" max="4466" width="13.85546875" bestFit="1" customWidth="1"/>
    <col min="4467" max="4467" width="11.28515625" customWidth="1"/>
    <col min="4468" max="4468" width="11.5703125" customWidth="1"/>
    <col min="4469" max="4469" width="13.42578125" bestFit="1" customWidth="1"/>
    <col min="4470" max="4470" width="10.42578125" customWidth="1"/>
    <col min="4471" max="4471" width="13.85546875" bestFit="1" customWidth="1"/>
    <col min="4472" max="4472" width="15.42578125" bestFit="1" customWidth="1"/>
    <col min="4473" max="4473" width="12.28515625" bestFit="1" customWidth="1"/>
    <col min="4474" max="4474" width="12.7109375" customWidth="1"/>
    <col min="4475" max="4475" width="10.7109375" bestFit="1" customWidth="1"/>
    <col min="4476" max="4476" width="9.85546875" customWidth="1"/>
    <col min="4477" max="4478" width="10.140625" bestFit="1" customWidth="1"/>
    <col min="4479" max="4479" width="7.5703125" bestFit="1" customWidth="1"/>
    <col min="4480" max="4480" width="9.42578125" bestFit="1" customWidth="1"/>
    <col min="4481" max="4481" width="14.5703125" bestFit="1" customWidth="1"/>
    <col min="4482" max="4482" width="14.85546875" customWidth="1"/>
    <col min="4483" max="4483" width="15.140625" bestFit="1" customWidth="1"/>
    <col min="4484" max="4484" width="12.140625" bestFit="1" customWidth="1"/>
    <col min="4485" max="4485" width="14.85546875" bestFit="1" customWidth="1"/>
    <col min="4486" max="4486" width="12.28515625" bestFit="1" customWidth="1"/>
    <col min="4487" max="4495" width="9.140625" hidden="1" customWidth="1"/>
    <col min="4496" max="4496" width="5.28515625" bestFit="1" customWidth="1"/>
    <col min="4497" max="4502" width="11.5703125" bestFit="1" customWidth="1"/>
    <col min="4503" max="4503" width="11.28515625" bestFit="1" customWidth="1"/>
    <col min="4504" max="4504" width="10.140625" bestFit="1" customWidth="1"/>
    <col min="4505" max="4505" width="11.5703125" bestFit="1" customWidth="1"/>
    <col min="4506" max="4506" width="16.140625" customWidth="1"/>
    <col min="4507" max="4507" width="13.42578125" customWidth="1"/>
    <col min="4508" max="4508" width="10.140625" bestFit="1" customWidth="1"/>
    <col min="4509" max="4509" width="12.85546875" bestFit="1" customWidth="1"/>
    <col min="4510" max="4510" width="12.28515625" bestFit="1" customWidth="1"/>
    <col min="4511" max="4511" width="11.28515625" bestFit="1" customWidth="1"/>
    <col min="4512" max="4512" width="11.5703125" bestFit="1" customWidth="1"/>
    <col min="4513" max="4513" width="10.85546875" bestFit="1" customWidth="1"/>
    <col min="4514" max="4514" width="11.28515625" bestFit="1" customWidth="1"/>
    <col min="4515" max="4515" width="10.140625" bestFit="1" customWidth="1"/>
    <col min="4516" max="4516" width="13.28515625" bestFit="1" customWidth="1"/>
    <col min="4517" max="4518" width="12.7109375" bestFit="1" customWidth="1"/>
    <col min="4519" max="4519" width="11" bestFit="1" customWidth="1"/>
    <col min="4520" max="4520" width="11.28515625" bestFit="1" customWidth="1"/>
    <col min="4521" max="4521" width="11.5703125" bestFit="1" customWidth="1"/>
    <col min="4522" max="4522" width="12.28515625" bestFit="1" customWidth="1"/>
    <col min="4523" max="4523" width="15.140625" bestFit="1" customWidth="1"/>
    <col min="4524" max="4524" width="14.42578125" bestFit="1" customWidth="1"/>
    <col min="4525" max="4525" width="12.28515625" bestFit="1" customWidth="1"/>
    <col min="4526" max="4526" width="15.140625" bestFit="1" customWidth="1"/>
    <col min="4527" max="4527" width="14.42578125" bestFit="1" customWidth="1"/>
    <col min="4528" max="4528" width="12.28515625" bestFit="1" customWidth="1"/>
    <col min="4529" max="4529" width="14.42578125" bestFit="1" customWidth="1"/>
    <col min="4530" max="4530" width="11.28515625" bestFit="1" customWidth="1"/>
    <col min="4531" max="4531" width="12.28515625" bestFit="1" customWidth="1"/>
    <col min="4532" max="4532" width="13" bestFit="1" customWidth="1"/>
    <col min="4533" max="4533" width="15.140625" bestFit="1" customWidth="1"/>
    <col min="4534" max="4534" width="12.28515625" bestFit="1" customWidth="1"/>
    <col min="4535" max="4535" width="13.85546875" bestFit="1" customWidth="1"/>
    <col min="4536" max="4536" width="11.28515625" bestFit="1" customWidth="1"/>
    <col min="4537" max="4537" width="12.28515625" bestFit="1" customWidth="1"/>
    <col min="4538" max="4538" width="13.85546875" bestFit="1" customWidth="1"/>
    <col min="4539" max="4540" width="15.140625" bestFit="1" customWidth="1"/>
    <col min="4541" max="4541" width="12.28515625" bestFit="1" customWidth="1"/>
    <col min="4542" max="4542" width="5.7109375" bestFit="1" customWidth="1"/>
    <col min="4543" max="4543" width="8.5703125" bestFit="1" customWidth="1"/>
    <col min="4544" max="4544" width="5.5703125" bestFit="1" customWidth="1"/>
    <col min="4545" max="4545" width="14.42578125" bestFit="1" customWidth="1"/>
    <col min="4546" max="4546" width="11.28515625" bestFit="1" customWidth="1"/>
    <col min="4547" max="4548" width="12.28515625" bestFit="1" customWidth="1"/>
    <col min="4549" max="4549" width="11.28515625" bestFit="1" customWidth="1"/>
    <col min="4550" max="4550" width="13.85546875" bestFit="1" customWidth="1"/>
    <col min="4551" max="4551" width="12" bestFit="1" customWidth="1"/>
    <col min="4552" max="4552" width="13.85546875" bestFit="1" customWidth="1"/>
    <col min="4553" max="4554" width="14.42578125" customWidth="1"/>
    <col min="4555" max="4555" width="10.140625" bestFit="1" customWidth="1"/>
    <col min="4556" max="4556" width="12.28515625" bestFit="1" customWidth="1"/>
    <col min="4557" max="4557" width="7.42578125" bestFit="1" customWidth="1"/>
    <col min="4558" max="4558" width="8.5703125" bestFit="1" customWidth="1"/>
    <col min="4559" max="4559" width="11.5703125" bestFit="1" customWidth="1"/>
    <col min="4560" max="4560" width="13.28515625" bestFit="1" customWidth="1"/>
    <col min="4561" max="4561" width="13.28515625" customWidth="1"/>
    <col min="4562" max="4562" width="13.140625" customWidth="1"/>
    <col min="4563" max="4563" width="12.7109375" bestFit="1" customWidth="1"/>
    <col min="4564" max="4564" width="13.28515625" bestFit="1" customWidth="1"/>
    <col min="4565" max="4567" width="13.28515625" customWidth="1"/>
    <col min="4568" max="4568" width="12.140625" bestFit="1" customWidth="1"/>
    <col min="4569" max="4569" width="12.7109375" bestFit="1" customWidth="1"/>
    <col min="4570" max="4570" width="11" customWidth="1"/>
    <col min="4571" max="4571" width="16.7109375" customWidth="1"/>
    <col min="4572" max="4572" width="17" customWidth="1"/>
    <col min="4573" max="4573" width="10.42578125" bestFit="1" customWidth="1"/>
    <col min="4617" max="4617" width="3.85546875" customWidth="1"/>
    <col min="4618" max="4618" width="15.28515625" bestFit="1" customWidth="1"/>
    <col min="4619" max="4619" width="12.28515625" customWidth="1"/>
    <col min="4620" max="4620" width="16.28515625" bestFit="1" customWidth="1"/>
    <col min="4621" max="4621" width="6.42578125" bestFit="1" customWidth="1"/>
    <col min="4622" max="4622" width="9.28515625" bestFit="1" customWidth="1"/>
    <col min="4623" max="4623" width="7.5703125" bestFit="1" customWidth="1"/>
    <col min="4624" max="4624" width="13.28515625" bestFit="1" customWidth="1"/>
    <col min="4625" max="4625" width="9.28515625" bestFit="1" customWidth="1"/>
    <col min="4626" max="4626" width="11.5703125" bestFit="1" customWidth="1"/>
    <col min="4627" max="4627" width="13.28515625" bestFit="1" customWidth="1"/>
    <col min="4628" max="4628" width="7.140625" bestFit="1" customWidth="1"/>
    <col min="4629" max="4629" width="12" bestFit="1" customWidth="1"/>
    <col min="4630" max="4630" width="13.28515625" bestFit="1" customWidth="1"/>
    <col min="4631" max="4631" width="7" bestFit="1" customWidth="1"/>
    <col min="4632" max="4632" width="12.7109375" bestFit="1" customWidth="1"/>
    <col min="4633" max="4633" width="11.5703125" bestFit="1" customWidth="1"/>
    <col min="4634" max="4634" width="10.5703125" bestFit="1" customWidth="1"/>
    <col min="4635" max="4636" width="15.7109375" bestFit="1" customWidth="1"/>
    <col min="4637" max="4637" width="11.5703125" bestFit="1" customWidth="1"/>
    <col min="4638" max="4638" width="7.7109375" bestFit="1" customWidth="1"/>
    <col min="4639" max="4639" width="15.140625" bestFit="1" customWidth="1"/>
    <col min="4640" max="4640" width="11.5703125" bestFit="1" customWidth="1"/>
    <col min="4641" max="4641" width="13.28515625" bestFit="1" customWidth="1"/>
    <col min="4642" max="4642" width="10.42578125" bestFit="1" customWidth="1"/>
    <col min="4643" max="4643" width="13.28515625" bestFit="1" customWidth="1"/>
    <col min="4644" max="4644" width="12.140625" bestFit="1" customWidth="1"/>
    <col min="4645" max="4645" width="14.42578125" bestFit="1" customWidth="1"/>
    <col min="4646" max="4646" width="13.28515625" bestFit="1" customWidth="1"/>
    <col min="4647" max="4647" width="11.5703125" bestFit="1" customWidth="1"/>
    <col min="4648" max="4648" width="7.7109375" bestFit="1" customWidth="1"/>
    <col min="4649" max="4650" width="14.42578125" bestFit="1" customWidth="1"/>
    <col min="4651" max="4651" width="11.5703125" bestFit="1" customWidth="1"/>
    <col min="4652" max="4652" width="7.7109375" bestFit="1" customWidth="1"/>
    <col min="4653" max="4653" width="13.5703125" customWidth="1"/>
    <col min="4654" max="4654" width="15.28515625" customWidth="1"/>
    <col min="4655" max="4655" width="14.5703125" customWidth="1"/>
    <col min="4656" max="4656" width="13.28515625" bestFit="1" customWidth="1"/>
    <col min="4657" max="4657" width="7.7109375" bestFit="1" customWidth="1"/>
    <col min="4658" max="4658" width="12.7109375" bestFit="1" customWidth="1"/>
    <col min="4659" max="4659" width="11.7109375" bestFit="1" customWidth="1"/>
    <col min="4660" max="4660" width="11.5703125" bestFit="1" customWidth="1"/>
    <col min="4661" max="4661" width="5.28515625" bestFit="1" customWidth="1"/>
    <col min="4662" max="4662" width="13.28515625" bestFit="1" customWidth="1"/>
    <col min="4663" max="4663" width="13.5703125" bestFit="1" customWidth="1"/>
    <col min="4664" max="4664" width="10.5703125" bestFit="1" customWidth="1"/>
    <col min="4665" max="4665" width="13.28515625" bestFit="1" customWidth="1"/>
    <col min="4666" max="4666" width="11.5703125" bestFit="1" customWidth="1"/>
    <col min="4667" max="4667" width="10.5703125" bestFit="1" customWidth="1"/>
    <col min="4668" max="4668" width="16.140625" bestFit="1" customWidth="1"/>
    <col min="4669" max="4670" width="11.28515625" bestFit="1" customWidth="1"/>
    <col min="4671" max="4671" width="13.28515625" bestFit="1" customWidth="1"/>
    <col min="4672" max="4672" width="7.7109375" bestFit="1" customWidth="1"/>
    <col min="4673" max="4676" width="9.140625" hidden="1" customWidth="1"/>
    <col min="4677" max="4677" width="10.42578125" bestFit="1" customWidth="1"/>
    <col min="4678" max="4678" width="10.5703125" bestFit="1" customWidth="1"/>
    <col min="4679" max="4679" width="10.42578125" bestFit="1" customWidth="1"/>
    <col min="4680" max="4680" width="10.5703125" bestFit="1" customWidth="1"/>
    <col min="4681" max="4681" width="9.5703125" bestFit="1" customWidth="1"/>
    <col min="4682" max="4682" width="11.5703125" bestFit="1" customWidth="1"/>
    <col min="4683" max="4683" width="10.42578125" bestFit="1" customWidth="1"/>
    <col min="4684" max="4684" width="10.85546875" customWidth="1"/>
    <col min="4685" max="4686" width="9.85546875" bestFit="1" customWidth="1"/>
    <col min="4687" max="4687" width="13.5703125" bestFit="1" customWidth="1"/>
    <col min="4688" max="4688" width="7.7109375" bestFit="1" customWidth="1"/>
    <col min="4689" max="4689" width="13.28515625" bestFit="1" customWidth="1"/>
    <col min="4690" max="4690" width="11.5703125" bestFit="1" customWidth="1"/>
    <col min="4691" max="4691" width="10.42578125" bestFit="1" customWidth="1"/>
    <col min="4692" max="4692" width="7.7109375" bestFit="1" customWidth="1"/>
    <col min="4693" max="4693" width="11.5703125" bestFit="1" customWidth="1"/>
    <col min="4694" max="4694" width="10.85546875" bestFit="1" customWidth="1"/>
    <col min="4695" max="4695" width="13.28515625" bestFit="1" customWidth="1"/>
    <col min="4696" max="4696" width="10.85546875" bestFit="1" customWidth="1"/>
    <col min="4697" max="4698" width="7.5703125" bestFit="1" customWidth="1"/>
    <col min="4699" max="4700" width="10.42578125" bestFit="1" customWidth="1"/>
    <col min="4701" max="4701" width="11.5703125" bestFit="1" customWidth="1"/>
    <col min="4702" max="4702" width="5.28515625" bestFit="1" customWidth="1"/>
    <col min="4703" max="4703" width="10.28515625" bestFit="1" customWidth="1"/>
    <col min="4704" max="4704" width="10.42578125" bestFit="1" customWidth="1"/>
    <col min="4705" max="4705" width="11.5703125" bestFit="1" customWidth="1"/>
    <col min="4706" max="4706" width="5.28515625" bestFit="1" customWidth="1"/>
    <col min="4707" max="4709" width="11.5703125" bestFit="1" customWidth="1"/>
    <col min="4710" max="4710" width="5.28515625" bestFit="1" customWidth="1"/>
    <col min="4711" max="4712" width="10.42578125" bestFit="1" customWidth="1"/>
    <col min="4713" max="4713" width="11.5703125" bestFit="1" customWidth="1"/>
    <col min="4714" max="4714" width="5.28515625" bestFit="1" customWidth="1"/>
    <col min="4715" max="4715" width="14.28515625" bestFit="1" customWidth="1"/>
    <col min="4716" max="4716" width="13" bestFit="1" customWidth="1"/>
    <col min="4717" max="4717" width="11.5703125" bestFit="1" customWidth="1"/>
    <col min="4718" max="4718" width="8.85546875" bestFit="1" customWidth="1"/>
    <col min="4719" max="4719" width="14.42578125" bestFit="1" customWidth="1"/>
    <col min="4720" max="4720" width="10.42578125" bestFit="1" customWidth="1"/>
    <col min="4721" max="4721" width="12.28515625" bestFit="1" customWidth="1"/>
    <col min="4722" max="4722" width="13.85546875" bestFit="1" customWidth="1"/>
    <col min="4723" max="4723" width="11.28515625" customWidth="1"/>
    <col min="4724" max="4724" width="11.5703125" customWidth="1"/>
    <col min="4725" max="4725" width="13.42578125" bestFit="1" customWidth="1"/>
    <col min="4726" max="4726" width="10.42578125" customWidth="1"/>
    <col min="4727" max="4727" width="13.85546875" bestFit="1" customWidth="1"/>
    <col min="4728" max="4728" width="15.42578125" bestFit="1" customWidth="1"/>
    <col min="4729" max="4729" width="12.28515625" bestFit="1" customWidth="1"/>
    <col min="4730" max="4730" width="12.7109375" customWidth="1"/>
    <col min="4731" max="4731" width="10.7109375" bestFit="1" customWidth="1"/>
    <col min="4732" max="4732" width="9.85546875" customWidth="1"/>
    <col min="4733" max="4734" width="10.140625" bestFit="1" customWidth="1"/>
    <col min="4735" max="4735" width="7.5703125" bestFit="1" customWidth="1"/>
    <col min="4736" max="4736" width="9.42578125" bestFit="1" customWidth="1"/>
    <col min="4737" max="4737" width="14.5703125" bestFit="1" customWidth="1"/>
    <col min="4738" max="4738" width="14.85546875" customWidth="1"/>
    <col min="4739" max="4739" width="15.140625" bestFit="1" customWidth="1"/>
    <col min="4740" max="4740" width="12.140625" bestFit="1" customWidth="1"/>
    <col min="4741" max="4741" width="14.85546875" bestFit="1" customWidth="1"/>
    <col min="4742" max="4742" width="12.28515625" bestFit="1" customWidth="1"/>
    <col min="4743" max="4751" width="9.140625" hidden="1" customWidth="1"/>
    <col min="4752" max="4752" width="5.28515625" bestFit="1" customWidth="1"/>
    <col min="4753" max="4758" width="11.5703125" bestFit="1" customWidth="1"/>
    <col min="4759" max="4759" width="11.28515625" bestFit="1" customWidth="1"/>
    <col min="4760" max="4760" width="10.140625" bestFit="1" customWidth="1"/>
    <col min="4761" max="4761" width="11.5703125" bestFit="1" customWidth="1"/>
    <col min="4762" max="4762" width="16.140625" customWidth="1"/>
    <col min="4763" max="4763" width="13.42578125" customWidth="1"/>
    <col min="4764" max="4764" width="10.140625" bestFit="1" customWidth="1"/>
    <col min="4765" max="4765" width="12.85546875" bestFit="1" customWidth="1"/>
    <col min="4766" max="4766" width="12.28515625" bestFit="1" customWidth="1"/>
    <col min="4767" max="4767" width="11.28515625" bestFit="1" customWidth="1"/>
    <col min="4768" max="4768" width="11.5703125" bestFit="1" customWidth="1"/>
    <col min="4769" max="4769" width="10.85546875" bestFit="1" customWidth="1"/>
    <col min="4770" max="4770" width="11.28515625" bestFit="1" customWidth="1"/>
    <col min="4771" max="4771" width="10.140625" bestFit="1" customWidth="1"/>
    <col min="4772" max="4772" width="13.28515625" bestFit="1" customWidth="1"/>
    <col min="4773" max="4774" width="12.7109375" bestFit="1" customWidth="1"/>
    <col min="4775" max="4775" width="11" bestFit="1" customWidth="1"/>
    <col min="4776" max="4776" width="11.28515625" bestFit="1" customWidth="1"/>
    <col min="4777" max="4777" width="11.5703125" bestFit="1" customWidth="1"/>
    <col min="4778" max="4778" width="12.28515625" bestFit="1" customWidth="1"/>
    <col min="4779" max="4779" width="15.140625" bestFit="1" customWidth="1"/>
    <col min="4780" max="4780" width="14.42578125" bestFit="1" customWidth="1"/>
    <col min="4781" max="4781" width="12.28515625" bestFit="1" customWidth="1"/>
    <col min="4782" max="4782" width="15.140625" bestFit="1" customWidth="1"/>
    <col min="4783" max="4783" width="14.42578125" bestFit="1" customWidth="1"/>
    <col min="4784" max="4784" width="12.28515625" bestFit="1" customWidth="1"/>
    <col min="4785" max="4785" width="14.42578125" bestFit="1" customWidth="1"/>
    <col min="4786" max="4786" width="11.28515625" bestFit="1" customWidth="1"/>
    <col min="4787" max="4787" width="12.28515625" bestFit="1" customWidth="1"/>
    <col min="4788" max="4788" width="13" bestFit="1" customWidth="1"/>
    <col min="4789" max="4789" width="15.140625" bestFit="1" customWidth="1"/>
    <col min="4790" max="4790" width="12.28515625" bestFit="1" customWidth="1"/>
    <col min="4791" max="4791" width="13.85546875" bestFit="1" customWidth="1"/>
    <col min="4792" max="4792" width="11.28515625" bestFit="1" customWidth="1"/>
    <col min="4793" max="4793" width="12.28515625" bestFit="1" customWidth="1"/>
    <col min="4794" max="4794" width="13.85546875" bestFit="1" customWidth="1"/>
    <col min="4795" max="4796" width="15.140625" bestFit="1" customWidth="1"/>
    <col min="4797" max="4797" width="12.28515625" bestFit="1" customWidth="1"/>
    <col min="4798" max="4798" width="5.7109375" bestFit="1" customWidth="1"/>
    <col min="4799" max="4799" width="8.5703125" bestFit="1" customWidth="1"/>
    <col min="4800" max="4800" width="5.5703125" bestFit="1" customWidth="1"/>
    <col min="4801" max="4801" width="14.42578125" bestFit="1" customWidth="1"/>
    <col min="4802" max="4802" width="11.28515625" bestFit="1" customWidth="1"/>
    <col min="4803" max="4804" width="12.28515625" bestFit="1" customWidth="1"/>
    <col min="4805" max="4805" width="11.28515625" bestFit="1" customWidth="1"/>
    <col min="4806" max="4806" width="13.85546875" bestFit="1" customWidth="1"/>
    <col min="4807" max="4807" width="12" bestFit="1" customWidth="1"/>
    <col min="4808" max="4808" width="13.85546875" bestFit="1" customWidth="1"/>
    <col min="4809" max="4810" width="14.42578125" customWidth="1"/>
    <col min="4811" max="4811" width="10.140625" bestFit="1" customWidth="1"/>
    <col min="4812" max="4812" width="12.28515625" bestFit="1" customWidth="1"/>
    <col min="4813" max="4813" width="7.42578125" bestFit="1" customWidth="1"/>
    <col min="4814" max="4814" width="8.5703125" bestFit="1" customWidth="1"/>
    <col min="4815" max="4815" width="11.5703125" bestFit="1" customWidth="1"/>
    <col min="4816" max="4816" width="13.28515625" bestFit="1" customWidth="1"/>
    <col min="4817" max="4817" width="13.28515625" customWidth="1"/>
    <col min="4818" max="4818" width="13.140625" customWidth="1"/>
    <col min="4819" max="4819" width="12.7109375" bestFit="1" customWidth="1"/>
    <col min="4820" max="4820" width="13.28515625" bestFit="1" customWidth="1"/>
    <col min="4821" max="4823" width="13.28515625" customWidth="1"/>
    <col min="4824" max="4824" width="12.140625" bestFit="1" customWidth="1"/>
    <col min="4825" max="4825" width="12.7109375" bestFit="1" customWidth="1"/>
    <col min="4826" max="4826" width="11" customWidth="1"/>
    <col min="4827" max="4827" width="16.7109375" customWidth="1"/>
    <col min="4828" max="4828" width="17" customWidth="1"/>
    <col min="4829" max="4829" width="10.42578125" bestFit="1" customWidth="1"/>
    <col min="4873" max="4873" width="3.85546875" customWidth="1"/>
    <col min="4874" max="4874" width="15.28515625" bestFit="1" customWidth="1"/>
    <col min="4875" max="4875" width="12.28515625" customWidth="1"/>
    <col min="4876" max="4876" width="16.28515625" bestFit="1" customWidth="1"/>
    <col min="4877" max="4877" width="6.42578125" bestFit="1" customWidth="1"/>
    <col min="4878" max="4878" width="9.28515625" bestFit="1" customWidth="1"/>
    <col min="4879" max="4879" width="7.5703125" bestFit="1" customWidth="1"/>
    <col min="4880" max="4880" width="13.28515625" bestFit="1" customWidth="1"/>
    <col min="4881" max="4881" width="9.28515625" bestFit="1" customWidth="1"/>
    <col min="4882" max="4882" width="11.5703125" bestFit="1" customWidth="1"/>
    <col min="4883" max="4883" width="13.28515625" bestFit="1" customWidth="1"/>
    <col min="4884" max="4884" width="7.140625" bestFit="1" customWidth="1"/>
    <col min="4885" max="4885" width="12" bestFit="1" customWidth="1"/>
    <col min="4886" max="4886" width="13.28515625" bestFit="1" customWidth="1"/>
    <col min="4887" max="4887" width="7" bestFit="1" customWidth="1"/>
    <col min="4888" max="4888" width="12.7109375" bestFit="1" customWidth="1"/>
    <col min="4889" max="4889" width="11.5703125" bestFit="1" customWidth="1"/>
    <col min="4890" max="4890" width="10.5703125" bestFit="1" customWidth="1"/>
    <col min="4891" max="4892" width="15.7109375" bestFit="1" customWidth="1"/>
    <col min="4893" max="4893" width="11.5703125" bestFit="1" customWidth="1"/>
    <col min="4894" max="4894" width="7.7109375" bestFit="1" customWidth="1"/>
    <col min="4895" max="4895" width="15.140625" bestFit="1" customWidth="1"/>
    <col min="4896" max="4896" width="11.5703125" bestFit="1" customWidth="1"/>
    <col min="4897" max="4897" width="13.28515625" bestFit="1" customWidth="1"/>
    <col min="4898" max="4898" width="10.42578125" bestFit="1" customWidth="1"/>
    <col min="4899" max="4899" width="13.28515625" bestFit="1" customWidth="1"/>
    <col min="4900" max="4900" width="12.140625" bestFit="1" customWidth="1"/>
    <col min="4901" max="4901" width="14.42578125" bestFit="1" customWidth="1"/>
    <col min="4902" max="4902" width="13.28515625" bestFit="1" customWidth="1"/>
    <col min="4903" max="4903" width="11.5703125" bestFit="1" customWidth="1"/>
    <col min="4904" max="4904" width="7.7109375" bestFit="1" customWidth="1"/>
    <col min="4905" max="4906" width="14.42578125" bestFit="1" customWidth="1"/>
    <col min="4907" max="4907" width="11.5703125" bestFit="1" customWidth="1"/>
    <col min="4908" max="4908" width="7.7109375" bestFit="1" customWidth="1"/>
    <col min="4909" max="4909" width="13.5703125" customWidth="1"/>
    <col min="4910" max="4910" width="15.28515625" customWidth="1"/>
    <col min="4911" max="4911" width="14.5703125" customWidth="1"/>
    <col min="4912" max="4912" width="13.28515625" bestFit="1" customWidth="1"/>
    <col min="4913" max="4913" width="7.7109375" bestFit="1" customWidth="1"/>
    <col min="4914" max="4914" width="12.7109375" bestFit="1" customWidth="1"/>
    <col min="4915" max="4915" width="11.7109375" bestFit="1" customWidth="1"/>
    <col min="4916" max="4916" width="11.5703125" bestFit="1" customWidth="1"/>
    <col min="4917" max="4917" width="5.28515625" bestFit="1" customWidth="1"/>
    <col min="4918" max="4918" width="13.28515625" bestFit="1" customWidth="1"/>
    <col min="4919" max="4919" width="13.5703125" bestFit="1" customWidth="1"/>
    <col min="4920" max="4920" width="10.5703125" bestFit="1" customWidth="1"/>
    <col min="4921" max="4921" width="13.28515625" bestFit="1" customWidth="1"/>
    <col min="4922" max="4922" width="11.5703125" bestFit="1" customWidth="1"/>
    <col min="4923" max="4923" width="10.5703125" bestFit="1" customWidth="1"/>
    <col min="4924" max="4924" width="16.140625" bestFit="1" customWidth="1"/>
    <col min="4925" max="4926" width="11.28515625" bestFit="1" customWidth="1"/>
    <col min="4927" max="4927" width="13.28515625" bestFit="1" customWidth="1"/>
    <col min="4928" max="4928" width="7.7109375" bestFit="1" customWidth="1"/>
    <col min="4929" max="4932" width="9.140625" hidden="1" customWidth="1"/>
    <col min="4933" max="4933" width="10.42578125" bestFit="1" customWidth="1"/>
    <col min="4934" max="4934" width="10.5703125" bestFit="1" customWidth="1"/>
    <col min="4935" max="4935" width="10.42578125" bestFit="1" customWidth="1"/>
    <col min="4936" max="4936" width="10.5703125" bestFit="1" customWidth="1"/>
    <col min="4937" max="4937" width="9.5703125" bestFit="1" customWidth="1"/>
    <col min="4938" max="4938" width="11.5703125" bestFit="1" customWidth="1"/>
    <col min="4939" max="4939" width="10.42578125" bestFit="1" customWidth="1"/>
    <col min="4940" max="4940" width="10.85546875" customWidth="1"/>
    <col min="4941" max="4942" width="9.85546875" bestFit="1" customWidth="1"/>
    <col min="4943" max="4943" width="13.5703125" bestFit="1" customWidth="1"/>
    <col min="4944" max="4944" width="7.7109375" bestFit="1" customWidth="1"/>
    <col min="4945" max="4945" width="13.28515625" bestFit="1" customWidth="1"/>
    <col min="4946" max="4946" width="11.5703125" bestFit="1" customWidth="1"/>
    <col min="4947" max="4947" width="10.42578125" bestFit="1" customWidth="1"/>
    <col min="4948" max="4948" width="7.7109375" bestFit="1" customWidth="1"/>
    <col min="4949" max="4949" width="11.5703125" bestFit="1" customWidth="1"/>
    <col min="4950" max="4950" width="10.85546875" bestFit="1" customWidth="1"/>
    <col min="4951" max="4951" width="13.28515625" bestFit="1" customWidth="1"/>
    <col min="4952" max="4952" width="10.85546875" bestFit="1" customWidth="1"/>
    <col min="4953" max="4954" width="7.5703125" bestFit="1" customWidth="1"/>
    <col min="4955" max="4956" width="10.42578125" bestFit="1" customWidth="1"/>
    <col min="4957" max="4957" width="11.5703125" bestFit="1" customWidth="1"/>
    <col min="4958" max="4958" width="5.28515625" bestFit="1" customWidth="1"/>
    <col min="4959" max="4959" width="10.28515625" bestFit="1" customWidth="1"/>
    <col min="4960" max="4960" width="10.42578125" bestFit="1" customWidth="1"/>
    <col min="4961" max="4961" width="11.5703125" bestFit="1" customWidth="1"/>
    <col min="4962" max="4962" width="5.28515625" bestFit="1" customWidth="1"/>
    <col min="4963" max="4965" width="11.5703125" bestFit="1" customWidth="1"/>
    <col min="4966" max="4966" width="5.28515625" bestFit="1" customWidth="1"/>
    <col min="4967" max="4968" width="10.42578125" bestFit="1" customWidth="1"/>
    <col min="4969" max="4969" width="11.5703125" bestFit="1" customWidth="1"/>
    <col min="4970" max="4970" width="5.28515625" bestFit="1" customWidth="1"/>
    <col min="4971" max="4971" width="14.28515625" bestFit="1" customWidth="1"/>
    <col min="4972" max="4972" width="13" bestFit="1" customWidth="1"/>
    <col min="4973" max="4973" width="11.5703125" bestFit="1" customWidth="1"/>
    <col min="4974" max="4974" width="8.85546875" bestFit="1" customWidth="1"/>
    <col min="4975" max="4975" width="14.42578125" bestFit="1" customWidth="1"/>
    <col min="4976" max="4976" width="10.42578125" bestFit="1" customWidth="1"/>
    <col min="4977" max="4977" width="12.28515625" bestFit="1" customWidth="1"/>
    <col min="4978" max="4978" width="13.85546875" bestFit="1" customWidth="1"/>
    <col min="4979" max="4979" width="11.28515625" customWidth="1"/>
    <col min="4980" max="4980" width="11.5703125" customWidth="1"/>
    <col min="4981" max="4981" width="13.42578125" bestFit="1" customWidth="1"/>
    <col min="4982" max="4982" width="10.42578125" customWidth="1"/>
    <col min="4983" max="4983" width="13.85546875" bestFit="1" customWidth="1"/>
    <col min="4984" max="4984" width="15.42578125" bestFit="1" customWidth="1"/>
    <col min="4985" max="4985" width="12.28515625" bestFit="1" customWidth="1"/>
    <col min="4986" max="4986" width="12.7109375" customWidth="1"/>
    <col min="4987" max="4987" width="10.7109375" bestFit="1" customWidth="1"/>
    <col min="4988" max="4988" width="9.85546875" customWidth="1"/>
    <col min="4989" max="4990" width="10.140625" bestFit="1" customWidth="1"/>
    <col min="4991" max="4991" width="7.5703125" bestFit="1" customWidth="1"/>
    <col min="4992" max="4992" width="9.42578125" bestFit="1" customWidth="1"/>
    <col min="4993" max="4993" width="14.5703125" bestFit="1" customWidth="1"/>
    <col min="4994" max="4994" width="14.85546875" customWidth="1"/>
    <col min="4995" max="4995" width="15.140625" bestFit="1" customWidth="1"/>
    <col min="4996" max="4996" width="12.140625" bestFit="1" customWidth="1"/>
    <col min="4997" max="4997" width="14.85546875" bestFit="1" customWidth="1"/>
    <col min="4998" max="4998" width="12.28515625" bestFit="1" customWidth="1"/>
    <col min="4999" max="5007" width="9.140625" hidden="1" customWidth="1"/>
    <col min="5008" max="5008" width="5.28515625" bestFit="1" customWidth="1"/>
    <col min="5009" max="5014" width="11.5703125" bestFit="1" customWidth="1"/>
    <col min="5015" max="5015" width="11.28515625" bestFit="1" customWidth="1"/>
    <col min="5016" max="5016" width="10.140625" bestFit="1" customWidth="1"/>
    <col min="5017" max="5017" width="11.5703125" bestFit="1" customWidth="1"/>
    <col min="5018" max="5018" width="16.140625" customWidth="1"/>
    <col min="5019" max="5019" width="13.42578125" customWidth="1"/>
    <col min="5020" max="5020" width="10.140625" bestFit="1" customWidth="1"/>
    <col min="5021" max="5021" width="12.85546875" bestFit="1" customWidth="1"/>
    <col min="5022" max="5022" width="12.28515625" bestFit="1" customWidth="1"/>
    <col min="5023" max="5023" width="11.28515625" bestFit="1" customWidth="1"/>
    <col min="5024" max="5024" width="11.5703125" bestFit="1" customWidth="1"/>
    <col min="5025" max="5025" width="10.85546875" bestFit="1" customWidth="1"/>
    <col min="5026" max="5026" width="11.28515625" bestFit="1" customWidth="1"/>
    <col min="5027" max="5027" width="10.140625" bestFit="1" customWidth="1"/>
    <col min="5028" max="5028" width="13.28515625" bestFit="1" customWidth="1"/>
    <col min="5029" max="5030" width="12.7109375" bestFit="1" customWidth="1"/>
    <col min="5031" max="5031" width="11" bestFit="1" customWidth="1"/>
    <col min="5032" max="5032" width="11.28515625" bestFit="1" customWidth="1"/>
    <col min="5033" max="5033" width="11.5703125" bestFit="1" customWidth="1"/>
    <col min="5034" max="5034" width="12.28515625" bestFit="1" customWidth="1"/>
    <col min="5035" max="5035" width="15.140625" bestFit="1" customWidth="1"/>
    <col min="5036" max="5036" width="14.42578125" bestFit="1" customWidth="1"/>
    <col min="5037" max="5037" width="12.28515625" bestFit="1" customWidth="1"/>
    <col min="5038" max="5038" width="15.140625" bestFit="1" customWidth="1"/>
    <col min="5039" max="5039" width="14.42578125" bestFit="1" customWidth="1"/>
    <col min="5040" max="5040" width="12.28515625" bestFit="1" customWidth="1"/>
    <col min="5041" max="5041" width="14.42578125" bestFit="1" customWidth="1"/>
    <col min="5042" max="5042" width="11.28515625" bestFit="1" customWidth="1"/>
    <col min="5043" max="5043" width="12.28515625" bestFit="1" customWidth="1"/>
    <col min="5044" max="5044" width="13" bestFit="1" customWidth="1"/>
    <col min="5045" max="5045" width="15.140625" bestFit="1" customWidth="1"/>
    <col min="5046" max="5046" width="12.28515625" bestFit="1" customWidth="1"/>
    <col min="5047" max="5047" width="13.85546875" bestFit="1" customWidth="1"/>
    <col min="5048" max="5048" width="11.28515625" bestFit="1" customWidth="1"/>
    <col min="5049" max="5049" width="12.28515625" bestFit="1" customWidth="1"/>
    <col min="5050" max="5050" width="13.85546875" bestFit="1" customWidth="1"/>
    <col min="5051" max="5052" width="15.140625" bestFit="1" customWidth="1"/>
    <col min="5053" max="5053" width="12.28515625" bestFit="1" customWidth="1"/>
    <col min="5054" max="5054" width="5.7109375" bestFit="1" customWidth="1"/>
    <col min="5055" max="5055" width="8.5703125" bestFit="1" customWidth="1"/>
    <col min="5056" max="5056" width="5.5703125" bestFit="1" customWidth="1"/>
    <col min="5057" max="5057" width="14.42578125" bestFit="1" customWidth="1"/>
    <col min="5058" max="5058" width="11.28515625" bestFit="1" customWidth="1"/>
    <col min="5059" max="5060" width="12.28515625" bestFit="1" customWidth="1"/>
    <col min="5061" max="5061" width="11.28515625" bestFit="1" customWidth="1"/>
    <col min="5062" max="5062" width="13.85546875" bestFit="1" customWidth="1"/>
    <col min="5063" max="5063" width="12" bestFit="1" customWidth="1"/>
    <col min="5064" max="5064" width="13.85546875" bestFit="1" customWidth="1"/>
    <col min="5065" max="5066" width="14.42578125" customWidth="1"/>
    <col min="5067" max="5067" width="10.140625" bestFit="1" customWidth="1"/>
    <col min="5068" max="5068" width="12.28515625" bestFit="1" customWidth="1"/>
    <col min="5069" max="5069" width="7.42578125" bestFit="1" customWidth="1"/>
    <col min="5070" max="5070" width="8.5703125" bestFit="1" customWidth="1"/>
    <col min="5071" max="5071" width="11.5703125" bestFit="1" customWidth="1"/>
    <col min="5072" max="5072" width="13.28515625" bestFit="1" customWidth="1"/>
    <col min="5073" max="5073" width="13.28515625" customWidth="1"/>
    <col min="5074" max="5074" width="13.140625" customWidth="1"/>
    <col min="5075" max="5075" width="12.7109375" bestFit="1" customWidth="1"/>
    <col min="5076" max="5076" width="13.28515625" bestFit="1" customWidth="1"/>
    <col min="5077" max="5079" width="13.28515625" customWidth="1"/>
    <col min="5080" max="5080" width="12.140625" bestFit="1" customWidth="1"/>
    <col min="5081" max="5081" width="12.7109375" bestFit="1" customWidth="1"/>
    <col min="5082" max="5082" width="11" customWidth="1"/>
    <col min="5083" max="5083" width="16.7109375" customWidth="1"/>
    <col min="5084" max="5084" width="17" customWidth="1"/>
    <col min="5085" max="5085" width="10.42578125" bestFit="1" customWidth="1"/>
    <col min="5129" max="5129" width="3.85546875" customWidth="1"/>
    <col min="5130" max="5130" width="15.28515625" bestFit="1" customWidth="1"/>
    <col min="5131" max="5131" width="12.28515625" customWidth="1"/>
    <col min="5132" max="5132" width="16.28515625" bestFit="1" customWidth="1"/>
    <col min="5133" max="5133" width="6.42578125" bestFit="1" customWidth="1"/>
    <col min="5134" max="5134" width="9.28515625" bestFit="1" customWidth="1"/>
    <col min="5135" max="5135" width="7.5703125" bestFit="1" customWidth="1"/>
    <col min="5136" max="5136" width="13.28515625" bestFit="1" customWidth="1"/>
    <col min="5137" max="5137" width="9.28515625" bestFit="1" customWidth="1"/>
    <col min="5138" max="5138" width="11.5703125" bestFit="1" customWidth="1"/>
    <col min="5139" max="5139" width="13.28515625" bestFit="1" customWidth="1"/>
    <col min="5140" max="5140" width="7.140625" bestFit="1" customWidth="1"/>
    <col min="5141" max="5141" width="12" bestFit="1" customWidth="1"/>
    <col min="5142" max="5142" width="13.28515625" bestFit="1" customWidth="1"/>
    <col min="5143" max="5143" width="7" bestFit="1" customWidth="1"/>
    <col min="5144" max="5144" width="12.7109375" bestFit="1" customWidth="1"/>
    <col min="5145" max="5145" width="11.5703125" bestFit="1" customWidth="1"/>
    <col min="5146" max="5146" width="10.5703125" bestFit="1" customWidth="1"/>
    <col min="5147" max="5148" width="15.7109375" bestFit="1" customWidth="1"/>
    <col min="5149" max="5149" width="11.5703125" bestFit="1" customWidth="1"/>
    <col min="5150" max="5150" width="7.7109375" bestFit="1" customWidth="1"/>
    <col min="5151" max="5151" width="15.140625" bestFit="1" customWidth="1"/>
    <col min="5152" max="5152" width="11.5703125" bestFit="1" customWidth="1"/>
    <col min="5153" max="5153" width="13.28515625" bestFit="1" customWidth="1"/>
    <col min="5154" max="5154" width="10.42578125" bestFit="1" customWidth="1"/>
    <col min="5155" max="5155" width="13.28515625" bestFit="1" customWidth="1"/>
    <col min="5156" max="5156" width="12.140625" bestFit="1" customWidth="1"/>
    <col min="5157" max="5157" width="14.42578125" bestFit="1" customWidth="1"/>
    <col min="5158" max="5158" width="13.28515625" bestFit="1" customWidth="1"/>
    <col min="5159" max="5159" width="11.5703125" bestFit="1" customWidth="1"/>
    <col min="5160" max="5160" width="7.7109375" bestFit="1" customWidth="1"/>
    <col min="5161" max="5162" width="14.42578125" bestFit="1" customWidth="1"/>
    <col min="5163" max="5163" width="11.5703125" bestFit="1" customWidth="1"/>
    <col min="5164" max="5164" width="7.7109375" bestFit="1" customWidth="1"/>
    <col min="5165" max="5165" width="13.5703125" customWidth="1"/>
    <col min="5166" max="5166" width="15.28515625" customWidth="1"/>
    <col min="5167" max="5167" width="14.5703125" customWidth="1"/>
    <col min="5168" max="5168" width="13.28515625" bestFit="1" customWidth="1"/>
    <col min="5169" max="5169" width="7.7109375" bestFit="1" customWidth="1"/>
    <col min="5170" max="5170" width="12.7109375" bestFit="1" customWidth="1"/>
    <col min="5171" max="5171" width="11.7109375" bestFit="1" customWidth="1"/>
    <col min="5172" max="5172" width="11.5703125" bestFit="1" customWidth="1"/>
    <col min="5173" max="5173" width="5.28515625" bestFit="1" customWidth="1"/>
    <col min="5174" max="5174" width="13.28515625" bestFit="1" customWidth="1"/>
    <col min="5175" max="5175" width="13.5703125" bestFit="1" customWidth="1"/>
    <col min="5176" max="5176" width="10.5703125" bestFit="1" customWidth="1"/>
    <col min="5177" max="5177" width="13.28515625" bestFit="1" customWidth="1"/>
    <col min="5178" max="5178" width="11.5703125" bestFit="1" customWidth="1"/>
    <col min="5179" max="5179" width="10.5703125" bestFit="1" customWidth="1"/>
    <col min="5180" max="5180" width="16.140625" bestFit="1" customWidth="1"/>
    <col min="5181" max="5182" width="11.28515625" bestFit="1" customWidth="1"/>
    <col min="5183" max="5183" width="13.28515625" bestFit="1" customWidth="1"/>
    <col min="5184" max="5184" width="7.7109375" bestFit="1" customWidth="1"/>
    <col min="5185" max="5188" width="9.140625" hidden="1" customWidth="1"/>
    <col min="5189" max="5189" width="10.42578125" bestFit="1" customWidth="1"/>
    <col min="5190" max="5190" width="10.5703125" bestFit="1" customWidth="1"/>
    <col min="5191" max="5191" width="10.42578125" bestFit="1" customWidth="1"/>
    <col min="5192" max="5192" width="10.5703125" bestFit="1" customWidth="1"/>
    <col min="5193" max="5193" width="9.5703125" bestFit="1" customWidth="1"/>
    <col min="5194" max="5194" width="11.5703125" bestFit="1" customWidth="1"/>
    <col min="5195" max="5195" width="10.42578125" bestFit="1" customWidth="1"/>
    <col min="5196" max="5196" width="10.85546875" customWidth="1"/>
    <col min="5197" max="5198" width="9.85546875" bestFit="1" customWidth="1"/>
    <col min="5199" max="5199" width="13.5703125" bestFit="1" customWidth="1"/>
    <col min="5200" max="5200" width="7.7109375" bestFit="1" customWidth="1"/>
    <col min="5201" max="5201" width="13.28515625" bestFit="1" customWidth="1"/>
    <col min="5202" max="5202" width="11.5703125" bestFit="1" customWidth="1"/>
    <col min="5203" max="5203" width="10.42578125" bestFit="1" customWidth="1"/>
    <col min="5204" max="5204" width="7.7109375" bestFit="1" customWidth="1"/>
    <col min="5205" max="5205" width="11.5703125" bestFit="1" customWidth="1"/>
    <col min="5206" max="5206" width="10.85546875" bestFit="1" customWidth="1"/>
    <col min="5207" max="5207" width="13.28515625" bestFit="1" customWidth="1"/>
    <col min="5208" max="5208" width="10.85546875" bestFit="1" customWidth="1"/>
    <col min="5209" max="5210" width="7.5703125" bestFit="1" customWidth="1"/>
    <col min="5211" max="5212" width="10.42578125" bestFit="1" customWidth="1"/>
    <col min="5213" max="5213" width="11.5703125" bestFit="1" customWidth="1"/>
    <col min="5214" max="5214" width="5.28515625" bestFit="1" customWidth="1"/>
    <col min="5215" max="5215" width="10.28515625" bestFit="1" customWidth="1"/>
    <col min="5216" max="5216" width="10.42578125" bestFit="1" customWidth="1"/>
    <col min="5217" max="5217" width="11.5703125" bestFit="1" customWidth="1"/>
    <col min="5218" max="5218" width="5.28515625" bestFit="1" customWidth="1"/>
    <col min="5219" max="5221" width="11.5703125" bestFit="1" customWidth="1"/>
    <col min="5222" max="5222" width="5.28515625" bestFit="1" customWidth="1"/>
    <col min="5223" max="5224" width="10.42578125" bestFit="1" customWidth="1"/>
    <col min="5225" max="5225" width="11.5703125" bestFit="1" customWidth="1"/>
    <col min="5226" max="5226" width="5.28515625" bestFit="1" customWidth="1"/>
    <col min="5227" max="5227" width="14.28515625" bestFit="1" customWidth="1"/>
    <col min="5228" max="5228" width="13" bestFit="1" customWidth="1"/>
    <col min="5229" max="5229" width="11.5703125" bestFit="1" customWidth="1"/>
    <col min="5230" max="5230" width="8.85546875" bestFit="1" customWidth="1"/>
    <col min="5231" max="5231" width="14.42578125" bestFit="1" customWidth="1"/>
    <col min="5232" max="5232" width="10.42578125" bestFit="1" customWidth="1"/>
    <col min="5233" max="5233" width="12.28515625" bestFit="1" customWidth="1"/>
    <col min="5234" max="5234" width="13.85546875" bestFit="1" customWidth="1"/>
    <col min="5235" max="5235" width="11.28515625" customWidth="1"/>
    <col min="5236" max="5236" width="11.5703125" customWidth="1"/>
    <col min="5237" max="5237" width="13.42578125" bestFit="1" customWidth="1"/>
    <col min="5238" max="5238" width="10.42578125" customWidth="1"/>
    <col min="5239" max="5239" width="13.85546875" bestFit="1" customWidth="1"/>
    <col min="5240" max="5240" width="15.42578125" bestFit="1" customWidth="1"/>
    <col min="5241" max="5241" width="12.28515625" bestFit="1" customWidth="1"/>
    <col min="5242" max="5242" width="12.7109375" customWidth="1"/>
    <col min="5243" max="5243" width="10.7109375" bestFit="1" customWidth="1"/>
    <col min="5244" max="5244" width="9.85546875" customWidth="1"/>
    <col min="5245" max="5246" width="10.140625" bestFit="1" customWidth="1"/>
    <col min="5247" max="5247" width="7.5703125" bestFit="1" customWidth="1"/>
    <col min="5248" max="5248" width="9.42578125" bestFit="1" customWidth="1"/>
    <col min="5249" max="5249" width="14.5703125" bestFit="1" customWidth="1"/>
    <col min="5250" max="5250" width="14.85546875" customWidth="1"/>
    <col min="5251" max="5251" width="15.140625" bestFit="1" customWidth="1"/>
    <col min="5252" max="5252" width="12.140625" bestFit="1" customWidth="1"/>
    <col min="5253" max="5253" width="14.85546875" bestFit="1" customWidth="1"/>
    <col min="5254" max="5254" width="12.28515625" bestFit="1" customWidth="1"/>
    <col min="5255" max="5263" width="9.140625" hidden="1" customWidth="1"/>
    <col min="5264" max="5264" width="5.28515625" bestFit="1" customWidth="1"/>
    <col min="5265" max="5270" width="11.5703125" bestFit="1" customWidth="1"/>
    <col min="5271" max="5271" width="11.28515625" bestFit="1" customWidth="1"/>
    <col min="5272" max="5272" width="10.140625" bestFit="1" customWidth="1"/>
    <col min="5273" max="5273" width="11.5703125" bestFit="1" customWidth="1"/>
    <col min="5274" max="5274" width="16.140625" customWidth="1"/>
    <col min="5275" max="5275" width="13.42578125" customWidth="1"/>
    <col min="5276" max="5276" width="10.140625" bestFit="1" customWidth="1"/>
    <col min="5277" max="5277" width="12.85546875" bestFit="1" customWidth="1"/>
    <col min="5278" max="5278" width="12.28515625" bestFit="1" customWidth="1"/>
    <col min="5279" max="5279" width="11.28515625" bestFit="1" customWidth="1"/>
    <col min="5280" max="5280" width="11.5703125" bestFit="1" customWidth="1"/>
    <col min="5281" max="5281" width="10.85546875" bestFit="1" customWidth="1"/>
    <col min="5282" max="5282" width="11.28515625" bestFit="1" customWidth="1"/>
    <col min="5283" max="5283" width="10.140625" bestFit="1" customWidth="1"/>
    <col min="5284" max="5284" width="13.28515625" bestFit="1" customWidth="1"/>
    <col min="5285" max="5286" width="12.7109375" bestFit="1" customWidth="1"/>
    <col min="5287" max="5287" width="11" bestFit="1" customWidth="1"/>
    <col min="5288" max="5288" width="11.28515625" bestFit="1" customWidth="1"/>
    <col min="5289" max="5289" width="11.5703125" bestFit="1" customWidth="1"/>
    <col min="5290" max="5290" width="12.28515625" bestFit="1" customWidth="1"/>
    <col min="5291" max="5291" width="15.140625" bestFit="1" customWidth="1"/>
    <col min="5292" max="5292" width="14.42578125" bestFit="1" customWidth="1"/>
    <col min="5293" max="5293" width="12.28515625" bestFit="1" customWidth="1"/>
    <col min="5294" max="5294" width="15.140625" bestFit="1" customWidth="1"/>
    <col min="5295" max="5295" width="14.42578125" bestFit="1" customWidth="1"/>
    <col min="5296" max="5296" width="12.28515625" bestFit="1" customWidth="1"/>
    <col min="5297" max="5297" width="14.42578125" bestFit="1" customWidth="1"/>
    <col min="5298" max="5298" width="11.28515625" bestFit="1" customWidth="1"/>
    <col min="5299" max="5299" width="12.28515625" bestFit="1" customWidth="1"/>
    <col min="5300" max="5300" width="13" bestFit="1" customWidth="1"/>
    <col min="5301" max="5301" width="15.140625" bestFit="1" customWidth="1"/>
    <col min="5302" max="5302" width="12.28515625" bestFit="1" customWidth="1"/>
    <col min="5303" max="5303" width="13.85546875" bestFit="1" customWidth="1"/>
    <col min="5304" max="5304" width="11.28515625" bestFit="1" customWidth="1"/>
    <col min="5305" max="5305" width="12.28515625" bestFit="1" customWidth="1"/>
    <col min="5306" max="5306" width="13.85546875" bestFit="1" customWidth="1"/>
    <col min="5307" max="5308" width="15.140625" bestFit="1" customWidth="1"/>
    <col min="5309" max="5309" width="12.28515625" bestFit="1" customWidth="1"/>
    <col min="5310" max="5310" width="5.7109375" bestFit="1" customWidth="1"/>
    <col min="5311" max="5311" width="8.5703125" bestFit="1" customWidth="1"/>
    <col min="5312" max="5312" width="5.5703125" bestFit="1" customWidth="1"/>
    <col min="5313" max="5313" width="14.42578125" bestFit="1" customWidth="1"/>
    <col min="5314" max="5314" width="11.28515625" bestFit="1" customWidth="1"/>
    <col min="5315" max="5316" width="12.28515625" bestFit="1" customWidth="1"/>
    <col min="5317" max="5317" width="11.28515625" bestFit="1" customWidth="1"/>
    <col min="5318" max="5318" width="13.85546875" bestFit="1" customWidth="1"/>
    <col min="5319" max="5319" width="12" bestFit="1" customWidth="1"/>
    <col min="5320" max="5320" width="13.85546875" bestFit="1" customWidth="1"/>
    <col min="5321" max="5322" width="14.42578125" customWidth="1"/>
    <col min="5323" max="5323" width="10.140625" bestFit="1" customWidth="1"/>
    <col min="5324" max="5324" width="12.28515625" bestFit="1" customWidth="1"/>
    <col min="5325" max="5325" width="7.42578125" bestFit="1" customWidth="1"/>
    <col min="5326" max="5326" width="8.5703125" bestFit="1" customWidth="1"/>
    <col min="5327" max="5327" width="11.5703125" bestFit="1" customWidth="1"/>
    <col min="5328" max="5328" width="13.28515625" bestFit="1" customWidth="1"/>
    <col min="5329" max="5329" width="13.28515625" customWidth="1"/>
    <col min="5330" max="5330" width="13.140625" customWidth="1"/>
    <col min="5331" max="5331" width="12.7109375" bestFit="1" customWidth="1"/>
    <col min="5332" max="5332" width="13.28515625" bestFit="1" customWidth="1"/>
    <col min="5333" max="5335" width="13.28515625" customWidth="1"/>
    <col min="5336" max="5336" width="12.140625" bestFit="1" customWidth="1"/>
    <col min="5337" max="5337" width="12.7109375" bestFit="1" customWidth="1"/>
    <col min="5338" max="5338" width="11" customWidth="1"/>
    <col min="5339" max="5339" width="16.7109375" customWidth="1"/>
    <col min="5340" max="5340" width="17" customWidth="1"/>
    <col min="5341" max="5341" width="10.42578125" bestFit="1" customWidth="1"/>
    <col min="5385" max="5385" width="3.85546875" customWidth="1"/>
    <col min="5386" max="5386" width="15.28515625" bestFit="1" customWidth="1"/>
    <col min="5387" max="5387" width="12.28515625" customWidth="1"/>
    <col min="5388" max="5388" width="16.28515625" bestFit="1" customWidth="1"/>
    <col min="5389" max="5389" width="6.42578125" bestFit="1" customWidth="1"/>
    <col min="5390" max="5390" width="9.28515625" bestFit="1" customWidth="1"/>
    <col min="5391" max="5391" width="7.5703125" bestFit="1" customWidth="1"/>
    <col min="5392" max="5392" width="13.28515625" bestFit="1" customWidth="1"/>
    <col min="5393" max="5393" width="9.28515625" bestFit="1" customWidth="1"/>
    <col min="5394" max="5394" width="11.5703125" bestFit="1" customWidth="1"/>
    <col min="5395" max="5395" width="13.28515625" bestFit="1" customWidth="1"/>
    <col min="5396" max="5396" width="7.140625" bestFit="1" customWidth="1"/>
    <col min="5397" max="5397" width="12" bestFit="1" customWidth="1"/>
    <col min="5398" max="5398" width="13.28515625" bestFit="1" customWidth="1"/>
    <col min="5399" max="5399" width="7" bestFit="1" customWidth="1"/>
    <col min="5400" max="5400" width="12.7109375" bestFit="1" customWidth="1"/>
    <col min="5401" max="5401" width="11.5703125" bestFit="1" customWidth="1"/>
    <col min="5402" max="5402" width="10.5703125" bestFit="1" customWidth="1"/>
    <col min="5403" max="5404" width="15.7109375" bestFit="1" customWidth="1"/>
    <col min="5405" max="5405" width="11.5703125" bestFit="1" customWidth="1"/>
    <col min="5406" max="5406" width="7.7109375" bestFit="1" customWidth="1"/>
    <col min="5407" max="5407" width="15.140625" bestFit="1" customWidth="1"/>
    <col min="5408" max="5408" width="11.5703125" bestFit="1" customWidth="1"/>
    <col min="5409" max="5409" width="13.28515625" bestFit="1" customWidth="1"/>
    <col min="5410" max="5410" width="10.42578125" bestFit="1" customWidth="1"/>
    <col min="5411" max="5411" width="13.28515625" bestFit="1" customWidth="1"/>
    <col min="5412" max="5412" width="12.140625" bestFit="1" customWidth="1"/>
    <col min="5413" max="5413" width="14.42578125" bestFit="1" customWidth="1"/>
    <col min="5414" max="5414" width="13.28515625" bestFit="1" customWidth="1"/>
    <col min="5415" max="5415" width="11.5703125" bestFit="1" customWidth="1"/>
    <col min="5416" max="5416" width="7.7109375" bestFit="1" customWidth="1"/>
    <col min="5417" max="5418" width="14.42578125" bestFit="1" customWidth="1"/>
    <col min="5419" max="5419" width="11.5703125" bestFit="1" customWidth="1"/>
    <col min="5420" max="5420" width="7.7109375" bestFit="1" customWidth="1"/>
    <col min="5421" max="5421" width="13.5703125" customWidth="1"/>
    <col min="5422" max="5422" width="15.28515625" customWidth="1"/>
    <col min="5423" max="5423" width="14.5703125" customWidth="1"/>
    <col min="5424" max="5424" width="13.28515625" bestFit="1" customWidth="1"/>
    <col min="5425" max="5425" width="7.7109375" bestFit="1" customWidth="1"/>
    <col min="5426" max="5426" width="12.7109375" bestFit="1" customWidth="1"/>
    <col min="5427" max="5427" width="11.7109375" bestFit="1" customWidth="1"/>
    <col min="5428" max="5428" width="11.5703125" bestFit="1" customWidth="1"/>
    <col min="5429" max="5429" width="5.28515625" bestFit="1" customWidth="1"/>
    <col min="5430" max="5430" width="13.28515625" bestFit="1" customWidth="1"/>
    <col min="5431" max="5431" width="13.5703125" bestFit="1" customWidth="1"/>
    <col min="5432" max="5432" width="10.5703125" bestFit="1" customWidth="1"/>
    <col min="5433" max="5433" width="13.28515625" bestFit="1" customWidth="1"/>
    <col min="5434" max="5434" width="11.5703125" bestFit="1" customWidth="1"/>
    <col min="5435" max="5435" width="10.5703125" bestFit="1" customWidth="1"/>
    <col min="5436" max="5436" width="16.140625" bestFit="1" customWidth="1"/>
    <col min="5437" max="5438" width="11.28515625" bestFit="1" customWidth="1"/>
    <col min="5439" max="5439" width="13.28515625" bestFit="1" customWidth="1"/>
    <col min="5440" max="5440" width="7.7109375" bestFit="1" customWidth="1"/>
    <col min="5441" max="5444" width="9.140625" hidden="1" customWidth="1"/>
    <col min="5445" max="5445" width="10.42578125" bestFit="1" customWidth="1"/>
    <col min="5446" max="5446" width="10.5703125" bestFit="1" customWidth="1"/>
    <col min="5447" max="5447" width="10.42578125" bestFit="1" customWidth="1"/>
    <col min="5448" max="5448" width="10.5703125" bestFit="1" customWidth="1"/>
    <col min="5449" max="5449" width="9.5703125" bestFit="1" customWidth="1"/>
    <col min="5450" max="5450" width="11.5703125" bestFit="1" customWidth="1"/>
    <col min="5451" max="5451" width="10.42578125" bestFit="1" customWidth="1"/>
    <col min="5452" max="5452" width="10.85546875" customWidth="1"/>
    <col min="5453" max="5454" width="9.85546875" bestFit="1" customWidth="1"/>
    <col min="5455" max="5455" width="13.5703125" bestFit="1" customWidth="1"/>
    <col min="5456" max="5456" width="7.7109375" bestFit="1" customWidth="1"/>
    <col min="5457" max="5457" width="13.28515625" bestFit="1" customWidth="1"/>
    <col min="5458" max="5458" width="11.5703125" bestFit="1" customWidth="1"/>
    <col min="5459" max="5459" width="10.42578125" bestFit="1" customWidth="1"/>
    <col min="5460" max="5460" width="7.7109375" bestFit="1" customWidth="1"/>
    <col min="5461" max="5461" width="11.5703125" bestFit="1" customWidth="1"/>
    <col min="5462" max="5462" width="10.85546875" bestFit="1" customWidth="1"/>
    <col min="5463" max="5463" width="13.28515625" bestFit="1" customWidth="1"/>
    <col min="5464" max="5464" width="10.85546875" bestFit="1" customWidth="1"/>
    <col min="5465" max="5466" width="7.5703125" bestFit="1" customWidth="1"/>
    <col min="5467" max="5468" width="10.42578125" bestFit="1" customWidth="1"/>
    <col min="5469" max="5469" width="11.5703125" bestFit="1" customWidth="1"/>
    <col min="5470" max="5470" width="5.28515625" bestFit="1" customWidth="1"/>
    <col min="5471" max="5471" width="10.28515625" bestFit="1" customWidth="1"/>
    <col min="5472" max="5472" width="10.42578125" bestFit="1" customWidth="1"/>
    <col min="5473" max="5473" width="11.5703125" bestFit="1" customWidth="1"/>
    <col min="5474" max="5474" width="5.28515625" bestFit="1" customWidth="1"/>
    <col min="5475" max="5477" width="11.5703125" bestFit="1" customWidth="1"/>
    <col min="5478" max="5478" width="5.28515625" bestFit="1" customWidth="1"/>
    <col min="5479" max="5480" width="10.42578125" bestFit="1" customWidth="1"/>
    <col min="5481" max="5481" width="11.5703125" bestFit="1" customWidth="1"/>
    <col min="5482" max="5482" width="5.28515625" bestFit="1" customWidth="1"/>
    <col min="5483" max="5483" width="14.28515625" bestFit="1" customWidth="1"/>
    <col min="5484" max="5484" width="13" bestFit="1" customWidth="1"/>
    <col min="5485" max="5485" width="11.5703125" bestFit="1" customWidth="1"/>
    <col min="5486" max="5486" width="8.85546875" bestFit="1" customWidth="1"/>
    <col min="5487" max="5487" width="14.42578125" bestFit="1" customWidth="1"/>
    <col min="5488" max="5488" width="10.42578125" bestFit="1" customWidth="1"/>
    <col min="5489" max="5489" width="12.28515625" bestFit="1" customWidth="1"/>
    <col min="5490" max="5490" width="13.85546875" bestFit="1" customWidth="1"/>
    <col min="5491" max="5491" width="11.28515625" customWidth="1"/>
    <col min="5492" max="5492" width="11.5703125" customWidth="1"/>
    <col min="5493" max="5493" width="13.42578125" bestFit="1" customWidth="1"/>
    <col min="5494" max="5494" width="10.42578125" customWidth="1"/>
    <col min="5495" max="5495" width="13.85546875" bestFit="1" customWidth="1"/>
    <col min="5496" max="5496" width="15.42578125" bestFit="1" customWidth="1"/>
    <col min="5497" max="5497" width="12.28515625" bestFit="1" customWidth="1"/>
    <col min="5498" max="5498" width="12.7109375" customWidth="1"/>
    <col min="5499" max="5499" width="10.7109375" bestFit="1" customWidth="1"/>
    <col min="5500" max="5500" width="9.85546875" customWidth="1"/>
    <col min="5501" max="5502" width="10.140625" bestFit="1" customWidth="1"/>
    <col min="5503" max="5503" width="7.5703125" bestFit="1" customWidth="1"/>
    <col min="5504" max="5504" width="9.42578125" bestFit="1" customWidth="1"/>
    <col min="5505" max="5505" width="14.5703125" bestFit="1" customWidth="1"/>
    <col min="5506" max="5506" width="14.85546875" customWidth="1"/>
    <col min="5507" max="5507" width="15.140625" bestFit="1" customWidth="1"/>
    <col min="5508" max="5508" width="12.140625" bestFit="1" customWidth="1"/>
    <col min="5509" max="5509" width="14.85546875" bestFit="1" customWidth="1"/>
    <col min="5510" max="5510" width="12.28515625" bestFit="1" customWidth="1"/>
    <col min="5511" max="5519" width="9.140625" hidden="1" customWidth="1"/>
    <col min="5520" max="5520" width="5.28515625" bestFit="1" customWidth="1"/>
    <col min="5521" max="5526" width="11.5703125" bestFit="1" customWidth="1"/>
    <col min="5527" max="5527" width="11.28515625" bestFit="1" customWidth="1"/>
    <col min="5528" max="5528" width="10.140625" bestFit="1" customWidth="1"/>
    <col min="5529" max="5529" width="11.5703125" bestFit="1" customWidth="1"/>
    <col min="5530" max="5530" width="16.140625" customWidth="1"/>
    <col min="5531" max="5531" width="13.42578125" customWidth="1"/>
    <col min="5532" max="5532" width="10.140625" bestFit="1" customWidth="1"/>
    <col min="5533" max="5533" width="12.85546875" bestFit="1" customWidth="1"/>
    <col min="5534" max="5534" width="12.28515625" bestFit="1" customWidth="1"/>
    <col min="5535" max="5535" width="11.28515625" bestFit="1" customWidth="1"/>
    <col min="5536" max="5536" width="11.5703125" bestFit="1" customWidth="1"/>
    <col min="5537" max="5537" width="10.85546875" bestFit="1" customWidth="1"/>
    <col min="5538" max="5538" width="11.28515625" bestFit="1" customWidth="1"/>
    <col min="5539" max="5539" width="10.140625" bestFit="1" customWidth="1"/>
    <col min="5540" max="5540" width="13.28515625" bestFit="1" customWidth="1"/>
    <col min="5541" max="5542" width="12.7109375" bestFit="1" customWidth="1"/>
    <col min="5543" max="5543" width="11" bestFit="1" customWidth="1"/>
    <col min="5544" max="5544" width="11.28515625" bestFit="1" customWidth="1"/>
    <col min="5545" max="5545" width="11.5703125" bestFit="1" customWidth="1"/>
    <col min="5546" max="5546" width="12.28515625" bestFit="1" customWidth="1"/>
    <col min="5547" max="5547" width="15.140625" bestFit="1" customWidth="1"/>
    <col min="5548" max="5548" width="14.42578125" bestFit="1" customWidth="1"/>
    <col min="5549" max="5549" width="12.28515625" bestFit="1" customWidth="1"/>
    <col min="5550" max="5550" width="15.140625" bestFit="1" customWidth="1"/>
    <col min="5551" max="5551" width="14.42578125" bestFit="1" customWidth="1"/>
    <col min="5552" max="5552" width="12.28515625" bestFit="1" customWidth="1"/>
    <col min="5553" max="5553" width="14.42578125" bestFit="1" customWidth="1"/>
    <col min="5554" max="5554" width="11.28515625" bestFit="1" customWidth="1"/>
    <col min="5555" max="5555" width="12.28515625" bestFit="1" customWidth="1"/>
    <col min="5556" max="5556" width="13" bestFit="1" customWidth="1"/>
    <col min="5557" max="5557" width="15.140625" bestFit="1" customWidth="1"/>
    <col min="5558" max="5558" width="12.28515625" bestFit="1" customWidth="1"/>
    <col min="5559" max="5559" width="13.85546875" bestFit="1" customWidth="1"/>
    <col min="5560" max="5560" width="11.28515625" bestFit="1" customWidth="1"/>
    <col min="5561" max="5561" width="12.28515625" bestFit="1" customWidth="1"/>
    <col min="5562" max="5562" width="13.85546875" bestFit="1" customWidth="1"/>
    <col min="5563" max="5564" width="15.140625" bestFit="1" customWidth="1"/>
    <col min="5565" max="5565" width="12.28515625" bestFit="1" customWidth="1"/>
    <col min="5566" max="5566" width="5.7109375" bestFit="1" customWidth="1"/>
    <col min="5567" max="5567" width="8.5703125" bestFit="1" customWidth="1"/>
    <col min="5568" max="5568" width="5.5703125" bestFit="1" customWidth="1"/>
    <col min="5569" max="5569" width="14.42578125" bestFit="1" customWidth="1"/>
    <col min="5570" max="5570" width="11.28515625" bestFit="1" customWidth="1"/>
    <col min="5571" max="5572" width="12.28515625" bestFit="1" customWidth="1"/>
    <col min="5573" max="5573" width="11.28515625" bestFit="1" customWidth="1"/>
    <col min="5574" max="5574" width="13.85546875" bestFit="1" customWidth="1"/>
    <col min="5575" max="5575" width="12" bestFit="1" customWidth="1"/>
    <col min="5576" max="5576" width="13.85546875" bestFit="1" customWidth="1"/>
    <col min="5577" max="5578" width="14.42578125" customWidth="1"/>
    <col min="5579" max="5579" width="10.140625" bestFit="1" customWidth="1"/>
    <col min="5580" max="5580" width="12.28515625" bestFit="1" customWidth="1"/>
    <col min="5581" max="5581" width="7.42578125" bestFit="1" customWidth="1"/>
    <col min="5582" max="5582" width="8.5703125" bestFit="1" customWidth="1"/>
    <col min="5583" max="5583" width="11.5703125" bestFit="1" customWidth="1"/>
    <col min="5584" max="5584" width="13.28515625" bestFit="1" customWidth="1"/>
    <col min="5585" max="5585" width="13.28515625" customWidth="1"/>
    <col min="5586" max="5586" width="13.140625" customWidth="1"/>
    <col min="5587" max="5587" width="12.7109375" bestFit="1" customWidth="1"/>
    <col min="5588" max="5588" width="13.28515625" bestFit="1" customWidth="1"/>
    <col min="5589" max="5591" width="13.28515625" customWidth="1"/>
    <col min="5592" max="5592" width="12.140625" bestFit="1" customWidth="1"/>
    <col min="5593" max="5593" width="12.7109375" bestFit="1" customWidth="1"/>
    <col min="5594" max="5594" width="11" customWidth="1"/>
    <col min="5595" max="5595" width="16.7109375" customWidth="1"/>
    <col min="5596" max="5596" width="17" customWidth="1"/>
    <col min="5597" max="5597" width="10.42578125" bestFit="1" customWidth="1"/>
    <col min="5641" max="5641" width="3.85546875" customWidth="1"/>
    <col min="5642" max="5642" width="15.28515625" bestFit="1" customWidth="1"/>
    <col min="5643" max="5643" width="12.28515625" customWidth="1"/>
    <col min="5644" max="5644" width="16.28515625" bestFit="1" customWidth="1"/>
    <col min="5645" max="5645" width="6.42578125" bestFit="1" customWidth="1"/>
    <col min="5646" max="5646" width="9.28515625" bestFit="1" customWidth="1"/>
    <col min="5647" max="5647" width="7.5703125" bestFit="1" customWidth="1"/>
    <col min="5648" max="5648" width="13.28515625" bestFit="1" customWidth="1"/>
    <col min="5649" max="5649" width="9.28515625" bestFit="1" customWidth="1"/>
    <col min="5650" max="5650" width="11.5703125" bestFit="1" customWidth="1"/>
    <col min="5651" max="5651" width="13.28515625" bestFit="1" customWidth="1"/>
    <col min="5652" max="5652" width="7.140625" bestFit="1" customWidth="1"/>
    <col min="5653" max="5653" width="12" bestFit="1" customWidth="1"/>
    <col min="5654" max="5654" width="13.28515625" bestFit="1" customWidth="1"/>
    <col min="5655" max="5655" width="7" bestFit="1" customWidth="1"/>
    <col min="5656" max="5656" width="12.7109375" bestFit="1" customWidth="1"/>
    <col min="5657" max="5657" width="11.5703125" bestFit="1" customWidth="1"/>
    <col min="5658" max="5658" width="10.5703125" bestFit="1" customWidth="1"/>
    <col min="5659" max="5660" width="15.7109375" bestFit="1" customWidth="1"/>
    <col min="5661" max="5661" width="11.5703125" bestFit="1" customWidth="1"/>
    <col min="5662" max="5662" width="7.7109375" bestFit="1" customWidth="1"/>
    <col min="5663" max="5663" width="15.140625" bestFit="1" customWidth="1"/>
    <col min="5664" max="5664" width="11.5703125" bestFit="1" customWidth="1"/>
    <col min="5665" max="5665" width="13.28515625" bestFit="1" customWidth="1"/>
    <col min="5666" max="5666" width="10.42578125" bestFit="1" customWidth="1"/>
    <col min="5667" max="5667" width="13.28515625" bestFit="1" customWidth="1"/>
    <col min="5668" max="5668" width="12.140625" bestFit="1" customWidth="1"/>
    <col min="5669" max="5669" width="14.42578125" bestFit="1" customWidth="1"/>
    <col min="5670" max="5670" width="13.28515625" bestFit="1" customWidth="1"/>
    <col min="5671" max="5671" width="11.5703125" bestFit="1" customWidth="1"/>
    <col min="5672" max="5672" width="7.7109375" bestFit="1" customWidth="1"/>
    <col min="5673" max="5674" width="14.42578125" bestFit="1" customWidth="1"/>
    <col min="5675" max="5675" width="11.5703125" bestFit="1" customWidth="1"/>
    <col min="5676" max="5676" width="7.7109375" bestFit="1" customWidth="1"/>
    <col min="5677" max="5677" width="13.5703125" customWidth="1"/>
    <col min="5678" max="5678" width="15.28515625" customWidth="1"/>
    <col min="5679" max="5679" width="14.5703125" customWidth="1"/>
    <col min="5680" max="5680" width="13.28515625" bestFit="1" customWidth="1"/>
    <col min="5681" max="5681" width="7.7109375" bestFit="1" customWidth="1"/>
    <col min="5682" max="5682" width="12.7109375" bestFit="1" customWidth="1"/>
    <col min="5683" max="5683" width="11.7109375" bestFit="1" customWidth="1"/>
    <col min="5684" max="5684" width="11.5703125" bestFit="1" customWidth="1"/>
    <col min="5685" max="5685" width="5.28515625" bestFit="1" customWidth="1"/>
    <col min="5686" max="5686" width="13.28515625" bestFit="1" customWidth="1"/>
    <col min="5687" max="5687" width="13.5703125" bestFit="1" customWidth="1"/>
    <col min="5688" max="5688" width="10.5703125" bestFit="1" customWidth="1"/>
    <col min="5689" max="5689" width="13.28515625" bestFit="1" customWidth="1"/>
    <col min="5690" max="5690" width="11.5703125" bestFit="1" customWidth="1"/>
    <col min="5691" max="5691" width="10.5703125" bestFit="1" customWidth="1"/>
    <col min="5692" max="5692" width="16.140625" bestFit="1" customWidth="1"/>
    <col min="5693" max="5694" width="11.28515625" bestFit="1" customWidth="1"/>
    <col min="5695" max="5695" width="13.28515625" bestFit="1" customWidth="1"/>
    <col min="5696" max="5696" width="7.7109375" bestFit="1" customWidth="1"/>
    <col min="5697" max="5700" width="9.140625" hidden="1" customWidth="1"/>
    <col min="5701" max="5701" width="10.42578125" bestFit="1" customWidth="1"/>
    <col min="5702" max="5702" width="10.5703125" bestFit="1" customWidth="1"/>
    <col min="5703" max="5703" width="10.42578125" bestFit="1" customWidth="1"/>
    <col min="5704" max="5704" width="10.5703125" bestFit="1" customWidth="1"/>
    <col min="5705" max="5705" width="9.5703125" bestFit="1" customWidth="1"/>
    <col min="5706" max="5706" width="11.5703125" bestFit="1" customWidth="1"/>
    <col min="5707" max="5707" width="10.42578125" bestFit="1" customWidth="1"/>
    <col min="5708" max="5708" width="10.85546875" customWidth="1"/>
    <col min="5709" max="5710" width="9.85546875" bestFit="1" customWidth="1"/>
    <col min="5711" max="5711" width="13.5703125" bestFit="1" customWidth="1"/>
    <col min="5712" max="5712" width="7.7109375" bestFit="1" customWidth="1"/>
    <col min="5713" max="5713" width="13.28515625" bestFit="1" customWidth="1"/>
    <col min="5714" max="5714" width="11.5703125" bestFit="1" customWidth="1"/>
    <col min="5715" max="5715" width="10.42578125" bestFit="1" customWidth="1"/>
    <col min="5716" max="5716" width="7.7109375" bestFit="1" customWidth="1"/>
    <col min="5717" max="5717" width="11.5703125" bestFit="1" customWidth="1"/>
    <col min="5718" max="5718" width="10.85546875" bestFit="1" customWidth="1"/>
    <col min="5719" max="5719" width="13.28515625" bestFit="1" customWidth="1"/>
    <col min="5720" max="5720" width="10.85546875" bestFit="1" customWidth="1"/>
    <col min="5721" max="5722" width="7.5703125" bestFit="1" customWidth="1"/>
    <col min="5723" max="5724" width="10.42578125" bestFit="1" customWidth="1"/>
    <col min="5725" max="5725" width="11.5703125" bestFit="1" customWidth="1"/>
    <col min="5726" max="5726" width="5.28515625" bestFit="1" customWidth="1"/>
    <col min="5727" max="5727" width="10.28515625" bestFit="1" customWidth="1"/>
    <col min="5728" max="5728" width="10.42578125" bestFit="1" customWidth="1"/>
    <col min="5729" max="5729" width="11.5703125" bestFit="1" customWidth="1"/>
    <col min="5730" max="5730" width="5.28515625" bestFit="1" customWidth="1"/>
    <col min="5731" max="5733" width="11.5703125" bestFit="1" customWidth="1"/>
    <col min="5734" max="5734" width="5.28515625" bestFit="1" customWidth="1"/>
    <col min="5735" max="5736" width="10.42578125" bestFit="1" customWidth="1"/>
    <col min="5737" max="5737" width="11.5703125" bestFit="1" customWidth="1"/>
    <col min="5738" max="5738" width="5.28515625" bestFit="1" customWidth="1"/>
    <col min="5739" max="5739" width="14.28515625" bestFit="1" customWidth="1"/>
    <col min="5740" max="5740" width="13" bestFit="1" customWidth="1"/>
    <col min="5741" max="5741" width="11.5703125" bestFit="1" customWidth="1"/>
    <col min="5742" max="5742" width="8.85546875" bestFit="1" customWidth="1"/>
    <col min="5743" max="5743" width="14.42578125" bestFit="1" customWidth="1"/>
    <col min="5744" max="5744" width="10.42578125" bestFit="1" customWidth="1"/>
    <col min="5745" max="5745" width="12.28515625" bestFit="1" customWidth="1"/>
    <col min="5746" max="5746" width="13.85546875" bestFit="1" customWidth="1"/>
    <col min="5747" max="5747" width="11.28515625" customWidth="1"/>
    <col min="5748" max="5748" width="11.5703125" customWidth="1"/>
    <col min="5749" max="5749" width="13.42578125" bestFit="1" customWidth="1"/>
    <col min="5750" max="5750" width="10.42578125" customWidth="1"/>
    <col min="5751" max="5751" width="13.85546875" bestFit="1" customWidth="1"/>
    <col min="5752" max="5752" width="15.42578125" bestFit="1" customWidth="1"/>
    <col min="5753" max="5753" width="12.28515625" bestFit="1" customWidth="1"/>
    <col min="5754" max="5754" width="12.7109375" customWidth="1"/>
    <col min="5755" max="5755" width="10.7109375" bestFit="1" customWidth="1"/>
    <col min="5756" max="5756" width="9.85546875" customWidth="1"/>
    <col min="5757" max="5758" width="10.140625" bestFit="1" customWidth="1"/>
    <col min="5759" max="5759" width="7.5703125" bestFit="1" customWidth="1"/>
    <col min="5760" max="5760" width="9.42578125" bestFit="1" customWidth="1"/>
    <col min="5761" max="5761" width="14.5703125" bestFit="1" customWidth="1"/>
    <col min="5762" max="5762" width="14.85546875" customWidth="1"/>
    <col min="5763" max="5763" width="15.140625" bestFit="1" customWidth="1"/>
    <col min="5764" max="5764" width="12.140625" bestFit="1" customWidth="1"/>
    <col min="5765" max="5765" width="14.85546875" bestFit="1" customWidth="1"/>
    <col min="5766" max="5766" width="12.28515625" bestFit="1" customWidth="1"/>
    <col min="5767" max="5775" width="9.140625" hidden="1" customWidth="1"/>
    <col min="5776" max="5776" width="5.28515625" bestFit="1" customWidth="1"/>
    <col min="5777" max="5782" width="11.5703125" bestFit="1" customWidth="1"/>
    <col min="5783" max="5783" width="11.28515625" bestFit="1" customWidth="1"/>
    <col min="5784" max="5784" width="10.140625" bestFit="1" customWidth="1"/>
    <col min="5785" max="5785" width="11.5703125" bestFit="1" customWidth="1"/>
    <col min="5786" max="5786" width="16.140625" customWidth="1"/>
    <col min="5787" max="5787" width="13.42578125" customWidth="1"/>
    <col min="5788" max="5788" width="10.140625" bestFit="1" customWidth="1"/>
    <col min="5789" max="5789" width="12.85546875" bestFit="1" customWidth="1"/>
    <col min="5790" max="5790" width="12.28515625" bestFit="1" customWidth="1"/>
    <col min="5791" max="5791" width="11.28515625" bestFit="1" customWidth="1"/>
    <col min="5792" max="5792" width="11.5703125" bestFit="1" customWidth="1"/>
    <col min="5793" max="5793" width="10.85546875" bestFit="1" customWidth="1"/>
    <col min="5794" max="5794" width="11.28515625" bestFit="1" customWidth="1"/>
    <col min="5795" max="5795" width="10.140625" bestFit="1" customWidth="1"/>
    <col min="5796" max="5796" width="13.28515625" bestFit="1" customWidth="1"/>
    <col min="5797" max="5798" width="12.7109375" bestFit="1" customWidth="1"/>
    <col min="5799" max="5799" width="11" bestFit="1" customWidth="1"/>
    <col min="5800" max="5800" width="11.28515625" bestFit="1" customWidth="1"/>
    <col min="5801" max="5801" width="11.5703125" bestFit="1" customWidth="1"/>
    <col min="5802" max="5802" width="12.28515625" bestFit="1" customWidth="1"/>
    <col min="5803" max="5803" width="15.140625" bestFit="1" customWidth="1"/>
    <col min="5804" max="5804" width="14.42578125" bestFit="1" customWidth="1"/>
    <col min="5805" max="5805" width="12.28515625" bestFit="1" customWidth="1"/>
    <col min="5806" max="5806" width="15.140625" bestFit="1" customWidth="1"/>
    <col min="5807" max="5807" width="14.42578125" bestFit="1" customWidth="1"/>
    <col min="5808" max="5808" width="12.28515625" bestFit="1" customWidth="1"/>
    <col min="5809" max="5809" width="14.42578125" bestFit="1" customWidth="1"/>
    <col min="5810" max="5810" width="11.28515625" bestFit="1" customWidth="1"/>
    <col min="5811" max="5811" width="12.28515625" bestFit="1" customWidth="1"/>
    <col min="5812" max="5812" width="13" bestFit="1" customWidth="1"/>
    <col min="5813" max="5813" width="15.140625" bestFit="1" customWidth="1"/>
    <col min="5814" max="5814" width="12.28515625" bestFit="1" customWidth="1"/>
    <col min="5815" max="5815" width="13.85546875" bestFit="1" customWidth="1"/>
    <col min="5816" max="5816" width="11.28515625" bestFit="1" customWidth="1"/>
    <col min="5817" max="5817" width="12.28515625" bestFit="1" customWidth="1"/>
    <col min="5818" max="5818" width="13.85546875" bestFit="1" customWidth="1"/>
    <col min="5819" max="5820" width="15.140625" bestFit="1" customWidth="1"/>
    <col min="5821" max="5821" width="12.28515625" bestFit="1" customWidth="1"/>
    <col min="5822" max="5822" width="5.7109375" bestFit="1" customWidth="1"/>
    <col min="5823" max="5823" width="8.5703125" bestFit="1" customWidth="1"/>
    <col min="5824" max="5824" width="5.5703125" bestFit="1" customWidth="1"/>
    <col min="5825" max="5825" width="14.42578125" bestFit="1" customWidth="1"/>
    <col min="5826" max="5826" width="11.28515625" bestFit="1" customWidth="1"/>
    <col min="5827" max="5828" width="12.28515625" bestFit="1" customWidth="1"/>
    <col min="5829" max="5829" width="11.28515625" bestFit="1" customWidth="1"/>
    <col min="5830" max="5830" width="13.85546875" bestFit="1" customWidth="1"/>
    <col min="5831" max="5831" width="12" bestFit="1" customWidth="1"/>
    <col min="5832" max="5832" width="13.85546875" bestFit="1" customWidth="1"/>
    <col min="5833" max="5834" width="14.42578125" customWidth="1"/>
    <col min="5835" max="5835" width="10.140625" bestFit="1" customWidth="1"/>
    <col min="5836" max="5836" width="12.28515625" bestFit="1" customWidth="1"/>
    <col min="5837" max="5837" width="7.42578125" bestFit="1" customWidth="1"/>
    <col min="5838" max="5838" width="8.5703125" bestFit="1" customWidth="1"/>
    <col min="5839" max="5839" width="11.5703125" bestFit="1" customWidth="1"/>
    <col min="5840" max="5840" width="13.28515625" bestFit="1" customWidth="1"/>
    <col min="5841" max="5841" width="13.28515625" customWidth="1"/>
    <col min="5842" max="5842" width="13.140625" customWidth="1"/>
    <col min="5843" max="5843" width="12.7109375" bestFit="1" customWidth="1"/>
    <col min="5844" max="5844" width="13.28515625" bestFit="1" customWidth="1"/>
    <col min="5845" max="5847" width="13.28515625" customWidth="1"/>
    <col min="5848" max="5848" width="12.140625" bestFit="1" customWidth="1"/>
    <col min="5849" max="5849" width="12.7109375" bestFit="1" customWidth="1"/>
    <col min="5850" max="5850" width="11" customWidth="1"/>
    <col min="5851" max="5851" width="16.7109375" customWidth="1"/>
    <col min="5852" max="5852" width="17" customWidth="1"/>
    <col min="5853" max="5853" width="10.42578125" bestFit="1" customWidth="1"/>
    <col min="5897" max="5897" width="3.85546875" customWidth="1"/>
    <col min="5898" max="5898" width="15.28515625" bestFit="1" customWidth="1"/>
    <col min="5899" max="5899" width="12.28515625" customWidth="1"/>
    <col min="5900" max="5900" width="16.28515625" bestFit="1" customWidth="1"/>
    <col min="5901" max="5901" width="6.42578125" bestFit="1" customWidth="1"/>
    <col min="5902" max="5902" width="9.28515625" bestFit="1" customWidth="1"/>
    <col min="5903" max="5903" width="7.5703125" bestFit="1" customWidth="1"/>
    <col min="5904" max="5904" width="13.28515625" bestFit="1" customWidth="1"/>
    <col min="5905" max="5905" width="9.28515625" bestFit="1" customWidth="1"/>
    <col min="5906" max="5906" width="11.5703125" bestFit="1" customWidth="1"/>
    <col min="5907" max="5907" width="13.28515625" bestFit="1" customWidth="1"/>
    <col min="5908" max="5908" width="7.140625" bestFit="1" customWidth="1"/>
    <col min="5909" max="5909" width="12" bestFit="1" customWidth="1"/>
    <col min="5910" max="5910" width="13.28515625" bestFit="1" customWidth="1"/>
    <col min="5911" max="5911" width="7" bestFit="1" customWidth="1"/>
    <col min="5912" max="5912" width="12.7109375" bestFit="1" customWidth="1"/>
    <col min="5913" max="5913" width="11.5703125" bestFit="1" customWidth="1"/>
    <col min="5914" max="5914" width="10.5703125" bestFit="1" customWidth="1"/>
    <col min="5915" max="5916" width="15.7109375" bestFit="1" customWidth="1"/>
    <col min="5917" max="5917" width="11.5703125" bestFit="1" customWidth="1"/>
    <col min="5918" max="5918" width="7.7109375" bestFit="1" customWidth="1"/>
    <col min="5919" max="5919" width="15.140625" bestFit="1" customWidth="1"/>
    <col min="5920" max="5920" width="11.5703125" bestFit="1" customWidth="1"/>
    <col min="5921" max="5921" width="13.28515625" bestFit="1" customWidth="1"/>
    <col min="5922" max="5922" width="10.42578125" bestFit="1" customWidth="1"/>
    <col min="5923" max="5923" width="13.28515625" bestFit="1" customWidth="1"/>
    <col min="5924" max="5924" width="12.140625" bestFit="1" customWidth="1"/>
    <col min="5925" max="5925" width="14.42578125" bestFit="1" customWidth="1"/>
    <col min="5926" max="5926" width="13.28515625" bestFit="1" customWidth="1"/>
    <col min="5927" max="5927" width="11.5703125" bestFit="1" customWidth="1"/>
    <col min="5928" max="5928" width="7.7109375" bestFit="1" customWidth="1"/>
    <col min="5929" max="5930" width="14.42578125" bestFit="1" customWidth="1"/>
    <col min="5931" max="5931" width="11.5703125" bestFit="1" customWidth="1"/>
    <col min="5932" max="5932" width="7.7109375" bestFit="1" customWidth="1"/>
    <col min="5933" max="5933" width="13.5703125" customWidth="1"/>
    <col min="5934" max="5934" width="15.28515625" customWidth="1"/>
    <col min="5935" max="5935" width="14.5703125" customWidth="1"/>
    <col min="5936" max="5936" width="13.28515625" bestFit="1" customWidth="1"/>
    <col min="5937" max="5937" width="7.7109375" bestFit="1" customWidth="1"/>
    <col min="5938" max="5938" width="12.7109375" bestFit="1" customWidth="1"/>
    <col min="5939" max="5939" width="11.7109375" bestFit="1" customWidth="1"/>
    <col min="5940" max="5940" width="11.5703125" bestFit="1" customWidth="1"/>
    <col min="5941" max="5941" width="5.28515625" bestFit="1" customWidth="1"/>
    <col min="5942" max="5942" width="13.28515625" bestFit="1" customWidth="1"/>
    <col min="5943" max="5943" width="13.5703125" bestFit="1" customWidth="1"/>
    <col min="5944" max="5944" width="10.5703125" bestFit="1" customWidth="1"/>
    <col min="5945" max="5945" width="13.28515625" bestFit="1" customWidth="1"/>
    <col min="5946" max="5946" width="11.5703125" bestFit="1" customWidth="1"/>
    <col min="5947" max="5947" width="10.5703125" bestFit="1" customWidth="1"/>
    <col min="5948" max="5948" width="16.140625" bestFit="1" customWidth="1"/>
    <col min="5949" max="5950" width="11.28515625" bestFit="1" customWidth="1"/>
    <col min="5951" max="5951" width="13.28515625" bestFit="1" customWidth="1"/>
    <col min="5952" max="5952" width="7.7109375" bestFit="1" customWidth="1"/>
    <col min="5953" max="5956" width="9.140625" hidden="1" customWidth="1"/>
    <col min="5957" max="5957" width="10.42578125" bestFit="1" customWidth="1"/>
    <col min="5958" max="5958" width="10.5703125" bestFit="1" customWidth="1"/>
    <col min="5959" max="5959" width="10.42578125" bestFit="1" customWidth="1"/>
    <col min="5960" max="5960" width="10.5703125" bestFit="1" customWidth="1"/>
    <col min="5961" max="5961" width="9.5703125" bestFit="1" customWidth="1"/>
    <col min="5962" max="5962" width="11.5703125" bestFit="1" customWidth="1"/>
    <col min="5963" max="5963" width="10.42578125" bestFit="1" customWidth="1"/>
    <col min="5964" max="5964" width="10.85546875" customWidth="1"/>
    <col min="5965" max="5966" width="9.85546875" bestFit="1" customWidth="1"/>
    <col min="5967" max="5967" width="13.5703125" bestFit="1" customWidth="1"/>
    <col min="5968" max="5968" width="7.7109375" bestFit="1" customWidth="1"/>
    <col min="5969" max="5969" width="13.28515625" bestFit="1" customWidth="1"/>
    <col min="5970" max="5970" width="11.5703125" bestFit="1" customWidth="1"/>
    <col min="5971" max="5971" width="10.42578125" bestFit="1" customWidth="1"/>
    <col min="5972" max="5972" width="7.7109375" bestFit="1" customWidth="1"/>
    <col min="5973" max="5973" width="11.5703125" bestFit="1" customWidth="1"/>
    <col min="5974" max="5974" width="10.85546875" bestFit="1" customWidth="1"/>
    <col min="5975" max="5975" width="13.28515625" bestFit="1" customWidth="1"/>
    <col min="5976" max="5976" width="10.85546875" bestFit="1" customWidth="1"/>
    <col min="5977" max="5978" width="7.5703125" bestFit="1" customWidth="1"/>
    <col min="5979" max="5980" width="10.42578125" bestFit="1" customWidth="1"/>
    <col min="5981" max="5981" width="11.5703125" bestFit="1" customWidth="1"/>
    <col min="5982" max="5982" width="5.28515625" bestFit="1" customWidth="1"/>
    <col min="5983" max="5983" width="10.28515625" bestFit="1" customWidth="1"/>
    <col min="5984" max="5984" width="10.42578125" bestFit="1" customWidth="1"/>
    <col min="5985" max="5985" width="11.5703125" bestFit="1" customWidth="1"/>
    <col min="5986" max="5986" width="5.28515625" bestFit="1" customWidth="1"/>
    <col min="5987" max="5989" width="11.5703125" bestFit="1" customWidth="1"/>
    <col min="5990" max="5990" width="5.28515625" bestFit="1" customWidth="1"/>
    <col min="5991" max="5992" width="10.42578125" bestFit="1" customWidth="1"/>
    <col min="5993" max="5993" width="11.5703125" bestFit="1" customWidth="1"/>
    <col min="5994" max="5994" width="5.28515625" bestFit="1" customWidth="1"/>
    <col min="5995" max="5995" width="14.28515625" bestFit="1" customWidth="1"/>
    <col min="5996" max="5996" width="13" bestFit="1" customWidth="1"/>
    <col min="5997" max="5997" width="11.5703125" bestFit="1" customWidth="1"/>
    <col min="5998" max="5998" width="8.85546875" bestFit="1" customWidth="1"/>
    <col min="5999" max="5999" width="14.42578125" bestFit="1" customWidth="1"/>
    <col min="6000" max="6000" width="10.42578125" bestFit="1" customWidth="1"/>
    <col min="6001" max="6001" width="12.28515625" bestFit="1" customWidth="1"/>
    <col min="6002" max="6002" width="13.85546875" bestFit="1" customWidth="1"/>
    <col min="6003" max="6003" width="11.28515625" customWidth="1"/>
    <col min="6004" max="6004" width="11.5703125" customWidth="1"/>
    <col min="6005" max="6005" width="13.42578125" bestFit="1" customWidth="1"/>
    <col min="6006" max="6006" width="10.42578125" customWidth="1"/>
    <col min="6007" max="6007" width="13.85546875" bestFit="1" customWidth="1"/>
    <col min="6008" max="6008" width="15.42578125" bestFit="1" customWidth="1"/>
    <col min="6009" max="6009" width="12.28515625" bestFit="1" customWidth="1"/>
    <col min="6010" max="6010" width="12.7109375" customWidth="1"/>
    <col min="6011" max="6011" width="10.7109375" bestFit="1" customWidth="1"/>
    <col min="6012" max="6012" width="9.85546875" customWidth="1"/>
    <col min="6013" max="6014" width="10.140625" bestFit="1" customWidth="1"/>
    <col min="6015" max="6015" width="7.5703125" bestFit="1" customWidth="1"/>
    <col min="6016" max="6016" width="9.42578125" bestFit="1" customWidth="1"/>
    <col min="6017" max="6017" width="14.5703125" bestFit="1" customWidth="1"/>
    <col min="6018" max="6018" width="14.85546875" customWidth="1"/>
    <col min="6019" max="6019" width="15.140625" bestFit="1" customWidth="1"/>
    <col min="6020" max="6020" width="12.140625" bestFit="1" customWidth="1"/>
    <col min="6021" max="6021" width="14.85546875" bestFit="1" customWidth="1"/>
    <col min="6022" max="6022" width="12.28515625" bestFit="1" customWidth="1"/>
    <col min="6023" max="6031" width="9.140625" hidden="1" customWidth="1"/>
    <col min="6032" max="6032" width="5.28515625" bestFit="1" customWidth="1"/>
    <col min="6033" max="6038" width="11.5703125" bestFit="1" customWidth="1"/>
    <col min="6039" max="6039" width="11.28515625" bestFit="1" customWidth="1"/>
    <col min="6040" max="6040" width="10.140625" bestFit="1" customWidth="1"/>
    <col min="6041" max="6041" width="11.5703125" bestFit="1" customWidth="1"/>
    <col min="6042" max="6042" width="16.140625" customWidth="1"/>
    <col min="6043" max="6043" width="13.42578125" customWidth="1"/>
    <col min="6044" max="6044" width="10.140625" bestFit="1" customWidth="1"/>
    <col min="6045" max="6045" width="12.85546875" bestFit="1" customWidth="1"/>
    <col min="6046" max="6046" width="12.28515625" bestFit="1" customWidth="1"/>
    <col min="6047" max="6047" width="11.28515625" bestFit="1" customWidth="1"/>
    <col min="6048" max="6048" width="11.5703125" bestFit="1" customWidth="1"/>
    <col min="6049" max="6049" width="10.85546875" bestFit="1" customWidth="1"/>
    <col min="6050" max="6050" width="11.28515625" bestFit="1" customWidth="1"/>
    <col min="6051" max="6051" width="10.140625" bestFit="1" customWidth="1"/>
    <col min="6052" max="6052" width="13.28515625" bestFit="1" customWidth="1"/>
    <col min="6053" max="6054" width="12.7109375" bestFit="1" customWidth="1"/>
    <col min="6055" max="6055" width="11" bestFit="1" customWidth="1"/>
    <col min="6056" max="6056" width="11.28515625" bestFit="1" customWidth="1"/>
    <col min="6057" max="6057" width="11.5703125" bestFit="1" customWidth="1"/>
    <col min="6058" max="6058" width="12.28515625" bestFit="1" customWidth="1"/>
    <col min="6059" max="6059" width="15.140625" bestFit="1" customWidth="1"/>
    <col min="6060" max="6060" width="14.42578125" bestFit="1" customWidth="1"/>
    <col min="6061" max="6061" width="12.28515625" bestFit="1" customWidth="1"/>
    <col min="6062" max="6062" width="15.140625" bestFit="1" customWidth="1"/>
    <col min="6063" max="6063" width="14.42578125" bestFit="1" customWidth="1"/>
    <col min="6064" max="6064" width="12.28515625" bestFit="1" customWidth="1"/>
    <col min="6065" max="6065" width="14.42578125" bestFit="1" customWidth="1"/>
    <col min="6066" max="6066" width="11.28515625" bestFit="1" customWidth="1"/>
    <col min="6067" max="6067" width="12.28515625" bestFit="1" customWidth="1"/>
    <col min="6068" max="6068" width="13" bestFit="1" customWidth="1"/>
    <col min="6069" max="6069" width="15.140625" bestFit="1" customWidth="1"/>
    <col min="6070" max="6070" width="12.28515625" bestFit="1" customWidth="1"/>
    <col min="6071" max="6071" width="13.85546875" bestFit="1" customWidth="1"/>
    <col min="6072" max="6072" width="11.28515625" bestFit="1" customWidth="1"/>
    <col min="6073" max="6073" width="12.28515625" bestFit="1" customWidth="1"/>
    <col min="6074" max="6074" width="13.85546875" bestFit="1" customWidth="1"/>
    <col min="6075" max="6076" width="15.140625" bestFit="1" customWidth="1"/>
    <col min="6077" max="6077" width="12.28515625" bestFit="1" customWidth="1"/>
    <col min="6078" max="6078" width="5.7109375" bestFit="1" customWidth="1"/>
    <col min="6079" max="6079" width="8.5703125" bestFit="1" customWidth="1"/>
    <col min="6080" max="6080" width="5.5703125" bestFit="1" customWidth="1"/>
    <col min="6081" max="6081" width="14.42578125" bestFit="1" customWidth="1"/>
    <col min="6082" max="6082" width="11.28515625" bestFit="1" customWidth="1"/>
    <col min="6083" max="6084" width="12.28515625" bestFit="1" customWidth="1"/>
    <col min="6085" max="6085" width="11.28515625" bestFit="1" customWidth="1"/>
    <col min="6086" max="6086" width="13.85546875" bestFit="1" customWidth="1"/>
    <col min="6087" max="6087" width="12" bestFit="1" customWidth="1"/>
    <col min="6088" max="6088" width="13.85546875" bestFit="1" customWidth="1"/>
    <col min="6089" max="6090" width="14.42578125" customWidth="1"/>
    <col min="6091" max="6091" width="10.140625" bestFit="1" customWidth="1"/>
    <col min="6092" max="6092" width="12.28515625" bestFit="1" customWidth="1"/>
    <col min="6093" max="6093" width="7.42578125" bestFit="1" customWidth="1"/>
    <col min="6094" max="6094" width="8.5703125" bestFit="1" customWidth="1"/>
    <col min="6095" max="6095" width="11.5703125" bestFit="1" customWidth="1"/>
    <col min="6096" max="6096" width="13.28515625" bestFit="1" customWidth="1"/>
    <col min="6097" max="6097" width="13.28515625" customWidth="1"/>
    <col min="6098" max="6098" width="13.140625" customWidth="1"/>
    <col min="6099" max="6099" width="12.7109375" bestFit="1" customWidth="1"/>
    <col min="6100" max="6100" width="13.28515625" bestFit="1" customWidth="1"/>
    <col min="6101" max="6103" width="13.28515625" customWidth="1"/>
    <col min="6104" max="6104" width="12.140625" bestFit="1" customWidth="1"/>
    <col min="6105" max="6105" width="12.7109375" bestFit="1" customWidth="1"/>
    <col min="6106" max="6106" width="11" customWidth="1"/>
    <col min="6107" max="6107" width="16.7109375" customWidth="1"/>
    <col min="6108" max="6108" width="17" customWidth="1"/>
    <col min="6109" max="6109" width="10.42578125" bestFit="1" customWidth="1"/>
    <col min="6153" max="6153" width="3.85546875" customWidth="1"/>
    <col min="6154" max="6154" width="15.28515625" bestFit="1" customWidth="1"/>
    <col min="6155" max="6155" width="12.28515625" customWidth="1"/>
    <col min="6156" max="6156" width="16.28515625" bestFit="1" customWidth="1"/>
    <col min="6157" max="6157" width="6.42578125" bestFit="1" customWidth="1"/>
    <col min="6158" max="6158" width="9.28515625" bestFit="1" customWidth="1"/>
    <col min="6159" max="6159" width="7.5703125" bestFit="1" customWidth="1"/>
    <col min="6160" max="6160" width="13.28515625" bestFit="1" customWidth="1"/>
    <col min="6161" max="6161" width="9.28515625" bestFit="1" customWidth="1"/>
    <col min="6162" max="6162" width="11.5703125" bestFit="1" customWidth="1"/>
    <col min="6163" max="6163" width="13.28515625" bestFit="1" customWidth="1"/>
    <col min="6164" max="6164" width="7.140625" bestFit="1" customWidth="1"/>
    <col min="6165" max="6165" width="12" bestFit="1" customWidth="1"/>
    <col min="6166" max="6166" width="13.28515625" bestFit="1" customWidth="1"/>
    <col min="6167" max="6167" width="7" bestFit="1" customWidth="1"/>
    <col min="6168" max="6168" width="12.7109375" bestFit="1" customWidth="1"/>
    <col min="6169" max="6169" width="11.5703125" bestFit="1" customWidth="1"/>
    <col min="6170" max="6170" width="10.5703125" bestFit="1" customWidth="1"/>
    <col min="6171" max="6172" width="15.7109375" bestFit="1" customWidth="1"/>
    <col min="6173" max="6173" width="11.5703125" bestFit="1" customWidth="1"/>
    <col min="6174" max="6174" width="7.7109375" bestFit="1" customWidth="1"/>
    <col min="6175" max="6175" width="15.140625" bestFit="1" customWidth="1"/>
    <col min="6176" max="6176" width="11.5703125" bestFit="1" customWidth="1"/>
    <col min="6177" max="6177" width="13.28515625" bestFit="1" customWidth="1"/>
    <col min="6178" max="6178" width="10.42578125" bestFit="1" customWidth="1"/>
    <col min="6179" max="6179" width="13.28515625" bestFit="1" customWidth="1"/>
    <col min="6180" max="6180" width="12.140625" bestFit="1" customWidth="1"/>
    <col min="6181" max="6181" width="14.42578125" bestFit="1" customWidth="1"/>
    <col min="6182" max="6182" width="13.28515625" bestFit="1" customWidth="1"/>
    <col min="6183" max="6183" width="11.5703125" bestFit="1" customWidth="1"/>
    <col min="6184" max="6184" width="7.7109375" bestFit="1" customWidth="1"/>
    <col min="6185" max="6186" width="14.42578125" bestFit="1" customWidth="1"/>
    <col min="6187" max="6187" width="11.5703125" bestFit="1" customWidth="1"/>
    <col min="6188" max="6188" width="7.7109375" bestFit="1" customWidth="1"/>
    <col min="6189" max="6189" width="13.5703125" customWidth="1"/>
    <col min="6190" max="6190" width="15.28515625" customWidth="1"/>
    <col min="6191" max="6191" width="14.5703125" customWidth="1"/>
    <col min="6192" max="6192" width="13.28515625" bestFit="1" customWidth="1"/>
    <col min="6193" max="6193" width="7.7109375" bestFit="1" customWidth="1"/>
    <col min="6194" max="6194" width="12.7109375" bestFit="1" customWidth="1"/>
    <col min="6195" max="6195" width="11.7109375" bestFit="1" customWidth="1"/>
    <col min="6196" max="6196" width="11.5703125" bestFit="1" customWidth="1"/>
    <col min="6197" max="6197" width="5.28515625" bestFit="1" customWidth="1"/>
    <col min="6198" max="6198" width="13.28515625" bestFit="1" customWidth="1"/>
    <col min="6199" max="6199" width="13.5703125" bestFit="1" customWidth="1"/>
    <col min="6200" max="6200" width="10.5703125" bestFit="1" customWidth="1"/>
    <col min="6201" max="6201" width="13.28515625" bestFit="1" customWidth="1"/>
    <col min="6202" max="6202" width="11.5703125" bestFit="1" customWidth="1"/>
    <col min="6203" max="6203" width="10.5703125" bestFit="1" customWidth="1"/>
    <col min="6204" max="6204" width="16.140625" bestFit="1" customWidth="1"/>
    <col min="6205" max="6206" width="11.28515625" bestFit="1" customWidth="1"/>
    <col min="6207" max="6207" width="13.28515625" bestFit="1" customWidth="1"/>
    <col min="6208" max="6208" width="7.7109375" bestFit="1" customWidth="1"/>
    <col min="6209" max="6212" width="9.140625" hidden="1" customWidth="1"/>
    <col min="6213" max="6213" width="10.42578125" bestFit="1" customWidth="1"/>
    <col min="6214" max="6214" width="10.5703125" bestFit="1" customWidth="1"/>
    <col min="6215" max="6215" width="10.42578125" bestFit="1" customWidth="1"/>
    <col min="6216" max="6216" width="10.5703125" bestFit="1" customWidth="1"/>
    <col min="6217" max="6217" width="9.5703125" bestFit="1" customWidth="1"/>
    <col min="6218" max="6218" width="11.5703125" bestFit="1" customWidth="1"/>
    <col min="6219" max="6219" width="10.42578125" bestFit="1" customWidth="1"/>
    <col min="6220" max="6220" width="10.85546875" customWidth="1"/>
    <col min="6221" max="6222" width="9.85546875" bestFit="1" customWidth="1"/>
    <col min="6223" max="6223" width="13.5703125" bestFit="1" customWidth="1"/>
    <col min="6224" max="6224" width="7.7109375" bestFit="1" customWidth="1"/>
    <col min="6225" max="6225" width="13.28515625" bestFit="1" customWidth="1"/>
    <col min="6226" max="6226" width="11.5703125" bestFit="1" customWidth="1"/>
    <col min="6227" max="6227" width="10.42578125" bestFit="1" customWidth="1"/>
    <col min="6228" max="6228" width="7.7109375" bestFit="1" customWidth="1"/>
    <col min="6229" max="6229" width="11.5703125" bestFit="1" customWidth="1"/>
    <col min="6230" max="6230" width="10.85546875" bestFit="1" customWidth="1"/>
    <col min="6231" max="6231" width="13.28515625" bestFit="1" customWidth="1"/>
    <col min="6232" max="6232" width="10.85546875" bestFit="1" customWidth="1"/>
    <col min="6233" max="6234" width="7.5703125" bestFit="1" customWidth="1"/>
    <col min="6235" max="6236" width="10.42578125" bestFit="1" customWidth="1"/>
    <col min="6237" max="6237" width="11.5703125" bestFit="1" customWidth="1"/>
    <col min="6238" max="6238" width="5.28515625" bestFit="1" customWidth="1"/>
    <col min="6239" max="6239" width="10.28515625" bestFit="1" customWidth="1"/>
    <col min="6240" max="6240" width="10.42578125" bestFit="1" customWidth="1"/>
    <col min="6241" max="6241" width="11.5703125" bestFit="1" customWidth="1"/>
    <col min="6242" max="6242" width="5.28515625" bestFit="1" customWidth="1"/>
    <col min="6243" max="6245" width="11.5703125" bestFit="1" customWidth="1"/>
    <col min="6246" max="6246" width="5.28515625" bestFit="1" customWidth="1"/>
    <col min="6247" max="6248" width="10.42578125" bestFit="1" customWidth="1"/>
    <col min="6249" max="6249" width="11.5703125" bestFit="1" customWidth="1"/>
    <col min="6250" max="6250" width="5.28515625" bestFit="1" customWidth="1"/>
    <col min="6251" max="6251" width="14.28515625" bestFit="1" customWidth="1"/>
    <col min="6252" max="6252" width="13" bestFit="1" customWidth="1"/>
    <col min="6253" max="6253" width="11.5703125" bestFit="1" customWidth="1"/>
    <col min="6254" max="6254" width="8.85546875" bestFit="1" customWidth="1"/>
    <col min="6255" max="6255" width="14.42578125" bestFit="1" customWidth="1"/>
    <col min="6256" max="6256" width="10.42578125" bestFit="1" customWidth="1"/>
    <col min="6257" max="6257" width="12.28515625" bestFit="1" customWidth="1"/>
    <col min="6258" max="6258" width="13.85546875" bestFit="1" customWidth="1"/>
    <col min="6259" max="6259" width="11.28515625" customWidth="1"/>
    <col min="6260" max="6260" width="11.5703125" customWidth="1"/>
    <col min="6261" max="6261" width="13.42578125" bestFit="1" customWidth="1"/>
    <col min="6262" max="6262" width="10.42578125" customWidth="1"/>
    <col min="6263" max="6263" width="13.85546875" bestFit="1" customWidth="1"/>
    <col min="6264" max="6264" width="15.42578125" bestFit="1" customWidth="1"/>
    <col min="6265" max="6265" width="12.28515625" bestFit="1" customWidth="1"/>
    <col min="6266" max="6266" width="12.7109375" customWidth="1"/>
    <col min="6267" max="6267" width="10.7109375" bestFit="1" customWidth="1"/>
    <col min="6268" max="6268" width="9.85546875" customWidth="1"/>
    <col min="6269" max="6270" width="10.140625" bestFit="1" customWidth="1"/>
    <col min="6271" max="6271" width="7.5703125" bestFit="1" customWidth="1"/>
    <col min="6272" max="6272" width="9.42578125" bestFit="1" customWidth="1"/>
    <col min="6273" max="6273" width="14.5703125" bestFit="1" customWidth="1"/>
    <col min="6274" max="6274" width="14.85546875" customWidth="1"/>
    <col min="6275" max="6275" width="15.140625" bestFit="1" customWidth="1"/>
    <col min="6276" max="6276" width="12.140625" bestFit="1" customWidth="1"/>
    <col min="6277" max="6277" width="14.85546875" bestFit="1" customWidth="1"/>
    <col min="6278" max="6278" width="12.28515625" bestFit="1" customWidth="1"/>
    <col min="6279" max="6287" width="9.140625" hidden="1" customWidth="1"/>
    <col min="6288" max="6288" width="5.28515625" bestFit="1" customWidth="1"/>
    <col min="6289" max="6294" width="11.5703125" bestFit="1" customWidth="1"/>
    <col min="6295" max="6295" width="11.28515625" bestFit="1" customWidth="1"/>
    <col min="6296" max="6296" width="10.140625" bestFit="1" customWidth="1"/>
    <col min="6297" max="6297" width="11.5703125" bestFit="1" customWidth="1"/>
    <col min="6298" max="6298" width="16.140625" customWidth="1"/>
    <col min="6299" max="6299" width="13.42578125" customWidth="1"/>
    <col min="6300" max="6300" width="10.140625" bestFit="1" customWidth="1"/>
    <col min="6301" max="6301" width="12.85546875" bestFit="1" customWidth="1"/>
    <col min="6302" max="6302" width="12.28515625" bestFit="1" customWidth="1"/>
    <col min="6303" max="6303" width="11.28515625" bestFit="1" customWidth="1"/>
    <col min="6304" max="6304" width="11.5703125" bestFit="1" customWidth="1"/>
    <col min="6305" max="6305" width="10.85546875" bestFit="1" customWidth="1"/>
    <col min="6306" max="6306" width="11.28515625" bestFit="1" customWidth="1"/>
    <col min="6307" max="6307" width="10.140625" bestFit="1" customWidth="1"/>
    <col min="6308" max="6308" width="13.28515625" bestFit="1" customWidth="1"/>
    <col min="6309" max="6310" width="12.7109375" bestFit="1" customWidth="1"/>
    <col min="6311" max="6311" width="11" bestFit="1" customWidth="1"/>
    <col min="6312" max="6312" width="11.28515625" bestFit="1" customWidth="1"/>
    <col min="6313" max="6313" width="11.5703125" bestFit="1" customWidth="1"/>
    <col min="6314" max="6314" width="12.28515625" bestFit="1" customWidth="1"/>
    <col min="6315" max="6315" width="15.140625" bestFit="1" customWidth="1"/>
    <col min="6316" max="6316" width="14.42578125" bestFit="1" customWidth="1"/>
    <col min="6317" max="6317" width="12.28515625" bestFit="1" customWidth="1"/>
    <col min="6318" max="6318" width="15.140625" bestFit="1" customWidth="1"/>
    <col min="6319" max="6319" width="14.42578125" bestFit="1" customWidth="1"/>
    <col min="6320" max="6320" width="12.28515625" bestFit="1" customWidth="1"/>
    <col min="6321" max="6321" width="14.42578125" bestFit="1" customWidth="1"/>
    <col min="6322" max="6322" width="11.28515625" bestFit="1" customWidth="1"/>
    <col min="6323" max="6323" width="12.28515625" bestFit="1" customWidth="1"/>
    <col min="6324" max="6324" width="13" bestFit="1" customWidth="1"/>
    <col min="6325" max="6325" width="15.140625" bestFit="1" customWidth="1"/>
    <col min="6326" max="6326" width="12.28515625" bestFit="1" customWidth="1"/>
    <col min="6327" max="6327" width="13.85546875" bestFit="1" customWidth="1"/>
    <col min="6328" max="6328" width="11.28515625" bestFit="1" customWidth="1"/>
    <col min="6329" max="6329" width="12.28515625" bestFit="1" customWidth="1"/>
    <col min="6330" max="6330" width="13.85546875" bestFit="1" customWidth="1"/>
    <col min="6331" max="6332" width="15.140625" bestFit="1" customWidth="1"/>
    <col min="6333" max="6333" width="12.28515625" bestFit="1" customWidth="1"/>
    <col min="6334" max="6334" width="5.7109375" bestFit="1" customWidth="1"/>
    <col min="6335" max="6335" width="8.5703125" bestFit="1" customWidth="1"/>
    <col min="6336" max="6336" width="5.5703125" bestFit="1" customWidth="1"/>
    <col min="6337" max="6337" width="14.42578125" bestFit="1" customWidth="1"/>
    <col min="6338" max="6338" width="11.28515625" bestFit="1" customWidth="1"/>
    <col min="6339" max="6340" width="12.28515625" bestFit="1" customWidth="1"/>
    <col min="6341" max="6341" width="11.28515625" bestFit="1" customWidth="1"/>
    <col min="6342" max="6342" width="13.85546875" bestFit="1" customWidth="1"/>
    <col min="6343" max="6343" width="12" bestFit="1" customWidth="1"/>
    <col min="6344" max="6344" width="13.85546875" bestFit="1" customWidth="1"/>
    <col min="6345" max="6346" width="14.42578125" customWidth="1"/>
    <col min="6347" max="6347" width="10.140625" bestFit="1" customWidth="1"/>
    <col min="6348" max="6348" width="12.28515625" bestFit="1" customWidth="1"/>
    <col min="6349" max="6349" width="7.42578125" bestFit="1" customWidth="1"/>
    <col min="6350" max="6350" width="8.5703125" bestFit="1" customWidth="1"/>
    <col min="6351" max="6351" width="11.5703125" bestFit="1" customWidth="1"/>
    <col min="6352" max="6352" width="13.28515625" bestFit="1" customWidth="1"/>
    <col min="6353" max="6353" width="13.28515625" customWidth="1"/>
    <col min="6354" max="6354" width="13.140625" customWidth="1"/>
    <col min="6355" max="6355" width="12.7109375" bestFit="1" customWidth="1"/>
    <col min="6356" max="6356" width="13.28515625" bestFit="1" customWidth="1"/>
    <col min="6357" max="6359" width="13.28515625" customWidth="1"/>
    <col min="6360" max="6360" width="12.140625" bestFit="1" customWidth="1"/>
    <col min="6361" max="6361" width="12.7109375" bestFit="1" customWidth="1"/>
    <col min="6362" max="6362" width="11" customWidth="1"/>
    <col min="6363" max="6363" width="16.7109375" customWidth="1"/>
    <col min="6364" max="6364" width="17" customWidth="1"/>
    <col min="6365" max="6365" width="10.42578125" bestFit="1" customWidth="1"/>
    <col min="6409" max="6409" width="3.85546875" customWidth="1"/>
    <col min="6410" max="6410" width="15.28515625" bestFit="1" customWidth="1"/>
    <col min="6411" max="6411" width="12.28515625" customWidth="1"/>
    <col min="6412" max="6412" width="16.28515625" bestFit="1" customWidth="1"/>
    <col min="6413" max="6413" width="6.42578125" bestFit="1" customWidth="1"/>
    <col min="6414" max="6414" width="9.28515625" bestFit="1" customWidth="1"/>
    <col min="6415" max="6415" width="7.5703125" bestFit="1" customWidth="1"/>
    <col min="6416" max="6416" width="13.28515625" bestFit="1" customWidth="1"/>
    <col min="6417" max="6417" width="9.28515625" bestFit="1" customWidth="1"/>
    <col min="6418" max="6418" width="11.5703125" bestFit="1" customWidth="1"/>
    <col min="6419" max="6419" width="13.28515625" bestFit="1" customWidth="1"/>
    <col min="6420" max="6420" width="7.140625" bestFit="1" customWidth="1"/>
    <col min="6421" max="6421" width="12" bestFit="1" customWidth="1"/>
    <col min="6422" max="6422" width="13.28515625" bestFit="1" customWidth="1"/>
    <col min="6423" max="6423" width="7" bestFit="1" customWidth="1"/>
    <col min="6424" max="6424" width="12.7109375" bestFit="1" customWidth="1"/>
    <col min="6425" max="6425" width="11.5703125" bestFit="1" customWidth="1"/>
    <col min="6426" max="6426" width="10.5703125" bestFit="1" customWidth="1"/>
    <col min="6427" max="6428" width="15.7109375" bestFit="1" customWidth="1"/>
    <col min="6429" max="6429" width="11.5703125" bestFit="1" customWidth="1"/>
    <col min="6430" max="6430" width="7.7109375" bestFit="1" customWidth="1"/>
    <col min="6431" max="6431" width="15.140625" bestFit="1" customWidth="1"/>
    <col min="6432" max="6432" width="11.5703125" bestFit="1" customWidth="1"/>
    <col min="6433" max="6433" width="13.28515625" bestFit="1" customWidth="1"/>
    <col min="6434" max="6434" width="10.42578125" bestFit="1" customWidth="1"/>
    <col min="6435" max="6435" width="13.28515625" bestFit="1" customWidth="1"/>
    <col min="6436" max="6436" width="12.140625" bestFit="1" customWidth="1"/>
    <col min="6437" max="6437" width="14.42578125" bestFit="1" customWidth="1"/>
    <col min="6438" max="6438" width="13.28515625" bestFit="1" customWidth="1"/>
    <col min="6439" max="6439" width="11.5703125" bestFit="1" customWidth="1"/>
    <col min="6440" max="6440" width="7.7109375" bestFit="1" customWidth="1"/>
    <col min="6441" max="6442" width="14.42578125" bestFit="1" customWidth="1"/>
    <col min="6443" max="6443" width="11.5703125" bestFit="1" customWidth="1"/>
    <col min="6444" max="6444" width="7.7109375" bestFit="1" customWidth="1"/>
    <col min="6445" max="6445" width="13.5703125" customWidth="1"/>
    <col min="6446" max="6446" width="15.28515625" customWidth="1"/>
    <col min="6447" max="6447" width="14.5703125" customWidth="1"/>
    <col min="6448" max="6448" width="13.28515625" bestFit="1" customWidth="1"/>
    <col min="6449" max="6449" width="7.7109375" bestFit="1" customWidth="1"/>
    <col min="6450" max="6450" width="12.7109375" bestFit="1" customWidth="1"/>
    <col min="6451" max="6451" width="11.7109375" bestFit="1" customWidth="1"/>
    <col min="6452" max="6452" width="11.5703125" bestFit="1" customWidth="1"/>
    <col min="6453" max="6453" width="5.28515625" bestFit="1" customWidth="1"/>
    <col min="6454" max="6454" width="13.28515625" bestFit="1" customWidth="1"/>
    <col min="6455" max="6455" width="13.5703125" bestFit="1" customWidth="1"/>
    <col min="6456" max="6456" width="10.5703125" bestFit="1" customWidth="1"/>
    <col min="6457" max="6457" width="13.28515625" bestFit="1" customWidth="1"/>
    <col min="6458" max="6458" width="11.5703125" bestFit="1" customWidth="1"/>
    <col min="6459" max="6459" width="10.5703125" bestFit="1" customWidth="1"/>
    <col min="6460" max="6460" width="16.140625" bestFit="1" customWidth="1"/>
    <col min="6461" max="6462" width="11.28515625" bestFit="1" customWidth="1"/>
    <col min="6463" max="6463" width="13.28515625" bestFit="1" customWidth="1"/>
    <col min="6464" max="6464" width="7.7109375" bestFit="1" customWidth="1"/>
    <col min="6465" max="6468" width="9.140625" hidden="1" customWidth="1"/>
    <col min="6469" max="6469" width="10.42578125" bestFit="1" customWidth="1"/>
    <col min="6470" max="6470" width="10.5703125" bestFit="1" customWidth="1"/>
    <col min="6471" max="6471" width="10.42578125" bestFit="1" customWidth="1"/>
    <col min="6472" max="6472" width="10.5703125" bestFit="1" customWidth="1"/>
    <col min="6473" max="6473" width="9.5703125" bestFit="1" customWidth="1"/>
    <col min="6474" max="6474" width="11.5703125" bestFit="1" customWidth="1"/>
    <col min="6475" max="6475" width="10.42578125" bestFit="1" customWidth="1"/>
    <col min="6476" max="6476" width="10.85546875" customWidth="1"/>
    <col min="6477" max="6478" width="9.85546875" bestFit="1" customWidth="1"/>
    <col min="6479" max="6479" width="13.5703125" bestFit="1" customWidth="1"/>
    <col min="6480" max="6480" width="7.7109375" bestFit="1" customWidth="1"/>
    <col min="6481" max="6481" width="13.28515625" bestFit="1" customWidth="1"/>
    <col min="6482" max="6482" width="11.5703125" bestFit="1" customWidth="1"/>
    <col min="6483" max="6483" width="10.42578125" bestFit="1" customWidth="1"/>
    <col min="6484" max="6484" width="7.7109375" bestFit="1" customWidth="1"/>
    <col min="6485" max="6485" width="11.5703125" bestFit="1" customWidth="1"/>
    <col min="6486" max="6486" width="10.85546875" bestFit="1" customWidth="1"/>
    <col min="6487" max="6487" width="13.28515625" bestFit="1" customWidth="1"/>
    <col min="6488" max="6488" width="10.85546875" bestFit="1" customWidth="1"/>
    <col min="6489" max="6490" width="7.5703125" bestFit="1" customWidth="1"/>
    <col min="6491" max="6492" width="10.42578125" bestFit="1" customWidth="1"/>
    <col min="6493" max="6493" width="11.5703125" bestFit="1" customWidth="1"/>
    <col min="6494" max="6494" width="5.28515625" bestFit="1" customWidth="1"/>
    <col min="6495" max="6495" width="10.28515625" bestFit="1" customWidth="1"/>
    <col min="6496" max="6496" width="10.42578125" bestFit="1" customWidth="1"/>
    <col min="6497" max="6497" width="11.5703125" bestFit="1" customWidth="1"/>
    <col min="6498" max="6498" width="5.28515625" bestFit="1" customWidth="1"/>
    <col min="6499" max="6501" width="11.5703125" bestFit="1" customWidth="1"/>
    <col min="6502" max="6502" width="5.28515625" bestFit="1" customWidth="1"/>
    <col min="6503" max="6504" width="10.42578125" bestFit="1" customWidth="1"/>
    <col min="6505" max="6505" width="11.5703125" bestFit="1" customWidth="1"/>
    <col min="6506" max="6506" width="5.28515625" bestFit="1" customWidth="1"/>
    <col min="6507" max="6507" width="14.28515625" bestFit="1" customWidth="1"/>
    <col min="6508" max="6508" width="13" bestFit="1" customWidth="1"/>
    <col min="6509" max="6509" width="11.5703125" bestFit="1" customWidth="1"/>
    <col min="6510" max="6510" width="8.85546875" bestFit="1" customWidth="1"/>
    <col min="6511" max="6511" width="14.42578125" bestFit="1" customWidth="1"/>
    <col min="6512" max="6512" width="10.42578125" bestFit="1" customWidth="1"/>
    <col min="6513" max="6513" width="12.28515625" bestFit="1" customWidth="1"/>
    <col min="6514" max="6514" width="13.85546875" bestFit="1" customWidth="1"/>
    <col min="6515" max="6515" width="11.28515625" customWidth="1"/>
    <col min="6516" max="6516" width="11.5703125" customWidth="1"/>
    <col min="6517" max="6517" width="13.42578125" bestFit="1" customWidth="1"/>
    <col min="6518" max="6518" width="10.42578125" customWidth="1"/>
    <col min="6519" max="6519" width="13.85546875" bestFit="1" customWidth="1"/>
    <col min="6520" max="6520" width="15.42578125" bestFit="1" customWidth="1"/>
    <col min="6521" max="6521" width="12.28515625" bestFit="1" customWidth="1"/>
    <col min="6522" max="6522" width="12.7109375" customWidth="1"/>
    <col min="6523" max="6523" width="10.7109375" bestFit="1" customWidth="1"/>
    <col min="6524" max="6524" width="9.85546875" customWidth="1"/>
    <col min="6525" max="6526" width="10.140625" bestFit="1" customWidth="1"/>
    <col min="6527" max="6527" width="7.5703125" bestFit="1" customWidth="1"/>
    <col min="6528" max="6528" width="9.42578125" bestFit="1" customWidth="1"/>
    <col min="6529" max="6529" width="14.5703125" bestFit="1" customWidth="1"/>
    <col min="6530" max="6530" width="14.85546875" customWidth="1"/>
    <col min="6531" max="6531" width="15.140625" bestFit="1" customWidth="1"/>
    <col min="6532" max="6532" width="12.140625" bestFit="1" customWidth="1"/>
    <col min="6533" max="6533" width="14.85546875" bestFit="1" customWidth="1"/>
    <col min="6534" max="6534" width="12.28515625" bestFit="1" customWidth="1"/>
    <col min="6535" max="6543" width="9.140625" hidden="1" customWidth="1"/>
    <col min="6544" max="6544" width="5.28515625" bestFit="1" customWidth="1"/>
    <col min="6545" max="6550" width="11.5703125" bestFit="1" customWidth="1"/>
    <col min="6551" max="6551" width="11.28515625" bestFit="1" customWidth="1"/>
    <col min="6552" max="6552" width="10.140625" bestFit="1" customWidth="1"/>
    <col min="6553" max="6553" width="11.5703125" bestFit="1" customWidth="1"/>
    <col min="6554" max="6554" width="16.140625" customWidth="1"/>
    <col min="6555" max="6555" width="13.42578125" customWidth="1"/>
    <col min="6556" max="6556" width="10.140625" bestFit="1" customWidth="1"/>
    <col min="6557" max="6557" width="12.85546875" bestFit="1" customWidth="1"/>
    <col min="6558" max="6558" width="12.28515625" bestFit="1" customWidth="1"/>
    <col min="6559" max="6559" width="11.28515625" bestFit="1" customWidth="1"/>
    <col min="6560" max="6560" width="11.5703125" bestFit="1" customWidth="1"/>
    <col min="6561" max="6561" width="10.85546875" bestFit="1" customWidth="1"/>
    <col min="6562" max="6562" width="11.28515625" bestFit="1" customWidth="1"/>
    <col min="6563" max="6563" width="10.140625" bestFit="1" customWidth="1"/>
    <col min="6564" max="6564" width="13.28515625" bestFit="1" customWidth="1"/>
    <col min="6565" max="6566" width="12.7109375" bestFit="1" customWidth="1"/>
    <col min="6567" max="6567" width="11" bestFit="1" customWidth="1"/>
    <col min="6568" max="6568" width="11.28515625" bestFit="1" customWidth="1"/>
    <col min="6569" max="6569" width="11.5703125" bestFit="1" customWidth="1"/>
    <col min="6570" max="6570" width="12.28515625" bestFit="1" customWidth="1"/>
    <col min="6571" max="6571" width="15.140625" bestFit="1" customWidth="1"/>
    <col min="6572" max="6572" width="14.42578125" bestFit="1" customWidth="1"/>
    <col min="6573" max="6573" width="12.28515625" bestFit="1" customWidth="1"/>
    <col min="6574" max="6574" width="15.140625" bestFit="1" customWidth="1"/>
    <col min="6575" max="6575" width="14.42578125" bestFit="1" customWidth="1"/>
    <col min="6576" max="6576" width="12.28515625" bestFit="1" customWidth="1"/>
    <col min="6577" max="6577" width="14.42578125" bestFit="1" customWidth="1"/>
    <col min="6578" max="6578" width="11.28515625" bestFit="1" customWidth="1"/>
    <col min="6579" max="6579" width="12.28515625" bestFit="1" customWidth="1"/>
    <col min="6580" max="6580" width="13" bestFit="1" customWidth="1"/>
    <col min="6581" max="6581" width="15.140625" bestFit="1" customWidth="1"/>
    <col min="6582" max="6582" width="12.28515625" bestFit="1" customWidth="1"/>
    <col min="6583" max="6583" width="13.85546875" bestFit="1" customWidth="1"/>
    <col min="6584" max="6584" width="11.28515625" bestFit="1" customWidth="1"/>
    <col min="6585" max="6585" width="12.28515625" bestFit="1" customWidth="1"/>
    <col min="6586" max="6586" width="13.85546875" bestFit="1" customWidth="1"/>
    <col min="6587" max="6588" width="15.140625" bestFit="1" customWidth="1"/>
    <col min="6589" max="6589" width="12.28515625" bestFit="1" customWidth="1"/>
    <col min="6590" max="6590" width="5.7109375" bestFit="1" customWidth="1"/>
    <col min="6591" max="6591" width="8.5703125" bestFit="1" customWidth="1"/>
    <col min="6592" max="6592" width="5.5703125" bestFit="1" customWidth="1"/>
    <col min="6593" max="6593" width="14.42578125" bestFit="1" customWidth="1"/>
    <col min="6594" max="6594" width="11.28515625" bestFit="1" customWidth="1"/>
    <col min="6595" max="6596" width="12.28515625" bestFit="1" customWidth="1"/>
    <col min="6597" max="6597" width="11.28515625" bestFit="1" customWidth="1"/>
    <col min="6598" max="6598" width="13.85546875" bestFit="1" customWidth="1"/>
    <col min="6599" max="6599" width="12" bestFit="1" customWidth="1"/>
    <col min="6600" max="6600" width="13.85546875" bestFit="1" customWidth="1"/>
    <col min="6601" max="6602" width="14.42578125" customWidth="1"/>
    <col min="6603" max="6603" width="10.140625" bestFit="1" customWidth="1"/>
    <col min="6604" max="6604" width="12.28515625" bestFit="1" customWidth="1"/>
    <col min="6605" max="6605" width="7.42578125" bestFit="1" customWidth="1"/>
    <col min="6606" max="6606" width="8.5703125" bestFit="1" customWidth="1"/>
    <col min="6607" max="6607" width="11.5703125" bestFit="1" customWidth="1"/>
    <col min="6608" max="6608" width="13.28515625" bestFit="1" customWidth="1"/>
    <col min="6609" max="6609" width="13.28515625" customWidth="1"/>
    <col min="6610" max="6610" width="13.140625" customWidth="1"/>
    <col min="6611" max="6611" width="12.7109375" bestFit="1" customWidth="1"/>
    <col min="6612" max="6612" width="13.28515625" bestFit="1" customWidth="1"/>
    <col min="6613" max="6615" width="13.28515625" customWidth="1"/>
    <col min="6616" max="6616" width="12.140625" bestFit="1" customWidth="1"/>
    <col min="6617" max="6617" width="12.7109375" bestFit="1" customWidth="1"/>
    <col min="6618" max="6618" width="11" customWidth="1"/>
    <col min="6619" max="6619" width="16.7109375" customWidth="1"/>
    <col min="6620" max="6620" width="17" customWidth="1"/>
    <col min="6621" max="6621" width="10.42578125" bestFit="1" customWidth="1"/>
    <col min="6665" max="6665" width="3.85546875" customWidth="1"/>
    <col min="6666" max="6666" width="15.28515625" bestFit="1" customWidth="1"/>
    <col min="6667" max="6667" width="12.28515625" customWidth="1"/>
    <col min="6668" max="6668" width="16.28515625" bestFit="1" customWidth="1"/>
    <col min="6669" max="6669" width="6.42578125" bestFit="1" customWidth="1"/>
    <col min="6670" max="6670" width="9.28515625" bestFit="1" customWidth="1"/>
    <col min="6671" max="6671" width="7.5703125" bestFit="1" customWidth="1"/>
    <col min="6672" max="6672" width="13.28515625" bestFit="1" customWidth="1"/>
    <col min="6673" max="6673" width="9.28515625" bestFit="1" customWidth="1"/>
    <col min="6674" max="6674" width="11.5703125" bestFit="1" customWidth="1"/>
    <col min="6675" max="6675" width="13.28515625" bestFit="1" customWidth="1"/>
    <col min="6676" max="6676" width="7.140625" bestFit="1" customWidth="1"/>
    <col min="6677" max="6677" width="12" bestFit="1" customWidth="1"/>
    <col min="6678" max="6678" width="13.28515625" bestFit="1" customWidth="1"/>
    <col min="6679" max="6679" width="7" bestFit="1" customWidth="1"/>
    <col min="6680" max="6680" width="12.7109375" bestFit="1" customWidth="1"/>
    <col min="6681" max="6681" width="11.5703125" bestFit="1" customWidth="1"/>
    <col min="6682" max="6682" width="10.5703125" bestFit="1" customWidth="1"/>
    <col min="6683" max="6684" width="15.7109375" bestFit="1" customWidth="1"/>
    <col min="6685" max="6685" width="11.5703125" bestFit="1" customWidth="1"/>
    <col min="6686" max="6686" width="7.7109375" bestFit="1" customWidth="1"/>
    <col min="6687" max="6687" width="15.140625" bestFit="1" customWidth="1"/>
    <col min="6688" max="6688" width="11.5703125" bestFit="1" customWidth="1"/>
    <col min="6689" max="6689" width="13.28515625" bestFit="1" customWidth="1"/>
    <col min="6690" max="6690" width="10.42578125" bestFit="1" customWidth="1"/>
    <col min="6691" max="6691" width="13.28515625" bestFit="1" customWidth="1"/>
    <col min="6692" max="6692" width="12.140625" bestFit="1" customWidth="1"/>
    <col min="6693" max="6693" width="14.42578125" bestFit="1" customWidth="1"/>
    <col min="6694" max="6694" width="13.28515625" bestFit="1" customWidth="1"/>
    <col min="6695" max="6695" width="11.5703125" bestFit="1" customWidth="1"/>
    <col min="6696" max="6696" width="7.7109375" bestFit="1" customWidth="1"/>
    <col min="6697" max="6698" width="14.42578125" bestFit="1" customWidth="1"/>
    <col min="6699" max="6699" width="11.5703125" bestFit="1" customWidth="1"/>
    <col min="6700" max="6700" width="7.7109375" bestFit="1" customWidth="1"/>
    <col min="6701" max="6701" width="13.5703125" customWidth="1"/>
    <col min="6702" max="6702" width="15.28515625" customWidth="1"/>
    <col min="6703" max="6703" width="14.5703125" customWidth="1"/>
    <col min="6704" max="6704" width="13.28515625" bestFit="1" customWidth="1"/>
    <col min="6705" max="6705" width="7.7109375" bestFit="1" customWidth="1"/>
    <col min="6706" max="6706" width="12.7109375" bestFit="1" customWidth="1"/>
    <col min="6707" max="6707" width="11.7109375" bestFit="1" customWidth="1"/>
    <col min="6708" max="6708" width="11.5703125" bestFit="1" customWidth="1"/>
    <col min="6709" max="6709" width="5.28515625" bestFit="1" customWidth="1"/>
    <col min="6710" max="6710" width="13.28515625" bestFit="1" customWidth="1"/>
    <col min="6711" max="6711" width="13.5703125" bestFit="1" customWidth="1"/>
    <col min="6712" max="6712" width="10.5703125" bestFit="1" customWidth="1"/>
    <col min="6713" max="6713" width="13.28515625" bestFit="1" customWidth="1"/>
    <col min="6714" max="6714" width="11.5703125" bestFit="1" customWidth="1"/>
    <col min="6715" max="6715" width="10.5703125" bestFit="1" customWidth="1"/>
    <col min="6716" max="6716" width="16.140625" bestFit="1" customWidth="1"/>
    <col min="6717" max="6718" width="11.28515625" bestFit="1" customWidth="1"/>
    <col min="6719" max="6719" width="13.28515625" bestFit="1" customWidth="1"/>
    <col min="6720" max="6720" width="7.7109375" bestFit="1" customWidth="1"/>
    <col min="6721" max="6724" width="9.140625" hidden="1" customWidth="1"/>
    <col min="6725" max="6725" width="10.42578125" bestFit="1" customWidth="1"/>
    <col min="6726" max="6726" width="10.5703125" bestFit="1" customWidth="1"/>
    <col min="6727" max="6727" width="10.42578125" bestFit="1" customWidth="1"/>
    <col min="6728" max="6728" width="10.5703125" bestFit="1" customWidth="1"/>
    <col min="6729" max="6729" width="9.5703125" bestFit="1" customWidth="1"/>
    <col min="6730" max="6730" width="11.5703125" bestFit="1" customWidth="1"/>
    <col min="6731" max="6731" width="10.42578125" bestFit="1" customWidth="1"/>
    <col min="6732" max="6732" width="10.85546875" customWidth="1"/>
    <col min="6733" max="6734" width="9.85546875" bestFit="1" customWidth="1"/>
    <col min="6735" max="6735" width="13.5703125" bestFit="1" customWidth="1"/>
    <col min="6736" max="6736" width="7.7109375" bestFit="1" customWidth="1"/>
    <col min="6737" max="6737" width="13.28515625" bestFit="1" customWidth="1"/>
    <col min="6738" max="6738" width="11.5703125" bestFit="1" customWidth="1"/>
    <col min="6739" max="6739" width="10.42578125" bestFit="1" customWidth="1"/>
    <col min="6740" max="6740" width="7.7109375" bestFit="1" customWidth="1"/>
    <col min="6741" max="6741" width="11.5703125" bestFit="1" customWidth="1"/>
    <col min="6742" max="6742" width="10.85546875" bestFit="1" customWidth="1"/>
    <col min="6743" max="6743" width="13.28515625" bestFit="1" customWidth="1"/>
    <col min="6744" max="6744" width="10.85546875" bestFit="1" customWidth="1"/>
    <col min="6745" max="6746" width="7.5703125" bestFit="1" customWidth="1"/>
    <col min="6747" max="6748" width="10.42578125" bestFit="1" customWidth="1"/>
    <col min="6749" max="6749" width="11.5703125" bestFit="1" customWidth="1"/>
    <col min="6750" max="6750" width="5.28515625" bestFit="1" customWidth="1"/>
    <col min="6751" max="6751" width="10.28515625" bestFit="1" customWidth="1"/>
    <col min="6752" max="6752" width="10.42578125" bestFit="1" customWidth="1"/>
    <col min="6753" max="6753" width="11.5703125" bestFit="1" customWidth="1"/>
    <col min="6754" max="6754" width="5.28515625" bestFit="1" customWidth="1"/>
    <col min="6755" max="6757" width="11.5703125" bestFit="1" customWidth="1"/>
    <col min="6758" max="6758" width="5.28515625" bestFit="1" customWidth="1"/>
    <col min="6759" max="6760" width="10.42578125" bestFit="1" customWidth="1"/>
    <col min="6761" max="6761" width="11.5703125" bestFit="1" customWidth="1"/>
    <col min="6762" max="6762" width="5.28515625" bestFit="1" customWidth="1"/>
    <col min="6763" max="6763" width="14.28515625" bestFit="1" customWidth="1"/>
    <col min="6764" max="6764" width="13" bestFit="1" customWidth="1"/>
    <col min="6765" max="6765" width="11.5703125" bestFit="1" customWidth="1"/>
    <col min="6766" max="6766" width="8.85546875" bestFit="1" customWidth="1"/>
    <col min="6767" max="6767" width="14.42578125" bestFit="1" customWidth="1"/>
    <col min="6768" max="6768" width="10.42578125" bestFit="1" customWidth="1"/>
    <col min="6769" max="6769" width="12.28515625" bestFit="1" customWidth="1"/>
    <col min="6770" max="6770" width="13.85546875" bestFit="1" customWidth="1"/>
    <col min="6771" max="6771" width="11.28515625" customWidth="1"/>
    <col min="6772" max="6772" width="11.5703125" customWidth="1"/>
    <col min="6773" max="6773" width="13.42578125" bestFit="1" customWidth="1"/>
    <col min="6774" max="6774" width="10.42578125" customWidth="1"/>
    <col min="6775" max="6775" width="13.85546875" bestFit="1" customWidth="1"/>
    <col min="6776" max="6776" width="15.42578125" bestFit="1" customWidth="1"/>
    <col min="6777" max="6777" width="12.28515625" bestFit="1" customWidth="1"/>
    <col min="6778" max="6778" width="12.7109375" customWidth="1"/>
    <col min="6779" max="6779" width="10.7109375" bestFit="1" customWidth="1"/>
    <col min="6780" max="6780" width="9.85546875" customWidth="1"/>
    <col min="6781" max="6782" width="10.140625" bestFit="1" customWidth="1"/>
    <col min="6783" max="6783" width="7.5703125" bestFit="1" customWidth="1"/>
    <col min="6784" max="6784" width="9.42578125" bestFit="1" customWidth="1"/>
    <col min="6785" max="6785" width="14.5703125" bestFit="1" customWidth="1"/>
    <col min="6786" max="6786" width="14.85546875" customWidth="1"/>
    <col min="6787" max="6787" width="15.140625" bestFit="1" customWidth="1"/>
    <col min="6788" max="6788" width="12.140625" bestFit="1" customWidth="1"/>
    <col min="6789" max="6789" width="14.85546875" bestFit="1" customWidth="1"/>
    <col min="6790" max="6790" width="12.28515625" bestFit="1" customWidth="1"/>
    <col min="6791" max="6799" width="9.140625" hidden="1" customWidth="1"/>
    <col min="6800" max="6800" width="5.28515625" bestFit="1" customWidth="1"/>
    <col min="6801" max="6806" width="11.5703125" bestFit="1" customWidth="1"/>
    <col min="6807" max="6807" width="11.28515625" bestFit="1" customWidth="1"/>
    <col min="6808" max="6808" width="10.140625" bestFit="1" customWidth="1"/>
    <col min="6809" max="6809" width="11.5703125" bestFit="1" customWidth="1"/>
    <col min="6810" max="6810" width="16.140625" customWidth="1"/>
    <col min="6811" max="6811" width="13.42578125" customWidth="1"/>
    <col min="6812" max="6812" width="10.140625" bestFit="1" customWidth="1"/>
    <col min="6813" max="6813" width="12.85546875" bestFit="1" customWidth="1"/>
    <col min="6814" max="6814" width="12.28515625" bestFit="1" customWidth="1"/>
    <col min="6815" max="6815" width="11.28515625" bestFit="1" customWidth="1"/>
    <col min="6816" max="6816" width="11.5703125" bestFit="1" customWidth="1"/>
    <col min="6817" max="6817" width="10.85546875" bestFit="1" customWidth="1"/>
    <col min="6818" max="6818" width="11.28515625" bestFit="1" customWidth="1"/>
    <col min="6819" max="6819" width="10.140625" bestFit="1" customWidth="1"/>
    <col min="6820" max="6820" width="13.28515625" bestFit="1" customWidth="1"/>
    <col min="6821" max="6822" width="12.7109375" bestFit="1" customWidth="1"/>
    <col min="6823" max="6823" width="11" bestFit="1" customWidth="1"/>
    <col min="6824" max="6824" width="11.28515625" bestFit="1" customWidth="1"/>
    <col min="6825" max="6825" width="11.5703125" bestFit="1" customWidth="1"/>
    <col min="6826" max="6826" width="12.28515625" bestFit="1" customWidth="1"/>
    <col min="6827" max="6827" width="15.140625" bestFit="1" customWidth="1"/>
    <col min="6828" max="6828" width="14.42578125" bestFit="1" customWidth="1"/>
    <col min="6829" max="6829" width="12.28515625" bestFit="1" customWidth="1"/>
    <col min="6830" max="6830" width="15.140625" bestFit="1" customWidth="1"/>
    <col min="6831" max="6831" width="14.42578125" bestFit="1" customWidth="1"/>
    <col min="6832" max="6832" width="12.28515625" bestFit="1" customWidth="1"/>
    <col min="6833" max="6833" width="14.42578125" bestFit="1" customWidth="1"/>
    <col min="6834" max="6834" width="11.28515625" bestFit="1" customWidth="1"/>
    <col min="6835" max="6835" width="12.28515625" bestFit="1" customWidth="1"/>
    <col min="6836" max="6836" width="13" bestFit="1" customWidth="1"/>
    <col min="6837" max="6837" width="15.140625" bestFit="1" customWidth="1"/>
    <col min="6838" max="6838" width="12.28515625" bestFit="1" customWidth="1"/>
    <col min="6839" max="6839" width="13.85546875" bestFit="1" customWidth="1"/>
    <col min="6840" max="6840" width="11.28515625" bestFit="1" customWidth="1"/>
    <col min="6841" max="6841" width="12.28515625" bestFit="1" customWidth="1"/>
    <col min="6842" max="6842" width="13.85546875" bestFit="1" customWidth="1"/>
    <col min="6843" max="6844" width="15.140625" bestFit="1" customWidth="1"/>
    <col min="6845" max="6845" width="12.28515625" bestFit="1" customWidth="1"/>
    <col min="6846" max="6846" width="5.7109375" bestFit="1" customWidth="1"/>
    <col min="6847" max="6847" width="8.5703125" bestFit="1" customWidth="1"/>
    <col min="6848" max="6848" width="5.5703125" bestFit="1" customWidth="1"/>
    <col min="6849" max="6849" width="14.42578125" bestFit="1" customWidth="1"/>
    <col min="6850" max="6850" width="11.28515625" bestFit="1" customWidth="1"/>
    <col min="6851" max="6852" width="12.28515625" bestFit="1" customWidth="1"/>
    <col min="6853" max="6853" width="11.28515625" bestFit="1" customWidth="1"/>
    <col min="6854" max="6854" width="13.85546875" bestFit="1" customWidth="1"/>
    <col min="6855" max="6855" width="12" bestFit="1" customWidth="1"/>
    <col min="6856" max="6856" width="13.85546875" bestFit="1" customWidth="1"/>
    <col min="6857" max="6858" width="14.42578125" customWidth="1"/>
    <col min="6859" max="6859" width="10.140625" bestFit="1" customWidth="1"/>
    <col min="6860" max="6860" width="12.28515625" bestFit="1" customWidth="1"/>
    <col min="6861" max="6861" width="7.42578125" bestFit="1" customWidth="1"/>
    <col min="6862" max="6862" width="8.5703125" bestFit="1" customWidth="1"/>
    <col min="6863" max="6863" width="11.5703125" bestFit="1" customWidth="1"/>
    <col min="6864" max="6864" width="13.28515625" bestFit="1" customWidth="1"/>
    <col min="6865" max="6865" width="13.28515625" customWidth="1"/>
    <col min="6866" max="6866" width="13.140625" customWidth="1"/>
    <col min="6867" max="6867" width="12.7109375" bestFit="1" customWidth="1"/>
    <col min="6868" max="6868" width="13.28515625" bestFit="1" customWidth="1"/>
    <col min="6869" max="6871" width="13.28515625" customWidth="1"/>
    <col min="6872" max="6872" width="12.140625" bestFit="1" customWidth="1"/>
    <col min="6873" max="6873" width="12.7109375" bestFit="1" customWidth="1"/>
    <col min="6874" max="6874" width="11" customWidth="1"/>
    <col min="6875" max="6875" width="16.7109375" customWidth="1"/>
    <col min="6876" max="6876" width="17" customWidth="1"/>
    <col min="6877" max="6877" width="10.42578125" bestFit="1" customWidth="1"/>
    <col min="6921" max="6921" width="3.85546875" customWidth="1"/>
    <col min="6922" max="6922" width="15.28515625" bestFit="1" customWidth="1"/>
    <col min="6923" max="6923" width="12.28515625" customWidth="1"/>
    <col min="6924" max="6924" width="16.28515625" bestFit="1" customWidth="1"/>
    <col min="6925" max="6925" width="6.42578125" bestFit="1" customWidth="1"/>
    <col min="6926" max="6926" width="9.28515625" bestFit="1" customWidth="1"/>
    <col min="6927" max="6927" width="7.5703125" bestFit="1" customWidth="1"/>
    <col min="6928" max="6928" width="13.28515625" bestFit="1" customWidth="1"/>
    <col min="6929" max="6929" width="9.28515625" bestFit="1" customWidth="1"/>
    <col min="6930" max="6930" width="11.5703125" bestFit="1" customWidth="1"/>
    <col min="6931" max="6931" width="13.28515625" bestFit="1" customWidth="1"/>
    <col min="6932" max="6932" width="7.140625" bestFit="1" customWidth="1"/>
    <col min="6933" max="6933" width="12" bestFit="1" customWidth="1"/>
    <col min="6934" max="6934" width="13.28515625" bestFit="1" customWidth="1"/>
    <col min="6935" max="6935" width="7" bestFit="1" customWidth="1"/>
    <col min="6936" max="6936" width="12.7109375" bestFit="1" customWidth="1"/>
    <col min="6937" max="6937" width="11.5703125" bestFit="1" customWidth="1"/>
    <col min="6938" max="6938" width="10.5703125" bestFit="1" customWidth="1"/>
    <col min="6939" max="6940" width="15.7109375" bestFit="1" customWidth="1"/>
    <col min="6941" max="6941" width="11.5703125" bestFit="1" customWidth="1"/>
    <col min="6942" max="6942" width="7.7109375" bestFit="1" customWidth="1"/>
    <col min="6943" max="6943" width="15.140625" bestFit="1" customWidth="1"/>
    <col min="6944" max="6944" width="11.5703125" bestFit="1" customWidth="1"/>
    <col min="6945" max="6945" width="13.28515625" bestFit="1" customWidth="1"/>
    <col min="6946" max="6946" width="10.42578125" bestFit="1" customWidth="1"/>
    <col min="6947" max="6947" width="13.28515625" bestFit="1" customWidth="1"/>
    <col min="6948" max="6948" width="12.140625" bestFit="1" customWidth="1"/>
    <col min="6949" max="6949" width="14.42578125" bestFit="1" customWidth="1"/>
    <col min="6950" max="6950" width="13.28515625" bestFit="1" customWidth="1"/>
    <col min="6951" max="6951" width="11.5703125" bestFit="1" customWidth="1"/>
    <col min="6952" max="6952" width="7.7109375" bestFit="1" customWidth="1"/>
    <col min="6953" max="6954" width="14.42578125" bestFit="1" customWidth="1"/>
    <col min="6955" max="6955" width="11.5703125" bestFit="1" customWidth="1"/>
    <col min="6956" max="6956" width="7.7109375" bestFit="1" customWidth="1"/>
    <col min="6957" max="6957" width="13.5703125" customWidth="1"/>
    <col min="6958" max="6958" width="15.28515625" customWidth="1"/>
    <col min="6959" max="6959" width="14.5703125" customWidth="1"/>
    <col min="6960" max="6960" width="13.28515625" bestFit="1" customWidth="1"/>
    <col min="6961" max="6961" width="7.7109375" bestFit="1" customWidth="1"/>
    <col min="6962" max="6962" width="12.7109375" bestFit="1" customWidth="1"/>
    <col min="6963" max="6963" width="11.7109375" bestFit="1" customWidth="1"/>
    <col min="6964" max="6964" width="11.5703125" bestFit="1" customWidth="1"/>
    <col min="6965" max="6965" width="5.28515625" bestFit="1" customWidth="1"/>
    <col min="6966" max="6966" width="13.28515625" bestFit="1" customWidth="1"/>
    <col min="6967" max="6967" width="13.5703125" bestFit="1" customWidth="1"/>
    <col min="6968" max="6968" width="10.5703125" bestFit="1" customWidth="1"/>
    <col min="6969" max="6969" width="13.28515625" bestFit="1" customWidth="1"/>
    <col min="6970" max="6970" width="11.5703125" bestFit="1" customWidth="1"/>
    <col min="6971" max="6971" width="10.5703125" bestFit="1" customWidth="1"/>
    <col min="6972" max="6972" width="16.140625" bestFit="1" customWidth="1"/>
    <col min="6973" max="6974" width="11.28515625" bestFit="1" customWidth="1"/>
    <col min="6975" max="6975" width="13.28515625" bestFit="1" customWidth="1"/>
    <col min="6976" max="6976" width="7.7109375" bestFit="1" customWidth="1"/>
    <col min="6977" max="6980" width="9.140625" hidden="1" customWidth="1"/>
    <col min="6981" max="6981" width="10.42578125" bestFit="1" customWidth="1"/>
    <col min="6982" max="6982" width="10.5703125" bestFit="1" customWidth="1"/>
    <col min="6983" max="6983" width="10.42578125" bestFit="1" customWidth="1"/>
    <col min="6984" max="6984" width="10.5703125" bestFit="1" customWidth="1"/>
    <col min="6985" max="6985" width="9.5703125" bestFit="1" customWidth="1"/>
    <col min="6986" max="6986" width="11.5703125" bestFit="1" customWidth="1"/>
    <col min="6987" max="6987" width="10.42578125" bestFit="1" customWidth="1"/>
    <col min="6988" max="6988" width="10.85546875" customWidth="1"/>
    <col min="6989" max="6990" width="9.85546875" bestFit="1" customWidth="1"/>
    <col min="6991" max="6991" width="13.5703125" bestFit="1" customWidth="1"/>
    <col min="6992" max="6992" width="7.7109375" bestFit="1" customWidth="1"/>
    <col min="6993" max="6993" width="13.28515625" bestFit="1" customWidth="1"/>
    <col min="6994" max="6994" width="11.5703125" bestFit="1" customWidth="1"/>
    <col min="6995" max="6995" width="10.42578125" bestFit="1" customWidth="1"/>
    <col min="6996" max="6996" width="7.7109375" bestFit="1" customWidth="1"/>
    <col min="6997" max="6997" width="11.5703125" bestFit="1" customWidth="1"/>
    <col min="6998" max="6998" width="10.85546875" bestFit="1" customWidth="1"/>
    <col min="6999" max="6999" width="13.28515625" bestFit="1" customWidth="1"/>
    <col min="7000" max="7000" width="10.85546875" bestFit="1" customWidth="1"/>
    <col min="7001" max="7002" width="7.5703125" bestFit="1" customWidth="1"/>
    <col min="7003" max="7004" width="10.42578125" bestFit="1" customWidth="1"/>
    <col min="7005" max="7005" width="11.5703125" bestFit="1" customWidth="1"/>
    <col min="7006" max="7006" width="5.28515625" bestFit="1" customWidth="1"/>
    <col min="7007" max="7007" width="10.28515625" bestFit="1" customWidth="1"/>
    <col min="7008" max="7008" width="10.42578125" bestFit="1" customWidth="1"/>
    <col min="7009" max="7009" width="11.5703125" bestFit="1" customWidth="1"/>
    <col min="7010" max="7010" width="5.28515625" bestFit="1" customWidth="1"/>
    <col min="7011" max="7013" width="11.5703125" bestFit="1" customWidth="1"/>
    <col min="7014" max="7014" width="5.28515625" bestFit="1" customWidth="1"/>
    <col min="7015" max="7016" width="10.42578125" bestFit="1" customWidth="1"/>
    <col min="7017" max="7017" width="11.5703125" bestFit="1" customWidth="1"/>
    <col min="7018" max="7018" width="5.28515625" bestFit="1" customWidth="1"/>
    <col min="7019" max="7019" width="14.28515625" bestFit="1" customWidth="1"/>
    <col min="7020" max="7020" width="13" bestFit="1" customWidth="1"/>
    <col min="7021" max="7021" width="11.5703125" bestFit="1" customWidth="1"/>
    <col min="7022" max="7022" width="8.85546875" bestFit="1" customWidth="1"/>
    <col min="7023" max="7023" width="14.42578125" bestFit="1" customWidth="1"/>
    <col min="7024" max="7024" width="10.42578125" bestFit="1" customWidth="1"/>
    <col min="7025" max="7025" width="12.28515625" bestFit="1" customWidth="1"/>
    <col min="7026" max="7026" width="13.85546875" bestFit="1" customWidth="1"/>
    <col min="7027" max="7027" width="11.28515625" customWidth="1"/>
    <col min="7028" max="7028" width="11.5703125" customWidth="1"/>
    <col min="7029" max="7029" width="13.42578125" bestFit="1" customWidth="1"/>
    <col min="7030" max="7030" width="10.42578125" customWidth="1"/>
    <col min="7031" max="7031" width="13.85546875" bestFit="1" customWidth="1"/>
    <col min="7032" max="7032" width="15.42578125" bestFit="1" customWidth="1"/>
    <col min="7033" max="7033" width="12.28515625" bestFit="1" customWidth="1"/>
    <col min="7034" max="7034" width="12.7109375" customWidth="1"/>
    <col min="7035" max="7035" width="10.7109375" bestFit="1" customWidth="1"/>
    <col min="7036" max="7036" width="9.85546875" customWidth="1"/>
    <col min="7037" max="7038" width="10.140625" bestFit="1" customWidth="1"/>
    <col min="7039" max="7039" width="7.5703125" bestFit="1" customWidth="1"/>
    <col min="7040" max="7040" width="9.42578125" bestFit="1" customWidth="1"/>
    <col min="7041" max="7041" width="14.5703125" bestFit="1" customWidth="1"/>
    <col min="7042" max="7042" width="14.85546875" customWidth="1"/>
    <col min="7043" max="7043" width="15.140625" bestFit="1" customWidth="1"/>
    <col min="7044" max="7044" width="12.140625" bestFit="1" customWidth="1"/>
    <col min="7045" max="7045" width="14.85546875" bestFit="1" customWidth="1"/>
    <col min="7046" max="7046" width="12.28515625" bestFit="1" customWidth="1"/>
    <col min="7047" max="7055" width="9.140625" hidden="1" customWidth="1"/>
    <col min="7056" max="7056" width="5.28515625" bestFit="1" customWidth="1"/>
    <col min="7057" max="7062" width="11.5703125" bestFit="1" customWidth="1"/>
    <col min="7063" max="7063" width="11.28515625" bestFit="1" customWidth="1"/>
    <col min="7064" max="7064" width="10.140625" bestFit="1" customWidth="1"/>
    <col min="7065" max="7065" width="11.5703125" bestFit="1" customWidth="1"/>
    <col min="7066" max="7066" width="16.140625" customWidth="1"/>
    <col min="7067" max="7067" width="13.42578125" customWidth="1"/>
    <col min="7068" max="7068" width="10.140625" bestFit="1" customWidth="1"/>
    <col min="7069" max="7069" width="12.85546875" bestFit="1" customWidth="1"/>
    <col min="7070" max="7070" width="12.28515625" bestFit="1" customWidth="1"/>
    <col min="7071" max="7071" width="11.28515625" bestFit="1" customWidth="1"/>
    <col min="7072" max="7072" width="11.5703125" bestFit="1" customWidth="1"/>
    <col min="7073" max="7073" width="10.85546875" bestFit="1" customWidth="1"/>
    <col min="7074" max="7074" width="11.28515625" bestFit="1" customWidth="1"/>
    <col min="7075" max="7075" width="10.140625" bestFit="1" customWidth="1"/>
    <col min="7076" max="7076" width="13.28515625" bestFit="1" customWidth="1"/>
    <col min="7077" max="7078" width="12.7109375" bestFit="1" customWidth="1"/>
    <col min="7079" max="7079" width="11" bestFit="1" customWidth="1"/>
    <col min="7080" max="7080" width="11.28515625" bestFit="1" customWidth="1"/>
    <col min="7081" max="7081" width="11.5703125" bestFit="1" customWidth="1"/>
    <col min="7082" max="7082" width="12.28515625" bestFit="1" customWidth="1"/>
    <col min="7083" max="7083" width="15.140625" bestFit="1" customWidth="1"/>
    <col min="7084" max="7084" width="14.42578125" bestFit="1" customWidth="1"/>
    <col min="7085" max="7085" width="12.28515625" bestFit="1" customWidth="1"/>
    <col min="7086" max="7086" width="15.140625" bestFit="1" customWidth="1"/>
    <col min="7087" max="7087" width="14.42578125" bestFit="1" customWidth="1"/>
    <col min="7088" max="7088" width="12.28515625" bestFit="1" customWidth="1"/>
    <col min="7089" max="7089" width="14.42578125" bestFit="1" customWidth="1"/>
    <col min="7090" max="7090" width="11.28515625" bestFit="1" customWidth="1"/>
    <col min="7091" max="7091" width="12.28515625" bestFit="1" customWidth="1"/>
    <col min="7092" max="7092" width="13" bestFit="1" customWidth="1"/>
    <col min="7093" max="7093" width="15.140625" bestFit="1" customWidth="1"/>
    <col min="7094" max="7094" width="12.28515625" bestFit="1" customWidth="1"/>
    <col min="7095" max="7095" width="13.85546875" bestFit="1" customWidth="1"/>
    <col min="7096" max="7096" width="11.28515625" bestFit="1" customWidth="1"/>
    <col min="7097" max="7097" width="12.28515625" bestFit="1" customWidth="1"/>
    <col min="7098" max="7098" width="13.85546875" bestFit="1" customWidth="1"/>
    <col min="7099" max="7100" width="15.140625" bestFit="1" customWidth="1"/>
    <col min="7101" max="7101" width="12.28515625" bestFit="1" customWidth="1"/>
    <col min="7102" max="7102" width="5.7109375" bestFit="1" customWidth="1"/>
    <col min="7103" max="7103" width="8.5703125" bestFit="1" customWidth="1"/>
    <col min="7104" max="7104" width="5.5703125" bestFit="1" customWidth="1"/>
    <col min="7105" max="7105" width="14.42578125" bestFit="1" customWidth="1"/>
    <col min="7106" max="7106" width="11.28515625" bestFit="1" customWidth="1"/>
    <col min="7107" max="7108" width="12.28515625" bestFit="1" customWidth="1"/>
    <col min="7109" max="7109" width="11.28515625" bestFit="1" customWidth="1"/>
    <col min="7110" max="7110" width="13.85546875" bestFit="1" customWidth="1"/>
    <col min="7111" max="7111" width="12" bestFit="1" customWidth="1"/>
    <col min="7112" max="7112" width="13.85546875" bestFit="1" customWidth="1"/>
    <col min="7113" max="7114" width="14.42578125" customWidth="1"/>
    <col min="7115" max="7115" width="10.140625" bestFit="1" customWidth="1"/>
    <col min="7116" max="7116" width="12.28515625" bestFit="1" customWidth="1"/>
    <col min="7117" max="7117" width="7.42578125" bestFit="1" customWidth="1"/>
    <col min="7118" max="7118" width="8.5703125" bestFit="1" customWidth="1"/>
    <col min="7119" max="7119" width="11.5703125" bestFit="1" customWidth="1"/>
    <col min="7120" max="7120" width="13.28515625" bestFit="1" customWidth="1"/>
    <col min="7121" max="7121" width="13.28515625" customWidth="1"/>
    <col min="7122" max="7122" width="13.140625" customWidth="1"/>
    <col min="7123" max="7123" width="12.7109375" bestFit="1" customWidth="1"/>
    <col min="7124" max="7124" width="13.28515625" bestFit="1" customWidth="1"/>
    <col min="7125" max="7127" width="13.28515625" customWidth="1"/>
    <col min="7128" max="7128" width="12.140625" bestFit="1" customWidth="1"/>
    <col min="7129" max="7129" width="12.7109375" bestFit="1" customWidth="1"/>
    <col min="7130" max="7130" width="11" customWidth="1"/>
    <col min="7131" max="7131" width="16.7109375" customWidth="1"/>
    <col min="7132" max="7132" width="17" customWidth="1"/>
    <col min="7133" max="7133" width="10.42578125" bestFit="1" customWidth="1"/>
    <col min="7177" max="7177" width="3.85546875" customWidth="1"/>
    <col min="7178" max="7178" width="15.28515625" bestFit="1" customWidth="1"/>
    <col min="7179" max="7179" width="12.28515625" customWidth="1"/>
    <col min="7180" max="7180" width="16.28515625" bestFit="1" customWidth="1"/>
    <col min="7181" max="7181" width="6.42578125" bestFit="1" customWidth="1"/>
    <col min="7182" max="7182" width="9.28515625" bestFit="1" customWidth="1"/>
    <col min="7183" max="7183" width="7.5703125" bestFit="1" customWidth="1"/>
    <col min="7184" max="7184" width="13.28515625" bestFit="1" customWidth="1"/>
    <col min="7185" max="7185" width="9.28515625" bestFit="1" customWidth="1"/>
    <col min="7186" max="7186" width="11.5703125" bestFit="1" customWidth="1"/>
    <col min="7187" max="7187" width="13.28515625" bestFit="1" customWidth="1"/>
    <col min="7188" max="7188" width="7.140625" bestFit="1" customWidth="1"/>
    <col min="7189" max="7189" width="12" bestFit="1" customWidth="1"/>
    <col min="7190" max="7190" width="13.28515625" bestFit="1" customWidth="1"/>
    <col min="7191" max="7191" width="7" bestFit="1" customWidth="1"/>
    <col min="7192" max="7192" width="12.7109375" bestFit="1" customWidth="1"/>
    <col min="7193" max="7193" width="11.5703125" bestFit="1" customWidth="1"/>
    <col min="7194" max="7194" width="10.5703125" bestFit="1" customWidth="1"/>
    <col min="7195" max="7196" width="15.7109375" bestFit="1" customWidth="1"/>
    <col min="7197" max="7197" width="11.5703125" bestFit="1" customWidth="1"/>
    <col min="7198" max="7198" width="7.7109375" bestFit="1" customWidth="1"/>
    <col min="7199" max="7199" width="15.140625" bestFit="1" customWidth="1"/>
    <col min="7200" max="7200" width="11.5703125" bestFit="1" customWidth="1"/>
    <col min="7201" max="7201" width="13.28515625" bestFit="1" customWidth="1"/>
    <col min="7202" max="7202" width="10.42578125" bestFit="1" customWidth="1"/>
    <col min="7203" max="7203" width="13.28515625" bestFit="1" customWidth="1"/>
    <col min="7204" max="7204" width="12.140625" bestFit="1" customWidth="1"/>
    <col min="7205" max="7205" width="14.42578125" bestFit="1" customWidth="1"/>
    <col min="7206" max="7206" width="13.28515625" bestFit="1" customWidth="1"/>
    <col min="7207" max="7207" width="11.5703125" bestFit="1" customWidth="1"/>
    <col min="7208" max="7208" width="7.7109375" bestFit="1" customWidth="1"/>
    <col min="7209" max="7210" width="14.42578125" bestFit="1" customWidth="1"/>
    <col min="7211" max="7211" width="11.5703125" bestFit="1" customWidth="1"/>
    <col min="7212" max="7212" width="7.7109375" bestFit="1" customWidth="1"/>
    <col min="7213" max="7213" width="13.5703125" customWidth="1"/>
    <col min="7214" max="7214" width="15.28515625" customWidth="1"/>
    <col min="7215" max="7215" width="14.5703125" customWidth="1"/>
    <col min="7216" max="7216" width="13.28515625" bestFit="1" customWidth="1"/>
    <col min="7217" max="7217" width="7.7109375" bestFit="1" customWidth="1"/>
    <col min="7218" max="7218" width="12.7109375" bestFit="1" customWidth="1"/>
    <col min="7219" max="7219" width="11.7109375" bestFit="1" customWidth="1"/>
    <col min="7220" max="7220" width="11.5703125" bestFit="1" customWidth="1"/>
    <col min="7221" max="7221" width="5.28515625" bestFit="1" customWidth="1"/>
    <col min="7222" max="7222" width="13.28515625" bestFit="1" customWidth="1"/>
    <col min="7223" max="7223" width="13.5703125" bestFit="1" customWidth="1"/>
    <col min="7224" max="7224" width="10.5703125" bestFit="1" customWidth="1"/>
    <col min="7225" max="7225" width="13.28515625" bestFit="1" customWidth="1"/>
    <col min="7226" max="7226" width="11.5703125" bestFit="1" customWidth="1"/>
    <col min="7227" max="7227" width="10.5703125" bestFit="1" customWidth="1"/>
    <col min="7228" max="7228" width="16.140625" bestFit="1" customWidth="1"/>
    <col min="7229" max="7230" width="11.28515625" bestFit="1" customWidth="1"/>
    <col min="7231" max="7231" width="13.28515625" bestFit="1" customWidth="1"/>
    <col min="7232" max="7232" width="7.7109375" bestFit="1" customWidth="1"/>
    <col min="7233" max="7236" width="9.140625" hidden="1" customWidth="1"/>
    <col min="7237" max="7237" width="10.42578125" bestFit="1" customWidth="1"/>
    <col min="7238" max="7238" width="10.5703125" bestFit="1" customWidth="1"/>
    <col min="7239" max="7239" width="10.42578125" bestFit="1" customWidth="1"/>
    <col min="7240" max="7240" width="10.5703125" bestFit="1" customWidth="1"/>
    <col min="7241" max="7241" width="9.5703125" bestFit="1" customWidth="1"/>
    <col min="7242" max="7242" width="11.5703125" bestFit="1" customWidth="1"/>
    <col min="7243" max="7243" width="10.42578125" bestFit="1" customWidth="1"/>
    <col min="7244" max="7244" width="10.85546875" customWidth="1"/>
    <col min="7245" max="7246" width="9.85546875" bestFit="1" customWidth="1"/>
    <col min="7247" max="7247" width="13.5703125" bestFit="1" customWidth="1"/>
    <col min="7248" max="7248" width="7.7109375" bestFit="1" customWidth="1"/>
    <col min="7249" max="7249" width="13.28515625" bestFit="1" customWidth="1"/>
    <col min="7250" max="7250" width="11.5703125" bestFit="1" customWidth="1"/>
    <col min="7251" max="7251" width="10.42578125" bestFit="1" customWidth="1"/>
    <col min="7252" max="7252" width="7.7109375" bestFit="1" customWidth="1"/>
    <col min="7253" max="7253" width="11.5703125" bestFit="1" customWidth="1"/>
    <col min="7254" max="7254" width="10.85546875" bestFit="1" customWidth="1"/>
    <col min="7255" max="7255" width="13.28515625" bestFit="1" customWidth="1"/>
    <col min="7256" max="7256" width="10.85546875" bestFit="1" customWidth="1"/>
    <col min="7257" max="7258" width="7.5703125" bestFit="1" customWidth="1"/>
    <col min="7259" max="7260" width="10.42578125" bestFit="1" customWidth="1"/>
    <col min="7261" max="7261" width="11.5703125" bestFit="1" customWidth="1"/>
    <col min="7262" max="7262" width="5.28515625" bestFit="1" customWidth="1"/>
    <col min="7263" max="7263" width="10.28515625" bestFit="1" customWidth="1"/>
    <col min="7264" max="7264" width="10.42578125" bestFit="1" customWidth="1"/>
    <col min="7265" max="7265" width="11.5703125" bestFit="1" customWidth="1"/>
    <col min="7266" max="7266" width="5.28515625" bestFit="1" customWidth="1"/>
    <col min="7267" max="7269" width="11.5703125" bestFit="1" customWidth="1"/>
    <col min="7270" max="7270" width="5.28515625" bestFit="1" customWidth="1"/>
    <col min="7271" max="7272" width="10.42578125" bestFit="1" customWidth="1"/>
    <col min="7273" max="7273" width="11.5703125" bestFit="1" customWidth="1"/>
    <col min="7274" max="7274" width="5.28515625" bestFit="1" customWidth="1"/>
    <col min="7275" max="7275" width="14.28515625" bestFit="1" customWidth="1"/>
    <col min="7276" max="7276" width="13" bestFit="1" customWidth="1"/>
    <col min="7277" max="7277" width="11.5703125" bestFit="1" customWidth="1"/>
    <col min="7278" max="7278" width="8.85546875" bestFit="1" customWidth="1"/>
    <col min="7279" max="7279" width="14.42578125" bestFit="1" customWidth="1"/>
    <col min="7280" max="7280" width="10.42578125" bestFit="1" customWidth="1"/>
    <col min="7281" max="7281" width="12.28515625" bestFit="1" customWidth="1"/>
    <col min="7282" max="7282" width="13.85546875" bestFit="1" customWidth="1"/>
    <col min="7283" max="7283" width="11.28515625" customWidth="1"/>
    <col min="7284" max="7284" width="11.5703125" customWidth="1"/>
    <col min="7285" max="7285" width="13.42578125" bestFit="1" customWidth="1"/>
    <col min="7286" max="7286" width="10.42578125" customWidth="1"/>
    <col min="7287" max="7287" width="13.85546875" bestFit="1" customWidth="1"/>
    <col min="7288" max="7288" width="15.42578125" bestFit="1" customWidth="1"/>
    <col min="7289" max="7289" width="12.28515625" bestFit="1" customWidth="1"/>
    <col min="7290" max="7290" width="12.7109375" customWidth="1"/>
    <col min="7291" max="7291" width="10.7109375" bestFit="1" customWidth="1"/>
    <col min="7292" max="7292" width="9.85546875" customWidth="1"/>
    <col min="7293" max="7294" width="10.140625" bestFit="1" customWidth="1"/>
    <col min="7295" max="7295" width="7.5703125" bestFit="1" customWidth="1"/>
    <col min="7296" max="7296" width="9.42578125" bestFit="1" customWidth="1"/>
    <col min="7297" max="7297" width="14.5703125" bestFit="1" customWidth="1"/>
    <col min="7298" max="7298" width="14.85546875" customWidth="1"/>
    <col min="7299" max="7299" width="15.140625" bestFit="1" customWidth="1"/>
    <col min="7300" max="7300" width="12.140625" bestFit="1" customWidth="1"/>
    <col min="7301" max="7301" width="14.85546875" bestFit="1" customWidth="1"/>
    <col min="7302" max="7302" width="12.28515625" bestFit="1" customWidth="1"/>
    <col min="7303" max="7311" width="9.140625" hidden="1" customWidth="1"/>
    <col min="7312" max="7312" width="5.28515625" bestFit="1" customWidth="1"/>
    <col min="7313" max="7318" width="11.5703125" bestFit="1" customWidth="1"/>
    <col min="7319" max="7319" width="11.28515625" bestFit="1" customWidth="1"/>
    <col min="7320" max="7320" width="10.140625" bestFit="1" customWidth="1"/>
    <col min="7321" max="7321" width="11.5703125" bestFit="1" customWidth="1"/>
    <col min="7322" max="7322" width="16.140625" customWidth="1"/>
    <col min="7323" max="7323" width="13.42578125" customWidth="1"/>
    <col min="7324" max="7324" width="10.140625" bestFit="1" customWidth="1"/>
    <col min="7325" max="7325" width="12.85546875" bestFit="1" customWidth="1"/>
    <col min="7326" max="7326" width="12.28515625" bestFit="1" customWidth="1"/>
    <col min="7327" max="7327" width="11.28515625" bestFit="1" customWidth="1"/>
    <col min="7328" max="7328" width="11.5703125" bestFit="1" customWidth="1"/>
    <col min="7329" max="7329" width="10.85546875" bestFit="1" customWidth="1"/>
    <col min="7330" max="7330" width="11.28515625" bestFit="1" customWidth="1"/>
    <col min="7331" max="7331" width="10.140625" bestFit="1" customWidth="1"/>
    <col min="7332" max="7332" width="13.28515625" bestFit="1" customWidth="1"/>
    <col min="7333" max="7334" width="12.7109375" bestFit="1" customWidth="1"/>
    <col min="7335" max="7335" width="11" bestFit="1" customWidth="1"/>
    <col min="7336" max="7336" width="11.28515625" bestFit="1" customWidth="1"/>
    <col min="7337" max="7337" width="11.5703125" bestFit="1" customWidth="1"/>
    <col min="7338" max="7338" width="12.28515625" bestFit="1" customWidth="1"/>
    <col min="7339" max="7339" width="15.140625" bestFit="1" customWidth="1"/>
    <col min="7340" max="7340" width="14.42578125" bestFit="1" customWidth="1"/>
    <col min="7341" max="7341" width="12.28515625" bestFit="1" customWidth="1"/>
    <col min="7342" max="7342" width="15.140625" bestFit="1" customWidth="1"/>
    <col min="7343" max="7343" width="14.42578125" bestFit="1" customWidth="1"/>
    <col min="7344" max="7344" width="12.28515625" bestFit="1" customWidth="1"/>
    <col min="7345" max="7345" width="14.42578125" bestFit="1" customWidth="1"/>
    <col min="7346" max="7346" width="11.28515625" bestFit="1" customWidth="1"/>
    <col min="7347" max="7347" width="12.28515625" bestFit="1" customWidth="1"/>
    <col min="7348" max="7348" width="13" bestFit="1" customWidth="1"/>
    <col min="7349" max="7349" width="15.140625" bestFit="1" customWidth="1"/>
    <col min="7350" max="7350" width="12.28515625" bestFit="1" customWidth="1"/>
    <col min="7351" max="7351" width="13.85546875" bestFit="1" customWidth="1"/>
    <col min="7352" max="7352" width="11.28515625" bestFit="1" customWidth="1"/>
    <col min="7353" max="7353" width="12.28515625" bestFit="1" customWidth="1"/>
    <col min="7354" max="7354" width="13.85546875" bestFit="1" customWidth="1"/>
    <col min="7355" max="7356" width="15.140625" bestFit="1" customWidth="1"/>
    <col min="7357" max="7357" width="12.28515625" bestFit="1" customWidth="1"/>
    <col min="7358" max="7358" width="5.7109375" bestFit="1" customWidth="1"/>
    <col min="7359" max="7359" width="8.5703125" bestFit="1" customWidth="1"/>
    <col min="7360" max="7360" width="5.5703125" bestFit="1" customWidth="1"/>
    <col min="7361" max="7361" width="14.42578125" bestFit="1" customWidth="1"/>
    <col min="7362" max="7362" width="11.28515625" bestFit="1" customWidth="1"/>
    <col min="7363" max="7364" width="12.28515625" bestFit="1" customWidth="1"/>
    <col min="7365" max="7365" width="11.28515625" bestFit="1" customWidth="1"/>
    <col min="7366" max="7366" width="13.85546875" bestFit="1" customWidth="1"/>
    <col min="7367" max="7367" width="12" bestFit="1" customWidth="1"/>
    <col min="7368" max="7368" width="13.85546875" bestFit="1" customWidth="1"/>
    <col min="7369" max="7370" width="14.42578125" customWidth="1"/>
    <col min="7371" max="7371" width="10.140625" bestFit="1" customWidth="1"/>
    <col min="7372" max="7372" width="12.28515625" bestFit="1" customWidth="1"/>
    <col min="7373" max="7373" width="7.42578125" bestFit="1" customWidth="1"/>
    <col min="7374" max="7374" width="8.5703125" bestFit="1" customWidth="1"/>
    <col min="7375" max="7375" width="11.5703125" bestFit="1" customWidth="1"/>
    <col min="7376" max="7376" width="13.28515625" bestFit="1" customWidth="1"/>
    <col min="7377" max="7377" width="13.28515625" customWidth="1"/>
    <col min="7378" max="7378" width="13.140625" customWidth="1"/>
    <col min="7379" max="7379" width="12.7109375" bestFit="1" customWidth="1"/>
    <col min="7380" max="7380" width="13.28515625" bestFit="1" customWidth="1"/>
    <col min="7381" max="7383" width="13.28515625" customWidth="1"/>
    <col min="7384" max="7384" width="12.140625" bestFit="1" customWidth="1"/>
    <col min="7385" max="7385" width="12.7109375" bestFit="1" customWidth="1"/>
    <col min="7386" max="7386" width="11" customWidth="1"/>
    <col min="7387" max="7387" width="16.7109375" customWidth="1"/>
    <col min="7388" max="7388" width="17" customWidth="1"/>
    <col min="7389" max="7389" width="10.42578125" bestFit="1" customWidth="1"/>
    <col min="7433" max="7433" width="3.85546875" customWidth="1"/>
    <col min="7434" max="7434" width="15.28515625" bestFit="1" customWidth="1"/>
    <col min="7435" max="7435" width="12.28515625" customWidth="1"/>
    <col min="7436" max="7436" width="16.28515625" bestFit="1" customWidth="1"/>
    <col min="7437" max="7437" width="6.42578125" bestFit="1" customWidth="1"/>
    <col min="7438" max="7438" width="9.28515625" bestFit="1" customWidth="1"/>
    <col min="7439" max="7439" width="7.5703125" bestFit="1" customWidth="1"/>
    <col min="7440" max="7440" width="13.28515625" bestFit="1" customWidth="1"/>
    <col min="7441" max="7441" width="9.28515625" bestFit="1" customWidth="1"/>
    <col min="7442" max="7442" width="11.5703125" bestFit="1" customWidth="1"/>
    <col min="7443" max="7443" width="13.28515625" bestFit="1" customWidth="1"/>
    <col min="7444" max="7444" width="7.140625" bestFit="1" customWidth="1"/>
    <col min="7445" max="7445" width="12" bestFit="1" customWidth="1"/>
    <col min="7446" max="7446" width="13.28515625" bestFit="1" customWidth="1"/>
    <col min="7447" max="7447" width="7" bestFit="1" customWidth="1"/>
    <col min="7448" max="7448" width="12.7109375" bestFit="1" customWidth="1"/>
    <col min="7449" max="7449" width="11.5703125" bestFit="1" customWidth="1"/>
    <col min="7450" max="7450" width="10.5703125" bestFit="1" customWidth="1"/>
    <col min="7451" max="7452" width="15.7109375" bestFit="1" customWidth="1"/>
    <col min="7453" max="7453" width="11.5703125" bestFit="1" customWidth="1"/>
    <col min="7454" max="7454" width="7.7109375" bestFit="1" customWidth="1"/>
    <col min="7455" max="7455" width="15.140625" bestFit="1" customWidth="1"/>
    <col min="7456" max="7456" width="11.5703125" bestFit="1" customWidth="1"/>
    <col min="7457" max="7457" width="13.28515625" bestFit="1" customWidth="1"/>
    <col min="7458" max="7458" width="10.42578125" bestFit="1" customWidth="1"/>
    <col min="7459" max="7459" width="13.28515625" bestFit="1" customWidth="1"/>
    <col min="7460" max="7460" width="12.140625" bestFit="1" customWidth="1"/>
    <col min="7461" max="7461" width="14.42578125" bestFit="1" customWidth="1"/>
    <col min="7462" max="7462" width="13.28515625" bestFit="1" customWidth="1"/>
    <col min="7463" max="7463" width="11.5703125" bestFit="1" customWidth="1"/>
    <col min="7464" max="7464" width="7.7109375" bestFit="1" customWidth="1"/>
    <col min="7465" max="7466" width="14.42578125" bestFit="1" customWidth="1"/>
    <col min="7467" max="7467" width="11.5703125" bestFit="1" customWidth="1"/>
    <col min="7468" max="7468" width="7.7109375" bestFit="1" customWidth="1"/>
    <col min="7469" max="7469" width="13.5703125" customWidth="1"/>
    <col min="7470" max="7470" width="15.28515625" customWidth="1"/>
    <col min="7471" max="7471" width="14.5703125" customWidth="1"/>
    <col min="7472" max="7472" width="13.28515625" bestFit="1" customWidth="1"/>
    <col min="7473" max="7473" width="7.7109375" bestFit="1" customWidth="1"/>
    <col min="7474" max="7474" width="12.7109375" bestFit="1" customWidth="1"/>
    <col min="7475" max="7475" width="11.7109375" bestFit="1" customWidth="1"/>
    <col min="7476" max="7476" width="11.5703125" bestFit="1" customWidth="1"/>
    <col min="7477" max="7477" width="5.28515625" bestFit="1" customWidth="1"/>
    <col min="7478" max="7478" width="13.28515625" bestFit="1" customWidth="1"/>
    <col min="7479" max="7479" width="13.5703125" bestFit="1" customWidth="1"/>
    <col min="7480" max="7480" width="10.5703125" bestFit="1" customWidth="1"/>
    <col min="7481" max="7481" width="13.28515625" bestFit="1" customWidth="1"/>
    <col min="7482" max="7482" width="11.5703125" bestFit="1" customWidth="1"/>
    <col min="7483" max="7483" width="10.5703125" bestFit="1" customWidth="1"/>
    <col min="7484" max="7484" width="16.140625" bestFit="1" customWidth="1"/>
    <col min="7485" max="7486" width="11.28515625" bestFit="1" customWidth="1"/>
    <col min="7487" max="7487" width="13.28515625" bestFit="1" customWidth="1"/>
    <col min="7488" max="7488" width="7.7109375" bestFit="1" customWidth="1"/>
    <col min="7489" max="7492" width="9.140625" hidden="1" customWidth="1"/>
    <col min="7493" max="7493" width="10.42578125" bestFit="1" customWidth="1"/>
    <col min="7494" max="7494" width="10.5703125" bestFit="1" customWidth="1"/>
    <col min="7495" max="7495" width="10.42578125" bestFit="1" customWidth="1"/>
    <col min="7496" max="7496" width="10.5703125" bestFit="1" customWidth="1"/>
    <col min="7497" max="7497" width="9.5703125" bestFit="1" customWidth="1"/>
    <col min="7498" max="7498" width="11.5703125" bestFit="1" customWidth="1"/>
    <col min="7499" max="7499" width="10.42578125" bestFit="1" customWidth="1"/>
    <col min="7500" max="7500" width="10.85546875" customWidth="1"/>
    <col min="7501" max="7502" width="9.85546875" bestFit="1" customWidth="1"/>
    <col min="7503" max="7503" width="13.5703125" bestFit="1" customWidth="1"/>
    <col min="7504" max="7504" width="7.7109375" bestFit="1" customWidth="1"/>
    <col min="7505" max="7505" width="13.28515625" bestFit="1" customWidth="1"/>
    <col min="7506" max="7506" width="11.5703125" bestFit="1" customWidth="1"/>
    <col min="7507" max="7507" width="10.42578125" bestFit="1" customWidth="1"/>
    <col min="7508" max="7508" width="7.7109375" bestFit="1" customWidth="1"/>
    <col min="7509" max="7509" width="11.5703125" bestFit="1" customWidth="1"/>
    <col min="7510" max="7510" width="10.85546875" bestFit="1" customWidth="1"/>
    <col min="7511" max="7511" width="13.28515625" bestFit="1" customWidth="1"/>
    <col min="7512" max="7512" width="10.85546875" bestFit="1" customWidth="1"/>
    <col min="7513" max="7514" width="7.5703125" bestFit="1" customWidth="1"/>
    <col min="7515" max="7516" width="10.42578125" bestFit="1" customWidth="1"/>
    <col min="7517" max="7517" width="11.5703125" bestFit="1" customWidth="1"/>
    <col min="7518" max="7518" width="5.28515625" bestFit="1" customWidth="1"/>
    <col min="7519" max="7519" width="10.28515625" bestFit="1" customWidth="1"/>
    <col min="7520" max="7520" width="10.42578125" bestFit="1" customWidth="1"/>
    <col min="7521" max="7521" width="11.5703125" bestFit="1" customWidth="1"/>
    <col min="7522" max="7522" width="5.28515625" bestFit="1" customWidth="1"/>
    <col min="7523" max="7525" width="11.5703125" bestFit="1" customWidth="1"/>
    <col min="7526" max="7526" width="5.28515625" bestFit="1" customWidth="1"/>
    <col min="7527" max="7528" width="10.42578125" bestFit="1" customWidth="1"/>
    <col min="7529" max="7529" width="11.5703125" bestFit="1" customWidth="1"/>
    <col min="7530" max="7530" width="5.28515625" bestFit="1" customWidth="1"/>
    <col min="7531" max="7531" width="14.28515625" bestFit="1" customWidth="1"/>
    <col min="7532" max="7532" width="13" bestFit="1" customWidth="1"/>
    <col min="7533" max="7533" width="11.5703125" bestFit="1" customWidth="1"/>
    <col min="7534" max="7534" width="8.85546875" bestFit="1" customWidth="1"/>
    <col min="7535" max="7535" width="14.42578125" bestFit="1" customWidth="1"/>
    <col min="7536" max="7536" width="10.42578125" bestFit="1" customWidth="1"/>
    <col min="7537" max="7537" width="12.28515625" bestFit="1" customWidth="1"/>
    <col min="7538" max="7538" width="13.85546875" bestFit="1" customWidth="1"/>
    <col min="7539" max="7539" width="11.28515625" customWidth="1"/>
    <col min="7540" max="7540" width="11.5703125" customWidth="1"/>
    <col min="7541" max="7541" width="13.42578125" bestFit="1" customWidth="1"/>
    <col min="7542" max="7542" width="10.42578125" customWidth="1"/>
    <col min="7543" max="7543" width="13.85546875" bestFit="1" customWidth="1"/>
    <col min="7544" max="7544" width="15.42578125" bestFit="1" customWidth="1"/>
    <col min="7545" max="7545" width="12.28515625" bestFit="1" customWidth="1"/>
    <col min="7546" max="7546" width="12.7109375" customWidth="1"/>
    <col min="7547" max="7547" width="10.7109375" bestFit="1" customWidth="1"/>
    <col min="7548" max="7548" width="9.85546875" customWidth="1"/>
    <col min="7549" max="7550" width="10.140625" bestFit="1" customWidth="1"/>
    <col min="7551" max="7551" width="7.5703125" bestFit="1" customWidth="1"/>
    <col min="7552" max="7552" width="9.42578125" bestFit="1" customWidth="1"/>
    <col min="7553" max="7553" width="14.5703125" bestFit="1" customWidth="1"/>
    <col min="7554" max="7554" width="14.85546875" customWidth="1"/>
    <col min="7555" max="7555" width="15.140625" bestFit="1" customWidth="1"/>
    <col min="7556" max="7556" width="12.140625" bestFit="1" customWidth="1"/>
    <col min="7557" max="7557" width="14.85546875" bestFit="1" customWidth="1"/>
    <col min="7558" max="7558" width="12.28515625" bestFit="1" customWidth="1"/>
    <col min="7559" max="7567" width="9.140625" hidden="1" customWidth="1"/>
    <col min="7568" max="7568" width="5.28515625" bestFit="1" customWidth="1"/>
    <col min="7569" max="7574" width="11.5703125" bestFit="1" customWidth="1"/>
    <col min="7575" max="7575" width="11.28515625" bestFit="1" customWidth="1"/>
    <col min="7576" max="7576" width="10.140625" bestFit="1" customWidth="1"/>
    <col min="7577" max="7577" width="11.5703125" bestFit="1" customWidth="1"/>
    <col min="7578" max="7578" width="16.140625" customWidth="1"/>
    <col min="7579" max="7579" width="13.42578125" customWidth="1"/>
    <col min="7580" max="7580" width="10.140625" bestFit="1" customWidth="1"/>
    <col min="7581" max="7581" width="12.85546875" bestFit="1" customWidth="1"/>
    <col min="7582" max="7582" width="12.28515625" bestFit="1" customWidth="1"/>
    <col min="7583" max="7583" width="11.28515625" bestFit="1" customWidth="1"/>
    <col min="7584" max="7584" width="11.5703125" bestFit="1" customWidth="1"/>
    <col min="7585" max="7585" width="10.85546875" bestFit="1" customWidth="1"/>
    <col min="7586" max="7586" width="11.28515625" bestFit="1" customWidth="1"/>
    <col min="7587" max="7587" width="10.140625" bestFit="1" customWidth="1"/>
    <col min="7588" max="7588" width="13.28515625" bestFit="1" customWidth="1"/>
    <col min="7589" max="7590" width="12.7109375" bestFit="1" customWidth="1"/>
    <col min="7591" max="7591" width="11" bestFit="1" customWidth="1"/>
    <col min="7592" max="7592" width="11.28515625" bestFit="1" customWidth="1"/>
    <col min="7593" max="7593" width="11.5703125" bestFit="1" customWidth="1"/>
    <col min="7594" max="7594" width="12.28515625" bestFit="1" customWidth="1"/>
    <col min="7595" max="7595" width="15.140625" bestFit="1" customWidth="1"/>
    <col min="7596" max="7596" width="14.42578125" bestFit="1" customWidth="1"/>
    <col min="7597" max="7597" width="12.28515625" bestFit="1" customWidth="1"/>
    <col min="7598" max="7598" width="15.140625" bestFit="1" customWidth="1"/>
    <col min="7599" max="7599" width="14.42578125" bestFit="1" customWidth="1"/>
    <col min="7600" max="7600" width="12.28515625" bestFit="1" customWidth="1"/>
    <col min="7601" max="7601" width="14.42578125" bestFit="1" customWidth="1"/>
    <col min="7602" max="7602" width="11.28515625" bestFit="1" customWidth="1"/>
    <col min="7603" max="7603" width="12.28515625" bestFit="1" customWidth="1"/>
    <col min="7604" max="7604" width="13" bestFit="1" customWidth="1"/>
    <col min="7605" max="7605" width="15.140625" bestFit="1" customWidth="1"/>
    <col min="7606" max="7606" width="12.28515625" bestFit="1" customWidth="1"/>
    <col min="7607" max="7607" width="13.85546875" bestFit="1" customWidth="1"/>
    <col min="7608" max="7608" width="11.28515625" bestFit="1" customWidth="1"/>
    <col min="7609" max="7609" width="12.28515625" bestFit="1" customWidth="1"/>
    <col min="7610" max="7610" width="13.85546875" bestFit="1" customWidth="1"/>
    <col min="7611" max="7612" width="15.140625" bestFit="1" customWidth="1"/>
    <col min="7613" max="7613" width="12.28515625" bestFit="1" customWidth="1"/>
    <col min="7614" max="7614" width="5.7109375" bestFit="1" customWidth="1"/>
    <col min="7615" max="7615" width="8.5703125" bestFit="1" customWidth="1"/>
    <col min="7616" max="7616" width="5.5703125" bestFit="1" customWidth="1"/>
    <col min="7617" max="7617" width="14.42578125" bestFit="1" customWidth="1"/>
    <col min="7618" max="7618" width="11.28515625" bestFit="1" customWidth="1"/>
    <col min="7619" max="7620" width="12.28515625" bestFit="1" customWidth="1"/>
    <col min="7621" max="7621" width="11.28515625" bestFit="1" customWidth="1"/>
    <col min="7622" max="7622" width="13.85546875" bestFit="1" customWidth="1"/>
    <col min="7623" max="7623" width="12" bestFit="1" customWidth="1"/>
    <col min="7624" max="7624" width="13.85546875" bestFit="1" customWidth="1"/>
    <col min="7625" max="7626" width="14.42578125" customWidth="1"/>
    <col min="7627" max="7627" width="10.140625" bestFit="1" customWidth="1"/>
    <col min="7628" max="7628" width="12.28515625" bestFit="1" customWidth="1"/>
    <col min="7629" max="7629" width="7.42578125" bestFit="1" customWidth="1"/>
    <col min="7630" max="7630" width="8.5703125" bestFit="1" customWidth="1"/>
    <col min="7631" max="7631" width="11.5703125" bestFit="1" customWidth="1"/>
    <col min="7632" max="7632" width="13.28515625" bestFit="1" customWidth="1"/>
    <col min="7633" max="7633" width="13.28515625" customWidth="1"/>
    <col min="7634" max="7634" width="13.140625" customWidth="1"/>
    <col min="7635" max="7635" width="12.7109375" bestFit="1" customWidth="1"/>
    <col min="7636" max="7636" width="13.28515625" bestFit="1" customWidth="1"/>
    <col min="7637" max="7639" width="13.28515625" customWidth="1"/>
    <col min="7640" max="7640" width="12.140625" bestFit="1" customWidth="1"/>
    <col min="7641" max="7641" width="12.7109375" bestFit="1" customWidth="1"/>
    <col min="7642" max="7642" width="11" customWidth="1"/>
    <col min="7643" max="7643" width="16.7109375" customWidth="1"/>
    <col min="7644" max="7644" width="17" customWidth="1"/>
    <col min="7645" max="7645" width="10.42578125" bestFit="1" customWidth="1"/>
    <col min="7689" max="7689" width="3.85546875" customWidth="1"/>
    <col min="7690" max="7690" width="15.28515625" bestFit="1" customWidth="1"/>
    <col min="7691" max="7691" width="12.28515625" customWidth="1"/>
    <col min="7692" max="7692" width="16.28515625" bestFit="1" customWidth="1"/>
    <col min="7693" max="7693" width="6.42578125" bestFit="1" customWidth="1"/>
    <col min="7694" max="7694" width="9.28515625" bestFit="1" customWidth="1"/>
    <col min="7695" max="7695" width="7.5703125" bestFit="1" customWidth="1"/>
    <col min="7696" max="7696" width="13.28515625" bestFit="1" customWidth="1"/>
    <col min="7697" max="7697" width="9.28515625" bestFit="1" customWidth="1"/>
    <col min="7698" max="7698" width="11.5703125" bestFit="1" customWidth="1"/>
    <col min="7699" max="7699" width="13.28515625" bestFit="1" customWidth="1"/>
    <col min="7700" max="7700" width="7.140625" bestFit="1" customWidth="1"/>
    <col min="7701" max="7701" width="12" bestFit="1" customWidth="1"/>
    <col min="7702" max="7702" width="13.28515625" bestFit="1" customWidth="1"/>
    <col min="7703" max="7703" width="7" bestFit="1" customWidth="1"/>
    <col min="7704" max="7704" width="12.7109375" bestFit="1" customWidth="1"/>
    <col min="7705" max="7705" width="11.5703125" bestFit="1" customWidth="1"/>
    <col min="7706" max="7706" width="10.5703125" bestFit="1" customWidth="1"/>
    <col min="7707" max="7708" width="15.7109375" bestFit="1" customWidth="1"/>
    <col min="7709" max="7709" width="11.5703125" bestFit="1" customWidth="1"/>
    <col min="7710" max="7710" width="7.7109375" bestFit="1" customWidth="1"/>
    <col min="7711" max="7711" width="15.140625" bestFit="1" customWidth="1"/>
    <col min="7712" max="7712" width="11.5703125" bestFit="1" customWidth="1"/>
    <col min="7713" max="7713" width="13.28515625" bestFit="1" customWidth="1"/>
    <col min="7714" max="7714" width="10.42578125" bestFit="1" customWidth="1"/>
    <col min="7715" max="7715" width="13.28515625" bestFit="1" customWidth="1"/>
    <col min="7716" max="7716" width="12.140625" bestFit="1" customWidth="1"/>
    <col min="7717" max="7717" width="14.42578125" bestFit="1" customWidth="1"/>
    <col min="7718" max="7718" width="13.28515625" bestFit="1" customWidth="1"/>
    <col min="7719" max="7719" width="11.5703125" bestFit="1" customWidth="1"/>
    <col min="7720" max="7720" width="7.7109375" bestFit="1" customWidth="1"/>
    <col min="7721" max="7722" width="14.42578125" bestFit="1" customWidth="1"/>
    <col min="7723" max="7723" width="11.5703125" bestFit="1" customWidth="1"/>
    <col min="7724" max="7724" width="7.7109375" bestFit="1" customWidth="1"/>
    <col min="7725" max="7725" width="13.5703125" customWidth="1"/>
    <col min="7726" max="7726" width="15.28515625" customWidth="1"/>
    <col min="7727" max="7727" width="14.5703125" customWidth="1"/>
    <col min="7728" max="7728" width="13.28515625" bestFit="1" customWidth="1"/>
    <col min="7729" max="7729" width="7.7109375" bestFit="1" customWidth="1"/>
    <col min="7730" max="7730" width="12.7109375" bestFit="1" customWidth="1"/>
    <col min="7731" max="7731" width="11.7109375" bestFit="1" customWidth="1"/>
    <col min="7732" max="7732" width="11.5703125" bestFit="1" customWidth="1"/>
    <col min="7733" max="7733" width="5.28515625" bestFit="1" customWidth="1"/>
    <col min="7734" max="7734" width="13.28515625" bestFit="1" customWidth="1"/>
    <col min="7735" max="7735" width="13.5703125" bestFit="1" customWidth="1"/>
    <col min="7736" max="7736" width="10.5703125" bestFit="1" customWidth="1"/>
    <col min="7737" max="7737" width="13.28515625" bestFit="1" customWidth="1"/>
    <col min="7738" max="7738" width="11.5703125" bestFit="1" customWidth="1"/>
    <col min="7739" max="7739" width="10.5703125" bestFit="1" customWidth="1"/>
    <col min="7740" max="7740" width="16.140625" bestFit="1" customWidth="1"/>
    <col min="7741" max="7742" width="11.28515625" bestFit="1" customWidth="1"/>
    <col min="7743" max="7743" width="13.28515625" bestFit="1" customWidth="1"/>
    <col min="7744" max="7744" width="7.7109375" bestFit="1" customWidth="1"/>
    <col min="7745" max="7748" width="9.140625" hidden="1" customWidth="1"/>
    <col min="7749" max="7749" width="10.42578125" bestFit="1" customWidth="1"/>
    <col min="7750" max="7750" width="10.5703125" bestFit="1" customWidth="1"/>
    <col min="7751" max="7751" width="10.42578125" bestFit="1" customWidth="1"/>
    <col min="7752" max="7752" width="10.5703125" bestFit="1" customWidth="1"/>
    <col min="7753" max="7753" width="9.5703125" bestFit="1" customWidth="1"/>
    <col min="7754" max="7754" width="11.5703125" bestFit="1" customWidth="1"/>
    <col min="7755" max="7755" width="10.42578125" bestFit="1" customWidth="1"/>
    <col min="7756" max="7756" width="10.85546875" customWidth="1"/>
    <col min="7757" max="7758" width="9.85546875" bestFit="1" customWidth="1"/>
    <col min="7759" max="7759" width="13.5703125" bestFit="1" customWidth="1"/>
    <col min="7760" max="7760" width="7.7109375" bestFit="1" customWidth="1"/>
    <col min="7761" max="7761" width="13.28515625" bestFit="1" customWidth="1"/>
    <col min="7762" max="7762" width="11.5703125" bestFit="1" customWidth="1"/>
    <col min="7763" max="7763" width="10.42578125" bestFit="1" customWidth="1"/>
    <col min="7764" max="7764" width="7.7109375" bestFit="1" customWidth="1"/>
    <col min="7765" max="7765" width="11.5703125" bestFit="1" customWidth="1"/>
    <col min="7766" max="7766" width="10.85546875" bestFit="1" customWidth="1"/>
    <col min="7767" max="7767" width="13.28515625" bestFit="1" customWidth="1"/>
    <col min="7768" max="7768" width="10.85546875" bestFit="1" customWidth="1"/>
    <col min="7769" max="7770" width="7.5703125" bestFit="1" customWidth="1"/>
    <col min="7771" max="7772" width="10.42578125" bestFit="1" customWidth="1"/>
    <col min="7773" max="7773" width="11.5703125" bestFit="1" customWidth="1"/>
    <col min="7774" max="7774" width="5.28515625" bestFit="1" customWidth="1"/>
    <col min="7775" max="7775" width="10.28515625" bestFit="1" customWidth="1"/>
    <col min="7776" max="7776" width="10.42578125" bestFit="1" customWidth="1"/>
    <col min="7777" max="7777" width="11.5703125" bestFit="1" customWidth="1"/>
    <col min="7778" max="7778" width="5.28515625" bestFit="1" customWidth="1"/>
    <col min="7779" max="7781" width="11.5703125" bestFit="1" customWidth="1"/>
    <col min="7782" max="7782" width="5.28515625" bestFit="1" customWidth="1"/>
    <col min="7783" max="7784" width="10.42578125" bestFit="1" customWidth="1"/>
    <col min="7785" max="7785" width="11.5703125" bestFit="1" customWidth="1"/>
    <col min="7786" max="7786" width="5.28515625" bestFit="1" customWidth="1"/>
    <col min="7787" max="7787" width="14.28515625" bestFit="1" customWidth="1"/>
    <col min="7788" max="7788" width="13" bestFit="1" customWidth="1"/>
    <col min="7789" max="7789" width="11.5703125" bestFit="1" customWidth="1"/>
    <col min="7790" max="7790" width="8.85546875" bestFit="1" customWidth="1"/>
    <col min="7791" max="7791" width="14.42578125" bestFit="1" customWidth="1"/>
    <col min="7792" max="7792" width="10.42578125" bestFit="1" customWidth="1"/>
    <col min="7793" max="7793" width="12.28515625" bestFit="1" customWidth="1"/>
    <col min="7794" max="7794" width="13.85546875" bestFit="1" customWidth="1"/>
    <col min="7795" max="7795" width="11.28515625" customWidth="1"/>
    <col min="7796" max="7796" width="11.5703125" customWidth="1"/>
    <col min="7797" max="7797" width="13.42578125" bestFit="1" customWidth="1"/>
    <col min="7798" max="7798" width="10.42578125" customWidth="1"/>
    <col min="7799" max="7799" width="13.85546875" bestFit="1" customWidth="1"/>
    <col min="7800" max="7800" width="15.42578125" bestFit="1" customWidth="1"/>
    <col min="7801" max="7801" width="12.28515625" bestFit="1" customWidth="1"/>
    <col min="7802" max="7802" width="12.7109375" customWidth="1"/>
    <col min="7803" max="7803" width="10.7109375" bestFit="1" customWidth="1"/>
    <col min="7804" max="7804" width="9.85546875" customWidth="1"/>
    <col min="7805" max="7806" width="10.140625" bestFit="1" customWidth="1"/>
    <col min="7807" max="7807" width="7.5703125" bestFit="1" customWidth="1"/>
    <col min="7808" max="7808" width="9.42578125" bestFit="1" customWidth="1"/>
    <col min="7809" max="7809" width="14.5703125" bestFit="1" customWidth="1"/>
    <col min="7810" max="7810" width="14.85546875" customWidth="1"/>
    <col min="7811" max="7811" width="15.140625" bestFit="1" customWidth="1"/>
    <col min="7812" max="7812" width="12.140625" bestFit="1" customWidth="1"/>
    <col min="7813" max="7813" width="14.85546875" bestFit="1" customWidth="1"/>
    <col min="7814" max="7814" width="12.28515625" bestFit="1" customWidth="1"/>
    <col min="7815" max="7823" width="9.140625" hidden="1" customWidth="1"/>
    <col min="7824" max="7824" width="5.28515625" bestFit="1" customWidth="1"/>
    <col min="7825" max="7830" width="11.5703125" bestFit="1" customWidth="1"/>
    <col min="7831" max="7831" width="11.28515625" bestFit="1" customWidth="1"/>
    <col min="7832" max="7832" width="10.140625" bestFit="1" customWidth="1"/>
    <col min="7833" max="7833" width="11.5703125" bestFit="1" customWidth="1"/>
    <col min="7834" max="7834" width="16.140625" customWidth="1"/>
    <col min="7835" max="7835" width="13.42578125" customWidth="1"/>
    <col min="7836" max="7836" width="10.140625" bestFit="1" customWidth="1"/>
    <col min="7837" max="7837" width="12.85546875" bestFit="1" customWidth="1"/>
    <col min="7838" max="7838" width="12.28515625" bestFit="1" customWidth="1"/>
    <col min="7839" max="7839" width="11.28515625" bestFit="1" customWidth="1"/>
    <col min="7840" max="7840" width="11.5703125" bestFit="1" customWidth="1"/>
    <col min="7841" max="7841" width="10.85546875" bestFit="1" customWidth="1"/>
    <col min="7842" max="7842" width="11.28515625" bestFit="1" customWidth="1"/>
    <col min="7843" max="7843" width="10.140625" bestFit="1" customWidth="1"/>
    <col min="7844" max="7844" width="13.28515625" bestFit="1" customWidth="1"/>
    <col min="7845" max="7846" width="12.7109375" bestFit="1" customWidth="1"/>
    <col min="7847" max="7847" width="11" bestFit="1" customWidth="1"/>
    <col min="7848" max="7848" width="11.28515625" bestFit="1" customWidth="1"/>
    <col min="7849" max="7849" width="11.5703125" bestFit="1" customWidth="1"/>
    <col min="7850" max="7850" width="12.28515625" bestFit="1" customWidth="1"/>
    <col min="7851" max="7851" width="15.140625" bestFit="1" customWidth="1"/>
    <col min="7852" max="7852" width="14.42578125" bestFit="1" customWidth="1"/>
    <col min="7853" max="7853" width="12.28515625" bestFit="1" customWidth="1"/>
    <col min="7854" max="7854" width="15.140625" bestFit="1" customWidth="1"/>
    <col min="7855" max="7855" width="14.42578125" bestFit="1" customWidth="1"/>
    <col min="7856" max="7856" width="12.28515625" bestFit="1" customWidth="1"/>
    <col min="7857" max="7857" width="14.42578125" bestFit="1" customWidth="1"/>
    <col min="7858" max="7858" width="11.28515625" bestFit="1" customWidth="1"/>
    <col min="7859" max="7859" width="12.28515625" bestFit="1" customWidth="1"/>
    <col min="7860" max="7860" width="13" bestFit="1" customWidth="1"/>
    <col min="7861" max="7861" width="15.140625" bestFit="1" customWidth="1"/>
    <col min="7862" max="7862" width="12.28515625" bestFit="1" customWidth="1"/>
    <col min="7863" max="7863" width="13.85546875" bestFit="1" customWidth="1"/>
    <col min="7864" max="7864" width="11.28515625" bestFit="1" customWidth="1"/>
    <col min="7865" max="7865" width="12.28515625" bestFit="1" customWidth="1"/>
    <col min="7866" max="7866" width="13.85546875" bestFit="1" customWidth="1"/>
    <col min="7867" max="7868" width="15.140625" bestFit="1" customWidth="1"/>
    <col min="7869" max="7869" width="12.28515625" bestFit="1" customWidth="1"/>
    <col min="7870" max="7870" width="5.7109375" bestFit="1" customWidth="1"/>
    <col min="7871" max="7871" width="8.5703125" bestFit="1" customWidth="1"/>
    <col min="7872" max="7872" width="5.5703125" bestFit="1" customWidth="1"/>
    <col min="7873" max="7873" width="14.42578125" bestFit="1" customWidth="1"/>
    <col min="7874" max="7874" width="11.28515625" bestFit="1" customWidth="1"/>
    <col min="7875" max="7876" width="12.28515625" bestFit="1" customWidth="1"/>
    <col min="7877" max="7877" width="11.28515625" bestFit="1" customWidth="1"/>
    <col min="7878" max="7878" width="13.85546875" bestFit="1" customWidth="1"/>
    <col min="7879" max="7879" width="12" bestFit="1" customWidth="1"/>
    <col min="7880" max="7880" width="13.85546875" bestFit="1" customWidth="1"/>
    <col min="7881" max="7882" width="14.42578125" customWidth="1"/>
    <col min="7883" max="7883" width="10.140625" bestFit="1" customWidth="1"/>
    <col min="7884" max="7884" width="12.28515625" bestFit="1" customWidth="1"/>
    <col min="7885" max="7885" width="7.42578125" bestFit="1" customWidth="1"/>
    <col min="7886" max="7886" width="8.5703125" bestFit="1" customWidth="1"/>
    <col min="7887" max="7887" width="11.5703125" bestFit="1" customWidth="1"/>
    <col min="7888" max="7888" width="13.28515625" bestFit="1" customWidth="1"/>
    <col min="7889" max="7889" width="13.28515625" customWidth="1"/>
    <col min="7890" max="7890" width="13.140625" customWidth="1"/>
    <col min="7891" max="7891" width="12.7109375" bestFit="1" customWidth="1"/>
    <col min="7892" max="7892" width="13.28515625" bestFit="1" customWidth="1"/>
    <col min="7893" max="7895" width="13.28515625" customWidth="1"/>
    <col min="7896" max="7896" width="12.140625" bestFit="1" customWidth="1"/>
    <col min="7897" max="7897" width="12.7109375" bestFit="1" customWidth="1"/>
    <col min="7898" max="7898" width="11" customWidth="1"/>
    <col min="7899" max="7899" width="16.7109375" customWidth="1"/>
    <col min="7900" max="7900" width="17" customWidth="1"/>
    <col min="7901" max="7901" width="10.42578125" bestFit="1" customWidth="1"/>
    <col min="7945" max="7945" width="3.85546875" customWidth="1"/>
    <col min="7946" max="7946" width="15.28515625" bestFit="1" customWidth="1"/>
    <col min="7947" max="7947" width="12.28515625" customWidth="1"/>
    <col min="7948" max="7948" width="16.28515625" bestFit="1" customWidth="1"/>
    <col min="7949" max="7949" width="6.42578125" bestFit="1" customWidth="1"/>
    <col min="7950" max="7950" width="9.28515625" bestFit="1" customWidth="1"/>
    <col min="7951" max="7951" width="7.5703125" bestFit="1" customWidth="1"/>
    <col min="7952" max="7952" width="13.28515625" bestFit="1" customWidth="1"/>
    <col min="7953" max="7953" width="9.28515625" bestFit="1" customWidth="1"/>
    <col min="7954" max="7954" width="11.5703125" bestFit="1" customWidth="1"/>
    <col min="7955" max="7955" width="13.28515625" bestFit="1" customWidth="1"/>
    <col min="7956" max="7956" width="7.140625" bestFit="1" customWidth="1"/>
    <col min="7957" max="7957" width="12" bestFit="1" customWidth="1"/>
    <col min="7958" max="7958" width="13.28515625" bestFit="1" customWidth="1"/>
    <col min="7959" max="7959" width="7" bestFit="1" customWidth="1"/>
    <col min="7960" max="7960" width="12.7109375" bestFit="1" customWidth="1"/>
    <col min="7961" max="7961" width="11.5703125" bestFit="1" customWidth="1"/>
    <col min="7962" max="7962" width="10.5703125" bestFit="1" customWidth="1"/>
    <col min="7963" max="7964" width="15.7109375" bestFit="1" customWidth="1"/>
    <col min="7965" max="7965" width="11.5703125" bestFit="1" customWidth="1"/>
    <col min="7966" max="7966" width="7.7109375" bestFit="1" customWidth="1"/>
    <col min="7967" max="7967" width="15.140625" bestFit="1" customWidth="1"/>
    <col min="7968" max="7968" width="11.5703125" bestFit="1" customWidth="1"/>
    <col min="7969" max="7969" width="13.28515625" bestFit="1" customWidth="1"/>
    <col min="7970" max="7970" width="10.42578125" bestFit="1" customWidth="1"/>
    <col min="7971" max="7971" width="13.28515625" bestFit="1" customWidth="1"/>
    <col min="7972" max="7972" width="12.140625" bestFit="1" customWidth="1"/>
    <col min="7973" max="7973" width="14.42578125" bestFit="1" customWidth="1"/>
    <col min="7974" max="7974" width="13.28515625" bestFit="1" customWidth="1"/>
    <col min="7975" max="7975" width="11.5703125" bestFit="1" customWidth="1"/>
    <col min="7976" max="7976" width="7.7109375" bestFit="1" customWidth="1"/>
    <col min="7977" max="7978" width="14.42578125" bestFit="1" customWidth="1"/>
    <col min="7979" max="7979" width="11.5703125" bestFit="1" customWidth="1"/>
    <col min="7980" max="7980" width="7.7109375" bestFit="1" customWidth="1"/>
    <col min="7981" max="7981" width="13.5703125" customWidth="1"/>
    <col min="7982" max="7982" width="15.28515625" customWidth="1"/>
    <col min="7983" max="7983" width="14.5703125" customWidth="1"/>
    <col min="7984" max="7984" width="13.28515625" bestFit="1" customWidth="1"/>
    <col min="7985" max="7985" width="7.7109375" bestFit="1" customWidth="1"/>
    <col min="7986" max="7986" width="12.7109375" bestFit="1" customWidth="1"/>
    <col min="7987" max="7987" width="11.7109375" bestFit="1" customWidth="1"/>
    <col min="7988" max="7988" width="11.5703125" bestFit="1" customWidth="1"/>
    <col min="7989" max="7989" width="5.28515625" bestFit="1" customWidth="1"/>
    <col min="7990" max="7990" width="13.28515625" bestFit="1" customWidth="1"/>
    <col min="7991" max="7991" width="13.5703125" bestFit="1" customWidth="1"/>
    <col min="7992" max="7992" width="10.5703125" bestFit="1" customWidth="1"/>
    <col min="7993" max="7993" width="13.28515625" bestFit="1" customWidth="1"/>
    <col min="7994" max="7994" width="11.5703125" bestFit="1" customWidth="1"/>
    <col min="7995" max="7995" width="10.5703125" bestFit="1" customWidth="1"/>
    <col min="7996" max="7996" width="16.140625" bestFit="1" customWidth="1"/>
    <col min="7997" max="7998" width="11.28515625" bestFit="1" customWidth="1"/>
    <col min="7999" max="7999" width="13.28515625" bestFit="1" customWidth="1"/>
    <col min="8000" max="8000" width="7.7109375" bestFit="1" customWidth="1"/>
    <col min="8001" max="8004" width="9.140625" hidden="1" customWidth="1"/>
    <col min="8005" max="8005" width="10.42578125" bestFit="1" customWidth="1"/>
    <col min="8006" max="8006" width="10.5703125" bestFit="1" customWidth="1"/>
    <col min="8007" max="8007" width="10.42578125" bestFit="1" customWidth="1"/>
    <col min="8008" max="8008" width="10.5703125" bestFit="1" customWidth="1"/>
    <col min="8009" max="8009" width="9.5703125" bestFit="1" customWidth="1"/>
    <col min="8010" max="8010" width="11.5703125" bestFit="1" customWidth="1"/>
    <col min="8011" max="8011" width="10.42578125" bestFit="1" customWidth="1"/>
    <col min="8012" max="8012" width="10.85546875" customWidth="1"/>
    <col min="8013" max="8014" width="9.85546875" bestFit="1" customWidth="1"/>
    <col min="8015" max="8015" width="13.5703125" bestFit="1" customWidth="1"/>
    <col min="8016" max="8016" width="7.7109375" bestFit="1" customWidth="1"/>
    <col min="8017" max="8017" width="13.28515625" bestFit="1" customWidth="1"/>
    <col min="8018" max="8018" width="11.5703125" bestFit="1" customWidth="1"/>
    <col min="8019" max="8019" width="10.42578125" bestFit="1" customWidth="1"/>
    <col min="8020" max="8020" width="7.7109375" bestFit="1" customWidth="1"/>
    <col min="8021" max="8021" width="11.5703125" bestFit="1" customWidth="1"/>
    <col min="8022" max="8022" width="10.85546875" bestFit="1" customWidth="1"/>
    <col min="8023" max="8023" width="13.28515625" bestFit="1" customWidth="1"/>
    <col min="8024" max="8024" width="10.85546875" bestFit="1" customWidth="1"/>
    <col min="8025" max="8026" width="7.5703125" bestFit="1" customWidth="1"/>
    <col min="8027" max="8028" width="10.42578125" bestFit="1" customWidth="1"/>
    <col min="8029" max="8029" width="11.5703125" bestFit="1" customWidth="1"/>
    <col min="8030" max="8030" width="5.28515625" bestFit="1" customWidth="1"/>
    <col min="8031" max="8031" width="10.28515625" bestFit="1" customWidth="1"/>
    <col min="8032" max="8032" width="10.42578125" bestFit="1" customWidth="1"/>
    <col min="8033" max="8033" width="11.5703125" bestFit="1" customWidth="1"/>
    <col min="8034" max="8034" width="5.28515625" bestFit="1" customWidth="1"/>
    <col min="8035" max="8037" width="11.5703125" bestFit="1" customWidth="1"/>
    <col min="8038" max="8038" width="5.28515625" bestFit="1" customWidth="1"/>
    <col min="8039" max="8040" width="10.42578125" bestFit="1" customWidth="1"/>
    <col min="8041" max="8041" width="11.5703125" bestFit="1" customWidth="1"/>
    <col min="8042" max="8042" width="5.28515625" bestFit="1" customWidth="1"/>
    <col min="8043" max="8043" width="14.28515625" bestFit="1" customWidth="1"/>
    <col min="8044" max="8044" width="13" bestFit="1" customWidth="1"/>
    <col min="8045" max="8045" width="11.5703125" bestFit="1" customWidth="1"/>
    <col min="8046" max="8046" width="8.85546875" bestFit="1" customWidth="1"/>
    <col min="8047" max="8047" width="14.42578125" bestFit="1" customWidth="1"/>
    <col min="8048" max="8048" width="10.42578125" bestFit="1" customWidth="1"/>
    <col min="8049" max="8049" width="12.28515625" bestFit="1" customWidth="1"/>
    <col min="8050" max="8050" width="13.85546875" bestFit="1" customWidth="1"/>
    <col min="8051" max="8051" width="11.28515625" customWidth="1"/>
    <col min="8052" max="8052" width="11.5703125" customWidth="1"/>
    <col min="8053" max="8053" width="13.42578125" bestFit="1" customWidth="1"/>
    <col min="8054" max="8054" width="10.42578125" customWidth="1"/>
    <col min="8055" max="8055" width="13.85546875" bestFit="1" customWidth="1"/>
    <col min="8056" max="8056" width="15.42578125" bestFit="1" customWidth="1"/>
    <col min="8057" max="8057" width="12.28515625" bestFit="1" customWidth="1"/>
    <col min="8058" max="8058" width="12.7109375" customWidth="1"/>
    <col min="8059" max="8059" width="10.7109375" bestFit="1" customWidth="1"/>
    <col min="8060" max="8060" width="9.85546875" customWidth="1"/>
    <col min="8061" max="8062" width="10.140625" bestFit="1" customWidth="1"/>
    <col min="8063" max="8063" width="7.5703125" bestFit="1" customWidth="1"/>
    <col min="8064" max="8064" width="9.42578125" bestFit="1" customWidth="1"/>
    <col min="8065" max="8065" width="14.5703125" bestFit="1" customWidth="1"/>
    <col min="8066" max="8066" width="14.85546875" customWidth="1"/>
    <col min="8067" max="8067" width="15.140625" bestFit="1" customWidth="1"/>
    <col min="8068" max="8068" width="12.140625" bestFit="1" customWidth="1"/>
    <col min="8069" max="8069" width="14.85546875" bestFit="1" customWidth="1"/>
    <col min="8070" max="8070" width="12.28515625" bestFit="1" customWidth="1"/>
    <col min="8071" max="8079" width="9.140625" hidden="1" customWidth="1"/>
    <col min="8080" max="8080" width="5.28515625" bestFit="1" customWidth="1"/>
    <col min="8081" max="8086" width="11.5703125" bestFit="1" customWidth="1"/>
    <col min="8087" max="8087" width="11.28515625" bestFit="1" customWidth="1"/>
    <col min="8088" max="8088" width="10.140625" bestFit="1" customWidth="1"/>
    <col min="8089" max="8089" width="11.5703125" bestFit="1" customWidth="1"/>
    <col min="8090" max="8090" width="16.140625" customWidth="1"/>
    <col min="8091" max="8091" width="13.42578125" customWidth="1"/>
    <col min="8092" max="8092" width="10.140625" bestFit="1" customWidth="1"/>
    <col min="8093" max="8093" width="12.85546875" bestFit="1" customWidth="1"/>
    <col min="8094" max="8094" width="12.28515625" bestFit="1" customWidth="1"/>
    <col min="8095" max="8095" width="11.28515625" bestFit="1" customWidth="1"/>
    <col min="8096" max="8096" width="11.5703125" bestFit="1" customWidth="1"/>
    <col min="8097" max="8097" width="10.85546875" bestFit="1" customWidth="1"/>
    <col min="8098" max="8098" width="11.28515625" bestFit="1" customWidth="1"/>
    <col min="8099" max="8099" width="10.140625" bestFit="1" customWidth="1"/>
    <col min="8100" max="8100" width="13.28515625" bestFit="1" customWidth="1"/>
    <col min="8101" max="8102" width="12.7109375" bestFit="1" customWidth="1"/>
    <col min="8103" max="8103" width="11" bestFit="1" customWidth="1"/>
    <col min="8104" max="8104" width="11.28515625" bestFit="1" customWidth="1"/>
    <col min="8105" max="8105" width="11.5703125" bestFit="1" customWidth="1"/>
    <col min="8106" max="8106" width="12.28515625" bestFit="1" customWidth="1"/>
    <col min="8107" max="8107" width="15.140625" bestFit="1" customWidth="1"/>
    <col min="8108" max="8108" width="14.42578125" bestFit="1" customWidth="1"/>
    <col min="8109" max="8109" width="12.28515625" bestFit="1" customWidth="1"/>
    <col min="8110" max="8110" width="15.140625" bestFit="1" customWidth="1"/>
    <col min="8111" max="8111" width="14.42578125" bestFit="1" customWidth="1"/>
    <col min="8112" max="8112" width="12.28515625" bestFit="1" customWidth="1"/>
    <col min="8113" max="8113" width="14.42578125" bestFit="1" customWidth="1"/>
    <col min="8114" max="8114" width="11.28515625" bestFit="1" customWidth="1"/>
    <col min="8115" max="8115" width="12.28515625" bestFit="1" customWidth="1"/>
    <col min="8116" max="8116" width="13" bestFit="1" customWidth="1"/>
    <col min="8117" max="8117" width="15.140625" bestFit="1" customWidth="1"/>
    <col min="8118" max="8118" width="12.28515625" bestFit="1" customWidth="1"/>
    <col min="8119" max="8119" width="13.85546875" bestFit="1" customWidth="1"/>
    <col min="8120" max="8120" width="11.28515625" bestFit="1" customWidth="1"/>
    <col min="8121" max="8121" width="12.28515625" bestFit="1" customWidth="1"/>
    <col min="8122" max="8122" width="13.85546875" bestFit="1" customWidth="1"/>
    <col min="8123" max="8124" width="15.140625" bestFit="1" customWidth="1"/>
    <col min="8125" max="8125" width="12.28515625" bestFit="1" customWidth="1"/>
    <col min="8126" max="8126" width="5.7109375" bestFit="1" customWidth="1"/>
    <col min="8127" max="8127" width="8.5703125" bestFit="1" customWidth="1"/>
    <col min="8128" max="8128" width="5.5703125" bestFit="1" customWidth="1"/>
    <col min="8129" max="8129" width="14.42578125" bestFit="1" customWidth="1"/>
    <col min="8130" max="8130" width="11.28515625" bestFit="1" customWidth="1"/>
    <col min="8131" max="8132" width="12.28515625" bestFit="1" customWidth="1"/>
    <col min="8133" max="8133" width="11.28515625" bestFit="1" customWidth="1"/>
    <col min="8134" max="8134" width="13.85546875" bestFit="1" customWidth="1"/>
    <col min="8135" max="8135" width="12" bestFit="1" customWidth="1"/>
    <col min="8136" max="8136" width="13.85546875" bestFit="1" customWidth="1"/>
    <col min="8137" max="8138" width="14.42578125" customWidth="1"/>
    <col min="8139" max="8139" width="10.140625" bestFit="1" customWidth="1"/>
    <col min="8140" max="8140" width="12.28515625" bestFit="1" customWidth="1"/>
    <col min="8141" max="8141" width="7.42578125" bestFit="1" customWidth="1"/>
    <col min="8142" max="8142" width="8.5703125" bestFit="1" customWidth="1"/>
    <col min="8143" max="8143" width="11.5703125" bestFit="1" customWidth="1"/>
    <col min="8144" max="8144" width="13.28515625" bestFit="1" customWidth="1"/>
    <col min="8145" max="8145" width="13.28515625" customWidth="1"/>
    <col min="8146" max="8146" width="13.140625" customWidth="1"/>
    <col min="8147" max="8147" width="12.7109375" bestFit="1" customWidth="1"/>
    <col min="8148" max="8148" width="13.28515625" bestFit="1" customWidth="1"/>
    <col min="8149" max="8151" width="13.28515625" customWidth="1"/>
    <col min="8152" max="8152" width="12.140625" bestFit="1" customWidth="1"/>
    <col min="8153" max="8153" width="12.7109375" bestFit="1" customWidth="1"/>
    <col min="8154" max="8154" width="11" customWidth="1"/>
    <col min="8155" max="8155" width="16.7109375" customWidth="1"/>
    <col min="8156" max="8156" width="17" customWidth="1"/>
    <col min="8157" max="8157" width="10.42578125" bestFit="1" customWidth="1"/>
    <col min="8201" max="8201" width="3.85546875" customWidth="1"/>
    <col min="8202" max="8202" width="15.28515625" bestFit="1" customWidth="1"/>
    <col min="8203" max="8203" width="12.28515625" customWidth="1"/>
    <col min="8204" max="8204" width="16.28515625" bestFit="1" customWidth="1"/>
    <col min="8205" max="8205" width="6.42578125" bestFit="1" customWidth="1"/>
    <col min="8206" max="8206" width="9.28515625" bestFit="1" customWidth="1"/>
    <col min="8207" max="8207" width="7.5703125" bestFit="1" customWidth="1"/>
    <col min="8208" max="8208" width="13.28515625" bestFit="1" customWidth="1"/>
    <col min="8209" max="8209" width="9.28515625" bestFit="1" customWidth="1"/>
    <col min="8210" max="8210" width="11.5703125" bestFit="1" customWidth="1"/>
    <col min="8211" max="8211" width="13.28515625" bestFit="1" customWidth="1"/>
    <col min="8212" max="8212" width="7.140625" bestFit="1" customWidth="1"/>
    <col min="8213" max="8213" width="12" bestFit="1" customWidth="1"/>
    <col min="8214" max="8214" width="13.28515625" bestFit="1" customWidth="1"/>
    <col min="8215" max="8215" width="7" bestFit="1" customWidth="1"/>
    <col min="8216" max="8216" width="12.7109375" bestFit="1" customWidth="1"/>
    <col min="8217" max="8217" width="11.5703125" bestFit="1" customWidth="1"/>
    <col min="8218" max="8218" width="10.5703125" bestFit="1" customWidth="1"/>
    <col min="8219" max="8220" width="15.7109375" bestFit="1" customWidth="1"/>
    <col min="8221" max="8221" width="11.5703125" bestFit="1" customWidth="1"/>
    <col min="8222" max="8222" width="7.7109375" bestFit="1" customWidth="1"/>
    <col min="8223" max="8223" width="15.140625" bestFit="1" customWidth="1"/>
    <col min="8224" max="8224" width="11.5703125" bestFit="1" customWidth="1"/>
    <col min="8225" max="8225" width="13.28515625" bestFit="1" customWidth="1"/>
    <col min="8226" max="8226" width="10.42578125" bestFit="1" customWidth="1"/>
    <col min="8227" max="8227" width="13.28515625" bestFit="1" customWidth="1"/>
    <col min="8228" max="8228" width="12.140625" bestFit="1" customWidth="1"/>
    <col min="8229" max="8229" width="14.42578125" bestFit="1" customWidth="1"/>
    <col min="8230" max="8230" width="13.28515625" bestFit="1" customWidth="1"/>
    <col min="8231" max="8231" width="11.5703125" bestFit="1" customWidth="1"/>
    <col min="8232" max="8232" width="7.7109375" bestFit="1" customWidth="1"/>
    <col min="8233" max="8234" width="14.42578125" bestFit="1" customWidth="1"/>
    <col min="8235" max="8235" width="11.5703125" bestFit="1" customWidth="1"/>
    <col min="8236" max="8236" width="7.7109375" bestFit="1" customWidth="1"/>
    <col min="8237" max="8237" width="13.5703125" customWidth="1"/>
    <col min="8238" max="8238" width="15.28515625" customWidth="1"/>
    <col min="8239" max="8239" width="14.5703125" customWidth="1"/>
    <col min="8240" max="8240" width="13.28515625" bestFit="1" customWidth="1"/>
    <col min="8241" max="8241" width="7.7109375" bestFit="1" customWidth="1"/>
    <col min="8242" max="8242" width="12.7109375" bestFit="1" customWidth="1"/>
    <col min="8243" max="8243" width="11.7109375" bestFit="1" customWidth="1"/>
    <col min="8244" max="8244" width="11.5703125" bestFit="1" customWidth="1"/>
    <col min="8245" max="8245" width="5.28515625" bestFit="1" customWidth="1"/>
    <col min="8246" max="8246" width="13.28515625" bestFit="1" customWidth="1"/>
    <col min="8247" max="8247" width="13.5703125" bestFit="1" customWidth="1"/>
    <col min="8248" max="8248" width="10.5703125" bestFit="1" customWidth="1"/>
    <col min="8249" max="8249" width="13.28515625" bestFit="1" customWidth="1"/>
    <col min="8250" max="8250" width="11.5703125" bestFit="1" customWidth="1"/>
    <col min="8251" max="8251" width="10.5703125" bestFit="1" customWidth="1"/>
    <col min="8252" max="8252" width="16.140625" bestFit="1" customWidth="1"/>
    <col min="8253" max="8254" width="11.28515625" bestFit="1" customWidth="1"/>
    <col min="8255" max="8255" width="13.28515625" bestFit="1" customWidth="1"/>
    <col min="8256" max="8256" width="7.7109375" bestFit="1" customWidth="1"/>
    <col min="8257" max="8260" width="9.140625" hidden="1" customWidth="1"/>
    <col min="8261" max="8261" width="10.42578125" bestFit="1" customWidth="1"/>
    <col min="8262" max="8262" width="10.5703125" bestFit="1" customWidth="1"/>
    <col min="8263" max="8263" width="10.42578125" bestFit="1" customWidth="1"/>
    <col min="8264" max="8264" width="10.5703125" bestFit="1" customWidth="1"/>
    <col min="8265" max="8265" width="9.5703125" bestFit="1" customWidth="1"/>
    <col min="8266" max="8266" width="11.5703125" bestFit="1" customWidth="1"/>
    <col min="8267" max="8267" width="10.42578125" bestFit="1" customWidth="1"/>
    <col min="8268" max="8268" width="10.85546875" customWidth="1"/>
    <col min="8269" max="8270" width="9.85546875" bestFit="1" customWidth="1"/>
    <col min="8271" max="8271" width="13.5703125" bestFit="1" customWidth="1"/>
    <col min="8272" max="8272" width="7.7109375" bestFit="1" customWidth="1"/>
    <col min="8273" max="8273" width="13.28515625" bestFit="1" customWidth="1"/>
    <col min="8274" max="8274" width="11.5703125" bestFit="1" customWidth="1"/>
    <col min="8275" max="8275" width="10.42578125" bestFit="1" customWidth="1"/>
    <col min="8276" max="8276" width="7.7109375" bestFit="1" customWidth="1"/>
    <col min="8277" max="8277" width="11.5703125" bestFit="1" customWidth="1"/>
    <col min="8278" max="8278" width="10.85546875" bestFit="1" customWidth="1"/>
    <col min="8279" max="8279" width="13.28515625" bestFit="1" customWidth="1"/>
    <col min="8280" max="8280" width="10.85546875" bestFit="1" customWidth="1"/>
    <col min="8281" max="8282" width="7.5703125" bestFit="1" customWidth="1"/>
    <col min="8283" max="8284" width="10.42578125" bestFit="1" customWidth="1"/>
    <col min="8285" max="8285" width="11.5703125" bestFit="1" customWidth="1"/>
    <col min="8286" max="8286" width="5.28515625" bestFit="1" customWidth="1"/>
    <col min="8287" max="8287" width="10.28515625" bestFit="1" customWidth="1"/>
    <col min="8288" max="8288" width="10.42578125" bestFit="1" customWidth="1"/>
    <col min="8289" max="8289" width="11.5703125" bestFit="1" customWidth="1"/>
    <col min="8290" max="8290" width="5.28515625" bestFit="1" customWidth="1"/>
    <col min="8291" max="8293" width="11.5703125" bestFit="1" customWidth="1"/>
    <col min="8294" max="8294" width="5.28515625" bestFit="1" customWidth="1"/>
    <col min="8295" max="8296" width="10.42578125" bestFit="1" customWidth="1"/>
    <col min="8297" max="8297" width="11.5703125" bestFit="1" customWidth="1"/>
    <col min="8298" max="8298" width="5.28515625" bestFit="1" customWidth="1"/>
    <col min="8299" max="8299" width="14.28515625" bestFit="1" customWidth="1"/>
    <col min="8300" max="8300" width="13" bestFit="1" customWidth="1"/>
    <col min="8301" max="8301" width="11.5703125" bestFit="1" customWidth="1"/>
    <col min="8302" max="8302" width="8.85546875" bestFit="1" customWidth="1"/>
    <col min="8303" max="8303" width="14.42578125" bestFit="1" customWidth="1"/>
    <col min="8304" max="8304" width="10.42578125" bestFit="1" customWidth="1"/>
    <col min="8305" max="8305" width="12.28515625" bestFit="1" customWidth="1"/>
    <col min="8306" max="8306" width="13.85546875" bestFit="1" customWidth="1"/>
    <col min="8307" max="8307" width="11.28515625" customWidth="1"/>
    <col min="8308" max="8308" width="11.5703125" customWidth="1"/>
    <col min="8309" max="8309" width="13.42578125" bestFit="1" customWidth="1"/>
    <col min="8310" max="8310" width="10.42578125" customWidth="1"/>
    <col min="8311" max="8311" width="13.85546875" bestFit="1" customWidth="1"/>
    <col min="8312" max="8312" width="15.42578125" bestFit="1" customWidth="1"/>
    <col min="8313" max="8313" width="12.28515625" bestFit="1" customWidth="1"/>
    <col min="8314" max="8314" width="12.7109375" customWidth="1"/>
    <col min="8315" max="8315" width="10.7109375" bestFit="1" customWidth="1"/>
    <col min="8316" max="8316" width="9.85546875" customWidth="1"/>
    <col min="8317" max="8318" width="10.140625" bestFit="1" customWidth="1"/>
    <col min="8319" max="8319" width="7.5703125" bestFit="1" customWidth="1"/>
    <col min="8320" max="8320" width="9.42578125" bestFit="1" customWidth="1"/>
    <col min="8321" max="8321" width="14.5703125" bestFit="1" customWidth="1"/>
    <col min="8322" max="8322" width="14.85546875" customWidth="1"/>
    <col min="8323" max="8323" width="15.140625" bestFit="1" customWidth="1"/>
    <col min="8324" max="8324" width="12.140625" bestFit="1" customWidth="1"/>
    <col min="8325" max="8325" width="14.85546875" bestFit="1" customWidth="1"/>
    <col min="8326" max="8326" width="12.28515625" bestFit="1" customWidth="1"/>
    <col min="8327" max="8335" width="9.140625" hidden="1" customWidth="1"/>
    <col min="8336" max="8336" width="5.28515625" bestFit="1" customWidth="1"/>
    <col min="8337" max="8342" width="11.5703125" bestFit="1" customWidth="1"/>
    <col min="8343" max="8343" width="11.28515625" bestFit="1" customWidth="1"/>
    <col min="8344" max="8344" width="10.140625" bestFit="1" customWidth="1"/>
    <col min="8345" max="8345" width="11.5703125" bestFit="1" customWidth="1"/>
    <col min="8346" max="8346" width="16.140625" customWidth="1"/>
    <col min="8347" max="8347" width="13.42578125" customWidth="1"/>
    <col min="8348" max="8348" width="10.140625" bestFit="1" customWidth="1"/>
    <col min="8349" max="8349" width="12.85546875" bestFit="1" customWidth="1"/>
    <col min="8350" max="8350" width="12.28515625" bestFit="1" customWidth="1"/>
    <col min="8351" max="8351" width="11.28515625" bestFit="1" customWidth="1"/>
    <col min="8352" max="8352" width="11.5703125" bestFit="1" customWidth="1"/>
    <col min="8353" max="8353" width="10.85546875" bestFit="1" customWidth="1"/>
    <col min="8354" max="8354" width="11.28515625" bestFit="1" customWidth="1"/>
    <col min="8355" max="8355" width="10.140625" bestFit="1" customWidth="1"/>
    <col min="8356" max="8356" width="13.28515625" bestFit="1" customWidth="1"/>
    <col min="8357" max="8358" width="12.7109375" bestFit="1" customWidth="1"/>
    <col min="8359" max="8359" width="11" bestFit="1" customWidth="1"/>
    <col min="8360" max="8360" width="11.28515625" bestFit="1" customWidth="1"/>
    <col min="8361" max="8361" width="11.5703125" bestFit="1" customWidth="1"/>
    <col min="8362" max="8362" width="12.28515625" bestFit="1" customWidth="1"/>
    <col min="8363" max="8363" width="15.140625" bestFit="1" customWidth="1"/>
    <col min="8364" max="8364" width="14.42578125" bestFit="1" customWidth="1"/>
    <col min="8365" max="8365" width="12.28515625" bestFit="1" customWidth="1"/>
    <col min="8366" max="8366" width="15.140625" bestFit="1" customWidth="1"/>
    <col min="8367" max="8367" width="14.42578125" bestFit="1" customWidth="1"/>
    <col min="8368" max="8368" width="12.28515625" bestFit="1" customWidth="1"/>
    <col min="8369" max="8369" width="14.42578125" bestFit="1" customWidth="1"/>
    <col min="8370" max="8370" width="11.28515625" bestFit="1" customWidth="1"/>
    <col min="8371" max="8371" width="12.28515625" bestFit="1" customWidth="1"/>
    <col min="8372" max="8372" width="13" bestFit="1" customWidth="1"/>
    <col min="8373" max="8373" width="15.140625" bestFit="1" customWidth="1"/>
    <col min="8374" max="8374" width="12.28515625" bestFit="1" customWidth="1"/>
    <col min="8375" max="8375" width="13.85546875" bestFit="1" customWidth="1"/>
    <col min="8376" max="8376" width="11.28515625" bestFit="1" customWidth="1"/>
    <col min="8377" max="8377" width="12.28515625" bestFit="1" customWidth="1"/>
    <col min="8378" max="8378" width="13.85546875" bestFit="1" customWidth="1"/>
    <col min="8379" max="8380" width="15.140625" bestFit="1" customWidth="1"/>
    <col min="8381" max="8381" width="12.28515625" bestFit="1" customWidth="1"/>
    <col min="8382" max="8382" width="5.7109375" bestFit="1" customWidth="1"/>
    <col min="8383" max="8383" width="8.5703125" bestFit="1" customWidth="1"/>
    <col min="8384" max="8384" width="5.5703125" bestFit="1" customWidth="1"/>
    <col min="8385" max="8385" width="14.42578125" bestFit="1" customWidth="1"/>
    <col min="8386" max="8386" width="11.28515625" bestFit="1" customWidth="1"/>
    <col min="8387" max="8388" width="12.28515625" bestFit="1" customWidth="1"/>
    <col min="8389" max="8389" width="11.28515625" bestFit="1" customWidth="1"/>
    <col min="8390" max="8390" width="13.85546875" bestFit="1" customWidth="1"/>
    <col min="8391" max="8391" width="12" bestFit="1" customWidth="1"/>
    <col min="8392" max="8392" width="13.85546875" bestFit="1" customWidth="1"/>
    <col min="8393" max="8394" width="14.42578125" customWidth="1"/>
    <col min="8395" max="8395" width="10.140625" bestFit="1" customWidth="1"/>
    <col min="8396" max="8396" width="12.28515625" bestFit="1" customWidth="1"/>
    <col min="8397" max="8397" width="7.42578125" bestFit="1" customWidth="1"/>
    <col min="8398" max="8398" width="8.5703125" bestFit="1" customWidth="1"/>
    <col min="8399" max="8399" width="11.5703125" bestFit="1" customWidth="1"/>
    <col min="8400" max="8400" width="13.28515625" bestFit="1" customWidth="1"/>
    <col min="8401" max="8401" width="13.28515625" customWidth="1"/>
    <col min="8402" max="8402" width="13.140625" customWidth="1"/>
    <col min="8403" max="8403" width="12.7109375" bestFit="1" customWidth="1"/>
    <col min="8404" max="8404" width="13.28515625" bestFit="1" customWidth="1"/>
    <col min="8405" max="8407" width="13.28515625" customWidth="1"/>
    <col min="8408" max="8408" width="12.140625" bestFit="1" customWidth="1"/>
    <col min="8409" max="8409" width="12.7109375" bestFit="1" customWidth="1"/>
    <col min="8410" max="8410" width="11" customWidth="1"/>
    <col min="8411" max="8411" width="16.7109375" customWidth="1"/>
    <col min="8412" max="8412" width="17" customWidth="1"/>
    <col min="8413" max="8413" width="10.42578125" bestFit="1" customWidth="1"/>
    <col min="8457" max="8457" width="3.85546875" customWidth="1"/>
    <col min="8458" max="8458" width="15.28515625" bestFit="1" customWidth="1"/>
    <col min="8459" max="8459" width="12.28515625" customWidth="1"/>
    <col min="8460" max="8460" width="16.28515625" bestFit="1" customWidth="1"/>
    <col min="8461" max="8461" width="6.42578125" bestFit="1" customWidth="1"/>
    <col min="8462" max="8462" width="9.28515625" bestFit="1" customWidth="1"/>
    <col min="8463" max="8463" width="7.5703125" bestFit="1" customWidth="1"/>
    <col min="8464" max="8464" width="13.28515625" bestFit="1" customWidth="1"/>
    <col min="8465" max="8465" width="9.28515625" bestFit="1" customWidth="1"/>
    <col min="8466" max="8466" width="11.5703125" bestFit="1" customWidth="1"/>
    <col min="8467" max="8467" width="13.28515625" bestFit="1" customWidth="1"/>
    <col min="8468" max="8468" width="7.140625" bestFit="1" customWidth="1"/>
    <col min="8469" max="8469" width="12" bestFit="1" customWidth="1"/>
    <col min="8470" max="8470" width="13.28515625" bestFit="1" customWidth="1"/>
    <col min="8471" max="8471" width="7" bestFit="1" customWidth="1"/>
    <col min="8472" max="8472" width="12.7109375" bestFit="1" customWidth="1"/>
    <col min="8473" max="8473" width="11.5703125" bestFit="1" customWidth="1"/>
    <col min="8474" max="8474" width="10.5703125" bestFit="1" customWidth="1"/>
    <col min="8475" max="8476" width="15.7109375" bestFit="1" customWidth="1"/>
    <col min="8477" max="8477" width="11.5703125" bestFit="1" customWidth="1"/>
    <col min="8478" max="8478" width="7.7109375" bestFit="1" customWidth="1"/>
    <col min="8479" max="8479" width="15.140625" bestFit="1" customWidth="1"/>
    <col min="8480" max="8480" width="11.5703125" bestFit="1" customWidth="1"/>
    <col min="8481" max="8481" width="13.28515625" bestFit="1" customWidth="1"/>
    <col min="8482" max="8482" width="10.42578125" bestFit="1" customWidth="1"/>
    <col min="8483" max="8483" width="13.28515625" bestFit="1" customWidth="1"/>
    <col min="8484" max="8484" width="12.140625" bestFit="1" customWidth="1"/>
    <col min="8485" max="8485" width="14.42578125" bestFit="1" customWidth="1"/>
    <col min="8486" max="8486" width="13.28515625" bestFit="1" customWidth="1"/>
    <col min="8487" max="8487" width="11.5703125" bestFit="1" customWidth="1"/>
    <col min="8488" max="8488" width="7.7109375" bestFit="1" customWidth="1"/>
    <col min="8489" max="8490" width="14.42578125" bestFit="1" customWidth="1"/>
    <col min="8491" max="8491" width="11.5703125" bestFit="1" customWidth="1"/>
    <col min="8492" max="8492" width="7.7109375" bestFit="1" customWidth="1"/>
    <col min="8493" max="8493" width="13.5703125" customWidth="1"/>
    <col min="8494" max="8494" width="15.28515625" customWidth="1"/>
    <col min="8495" max="8495" width="14.5703125" customWidth="1"/>
    <col min="8496" max="8496" width="13.28515625" bestFit="1" customWidth="1"/>
    <col min="8497" max="8497" width="7.7109375" bestFit="1" customWidth="1"/>
    <col min="8498" max="8498" width="12.7109375" bestFit="1" customWidth="1"/>
    <col min="8499" max="8499" width="11.7109375" bestFit="1" customWidth="1"/>
    <col min="8500" max="8500" width="11.5703125" bestFit="1" customWidth="1"/>
    <col min="8501" max="8501" width="5.28515625" bestFit="1" customWidth="1"/>
    <col min="8502" max="8502" width="13.28515625" bestFit="1" customWidth="1"/>
    <col min="8503" max="8503" width="13.5703125" bestFit="1" customWidth="1"/>
    <col min="8504" max="8504" width="10.5703125" bestFit="1" customWidth="1"/>
    <col min="8505" max="8505" width="13.28515625" bestFit="1" customWidth="1"/>
    <col min="8506" max="8506" width="11.5703125" bestFit="1" customWidth="1"/>
    <col min="8507" max="8507" width="10.5703125" bestFit="1" customWidth="1"/>
    <col min="8508" max="8508" width="16.140625" bestFit="1" customWidth="1"/>
    <col min="8509" max="8510" width="11.28515625" bestFit="1" customWidth="1"/>
    <col min="8511" max="8511" width="13.28515625" bestFit="1" customWidth="1"/>
    <col min="8512" max="8512" width="7.7109375" bestFit="1" customWidth="1"/>
    <col min="8513" max="8516" width="9.140625" hidden="1" customWidth="1"/>
    <col min="8517" max="8517" width="10.42578125" bestFit="1" customWidth="1"/>
    <col min="8518" max="8518" width="10.5703125" bestFit="1" customWidth="1"/>
    <col min="8519" max="8519" width="10.42578125" bestFit="1" customWidth="1"/>
    <col min="8520" max="8520" width="10.5703125" bestFit="1" customWidth="1"/>
    <col min="8521" max="8521" width="9.5703125" bestFit="1" customWidth="1"/>
    <col min="8522" max="8522" width="11.5703125" bestFit="1" customWidth="1"/>
    <col min="8523" max="8523" width="10.42578125" bestFit="1" customWidth="1"/>
    <col min="8524" max="8524" width="10.85546875" customWidth="1"/>
    <col min="8525" max="8526" width="9.85546875" bestFit="1" customWidth="1"/>
    <col min="8527" max="8527" width="13.5703125" bestFit="1" customWidth="1"/>
    <col min="8528" max="8528" width="7.7109375" bestFit="1" customWidth="1"/>
    <col min="8529" max="8529" width="13.28515625" bestFit="1" customWidth="1"/>
    <col min="8530" max="8530" width="11.5703125" bestFit="1" customWidth="1"/>
    <col min="8531" max="8531" width="10.42578125" bestFit="1" customWidth="1"/>
    <col min="8532" max="8532" width="7.7109375" bestFit="1" customWidth="1"/>
    <col min="8533" max="8533" width="11.5703125" bestFit="1" customWidth="1"/>
    <col min="8534" max="8534" width="10.85546875" bestFit="1" customWidth="1"/>
    <col min="8535" max="8535" width="13.28515625" bestFit="1" customWidth="1"/>
    <col min="8536" max="8536" width="10.85546875" bestFit="1" customWidth="1"/>
    <col min="8537" max="8538" width="7.5703125" bestFit="1" customWidth="1"/>
    <col min="8539" max="8540" width="10.42578125" bestFit="1" customWidth="1"/>
    <col min="8541" max="8541" width="11.5703125" bestFit="1" customWidth="1"/>
    <col min="8542" max="8542" width="5.28515625" bestFit="1" customWidth="1"/>
    <col min="8543" max="8543" width="10.28515625" bestFit="1" customWidth="1"/>
    <col min="8544" max="8544" width="10.42578125" bestFit="1" customWidth="1"/>
    <col min="8545" max="8545" width="11.5703125" bestFit="1" customWidth="1"/>
    <col min="8546" max="8546" width="5.28515625" bestFit="1" customWidth="1"/>
    <col min="8547" max="8549" width="11.5703125" bestFit="1" customWidth="1"/>
    <col min="8550" max="8550" width="5.28515625" bestFit="1" customWidth="1"/>
    <col min="8551" max="8552" width="10.42578125" bestFit="1" customWidth="1"/>
    <col min="8553" max="8553" width="11.5703125" bestFit="1" customWidth="1"/>
    <col min="8554" max="8554" width="5.28515625" bestFit="1" customWidth="1"/>
    <col min="8555" max="8555" width="14.28515625" bestFit="1" customWidth="1"/>
    <col min="8556" max="8556" width="13" bestFit="1" customWidth="1"/>
    <col min="8557" max="8557" width="11.5703125" bestFit="1" customWidth="1"/>
    <col min="8558" max="8558" width="8.85546875" bestFit="1" customWidth="1"/>
    <col min="8559" max="8559" width="14.42578125" bestFit="1" customWidth="1"/>
    <col min="8560" max="8560" width="10.42578125" bestFit="1" customWidth="1"/>
    <col min="8561" max="8561" width="12.28515625" bestFit="1" customWidth="1"/>
    <col min="8562" max="8562" width="13.85546875" bestFit="1" customWidth="1"/>
    <col min="8563" max="8563" width="11.28515625" customWidth="1"/>
    <col min="8564" max="8564" width="11.5703125" customWidth="1"/>
    <col min="8565" max="8565" width="13.42578125" bestFit="1" customWidth="1"/>
    <col min="8566" max="8566" width="10.42578125" customWidth="1"/>
    <col min="8567" max="8567" width="13.85546875" bestFit="1" customWidth="1"/>
    <col min="8568" max="8568" width="15.42578125" bestFit="1" customWidth="1"/>
    <col min="8569" max="8569" width="12.28515625" bestFit="1" customWidth="1"/>
    <col min="8570" max="8570" width="12.7109375" customWidth="1"/>
    <col min="8571" max="8571" width="10.7109375" bestFit="1" customWidth="1"/>
    <col min="8572" max="8572" width="9.85546875" customWidth="1"/>
    <col min="8573" max="8574" width="10.140625" bestFit="1" customWidth="1"/>
    <col min="8575" max="8575" width="7.5703125" bestFit="1" customWidth="1"/>
    <col min="8576" max="8576" width="9.42578125" bestFit="1" customWidth="1"/>
    <col min="8577" max="8577" width="14.5703125" bestFit="1" customWidth="1"/>
    <col min="8578" max="8578" width="14.85546875" customWidth="1"/>
    <col min="8579" max="8579" width="15.140625" bestFit="1" customWidth="1"/>
    <col min="8580" max="8580" width="12.140625" bestFit="1" customWidth="1"/>
    <col min="8581" max="8581" width="14.85546875" bestFit="1" customWidth="1"/>
    <col min="8582" max="8582" width="12.28515625" bestFit="1" customWidth="1"/>
    <col min="8583" max="8591" width="9.140625" hidden="1" customWidth="1"/>
    <col min="8592" max="8592" width="5.28515625" bestFit="1" customWidth="1"/>
    <col min="8593" max="8598" width="11.5703125" bestFit="1" customWidth="1"/>
    <col min="8599" max="8599" width="11.28515625" bestFit="1" customWidth="1"/>
    <col min="8600" max="8600" width="10.140625" bestFit="1" customWidth="1"/>
    <col min="8601" max="8601" width="11.5703125" bestFit="1" customWidth="1"/>
    <col min="8602" max="8602" width="16.140625" customWidth="1"/>
    <col min="8603" max="8603" width="13.42578125" customWidth="1"/>
    <col min="8604" max="8604" width="10.140625" bestFit="1" customWidth="1"/>
    <col min="8605" max="8605" width="12.85546875" bestFit="1" customWidth="1"/>
    <col min="8606" max="8606" width="12.28515625" bestFit="1" customWidth="1"/>
    <col min="8607" max="8607" width="11.28515625" bestFit="1" customWidth="1"/>
    <col min="8608" max="8608" width="11.5703125" bestFit="1" customWidth="1"/>
    <col min="8609" max="8609" width="10.85546875" bestFit="1" customWidth="1"/>
    <col min="8610" max="8610" width="11.28515625" bestFit="1" customWidth="1"/>
    <col min="8611" max="8611" width="10.140625" bestFit="1" customWidth="1"/>
    <col min="8612" max="8612" width="13.28515625" bestFit="1" customWidth="1"/>
    <col min="8613" max="8614" width="12.7109375" bestFit="1" customWidth="1"/>
    <col min="8615" max="8615" width="11" bestFit="1" customWidth="1"/>
    <col min="8616" max="8616" width="11.28515625" bestFit="1" customWidth="1"/>
    <col min="8617" max="8617" width="11.5703125" bestFit="1" customWidth="1"/>
    <col min="8618" max="8618" width="12.28515625" bestFit="1" customWidth="1"/>
    <col min="8619" max="8619" width="15.140625" bestFit="1" customWidth="1"/>
    <col min="8620" max="8620" width="14.42578125" bestFit="1" customWidth="1"/>
    <col min="8621" max="8621" width="12.28515625" bestFit="1" customWidth="1"/>
    <col min="8622" max="8622" width="15.140625" bestFit="1" customWidth="1"/>
    <col min="8623" max="8623" width="14.42578125" bestFit="1" customWidth="1"/>
    <col min="8624" max="8624" width="12.28515625" bestFit="1" customWidth="1"/>
    <col min="8625" max="8625" width="14.42578125" bestFit="1" customWidth="1"/>
    <col min="8626" max="8626" width="11.28515625" bestFit="1" customWidth="1"/>
    <col min="8627" max="8627" width="12.28515625" bestFit="1" customWidth="1"/>
    <col min="8628" max="8628" width="13" bestFit="1" customWidth="1"/>
    <col min="8629" max="8629" width="15.140625" bestFit="1" customWidth="1"/>
    <col min="8630" max="8630" width="12.28515625" bestFit="1" customWidth="1"/>
    <col min="8631" max="8631" width="13.85546875" bestFit="1" customWidth="1"/>
    <col min="8632" max="8632" width="11.28515625" bestFit="1" customWidth="1"/>
    <col min="8633" max="8633" width="12.28515625" bestFit="1" customWidth="1"/>
    <col min="8634" max="8634" width="13.85546875" bestFit="1" customWidth="1"/>
    <col min="8635" max="8636" width="15.140625" bestFit="1" customWidth="1"/>
    <col min="8637" max="8637" width="12.28515625" bestFit="1" customWidth="1"/>
    <col min="8638" max="8638" width="5.7109375" bestFit="1" customWidth="1"/>
    <col min="8639" max="8639" width="8.5703125" bestFit="1" customWidth="1"/>
    <col min="8640" max="8640" width="5.5703125" bestFit="1" customWidth="1"/>
    <col min="8641" max="8641" width="14.42578125" bestFit="1" customWidth="1"/>
    <col min="8642" max="8642" width="11.28515625" bestFit="1" customWidth="1"/>
    <col min="8643" max="8644" width="12.28515625" bestFit="1" customWidth="1"/>
    <col min="8645" max="8645" width="11.28515625" bestFit="1" customWidth="1"/>
    <col min="8646" max="8646" width="13.85546875" bestFit="1" customWidth="1"/>
    <col min="8647" max="8647" width="12" bestFit="1" customWidth="1"/>
    <col min="8648" max="8648" width="13.85546875" bestFit="1" customWidth="1"/>
    <col min="8649" max="8650" width="14.42578125" customWidth="1"/>
    <col min="8651" max="8651" width="10.140625" bestFit="1" customWidth="1"/>
    <col min="8652" max="8652" width="12.28515625" bestFit="1" customWidth="1"/>
    <col min="8653" max="8653" width="7.42578125" bestFit="1" customWidth="1"/>
    <col min="8654" max="8654" width="8.5703125" bestFit="1" customWidth="1"/>
    <col min="8655" max="8655" width="11.5703125" bestFit="1" customWidth="1"/>
    <col min="8656" max="8656" width="13.28515625" bestFit="1" customWidth="1"/>
    <col min="8657" max="8657" width="13.28515625" customWidth="1"/>
    <col min="8658" max="8658" width="13.140625" customWidth="1"/>
    <col min="8659" max="8659" width="12.7109375" bestFit="1" customWidth="1"/>
    <col min="8660" max="8660" width="13.28515625" bestFit="1" customWidth="1"/>
    <col min="8661" max="8663" width="13.28515625" customWidth="1"/>
    <col min="8664" max="8664" width="12.140625" bestFit="1" customWidth="1"/>
    <col min="8665" max="8665" width="12.7109375" bestFit="1" customWidth="1"/>
    <col min="8666" max="8666" width="11" customWidth="1"/>
    <col min="8667" max="8667" width="16.7109375" customWidth="1"/>
    <col min="8668" max="8668" width="17" customWidth="1"/>
    <col min="8669" max="8669" width="10.42578125" bestFit="1" customWidth="1"/>
    <col min="8713" max="8713" width="3.85546875" customWidth="1"/>
    <col min="8714" max="8714" width="15.28515625" bestFit="1" customWidth="1"/>
    <col min="8715" max="8715" width="12.28515625" customWidth="1"/>
    <col min="8716" max="8716" width="16.28515625" bestFit="1" customWidth="1"/>
    <col min="8717" max="8717" width="6.42578125" bestFit="1" customWidth="1"/>
    <col min="8718" max="8718" width="9.28515625" bestFit="1" customWidth="1"/>
    <col min="8719" max="8719" width="7.5703125" bestFit="1" customWidth="1"/>
    <col min="8720" max="8720" width="13.28515625" bestFit="1" customWidth="1"/>
    <col min="8721" max="8721" width="9.28515625" bestFit="1" customWidth="1"/>
    <col min="8722" max="8722" width="11.5703125" bestFit="1" customWidth="1"/>
    <col min="8723" max="8723" width="13.28515625" bestFit="1" customWidth="1"/>
    <col min="8724" max="8724" width="7.140625" bestFit="1" customWidth="1"/>
    <col min="8725" max="8725" width="12" bestFit="1" customWidth="1"/>
    <col min="8726" max="8726" width="13.28515625" bestFit="1" customWidth="1"/>
    <col min="8727" max="8727" width="7" bestFit="1" customWidth="1"/>
    <col min="8728" max="8728" width="12.7109375" bestFit="1" customWidth="1"/>
    <col min="8729" max="8729" width="11.5703125" bestFit="1" customWidth="1"/>
    <col min="8730" max="8730" width="10.5703125" bestFit="1" customWidth="1"/>
    <col min="8731" max="8732" width="15.7109375" bestFit="1" customWidth="1"/>
    <col min="8733" max="8733" width="11.5703125" bestFit="1" customWidth="1"/>
    <col min="8734" max="8734" width="7.7109375" bestFit="1" customWidth="1"/>
    <col min="8735" max="8735" width="15.140625" bestFit="1" customWidth="1"/>
    <col min="8736" max="8736" width="11.5703125" bestFit="1" customWidth="1"/>
    <col min="8737" max="8737" width="13.28515625" bestFit="1" customWidth="1"/>
    <col min="8738" max="8738" width="10.42578125" bestFit="1" customWidth="1"/>
    <col min="8739" max="8739" width="13.28515625" bestFit="1" customWidth="1"/>
    <col min="8740" max="8740" width="12.140625" bestFit="1" customWidth="1"/>
    <col min="8741" max="8741" width="14.42578125" bestFit="1" customWidth="1"/>
    <col min="8742" max="8742" width="13.28515625" bestFit="1" customWidth="1"/>
    <col min="8743" max="8743" width="11.5703125" bestFit="1" customWidth="1"/>
    <col min="8744" max="8744" width="7.7109375" bestFit="1" customWidth="1"/>
    <col min="8745" max="8746" width="14.42578125" bestFit="1" customWidth="1"/>
    <col min="8747" max="8747" width="11.5703125" bestFit="1" customWidth="1"/>
    <col min="8748" max="8748" width="7.7109375" bestFit="1" customWidth="1"/>
    <col min="8749" max="8749" width="13.5703125" customWidth="1"/>
    <col min="8750" max="8750" width="15.28515625" customWidth="1"/>
    <col min="8751" max="8751" width="14.5703125" customWidth="1"/>
    <col min="8752" max="8752" width="13.28515625" bestFit="1" customWidth="1"/>
    <col min="8753" max="8753" width="7.7109375" bestFit="1" customWidth="1"/>
    <col min="8754" max="8754" width="12.7109375" bestFit="1" customWidth="1"/>
    <col min="8755" max="8755" width="11.7109375" bestFit="1" customWidth="1"/>
    <col min="8756" max="8756" width="11.5703125" bestFit="1" customWidth="1"/>
    <col min="8757" max="8757" width="5.28515625" bestFit="1" customWidth="1"/>
    <col min="8758" max="8758" width="13.28515625" bestFit="1" customWidth="1"/>
    <col min="8759" max="8759" width="13.5703125" bestFit="1" customWidth="1"/>
    <col min="8760" max="8760" width="10.5703125" bestFit="1" customWidth="1"/>
    <col min="8761" max="8761" width="13.28515625" bestFit="1" customWidth="1"/>
    <col min="8762" max="8762" width="11.5703125" bestFit="1" customWidth="1"/>
    <col min="8763" max="8763" width="10.5703125" bestFit="1" customWidth="1"/>
    <col min="8764" max="8764" width="16.140625" bestFit="1" customWidth="1"/>
    <col min="8765" max="8766" width="11.28515625" bestFit="1" customWidth="1"/>
    <col min="8767" max="8767" width="13.28515625" bestFit="1" customWidth="1"/>
    <col min="8768" max="8768" width="7.7109375" bestFit="1" customWidth="1"/>
    <col min="8769" max="8772" width="9.140625" hidden="1" customWidth="1"/>
    <col min="8773" max="8773" width="10.42578125" bestFit="1" customWidth="1"/>
    <col min="8774" max="8774" width="10.5703125" bestFit="1" customWidth="1"/>
    <col min="8775" max="8775" width="10.42578125" bestFit="1" customWidth="1"/>
    <col min="8776" max="8776" width="10.5703125" bestFit="1" customWidth="1"/>
    <col min="8777" max="8777" width="9.5703125" bestFit="1" customWidth="1"/>
    <col min="8778" max="8778" width="11.5703125" bestFit="1" customWidth="1"/>
    <col min="8779" max="8779" width="10.42578125" bestFit="1" customWidth="1"/>
    <col min="8780" max="8780" width="10.85546875" customWidth="1"/>
    <col min="8781" max="8782" width="9.85546875" bestFit="1" customWidth="1"/>
    <col min="8783" max="8783" width="13.5703125" bestFit="1" customWidth="1"/>
    <col min="8784" max="8784" width="7.7109375" bestFit="1" customWidth="1"/>
    <col min="8785" max="8785" width="13.28515625" bestFit="1" customWidth="1"/>
    <col min="8786" max="8786" width="11.5703125" bestFit="1" customWidth="1"/>
    <col min="8787" max="8787" width="10.42578125" bestFit="1" customWidth="1"/>
    <col min="8788" max="8788" width="7.7109375" bestFit="1" customWidth="1"/>
    <col min="8789" max="8789" width="11.5703125" bestFit="1" customWidth="1"/>
    <col min="8790" max="8790" width="10.85546875" bestFit="1" customWidth="1"/>
    <col min="8791" max="8791" width="13.28515625" bestFit="1" customWidth="1"/>
    <col min="8792" max="8792" width="10.85546875" bestFit="1" customWidth="1"/>
    <col min="8793" max="8794" width="7.5703125" bestFit="1" customWidth="1"/>
    <col min="8795" max="8796" width="10.42578125" bestFit="1" customWidth="1"/>
    <col min="8797" max="8797" width="11.5703125" bestFit="1" customWidth="1"/>
    <col min="8798" max="8798" width="5.28515625" bestFit="1" customWidth="1"/>
    <col min="8799" max="8799" width="10.28515625" bestFit="1" customWidth="1"/>
    <col min="8800" max="8800" width="10.42578125" bestFit="1" customWidth="1"/>
    <col min="8801" max="8801" width="11.5703125" bestFit="1" customWidth="1"/>
    <col min="8802" max="8802" width="5.28515625" bestFit="1" customWidth="1"/>
    <col min="8803" max="8805" width="11.5703125" bestFit="1" customWidth="1"/>
    <col min="8806" max="8806" width="5.28515625" bestFit="1" customWidth="1"/>
    <col min="8807" max="8808" width="10.42578125" bestFit="1" customWidth="1"/>
    <col min="8809" max="8809" width="11.5703125" bestFit="1" customWidth="1"/>
    <col min="8810" max="8810" width="5.28515625" bestFit="1" customWidth="1"/>
    <col min="8811" max="8811" width="14.28515625" bestFit="1" customWidth="1"/>
    <col min="8812" max="8812" width="13" bestFit="1" customWidth="1"/>
    <col min="8813" max="8813" width="11.5703125" bestFit="1" customWidth="1"/>
    <col min="8814" max="8814" width="8.85546875" bestFit="1" customWidth="1"/>
    <col min="8815" max="8815" width="14.42578125" bestFit="1" customWidth="1"/>
    <col min="8816" max="8816" width="10.42578125" bestFit="1" customWidth="1"/>
    <col min="8817" max="8817" width="12.28515625" bestFit="1" customWidth="1"/>
    <col min="8818" max="8818" width="13.85546875" bestFit="1" customWidth="1"/>
    <col min="8819" max="8819" width="11.28515625" customWidth="1"/>
    <col min="8820" max="8820" width="11.5703125" customWidth="1"/>
    <col min="8821" max="8821" width="13.42578125" bestFit="1" customWidth="1"/>
    <col min="8822" max="8822" width="10.42578125" customWidth="1"/>
    <col min="8823" max="8823" width="13.85546875" bestFit="1" customWidth="1"/>
    <col min="8824" max="8824" width="15.42578125" bestFit="1" customWidth="1"/>
    <col min="8825" max="8825" width="12.28515625" bestFit="1" customWidth="1"/>
    <col min="8826" max="8826" width="12.7109375" customWidth="1"/>
    <col min="8827" max="8827" width="10.7109375" bestFit="1" customWidth="1"/>
    <col min="8828" max="8828" width="9.85546875" customWidth="1"/>
    <col min="8829" max="8830" width="10.140625" bestFit="1" customWidth="1"/>
    <col min="8831" max="8831" width="7.5703125" bestFit="1" customWidth="1"/>
    <col min="8832" max="8832" width="9.42578125" bestFit="1" customWidth="1"/>
    <col min="8833" max="8833" width="14.5703125" bestFit="1" customWidth="1"/>
    <col min="8834" max="8834" width="14.85546875" customWidth="1"/>
    <col min="8835" max="8835" width="15.140625" bestFit="1" customWidth="1"/>
    <col min="8836" max="8836" width="12.140625" bestFit="1" customWidth="1"/>
    <col min="8837" max="8837" width="14.85546875" bestFit="1" customWidth="1"/>
    <col min="8838" max="8838" width="12.28515625" bestFit="1" customWidth="1"/>
    <col min="8839" max="8847" width="9.140625" hidden="1" customWidth="1"/>
    <col min="8848" max="8848" width="5.28515625" bestFit="1" customWidth="1"/>
    <col min="8849" max="8854" width="11.5703125" bestFit="1" customWidth="1"/>
    <col min="8855" max="8855" width="11.28515625" bestFit="1" customWidth="1"/>
    <col min="8856" max="8856" width="10.140625" bestFit="1" customWidth="1"/>
    <col min="8857" max="8857" width="11.5703125" bestFit="1" customWidth="1"/>
    <col min="8858" max="8858" width="16.140625" customWidth="1"/>
    <col min="8859" max="8859" width="13.42578125" customWidth="1"/>
    <col min="8860" max="8860" width="10.140625" bestFit="1" customWidth="1"/>
    <col min="8861" max="8861" width="12.85546875" bestFit="1" customWidth="1"/>
    <col min="8862" max="8862" width="12.28515625" bestFit="1" customWidth="1"/>
    <col min="8863" max="8863" width="11.28515625" bestFit="1" customWidth="1"/>
    <col min="8864" max="8864" width="11.5703125" bestFit="1" customWidth="1"/>
    <col min="8865" max="8865" width="10.85546875" bestFit="1" customWidth="1"/>
    <col min="8866" max="8866" width="11.28515625" bestFit="1" customWidth="1"/>
    <col min="8867" max="8867" width="10.140625" bestFit="1" customWidth="1"/>
    <col min="8868" max="8868" width="13.28515625" bestFit="1" customWidth="1"/>
    <col min="8869" max="8870" width="12.7109375" bestFit="1" customWidth="1"/>
    <col min="8871" max="8871" width="11" bestFit="1" customWidth="1"/>
    <col min="8872" max="8872" width="11.28515625" bestFit="1" customWidth="1"/>
    <col min="8873" max="8873" width="11.5703125" bestFit="1" customWidth="1"/>
    <col min="8874" max="8874" width="12.28515625" bestFit="1" customWidth="1"/>
    <col min="8875" max="8875" width="15.140625" bestFit="1" customWidth="1"/>
    <col min="8876" max="8876" width="14.42578125" bestFit="1" customWidth="1"/>
    <col min="8877" max="8877" width="12.28515625" bestFit="1" customWidth="1"/>
    <col min="8878" max="8878" width="15.140625" bestFit="1" customWidth="1"/>
    <col min="8879" max="8879" width="14.42578125" bestFit="1" customWidth="1"/>
    <col min="8880" max="8880" width="12.28515625" bestFit="1" customWidth="1"/>
    <col min="8881" max="8881" width="14.42578125" bestFit="1" customWidth="1"/>
    <col min="8882" max="8882" width="11.28515625" bestFit="1" customWidth="1"/>
    <col min="8883" max="8883" width="12.28515625" bestFit="1" customWidth="1"/>
    <col min="8884" max="8884" width="13" bestFit="1" customWidth="1"/>
    <col min="8885" max="8885" width="15.140625" bestFit="1" customWidth="1"/>
    <col min="8886" max="8886" width="12.28515625" bestFit="1" customWidth="1"/>
    <col min="8887" max="8887" width="13.85546875" bestFit="1" customWidth="1"/>
    <col min="8888" max="8888" width="11.28515625" bestFit="1" customWidth="1"/>
    <col min="8889" max="8889" width="12.28515625" bestFit="1" customWidth="1"/>
    <col min="8890" max="8890" width="13.85546875" bestFit="1" customWidth="1"/>
    <col min="8891" max="8892" width="15.140625" bestFit="1" customWidth="1"/>
    <col min="8893" max="8893" width="12.28515625" bestFit="1" customWidth="1"/>
    <col min="8894" max="8894" width="5.7109375" bestFit="1" customWidth="1"/>
    <col min="8895" max="8895" width="8.5703125" bestFit="1" customWidth="1"/>
    <col min="8896" max="8896" width="5.5703125" bestFit="1" customWidth="1"/>
    <col min="8897" max="8897" width="14.42578125" bestFit="1" customWidth="1"/>
    <col min="8898" max="8898" width="11.28515625" bestFit="1" customWidth="1"/>
    <col min="8899" max="8900" width="12.28515625" bestFit="1" customWidth="1"/>
    <col min="8901" max="8901" width="11.28515625" bestFit="1" customWidth="1"/>
    <col min="8902" max="8902" width="13.85546875" bestFit="1" customWidth="1"/>
    <col min="8903" max="8903" width="12" bestFit="1" customWidth="1"/>
    <col min="8904" max="8904" width="13.85546875" bestFit="1" customWidth="1"/>
    <col min="8905" max="8906" width="14.42578125" customWidth="1"/>
    <col min="8907" max="8907" width="10.140625" bestFit="1" customWidth="1"/>
    <col min="8908" max="8908" width="12.28515625" bestFit="1" customWidth="1"/>
    <col min="8909" max="8909" width="7.42578125" bestFit="1" customWidth="1"/>
    <col min="8910" max="8910" width="8.5703125" bestFit="1" customWidth="1"/>
    <col min="8911" max="8911" width="11.5703125" bestFit="1" customWidth="1"/>
    <col min="8912" max="8912" width="13.28515625" bestFit="1" customWidth="1"/>
    <col min="8913" max="8913" width="13.28515625" customWidth="1"/>
    <col min="8914" max="8914" width="13.140625" customWidth="1"/>
    <col min="8915" max="8915" width="12.7109375" bestFit="1" customWidth="1"/>
    <col min="8916" max="8916" width="13.28515625" bestFit="1" customWidth="1"/>
    <col min="8917" max="8919" width="13.28515625" customWidth="1"/>
    <col min="8920" max="8920" width="12.140625" bestFit="1" customWidth="1"/>
    <col min="8921" max="8921" width="12.7109375" bestFit="1" customWidth="1"/>
    <col min="8922" max="8922" width="11" customWidth="1"/>
    <col min="8923" max="8923" width="16.7109375" customWidth="1"/>
    <col min="8924" max="8924" width="17" customWidth="1"/>
    <col min="8925" max="8925" width="10.42578125" bestFit="1" customWidth="1"/>
    <col min="8969" max="8969" width="3.85546875" customWidth="1"/>
    <col min="8970" max="8970" width="15.28515625" bestFit="1" customWidth="1"/>
    <col min="8971" max="8971" width="12.28515625" customWidth="1"/>
    <col min="8972" max="8972" width="16.28515625" bestFit="1" customWidth="1"/>
    <col min="8973" max="8973" width="6.42578125" bestFit="1" customWidth="1"/>
    <col min="8974" max="8974" width="9.28515625" bestFit="1" customWidth="1"/>
    <col min="8975" max="8975" width="7.5703125" bestFit="1" customWidth="1"/>
    <col min="8976" max="8976" width="13.28515625" bestFit="1" customWidth="1"/>
    <col min="8977" max="8977" width="9.28515625" bestFit="1" customWidth="1"/>
    <col min="8978" max="8978" width="11.5703125" bestFit="1" customWidth="1"/>
    <col min="8979" max="8979" width="13.28515625" bestFit="1" customWidth="1"/>
    <col min="8980" max="8980" width="7.140625" bestFit="1" customWidth="1"/>
    <col min="8981" max="8981" width="12" bestFit="1" customWidth="1"/>
    <col min="8982" max="8982" width="13.28515625" bestFit="1" customWidth="1"/>
    <col min="8983" max="8983" width="7" bestFit="1" customWidth="1"/>
    <col min="8984" max="8984" width="12.7109375" bestFit="1" customWidth="1"/>
    <col min="8985" max="8985" width="11.5703125" bestFit="1" customWidth="1"/>
    <col min="8986" max="8986" width="10.5703125" bestFit="1" customWidth="1"/>
    <col min="8987" max="8988" width="15.7109375" bestFit="1" customWidth="1"/>
    <col min="8989" max="8989" width="11.5703125" bestFit="1" customWidth="1"/>
    <col min="8990" max="8990" width="7.7109375" bestFit="1" customWidth="1"/>
    <col min="8991" max="8991" width="15.140625" bestFit="1" customWidth="1"/>
    <col min="8992" max="8992" width="11.5703125" bestFit="1" customWidth="1"/>
    <col min="8993" max="8993" width="13.28515625" bestFit="1" customWidth="1"/>
    <col min="8994" max="8994" width="10.42578125" bestFit="1" customWidth="1"/>
    <col min="8995" max="8995" width="13.28515625" bestFit="1" customWidth="1"/>
    <col min="8996" max="8996" width="12.140625" bestFit="1" customWidth="1"/>
    <col min="8997" max="8997" width="14.42578125" bestFit="1" customWidth="1"/>
    <col min="8998" max="8998" width="13.28515625" bestFit="1" customWidth="1"/>
    <col min="8999" max="8999" width="11.5703125" bestFit="1" customWidth="1"/>
    <col min="9000" max="9000" width="7.7109375" bestFit="1" customWidth="1"/>
    <col min="9001" max="9002" width="14.42578125" bestFit="1" customWidth="1"/>
    <col min="9003" max="9003" width="11.5703125" bestFit="1" customWidth="1"/>
    <col min="9004" max="9004" width="7.7109375" bestFit="1" customWidth="1"/>
    <col min="9005" max="9005" width="13.5703125" customWidth="1"/>
    <col min="9006" max="9006" width="15.28515625" customWidth="1"/>
    <col min="9007" max="9007" width="14.5703125" customWidth="1"/>
    <col min="9008" max="9008" width="13.28515625" bestFit="1" customWidth="1"/>
    <col min="9009" max="9009" width="7.7109375" bestFit="1" customWidth="1"/>
    <col min="9010" max="9010" width="12.7109375" bestFit="1" customWidth="1"/>
    <col min="9011" max="9011" width="11.7109375" bestFit="1" customWidth="1"/>
    <col min="9012" max="9012" width="11.5703125" bestFit="1" customWidth="1"/>
    <col min="9013" max="9013" width="5.28515625" bestFit="1" customWidth="1"/>
    <col min="9014" max="9014" width="13.28515625" bestFit="1" customWidth="1"/>
    <col min="9015" max="9015" width="13.5703125" bestFit="1" customWidth="1"/>
    <col min="9016" max="9016" width="10.5703125" bestFit="1" customWidth="1"/>
    <col min="9017" max="9017" width="13.28515625" bestFit="1" customWidth="1"/>
    <col min="9018" max="9018" width="11.5703125" bestFit="1" customWidth="1"/>
    <col min="9019" max="9019" width="10.5703125" bestFit="1" customWidth="1"/>
    <col min="9020" max="9020" width="16.140625" bestFit="1" customWidth="1"/>
    <col min="9021" max="9022" width="11.28515625" bestFit="1" customWidth="1"/>
    <col min="9023" max="9023" width="13.28515625" bestFit="1" customWidth="1"/>
    <col min="9024" max="9024" width="7.7109375" bestFit="1" customWidth="1"/>
    <col min="9025" max="9028" width="9.140625" hidden="1" customWidth="1"/>
    <col min="9029" max="9029" width="10.42578125" bestFit="1" customWidth="1"/>
    <col min="9030" max="9030" width="10.5703125" bestFit="1" customWidth="1"/>
    <col min="9031" max="9031" width="10.42578125" bestFit="1" customWidth="1"/>
    <col min="9032" max="9032" width="10.5703125" bestFit="1" customWidth="1"/>
    <col min="9033" max="9033" width="9.5703125" bestFit="1" customWidth="1"/>
    <col min="9034" max="9034" width="11.5703125" bestFit="1" customWidth="1"/>
    <col min="9035" max="9035" width="10.42578125" bestFit="1" customWidth="1"/>
    <col min="9036" max="9036" width="10.85546875" customWidth="1"/>
    <col min="9037" max="9038" width="9.85546875" bestFit="1" customWidth="1"/>
    <col min="9039" max="9039" width="13.5703125" bestFit="1" customWidth="1"/>
    <col min="9040" max="9040" width="7.7109375" bestFit="1" customWidth="1"/>
    <col min="9041" max="9041" width="13.28515625" bestFit="1" customWidth="1"/>
    <col min="9042" max="9042" width="11.5703125" bestFit="1" customWidth="1"/>
    <col min="9043" max="9043" width="10.42578125" bestFit="1" customWidth="1"/>
    <col min="9044" max="9044" width="7.7109375" bestFit="1" customWidth="1"/>
    <col min="9045" max="9045" width="11.5703125" bestFit="1" customWidth="1"/>
    <col min="9046" max="9046" width="10.85546875" bestFit="1" customWidth="1"/>
    <col min="9047" max="9047" width="13.28515625" bestFit="1" customWidth="1"/>
    <col min="9048" max="9048" width="10.85546875" bestFit="1" customWidth="1"/>
    <col min="9049" max="9050" width="7.5703125" bestFit="1" customWidth="1"/>
    <col min="9051" max="9052" width="10.42578125" bestFit="1" customWidth="1"/>
    <col min="9053" max="9053" width="11.5703125" bestFit="1" customWidth="1"/>
    <col min="9054" max="9054" width="5.28515625" bestFit="1" customWidth="1"/>
    <col min="9055" max="9055" width="10.28515625" bestFit="1" customWidth="1"/>
    <col min="9056" max="9056" width="10.42578125" bestFit="1" customWidth="1"/>
    <col min="9057" max="9057" width="11.5703125" bestFit="1" customWidth="1"/>
    <col min="9058" max="9058" width="5.28515625" bestFit="1" customWidth="1"/>
    <col min="9059" max="9061" width="11.5703125" bestFit="1" customWidth="1"/>
    <col min="9062" max="9062" width="5.28515625" bestFit="1" customWidth="1"/>
    <col min="9063" max="9064" width="10.42578125" bestFit="1" customWidth="1"/>
    <col min="9065" max="9065" width="11.5703125" bestFit="1" customWidth="1"/>
    <col min="9066" max="9066" width="5.28515625" bestFit="1" customWidth="1"/>
    <col min="9067" max="9067" width="14.28515625" bestFit="1" customWidth="1"/>
    <col min="9068" max="9068" width="13" bestFit="1" customWidth="1"/>
    <col min="9069" max="9069" width="11.5703125" bestFit="1" customWidth="1"/>
    <col min="9070" max="9070" width="8.85546875" bestFit="1" customWidth="1"/>
    <col min="9071" max="9071" width="14.42578125" bestFit="1" customWidth="1"/>
    <col min="9072" max="9072" width="10.42578125" bestFit="1" customWidth="1"/>
    <col min="9073" max="9073" width="12.28515625" bestFit="1" customWidth="1"/>
    <col min="9074" max="9074" width="13.85546875" bestFit="1" customWidth="1"/>
    <col min="9075" max="9075" width="11.28515625" customWidth="1"/>
    <col min="9076" max="9076" width="11.5703125" customWidth="1"/>
    <col min="9077" max="9077" width="13.42578125" bestFit="1" customWidth="1"/>
    <col min="9078" max="9078" width="10.42578125" customWidth="1"/>
    <col min="9079" max="9079" width="13.85546875" bestFit="1" customWidth="1"/>
    <col min="9080" max="9080" width="15.42578125" bestFit="1" customWidth="1"/>
    <col min="9081" max="9081" width="12.28515625" bestFit="1" customWidth="1"/>
    <col min="9082" max="9082" width="12.7109375" customWidth="1"/>
    <col min="9083" max="9083" width="10.7109375" bestFit="1" customWidth="1"/>
    <col min="9084" max="9084" width="9.85546875" customWidth="1"/>
    <col min="9085" max="9086" width="10.140625" bestFit="1" customWidth="1"/>
    <col min="9087" max="9087" width="7.5703125" bestFit="1" customWidth="1"/>
    <col min="9088" max="9088" width="9.42578125" bestFit="1" customWidth="1"/>
    <col min="9089" max="9089" width="14.5703125" bestFit="1" customWidth="1"/>
    <col min="9090" max="9090" width="14.85546875" customWidth="1"/>
    <col min="9091" max="9091" width="15.140625" bestFit="1" customWidth="1"/>
    <col min="9092" max="9092" width="12.140625" bestFit="1" customWidth="1"/>
    <col min="9093" max="9093" width="14.85546875" bestFit="1" customWidth="1"/>
    <col min="9094" max="9094" width="12.28515625" bestFit="1" customWidth="1"/>
    <col min="9095" max="9103" width="9.140625" hidden="1" customWidth="1"/>
    <col min="9104" max="9104" width="5.28515625" bestFit="1" customWidth="1"/>
    <col min="9105" max="9110" width="11.5703125" bestFit="1" customWidth="1"/>
    <col min="9111" max="9111" width="11.28515625" bestFit="1" customWidth="1"/>
    <col min="9112" max="9112" width="10.140625" bestFit="1" customWidth="1"/>
    <col min="9113" max="9113" width="11.5703125" bestFit="1" customWidth="1"/>
    <col min="9114" max="9114" width="16.140625" customWidth="1"/>
    <col min="9115" max="9115" width="13.42578125" customWidth="1"/>
    <col min="9116" max="9116" width="10.140625" bestFit="1" customWidth="1"/>
    <col min="9117" max="9117" width="12.85546875" bestFit="1" customWidth="1"/>
    <col min="9118" max="9118" width="12.28515625" bestFit="1" customWidth="1"/>
    <col min="9119" max="9119" width="11.28515625" bestFit="1" customWidth="1"/>
    <col min="9120" max="9120" width="11.5703125" bestFit="1" customWidth="1"/>
    <col min="9121" max="9121" width="10.85546875" bestFit="1" customWidth="1"/>
    <col min="9122" max="9122" width="11.28515625" bestFit="1" customWidth="1"/>
    <col min="9123" max="9123" width="10.140625" bestFit="1" customWidth="1"/>
    <col min="9124" max="9124" width="13.28515625" bestFit="1" customWidth="1"/>
    <col min="9125" max="9126" width="12.7109375" bestFit="1" customWidth="1"/>
    <col min="9127" max="9127" width="11" bestFit="1" customWidth="1"/>
    <col min="9128" max="9128" width="11.28515625" bestFit="1" customWidth="1"/>
    <col min="9129" max="9129" width="11.5703125" bestFit="1" customWidth="1"/>
    <col min="9130" max="9130" width="12.28515625" bestFit="1" customWidth="1"/>
    <col min="9131" max="9131" width="15.140625" bestFit="1" customWidth="1"/>
    <col min="9132" max="9132" width="14.42578125" bestFit="1" customWidth="1"/>
    <col min="9133" max="9133" width="12.28515625" bestFit="1" customWidth="1"/>
    <col min="9134" max="9134" width="15.140625" bestFit="1" customWidth="1"/>
    <col min="9135" max="9135" width="14.42578125" bestFit="1" customWidth="1"/>
    <col min="9136" max="9136" width="12.28515625" bestFit="1" customWidth="1"/>
    <col min="9137" max="9137" width="14.42578125" bestFit="1" customWidth="1"/>
    <col min="9138" max="9138" width="11.28515625" bestFit="1" customWidth="1"/>
    <col min="9139" max="9139" width="12.28515625" bestFit="1" customWidth="1"/>
    <col min="9140" max="9140" width="13" bestFit="1" customWidth="1"/>
    <col min="9141" max="9141" width="15.140625" bestFit="1" customWidth="1"/>
    <col min="9142" max="9142" width="12.28515625" bestFit="1" customWidth="1"/>
    <col min="9143" max="9143" width="13.85546875" bestFit="1" customWidth="1"/>
    <col min="9144" max="9144" width="11.28515625" bestFit="1" customWidth="1"/>
    <col min="9145" max="9145" width="12.28515625" bestFit="1" customWidth="1"/>
    <col min="9146" max="9146" width="13.85546875" bestFit="1" customWidth="1"/>
    <col min="9147" max="9148" width="15.140625" bestFit="1" customWidth="1"/>
    <col min="9149" max="9149" width="12.28515625" bestFit="1" customWidth="1"/>
    <col min="9150" max="9150" width="5.7109375" bestFit="1" customWidth="1"/>
    <col min="9151" max="9151" width="8.5703125" bestFit="1" customWidth="1"/>
    <col min="9152" max="9152" width="5.5703125" bestFit="1" customWidth="1"/>
    <col min="9153" max="9153" width="14.42578125" bestFit="1" customWidth="1"/>
    <col min="9154" max="9154" width="11.28515625" bestFit="1" customWidth="1"/>
    <col min="9155" max="9156" width="12.28515625" bestFit="1" customWidth="1"/>
    <col min="9157" max="9157" width="11.28515625" bestFit="1" customWidth="1"/>
    <col min="9158" max="9158" width="13.85546875" bestFit="1" customWidth="1"/>
    <col min="9159" max="9159" width="12" bestFit="1" customWidth="1"/>
    <col min="9160" max="9160" width="13.85546875" bestFit="1" customWidth="1"/>
    <col min="9161" max="9162" width="14.42578125" customWidth="1"/>
    <col min="9163" max="9163" width="10.140625" bestFit="1" customWidth="1"/>
    <col min="9164" max="9164" width="12.28515625" bestFit="1" customWidth="1"/>
    <col min="9165" max="9165" width="7.42578125" bestFit="1" customWidth="1"/>
    <col min="9166" max="9166" width="8.5703125" bestFit="1" customWidth="1"/>
    <col min="9167" max="9167" width="11.5703125" bestFit="1" customWidth="1"/>
    <col min="9168" max="9168" width="13.28515625" bestFit="1" customWidth="1"/>
    <col min="9169" max="9169" width="13.28515625" customWidth="1"/>
    <col min="9170" max="9170" width="13.140625" customWidth="1"/>
    <col min="9171" max="9171" width="12.7109375" bestFit="1" customWidth="1"/>
    <col min="9172" max="9172" width="13.28515625" bestFit="1" customWidth="1"/>
    <col min="9173" max="9175" width="13.28515625" customWidth="1"/>
    <col min="9176" max="9176" width="12.140625" bestFit="1" customWidth="1"/>
    <col min="9177" max="9177" width="12.7109375" bestFit="1" customWidth="1"/>
    <col min="9178" max="9178" width="11" customWidth="1"/>
    <col min="9179" max="9179" width="16.7109375" customWidth="1"/>
    <col min="9180" max="9180" width="17" customWidth="1"/>
    <col min="9181" max="9181" width="10.42578125" bestFit="1" customWidth="1"/>
    <col min="9225" max="9225" width="3.85546875" customWidth="1"/>
    <col min="9226" max="9226" width="15.28515625" bestFit="1" customWidth="1"/>
    <col min="9227" max="9227" width="12.28515625" customWidth="1"/>
    <col min="9228" max="9228" width="16.28515625" bestFit="1" customWidth="1"/>
    <col min="9229" max="9229" width="6.42578125" bestFit="1" customWidth="1"/>
    <col min="9230" max="9230" width="9.28515625" bestFit="1" customWidth="1"/>
    <col min="9231" max="9231" width="7.5703125" bestFit="1" customWidth="1"/>
    <col min="9232" max="9232" width="13.28515625" bestFit="1" customWidth="1"/>
    <col min="9233" max="9233" width="9.28515625" bestFit="1" customWidth="1"/>
    <col min="9234" max="9234" width="11.5703125" bestFit="1" customWidth="1"/>
    <col min="9235" max="9235" width="13.28515625" bestFit="1" customWidth="1"/>
    <col min="9236" max="9236" width="7.140625" bestFit="1" customWidth="1"/>
    <col min="9237" max="9237" width="12" bestFit="1" customWidth="1"/>
    <col min="9238" max="9238" width="13.28515625" bestFit="1" customWidth="1"/>
    <col min="9239" max="9239" width="7" bestFit="1" customWidth="1"/>
    <col min="9240" max="9240" width="12.7109375" bestFit="1" customWidth="1"/>
    <col min="9241" max="9241" width="11.5703125" bestFit="1" customWidth="1"/>
    <col min="9242" max="9242" width="10.5703125" bestFit="1" customWidth="1"/>
    <col min="9243" max="9244" width="15.7109375" bestFit="1" customWidth="1"/>
    <col min="9245" max="9245" width="11.5703125" bestFit="1" customWidth="1"/>
    <col min="9246" max="9246" width="7.7109375" bestFit="1" customWidth="1"/>
    <col min="9247" max="9247" width="15.140625" bestFit="1" customWidth="1"/>
    <col min="9248" max="9248" width="11.5703125" bestFit="1" customWidth="1"/>
    <col min="9249" max="9249" width="13.28515625" bestFit="1" customWidth="1"/>
    <col min="9250" max="9250" width="10.42578125" bestFit="1" customWidth="1"/>
    <col min="9251" max="9251" width="13.28515625" bestFit="1" customWidth="1"/>
    <col min="9252" max="9252" width="12.140625" bestFit="1" customWidth="1"/>
    <col min="9253" max="9253" width="14.42578125" bestFit="1" customWidth="1"/>
    <col min="9254" max="9254" width="13.28515625" bestFit="1" customWidth="1"/>
    <col min="9255" max="9255" width="11.5703125" bestFit="1" customWidth="1"/>
    <col min="9256" max="9256" width="7.7109375" bestFit="1" customWidth="1"/>
    <col min="9257" max="9258" width="14.42578125" bestFit="1" customWidth="1"/>
    <col min="9259" max="9259" width="11.5703125" bestFit="1" customWidth="1"/>
    <col min="9260" max="9260" width="7.7109375" bestFit="1" customWidth="1"/>
    <col min="9261" max="9261" width="13.5703125" customWidth="1"/>
    <col min="9262" max="9262" width="15.28515625" customWidth="1"/>
    <col min="9263" max="9263" width="14.5703125" customWidth="1"/>
    <col min="9264" max="9264" width="13.28515625" bestFit="1" customWidth="1"/>
    <col min="9265" max="9265" width="7.7109375" bestFit="1" customWidth="1"/>
    <col min="9266" max="9266" width="12.7109375" bestFit="1" customWidth="1"/>
    <col min="9267" max="9267" width="11.7109375" bestFit="1" customWidth="1"/>
    <col min="9268" max="9268" width="11.5703125" bestFit="1" customWidth="1"/>
    <col min="9269" max="9269" width="5.28515625" bestFit="1" customWidth="1"/>
    <col min="9270" max="9270" width="13.28515625" bestFit="1" customWidth="1"/>
    <col min="9271" max="9271" width="13.5703125" bestFit="1" customWidth="1"/>
    <col min="9272" max="9272" width="10.5703125" bestFit="1" customWidth="1"/>
    <col min="9273" max="9273" width="13.28515625" bestFit="1" customWidth="1"/>
    <col min="9274" max="9274" width="11.5703125" bestFit="1" customWidth="1"/>
    <col min="9275" max="9275" width="10.5703125" bestFit="1" customWidth="1"/>
    <col min="9276" max="9276" width="16.140625" bestFit="1" customWidth="1"/>
    <col min="9277" max="9278" width="11.28515625" bestFit="1" customWidth="1"/>
    <col min="9279" max="9279" width="13.28515625" bestFit="1" customWidth="1"/>
    <col min="9280" max="9280" width="7.7109375" bestFit="1" customWidth="1"/>
    <col min="9281" max="9284" width="9.140625" hidden="1" customWidth="1"/>
    <col min="9285" max="9285" width="10.42578125" bestFit="1" customWidth="1"/>
    <col min="9286" max="9286" width="10.5703125" bestFit="1" customWidth="1"/>
    <col min="9287" max="9287" width="10.42578125" bestFit="1" customWidth="1"/>
    <col min="9288" max="9288" width="10.5703125" bestFit="1" customWidth="1"/>
    <col min="9289" max="9289" width="9.5703125" bestFit="1" customWidth="1"/>
    <col min="9290" max="9290" width="11.5703125" bestFit="1" customWidth="1"/>
    <col min="9291" max="9291" width="10.42578125" bestFit="1" customWidth="1"/>
    <col min="9292" max="9292" width="10.85546875" customWidth="1"/>
    <col min="9293" max="9294" width="9.85546875" bestFit="1" customWidth="1"/>
    <col min="9295" max="9295" width="13.5703125" bestFit="1" customWidth="1"/>
    <col min="9296" max="9296" width="7.7109375" bestFit="1" customWidth="1"/>
    <col min="9297" max="9297" width="13.28515625" bestFit="1" customWidth="1"/>
    <col min="9298" max="9298" width="11.5703125" bestFit="1" customWidth="1"/>
    <col min="9299" max="9299" width="10.42578125" bestFit="1" customWidth="1"/>
    <col min="9300" max="9300" width="7.7109375" bestFit="1" customWidth="1"/>
    <col min="9301" max="9301" width="11.5703125" bestFit="1" customWidth="1"/>
    <col min="9302" max="9302" width="10.85546875" bestFit="1" customWidth="1"/>
    <col min="9303" max="9303" width="13.28515625" bestFit="1" customWidth="1"/>
    <col min="9304" max="9304" width="10.85546875" bestFit="1" customWidth="1"/>
    <col min="9305" max="9306" width="7.5703125" bestFit="1" customWidth="1"/>
    <col min="9307" max="9308" width="10.42578125" bestFit="1" customWidth="1"/>
    <col min="9309" max="9309" width="11.5703125" bestFit="1" customWidth="1"/>
    <col min="9310" max="9310" width="5.28515625" bestFit="1" customWidth="1"/>
    <col min="9311" max="9311" width="10.28515625" bestFit="1" customWidth="1"/>
    <col min="9312" max="9312" width="10.42578125" bestFit="1" customWidth="1"/>
    <col min="9313" max="9313" width="11.5703125" bestFit="1" customWidth="1"/>
    <col min="9314" max="9314" width="5.28515625" bestFit="1" customWidth="1"/>
    <col min="9315" max="9317" width="11.5703125" bestFit="1" customWidth="1"/>
    <col min="9318" max="9318" width="5.28515625" bestFit="1" customWidth="1"/>
    <col min="9319" max="9320" width="10.42578125" bestFit="1" customWidth="1"/>
    <col min="9321" max="9321" width="11.5703125" bestFit="1" customWidth="1"/>
    <col min="9322" max="9322" width="5.28515625" bestFit="1" customWidth="1"/>
    <col min="9323" max="9323" width="14.28515625" bestFit="1" customWidth="1"/>
    <col min="9324" max="9324" width="13" bestFit="1" customWidth="1"/>
    <col min="9325" max="9325" width="11.5703125" bestFit="1" customWidth="1"/>
    <col min="9326" max="9326" width="8.85546875" bestFit="1" customWidth="1"/>
    <col min="9327" max="9327" width="14.42578125" bestFit="1" customWidth="1"/>
    <col min="9328" max="9328" width="10.42578125" bestFit="1" customWidth="1"/>
    <col min="9329" max="9329" width="12.28515625" bestFit="1" customWidth="1"/>
    <col min="9330" max="9330" width="13.85546875" bestFit="1" customWidth="1"/>
    <col min="9331" max="9331" width="11.28515625" customWidth="1"/>
    <col min="9332" max="9332" width="11.5703125" customWidth="1"/>
    <col min="9333" max="9333" width="13.42578125" bestFit="1" customWidth="1"/>
    <col min="9334" max="9334" width="10.42578125" customWidth="1"/>
    <col min="9335" max="9335" width="13.85546875" bestFit="1" customWidth="1"/>
    <col min="9336" max="9336" width="15.42578125" bestFit="1" customWidth="1"/>
    <col min="9337" max="9337" width="12.28515625" bestFit="1" customWidth="1"/>
    <col min="9338" max="9338" width="12.7109375" customWidth="1"/>
    <col min="9339" max="9339" width="10.7109375" bestFit="1" customWidth="1"/>
    <col min="9340" max="9340" width="9.85546875" customWidth="1"/>
    <col min="9341" max="9342" width="10.140625" bestFit="1" customWidth="1"/>
    <col min="9343" max="9343" width="7.5703125" bestFit="1" customWidth="1"/>
    <col min="9344" max="9344" width="9.42578125" bestFit="1" customWidth="1"/>
    <col min="9345" max="9345" width="14.5703125" bestFit="1" customWidth="1"/>
    <col min="9346" max="9346" width="14.85546875" customWidth="1"/>
    <col min="9347" max="9347" width="15.140625" bestFit="1" customWidth="1"/>
    <col min="9348" max="9348" width="12.140625" bestFit="1" customWidth="1"/>
    <col min="9349" max="9349" width="14.85546875" bestFit="1" customWidth="1"/>
    <col min="9350" max="9350" width="12.28515625" bestFit="1" customWidth="1"/>
    <col min="9351" max="9359" width="9.140625" hidden="1" customWidth="1"/>
    <col min="9360" max="9360" width="5.28515625" bestFit="1" customWidth="1"/>
    <col min="9361" max="9366" width="11.5703125" bestFit="1" customWidth="1"/>
    <col min="9367" max="9367" width="11.28515625" bestFit="1" customWidth="1"/>
    <col min="9368" max="9368" width="10.140625" bestFit="1" customWidth="1"/>
    <col min="9369" max="9369" width="11.5703125" bestFit="1" customWidth="1"/>
    <col min="9370" max="9370" width="16.140625" customWidth="1"/>
    <col min="9371" max="9371" width="13.42578125" customWidth="1"/>
    <col min="9372" max="9372" width="10.140625" bestFit="1" customWidth="1"/>
    <col min="9373" max="9373" width="12.85546875" bestFit="1" customWidth="1"/>
    <col min="9374" max="9374" width="12.28515625" bestFit="1" customWidth="1"/>
    <col min="9375" max="9375" width="11.28515625" bestFit="1" customWidth="1"/>
    <col min="9376" max="9376" width="11.5703125" bestFit="1" customWidth="1"/>
    <col min="9377" max="9377" width="10.85546875" bestFit="1" customWidth="1"/>
    <col min="9378" max="9378" width="11.28515625" bestFit="1" customWidth="1"/>
    <col min="9379" max="9379" width="10.140625" bestFit="1" customWidth="1"/>
    <col min="9380" max="9380" width="13.28515625" bestFit="1" customWidth="1"/>
    <col min="9381" max="9382" width="12.7109375" bestFit="1" customWidth="1"/>
    <col min="9383" max="9383" width="11" bestFit="1" customWidth="1"/>
    <col min="9384" max="9384" width="11.28515625" bestFit="1" customWidth="1"/>
    <col min="9385" max="9385" width="11.5703125" bestFit="1" customWidth="1"/>
    <col min="9386" max="9386" width="12.28515625" bestFit="1" customWidth="1"/>
    <col min="9387" max="9387" width="15.140625" bestFit="1" customWidth="1"/>
    <col min="9388" max="9388" width="14.42578125" bestFit="1" customWidth="1"/>
    <col min="9389" max="9389" width="12.28515625" bestFit="1" customWidth="1"/>
    <col min="9390" max="9390" width="15.140625" bestFit="1" customWidth="1"/>
    <col min="9391" max="9391" width="14.42578125" bestFit="1" customWidth="1"/>
    <col min="9392" max="9392" width="12.28515625" bestFit="1" customWidth="1"/>
    <col min="9393" max="9393" width="14.42578125" bestFit="1" customWidth="1"/>
    <col min="9394" max="9394" width="11.28515625" bestFit="1" customWidth="1"/>
    <col min="9395" max="9395" width="12.28515625" bestFit="1" customWidth="1"/>
    <col min="9396" max="9396" width="13" bestFit="1" customWidth="1"/>
    <col min="9397" max="9397" width="15.140625" bestFit="1" customWidth="1"/>
    <col min="9398" max="9398" width="12.28515625" bestFit="1" customWidth="1"/>
    <col min="9399" max="9399" width="13.85546875" bestFit="1" customWidth="1"/>
    <col min="9400" max="9400" width="11.28515625" bestFit="1" customWidth="1"/>
    <col min="9401" max="9401" width="12.28515625" bestFit="1" customWidth="1"/>
    <col min="9402" max="9402" width="13.85546875" bestFit="1" customWidth="1"/>
    <col min="9403" max="9404" width="15.140625" bestFit="1" customWidth="1"/>
    <col min="9405" max="9405" width="12.28515625" bestFit="1" customWidth="1"/>
    <col min="9406" max="9406" width="5.7109375" bestFit="1" customWidth="1"/>
    <col min="9407" max="9407" width="8.5703125" bestFit="1" customWidth="1"/>
    <col min="9408" max="9408" width="5.5703125" bestFit="1" customWidth="1"/>
    <col min="9409" max="9409" width="14.42578125" bestFit="1" customWidth="1"/>
    <col min="9410" max="9410" width="11.28515625" bestFit="1" customWidth="1"/>
    <col min="9411" max="9412" width="12.28515625" bestFit="1" customWidth="1"/>
    <col min="9413" max="9413" width="11.28515625" bestFit="1" customWidth="1"/>
    <col min="9414" max="9414" width="13.85546875" bestFit="1" customWidth="1"/>
    <col min="9415" max="9415" width="12" bestFit="1" customWidth="1"/>
    <col min="9416" max="9416" width="13.85546875" bestFit="1" customWidth="1"/>
    <col min="9417" max="9418" width="14.42578125" customWidth="1"/>
    <col min="9419" max="9419" width="10.140625" bestFit="1" customWidth="1"/>
    <col min="9420" max="9420" width="12.28515625" bestFit="1" customWidth="1"/>
    <col min="9421" max="9421" width="7.42578125" bestFit="1" customWidth="1"/>
    <col min="9422" max="9422" width="8.5703125" bestFit="1" customWidth="1"/>
    <col min="9423" max="9423" width="11.5703125" bestFit="1" customWidth="1"/>
    <col min="9424" max="9424" width="13.28515625" bestFit="1" customWidth="1"/>
    <col min="9425" max="9425" width="13.28515625" customWidth="1"/>
    <col min="9426" max="9426" width="13.140625" customWidth="1"/>
    <col min="9427" max="9427" width="12.7109375" bestFit="1" customWidth="1"/>
    <col min="9428" max="9428" width="13.28515625" bestFit="1" customWidth="1"/>
    <col min="9429" max="9431" width="13.28515625" customWidth="1"/>
    <col min="9432" max="9432" width="12.140625" bestFit="1" customWidth="1"/>
    <col min="9433" max="9433" width="12.7109375" bestFit="1" customWidth="1"/>
    <col min="9434" max="9434" width="11" customWidth="1"/>
    <col min="9435" max="9435" width="16.7109375" customWidth="1"/>
    <col min="9436" max="9436" width="17" customWidth="1"/>
    <col min="9437" max="9437" width="10.42578125" bestFit="1" customWidth="1"/>
    <col min="9481" max="9481" width="3.85546875" customWidth="1"/>
    <col min="9482" max="9482" width="15.28515625" bestFit="1" customWidth="1"/>
    <col min="9483" max="9483" width="12.28515625" customWidth="1"/>
    <col min="9484" max="9484" width="16.28515625" bestFit="1" customWidth="1"/>
    <col min="9485" max="9485" width="6.42578125" bestFit="1" customWidth="1"/>
    <col min="9486" max="9486" width="9.28515625" bestFit="1" customWidth="1"/>
    <col min="9487" max="9487" width="7.5703125" bestFit="1" customWidth="1"/>
    <col min="9488" max="9488" width="13.28515625" bestFit="1" customWidth="1"/>
    <col min="9489" max="9489" width="9.28515625" bestFit="1" customWidth="1"/>
    <col min="9490" max="9490" width="11.5703125" bestFit="1" customWidth="1"/>
    <col min="9491" max="9491" width="13.28515625" bestFit="1" customWidth="1"/>
    <col min="9492" max="9492" width="7.140625" bestFit="1" customWidth="1"/>
    <col min="9493" max="9493" width="12" bestFit="1" customWidth="1"/>
    <col min="9494" max="9494" width="13.28515625" bestFit="1" customWidth="1"/>
    <col min="9495" max="9495" width="7" bestFit="1" customWidth="1"/>
    <col min="9496" max="9496" width="12.7109375" bestFit="1" customWidth="1"/>
    <col min="9497" max="9497" width="11.5703125" bestFit="1" customWidth="1"/>
    <col min="9498" max="9498" width="10.5703125" bestFit="1" customWidth="1"/>
    <col min="9499" max="9500" width="15.7109375" bestFit="1" customWidth="1"/>
    <col min="9501" max="9501" width="11.5703125" bestFit="1" customWidth="1"/>
    <col min="9502" max="9502" width="7.7109375" bestFit="1" customWidth="1"/>
    <col min="9503" max="9503" width="15.140625" bestFit="1" customWidth="1"/>
    <col min="9504" max="9504" width="11.5703125" bestFit="1" customWidth="1"/>
    <col min="9505" max="9505" width="13.28515625" bestFit="1" customWidth="1"/>
    <col min="9506" max="9506" width="10.42578125" bestFit="1" customWidth="1"/>
    <col min="9507" max="9507" width="13.28515625" bestFit="1" customWidth="1"/>
    <col min="9508" max="9508" width="12.140625" bestFit="1" customWidth="1"/>
    <col min="9509" max="9509" width="14.42578125" bestFit="1" customWidth="1"/>
    <col min="9510" max="9510" width="13.28515625" bestFit="1" customWidth="1"/>
    <col min="9511" max="9511" width="11.5703125" bestFit="1" customWidth="1"/>
    <col min="9512" max="9512" width="7.7109375" bestFit="1" customWidth="1"/>
    <col min="9513" max="9514" width="14.42578125" bestFit="1" customWidth="1"/>
    <col min="9515" max="9515" width="11.5703125" bestFit="1" customWidth="1"/>
    <col min="9516" max="9516" width="7.7109375" bestFit="1" customWidth="1"/>
    <col min="9517" max="9517" width="13.5703125" customWidth="1"/>
    <col min="9518" max="9518" width="15.28515625" customWidth="1"/>
    <col min="9519" max="9519" width="14.5703125" customWidth="1"/>
    <col min="9520" max="9520" width="13.28515625" bestFit="1" customWidth="1"/>
    <col min="9521" max="9521" width="7.7109375" bestFit="1" customWidth="1"/>
    <col min="9522" max="9522" width="12.7109375" bestFit="1" customWidth="1"/>
    <col min="9523" max="9523" width="11.7109375" bestFit="1" customWidth="1"/>
    <col min="9524" max="9524" width="11.5703125" bestFit="1" customWidth="1"/>
    <col min="9525" max="9525" width="5.28515625" bestFit="1" customWidth="1"/>
    <col min="9526" max="9526" width="13.28515625" bestFit="1" customWidth="1"/>
    <col min="9527" max="9527" width="13.5703125" bestFit="1" customWidth="1"/>
    <col min="9528" max="9528" width="10.5703125" bestFit="1" customWidth="1"/>
    <col min="9529" max="9529" width="13.28515625" bestFit="1" customWidth="1"/>
    <col min="9530" max="9530" width="11.5703125" bestFit="1" customWidth="1"/>
    <col min="9531" max="9531" width="10.5703125" bestFit="1" customWidth="1"/>
    <col min="9532" max="9532" width="16.140625" bestFit="1" customWidth="1"/>
    <col min="9533" max="9534" width="11.28515625" bestFit="1" customWidth="1"/>
    <col min="9535" max="9535" width="13.28515625" bestFit="1" customWidth="1"/>
    <col min="9536" max="9536" width="7.7109375" bestFit="1" customWidth="1"/>
    <col min="9537" max="9540" width="9.140625" hidden="1" customWidth="1"/>
    <col min="9541" max="9541" width="10.42578125" bestFit="1" customWidth="1"/>
    <col min="9542" max="9542" width="10.5703125" bestFit="1" customWidth="1"/>
    <col min="9543" max="9543" width="10.42578125" bestFit="1" customWidth="1"/>
    <col min="9544" max="9544" width="10.5703125" bestFit="1" customWidth="1"/>
    <col min="9545" max="9545" width="9.5703125" bestFit="1" customWidth="1"/>
    <col min="9546" max="9546" width="11.5703125" bestFit="1" customWidth="1"/>
    <col min="9547" max="9547" width="10.42578125" bestFit="1" customWidth="1"/>
    <col min="9548" max="9548" width="10.85546875" customWidth="1"/>
    <col min="9549" max="9550" width="9.85546875" bestFit="1" customWidth="1"/>
    <col min="9551" max="9551" width="13.5703125" bestFit="1" customWidth="1"/>
    <col min="9552" max="9552" width="7.7109375" bestFit="1" customWidth="1"/>
    <col min="9553" max="9553" width="13.28515625" bestFit="1" customWidth="1"/>
    <col min="9554" max="9554" width="11.5703125" bestFit="1" customWidth="1"/>
    <col min="9555" max="9555" width="10.42578125" bestFit="1" customWidth="1"/>
    <col min="9556" max="9556" width="7.7109375" bestFit="1" customWidth="1"/>
    <col min="9557" max="9557" width="11.5703125" bestFit="1" customWidth="1"/>
    <col min="9558" max="9558" width="10.85546875" bestFit="1" customWidth="1"/>
    <col min="9559" max="9559" width="13.28515625" bestFit="1" customWidth="1"/>
    <col min="9560" max="9560" width="10.85546875" bestFit="1" customWidth="1"/>
    <col min="9561" max="9562" width="7.5703125" bestFit="1" customWidth="1"/>
    <col min="9563" max="9564" width="10.42578125" bestFit="1" customWidth="1"/>
    <col min="9565" max="9565" width="11.5703125" bestFit="1" customWidth="1"/>
    <col min="9566" max="9566" width="5.28515625" bestFit="1" customWidth="1"/>
    <col min="9567" max="9567" width="10.28515625" bestFit="1" customWidth="1"/>
    <col min="9568" max="9568" width="10.42578125" bestFit="1" customWidth="1"/>
    <col min="9569" max="9569" width="11.5703125" bestFit="1" customWidth="1"/>
    <col min="9570" max="9570" width="5.28515625" bestFit="1" customWidth="1"/>
    <col min="9571" max="9573" width="11.5703125" bestFit="1" customWidth="1"/>
    <col min="9574" max="9574" width="5.28515625" bestFit="1" customWidth="1"/>
    <col min="9575" max="9576" width="10.42578125" bestFit="1" customWidth="1"/>
    <col min="9577" max="9577" width="11.5703125" bestFit="1" customWidth="1"/>
    <col min="9578" max="9578" width="5.28515625" bestFit="1" customWidth="1"/>
    <col min="9579" max="9579" width="14.28515625" bestFit="1" customWidth="1"/>
    <col min="9580" max="9580" width="13" bestFit="1" customWidth="1"/>
    <col min="9581" max="9581" width="11.5703125" bestFit="1" customWidth="1"/>
    <col min="9582" max="9582" width="8.85546875" bestFit="1" customWidth="1"/>
    <col min="9583" max="9583" width="14.42578125" bestFit="1" customWidth="1"/>
    <col min="9584" max="9584" width="10.42578125" bestFit="1" customWidth="1"/>
    <col min="9585" max="9585" width="12.28515625" bestFit="1" customWidth="1"/>
    <col min="9586" max="9586" width="13.85546875" bestFit="1" customWidth="1"/>
    <col min="9587" max="9587" width="11.28515625" customWidth="1"/>
    <col min="9588" max="9588" width="11.5703125" customWidth="1"/>
    <col min="9589" max="9589" width="13.42578125" bestFit="1" customWidth="1"/>
    <col min="9590" max="9590" width="10.42578125" customWidth="1"/>
    <col min="9591" max="9591" width="13.85546875" bestFit="1" customWidth="1"/>
    <col min="9592" max="9592" width="15.42578125" bestFit="1" customWidth="1"/>
    <col min="9593" max="9593" width="12.28515625" bestFit="1" customWidth="1"/>
    <col min="9594" max="9594" width="12.7109375" customWidth="1"/>
    <col min="9595" max="9595" width="10.7109375" bestFit="1" customWidth="1"/>
    <col min="9596" max="9596" width="9.85546875" customWidth="1"/>
    <col min="9597" max="9598" width="10.140625" bestFit="1" customWidth="1"/>
    <col min="9599" max="9599" width="7.5703125" bestFit="1" customWidth="1"/>
    <col min="9600" max="9600" width="9.42578125" bestFit="1" customWidth="1"/>
    <col min="9601" max="9601" width="14.5703125" bestFit="1" customWidth="1"/>
    <col min="9602" max="9602" width="14.85546875" customWidth="1"/>
    <col min="9603" max="9603" width="15.140625" bestFit="1" customWidth="1"/>
    <col min="9604" max="9604" width="12.140625" bestFit="1" customWidth="1"/>
    <col min="9605" max="9605" width="14.85546875" bestFit="1" customWidth="1"/>
    <col min="9606" max="9606" width="12.28515625" bestFit="1" customWidth="1"/>
    <col min="9607" max="9615" width="9.140625" hidden="1" customWidth="1"/>
    <col min="9616" max="9616" width="5.28515625" bestFit="1" customWidth="1"/>
    <col min="9617" max="9622" width="11.5703125" bestFit="1" customWidth="1"/>
    <col min="9623" max="9623" width="11.28515625" bestFit="1" customWidth="1"/>
    <col min="9624" max="9624" width="10.140625" bestFit="1" customWidth="1"/>
    <col min="9625" max="9625" width="11.5703125" bestFit="1" customWidth="1"/>
    <col min="9626" max="9626" width="16.140625" customWidth="1"/>
    <col min="9627" max="9627" width="13.42578125" customWidth="1"/>
    <col min="9628" max="9628" width="10.140625" bestFit="1" customWidth="1"/>
    <col min="9629" max="9629" width="12.85546875" bestFit="1" customWidth="1"/>
    <col min="9630" max="9630" width="12.28515625" bestFit="1" customWidth="1"/>
    <col min="9631" max="9631" width="11.28515625" bestFit="1" customWidth="1"/>
    <col min="9632" max="9632" width="11.5703125" bestFit="1" customWidth="1"/>
    <col min="9633" max="9633" width="10.85546875" bestFit="1" customWidth="1"/>
    <col min="9634" max="9634" width="11.28515625" bestFit="1" customWidth="1"/>
    <col min="9635" max="9635" width="10.140625" bestFit="1" customWidth="1"/>
    <col min="9636" max="9636" width="13.28515625" bestFit="1" customWidth="1"/>
    <col min="9637" max="9638" width="12.7109375" bestFit="1" customWidth="1"/>
    <col min="9639" max="9639" width="11" bestFit="1" customWidth="1"/>
    <col min="9640" max="9640" width="11.28515625" bestFit="1" customWidth="1"/>
    <col min="9641" max="9641" width="11.5703125" bestFit="1" customWidth="1"/>
    <col min="9642" max="9642" width="12.28515625" bestFit="1" customWidth="1"/>
    <col min="9643" max="9643" width="15.140625" bestFit="1" customWidth="1"/>
    <col min="9644" max="9644" width="14.42578125" bestFit="1" customWidth="1"/>
    <col min="9645" max="9645" width="12.28515625" bestFit="1" customWidth="1"/>
    <col min="9646" max="9646" width="15.140625" bestFit="1" customWidth="1"/>
    <col min="9647" max="9647" width="14.42578125" bestFit="1" customWidth="1"/>
    <col min="9648" max="9648" width="12.28515625" bestFit="1" customWidth="1"/>
    <col min="9649" max="9649" width="14.42578125" bestFit="1" customWidth="1"/>
    <col min="9650" max="9650" width="11.28515625" bestFit="1" customWidth="1"/>
    <col min="9651" max="9651" width="12.28515625" bestFit="1" customWidth="1"/>
    <col min="9652" max="9652" width="13" bestFit="1" customWidth="1"/>
    <col min="9653" max="9653" width="15.140625" bestFit="1" customWidth="1"/>
    <col min="9654" max="9654" width="12.28515625" bestFit="1" customWidth="1"/>
    <col min="9655" max="9655" width="13.85546875" bestFit="1" customWidth="1"/>
    <col min="9656" max="9656" width="11.28515625" bestFit="1" customWidth="1"/>
    <col min="9657" max="9657" width="12.28515625" bestFit="1" customWidth="1"/>
    <col min="9658" max="9658" width="13.85546875" bestFit="1" customWidth="1"/>
    <col min="9659" max="9660" width="15.140625" bestFit="1" customWidth="1"/>
    <col min="9661" max="9661" width="12.28515625" bestFit="1" customWidth="1"/>
    <col min="9662" max="9662" width="5.7109375" bestFit="1" customWidth="1"/>
    <col min="9663" max="9663" width="8.5703125" bestFit="1" customWidth="1"/>
    <col min="9664" max="9664" width="5.5703125" bestFit="1" customWidth="1"/>
    <col min="9665" max="9665" width="14.42578125" bestFit="1" customWidth="1"/>
    <col min="9666" max="9666" width="11.28515625" bestFit="1" customWidth="1"/>
    <col min="9667" max="9668" width="12.28515625" bestFit="1" customWidth="1"/>
    <col min="9669" max="9669" width="11.28515625" bestFit="1" customWidth="1"/>
    <col min="9670" max="9670" width="13.85546875" bestFit="1" customWidth="1"/>
    <col min="9671" max="9671" width="12" bestFit="1" customWidth="1"/>
    <col min="9672" max="9672" width="13.85546875" bestFit="1" customWidth="1"/>
    <col min="9673" max="9674" width="14.42578125" customWidth="1"/>
    <col min="9675" max="9675" width="10.140625" bestFit="1" customWidth="1"/>
    <col min="9676" max="9676" width="12.28515625" bestFit="1" customWidth="1"/>
    <col min="9677" max="9677" width="7.42578125" bestFit="1" customWidth="1"/>
    <col min="9678" max="9678" width="8.5703125" bestFit="1" customWidth="1"/>
    <col min="9679" max="9679" width="11.5703125" bestFit="1" customWidth="1"/>
    <col min="9680" max="9680" width="13.28515625" bestFit="1" customWidth="1"/>
    <col min="9681" max="9681" width="13.28515625" customWidth="1"/>
    <col min="9682" max="9682" width="13.140625" customWidth="1"/>
    <col min="9683" max="9683" width="12.7109375" bestFit="1" customWidth="1"/>
    <col min="9684" max="9684" width="13.28515625" bestFit="1" customWidth="1"/>
    <col min="9685" max="9687" width="13.28515625" customWidth="1"/>
    <col min="9688" max="9688" width="12.140625" bestFit="1" customWidth="1"/>
    <col min="9689" max="9689" width="12.7109375" bestFit="1" customWidth="1"/>
    <col min="9690" max="9690" width="11" customWidth="1"/>
    <col min="9691" max="9691" width="16.7109375" customWidth="1"/>
    <col min="9692" max="9692" width="17" customWidth="1"/>
    <col min="9693" max="9693" width="10.42578125" bestFit="1" customWidth="1"/>
    <col min="9737" max="9737" width="3.85546875" customWidth="1"/>
    <col min="9738" max="9738" width="15.28515625" bestFit="1" customWidth="1"/>
    <col min="9739" max="9739" width="12.28515625" customWidth="1"/>
    <col min="9740" max="9740" width="16.28515625" bestFit="1" customWidth="1"/>
    <col min="9741" max="9741" width="6.42578125" bestFit="1" customWidth="1"/>
    <col min="9742" max="9742" width="9.28515625" bestFit="1" customWidth="1"/>
    <col min="9743" max="9743" width="7.5703125" bestFit="1" customWidth="1"/>
    <col min="9744" max="9744" width="13.28515625" bestFit="1" customWidth="1"/>
    <col min="9745" max="9745" width="9.28515625" bestFit="1" customWidth="1"/>
    <col min="9746" max="9746" width="11.5703125" bestFit="1" customWidth="1"/>
    <col min="9747" max="9747" width="13.28515625" bestFit="1" customWidth="1"/>
    <col min="9748" max="9748" width="7.140625" bestFit="1" customWidth="1"/>
    <col min="9749" max="9749" width="12" bestFit="1" customWidth="1"/>
    <col min="9750" max="9750" width="13.28515625" bestFit="1" customWidth="1"/>
    <col min="9751" max="9751" width="7" bestFit="1" customWidth="1"/>
    <col min="9752" max="9752" width="12.7109375" bestFit="1" customWidth="1"/>
    <col min="9753" max="9753" width="11.5703125" bestFit="1" customWidth="1"/>
    <col min="9754" max="9754" width="10.5703125" bestFit="1" customWidth="1"/>
    <col min="9755" max="9756" width="15.7109375" bestFit="1" customWidth="1"/>
    <col min="9757" max="9757" width="11.5703125" bestFit="1" customWidth="1"/>
    <col min="9758" max="9758" width="7.7109375" bestFit="1" customWidth="1"/>
    <col min="9759" max="9759" width="15.140625" bestFit="1" customWidth="1"/>
    <col min="9760" max="9760" width="11.5703125" bestFit="1" customWidth="1"/>
    <col min="9761" max="9761" width="13.28515625" bestFit="1" customWidth="1"/>
    <col min="9762" max="9762" width="10.42578125" bestFit="1" customWidth="1"/>
    <col min="9763" max="9763" width="13.28515625" bestFit="1" customWidth="1"/>
    <col min="9764" max="9764" width="12.140625" bestFit="1" customWidth="1"/>
    <col min="9765" max="9765" width="14.42578125" bestFit="1" customWidth="1"/>
    <col min="9766" max="9766" width="13.28515625" bestFit="1" customWidth="1"/>
    <col min="9767" max="9767" width="11.5703125" bestFit="1" customWidth="1"/>
    <col min="9768" max="9768" width="7.7109375" bestFit="1" customWidth="1"/>
    <col min="9769" max="9770" width="14.42578125" bestFit="1" customWidth="1"/>
    <col min="9771" max="9771" width="11.5703125" bestFit="1" customWidth="1"/>
    <col min="9772" max="9772" width="7.7109375" bestFit="1" customWidth="1"/>
    <col min="9773" max="9773" width="13.5703125" customWidth="1"/>
    <col min="9774" max="9774" width="15.28515625" customWidth="1"/>
    <col min="9775" max="9775" width="14.5703125" customWidth="1"/>
    <col min="9776" max="9776" width="13.28515625" bestFit="1" customWidth="1"/>
    <col min="9777" max="9777" width="7.7109375" bestFit="1" customWidth="1"/>
    <col min="9778" max="9778" width="12.7109375" bestFit="1" customWidth="1"/>
    <col min="9779" max="9779" width="11.7109375" bestFit="1" customWidth="1"/>
    <col min="9780" max="9780" width="11.5703125" bestFit="1" customWidth="1"/>
    <col min="9781" max="9781" width="5.28515625" bestFit="1" customWidth="1"/>
    <col min="9782" max="9782" width="13.28515625" bestFit="1" customWidth="1"/>
    <col min="9783" max="9783" width="13.5703125" bestFit="1" customWidth="1"/>
    <col min="9784" max="9784" width="10.5703125" bestFit="1" customWidth="1"/>
    <col min="9785" max="9785" width="13.28515625" bestFit="1" customWidth="1"/>
    <col min="9786" max="9786" width="11.5703125" bestFit="1" customWidth="1"/>
    <col min="9787" max="9787" width="10.5703125" bestFit="1" customWidth="1"/>
    <col min="9788" max="9788" width="16.140625" bestFit="1" customWidth="1"/>
    <col min="9789" max="9790" width="11.28515625" bestFit="1" customWidth="1"/>
    <col min="9791" max="9791" width="13.28515625" bestFit="1" customWidth="1"/>
    <col min="9792" max="9792" width="7.7109375" bestFit="1" customWidth="1"/>
    <col min="9793" max="9796" width="9.140625" hidden="1" customWidth="1"/>
    <col min="9797" max="9797" width="10.42578125" bestFit="1" customWidth="1"/>
    <col min="9798" max="9798" width="10.5703125" bestFit="1" customWidth="1"/>
    <col min="9799" max="9799" width="10.42578125" bestFit="1" customWidth="1"/>
    <col min="9800" max="9800" width="10.5703125" bestFit="1" customWidth="1"/>
    <col min="9801" max="9801" width="9.5703125" bestFit="1" customWidth="1"/>
    <col min="9802" max="9802" width="11.5703125" bestFit="1" customWidth="1"/>
    <col min="9803" max="9803" width="10.42578125" bestFit="1" customWidth="1"/>
    <col min="9804" max="9804" width="10.85546875" customWidth="1"/>
    <col min="9805" max="9806" width="9.85546875" bestFit="1" customWidth="1"/>
    <col min="9807" max="9807" width="13.5703125" bestFit="1" customWidth="1"/>
    <col min="9808" max="9808" width="7.7109375" bestFit="1" customWidth="1"/>
    <col min="9809" max="9809" width="13.28515625" bestFit="1" customWidth="1"/>
    <col min="9810" max="9810" width="11.5703125" bestFit="1" customWidth="1"/>
    <col min="9811" max="9811" width="10.42578125" bestFit="1" customWidth="1"/>
    <col min="9812" max="9812" width="7.7109375" bestFit="1" customWidth="1"/>
    <col min="9813" max="9813" width="11.5703125" bestFit="1" customWidth="1"/>
    <col min="9814" max="9814" width="10.85546875" bestFit="1" customWidth="1"/>
    <col min="9815" max="9815" width="13.28515625" bestFit="1" customWidth="1"/>
    <col min="9816" max="9816" width="10.85546875" bestFit="1" customWidth="1"/>
    <col min="9817" max="9818" width="7.5703125" bestFit="1" customWidth="1"/>
    <col min="9819" max="9820" width="10.42578125" bestFit="1" customWidth="1"/>
    <col min="9821" max="9821" width="11.5703125" bestFit="1" customWidth="1"/>
    <col min="9822" max="9822" width="5.28515625" bestFit="1" customWidth="1"/>
    <col min="9823" max="9823" width="10.28515625" bestFit="1" customWidth="1"/>
    <col min="9824" max="9824" width="10.42578125" bestFit="1" customWidth="1"/>
    <col min="9825" max="9825" width="11.5703125" bestFit="1" customWidth="1"/>
    <col min="9826" max="9826" width="5.28515625" bestFit="1" customWidth="1"/>
    <col min="9827" max="9829" width="11.5703125" bestFit="1" customWidth="1"/>
    <col min="9830" max="9830" width="5.28515625" bestFit="1" customWidth="1"/>
    <col min="9831" max="9832" width="10.42578125" bestFit="1" customWidth="1"/>
    <col min="9833" max="9833" width="11.5703125" bestFit="1" customWidth="1"/>
    <col min="9834" max="9834" width="5.28515625" bestFit="1" customWidth="1"/>
    <col min="9835" max="9835" width="14.28515625" bestFit="1" customWidth="1"/>
    <col min="9836" max="9836" width="13" bestFit="1" customWidth="1"/>
    <col min="9837" max="9837" width="11.5703125" bestFit="1" customWidth="1"/>
    <col min="9838" max="9838" width="8.85546875" bestFit="1" customWidth="1"/>
    <col min="9839" max="9839" width="14.42578125" bestFit="1" customWidth="1"/>
    <col min="9840" max="9840" width="10.42578125" bestFit="1" customWidth="1"/>
    <col min="9841" max="9841" width="12.28515625" bestFit="1" customWidth="1"/>
    <col min="9842" max="9842" width="13.85546875" bestFit="1" customWidth="1"/>
    <col min="9843" max="9843" width="11.28515625" customWidth="1"/>
    <col min="9844" max="9844" width="11.5703125" customWidth="1"/>
    <col min="9845" max="9845" width="13.42578125" bestFit="1" customWidth="1"/>
    <col min="9846" max="9846" width="10.42578125" customWidth="1"/>
    <col min="9847" max="9847" width="13.85546875" bestFit="1" customWidth="1"/>
    <col min="9848" max="9848" width="15.42578125" bestFit="1" customWidth="1"/>
    <col min="9849" max="9849" width="12.28515625" bestFit="1" customWidth="1"/>
    <col min="9850" max="9850" width="12.7109375" customWidth="1"/>
    <col min="9851" max="9851" width="10.7109375" bestFit="1" customWidth="1"/>
    <col min="9852" max="9852" width="9.85546875" customWidth="1"/>
    <col min="9853" max="9854" width="10.140625" bestFit="1" customWidth="1"/>
    <col min="9855" max="9855" width="7.5703125" bestFit="1" customWidth="1"/>
    <col min="9856" max="9856" width="9.42578125" bestFit="1" customWidth="1"/>
    <col min="9857" max="9857" width="14.5703125" bestFit="1" customWidth="1"/>
    <col min="9858" max="9858" width="14.85546875" customWidth="1"/>
    <col min="9859" max="9859" width="15.140625" bestFit="1" customWidth="1"/>
    <col min="9860" max="9860" width="12.140625" bestFit="1" customWidth="1"/>
    <col min="9861" max="9861" width="14.85546875" bestFit="1" customWidth="1"/>
    <col min="9862" max="9862" width="12.28515625" bestFit="1" customWidth="1"/>
    <col min="9863" max="9871" width="9.140625" hidden="1" customWidth="1"/>
    <col min="9872" max="9872" width="5.28515625" bestFit="1" customWidth="1"/>
    <col min="9873" max="9878" width="11.5703125" bestFit="1" customWidth="1"/>
    <col min="9879" max="9879" width="11.28515625" bestFit="1" customWidth="1"/>
    <col min="9880" max="9880" width="10.140625" bestFit="1" customWidth="1"/>
    <col min="9881" max="9881" width="11.5703125" bestFit="1" customWidth="1"/>
    <col min="9882" max="9882" width="16.140625" customWidth="1"/>
    <col min="9883" max="9883" width="13.42578125" customWidth="1"/>
    <col min="9884" max="9884" width="10.140625" bestFit="1" customWidth="1"/>
    <col min="9885" max="9885" width="12.85546875" bestFit="1" customWidth="1"/>
    <col min="9886" max="9886" width="12.28515625" bestFit="1" customWidth="1"/>
    <col min="9887" max="9887" width="11.28515625" bestFit="1" customWidth="1"/>
    <col min="9888" max="9888" width="11.5703125" bestFit="1" customWidth="1"/>
    <col min="9889" max="9889" width="10.85546875" bestFit="1" customWidth="1"/>
    <col min="9890" max="9890" width="11.28515625" bestFit="1" customWidth="1"/>
    <col min="9891" max="9891" width="10.140625" bestFit="1" customWidth="1"/>
    <col min="9892" max="9892" width="13.28515625" bestFit="1" customWidth="1"/>
    <col min="9893" max="9894" width="12.7109375" bestFit="1" customWidth="1"/>
    <col min="9895" max="9895" width="11" bestFit="1" customWidth="1"/>
    <col min="9896" max="9896" width="11.28515625" bestFit="1" customWidth="1"/>
    <col min="9897" max="9897" width="11.5703125" bestFit="1" customWidth="1"/>
    <col min="9898" max="9898" width="12.28515625" bestFit="1" customWidth="1"/>
    <col min="9899" max="9899" width="15.140625" bestFit="1" customWidth="1"/>
    <col min="9900" max="9900" width="14.42578125" bestFit="1" customWidth="1"/>
    <col min="9901" max="9901" width="12.28515625" bestFit="1" customWidth="1"/>
    <col min="9902" max="9902" width="15.140625" bestFit="1" customWidth="1"/>
    <col min="9903" max="9903" width="14.42578125" bestFit="1" customWidth="1"/>
    <col min="9904" max="9904" width="12.28515625" bestFit="1" customWidth="1"/>
    <col min="9905" max="9905" width="14.42578125" bestFit="1" customWidth="1"/>
    <col min="9906" max="9906" width="11.28515625" bestFit="1" customWidth="1"/>
    <col min="9907" max="9907" width="12.28515625" bestFit="1" customWidth="1"/>
    <col min="9908" max="9908" width="13" bestFit="1" customWidth="1"/>
    <col min="9909" max="9909" width="15.140625" bestFit="1" customWidth="1"/>
    <col min="9910" max="9910" width="12.28515625" bestFit="1" customWidth="1"/>
    <col min="9911" max="9911" width="13.85546875" bestFit="1" customWidth="1"/>
    <col min="9912" max="9912" width="11.28515625" bestFit="1" customWidth="1"/>
    <col min="9913" max="9913" width="12.28515625" bestFit="1" customWidth="1"/>
    <col min="9914" max="9914" width="13.85546875" bestFit="1" customWidth="1"/>
    <col min="9915" max="9916" width="15.140625" bestFit="1" customWidth="1"/>
    <col min="9917" max="9917" width="12.28515625" bestFit="1" customWidth="1"/>
    <col min="9918" max="9918" width="5.7109375" bestFit="1" customWidth="1"/>
    <col min="9919" max="9919" width="8.5703125" bestFit="1" customWidth="1"/>
    <col min="9920" max="9920" width="5.5703125" bestFit="1" customWidth="1"/>
    <col min="9921" max="9921" width="14.42578125" bestFit="1" customWidth="1"/>
    <col min="9922" max="9922" width="11.28515625" bestFit="1" customWidth="1"/>
    <col min="9923" max="9924" width="12.28515625" bestFit="1" customWidth="1"/>
    <col min="9925" max="9925" width="11.28515625" bestFit="1" customWidth="1"/>
    <col min="9926" max="9926" width="13.85546875" bestFit="1" customWidth="1"/>
    <col min="9927" max="9927" width="12" bestFit="1" customWidth="1"/>
    <col min="9928" max="9928" width="13.85546875" bestFit="1" customWidth="1"/>
    <col min="9929" max="9930" width="14.42578125" customWidth="1"/>
    <col min="9931" max="9931" width="10.140625" bestFit="1" customWidth="1"/>
    <col min="9932" max="9932" width="12.28515625" bestFit="1" customWidth="1"/>
    <col min="9933" max="9933" width="7.42578125" bestFit="1" customWidth="1"/>
    <col min="9934" max="9934" width="8.5703125" bestFit="1" customWidth="1"/>
    <col min="9935" max="9935" width="11.5703125" bestFit="1" customWidth="1"/>
    <col min="9936" max="9936" width="13.28515625" bestFit="1" customWidth="1"/>
    <col min="9937" max="9937" width="13.28515625" customWidth="1"/>
    <col min="9938" max="9938" width="13.140625" customWidth="1"/>
    <col min="9939" max="9939" width="12.7109375" bestFit="1" customWidth="1"/>
    <col min="9940" max="9940" width="13.28515625" bestFit="1" customWidth="1"/>
    <col min="9941" max="9943" width="13.28515625" customWidth="1"/>
    <col min="9944" max="9944" width="12.140625" bestFit="1" customWidth="1"/>
    <col min="9945" max="9945" width="12.7109375" bestFit="1" customWidth="1"/>
    <col min="9946" max="9946" width="11" customWidth="1"/>
    <col min="9947" max="9947" width="16.7109375" customWidth="1"/>
    <col min="9948" max="9948" width="17" customWidth="1"/>
    <col min="9949" max="9949" width="10.42578125" bestFit="1" customWidth="1"/>
    <col min="9993" max="9993" width="3.85546875" customWidth="1"/>
    <col min="9994" max="9994" width="15.28515625" bestFit="1" customWidth="1"/>
    <col min="9995" max="9995" width="12.28515625" customWidth="1"/>
    <col min="9996" max="9996" width="16.28515625" bestFit="1" customWidth="1"/>
    <col min="9997" max="9997" width="6.42578125" bestFit="1" customWidth="1"/>
    <col min="9998" max="9998" width="9.28515625" bestFit="1" customWidth="1"/>
    <col min="9999" max="9999" width="7.5703125" bestFit="1" customWidth="1"/>
    <col min="10000" max="10000" width="13.28515625" bestFit="1" customWidth="1"/>
    <col min="10001" max="10001" width="9.28515625" bestFit="1" customWidth="1"/>
    <col min="10002" max="10002" width="11.5703125" bestFit="1" customWidth="1"/>
    <col min="10003" max="10003" width="13.28515625" bestFit="1" customWidth="1"/>
    <col min="10004" max="10004" width="7.140625" bestFit="1" customWidth="1"/>
    <col min="10005" max="10005" width="12" bestFit="1" customWidth="1"/>
    <col min="10006" max="10006" width="13.28515625" bestFit="1" customWidth="1"/>
    <col min="10007" max="10007" width="7" bestFit="1" customWidth="1"/>
    <col min="10008" max="10008" width="12.7109375" bestFit="1" customWidth="1"/>
    <col min="10009" max="10009" width="11.5703125" bestFit="1" customWidth="1"/>
    <col min="10010" max="10010" width="10.5703125" bestFit="1" customWidth="1"/>
    <col min="10011" max="10012" width="15.7109375" bestFit="1" customWidth="1"/>
    <col min="10013" max="10013" width="11.5703125" bestFit="1" customWidth="1"/>
    <col min="10014" max="10014" width="7.7109375" bestFit="1" customWidth="1"/>
    <col min="10015" max="10015" width="15.140625" bestFit="1" customWidth="1"/>
    <col min="10016" max="10016" width="11.5703125" bestFit="1" customWidth="1"/>
    <col min="10017" max="10017" width="13.28515625" bestFit="1" customWidth="1"/>
    <col min="10018" max="10018" width="10.42578125" bestFit="1" customWidth="1"/>
    <col min="10019" max="10019" width="13.28515625" bestFit="1" customWidth="1"/>
    <col min="10020" max="10020" width="12.140625" bestFit="1" customWidth="1"/>
    <col min="10021" max="10021" width="14.42578125" bestFit="1" customWidth="1"/>
    <col min="10022" max="10022" width="13.28515625" bestFit="1" customWidth="1"/>
    <col min="10023" max="10023" width="11.5703125" bestFit="1" customWidth="1"/>
    <col min="10024" max="10024" width="7.7109375" bestFit="1" customWidth="1"/>
    <col min="10025" max="10026" width="14.42578125" bestFit="1" customWidth="1"/>
    <col min="10027" max="10027" width="11.5703125" bestFit="1" customWidth="1"/>
    <col min="10028" max="10028" width="7.7109375" bestFit="1" customWidth="1"/>
    <col min="10029" max="10029" width="13.5703125" customWidth="1"/>
    <col min="10030" max="10030" width="15.28515625" customWidth="1"/>
    <col min="10031" max="10031" width="14.5703125" customWidth="1"/>
    <col min="10032" max="10032" width="13.28515625" bestFit="1" customWidth="1"/>
    <col min="10033" max="10033" width="7.7109375" bestFit="1" customWidth="1"/>
    <col min="10034" max="10034" width="12.7109375" bestFit="1" customWidth="1"/>
    <col min="10035" max="10035" width="11.7109375" bestFit="1" customWidth="1"/>
    <col min="10036" max="10036" width="11.5703125" bestFit="1" customWidth="1"/>
    <col min="10037" max="10037" width="5.28515625" bestFit="1" customWidth="1"/>
    <col min="10038" max="10038" width="13.28515625" bestFit="1" customWidth="1"/>
    <col min="10039" max="10039" width="13.5703125" bestFit="1" customWidth="1"/>
    <col min="10040" max="10040" width="10.5703125" bestFit="1" customWidth="1"/>
    <col min="10041" max="10041" width="13.28515625" bestFit="1" customWidth="1"/>
    <col min="10042" max="10042" width="11.5703125" bestFit="1" customWidth="1"/>
    <col min="10043" max="10043" width="10.5703125" bestFit="1" customWidth="1"/>
    <col min="10044" max="10044" width="16.140625" bestFit="1" customWidth="1"/>
    <col min="10045" max="10046" width="11.28515625" bestFit="1" customWidth="1"/>
    <col min="10047" max="10047" width="13.28515625" bestFit="1" customWidth="1"/>
    <col min="10048" max="10048" width="7.7109375" bestFit="1" customWidth="1"/>
    <col min="10049" max="10052" width="9.140625" hidden="1" customWidth="1"/>
    <col min="10053" max="10053" width="10.42578125" bestFit="1" customWidth="1"/>
    <col min="10054" max="10054" width="10.5703125" bestFit="1" customWidth="1"/>
    <col min="10055" max="10055" width="10.42578125" bestFit="1" customWidth="1"/>
    <col min="10056" max="10056" width="10.5703125" bestFit="1" customWidth="1"/>
    <col min="10057" max="10057" width="9.5703125" bestFit="1" customWidth="1"/>
    <col min="10058" max="10058" width="11.5703125" bestFit="1" customWidth="1"/>
    <col min="10059" max="10059" width="10.42578125" bestFit="1" customWidth="1"/>
    <col min="10060" max="10060" width="10.85546875" customWidth="1"/>
    <col min="10061" max="10062" width="9.85546875" bestFit="1" customWidth="1"/>
    <col min="10063" max="10063" width="13.5703125" bestFit="1" customWidth="1"/>
    <col min="10064" max="10064" width="7.7109375" bestFit="1" customWidth="1"/>
    <col min="10065" max="10065" width="13.28515625" bestFit="1" customWidth="1"/>
    <col min="10066" max="10066" width="11.5703125" bestFit="1" customWidth="1"/>
    <col min="10067" max="10067" width="10.42578125" bestFit="1" customWidth="1"/>
    <col min="10068" max="10068" width="7.7109375" bestFit="1" customWidth="1"/>
    <col min="10069" max="10069" width="11.5703125" bestFit="1" customWidth="1"/>
    <col min="10070" max="10070" width="10.85546875" bestFit="1" customWidth="1"/>
    <col min="10071" max="10071" width="13.28515625" bestFit="1" customWidth="1"/>
    <col min="10072" max="10072" width="10.85546875" bestFit="1" customWidth="1"/>
    <col min="10073" max="10074" width="7.5703125" bestFit="1" customWidth="1"/>
    <col min="10075" max="10076" width="10.42578125" bestFit="1" customWidth="1"/>
    <col min="10077" max="10077" width="11.5703125" bestFit="1" customWidth="1"/>
    <col min="10078" max="10078" width="5.28515625" bestFit="1" customWidth="1"/>
    <col min="10079" max="10079" width="10.28515625" bestFit="1" customWidth="1"/>
    <col min="10080" max="10080" width="10.42578125" bestFit="1" customWidth="1"/>
    <col min="10081" max="10081" width="11.5703125" bestFit="1" customWidth="1"/>
    <col min="10082" max="10082" width="5.28515625" bestFit="1" customWidth="1"/>
    <col min="10083" max="10085" width="11.5703125" bestFit="1" customWidth="1"/>
    <col min="10086" max="10086" width="5.28515625" bestFit="1" customWidth="1"/>
    <col min="10087" max="10088" width="10.42578125" bestFit="1" customWidth="1"/>
    <col min="10089" max="10089" width="11.5703125" bestFit="1" customWidth="1"/>
    <col min="10090" max="10090" width="5.28515625" bestFit="1" customWidth="1"/>
    <col min="10091" max="10091" width="14.28515625" bestFit="1" customWidth="1"/>
    <col min="10092" max="10092" width="13" bestFit="1" customWidth="1"/>
    <col min="10093" max="10093" width="11.5703125" bestFit="1" customWidth="1"/>
    <col min="10094" max="10094" width="8.85546875" bestFit="1" customWidth="1"/>
    <col min="10095" max="10095" width="14.42578125" bestFit="1" customWidth="1"/>
    <col min="10096" max="10096" width="10.42578125" bestFit="1" customWidth="1"/>
    <col min="10097" max="10097" width="12.28515625" bestFit="1" customWidth="1"/>
    <col min="10098" max="10098" width="13.85546875" bestFit="1" customWidth="1"/>
    <col min="10099" max="10099" width="11.28515625" customWidth="1"/>
    <col min="10100" max="10100" width="11.5703125" customWidth="1"/>
    <col min="10101" max="10101" width="13.42578125" bestFit="1" customWidth="1"/>
    <col min="10102" max="10102" width="10.42578125" customWidth="1"/>
    <col min="10103" max="10103" width="13.85546875" bestFit="1" customWidth="1"/>
    <col min="10104" max="10104" width="15.42578125" bestFit="1" customWidth="1"/>
    <col min="10105" max="10105" width="12.28515625" bestFit="1" customWidth="1"/>
    <col min="10106" max="10106" width="12.7109375" customWidth="1"/>
    <col min="10107" max="10107" width="10.7109375" bestFit="1" customWidth="1"/>
    <col min="10108" max="10108" width="9.85546875" customWidth="1"/>
    <col min="10109" max="10110" width="10.140625" bestFit="1" customWidth="1"/>
    <col min="10111" max="10111" width="7.5703125" bestFit="1" customWidth="1"/>
    <col min="10112" max="10112" width="9.42578125" bestFit="1" customWidth="1"/>
    <col min="10113" max="10113" width="14.5703125" bestFit="1" customWidth="1"/>
    <col min="10114" max="10114" width="14.85546875" customWidth="1"/>
    <col min="10115" max="10115" width="15.140625" bestFit="1" customWidth="1"/>
    <col min="10116" max="10116" width="12.140625" bestFit="1" customWidth="1"/>
    <col min="10117" max="10117" width="14.85546875" bestFit="1" customWidth="1"/>
    <col min="10118" max="10118" width="12.28515625" bestFit="1" customWidth="1"/>
    <col min="10119" max="10127" width="9.140625" hidden="1" customWidth="1"/>
    <col min="10128" max="10128" width="5.28515625" bestFit="1" customWidth="1"/>
    <col min="10129" max="10134" width="11.5703125" bestFit="1" customWidth="1"/>
    <col min="10135" max="10135" width="11.28515625" bestFit="1" customWidth="1"/>
    <col min="10136" max="10136" width="10.140625" bestFit="1" customWidth="1"/>
    <col min="10137" max="10137" width="11.5703125" bestFit="1" customWidth="1"/>
    <col min="10138" max="10138" width="16.140625" customWidth="1"/>
    <col min="10139" max="10139" width="13.42578125" customWidth="1"/>
    <col min="10140" max="10140" width="10.140625" bestFit="1" customWidth="1"/>
    <col min="10141" max="10141" width="12.85546875" bestFit="1" customWidth="1"/>
    <col min="10142" max="10142" width="12.28515625" bestFit="1" customWidth="1"/>
    <col min="10143" max="10143" width="11.28515625" bestFit="1" customWidth="1"/>
    <col min="10144" max="10144" width="11.5703125" bestFit="1" customWidth="1"/>
    <col min="10145" max="10145" width="10.85546875" bestFit="1" customWidth="1"/>
    <col min="10146" max="10146" width="11.28515625" bestFit="1" customWidth="1"/>
    <col min="10147" max="10147" width="10.140625" bestFit="1" customWidth="1"/>
    <col min="10148" max="10148" width="13.28515625" bestFit="1" customWidth="1"/>
    <col min="10149" max="10150" width="12.7109375" bestFit="1" customWidth="1"/>
    <col min="10151" max="10151" width="11" bestFit="1" customWidth="1"/>
    <col min="10152" max="10152" width="11.28515625" bestFit="1" customWidth="1"/>
    <col min="10153" max="10153" width="11.5703125" bestFit="1" customWidth="1"/>
    <col min="10154" max="10154" width="12.28515625" bestFit="1" customWidth="1"/>
    <col min="10155" max="10155" width="15.140625" bestFit="1" customWidth="1"/>
    <col min="10156" max="10156" width="14.42578125" bestFit="1" customWidth="1"/>
    <col min="10157" max="10157" width="12.28515625" bestFit="1" customWidth="1"/>
    <col min="10158" max="10158" width="15.140625" bestFit="1" customWidth="1"/>
    <col min="10159" max="10159" width="14.42578125" bestFit="1" customWidth="1"/>
    <col min="10160" max="10160" width="12.28515625" bestFit="1" customWidth="1"/>
    <col min="10161" max="10161" width="14.42578125" bestFit="1" customWidth="1"/>
    <col min="10162" max="10162" width="11.28515625" bestFit="1" customWidth="1"/>
    <col min="10163" max="10163" width="12.28515625" bestFit="1" customWidth="1"/>
    <col min="10164" max="10164" width="13" bestFit="1" customWidth="1"/>
    <col min="10165" max="10165" width="15.140625" bestFit="1" customWidth="1"/>
    <col min="10166" max="10166" width="12.28515625" bestFit="1" customWidth="1"/>
    <col min="10167" max="10167" width="13.85546875" bestFit="1" customWidth="1"/>
    <col min="10168" max="10168" width="11.28515625" bestFit="1" customWidth="1"/>
    <col min="10169" max="10169" width="12.28515625" bestFit="1" customWidth="1"/>
    <col min="10170" max="10170" width="13.85546875" bestFit="1" customWidth="1"/>
    <col min="10171" max="10172" width="15.140625" bestFit="1" customWidth="1"/>
    <col min="10173" max="10173" width="12.28515625" bestFit="1" customWidth="1"/>
    <col min="10174" max="10174" width="5.7109375" bestFit="1" customWidth="1"/>
    <col min="10175" max="10175" width="8.5703125" bestFit="1" customWidth="1"/>
    <col min="10176" max="10176" width="5.5703125" bestFit="1" customWidth="1"/>
    <col min="10177" max="10177" width="14.42578125" bestFit="1" customWidth="1"/>
    <col min="10178" max="10178" width="11.28515625" bestFit="1" customWidth="1"/>
    <col min="10179" max="10180" width="12.28515625" bestFit="1" customWidth="1"/>
    <col min="10181" max="10181" width="11.28515625" bestFit="1" customWidth="1"/>
    <col min="10182" max="10182" width="13.85546875" bestFit="1" customWidth="1"/>
    <col min="10183" max="10183" width="12" bestFit="1" customWidth="1"/>
    <col min="10184" max="10184" width="13.85546875" bestFit="1" customWidth="1"/>
    <col min="10185" max="10186" width="14.42578125" customWidth="1"/>
    <col min="10187" max="10187" width="10.140625" bestFit="1" customWidth="1"/>
    <col min="10188" max="10188" width="12.28515625" bestFit="1" customWidth="1"/>
    <col min="10189" max="10189" width="7.42578125" bestFit="1" customWidth="1"/>
    <col min="10190" max="10190" width="8.5703125" bestFit="1" customWidth="1"/>
    <col min="10191" max="10191" width="11.5703125" bestFit="1" customWidth="1"/>
    <col min="10192" max="10192" width="13.28515625" bestFit="1" customWidth="1"/>
    <col min="10193" max="10193" width="13.28515625" customWidth="1"/>
    <col min="10194" max="10194" width="13.140625" customWidth="1"/>
    <col min="10195" max="10195" width="12.7109375" bestFit="1" customWidth="1"/>
    <col min="10196" max="10196" width="13.28515625" bestFit="1" customWidth="1"/>
    <col min="10197" max="10199" width="13.28515625" customWidth="1"/>
    <col min="10200" max="10200" width="12.140625" bestFit="1" customWidth="1"/>
    <col min="10201" max="10201" width="12.7109375" bestFit="1" customWidth="1"/>
    <col min="10202" max="10202" width="11" customWidth="1"/>
    <col min="10203" max="10203" width="16.7109375" customWidth="1"/>
    <col min="10204" max="10204" width="17" customWidth="1"/>
    <col min="10205" max="10205" width="10.42578125" bestFit="1" customWidth="1"/>
    <col min="10249" max="10249" width="3.85546875" customWidth="1"/>
    <col min="10250" max="10250" width="15.28515625" bestFit="1" customWidth="1"/>
    <col min="10251" max="10251" width="12.28515625" customWidth="1"/>
    <col min="10252" max="10252" width="16.28515625" bestFit="1" customWidth="1"/>
    <col min="10253" max="10253" width="6.42578125" bestFit="1" customWidth="1"/>
    <col min="10254" max="10254" width="9.28515625" bestFit="1" customWidth="1"/>
    <col min="10255" max="10255" width="7.5703125" bestFit="1" customWidth="1"/>
    <col min="10256" max="10256" width="13.28515625" bestFit="1" customWidth="1"/>
    <col min="10257" max="10257" width="9.28515625" bestFit="1" customWidth="1"/>
    <col min="10258" max="10258" width="11.5703125" bestFit="1" customWidth="1"/>
    <col min="10259" max="10259" width="13.28515625" bestFit="1" customWidth="1"/>
    <col min="10260" max="10260" width="7.140625" bestFit="1" customWidth="1"/>
    <col min="10261" max="10261" width="12" bestFit="1" customWidth="1"/>
    <col min="10262" max="10262" width="13.28515625" bestFit="1" customWidth="1"/>
    <col min="10263" max="10263" width="7" bestFit="1" customWidth="1"/>
    <col min="10264" max="10264" width="12.7109375" bestFit="1" customWidth="1"/>
    <col min="10265" max="10265" width="11.5703125" bestFit="1" customWidth="1"/>
    <col min="10266" max="10266" width="10.5703125" bestFit="1" customWidth="1"/>
    <col min="10267" max="10268" width="15.7109375" bestFit="1" customWidth="1"/>
    <col min="10269" max="10269" width="11.5703125" bestFit="1" customWidth="1"/>
    <col min="10270" max="10270" width="7.7109375" bestFit="1" customWidth="1"/>
    <col min="10271" max="10271" width="15.140625" bestFit="1" customWidth="1"/>
    <col min="10272" max="10272" width="11.5703125" bestFit="1" customWidth="1"/>
    <col min="10273" max="10273" width="13.28515625" bestFit="1" customWidth="1"/>
    <col min="10274" max="10274" width="10.42578125" bestFit="1" customWidth="1"/>
    <col min="10275" max="10275" width="13.28515625" bestFit="1" customWidth="1"/>
    <col min="10276" max="10276" width="12.140625" bestFit="1" customWidth="1"/>
    <col min="10277" max="10277" width="14.42578125" bestFit="1" customWidth="1"/>
    <col min="10278" max="10278" width="13.28515625" bestFit="1" customWidth="1"/>
    <col min="10279" max="10279" width="11.5703125" bestFit="1" customWidth="1"/>
    <col min="10280" max="10280" width="7.7109375" bestFit="1" customWidth="1"/>
    <col min="10281" max="10282" width="14.42578125" bestFit="1" customWidth="1"/>
    <col min="10283" max="10283" width="11.5703125" bestFit="1" customWidth="1"/>
    <col min="10284" max="10284" width="7.7109375" bestFit="1" customWidth="1"/>
    <col min="10285" max="10285" width="13.5703125" customWidth="1"/>
    <col min="10286" max="10286" width="15.28515625" customWidth="1"/>
    <col min="10287" max="10287" width="14.5703125" customWidth="1"/>
    <col min="10288" max="10288" width="13.28515625" bestFit="1" customWidth="1"/>
    <col min="10289" max="10289" width="7.7109375" bestFit="1" customWidth="1"/>
    <col min="10290" max="10290" width="12.7109375" bestFit="1" customWidth="1"/>
    <col min="10291" max="10291" width="11.7109375" bestFit="1" customWidth="1"/>
    <col min="10292" max="10292" width="11.5703125" bestFit="1" customWidth="1"/>
    <col min="10293" max="10293" width="5.28515625" bestFit="1" customWidth="1"/>
    <col min="10294" max="10294" width="13.28515625" bestFit="1" customWidth="1"/>
    <col min="10295" max="10295" width="13.5703125" bestFit="1" customWidth="1"/>
    <col min="10296" max="10296" width="10.5703125" bestFit="1" customWidth="1"/>
    <col min="10297" max="10297" width="13.28515625" bestFit="1" customWidth="1"/>
    <col min="10298" max="10298" width="11.5703125" bestFit="1" customWidth="1"/>
    <col min="10299" max="10299" width="10.5703125" bestFit="1" customWidth="1"/>
    <col min="10300" max="10300" width="16.140625" bestFit="1" customWidth="1"/>
    <col min="10301" max="10302" width="11.28515625" bestFit="1" customWidth="1"/>
    <col min="10303" max="10303" width="13.28515625" bestFit="1" customWidth="1"/>
    <col min="10304" max="10304" width="7.7109375" bestFit="1" customWidth="1"/>
    <col min="10305" max="10308" width="9.140625" hidden="1" customWidth="1"/>
    <col min="10309" max="10309" width="10.42578125" bestFit="1" customWidth="1"/>
    <col min="10310" max="10310" width="10.5703125" bestFit="1" customWidth="1"/>
    <col min="10311" max="10311" width="10.42578125" bestFit="1" customWidth="1"/>
    <col min="10312" max="10312" width="10.5703125" bestFit="1" customWidth="1"/>
    <col min="10313" max="10313" width="9.5703125" bestFit="1" customWidth="1"/>
    <col min="10314" max="10314" width="11.5703125" bestFit="1" customWidth="1"/>
    <col min="10315" max="10315" width="10.42578125" bestFit="1" customWidth="1"/>
    <col min="10316" max="10316" width="10.85546875" customWidth="1"/>
    <col min="10317" max="10318" width="9.85546875" bestFit="1" customWidth="1"/>
    <col min="10319" max="10319" width="13.5703125" bestFit="1" customWidth="1"/>
    <col min="10320" max="10320" width="7.7109375" bestFit="1" customWidth="1"/>
    <col min="10321" max="10321" width="13.28515625" bestFit="1" customWidth="1"/>
    <col min="10322" max="10322" width="11.5703125" bestFit="1" customWidth="1"/>
    <col min="10323" max="10323" width="10.42578125" bestFit="1" customWidth="1"/>
    <col min="10324" max="10324" width="7.7109375" bestFit="1" customWidth="1"/>
    <col min="10325" max="10325" width="11.5703125" bestFit="1" customWidth="1"/>
    <col min="10326" max="10326" width="10.85546875" bestFit="1" customWidth="1"/>
    <col min="10327" max="10327" width="13.28515625" bestFit="1" customWidth="1"/>
    <col min="10328" max="10328" width="10.85546875" bestFit="1" customWidth="1"/>
    <col min="10329" max="10330" width="7.5703125" bestFit="1" customWidth="1"/>
    <col min="10331" max="10332" width="10.42578125" bestFit="1" customWidth="1"/>
    <col min="10333" max="10333" width="11.5703125" bestFit="1" customWidth="1"/>
    <col min="10334" max="10334" width="5.28515625" bestFit="1" customWidth="1"/>
    <col min="10335" max="10335" width="10.28515625" bestFit="1" customWidth="1"/>
    <col min="10336" max="10336" width="10.42578125" bestFit="1" customWidth="1"/>
    <col min="10337" max="10337" width="11.5703125" bestFit="1" customWidth="1"/>
    <col min="10338" max="10338" width="5.28515625" bestFit="1" customWidth="1"/>
    <col min="10339" max="10341" width="11.5703125" bestFit="1" customWidth="1"/>
    <col min="10342" max="10342" width="5.28515625" bestFit="1" customWidth="1"/>
    <col min="10343" max="10344" width="10.42578125" bestFit="1" customWidth="1"/>
    <col min="10345" max="10345" width="11.5703125" bestFit="1" customWidth="1"/>
    <col min="10346" max="10346" width="5.28515625" bestFit="1" customWidth="1"/>
    <col min="10347" max="10347" width="14.28515625" bestFit="1" customWidth="1"/>
    <col min="10348" max="10348" width="13" bestFit="1" customWidth="1"/>
    <col min="10349" max="10349" width="11.5703125" bestFit="1" customWidth="1"/>
    <col min="10350" max="10350" width="8.85546875" bestFit="1" customWidth="1"/>
    <col min="10351" max="10351" width="14.42578125" bestFit="1" customWidth="1"/>
    <col min="10352" max="10352" width="10.42578125" bestFit="1" customWidth="1"/>
    <col min="10353" max="10353" width="12.28515625" bestFit="1" customWidth="1"/>
    <col min="10354" max="10354" width="13.85546875" bestFit="1" customWidth="1"/>
    <col min="10355" max="10355" width="11.28515625" customWidth="1"/>
    <col min="10356" max="10356" width="11.5703125" customWidth="1"/>
    <col min="10357" max="10357" width="13.42578125" bestFit="1" customWidth="1"/>
    <col min="10358" max="10358" width="10.42578125" customWidth="1"/>
    <col min="10359" max="10359" width="13.85546875" bestFit="1" customWidth="1"/>
    <col min="10360" max="10360" width="15.42578125" bestFit="1" customWidth="1"/>
    <col min="10361" max="10361" width="12.28515625" bestFit="1" customWidth="1"/>
    <col min="10362" max="10362" width="12.7109375" customWidth="1"/>
    <col min="10363" max="10363" width="10.7109375" bestFit="1" customWidth="1"/>
    <col min="10364" max="10364" width="9.85546875" customWidth="1"/>
    <col min="10365" max="10366" width="10.140625" bestFit="1" customWidth="1"/>
    <col min="10367" max="10367" width="7.5703125" bestFit="1" customWidth="1"/>
    <col min="10368" max="10368" width="9.42578125" bestFit="1" customWidth="1"/>
    <col min="10369" max="10369" width="14.5703125" bestFit="1" customWidth="1"/>
    <col min="10370" max="10370" width="14.85546875" customWidth="1"/>
    <col min="10371" max="10371" width="15.140625" bestFit="1" customWidth="1"/>
    <col min="10372" max="10372" width="12.140625" bestFit="1" customWidth="1"/>
    <col min="10373" max="10373" width="14.85546875" bestFit="1" customWidth="1"/>
    <col min="10374" max="10374" width="12.28515625" bestFit="1" customWidth="1"/>
    <col min="10375" max="10383" width="9.140625" hidden="1" customWidth="1"/>
    <col min="10384" max="10384" width="5.28515625" bestFit="1" customWidth="1"/>
    <col min="10385" max="10390" width="11.5703125" bestFit="1" customWidth="1"/>
    <col min="10391" max="10391" width="11.28515625" bestFit="1" customWidth="1"/>
    <col min="10392" max="10392" width="10.140625" bestFit="1" customWidth="1"/>
    <col min="10393" max="10393" width="11.5703125" bestFit="1" customWidth="1"/>
    <col min="10394" max="10394" width="16.140625" customWidth="1"/>
    <col min="10395" max="10395" width="13.42578125" customWidth="1"/>
    <col min="10396" max="10396" width="10.140625" bestFit="1" customWidth="1"/>
    <col min="10397" max="10397" width="12.85546875" bestFit="1" customWidth="1"/>
    <col min="10398" max="10398" width="12.28515625" bestFit="1" customWidth="1"/>
    <col min="10399" max="10399" width="11.28515625" bestFit="1" customWidth="1"/>
    <col min="10400" max="10400" width="11.5703125" bestFit="1" customWidth="1"/>
    <col min="10401" max="10401" width="10.85546875" bestFit="1" customWidth="1"/>
    <col min="10402" max="10402" width="11.28515625" bestFit="1" customWidth="1"/>
    <col min="10403" max="10403" width="10.140625" bestFit="1" customWidth="1"/>
    <col min="10404" max="10404" width="13.28515625" bestFit="1" customWidth="1"/>
    <col min="10405" max="10406" width="12.7109375" bestFit="1" customWidth="1"/>
    <col min="10407" max="10407" width="11" bestFit="1" customWidth="1"/>
    <col min="10408" max="10408" width="11.28515625" bestFit="1" customWidth="1"/>
    <col min="10409" max="10409" width="11.5703125" bestFit="1" customWidth="1"/>
    <col min="10410" max="10410" width="12.28515625" bestFit="1" customWidth="1"/>
    <col min="10411" max="10411" width="15.140625" bestFit="1" customWidth="1"/>
    <col min="10412" max="10412" width="14.42578125" bestFit="1" customWidth="1"/>
    <col min="10413" max="10413" width="12.28515625" bestFit="1" customWidth="1"/>
    <col min="10414" max="10414" width="15.140625" bestFit="1" customWidth="1"/>
    <col min="10415" max="10415" width="14.42578125" bestFit="1" customWidth="1"/>
    <col min="10416" max="10416" width="12.28515625" bestFit="1" customWidth="1"/>
    <col min="10417" max="10417" width="14.42578125" bestFit="1" customWidth="1"/>
    <col min="10418" max="10418" width="11.28515625" bestFit="1" customWidth="1"/>
    <col min="10419" max="10419" width="12.28515625" bestFit="1" customWidth="1"/>
    <col min="10420" max="10420" width="13" bestFit="1" customWidth="1"/>
    <col min="10421" max="10421" width="15.140625" bestFit="1" customWidth="1"/>
    <col min="10422" max="10422" width="12.28515625" bestFit="1" customWidth="1"/>
    <col min="10423" max="10423" width="13.85546875" bestFit="1" customWidth="1"/>
    <col min="10424" max="10424" width="11.28515625" bestFit="1" customWidth="1"/>
    <col min="10425" max="10425" width="12.28515625" bestFit="1" customWidth="1"/>
    <col min="10426" max="10426" width="13.85546875" bestFit="1" customWidth="1"/>
    <col min="10427" max="10428" width="15.140625" bestFit="1" customWidth="1"/>
    <col min="10429" max="10429" width="12.28515625" bestFit="1" customWidth="1"/>
    <col min="10430" max="10430" width="5.7109375" bestFit="1" customWidth="1"/>
    <col min="10431" max="10431" width="8.5703125" bestFit="1" customWidth="1"/>
    <col min="10432" max="10432" width="5.5703125" bestFit="1" customWidth="1"/>
    <col min="10433" max="10433" width="14.42578125" bestFit="1" customWidth="1"/>
    <col min="10434" max="10434" width="11.28515625" bestFit="1" customWidth="1"/>
    <col min="10435" max="10436" width="12.28515625" bestFit="1" customWidth="1"/>
    <col min="10437" max="10437" width="11.28515625" bestFit="1" customWidth="1"/>
    <col min="10438" max="10438" width="13.85546875" bestFit="1" customWidth="1"/>
    <col min="10439" max="10439" width="12" bestFit="1" customWidth="1"/>
    <col min="10440" max="10440" width="13.85546875" bestFit="1" customWidth="1"/>
    <col min="10441" max="10442" width="14.42578125" customWidth="1"/>
    <col min="10443" max="10443" width="10.140625" bestFit="1" customWidth="1"/>
    <col min="10444" max="10444" width="12.28515625" bestFit="1" customWidth="1"/>
    <col min="10445" max="10445" width="7.42578125" bestFit="1" customWidth="1"/>
    <col min="10446" max="10446" width="8.5703125" bestFit="1" customWidth="1"/>
    <col min="10447" max="10447" width="11.5703125" bestFit="1" customWidth="1"/>
    <col min="10448" max="10448" width="13.28515625" bestFit="1" customWidth="1"/>
    <col min="10449" max="10449" width="13.28515625" customWidth="1"/>
    <col min="10450" max="10450" width="13.140625" customWidth="1"/>
    <col min="10451" max="10451" width="12.7109375" bestFit="1" customWidth="1"/>
    <col min="10452" max="10452" width="13.28515625" bestFit="1" customWidth="1"/>
    <col min="10453" max="10455" width="13.28515625" customWidth="1"/>
    <col min="10456" max="10456" width="12.140625" bestFit="1" customWidth="1"/>
    <col min="10457" max="10457" width="12.7109375" bestFit="1" customWidth="1"/>
    <col min="10458" max="10458" width="11" customWidth="1"/>
    <col min="10459" max="10459" width="16.7109375" customWidth="1"/>
    <col min="10460" max="10460" width="17" customWidth="1"/>
    <col min="10461" max="10461" width="10.42578125" bestFit="1" customWidth="1"/>
    <col min="10505" max="10505" width="3.85546875" customWidth="1"/>
    <col min="10506" max="10506" width="15.28515625" bestFit="1" customWidth="1"/>
    <col min="10507" max="10507" width="12.28515625" customWidth="1"/>
    <col min="10508" max="10508" width="16.28515625" bestFit="1" customWidth="1"/>
    <col min="10509" max="10509" width="6.42578125" bestFit="1" customWidth="1"/>
    <col min="10510" max="10510" width="9.28515625" bestFit="1" customWidth="1"/>
    <col min="10511" max="10511" width="7.5703125" bestFit="1" customWidth="1"/>
    <col min="10512" max="10512" width="13.28515625" bestFit="1" customWidth="1"/>
    <col min="10513" max="10513" width="9.28515625" bestFit="1" customWidth="1"/>
    <col min="10514" max="10514" width="11.5703125" bestFit="1" customWidth="1"/>
    <col min="10515" max="10515" width="13.28515625" bestFit="1" customWidth="1"/>
    <col min="10516" max="10516" width="7.140625" bestFit="1" customWidth="1"/>
    <col min="10517" max="10517" width="12" bestFit="1" customWidth="1"/>
    <col min="10518" max="10518" width="13.28515625" bestFit="1" customWidth="1"/>
    <col min="10519" max="10519" width="7" bestFit="1" customWidth="1"/>
    <col min="10520" max="10520" width="12.7109375" bestFit="1" customWidth="1"/>
    <col min="10521" max="10521" width="11.5703125" bestFit="1" customWidth="1"/>
    <col min="10522" max="10522" width="10.5703125" bestFit="1" customWidth="1"/>
    <col min="10523" max="10524" width="15.7109375" bestFit="1" customWidth="1"/>
    <col min="10525" max="10525" width="11.5703125" bestFit="1" customWidth="1"/>
    <col min="10526" max="10526" width="7.7109375" bestFit="1" customWidth="1"/>
    <col min="10527" max="10527" width="15.140625" bestFit="1" customWidth="1"/>
    <col min="10528" max="10528" width="11.5703125" bestFit="1" customWidth="1"/>
    <col min="10529" max="10529" width="13.28515625" bestFit="1" customWidth="1"/>
    <col min="10530" max="10530" width="10.42578125" bestFit="1" customWidth="1"/>
    <col min="10531" max="10531" width="13.28515625" bestFit="1" customWidth="1"/>
    <col min="10532" max="10532" width="12.140625" bestFit="1" customWidth="1"/>
    <col min="10533" max="10533" width="14.42578125" bestFit="1" customWidth="1"/>
    <col min="10534" max="10534" width="13.28515625" bestFit="1" customWidth="1"/>
    <col min="10535" max="10535" width="11.5703125" bestFit="1" customWidth="1"/>
    <col min="10536" max="10536" width="7.7109375" bestFit="1" customWidth="1"/>
    <col min="10537" max="10538" width="14.42578125" bestFit="1" customWidth="1"/>
    <col min="10539" max="10539" width="11.5703125" bestFit="1" customWidth="1"/>
    <col min="10540" max="10540" width="7.7109375" bestFit="1" customWidth="1"/>
    <col min="10541" max="10541" width="13.5703125" customWidth="1"/>
    <col min="10542" max="10542" width="15.28515625" customWidth="1"/>
    <col min="10543" max="10543" width="14.5703125" customWidth="1"/>
    <col min="10544" max="10544" width="13.28515625" bestFit="1" customWidth="1"/>
    <col min="10545" max="10545" width="7.7109375" bestFit="1" customWidth="1"/>
    <col min="10546" max="10546" width="12.7109375" bestFit="1" customWidth="1"/>
    <col min="10547" max="10547" width="11.7109375" bestFit="1" customWidth="1"/>
    <col min="10548" max="10548" width="11.5703125" bestFit="1" customWidth="1"/>
    <col min="10549" max="10549" width="5.28515625" bestFit="1" customWidth="1"/>
    <col min="10550" max="10550" width="13.28515625" bestFit="1" customWidth="1"/>
    <col min="10551" max="10551" width="13.5703125" bestFit="1" customWidth="1"/>
    <col min="10552" max="10552" width="10.5703125" bestFit="1" customWidth="1"/>
    <col min="10553" max="10553" width="13.28515625" bestFit="1" customWidth="1"/>
    <col min="10554" max="10554" width="11.5703125" bestFit="1" customWidth="1"/>
    <col min="10555" max="10555" width="10.5703125" bestFit="1" customWidth="1"/>
    <col min="10556" max="10556" width="16.140625" bestFit="1" customWidth="1"/>
    <col min="10557" max="10558" width="11.28515625" bestFit="1" customWidth="1"/>
    <col min="10559" max="10559" width="13.28515625" bestFit="1" customWidth="1"/>
    <col min="10560" max="10560" width="7.7109375" bestFit="1" customWidth="1"/>
    <col min="10561" max="10564" width="9.140625" hidden="1" customWidth="1"/>
    <col min="10565" max="10565" width="10.42578125" bestFit="1" customWidth="1"/>
    <col min="10566" max="10566" width="10.5703125" bestFit="1" customWidth="1"/>
    <col min="10567" max="10567" width="10.42578125" bestFit="1" customWidth="1"/>
    <col min="10568" max="10568" width="10.5703125" bestFit="1" customWidth="1"/>
    <col min="10569" max="10569" width="9.5703125" bestFit="1" customWidth="1"/>
    <col min="10570" max="10570" width="11.5703125" bestFit="1" customWidth="1"/>
    <col min="10571" max="10571" width="10.42578125" bestFit="1" customWidth="1"/>
    <col min="10572" max="10572" width="10.85546875" customWidth="1"/>
    <col min="10573" max="10574" width="9.85546875" bestFit="1" customWidth="1"/>
    <col min="10575" max="10575" width="13.5703125" bestFit="1" customWidth="1"/>
    <col min="10576" max="10576" width="7.7109375" bestFit="1" customWidth="1"/>
    <col min="10577" max="10577" width="13.28515625" bestFit="1" customWidth="1"/>
    <col min="10578" max="10578" width="11.5703125" bestFit="1" customWidth="1"/>
    <col min="10579" max="10579" width="10.42578125" bestFit="1" customWidth="1"/>
    <col min="10580" max="10580" width="7.7109375" bestFit="1" customWidth="1"/>
    <col min="10581" max="10581" width="11.5703125" bestFit="1" customWidth="1"/>
    <col min="10582" max="10582" width="10.85546875" bestFit="1" customWidth="1"/>
    <col min="10583" max="10583" width="13.28515625" bestFit="1" customWidth="1"/>
    <col min="10584" max="10584" width="10.85546875" bestFit="1" customWidth="1"/>
    <col min="10585" max="10586" width="7.5703125" bestFit="1" customWidth="1"/>
    <col min="10587" max="10588" width="10.42578125" bestFit="1" customWidth="1"/>
    <col min="10589" max="10589" width="11.5703125" bestFit="1" customWidth="1"/>
    <col min="10590" max="10590" width="5.28515625" bestFit="1" customWidth="1"/>
    <col min="10591" max="10591" width="10.28515625" bestFit="1" customWidth="1"/>
    <col min="10592" max="10592" width="10.42578125" bestFit="1" customWidth="1"/>
    <col min="10593" max="10593" width="11.5703125" bestFit="1" customWidth="1"/>
    <col min="10594" max="10594" width="5.28515625" bestFit="1" customWidth="1"/>
    <col min="10595" max="10597" width="11.5703125" bestFit="1" customWidth="1"/>
    <col min="10598" max="10598" width="5.28515625" bestFit="1" customWidth="1"/>
    <col min="10599" max="10600" width="10.42578125" bestFit="1" customWidth="1"/>
    <col min="10601" max="10601" width="11.5703125" bestFit="1" customWidth="1"/>
    <col min="10602" max="10602" width="5.28515625" bestFit="1" customWidth="1"/>
    <col min="10603" max="10603" width="14.28515625" bestFit="1" customWidth="1"/>
    <col min="10604" max="10604" width="13" bestFit="1" customWidth="1"/>
    <col min="10605" max="10605" width="11.5703125" bestFit="1" customWidth="1"/>
    <col min="10606" max="10606" width="8.85546875" bestFit="1" customWidth="1"/>
    <col min="10607" max="10607" width="14.42578125" bestFit="1" customWidth="1"/>
    <col min="10608" max="10608" width="10.42578125" bestFit="1" customWidth="1"/>
    <col min="10609" max="10609" width="12.28515625" bestFit="1" customWidth="1"/>
    <col min="10610" max="10610" width="13.85546875" bestFit="1" customWidth="1"/>
    <col min="10611" max="10611" width="11.28515625" customWidth="1"/>
    <col min="10612" max="10612" width="11.5703125" customWidth="1"/>
    <col min="10613" max="10613" width="13.42578125" bestFit="1" customWidth="1"/>
    <col min="10614" max="10614" width="10.42578125" customWidth="1"/>
    <col min="10615" max="10615" width="13.85546875" bestFit="1" customWidth="1"/>
    <col min="10616" max="10616" width="15.42578125" bestFit="1" customWidth="1"/>
    <col min="10617" max="10617" width="12.28515625" bestFit="1" customWidth="1"/>
    <col min="10618" max="10618" width="12.7109375" customWidth="1"/>
    <col min="10619" max="10619" width="10.7109375" bestFit="1" customWidth="1"/>
    <col min="10620" max="10620" width="9.85546875" customWidth="1"/>
    <col min="10621" max="10622" width="10.140625" bestFit="1" customWidth="1"/>
    <col min="10623" max="10623" width="7.5703125" bestFit="1" customWidth="1"/>
    <col min="10624" max="10624" width="9.42578125" bestFit="1" customWidth="1"/>
    <col min="10625" max="10625" width="14.5703125" bestFit="1" customWidth="1"/>
    <col min="10626" max="10626" width="14.85546875" customWidth="1"/>
    <col min="10627" max="10627" width="15.140625" bestFit="1" customWidth="1"/>
    <col min="10628" max="10628" width="12.140625" bestFit="1" customWidth="1"/>
    <col min="10629" max="10629" width="14.85546875" bestFit="1" customWidth="1"/>
    <col min="10630" max="10630" width="12.28515625" bestFit="1" customWidth="1"/>
    <col min="10631" max="10639" width="9.140625" hidden="1" customWidth="1"/>
    <col min="10640" max="10640" width="5.28515625" bestFit="1" customWidth="1"/>
    <col min="10641" max="10646" width="11.5703125" bestFit="1" customWidth="1"/>
    <col min="10647" max="10647" width="11.28515625" bestFit="1" customWidth="1"/>
    <col min="10648" max="10648" width="10.140625" bestFit="1" customWidth="1"/>
    <col min="10649" max="10649" width="11.5703125" bestFit="1" customWidth="1"/>
    <col min="10650" max="10650" width="16.140625" customWidth="1"/>
    <col min="10651" max="10651" width="13.42578125" customWidth="1"/>
    <col min="10652" max="10652" width="10.140625" bestFit="1" customWidth="1"/>
    <col min="10653" max="10653" width="12.85546875" bestFit="1" customWidth="1"/>
    <col min="10654" max="10654" width="12.28515625" bestFit="1" customWidth="1"/>
    <col min="10655" max="10655" width="11.28515625" bestFit="1" customWidth="1"/>
    <col min="10656" max="10656" width="11.5703125" bestFit="1" customWidth="1"/>
    <col min="10657" max="10657" width="10.85546875" bestFit="1" customWidth="1"/>
    <col min="10658" max="10658" width="11.28515625" bestFit="1" customWidth="1"/>
    <col min="10659" max="10659" width="10.140625" bestFit="1" customWidth="1"/>
    <col min="10660" max="10660" width="13.28515625" bestFit="1" customWidth="1"/>
    <col min="10661" max="10662" width="12.7109375" bestFit="1" customWidth="1"/>
    <col min="10663" max="10663" width="11" bestFit="1" customWidth="1"/>
    <col min="10664" max="10664" width="11.28515625" bestFit="1" customWidth="1"/>
    <col min="10665" max="10665" width="11.5703125" bestFit="1" customWidth="1"/>
    <col min="10666" max="10666" width="12.28515625" bestFit="1" customWidth="1"/>
    <col min="10667" max="10667" width="15.140625" bestFit="1" customWidth="1"/>
    <col min="10668" max="10668" width="14.42578125" bestFit="1" customWidth="1"/>
    <col min="10669" max="10669" width="12.28515625" bestFit="1" customWidth="1"/>
    <col min="10670" max="10670" width="15.140625" bestFit="1" customWidth="1"/>
    <col min="10671" max="10671" width="14.42578125" bestFit="1" customWidth="1"/>
    <col min="10672" max="10672" width="12.28515625" bestFit="1" customWidth="1"/>
    <col min="10673" max="10673" width="14.42578125" bestFit="1" customWidth="1"/>
    <col min="10674" max="10674" width="11.28515625" bestFit="1" customWidth="1"/>
    <col min="10675" max="10675" width="12.28515625" bestFit="1" customWidth="1"/>
    <col min="10676" max="10676" width="13" bestFit="1" customWidth="1"/>
    <col min="10677" max="10677" width="15.140625" bestFit="1" customWidth="1"/>
    <col min="10678" max="10678" width="12.28515625" bestFit="1" customWidth="1"/>
    <col min="10679" max="10679" width="13.85546875" bestFit="1" customWidth="1"/>
    <col min="10680" max="10680" width="11.28515625" bestFit="1" customWidth="1"/>
    <col min="10681" max="10681" width="12.28515625" bestFit="1" customWidth="1"/>
    <col min="10682" max="10682" width="13.85546875" bestFit="1" customWidth="1"/>
    <col min="10683" max="10684" width="15.140625" bestFit="1" customWidth="1"/>
    <col min="10685" max="10685" width="12.28515625" bestFit="1" customWidth="1"/>
    <col min="10686" max="10686" width="5.7109375" bestFit="1" customWidth="1"/>
    <col min="10687" max="10687" width="8.5703125" bestFit="1" customWidth="1"/>
    <col min="10688" max="10688" width="5.5703125" bestFit="1" customWidth="1"/>
    <col min="10689" max="10689" width="14.42578125" bestFit="1" customWidth="1"/>
    <col min="10690" max="10690" width="11.28515625" bestFit="1" customWidth="1"/>
    <col min="10691" max="10692" width="12.28515625" bestFit="1" customWidth="1"/>
    <col min="10693" max="10693" width="11.28515625" bestFit="1" customWidth="1"/>
    <col min="10694" max="10694" width="13.85546875" bestFit="1" customWidth="1"/>
    <col min="10695" max="10695" width="12" bestFit="1" customWidth="1"/>
    <col min="10696" max="10696" width="13.85546875" bestFit="1" customWidth="1"/>
    <col min="10697" max="10698" width="14.42578125" customWidth="1"/>
    <col min="10699" max="10699" width="10.140625" bestFit="1" customWidth="1"/>
    <col min="10700" max="10700" width="12.28515625" bestFit="1" customWidth="1"/>
    <col min="10701" max="10701" width="7.42578125" bestFit="1" customWidth="1"/>
    <col min="10702" max="10702" width="8.5703125" bestFit="1" customWidth="1"/>
    <col min="10703" max="10703" width="11.5703125" bestFit="1" customWidth="1"/>
    <col min="10704" max="10704" width="13.28515625" bestFit="1" customWidth="1"/>
    <col min="10705" max="10705" width="13.28515625" customWidth="1"/>
    <col min="10706" max="10706" width="13.140625" customWidth="1"/>
    <col min="10707" max="10707" width="12.7109375" bestFit="1" customWidth="1"/>
    <col min="10708" max="10708" width="13.28515625" bestFit="1" customWidth="1"/>
    <col min="10709" max="10711" width="13.28515625" customWidth="1"/>
    <col min="10712" max="10712" width="12.140625" bestFit="1" customWidth="1"/>
    <col min="10713" max="10713" width="12.7109375" bestFit="1" customWidth="1"/>
    <col min="10714" max="10714" width="11" customWidth="1"/>
    <col min="10715" max="10715" width="16.7109375" customWidth="1"/>
    <col min="10716" max="10716" width="17" customWidth="1"/>
    <col min="10717" max="10717" width="10.42578125" bestFit="1" customWidth="1"/>
    <col min="10761" max="10761" width="3.85546875" customWidth="1"/>
    <col min="10762" max="10762" width="15.28515625" bestFit="1" customWidth="1"/>
    <col min="10763" max="10763" width="12.28515625" customWidth="1"/>
    <col min="10764" max="10764" width="16.28515625" bestFit="1" customWidth="1"/>
    <col min="10765" max="10765" width="6.42578125" bestFit="1" customWidth="1"/>
    <col min="10766" max="10766" width="9.28515625" bestFit="1" customWidth="1"/>
    <col min="10767" max="10767" width="7.5703125" bestFit="1" customWidth="1"/>
    <col min="10768" max="10768" width="13.28515625" bestFit="1" customWidth="1"/>
    <col min="10769" max="10769" width="9.28515625" bestFit="1" customWidth="1"/>
    <col min="10770" max="10770" width="11.5703125" bestFit="1" customWidth="1"/>
    <col min="10771" max="10771" width="13.28515625" bestFit="1" customWidth="1"/>
    <col min="10772" max="10772" width="7.140625" bestFit="1" customWidth="1"/>
    <col min="10773" max="10773" width="12" bestFit="1" customWidth="1"/>
    <col min="10774" max="10774" width="13.28515625" bestFit="1" customWidth="1"/>
    <col min="10775" max="10775" width="7" bestFit="1" customWidth="1"/>
    <col min="10776" max="10776" width="12.7109375" bestFit="1" customWidth="1"/>
    <col min="10777" max="10777" width="11.5703125" bestFit="1" customWidth="1"/>
    <col min="10778" max="10778" width="10.5703125" bestFit="1" customWidth="1"/>
    <col min="10779" max="10780" width="15.7109375" bestFit="1" customWidth="1"/>
    <col min="10781" max="10781" width="11.5703125" bestFit="1" customWidth="1"/>
    <col min="10782" max="10782" width="7.7109375" bestFit="1" customWidth="1"/>
    <col min="10783" max="10783" width="15.140625" bestFit="1" customWidth="1"/>
    <col min="10784" max="10784" width="11.5703125" bestFit="1" customWidth="1"/>
    <col min="10785" max="10785" width="13.28515625" bestFit="1" customWidth="1"/>
    <col min="10786" max="10786" width="10.42578125" bestFit="1" customWidth="1"/>
    <col min="10787" max="10787" width="13.28515625" bestFit="1" customWidth="1"/>
    <col min="10788" max="10788" width="12.140625" bestFit="1" customWidth="1"/>
    <col min="10789" max="10789" width="14.42578125" bestFit="1" customWidth="1"/>
    <col min="10790" max="10790" width="13.28515625" bestFit="1" customWidth="1"/>
    <col min="10791" max="10791" width="11.5703125" bestFit="1" customWidth="1"/>
    <col min="10792" max="10792" width="7.7109375" bestFit="1" customWidth="1"/>
    <col min="10793" max="10794" width="14.42578125" bestFit="1" customWidth="1"/>
    <col min="10795" max="10795" width="11.5703125" bestFit="1" customWidth="1"/>
    <col min="10796" max="10796" width="7.7109375" bestFit="1" customWidth="1"/>
    <col min="10797" max="10797" width="13.5703125" customWidth="1"/>
    <col min="10798" max="10798" width="15.28515625" customWidth="1"/>
    <col min="10799" max="10799" width="14.5703125" customWidth="1"/>
    <col min="10800" max="10800" width="13.28515625" bestFit="1" customWidth="1"/>
    <col min="10801" max="10801" width="7.7109375" bestFit="1" customWidth="1"/>
    <col min="10802" max="10802" width="12.7109375" bestFit="1" customWidth="1"/>
    <col min="10803" max="10803" width="11.7109375" bestFit="1" customWidth="1"/>
    <col min="10804" max="10804" width="11.5703125" bestFit="1" customWidth="1"/>
    <col min="10805" max="10805" width="5.28515625" bestFit="1" customWidth="1"/>
    <col min="10806" max="10806" width="13.28515625" bestFit="1" customWidth="1"/>
    <col min="10807" max="10807" width="13.5703125" bestFit="1" customWidth="1"/>
    <col min="10808" max="10808" width="10.5703125" bestFit="1" customWidth="1"/>
    <col min="10809" max="10809" width="13.28515625" bestFit="1" customWidth="1"/>
    <col min="10810" max="10810" width="11.5703125" bestFit="1" customWidth="1"/>
    <col min="10811" max="10811" width="10.5703125" bestFit="1" customWidth="1"/>
    <col min="10812" max="10812" width="16.140625" bestFit="1" customWidth="1"/>
    <col min="10813" max="10814" width="11.28515625" bestFit="1" customWidth="1"/>
    <col min="10815" max="10815" width="13.28515625" bestFit="1" customWidth="1"/>
    <col min="10816" max="10816" width="7.7109375" bestFit="1" customWidth="1"/>
    <col min="10817" max="10820" width="9.140625" hidden="1" customWidth="1"/>
    <col min="10821" max="10821" width="10.42578125" bestFit="1" customWidth="1"/>
    <col min="10822" max="10822" width="10.5703125" bestFit="1" customWidth="1"/>
    <col min="10823" max="10823" width="10.42578125" bestFit="1" customWidth="1"/>
    <col min="10824" max="10824" width="10.5703125" bestFit="1" customWidth="1"/>
    <col min="10825" max="10825" width="9.5703125" bestFit="1" customWidth="1"/>
    <col min="10826" max="10826" width="11.5703125" bestFit="1" customWidth="1"/>
    <col min="10827" max="10827" width="10.42578125" bestFit="1" customWidth="1"/>
    <col min="10828" max="10828" width="10.85546875" customWidth="1"/>
    <col min="10829" max="10830" width="9.85546875" bestFit="1" customWidth="1"/>
    <col min="10831" max="10831" width="13.5703125" bestFit="1" customWidth="1"/>
    <col min="10832" max="10832" width="7.7109375" bestFit="1" customWidth="1"/>
    <col min="10833" max="10833" width="13.28515625" bestFit="1" customWidth="1"/>
    <col min="10834" max="10834" width="11.5703125" bestFit="1" customWidth="1"/>
    <col min="10835" max="10835" width="10.42578125" bestFit="1" customWidth="1"/>
    <col min="10836" max="10836" width="7.7109375" bestFit="1" customWidth="1"/>
    <col min="10837" max="10837" width="11.5703125" bestFit="1" customWidth="1"/>
    <col min="10838" max="10838" width="10.85546875" bestFit="1" customWidth="1"/>
    <col min="10839" max="10839" width="13.28515625" bestFit="1" customWidth="1"/>
    <col min="10840" max="10840" width="10.85546875" bestFit="1" customWidth="1"/>
    <col min="10841" max="10842" width="7.5703125" bestFit="1" customWidth="1"/>
    <col min="10843" max="10844" width="10.42578125" bestFit="1" customWidth="1"/>
    <col min="10845" max="10845" width="11.5703125" bestFit="1" customWidth="1"/>
    <col min="10846" max="10846" width="5.28515625" bestFit="1" customWidth="1"/>
    <col min="10847" max="10847" width="10.28515625" bestFit="1" customWidth="1"/>
    <col min="10848" max="10848" width="10.42578125" bestFit="1" customWidth="1"/>
    <col min="10849" max="10849" width="11.5703125" bestFit="1" customWidth="1"/>
    <col min="10850" max="10850" width="5.28515625" bestFit="1" customWidth="1"/>
    <col min="10851" max="10853" width="11.5703125" bestFit="1" customWidth="1"/>
    <col min="10854" max="10854" width="5.28515625" bestFit="1" customWidth="1"/>
    <col min="10855" max="10856" width="10.42578125" bestFit="1" customWidth="1"/>
    <col min="10857" max="10857" width="11.5703125" bestFit="1" customWidth="1"/>
    <col min="10858" max="10858" width="5.28515625" bestFit="1" customWidth="1"/>
    <col min="10859" max="10859" width="14.28515625" bestFit="1" customWidth="1"/>
    <col min="10860" max="10860" width="13" bestFit="1" customWidth="1"/>
    <col min="10861" max="10861" width="11.5703125" bestFit="1" customWidth="1"/>
    <col min="10862" max="10862" width="8.85546875" bestFit="1" customWidth="1"/>
    <col min="10863" max="10863" width="14.42578125" bestFit="1" customWidth="1"/>
    <col min="10864" max="10864" width="10.42578125" bestFit="1" customWidth="1"/>
    <col min="10865" max="10865" width="12.28515625" bestFit="1" customWidth="1"/>
    <col min="10866" max="10866" width="13.85546875" bestFit="1" customWidth="1"/>
    <col min="10867" max="10867" width="11.28515625" customWidth="1"/>
    <col min="10868" max="10868" width="11.5703125" customWidth="1"/>
    <col min="10869" max="10869" width="13.42578125" bestFit="1" customWidth="1"/>
    <col min="10870" max="10870" width="10.42578125" customWidth="1"/>
    <col min="10871" max="10871" width="13.85546875" bestFit="1" customWidth="1"/>
    <col min="10872" max="10872" width="15.42578125" bestFit="1" customWidth="1"/>
    <col min="10873" max="10873" width="12.28515625" bestFit="1" customWidth="1"/>
    <col min="10874" max="10874" width="12.7109375" customWidth="1"/>
    <col min="10875" max="10875" width="10.7109375" bestFit="1" customWidth="1"/>
    <col min="10876" max="10876" width="9.85546875" customWidth="1"/>
    <col min="10877" max="10878" width="10.140625" bestFit="1" customWidth="1"/>
    <col min="10879" max="10879" width="7.5703125" bestFit="1" customWidth="1"/>
    <col min="10880" max="10880" width="9.42578125" bestFit="1" customWidth="1"/>
    <col min="10881" max="10881" width="14.5703125" bestFit="1" customWidth="1"/>
    <col min="10882" max="10882" width="14.85546875" customWidth="1"/>
    <col min="10883" max="10883" width="15.140625" bestFit="1" customWidth="1"/>
    <col min="10884" max="10884" width="12.140625" bestFit="1" customWidth="1"/>
    <col min="10885" max="10885" width="14.85546875" bestFit="1" customWidth="1"/>
    <col min="10886" max="10886" width="12.28515625" bestFit="1" customWidth="1"/>
    <col min="10887" max="10895" width="9.140625" hidden="1" customWidth="1"/>
    <col min="10896" max="10896" width="5.28515625" bestFit="1" customWidth="1"/>
    <col min="10897" max="10902" width="11.5703125" bestFit="1" customWidth="1"/>
    <col min="10903" max="10903" width="11.28515625" bestFit="1" customWidth="1"/>
    <col min="10904" max="10904" width="10.140625" bestFit="1" customWidth="1"/>
    <col min="10905" max="10905" width="11.5703125" bestFit="1" customWidth="1"/>
    <col min="10906" max="10906" width="16.140625" customWidth="1"/>
    <col min="10907" max="10907" width="13.42578125" customWidth="1"/>
    <col min="10908" max="10908" width="10.140625" bestFit="1" customWidth="1"/>
    <col min="10909" max="10909" width="12.85546875" bestFit="1" customWidth="1"/>
    <col min="10910" max="10910" width="12.28515625" bestFit="1" customWidth="1"/>
    <col min="10911" max="10911" width="11.28515625" bestFit="1" customWidth="1"/>
    <col min="10912" max="10912" width="11.5703125" bestFit="1" customWidth="1"/>
    <col min="10913" max="10913" width="10.85546875" bestFit="1" customWidth="1"/>
    <col min="10914" max="10914" width="11.28515625" bestFit="1" customWidth="1"/>
    <col min="10915" max="10915" width="10.140625" bestFit="1" customWidth="1"/>
    <col min="10916" max="10916" width="13.28515625" bestFit="1" customWidth="1"/>
    <col min="10917" max="10918" width="12.7109375" bestFit="1" customWidth="1"/>
    <col min="10919" max="10919" width="11" bestFit="1" customWidth="1"/>
    <col min="10920" max="10920" width="11.28515625" bestFit="1" customWidth="1"/>
    <col min="10921" max="10921" width="11.5703125" bestFit="1" customWidth="1"/>
    <col min="10922" max="10922" width="12.28515625" bestFit="1" customWidth="1"/>
    <col min="10923" max="10923" width="15.140625" bestFit="1" customWidth="1"/>
    <col min="10924" max="10924" width="14.42578125" bestFit="1" customWidth="1"/>
    <col min="10925" max="10925" width="12.28515625" bestFit="1" customWidth="1"/>
    <col min="10926" max="10926" width="15.140625" bestFit="1" customWidth="1"/>
    <col min="10927" max="10927" width="14.42578125" bestFit="1" customWidth="1"/>
    <col min="10928" max="10928" width="12.28515625" bestFit="1" customWidth="1"/>
    <col min="10929" max="10929" width="14.42578125" bestFit="1" customWidth="1"/>
    <col min="10930" max="10930" width="11.28515625" bestFit="1" customWidth="1"/>
    <col min="10931" max="10931" width="12.28515625" bestFit="1" customWidth="1"/>
    <col min="10932" max="10932" width="13" bestFit="1" customWidth="1"/>
    <col min="10933" max="10933" width="15.140625" bestFit="1" customWidth="1"/>
    <col min="10934" max="10934" width="12.28515625" bestFit="1" customWidth="1"/>
    <col min="10935" max="10935" width="13.85546875" bestFit="1" customWidth="1"/>
    <col min="10936" max="10936" width="11.28515625" bestFit="1" customWidth="1"/>
    <col min="10937" max="10937" width="12.28515625" bestFit="1" customWidth="1"/>
    <col min="10938" max="10938" width="13.85546875" bestFit="1" customWidth="1"/>
    <col min="10939" max="10940" width="15.140625" bestFit="1" customWidth="1"/>
    <col min="10941" max="10941" width="12.28515625" bestFit="1" customWidth="1"/>
    <col min="10942" max="10942" width="5.7109375" bestFit="1" customWidth="1"/>
    <col min="10943" max="10943" width="8.5703125" bestFit="1" customWidth="1"/>
    <col min="10944" max="10944" width="5.5703125" bestFit="1" customWidth="1"/>
    <col min="10945" max="10945" width="14.42578125" bestFit="1" customWidth="1"/>
    <col min="10946" max="10946" width="11.28515625" bestFit="1" customWidth="1"/>
    <col min="10947" max="10948" width="12.28515625" bestFit="1" customWidth="1"/>
    <col min="10949" max="10949" width="11.28515625" bestFit="1" customWidth="1"/>
    <col min="10950" max="10950" width="13.85546875" bestFit="1" customWidth="1"/>
    <col min="10951" max="10951" width="12" bestFit="1" customWidth="1"/>
    <col min="10952" max="10952" width="13.85546875" bestFit="1" customWidth="1"/>
    <col min="10953" max="10954" width="14.42578125" customWidth="1"/>
    <col min="10955" max="10955" width="10.140625" bestFit="1" customWidth="1"/>
    <col min="10956" max="10956" width="12.28515625" bestFit="1" customWidth="1"/>
    <col min="10957" max="10957" width="7.42578125" bestFit="1" customWidth="1"/>
    <col min="10958" max="10958" width="8.5703125" bestFit="1" customWidth="1"/>
    <col min="10959" max="10959" width="11.5703125" bestFit="1" customWidth="1"/>
    <col min="10960" max="10960" width="13.28515625" bestFit="1" customWidth="1"/>
    <col min="10961" max="10961" width="13.28515625" customWidth="1"/>
    <col min="10962" max="10962" width="13.140625" customWidth="1"/>
    <col min="10963" max="10963" width="12.7109375" bestFit="1" customWidth="1"/>
    <col min="10964" max="10964" width="13.28515625" bestFit="1" customWidth="1"/>
    <col min="10965" max="10967" width="13.28515625" customWidth="1"/>
    <col min="10968" max="10968" width="12.140625" bestFit="1" customWidth="1"/>
    <col min="10969" max="10969" width="12.7109375" bestFit="1" customWidth="1"/>
    <col min="10970" max="10970" width="11" customWidth="1"/>
    <col min="10971" max="10971" width="16.7109375" customWidth="1"/>
    <col min="10972" max="10972" width="17" customWidth="1"/>
    <col min="10973" max="10973" width="10.42578125" bestFit="1" customWidth="1"/>
    <col min="11017" max="11017" width="3.85546875" customWidth="1"/>
    <col min="11018" max="11018" width="15.28515625" bestFit="1" customWidth="1"/>
    <col min="11019" max="11019" width="12.28515625" customWidth="1"/>
    <col min="11020" max="11020" width="16.28515625" bestFit="1" customWidth="1"/>
    <col min="11021" max="11021" width="6.42578125" bestFit="1" customWidth="1"/>
    <col min="11022" max="11022" width="9.28515625" bestFit="1" customWidth="1"/>
    <col min="11023" max="11023" width="7.5703125" bestFit="1" customWidth="1"/>
    <col min="11024" max="11024" width="13.28515625" bestFit="1" customWidth="1"/>
    <col min="11025" max="11025" width="9.28515625" bestFit="1" customWidth="1"/>
    <col min="11026" max="11026" width="11.5703125" bestFit="1" customWidth="1"/>
    <col min="11027" max="11027" width="13.28515625" bestFit="1" customWidth="1"/>
    <col min="11028" max="11028" width="7.140625" bestFit="1" customWidth="1"/>
    <col min="11029" max="11029" width="12" bestFit="1" customWidth="1"/>
    <col min="11030" max="11030" width="13.28515625" bestFit="1" customWidth="1"/>
    <col min="11031" max="11031" width="7" bestFit="1" customWidth="1"/>
    <col min="11032" max="11032" width="12.7109375" bestFit="1" customWidth="1"/>
    <col min="11033" max="11033" width="11.5703125" bestFit="1" customWidth="1"/>
    <col min="11034" max="11034" width="10.5703125" bestFit="1" customWidth="1"/>
    <col min="11035" max="11036" width="15.7109375" bestFit="1" customWidth="1"/>
    <col min="11037" max="11037" width="11.5703125" bestFit="1" customWidth="1"/>
    <col min="11038" max="11038" width="7.7109375" bestFit="1" customWidth="1"/>
    <col min="11039" max="11039" width="15.140625" bestFit="1" customWidth="1"/>
    <col min="11040" max="11040" width="11.5703125" bestFit="1" customWidth="1"/>
    <col min="11041" max="11041" width="13.28515625" bestFit="1" customWidth="1"/>
    <col min="11042" max="11042" width="10.42578125" bestFit="1" customWidth="1"/>
    <col min="11043" max="11043" width="13.28515625" bestFit="1" customWidth="1"/>
    <col min="11044" max="11044" width="12.140625" bestFit="1" customWidth="1"/>
    <col min="11045" max="11045" width="14.42578125" bestFit="1" customWidth="1"/>
    <col min="11046" max="11046" width="13.28515625" bestFit="1" customWidth="1"/>
    <col min="11047" max="11047" width="11.5703125" bestFit="1" customWidth="1"/>
    <col min="11048" max="11048" width="7.7109375" bestFit="1" customWidth="1"/>
    <col min="11049" max="11050" width="14.42578125" bestFit="1" customWidth="1"/>
    <col min="11051" max="11051" width="11.5703125" bestFit="1" customWidth="1"/>
    <col min="11052" max="11052" width="7.7109375" bestFit="1" customWidth="1"/>
    <col min="11053" max="11053" width="13.5703125" customWidth="1"/>
    <col min="11054" max="11054" width="15.28515625" customWidth="1"/>
    <col min="11055" max="11055" width="14.5703125" customWidth="1"/>
    <col min="11056" max="11056" width="13.28515625" bestFit="1" customWidth="1"/>
    <col min="11057" max="11057" width="7.7109375" bestFit="1" customWidth="1"/>
    <col min="11058" max="11058" width="12.7109375" bestFit="1" customWidth="1"/>
    <col min="11059" max="11059" width="11.7109375" bestFit="1" customWidth="1"/>
    <col min="11060" max="11060" width="11.5703125" bestFit="1" customWidth="1"/>
    <col min="11061" max="11061" width="5.28515625" bestFit="1" customWidth="1"/>
    <col min="11062" max="11062" width="13.28515625" bestFit="1" customWidth="1"/>
    <col min="11063" max="11063" width="13.5703125" bestFit="1" customWidth="1"/>
    <col min="11064" max="11064" width="10.5703125" bestFit="1" customWidth="1"/>
    <col min="11065" max="11065" width="13.28515625" bestFit="1" customWidth="1"/>
    <col min="11066" max="11066" width="11.5703125" bestFit="1" customWidth="1"/>
    <col min="11067" max="11067" width="10.5703125" bestFit="1" customWidth="1"/>
    <col min="11068" max="11068" width="16.140625" bestFit="1" customWidth="1"/>
    <col min="11069" max="11070" width="11.28515625" bestFit="1" customWidth="1"/>
    <col min="11071" max="11071" width="13.28515625" bestFit="1" customWidth="1"/>
    <col min="11072" max="11072" width="7.7109375" bestFit="1" customWidth="1"/>
    <col min="11073" max="11076" width="9.140625" hidden="1" customWidth="1"/>
    <col min="11077" max="11077" width="10.42578125" bestFit="1" customWidth="1"/>
    <col min="11078" max="11078" width="10.5703125" bestFit="1" customWidth="1"/>
    <col min="11079" max="11079" width="10.42578125" bestFit="1" customWidth="1"/>
    <col min="11080" max="11080" width="10.5703125" bestFit="1" customWidth="1"/>
    <col min="11081" max="11081" width="9.5703125" bestFit="1" customWidth="1"/>
    <col min="11082" max="11082" width="11.5703125" bestFit="1" customWidth="1"/>
    <col min="11083" max="11083" width="10.42578125" bestFit="1" customWidth="1"/>
    <col min="11084" max="11084" width="10.85546875" customWidth="1"/>
    <col min="11085" max="11086" width="9.85546875" bestFit="1" customWidth="1"/>
    <col min="11087" max="11087" width="13.5703125" bestFit="1" customWidth="1"/>
    <col min="11088" max="11088" width="7.7109375" bestFit="1" customWidth="1"/>
    <col min="11089" max="11089" width="13.28515625" bestFit="1" customWidth="1"/>
    <col min="11090" max="11090" width="11.5703125" bestFit="1" customWidth="1"/>
    <col min="11091" max="11091" width="10.42578125" bestFit="1" customWidth="1"/>
    <col min="11092" max="11092" width="7.7109375" bestFit="1" customWidth="1"/>
    <col min="11093" max="11093" width="11.5703125" bestFit="1" customWidth="1"/>
    <col min="11094" max="11094" width="10.85546875" bestFit="1" customWidth="1"/>
    <col min="11095" max="11095" width="13.28515625" bestFit="1" customWidth="1"/>
    <col min="11096" max="11096" width="10.85546875" bestFit="1" customWidth="1"/>
    <col min="11097" max="11098" width="7.5703125" bestFit="1" customWidth="1"/>
    <col min="11099" max="11100" width="10.42578125" bestFit="1" customWidth="1"/>
    <col min="11101" max="11101" width="11.5703125" bestFit="1" customWidth="1"/>
    <col min="11102" max="11102" width="5.28515625" bestFit="1" customWidth="1"/>
    <col min="11103" max="11103" width="10.28515625" bestFit="1" customWidth="1"/>
    <col min="11104" max="11104" width="10.42578125" bestFit="1" customWidth="1"/>
    <col min="11105" max="11105" width="11.5703125" bestFit="1" customWidth="1"/>
    <col min="11106" max="11106" width="5.28515625" bestFit="1" customWidth="1"/>
    <col min="11107" max="11109" width="11.5703125" bestFit="1" customWidth="1"/>
    <col min="11110" max="11110" width="5.28515625" bestFit="1" customWidth="1"/>
    <col min="11111" max="11112" width="10.42578125" bestFit="1" customWidth="1"/>
    <col min="11113" max="11113" width="11.5703125" bestFit="1" customWidth="1"/>
    <col min="11114" max="11114" width="5.28515625" bestFit="1" customWidth="1"/>
    <col min="11115" max="11115" width="14.28515625" bestFit="1" customWidth="1"/>
    <col min="11116" max="11116" width="13" bestFit="1" customWidth="1"/>
    <col min="11117" max="11117" width="11.5703125" bestFit="1" customWidth="1"/>
    <col min="11118" max="11118" width="8.85546875" bestFit="1" customWidth="1"/>
    <col min="11119" max="11119" width="14.42578125" bestFit="1" customWidth="1"/>
    <col min="11120" max="11120" width="10.42578125" bestFit="1" customWidth="1"/>
    <col min="11121" max="11121" width="12.28515625" bestFit="1" customWidth="1"/>
    <col min="11122" max="11122" width="13.85546875" bestFit="1" customWidth="1"/>
    <col min="11123" max="11123" width="11.28515625" customWidth="1"/>
    <col min="11124" max="11124" width="11.5703125" customWidth="1"/>
    <col min="11125" max="11125" width="13.42578125" bestFit="1" customWidth="1"/>
    <col min="11126" max="11126" width="10.42578125" customWidth="1"/>
    <col min="11127" max="11127" width="13.85546875" bestFit="1" customWidth="1"/>
    <col min="11128" max="11128" width="15.42578125" bestFit="1" customWidth="1"/>
    <col min="11129" max="11129" width="12.28515625" bestFit="1" customWidth="1"/>
    <col min="11130" max="11130" width="12.7109375" customWidth="1"/>
    <col min="11131" max="11131" width="10.7109375" bestFit="1" customWidth="1"/>
    <col min="11132" max="11132" width="9.85546875" customWidth="1"/>
    <col min="11133" max="11134" width="10.140625" bestFit="1" customWidth="1"/>
    <col min="11135" max="11135" width="7.5703125" bestFit="1" customWidth="1"/>
    <col min="11136" max="11136" width="9.42578125" bestFit="1" customWidth="1"/>
    <col min="11137" max="11137" width="14.5703125" bestFit="1" customWidth="1"/>
    <col min="11138" max="11138" width="14.85546875" customWidth="1"/>
    <col min="11139" max="11139" width="15.140625" bestFit="1" customWidth="1"/>
    <col min="11140" max="11140" width="12.140625" bestFit="1" customWidth="1"/>
    <col min="11141" max="11141" width="14.85546875" bestFit="1" customWidth="1"/>
    <col min="11142" max="11142" width="12.28515625" bestFit="1" customWidth="1"/>
    <col min="11143" max="11151" width="9.140625" hidden="1" customWidth="1"/>
    <col min="11152" max="11152" width="5.28515625" bestFit="1" customWidth="1"/>
    <col min="11153" max="11158" width="11.5703125" bestFit="1" customWidth="1"/>
    <col min="11159" max="11159" width="11.28515625" bestFit="1" customWidth="1"/>
    <col min="11160" max="11160" width="10.140625" bestFit="1" customWidth="1"/>
    <col min="11161" max="11161" width="11.5703125" bestFit="1" customWidth="1"/>
    <col min="11162" max="11162" width="16.140625" customWidth="1"/>
    <col min="11163" max="11163" width="13.42578125" customWidth="1"/>
    <col min="11164" max="11164" width="10.140625" bestFit="1" customWidth="1"/>
    <col min="11165" max="11165" width="12.85546875" bestFit="1" customWidth="1"/>
    <col min="11166" max="11166" width="12.28515625" bestFit="1" customWidth="1"/>
    <col min="11167" max="11167" width="11.28515625" bestFit="1" customWidth="1"/>
    <col min="11168" max="11168" width="11.5703125" bestFit="1" customWidth="1"/>
    <col min="11169" max="11169" width="10.85546875" bestFit="1" customWidth="1"/>
    <col min="11170" max="11170" width="11.28515625" bestFit="1" customWidth="1"/>
    <col min="11171" max="11171" width="10.140625" bestFit="1" customWidth="1"/>
    <col min="11172" max="11172" width="13.28515625" bestFit="1" customWidth="1"/>
    <col min="11173" max="11174" width="12.7109375" bestFit="1" customWidth="1"/>
    <col min="11175" max="11175" width="11" bestFit="1" customWidth="1"/>
    <col min="11176" max="11176" width="11.28515625" bestFit="1" customWidth="1"/>
    <col min="11177" max="11177" width="11.5703125" bestFit="1" customWidth="1"/>
    <col min="11178" max="11178" width="12.28515625" bestFit="1" customWidth="1"/>
    <col min="11179" max="11179" width="15.140625" bestFit="1" customWidth="1"/>
    <col min="11180" max="11180" width="14.42578125" bestFit="1" customWidth="1"/>
    <col min="11181" max="11181" width="12.28515625" bestFit="1" customWidth="1"/>
    <col min="11182" max="11182" width="15.140625" bestFit="1" customWidth="1"/>
    <col min="11183" max="11183" width="14.42578125" bestFit="1" customWidth="1"/>
    <col min="11184" max="11184" width="12.28515625" bestFit="1" customWidth="1"/>
    <col min="11185" max="11185" width="14.42578125" bestFit="1" customWidth="1"/>
    <col min="11186" max="11186" width="11.28515625" bestFit="1" customWidth="1"/>
    <col min="11187" max="11187" width="12.28515625" bestFit="1" customWidth="1"/>
    <col min="11188" max="11188" width="13" bestFit="1" customWidth="1"/>
    <col min="11189" max="11189" width="15.140625" bestFit="1" customWidth="1"/>
    <col min="11190" max="11190" width="12.28515625" bestFit="1" customWidth="1"/>
    <col min="11191" max="11191" width="13.85546875" bestFit="1" customWidth="1"/>
    <col min="11192" max="11192" width="11.28515625" bestFit="1" customWidth="1"/>
    <col min="11193" max="11193" width="12.28515625" bestFit="1" customWidth="1"/>
    <col min="11194" max="11194" width="13.85546875" bestFit="1" customWidth="1"/>
    <col min="11195" max="11196" width="15.140625" bestFit="1" customWidth="1"/>
    <col min="11197" max="11197" width="12.28515625" bestFit="1" customWidth="1"/>
    <col min="11198" max="11198" width="5.7109375" bestFit="1" customWidth="1"/>
    <col min="11199" max="11199" width="8.5703125" bestFit="1" customWidth="1"/>
    <col min="11200" max="11200" width="5.5703125" bestFit="1" customWidth="1"/>
    <col min="11201" max="11201" width="14.42578125" bestFit="1" customWidth="1"/>
    <col min="11202" max="11202" width="11.28515625" bestFit="1" customWidth="1"/>
    <col min="11203" max="11204" width="12.28515625" bestFit="1" customWidth="1"/>
    <col min="11205" max="11205" width="11.28515625" bestFit="1" customWidth="1"/>
    <col min="11206" max="11206" width="13.85546875" bestFit="1" customWidth="1"/>
    <col min="11207" max="11207" width="12" bestFit="1" customWidth="1"/>
    <col min="11208" max="11208" width="13.85546875" bestFit="1" customWidth="1"/>
    <col min="11209" max="11210" width="14.42578125" customWidth="1"/>
    <col min="11211" max="11211" width="10.140625" bestFit="1" customWidth="1"/>
    <col min="11212" max="11212" width="12.28515625" bestFit="1" customWidth="1"/>
    <col min="11213" max="11213" width="7.42578125" bestFit="1" customWidth="1"/>
    <col min="11214" max="11214" width="8.5703125" bestFit="1" customWidth="1"/>
    <col min="11215" max="11215" width="11.5703125" bestFit="1" customWidth="1"/>
    <col min="11216" max="11216" width="13.28515625" bestFit="1" customWidth="1"/>
    <col min="11217" max="11217" width="13.28515625" customWidth="1"/>
    <col min="11218" max="11218" width="13.140625" customWidth="1"/>
    <col min="11219" max="11219" width="12.7109375" bestFit="1" customWidth="1"/>
    <col min="11220" max="11220" width="13.28515625" bestFit="1" customWidth="1"/>
    <col min="11221" max="11223" width="13.28515625" customWidth="1"/>
    <col min="11224" max="11224" width="12.140625" bestFit="1" customWidth="1"/>
    <col min="11225" max="11225" width="12.7109375" bestFit="1" customWidth="1"/>
    <col min="11226" max="11226" width="11" customWidth="1"/>
    <col min="11227" max="11227" width="16.7109375" customWidth="1"/>
    <col min="11228" max="11228" width="17" customWidth="1"/>
    <col min="11229" max="11229" width="10.42578125" bestFit="1" customWidth="1"/>
    <col min="11273" max="11273" width="3.85546875" customWidth="1"/>
    <col min="11274" max="11274" width="15.28515625" bestFit="1" customWidth="1"/>
    <col min="11275" max="11275" width="12.28515625" customWidth="1"/>
    <col min="11276" max="11276" width="16.28515625" bestFit="1" customWidth="1"/>
    <col min="11277" max="11277" width="6.42578125" bestFit="1" customWidth="1"/>
    <col min="11278" max="11278" width="9.28515625" bestFit="1" customWidth="1"/>
    <col min="11279" max="11279" width="7.5703125" bestFit="1" customWidth="1"/>
    <col min="11280" max="11280" width="13.28515625" bestFit="1" customWidth="1"/>
    <col min="11281" max="11281" width="9.28515625" bestFit="1" customWidth="1"/>
    <col min="11282" max="11282" width="11.5703125" bestFit="1" customWidth="1"/>
    <col min="11283" max="11283" width="13.28515625" bestFit="1" customWidth="1"/>
    <col min="11284" max="11284" width="7.140625" bestFit="1" customWidth="1"/>
    <col min="11285" max="11285" width="12" bestFit="1" customWidth="1"/>
    <col min="11286" max="11286" width="13.28515625" bestFit="1" customWidth="1"/>
    <col min="11287" max="11287" width="7" bestFit="1" customWidth="1"/>
    <col min="11288" max="11288" width="12.7109375" bestFit="1" customWidth="1"/>
    <col min="11289" max="11289" width="11.5703125" bestFit="1" customWidth="1"/>
    <col min="11290" max="11290" width="10.5703125" bestFit="1" customWidth="1"/>
    <col min="11291" max="11292" width="15.7109375" bestFit="1" customWidth="1"/>
    <col min="11293" max="11293" width="11.5703125" bestFit="1" customWidth="1"/>
    <col min="11294" max="11294" width="7.7109375" bestFit="1" customWidth="1"/>
    <col min="11295" max="11295" width="15.140625" bestFit="1" customWidth="1"/>
    <col min="11296" max="11296" width="11.5703125" bestFit="1" customWidth="1"/>
    <col min="11297" max="11297" width="13.28515625" bestFit="1" customWidth="1"/>
    <col min="11298" max="11298" width="10.42578125" bestFit="1" customWidth="1"/>
    <col min="11299" max="11299" width="13.28515625" bestFit="1" customWidth="1"/>
    <col min="11300" max="11300" width="12.140625" bestFit="1" customWidth="1"/>
    <col min="11301" max="11301" width="14.42578125" bestFit="1" customWidth="1"/>
    <col min="11302" max="11302" width="13.28515625" bestFit="1" customWidth="1"/>
    <col min="11303" max="11303" width="11.5703125" bestFit="1" customWidth="1"/>
    <col min="11304" max="11304" width="7.7109375" bestFit="1" customWidth="1"/>
    <col min="11305" max="11306" width="14.42578125" bestFit="1" customWidth="1"/>
    <col min="11307" max="11307" width="11.5703125" bestFit="1" customWidth="1"/>
    <col min="11308" max="11308" width="7.7109375" bestFit="1" customWidth="1"/>
    <col min="11309" max="11309" width="13.5703125" customWidth="1"/>
    <col min="11310" max="11310" width="15.28515625" customWidth="1"/>
    <col min="11311" max="11311" width="14.5703125" customWidth="1"/>
    <col min="11312" max="11312" width="13.28515625" bestFit="1" customWidth="1"/>
    <col min="11313" max="11313" width="7.7109375" bestFit="1" customWidth="1"/>
    <col min="11314" max="11314" width="12.7109375" bestFit="1" customWidth="1"/>
    <col min="11315" max="11315" width="11.7109375" bestFit="1" customWidth="1"/>
    <col min="11316" max="11316" width="11.5703125" bestFit="1" customWidth="1"/>
    <col min="11317" max="11317" width="5.28515625" bestFit="1" customWidth="1"/>
    <col min="11318" max="11318" width="13.28515625" bestFit="1" customWidth="1"/>
    <col min="11319" max="11319" width="13.5703125" bestFit="1" customWidth="1"/>
    <col min="11320" max="11320" width="10.5703125" bestFit="1" customWidth="1"/>
    <col min="11321" max="11321" width="13.28515625" bestFit="1" customWidth="1"/>
    <col min="11322" max="11322" width="11.5703125" bestFit="1" customWidth="1"/>
    <col min="11323" max="11323" width="10.5703125" bestFit="1" customWidth="1"/>
    <col min="11324" max="11324" width="16.140625" bestFit="1" customWidth="1"/>
    <col min="11325" max="11326" width="11.28515625" bestFit="1" customWidth="1"/>
    <col min="11327" max="11327" width="13.28515625" bestFit="1" customWidth="1"/>
    <col min="11328" max="11328" width="7.7109375" bestFit="1" customWidth="1"/>
    <col min="11329" max="11332" width="9.140625" hidden="1" customWidth="1"/>
    <col min="11333" max="11333" width="10.42578125" bestFit="1" customWidth="1"/>
    <col min="11334" max="11334" width="10.5703125" bestFit="1" customWidth="1"/>
    <col min="11335" max="11335" width="10.42578125" bestFit="1" customWidth="1"/>
    <col min="11336" max="11336" width="10.5703125" bestFit="1" customWidth="1"/>
    <col min="11337" max="11337" width="9.5703125" bestFit="1" customWidth="1"/>
    <col min="11338" max="11338" width="11.5703125" bestFit="1" customWidth="1"/>
    <col min="11339" max="11339" width="10.42578125" bestFit="1" customWidth="1"/>
    <col min="11340" max="11340" width="10.85546875" customWidth="1"/>
    <col min="11341" max="11342" width="9.85546875" bestFit="1" customWidth="1"/>
    <col min="11343" max="11343" width="13.5703125" bestFit="1" customWidth="1"/>
    <col min="11344" max="11344" width="7.7109375" bestFit="1" customWidth="1"/>
    <col min="11345" max="11345" width="13.28515625" bestFit="1" customWidth="1"/>
    <col min="11346" max="11346" width="11.5703125" bestFit="1" customWidth="1"/>
    <col min="11347" max="11347" width="10.42578125" bestFit="1" customWidth="1"/>
    <col min="11348" max="11348" width="7.7109375" bestFit="1" customWidth="1"/>
    <col min="11349" max="11349" width="11.5703125" bestFit="1" customWidth="1"/>
    <col min="11350" max="11350" width="10.85546875" bestFit="1" customWidth="1"/>
    <col min="11351" max="11351" width="13.28515625" bestFit="1" customWidth="1"/>
    <col min="11352" max="11352" width="10.85546875" bestFit="1" customWidth="1"/>
    <col min="11353" max="11354" width="7.5703125" bestFit="1" customWidth="1"/>
    <col min="11355" max="11356" width="10.42578125" bestFit="1" customWidth="1"/>
    <col min="11357" max="11357" width="11.5703125" bestFit="1" customWidth="1"/>
    <col min="11358" max="11358" width="5.28515625" bestFit="1" customWidth="1"/>
    <col min="11359" max="11359" width="10.28515625" bestFit="1" customWidth="1"/>
    <col min="11360" max="11360" width="10.42578125" bestFit="1" customWidth="1"/>
    <col min="11361" max="11361" width="11.5703125" bestFit="1" customWidth="1"/>
    <col min="11362" max="11362" width="5.28515625" bestFit="1" customWidth="1"/>
    <col min="11363" max="11365" width="11.5703125" bestFit="1" customWidth="1"/>
    <col min="11366" max="11366" width="5.28515625" bestFit="1" customWidth="1"/>
    <col min="11367" max="11368" width="10.42578125" bestFit="1" customWidth="1"/>
    <col min="11369" max="11369" width="11.5703125" bestFit="1" customWidth="1"/>
    <col min="11370" max="11370" width="5.28515625" bestFit="1" customWidth="1"/>
    <col min="11371" max="11371" width="14.28515625" bestFit="1" customWidth="1"/>
    <col min="11372" max="11372" width="13" bestFit="1" customWidth="1"/>
    <col min="11373" max="11373" width="11.5703125" bestFit="1" customWidth="1"/>
    <col min="11374" max="11374" width="8.85546875" bestFit="1" customWidth="1"/>
    <col min="11375" max="11375" width="14.42578125" bestFit="1" customWidth="1"/>
    <col min="11376" max="11376" width="10.42578125" bestFit="1" customWidth="1"/>
    <col min="11377" max="11377" width="12.28515625" bestFit="1" customWidth="1"/>
    <col min="11378" max="11378" width="13.85546875" bestFit="1" customWidth="1"/>
    <col min="11379" max="11379" width="11.28515625" customWidth="1"/>
    <col min="11380" max="11380" width="11.5703125" customWidth="1"/>
    <col min="11381" max="11381" width="13.42578125" bestFit="1" customWidth="1"/>
    <col min="11382" max="11382" width="10.42578125" customWidth="1"/>
    <col min="11383" max="11383" width="13.85546875" bestFit="1" customWidth="1"/>
    <col min="11384" max="11384" width="15.42578125" bestFit="1" customWidth="1"/>
    <col min="11385" max="11385" width="12.28515625" bestFit="1" customWidth="1"/>
    <col min="11386" max="11386" width="12.7109375" customWidth="1"/>
    <col min="11387" max="11387" width="10.7109375" bestFit="1" customWidth="1"/>
    <col min="11388" max="11388" width="9.85546875" customWidth="1"/>
    <col min="11389" max="11390" width="10.140625" bestFit="1" customWidth="1"/>
    <col min="11391" max="11391" width="7.5703125" bestFit="1" customWidth="1"/>
    <col min="11392" max="11392" width="9.42578125" bestFit="1" customWidth="1"/>
    <col min="11393" max="11393" width="14.5703125" bestFit="1" customWidth="1"/>
    <col min="11394" max="11394" width="14.85546875" customWidth="1"/>
    <col min="11395" max="11395" width="15.140625" bestFit="1" customWidth="1"/>
    <col min="11396" max="11396" width="12.140625" bestFit="1" customWidth="1"/>
    <col min="11397" max="11397" width="14.85546875" bestFit="1" customWidth="1"/>
    <col min="11398" max="11398" width="12.28515625" bestFit="1" customWidth="1"/>
    <col min="11399" max="11407" width="9.140625" hidden="1" customWidth="1"/>
    <col min="11408" max="11408" width="5.28515625" bestFit="1" customWidth="1"/>
    <col min="11409" max="11414" width="11.5703125" bestFit="1" customWidth="1"/>
    <col min="11415" max="11415" width="11.28515625" bestFit="1" customWidth="1"/>
    <col min="11416" max="11416" width="10.140625" bestFit="1" customWidth="1"/>
    <col min="11417" max="11417" width="11.5703125" bestFit="1" customWidth="1"/>
    <col min="11418" max="11418" width="16.140625" customWidth="1"/>
    <col min="11419" max="11419" width="13.42578125" customWidth="1"/>
    <col min="11420" max="11420" width="10.140625" bestFit="1" customWidth="1"/>
    <col min="11421" max="11421" width="12.85546875" bestFit="1" customWidth="1"/>
    <col min="11422" max="11422" width="12.28515625" bestFit="1" customWidth="1"/>
    <col min="11423" max="11423" width="11.28515625" bestFit="1" customWidth="1"/>
    <col min="11424" max="11424" width="11.5703125" bestFit="1" customWidth="1"/>
    <col min="11425" max="11425" width="10.85546875" bestFit="1" customWidth="1"/>
    <col min="11426" max="11426" width="11.28515625" bestFit="1" customWidth="1"/>
    <col min="11427" max="11427" width="10.140625" bestFit="1" customWidth="1"/>
    <col min="11428" max="11428" width="13.28515625" bestFit="1" customWidth="1"/>
    <col min="11429" max="11430" width="12.7109375" bestFit="1" customWidth="1"/>
    <col min="11431" max="11431" width="11" bestFit="1" customWidth="1"/>
    <col min="11432" max="11432" width="11.28515625" bestFit="1" customWidth="1"/>
    <col min="11433" max="11433" width="11.5703125" bestFit="1" customWidth="1"/>
    <col min="11434" max="11434" width="12.28515625" bestFit="1" customWidth="1"/>
    <col min="11435" max="11435" width="15.140625" bestFit="1" customWidth="1"/>
    <col min="11436" max="11436" width="14.42578125" bestFit="1" customWidth="1"/>
    <col min="11437" max="11437" width="12.28515625" bestFit="1" customWidth="1"/>
    <col min="11438" max="11438" width="15.140625" bestFit="1" customWidth="1"/>
    <col min="11439" max="11439" width="14.42578125" bestFit="1" customWidth="1"/>
    <col min="11440" max="11440" width="12.28515625" bestFit="1" customWidth="1"/>
    <col min="11441" max="11441" width="14.42578125" bestFit="1" customWidth="1"/>
    <col min="11442" max="11442" width="11.28515625" bestFit="1" customWidth="1"/>
    <col min="11443" max="11443" width="12.28515625" bestFit="1" customWidth="1"/>
    <col min="11444" max="11444" width="13" bestFit="1" customWidth="1"/>
    <col min="11445" max="11445" width="15.140625" bestFit="1" customWidth="1"/>
    <col min="11446" max="11446" width="12.28515625" bestFit="1" customWidth="1"/>
    <col min="11447" max="11447" width="13.85546875" bestFit="1" customWidth="1"/>
    <col min="11448" max="11448" width="11.28515625" bestFit="1" customWidth="1"/>
    <col min="11449" max="11449" width="12.28515625" bestFit="1" customWidth="1"/>
    <col min="11450" max="11450" width="13.85546875" bestFit="1" customWidth="1"/>
    <col min="11451" max="11452" width="15.140625" bestFit="1" customWidth="1"/>
    <col min="11453" max="11453" width="12.28515625" bestFit="1" customWidth="1"/>
    <col min="11454" max="11454" width="5.7109375" bestFit="1" customWidth="1"/>
    <col min="11455" max="11455" width="8.5703125" bestFit="1" customWidth="1"/>
    <col min="11456" max="11456" width="5.5703125" bestFit="1" customWidth="1"/>
    <col min="11457" max="11457" width="14.42578125" bestFit="1" customWidth="1"/>
    <col min="11458" max="11458" width="11.28515625" bestFit="1" customWidth="1"/>
    <col min="11459" max="11460" width="12.28515625" bestFit="1" customWidth="1"/>
    <col min="11461" max="11461" width="11.28515625" bestFit="1" customWidth="1"/>
    <col min="11462" max="11462" width="13.85546875" bestFit="1" customWidth="1"/>
    <col min="11463" max="11463" width="12" bestFit="1" customWidth="1"/>
    <col min="11464" max="11464" width="13.85546875" bestFit="1" customWidth="1"/>
    <col min="11465" max="11466" width="14.42578125" customWidth="1"/>
    <col min="11467" max="11467" width="10.140625" bestFit="1" customWidth="1"/>
    <col min="11468" max="11468" width="12.28515625" bestFit="1" customWidth="1"/>
    <col min="11469" max="11469" width="7.42578125" bestFit="1" customWidth="1"/>
    <col min="11470" max="11470" width="8.5703125" bestFit="1" customWidth="1"/>
    <col min="11471" max="11471" width="11.5703125" bestFit="1" customWidth="1"/>
    <col min="11472" max="11472" width="13.28515625" bestFit="1" customWidth="1"/>
    <col min="11473" max="11473" width="13.28515625" customWidth="1"/>
    <col min="11474" max="11474" width="13.140625" customWidth="1"/>
    <col min="11475" max="11475" width="12.7109375" bestFit="1" customWidth="1"/>
    <col min="11476" max="11476" width="13.28515625" bestFit="1" customWidth="1"/>
    <col min="11477" max="11479" width="13.28515625" customWidth="1"/>
    <col min="11480" max="11480" width="12.140625" bestFit="1" customWidth="1"/>
    <col min="11481" max="11481" width="12.7109375" bestFit="1" customWidth="1"/>
    <col min="11482" max="11482" width="11" customWidth="1"/>
    <col min="11483" max="11483" width="16.7109375" customWidth="1"/>
    <col min="11484" max="11484" width="17" customWidth="1"/>
    <col min="11485" max="11485" width="10.42578125" bestFit="1" customWidth="1"/>
    <col min="11529" max="11529" width="3.85546875" customWidth="1"/>
    <col min="11530" max="11530" width="15.28515625" bestFit="1" customWidth="1"/>
    <col min="11531" max="11531" width="12.28515625" customWidth="1"/>
    <col min="11532" max="11532" width="16.28515625" bestFit="1" customWidth="1"/>
    <col min="11533" max="11533" width="6.42578125" bestFit="1" customWidth="1"/>
    <col min="11534" max="11534" width="9.28515625" bestFit="1" customWidth="1"/>
    <col min="11535" max="11535" width="7.5703125" bestFit="1" customWidth="1"/>
    <col min="11536" max="11536" width="13.28515625" bestFit="1" customWidth="1"/>
    <col min="11537" max="11537" width="9.28515625" bestFit="1" customWidth="1"/>
    <col min="11538" max="11538" width="11.5703125" bestFit="1" customWidth="1"/>
    <col min="11539" max="11539" width="13.28515625" bestFit="1" customWidth="1"/>
    <col min="11540" max="11540" width="7.140625" bestFit="1" customWidth="1"/>
    <col min="11541" max="11541" width="12" bestFit="1" customWidth="1"/>
    <col min="11542" max="11542" width="13.28515625" bestFit="1" customWidth="1"/>
    <col min="11543" max="11543" width="7" bestFit="1" customWidth="1"/>
    <col min="11544" max="11544" width="12.7109375" bestFit="1" customWidth="1"/>
    <col min="11545" max="11545" width="11.5703125" bestFit="1" customWidth="1"/>
    <col min="11546" max="11546" width="10.5703125" bestFit="1" customWidth="1"/>
    <col min="11547" max="11548" width="15.7109375" bestFit="1" customWidth="1"/>
    <col min="11549" max="11549" width="11.5703125" bestFit="1" customWidth="1"/>
    <col min="11550" max="11550" width="7.7109375" bestFit="1" customWidth="1"/>
    <col min="11551" max="11551" width="15.140625" bestFit="1" customWidth="1"/>
    <col min="11552" max="11552" width="11.5703125" bestFit="1" customWidth="1"/>
    <col min="11553" max="11553" width="13.28515625" bestFit="1" customWidth="1"/>
    <col min="11554" max="11554" width="10.42578125" bestFit="1" customWidth="1"/>
    <col min="11555" max="11555" width="13.28515625" bestFit="1" customWidth="1"/>
    <col min="11556" max="11556" width="12.140625" bestFit="1" customWidth="1"/>
    <col min="11557" max="11557" width="14.42578125" bestFit="1" customWidth="1"/>
    <col min="11558" max="11558" width="13.28515625" bestFit="1" customWidth="1"/>
    <col min="11559" max="11559" width="11.5703125" bestFit="1" customWidth="1"/>
    <col min="11560" max="11560" width="7.7109375" bestFit="1" customWidth="1"/>
    <col min="11561" max="11562" width="14.42578125" bestFit="1" customWidth="1"/>
    <col min="11563" max="11563" width="11.5703125" bestFit="1" customWidth="1"/>
    <col min="11564" max="11564" width="7.7109375" bestFit="1" customWidth="1"/>
    <col min="11565" max="11565" width="13.5703125" customWidth="1"/>
    <col min="11566" max="11566" width="15.28515625" customWidth="1"/>
    <col min="11567" max="11567" width="14.5703125" customWidth="1"/>
    <col min="11568" max="11568" width="13.28515625" bestFit="1" customWidth="1"/>
    <col min="11569" max="11569" width="7.7109375" bestFit="1" customWidth="1"/>
    <col min="11570" max="11570" width="12.7109375" bestFit="1" customWidth="1"/>
    <col min="11571" max="11571" width="11.7109375" bestFit="1" customWidth="1"/>
    <col min="11572" max="11572" width="11.5703125" bestFit="1" customWidth="1"/>
    <col min="11573" max="11573" width="5.28515625" bestFit="1" customWidth="1"/>
    <col min="11574" max="11574" width="13.28515625" bestFit="1" customWidth="1"/>
    <col min="11575" max="11575" width="13.5703125" bestFit="1" customWidth="1"/>
    <col min="11576" max="11576" width="10.5703125" bestFit="1" customWidth="1"/>
    <col min="11577" max="11577" width="13.28515625" bestFit="1" customWidth="1"/>
    <col min="11578" max="11578" width="11.5703125" bestFit="1" customWidth="1"/>
    <col min="11579" max="11579" width="10.5703125" bestFit="1" customWidth="1"/>
    <col min="11580" max="11580" width="16.140625" bestFit="1" customWidth="1"/>
    <col min="11581" max="11582" width="11.28515625" bestFit="1" customWidth="1"/>
    <col min="11583" max="11583" width="13.28515625" bestFit="1" customWidth="1"/>
    <col min="11584" max="11584" width="7.7109375" bestFit="1" customWidth="1"/>
    <col min="11585" max="11588" width="9.140625" hidden="1" customWidth="1"/>
    <col min="11589" max="11589" width="10.42578125" bestFit="1" customWidth="1"/>
    <col min="11590" max="11590" width="10.5703125" bestFit="1" customWidth="1"/>
    <col min="11591" max="11591" width="10.42578125" bestFit="1" customWidth="1"/>
    <col min="11592" max="11592" width="10.5703125" bestFit="1" customWidth="1"/>
    <col min="11593" max="11593" width="9.5703125" bestFit="1" customWidth="1"/>
    <col min="11594" max="11594" width="11.5703125" bestFit="1" customWidth="1"/>
    <col min="11595" max="11595" width="10.42578125" bestFit="1" customWidth="1"/>
    <col min="11596" max="11596" width="10.85546875" customWidth="1"/>
    <col min="11597" max="11598" width="9.85546875" bestFit="1" customWidth="1"/>
    <col min="11599" max="11599" width="13.5703125" bestFit="1" customWidth="1"/>
    <col min="11600" max="11600" width="7.7109375" bestFit="1" customWidth="1"/>
    <col min="11601" max="11601" width="13.28515625" bestFit="1" customWidth="1"/>
    <col min="11602" max="11602" width="11.5703125" bestFit="1" customWidth="1"/>
    <col min="11603" max="11603" width="10.42578125" bestFit="1" customWidth="1"/>
    <col min="11604" max="11604" width="7.7109375" bestFit="1" customWidth="1"/>
    <col min="11605" max="11605" width="11.5703125" bestFit="1" customWidth="1"/>
    <col min="11606" max="11606" width="10.85546875" bestFit="1" customWidth="1"/>
    <col min="11607" max="11607" width="13.28515625" bestFit="1" customWidth="1"/>
    <col min="11608" max="11608" width="10.85546875" bestFit="1" customWidth="1"/>
    <col min="11609" max="11610" width="7.5703125" bestFit="1" customWidth="1"/>
    <col min="11611" max="11612" width="10.42578125" bestFit="1" customWidth="1"/>
    <col min="11613" max="11613" width="11.5703125" bestFit="1" customWidth="1"/>
    <col min="11614" max="11614" width="5.28515625" bestFit="1" customWidth="1"/>
    <col min="11615" max="11615" width="10.28515625" bestFit="1" customWidth="1"/>
    <col min="11616" max="11616" width="10.42578125" bestFit="1" customWidth="1"/>
    <col min="11617" max="11617" width="11.5703125" bestFit="1" customWidth="1"/>
    <col min="11618" max="11618" width="5.28515625" bestFit="1" customWidth="1"/>
    <col min="11619" max="11621" width="11.5703125" bestFit="1" customWidth="1"/>
    <col min="11622" max="11622" width="5.28515625" bestFit="1" customWidth="1"/>
    <col min="11623" max="11624" width="10.42578125" bestFit="1" customWidth="1"/>
    <col min="11625" max="11625" width="11.5703125" bestFit="1" customWidth="1"/>
    <col min="11626" max="11626" width="5.28515625" bestFit="1" customWidth="1"/>
    <col min="11627" max="11627" width="14.28515625" bestFit="1" customWidth="1"/>
    <col min="11628" max="11628" width="13" bestFit="1" customWidth="1"/>
    <col min="11629" max="11629" width="11.5703125" bestFit="1" customWidth="1"/>
    <col min="11630" max="11630" width="8.85546875" bestFit="1" customWidth="1"/>
    <col min="11631" max="11631" width="14.42578125" bestFit="1" customWidth="1"/>
    <col min="11632" max="11632" width="10.42578125" bestFit="1" customWidth="1"/>
    <col min="11633" max="11633" width="12.28515625" bestFit="1" customWidth="1"/>
    <col min="11634" max="11634" width="13.85546875" bestFit="1" customWidth="1"/>
    <col min="11635" max="11635" width="11.28515625" customWidth="1"/>
    <col min="11636" max="11636" width="11.5703125" customWidth="1"/>
    <col min="11637" max="11637" width="13.42578125" bestFit="1" customWidth="1"/>
    <col min="11638" max="11638" width="10.42578125" customWidth="1"/>
    <col min="11639" max="11639" width="13.85546875" bestFit="1" customWidth="1"/>
    <col min="11640" max="11640" width="15.42578125" bestFit="1" customWidth="1"/>
    <col min="11641" max="11641" width="12.28515625" bestFit="1" customWidth="1"/>
    <col min="11642" max="11642" width="12.7109375" customWidth="1"/>
    <col min="11643" max="11643" width="10.7109375" bestFit="1" customWidth="1"/>
    <col min="11644" max="11644" width="9.85546875" customWidth="1"/>
    <col min="11645" max="11646" width="10.140625" bestFit="1" customWidth="1"/>
    <col min="11647" max="11647" width="7.5703125" bestFit="1" customWidth="1"/>
    <col min="11648" max="11648" width="9.42578125" bestFit="1" customWidth="1"/>
    <col min="11649" max="11649" width="14.5703125" bestFit="1" customWidth="1"/>
    <col min="11650" max="11650" width="14.85546875" customWidth="1"/>
    <col min="11651" max="11651" width="15.140625" bestFit="1" customWidth="1"/>
    <col min="11652" max="11652" width="12.140625" bestFit="1" customWidth="1"/>
    <col min="11653" max="11653" width="14.85546875" bestFit="1" customWidth="1"/>
    <col min="11654" max="11654" width="12.28515625" bestFit="1" customWidth="1"/>
    <col min="11655" max="11663" width="9.140625" hidden="1" customWidth="1"/>
    <col min="11664" max="11664" width="5.28515625" bestFit="1" customWidth="1"/>
    <col min="11665" max="11670" width="11.5703125" bestFit="1" customWidth="1"/>
    <col min="11671" max="11671" width="11.28515625" bestFit="1" customWidth="1"/>
    <col min="11672" max="11672" width="10.140625" bestFit="1" customWidth="1"/>
    <col min="11673" max="11673" width="11.5703125" bestFit="1" customWidth="1"/>
    <col min="11674" max="11674" width="16.140625" customWidth="1"/>
    <col min="11675" max="11675" width="13.42578125" customWidth="1"/>
    <col min="11676" max="11676" width="10.140625" bestFit="1" customWidth="1"/>
    <col min="11677" max="11677" width="12.85546875" bestFit="1" customWidth="1"/>
    <col min="11678" max="11678" width="12.28515625" bestFit="1" customWidth="1"/>
    <col min="11679" max="11679" width="11.28515625" bestFit="1" customWidth="1"/>
    <col min="11680" max="11680" width="11.5703125" bestFit="1" customWidth="1"/>
    <col min="11681" max="11681" width="10.85546875" bestFit="1" customWidth="1"/>
    <col min="11682" max="11682" width="11.28515625" bestFit="1" customWidth="1"/>
    <col min="11683" max="11683" width="10.140625" bestFit="1" customWidth="1"/>
    <col min="11684" max="11684" width="13.28515625" bestFit="1" customWidth="1"/>
    <col min="11685" max="11686" width="12.7109375" bestFit="1" customWidth="1"/>
    <col min="11687" max="11687" width="11" bestFit="1" customWidth="1"/>
    <col min="11688" max="11688" width="11.28515625" bestFit="1" customWidth="1"/>
    <col min="11689" max="11689" width="11.5703125" bestFit="1" customWidth="1"/>
    <col min="11690" max="11690" width="12.28515625" bestFit="1" customWidth="1"/>
    <col min="11691" max="11691" width="15.140625" bestFit="1" customWidth="1"/>
    <col min="11692" max="11692" width="14.42578125" bestFit="1" customWidth="1"/>
    <col min="11693" max="11693" width="12.28515625" bestFit="1" customWidth="1"/>
    <col min="11694" max="11694" width="15.140625" bestFit="1" customWidth="1"/>
    <col min="11695" max="11695" width="14.42578125" bestFit="1" customWidth="1"/>
    <col min="11696" max="11696" width="12.28515625" bestFit="1" customWidth="1"/>
    <col min="11697" max="11697" width="14.42578125" bestFit="1" customWidth="1"/>
    <col min="11698" max="11698" width="11.28515625" bestFit="1" customWidth="1"/>
    <col min="11699" max="11699" width="12.28515625" bestFit="1" customWidth="1"/>
    <col min="11700" max="11700" width="13" bestFit="1" customWidth="1"/>
    <col min="11701" max="11701" width="15.140625" bestFit="1" customWidth="1"/>
    <col min="11702" max="11702" width="12.28515625" bestFit="1" customWidth="1"/>
    <col min="11703" max="11703" width="13.85546875" bestFit="1" customWidth="1"/>
    <col min="11704" max="11704" width="11.28515625" bestFit="1" customWidth="1"/>
    <col min="11705" max="11705" width="12.28515625" bestFit="1" customWidth="1"/>
    <col min="11706" max="11706" width="13.85546875" bestFit="1" customWidth="1"/>
    <col min="11707" max="11708" width="15.140625" bestFit="1" customWidth="1"/>
    <col min="11709" max="11709" width="12.28515625" bestFit="1" customWidth="1"/>
    <col min="11710" max="11710" width="5.7109375" bestFit="1" customWidth="1"/>
    <col min="11711" max="11711" width="8.5703125" bestFit="1" customWidth="1"/>
    <col min="11712" max="11712" width="5.5703125" bestFit="1" customWidth="1"/>
    <col min="11713" max="11713" width="14.42578125" bestFit="1" customWidth="1"/>
    <col min="11714" max="11714" width="11.28515625" bestFit="1" customWidth="1"/>
    <col min="11715" max="11716" width="12.28515625" bestFit="1" customWidth="1"/>
    <col min="11717" max="11717" width="11.28515625" bestFit="1" customWidth="1"/>
    <col min="11718" max="11718" width="13.85546875" bestFit="1" customWidth="1"/>
    <col min="11719" max="11719" width="12" bestFit="1" customWidth="1"/>
    <col min="11720" max="11720" width="13.85546875" bestFit="1" customWidth="1"/>
    <col min="11721" max="11722" width="14.42578125" customWidth="1"/>
    <col min="11723" max="11723" width="10.140625" bestFit="1" customWidth="1"/>
    <col min="11724" max="11724" width="12.28515625" bestFit="1" customWidth="1"/>
    <col min="11725" max="11725" width="7.42578125" bestFit="1" customWidth="1"/>
    <col min="11726" max="11726" width="8.5703125" bestFit="1" customWidth="1"/>
    <col min="11727" max="11727" width="11.5703125" bestFit="1" customWidth="1"/>
    <col min="11728" max="11728" width="13.28515625" bestFit="1" customWidth="1"/>
    <col min="11729" max="11729" width="13.28515625" customWidth="1"/>
    <col min="11730" max="11730" width="13.140625" customWidth="1"/>
    <col min="11731" max="11731" width="12.7109375" bestFit="1" customWidth="1"/>
    <col min="11732" max="11732" width="13.28515625" bestFit="1" customWidth="1"/>
    <col min="11733" max="11735" width="13.28515625" customWidth="1"/>
    <col min="11736" max="11736" width="12.140625" bestFit="1" customWidth="1"/>
    <col min="11737" max="11737" width="12.7109375" bestFit="1" customWidth="1"/>
    <col min="11738" max="11738" width="11" customWidth="1"/>
    <col min="11739" max="11739" width="16.7109375" customWidth="1"/>
    <col min="11740" max="11740" width="17" customWidth="1"/>
    <col min="11741" max="11741" width="10.42578125" bestFit="1" customWidth="1"/>
    <col min="11785" max="11785" width="3.85546875" customWidth="1"/>
    <col min="11786" max="11786" width="15.28515625" bestFit="1" customWidth="1"/>
    <col min="11787" max="11787" width="12.28515625" customWidth="1"/>
    <col min="11788" max="11788" width="16.28515625" bestFit="1" customWidth="1"/>
    <col min="11789" max="11789" width="6.42578125" bestFit="1" customWidth="1"/>
    <col min="11790" max="11790" width="9.28515625" bestFit="1" customWidth="1"/>
    <col min="11791" max="11791" width="7.5703125" bestFit="1" customWidth="1"/>
    <col min="11792" max="11792" width="13.28515625" bestFit="1" customWidth="1"/>
    <col min="11793" max="11793" width="9.28515625" bestFit="1" customWidth="1"/>
    <col min="11794" max="11794" width="11.5703125" bestFit="1" customWidth="1"/>
    <col min="11795" max="11795" width="13.28515625" bestFit="1" customWidth="1"/>
    <col min="11796" max="11796" width="7.140625" bestFit="1" customWidth="1"/>
    <col min="11797" max="11797" width="12" bestFit="1" customWidth="1"/>
    <col min="11798" max="11798" width="13.28515625" bestFit="1" customWidth="1"/>
    <col min="11799" max="11799" width="7" bestFit="1" customWidth="1"/>
    <col min="11800" max="11800" width="12.7109375" bestFit="1" customWidth="1"/>
    <col min="11801" max="11801" width="11.5703125" bestFit="1" customWidth="1"/>
    <col min="11802" max="11802" width="10.5703125" bestFit="1" customWidth="1"/>
    <col min="11803" max="11804" width="15.7109375" bestFit="1" customWidth="1"/>
    <col min="11805" max="11805" width="11.5703125" bestFit="1" customWidth="1"/>
    <col min="11806" max="11806" width="7.7109375" bestFit="1" customWidth="1"/>
    <col min="11807" max="11807" width="15.140625" bestFit="1" customWidth="1"/>
    <col min="11808" max="11808" width="11.5703125" bestFit="1" customWidth="1"/>
    <col min="11809" max="11809" width="13.28515625" bestFit="1" customWidth="1"/>
    <col min="11810" max="11810" width="10.42578125" bestFit="1" customWidth="1"/>
    <col min="11811" max="11811" width="13.28515625" bestFit="1" customWidth="1"/>
    <col min="11812" max="11812" width="12.140625" bestFit="1" customWidth="1"/>
    <col min="11813" max="11813" width="14.42578125" bestFit="1" customWidth="1"/>
    <col min="11814" max="11814" width="13.28515625" bestFit="1" customWidth="1"/>
    <col min="11815" max="11815" width="11.5703125" bestFit="1" customWidth="1"/>
    <col min="11816" max="11816" width="7.7109375" bestFit="1" customWidth="1"/>
    <col min="11817" max="11818" width="14.42578125" bestFit="1" customWidth="1"/>
    <col min="11819" max="11819" width="11.5703125" bestFit="1" customWidth="1"/>
    <col min="11820" max="11820" width="7.7109375" bestFit="1" customWidth="1"/>
    <col min="11821" max="11821" width="13.5703125" customWidth="1"/>
    <col min="11822" max="11822" width="15.28515625" customWidth="1"/>
    <col min="11823" max="11823" width="14.5703125" customWidth="1"/>
    <col min="11824" max="11824" width="13.28515625" bestFit="1" customWidth="1"/>
    <col min="11825" max="11825" width="7.7109375" bestFit="1" customWidth="1"/>
    <col min="11826" max="11826" width="12.7109375" bestFit="1" customWidth="1"/>
    <col min="11827" max="11827" width="11.7109375" bestFit="1" customWidth="1"/>
    <col min="11828" max="11828" width="11.5703125" bestFit="1" customWidth="1"/>
    <col min="11829" max="11829" width="5.28515625" bestFit="1" customWidth="1"/>
    <col min="11830" max="11830" width="13.28515625" bestFit="1" customWidth="1"/>
    <col min="11831" max="11831" width="13.5703125" bestFit="1" customWidth="1"/>
    <col min="11832" max="11832" width="10.5703125" bestFit="1" customWidth="1"/>
    <col min="11833" max="11833" width="13.28515625" bestFit="1" customWidth="1"/>
    <col min="11834" max="11834" width="11.5703125" bestFit="1" customWidth="1"/>
    <col min="11835" max="11835" width="10.5703125" bestFit="1" customWidth="1"/>
    <col min="11836" max="11836" width="16.140625" bestFit="1" customWidth="1"/>
    <col min="11837" max="11838" width="11.28515625" bestFit="1" customWidth="1"/>
    <col min="11839" max="11839" width="13.28515625" bestFit="1" customWidth="1"/>
    <col min="11840" max="11840" width="7.7109375" bestFit="1" customWidth="1"/>
    <col min="11841" max="11844" width="9.140625" hidden="1" customWidth="1"/>
    <col min="11845" max="11845" width="10.42578125" bestFit="1" customWidth="1"/>
    <col min="11846" max="11846" width="10.5703125" bestFit="1" customWidth="1"/>
    <col min="11847" max="11847" width="10.42578125" bestFit="1" customWidth="1"/>
    <col min="11848" max="11848" width="10.5703125" bestFit="1" customWidth="1"/>
    <col min="11849" max="11849" width="9.5703125" bestFit="1" customWidth="1"/>
    <col min="11850" max="11850" width="11.5703125" bestFit="1" customWidth="1"/>
    <col min="11851" max="11851" width="10.42578125" bestFit="1" customWidth="1"/>
    <col min="11852" max="11852" width="10.85546875" customWidth="1"/>
    <col min="11853" max="11854" width="9.85546875" bestFit="1" customWidth="1"/>
    <col min="11855" max="11855" width="13.5703125" bestFit="1" customWidth="1"/>
    <col min="11856" max="11856" width="7.7109375" bestFit="1" customWidth="1"/>
    <col min="11857" max="11857" width="13.28515625" bestFit="1" customWidth="1"/>
    <col min="11858" max="11858" width="11.5703125" bestFit="1" customWidth="1"/>
    <col min="11859" max="11859" width="10.42578125" bestFit="1" customWidth="1"/>
    <col min="11860" max="11860" width="7.7109375" bestFit="1" customWidth="1"/>
    <col min="11861" max="11861" width="11.5703125" bestFit="1" customWidth="1"/>
    <col min="11862" max="11862" width="10.85546875" bestFit="1" customWidth="1"/>
    <col min="11863" max="11863" width="13.28515625" bestFit="1" customWidth="1"/>
    <col min="11864" max="11864" width="10.85546875" bestFit="1" customWidth="1"/>
    <col min="11865" max="11866" width="7.5703125" bestFit="1" customWidth="1"/>
    <col min="11867" max="11868" width="10.42578125" bestFit="1" customWidth="1"/>
    <col min="11869" max="11869" width="11.5703125" bestFit="1" customWidth="1"/>
    <col min="11870" max="11870" width="5.28515625" bestFit="1" customWidth="1"/>
    <col min="11871" max="11871" width="10.28515625" bestFit="1" customWidth="1"/>
    <col min="11872" max="11872" width="10.42578125" bestFit="1" customWidth="1"/>
    <col min="11873" max="11873" width="11.5703125" bestFit="1" customWidth="1"/>
    <col min="11874" max="11874" width="5.28515625" bestFit="1" customWidth="1"/>
    <col min="11875" max="11877" width="11.5703125" bestFit="1" customWidth="1"/>
    <col min="11878" max="11878" width="5.28515625" bestFit="1" customWidth="1"/>
    <col min="11879" max="11880" width="10.42578125" bestFit="1" customWidth="1"/>
    <col min="11881" max="11881" width="11.5703125" bestFit="1" customWidth="1"/>
    <col min="11882" max="11882" width="5.28515625" bestFit="1" customWidth="1"/>
    <col min="11883" max="11883" width="14.28515625" bestFit="1" customWidth="1"/>
    <col min="11884" max="11884" width="13" bestFit="1" customWidth="1"/>
    <col min="11885" max="11885" width="11.5703125" bestFit="1" customWidth="1"/>
    <col min="11886" max="11886" width="8.85546875" bestFit="1" customWidth="1"/>
    <col min="11887" max="11887" width="14.42578125" bestFit="1" customWidth="1"/>
    <col min="11888" max="11888" width="10.42578125" bestFit="1" customWidth="1"/>
    <col min="11889" max="11889" width="12.28515625" bestFit="1" customWidth="1"/>
    <col min="11890" max="11890" width="13.85546875" bestFit="1" customWidth="1"/>
    <col min="11891" max="11891" width="11.28515625" customWidth="1"/>
    <col min="11892" max="11892" width="11.5703125" customWidth="1"/>
    <col min="11893" max="11893" width="13.42578125" bestFit="1" customWidth="1"/>
    <col min="11894" max="11894" width="10.42578125" customWidth="1"/>
    <col min="11895" max="11895" width="13.85546875" bestFit="1" customWidth="1"/>
    <col min="11896" max="11896" width="15.42578125" bestFit="1" customWidth="1"/>
    <col min="11897" max="11897" width="12.28515625" bestFit="1" customWidth="1"/>
    <col min="11898" max="11898" width="12.7109375" customWidth="1"/>
    <col min="11899" max="11899" width="10.7109375" bestFit="1" customWidth="1"/>
    <col min="11900" max="11900" width="9.85546875" customWidth="1"/>
    <col min="11901" max="11902" width="10.140625" bestFit="1" customWidth="1"/>
    <col min="11903" max="11903" width="7.5703125" bestFit="1" customWidth="1"/>
    <col min="11904" max="11904" width="9.42578125" bestFit="1" customWidth="1"/>
    <col min="11905" max="11905" width="14.5703125" bestFit="1" customWidth="1"/>
    <col min="11906" max="11906" width="14.85546875" customWidth="1"/>
    <col min="11907" max="11907" width="15.140625" bestFit="1" customWidth="1"/>
    <col min="11908" max="11908" width="12.140625" bestFit="1" customWidth="1"/>
    <col min="11909" max="11909" width="14.85546875" bestFit="1" customWidth="1"/>
    <col min="11910" max="11910" width="12.28515625" bestFit="1" customWidth="1"/>
    <col min="11911" max="11919" width="9.140625" hidden="1" customWidth="1"/>
    <col min="11920" max="11920" width="5.28515625" bestFit="1" customWidth="1"/>
    <col min="11921" max="11926" width="11.5703125" bestFit="1" customWidth="1"/>
    <col min="11927" max="11927" width="11.28515625" bestFit="1" customWidth="1"/>
    <col min="11928" max="11928" width="10.140625" bestFit="1" customWidth="1"/>
    <col min="11929" max="11929" width="11.5703125" bestFit="1" customWidth="1"/>
    <col min="11930" max="11930" width="16.140625" customWidth="1"/>
    <col min="11931" max="11931" width="13.42578125" customWidth="1"/>
    <col min="11932" max="11932" width="10.140625" bestFit="1" customWidth="1"/>
    <col min="11933" max="11933" width="12.85546875" bestFit="1" customWidth="1"/>
    <col min="11934" max="11934" width="12.28515625" bestFit="1" customWidth="1"/>
    <col min="11935" max="11935" width="11.28515625" bestFit="1" customWidth="1"/>
    <col min="11936" max="11936" width="11.5703125" bestFit="1" customWidth="1"/>
    <col min="11937" max="11937" width="10.85546875" bestFit="1" customWidth="1"/>
    <col min="11938" max="11938" width="11.28515625" bestFit="1" customWidth="1"/>
    <col min="11939" max="11939" width="10.140625" bestFit="1" customWidth="1"/>
    <col min="11940" max="11940" width="13.28515625" bestFit="1" customWidth="1"/>
    <col min="11941" max="11942" width="12.7109375" bestFit="1" customWidth="1"/>
    <col min="11943" max="11943" width="11" bestFit="1" customWidth="1"/>
    <col min="11944" max="11944" width="11.28515625" bestFit="1" customWidth="1"/>
    <col min="11945" max="11945" width="11.5703125" bestFit="1" customWidth="1"/>
    <col min="11946" max="11946" width="12.28515625" bestFit="1" customWidth="1"/>
    <col min="11947" max="11947" width="15.140625" bestFit="1" customWidth="1"/>
    <col min="11948" max="11948" width="14.42578125" bestFit="1" customWidth="1"/>
    <col min="11949" max="11949" width="12.28515625" bestFit="1" customWidth="1"/>
    <col min="11950" max="11950" width="15.140625" bestFit="1" customWidth="1"/>
    <col min="11951" max="11951" width="14.42578125" bestFit="1" customWidth="1"/>
    <col min="11952" max="11952" width="12.28515625" bestFit="1" customWidth="1"/>
    <col min="11953" max="11953" width="14.42578125" bestFit="1" customWidth="1"/>
    <col min="11954" max="11954" width="11.28515625" bestFit="1" customWidth="1"/>
    <col min="11955" max="11955" width="12.28515625" bestFit="1" customWidth="1"/>
    <col min="11956" max="11956" width="13" bestFit="1" customWidth="1"/>
    <col min="11957" max="11957" width="15.140625" bestFit="1" customWidth="1"/>
    <col min="11958" max="11958" width="12.28515625" bestFit="1" customWidth="1"/>
    <col min="11959" max="11959" width="13.85546875" bestFit="1" customWidth="1"/>
    <col min="11960" max="11960" width="11.28515625" bestFit="1" customWidth="1"/>
    <col min="11961" max="11961" width="12.28515625" bestFit="1" customWidth="1"/>
    <col min="11962" max="11962" width="13.85546875" bestFit="1" customWidth="1"/>
    <col min="11963" max="11964" width="15.140625" bestFit="1" customWidth="1"/>
    <col min="11965" max="11965" width="12.28515625" bestFit="1" customWidth="1"/>
    <col min="11966" max="11966" width="5.7109375" bestFit="1" customWidth="1"/>
    <col min="11967" max="11967" width="8.5703125" bestFit="1" customWidth="1"/>
    <col min="11968" max="11968" width="5.5703125" bestFit="1" customWidth="1"/>
    <col min="11969" max="11969" width="14.42578125" bestFit="1" customWidth="1"/>
    <col min="11970" max="11970" width="11.28515625" bestFit="1" customWidth="1"/>
    <col min="11971" max="11972" width="12.28515625" bestFit="1" customWidth="1"/>
    <col min="11973" max="11973" width="11.28515625" bestFit="1" customWidth="1"/>
    <col min="11974" max="11974" width="13.85546875" bestFit="1" customWidth="1"/>
    <col min="11975" max="11975" width="12" bestFit="1" customWidth="1"/>
    <col min="11976" max="11976" width="13.85546875" bestFit="1" customWidth="1"/>
    <col min="11977" max="11978" width="14.42578125" customWidth="1"/>
    <col min="11979" max="11979" width="10.140625" bestFit="1" customWidth="1"/>
    <col min="11980" max="11980" width="12.28515625" bestFit="1" customWidth="1"/>
    <col min="11981" max="11981" width="7.42578125" bestFit="1" customWidth="1"/>
    <col min="11982" max="11982" width="8.5703125" bestFit="1" customWidth="1"/>
    <col min="11983" max="11983" width="11.5703125" bestFit="1" customWidth="1"/>
    <col min="11984" max="11984" width="13.28515625" bestFit="1" customWidth="1"/>
    <col min="11985" max="11985" width="13.28515625" customWidth="1"/>
    <col min="11986" max="11986" width="13.140625" customWidth="1"/>
    <col min="11987" max="11987" width="12.7109375" bestFit="1" customWidth="1"/>
    <col min="11988" max="11988" width="13.28515625" bestFit="1" customWidth="1"/>
    <col min="11989" max="11991" width="13.28515625" customWidth="1"/>
    <col min="11992" max="11992" width="12.140625" bestFit="1" customWidth="1"/>
    <col min="11993" max="11993" width="12.7109375" bestFit="1" customWidth="1"/>
    <col min="11994" max="11994" width="11" customWidth="1"/>
    <col min="11995" max="11995" width="16.7109375" customWidth="1"/>
    <col min="11996" max="11996" width="17" customWidth="1"/>
    <col min="11997" max="11997" width="10.42578125" bestFit="1" customWidth="1"/>
    <col min="12041" max="12041" width="3.85546875" customWidth="1"/>
    <col min="12042" max="12042" width="15.28515625" bestFit="1" customWidth="1"/>
    <col min="12043" max="12043" width="12.28515625" customWidth="1"/>
    <col min="12044" max="12044" width="16.28515625" bestFit="1" customWidth="1"/>
    <col min="12045" max="12045" width="6.42578125" bestFit="1" customWidth="1"/>
    <col min="12046" max="12046" width="9.28515625" bestFit="1" customWidth="1"/>
    <col min="12047" max="12047" width="7.5703125" bestFit="1" customWidth="1"/>
    <col min="12048" max="12048" width="13.28515625" bestFit="1" customWidth="1"/>
    <col min="12049" max="12049" width="9.28515625" bestFit="1" customWidth="1"/>
    <col min="12050" max="12050" width="11.5703125" bestFit="1" customWidth="1"/>
    <col min="12051" max="12051" width="13.28515625" bestFit="1" customWidth="1"/>
    <col min="12052" max="12052" width="7.140625" bestFit="1" customWidth="1"/>
    <col min="12053" max="12053" width="12" bestFit="1" customWidth="1"/>
    <col min="12054" max="12054" width="13.28515625" bestFit="1" customWidth="1"/>
    <col min="12055" max="12055" width="7" bestFit="1" customWidth="1"/>
    <col min="12056" max="12056" width="12.7109375" bestFit="1" customWidth="1"/>
    <col min="12057" max="12057" width="11.5703125" bestFit="1" customWidth="1"/>
    <col min="12058" max="12058" width="10.5703125" bestFit="1" customWidth="1"/>
    <col min="12059" max="12060" width="15.7109375" bestFit="1" customWidth="1"/>
    <col min="12061" max="12061" width="11.5703125" bestFit="1" customWidth="1"/>
    <col min="12062" max="12062" width="7.7109375" bestFit="1" customWidth="1"/>
    <col min="12063" max="12063" width="15.140625" bestFit="1" customWidth="1"/>
    <col min="12064" max="12064" width="11.5703125" bestFit="1" customWidth="1"/>
    <col min="12065" max="12065" width="13.28515625" bestFit="1" customWidth="1"/>
    <col min="12066" max="12066" width="10.42578125" bestFit="1" customWidth="1"/>
    <col min="12067" max="12067" width="13.28515625" bestFit="1" customWidth="1"/>
    <col min="12068" max="12068" width="12.140625" bestFit="1" customWidth="1"/>
    <col min="12069" max="12069" width="14.42578125" bestFit="1" customWidth="1"/>
    <col min="12070" max="12070" width="13.28515625" bestFit="1" customWidth="1"/>
    <col min="12071" max="12071" width="11.5703125" bestFit="1" customWidth="1"/>
    <col min="12072" max="12072" width="7.7109375" bestFit="1" customWidth="1"/>
    <col min="12073" max="12074" width="14.42578125" bestFit="1" customWidth="1"/>
    <col min="12075" max="12075" width="11.5703125" bestFit="1" customWidth="1"/>
    <col min="12076" max="12076" width="7.7109375" bestFit="1" customWidth="1"/>
    <col min="12077" max="12077" width="13.5703125" customWidth="1"/>
    <col min="12078" max="12078" width="15.28515625" customWidth="1"/>
    <col min="12079" max="12079" width="14.5703125" customWidth="1"/>
    <col min="12080" max="12080" width="13.28515625" bestFit="1" customWidth="1"/>
    <col min="12081" max="12081" width="7.7109375" bestFit="1" customWidth="1"/>
    <col min="12082" max="12082" width="12.7109375" bestFit="1" customWidth="1"/>
    <col min="12083" max="12083" width="11.7109375" bestFit="1" customWidth="1"/>
    <col min="12084" max="12084" width="11.5703125" bestFit="1" customWidth="1"/>
    <col min="12085" max="12085" width="5.28515625" bestFit="1" customWidth="1"/>
    <col min="12086" max="12086" width="13.28515625" bestFit="1" customWidth="1"/>
    <col min="12087" max="12087" width="13.5703125" bestFit="1" customWidth="1"/>
    <col min="12088" max="12088" width="10.5703125" bestFit="1" customWidth="1"/>
    <col min="12089" max="12089" width="13.28515625" bestFit="1" customWidth="1"/>
    <col min="12090" max="12090" width="11.5703125" bestFit="1" customWidth="1"/>
    <col min="12091" max="12091" width="10.5703125" bestFit="1" customWidth="1"/>
    <col min="12092" max="12092" width="16.140625" bestFit="1" customWidth="1"/>
    <col min="12093" max="12094" width="11.28515625" bestFit="1" customWidth="1"/>
    <col min="12095" max="12095" width="13.28515625" bestFit="1" customWidth="1"/>
    <col min="12096" max="12096" width="7.7109375" bestFit="1" customWidth="1"/>
    <col min="12097" max="12100" width="9.140625" hidden="1" customWidth="1"/>
    <col min="12101" max="12101" width="10.42578125" bestFit="1" customWidth="1"/>
    <col min="12102" max="12102" width="10.5703125" bestFit="1" customWidth="1"/>
    <col min="12103" max="12103" width="10.42578125" bestFit="1" customWidth="1"/>
    <col min="12104" max="12104" width="10.5703125" bestFit="1" customWidth="1"/>
    <col min="12105" max="12105" width="9.5703125" bestFit="1" customWidth="1"/>
    <col min="12106" max="12106" width="11.5703125" bestFit="1" customWidth="1"/>
    <col min="12107" max="12107" width="10.42578125" bestFit="1" customWidth="1"/>
    <col min="12108" max="12108" width="10.85546875" customWidth="1"/>
    <col min="12109" max="12110" width="9.85546875" bestFit="1" customWidth="1"/>
    <col min="12111" max="12111" width="13.5703125" bestFit="1" customWidth="1"/>
    <col min="12112" max="12112" width="7.7109375" bestFit="1" customWidth="1"/>
    <col min="12113" max="12113" width="13.28515625" bestFit="1" customWidth="1"/>
    <col min="12114" max="12114" width="11.5703125" bestFit="1" customWidth="1"/>
    <col min="12115" max="12115" width="10.42578125" bestFit="1" customWidth="1"/>
    <col min="12116" max="12116" width="7.7109375" bestFit="1" customWidth="1"/>
    <col min="12117" max="12117" width="11.5703125" bestFit="1" customWidth="1"/>
    <col min="12118" max="12118" width="10.85546875" bestFit="1" customWidth="1"/>
    <col min="12119" max="12119" width="13.28515625" bestFit="1" customWidth="1"/>
    <col min="12120" max="12120" width="10.85546875" bestFit="1" customWidth="1"/>
    <col min="12121" max="12122" width="7.5703125" bestFit="1" customWidth="1"/>
    <col min="12123" max="12124" width="10.42578125" bestFit="1" customWidth="1"/>
    <col min="12125" max="12125" width="11.5703125" bestFit="1" customWidth="1"/>
    <col min="12126" max="12126" width="5.28515625" bestFit="1" customWidth="1"/>
    <col min="12127" max="12127" width="10.28515625" bestFit="1" customWidth="1"/>
    <col min="12128" max="12128" width="10.42578125" bestFit="1" customWidth="1"/>
    <col min="12129" max="12129" width="11.5703125" bestFit="1" customWidth="1"/>
    <col min="12130" max="12130" width="5.28515625" bestFit="1" customWidth="1"/>
    <col min="12131" max="12133" width="11.5703125" bestFit="1" customWidth="1"/>
    <col min="12134" max="12134" width="5.28515625" bestFit="1" customWidth="1"/>
    <col min="12135" max="12136" width="10.42578125" bestFit="1" customWidth="1"/>
    <col min="12137" max="12137" width="11.5703125" bestFit="1" customWidth="1"/>
    <col min="12138" max="12138" width="5.28515625" bestFit="1" customWidth="1"/>
    <col min="12139" max="12139" width="14.28515625" bestFit="1" customWidth="1"/>
    <col min="12140" max="12140" width="13" bestFit="1" customWidth="1"/>
    <col min="12141" max="12141" width="11.5703125" bestFit="1" customWidth="1"/>
    <col min="12142" max="12142" width="8.85546875" bestFit="1" customWidth="1"/>
    <col min="12143" max="12143" width="14.42578125" bestFit="1" customWidth="1"/>
    <col min="12144" max="12144" width="10.42578125" bestFit="1" customWidth="1"/>
    <col min="12145" max="12145" width="12.28515625" bestFit="1" customWidth="1"/>
    <col min="12146" max="12146" width="13.85546875" bestFit="1" customWidth="1"/>
    <col min="12147" max="12147" width="11.28515625" customWidth="1"/>
    <col min="12148" max="12148" width="11.5703125" customWidth="1"/>
    <col min="12149" max="12149" width="13.42578125" bestFit="1" customWidth="1"/>
    <col min="12150" max="12150" width="10.42578125" customWidth="1"/>
    <col min="12151" max="12151" width="13.85546875" bestFit="1" customWidth="1"/>
    <col min="12152" max="12152" width="15.42578125" bestFit="1" customWidth="1"/>
    <col min="12153" max="12153" width="12.28515625" bestFit="1" customWidth="1"/>
    <col min="12154" max="12154" width="12.7109375" customWidth="1"/>
    <col min="12155" max="12155" width="10.7109375" bestFit="1" customWidth="1"/>
    <col min="12156" max="12156" width="9.85546875" customWidth="1"/>
    <col min="12157" max="12158" width="10.140625" bestFit="1" customWidth="1"/>
    <col min="12159" max="12159" width="7.5703125" bestFit="1" customWidth="1"/>
    <col min="12160" max="12160" width="9.42578125" bestFit="1" customWidth="1"/>
    <col min="12161" max="12161" width="14.5703125" bestFit="1" customWidth="1"/>
    <col min="12162" max="12162" width="14.85546875" customWidth="1"/>
    <col min="12163" max="12163" width="15.140625" bestFit="1" customWidth="1"/>
    <col min="12164" max="12164" width="12.140625" bestFit="1" customWidth="1"/>
    <col min="12165" max="12165" width="14.85546875" bestFit="1" customWidth="1"/>
    <col min="12166" max="12166" width="12.28515625" bestFit="1" customWidth="1"/>
    <col min="12167" max="12175" width="9.140625" hidden="1" customWidth="1"/>
    <col min="12176" max="12176" width="5.28515625" bestFit="1" customWidth="1"/>
    <col min="12177" max="12182" width="11.5703125" bestFit="1" customWidth="1"/>
    <col min="12183" max="12183" width="11.28515625" bestFit="1" customWidth="1"/>
    <col min="12184" max="12184" width="10.140625" bestFit="1" customWidth="1"/>
    <col min="12185" max="12185" width="11.5703125" bestFit="1" customWidth="1"/>
    <col min="12186" max="12186" width="16.140625" customWidth="1"/>
    <col min="12187" max="12187" width="13.42578125" customWidth="1"/>
    <col min="12188" max="12188" width="10.140625" bestFit="1" customWidth="1"/>
    <col min="12189" max="12189" width="12.85546875" bestFit="1" customWidth="1"/>
    <col min="12190" max="12190" width="12.28515625" bestFit="1" customWidth="1"/>
    <col min="12191" max="12191" width="11.28515625" bestFit="1" customWidth="1"/>
    <col min="12192" max="12192" width="11.5703125" bestFit="1" customWidth="1"/>
    <col min="12193" max="12193" width="10.85546875" bestFit="1" customWidth="1"/>
    <col min="12194" max="12194" width="11.28515625" bestFit="1" customWidth="1"/>
    <col min="12195" max="12195" width="10.140625" bestFit="1" customWidth="1"/>
    <col min="12196" max="12196" width="13.28515625" bestFit="1" customWidth="1"/>
    <col min="12197" max="12198" width="12.7109375" bestFit="1" customWidth="1"/>
    <col min="12199" max="12199" width="11" bestFit="1" customWidth="1"/>
    <col min="12200" max="12200" width="11.28515625" bestFit="1" customWidth="1"/>
    <col min="12201" max="12201" width="11.5703125" bestFit="1" customWidth="1"/>
    <col min="12202" max="12202" width="12.28515625" bestFit="1" customWidth="1"/>
    <col min="12203" max="12203" width="15.140625" bestFit="1" customWidth="1"/>
    <col min="12204" max="12204" width="14.42578125" bestFit="1" customWidth="1"/>
    <col min="12205" max="12205" width="12.28515625" bestFit="1" customWidth="1"/>
    <col min="12206" max="12206" width="15.140625" bestFit="1" customWidth="1"/>
    <col min="12207" max="12207" width="14.42578125" bestFit="1" customWidth="1"/>
    <col min="12208" max="12208" width="12.28515625" bestFit="1" customWidth="1"/>
    <col min="12209" max="12209" width="14.42578125" bestFit="1" customWidth="1"/>
    <col min="12210" max="12210" width="11.28515625" bestFit="1" customWidth="1"/>
    <col min="12211" max="12211" width="12.28515625" bestFit="1" customWidth="1"/>
    <col min="12212" max="12212" width="13" bestFit="1" customWidth="1"/>
    <col min="12213" max="12213" width="15.140625" bestFit="1" customWidth="1"/>
    <col min="12214" max="12214" width="12.28515625" bestFit="1" customWidth="1"/>
    <col min="12215" max="12215" width="13.85546875" bestFit="1" customWidth="1"/>
    <col min="12216" max="12216" width="11.28515625" bestFit="1" customWidth="1"/>
    <col min="12217" max="12217" width="12.28515625" bestFit="1" customWidth="1"/>
    <col min="12218" max="12218" width="13.85546875" bestFit="1" customWidth="1"/>
    <col min="12219" max="12220" width="15.140625" bestFit="1" customWidth="1"/>
    <col min="12221" max="12221" width="12.28515625" bestFit="1" customWidth="1"/>
    <col min="12222" max="12222" width="5.7109375" bestFit="1" customWidth="1"/>
    <col min="12223" max="12223" width="8.5703125" bestFit="1" customWidth="1"/>
    <col min="12224" max="12224" width="5.5703125" bestFit="1" customWidth="1"/>
    <col min="12225" max="12225" width="14.42578125" bestFit="1" customWidth="1"/>
    <col min="12226" max="12226" width="11.28515625" bestFit="1" customWidth="1"/>
    <col min="12227" max="12228" width="12.28515625" bestFit="1" customWidth="1"/>
    <col min="12229" max="12229" width="11.28515625" bestFit="1" customWidth="1"/>
    <col min="12230" max="12230" width="13.85546875" bestFit="1" customWidth="1"/>
    <col min="12231" max="12231" width="12" bestFit="1" customWidth="1"/>
    <col min="12232" max="12232" width="13.85546875" bestFit="1" customWidth="1"/>
    <col min="12233" max="12234" width="14.42578125" customWidth="1"/>
    <col min="12235" max="12235" width="10.140625" bestFit="1" customWidth="1"/>
    <col min="12236" max="12236" width="12.28515625" bestFit="1" customWidth="1"/>
    <col min="12237" max="12237" width="7.42578125" bestFit="1" customWidth="1"/>
    <col min="12238" max="12238" width="8.5703125" bestFit="1" customWidth="1"/>
    <col min="12239" max="12239" width="11.5703125" bestFit="1" customWidth="1"/>
    <col min="12240" max="12240" width="13.28515625" bestFit="1" customWidth="1"/>
    <col min="12241" max="12241" width="13.28515625" customWidth="1"/>
    <col min="12242" max="12242" width="13.140625" customWidth="1"/>
    <col min="12243" max="12243" width="12.7109375" bestFit="1" customWidth="1"/>
    <col min="12244" max="12244" width="13.28515625" bestFit="1" customWidth="1"/>
    <col min="12245" max="12247" width="13.28515625" customWidth="1"/>
    <col min="12248" max="12248" width="12.140625" bestFit="1" customWidth="1"/>
    <col min="12249" max="12249" width="12.7109375" bestFit="1" customWidth="1"/>
    <col min="12250" max="12250" width="11" customWidth="1"/>
    <col min="12251" max="12251" width="16.7109375" customWidth="1"/>
    <col min="12252" max="12252" width="17" customWidth="1"/>
    <col min="12253" max="12253" width="10.42578125" bestFit="1" customWidth="1"/>
    <col min="12297" max="12297" width="3.85546875" customWidth="1"/>
    <col min="12298" max="12298" width="15.28515625" bestFit="1" customWidth="1"/>
    <col min="12299" max="12299" width="12.28515625" customWidth="1"/>
    <col min="12300" max="12300" width="16.28515625" bestFit="1" customWidth="1"/>
    <col min="12301" max="12301" width="6.42578125" bestFit="1" customWidth="1"/>
    <col min="12302" max="12302" width="9.28515625" bestFit="1" customWidth="1"/>
    <col min="12303" max="12303" width="7.5703125" bestFit="1" customWidth="1"/>
    <col min="12304" max="12304" width="13.28515625" bestFit="1" customWidth="1"/>
    <col min="12305" max="12305" width="9.28515625" bestFit="1" customWidth="1"/>
    <col min="12306" max="12306" width="11.5703125" bestFit="1" customWidth="1"/>
    <col min="12307" max="12307" width="13.28515625" bestFit="1" customWidth="1"/>
    <col min="12308" max="12308" width="7.140625" bestFit="1" customWidth="1"/>
    <col min="12309" max="12309" width="12" bestFit="1" customWidth="1"/>
    <col min="12310" max="12310" width="13.28515625" bestFit="1" customWidth="1"/>
    <col min="12311" max="12311" width="7" bestFit="1" customWidth="1"/>
    <col min="12312" max="12312" width="12.7109375" bestFit="1" customWidth="1"/>
    <col min="12313" max="12313" width="11.5703125" bestFit="1" customWidth="1"/>
    <col min="12314" max="12314" width="10.5703125" bestFit="1" customWidth="1"/>
    <col min="12315" max="12316" width="15.7109375" bestFit="1" customWidth="1"/>
    <col min="12317" max="12317" width="11.5703125" bestFit="1" customWidth="1"/>
    <col min="12318" max="12318" width="7.7109375" bestFit="1" customWidth="1"/>
    <col min="12319" max="12319" width="15.140625" bestFit="1" customWidth="1"/>
    <col min="12320" max="12320" width="11.5703125" bestFit="1" customWidth="1"/>
    <col min="12321" max="12321" width="13.28515625" bestFit="1" customWidth="1"/>
    <col min="12322" max="12322" width="10.42578125" bestFit="1" customWidth="1"/>
    <col min="12323" max="12323" width="13.28515625" bestFit="1" customWidth="1"/>
    <col min="12324" max="12324" width="12.140625" bestFit="1" customWidth="1"/>
    <col min="12325" max="12325" width="14.42578125" bestFit="1" customWidth="1"/>
    <col min="12326" max="12326" width="13.28515625" bestFit="1" customWidth="1"/>
    <col min="12327" max="12327" width="11.5703125" bestFit="1" customWidth="1"/>
    <col min="12328" max="12328" width="7.7109375" bestFit="1" customWidth="1"/>
    <col min="12329" max="12330" width="14.42578125" bestFit="1" customWidth="1"/>
    <col min="12331" max="12331" width="11.5703125" bestFit="1" customWidth="1"/>
    <col min="12332" max="12332" width="7.7109375" bestFit="1" customWidth="1"/>
    <col min="12333" max="12333" width="13.5703125" customWidth="1"/>
    <col min="12334" max="12334" width="15.28515625" customWidth="1"/>
    <col min="12335" max="12335" width="14.5703125" customWidth="1"/>
    <col min="12336" max="12336" width="13.28515625" bestFit="1" customWidth="1"/>
    <col min="12337" max="12337" width="7.7109375" bestFit="1" customWidth="1"/>
    <col min="12338" max="12338" width="12.7109375" bestFit="1" customWidth="1"/>
    <col min="12339" max="12339" width="11.7109375" bestFit="1" customWidth="1"/>
    <col min="12340" max="12340" width="11.5703125" bestFit="1" customWidth="1"/>
    <col min="12341" max="12341" width="5.28515625" bestFit="1" customWidth="1"/>
    <col min="12342" max="12342" width="13.28515625" bestFit="1" customWidth="1"/>
    <col min="12343" max="12343" width="13.5703125" bestFit="1" customWidth="1"/>
    <col min="12344" max="12344" width="10.5703125" bestFit="1" customWidth="1"/>
    <col min="12345" max="12345" width="13.28515625" bestFit="1" customWidth="1"/>
    <col min="12346" max="12346" width="11.5703125" bestFit="1" customWidth="1"/>
    <col min="12347" max="12347" width="10.5703125" bestFit="1" customWidth="1"/>
    <col min="12348" max="12348" width="16.140625" bestFit="1" customWidth="1"/>
    <col min="12349" max="12350" width="11.28515625" bestFit="1" customWidth="1"/>
    <col min="12351" max="12351" width="13.28515625" bestFit="1" customWidth="1"/>
    <col min="12352" max="12352" width="7.7109375" bestFit="1" customWidth="1"/>
    <col min="12353" max="12356" width="9.140625" hidden="1" customWidth="1"/>
    <col min="12357" max="12357" width="10.42578125" bestFit="1" customWidth="1"/>
    <col min="12358" max="12358" width="10.5703125" bestFit="1" customWidth="1"/>
    <col min="12359" max="12359" width="10.42578125" bestFit="1" customWidth="1"/>
    <col min="12360" max="12360" width="10.5703125" bestFit="1" customWidth="1"/>
    <col min="12361" max="12361" width="9.5703125" bestFit="1" customWidth="1"/>
    <col min="12362" max="12362" width="11.5703125" bestFit="1" customWidth="1"/>
    <col min="12363" max="12363" width="10.42578125" bestFit="1" customWidth="1"/>
    <col min="12364" max="12364" width="10.85546875" customWidth="1"/>
    <col min="12365" max="12366" width="9.85546875" bestFit="1" customWidth="1"/>
    <col min="12367" max="12367" width="13.5703125" bestFit="1" customWidth="1"/>
    <col min="12368" max="12368" width="7.7109375" bestFit="1" customWidth="1"/>
    <col min="12369" max="12369" width="13.28515625" bestFit="1" customWidth="1"/>
    <col min="12370" max="12370" width="11.5703125" bestFit="1" customWidth="1"/>
    <col min="12371" max="12371" width="10.42578125" bestFit="1" customWidth="1"/>
    <col min="12372" max="12372" width="7.7109375" bestFit="1" customWidth="1"/>
    <col min="12373" max="12373" width="11.5703125" bestFit="1" customWidth="1"/>
    <col min="12374" max="12374" width="10.85546875" bestFit="1" customWidth="1"/>
    <col min="12375" max="12375" width="13.28515625" bestFit="1" customWidth="1"/>
    <col min="12376" max="12376" width="10.85546875" bestFit="1" customWidth="1"/>
    <col min="12377" max="12378" width="7.5703125" bestFit="1" customWidth="1"/>
    <col min="12379" max="12380" width="10.42578125" bestFit="1" customWidth="1"/>
    <col min="12381" max="12381" width="11.5703125" bestFit="1" customWidth="1"/>
    <col min="12382" max="12382" width="5.28515625" bestFit="1" customWidth="1"/>
    <col min="12383" max="12383" width="10.28515625" bestFit="1" customWidth="1"/>
    <col min="12384" max="12384" width="10.42578125" bestFit="1" customWidth="1"/>
    <col min="12385" max="12385" width="11.5703125" bestFit="1" customWidth="1"/>
    <col min="12386" max="12386" width="5.28515625" bestFit="1" customWidth="1"/>
    <col min="12387" max="12389" width="11.5703125" bestFit="1" customWidth="1"/>
    <col min="12390" max="12390" width="5.28515625" bestFit="1" customWidth="1"/>
    <col min="12391" max="12392" width="10.42578125" bestFit="1" customWidth="1"/>
    <col min="12393" max="12393" width="11.5703125" bestFit="1" customWidth="1"/>
    <col min="12394" max="12394" width="5.28515625" bestFit="1" customWidth="1"/>
    <col min="12395" max="12395" width="14.28515625" bestFit="1" customWidth="1"/>
    <col min="12396" max="12396" width="13" bestFit="1" customWidth="1"/>
    <col min="12397" max="12397" width="11.5703125" bestFit="1" customWidth="1"/>
    <col min="12398" max="12398" width="8.85546875" bestFit="1" customWidth="1"/>
    <col min="12399" max="12399" width="14.42578125" bestFit="1" customWidth="1"/>
    <col min="12400" max="12400" width="10.42578125" bestFit="1" customWidth="1"/>
    <col min="12401" max="12401" width="12.28515625" bestFit="1" customWidth="1"/>
    <col min="12402" max="12402" width="13.85546875" bestFit="1" customWidth="1"/>
    <col min="12403" max="12403" width="11.28515625" customWidth="1"/>
    <col min="12404" max="12404" width="11.5703125" customWidth="1"/>
    <col min="12405" max="12405" width="13.42578125" bestFit="1" customWidth="1"/>
    <col min="12406" max="12406" width="10.42578125" customWidth="1"/>
    <col min="12407" max="12407" width="13.85546875" bestFit="1" customWidth="1"/>
    <col min="12408" max="12408" width="15.42578125" bestFit="1" customWidth="1"/>
    <col min="12409" max="12409" width="12.28515625" bestFit="1" customWidth="1"/>
    <col min="12410" max="12410" width="12.7109375" customWidth="1"/>
    <col min="12411" max="12411" width="10.7109375" bestFit="1" customWidth="1"/>
    <col min="12412" max="12412" width="9.85546875" customWidth="1"/>
    <col min="12413" max="12414" width="10.140625" bestFit="1" customWidth="1"/>
    <col min="12415" max="12415" width="7.5703125" bestFit="1" customWidth="1"/>
    <col min="12416" max="12416" width="9.42578125" bestFit="1" customWidth="1"/>
    <col min="12417" max="12417" width="14.5703125" bestFit="1" customWidth="1"/>
    <col min="12418" max="12418" width="14.85546875" customWidth="1"/>
    <col min="12419" max="12419" width="15.140625" bestFit="1" customWidth="1"/>
    <col min="12420" max="12420" width="12.140625" bestFit="1" customWidth="1"/>
    <col min="12421" max="12421" width="14.85546875" bestFit="1" customWidth="1"/>
    <col min="12422" max="12422" width="12.28515625" bestFit="1" customWidth="1"/>
    <col min="12423" max="12431" width="9.140625" hidden="1" customWidth="1"/>
    <col min="12432" max="12432" width="5.28515625" bestFit="1" customWidth="1"/>
    <col min="12433" max="12438" width="11.5703125" bestFit="1" customWidth="1"/>
    <col min="12439" max="12439" width="11.28515625" bestFit="1" customWidth="1"/>
    <col min="12440" max="12440" width="10.140625" bestFit="1" customWidth="1"/>
    <col min="12441" max="12441" width="11.5703125" bestFit="1" customWidth="1"/>
    <col min="12442" max="12442" width="16.140625" customWidth="1"/>
    <col min="12443" max="12443" width="13.42578125" customWidth="1"/>
    <col min="12444" max="12444" width="10.140625" bestFit="1" customWidth="1"/>
    <col min="12445" max="12445" width="12.85546875" bestFit="1" customWidth="1"/>
    <col min="12446" max="12446" width="12.28515625" bestFit="1" customWidth="1"/>
    <col min="12447" max="12447" width="11.28515625" bestFit="1" customWidth="1"/>
    <col min="12448" max="12448" width="11.5703125" bestFit="1" customWidth="1"/>
    <col min="12449" max="12449" width="10.85546875" bestFit="1" customWidth="1"/>
    <col min="12450" max="12450" width="11.28515625" bestFit="1" customWidth="1"/>
    <col min="12451" max="12451" width="10.140625" bestFit="1" customWidth="1"/>
    <col min="12452" max="12452" width="13.28515625" bestFit="1" customWidth="1"/>
    <col min="12453" max="12454" width="12.7109375" bestFit="1" customWidth="1"/>
    <col min="12455" max="12455" width="11" bestFit="1" customWidth="1"/>
    <col min="12456" max="12456" width="11.28515625" bestFit="1" customWidth="1"/>
    <col min="12457" max="12457" width="11.5703125" bestFit="1" customWidth="1"/>
    <col min="12458" max="12458" width="12.28515625" bestFit="1" customWidth="1"/>
    <col min="12459" max="12459" width="15.140625" bestFit="1" customWidth="1"/>
    <col min="12460" max="12460" width="14.42578125" bestFit="1" customWidth="1"/>
    <col min="12461" max="12461" width="12.28515625" bestFit="1" customWidth="1"/>
    <col min="12462" max="12462" width="15.140625" bestFit="1" customWidth="1"/>
    <col min="12463" max="12463" width="14.42578125" bestFit="1" customWidth="1"/>
    <col min="12464" max="12464" width="12.28515625" bestFit="1" customWidth="1"/>
    <col min="12465" max="12465" width="14.42578125" bestFit="1" customWidth="1"/>
    <col min="12466" max="12466" width="11.28515625" bestFit="1" customWidth="1"/>
    <col min="12467" max="12467" width="12.28515625" bestFit="1" customWidth="1"/>
    <col min="12468" max="12468" width="13" bestFit="1" customWidth="1"/>
    <col min="12469" max="12469" width="15.140625" bestFit="1" customWidth="1"/>
    <col min="12470" max="12470" width="12.28515625" bestFit="1" customWidth="1"/>
    <col min="12471" max="12471" width="13.85546875" bestFit="1" customWidth="1"/>
    <col min="12472" max="12472" width="11.28515625" bestFit="1" customWidth="1"/>
    <col min="12473" max="12473" width="12.28515625" bestFit="1" customWidth="1"/>
    <col min="12474" max="12474" width="13.85546875" bestFit="1" customWidth="1"/>
    <col min="12475" max="12476" width="15.140625" bestFit="1" customWidth="1"/>
    <col min="12477" max="12477" width="12.28515625" bestFit="1" customWidth="1"/>
    <col min="12478" max="12478" width="5.7109375" bestFit="1" customWidth="1"/>
    <col min="12479" max="12479" width="8.5703125" bestFit="1" customWidth="1"/>
    <col min="12480" max="12480" width="5.5703125" bestFit="1" customWidth="1"/>
    <col min="12481" max="12481" width="14.42578125" bestFit="1" customWidth="1"/>
    <col min="12482" max="12482" width="11.28515625" bestFit="1" customWidth="1"/>
    <col min="12483" max="12484" width="12.28515625" bestFit="1" customWidth="1"/>
    <col min="12485" max="12485" width="11.28515625" bestFit="1" customWidth="1"/>
    <col min="12486" max="12486" width="13.85546875" bestFit="1" customWidth="1"/>
    <col min="12487" max="12487" width="12" bestFit="1" customWidth="1"/>
    <col min="12488" max="12488" width="13.85546875" bestFit="1" customWidth="1"/>
    <col min="12489" max="12490" width="14.42578125" customWidth="1"/>
    <col min="12491" max="12491" width="10.140625" bestFit="1" customWidth="1"/>
    <col min="12492" max="12492" width="12.28515625" bestFit="1" customWidth="1"/>
    <col min="12493" max="12493" width="7.42578125" bestFit="1" customWidth="1"/>
    <col min="12494" max="12494" width="8.5703125" bestFit="1" customWidth="1"/>
    <col min="12495" max="12495" width="11.5703125" bestFit="1" customWidth="1"/>
    <col min="12496" max="12496" width="13.28515625" bestFit="1" customWidth="1"/>
    <col min="12497" max="12497" width="13.28515625" customWidth="1"/>
    <col min="12498" max="12498" width="13.140625" customWidth="1"/>
    <col min="12499" max="12499" width="12.7109375" bestFit="1" customWidth="1"/>
    <col min="12500" max="12500" width="13.28515625" bestFit="1" customWidth="1"/>
    <col min="12501" max="12503" width="13.28515625" customWidth="1"/>
    <col min="12504" max="12504" width="12.140625" bestFit="1" customWidth="1"/>
    <col min="12505" max="12505" width="12.7109375" bestFit="1" customWidth="1"/>
    <col min="12506" max="12506" width="11" customWidth="1"/>
    <col min="12507" max="12507" width="16.7109375" customWidth="1"/>
    <col min="12508" max="12508" width="17" customWidth="1"/>
    <col min="12509" max="12509" width="10.42578125" bestFit="1" customWidth="1"/>
    <col min="12553" max="12553" width="3.85546875" customWidth="1"/>
    <col min="12554" max="12554" width="15.28515625" bestFit="1" customWidth="1"/>
    <col min="12555" max="12555" width="12.28515625" customWidth="1"/>
    <col min="12556" max="12556" width="16.28515625" bestFit="1" customWidth="1"/>
    <col min="12557" max="12557" width="6.42578125" bestFit="1" customWidth="1"/>
    <col min="12558" max="12558" width="9.28515625" bestFit="1" customWidth="1"/>
    <col min="12559" max="12559" width="7.5703125" bestFit="1" customWidth="1"/>
    <col min="12560" max="12560" width="13.28515625" bestFit="1" customWidth="1"/>
    <col min="12561" max="12561" width="9.28515625" bestFit="1" customWidth="1"/>
    <col min="12562" max="12562" width="11.5703125" bestFit="1" customWidth="1"/>
    <col min="12563" max="12563" width="13.28515625" bestFit="1" customWidth="1"/>
    <col min="12564" max="12564" width="7.140625" bestFit="1" customWidth="1"/>
    <col min="12565" max="12565" width="12" bestFit="1" customWidth="1"/>
    <col min="12566" max="12566" width="13.28515625" bestFit="1" customWidth="1"/>
    <col min="12567" max="12567" width="7" bestFit="1" customWidth="1"/>
    <col min="12568" max="12568" width="12.7109375" bestFit="1" customWidth="1"/>
    <col min="12569" max="12569" width="11.5703125" bestFit="1" customWidth="1"/>
    <col min="12570" max="12570" width="10.5703125" bestFit="1" customWidth="1"/>
    <col min="12571" max="12572" width="15.7109375" bestFit="1" customWidth="1"/>
    <col min="12573" max="12573" width="11.5703125" bestFit="1" customWidth="1"/>
    <col min="12574" max="12574" width="7.7109375" bestFit="1" customWidth="1"/>
    <col min="12575" max="12575" width="15.140625" bestFit="1" customWidth="1"/>
    <col min="12576" max="12576" width="11.5703125" bestFit="1" customWidth="1"/>
    <col min="12577" max="12577" width="13.28515625" bestFit="1" customWidth="1"/>
    <col min="12578" max="12578" width="10.42578125" bestFit="1" customWidth="1"/>
    <col min="12579" max="12579" width="13.28515625" bestFit="1" customWidth="1"/>
    <col min="12580" max="12580" width="12.140625" bestFit="1" customWidth="1"/>
    <col min="12581" max="12581" width="14.42578125" bestFit="1" customWidth="1"/>
    <col min="12582" max="12582" width="13.28515625" bestFit="1" customWidth="1"/>
    <col min="12583" max="12583" width="11.5703125" bestFit="1" customWidth="1"/>
    <col min="12584" max="12584" width="7.7109375" bestFit="1" customWidth="1"/>
    <col min="12585" max="12586" width="14.42578125" bestFit="1" customWidth="1"/>
    <col min="12587" max="12587" width="11.5703125" bestFit="1" customWidth="1"/>
    <col min="12588" max="12588" width="7.7109375" bestFit="1" customWidth="1"/>
    <col min="12589" max="12589" width="13.5703125" customWidth="1"/>
    <col min="12590" max="12590" width="15.28515625" customWidth="1"/>
    <col min="12591" max="12591" width="14.5703125" customWidth="1"/>
    <col min="12592" max="12592" width="13.28515625" bestFit="1" customWidth="1"/>
    <col min="12593" max="12593" width="7.7109375" bestFit="1" customWidth="1"/>
    <col min="12594" max="12594" width="12.7109375" bestFit="1" customWidth="1"/>
    <col min="12595" max="12595" width="11.7109375" bestFit="1" customWidth="1"/>
    <col min="12596" max="12596" width="11.5703125" bestFit="1" customWidth="1"/>
    <col min="12597" max="12597" width="5.28515625" bestFit="1" customWidth="1"/>
    <col min="12598" max="12598" width="13.28515625" bestFit="1" customWidth="1"/>
    <col min="12599" max="12599" width="13.5703125" bestFit="1" customWidth="1"/>
    <col min="12600" max="12600" width="10.5703125" bestFit="1" customWidth="1"/>
    <col min="12601" max="12601" width="13.28515625" bestFit="1" customWidth="1"/>
    <col min="12602" max="12602" width="11.5703125" bestFit="1" customWidth="1"/>
    <col min="12603" max="12603" width="10.5703125" bestFit="1" customWidth="1"/>
    <col min="12604" max="12604" width="16.140625" bestFit="1" customWidth="1"/>
    <col min="12605" max="12606" width="11.28515625" bestFit="1" customWidth="1"/>
    <col min="12607" max="12607" width="13.28515625" bestFit="1" customWidth="1"/>
    <col min="12608" max="12608" width="7.7109375" bestFit="1" customWidth="1"/>
    <col min="12609" max="12612" width="9.140625" hidden="1" customWidth="1"/>
    <col min="12613" max="12613" width="10.42578125" bestFit="1" customWidth="1"/>
    <col min="12614" max="12614" width="10.5703125" bestFit="1" customWidth="1"/>
    <col min="12615" max="12615" width="10.42578125" bestFit="1" customWidth="1"/>
    <col min="12616" max="12616" width="10.5703125" bestFit="1" customWidth="1"/>
    <col min="12617" max="12617" width="9.5703125" bestFit="1" customWidth="1"/>
    <col min="12618" max="12618" width="11.5703125" bestFit="1" customWidth="1"/>
    <col min="12619" max="12619" width="10.42578125" bestFit="1" customWidth="1"/>
    <col min="12620" max="12620" width="10.85546875" customWidth="1"/>
    <col min="12621" max="12622" width="9.85546875" bestFit="1" customWidth="1"/>
    <col min="12623" max="12623" width="13.5703125" bestFit="1" customWidth="1"/>
    <col min="12624" max="12624" width="7.7109375" bestFit="1" customWidth="1"/>
    <col min="12625" max="12625" width="13.28515625" bestFit="1" customWidth="1"/>
    <col min="12626" max="12626" width="11.5703125" bestFit="1" customWidth="1"/>
    <col min="12627" max="12627" width="10.42578125" bestFit="1" customWidth="1"/>
    <col min="12628" max="12628" width="7.7109375" bestFit="1" customWidth="1"/>
    <col min="12629" max="12629" width="11.5703125" bestFit="1" customWidth="1"/>
    <col min="12630" max="12630" width="10.85546875" bestFit="1" customWidth="1"/>
    <col min="12631" max="12631" width="13.28515625" bestFit="1" customWidth="1"/>
    <col min="12632" max="12632" width="10.85546875" bestFit="1" customWidth="1"/>
    <col min="12633" max="12634" width="7.5703125" bestFit="1" customWidth="1"/>
    <col min="12635" max="12636" width="10.42578125" bestFit="1" customWidth="1"/>
    <col min="12637" max="12637" width="11.5703125" bestFit="1" customWidth="1"/>
    <col min="12638" max="12638" width="5.28515625" bestFit="1" customWidth="1"/>
    <col min="12639" max="12639" width="10.28515625" bestFit="1" customWidth="1"/>
    <col min="12640" max="12640" width="10.42578125" bestFit="1" customWidth="1"/>
    <col min="12641" max="12641" width="11.5703125" bestFit="1" customWidth="1"/>
    <col min="12642" max="12642" width="5.28515625" bestFit="1" customWidth="1"/>
    <col min="12643" max="12645" width="11.5703125" bestFit="1" customWidth="1"/>
    <col min="12646" max="12646" width="5.28515625" bestFit="1" customWidth="1"/>
    <col min="12647" max="12648" width="10.42578125" bestFit="1" customWidth="1"/>
    <col min="12649" max="12649" width="11.5703125" bestFit="1" customWidth="1"/>
    <col min="12650" max="12650" width="5.28515625" bestFit="1" customWidth="1"/>
    <col min="12651" max="12651" width="14.28515625" bestFit="1" customWidth="1"/>
    <col min="12652" max="12652" width="13" bestFit="1" customWidth="1"/>
    <col min="12653" max="12653" width="11.5703125" bestFit="1" customWidth="1"/>
    <col min="12654" max="12654" width="8.85546875" bestFit="1" customWidth="1"/>
    <col min="12655" max="12655" width="14.42578125" bestFit="1" customWidth="1"/>
    <col min="12656" max="12656" width="10.42578125" bestFit="1" customWidth="1"/>
    <col min="12657" max="12657" width="12.28515625" bestFit="1" customWidth="1"/>
    <col min="12658" max="12658" width="13.85546875" bestFit="1" customWidth="1"/>
    <col min="12659" max="12659" width="11.28515625" customWidth="1"/>
    <col min="12660" max="12660" width="11.5703125" customWidth="1"/>
    <col min="12661" max="12661" width="13.42578125" bestFit="1" customWidth="1"/>
    <col min="12662" max="12662" width="10.42578125" customWidth="1"/>
    <col min="12663" max="12663" width="13.85546875" bestFit="1" customWidth="1"/>
    <col min="12664" max="12664" width="15.42578125" bestFit="1" customWidth="1"/>
    <col min="12665" max="12665" width="12.28515625" bestFit="1" customWidth="1"/>
    <col min="12666" max="12666" width="12.7109375" customWidth="1"/>
    <col min="12667" max="12667" width="10.7109375" bestFit="1" customWidth="1"/>
    <col min="12668" max="12668" width="9.85546875" customWidth="1"/>
    <col min="12669" max="12670" width="10.140625" bestFit="1" customWidth="1"/>
    <col min="12671" max="12671" width="7.5703125" bestFit="1" customWidth="1"/>
    <col min="12672" max="12672" width="9.42578125" bestFit="1" customWidth="1"/>
    <col min="12673" max="12673" width="14.5703125" bestFit="1" customWidth="1"/>
    <col min="12674" max="12674" width="14.85546875" customWidth="1"/>
    <col min="12675" max="12675" width="15.140625" bestFit="1" customWidth="1"/>
    <col min="12676" max="12676" width="12.140625" bestFit="1" customWidth="1"/>
    <col min="12677" max="12677" width="14.85546875" bestFit="1" customWidth="1"/>
    <col min="12678" max="12678" width="12.28515625" bestFit="1" customWidth="1"/>
    <col min="12679" max="12687" width="9.140625" hidden="1" customWidth="1"/>
    <col min="12688" max="12688" width="5.28515625" bestFit="1" customWidth="1"/>
    <col min="12689" max="12694" width="11.5703125" bestFit="1" customWidth="1"/>
    <col min="12695" max="12695" width="11.28515625" bestFit="1" customWidth="1"/>
    <col min="12696" max="12696" width="10.140625" bestFit="1" customWidth="1"/>
    <col min="12697" max="12697" width="11.5703125" bestFit="1" customWidth="1"/>
    <col min="12698" max="12698" width="16.140625" customWidth="1"/>
    <col min="12699" max="12699" width="13.42578125" customWidth="1"/>
    <col min="12700" max="12700" width="10.140625" bestFit="1" customWidth="1"/>
    <col min="12701" max="12701" width="12.85546875" bestFit="1" customWidth="1"/>
    <col min="12702" max="12702" width="12.28515625" bestFit="1" customWidth="1"/>
    <col min="12703" max="12703" width="11.28515625" bestFit="1" customWidth="1"/>
    <col min="12704" max="12704" width="11.5703125" bestFit="1" customWidth="1"/>
    <col min="12705" max="12705" width="10.85546875" bestFit="1" customWidth="1"/>
    <col min="12706" max="12706" width="11.28515625" bestFit="1" customWidth="1"/>
    <col min="12707" max="12707" width="10.140625" bestFit="1" customWidth="1"/>
    <col min="12708" max="12708" width="13.28515625" bestFit="1" customWidth="1"/>
    <col min="12709" max="12710" width="12.7109375" bestFit="1" customWidth="1"/>
    <col min="12711" max="12711" width="11" bestFit="1" customWidth="1"/>
    <col min="12712" max="12712" width="11.28515625" bestFit="1" customWidth="1"/>
    <col min="12713" max="12713" width="11.5703125" bestFit="1" customWidth="1"/>
    <col min="12714" max="12714" width="12.28515625" bestFit="1" customWidth="1"/>
    <col min="12715" max="12715" width="15.140625" bestFit="1" customWidth="1"/>
    <col min="12716" max="12716" width="14.42578125" bestFit="1" customWidth="1"/>
    <col min="12717" max="12717" width="12.28515625" bestFit="1" customWidth="1"/>
    <col min="12718" max="12718" width="15.140625" bestFit="1" customWidth="1"/>
    <col min="12719" max="12719" width="14.42578125" bestFit="1" customWidth="1"/>
    <col min="12720" max="12720" width="12.28515625" bestFit="1" customWidth="1"/>
    <col min="12721" max="12721" width="14.42578125" bestFit="1" customWidth="1"/>
    <col min="12722" max="12722" width="11.28515625" bestFit="1" customWidth="1"/>
    <col min="12723" max="12723" width="12.28515625" bestFit="1" customWidth="1"/>
    <col min="12724" max="12724" width="13" bestFit="1" customWidth="1"/>
    <col min="12725" max="12725" width="15.140625" bestFit="1" customWidth="1"/>
    <col min="12726" max="12726" width="12.28515625" bestFit="1" customWidth="1"/>
    <col min="12727" max="12727" width="13.85546875" bestFit="1" customWidth="1"/>
    <col min="12728" max="12728" width="11.28515625" bestFit="1" customWidth="1"/>
    <col min="12729" max="12729" width="12.28515625" bestFit="1" customWidth="1"/>
    <col min="12730" max="12730" width="13.85546875" bestFit="1" customWidth="1"/>
    <col min="12731" max="12732" width="15.140625" bestFit="1" customWidth="1"/>
    <col min="12733" max="12733" width="12.28515625" bestFit="1" customWidth="1"/>
    <col min="12734" max="12734" width="5.7109375" bestFit="1" customWidth="1"/>
    <col min="12735" max="12735" width="8.5703125" bestFit="1" customWidth="1"/>
    <col min="12736" max="12736" width="5.5703125" bestFit="1" customWidth="1"/>
    <col min="12737" max="12737" width="14.42578125" bestFit="1" customWidth="1"/>
    <col min="12738" max="12738" width="11.28515625" bestFit="1" customWidth="1"/>
    <col min="12739" max="12740" width="12.28515625" bestFit="1" customWidth="1"/>
    <col min="12741" max="12741" width="11.28515625" bestFit="1" customWidth="1"/>
    <col min="12742" max="12742" width="13.85546875" bestFit="1" customWidth="1"/>
    <col min="12743" max="12743" width="12" bestFit="1" customWidth="1"/>
    <col min="12744" max="12744" width="13.85546875" bestFit="1" customWidth="1"/>
    <col min="12745" max="12746" width="14.42578125" customWidth="1"/>
    <col min="12747" max="12747" width="10.140625" bestFit="1" customWidth="1"/>
    <col min="12748" max="12748" width="12.28515625" bestFit="1" customWidth="1"/>
    <col min="12749" max="12749" width="7.42578125" bestFit="1" customWidth="1"/>
    <col min="12750" max="12750" width="8.5703125" bestFit="1" customWidth="1"/>
    <col min="12751" max="12751" width="11.5703125" bestFit="1" customWidth="1"/>
    <col min="12752" max="12752" width="13.28515625" bestFit="1" customWidth="1"/>
    <col min="12753" max="12753" width="13.28515625" customWidth="1"/>
    <col min="12754" max="12754" width="13.140625" customWidth="1"/>
    <col min="12755" max="12755" width="12.7109375" bestFit="1" customWidth="1"/>
    <col min="12756" max="12756" width="13.28515625" bestFit="1" customWidth="1"/>
    <col min="12757" max="12759" width="13.28515625" customWidth="1"/>
    <col min="12760" max="12760" width="12.140625" bestFit="1" customWidth="1"/>
    <col min="12761" max="12761" width="12.7109375" bestFit="1" customWidth="1"/>
    <col min="12762" max="12762" width="11" customWidth="1"/>
    <col min="12763" max="12763" width="16.7109375" customWidth="1"/>
    <col min="12764" max="12764" width="17" customWidth="1"/>
    <col min="12765" max="12765" width="10.42578125" bestFit="1" customWidth="1"/>
    <col min="12809" max="12809" width="3.85546875" customWidth="1"/>
    <col min="12810" max="12810" width="15.28515625" bestFit="1" customWidth="1"/>
    <col min="12811" max="12811" width="12.28515625" customWidth="1"/>
    <col min="12812" max="12812" width="16.28515625" bestFit="1" customWidth="1"/>
    <col min="12813" max="12813" width="6.42578125" bestFit="1" customWidth="1"/>
    <col min="12814" max="12814" width="9.28515625" bestFit="1" customWidth="1"/>
    <col min="12815" max="12815" width="7.5703125" bestFit="1" customWidth="1"/>
    <col min="12816" max="12816" width="13.28515625" bestFit="1" customWidth="1"/>
    <col min="12817" max="12817" width="9.28515625" bestFit="1" customWidth="1"/>
    <col min="12818" max="12818" width="11.5703125" bestFit="1" customWidth="1"/>
    <col min="12819" max="12819" width="13.28515625" bestFit="1" customWidth="1"/>
    <col min="12820" max="12820" width="7.140625" bestFit="1" customWidth="1"/>
    <col min="12821" max="12821" width="12" bestFit="1" customWidth="1"/>
    <col min="12822" max="12822" width="13.28515625" bestFit="1" customWidth="1"/>
    <col min="12823" max="12823" width="7" bestFit="1" customWidth="1"/>
    <col min="12824" max="12824" width="12.7109375" bestFit="1" customWidth="1"/>
    <col min="12825" max="12825" width="11.5703125" bestFit="1" customWidth="1"/>
    <col min="12826" max="12826" width="10.5703125" bestFit="1" customWidth="1"/>
    <col min="12827" max="12828" width="15.7109375" bestFit="1" customWidth="1"/>
    <col min="12829" max="12829" width="11.5703125" bestFit="1" customWidth="1"/>
    <col min="12830" max="12830" width="7.7109375" bestFit="1" customWidth="1"/>
    <col min="12831" max="12831" width="15.140625" bestFit="1" customWidth="1"/>
    <col min="12832" max="12832" width="11.5703125" bestFit="1" customWidth="1"/>
    <col min="12833" max="12833" width="13.28515625" bestFit="1" customWidth="1"/>
    <col min="12834" max="12834" width="10.42578125" bestFit="1" customWidth="1"/>
    <col min="12835" max="12835" width="13.28515625" bestFit="1" customWidth="1"/>
    <col min="12836" max="12836" width="12.140625" bestFit="1" customWidth="1"/>
    <col min="12837" max="12837" width="14.42578125" bestFit="1" customWidth="1"/>
    <col min="12838" max="12838" width="13.28515625" bestFit="1" customWidth="1"/>
    <col min="12839" max="12839" width="11.5703125" bestFit="1" customWidth="1"/>
    <col min="12840" max="12840" width="7.7109375" bestFit="1" customWidth="1"/>
    <col min="12841" max="12842" width="14.42578125" bestFit="1" customWidth="1"/>
    <col min="12843" max="12843" width="11.5703125" bestFit="1" customWidth="1"/>
    <col min="12844" max="12844" width="7.7109375" bestFit="1" customWidth="1"/>
    <col min="12845" max="12845" width="13.5703125" customWidth="1"/>
    <col min="12846" max="12846" width="15.28515625" customWidth="1"/>
    <col min="12847" max="12847" width="14.5703125" customWidth="1"/>
    <col min="12848" max="12848" width="13.28515625" bestFit="1" customWidth="1"/>
    <col min="12849" max="12849" width="7.7109375" bestFit="1" customWidth="1"/>
    <col min="12850" max="12850" width="12.7109375" bestFit="1" customWidth="1"/>
    <col min="12851" max="12851" width="11.7109375" bestFit="1" customWidth="1"/>
    <col min="12852" max="12852" width="11.5703125" bestFit="1" customWidth="1"/>
    <col min="12853" max="12853" width="5.28515625" bestFit="1" customWidth="1"/>
    <col min="12854" max="12854" width="13.28515625" bestFit="1" customWidth="1"/>
    <col min="12855" max="12855" width="13.5703125" bestFit="1" customWidth="1"/>
    <col min="12856" max="12856" width="10.5703125" bestFit="1" customWidth="1"/>
    <col min="12857" max="12857" width="13.28515625" bestFit="1" customWidth="1"/>
    <col min="12858" max="12858" width="11.5703125" bestFit="1" customWidth="1"/>
    <col min="12859" max="12859" width="10.5703125" bestFit="1" customWidth="1"/>
    <col min="12860" max="12860" width="16.140625" bestFit="1" customWidth="1"/>
    <col min="12861" max="12862" width="11.28515625" bestFit="1" customWidth="1"/>
    <col min="12863" max="12863" width="13.28515625" bestFit="1" customWidth="1"/>
    <col min="12864" max="12864" width="7.7109375" bestFit="1" customWidth="1"/>
    <col min="12865" max="12868" width="9.140625" hidden="1" customWidth="1"/>
    <col min="12869" max="12869" width="10.42578125" bestFit="1" customWidth="1"/>
    <col min="12870" max="12870" width="10.5703125" bestFit="1" customWidth="1"/>
    <col min="12871" max="12871" width="10.42578125" bestFit="1" customWidth="1"/>
    <col min="12872" max="12872" width="10.5703125" bestFit="1" customWidth="1"/>
    <col min="12873" max="12873" width="9.5703125" bestFit="1" customWidth="1"/>
    <col min="12874" max="12874" width="11.5703125" bestFit="1" customWidth="1"/>
    <col min="12875" max="12875" width="10.42578125" bestFit="1" customWidth="1"/>
    <col min="12876" max="12876" width="10.85546875" customWidth="1"/>
    <col min="12877" max="12878" width="9.85546875" bestFit="1" customWidth="1"/>
    <col min="12879" max="12879" width="13.5703125" bestFit="1" customWidth="1"/>
    <col min="12880" max="12880" width="7.7109375" bestFit="1" customWidth="1"/>
    <col min="12881" max="12881" width="13.28515625" bestFit="1" customWidth="1"/>
    <col min="12882" max="12882" width="11.5703125" bestFit="1" customWidth="1"/>
    <col min="12883" max="12883" width="10.42578125" bestFit="1" customWidth="1"/>
    <col min="12884" max="12884" width="7.7109375" bestFit="1" customWidth="1"/>
    <col min="12885" max="12885" width="11.5703125" bestFit="1" customWidth="1"/>
    <col min="12886" max="12886" width="10.85546875" bestFit="1" customWidth="1"/>
    <col min="12887" max="12887" width="13.28515625" bestFit="1" customWidth="1"/>
    <col min="12888" max="12888" width="10.85546875" bestFit="1" customWidth="1"/>
    <col min="12889" max="12890" width="7.5703125" bestFit="1" customWidth="1"/>
    <col min="12891" max="12892" width="10.42578125" bestFit="1" customWidth="1"/>
    <col min="12893" max="12893" width="11.5703125" bestFit="1" customWidth="1"/>
    <col min="12894" max="12894" width="5.28515625" bestFit="1" customWidth="1"/>
    <col min="12895" max="12895" width="10.28515625" bestFit="1" customWidth="1"/>
    <col min="12896" max="12896" width="10.42578125" bestFit="1" customWidth="1"/>
    <col min="12897" max="12897" width="11.5703125" bestFit="1" customWidth="1"/>
    <col min="12898" max="12898" width="5.28515625" bestFit="1" customWidth="1"/>
    <col min="12899" max="12901" width="11.5703125" bestFit="1" customWidth="1"/>
    <col min="12902" max="12902" width="5.28515625" bestFit="1" customWidth="1"/>
    <col min="12903" max="12904" width="10.42578125" bestFit="1" customWidth="1"/>
    <col min="12905" max="12905" width="11.5703125" bestFit="1" customWidth="1"/>
    <col min="12906" max="12906" width="5.28515625" bestFit="1" customWidth="1"/>
    <col min="12907" max="12907" width="14.28515625" bestFit="1" customWidth="1"/>
    <col min="12908" max="12908" width="13" bestFit="1" customWidth="1"/>
    <col min="12909" max="12909" width="11.5703125" bestFit="1" customWidth="1"/>
    <col min="12910" max="12910" width="8.85546875" bestFit="1" customWidth="1"/>
    <col min="12911" max="12911" width="14.42578125" bestFit="1" customWidth="1"/>
    <col min="12912" max="12912" width="10.42578125" bestFit="1" customWidth="1"/>
    <col min="12913" max="12913" width="12.28515625" bestFit="1" customWidth="1"/>
    <col min="12914" max="12914" width="13.85546875" bestFit="1" customWidth="1"/>
    <col min="12915" max="12915" width="11.28515625" customWidth="1"/>
    <col min="12916" max="12916" width="11.5703125" customWidth="1"/>
    <col min="12917" max="12917" width="13.42578125" bestFit="1" customWidth="1"/>
    <col min="12918" max="12918" width="10.42578125" customWidth="1"/>
    <col min="12919" max="12919" width="13.85546875" bestFit="1" customWidth="1"/>
    <col min="12920" max="12920" width="15.42578125" bestFit="1" customWidth="1"/>
    <col min="12921" max="12921" width="12.28515625" bestFit="1" customWidth="1"/>
    <col min="12922" max="12922" width="12.7109375" customWidth="1"/>
    <col min="12923" max="12923" width="10.7109375" bestFit="1" customWidth="1"/>
    <col min="12924" max="12924" width="9.85546875" customWidth="1"/>
    <col min="12925" max="12926" width="10.140625" bestFit="1" customWidth="1"/>
    <col min="12927" max="12927" width="7.5703125" bestFit="1" customWidth="1"/>
    <col min="12928" max="12928" width="9.42578125" bestFit="1" customWidth="1"/>
    <col min="12929" max="12929" width="14.5703125" bestFit="1" customWidth="1"/>
    <col min="12930" max="12930" width="14.85546875" customWidth="1"/>
    <col min="12931" max="12931" width="15.140625" bestFit="1" customWidth="1"/>
    <col min="12932" max="12932" width="12.140625" bestFit="1" customWidth="1"/>
    <col min="12933" max="12933" width="14.85546875" bestFit="1" customWidth="1"/>
    <col min="12934" max="12934" width="12.28515625" bestFit="1" customWidth="1"/>
    <col min="12935" max="12943" width="9.140625" hidden="1" customWidth="1"/>
    <col min="12944" max="12944" width="5.28515625" bestFit="1" customWidth="1"/>
    <col min="12945" max="12950" width="11.5703125" bestFit="1" customWidth="1"/>
    <col min="12951" max="12951" width="11.28515625" bestFit="1" customWidth="1"/>
    <col min="12952" max="12952" width="10.140625" bestFit="1" customWidth="1"/>
    <col min="12953" max="12953" width="11.5703125" bestFit="1" customWidth="1"/>
    <col min="12954" max="12954" width="16.140625" customWidth="1"/>
    <col min="12955" max="12955" width="13.42578125" customWidth="1"/>
    <col min="12956" max="12956" width="10.140625" bestFit="1" customWidth="1"/>
    <col min="12957" max="12957" width="12.85546875" bestFit="1" customWidth="1"/>
    <col min="12958" max="12958" width="12.28515625" bestFit="1" customWidth="1"/>
    <col min="12959" max="12959" width="11.28515625" bestFit="1" customWidth="1"/>
    <col min="12960" max="12960" width="11.5703125" bestFit="1" customWidth="1"/>
    <col min="12961" max="12961" width="10.85546875" bestFit="1" customWidth="1"/>
    <col min="12962" max="12962" width="11.28515625" bestFit="1" customWidth="1"/>
    <col min="12963" max="12963" width="10.140625" bestFit="1" customWidth="1"/>
    <col min="12964" max="12964" width="13.28515625" bestFit="1" customWidth="1"/>
    <col min="12965" max="12966" width="12.7109375" bestFit="1" customWidth="1"/>
    <col min="12967" max="12967" width="11" bestFit="1" customWidth="1"/>
    <col min="12968" max="12968" width="11.28515625" bestFit="1" customWidth="1"/>
    <col min="12969" max="12969" width="11.5703125" bestFit="1" customWidth="1"/>
    <col min="12970" max="12970" width="12.28515625" bestFit="1" customWidth="1"/>
    <col min="12971" max="12971" width="15.140625" bestFit="1" customWidth="1"/>
    <col min="12972" max="12972" width="14.42578125" bestFit="1" customWidth="1"/>
    <col min="12973" max="12973" width="12.28515625" bestFit="1" customWidth="1"/>
    <col min="12974" max="12974" width="15.140625" bestFit="1" customWidth="1"/>
    <col min="12975" max="12975" width="14.42578125" bestFit="1" customWidth="1"/>
    <col min="12976" max="12976" width="12.28515625" bestFit="1" customWidth="1"/>
    <col min="12977" max="12977" width="14.42578125" bestFit="1" customWidth="1"/>
    <col min="12978" max="12978" width="11.28515625" bestFit="1" customWidth="1"/>
    <col min="12979" max="12979" width="12.28515625" bestFit="1" customWidth="1"/>
    <col min="12980" max="12980" width="13" bestFit="1" customWidth="1"/>
    <col min="12981" max="12981" width="15.140625" bestFit="1" customWidth="1"/>
    <col min="12982" max="12982" width="12.28515625" bestFit="1" customWidth="1"/>
    <col min="12983" max="12983" width="13.85546875" bestFit="1" customWidth="1"/>
    <col min="12984" max="12984" width="11.28515625" bestFit="1" customWidth="1"/>
    <col min="12985" max="12985" width="12.28515625" bestFit="1" customWidth="1"/>
    <col min="12986" max="12986" width="13.85546875" bestFit="1" customWidth="1"/>
    <col min="12987" max="12988" width="15.140625" bestFit="1" customWidth="1"/>
    <col min="12989" max="12989" width="12.28515625" bestFit="1" customWidth="1"/>
    <col min="12990" max="12990" width="5.7109375" bestFit="1" customWidth="1"/>
    <col min="12991" max="12991" width="8.5703125" bestFit="1" customWidth="1"/>
    <col min="12992" max="12992" width="5.5703125" bestFit="1" customWidth="1"/>
    <col min="12993" max="12993" width="14.42578125" bestFit="1" customWidth="1"/>
    <col min="12994" max="12994" width="11.28515625" bestFit="1" customWidth="1"/>
    <col min="12995" max="12996" width="12.28515625" bestFit="1" customWidth="1"/>
    <col min="12997" max="12997" width="11.28515625" bestFit="1" customWidth="1"/>
    <col min="12998" max="12998" width="13.85546875" bestFit="1" customWidth="1"/>
    <col min="12999" max="12999" width="12" bestFit="1" customWidth="1"/>
    <col min="13000" max="13000" width="13.85546875" bestFit="1" customWidth="1"/>
    <col min="13001" max="13002" width="14.42578125" customWidth="1"/>
    <col min="13003" max="13003" width="10.140625" bestFit="1" customWidth="1"/>
    <col min="13004" max="13004" width="12.28515625" bestFit="1" customWidth="1"/>
    <col min="13005" max="13005" width="7.42578125" bestFit="1" customWidth="1"/>
    <col min="13006" max="13006" width="8.5703125" bestFit="1" customWidth="1"/>
    <col min="13007" max="13007" width="11.5703125" bestFit="1" customWidth="1"/>
    <col min="13008" max="13008" width="13.28515625" bestFit="1" customWidth="1"/>
    <col min="13009" max="13009" width="13.28515625" customWidth="1"/>
    <col min="13010" max="13010" width="13.140625" customWidth="1"/>
    <col min="13011" max="13011" width="12.7109375" bestFit="1" customWidth="1"/>
    <col min="13012" max="13012" width="13.28515625" bestFit="1" customWidth="1"/>
    <col min="13013" max="13015" width="13.28515625" customWidth="1"/>
    <col min="13016" max="13016" width="12.140625" bestFit="1" customWidth="1"/>
    <col min="13017" max="13017" width="12.7109375" bestFit="1" customWidth="1"/>
    <col min="13018" max="13018" width="11" customWidth="1"/>
    <col min="13019" max="13019" width="16.7109375" customWidth="1"/>
    <col min="13020" max="13020" width="17" customWidth="1"/>
    <col min="13021" max="13021" width="10.42578125" bestFit="1" customWidth="1"/>
    <col min="13065" max="13065" width="3.85546875" customWidth="1"/>
    <col min="13066" max="13066" width="15.28515625" bestFit="1" customWidth="1"/>
    <col min="13067" max="13067" width="12.28515625" customWidth="1"/>
    <col min="13068" max="13068" width="16.28515625" bestFit="1" customWidth="1"/>
    <col min="13069" max="13069" width="6.42578125" bestFit="1" customWidth="1"/>
    <col min="13070" max="13070" width="9.28515625" bestFit="1" customWidth="1"/>
    <col min="13071" max="13071" width="7.5703125" bestFit="1" customWidth="1"/>
    <col min="13072" max="13072" width="13.28515625" bestFit="1" customWidth="1"/>
    <col min="13073" max="13073" width="9.28515625" bestFit="1" customWidth="1"/>
    <col min="13074" max="13074" width="11.5703125" bestFit="1" customWidth="1"/>
    <col min="13075" max="13075" width="13.28515625" bestFit="1" customWidth="1"/>
    <col min="13076" max="13076" width="7.140625" bestFit="1" customWidth="1"/>
    <col min="13077" max="13077" width="12" bestFit="1" customWidth="1"/>
    <col min="13078" max="13078" width="13.28515625" bestFit="1" customWidth="1"/>
    <col min="13079" max="13079" width="7" bestFit="1" customWidth="1"/>
    <col min="13080" max="13080" width="12.7109375" bestFit="1" customWidth="1"/>
    <col min="13081" max="13081" width="11.5703125" bestFit="1" customWidth="1"/>
    <col min="13082" max="13082" width="10.5703125" bestFit="1" customWidth="1"/>
    <col min="13083" max="13084" width="15.7109375" bestFit="1" customWidth="1"/>
    <col min="13085" max="13085" width="11.5703125" bestFit="1" customWidth="1"/>
    <col min="13086" max="13086" width="7.7109375" bestFit="1" customWidth="1"/>
    <col min="13087" max="13087" width="15.140625" bestFit="1" customWidth="1"/>
    <col min="13088" max="13088" width="11.5703125" bestFit="1" customWidth="1"/>
    <col min="13089" max="13089" width="13.28515625" bestFit="1" customWidth="1"/>
    <col min="13090" max="13090" width="10.42578125" bestFit="1" customWidth="1"/>
    <col min="13091" max="13091" width="13.28515625" bestFit="1" customWidth="1"/>
    <col min="13092" max="13092" width="12.140625" bestFit="1" customWidth="1"/>
    <col min="13093" max="13093" width="14.42578125" bestFit="1" customWidth="1"/>
    <col min="13094" max="13094" width="13.28515625" bestFit="1" customWidth="1"/>
    <col min="13095" max="13095" width="11.5703125" bestFit="1" customWidth="1"/>
    <col min="13096" max="13096" width="7.7109375" bestFit="1" customWidth="1"/>
    <col min="13097" max="13098" width="14.42578125" bestFit="1" customWidth="1"/>
    <col min="13099" max="13099" width="11.5703125" bestFit="1" customWidth="1"/>
    <col min="13100" max="13100" width="7.7109375" bestFit="1" customWidth="1"/>
    <col min="13101" max="13101" width="13.5703125" customWidth="1"/>
    <col min="13102" max="13102" width="15.28515625" customWidth="1"/>
    <col min="13103" max="13103" width="14.5703125" customWidth="1"/>
    <col min="13104" max="13104" width="13.28515625" bestFit="1" customWidth="1"/>
    <col min="13105" max="13105" width="7.7109375" bestFit="1" customWidth="1"/>
    <col min="13106" max="13106" width="12.7109375" bestFit="1" customWidth="1"/>
    <col min="13107" max="13107" width="11.7109375" bestFit="1" customWidth="1"/>
    <col min="13108" max="13108" width="11.5703125" bestFit="1" customWidth="1"/>
    <col min="13109" max="13109" width="5.28515625" bestFit="1" customWidth="1"/>
    <col min="13110" max="13110" width="13.28515625" bestFit="1" customWidth="1"/>
    <col min="13111" max="13111" width="13.5703125" bestFit="1" customWidth="1"/>
    <col min="13112" max="13112" width="10.5703125" bestFit="1" customWidth="1"/>
    <col min="13113" max="13113" width="13.28515625" bestFit="1" customWidth="1"/>
    <col min="13114" max="13114" width="11.5703125" bestFit="1" customWidth="1"/>
    <col min="13115" max="13115" width="10.5703125" bestFit="1" customWidth="1"/>
    <col min="13116" max="13116" width="16.140625" bestFit="1" customWidth="1"/>
    <col min="13117" max="13118" width="11.28515625" bestFit="1" customWidth="1"/>
    <col min="13119" max="13119" width="13.28515625" bestFit="1" customWidth="1"/>
    <col min="13120" max="13120" width="7.7109375" bestFit="1" customWidth="1"/>
    <col min="13121" max="13124" width="9.140625" hidden="1" customWidth="1"/>
    <col min="13125" max="13125" width="10.42578125" bestFit="1" customWidth="1"/>
    <col min="13126" max="13126" width="10.5703125" bestFit="1" customWidth="1"/>
    <col min="13127" max="13127" width="10.42578125" bestFit="1" customWidth="1"/>
    <col min="13128" max="13128" width="10.5703125" bestFit="1" customWidth="1"/>
    <col min="13129" max="13129" width="9.5703125" bestFit="1" customWidth="1"/>
    <col min="13130" max="13130" width="11.5703125" bestFit="1" customWidth="1"/>
    <col min="13131" max="13131" width="10.42578125" bestFit="1" customWidth="1"/>
    <col min="13132" max="13132" width="10.85546875" customWidth="1"/>
    <col min="13133" max="13134" width="9.85546875" bestFit="1" customWidth="1"/>
    <col min="13135" max="13135" width="13.5703125" bestFit="1" customWidth="1"/>
    <col min="13136" max="13136" width="7.7109375" bestFit="1" customWidth="1"/>
    <col min="13137" max="13137" width="13.28515625" bestFit="1" customWidth="1"/>
    <col min="13138" max="13138" width="11.5703125" bestFit="1" customWidth="1"/>
    <col min="13139" max="13139" width="10.42578125" bestFit="1" customWidth="1"/>
    <col min="13140" max="13140" width="7.7109375" bestFit="1" customWidth="1"/>
    <col min="13141" max="13141" width="11.5703125" bestFit="1" customWidth="1"/>
    <col min="13142" max="13142" width="10.85546875" bestFit="1" customWidth="1"/>
    <col min="13143" max="13143" width="13.28515625" bestFit="1" customWidth="1"/>
    <col min="13144" max="13144" width="10.85546875" bestFit="1" customWidth="1"/>
    <col min="13145" max="13146" width="7.5703125" bestFit="1" customWidth="1"/>
    <col min="13147" max="13148" width="10.42578125" bestFit="1" customWidth="1"/>
    <col min="13149" max="13149" width="11.5703125" bestFit="1" customWidth="1"/>
    <col min="13150" max="13150" width="5.28515625" bestFit="1" customWidth="1"/>
    <col min="13151" max="13151" width="10.28515625" bestFit="1" customWidth="1"/>
    <col min="13152" max="13152" width="10.42578125" bestFit="1" customWidth="1"/>
    <col min="13153" max="13153" width="11.5703125" bestFit="1" customWidth="1"/>
    <col min="13154" max="13154" width="5.28515625" bestFit="1" customWidth="1"/>
    <col min="13155" max="13157" width="11.5703125" bestFit="1" customWidth="1"/>
    <col min="13158" max="13158" width="5.28515625" bestFit="1" customWidth="1"/>
    <col min="13159" max="13160" width="10.42578125" bestFit="1" customWidth="1"/>
    <col min="13161" max="13161" width="11.5703125" bestFit="1" customWidth="1"/>
    <col min="13162" max="13162" width="5.28515625" bestFit="1" customWidth="1"/>
    <col min="13163" max="13163" width="14.28515625" bestFit="1" customWidth="1"/>
    <col min="13164" max="13164" width="13" bestFit="1" customWidth="1"/>
    <col min="13165" max="13165" width="11.5703125" bestFit="1" customWidth="1"/>
    <col min="13166" max="13166" width="8.85546875" bestFit="1" customWidth="1"/>
    <col min="13167" max="13167" width="14.42578125" bestFit="1" customWidth="1"/>
    <col min="13168" max="13168" width="10.42578125" bestFit="1" customWidth="1"/>
    <col min="13169" max="13169" width="12.28515625" bestFit="1" customWidth="1"/>
    <col min="13170" max="13170" width="13.85546875" bestFit="1" customWidth="1"/>
    <col min="13171" max="13171" width="11.28515625" customWidth="1"/>
    <col min="13172" max="13172" width="11.5703125" customWidth="1"/>
    <col min="13173" max="13173" width="13.42578125" bestFit="1" customWidth="1"/>
    <col min="13174" max="13174" width="10.42578125" customWidth="1"/>
    <col min="13175" max="13175" width="13.85546875" bestFit="1" customWidth="1"/>
    <col min="13176" max="13176" width="15.42578125" bestFit="1" customWidth="1"/>
    <col min="13177" max="13177" width="12.28515625" bestFit="1" customWidth="1"/>
    <col min="13178" max="13178" width="12.7109375" customWidth="1"/>
    <col min="13179" max="13179" width="10.7109375" bestFit="1" customWidth="1"/>
    <col min="13180" max="13180" width="9.85546875" customWidth="1"/>
    <col min="13181" max="13182" width="10.140625" bestFit="1" customWidth="1"/>
    <col min="13183" max="13183" width="7.5703125" bestFit="1" customWidth="1"/>
    <col min="13184" max="13184" width="9.42578125" bestFit="1" customWidth="1"/>
    <col min="13185" max="13185" width="14.5703125" bestFit="1" customWidth="1"/>
    <col min="13186" max="13186" width="14.85546875" customWidth="1"/>
    <col min="13187" max="13187" width="15.140625" bestFit="1" customWidth="1"/>
    <col min="13188" max="13188" width="12.140625" bestFit="1" customWidth="1"/>
    <col min="13189" max="13189" width="14.85546875" bestFit="1" customWidth="1"/>
    <col min="13190" max="13190" width="12.28515625" bestFit="1" customWidth="1"/>
    <col min="13191" max="13199" width="9.140625" hidden="1" customWidth="1"/>
    <col min="13200" max="13200" width="5.28515625" bestFit="1" customWidth="1"/>
    <col min="13201" max="13206" width="11.5703125" bestFit="1" customWidth="1"/>
    <col min="13207" max="13207" width="11.28515625" bestFit="1" customWidth="1"/>
    <col min="13208" max="13208" width="10.140625" bestFit="1" customWidth="1"/>
    <col min="13209" max="13209" width="11.5703125" bestFit="1" customWidth="1"/>
    <col min="13210" max="13210" width="16.140625" customWidth="1"/>
    <col min="13211" max="13211" width="13.42578125" customWidth="1"/>
    <col min="13212" max="13212" width="10.140625" bestFit="1" customWidth="1"/>
    <col min="13213" max="13213" width="12.85546875" bestFit="1" customWidth="1"/>
    <col min="13214" max="13214" width="12.28515625" bestFit="1" customWidth="1"/>
    <col min="13215" max="13215" width="11.28515625" bestFit="1" customWidth="1"/>
    <col min="13216" max="13216" width="11.5703125" bestFit="1" customWidth="1"/>
    <col min="13217" max="13217" width="10.85546875" bestFit="1" customWidth="1"/>
    <col min="13218" max="13218" width="11.28515625" bestFit="1" customWidth="1"/>
    <col min="13219" max="13219" width="10.140625" bestFit="1" customWidth="1"/>
    <col min="13220" max="13220" width="13.28515625" bestFit="1" customWidth="1"/>
    <col min="13221" max="13222" width="12.7109375" bestFit="1" customWidth="1"/>
    <col min="13223" max="13223" width="11" bestFit="1" customWidth="1"/>
    <col min="13224" max="13224" width="11.28515625" bestFit="1" customWidth="1"/>
    <col min="13225" max="13225" width="11.5703125" bestFit="1" customWidth="1"/>
    <col min="13226" max="13226" width="12.28515625" bestFit="1" customWidth="1"/>
    <col min="13227" max="13227" width="15.140625" bestFit="1" customWidth="1"/>
    <col min="13228" max="13228" width="14.42578125" bestFit="1" customWidth="1"/>
    <col min="13229" max="13229" width="12.28515625" bestFit="1" customWidth="1"/>
    <col min="13230" max="13230" width="15.140625" bestFit="1" customWidth="1"/>
    <col min="13231" max="13231" width="14.42578125" bestFit="1" customWidth="1"/>
    <col min="13232" max="13232" width="12.28515625" bestFit="1" customWidth="1"/>
    <col min="13233" max="13233" width="14.42578125" bestFit="1" customWidth="1"/>
    <col min="13234" max="13234" width="11.28515625" bestFit="1" customWidth="1"/>
    <col min="13235" max="13235" width="12.28515625" bestFit="1" customWidth="1"/>
    <col min="13236" max="13236" width="13" bestFit="1" customWidth="1"/>
    <col min="13237" max="13237" width="15.140625" bestFit="1" customWidth="1"/>
    <col min="13238" max="13238" width="12.28515625" bestFit="1" customWidth="1"/>
    <col min="13239" max="13239" width="13.85546875" bestFit="1" customWidth="1"/>
    <col min="13240" max="13240" width="11.28515625" bestFit="1" customWidth="1"/>
    <col min="13241" max="13241" width="12.28515625" bestFit="1" customWidth="1"/>
    <col min="13242" max="13242" width="13.85546875" bestFit="1" customWidth="1"/>
    <col min="13243" max="13244" width="15.140625" bestFit="1" customWidth="1"/>
    <col min="13245" max="13245" width="12.28515625" bestFit="1" customWidth="1"/>
    <col min="13246" max="13246" width="5.7109375" bestFit="1" customWidth="1"/>
    <col min="13247" max="13247" width="8.5703125" bestFit="1" customWidth="1"/>
    <col min="13248" max="13248" width="5.5703125" bestFit="1" customWidth="1"/>
    <col min="13249" max="13249" width="14.42578125" bestFit="1" customWidth="1"/>
    <col min="13250" max="13250" width="11.28515625" bestFit="1" customWidth="1"/>
    <col min="13251" max="13252" width="12.28515625" bestFit="1" customWidth="1"/>
    <col min="13253" max="13253" width="11.28515625" bestFit="1" customWidth="1"/>
    <col min="13254" max="13254" width="13.85546875" bestFit="1" customWidth="1"/>
    <col min="13255" max="13255" width="12" bestFit="1" customWidth="1"/>
    <col min="13256" max="13256" width="13.85546875" bestFit="1" customWidth="1"/>
    <col min="13257" max="13258" width="14.42578125" customWidth="1"/>
    <col min="13259" max="13259" width="10.140625" bestFit="1" customWidth="1"/>
    <col min="13260" max="13260" width="12.28515625" bestFit="1" customWidth="1"/>
    <col min="13261" max="13261" width="7.42578125" bestFit="1" customWidth="1"/>
    <col min="13262" max="13262" width="8.5703125" bestFit="1" customWidth="1"/>
    <col min="13263" max="13263" width="11.5703125" bestFit="1" customWidth="1"/>
    <col min="13264" max="13264" width="13.28515625" bestFit="1" customWidth="1"/>
    <col min="13265" max="13265" width="13.28515625" customWidth="1"/>
    <col min="13266" max="13266" width="13.140625" customWidth="1"/>
    <col min="13267" max="13267" width="12.7109375" bestFit="1" customWidth="1"/>
    <col min="13268" max="13268" width="13.28515625" bestFit="1" customWidth="1"/>
    <col min="13269" max="13271" width="13.28515625" customWidth="1"/>
    <col min="13272" max="13272" width="12.140625" bestFit="1" customWidth="1"/>
    <col min="13273" max="13273" width="12.7109375" bestFit="1" customWidth="1"/>
    <col min="13274" max="13274" width="11" customWidth="1"/>
    <col min="13275" max="13275" width="16.7109375" customWidth="1"/>
    <col min="13276" max="13276" width="17" customWidth="1"/>
    <col min="13277" max="13277" width="10.42578125" bestFit="1" customWidth="1"/>
    <col min="13321" max="13321" width="3.85546875" customWidth="1"/>
    <col min="13322" max="13322" width="15.28515625" bestFit="1" customWidth="1"/>
    <col min="13323" max="13323" width="12.28515625" customWidth="1"/>
    <col min="13324" max="13324" width="16.28515625" bestFit="1" customWidth="1"/>
    <col min="13325" max="13325" width="6.42578125" bestFit="1" customWidth="1"/>
    <col min="13326" max="13326" width="9.28515625" bestFit="1" customWidth="1"/>
    <col min="13327" max="13327" width="7.5703125" bestFit="1" customWidth="1"/>
    <col min="13328" max="13328" width="13.28515625" bestFit="1" customWidth="1"/>
    <col min="13329" max="13329" width="9.28515625" bestFit="1" customWidth="1"/>
    <col min="13330" max="13330" width="11.5703125" bestFit="1" customWidth="1"/>
    <col min="13331" max="13331" width="13.28515625" bestFit="1" customWidth="1"/>
    <col min="13332" max="13332" width="7.140625" bestFit="1" customWidth="1"/>
    <col min="13333" max="13333" width="12" bestFit="1" customWidth="1"/>
    <col min="13334" max="13334" width="13.28515625" bestFit="1" customWidth="1"/>
    <col min="13335" max="13335" width="7" bestFit="1" customWidth="1"/>
    <col min="13336" max="13336" width="12.7109375" bestFit="1" customWidth="1"/>
    <col min="13337" max="13337" width="11.5703125" bestFit="1" customWidth="1"/>
    <col min="13338" max="13338" width="10.5703125" bestFit="1" customWidth="1"/>
    <col min="13339" max="13340" width="15.7109375" bestFit="1" customWidth="1"/>
    <col min="13341" max="13341" width="11.5703125" bestFit="1" customWidth="1"/>
    <col min="13342" max="13342" width="7.7109375" bestFit="1" customWidth="1"/>
    <col min="13343" max="13343" width="15.140625" bestFit="1" customWidth="1"/>
    <col min="13344" max="13344" width="11.5703125" bestFit="1" customWidth="1"/>
    <col min="13345" max="13345" width="13.28515625" bestFit="1" customWidth="1"/>
    <col min="13346" max="13346" width="10.42578125" bestFit="1" customWidth="1"/>
    <col min="13347" max="13347" width="13.28515625" bestFit="1" customWidth="1"/>
    <col min="13348" max="13348" width="12.140625" bestFit="1" customWidth="1"/>
    <col min="13349" max="13349" width="14.42578125" bestFit="1" customWidth="1"/>
    <col min="13350" max="13350" width="13.28515625" bestFit="1" customWidth="1"/>
    <col min="13351" max="13351" width="11.5703125" bestFit="1" customWidth="1"/>
    <col min="13352" max="13352" width="7.7109375" bestFit="1" customWidth="1"/>
    <col min="13353" max="13354" width="14.42578125" bestFit="1" customWidth="1"/>
    <col min="13355" max="13355" width="11.5703125" bestFit="1" customWidth="1"/>
    <col min="13356" max="13356" width="7.7109375" bestFit="1" customWidth="1"/>
    <col min="13357" max="13357" width="13.5703125" customWidth="1"/>
    <col min="13358" max="13358" width="15.28515625" customWidth="1"/>
    <col min="13359" max="13359" width="14.5703125" customWidth="1"/>
    <col min="13360" max="13360" width="13.28515625" bestFit="1" customWidth="1"/>
    <col min="13361" max="13361" width="7.7109375" bestFit="1" customWidth="1"/>
    <col min="13362" max="13362" width="12.7109375" bestFit="1" customWidth="1"/>
    <col min="13363" max="13363" width="11.7109375" bestFit="1" customWidth="1"/>
    <col min="13364" max="13364" width="11.5703125" bestFit="1" customWidth="1"/>
    <col min="13365" max="13365" width="5.28515625" bestFit="1" customWidth="1"/>
    <col min="13366" max="13366" width="13.28515625" bestFit="1" customWidth="1"/>
    <col min="13367" max="13367" width="13.5703125" bestFit="1" customWidth="1"/>
    <col min="13368" max="13368" width="10.5703125" bestFit="1" customWidth="1"/>
    <col min="13369" max="13369" width="13.28515625" bestFit="1" customWidth="1"/>
    <col min="13370" max="13370" width="11.5703125" bestFit="1" customWidth="1"/>
    <col min="13371" max="13371" width="10.5703125" bestFit="1" customWidth="1"/>
    <col min="13372" max="13372" width="16.140625" bestFit="1" customWidth="1"/>
    <col min="13373" max="13374" width="11.28515625" bestFit="1" customWidth="1"/>
    <col min="13375" max="13375" width="13.28515625" bestFit="1" customWidth="1"/>
    <col min="13376" max="13376" width="7.7109375" bestFit="1" customWidth="1"/>
    <col min="13377" max="13380" width="9.140625" hidden="1" customWidth="1"/>
    <col min="13381" max="13381" width="10.42578125" bestFit="1" customWidth="1"/>
    <col min="13382" max="13382" width="10.5703125" bestFit="1" customWidth="1"/>
    <col min="13383" max="13383" width="10.42578125" bestFit="1" customWidth="1"/>
    <col min="13384" max="13384" width="10.5703125" bestFit="1" customWidth="1"/>
    <col min="13385" max="13385" width="9.5703125" bestFit="1" customWidth="1"/>
    <col min="13386" max="13386" width="11.5703125" bestFit="1" customWidth="1"/>
    <col min="13387" max="13387" width="10.42578125" bestFit="1" customWidth="1"/>
    <col min="13388" max="13388" width="10.85546875" customWidth="1"/>
    <col min="13389" max="13390" width="9.85546875" bestFit="1" customWidth="1"/>
    <col min="13391" max="13391" width="13.5703125" bestFit="1" customWidth="1"/>
    <col min="13392" max="13392" width="7.7109375" bestFit="1" customWidth="1"/>
    <col min="13393" max="13393" width="13.28515625" bestFit="1" customWidth="1"/>
    <col min="13394" max="13394" width="11.5703125" bestFit="1" customWidth="1"/>
    <col min="13395" max="13395" width="10.42578125" bestFit="1" customWidth="1"/>
    <col min="13396" max="13396" width="7.7109375" bestFit="1" customWidth="1"/>
    <col min="13397" max="13397" width="11.5703125" bestFit="1" customWidth="1"/>
    <col min="13398" max="13398" width="10.85546875" bestFit="1" customWidth="1"/>
    <col min="13399" max="13399" width="13.28515625" bestFit="1" customWidth="1"/>
    <col min="13400" max="13400" width="10.85546875" bestFit="1" customWidth="1"/>
    <col min="13401" max="13402" width="7.5703125" bestFit="1" customWidth="1"/>
    <col min="13403" max="13404" width="10.42578125" bestFit="1" customWidth="1"/>
    <col min="13405" max="13405" width="11.5703125" bestFit="1" customWidth="1"/>
    <col min="13406" max="13406" width="5.28515625" bestFit="1" customWidth="1"/>
    <col min="13407" max="13407" width="10.28515625" bestFit="1" customWidth="1"/>
    <col min="13408" max="13408" width="10.42578125" bestFit="1" customWidth="1"/>
    <col min="13409" max="13409" width="11.5703125" bestFit="1" customWidth="1"/>
    <col min="13410" max="13410" width="5.28515625" bestFit="1" customWidth="1"/>
    <col min="13411" max="13413" width="11.5703125" bestFit="1" customWidth="1"/>
    <col min="13414" max="13414" width="5.28515625" bestFit="1" customWidth="1"/>
    <col min="13415" max="13416" width="10.42578125" bestFit="1" customWidth="1"/>
    <col min="13417" max="13417" width="11.5703125" bestFit="1" customWidth="1"/>
    <col min="13418" max="13418" width="5.28515625" bestFit="1" customWidth="1"/>
    <col min="13419" max="13419" width="14.28515625" bestFit="1" customWidth="1"/>
    <col min="13420" max="13420" width="13" bestFit="1" customWidth="1"/>
    <col min="13421" max="13421" width="11.5703125" bestFit="1" customWidth="1"/>
    <col min="13422" max="13422" width="8.85546875" bestFit="1" customWidth="1"/>
    <col min="13423" max="13423" width="14.42578125" bestFit="1" customWidth="1"/>
    <col min="13424" max="13424" width="10.42578125" bestFit="1" customWidth="1"/>
    <col min="13425" max="13425" width="12.28515625" bestFit="1" customWidth="1"/>
    <col min="13426" max="13426" width="13.85546875" bestFit="1" customWidth="1"/>
    <col min="13427" max="13427" width="11.28515625" customWidth="1"/>
    <col min="13428" max="13428" width="11.5703125" customWidth="1"/>
    <col min="13429" max="13429" width="13.42578125" bestFit="1" customWidth="1"/>
    <col min="13430" max="13430" width="10.42578125" customWidth="1"/>
    <col min="13431" max="13431" width="13.85546875" bestFit="1" customWidth="1"/>
    <col min="13432" max="13432" width="15.42578125" bestFit="1" customWidth="1"/>
    <col min="13433" max="13433" width="12.28515625" bestFit="1" customWidth="1"/>
    <col min="13434" max="13434" width="12.7109375" customWidth="1"/>
    <col min="13435" max="13435" width="10.7109375" bestFit="1" customWidth="1"/>
    <col min="13436" max="13436" width="9.85546875" customWidth="1"/>
    <col min="13437" max="13438" width="10.140625" bestFit="1" customWidth="1"/>
    <col min="13439" max="13439" width="7.5703125" bestFit="1" customWidth="1"/>
    <col min="13440" max="13440" width="9.42578125" bestFit="1" customWidth="1"/>
    <col min="13441" max="13441" width="14.5703125" bestFit="1" customWidth="1"/>
    <col min="13442" max="13442" width="14.85546875" customWidth="1"/>
    <col min="13443" max="13443" width="15.140625" bestFit="1" customWidth="1"/>
    <col min="13444" max="13444" width="12.140625" bestFit="1" customWidth="1"/>
    <col min="13445" max="13445" width="14.85546875" bestFit="1" customWidth="1"/>
    <col min="13446" max="13446" width="12.28515625" bestFit="1" customWidth="1"/>
    <col min="13447" max="13455" width="9.140625" hidden="1" customWidth="1"/>
    <col min="13456" max="13456" width="5.28515625" bestFit="1" customWidth="1"/>
    <col min="13457" max="13462" width="11.5703125" bestFit="1" customWidth="1"/>
    <col min="13463" max="13463" width="11.28515625" bestFit="1" customWidth="1"/>
    <col min="13464" max="13464" width="10.140625" bestFit="1" customWidth="1"/>
    <col min="13465" max="13465" width="11.5703125" bestFit="1" customWidth="1"/>
    <col min="13466" max="13466" width="16.140625" customWidth="1"/>
    <col min="13467" max="13467" width="13.42578125" customWidth="1"/>
    <col min="13468" max="13468" width="10.140625" bestFit="1" customWidth="1"/>
    <col min="13469" max="13469" width="12.85546875" bestFit="1" customWidth="1"/>
    <col min="13470" max="13470" width="12.28515625" bestFit="1" customWidth="1"/>
    <col min="13471" max="13471" width="11.28515625" bestFit="1" customWidth="1"/>
    <col min="13472" max="13472" width="11.5703125" bestFit="1" customWidth="1"/>
    <col min="13473" max="13473" width="10.85546875" bestFit="1" customWidth="1"/>
    <col min="13474" max="13474" width="11.28515625" bestFit="1" customWidth="1"/>
    <col min="13475" max="13475" width="10.140625" bestFit="1" customWidth="1"/>
    <col min="13476" max="13476" width="13.28515625" bestFit="1" customWidth="1"/>
    <col min="13477" max="13478" width="12.7109375" bestFit="1" customWidth="1"/>
    <col min="13479" max="13479" width="11" bestFit="1" customWidth="1"/>
    <col min="13480" max="13480" width="11.28515625" bestFit="1" customWidth="1"/>
    <col min="13481" max="13481" width="11.5703125" bestFit="1" customWidth="1"/>
    <col min="13482" max="13482" width="12.28515625" bestFit="1" customWidth="1"/>
    <col min="13483" max="13483" width="15.140625" bestFit="1" customWidth="1"/>
    <col min="13484" max="13484" width="14.42578125" bestFit="1" customWidth="1"/>
    <col min="13485" max="13485" width="12.28515625" bestFit="1" customWidth="1"/>
    <col min="13486" max="13486" width="15.140625" bestFit="1" customWidth="1"/>
    <col min="13487" max="13487" width="14.42578125" bestFit="1" customWidth="1"/>
    <col min="13488" max="13488" width="12.28515625" bestFit="1" customWidth="1"/>
    <col min="13489" max="13489" width="14.42578125" bestFit="1" customWidth="1"/>
    <col min="13490" max="13490" width="11.28515625" bestFit="1" customWidth="1"/>
    <col min="13491" max="13491" width="12.28515625" bestFit="1" customWidth="1"/>
    <col min="13492" max="13492" width="13" bestFit="1" customWidth="1"/>
    <col min="13493" max="13493" width="15.140625" bestFit="1" customWidth="1"/>
    <col min="13494" max="13494" width="12.28515625" bestFit="1" customWidth="1"/>
    <col min="13495" max="13495" width="13.85546875" bestFit="1" customWidth="1"/>
    <col min="13496" max="13496" width="11.28515625" bestFit="1" customWidth="1"/>
    <col min="13497" max="13497" width="12.28515625" bestFit="1" customWidth="1"/>
    <col min="13498" max="13498" width="13.85546875" bestFit="1" customWidth="1"/>
    <col min="13499" max="13500" width="15.140625" bestFit="1" customWidth="1"/>
    <col min="13501" max="13501" width="12.28515625" bestFit="1" customWidth="1"/>
    <col min="13502" max="13502" width="5.7109375" bestFit="1" customWidth="1"/>
    <col min="13503" max="13503" width="8.5703125" bestFit="1" customWidth="1"/>
    <col min="13504" max="13504" width="5.5703125" bestFit="1" customWidth="1"/>
    <col min="13505" max="13505" width="14.42578125" bestFit="1" customWidth="1"/>
    <col min="13506" max="13506" width="11.28515625" bestFit="1" customWidth="1"/>
    <col min="13507" max="13508" width="12.28515625" bestFit="1" customWidth="1"/>
    <col min="13509" max="13509" width="11.28515625" bestFit="1" customWidth="1"/>
    <col min="13510" max="13510" width="13.85546875" bestFit="1" customWidth="1"/>
    <col min="13511" max="13511" width="12" bestFit="1" customWidth="1"/>
    <col min="13512" max="13512" width="13.85546875" bestFit="1" customWidth="1"/>
    <col min="13513" max="13514" width="14.42578125" customWidth="1"/>
    <col min="13515" max="13515" width="10.140625" bestFit="1" customWidth="1"/>
    <col min="13516" max="13516" width="12.28515625" bestFit="1" customWidth="1"/>
    <col min="13517" max="13517" width="7.42578125" bestFit="1" customWidth="1"/>
    <col min="13518" max="13518" width="8.5703125" bestFit="1" customWidth="1"/>
    <col min="13519" max="13519" width="11.5703125" bestFit="1" customWidth="1"/>
    <col min="13520" max="13520" width="13.28515625" bestFit="1" customWidth="1"/>
    <col min="13521" max="13521" width="13.28515625" customWidth="1"/>
    <col min="13522" max="13522" width="13.140625" customWidth="1"/>
    <col min="13523" max="13523" width="12.7109375" bestFit="1" customWidth="1"/>
    <col min="13524" max="13524" width="13.28515625" bestFit="1" customWidth="1"/>
    <col min="13525" max="13527" width="13.28515625" customWidth="1"/>
    <col min="13528" max="13528" width="12.140625" bestFit="1" customWidth="1"/>
    <col min="13529" max="13529" width="12.7109375" bestFit="1" customWidth="1"/>
    <col min="13530" max="13530" width="11" customWidth="1"/>
    <col min="13531" max="13531" width="16.7109375" customWidth="1"/>
    <col min="13532" max="13532" width="17" customWidth="1"/>
    <col min="13533" max="13533" width="10.42578125" bestFit="1" customWidth="1"/>
    <col min="13577" max="13577" width="3.85546875" customWidth="1"/>
    <col min="13578" max="13578" width="15.28515625" bestFit="1" customWidth="1"/>
    <col min="13579" max="13579" width="12.28515625" customWidth="1"/>
    <col min="13580" max="13580" width="16.28515625" bestFit="1" customWidth="1"/>
    <col min="13581" max="13581" width="6.42578125" bestFit="1" customWidth="1"/>
    <col min="13582" max="13582" width="9.28515625" bestFit="1" customWidth="1"/>
    <col min="13583" max="13583" width="7.5703125" bestFit="1" customWidth="1"/>
    <col min="13584" max="13584" width="13.28515625" bestFit="1" customWidth="1"/>
    <col min="13585" max="13585" width="9.28515625" bestFit="1" customWidth="1"/>
    <col min="13586" max="13586" width="11.5703125" bestFit="1" customWidth="1"/>
    <col min="13587" max="13587" width="13.28515625" bestFit="1" customWidth="1"/>
    <col min="13588" max="13588" width="7.140625" bestFit="1" customWidth="1"/>
    <col min="13589" max="13589" width="12" bestFit="1" customWidth="1"/>
    <col min="13590" max="13590" width="13.28515625" bestFit="1" customWidth="1"/>
    <col min="13591" max="13591" width="7" bestFit="1" customWidth="1"/>
    <col min="13592" max="13592" width="12.7109375" bestFit="1" customWidth="1"/>
    <col min="13593" max="13593" width="11.5703125" bestFit="1" customWidth="1"/>
    <col min="13594" max="13594" width="10.5703125" bestFit="1" customWidth="1"/>
    <col min="13595" max="13596" width="15.7109375" bestFit="1" customWidth="1"/>
    <col min="13597" max="13597" width="11.5703125" bestFit="1" customWidth="1"/>
    <col min="13598" max="13598" width="7.7109375" bestFit="1" customWidth="1"/>
    <col min="13599" max="13599" width="15.140625" bestFit="1" customWidth="1"/>
    <col min="13600" max="13600" width="11.5703125" bestFit="1" customWidth="1"/>
    <col min="13601" max="13601" width="13.28515625" bestFit="1" customWidth="1"/>
    <col min="13602" max="13602" width="10.42578125" bestFit="1" customWidth="1"/>
    <col min="13603" max="13603" width="13.28515625" bestFit="1" customWidth="1"/>
    <col min="13604" max="13604" width="12.140625" bestFit="1" customWidth="1"/>
    <col min="13605" max="13605" width="14.42578125" bestFit="1" customWidth="1"/>
    <col min="13606" max="13606" width="13.28515625" bestFit="1" customWidth="1"/>
    <col min="13607" max="13607" width="11.5703125" bestFit="1" customWidth="1"/>
    <col min="13608" max="13608" width="7.7109375" bestFit="1" customWidth="1"/>
    <col min="13609" max="13610" width="14.42578125" bestFit="1" customWidth="1"/>
    <col min="13611" max="13611" width="11.5703125" bestFit="1" customWidth="1"/>
    <col min="13612" max="13612" width="7.7109375" bestFit="1" customWidth="1"/>
    <col min="13613" max="13613" width="13.5703125" customWidth="1"/>
    <col min="13614" max="13614" width="15.28515625" customWidth="1"/>
    <col min="13615" max="13615" width="14.5703125" customWidth="1"/>
    <col min="13616" max="13616" width="13.28515625" bestFit="1" customWidth="1"/>
    <col min="13617" max="13617" width="7.7109375" bestFit="1" customWidth="1"/>
    <col min="13618" max="13618" width="12.7109375" bestFit="1" customWidth="1"/>
    <col min="13619" max="13619" width="11.7109375" bestFit="1" customWidth="1"/>
    <col min="13620" max="13620" width="11.5703125" bestFit="1" customWidth="1"/>
    <col min="13621" max="13621" width="5.28515625" bestFit="1" customWidth="1"/>
    <col min="13622" max="13622" width="13.28515625" bestFit="1" customWidth="1"/>
    <col min="13623" max="13623" width="13.5703125" bestFit="1" customWidth="1"/>
    <col min="13624" max="13624" width="10.5703125" bestFit="1" customWidth="1"/>
    <col min="13625" max="13625" width="13.28515625" bestFit="1" customWidth="1"/>
    <col min="13626" max="13626" width="11.5703125" bestFit="1" customWidth="1"/>
    <col min="13627" max="13627" width="10.5703125" bestFit="1" customWidth="1"/>
    <col min="13628" max="13628" width="16.140625" bestFit="1" customWidth="1"/>
    <col min="13629" max="13630" width="11.28515625" bestFit="1" customWidth="1"/>
    <col min="13631" max="13631" width="13.28515625" bestFit="1" customWidth="1"/>
    <col min="13632" max="13632" width="7.7109375" bestFit="1" customWidth="1"/>
    <col min="13633" max="13636" width="9.140625" hidden="1" customWidth="1"/>
    <col min="13637" max="13637" width="10.42578125" bestFit="1" customWidth="1"/>
    <col min="13638" max="13638" width="10.5703125" bestFit="1" customWidth="1"/>
    <col min="13639" max="13639" width="10.42578125" bestFit="1" customWidth="1"/>
    <col min="13640" max="13640" width="10.5703125" bestFit="1" customWidth="1"/>
    <col min="13641" max="13641" width="9.5703125" bestFit="1" customWidth="1"/>
    <col min="13642" max="13642" width="11.5703125" bestFit="1" customWidth="1"/>
    <col min="13643" max="13643" width="10.42578125" bestFit="1" customWidth="1"/>
    <col min="13644" max="13644" width="10.85546875" customWidth="1"/>
    <col min="13645" max="13646" width="9.85546875" bestFit="1" customWidth="1"/>
    <col min="13647" max="13647" width="13.5703125" bestFit="1" customWidth="1"/>
    <col min="13648" max="13648" width="7.7109375" bestFit="1" customWidth="1"/>
    <col min="13649" max="13649" width="13.28515625" bestFit="1" customWidth="1"/>
    <col min="13650" max="13650" width="11.5703125" bestFit="1" customWidth="1"/>
    <col min="13651" max="13651" width="10.42578125" bestFit="1" customWidth="1"/>
    <col min="13652" max="13652" width="7.7109375" bestFit="1" customWidth="1"/>
    <col min="13653" max="13653" width="11.5703125" bestFit="1" customWidth="1"/>
    <col min="13654" max="13654" width="10.85546875" bestFit="1" customWidth="1"/>
    <col min="13655" max="13655" width="13.28515625" bestFit="1" customWidth="1"/>
    <col min="13656" max="13656" width="10.85546875" bestFit="1" customWidth="1"/>
    <col min="13657" max="13658" width="7.5703125" bestFit="1" customWidth="1"/>
    <col min="13659" max="13660" width="10.42578125" bestFit="1" customWidth="1"/>
    <col min="13661" max="13661" width="11.5703125" bestFit="1" customWidth="1"/>
    <col min="13662" max="13662" width="5.28515625" bestFit="1" customWidth="1"/>
    <col min="13663" max="13663" width="10.28515625" bestFit="1" customWidth="1"/>
    <col min="13664" max="13664" width="10.42578125" bestFit="1" customWidth="1"/>
    <col min="13665" max="13665" width="11.5703125" bestFit="1" customWidth="1"/>
    <col min="13666" max="13666" width="5.28515625" bestFit="1" customWidth="1"/>
    <col min="13667" max="13669" width="11.5703125" bestFit="1" customWidth="1"/>
    <col min="13670" max="13670" width="5.28515625" bestFit="1" customWidth="1"/>
    <col min="13671" max="13672" width="10.42578125" bestFit="1" customWidth="1"/>
    <col min="13673" max="13673" width="11.5703125" bestFit="1" customWidth="1"/>
    <col min="13674" max="13674" width="5.28515625" bestFit="1" customWidth="1"/>
    <col min="13675" max="13675" width="14.28515625" bestFit="1" customWidth="1"/>
    <col min="13676" max="13676" width="13" bestFit="1" customWidth="1"/>
    <col min="13677" max="13677" width="11.5703125" bestFit="1" customWidth="1"/>
    <col min="13678" max="13678" width="8.85546875" bestFit="1" customWidth="1"/>
    <col min="13679" max="13679" width="14.42578125" bestFit="1" customWidth="1"/>
    <col min="13680" max="13680" width="10.42578125" bestFit="1" customWidth="1"/>
    <col min="13681" max="13681" width="12.28515625" bestFit="1" customWidth="1"/>
    <col min="13682" max="13682" width="13.85546875" bestFit="1" customWidth="1"/>
    <col min="13683" max="13683" width="11.28515625" customWidth="1"/>
    <col min="13684" max="13684" width="11.5703125" customWidth="1"/>
    <col min="13685" max="13685" width="13.42578125" bestFit="1" customWidth="1"/>
    <col min="13686" max="13686" width="10.42578125" customWidth="1"/>
    <col min="13687" max="13687" width="13.85546875" bestFit="1" customWidth="1"/>
    <col min="13688" max="13688" width="15.42578125" bestFit="1" customWidth="1"/>
    <col min="13689" max="13689" width="12.28515625" bestFit="1" customWidth="1"/>
    <col min="13690" max="13690" width="12.7109375" customWidth="1"/>
    <col min="13691" max="13691" width="10.7109375" bestFit="1" customWidth="1"/>
    <col min="13692" max="13692" width="9.85546875" customWidth="1"/>
    <col min="13693" max="13694" width="10.140625" bestFit="1" customWidth="1"/>
    <col min="13695" max="13695" width="7.5703125" bestFit="1" customWidth="1"/>
    <col min="13696" max="13696" width="9.42578125" bestFit="1" customWidth="1"/>
    <col min="13697" max="13697" width="14.5703125" bestFit="1" customWidth="1"/>
    <col min="13698" max="13698" width="14.85546875" customWidth="1"/>
    <col min="13699" max="13699" width="15.140625" bestFit="1" customWidth="1"/>
    <col min="13700" max="13700" width="12.140625" bestFit="1" customWidth="1"/>
    <col min="13701" max="13701" width="14.85546875" bestFit="1" customWidth="1"/>
    <col min="13702" max="13702" width="12.28515625" bestFit="1" customWidth="1"/>
    <col min="13703" max="13711" width="9.140625" hidden="1" customWidth="1"/>
    <col min="13712" max="13712" width="5.28515625" bestFit="1" customWidth="1"/>
    <col min="13713" max="13718" width="11.5703125" bestFit="1" customWidth="1"/>
    <col min="13719" max="13719" width="11.28515625" bestFit="1" customWidth="1"/>
    <col min="13720" max="13720" width="10.140625" bestFit="1" customWidth="1"/>
    <col min="13721" max="13721" width="11.5703125" bestFit="1" customWidth="1"/>
    <col min="13722" max="13722" width="16.140625" customWidth="1"/>
    <col min="13723" max="13723" width="13.42578125" customWidth="1"/>
    <col min="13724" max="13724" width="10.140625" bestFit="1" customWidth="1"/>
    <col min="13725" max="13725" width="12.85546875" bestFit="1" customWidth="1"/>
    <col min="13726" max="13726" width="12.28515625" bestFit="1" customWidth="1"/>
    <col min="13727" max="13727" width="11.28515625" bestFit="1" customWidth="1"/>
    <col min="13728" max="13728" width="11.5703125" bestFit="1" customWidth="1"/>
    <col min="13729" max="13729" width="10.85546875" bestFit="1" customWidth="1"/>
    <col min="13730" max="13730" width="11.28515625" bestFit="1" customWidth="1"/>
    <col min="13731" max="13731" width="10.140625" bestFit="1" customWidth="1"/>
    <col min="13732" max="13732" width="13.28515625" bestFit="1" customWidth="1"/>
    <col min="13733" max="13734" width="12.7109375" bestFit="1" customWidth="1"/>
    <col min="13735" max="13735" width="11" bestFit="1" customWidth="1"/>
    <col min="13736" max="13736" width="11.28515625" bestFit="1" customWidth="1"/>
    <col min="13737" max="13737" width="11.5703125" bestFit="1" customWidth="1"/>
    <col min="13738" max="13738" width="12.28515625" bestFit="1" customWidth="1"/>
    <col min="13739" max="13739" width="15.140625" bestFit="1" customWidth="1"/>
    <col min="13740" max="13740" width="14.42578125" bestFit="1" customWidth="1"/>
    <col min="13741" max="13741" width="12.28515625" bestFit="1" customWidth="1"/>
    <col min="13742" max="13742" width="15.140625" bestFit="1" customWidth="1"/>
    <col min="13743" max="13743" width="14.42578125" bestFit="1" customWidth="1"/>
    <col min="13744" max="13744" width="12.28515625" bestFit="1" customWidth="1"/>
    <col min="13745" max="13745" width="14.42578125" bestFit="1" customWidth="1"/>
    <col min="13746" max="13746" width="11.28515625" bestFit="1" customWidth="1"/>
    <col min="13747" max="13747" width="12.28515625" bestFit="1" customWidth="1"/>
    <col min="13748" max="13748" width="13" bestFit="1" customWidth="1"/>
    <col min="13749" max="13749" width="15.140625" bestFit="1" customWidth="1"/>
    <col min="13750" max="13750" width="12.28515625" bestFit="1" customWidth="1"/>
    <col min="13751" max="13751" width="13.85546875" bestFit="1" customWidth="1"/>
    <col min="13752" max="13752" width="11.28515625" bestFit="1" customWidth="1"/>
    <col min="13753" max="13753" width="12.28515625" bestFit="1" customWidth="1"/>
    <col min="13754" max="13754" width="13.85546875" bestFit="1" customWidth="1"/>
    <col min="13755" max="13756" width="15.140625" bestFit="1" customWidth="1"/>
    <col min="13757" max="13757" width="12.28515625" bestFit="1" customWidth="1"/>
    <col min="13758" max="13758" width="5.7109375" bestFit="1" customWidth="1"/>
    <col min="13759" max="13759" width="8.5703125" bestFit="1" customWidth="1"/>
    <col min="13760" max="13760" width="5.5703125" bestFit="1" customWidth="1"/>
    <col min="13761" max="13761" width="14.42578125" bestFit="1" customWidth="1"/>
    <col min="13762" max="13762" width="11.28515625" bestFit="1" customWidth="1"/>
    <col min="13763" max="13764" width="12.28515625" bestFit="1" customWidth="1"/>
    <col min="13765" max="13765" width="11.28515625" bestFit="1" customWidth="1"/>
    <col min="13766" max="13766" width="13.85546875" bestFit="1" customWidth="1"/>
    <col min="13767" max="13767" width="12" bestFit="1" customWidth="1"/>
    <col min="13768" max="13768" width="13.85546875" bestFit="1" customWidth="1"/>
    <col min="13769" max="13770" width="14.42578125" customWidth="1"/>
    <col min="13771" max="13771" width="10.140625" bestFit="1" customWidth="1"/>
    <col min="13772" max="13772" width="12.28515625" bestFit="1" customWidth="1"/>
    <col min="13773" max="13773" width="7.42578125" bestFit="1" customWidth="1"/>
    <col min="13774" max="13774" width="8.5703125" bestFit="1" customWidth="1"/>
    <col min="13775" max="13775" width="11.5703125" bestFit="1" customWidth="1"/>
    <col min="13776" max="13776" width="13.28515625" bestFit="1" customWidth="1"/>
    <col min="13777" max="13777" width="13.28515625" customWidth="1"/>
    <col min="13778" max="13778" width="13.140625" customWidth="1"/>
    <col min="13779" max="13779" width="12.7109375" bestFit="1" customWidth="1"/>
    <col min="13780" max="13780" width="13.28515625" bestFit="1" customWidth="1"/>
    <col min="13781" max="13783" width="13.28515625" customWidth="1"/>
    <col min="13784" max="13784" width="12.140625" bestFit="1" customWidth="1"/>
    <col min="13785" max="13785" width="12.7109375" bestFit="1" customWidth="1"/>
    <col min="13786" max="13786" width="11" customWidth="1"/>
    <col min="13787" max="13787" width="16.7109375" customWidth="1"/>
    <col min="13788" max="13788" width="17" customWidth="1"/>
    <col min="13789" max="13789" width="10.42578125" bestFit="1" customWidth="1"/>
    <col min="13833" max="13833" width="3.85546875" customWidth="1"/>
    <col min="13834" max="13834" width="15.28515625" bestFit="1" customWidth="1"/>
    <col min="13835" max="13835" width="12.28515625" customWidth="1"/>
    <col min="13836" max="13836" width="16.28515625" bestFit="1" customWidth="1"/>
    <col min="13837" max="13837" width="6.42578125" bestFit="1" customWidth="1"/>
    <col min="13838" max="13838" width="9.28515625" bestFit="1" customWidth="1"/>
    <col min="13839" max="13839" width="7.5703125" bestFit="1" customWidth="1"/>
    <col min="13840" max="13840" width="13.28515625" bestFit="1" customWidth="1"/>
    <col min="13841" max="13841" width="9.28515625" bestFit="1" customWidth="1"/>
    <col min="13842" max="13842" width="11.5703125" bestFit="1" customWidth="1"/>
    <col min="13843" max="13843" width="13.28515625" bestFit="1" customWidth="1"/>
    <col min="13844" max="13844" width="7.140625" bestFit="1" customWidth="1"/>
    <col min="13845" max="13845" width="12" bestFit="1" customWidth="1"/>
    <col min="13846" max="13846" width="13.28515625" bestFit="1" customWidth="1"/>
    <col min="13847" max="13847" width="7" bestFit="1" customWidth="1"/>
    <col min="13848" max="13848" width="12.7109375" bestFit="1" customWidth="1"/>
    <col min="13849" max="13849" width="11.5703125" bestFit="1" customWidth="1"/>
    <col min="13850" max="13850" width="10.5703125" bestFit="1" customWidth="1"/>
    <col min="13851" max="13852" width="15.7109375" bestFit="1" customWidth="1"/>
    <col min="13853" max="13853" width="11.5703125" bestFit="1" customWidth="1"/>
    <col min="13854" max="13854" width="7.7109375" bestFit="1" customWidth="1"/>
    <col min="13855" max="13855" width="15.140625" bestFit="1" customWidth="1"/>
    <col min="13856" max="13856" width="11.5703125" bestFit="1" customWidth="1"/>
    <col min="13857" max="13857" width="13.28515625" bestFit="1" customWidth="1"/>
    <col min="13858" max="13858" width="10.42578125" bestFit="1" customWidth="1"/>
    <col min="13859" max="13859" width="13.28515625" bestFit="1" customWidth="1"/>
    <col min="13860" max="13860" width="12.140625" bestFit="1" customWidth="1"/>
    <col min="13861" max="13861" width="14.42578125" bestFit="1" customWidth="1"/>
    <col min="13862" max="13862" width="13.28515625" bestFit="1" customWidth="1"/>
    <col min="13863" max="13863" width="11.5703125" bestFit="1" customWidth="1"/>
    <col min="13864" max="13864" width="7.7109375" bestFit="1" customWidth="1"/>
    <col min="13865" max="13866" width="14.42578125" bestFit="1" customWidth="1"/>
    <col min="13867" max="13867" width="11.5703125" bestFit="1" customWidth="1"/>
    <col min="13868" max="13868" width="7.7109375" bestFit="1" customWidth="1"/>
    <col min="13869" max="13869" width="13.5703125" customWidth="1"/>
    <col min="13870" max="13870" width="15.28515625" customWidth="1"/>
    <col min="13871" max="13871" width="14.5703125" customWidth="1"/>
    <col min="13872" max="13872" width="13.28515625" bestFit="1" customWidth="1"/>
    <col min="13873" max="13873" width="7.7109375" bestFit="1" customWidth="1"/>
    <col min="13874" max="13874" width="12.7109375" bestFit="1" customWidth="1"/>
    <col min="13875" max="13875" width="11.7109375" bestFit="1" customWidth="1"/>
    <col min="13876" max="13876" width="11.5703125" bestFit="1" customWidth="1"/>
    <col min="13877" max="13877" width="5.28515625" bestFit="1" customWidth="1"/>
    <col min="13878" max="13878" width="13.28515625" bestFit="1" customWidth="1"/>
    <col min="13879" max="13879" width="13.5703125" bestFit="1" customWidth="1"/>
    <col min="13880" max="13880" width="10.5703125" bestFit="1" customWidth="1"/>
    <col min="13881" max="13881" width="13.28515625" bestFit="1" customWidth="1"/>
    <col min="13882" max="13882" width="11.5703125" bestFit="1" customWidth="1"/>
    <col min="13883" max="13883" width="10.5703125" bestFit="1" customWidth="1"/>
    <col min="13884" max="13884" width="16.140625" bestFit="1" customWidth="1"/>
    <col min="13885" max="13886" width="11.28515625" bestFit="1" customWidth="1"/>
    <col min="13887" max="13887" width="13.28515625" bestFit="1" customWidth="1"/>
    <col min="13888" max="13888" width="7.7109375" bestFit="1" customWidth="1"/>
    <col min="13889" max="13892" width="9.140625" hidden="1" customWidth="1"/>
    <col min="13893" max="13893" width="10.42578125" bestFit="1" customWidth="1"/>
    <col min="13894" max="13894" width="10.5703125" bestFit="1" customWidth="1"/>
    <col min="13895" max="13895" width="10.42578125" bestFit="1" customWidth="1"/>
    <col min="13896" max="13896" width="10.5703125" bestFit="1" customWidth="1"/>
    <col min="13897" max="13897" width="9.5703125" bestFit="1" customWidth="1"/>
    <col min="13898" max="13898" width="11.5703125" bestFit="1" customWidth="1"/>
    <col min="13899" max="13899" width="10.42578125" bestFit="1" customWidth="1"/>
    <col min="13900" max="13900" width="10.85546875" customWidth="1"/>
    <col min="13901" max="13902" width="9.85546875" bestFit="1" customWidth="1"/>
    <col min="13903" max="13903" width="13.5703125" bestFit="1" customWidth="1"/>
    <col min="13904" max="13904" width="7.7109375" bestFit="1" customWidth="1"/>
    <col min="13905" max="13905" width="13.28515625" bestFit="1" customWidth="1"/>
    <col min="13906" max="13906" width="11.5703125" bestFit="1" customWidth="1"/>
    <col min="13907" max="13907" width="10.42578125" bestFit="1" customWidth="1"/>
    <col min="13908" max="13908" width="7.7109375" bestFit="1" customWidth="1"/>
    <col min="13909" max="13909" width="11.5703125" bestFit="1" customWidth="1"/>
    <col min="13910" max="13910" width="10.85546875" bestFit="1" customWidth="1"/>
    <col min="13911" max="13911" width="13.28515625" bestFit="1" customWidth="1"/>
    <col min="13912" max="13912" width="10.85546875" bestFit="1" customWidth="1"/>
    <col min="13913" max="13914" width="7.5703125" bestFit="1" customWidth="1"/>
    <col min="13915" max="13916" width="10.42578125" bestFit="1" customWidth="1"/>
    <col min="13917" max="13917" width="11.5703125" bestFit="1" customWidth="1"/>
    <col min="13918" max="13918" width="5.28515625" bestFit="1" customWidth="1"/>
    <col min="13919" max="13919" width="10.28515625" bestFit="1" customWidth="1"/>
    <col min="13920" max="13920" width="10.42578125" bestFit="1" customWidth="1"/>
    <col min="13921" max="13921" width="11.5703125" bestFit="1" customWidth="1"/>
    <col min="13922" max="13922" width="5.28515625" bestFit="1" customWidth="1"/>
    <col min="13923" max="13925" width="11.5703125" bestFit="1" customWidth="1"/>
    <col min="13926" max="13926" width="5.28515625" bestFit="1" customWidth="1"/>
    <col min="13927" max="13928" width="10.42578125" bestFit="1" customWidth="1"/>
    <col min="13929" max="13929" width="11.5703125" bestFit="1" customWidth="1"/>
    <col min="13930" max="13930" width="5.28515625" bestFit="1" customWidth="1"/>
    <col min="13931" max="13931" width="14.28515625" bestFit="1" customWidth="1"/>
    <col min="13932" max="13932" width="13" bestFit="1" customWidth="1"/>
    <col min="13933" max="13933" width="11.5703125" bestFit="1" customWidth="1"/>
    <col min="13934" max="13934" width="8.85546875" bestFit="1" customWidth="1"/>
    <col min="13935" max="13935" width="14.42578125" bestFit="1" customWidth="1"/>
    <col min="13936" max="13936" width="10.42578125" bestFit="1" customWidth="1"/>
    <col min="13937" max="13937" width="12.28515625" bestFit="1" customWidth="1"/>
    <col min="13938" max="13938" width="13.85546875" bestFit="1" customWidth="1"/>
    <col min="13939" max="13939" width="11.28515625" customWidth="1"/>
    <col min="13940" max="13940" width="11.5703125" customWidth="1"/>
    <col min="13941" max="13941" width="13.42578125" bestFit="1" customWidth="1"/>
    <col min="13942" max="13942" width="10.42578125" customWidth="1"/>
    <col min="13943" max="13943" width="13.85546875" bestFit="1" customWidth="1"/>
    <col min="13944" max="13944" width="15.42578125" bestFit="1" customWidth="1"/>
    <col min="13945" max="13945" width="12.28515625" bestFit="1" customWidth="1"/>
    <col min="13946" max="13946" width="12.7109375" customWidth="1"/>
    <col min="13947" max="13947" width="10.7109375" bestFit="1" customWidth="1"/>
    <col min="13948" max="13948" width="9.85546875" customWidth="1"/>
    <col min="13949" max="13950" width="10.140625" bestFit="1" customWidth="1"/>
    <col min="13951" max="13951" width="7.5703125" bestFit="1" customWidth="1"/>
    <col min="13952" max="13952" width="9.42578125" bestFit="1" customWidth="1"/>
    <col min="13953" max="13953" width="14.5703125" bestFit="1" customWidth="1"/>
    <col min="13954" max="13954" width="14.85546875" customWidth="1"/>
    <col min="13955" max="13955" width="15.140625" bestFit="1" customWidth="1"/>
    <col min="13956" max="13956" width="12.140625" bestFit="1" customWidth="1"/>
    <col min="13957" max="13957" width="14.85546875" bestFit="1" customWidth="1"/>
    <col min="13958" max="13958" width="12.28515625" bestFit="1" customWidth="1"/>
    <col min="13959" max="13967" width="9.140625" hidden="1" customWidth="1"/>
    <col min="13968" max="13968" width="5.28515625" bestFit="1" customWidth="1"/>
    <col min="13969" max="13974" width="11.5703125" bestFit="1" customWidth="1"/>
    <col min="13975" max="13975" width="11.28515625" bestFit="1" customWidth="1"/>
    <col min="13976" max="13976" width="10.140625" bestFit="1" customWidth="1"/>
    <col min="13977" max="13977" width="11.5703125" bestFit="1" customWidth="1"/>
    <col min="13978" max="13978" width="16.140625" customWidth="1"/>
    <col min="13979" max="13979" width="13.42578125" customWidth="1"/>
    <col min="13980" max="13980" width="10.140625" bestFit="1" customWidth="1"/>
    <col min="13981" max="13981" width="12.85546875" bestFit="1" customWidth="1"/>
    <col min="13982" max="13982" width="12.28515625" bestFit="1" customWidth="1"/>
    <col min="13983" max="13983" width="11.28515625" bestFit="1" customWidth="1"/>
    <col min="13984" max="13984" width="11.5703125" bestFit="1" customWidth="1"/>
    <col min="13985" max="13985" width="10.85546875" bestFit="1" customWidth="1"/>
    <col min="13986" max="13986" width="11.28515625" bestFit="1" customWidth="1"/>
    <col min="13987" max="13987" width="10.140625" bestFit="1" customWidth="1"/>
    <col min="13988" max="13988" width="13.28515625" bestFit="1" customWidth="1"/>
    <col min="13989" max="13990" width="12.7109375" bestFit="1" customWidth="1"/>
    <col min="13991" max="13991" width="11" bestFit="1" customWidth="1"/>
    <col min="13992" max="13992" width="11.28515625" bestFit="1" customWidth="1"/>
    <col min="13993" max="13993" width="11.5703125" bestFit="1" customWidth="1"/>
    <col min="13994" max="13994" width="12.28515625" bestFit="1" customWidth="1"/>
    <col min="13995" max="13995" width="15.140625" bestFit="1" customWidth="1"/>
    <col min="13996" max="13996" width="14.42578125" bestFit="1" customWidth="1"/>
    <col min="13997" max="13997" width="12.28515625" bestFit="1" customWidth="1"/>
    <col min="13998" max="13998" width="15.140625" bestFit="1" customWidth="1"/>
    <col min="13999" max="13999" width="14.42578125" bestFit="1" customWidth="1"/>
    <col min="14000" max="14000" width="12.28515625" bestFit="1" customWidth="1"/>
    <col min="14001" max="14001" width="14.42578125" bestFit="1" customWidth="1"/>
    <col min="14002" max="14002" width="11.28515625" bestFit="1" customWidth="1"/>
    <col min="14003" max="14003" width="12.28515625" bestFit="1" customWidth="1"/>
    <col min="14004" max="14004" width="13" bestFit="1" customWidth="1"/>
    <col min="14005" max="14005" width="15.140625" bestFit="1" customWidth="1"/>
    <col min="14006" max="14006" width="12.28515625" bestFit="1" customWidth="1"/>
    <col min="14007" max="14007" width="13.85546875" bestFit="1" customWidth="1"/>
    <col min="14008" max="14008" width="11.28515625" bestFit="1" customWidth="1"/>
    <col min="14009" max="14009" width="12.28515625" bestFit="1" customWidth="1"/>
    <col min="14010" max="14010" width="13.85546875" bestFit="1" customWidth="1"/>
    <col min="14011" max="14012" width="15.140625" bestFit="1" customWidth="1"/>
    <col min="14013" max="14013" width="12.28515625" bestFit="1" customWidth="1"/>
    <col min="14014" max="14014" width="5.7109375" bestFit="1" customWidth="1"/>
    <col min="14015" max="14015" width="8.5703125" bestFit="1" customWidth="1"/>
    <col min="14016" max="14016" width="5.5703125" bestFit="1" customWidth="1"/>
    <col min="14017" max="14017" width="14.42578125" bestFit="1" customWidth="1"/>
    <col min="14018" max="14018" width="11.28515625" bestFit="1" customWidth="1"/>
    <col min="14019" max="14020" width="12.28515625" bestFit="1" customWidth="1"/>
    <col min="14021" max="14021" width="11.28515625" bestFit="1" customWidth="1"/>
    <col min="14022" max="14022" width="13.85546875" bestFit="1" customWidth="1"/>
    <col min="14023" max="14023" width="12" bestFit="1" customWidth="1"/>
    <col min="14024" max="14024" width="13.85546875" bestFit="1" customWidth="1"/>
    <col min="14025" max="14026" width="14.42578125" customWidth="1"/>
    <col min="14027" max="14027" width="10.140625" bestFit="1" customWidth="1"/>
    <col min="14028" max="14028" width="12.28515625" bestFit="1" customWidth="1"/>
    <col min="14029" max="14029" width="7.42578125" bestFit="1" customWidth="1"/>
    <col min="14030" max="14030" width="8.5703125" bestFit="1" customWidth="1"/>
    <col min="14031" max="14031" width="11.5703125" bestFit="1" customWidth="1"/>
    <col min="14032" max="14032" width="13.28515625" bestFit="1" customWidth="1"/>
    <col min="14033" max="14033" width="13.28515625" customWidth="1"/>
    <col min="14034" max="14034" width="13.140625" customWidth="1"/>
    <col min="14035" max="14035" width="12.7109375" bestFit="1" customWidth="1"/>
    <col min="14036" max="14036" width="13.28515625" bestFit="1" customWidth="1"/>
    <col min="14037" max="14039" width="13.28515625" customWidth="1"/>
    <col min="14040" max="14040" width="12.140625" bestFit="1" customWidth="1"/>
    <col min="14041" max="14041" width="12.7109375" bestFit="1" customWidth="1"/>
    <col min="14042" max="14042" width="11" customWidth="1"/>
    <col min="14043" max="14043" width="16.7109375" customWidth="1"/>
    <col min="14044" max="14044" width="17" customWidth="1"/>
    <col min="14045" max="14045" width="10.42578125" bestFit="1" customWidth="1"/>
    <col min="14089" max="14089" width="3.85546875" customWidth="1"/>
    <col min="14090" max="14090" width="15.28515625" bestFit="1" customWidth="1"/>
    <col min="14091" max="14091" width="12.28515625" customWidth="1"/>
    <col min="14092" max="14092" width="16.28515625" bestFit="1" customWidth="1"/>
    <col min="14093" max="14093" width="6.42578125" bestFit="1" customWidth="1"/>
    <col min="14094" max="14094" width="9.28515625" bestFit="1" customWidth="1"/>
    <col min="14095" max="14095" width="7.5703125" bestFit="1" customWidth="1"/>
    <col min="14096" max="14096" width="13.28515625" bestFit="1" customWidth="1"/>
    <col min="14097" max="14097" width="9.28515625" bestFit="1" customWidth="1"/>
    <col min="14098" max="14098" width="11.5703125" bestFit="1" customWidth="1"/>
    <col min="14099" max="14099" width="13.28515625" bestFit="1" customWidth="1"/>
    <col min="14100" max="14100" width="7.140625" bestFit="1" customWidth="1"/>
    <col min="14101" max="14101" width="12" bestFit="1" customWidth="1"/>
    <col min="14102" max="14102" width="13.28515625" bestFit="1" customWidth="1"/>
    <col min="14103" max="14103" width="7" bestFit="1" customWidth="1"/>
    <col min="14104" max="14104" width="12.7109375" bestFit="1" customWidth="1"/>
    <col min="14105" max="14105" width="11.5703125" bestFit="1" customWidth="1"/>
    <col min="14106" max="14106" width="10.5703125" bestFit="1" customWidth="1"/>
    <col min="14107" max="14108" width="15.7109375" bestFit="1" customWidth="1"/>
    <col min="14109" max="14109" width="11.5703125" bestFit="1" customWidth="1"/>
    <col min="14110" max="14110" width="7.7109375" bestFit="1" customWidth="1"/>
    <col min="14111" max="14111" width="15.140625" bestFit="1" customWidth="1"/>
    <col min="14112" max="14112" width="11.5703125" bestFit="1" customWidth="1"/>
    <col min="14113" max="14113" width="13.28515625" bestFit="1" customWidth="1"/>
    <col min="14114" max="14114" width="10.42578125" bestFit="1" customWidth="1"/>
    <col min="14115" max="14115" width="13.28515625" bestFit="1" customWidth="1"/>
    <col min="14116" max="14116" width="12.140625" bestFit="1" customWidth="1"/>
    <col min="14117" max="14117" width="14.42578125" bestFit="1" customWidth="1"/>
    <col min="14118" max="14118" width="13.28515625" bestFit="1" customWidth="1"/>
    <col min="14119" max="14119" width="11.5703125" bestFit="1" customWidth="1"/>
    <col min="14120" max="14120" width="7.7109375" bestFit="1" customWidth="1"/>
    <col min="14121" max="14122" width="14.42578125" bestFit="1" customWidth="1"/>
    <col min="14123" max="14123" width="11.5703125" bestFit="1" customWidth="1"/>
    <col min="14124" max="14124" width="7.7109375" bestFit="1" customWidth="1"/>
    <col min="14125" max="14125" width="13.5703125" customWidth="1"/>
    <col min="14126" max="14126" width="15.28515625" customWidth="1"/>
    <col min="14127" max="14127" width="14.5703125" customWidth="1"/>
    <col min="14128" max="14128" width="13.28515625" bestFit="1" customWidth="1"/>
    <col min="14129" max="14129" width="7.7109375" bestFit="1" customWidth="1"/>
    <col min="14130" max="14130" width="12.7109375" bestFit="1" customWidth="1"/>
    <col min="14131" max="14131" width="11.7109375" bestFit="1" customWidth="1"/>
    <col min="14132" max="14132" width="11.5703125" bestFit="1" customWidth="1"/>
    <col min="14133" max="14133" width="5.28515625" bestFit="1" customWidth="1"/>
    <col min="14134" max="14134" width="13.28515625" bestFit="1" customWidth="1"/>
    <col min="14135" max="14135" width="13.5703125" bestFit="1" customWidth="1"/>
    <col min="14136" max="14136" width="10.5703125" bestFit="1" customWidth="1"/>
    <col min="14137" max="14137" width="13.28515625" bestFit="1" customWidth="1"/>
    <col min="14138" max="14138" width="11.5703125" bestFit="1" customWidth="1"/>
    <col min="14139" max="14139" width="10.5703125" bestFit="1" customWidth="1"/>
    <col min="14140" max="14140" width="16.140625" bestFit="1" customWidth="1"/>
    <col min="14141" max="14142" width="11.28515625" bestFit="1" customWidth="1"/>
    <col min="14143" max="14143" width="13.28515625" bestFit="1" customWidth="1"/>
    <col min="14144" max="14144" width="7.7109375" bestFit="1" customWidth="1"/>
    <col min="14145" max="14148" width="9.140625" hidden="1" customWidth="1"/>
    <col min="14149" max="14149" width="10.42578125" bestFit="1" customWidth="1"/>
    <col min="14150" max="14150" width="10.5703125" bestFit="1" customWidth="1"/>
    <col min="14151" max="14151" width="10.42578125" bestFit="1" customWidth="1"/>
    <col min="14152" max="14152" width="10.5703125" bestFit="1" customWidth="1"/>
    <col min="14153" max="14153" width="9.5703125" bestFit="1" customWidth="1"/>
    <col min="14154" max="14154" width="11.5703125" bestFit="1" customWidth="1"/>
    <col min="14155" max="14155" width="10.42578125" bestFit="1" customWidth="1"/>
    <col min="14156" max="14156" width="10.85546875" customWidth="1"/>
    <col min="14157" max="14158" width="9.85546875" bestFit="1" customWidth="1"/>
    <col min="14159" max="14159" width="13.5703125" bestFit="1" customWidth="1"/>
    <col min="14160" max="14160" width="7.7109375" bestFit="1" customWidth="1"/>
    <col min="14161" max="14161" width="13.28515625" bestFit="1" customWidth="1"/>
    <col min="14162" max="14162" width="11.5703125" bestFit="1" customWidth="1"/>
    <col min="14163" max="14163" width="10.42578125" bestFit="1" customWidth="1"/>
    <col min="14164" max="14164" width="7.7109375" bestFit="1" customWidth="1"/>
    <col min="14165" max="14165" width="11.5703125" bestFit="1" customWidth="1"/>
    <col min="14166" max="14166" width="10.85546875" bestFit="1" customWidth="1"/>
    <col min="14167" max="14167" width="13.28515625" bestFit="1" customWidth="1"/>
    <col min="14168" max="14168" width="10.85546875" bestFit="1" customWidth="1"/>
    <col min="14169" max="14170" width="7.5703125" bestFit="1" customWidth="1"/>
    <col min="14171" max="14172" width="10.42578125" bestFit="1" customWidth="1"/>
    <col min="14173" max="14173" width="11.5703125" bestFit="1" customWidth="1"/>
    <col min="14174" max="14174" width="5.28515625" bestFit="1" customWidth="1"/>
    <col min="14175" max="14175" width="10.28515625" bestFit="1" customWidth="1"/>
    <col min="14176" max="14176" width="10.42578125" bestFit="1" customWidth="1"/>
    <col min="14177" max="14177" width="11.5703125" bestFit="1" customWidth="1"/>
    <col min="14178" max="14178" width="5.28515625" bestFit="1" customWidth="1"/>
    <col min="14179" max="14181" width="11.5703125" bestFit="1" customWidth="1"/>
    <col min="14182" max="14182" width="5.28515625" bestFit="1" customWidth="1"/>
    <col min="14183" max="14184" width="10.42578125" bestFit="1" customWidth="1"/>
    <col min="14185" max="14185" width="11.5703125" bestFit="1" customWidth="1"/>
    <col min="14186" max="14186" width="5.28515625" bestFit="1" customWidth="1"/>
    <col min="14187" max="14187" width="14.28515625" bestFit="1" customWidth="1"/>
    <col min="14188" max="14188" width="13" bestFit="1" customWidth="1"/>
    <col min="14189" max="14189" width="11.5703125" bestFit="1" customWidth="1"/>
    <col min="14190" max="14190" width="8.85546875" bestFit="1" customWidth="1"/>
    <col min="14191" max="14191" width="14.42578125" bestFit="1" customWidth="1"/>
    <col min="14192" max="14192" width="10.42578125" bestFit="1" customWidth="1"/>
    <col min="14193" max="14193" width="12.28515625" bestFit="1" customWidth="1"/>
    <col min="14194" max="14194" width="13.85546875" bestFit="1" customWidth="1"/>
    <col min="14195" max="14195" width="11.28515625" customWidth="1"/>
    <col min="14196" max="14196" width="11.5703125" customWidth="1"/>
    <col min="14197" max="14197" width="13.42578125" bestFit="1" customWidth="1"/>
    <col min="14198" max="14198" width="10.42578125" customWidth="1"/>
    <col min="14199" max="14199" width="13.85546875" bestFit="1" customWidth="1"/>
    <col min="14200" max="14200" width="15.42578125" bestFit="1" customWidth="1"/>
    <col min="14201" max="14201" width="12.28515625" bestFit="1" customWidth="1"/>
    <col min="14202" max="14202" width="12.7109375" customWidth="1"/>
    <col min="14203" max="14203" width="10.7109375" bestFit="1" customWidth="1"/>
    <col min="14204" max="14204" width="9.85546875" customWidth="1"/>
    <col min="14205" max="14206" width="10.140625" bestFit="1" customWidth="1"/>
    <col min="14207" max="14207" width="7.5703125" bestFit="1" customWidth="1"/>
    <col min="14208" max="14208" width="9.42578125" bestFit="1" customWidth="1"/>
    <col min="14209" max="14209" width="14.5703125" bestFit="1" customWidth="1"/>
    <col min="14210" max="14210" width="14.85546875" customWidth="1"/>
    <col min="14211" max="14211" width="15.140625" bestFit="1" customWidth="1"/>
    <col min="14212" max="14212" width="12.140625" bestFit="1" customWidth="1"/>
    <col min="14213" max="14213" width="14.85546875" bestFit="1" customWidth="1"/>
    <col min="14214" max="14214" width="12.28515625" bestFit="1" customWidth="1"/>
    <col min="14215" max="14223" width="9.140625" hidden="1" customWidth="1"/>
    <col min="14224" max="14224" width="5.28515625" bestFit="1" customWidth="1"/>
    <col min="14225" max="14230" width="11.5703125" bestFit="1" customWidth="1"/>
    <col min="14231" max="14231" width="11.28515625" bestFit="1" customWidth="1"/>
    <col min="14232" max="14232" width="10.140625" bestFit="1" customWidth="1"/>
    <col min="14233" max="14233" width="11.5703125" bestFit="1" customWidth="1"/>
    <col min="14234" max="14234" width="16.140625" customWidth="1"/>
    <col min="14235" max="14235" width="13.42578125" customWidth="1"/>
    <col min="14236" max="14236" width="10.140625" bestFit="1" customWidth="1"/>
    <col min="14237" max="14237" width="12.85546875" bestFit="1" customWidth="1"/>
    <col min="14238" max="14238" width="12.28515625" bestFit="1" customWidth="1"/>
    <col min="14239" max="14239" width="11.28515625" bestFit="1" customWidth="1"/>
    <col min="14240" max="14240" width="11.5703125" bestFit="1" customWidth="1"/>
    <col min="14241" max="14241" width="10.85546875" bestFit="1" customWidth="1"/>
    <col min="14242" max="14242" width="11.28515625" bestFit="1" customWidth="1"/>
    <col min="14243" max="14243" width="10.140625" bestFit="1" customWidth="1"/>
    <col min="14244" max="14244" width="13.28515625" bestFit="1" customWidth="1"/>
    <col min="14245" max="14246" width="12.7109375" bestFit="1" customWidth="1"/>
    <col min="14247" max="14247" width="11" bestFit="1" customWidth="1"/>
    <col min="14248" max="14248" width="11.28515625" bestFit="1" customWidth="1"/>
    <col min="14249" max="14249" width="11.5703125" bestFit="1" customWidth="1"/>
    <col min="14250" max="14250" width="12.28515625" bestFit="1" customWidth="1"/>
    <col min="14251" max="14251" width="15.140625" bestFit="1" customWidth="1"/>
    <col min="14252" max="14252" width="14.42578125" bestFit="1" customWidth="1"/>
    <col min="14253" max="14253" width="12.28515625" bestFit="1" customWidth="1"/>
    <col min="14254" max="14254" width="15.140625" bestFit="1" customWidth="1"/>
    <col min="14255" max="14255" width="14.42578125" bestFit="1" customWidth="1"/>
    <col min="14256" max="14256" width="12.28515625" bestFit="1" customWidth="1"/>
    <col min="14257" max="14257" width="14.42578125" bestFit="1" customWidth="1"/>
    <col min="14258" max="14258" width="11.28515625" bestFit="1" customWidth="1"/>
    <col min="14259" max="14259" width="12.28515625" bestFit="1" customWidth="1"/>
    <col min="14260" max="14260" width="13" bestFit="1" customWidth="1"/>
    <col min="14261" max="14261" width="15.140625" bestFit="1" customWidth="1"/>
    <col min="14262" max="14262" width="12.28515625" bestFit="1" customWidth="1"/>
    <col min="14263" max="14263" width="13.85546875" bestFit="1" customWidth="1"/>
    <col min="14264" max="14264" width="11.28515625" bestFit="1" customWidth="1"/>
    <col min="14265" max="14265" width="12.28515625" bestFit="1" customWidth="1"/>
    <col min="14266" max="14266" width="13.85546875" bestFit="1" customWidth="1"/>
    <col min="14267" max="14268" width="15.140625" bestFit="1" customWidth="1"/>
    <col min="14269" max="14269" width="12.28515625" bestFit="1" customWidth="1"/>
    <col min="14270" max="14270" width="5.7109375" bestFit="1" customWidth="1"/>
    <col min="14271" max="14271" width="8.5703125" bestFit="1" customWidth="1"/>
    <col min="14272" max="14272" width="5.5703125" bestFit="1" customWidth="1"/>
    <col min="14273" max="14273" width="14.42578125" bestFit="1" customWidth="1"/>
    <col min="14274" max="14274" width="11.28515625" bestFit="1" customWidth="1"/>
    <col min="14275" max="14276" width="12.28515625" bestFit="1" customWidth="1"/>
    <col min="14277" max="14277" width="11.28515625" bestFit="1" customWidth="1"/>
    <col min="14278" max="14278" width="13.85546875" bestFit="1" customWidth="1"/>
    <col min="14279" max="14279" width="12" bestFit="1" customWidth="1"/>
    <col min="14280" max="14280" width="13.85546875" bestFit="1" customWidth="1"/>
    <col min="14281" max="14282" width="14.42578125" customWidth="1"/>
    <col min="14283" max="14283" width="10.140625" bestFit="1" customWidth="1"/>
    <col min="14284" max="14284" width="12.28515625" bestFit="1" customWidth="1"/>
    <col min="14285" max="14285" width="7.42578125" bestFit="1" customWidth="1"/>
    <col min="14286" max="14286" width="8.5703125" bestFit="1" customWidth="1"/>
    <col min="14287" max="14287" width="11.5703125" bestFit="1" customWidth="1"/>
    <col min="14288" max="14288" width="13.28515625" bestFit="1" customWidth="1"/>
    <col min="14289" max="14289" width="13.28515625" customWidth="1"/>
    <col min="14290" max="14290" width="13.140625" customWidth="1"/>
    <col min="14291" max="14291" width="12.7109375" bestFit="1" customWidth="1"/>
    <col min="14292" max="14292" width="13.28515625" bestFit="1" customWidth="1"/>
    <col min="14293" max="14295" width="13.28515625" customWidth="1"/>
    <col min="14296" max="14296" width="12.140625" bestFit="1" customWidth="1"/>
    <col min="14297" max="14297" width="12.7109375" bestFit="1" customWidth="1"/>
    <col min="14298" max="14298" width="11" customWidth="1"/>
    <col min="14299" max="14299" width="16.7109375" customWidth="1"/>
    <col min="14300" max="14300" width="17" customWidth="1"/>
    <col min="14301" max="14301" width="10.42578125" bestFit="1" customWidth="1"/>
    <col min="14345" max="14345" width="3.85546875" customWidth="1"/>
    <col min="14346" max="14346" width="15.28515625" bestFit="1" customWidth="1"/>
    <col min="14347" max="14347" width="12.28515625" customWidth="1"/>
    <col min="14348" max="14348" width="16.28515625" bestFit="1" customWidth="1"/>
    <col min="14349" max="14349" width="6.42578125" bestFit="1" customWidth="1"/>
    <col min="14350" max="14350" width="9.28515625" bestFit="1" customWidth="1"/>
    <col min="14351" max="14351" width="7.5703125" bestFit="1" customWidth="1"/>
    <col min="14352" max="14352" width="13.28515625" bestFit="1" customWidth="1"/>
    <col min="14353" max="14353" width="9.28515625" bestFit="1" customWidth="1"/>
    <col min="14354" max="14354" width="11.5703125" bestFit="1" customWidth="1"/>
    <col min="14355" max="14355" width="13.28515625" bestFit="1" customWidth="1"/>
    <col min="14356" max="14356" width="7.140625" bestFit="1" customWidth="1"/>
    <col min="14357" max="14357" width="12" bestFit="1" customWidth="1"/>
    <col min="14358" max="14358" width="13.28515625" bestFit="1" customWidth="1"/>
    <col min="14359" max="14359" width="7" bestFit="1" customWidth="1"/>
    <col min="14360" max="14360" width="12.7109375" bestFit="1" customWidth="1"/>
    <col min="14361" max="14361" width="11.5703125" bestFit="1" customWidth="1"/>
    <col min="14362" max="14362" width="10.5703125" bestFit="1" customWidth="1"/>
    <col min="14363" max="14364" width="15.7109375" bestFit="1" customWidth="1"/>
    <col min="14365" max="14365" width="11.5703125" bestFit="1" customWidth="1"/>
    <col min="14366" max="14366" width="7.7109375" bestFit="1" customWidth="1"/>
    <col min="14367" max="14367" width="15.140625" bestFit="1" customWidth="1"/>
    <col min="14368" max="14368" width="11.5703125" bestFit="1" customWidth="1"/>
    <col min="14369" max="14369" width="13.28515625" bestFit="1" customWidth="1"/>
    <col min="14370" max="14370" width="10.42578125" bestFit="1" customWidth="1"/>
    <col min="14371" max="14371" width="13.28515625" bestFit="1" customWidth="1"/>
    <col min="14372" max="14372" width="12.140625" bestFit="1" customWidth="1"/>
    <col min="14373" max="14373" width="14.42578125" bestFit="1" customWidth="1"/>
    <col min="14374" max="14374" width="13.28515625" bestFit="1" customWidth="1"/>
    <col min="14375" max="14375" width="11.5703125" bestFit="1" customWidth="1"/>
    <col min="14376" max="14376" width="7.7109375" bestFit="1" customWidth="1"/>
    <col min="14377" max="14378" width="14.42578125" bestFit="1" customWidth="1"/>
    <col min="14379" max="14379" width="11.5703125" bestFit="1" customWidth="1"/>
    <col min="14380" max="14380" width="7.7109375" bestFit="1" customWidth="1"/>
    <col min="14381" max="14381" width="13.5703125" customWidth="1"/>
    <col min="14382" max="14382" width="15.28515625" customWidth="1"/>
    <col min="14383" max="14383" width="14.5703125" customWidth="1"/>
    <col min="14384" max="14384" width="13.28515625" bestFit="1" customWidth="1"/>
    <col min="14385" max="14385" width="7.7109375" bestFit="1" customWidth="1"/>
    <col min="14386" max="14386" width="12.7109375" bestFit="1" customWidth="1"/>
    <col min="14387" max="14387" width="11.7109375" bestFit="1" customWidth="1"/>
    <col min="14388" max="14388" width="11.5703125" bestFit="1" customWidth="1"/>
    <col min="14389" max="14389" width="5.28515625" bestFit="1" customWidth="1"/>
    <col min="14390" max="14390" width="13.28515625" bestFit="1" customWidth="1"/>
    <col min="14391" max="14391" width="13.5703125" bestFit="1" customWidth="1"/>
    <col min="14392" max="14392" width="10.5703125" bestFit="1" customWidth="1"/>
    <col min="14393" max="14393" width="13.28515625" bestFit="1" customWidth="1"/>
    <col min="14394" max="14394" width="11.5703125" bestFit="1" customWidth="1"/>
    <col min="14395" max="14395" width="10.5703125" bestFit="1" customWidth="1"/>
    <col min="14396" max="14396" width="16.140625" bestFit="1" customWidth="1"/>
    <col min="14397" max="14398" width="11.28515625" bestFit="1" customWidth="1"/>
    <col min="14399" max="14399" width="13.28515625" bestFit="1" customWidth="1"/>
    <col min="14400" max="14400" width="7.7109375" bestFit="1" customWidth="1"/>
    <col min="14401" max="14404" width="9.140625" hidden="1" customWidth="1"/>
    <col min="14405" max="14405" width="10.42578125" bestFit="1" customWidth="1"/>
    <col min="14406" max="14406" width="10.5703125" bestFit="1" customWidth="1"/>
    <col min="14407" max="14407" width="10.42578125" bestFit="1" customWidth="1"/>
    <col min="14408" max="14408" width="10.5703125" bestFit="1" customWidth="1"/>
    <col min="14409" max="14409" width="9.5703125" bestFit="1" customWidth="1"/>
    <col min="14410" max="14410" width="11.5703125" bestFit="1" customWidth="1"/>
    <col min="14411" max="14411" width="10.42578125" bestFit="1" customWidth="1"/>
    <col min="14412" max="14412" width="10.85546875" customWidth="1"/>
    <col min="14413" max="14414" width="9.85546875" bestFit="1" customWidth="1"/>
    <col min="14415" max="14415" width="13.5703125" bestFit="1" customWidth="1"/>
    <col min="14416" max="14416" width="7.7109375" bestFit="1" customWidth="1"/>
    <col min="14417" max="14417" width="13.28515625" bestFit="1" customWidth="1"/>
    <col min="14418" max="14418" width="11.5703125" bestFit="1" customWidth="1"/>
    <col min="14419" max="14419" width="10.42578125" bestFit="1" customWidth="1"/>
    <col min="14420" max="14420" width="7.7109375" bestFit="1" customWidth="1"/>
    <col min="14421" max="14421" width="11.5703125" bestFit="1" customWidth="1"/>
    <col min="14422" max="14422" width="10.85546875" bestFit="1" customWidth="1"/>
    <col min="14423" max="14423" width="13.28515625" bestFit="1" customWidth="1"/>
    <col min="14424" max="14424" width="10.85546875" bestFit="1" customWidth="1"/>
    <col min="14425" max="14426" width="7.5703125" bestFit="1" customWidth="1"/>
    <col min="14427" max="14428" width="10.42578125" bestFit="1" customWidth="1"/>
    <col min="14429" max="14429" width="11.5703125" bestFit="1" customWidth="1"/>
    <col min="14430" max="14430" width="5.28515625" bestFit="1" customWidth="1"/>
    <col min="14431" max="14431" width="10.28515625" bestFit="1" customWidth="1"/>
    <col min="14432" max="14432" width="10.42578125" bestFit="1" customWidth="1"/>
    <col min="14433" max="14433" width="11.5703125" bestFit="1" customWidth="1"/>
    <col min="14434" max="14434" width="5.28515625" bestFit="1" customWidth="1"/>
    <col min="14435" max="14437" width="11.5703125" bestFit="1" customWidth="1"/>
    <col min="14438" max="14438" width="5.28515625" bestFit="1" customWidth="1"/>
    <col min="14439" max="14440" width="10.42578125" bestFit="1" customWidth="1"/>
    <col min="14441" max="14441" width="11.5703125" bestFit="1" customWidth="1"/>
    <col min="14442" max="14442" width="5.28515625" bestFit="1" customWidth="1"/>
    <col min="14443" max="14443" width="14.28515625" bestFit="1" customWidth="1"/>
    <col min="14444" max="14444" width="13" bestFit="1" customWidth="1"/>
    <col min="14445" max="14445" width="11.5703125" bestFit="1" customWidth="1"/>
    <col min="14446" max="14446" width="8.85546875" bestFit="1" customWidth="1"/>
    <col min="14447" max="14447" width="14.42578125" bestFit="1" customWidth="1"/>
    <col min="14448" max="14448" width="10.42578125" bestFit="1" customWidth="1"/>
    <col min="14449" max="14449" width="12.28515625" bestFit="1" customWidth="1"/>
    <col min="14450" max="14450" width="13.85546875" bestFit="1" customWidth="1"/>
    <col min="14451" max="14451" width="11.28515625" customWidth="1"/>
    <col min="14452" max="14452" width="11.5703125" customWidth="1"/>
    <col min="14453" max="14453" width="13.42578125" bestFit="1" customWidth="1"/>
    <col min="14454" max="14454" width="10.42578125" customWidth="1"/>
    <col min="14455" max="14455" width="13.85546875" bestFit="1" customWidth="1"/>
    <col min="14456" max="14456" width="15.42578125" bestFit="1" customWidth="1"/>
    <col min="14457" max="14457" width="12.28515625" bestFit="1" customWidth="1"/>
    <col min="14458" max="14458" width="12.7109375" customWidth="1"/>
    <col min="14459" max="14459" width="10.7109375" bestFit="1" customWidth="1"/>
    <col min="14460" max="14460" width="9.85546875" customWidth="1"/>
    <col min="14461" max="14462" width="10.140625" bestFit="1" customWidth="1"/>
    <col min="14463" max="14463" width="7.5703125" bestFit="1" customWidth="1"/>
    <col min="14464" max="14464" width="9.42578125" bestFit="1" customWidth="1"/>
    <col min="14465" max="14465" width="14.5703125" bestFit="1" customWidth="1"/>
    <col min="14466" max="14466" width="14.85546875" customWidth="1"/>
    <col min="14467" max="14467" width="15.140625" bestFit="1" customWidth="1"/>
    <col min="14468" max="14468" width="12.140625" bestFit="1" customWidth="1"/>
    <col min="14469" max="14469" width="14.85546875" bestFit="1" customWidth="1"/>
    <col min="14470" max="14470" width="12.28515625" bestFit="1" customWidth="1"/>
    <col min="14471" max="14479" width="9.140625" hidden="1" customWidth="1"/>
    <col min="14480" max="14480" width="5.28515625" bestFit="1" customWidth="1"/>
    <col min="14481" max="14486" width="11.5703125" bestFit="1" customWidth="1"/>
    <col min="14487" max="14487" width="11.28515625" bestFit="1" customWidth="1"/>
    <col min="14488" max="14488" width="10.140625" bestFit="1" customWidth="1"/>
    <col min="14489" max="14489" width="11.5703125" bestFit="1" customWidth="1"/>
    <col min="14490" max="14490" width="16.140625" customWidth="1"/>
    <col min="14491" max="14491" width="13.42578125" customWidth="1"/>
    <col min="14492" max="14492" width="10.140625" bestFit="1" customWidth="1"/>
    <col min="14493" max="14493" width="12.85546875" bestFit="1" customWidth="1"/>
    <col min="14494" max="14494" width="12.28515625" bestFit="1" customWidth="1"/>
    <col min="14495" max="14495" width="11.28515625" bestFit="1" customWidth="1"/>
    <col min="14496" max="14496" width="11.5703125" bestFit="1" customWidth="1"/>
    <col min="14497" max="14497" width="10.85546875" bestFit="1" customWidth="1"/>
    <col min="14498" max="14498" width="11.28515625" bestFit="1" customWidth="1"/>
    <col min="14499" max="14499" width="10.140625" bestFit="1" customWidth="1"/>
    <col min="14500" max="14500" width="13.28515625" bestFit="1" customWidth="1"/>
    <col min="14501" max="14502" width="12.7109375" bestFit="1" customWidth="1"/>
    <col min="14503" max="14503" width="11" bestFit="1" customWidth="1"/>
    <col min="14504" max="14504" width="11.28515625" bestFit="1" customWidth="1"/>
    <col min="14505" max="14505" width="11.5703125" bestFit="1" customWidth="1"/>
    <col min="14506" max="14506" width="12.28515625" bestFit="1" customWidth="1"/>
    <col min="14507" max="14507" width="15.140625" bestFit="1" customWidth="1"/>
    <col min="14508" max="14508" width="14.42578125" bestFit="1" customWidth="1"/>
    <col min="14509" max="14509" width="12.28515625" bestFit="1" customWidth="1"/>
    <col min="14510" max="14510" width="15.140625" bestFit="1" customWidth="1"/>
    <col min="14511" max="14511" width="14.42578125" bestFit="1" customWidth="1"/>
    <col min="14512" max="14512" width="12.28515625" bestFit="1" customWidth="1"/>
    <col min="14513" max="14513" width="14.42578125" bestFit="1" customWidth="1"/>
    <col min="14514" max="14514" width="11.28515625" bestFit="1" customWidth="1"/>
    <col min="14515" max="14515" width="12.28515625" bestFit="1" customWidth="1"/>
    <col min="14516" max="14516" width="13" bestFit="1" customWidth="1"/>
    <col min="14517" max="14517" width="15.140625" bestFit="1" customWidth="1"/>
    <col min="14518" max="14518" width="12.28515625" bestFit="1" customWidth="1"/>
    <col min="14519" max="14519" width="13.85546875" bestFit="1" customWidth="1"/>
    <col min="14520" max="14520" width="11.28515625" bestFit="1" customWidth="1"/>
    <col min="14521" max="14521" width="12.28515625" bestFit="1" customWidth="1"/>
    <col min="14522" max="14522" width="13.85546875" bestFit="1" customWidth="1"/>
    <col min="14523" max="14524" width="15.140625" bestFit="1" customWidth="1"/>
    <col min="14525" max="14525" width="12.28515625" bestFit="1" customWidth="1"/>
    <col min="14526" max="14526" width="5.7109375" bestFit="1" customWidth="1"/>
    <col min="14527" max="14527" width="8.5703125" bestFit="1" customWidth="1"/>
    <col min="14528" max="14528" width="5.5703125" bestFit="1" customWidth="1"/>
    <col min="14529" max="14529" width="14.42578125" bestFit="1" customWidth="1"/>
    <col min="14530" max="14530" width="11.28515625" bestFit="1" customWidth="1"/>
    <col min="14531" max="14532" width="12.28515625" bestFit="1" customWidth="1"/>
    <col min="14533" max="14533" width="11.28515625" bestFit="1" customWidth="1"/>
    <col min="14534" max="14534" width="13.85546875" bestFit="1" customWidth="1"/>
    <col min="14535" max="14535" width="12" bestFit="1" customWidth="1"/>
    <col min="14536" max="14536" width="13.85546875" bestFit="1" customWidth="1"/>
    <col min="14537" max="14538" width="14.42578125" customWidth="1"/>
    <col min="14539" max="14539" width="10.140625" bestFit="1" customWidth="1"/>
    <col min="14540" max="14540" width="12.28515625" bestFit="1" customWidth="1"/>
    <col min="14541" max="14541" width="7.42578125" bestFit="1" customWidth="1"/>
    <col min="14542" max="14542" width="8.5703125" bestFit="1" customWidth="1"/>
    <col min="14543" max="14543" width="11.5703125" bestFit="1" customWidth="1"/>
    <col min="14544" max="14544" width="13.28515625" bestFit="1" customWidth="1"/>
    <col min="14545" max="14545" width="13.28515625" customWidth="1"/>
    <col min="14546" max="14546" width="13.140625" customWidth="1"/>
    <col min="14547" max="14547" width="12.7109375" bestFit="1" customWidth="1"/>
    <col min="14548" max="14548" width="13.28515625" bestFit="1" customWidth="1"/>
    <col min="14549" max="14551" width="13.28515625" customWidth="1"/>
    <col min="14552" max="14552" width="12.140625" bestFit="1" customWidth="1"/>
    <col min="14553" max="14553" width="12.7109375" bestFit="1" customWidth="1"/>
    <col min="14554" max="14554" width="11" customWidth="1"/>
    <col min="14555" max="14555" width="16.7109375" customWidth="1"/>
    <col min="14556" max="14556" width="17" customWidth="1"/>
    <col min="14557" max="14557" width="10.42578125" bestFit="1" customWidth="1"/>
    <col min="14601" max="14601" width="3.85546875" customWidth="1"/>
    <col min="14602" max="14602" width="15.28515625" bestFit="1" customWidth="1"/>
    <col min="14603" max="14603" width="12.28515625" customWidth="1"/>
    <col min="14604" max="14604" width="16.28515625" bestFit="1" customWidth="1"/>
    <col min="14605" max="14605" width="6.42578125" bestFit="1" customWidth="1"/>
    <col min="14606" max="14606" width="9.28515625" bestFit="1" customWidth="1"/>
    <col min="14607" max="14607" width="7.5703125" bestFit="1" customWidth="1"/>
    <col min="14608" max="14608" width="13.28515625" bestFit="1" customWidth="1"/>
    <col min="14609" max="14609" width="9.28515625" bestFit="1" customWidth="1"/>
    <col min="14610" max="14610" width="11.5703125" bestFit="1" customWidth="1"/>
    <col min="14611" max="14611" width="13.28515625" bestFit="1" customWidth="1"/>
    <col min="14612" max="14612" width="7.140625" bestFit="1" customWidth="1"/>
    <col min="14613" max="14613" width="12" bestFit="1" customWidth="1"/>
    <col min="14614" max="14614" width="13.28515625" bestFit="1" customWidth="1"/>
    <col min="14615" max="14615" width="7" bestFit="1" customWidth="1"/>
    <col min="14616" max="14616" width="12.7109375" bestFit="1" customWidth="1"/>
    <col min="14617" max="14617" width="11.5703125" bestFit="1" customWidth="1"/>
    <col min="14618" max="14618" width="10.5703125" bestFit="1" customWidth="1"/>
    <col min="14619" max="14620" width="15.7109375" bestFit="1" customWidth="1"/>
    <col min="14621" max="14621" width="11.5703125" bestFit="1" customWidth="1"/>
    <col min="14622" max="14622" width="7.7109375" bestFit="1" customWidth="1"/>
    <col min="14623" max="14623" width="15.140625" bestFit="1" customWidth="1"/>
    <col min="14624" max="14624" width="11.5703125" bestFit="1" customWidth="1"/>
    <col min="14625" max="14625" width="13.28515625" bestFit="1" customWidth="1"/>
    <col min="14626" max="14626" width="10.42578125" bestFit="1" customWidth="1"/>
    <col min="14627" max="14627" width="13.28515625" bestFit="1" customWidth="1"/>
    <col min="14628" max="14628" width="12.140625" bestFit="1" customWidth="1"/>
    <col min="14629" max="14629" width="14.42578125" bestFit="1" customWidth="1"/>
    <col min="14630" max="14630" width="13.28515625" bestFit="1" customWidth="1"/>
    <col min="14631" max="14631" width="11.5703125" bestFit="1" customWidth="1"/>
    <col min="14632" max="14632" width="7.7109375" bestFit="1" customWidth="1"/>
    <col min="14633" max="14634" width="14.42578125" bestFit="1" customWidth="1"/>
    <col min="14635" max="14635" width="11.5703125" bestFit="1" customWidth="1"/>
    <col min="14636" max="14636" width="7.7109375" bestFit="1" customWidth="1"/>
    <col min="14637" max="14637" width="13.5703125" customWidth="1"/>
    <col min="14638" max="14638" width="15.28515625" customWidth="1"/>
    <col min="14639" max="14639" width="14.5703125" customWidth="1"/>
    <col min="14640" max="14640" width="13.28515625" bestFit="1" customWidth="1"/>
    <col min="14641" max="14641" width="7.7109375" bestFit="1" customWidth="1"/>
    <col min="14642" max="14642" width="12.7109375" bestFit="1" customWidth="1"/>
    <col min="14643" max="14643" width="11.7109375" bestFit="1" customWidth="1"/>
    <col min="14644" max="14644" width="11.5703125" bestFit="1" customWidth="1"/>
    <col min="14645" max="14645" width="5.28515625" bestFit="1" customWidth="1"/>
    <col min="14646" max="14646" width="13.28515625" bestFit="1" customWidth="1"/>
    <col min="14647" max="14647" width="13.5703125" bestFit="1" customWidth="1"/>
    <col min="14648" max="14648" width="10.5703125" bestFit="1" customWidth="1"/>
    <col min="14649" max="14649" width="13.28515625" bestFit="1" customWidth="1"/>
    <col min="14650" max="14650" width="11.5703125" bestFit="1" customWidth="1"/>
    <col min="14651" max="14651" width="10.5703125" bestFit="1" customWidth="1"/>
    <col min="14652" max="14652" width="16.140625" bestFit="1" customWidth="1"/>
    <col min="14653" max="14654" width="11.28515625" bestFit="1" customWidth="1"/>
    <col min="14655" max="14655" width="13.28515625" bestFit="1" customWidth="1"/>
    <col min="14656" max="14656" width="7.7109375" bestFit="1" customWidth="1"/>
    <col min="14657" max="14660" width="9.140625" hidden="1" customWidth="1"/>
    <col min="14661" max="14661" width="10.42578125" bestFit="1" customWidth="1"/>
    <col min="14662" max="14662" width="10.5703125" bestFit="1" customWidth="1"/>
    <col min="14663" max="14663" width="10.42578125" bestFit="1" customWidth="1"/>
    <col min="14664" max="14664" width="10.5703125" bestFit="1" customWidth="1"/>
    <col min="14665" max="14665" width="9.5703125" bestFit="1" customWidth="1"/>
    <col min="14666" max="14666" width="11.5703125" bestFit="1" customWidth="1"/>
    <col min="14667" max="14667" width="10.42578125" bestFit="1" customWidth="1"/>
    <col min="14668" max="14668" width="10.85546875" customWidth="1"/>
    <col min="14669" max="14670" width="9.85546875" bestFit="1" customWidth="1"/>
    <col min="14671" max="14671" width="13.5703125" bestFit="1" customWidth="1"/>
    <col min="14672" max="14672" width="7.7109375" bestFit="1" customWidth="1"/>
    <col min="14673" max="14673" width="13.28515625" bestFit="1" customWidth="1"/>
    <col min="14674" max="14674" width="11.5703125" bestFit="1" customWidth="1"/>
    <col min="14675" max="14675" width="10.42578125" bestFit="1" customWidth="1"/>
    <col min="14676" max="14676" width="7.7109375" bestFit="1" customWidth="1"/>
    <col min="14677" max="14677" width="11.5703125" bestFit="1" customWidth="1"/>
    <col min="14678" max="14678" width="10.85546875" bestFit="1" customWidth="1"/>
    <col min="14679" max="14679" width="13.28515625" bestFit="1" customWidth="1"/>
    <col min="14680" max="14680" width="10.85546875" bestFit="1" customWidth="1"/>
    <col min="14681" max="14682" width="7.5703125" bestFit="1" customWidth="1"/>
    <col min="14683" max="14684" width="10.42578125" bestFit="1" customWidth="1"/>
    <col min="14685" max="14685" width="11.5703125" bestFit="1" customWidth="1"/>
    <col min="14686" max="14686" width="5.28515625" bestFit="1" customWidth="1"/>
    <col min="14687" max="14687" width="10.28515625" bestFit="1" customWidth="1"/>
    <col min="14688" max="14688" width="10.42578125" bestFit="1" customWidth="1"/>
    <col min="14689" max="14689" width="11.5703125" bestFit="1" customWidth="1"/>
    <col min="14690" max="14690" width="5.28515625" bestFit="1" customWidth="1"/>
    <col min="14691" max="14693" width="11.5703125" bestFit="1" customWidth="1"/>
    <col min="14694" max="14694" width="5.28515625" bestFit="1" customWidth="1"/>
    <col min="14695" max="14696" width="10.42578125" bestFit="1" customWidth="1"/>
    <col min="14697" max="14697" width="11.5703125" bestFit="1" customWidth="1"/>
    <col min="14698" max="14698" width="5.28515625" bestFit="1" customWidth="1"/>
    <col min="14699" max="14699" width="14.28515625" bestFit="1" customWidth="1"/>
    <col min="14700" max="14700" width="13" bestFit="1" customWidth="1"/>
    <col min="14701" max="14701" width="11.5703125" bestFit="1" customWidth="1"/>
    <col min="14702" max="14702" width="8.85546875" bestFit="1" customWidth="1"/>
    <col min="14703" max="14703" width="14.42578125" bestFit="1" customWidth="1"/>
    <col min="14704" max="14704" width="10.42578125" bestFit="1" customWidth="1"/>
    <col min="14705" max="14705" width="12.28515625" bestFit="1" customWidth="1"/>
    <col min="14706" max="14706" width="13.85546875" bestFit="1" customWidth="1"/>
    <col min="14707" max="14707" width="11.28515625" customWidth="1"/>
    <col min="14708" max="14708" width="11.5703125" customWidth="1"/>
    <col min="14709" max="14709" width="13.42578125" bestFit="1" customWidth="1"/>
    <col min="14710" max="14710" width="10.42578125" customWidth="1"/>
    <col min="14711" max="14711" width="13.85546875" bestFit="1" customWidth="1"/>
    <col min="14712" max="14712" width="15.42578125" bestFit="1" customWidth="1"/>
    <col min="14713" max="14713" width="12.28515625" bestFit="1" customWidth="1"/>
    <col min="14714" max="14714" width="12.7109375" customWidth="1"/>
    <col min="14715" max="14715" width="10.7109375" bestFit="1" customWidth="1"/>
    <col min="14716" max="14716" width="9.85546875" customWidth="1"/>
    <col min="14717" max="14718" width="10.140625" bestFit="1" customWidth="1"/>
    <col min="14719" max="14719" width="7.5703125" bestFit="1" customWidth="1"/>
    <col min="14720" max="14720" width="9.42578125" bestFit="1" customWidth="1"/>
    <col min="14721" max="14721" width="14.5703125" bestFit="1" customWidth="1"/>
    <col min="14722" max="14722" width="14.85546875" customWidth="1"/>
    <col min="14723" max="14723" width="15.140625" bestFit="1" customWidth="1"/>
    <col min="14724" max="14724" width="12.140625" bestFit="1" customWidth="1"/>
    <col min="14725" max="14725" width="14.85546875" bestFit="1" customWidth="1"/>
    <col min="14726" max="14726" width="12.28515625" bestFit="1" customWidth="1"/>
    <col min="14727" max="14735" width="9.140625" hidden="1" customWidth="1"/>
    <col min="14736" max="14736" width="5.28515625" bestFit="1" customWidth="1"/>
    <col min="14737" max="14742" width="11.5703125" bestFit="1" customWidth="1"/>
    <col min="14743" max="14743" width="11.28515625" bestFit="1" customWidth="1"/>
    <col min="14744" max="14744" width="10.140625" bestFit="1" customWidth="1"/>
    <col min="14745" max="14745" width="11.5703125" bestFit="1" customWidth="1"/>
    <col min="14746" max="14746" width="16.140625" customWidth="1"/>
    <col min="14747" max="14747" width="13.42578125" customWidth="1"/>
    <col min="14748" max="14748" width="10.140625" bestFit="1" customWidth="1"/>
    <col min="14749" max="14749" width="12.85546875" bestFit="1" customWidth="1"/>
    <col min="14750" max="14750" width="12.28515625" bestFit="1" customWidth="1"/>
    <col min="14751" max="14751" width="11.28515625" bestFit="1" customWidth="1"/>
    <col min="14752" max="14752" width="11.5703125" bestFit="1" customWidth="1"/>
    <col min="14753" max="14753" width="10.85546875" bestFit="1" customWidth="1"/>
    <col min="14754" max="14754" width="11.28515625" bestFit="1" customWidth="1"/>
    <col min="14755" max="14755" width="10.140625" bestFit="1" customWidth="1"/>
    <col min="14756" max="14756" width="13.28515625" bestFit="1" customWidth="1"/>
    <col min="14757" max="14758" width="12.7109375" bestFit="1" customWidth="1"/>
    <col min="14759" max="14759" width="11" bestFit="1" customWidth="1"/>
    <col min="14760" max="14760" width="11.28515625" bestFit="1" customWidth="1"/>
    <col min="14761" max="14761" width="11.5703125" bestFit="1" customWidth="1"/>
    <col min="14762" max="14762" width="12.28515625" bestFit="1" customWidth="1"/>
    <col min="14763" max="14763" width="15.140625" bestFit="1" customWidth="1"/>
    <col min="14764" max="14764" width="14.42578125" bestFit="1" customWidth="1"/>
    <col min="14765" max="14765" width="12.28515625" bestFit="1" customWidth="1"/>
    <col min="14766" max="14766" width="15.140625" bestFit="1" customWidth="1"/>
    <col min="14767" max="14767" width="14.42578125" bestFit="1" customWidth="1"/>
    <col min="14768" max="14768" width="12.28515625" bestFit="1" customWidth="1"/>
    <col min="14769" max="14769" width="14.42578125" bestFit="1" customWidth="1"/>
    <col min="14770" max="14770" width="11.28515625" bestFit="1" customWidth="1"/>
    <col min="14771" max="14771" width="12.28515625" bestFit="1" customWidth="1"/>
    <col min="14772" max="14772" width="13" bestFit="1" customWidth="1"/>
    <col min="14773" max="14773" width="15.140625" bestFit="1" customWidth="1"/>
    <col min="14774" max="14774" width="12.28515625" bestFit="1" customWidth="1"/>
    <col min="14775" max="14775" width="13.85546875" bestFit="1" customWidth="1"/>
    <col min="14776" max="14776" width="11.28515625" bestFit="1" customWidth="1"/>
    <col min="14777" max="14777" width="12.28515625" bestFit="1" customWidth="1"/>
    <col min="14778" max="14778" width="13.85546875" bestFit="1" customWidth="1"/>
    <col min="14779" max="14780" width="15.140625" bestFit="1" customWidth="1"/>
    <col min="14781" max="14781" width="12.28515625" bestFit="1" customWidth="1"/>
    <col min="14782" max="14782" width="5.7109375" bestFit="1" customWidth="1"/>
    <col min="14783" max="14783" width="8.5703125" bestFit="1" customWidth="1"/>
    <col min="14784" max="14784" width="5.5703125" bestFit="1" customWidth="1"/>
    <col min="14785" max="14785" width="14.42578125" bestFit="1" customWidth="1"/>
    <col min="14786" max="14786" width="11.28515625" bestFit="1" customWidth="1"/>
    <col min="14787" max="14788" width="12.28515625" bestFit="1" customWidth="1"/>
    <col min="14789" max="14789" width="11.28515625" bestFit="1" customWidth="1"/>
    <col min="14790" max="14790" width="13.85546875" bestFit="1" customWidth="1"/>
    <col min="14791" max="14791" width="12" bestFit="1" customWidth="1"/>
    <col min="14792" max="14792" width="13.85546875" bestFit="1" customWidth="1"/>
    <col min="14793" max="14794" width="14.42578125" customWidth="1"/>
    <col min="14795" max="14795" width="10.140625" bestFit="1" customWidth="1"/>
    <col min="14796" max="14796" width="12.28515625" bestFit="1" customWidth="1"/>
    <col min="14797" max="14797" width="7.42578125" bestFit="1" customWidth="1"/>
    <col min="14798" max="14798" width="8.5703125" bestFit="1" customWidth="1"/>
    <col min="14799" max="14799" width="11.5703125" bestFit="1" customWidth="1"/>
    <col min="14800" max="14800" width="13.28515625" bestFit="1" customWidth="1"/>
    <col min="14801" max="14801" width="13.28515625" customWidth="1"/>
    <col min="14802" max="14802" width="13.140625" customWidth="1"/>
    <col min="14803" max="14803" width="12.7109375" bestFit="1" customWidth="1"/>
    <col min="14804" max="14804" width="13.28515625" bestFit="1" customWidth="1"/>
    <col min="14805" max="14807" width="13.28515625" customWidth="1"/>
    <col min="14808" max="14808" width="12.140625" bestFit="1" customWidth="1"/>
    <col min="14809" max="14809" width="12.7109375" bestFit="1" customWidth="1"/>
    <col min="14810" max="14810" width="11" customWidth="1"/>
    <col min="14811" max="14811" width="16.7109375" customWidth="1"/>
    <col min="14812" max="14812" width="17" customWidth="1"/>
    <col min="14813" max="14813" width="10.42578125" bestFit="1" customWidth="1"/>
    <col min="14857" max="14857" width="3.85546875" customWidth="1"/>
    <col min="14858" max="14858" width="15.28515625" bestFit="1" customWidth="1"/>
    <col min="14859" max="14859" width="12.28515625" customWidth="1"/>
    <col min="14860" max="14860" width="16.28515625" bestFit="1" customWidth="1"/>
    <col min="14861" max="14861" width="6.42578125" bestFit="1" customWidth="1"/>
    <col min="14862" max="14862" width="9.28515625" bestFit="1" customWidth="1"/>
    <col min="14863" max="14863" width="7.5703125" bestFit="1" customWidth="1"/>
    <col min="14864" max="14864" width="13.28515625" bestFit="1" customWidth="1"/>
    <col min="14865" max="14865" width="9.28515625" bestFit="1" customWidth="1"/>
    <col min="14866" max="14866" width="11.5703125" bestFit="1" customWidth="1"/>
    <col min="14867" max="14867" width="13.28515625" bestFit="1" customWidth="1"/>
    <col min="14868" max="14868" width="7.140625" bestFit="1" customWidth="1"/>
    <col min="14869" max="14869" width="12" bestFit="1" customWidth="1"/>
    <col min="14870" max="14870" width="13.28515625" bestFit="1" customWidth="1"/>
    <col min="14871" max="14871" width="7" bestFit="1" customWidth="1"/>
    <col min="14872" max="14872" width="12.7109375" bestFit="1" customWidth="1"/>
    <col min="14873" max="14873" width="11.5703125" bestFit="1" customWidth="1"/>
    <col min="14874" max="14874" width="10.5703125" bestFit="1" customWidth="1"/>
    <col min="14875" max="14876" width="15.7109375" bestFit="1" customWidth="1"/>
    <col min="14877" max="14877" width="11.5703125" bestFit="1" customWidth="1"/>
    <col min="14878" max="14878" width="7.7109375" bestFit="1" customWidth="1"/>
    <col min="14879" max="14879" width="15.140625" bestFit="1" customWidth="1"/>
    <col min="14880" max="14880" width="11.5703125" bestFit="1" customWidth="1"/>
    <col min="14881" max="14881" width="13.28515625" bestFit="1" customWidth="1"/>
    <col min="14882" max="14882" width="10.42578125" bestFit="1" customWidth="1"/>
    <col min="14883" max="14883" width="13.28515625" bestFit="1" customWidth="1"/>
    <col min="14884" max="14884" width="12.140625" bestFit="1" customWidth="1"/>
    <col min="14885" max="14885" width="14.42578125" bestFit="1" customWidth="1"/>
    <col min="14886" max="14886" width="13.28515625" bestFit="1" customWidth="1"/>
    <col min="14887" max="14887" width="11.5703125" bestFit="1" customWidth="1"/>
    <col min="14888" max="14888" width="7.7109375" bestFit="1" customWidth="1"/>
    <col min="14889" max="14890" width="14.42578125" bestFit="1" customWidth="1"/>
    <col min="14891" max="14891" width="11.5703125" bestFit="1" customWidth="1"/>
    <col min="14892" max="14892" width="7.7109375" bestFit="1" customWidth="1"/>
    <col min="14893" max="14893" width="13.5703125" customWidth="1"/>
    <col min="14894" max="14894" width="15.28515625" customWidth="1"/>
    <col min="14895" max="14895" width="14.5703125" customWidth="1"/>
    <col min="14896" max="14896" width="13.28515625" bestFit="1" customWidth="1"/>
    <col min="14897" max="14897" width="7.7109375" bestFit="1" customWidth="1"/>
    <col min="14898" max="14898" width="12.7109375" bestFit="1" customWidth="1"/>
    <col min="14899" max="14899" width="11.7109375" bestFit="1" customWidth="1"/>
    <col min="14900" max="14900" width="11.5703125" bestFit="1" customWidth="1"/>
    <col min="14901" max="14901" width="5.28515625" bestFit="1" customWidth="1"/>
    <col min="14902" max="14902" width="13.28515625" bestFit="1" customWidth="1"/>
    <col min="14903" max="14903" width="13.5703125" bestFit="1" customWidth="1"/>
    <col min="14904" max="14904" width="10.5703125" bestFit="1" customWidth="1"/>
    <col min="14905" max="14905" width="13.28515625" bestFit="1" customWidth="1"/>
    <col min="14906" max="14906" width="11.5703125" bestFit="1" customWidth="1"/>
    <col min="14907" max="14907" width="10.5703125" bestFit="1" customWidth="1"/>
    <col min="14908" max="14908" width="16.140625" bestFit="1" customWidth="1"/>
    <col min="14909" max="14910" width="11.28515625" bestFit="1" customWidth="1"/>
    <col min="14911" max="14911" width="13.28515625" bestFit="1" customWidth="1"/>
    <col min="14912" max="14912" width="7.7109375" bestFit="1" customWidth="1"/>
    <col min="14913" max="14916" width="9.140625" hidden="1" customWidth="1"/>
    <col min="14917" max="14917" width="10.42578125" bestFit="1" customWidth="1"/>
    <col min="14918" max="14918" width="10.5703125" bestFit="1" customWidth="1"/>
    <col min="14919" max="14919" width="10.42578125" bestFit="1" customWidth="1"/>
    <col min="14920" max="14920" width="10.5703125" bestFit="1" customWidth="1"/>
    <col min="14921" max="14921" width="9.5703125" bestFit="1" customWidth="1"/>
    <col min="14922" max="14922" width="11.5703125" bestFit="1" customWidth="1"/>
    <col min="14923" max="14923" width="10.42578125" bestFit="1" customWidth="1"/>
    <col min="14924" max="14924" width="10.85546875" customWidth="1"/>
    <col min="14925" max="14926" width="9.85546875" bestFit="1" customWidth="1"/>
    <col min="14927" max="14927" width="13.5703125" bestFit="1" customWidth="1"/>
    <col min="14928" max="14928" width="7.7109375" bestFit="1" customWidth="1"/>
    <col min="14929" max="14929" width="13.28515625" bestFit="1" customWidth="1"/>
    <col min="14930" max="14930" width="11.5703125" bestFit="1" customWidth="1"/>
    <col min="14931" max="14931" width="10.42578125" bestFit="1" customWidth="1"/>
    <col min="14932" max="14932" width="7.7109375" bestFit="1" customWidth="1"/>
    <col min="14933" max="14933" width="11.5703125" bestFit="1" customWidth="1"/>
    <col min="14934" max="14934" width="10.85546875" bestFit="1" customWidth="1"/>
    <col min="14935" max="14935" width="13.28515625" bestFit="1" customWidth="1"/>
    <col min="14936" max="14936" width="10.85546875" bestFit="1" customWidth="1"/>
    <col min="14937" max="14938" width="7.5703125" bestFit="1" customWidth="1"/>
    <col min="14939" max="14940" width="10.42578125" bestFit="1" customWidth="1"/>
    <col min="14941" max="14941" width="11.5703125" bestFit="1" customWidth="1"/>
    <col min="14942" max="14942" width="5.28515625" bestFit="1" customWidth="1"/>
    <col min="14943" max="14943" width="10.28515625" bestFit="1" customWidth="1"/>
    <col min="14944" max="14944" width="10.42578125" bestFit="1" customWidth="1"/>
    <col min="14945" max="14945" width="11.5703125" bestFit="1" customWidth="1"/>
    <col min="14946" max="14946" width="5.28515625" bestFit="1" customWidth="1"/>
    <col min="14947" max="14949" width="11.5703125" bestFit="1" customWidth="1"/>
    <col min="14950" max="14950" width="5.28515625" bestFit="1" customWidth="1"/>
    <col min="14951" max="14952" width="10.42578125" bestFit="1" customWidth="1"/>
    <col min="14953" max="14953" width="11.5703125" bestFit="1" customWidth="1"/>
    <col min="14954" max="14954" width="5.28515625" bestFit="1" customWidth="1"/>
    <col min="14955" max="14955" width="14.28515625" bestFit="1" customWidth="1"/>
    <col min="14956" max="14956" width="13" bestFit="1" customWidth="1"/>
    <col min="14957" max="14957" width="11.5703125" bestFit="1" customWidth="1"/>
    <col min="14958" max="14958" width="8.85546875" bestFit="1" customWidth="1"/>
    <col min="14959" max="14959" width="14.42578125" bestFit="1" customWidth="1"/>
    <col min="14960" max="14960" width="10.42578125" bestFit="1" customWidth="1"/>
    <col min="14961" max="14961" width="12.28515625" bestFit="1" customWidth="1"/>
    <col min="14962" max="14962" width="13.85546875" bestFit="1" customWidth="1"/>
    <col min="14963" max="14963" width="11.28515625" customWidth="1"/>
    <col min="14964" max="14964" width="11.5703125" customWidth="1"/>
    <col min="14965" max="14965" width="13.42578125" bestFit="1" customWidth="1"/>
    <col min="14966" max="14966" width="10.42578125" customWidth="1"/>
    <col min="14967" max="14967" width="13.85546875" bestFit="1" customWidth="1"/>
    <col min="14968" max="14968" width="15.42578125" bestFit="1" customWidth="1"/>
    <col min="14969" max="14969" width="12.28515625" bestFit="1" customWidth="1"/>
    <col min="14970" max="14970" width="12.7109375" customWidth="1"/>
    <col min="14971" max="14971" width="10.7109375" bestFit="1" customWidth="1"/>
    <col min="14972" max="14972" width="9.85546875" customWidth="1"/>
    <col min="14973" max="14974" width="10.140625" bestFit="1" customWidth="1"/>
    <col min="14975" max="14975" width="7.5703125" bestFit="1" customWidth="1"/>
    <col min="14976" max="14976" width="9.42578125" bestFit="1" customWidth="1"/>
    <col min="14977" max="14977" width="14.5703125" bestFit="1" customWidth="1"/>
    <col min="14978" max="14978" width="14.85546875" customWidth="1"/>
    <col min="14979" max="14979" width="15.140625" bestFit="1" customWidth="1"/>
    <col min="14980" max="14980" width="12.140625" bestFit="1" customWidth="1"/>
    <col min="14981" max="14981" width="14.85546875" bestFit="1" customWidth="1"/>
    <col min="14982" max="14982" width="12.28515625" bestFit="1" customWidth="1"/>
    <col min="14983" max="14991" width="9.140625" hidden="1" customWidth="1"/>
    <col min="14992" max="14992" width="5.28515625" bestFit="1" customWidth="1"/>
    <col min="14993" max="14998" width="11.5703125" bestFit="1" customWidth="1"/>
    <col min="14999" max="14999" width="11.28515625" bestFit="1" customWidth="1"/>
    <col min="15000" max="15000" width="10.140625" bestFit="1" customWidth="1"/>
    <col min="15001" max="15001" width="11.5703125" bestFit="1" customWidth="1"/>
    <col min="15002" max="15002" width="16.140625" customWidth="1"/>
    <col min="15003" max="15003" width="13.42578125" customWidth="1"/>
    <col min="15004" max="15004" width="10.140625" bestFit="1" customWidth="1"/>
    <col min="15005" max="15005" width="12.85546875" bestFit="1" customWidth="1"/>
    <col min="15006" max="15006" width="12.28515625" bestFit="1" customWidth="1"/>
    <col min="15007" max="15007" width="11.28515625" bestFit="1" customWidth="1"/>
    <col min="15008" max="15008" width="11.5703125" bestFit="1" customWidth="1"/>
    <col min="15009" max="15009" width="10.85546875" bestFit="1" customWidth="1"/>
    <col min="15010" max="15010" width="11.28515625" bestFit="1" customWidth="1"/>
    <col min="15011" max="15011" width="10.140625" bestFit="1" customWidth="1"/>
    <col min="15012" max="15012" width="13.28515625" bestFit="1" customWidth="1"/>
    <col min="15013" max="15014" width="12.7109375" bestFit="1" customWidth="1"/>
    <col min="15015" max="15015" width="11" bestFit="1" customWidth="1"/>
    <col min="15016" max="15016" width="11.28515625" bestFit="1" customWidth="1"/>
    <col min="15017" max="15017" width="11.5703125" bestFit="1" customWidth="1"/>
    <col min="15018" max="15018" width="12.28515625" bestFit="1" customWidth="1"/>
    <col min="15019" max="15019" width="15.140625" bestFit="1" customWidth="1"/>
    <col min="15020" max="15020" width="14.42578125" bestFit="1" customWidth="1"/>
    <col min="15021" max="15021" width="12.28515625" bestFit="1" customWidth="1"/>
    <col min="15022" max="15022" width="15.140625" bestFit="1" customWidth="1"/>
    <col min="15023" max="15023" width="14.42578125" bestFit="1" customWidth="1"/>
    <col min="15024" max="15024" width="12.28515625" bestFit="1" customWidth="1"/>
    <col min="15025" max="15025" width="14.42578125" bestFit="1" customWidth="1"/>
    <col min="15026" max="15026" width="11.28515625" bestFit="1" customWidth="1"/>
    <col min="15027" max="15027" width="12.28515625" bestFit="1" customWidth="1"/>
    <col min="15028" max="15028" width="13" bestFit="1" customWidth="1"/>
    <col min="15029" max="15029" width="15.140625" bestFit="1" customWidth="1"/>
    <col min="15030" max="15030" width="12.28515625" bestFit="1" customWidth="1"/>
    <col min="15031" max="15031" width="13.85546875" bestFit="1" customWidth="1"/>
    <col min="15032" max="15032" width="11.28515625" bestFit="1" customWidth="1"/>
    <col min="15033" max="15033" width="12.28515625" bestFit="1" customWidth="1"/>
    <col min="15034" max="15034" width="13.85546875" bestFit="1" customWidth="1"/>
    <col min="15035" max="15036" width="15.140625" bestFit="1" customWidth="1"/>
    <col min="15037" max="15037" width="12.28515625" bestFit="1" customWidth="1"/>
    <col min="15038" max="15038" width="5.7109375" bestFit="1" customWidth="1"/>
    <col min="15039" max="15039" width="8.5703125" bestFit="1" customWidth="1"/>
    <col min="15040" max="15040" width="5.5703125" bestFit="1" customWidth="1"/>
    <col min="15041" max="15041" width="14.42578125" bestFit="1" customWidth="1"/>
    <col min="15042" max="15042" width="11.28515625" bestFit="1" customWidth="1"/>
    <col min="15043" max="15044" width="12.28515625" bestFit="1" customWidth="1"/>
    <col min="15045" max="15045" width="11.28515625" bestFit="1" customWidth="1"/>
    <col min="15046" max="15046" width="13.85546875" bestFit="1" customWidth="1"/>
    <col min="15047" max="15047" width="12" bestFit="1" customWidth="1"/>
    <col min="15048" max="15048" width="13.85546875" bestFit="1" customWidth="1"/>
    <col min="15049" max="15050" width="14.42578125" customWidth="1"/>
    <col min="15051" max="15051" width="10.140625" bestFit="1" customWidth="1"/>
    <col min="15052" max="15052" width="12.28515625" bestFit="1" customWidth="1"/>
    <col min="15053" max="15053" width="7.42578125" bestFit="1" customWidth="1"/>
    <col min="15054" max="15054" width="8.5703125" bestFit="1" customWidth="1"/>
    <col min="15055" max="15055" width="11.5703125" bestFit="1" customWidth="1"/>
    <col min="15056" max="15056" width="13.28515625" bestFit="1" customWidth="1"/>
    <col min="15057" max="15057" width="13.28515625" customWidth="1"/>
    <col min="15058" max="15058" width="13.140625" customWidth="1"/>
    <col min="15059" max="15059" width="12.7109375" bestFit="1" customWidth="1"/>
    <col min="15060" max="15060" width="13.28515625" bestFit="1" customWidth="1"/>
    <col min="15061" max="15063" width="13.28515625" customWidth="1"/>
    <col min="15064" max="15064" width="12.140625" bestFit="1" customWidth="1"/>
    <col min="15065" max="15065" width="12.7109375" bestFit="1" customWidth="1"/>
    <col min="15066" max="15066" width="11" customWidth="1"/>
    <col min="15067" max="15067" width="16.7109375" customWidth="1"/>
    <col min="15068" max="15068" width="17" customWidth="1"/>
    <col min="15069" max="15069" width="10.42578125" bestFit="1" customWidth="1"/>
    <col min="15113" max="15113" width="3.85546875" customWidth="1"/>
    <col min="15114" max="15114" width="15.28515625" bestFit="1" customWidth="1"/>
    <col min="15115" max="15115" width="12.28515625" customWidth="1"/>
    <col min="15116" max="15116" width="16.28515625" bestFit="1" customWidth="1"/>
    <col min="15117" max="15117" width="6.42578125" bestFit="1" customWidth="1"/>
    <col min="15118" max="15118" width="9.28515625" bestFit="1" customWidth="1"/>
    <col min="15119" max="15119" width="7.5703125" bestFit="1" customWidth="1"/>
    <col min="15120" max="15120" width="13.28515625" bestFit="1" customWidth="1"/>
    <col min="15121" max="15121" width="9.28515625" bestFit="1" customWidth="1"/>
    <col min="15122" max="15122" width="11.5703125" bestFit="1" customWidth="1"/>
    <col min="15123" max="15123" width="13.28515625" bestFit="1" customWidth="1"/>
    <col min="15124" max="15124" width="7.140625" bestFit="1" customWidth="1"/>
    <col min="15125" max="15125" width="12" bestFit="1" customWidth="1"/>
    <col min="15126" max="15126" width="13.28515625" bestFit="1" customWidth="1"/>
    <col min="15127" max="15127" width="7" bestFit="1" customWidth="1"/>
    <col min="15128" max="15128" width="12.7109375" bestFit="1" customWidth="1"/>
    <col min="15129" max="15129" width="11.5703125" bestFit="1" customWidth="1"/>
    <col min="15130" max="15130" width="10.5703125" bestFit="1" customWidth="1"/>
    <col min="15131" max="15132" width="15.7109375" bestFit="1" customWidth="1"/>
    <col min="15133" max="15133" width="11.5703125" bestFit="1" customWidth="1"/>
    <col min="15134" max="15134" width="7.7109375" bestFit="1" customWidth="1"/>
    <col min="15135" max="15135" width="15.140625" bestFit="1" customWidth="1"/>
    <col min="15136" max="15136" width="11.5703125" bestFit="1" customWidth="1"/>
    <col min="15137" max="15137" width="13.28515625" bestFit="1" customWidth="1"/>
    <col min="15138" max="15138" width="10.42578125" bestFit="1" customWidth="1"/>
    <col min="15139" max="15139" width="13.28515625" bestFit="1" customWidth="1"/>
    <col min="15140" max="15140" width="12.140625" bestFit="1" customWidth="1"/>
    <col min="15141" max="15141" width="14.42578125" bestFit="1" customWidth="1"/>
    <col min="15142" max="15142" width="13.28515625" bestFit="1" customWidth="1"/>
    <col min="15143" max="15143" width="11.5703125" bestFit="1" customWidth="1"/>
    <col min="15144" max="15144" width="7.7109375" bestFit="1" customWidth="1"/>
    <col min="15145" max="15146" width="14.42578125" bestFit="1" customWidth="1"/>
    <col min="15147" max="15147" width="11.5703125" bestFit="1" customWidth="1"/>
    <col min="15148" max="15148" width="7.7109375" bestFit="1" customWidth="1"/>
    <col min="15149" max="15149" width="13.5703125" customWidth="1"/>
    <col min="15150" max="15150" width="15.28515625" customWidth="1"/>
    <col min="15151" max="15151" width="14.5703125" customWidth="1"/>
    <col min="15152" max="15152" width="13.28515625" bestFit="1" customWidth="1"/>
    <col min="15153" max="15153" width="7.7109375" bestFit="1" customWidth="1"/>
    <col min="15154" max="15154" width="12.7109375" bestFit="1" customWidth="1"/>
    <col min="15155" max="15155" width="11.7109375" bestFit="1" customWidth="1"/>
    <col min="15156" max="15156" width="11.5703125" bestFit="1" customWidth="1"/>
    <col min="15157" max="15157" width="5.28515625" bestFit="1" customWidth="1"/>
    <col min="15158" max="15158" width="13.28515625" bestFit="1" customWidth="1"/>
    <col min="15159" max="15159" width="13.5703125" bestFit="1" customWidth="1"/>
    <col min="15160" max="15160" width="10.5703125" bestFit="1" customWidth="1"/>
    <col min="15161" max="15161" width="13.28515625" bestFit="1" customWidth="1"/>
    <col min="15162" max="15162" width="11.5703125" bestFit="1" customWidth="1"/>
    <col min="15163" max="15163" width="10.5703125" bestFit="1" customWidth="1"/>
    <col min="15164" max="15164" width="16.140625" bestFit="1" customWidth="1"/>
    <col min="15165" max="15166" width="11.28515625" bestFit="1" customWidth="1"/>
    <col min="15167" max="15167" width="13.28515625" bestFit="1" customWidth="1"/>
    <col min="15168" max="15168" width="7.7109375" bestFit="1" customWidth="1"/>
    <col min="15169" max="15172" width="9.140625" hidden="1" customWidth="1"/>
    <col min="15173" max="15173" width="10.42578125" bestFit="1" customWidth="1"/>
    <col min="15174" max="15174" width="10.5703125" bestFit="1" customWidth="1"/>
    <col min="15175" max="15175" width="10.42578125" bestFit="1" customWidth="1"/>
    <col min="15176" max="15176" width="10.5703125" bestFit="1" customWidth="1"/>
    <col min="15177" max="15177" width="9.5703125" bestFit="1" customWidth="1"/>
    <col min="15178" max="15178" width="11.5703125" bestFit="1" customWidth="1"/>
    <col min="15179" max="15179" width="10.42578125" bestFit="1" customWidth="1"/>
    <col min="15180" max="15180" width="10.85546875" customWidth="1"/>
    <col min="15181" max="15182" width="9.85546875" bestFit="1" customWidth="1"/>
    <col min="15183" max="15183" width="13.5703125" bestFit="1" customWidth="1"/>
    <col min="15184" max="15184" width="7.7109375" bestFit="1" customWidth="1"/>
    <col min="15185" max="15185" width="13.28515625" bestFit="1" customWidth="1"/>
    <col min="15186" max="15186" width="11.5703125" bestFit="1" customWidth="1"/>
    <col min="15187" max="15187" width="10.42578125" bestFit="1" customWidth="1"/>
    <col min="15188" max="15188" width="7.7109375" bestFit="1" customWidth="1"/>
    <col min="15189" max="15189" width="11.5703125" bestFit="1" customWidth="1"/>
    <col min="15190" max="15190" width="10.85546875" bestFit="1" customWidth="1"/>
    <col min="15191" max="15191" width="13.28515625" bestFit="1" customWidth="1"/>
    <col min="15192" max="15192" width="10.85546875" bestFit="1" customWidth="1"/>
    <col min="15193" max="15194" width="7.5703125" bestFit="1" customWidth="1"/>
    <col min="15195" max="15196" width="10.42578125" bestFit="1" customWidth="1"/>
    <col min="15197" max="15197" width="11.5703125" bestFit="1" customWidth="1"/>
    <col min="15198" max="15198" width="5.28515625" bestFit="1" customWidth="1"/>
    <col min="15199" max="15199" width="10.28515625" bestFit="1" customWidth="1"/>
    <col min="15200" max="15200" width="10.42578125" bestFit="1" customWidth="1"/>
    <col min="15201" max="15201" width="11.5703125" bestFit="1" customWidth="1"/>
    <col min="15202" max="15202" width="5.28515625" bestFit="1" customWidth="1"/>
    <col min="15203" max="15205" width="11.5703125" bestFit="1" customWidth="1"/>
    <col min="15206" max="15206" width="5.28515625" bestFit="1" customWidth="1"/>
    <col min="15207" max="15208" width="10.42578125" bestFit="1" customWidth="1"/>
    <col min="15209" max="15209" width="11.5703125" bestFit="1" customWidth="1"/>
    <col min="15210" max="15210" width="5.28515625" bestFit="1" customWidth="1"/>
    <col min="15211" max="15211" width="14.28515625" bestFit="1" customWidth="1"/>
    <col min="15212" max="15212" width="13" bestFit="1" customWidth="1"/>
    <col min="15213" max="15213" width="11.5703125" bestFit="1" customWidth="1"/>
    <col min="15214" max="15214" width="8.85546875" bestFit="1" customWidth="1"/>
    <col min="15215" max="15215" width="14.42578125" bestFit="1" customWidth="1"/>
    <col min="15216" max="15216" width="10.42578125" bestFit="1" customWidth="1"/>
    <col min="15217" max="15217" width="12.28515625" bestFit="1" customWidth="1"/>
    <col min="15218" max="15218" width="13.85546875" bestFit="1" customWidth="1"/>
    <col min="15219" max="15219" width="11.28515625" customWidth="1"/>
    <col min="15220" max="15220" width="11.5703125" customWidth="1"/>
    <col min="15221" max="15221" width="13.42578125" bestFit="1" customWidth="1"/>
    <col min="15222" max="15222" width="10.42578125" customWidth="1"/>
    <col min="15223" max="15223" width="13.85546875" bestFit="1" customWidth="1"/>
    <col min="15224" max="15224" width="15.42578125" bestFit="1" customWidth="1"/>
    <col min="15225" max="15225" width="12.28515625" bestFit="1" customWidth="1"/>
    <col min="15226" max="15226" width="12.7109375" customWidth="1"/>
    <col min="15227" max="15227" width="10.7109375" bestFit="1" customWidth="1"/>
    <col min="15228" max="15228" width="9.85546875" customWidth="1"/>
    <col min="15229" max="15230" width="10.140625" bestFit="1" customWidth="1"/>
    <col min="15231" max="15231" width="7.5703125" bestFit="1" customWidth="1"/>
    <col min="15232" max="15232" width="9.42578125" bestFit="1" customWidth="1"/>
    <col min="15233" max="15233" width="14.5703125" bestFit="1" customWidth="1"/>
    <col min="15234" max="15234" width="14.85546875" customWidth="1"/>
    <col min="15235" max="15235" width="15.140625" bestFit="1" customWidth="1"/>
    <col min="15236" max="15236" width="12.140625" bestFit="1" customWidth="1"/>
    <col min="15237" max="15237" width="14.85546875" bestFit="1" customWidth="1"/>
    <col min="15238" max="15238" width="12.28515625" bestFit="1" customWidth="1"/>
    <col min="15239" max="15247" width="9.140625" hidden="1" customWidth="1"/>
    <col min="15248" max="15248" width="5.28515625" bestFit="1" customWidth="1"/>
    <col min="15249" max="15254" width="11.5703125" bestFit="1" customWidth="1"/>
    <col min="15255" max="15255" width="11.28515625" bestFit="1" customWidth="1"/>
    <col min="15256" max="15256" width="10.140625" bestFit="1" customWidth="1"/>
    <col min="15257" max="15257" width="11.5703125" bestFit="1" customWidth="1"/>
    <col min="15258" max="15258" width="16.140625" customWidth="1"/>
    <col min="15259" max="15259" width="13.42578125" customWidth="1"/>
    <col min="15260" max="15260" width="10.140625" bestFit="1" customWidth="1"/>
    <col min="15261" max="15261" width="12.85546875" bestFit="1" customWidth="1"/>
    <col min="15262" max="15262" width="12.28515625" bestFit="1" customWidth="1"/>
    <col min="15263" max="15263" width="11.28515625" bestFit="1" customWidth="1"/>
    <col min="15264" max="15264" width="11.5703125" bestFit="1" customWidth="1"/>
    <col min="15265" max="15265" width="10.85546875" bestFit="1" customWidth="1"/>
    <col min="15266" max="15266" width="11.28515625" bestFit="1" customWidth="1"/>
    <col min="15267" max="15267" width="10.140625" bestFit="1" customWidth="1"/>
    <col min="15268" max="15268" width="13.28515625" bestFit="1" customWidth="1"/>
    <col min="15269" max="15270" width="12.7109375" bestFit="1" customWidth="1"/>
    <col min="15271" max="15271" width="11" bestFit="1" customWidth="1"/>
    <col min="15272" max="15272" width="11.28515625" bestFit="1" customWidth="1"/>
    <col min="15273" max="15273" width="11.5703125" bestFit="1" customWidth="1"/>
    <col min="15274" max="15274" width="12.28515625" bestFit="1" customWidth="1"/>
    <col min="15275" max="15275" width="15.140625" bestFit="1" customWidth="1"/>
    <col min="15276" max="15276" width="14.42578125" bestFit="1" customWidth="1"/>
    <col min="15277" max="15277" width="12.28515625" bestFit="1" customWidth="1"/>
    <col min="15278" max="15278" width="15.140625" bestFit="1" customWidth="1"/>
    <col min="15279" max="15279" width="14.42578125" bestFit="1" customWidth="1"/>
    <col min="15280" max="15280" width="12.28515625" bestFit="1" customWidth="1"/>
    <col min="15281" max="15281" width="14.42578125" bestFit="1" customWidth="1"/>
    <col min="15282" max="15282" width="11.28515625" bestFit="1" customWidth="1"/>
    <col min="15283" max="15283" width="12.28515625" bestFit="1" customWidth="1"/>
    <col min="15284" max="15284" width="13" bestFit="1" customWidth="1"/>
    <col min="15285" max="15285" width="15.140625" bestFit="1" customWidth="1"/>
    <col min="15286" max="15286" width="12.28515625" bestFit="1" customWidth="1"/>
    <col min="15287" max="15287" width="13.85546875" bestFit="1" customWidth="1"/>
    <col min="15288" max="15288" width="11.28515625" bestFit="1" customWidth="1"/>
    <col min="15289" max="15289" width="12.28515625" bestFit="1" customWidth="1"/>
    <col min="15290" max="15290" width="13.85546875" bestFit="1" customWidth="1"/>
    <col min="15291" max="15292" width="15.140625" bestFit="1" customWidth="1"/>
    <col min="15293" max="15293" width="12.28515625" bestFit="1" customWidth="1"/>
    <col min="15294" max="15294" width="5.7109375" bestFit="1" customWidth="1"/>
    <col min="15295" max="15295" width="8.5703125" bestFit="1" customWidth="1"/>
    <col min="15296" max="15296" width="5.5703125" bestFit="1" customWidth="1"/>
    <col min="15297" max="15297" width="14.42578125" bestFit="1" customWidth="1"/>
    <col min="15298" max="15298" width="11.28515625" bestFit="1" customWidth="1"/>
    <col min="15299" max="15300" width="12.28515625" bestFit="1" customWidth="1"/>
    <col min="15301" max="15301" width="11.28515625" bestFit="1" customWidth="1"/>
    <col min="15302" max="15302" width="13.85546875" bestFit="1" customWidth="1"/>
    <col min="15303" max="15303" width="12" bestFit="1" customWidth="1"/>
    <col min="15304" max="15304" width="13.85546875" bestFit="1" customWidth="1"/>
    <col min="15305" max="15306" width="14.42578125" customWidth="1"/>
    <col min="15307" max="15307" width="10.140625" bestFit="1" customWidth="1"/>
    <col min="15308" max="15308" width="12.28515625" bestFit="1" customWidth="1"/>
    <col min="15309" max="15309" width="7.42578125" bestFit="1" customWidth="1"/>
    <col min="15310" max="15310" width="8.5703125" bestFit="1" customWidth="1"/>
    <col min="15311" max="15311" width="11.5703125" bestFit="1" customWidth="1"/>
    <col min="15312" max="15312" width="13.28515625" bestFit="1" customWidth="1"/>
    <col min="15313" max="15313" width="13.28515625" customWidth="1"/>
    <col min="15314" max="15314" width="13.140625" customWidth="1"/>
    <col min="15315" max="15315" width="12.7109375" bestFit="1" customWidth="1"/>
    <col min="15316" max="15316" width="13.28515625" bestFit="1" customWidth="1"/>
    <col min="15317" max="15319" width="13.28515625" customWidth="1"/>
    <col min="15320" max="15320" width="12.140625" bestFit="1" customWidth="1"/>
    <col min="15321" max="15321" width="12.7109375" bestFit="1" customWidth="1"/>
    <col min="15322" max="15322" width="11" customWidth="1"/>
    <col min="15323" max="15323" width="16.7109375" customWidth="1"/>
    <col min="15324" max="15324" width="17" customWidth="1"/>
    <col min="15325" max="15325" width="10.42578125" bestFit="1" customWidth="1"/>
    <col min="15369" max="15369" width="3.85546875" customWidth="1"/>
    <col min="15370" max="15370" width="15.28515625" bestFit="1" customWidth="1"/>
    <col min="15371" max="15371" width="12.28515625" customWidth="1"/>
    <col min="15372" max="15372" width="16.28515625" bestFit="1" customWidth="1"/>
    <col min="15373" max="15373" width="6.42578125" bestFit="1" customWidth="1"/>
    <col min="15374" max="15374" width="9.28515625" bestFit="1" customWidth="1"/>
    <col min="15375" max="15375" width="7.5703125" bestFit="1" customWidth="1"/>
    <col min="15376" max="15376" width="13.28515625" bestFit="1" customWidth="1"/>
    <col min="15377" max="15377" width="9.28515625" bestFit="1" customWidth="1"/>
    <col min="15378" max="15378" width="11.5703125" bestFit="1" customWidth="1"/>
    <col min="15379" max="15379" width="13.28515625" bestFit="1" customWidth="1"/>
    <col min="15380" max="15380" width="7.140625" bestFit="1" customWidth="1"/>
    <col min="15381" max="15381" width="12" bestFit="1" customWidth="1"/>
    <col min="15382" max="15382" width="13.28515625" bestFit="1" customWidth="1"/>
    <col min="15383" max="15383" width="7" bestFit="1" customWidth="1"/>
    <col min="15384" max="15384" width="12.7109375" bestFit="1" customWidth="1"/>
    <col min="15385" max="15385" width="11.5703125" bestFit="1" customWidth="1"/>
    <col min="15386" max="15386" width="10.5703125" bestFit="1" customWidth="1"/>
    <col min="15387" max="15388" width="15.7109375" bestFit="1" customWidth="1"/>
    <col min="15389" max="15389" width="11.5703125" bestFit="1" customWidth="1"/>
    <col min="15390" max="15390" width="7.7109375" bestFit="1" customWidth="1"/>
    <col min="15391" max="15391" width="15.140625" bestFit="1" customWidth="1"/>
    <col min="15392" max="15392" width="11.5703125" bestFit="1" customWidth="1"/>
    <col min="15393" max="15393" width="13.28515625" bestFit="1" customWidth="1"/>
    <col min="15394" max="15394" width="10.42578125" bestFit="1" customWidth="1"/>
    <col min="15395" max="15395" width="13.28515625" bestFit="1" customWidth="1"/>
    <col min="15396" max="15396" width="12.140625" bestFit="1" customWidth="1"/>
    <col min="15397" max="15397" width="14.42578125" bestFit="1" customWidth="1"/>
    <col min="15398" max="15398" width="13.28515625" bestFit="1" customWidth="1"/>
    <col min="15399" max="15399" width="11.5703125" bestFit="1" customWidth="1"/>
    <col min="15400" max="15400" width="7.7109375" bestFit="1" customWidth="1"/>
    <col min="15401" max="15402" width="14.42578125" bestFit="1" customWidth="1"/>
    <col min="15403" max="15403" width="11.5703125" bestFit="1" customWidth="1"/>
    <col min="15404" max="15404" width="7.7109375" bestFit="1" customWidth="1"/>
    <col min="15405" max="15405" width="13.5703125" customWidth="1"/>
    <col min="15406" max="15406" width="15.28515625" customWidth="1"/>
    <col min="15407" max="15407" width="14.5703125" customWidth="1"/>
    <col min="15408" max="15408" width="13.28515625" bestFit="1" customWidth="1"/>
    <col min="15409" max="15409" width="7.7109375" bestFit="1" customWidth="1"/>
    <col min="15410" max="15410" width="12.7109375" bestFit="1" customWidth="1"/>
    <col min="15411" max="15411" width="11.7109375" bestFit="1" customWidth="1"/>
    <col min="15412" max="15412" width="11.5703125" bestFit="1" customWidth="1"/>
    <col min="15413" max="15413" width="5.28515625" bestFit="1" customWidth="1"/>
    <col min="15414" max="15414" width="13.28515625" bestFit="1" customWidth="1"/>
    <col min="15415" max="15415" width="13.5703125" bestFit="1" customWidth="1"/>
    <col min="15416" max="15416" width="10.5703125" bestFit="1" customWidth="1"/>
    <col min="15417" max="15417" width="13.28515625" bestFit="1" customWidth="1"/>
    <col min="15418" max="15418" width="11.5703125" bestFit="1" customWidth="1"/>
    <col min="15419" max="15419" width="10.5703125" bestFit="1" customWidth="1"/>
    <col min="15420" max="15420" width="16.140625" bestFit="1" customWidth="1"/>
    <col min="15421" max="15422" width="11.28515625" bestFit="1" customWidth="1"/>
    <col min="15423" max="15423" width="13.28515625" bestFit="1" customWidth="1"/>
    <col min="15424" max="15424" width="7.7109375" bestFit="1" customWidth="1"/>
    <col min="15425" max="15428" width="9.140625" hidden="1" customWidth="1"/>
    <col min="15429" max="15429" width="10.42578125" bestFit="1" customWidth="1"/>
    <col min="15430" max="15430" width="10.5703125" bestFit="1" customWidth="1"/>
    <col min="15431" max="15431" width="10.42578125" bestFit="1" customWidth="1"/>
    <col min="15432" max="15432" width="10.5703125" bestFit="1" customWidth="1"/>
    <col min="15433" max="15433" width="9.5703125" bestFit="1" customWidth="1"/>
    <col min="15434" max="15434" width="11.5703125" bestFit="1" customWidth="1"/>
    <col min="15435" max="15435" width="10.42578125" bestFit="1" customWidth="1"/>
    <col min="15436" max="15436" width="10.85546875" customWidth="1"/>
    <col min="15437" max="15438" width="9.85546875" bestFit="1" customWidth="1"/>
    <col min="15439" max="15439" width="13.5703125" bestFit="1" customWidth="1"/>
    <col min="15440" max="15440" width="7.7109375" bestFit="1" customWidth="1"/>
    <col min="15441" max="15441" width="13.28515625" bestFit="1" customWidth="1"/>
    <col min="15442" max="15442" width="11.5703125" bestFit="1" customWidth="1"/>
    <col min="15443" max="15443" width="10.42578125" bestFit="1" customWidth="1"/>
    <col min="15444" max="15444" width="7.7109375" bestFit="1" customWidth="1"/>
    <col min="15445" max="15445" width="11.5703125" bestFit="1" customWidth="1"/>
    <col min="15446" max="15446" width="10.85546875" bestFit="1" customWidth="1"/>
    <col min="15447" max="15447" width="13.28515625" bestFit="1" customWidth="1"/>
    <col min="15448" max="15448" width="10.85546875" bestFit="1" customWidth="1"/>
    <col min="15449" max="15450" width="7.5703125" bestFit="1" customWidth="1"/>
    <col min="15451" max="15452" width="10.42578125" bestFit="1" customWidth="1"/>
    <col min="15453" max="15453" width="11.5703125" bestFit="1" customWidth="1"/>
    <col min="15454" max="15454" width="5.28515625" bestFit="1" customWidth="1"/>
    <col min="15455" max="15455" width="10.28515625" bestFit="1" customWidth="1"/>
    <col min="15456" max="15456" width="10.42578125" bestFit="1" customWidth="1"/>
    <col min="15457" max="15457" width="11.5703125" bestFit="1" customWidth="1"/>
    <col min="15458" max="15458" width="5.28515625" bestFit="1" customWidth="1"/>
    <col min="15459" max="15461" width="11.5703125" bestFit="1" customWidth="1"/>
    <col min="15462" max="15462" width="5.28515625" bestFit="1" customWidth="1"/>
    <col min="15463" max="15464" width="10.42578125" bestFit="1" customWidth="1"/>
    <col min="15465" max="15465" width="11.5703125" bestFit="1" customWidth="1"/>
    <col min="15466" max="15466" width="5.28515625" bestFit="1" customWidth="1"/>
    <col min="15467" max="15467" width="14.28515625" bestFit="1" customWidth="1"/>
    <col min="15468" max="15468" width="13" bestFit="1" customWidth="1"/>
    <col min="15469" max="15469" width="11.5703125" bestFit="1" customWidth="1"/>
    <col min="15470" max="15470" width="8.85546875" bestFit="1" customWidth="1"/>
    <col min="15471" max="15471" width="14.42578125" bestFit="1" customWidth="1"/>
    <col min="15472" max="15472" width="10.42578125" bestFit="1" customWidth="1"/>
    <col min="15473" max="15473" width="12.28515625" bestFit="1" customWidth="1"/>
    <col min="15474" max="15474" width="13.85546875" bestFit="1" customWidth="1"/>
    <col min="15475" max="15475" width="11.28515625" customWidth="1"/>
    <col min="15476" max="15476" width="11.5703125" customWidth="1"/>
    <col min="15477" max="15477" width="13.42578125" bestFit="1" customWidth="1"/>
    <col min="15478" max="15478" width="10.42578125" customWidth="1"/>
    <col min="15479" max="15479" width="13.85546875" bestFit="1" customWidth="1"/>
    <col min="15480" max="15480" width="15.42578125" bestFit="1" customWidth="1"/>
    <col min="15481" max="15481" width="12.28515625" bestFit="1" customWidth="1"/>
    <col min="15482" max="15482" width="12.7109375" customWidth="1"/>
    <col min="15483" max="15483" width="10.7109375" bestFit="1" customWidth="1"/>
    <col min="15484" max="15484" width="9.85546875" customWidth="1"/>
    <col min="15485" max="15486" width="10.140625" bestFit="1" customWidth="1"/>
    <col min="15487" max="15487" width="7.5703125" bestFit="1" customWidth="1"/>
    <col min="15488" max="15488" width="9.42578125" bestFit="1" customWidth="1"/>
    <col min="15489" max="15489" width="14.5703125" bestFit="1" customWidth="1"/>
    <col min="15490" max="15490" width="14.85546875" customWidth="1"/>
    <col min="15491" max="15491" width="15.140625" bestFit="1" customWidth="1"/>
    <col min="15492" max="15492" width="12.140625" bestFit="1" customWidth="1"/>
    <col min="15493" max="15493" width="14.85546875" bestFit="1" customWidth="1"/>
    <col min="15494" max="15494" width="12.28515625" bestFit="1" customWidth="1"/>
    <col min="15495" max="15503" width="9.140625" hidden="1" customWidth="1"/>
    <col min="15504" max="15504" width="5.28515625" bestFit="1" customWidth="1"/>
    <col min="15505" max="15510" width="11.5703125" bestFit="1" customWidth="1"/>
    <col min="15511" max="15511" width="11.28515625" bestFit="1" customWidth="1"/>
    <col min="15512" max="15512" width="10.140625" bestFit="1" customWidth="1"/>
    <col min="15513" max="15513" width="11.5703125" bestFit="1" customWidth="1"/>
    <col min="15514" max="15514" width="16.140625" customWidth="1"/>
    <col min="15515" max="15515" width="13.42578125" customWidth="1"/>
    <col min="15516" max="15516" width="10.140625" bestFit="1" customWidth="1"/>
    <col min="15517" max="15517" width="12.85546875" bestFit="1" customWidth="1"/>
    <col min="15518" max="15518" width="12.28515625" bestFit="1" customWidth="1"/>
    <col min="15519" max="15519" width="11.28515625" bestFit="1" customWidth="1"/>
    <col min="15520" max="15520" width="11.5703125" bestFit="1" customWidth="1"/>
    <col min="15521" max="15521" width="10.85546875" bestFit="1" customWidth="1"/>
    <col min="15522" max="15522" width="11.28515625" bestFit="1" customWidth="1"/>
    <col min="15523" max="15523" width="10.140625" bestFit="1" customWidth="1"/>
    <col min="15524" max="15524" width="13.28515625" bestFit="1" customWidth="1"/>
    <col min="15525" max="15526" width="12.7109375" bestFit="1" customWidth="1"/>
    <col min="15527" max="15527" width="11" bestFit="1" customWidth="1"/>
    <col min="15528" max="15528" width="11.28515625" bestFit="1" customWidth="1"/>
    <col min="15529" max="15529" width="11.5703125" bestFit="1" customWidth="1"/>
    <col min="15530" max="15530" width="12.28515625" bestFit="1" customWidth="1"/>
    <col min="15531" max="15531" width="15.140625" bestFit="1" customWidth="1"/>
    <col min="15532" max="15532" width="14.42578125" bestFit="1" customWidth="1"/>
    <col min="15533" max="15533" width="12.28515625" bestFit="1" customWidth="1"/>
    <col min="15534" max="15534" width="15.140625" bestFit="1" customWidth="1"/>
    <col min="15535" max="15535" width="14.42578125" bestFit="1" customWidth="1"/>
    <col min="15536" max="15536" width="12.28515625" bestFit="1" customWidth="1"/>
    <col min="15537" max="15537" width="14.42578125" bestFit="1" customWidth="1"/>
    <col min="15538" max="15538" width="11.28515625" bestFit="1" customWidth="1"/>
    <col min="15539" max="15539" width="12.28515625" bestFit="1" customWidth="1"/>
    <col min="15540" max="15540" width="13" bestFit="1" customWidth="1"/>
    <col min="15541" max="15541" width="15.140625" bestFit="1" customWidth="1"/>
    <col min="15542" max="15542" width="12.28515625" bestFit="1" customWidth="1"/>
    <col min="15543" max="15543" width="13.85546875" bestFit="1" customWidth="1"/>
    <col min="15544" max="15544" width="11.28515625" bestFit="1" customWidth="1"/>
    <col min="15545" max="15545" width="12.28515625" bestFit="1" customWidth="1"/>
    <col min="15546" max="15546" width="13.85546875" bestFit="1" customWidth="1"/>
    <col min="15547" max="15548" width="15.140625" bestFit="1" customWidth="1"/>
    <col min="15549" max="15549" width="12.28515625" bestFit="1" customWidth="1"/>
    <col min="15550" max="15550" width="5.7109375" bestFit="1" customWidth="1"/>
    <col min="15551" max="15551" width="8.5703125" bestFit="1" customWidth="1"/>
    <col min="15552" max="15552" width="5.5703125" bestFit="1" customWidth="1"/>
    <col min="15553" max="15553" width="14.42578125" bestFit="1" customWidth="1"/>
    <col min="15554" max="15554" width="11.28515625" bestFit="1" customWidth="1"/>
    <col min="15555" max="15556" width="12.28515625" bestFit="1" customWidth="1"/>
    <col min="15557" max="15557" width="11.28515625" bestFit="1" customWidth="1"/>
    <col min="15558" max="15558" width="13.85546875" bestFit="1" customWidth="1"/>
    <col min="15559" max="15559" width="12" bestFit="1" customWidth="1"/>
    <col min="15560" max="15560" width="13.85546875" bestFit="1" customWidth="1"/>
    <col min="15561" max="15562" width="14.42578125" customWidth="1"/>
    <col min="15563" max="15563" width="10.140625" bestFit="1" customWidth="1"/>
    <col min="15564" max="15564" width="12.28515625" bestFit="1" customWidth="1"/>
    <col min="15565" max="15565" width="7.42578125" bestFit="1" customWidth="1"/>
    <col min="15566" max="15566" width="8.5703125" bestFit="1" customWidth="1"/>
    <col min="15567" max="15567" width="11.5703125" bestFit="1" customWidth="1"/>
    <col min="15568" max="15568" width="13.28515625" bestFit="1" customWidth="1"/>
    <col min="15569" max="15569" width="13.28515625" customWidth="1"/>
    <col min="15570" max="15570" width="13.140625" customWidth="1"/>
    <col min="15571" max="15571" width="12.7109375" bestFit="1" customWidth="1"/>
    <col min="15572" max="15572" width="13.28515625" bestFit="1" customWidth="1"/>
    <col min="15573" max="15575" width="13.28515625" customWidth="1"/>
    <col min="15576" max="15576" width="12.140625" bestFit="1" customWidth="1"/>
    <col min="15577" max="15577" width="12.7109375" bestFit="1" customWidth="1"/>
    <col min="15578" max="15578" width="11" customWidth="1"/>
    <col min="15579" max="15579" width="16.7109375" customWidth="1"/>
    <col min="15580" max="15580" width="17" customWidth="1"/>
    <col min="15581" max="15581" width="10.42578125" bestFit="1" customWidth="1"/>
    <col min="15625" max="15625" width="3.85546875" customWidth="1"/>
    <col min="15626" max="15626" width="15.28515625" bestFit="1" customWidth="1"/>
    <col min="15627" max="15627" width="12.28515625" customWidth="1"/>
    <col min="15628" max="15628" width="16.28515625" bestFit="1" customWidth="1"/>
    <col min="15629" max="15629" width="6.42578125" bestFit="1" customWidth="1"/>
    <col min="15630" max="15630" width="9.28515625" bestFit="1" customWidth="1"/>
    <col min="15631" max="15631" width="7.5703125" bestFit="1" customWidth="1"/>
    <col min="15632" max="15632" width="13.28515625" bestFit="1" customWidth="1"/>
    <col min="15633" max="15633" width="9.28515625" bestFit="1" customWidth="1"/>
    <col min="15634" max="15634" width="11.5703125" bestFit="1" customWidth="1"/>
    <col min="15635" max="15635" width="13.28515625" bestFit="1" customWidth="1"/>
    <col min="15636" max="15636" width="7.140625" bestFit="1" customWidth="1"/>
    <col min="15637" max="15637" width="12" bestFit="1" customWidth="1"/>
    <col min="15638" max="15638" width="13.28515625" bestFit="1" customWidth="1"/>
    <col min="15639" max="15639" width="7" bestFit="1" customWidth="1"/>
    <col min="15640" max="15640" width="12.7109375" bestFit="1" customWidth="1"/>
    <col min="15641" max="15641" width="11.5703125" bestFit="1" customWidth="1"/>
    <col min="15642" max="15642" width="10.5703125" bestFit="1" customWidth="1"/>
    <col min="15643" max="15644" width="15.7109375" bestFit="1" customWidth="1"/>
    <col min="15645" max="15645" width="11.5703125" bestFit="1" customWidth="1"/>
    <col min="15646" max="15646" width="7.7109375" bestFit="1" customWidth="1"/>
    <col min="15647" max="15647" width="15.140625" bestFit="1" customWidth="1"/>
    <col min="15648" max="15648" width="11.5703125" bestFit="1" customWidth="1"/>
    <col min="15649" max="15649" width="13.28515625" bestFit="1" customWidth="1"/>
    <col min="15650" max="15650" width="10.42578125" bestFit="1" customWidth="1"/>
    <col min="15651" max="15651" width="13.28515625" bestFit="1" customWidth="1"/>
    <col min="15652" max="15652" width="12.140625" bestFit="1" customWidth="1"/>
    <col min="15653" max="15653" width="14.42578125" bestFit="1" customWidth="1"/>
    <col min="15654" max="15654" width="13.28515625" bestFit="1" customWidth="1"/>
    <col min="15655" max="15655" width="11.5703125" bestFit="1" customWidth="1"/>
    <col min="15656" max="15656" width="7.7109375" bestFit="1" customWidth="1"/>
    <col min="15657" max="15658" width="14.42578125" bestFit="1" customWidth="1"/>
    <col min="15659" max="15659" width="11.5703125" bestFit="1" customWidth="1"/>
    <col min="15660" max="15660" width="7.7109375" bestFit="1" customWidth="1"/>
    <col min="15661" max="15661" width="13.5703125" customWidth="1"/>
    <col min="15662" max="15662" width="15.28515625" customWidth="1"/>
    <col min="15663" max="15663" width="14.5703125" customWidth="1"/>
    <col min="15664" max="15664" width="13.28515625" bestFit="1" customWidth="1"/>
    <col min="15665" max="15665" width="7.7109375" bestFit="1" customWidth="1"/>
    <col min="15666" max="15666" width="12.7109375" bestFit="1" customWidth="1"/>
    <col min="15667" max="15667" width="11.7109375" bestFit="1" customWidth="1"/>
    <col min="15668" max="15668" width="11.5703125" bestFit="1" customWidth="1"/>
    <col min="15669" max="15669" width="5.28515625" bestFit="1" customWidth="1"/>
    <col min="15670" max="15670" width="13.28515625" bestFit="1" customWidth="1"/>
    <col min="15671" max="15671" width="13.5703125" bestFit="1" customWidth="1"/>
    <col min="15672" max="15672" width="10.5703125" bestFit="1" customWidth="1"/>
    <col min="15673" max="15673" width="13.28515625" bestFit="1" customWidth="1"/>
    <col min="15674" max="15674" width="11.5703125" bestFit="1" customWidth="1"/>
    <col min="15675" max="15675" width="10.5703125" bestFit="1" customWidth="1"/>
    <col min="15676" max="15676" width="16.140625" bestFit="1" customWidth="1"/>
    <col min="15677" max="15678" width="11.28515625" bestFit="1" customWidth="1"/>
    <col min="15679" max="15679" width="13.28515625" bestFit="1" customWidth="1"/>
    <col min="15680" max="15680" width="7.7109375" bestFit="1" customWidth="1"/>
    <col min="15681" max="15684" width="9.140625" hidden="1" customWidth="1"/>
    <col min="15685" max="15685" width="10.42578125" bestFit="1" customWidth="1"/>
    <col min="15686" max="15686" width="10.5703125" bestFit="1" customWidth="1"/>
    <col min="15687" max="15687" width="10.42578125" bestFit="1" customWidth="1"/>
    <col min="15688" max="15688" width="10.5703125" bestFit="1" customWidth="1"/>
    <col min="15689" max="15689" width="9.5703125" bestFit="1" customWidth="1"/>
    <col min="15690" max="15690" width="11.5703125" bestFit="1" customWidth="1"/>
    <col min="15691" max="15691" width="10.42578125" bestFit="1" customWidth="1"/>
    <col min="15692" max="15692" width="10.85546875" customWidth="1"/>
    <col min="15693" max="15694" width="9.85546875" bestFit="1" customWidth="1"/>
    <col min="15695" max="15695" width="13.5703125" bestFit="1" customWidth="1"/>
    <col min="15696" max="15696" width="7.7109375" bestFit="1" customWidth="1"/>
    <col min="15697" max="15697" width="13.28515625" bestFit="1" customWidth="1"/>
    <col min="15698" max="15698" width="11.5703125" bestFit="1" customWidth="1"/>
    <col min="15699" max="15699" width="10.42578125" bestFit="1" customWidth="1"/>
    <col min="15700" max="15700" width="7.7109375" bestFit="1" customWidth="1"/>
    <col min="15701" max="15701" width="11.5703125" bestFit="1" customWidth="1"/>
    <col min="15702" max="15702" width="10.85546875" bestFit="1" customWidth="1"/>
    <col min="15703" max="15703" width="13.28515625" bestFit="1" customWidth="1"/>
    <col min="15704" max="15704" width="10.85546875" bestFit="1" customWidth="1"/>
    <col min="15705" max="15706" width="7.5703125" bestFit="1" customWidth="1"/>
    <col min="15707" max="15708" width="10.42578125" bestFit="1" customWidth="1"/>
    <col min="15709" max="15709" width="11.5703125" bestFit="1" customWidth="1"/>
    <col min="15710" max="15710" width="5.28515625" bestFit="1" customWidth="1"/>
    <col min="15711" max="15711" width="10.28515625" bestFit="1" customWidth="1"/>
    <col min="15712" max="15712" width="10.42578125" bestFit="1" customWidth="1"/>
    <col min="15713" max="15713" width="11.5703125" bestFit="1" customWidth="1"/>
    <col min="15714" max="15714" width="5.28515625" bestFit="1" customWidth="1"/>
    <col min="15715" max="15717" width="11.5703125" bestFit="1" customWidth="1"/>
    <col min="15718" max="15718" width="5.28515625" bestFit="1" customWidth="1"/>
    <col min="15719" max="15720" width="10.42578125" bestFit="1" customWidth="1"/>
    <col min="15721" max="15721" width="11.5703125" bestFit="1" customWidth="1"/>
    <col min="15722" max="15722" width="5.28515625" bestFit="1" customWidth="1"/>
    <col min="15723" max="15723" width="14.28515625" bestFit="1" customWidth="1"/>
    <col min="15724" max="15724" width="13" bestFit="1" customWidth="1"/>
    <col min="15725" max="15725" width="11.5703125" bestFit="1" customWidth="1"/>
    <col min="15726" max="15726" width="8.85546875" bestFit="1" customWidth="1"/>
    <col min="15727" max="15727" width="14.42578125" bestFit="1" customWidth="1"/>
    <col min="15728" max="15728" width="10.42578125" bestFit="1" customWidth="1"/>
    <col min="15729" max="15729" width="12.28515625" bestFit="1" customWidth="1"/>
    <col min="15730" max="15730" width="13.85546875" bestFit="1" customWidth="1"/>
    <col min="15731" max="15731" width="11.28515625" customWidth="1"/>
    <col min="15732" max="15732" width="11.5703125" customWidth="1"/>
    <col min="15733" max="15733" width="13.42578125" bestFit="1" customWidth="1"/>
    <col min="15734" max="15734" width="10.42578125" customWidth="1"/>
    <col min="15735" max="15735" width="13.85546875" bestFit="1" customWidth="1"/>
    <col min="15736" max="15736" width="15.42578125" bestFit="1" customWidth="1"/>
    <col min="15737" max="15737" width="12.28515625" bestFit="1" customWidth="1"/>
    <col min="15738" max="15738" width="12.7109375" customWidth="1"/>
    <col min="15739" max="15739" width="10.7109375" bestFit="1" customWidth="1"/>
    <col min="15740" max="15740" width="9.85546875" customWidth="1"/>
    <col min="15741" max="15742" width="10.140625" bestFit="1" customWidth="1"/>
    <col min="15743" max="15743" width="7.5703125" bestFit="1" customWidth="1"/>
    <col min="15744" max="15744" width="9.42578125" bestFit="1" customWidth="1"/>
    <col min="15745" max="15745" width="14.5703125" bestFit="1" customWidth="1"/>
    <col min="15746" max="15746" width="14.85546875" customWidth="1"/>
    <col min="15747" max="15747" width="15.140625" bestFit="1" customWidth="1"/>
    <col min="15748" max="15748" width="12.140625" bestFit="1" customWidth="1"/>
    <col min="15749" max="15749" width="14.85546875" bestFit="1" customWidth="1"/>
    <col min="15750" max="15750" width="12.28515625" bestFit="1" customWidth="1"/>
    <col min="15751" max="15759" width="9.140625" hidden="1" customWidth="1"/>
    <col min="15760" max="15760" width="5.28515625" bestFit="1" customWidth="1"/>
    <col min="15761" max="15766" width="11.5703125" bestFit="1" customWidth="1"/>
    <col min="15767" max="15767" width="11.28515625" bestFit="1" customWidth="1"/>
    <col min="15768" max="15768" width="10.140625" bestFit="1" customWidth="1"/>
    <col min="15769" max="15769" width="11.5703125" bestFit="1" customWidth="1"/>
    <col min="15770" max="15770" width="16.140625" customWidth="1"/>
    <col min="15771" max="15771" width="13.42578125" customWidth="1"/>
    <col min="15772" max="15772" width="10.140625" bestFit="1" customWidth="1"/>
    <col min="15773" max="15773" width="12.85546875" bestFit="1" customWidth="1"/>
    <col min="15774" max="15774" width="12.28515625" bestFit="1" customWidth="1"/>
    <col min="15775" max="15775" width="11.28515625" bestFit="1" customWidth="1"/>
    <col min="15776" max="15776" width="11.5703125" bestFit="1" customWidth="1"/>
    <col min="15777" max="15777" width="10.85546875" bestFit="1" customWidth="1"/>
    <col min="15778" max="15778" width="11.28515625" bestFit="1" customWidth="1"/>
    <col min="15779" max="15779" width="10.140625" bestFit="1" customWidth="1"/>
    <col min="15780" max="15780" width="13.28515625" bestFit="1" customWidth="1"/>
    <col min="15781" max="15782" width="12.7109375" bestFit="1" customWidth="1"/>
    <col min="15783" max="15783" width="11" bestFit="1" customWidth="1"/>
    <col min="15784" max="15784" width="11.28515625" bestFit="1" customWidth="1"/>
    <col min="15785" max="15785" width="11.5703125" bestFit="1" customWidth="1"/>
    <col min="15786" max="15786" width="12.28515625" bestFit="1" customWidth="1"/>
    <col min="15787" max="15787" width="15.140625" bestFit="1" customWidth="1"/>
    <col min="15788" max="15788" width="14.42578125" bestFit="1" customWidth="1"/>
    <col min="15789" max="15789" width="12.28515625" bestFit="1" customWidth="1"/>
    <col min="15790" max="15790" width="15.140625" bestFit="1" customWidth="1"/>
    <col min="15791" max="15791" width="14.42578125" bestFit="1" customWidth="1"/>
    <col min="15792" max="15792" width="12.28515625" bestFit="1" customWidth="1"/>
    <col min="15793" max="15793" width="14.42578125" bestFit="1" customWidth="1"/>
    <col min="15794" max="15794" width="11.28515625" bestFit="1" customWidth="1"/>
    <col min="15795" max="15795" width="12.28515625" bestFit="1" customWidth="1"/>
    <col min="15796" max="15796" width="13" bestFit="1" customWidth="1"/>
    <col min="15797" max="15797" width="15.140625" bestFit="1" customWidth="1"/>
    <col min="15798" max="15798" width="12.28515625" bestFit="1" customWidth="1"/>
    <col min="15799" max="15799" width="13.85546875" bestFit="1" customWidth="1"/>
    <col min="15800" max="15800" width="11.28515625" bestFit="1" customWidth="1"/>
    <col min="15801" max="15801" width="12.28515625" bestFit="1" customWidth="1"/>
    <col min="15802" max="15802" width="13.85546875" bestFit="1" customWidth="1"/>
    <col min="15803" max="15804" width="15.140625" bestFit="1" customWidth="1"/>
    <col min="15805" max="15805" width="12.28515625" bestFit="1" customWidth="1"/>
    <col min="15806" max="15806" width="5.7109375" bestFit="1" customWidth="1"/>
    <col min="15807" max="15807" width="8.5703125" bestFit="1" customWidth="1"/>
    <col min="15808" max="15808" width="5.5703125" bestFit="1" customWidth="1"/>
    <col min="15809" max="15809" width="14.42578125" bestFit="1" customWidth="1"/>
    <col min="15810" max="15810" width="11.28515625" bestFit="1" customWidth="1"/>
    <col min="15811" max="15812" width="12.28515625" bestFit="1" customWidth="1"/>
    <col min="15813" max="15813" width="11.28515625" bestFit="1" customWidth="1"/>
    <col min="15814" max="15814" width="13.85546875" bestFit="1" customWidth="1"/>
    <col min="15815" max="15815" width="12" bestFit="1" customWidth="1"/>
    <col min="15816" max="15816" width="13.85546875" bestFit="1" customWidth="1"/>
    <col min="15817" max="15818" width="14.42578125" customWidth="1"/>
    <col min="15819" max="15819" width="10.140625" bestFit="1" customWidth="1"/>
    <col min="15820" max="15820" width="12.28515625" bestFit="1" customWidth="1"/>
    <col min="15821" max="15821" width="7.42578125" bestFit="1" customWidth="1"/>
    <col min="15822" max="15822" width="8.5703125" bestFit="1" customWidth="1"/>
    <col min="15823" max="15823" width="11.5703125" bestFit="1" customWidth="1"/>
    <col min="15824" max="15824" width="13.28515625" bestFit="1" customWidth="1"/>
    <col min="15825" max="15825" width="13.28515625" customWidth="1"/>
    <col min="15826" max="15826" width="13.140625" customWidth="1"/>
    <col min="15827" max="15827" width="12.7109375" bestFit="1" customWidth="1"/>
    <col min="15828" max="15828" width="13.28515625" bestFit="1" customWidth="1"/>
    <col min="15829" max="15831" width="13.28515625" customWidth="1"/>
    <col min="15832" max="15832" width="12.140625" bestFit="1" customWidth="1"/>
    <col min="15833" max="15833" width="12.7109375" bestFit="1" customWidth="1"/>
    <col min="15834" max="15834" width="11" customWidth="1"/>
    <col min="15835" max="15835" width="16.7109375" customWidth="1"/>
    <col min="15836" max="15836" width="17" customWidth="1"/>
    <col min="15837" max="15837" width="10.42578125" bestFit="1" customWidth="1"/>
    <col min="15881" max="15881" width="3.85546875" customWidth="1"/>
    <col min="15882" max="15882" width="15.28515625" bestFit="1" customWidth="1"/>
    <col min="15883" max="15883" width="12.28515625" customWidth="1"/>
    <col min="15884" max="15884" width="16.28515625" bestFit="1" customWidth="1"/>
    <col min="15885" max="15885" width="6.42578125" bestFit="1" customWidth="1"/>
    <col min="15886" max="15886" width="9.28515625" bestFit="1" customWidth="1"/>
    <col min="15887" max="15887" width="7.5703125" bestFit="1" customWidth="1"/>
    <col min="15888" max="15888" width="13.28515625" bestFit="1" customWidth="1"/>
    <col min="15889" max="15889" width="9.28515625" bestFit="1" customWidth="1"/>
    <col min="15890" max="15890" width="11.5703125" bestFit="1" customWidth="1"/>
    <col min="15891" max="15891" width="13.28515625" bestFit="1" customWidth="1"/>
    <col min="15892" max="15892" width="7.140625" bestFit="1" customWidth="1"/>
    <col min="15893" max="15893" width="12" bestFit="1" customWidth="1"/>
    <col min="15894" max="15894" width="13.28515625" bestFit="1" customWidth="1"/>
    <col min="15895" max="15895" width="7" bestFit="1" customWidth="1"/>
    <col min="15896" max="15896" width="12.7109375" bestFit="1" customWidth="1"/>
    <col min="15897" max="15897" width="11.5703125" bestFit="1" customWidth="1"/>
    <col min="15898" max="15898" width="10.5703125" bestFit="1" customWidth="1"/>
    <col min="15899" max="15900" width="15.7109375" bestFit="1" customWidth="1"/>
    <col min="15901" max="15901" width="11.5703125" bestFit="1" customWidth="1"/>
    <col min="15902" max="15902" width="7.7109375" bestFit="1" customWidth="1"/>
    <col min="15903" max="15903" width="15.140625" bestFit="1" customWidth="1"/>
    <col min="15904" max="15904" width="11.5703125" bestFit="1" customWidth="1"/>
    <col min="15905" max="15905" width="13.28515625" bestFit="1" customWidth="1"/>
    <col min="15906" max="15906" width="10.42578125" bestFit="1" customWidth="1"/>
    <col min="15907" max="15907" width="13.28515625" bestFit="1" customWidth="1"/>
    <col min="15908" max="15908" width="12.140625" bestFit="1" customWidth="1"/>
    <col min="15909" max="15909" width="14.42578125" bestFit="1" customWidth="1"/>
    <col min="15910" max="15910" width="13.28515625" bestFit="1" customWidth="1"/>
    <col min="15911" max="15911" width="11.5703125" bestFit="1" customWidth="1"/>
    <col min="15912" max="15912" width="7.7109375" bestFit="1" customWidth="1"/>
    <col min="15913" max="15914" width="14.42578125" bestFit="1" customWidth="1"/>
    <col min="15915" max="15915" width="11.5703125" bestFit="1" customWidth="1"/>
    <col min="15916" max="15916" width="7.7109375" bestFit="1" customWidth="1"/>
    <col min="15917" max="15917" width="13.5703125" customWidth="1"/>
    <col min="15918" max="15918" width="15.28515625" customWidth="1"/>
    <col min="15919" max="15919" width="14.5703125" customWidth="1"/>
    <col min="15920" max="15920" width="13.28515625" bestFit="1" customWidth="1"/>
    <col min="15921" max="15921" width="7.7109375" bestFit="1" customWidth="1"/>
    <col min="15922" max="15922" width="12.7109375" bestFit="1" customWidth="1"/>
    <col min="15923" max="15923" width="11.7109375" bestFit="1" customWidth="1"/>
    <col min="15924" max="15924" width="11.5703125" bestFit="1" customWidth="1"/>
    <col min="15925" max="15925" width="5.28515625" bestFit="1" customWidth="1"/>
    <col min="15926" max="15926" width="13.28515625" bestFit="1" customWidth="1"/>
    <col min="15927" max="15927" width="13.5703125" bestFit="1" customWidth="1"/>
    <col min="15928" max="15928" width="10.5703125" bestFit="1" customWidth="1"/>
    <col min="15929" max="15929" width="13.28515625" bestFit="1" customWidth="1"/>
    <col min="15930" max="15930" width="11.5703125" bestFit="1" customWidth="1"/>
    <col min="15931" max="15931" width="10.5703125" bestFit="1" customWidth="1"/>
    <col min="15932" max="15932" width="16.140625" bestFit="1" customWidth="1"/>
    <col min="15933" max="15934" width="11.28515625" bestFit="1" customWidth="1"/>
    <col min="15935" max="15935" width="13.28515625" bestFit="1" customWidth="1"/>
    <col min="15936" max="15936" width="7.7109375" bestFit="1" customWidth="1"/>
    <col min="15937" max="15940" width="9.140625" hidden="1" customWidth="1"/>
    <col min="15941" max="15941" width="10.42578125" bestFit="1" customWidth="1"/>
    <col min="15942" max="15942" width="10.5703125" bestFit="1" customWidth="1"/>
    <col min="15943" max="15943" width="10.42578125" bestFit="1" customWidth="1"/>
    <col min="15944" max="15944" width="10.5703125" bestFit="1" customWidth="1"/>
    <col min="15945" max="15945" width="9.5703125" bestFit="1" customWidth="1"/>
    <col min="15946" max="15946" width="11.5703125" bestFit="1" customWidth="1"/>
    <col min="15947" max="15947" width="10.42578125" bestFit="1" customWidth="1"/>
    <col min="15948" max="15948" width="10.85546875" customWidth="1"/>
    <col min="15949" max="15950" width="9.85546875" bestFit="1" customWidth="1"/>
    <col min="15951" max="15951" width="13.5703125" bestFit="1" customWidth="1"/>
    <col min="15952" max="15952" width="7.7109375" bestFit="1" customWidth="1"/>
    <col min="15953" max="15953" width="13.28515625" bestFit="1" customWidth="1"/>
    <col min="15954" max="15954" width="11.5703125" bestFit="1" customWidth="1"/>
    <col min="15955" max="15955" width="10.42578125" bestFit="1" customWidth="1"/>
    <col min="15956" max="15956" width="7.7109375" bestFit="1" customWidth="1"/>
    <col min="15957" max="15957" width="11.5703125" bestFit="1" customWidth="1"/>
    <col min="15958" max="15958" width="10.85546875" bestFit="1" customWidth="1"/>
    <col min="15959" max="15959" width="13.28515625" bestFit="1" customWidth="1"/>
    <col min="15960" max="15960" width="10.85546875" bestFit="1" customWidth="1"/>
    <col min="15961" max="15962" width="7.5703125" bestFit="1" customWidth="1"/>
    <col min="15963" max="15964" width="10.42578125" bestFit="1" customWidth="1"/>
    <col min="15965" max="15965" width="11.5703125" bestFit="1" customWidth="1"/>
    <col min="15966" max="15966" width="5.28515625" bestFit="1" customWidth="1"/>
    <col min="15967" max="15967" width="10.28515625" bestFit="1" customWidth="1"/>
    <col min="15968" max="15968" width="10.42578125" bestFit="1" customWidth="1"/>
    <col min="15969" max="15969" width="11.5703125" bestFit="1" customWidth="1"/>
    <col min="15970" max="15970" width="5.28515625" bestFit="1" customWidth="1"/>
    <col min="15971" max="15973" width="11.5703125" bestFit="1" customWidth="1"/>
    <col min="15974" max="15974" width="5.28515625" bestFit="1" customWidth="1"/>
    <col min="15975" max="15976" width="10.42578125" bestFit="1" customWidth="1"/>
    <col min="15977" max="15977" width="11.5703125" bestFit="1" customWidth="1"/>
    <col min="15978" max="15978" width="5.28515625" bestFit="1" customWidth="1"/>
    <col min="15979" max="15979" width="14.28515625" bestFit="1" customWidth="1"/>
    <col min="15980" max="15980" width="13" bestFit="1" customWidth="1"/>
    <col min="15981" max="15981" width="11.5703125" bestFit="1" customWidth="1"/>
    <col min="15982" max="15982" width="8.85546875" bestFit="1" customWidth="1"/>
    <col min="15983" max="15983" width="14.42578125" bestFit="1" customWidth="1"/>
    <col min="15984" max="15984" width="10.42578125" bestFit="1" customWidth="1"/>
    <col min="15985" max="15985" width="12.28515625" bestFit="1" customWidth="1"/>
    <col min="15986" max="15986" width="13.85546875" bestFit="1" customWidth="1"/>
    <col min="15987" max="15987" width="11.28515625" customWidth="1"/>
    <col min="15988" max="15988" width="11.5703125" customWidth="1"/>
    <col min="15989" max="15989" width="13.42578125" bestFit="1" customWidth="1"/>
    <col min="15990" max="15990" width="10.42578125" customWidth="1"/>
    <col min="15991" max="15991" width="13.85546875" bestFit="1" customWidth="1"/>
    <col min="15992" max="15992" width="15.42578125" bestFit="1" customWidth="1"/>
    <col min="15993" max="15993" width="12.28515625" bestFit="1" customWidth="1"/>
    <col min="15994" max="15994" width="12.7109375" customWidth="1"/>
    <col min="15995" max="15995" width="10.7109375" bestFit="1" customWidth="1"/>
    <col min="15996" max="15996" width="9.85546875" customWidth="1"/>
    <col min="15997" max="15998" width="10.140625" bestFit="1" customWidth="1"/>
    <col min="15999" max="15999" width="7.5703125" bestFit="1" customWidth="1"/>
    <col min="16000" max="16000" width="9.42578125" bestFit="1" customWidth="1"/>
    <col min="16001" max="16001" width="14.5703125" bestFit="1" customWidth="1"/>
    <col min="16002" max="16002" width="14.85546875" customWidth="1"/>
    <col min="16003" max="16003" width="15.140625" bestFit="1" customWidth="1"/>
    <col min="16004" max="16004" width="12.140625" bestFit="1" customWidth="1"/>
    <col min="16005" max="16005" width="14.85546875" bestFit="1" customWidth="1"/>
    <col min="16006" max="16006" width="12.28515625" bestFit="1" customWidth="1"/>
    <col min="16007" max="16015" width="9.140625" hidden="1" customWidth="1"/>
    <col min="16016" max="16016" width="5.28515625" bestFit="1" customWidth="1"/>
    <col min="16017" max="16022" width="11.5703125" bestFit="1" customWidth="1"/>
    <col min="16023" max="16023" width="11.28515625" bestFit="1" customWidth="1"/>
    <col min="16024" max="16024" width="10.140625" bestFit="1" customWidth="1"/>
    <col min="16025" max="16025" width="11.5703125" bestFit="1" customWidth="1"/>
    <col min="16026" max="16026" width="16.140625" customWidth="1"/>
    <col min="16027" max="16027" width="13.42578125" customWidth="1"/>
    <col min="16028" max="16028" width="10.140625" bestFit="1" customWidth="1"/>
    <col min="16029" max="16029" width="12.85546875" bestFit="1" customWidth="1"/>
    <col min="16030" max="16030" width="12.28515625" bestFit="1" customWidth="1"/>
    <col min="16031" max="16031" width="11.28515625" bestFit="1" customWidth="1"/>
    <col min="16032" max="16032" width="11.5703125" bestFit="1" customWidth="1"/>
    <col min="16033" max="16033" width="10.85546875" bestFit="1" customWidth="1"/>
    <col min="16034" max="16034" width="11.28515625" bestFit="1" customWidth="1"/>
    <col min="16035" max="16035" width="10.140625" bestFit="1" customWidth="1"/>
    <col min="16036" max="16036" width="13.28515625" bestFit="1" customWidth="1"/>
    <col min="16037" max="16038" width="12.7109375" bestFit="1" customWidth="1"/>
    <col min="16039" max="16039" width="11" bestFit="1" customWidth="1"/>
    <col min="16040" max="16040" width="11.28515625" bestFit="1" customWidth="1"/>
    <col min="16041" max="16041" width="11.5703125" bestFit="1" customWidth="1"/>
    <col min="16042" max="16042" width="12.28515625" bestFit="1" customWidth="1"/>
    <col min="16043" max="16043" width="15.140625" bestFit="1" customWidth="1"/>
    <col min="16044" max="16044" width="14.42578125" bestFit="1" customWidth="1"/>
    <col min="16045" max="16045" width="12.28515625" bestFit="1" customWidth="1"/>
    <col min="16046" max="16046" width="15.140625" bestFit="1" customWidth="1"/>
    <col min="16047" max="16047" width="14.42578125" bestFit="1" customWidth="1"/>
    <col min="16048" max="16048" width="12.28515625" bestFit="1" customWidth="1"/>
    <col min="16049" max="16049" width="14.42578125" bestFit="1" customWidth="1"/>
    <col min="16050" max="16050" width="11.28515625" bestFit="1" customWidth="1"/>
    <col min="16051" max="16051" width="12.28515625" bestFit="1" customWidth="1"/>
    <col min="16052" max="16052" width="13" bestFit="1" customWidth="1"/>
    <col min="16053" max="16053" width="15.140625" bestFit="1" customWidth="1"/>
    <col min="16054" max="16054" width="12.28515625" bestFit="1" customWidth="1"/>
    <col min="16055" max="16055" width="13.85546875" bestFit="1" customWidth="1"/>
    <col min="16056" max="16056" width="11.28515625" bestFit="1" customWidth="1"/>
    <col min="16057" max="16057" width="12.28515625" bestFit="1" customWidth="1"/>
    <col min="16058" max="16058" width="13.85546875" bestFit="1" customWidth="1"/>
    <col min="16059" max="16060" width="15.140625" bestFit="1" customWidth="1"/>
    <col min="16061" max="16061" width="12.28515625" bestFit="1" customWidth="1"/>
    <col min="16062" max="16062" width="5.7109375" bestFit="1" customWidth="1"/>
    <col min="16063" max="16063" width="8.5703125" bestFit="1" customWidth="1"/>
    <col min="16064" max="16064" width="5.5703125" bestFit="1" customWidth="1"/>
    <col min="16065" max="16065" width="14.42578125" bestFit="1" customWidth="1"/>
    <col min="16066" max="16066" width="11.28515625" bestFit="1" customWidth="1"/>
    <col min="16067" max="16068" width="12.28515625" bestFit="1" customWidth="1"/>
    <col min="16069" max="16069" width="11.28515625" bestFit="1" customWidth="1"/>
    <col min="16070" max="16070" width="13.85546875" bestFit="1" customWidth="1"/>
    <col min="16071" max="16071" width="12" bestFit="1" customWidth="1"/>
    <col min="16072" max="16072" width="13.85546875" bestFit="1" customWidth="1"/>
    <col min="16073" max="16074" width="14.42578125" customWidth="1"/>
    <col min="16075" max="16075" width="10.140625" bestFit="1" customWidth="1"/>
    <col min="16076" max="16076" width="12.28515625" bestFit="1" customWidth="1"/>
    <col min="16077" max="16077" width="7.42578125" bestFit="1" customWidth="1"/>
    <col min="16078" max="16078" width="8.5703125" bestFit="1" customWidth="1"/>
    <col min="16079" max="16079" width="11.5703125" bestFit="1" customWidth="1"/>
    <col min="16080" max="16080" width="13.28515625" bestFit="1" customWidth="1"/>
    <col min="16081" max="16081" width="13.28515625" customWidth="1"/>
    <col min="16082" max="16082" width="13.140625" customWidth="1"/>
    <col min="16083" max="16083" width="12.7109375" bestFit="1" customWidth="1"/>
    <col min="16084" max="16084" width="13.28515625" bestFit="1" customWidth="1"/>
    <col min="16085" max="16087" width="13.28515625" customWidth="1"/>
    <col min="16088" max="16088" width="12.140625" bestFit="1" customWidth="1"/>
    <col min="16089" max="16089" width="12.7109375" bestFit="1" customWidth="1"/>
    <col min="16090" max="16090" width="11" customWidth="1"/>
    <col min="16091" max="16091" width="16.7109375" customWidth="1"/>
    <col min="16092" max="16092" width="17" customWidth="1"/>
    <col min="16093" max="16093" width="10.42578125" bestFit="1" customWidth="1"/>
    <col min="16137" max="16137" width="3.85546875" customWidth="1"/>
    <col min="16138" max="16138" width="15.28515625" bestFit="1" customWidth="1"/>
    <col min="16139" max="16139" width="12.28515625" customWidth="1"/>
    <col min="16140" max="16140" width="16.28515625" bestFit="1" customWidth="1"/>
    <col min="16141" max="16141" width="6.42578125" bestFit="1" customWidth="1"/>
    <col min="16142" max="16142" width="9.28515625" bestFit="1" customWidth="1"/>
    <col min="16143" max="16143" width="7.5703125" bestFit="1" customWidth="1"/>
    <col min="16144" max="16144" width="13.28515625" bestFit="1" customWidth="1"/>
    <col min="16145" max="16145" width="9.28515625" bestFit="1" customWidth="1"/>
    <col min="16146" max="16146" width="11.5703125" bestFit="1" customWidth="1"/>
    <col min="16147" max="16147" width="13.28515625" bestFit="1" customWidth="1"/>
    <col min="16148" max="16148" width="7.140625" bestFit="1" customWidth="1"/>
    <col min="16149" max="16149" width="12" bestFit="1" customWidth="1"/>
    <col min="16150" max="16150" width="13.28515625" bestFit="1" customWidth="1"/>
    <col min="16151" max="16151" width="7" bestFit="1" customWidth="1"/>
    <col min="16152" max="16152" width="12.7109375" bestFit="1" customWidth="1"/>
    <col min="16153" max="16153" width="11.5703125" bestFit="1" customWidth="1"/>
    <col min="16154" max="16154" width="10.5703125" bestFit="1" customWidth="1"/>
    <col min="16155" max="16156" width="15.7109375" bestFit="1" customWidth="1"/>
    <col min="16157" max="16157" width="11.5703125" bestFit="1" customWidth="1"/>
    <col min="16158" max="16158" width="7.7109375" bestFit="1" customWidth="1"/>
    <col min="16159" max="16159" width="15.140625" bestFit="1" customWidth="1"/>
    <col min="16160" max="16160" width="11.5703125" bestFit="1" customWidth="1"/>
    <col min="16161" max="16161" width="13.28515625" bestFit="1" customWidth="1"/>
    <col min="16162" max="16162" width="10.42578125" bestFit="1" customWidth="1"/>
    <col min="16163" max="16163" width="13.28515625" bestFit="1" customWidth="1"/>
    <col min="16164" max="16164" width="12.140625" bestFit="1" customWidth="1"/>
    <col min="16165" max="16165" width="14.42578125" bestFit="1" customWidth="1"/>
    <col min="16166" max="16166" width="13.28515625" bestFit="1" customWidth="1"/>
    <col min="16167" max="16167" width="11.5703125" bestFit="1" customWidth="1"/>
    <col min="16168" max="16168" width="7.7109375" bestFit="1" customWidth="1"/>
    <col min="16169" max="16170" width="14.42578125" bestFit="1" customWidth="1"/>
    <col min="16171" max="16171" width="11.5703125" bestFit="1" customWidth="1"/>
    <col min="16172" max="16172" width="7.7109375" bestFit="1" customWidth="1"/>
    <col min="16173" max="16173" width="13.5703125" customWidth="1"/>
    <col min="16174" max="16174" width="15.28515625" customWidth="1"/>
    <col min="16175" max="16175" width="14.5703125" customWidth="1"/>
    <col min="16176" max="16176" width="13.28515625" bestFit="1" customWidth="1"/>
    <col min="16177" max="16177" width="7.7109375" bestFit="1" customWidth="1"/>
    <col min="16178" max="16178" width="12.7109375" bestFit="1" customWidth="1"/>
    <col min="16179" max="16179" width="11.7109375" bestFit="1" customWidth="1"/>
    <col min="16180" max="16180" width="11.5703125" bestFit="1" customWidth="1"/>
    <col min="16181" max="16181" width="5.28515625" bestFit="1" customWidth="1"/>
    <col min="16182" max="16182" width="13.28515625" bestFit="1" customWidth="1"/>
    <col min="16183" max="16183" width="13.5703125" bestFit="1" customWidth="1"/>
    <col min="16184" max="16184" width="10.5703125" bestFit="1" customWidth="1"/>
    <col min="16185" max="16185" width="13.28515625" bestFit="1" customWidth="1"/>
    <col min="16186" max="16186" width="11.5703125" bestFit="1" customWidth="1"/>
    <col min="16187" max="16187" width="10.5703125" bestFit="1" customWidth="1"/>
    <col min="16188" max="16188" width="16.140625" bestFit="1" customWidth="1"/>
    <col min="16189" max="16190" width="11.28515625" bestFit="1" customWidth="1"/>
    <col min="16191" max="16191" width="13.28515625" bestFit="1" customWidth="1"/>
    <col min="16192" max="16192" width="7.7109375" bestFit="1" customWidth="1"/>
    <col min="16193" max="16196" width="9.140625" hidden="1" customWidth="1"/>
    <col min="16197" max="16197" width="10.42578125" bestFit="1" customWidth="1"/>
    <col min="16198" max="16198" width="10.5703125" bestFit="1" customWidth="1"/>
    <col min="16199" max="16199" width="10.42578125" bestFit="1" customWidth="1"/>
    <col min="16200" max="16200" width="10.5703125" bestFit="1" customWidth="1"/>
    <col min="16201" max="16201" width="9.5703125" bestFit="1" customWidth="1"/>
    <col min="16202" max="16202" width="11.5703125" bestFit="1" customWidth="1"/>
    <col min="16203" max="16203" width="10.42578125" bestFit="1" customWidth="1"/>
    <col min="16204" max="16204" width="10.85546875" customWidth="1"/>
    <col min="16205" max="16206" width="9.85546875" bestFit="1" customWidth="1"/>
    <col min="16207" max="16207" width="13.5703125" bestFit="1" customWidth="1"/>
    <col min="16208" max="16208" width="7.7109375" bestFit="1" customWidth="1"/>
    <col min="16209" max="16209" width="13.28515625" bestFit="1" customWidth="1"/>
    <col min="16210" max="16210" width="11.5703125" bestFit="1" customWidth="1"/>
    <col min="16211" max="16211" width="10.42578125" bestFit="1" customWidth="1"/>
    <col min="16212" max="16212" width="7.7109375" bestFit="1" customWidth="1"/>
    <col min="16213" max="16213" width="11.5703125" bestFit="1" customWidth="1"/>
    <col min="16214" max="16214" width="10.85546875" bestFit="1" customWidth="1"/>
    <col min="16215" max="16215" width="13.28515625" bestFit="1" customWidth="1"/>
    <col min="16216" max="16216" width="10.85546875" bestFit="1" customWidth="1"/>
    <col min="16217" max="16218" width="7.5703125" bestFit="1" customWidth="1"/>
    <col min="16219" max="16220" width="10.42578125" bestFit="1" customWidth="1"/>
    <col min="16221" max="16221" width="11.5703125" bestFit="1" customWidth="1"/>
    <col min="16222" max="16222" width="5.28515625" bestFit="1" customWidth="1"/>
    <col min="16223" max="16223" width="10.28515625" bestFit="1" customWidth="1"/>
    <col min="16224" max="16224" width="10.42578125" bestFit="1" customWidth="1"/>
    <col min="16225" max="16225" width="11.5703125" bestFit="1" customWidth="1"/>
    <col min="16226" max="16226" width="5.28515625" bestFit="1" customWidth="1"/>
    <col min="16227" max="16229" width="11.5703125" bestFit="1" customWidth="1"/>
    <col min="16230" max="16230" width="5.28515625" bestFit="1" customWidth="1"/>
    <col min="16231" max="16232" width="10.42578125" bestFit="1" customWidth="1"/>
    <col min="16233" max="16233" width="11.5703125" bestFit="1" customWidth="1"/>
    <col min="16234" max="16234" width="5.28515625" bestFit="1" customWidth="1"/>
    <col min="16235" max="16235" width="14.28515625" bestFit="1" customWidth="1"/>
    <col min="16236" max="16236" width="13" bestFit="1" customWidth="1"/>
    <col min="16237" max="16237" width="11.5703125" bestFit="1" customWidth="1"/>
    <col min="16238" max="16238" width="8.85546875" bestFit="1" customWidth="1"/>
    <col min="16239" max="16239" width="14.42578125" bestFit="1" customWidth="1"/>
    <col min="16240" max="16240" width="10.42578125" bestFit="1" customWidth="1"/>
    <col min="16241" max="16241" width="12.28515625" bestFit="1" customWidth="1"/>
    <col min="16242" max="16242" width="13.85546875" bestFit="1" customWidth="1"/>
    <col min="16243" max="16243" width="11.28515625" customWidth="1"/>
    <col min="16244" max="16244" width="11.5703125" customWidth="1"/>
    <col min="16245" max="16245" width="13.42578125" bestFit="1" customWidth="1"/>
    <col min="16246" max="16246" width="10.42578125" customWidth="1"/>
    <col min="16247" max="16247" width="13.85546875" bestFit="1" customWidth="1"/>
    <col min="16248" max="16248" width="15.42578125" bestFit="1" customWidth="1"/>
    <col min="16249" max="16249" width="12.28515625" bestFit="1" customWidth="1"/>
    <col min="16250" max="16250" width="12.7109375" customWidth="1"/>
    <col min="16251" max="16251" width="10.7109375" bestFit="1" customWidth="1"/>
    <col min="16252" max="16252" width="9.85546875" customWidth="1"/>
    <col min="16253" max="16254" width="10.140625" bestFit="1" customWidth="1"/>
    <col min="16255" max="16255" width="7.5703125" bestFit="1" customWidth="1"/>
    <col min="16256" max="16256" width="9.42578125" bestFit="1" customWidth="1"/>
    <col min="16257" max="16257" width="14.5703125" bestFit="1" customWidth="1"/>
    <col min="16258" max="16258" width="14.85546875" customWidth="1"/>
    <col min="16259" max="16259" width="15.140625" bestFit="1" customWidth="1"/>
    <col min="16260" max="16260" width="12.140625" bestFit="1" customWidth="1"/>
    <col min="16261" max="16261" width="14.85546875" bestFit="1" customWidth="1"/>
    <col min="16262" max="16262" width="12.28515625" bestFit="1" customWidth="1"/>
    <col min="16263" max="16271" width="9.140625" hidden="1" customWidth="1"/>
    <col min="16272" max="16272" width="5.28515625" bestFit="1" customWidth="1"/>
    <col min="16273" max="16278" width="11.5703125" bestFit="1" customWidth="1"/>
    <col min="16279" max="16279" width="11.28515625" bestFit="1" customWidth="1"/>
    <col min="16280" max="16280" width="10.140625" bestFit="1" customWidth="1"/>
    <col min="16281" max="16281" width="11.5703125" bestFit="1" customWidth="1"/>
    <col min="16282" max="16282" width="16.140625" customWidth="1"/>
    <col min="16283" max="16283" width="13.42578125" customWidth="1"/>
    <col min="16284" max="16284" width="10.140625" bestFit="1" customWidth="1"/>
    <col min="16285" max="16285" width="12.85546875" bestFit="1" customWidth="1"/>
    <col min="16286" max="16286" width="12.28515625" bestFit="1" customWidth="1"/>
    <col min="16287" max="16287" width="11.28515625" bestFit="1" customWidth="1"/>
    <col min="16288" max="16288" width="11.5703125" bestFit="1" customWidth="1"/>
    <col min="16289" max="16289" width="10.85546875" bestFit="1" customWidth="1"/>
    <col min="16290" max="16290" width="11.28515625" bestFit="1" customWidth="1"/>
    <col min="16291" max="16291" width="10.140625" bestFit="1" customWidth="1"/>
    <col min="16292" max="16292" width="13.28515625" bestFit="1" customWidth="1"/>
    <col min="16293" max="16294" width="12.7109375" bestFit="1" customWidth="1"/>
    <col min="16295" max="16295" width="11" bestFit="1" customWidth="1"/>
    <col min="16296" max="16296" width="11.28515625" bestFit="1" customWidth="1"/>
    <col min="16297" max="16297" width="11.5703125" bestFit="1" customWidth="1"/>
    <col min="16298" max="16298" width="12.28515625" bestFit="1" customWidth="1"/>
    <col min="16299" max="16299" width="15.140625" bestFit="1" customWidth="1"/>
    <col min="16300" max="16300" width="14.42578125" bestFit="1" customWidth="1"/>
    <col min="16301" max="16301" width="12.28515625" bestFit="1" customWidth="1"/>
    <col min="16302" max="16302" width="15.140625" bestFit="1" customWidth="1"/>
    <col min="16303" max="16303" width="14.42578125" bestFit="1" customWidth="1"/>
    <col min="16304" max="16304" width="12.28515625" bestFit="1" customWidth="1"/>
    <col min="16305" max="16305" width="14.42578125" bestFit="1" customWidth="1"/>
    <col min="16306" max="16306" width="11.28515625" bestFit="1" customWidth="1"/>
    <col min="16307" max="16307" width="12.28515625" bestFit="1" customWidth="1"/>
    <col min="16308" max="16308" width="13" bestFit="1" customWidth="1"/>
    <col min="16309" max="16309" width="15.140625" bestFit="1" customWidth="1"/>
    <col min="16310" max="16310" width="12.28515625" bestFit="1" customWidth="1"/>
    <col min="16311" max="16311" width="13.85546875" bestFit="1" customWidth="1"/>
    <col min="16312" max="16312" width="11.28515625" bestFit="1" customWidth="1"/>
    <col min="16313" max="16313" width="12.28515625" bestFit="1" customWidth="1"/>
    <col min="16314" max="16314" width="13.85546875" bestFit="1" customWidth="1"/>
    <col min="16315" max="16316" width="15.140625" bestFit="1" customWidth="1"/>
    <col min="16317" max="16317" width="12.28515625" bestFit="1" customWidth="1"/>
    <col min="16318" max="16318" width="5.7109375" bestFit="1" customWidth="1"/>
    <col min="16319" max="16319" width="8.5703125" bestFit="1" customWidth="1"/>
    <col min="16320" max="16320" width="5.5703125" bestFit="1" customWidth="1"/>
    <col min="16321" max="16321" width="14.42578125" bestFit="1" customWidth="1"/>
    <col min="16322" max="16322" width="11.28515625" bestFit="1" customWidth="1"/>
    <col min="16323" max="16324" width="12.28515625" bestFit="1" customWidth="1"/>
    <col min="16325" max="16325" width="11.28515625" bestFit="1" customWidth="1"/>
    <col min="16326" max="16326" width="13.85546875" bestFit="1" customWidth="1"/>
    <col min="16327" max="16327" width="12" bestFit="1" customWidth="1"/>
    <col min="16328" max="16328" width="13.85546875" bestFit="1" customWidth="1"/>
    <col min="16329" max="16330" width="14.42578125" customWidth="1"/>
    <col min="16331" max="16331" width="10.140625" bestFit="1" customWidth="1"/>
    <col min="16332" max="16332" width="12.28515625" bestFit="1" customWidth="1"/>
    <col min="16333" max="16333" width="7.42578125" bestFit="1" customWidth="1"/>
    <col min="16334" max="16334" width="8.5703125" bestFit="1" customWidth="1"/>
    <col min="16335" max="16335" width="11.5703125" bestFit="1" customWidth="1"/>
    <col min="16336" max="16336" width="13.28515625" bestFit="1" customWidth="1"/>
    <col min="16337" max="16337" width="13.28515625" customWidth="1"/>
    <col min="16338" max="16338" width="13.140625" customWidth="1"/>
    <col min="16339" max="16339" width="12.7109375" bestFit="1" customWidth="1"/>
    <col min="16340" max="16340" width="13.28515625" bestFit="1" customWidth="1"/>
    <col min="16341" max="16343" width="13.28515625" customWidth="1"/>
    <col min="16344" max="16344" width="12.140625" bestFit="1" customWidth="1"/>
    <col min="16345" max="16345" width="12.7109375" bestFit="1" customWidth="1"/>
    <col min="16346" max="16346" width="11" customWidth="1"/>
    <col min="16347" max="16347" width="16.7109375" customWidth="1"/>
    <col min="16348" max="16348" width="17" customWidth="1"/>
    <col min="16349" max="16349" width="10.42578125" bestFit="1" customWidth="1"/>
  </cols>
  <sheetData>
    <row r="1" spans="1:293" x14ac:dyDescent="0.25">
      <c r="A1" s="1" t="s">
        <v>0</v>
      </c>
      <c r="F1" s="349" t="s">
        <v>425</v>
      </c>
      <c r="H1" s="350" t="s">
        <v>422</v>
      </c>
      <c r="BH1" s="368" t="s">
        <v>418</v>
      </c>
      <c r="CE1" s="2"/>
      <c r="DW1" s="267" t="s">
        <v>429</v>
      </c>
      <c r="ED1" s="3"/>
      <c r="EE1" s="3"/>
      <c r="EN1" s="368" t="s">
        <v>419</v>
      </c>
      <c r="EP1" s="2"/>
      <c r="FD1" s="2"/>
      <c r="GT1" s="534" t="s">
        <v>398</v>
      </c>
      <c r="HF1" s="534" t="s">
        <v>397</v>
      </c>
      <c r="KF1" s="259"/>
    </row>
    <row r="2" spans="1:293" x14ac:dyDescent="0.25">
      <c r="A2" s="1" t="s">
        <v>184</v>
      </c>
      <c r="BH2" s="267" t="s">
        <v>15</v>
      </c>
      <c r="ED2" s="3"/>
      <c r="EN2" s="267" t="s">
        <v>433</v>
      </c>
      <c r="EP2" s="2"/>
      <c r="FF2" s="273" t="s">
        <v>426</v>
      </c>
      <c r="GA2" t="s">
        <v>211</v>
      </c>
      <c r="GP2" s="447" t="s">
        <v>210</v>
      </c>
      <c r="GQ2" s="447"/>
      <c r="GT2" s="534"/>
      <c r="HF2" s="534"/>
      <c r="ID2" s="282" t="s">
        <v>430</v>
      </c>
      <c r="KF2" s="259"/>
    </row>
    <row r="3" spans="1:293" x14ac:dyDescent="0.25">
      <c r="A3" s="448" t="s">
        <v>1</v>
      </c>
      <c r="B3" s="449" t="s">
        <v>2</v>
      </c>
      <c r="C3" s="449"/>
      <c r="D3" s="449"/>
      <c r="E3" s="449"/>
      <c r="F3" s="449"/>
      <c r="G3" s="449"/>
      <c r="H3" s="420" t="s">
        <v>3</v>
      </c>
      <c r="I3" s="420"/>
      <c r="J3" s="420"/>
      <c r="K3" s="420"/>
      <c r="L3" s="420"/>
      <c r="M3" s="420"/>
      <c r="N3" s="420"/>
      <c r="O3" s="420" t="s">
        <v>4</v>
      </c>
      <c r="P3" s="420"/>
      <c r="Q3" s="420"/>
      <c r="R3" s="420"/>
      <c r="S3" s="420"/>
      <c r="T3" s="420"/>
      <c r="U3" s="420"/>
      <c r="V3" s="420"/>
      <c r="W3" s="420"/>
      <c r="X3" s="420"/>
      <c r="Y3" s="420"/>
      <c r="Z3" s="420"/>
      <c r="AA3" s="420"/>
      <c r="AB3" s="420"/>
      <c r="AC3" s="420"/>
      <c r="AD3" s="420"/>
      <c r="AE3" s="420"/>
      <c r="AF3" s="420"/>
      <c r="AG3" s="420"/>
      <c r="AH3" s="420"/>
      <c r="AI3" s="420"/>
      <c r="AJ3" s="420"/>
      <c r="AK3" s="420"/>
      <c r="AL3" s="420"/>
      <c r="AM3" s="420"/>
      <c r="AN3" s="420"/>
      <c r="AO3" s="420"/>
      <c r="AP3" s="420"/>
      <c r="AQ3" s="420"/>
      <c r="AR3" s="420"/>
      <c r="AS3" s="420"/>
      <c r="AT3" s="420"/>
      <c r="AU3" s="420"/>
      <c r="AV3" s="420"/>
      <c r="AW3" s="420"/>
      <c r="AX3" s="420"/>
      <c r="AY3" s="420"/>
      <c r="AZ3" s="420"/>
      <c r="BA3" s="420"/>
      <c r="BB3" s="420"/>
      <c r="BC3" s="420"/>
      <c r="BD3" s="420"/>
      <c r="BE3" s="433" t="s">
        <v>405</v>
      </c>
      <c r="BF3" s="445"/>
      <c r="BG3" s="434"/>
      <c r="BH3" s="403" t="s">
        <v>6</v>
      </c>
      <c r="BI3" s="417"/>
      <c r="BJ3" s="404"/>
      <c r="BK3" s="433" t="s">
        <v>7</v>
      </c>
      <c r="BL3" s="445"/>
      <c r="BM3" s="445"/>
      <c r="BN3" s="445"/>
      <c r="BO3" s="445"/>
      <c r="BP3" s="434"/>
      <c r="BQ3" s="420" t="s">
        <v>8</v>
      </c>
      <c r="BR3" s="420"/>
      <c r="BS3" s="450"/>
      <c r="BT3" s="451"/>
      <c r="BU3" s="420" t="s">
        <v>9</v>
      </c>
      <c r="BV3" s="420"/>
      <c r="BW3" s="420"/>
      <c r="BX3" s="420"/>
      <c r="BY3" s="420"/>
      <c r="BZ3" s="420"/>
      <c r="CA3" s="420"/>
      <c r="CB3" s="420"/>
      <c r="CC3" s="420"/>
      <c r="CD3" s="420"/>
      <c r="CE3" s="420"/>
      <c r="CF3" s="420"/>
      <c r="CG3" s="420"/>
      <c r="CH3" s="420"/>
      <c r="CI3" s="420"/>
      <c r="CJ3" s="420"/>
      <c r="CK3" s="420"/>
      <c r="CL3" s="420"/>
      <c r="CM3" s="420"/>
      <c r="CN3" s="420"/>
      <c r="CO3" s="420"/>
      <c r="CP3" s="420"/>
      <c r="CQ3" s="420"/>
      <c r="CR3" s="420"/>
      <c r="CS3" s="420"/>
      <c r="CT3" s="420"/>
      <c r="CU3" s="420"/>
      <c r="CV3" s="420"/>
      <c r="CW3" s="420"/>
      <c r="CX3" s="420"/>
      <c r="CY3" s="420"/>
      <c r="CZ3" s="420"/>
      <c r="DA3" s="420"/>
      <c r="DB3" s="420"/>
      <c r="DC3" s="420"/>
      <c r="DD3" s="420"/>
      <c r="DE3" s="420"/>
      <c r="DF3" s="420"/>
      <c r="DG3" s="420"/>
      <c r="DH3" s="438" t="s">
        <v>10</v>
      </c>
      <c r="DI3" s="421" t="s">
        <v>11</v>
      </c>
      <c r="DJ3" s="421"/>
      <c r="DK3" s="421"/>
      <c r="DL3" s="421"/>
      <c r="DM3" s="421"/>
      <c r="DN3" s="421"/>
      <c r="DO3" s="421"/>
      <c r="DP3" s="421"/>
      <c r="DQ3" s="408" t="s">
        <v>400</v>
      </c>
      <c r="DR3" s="409"/>
      <c r="DS3" s="408" t="s">
        <v>399</v>
      </c>
      <c r="DT3" s="409"/>
      <c r="DU3" s="440" t="s">
        <v>13</v>
      </c>
      <c r="DV3" s="441"/>
      <c r="DW3" s="441"/>
      <c r="DX3" s="441"/>
      <c r="DY3" s="441"/>
      <c r="DZ3" s="441"/>
      <c r="EA3" s="441"/>
      <c r="EB3" s="441"/>
      <c r="EC3" s="442"/>
      <c r="ED3" s="4"/>
      <c r="EE3" s="440" t="s">
        <v>14</v>
      </c>
      <c r="EF3" s="441"/>
      <c r="EG3" s="441"/>
      <c r="EH3" s="441"/>
      <c r="EI3" s="441"/>
      <c r="EJ3" s="441"/>
      <c r="EK3" s="441"/>
      <c r="EL3" s="441"/>
      <c r="EM3" s="442"/>
      <c r="EN3" s="5"/>
      <c r="EO3" s="446" t="s">
        <v>15</v>
      </c>
      <c r="EP3" s="446"/>
      <c r="EQ3" s="446"/>
      <c r="ER3" s="446"/>
      <c r="ES3" s="446"/>
      <c r="ET3" s="446"/>
      <c r="EU3" s="446"/>
      <c r="EV3" s="446"/>
      <c r="EW3" s="446"/>
      <c r="EX3" s="446"/>
      <c r="EY3" s="446"/>
      <c r="EZ3" s="446"/>
      <c r="FA3" s="446"/>
      <c r="FB3" s="446"/>
      <c r="FC3" s="446"/>
      <c r="FD3" s="446"/>
      <c r="FE3" s="546" t="s">
        <v>16</v>
      </c>
      <c r="FF3" s="547"/>
      <c r="FG3" s="547"/>
      <c r="FH3" s="547"/>
      <c r="FI3" s="547"/>
      <c r="FJ3" s="547"/>
      <c r="FK3" s="547"/>
      <c r="FL3" s="547"/>
      <c r="FM3" s="547"/>
      <c r="FN3" s="547"/>
      <c r="FO3" s="547"/>
      <c r="FP3" s="547"/>
      <c r="FQ3" s="547"/>
      <c r="FR3" s="547"/>
      <c r="FS3" s="547"/>
      <c r="FT3" s="547"/>
      <c r="FU3" s="548"/>
      <c r="FV3" s="446" t="s">
        <v>17</v>
      </c>
      <c r="FW3" s="446"/>
      <c r="FX3" s="446"/>
      <c r="FY3" s="446"/>
      <c r="FZ3" s="446"/>
      <c r="GA3" s="446"/>
      <c r="GB3" s="446"/>
      <c r="GC3" s="446"/>
      <c r="GD3" s="446"/>
      <c r="GE3" s="446"/>
      <c r="GF3" s="446"/>
      <c r="GG3" s="446"/>
      <c r="GH3" s="404" t="s">
        <v>18</v>
      </c>
      <c r="GI3" s="402"/>
      <c r="GJ3" s="402"/>
      <c r="GK3" s="402"/>
      <c r="GL3" s="402"/>
      <c r="GM3" s="402"/>
      <c r="GN3" s="403" t="s">
        <v>202</v>
      </c>
      <c r="GO3" s="417"/>
      <c r="GP3" s="404"/>
      <c r="GQ3" s="403" t="s">
        <v>209</v>
      </c>
      <c r="GR3" s="417"/>
      <c r="GS3" s="404"/>
      <c r="GT3" s="534"/>
      <c r="GU3" s="273" t="s">
        <v>423</v>
      </c>
      <c r="HF3" s="534"/>
      <c r="HH3" s="406" t="s">
        <v>256</v>
      </c>
      <c r="HI3" s="406"/>
      <c r="HJ3" s="406"/>
      <c r="HK3" s="406"/>
      <c r="HL3" s="406"/>
      <c r="HM3" s="406"/>
      <c r="HN3" s="406"/>
      <c r="HO3" s="406"/>
      <c r="HP3" s="406"/>
      <c r="HQ3" s="406"/>
      <c r="HR3" s="406"/>
      <c r="HS3" s="406"/>
      <c r="HT3" s="406"/>
      <c r="HU3" s="406"/>
      <c r="HV3" s="406"/>
      <c r="HW3" s="406"/>
      <c r="HX3" s="406"/>
      <c r="HY3" s="406"/>
      <c r="HZ3" s="406"/>
      <c r="IA3" s="406"/>
      <c r="IB3" s="406"/>
      <c r="IC3" s="406"/>
      <c r="ID3" s="406"/>
      <c r="IE3" s="406"/>
      <c r="IF3" s="406"/>
      <c r="IG3" s="406"/>
      <c r="IH3" s="406"/>
      <c r="II3" s="406"/>
      <c r="IJ3" s="406"/>
      <c r="IK3" s="406"/>
      <c r="IL3" s="406"/>
      <c r="IM3" s="406"/>
      <c r="IN3" s="406"/>
      <c r="IO3" s="406"/>
      <c r="IP3" s="406"/>
      <c r="IQ3" s="406"/>
      <c r="IR3" s="406"/>
      <c r="IS3" s="406"/>
      <c r="IT3" s="406"/>
      <c r="IU3" s="406"/>
      <c r="IV3" s="406"/>
      <c r="IW3" s="406"/>
      <c r="IX3" s="406"/>
      <c r="IY3" s="406"/>
      <c r="IZ3" s="406"/>
      <c r="JA3" s="406"/>
      <c r="JB3" s="406"/>
      <c r="JC3" s="406"/>
      <c r="JD3" s="406"/>
      <c r="JE3" s="406"/>
      <c r="JF3" s="406"/>
      <c r="JG3" s="406"/>
      <c r="JH3" s="406"/>
      <c r="JI3" s="406"/>
      <c r="JJ3" s="406"/>
      <c r="JK3" s="406"/>
      <c r="JL3" s="406"/>
      <c r="JM3" s="406"/>
      <c r="JN3" s="406"/>
      <c r="JO3" s="406"/>
      <c r="JP3" s="406"/>
      <c r="JQ3" s="406"/>
      <c r="JR3" s="406"/>
      <c r="JS3" s="406"/>
      <c r="JT3" s="406"/>
      <c r="JU3" s="406"/>
      <c r="JV3" s="406"/>
      <c r="JW3" s="406"/>
      <c r="JX3" s="406"/>
      <c r="JY3" s="406"/>
      <c r="JZ3" s="406"/>
      <c r="KA3" s="406"/>
      <c r="KB3" s="406"/>
      <c r="KC3" s="406"/>
      <c r="KD3" s="406"/>
      <c r="KE3" s="406"/>
      <c r="KF3" s="259"/>
    </row>
    <row r="4" spans="1:293" x14ac:dyDescent="0.25">
      <c r="A4" s="448"/>
      <c r="B4" s="449"/>
      <c r="C4" s="449"/>
      <c r="D4" s="449"/>
      <c r="E4" s="449"/>
      <c r="F4" s="449"/>
      <c r="G4" s="449"/>
      <c r="H4" s="420"/>
      <c r="I4" s="420"/>
      <c r="J4" s="420"/>
      <c r="K4" s="420"/>
      <c r="L4" s="420"/>
      <c r="M4" s="420"/>
      <c r="N4" s="420"/>
      <c r="O4" s="420" t="s">
        <v>20</v>
      </c>
      <c r="P4" s="420"/>
      <c r="Q4" s="420"/>
      <c r="R4" s="420"/>
      <c r="S4" s="420"/>
      <c r="T4" s="420"/>
      <c r="U4" s="420"/>
      <c r="V4" s="420"/>
      <c r="W4" s="420"/>
      <c r="X4" s="420"/>
      <c r="Y4" s="420"/>
      <c r="Z4" s="420"/>
      <c r="AA4" s="420"/>
      <c r="AB4" s="420"/>
      <c r="AC4" s="420"/>
      <c r="AD4" s="420"/>
      <c r="AE4" s="420"/>
      <c r="AF4" s="420"/>
      <c r="AG4" s="420"/>
      <c r="AH4" s="420"/>
      <c r="AI4" s="420"/>
      <c r="AJ4" s="371"/>
      <c r="AK4" s="430" t="s">
        <v>21</v>
      </c>
      <c r="AL4" s="420" t="s">
        <v>22</v>
      </c>
      <c r="AM4" s="420"/>
      <c r="AN4" s="420"/>
      <c r="AO4" s="420"/>
      <c r="AP4" s="420"/>
      <c r="AQ4" s="420"/>
      <c r="AR4" s="420"/>
      <c r="AS4" s="420"/>
      <c r="AT4" s="420"/>
      <c r="AU4" s="420"/>
      <c r="AV4" s="420"/>
      <c r="AW4" s="420"/>
      <c r="AX4" s="420"/>
      <c r="AY4" s="420"/>
      <c r="AZ4" s="420"/>
      <c r="BA4" s="420"/>
      <c r="BB4" s="420"/>
      <c r="BC4" s="420"/>
      <c r="BD4" s="430" t="s">
        <v>23</v>
      </c>
      <c r="BE4" s="420" t="s">
        <v>24</v>
      </c>
      <c r="BF4" s="420"/>
      <c r="BG4" s="420"/>
      <c r="BH4" s="371"/>
      <c r="BI4" s="371"/>
      <c r="BJ4" s="371"/>
      <c r="BK4" s="420" t="s">
        <v>25</v>
      </c>
      <c r="BL4" s="420"/>
      <c r="BM4" s="420" t="s">
        <v>26</v>
      </c>
      <c r="BN4" s="420"/>
      <c r="BO4" s="427" t="s">
        <v>27</v>
      </c>
      <c r="BP4" s="427"/>
      <c r="BQ4" s="420"/>
      <c r="BR4" s="420"/>
      <c r="BS4" s="428" t="s">
        <v>28</v>
      </c>
      <c r="BT4" s="429"/>
      <c r="BU4" s="420"/>
      <c r="BV4" s="420"/>
      <c r="BW4" s="420"/>
      <c r="BX4" s="420"/>
      <c r="BY4" s="420"/>
      <c r="BZ4" s="420"/>
      <c r="CA4" s="420"/>
      <c r="CB4" s="420"/>
      <c r="CC4" s="420"/>
      <c r="CD4" s="420"/>
      <c r="CE4" s="420"/>
      <c r="CF4" s="420"/>
      <c r="CG4" s="420"/>
      <c r="CH4" s="420"/>
      <c r="CI4" s="420"/>
      <c r="CJ4" s="420"/>
      <c r="CK4" s="420"/>
      <c r="CL4" s="420"/>
      <c r="CM4" s="420"/>
      <c r="CN4" s="420"/>
      <c r="CO4" s="420"/>
      <c r="CP4" s="420"/>
      <c r="CQ4" s="420"/>
      <c r="CR4" s="420"/>
      <c r="CS4" s="420"/>
      <c r="CT4" s="420"/>
      <c r="CU4" s="420"/>
      <c r="CV4" s="420"/>
      <c r="CW4" s="420"/>
      <c r="CX4" s="420"/>
      <c r="CY4" s="420"/>
      <c r="CZ4" s="420"/>
      <c r="DA4" s="420"/>
      <c r="DB4" s="420"/>
      <c r="DC4" s="420"/>
      <c r="DD4" s="420"/>
      <c r="DE4" s="420"/>
      <c r="DF4" s="420"/>
      <c r="DG4" s="420"/>
      <c r="DH4" s="439"/>
      <c r="DI4" s="421"/>
      <c r="DJ4" s="421"/>
      <c r="DK4" s="421"/>
      <c r="DL4" s="421"/>
      <c r="DM4" s="421"/>
      <c r="DN4" s="421"/>
      <c r="DO4" s="421"/>
      <c r="DP4" s="421"/>
      <c r="DQ4" s="410"/>
      <c r="DR4" s="411"/>
      <c r="DS4" s="410"/>
      <c r="DT4" s="411"/>
      <c r="DU4" s="435" t="s">
        <v>29</v>
      </c>
      <c r="DV4" s="436"/>
      <c r="DW4" s="437"/>
      <c r="DX4" s="435" t="s">
        <v>30</v>
      </c>
      <c r="DY4" s="436"/>
      <c r="DZ4" s="437"/>
      <c r="EA4" s="435"/>
      <c r="EB4" s="436"/>
      <c r="EC4" s="437"/>
      <c r="ED4" s="8" t="s">
        <v>31</v>
      </c>
      <c r="EE4" s="435"/>
      <c r="EF4" s="436"/>
      <c r="EG4" s="437"/>
      <c r="EH4" s="435"/>
      <c r="EI4" s="436"/>
      <c r="EJ4" s="437"/>
      <c r="EK4" s="435"/>
      <c r="EL4" s="436"/>
      <c r="EM4" s="437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403" t="s">
        <v>33</v>
      </c>
      <c r="FW4" s="417"/>
      <c r="FX4" s="417"/>
      <c r="FY4" s="417" t="s">
        <v>33</v>
      </c>
      <c r="FZ4" s="417"/>
      <c r="GA4" s="417"/>
      <c r="GB4" s="417"/>
      <c r="GC4" s="417"/>
      <c r="GD4" s="417"/>
      <c r="GE4" s="417"/>
      <c r="GF4" s="417"/>
      <c r="GG4" s="404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GT4" s="534"/>
      <c r="HF4" s="534"/>
      <c r="HG4" s="535" t="s">
        <v>252</v>
      </c>
      <c r="HH4" s="541" t="s">
        <v>106</v>
      </c>
      <c r="HI4" s="541"/>
      <c r="HJ4" s="541"/>
      <c r="HK4" s="541" t="s">
        <v>258</v>
      </c>
      <c r="HL4" s="541"/>
      <c r="HM4" s="541"/>
      <c r="HN4" s="536" t="s">
        <v>259</v>
      </c>
      <c r="HO4" s="537"/>
      <c r="HP4" s="537"/>
      <c r="HQ4" s="537"/>
      <c r="HR4" s="537"/>
      <c r="HS4" s="537"/>
      <c r="HT4" s="537"/>
      <c r="HU4" s="537"/>
      <c r="HV4" s="537"/>
      <c r="HW4" s="537"/>
      <c r="HX4" s="537"/>
      <c r="HY4" s="537"/>
      <c r="HZ4" s="537"/>
      <c r="IA4" s="537"/>
      <c r="IB4" s="537"/>
      <c r="IC4" s="537"/>
      <c r="ID4" s="537"/>
      <c r="IE4" s="537"/>
      <c r="IF4" s="537"/>
      <c r="IG4" s="537"/>
      <c r="IH4" s="538"/>
      <c r="II4" s="539" t="s">
        <v>283</v>
      </c>
      <c r="IJ4" s="493" t="s">
        <v>204</v>
      </c>
      <c r="IK4" s="493"/>
      <c r="IL4" s="493"/>
      <c r="IM4" s="493"/>
      <c r="IN4" s="493"/>
      <c r="IO4" s="493"/>
      <c r="IP4" s="493"/>
      <c r="IQ4" s="493"/>
      <c r="IR4" s="493"/>
      <c r="IS4" s="493"/>
      <c r="IT4" s="493"/>
      <c r="IU4" s="493"/>
      <c r="IV4" s="492" t="s">
        <v>260</v>
      </c>
      <c r="IW4" s="492"/>
      <c r="IX4" s="492"/>
      <c r="IY4" s="492"/>
      <c r="IZ4" s="492"/>
      <c r="JA4" s="492"/>
      <c r="JB4" s="492"/>
      <c r="JC4" s="492"/>
      <c r="JD4" s="492"/>
      <c r="JE4" s="492"/>
      <c r="JF4" s="492"/>
      <c r="JG4" s="492"/>
      <c r="JH4" s="492"/>
      <c r="JI4" s="492"/>
      <c r="JJ4" s="492"/>
      <c r="JK4" s="492"/>
      <c r="JL4" s="492"/>
      <c r="JM4" s="492"/>
      <c r="JN4" s="496" t="s">
        <v>261</v>
      </c>
      <c r="JO4" s="496"/>
      <c r="JP4" s="496"/>
      <c r="JQ4" s="496"/>
      <c r="JR4" s="496"/>
      <c r="JS4" s="496"/>
      <c r="JT4" s="496"/>
      <c r="JU4" s="496"/>
      <c r="JV4" s="496"/>
      <c r="JW4" s="496"/>
      <c r="JX4" s="496"/>
      <c r="JY4" s="496"/>
      <c r="JZ4" s="496"/>
      <c r="KA4" s="496"/>
      <c r="KB4" s="496"/>
      <c r="KC4" s="496"/>
      <c r="KD4" s="496"/>
      <c r="KE4" s="496"/>
      <c r="KF4" s="259"/>
      <c r="KG4" t="s">
        <v>98</v>
      </c>
    </row>
    <row r="5" spans="1:293" x14ac:dyDescent="0.25">
      <c r="A5" s="448"/>
      <c r="B5" s="452" t="s">
        <v>35</v>
      </c>
      <c r="C5" s="452"/>
      <c r="D5" s="452"/>
      <c r="E5" s="452" t="s">
        <v>36</v>
      </c>
      <c r="F5" s="452"/>
      <c r="G5" s="374" t="s">
        <v>37</v>
      </c>
      <c r="H5" s="420" t="s">
        <v>38</v>
      </c>
      <c r="I5" s="420"/>
      <c r="J5" s="420"/>
      <c r="K5" s="420"/>
      <c r="L5" s="420" t="s">
        <v>39</v>
      </c>
      <c r="M5" s="420"/>
      <c r="N5" s="420"/>
      <c r="O5" s="420" t="s">
        <v>40</v>
      </c>
      <c r="P5" s="420"/>
      <c r="Q5" s="420"/>
      <c r="R5" s="371"/>
      <c r="S5" s="420" t="s">
        <v>41</v>
      </c>
      <c r="T5" s="420"/>
      <c r="U5" s="420" t="s">
        <v>42</v>
      </c>
      <c r="V5" s="420"/>
      <c r="W5" s="420" t="s">
        <v>43</v>
      </c>
      <c r="X5" s="420"/>
      <c r="Y5" s="431" t="s">
        <v>44</v>
      </c>
      <c r="Z5" s="432"/>
      <c r="AA5" s="433" t="s">
        <v>188</v>
      </c>
      <c r="AB5" s="434"/>
      <c r="AC5" s="420" t="s">
        <v>45</v>
      </c>
      <c r="AD5" s="420"/>
      <c r="AE5" s="420"/>
      <c r="AF5" s="420"/>
      <c r="AG5" s="420" t="s">
        <v>46</v>
      </c>
      <c r="AH5" s="420"/>
      <c r="AI5" s="420"/>
      <c r="AJ5" s="420"/>
      <c r="AK5" s="430"/>
      <c r="AL5" s="421" t="s">
        <v>47</v>
      </c>
      <c r="AM5" s="421"/>
      <c r="AN5" s="421"/>
      <c r="AO5" s="421"/>
      <c r="AP5" s="421" t="s">
        <v>48</v>
      </c>
      <c r="AQ5" s="421"/>
      <c r="AR5" s="421"/>
      <c r="AS5" s="421"/>
      <c r="AT5" s="422" t="s">
        <v>49</v>
      </c>
      <c r="AU5" s="423"/>
      <c r="AV5" s="422" t="s">
        <v>50</v>
      </c>
      <c r="AW5" s="423"/>
      <c r="AX5" s="421" t="s">
        <v>51</v>
      </c>
      <c r="AY5" s="421"/>
      <c r="AZ5" s="421"/>
      <c r="BA5" s="421" t="s">
        <v>52</v>
      </c>
      <c r="BB5" s="421"/>
      <c r="BC5" s="421"/>
      <c r="BD5" s="430"/>
      <c r="BE5" s="420"/>
      <c r="BF5" s="420"/>
      <c r="BG5" s="420"/>
      <c r="BH5" s="380"/>
      <c r="BI5" s="380"/>
      <c r="BJ5" s="380"/>
      <c r="BK5" s="420"/>
      <c r="BL5" s="420"/>
      <c r="BM5" s="420"/>
      <c r="BN5" s="420"/>
      <c r="BO5" s="427"/>
      <c r="BP5" s="427"/>
      <c r="BQ5" s="420"/>
      <c r="BR5" s="420"/>
      <c r="BS5" s="443" t="s">
        <v>53</v>
      </c>
      <c r="BT5" s="444"/>
      <c r="BU5" s="420" t="s">
        <v>54</v>
      </c>
      <c r="BV5" s="420"/>
      <c r="BW5" s="420"/>
      <c r="BX5" s="420"/>
      <c r="BY5" s="433" t="s">
        <v>55</v>
      </c>
      <c r="BZ5" s="445"/>
      <c r="CA5" s="445"/>
      <c r="CB5" s="434"/>
      <c r="CC5" s="420" t="s">
        <v>56</v>
      </c>
      <c r="CD5" s="420"/>
      <c r="CE5" s="420" t="s">
        <v>57</v>
      </c>
      <c r="CF5" s="420"/>
      <c r="CG5" s="420" t="s">
        <v>58</v>
      </c>
      <c r="CH5" s="420"/>
      <c r="CI5" s="420" t="s">
        <v>59</v>
      </c>
      <c r="CJ5" s="420"/>
      <c r="CK5" s="420"/>
      <c r="CL5" s="420"/>
      <c r="CM5" s="420" t="s">
        <v>60</v>
      </c>
      <c r="CN5" s="420"/>
      <c r="CO5" s="420"/>
      <c r="CP5" s="420"/>
      <c r="CQ5" s="421" t="s">
        <v>61</v>
      </c>
      <c r="CR5" s="421"/>
      <c r="CS5" s="421"/>
      <c r="CT5" s="421"/>
      <c r="CU5" s="421" t="s">
        <v>62</v>
      </c>
      <c r="CV5" s="421"/>
      <c r="CW5" s="421"/>
      <c r="CX5" s="421"/>
      <c r="CY5" s="421" t="s">
        <v>63</v>
      </c>
      <c r="CZ5" s="421"/>
      <c r="DA5" s="421"/>
      <c r="DB5" s="421"/>
      <c r="DC5" s="421" t="s">
        <v>64</v>
      </c>
      <c r="DD5" s="421"/>
      <c r="DE5" s="421"/>
      <c r="DF5" s="421"/>
      <c r="DG5" s="372" t="s">
        <v>65</v>
      </c>
      <c r="DH5" s="372"/>
      <c r="DI5" s="421"/>
      <c r="DJ5" s="421"/>
      <c r="DK5" s="421"/>
      <c r="DL5" s="421"/>
      <c r="DM5" s="421"/>
      <c r="DN5" s="421"/>
      <c r="DO5" s="421"/>
      <c r="DP5" s="421"/>
      <c r="DQ5" s="412"/>
      <c r="DR5" s="413"/>
      <c r="DS5" s="412"/>
      <c r="DT5" s="413"/>
      <c r="DU5" s="424" t="s">
        <v>66</v>
      </c>
      <c r="DV5" s="425"/>
      <c r="DW5" s="426"/>
      <c r="DX5" s="424" t="s">
        <v>67</v>
      </c>
      <c r="DY5" s="425"/>
      <c r="DZ5" s="426"/>
      <c r="EA5" s="424" t="s">
        <v>68</v>
      </c>
      <c r="EB5" s="425"/>
      <c r="EC5" s="426"/>
      <c r="ED5" s="18"/>
      <c r="EE5" s="424" t="s">
        <v>69</v>
      </c>
      <c r="EF5" s="425"/>
      <c r="EG5" s="426"/>
      <c r="EH5" s="424" t="s">
        <v>70</v>
      </c>
      <c r="EI5" s="425"/>
      <c r="EJ5" s="426"/>
      <c r="EK5" s="424" t="s">
        <v>71</v>
      </c>
      <c r="EL5" s="425"/>
      <c r="EM5" s="426"/>
      <c r="EN5" s="19"/>
      <c r="EO5" s="403" t="s">
        <v>72</v>
      </c>
      <c r="EP5" s="417"/>
      <c r="EQ5" s="404"/>
      <c r="ER5" s="403" t="s">
        <v>73</v>
      </c>
      <c r="ES5" s="417"/>
      <c r="ET5" s="404"/>
      <c r="EU5" s="403" t="s">
        <v>74</v>
      </c>
      <c r="EV5" s="417"/>
      <c r="EW5" s="404"/>
      <c r="EX5" s="403" t="s">
        <v>75</v>
      </c>
      <c r="EY5" s="417"/>
      <c r="EZ5" s="404"/>
      <c r="FA5" s="370"/>
      <c r="FB5" s="403" t="s">
        <v>76</v>
      </c>
      <c r="FC5" s="404"/>
      <c r="FD5" s="380" t="s">
        <v>77</v>
      </c>
      <c r="FE5" s="403" t="s">
        <v>72</v>
      </c>
      <c r="FF5" s="417"/>
      <c r="FG5" s="404"/>
      <c r="FH5" s="403" t="s">
        <v>73</v>
      </c>
      <c r="FI5" s="417"/>
      <c r="FJ5" s="404"/>
      <c r="FK5" s="10" t="s">
        <v>78</v>
      </c>
      <c r="FL5" s="11"/>
      <c r="FM5" s="21"/>
      <c r="FN5" s="403" t="s">
        <v>75</v>
      </c>
      <c r="FO5" s="417"/>
      <c r="FP5" s="404"/>
      <c r="FQ5" s="403" t="s">
        <v>79</v>
      </c>
      <c r="FR5" s="417"/>
      <c r="FS5" s="404"/>
      <c r="FT5" s="370"/>
      <c r="FU5" s="380" t="s">
        <v>80</v>
      </c>
      <c r="FV5" s="22"/>
      <c r="FW5" s="12"/>
      <c r="FX5" s="12"/>
      <c r="FY5" s="12"/>
      <c r="FZ5" s="12"/>
      <c r="GA5" s="12"/>
      <c r="GB5" s="12"/>
      <c r="GC5" s="382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T5" s="534"/>
      <c r="GU5" s="24" t="s">
        <v>199</v>
      </c>
      <c r="HF5" s="534"/>
      <c r="HG5" s="535"/>
      <c r="HH5" s="61"/>
      <c r="HI5" s="61" t="s">
        <v>407</v>
      </c>
      <c r="HJ5" s="61"/>
      <c r="HK5" s="61"/>
      <c r="HL5" s="61" t="s">
        <v>408</v>
      </c>
      <c r="HM5" s="61"/>
      <c r="HN5" s="531" t="s">
        <v>406</v>
      </c>
      <c r="HO5" s="532"/>
      <c r="HP5" s="533"/>
      <c r="HQ5" s="531" t="s">
        <v>260</v>
      </c>
      <c r="HR5" s="532"/>
      <c r="HS5" s="533"/>
      <c r="HT5" s="531" t="s">
        <v>261</v>
      </c>
      <c r="HU5" s="532"/>
      <c r="HV5" s="533"/>
      <c r="HW5" s="531" t="s">
        <v>318</v>
      </c>
      <c r="HX5" s="532"/>
      <c r="HY5" s="533"/>
      <c r="HZ5" s="531" t="s">
        <v>346</v>
      </c>
      <c r="IA5" s="532"/>
      <c r="IB5" s="533"/>
      <c r="IC5" s="531" t="s">
        <v>357</v>
      </c>
      <c r="ID5" s="532"/>
      <c r="IE5" s="533"/>
      <c r="IF5" s="535" t="s">
        <v>65</v>
      </c>
      <c r="IG5" s="535"/>
      <c r="IH5" s="535"/>
      <c r="II5" s="540"/>
      <c r="IJ5" s="402" t="s">
        <v>262</v>
      </c>
      <c r="IK5" s="402"/>
      <c r="IL5" s="402"/>
      <c r="IM5" s="402" t="s">
        <v>263</v>
      </c>
      <c r="IN5" s="402"/>
      <c r="IO5" s="402"/>
      <c r="IP5" s="402" t="s">
        <v>264</v>
      </c>
      <c r="IQ5" s="402"/>
      <c r="IR5" s="402"/>
      <c r="IS5" s="402" t="s">
        <v>265</v>
      </c>
      <c r="IT5" s="402"/>
      <c r="IU5" s="402"/>
      <c r="IV5" s="402" t="s">
        <v>152</v>
      </c>
      <c r="IW5" s="402"/>
      <c r="IX5" s="402"/>
      <c r="IY5" s="402" t="s">
        <v>266</v>
      </c>
      <c r="IZ5" s="402"/>
      <c r="JA5" s="402"/>
      <c r="JB5" s="402" t="s">
        <v>165</v>
      </c>
      <c r="JC5" s="402"/>
      <c r="JD5" s="402"/>
      <c r="JE5" s="402" t="s">
        <v>267</v>
      </c>
      <c r="JF5" s="402"/>
      <c r="JG5" s="402"/>
      <c r="JH5" s="402" t="s">
        <v>268</v>
      </c>
      <c r="JI5" s="402"/>
      <c r="JJ5" s="402"/>
      <c r="JK5" s="402" t="s">
        <v>269</v>
      </c>
      <c r="JL5" s="402"/>
      <c r="JM5" s="402"/>
      <c r="JN5" s="402" t="s">
        <v>152</v>
      </c>
      <c r="JO5" s="402"/>
      <c r="JP5" s="402"/>
      <c r="JQ5" s="402" t="s">
        <v>266</v>
      </c>
      <c r="JR5" s="402"/>
      <c r="JS5" s="402"/>
      <c r="JT5" s="402" t="s">
        <v>165</v>
      </c>
      <c r="JU5" s="402"/>
      <c r="JV5" s="402"/>
      <c r="JW5" s="402" t="s">
        <v>267</v>
      </c>
      <c r="JX5" s="402"/>
      <c r="JY5" s="402"/>
      <c r="JZ5" s="402" t="s">
        <v>268</v>
      </c>
      <c r="KA5" s="402"/>
      <c r="KB5" s="402"/>
      <c r="KC5" s="402" t="s">
        <v>269</v>
      </c>
      <c r="KD5" s="402"/>
      <c r="KE5" s="402"/>
      <c r="KF5" s="259"/>
    </row>
    <row r="6" spans="1:293" x14ac:dyDescent="0.25">
      <c r="A6" s="448"/>
      <c r="B6" s="374" t="s">
        <v>85</v>
      </c>
      <c r="C6" s="374"/>
      <c r="D6" s="374" t="s">
        <v>179</v>
      </c>
      <c r="E6" s="374" t="s">
        <v>85</v>
      </c>
      <c r="F6" s="374" t="s">
        <v>179</v>
      </c>
      <c r="G6" s="374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414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415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415</v>
      </c>
      <c r="AY6" s="27" t="s">
        <v>83</v>
      </c>
      <c r="AZ6" s="27" t="s">
        <v>88</v>
      </c>
      <c r="BA6" s="27" t="s">
        <v>415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365" t="s">
        <v>82</v>
      </c>
      <c r="BI6" s="365" t="s">
        <v>83</v>
      </c>
      <c r="BJ6" s="380"/>
      <c r="BK6" s="27" t="s">
        <v>415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416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416</v>
      </c>
      <c r="CJ6" s="25" t="s">
        <v>83</v>
      </c>
      <c r="CK6" s="25" t="s">
        <v>88</v>
      </c>
      <c r="CL6" s="25"/>
      <c r="CM6" s="25" t="s">
        <v>416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373"/>
      <c r="DX6" s="25" t="s">
        <v>82</v>
      </c>
      <c r="DY6" s="25" t="s">
        <v>83</v>
      </c>
      <c r="DZ6" s="373"/>
      <c r="EA6" s="25" t="s">
        <v>82</v>
      </c>
      <c r="EB6" s="25" t="s">
        <v>83</v>
      </c>
      <c r="EC6" s="373"/>
      <c r="ED6" s="31"/>
      <c r="EE6" s="25" t="s">
        <v>82</v>
      </c>
      <c r="EF6" s="25" t="s">
        <v>83</v>
      </c>
      <c r="EG6" s="373"/>
      <c r="EH6" s="25" t="s">
        <v>82</v>
      </c>
      <c r="EI6" s="25" t="s">
        <v>83</v>
      </c>
      <c r="EJ6" s="373"/>
      <c r="EK6" s="25" t="s">
        <v>82</v>
      </c>
      <c r="EL6" s="25" t="s">
        <v>83</v>
      </c>
      <c r="EM6" s="373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380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380"/>
      <c r="FV6" s="403" t="s">
        <v>99</v>
      </c>
      <c r="FW6" s="417"/>
      <c r="FX6" s="404"/>
      <c r="FY6" s="403" t="s">
        <v>100</v>
      </c>
      <c r="FZ6" s="417"/>
      <c r="GA6" s="404"/>
      <c r="GB6" s="403" t="s">
        <v>404</v>
      </c>
      <c r="GC6" s="417"/>
      <c r="GD6" s="404"/>
      <c r="GE6" s="403" t="s">
        <v>102</v>
      </c>
      <c r="GF6" s="417"/>
      <c r="GG6" s="404"/>
      <c r="GH6" s="403" t="s">
        <v>103</v>
      </c>
      <c r="GI6" s="417"/>
      <c r="GJ6" s="404"/>
      <c r="GK6" s="403" t="s">
        <v>104</v>
      </c>
      <c r="GL6" s="417"/>
      <c r="GM6" s="404"/>
      <c r="GN6" s="366"/>
      <c r="GO6" s="366"/>
      <c r="GP6" s="366"/>
      <c r="GQ6" s="365"/>
      <c r="GR6" s="365"/>
      <c r="GS6" s="365"/>
      <c r="GT6" s="534"/>
      <c r="GU6" s="402" t="s">
        <v>105</v>
      </c>
      <c r="GV6" s="402"/>
      <c r="GW6" s="402"/>
      <c r="GX6" s="402"/>
      <c r="GY6" s="418"/>
      <c r="GZ6" s="406"/>
      <c r="HA6" s="406"/>
      <c r="HB6" s="406"/>
      <c r="HF6" s="534"/>
      <c r="HG6" s="535"/>
      <c r="HH6" s="26" t="s">
        <v>82</v>
      </c>
      <c r="HI6" s="26" t="s">
        <v>83</v>
      </c>
      <c r="HJ6" s="26" t="s">
        <v>257</v>
      </c>
      <c r="HK6" s="26" t="s">
        <v>82</v>
      </c>
      <c r="HL6" s="26" t="s">
        <v>83</v>
      </c>
      <c r="HM6" s="26" t="s">
        <v>257</v>
      </c>
      <c r="HN6" s="26" t="s">
        <v>82</v>
      </c>
      <c r="HO6" s="26" t="s">
        <v>83</v>
      </c>
      <c r="HP6" s="26" t="s">
        <v>257</v>
      </c>
      <c r="HQ6" s="26" t="s">
        <v>82</v>
      </c>
      <c r="HR6" s="26" t="s">
        <v>83</v>
      </c>
      <c r="HS6" s="26" t="s">
        <v>257</v>
      </c>
      <c r="HT6" s="26" t="s">
        <v>82</v>
      </c>
      <c r="HU6" s="26" t="s">
        <v>83</v>
      </c>
      <c r="HV6" s="26" t="s">
        <v>257</v>
      </c>
      <c r="HW6" s="26" t="s">
        <v>82</v>
      </c>
      <c r="HX6" s="26" t="s">
        <v>83</v>
      </c>
      <c r="HY6" s="26" t="s">
        <v>257</v>
      </c>
      <c r="HZ6" s="26" t="s">
        <v>82</v>
      </c>
      <c r="IA6" s="26" t="s">
        <v>83</v>
      </c>
      <c r="IB6" s="26" t="s">
        <v>257</v>
      </c>
      <c r="IC6" s="26" t="s">
        <v>82</v>
      </c>
      <c r="ID6" s="26" t="s">
        <v>83</v>
      </c>
      <c r="IE6" s="26" t="s">
        <v>257</v>
      </c>
      <c r="IF6" s="26" t="s">
        <v>82</v>
      </c>
      <c r="IG6" s="26" t="s">
        <v>83</v>
      </c>
      <c r="IH6" s="26" t="s">
        <v>257</v>
      </c>
      <c r="II6" s="278"/>
      <c r="IJ6" s="369" t="s">
        <v>82</v>
      </c>
      <c r="IK6" s="369" t="s">
        <v>83</v>
      </c>
      <c r="IL6" s="369" t="s">
        <v>257</v>
      </c>
      <c r="IM6" s="369" t="s">
        <v>82</v>
      </c>
      <c r="IN6" s="369" t="s">
        <v>83</v>
      </c>
      <c r="IO6" s="369" t="s">
        <v>257</v>
      </c>
      <c r="IP6" s="369" t="s">
        <v>82</v>
      </c>
      <c r="IQ6" s="369" t="s">
        <v>83</v>
      </c>
      <c r="IR6" s="369" t="s">
        <v>257</v>
      </c>
      <c r="IS6" s="369" t="s">
        <v>82</v>
      </c>
      <c r="IT6" s="369" t="s">
        <v>83</v>
      </c>
      <c r="IU6" s="369" t="s">
        <v>257</v>
      </c>
      <c r="IV6" s="369" t="s">
        <v>82</v>
      </c>
      <c r="IW6" s="369" t="s">
        <v>83</v>
      </c>
      <c r="IX6" s="369" t="s">
        <v>257</v>
      </c>
      <c r="IY6" s="369" t="s">
        <v>82</v>
      </c>
      <c r="IZ6" s="369" t="s">
        <v>83</v>
      </c>
      <c r="JA6" s="369" t="s">
        <v>257</v>
      </c>
      <c r="JB6" s="369" t="s">
        <v>82</v>
      </c>
      <c r="JC6" s="369" t="s">
        <v>83</v>
      </c>
      <c r="JD6" s="369" t="s">
        <v>257</v>
      </c>
      <c r="JE6" s="369" t="s">
        <v>82</v>
      </c>
      <c r="JF6" s="369" t="s">
        <v>83</v>
      </c>
      <c r="JG6" s="369" t="s">
        <v>257</v>
      </c>
      <c r="JH6" s="369" t="s">
        <v>82</v>
      </c>
      <c r="JI6" s="369" t="s">
        <v>83</v>
      </c>
      <c r="JJ6" s="369" t="s">
        <v>257</v>
      </c>
      <c r="JK6" s="369" t="s">
        <v>82</v>
      </c>
      <c r="JL6" s="369" t="s">
        <v>83</v>
      </c>
      <c r="JM6" s="369" t="s">
        <v>257</v>
      </c>
      <c r="JN6" s="369" t="s">
        <v>82</v>
      </c>
      <c r="JO6" s="369" t="s">
        <v>83</v>
      </c>
      <c r="JP6" s="369" t="s">
        <v>257</v>
      </c>
      <c r="JQ6" s="369" t="s">
        <v>82</v>
      </c>
      <c r="JR6" s="369" t="s">
        <v>83</v>
      </c>
      <c r="JS6" s="369" t="s">
        <v>257</v>
      </c>
      <c r="JT6" s="369" t="s">
        <v>82</v>
      </c>
      <c r="JU6" s="369" t="s">
        <v>83</v>
      </c>
      <c r="JV6" s="369" t="s">
        <v>257</v>
      </c>
      <c r="JW6" s="369" t="s">
        <v>82</v>
      </c>
      <c r="JX6" s="369" t="s">
        <v>83</v>
      </c>
      <c r="JY6" s="369" t="s">
        <v>257</v>
      </c>
      <c r="JZ6" s="369" t="s">
        <v>82</v>
      </c>
      <c r="KA6" s="369" t="s">
        <v>83</v>
      </c>
      <c r="KB6" s="369" t="s">
        <v>257</v>
      </c>
      <c r="KC6" s="369" t="s">
        <v>82</v>
      </c>
      <c r="KD6" s="369" t="s">
        <v>83</v>
      </c>
      <c r="KE6" s="369" t="s">
        <v>257</v>
      </c>
      <c r="KF6" s="259"/>
      <c r="KG6" s="208" t="s">
        <v>78</v>
      </c>
    </row>
    <row r="7" spans="1:293" x14ac:dyDescent="0.25">
      <c r="A7" s="35">
        <v>31</v>
      </c>
      <c r="B7" s="250">
        <v>6015.23</v>
      </c>
      <c r="C7" s="38"/>
      <c r="D7" s="38"/>
      <c r="E7" s="250">
        <v>1204.8</v>
      </c>
      <c r="F7" s="38"/>
      <c r="G7" s="38"/>
      <c r="H7" s="37"/>
      <c r="I7" s="39"/>
      <c r="J7" s="42"/>
      <c r="K7" s="37"/>
      <c r="L7" s="250">
        <v>19701560</v>
      </c>
      <c r="M7" s="40"/>
      <c r="N7" s="37"/>
      <c r="O7" s="250">
        <v>13788.3</v>
      </c>
      <c r="P7" s="37"/>
      <c r="Q7" s="37"/>
      <c r="R7" s="37"/>
      <c r="S7" s="250">
        <v>11280363.75</v>
      </c>
      <c r="T7" s="37"/>
      <c r="U7" s="250">
        <v>1523792.57</v>
      </c>
      <c r="V7" s="37"/>
      <c r="W7" s="250">
        <v>4946.5</v>
      </c>
      <c r="X7" s="37"/>
      <c r="Y7" s="183"/>
      <c r="Z7" s="183"/>
      <c r="AA7" s="250">
        <v>919300</v>
      </c>
      <c r="AB7" s="37"/>
      <c r="AC7" s="250">
        <v>5111.3</v>
      </c>
      <c r="AD7" s="37"/>
      <c r="AE7" s="37"/>
      <c r="AF7" s="37"/>
      <c r="AG7" s="250">
        <v>11119</v>
      </c>
      <c r="AH7" s="37"/>
      <c r="AI7" s="37"/>
      <c r="AJ7" s="37"/>
      <c r="AK7" s="37"/>
      <c r="AL7" s="250">
        <v>12677.8</v>
      </c>
      <c r="AM7" s="42"/>
      <c r="AN7" s="37"/>
      <c r="AO7" s="37"/>
      <c r="AP7" s="250">
        <v>10043.200000000001</v>
      </c>
      <c r="AQ7" s="37"/>
      <c r="AR7" s="37"/>
      <c r="AS7" s="37"/>
      <c r="AT7" s="183"/>
      <c r="AU7" s="183"/>
      <c r="AV7" s="183"/>
      <c r="AW7" s="183"/>
      <c r="AX7" s="250">
        <v>547880</v>
      </c>
      <c r="AY7" s="37"/>
      <c r="AZ7" s="37"/>
      <c r="BA7" s="250">
        <v>244110</v>
      </c>
      <c r="BB7" s="37"/>
      <c r="BC7" s="37"/>
      <c r="BD7" s="37"/>
      <c r="BE7" s="250">
        <v>2175.5</v>
      </c>
      <c r="BF7" s="250">
        <v>1228.5</v>
      </c>
      <c r="BG7" s="37"/>
      <c r="BH7" s="250">
        <v>10376</v>
      </c>
      <c r="BI7" s="250">
        <v>6708.5</v>
      </c>
      <c r="BJ7" s="37"/>
      <c r="BK7" s="250">
        <v>2222600</v>
      </c>
      <c r="BL7" s="40"/>
      <c r="BM7" s="250">
        <v>968.39</v>
      </c>
      <c r="BN7" s="37"/>
      <c r="BO7" s="186"/>
      <c r="BP7" s="183" t="e">
        <f t="shared" ref="BP7" si="0">IF((BO7-BO6)&lt;=0,0,(BO7-BO6))*1000</f>
        <v>#VALUE!</v>
      </c>
      <c r="BQ7" s="250">
        <v>923.8</v>
      </c>
      <c r="BR7" s="37"/>
      <c r="BS7" s="250">
        <v>131209.84</v>
      </c>
      <c r="BT7" s="37"/>
      <c r="BU7" s="250">
        <v>3908470</v>
      </c>
      <c r="BV7" s="42"/>
      <c r="BW7" s="37"/>
      <c r="BX7" s="37"/>
      <c r="BY7" s="250">
        <v>452.87</v>
      </c>
      <c r="BZ7" s="43"/>
      <c r="CA7" s="37"/>
      <c r="CB7" s="37"/>
      <c r="CC7" s="250">
        <v>865981.2</v>
      </c>
      <c r="CD7" s="37"/>
      <c r="CE7" s="250">
        <v>2028841</v>
      </c>
      <c r="CF7" s="37"/>
      <c r="CG7" s="250">
        <v>122991.9</v>
      </c>
      <c r="CH7" s="37"/>
      <c r="CI7" s="250">
        <v>15330.09</v>
      </c>
      <c r="CJ7" s="40"/>
      <c r="CK7" s="37"/>
      <c r="CL7" s="37"/>
      <c r="CM7" s="250">
        <v>1136972</v>
      </c>
      <c r="CN7" s="37"/>
      <c r="CO7" s="37"/>
      <c r="CP7" s="37"/>
      <c r="CQ7" s="250">
        <v>4618.59</v>
      </c>
      <c r="CR7" s="39"/>
      <c r="CS7" s="37"/>
      <c r="CT7" s="37"/>
      <c r="CU7" s="250">
        <v>5249704</v>
      </c>
      <c r="CV7" s="41"/>
      <c r="CW7" s="38"/>
      <c r="CX7" s="37"/>
      <c r="CY7" s="250">
        <v>2817238</v>
      </c>
      <c r="CZ7" s="37"/>
      <c r="DA7" s="37"/>
      <c r="DB7" s="37"/>
      <c r="DC7" s="37"/>
      <c r="DD7" s="40"/>
      <c r="DE7" s="37" t="e">
        <f>IF((DC7-DC6)&lt;=0,0,(DC7-DC6))</f>
        <v>#VALUE!</v>
      </c>
      <c r="DF7" s="37" t="e">
        <f>IF(DE7&lt;=0,0,(DE7/SQRT(DE7^2+(DD7-DD6)^2)))</f>
        <v>#VALUE!</v>
      </c>
      <c r="DG7" s="37" t="e">
        <f t="shared" ref="DG7" si="1">(DE7)-DA7-CW7-CS7-CO7-CK7-BW7</f>
        <v>#VALUE!</v>
      </c>
      <c r="DH7" s="37"/>
      <c r="DI7" s="46"/>
      <c r="DJ7" s="46"/>
      <c r="DK7" s="47"/>
      <c r="DL7" s="47"/>
      <c r="DM7" s="37"/>
      <c r="DN7" s="37"/>
      <c r="DO7" s="37"/>
      <c r="DP7" s="37"/>
      <c r="DQ7" s="250">
        <v>167400</v>
      </c>
      <c r="DR7" s="49"/>
      <c r="DS7" s="250">
        <v>7296400</v>
      </c>
      <c r="DT7" s="49"/>
      <c r="DU7" s="250">
        <v>8561.1</v>
      </c>
      <c r="DV7" s="250">
        <v>4797.6000000000004</v>
      </c>
      <c r="DW7" s="37"/>
      <c r="DX7" s="250">
        <v>14172</v>
      </c>
      <c r="DY7" s="250">
        <v>8835.9</v>
      </c>
      <c r="DZ7" s="37"/>
      <c r="EA7" s="250">
        <v>33056</v>
      </c>
      <c r="EB7" s="250">
        <v>22.469000000000001</v>
      </c>
      <c r="EC7" s="37"/>
      <c r="ED7" s="53"/>
      <c r="EE7" s="250">
        <v>49709</v>
      </c>
      <c r="EF7" s="250">
        <v>32.889000000000003</v>
      </c>
      <c r="EG7" s="37"/>
      <c r="EH7" s="250">
        <v>14825</v>
      </c>
      <c r="EI7" s="250">
        <v>2.2490999999999999</v>
      </c>
      <c r="EJ7" s="37"/>
      <c r="EK7" s="250">
        <v>901.96</v>
      </c>
      <c r="EL7" s="250">
        <v>1290.5</v>
      </c>
      <c r="EM7" s="37"/>
      <c r="EN7" s="54">
        <f t="shared" ref="EN7" si="2">EG7+EJ7+EM7</f>
        <v>0</v>
      </c>
      <c r="EO7" s="250">
        <v>14235</v>
      </c>
      <c r="EP7" s="48"/>
      <c r="EQ7" s="37"/>
      <c r="ER7" s="250">
        <v>11931</v>
      </c>
      <c r="ES7" s="55"/>
      <c r="ET7" s="49"/>
      <c r="EU7" s="250">
        <v>5121.3999999999996</v>
      </c>
      <c r="EV7" s="48"/>
      <c r="EW7" s="49"/>
      <c r="EX7" s="250">
        <v>15326</v>
      </c>
      <c r="EY7" s="48"/>
      <c r="EZ7" s="37"/>
      <c r="FA7" s="48"/>
      <c r="FB7" s="250">
        <v>40162322</v>
      </c>
      <c r="FC7" s="49"/>
      <c r="FD7" s="48"/>
      <c r="FE7" s="250">
        <v>18392</v>
      </c>
      <c r="FF7" s="48"/>
      <c r="FG7" s="37"/>
      <c r="FH7" s="250">
        <v>11293</v>
      </c>
      <c r="FI7" s="48"/>
      <c r="FJ7" s="49"/>
      <c r="FK7" s="48"/>
      <c r="FL7" s="58"/>
      <c r="FM7" s="48"/>
      <c r="FN7" s="250">
        <v>18398</v>
      </c>
      <c r="FO7" s="48"/>
      <c r="FP7" s="37"/>
      <c r="FQ7" s="250">
        <v>64568</v>
      </c>
      <c r="FR7" s="48"/>
      <c r="FS7" s="37"/>
      <c r="FT7" s="48"/>
      <c r="FU7" s="48"/>
      <c r="FV7" s="250">
        <v>8027400</v>
      </c>
      <c r="FW7" s="44"/>
      <c r="FX7" s="37"/>
      <c r="FY7" s="250">
        <v>413670</v>
      </c>
      <c r="FZ7" s="56"/>
      <c r="GA7" s="37"/>
      <c r="GB7" s="250">
        <v>933.29</v>
      </c>
      <c r="GC7" s="56"/>
      <c r="GD7" s="37"/>
      <c r="GE7" s="250">
        <v>11435</v>
      </c>
      <c r="GF7" s="63"/>
      <c r="GG7" s="37"/>
      <c r="GH7" s="250">
        <v>170650</v>
      </c>
      <c r="GI7" s="56"/>
      <c r="GJ7" s="38"/>
      <c r="GK7" s="250">
        <v>1562</v>
      </c>
      <c r="GL7" s="44"/>
      <c r="GM7" s="38"/>
      <c r="GN7" s="250">
        <v>244300</v>
      </c>
      <c r="GO7" s="57"/>
      <c r="GP7" s="38"/>
      <c r="GQ7" s="250">
        <v>309110</v>
      </c>
      <c r="GR7" s="38"/>
      <c r="GS7" s="38"/>
      <c r="GT7" s="247"/>
      <c r="GU7" s="363">
        <f>IFERROR(DailyOct!B6-DailyOct!N6-DailyOct!V6-DailyOct!Y6-DailyOct!Z6-DailyOct!AA6-DailyOct!AB6-DailyOct!AC6-DailyOct!AD6-DailyOct!AE6-DailyOct!AK6-DailyOct!AO6-DailyOct!AS6-DailyOct!AY6-DailyOct!BD6+DailyOct!BU6-DailyOct!BG6-DailyOct!BT6-DailyOct!AF6-DailyOct!AG6,"-")</f>
        <v>0</v>
      </c>
      <c r="GV7" s="261"/>
      <c r="GW7" s="60"/>
      <c r="GX7" s="260"/>
      <c r="GY7" s="140"/>
      <c r="GZ7" s="62"/>
      <c r="HA7" s="62"/>
      <c r="HB7" s="62"/>
      <c r="HC7" s="62"/>
      <c r="HD7" s="74"/>
      <c r="HE7" s="24"/>
      <c r="HG7" s="279">
        <v>31</v>
      </c>
      <c r="HH7" s="292">
        <v>35104</v>
      </c>
      <c r="HI7" s="292">
        <v>13312</v>
      </c>
      <c r="HJ7" s="61"/>
      <c r="HK7" s="260">
        <v>2.1432000000000002</v>
      </c>
      <c r="HL7" s="260">
        <v>807.23</v>
      </c>
      <c r="HM7" s="61"/>
      <c r="HN7" s="292">
        <v>8812.9</v>
      </c>
      <c r="HO7" s="292">
        <v>87445</v>
      </c>
      <c r="HP7" s="61"/>
      <c r="HQ7" s="292">
        <v>6002.3</v>
      </c>
      <c r="HR7" s="292">
        <v>2499.9</v>
      </c>
      <c r="HS7" s="61"/>
      <c r="HT7" s="292">
        <v>5971.5</v>
      </c>
      <c r="HU7" s="292">
        <v>2126.1999999999998</v>
      </c>
      <c r="HV7" s="61"/>
      <c r="HW7" s="292">
        <v>4529.1000000000004</v>
      </c>
      <c r="HX7" s="292">
        <v>1910.8</v>
      </c>
      <c r="HY7" s="61"/>
      <c r="HZ7" s="260">
        <v>4009600</v>
      </c>
      <c r="IA7" s="260">
        <v>17193</v>
      </c>
      <c r="IB7" s="61"/>
      <c r="IC7" s="292">
        <v>719.8</v>
      </c>
      <c r="ID7" s="292">
        <v>232.78</v>
      </c>
      <c r="IE7" s="61"/>
      <c r="IF7" s="61"/>
      <c r="IG7" s="61"/>
      <c r="IH7" s="280">
        <f t="shared" ref="IH7" si="3">DT7</f>
        <v>0</v>
      </c>
      <c r="II7" s="281">
        <f t="shared" ref="II7" si="4">HJ7+HM7-HS7-HV7-HY7-IH7-HP7-IB7</f>
        <v>0</v>
      </c>
      <c r="IJ7" s="394"/>
      <c r="IK7" s="394"/>
      <c r="IL7" s="394"/>
      <c r="IM7" s="394"/>
      <c r="IN7" s="394"/>
      <c r="IO7" s="394" t="e">
        <f t="shared" ref="IO7" si="5">IF((IM7-IM6)&lt;=0,0,(IM7-IM6)*1000)</f>
        <v>#VALUE!</v>
      </c>
      <c r="IP7" s="394"/>
      <c r="IQ7" s="394"/>
      <c r="IR7" s="394" t="e">
        <f t="shared" ref="IR7" si="6">IF((IP7-IP6)&lt;=0,0,(IP7-IP6))</f>
        <v>#VALUE!</v>
      </c>
      <c r="IS7" s="394"/>
      <c r="IT7" s="394"/>
      <c r="IU7" s="394" t="e">
        <f t="shared" ref="IU7" si="7">IF((IS7-IS6)&lt;=0,0,(IS7-IS6))</f>
        <v>#VALUE!</v>
      </c>
      <c r="IV7" s="394"/>
      <c r="IW7" s="394"/>
      <c r="IX7" s="394" t="e">
        <f t="shared" ref="IX7" si="8">IF((IV7-IV6)&lt;=0,0,(IV7-IV6))</f>
        <v>#VALUE!</v>
      </c>
      <c r="IY7" s="394"/>
      <c r="IZ7" s="394"/>
      <c r="JA7" s="394" t="e">
        <f t="shared" ref="JA7" si="9">IF((IY7-IY6)&lt;=0,0,(IY7-IY6))</f>
        <v>#VALUE!</v>
      </c>
      <c r="JB7" s="394"/>
      <c r="JC7" s="394"/>
      <c r="JD7" s="394" t="e">
        <f t="shared" ref="JD7" si="10">IF((JB7-JB6)&lt;=0,0,(JB7-JB6))</f>
        <v>#VALUE!</v>
      </c>
      <c r="JE7" s="394"/>
      <c r="JF7" s="394"/>
      <c r="JG7" s="394" t="e">
        <f t="shared" ref="JG7" si="11">IF((JE7-JE6)&lt;=0,0,(JE7-JE6))</f>
        <v>#VALUE!</v>
      </c>
      <c r="JH7" s="394"/>
      <c r="JI7" s="394"/>
      <c r="JJ7" s="394" t="e">
        <f t="shared" ref="JJ7" si="12">IF((JH7-JH6)&lt;=0,0,(JH7-JH6))</f>
        <v>#VALUE!</v>
      </c>
      <c r="JK7" s="394"/>
      <c r="JL7" s="394"/>
      <c r="JM7" s="394" t="e">
        <f t="shared" ref="JM7" si="13">IF((JK7-JK6)&lt;=0,0,(JK7-JK6))</f>
        <v>#VALUE!</v>
      </c>
      <c r="JN7" s="394"/>
      <c r="JO7" s="394"/>
      <c r="JP7" s="394" t="e">
        <f t="shared" ref="JP7" si="14">IF((JN7-JN6)&lt;=0,0,(JN7-JN6))</f>
        <v>#VALUE!</v>
      </c>
      <c r="JQ7" s="394"/>
      <c r="JR7" s="394"/>
      <c r="JS7" s="394" t="e">
        <f t="shared" ref="JS7" si="15">IF((JQ7-JQ6)&lt;=0,0,(JQ7-JQ6))</f>
        <v>#VALUE!</v>
      </c>
      <c r="JT7" s="394"/>
      <c r="JU7" s="394"/>
      <c r="JV7" s="394" t="e">
        <f t="shared" ref="JV7" si="16">IF((JT7-JT6)&lt;=0,0,(JT7-JT6))</f>
        <v>#VALUE!</v>
      </c>
      <c r="JW7" s="394"/>
      <c r="JX7" s="394"/>
      <c r="JY7" s="394" t="e">
        <f t="shared" ref="JY7" si="17">IF((JW7-JW6)&lt;=0,0,(JW7-JW6))</f>
        <v>#VALUE!</v>
      </c>
      <c r="JZ7" s="394"/>
      <c r="KA7" s="394"/>
      <c r="KB7" s="394" t="e">
        <f t="shared" ref="KB7" si="18">IF((JZ7-JZ6)&lt;=0,0,(JZ7-JZ6))</f>
        <v>#VALUE!</v>
      </c>
      <c r="KC7" s="394"/>
      <c r="KD7" s="394"/>
      <c r="KE7" s="394" t="e">
        <f t="shared" ref="KE7" si="19">IF((KC7-KC6)&lt;=0,0,(KC7-KC6))</f>
        <v>#VALUE!</v>
      </c>
      <c r="KG7" s="151">
        <f t="shared" ref="KG7" si="20">HJ7+HM7-HS7-HV7-HY7-IH7</f>
        <v>0</v>
      </c>
    </row>
    <row r="8" spans="1:293" x14ac:dyDescent="0.25">
      <c r="A8" s="35">
        <v>1</v>
      </c>
      <c r="B8" s="250">
        <v>6024.87</v>
      </c>
      <c r="C8" s="38">
        <f t="shared" ref="C8:C38" si="21">IF((B8-B7)&lt;=0,0,(B8-B7))</f>
        <v>9.6400000000003274</v>
      </c>
      <c r="D8" s="38">
        <f t="shared" ref="D8:D38" si="22">IF((B8-B7)*32000&lt;=0,0,(B8-B7)*32000)</f>
        <v>308480.00000001048</v>
      </c>
      <c r="E8" s="250">
        <v>1206.6099999999999</v>
      </c>
      <c r="F8" s="38">
        <f t="shared" ref="F8:F38" si="23">IF((E8-E7)*32000&lt;=0,0,(E8-E7)*32000)</f>
        <v>57919.999999998254</v>
      </c>
      <c r="G8" s="38">
        <f t="shared" ref="G8:G38" si="24">D8+F8</f>
        <v>366400.00000000873</v>
      </c>
      <c r="H8" s="37"/>
      <c r="I8" s="39"/>
      <c r="J8" s="42"/>
      <c r="K8" s="37">
        <f>IF(J8&lt;=0,0,(J8/SQRT(J8^2+(I8-I7)^2)))</f>
        <v>0</v>
      </c>
      <c r="L8" s="250">
        <v>19737900</v>
      </c>
      <c r="M8" s="40"/>
      <c r="N8" s="37">
        <f>IF((L8-L7)&lt;=0,0,(L8-L7)*10)</f>
        <v>363400</v>
      </c>
      <c r="O8" s="250">
        <v>13809.3</v>
      </c>
      <c r="P8" s="37"/>
      <c r="Q8" s="37">
        <f t="shared" ref="Q8:Q22" si="25">IF((O8-O7)&lt;=0,0,(O8-O7))*1000</f>
        <v>21000</v>
      </c>
      <c r="R8" s="37">
        <f>IF(Q8&lt;=0,0,(Q8/SQRT(Q8^2+(P8-P7)^2)))</f>
        <v>1</v>
      </c>
      <c r="S8" s="250">
        <v>11280369.75</v>
      </c>
      <c r="T8" s="37">
        <f t="shared" ref="T8:T38" si="26">IF((S8-S7)&lt;=0,0,(S8-S7))</f>
        <v>6</v>
      </c>
      <c r="U8" s="250">
        <v>1523792.57</v>
      </c>
      <c r="V8" s="37">
        <f t="shared" ref="V8:V36" si="27">IF((U8-U7)&lt;=0,0,(U8-U7))</f>
        <v>0</v>
      </c>
      <c r="W8" s="250">
        <v>4953.2</v>
      </c>
      <c r="X8" s="37">
        <f>Q8-T8-V8-AB8</f>
        <v>11294</v>
      </c>
      <c r="Y8" s="183"/>
      <c r="Z8" s="183"/>
      <c r="AA8" s="250">
        <v>929000</v>
      </c>
      <c r="AB8" s="37">
        <f t="shared" ref="AB8:AB38" si="28">IF((AA8-AA7)&lt;=0,0,(AA8-AA7))</f>
        <v>9700</v>
      </c>
      <c r="AC8" s="250">
        <v>5115.8</v>
      </c>
      <c r="AD8" s="37"/>
      <c r="AE8" s="37">
        <f t="shared" ref="AE8:AE22" si="29">IF((AC8-AC7)&lt;=0,0,(AC8-AC7))*1000</f>
        <v>4500</v>
      </c>
      <c r="AF8" s="37">
        <f>IF(AE8&lt;=0,0,(AE8/SQRT(AE8^2+(AD8-AD7)^2)))</f>
        <v>1</v>
      </c>
      <c r="AG8" s="250">
        <v>11131.5</v>
      </c>
      <c r="AH8" s="37"/>
      <c r="AI8" s="37">
        <f t="shared" ref="AI8" si="30">IF((AG8-AG7)&lt;=0,0,(AG8-AG7))*1000+GX8</f>
        <v>12500</v>
      </c>
      <c r="AJ8" s="37">
        <f t="shared" ref="AJ8" si="31">IF(AI8&lt;=0,0,(AI8/SQRT(AI8^2+(AH8-AH7)^2)))</f>
        <v>1</v>
      </c>
      <c r="AK8" s="37">
        <f t="shared" ref="AK8:AK38" si="32">T8+V8+X8+AE8+AI8</f>
        <v>28300</v>
      </c>
      <c r="AL8" s="250">
        <v>12690</v>
      </c>
      <c r="AM8" s="42"/>
      <c r="AN8" s="37">
        <f>IF((AL8-AL7)&lt;=0,0,(AL8-AL7))*1000+GX8-BL8-BN8-BP8-BR8</f>
        <v>6440.0000000006685</v>
      </c>
      <c r="AO8" s="37">
        <f>IF(AN8&lt;=0,0,(AN8/SQRT(AN8^2+(AM8-AM7)^2)))</f>
        <v>1</v>
      </c>
      <c r="AP8" s="250">
        <v>10057.1</v>
      </c>
      <c r="AQ8" s="37"/>
      <c r="AR8" s="37">
        <f t="shared" ref="AR8" si="33">IF((AP8-AP7)&lt;=0,0,(AP8-AP7))*1000</f>
        <v>13899.999999999636</v>
      </c>
      <c r="AS8" s="37">
        <f>IF(AR8&lt;=0,0,(AR8/SQRT(AR8^2+(AQ8-AQ7)^2)))</f>
        <v>1</v>
      </c>
      <c r="AT8" s="183"/>
      <c r="AU8" s="183"/>
      <c r="AV8" s="183"/>
      <c r="AW8" s="183"/>
      <c r="AX8" s="250">
        <v>548330</v>
      </c>
      <c r="AY8" s="37"/>
      <c r="AZ8" s="37">
        <f t="shared" ref="AZ8:AZ38" si="34">IF((AX8-AX7)&lt;=0,0,(AX8-AX7))</f>
        <v>450</v>
      </c>
      <c r="BA8" s="250">
        <v>244800</v>
      </c>
      <c r="BB8" s="37"/>
      <c r="BC8" s="37">
        <f t="shared" ref="BC8" si="35">IF((BA8-BA7)&lt;=0,0,(BA8-BA7))</f>
        <v>690</v>
      </c>
      <c r="BD8" s="37">
        <f>AN8+AR8+AZ8+BC8</f>
        <v>21480.000000000306</v>
      </c>
      <c r="BE8" s="250">
        <v>2177.4</v>
      </c>
      <c r="BF8" s="250">
        <v>1229.7</v>
      </c>
      <c r="BG8" s="37">
        <f t="shared" ref="BG8:BG38" si="36">IF((BE8-BE7)&lt;=0,0,(BE8-BE7))*1000</f>
        <v>1900.0000000000909</v>
      </c>
      <c r="BH8" s="250">
        <v>10385</v>
      </c>
      <c r="BI8" s="250">
        <v>6714.6</v>
      </c>
      <c r="BJ8" s="37">
        <f t="shared" ref="BJ8:BJ38" si="37">IF((BH8-BH7)&lt;=0,0,(BH8-BH7))*1000</f>
        <v>9000</v>
      </c>
      <c r="BK8" s="250">
        <v>2226300</v>
      </c>
      <c r="BL8" s="40">
        <f>IF((BK8-BK7)&lt;=0,0,(BK8-BK7))</f>
        <v>3700</v>
      </c>
      <c r="BM8" s="250">
        <v>969.85</v>
      </c>
      <c r="BN8" s="37">
        <f t="shared" ref="BN8:BN37" si="38">IF((BM8-BM7)&lt;=0,0,BM8-BM7)*1000</f>
        <v>1460.0000000000364</v>
      </c>
      <c r="BO8" s="186"/>
      <c r="BP8" s="183">
        <v>0</v>
      </c>
      <c r="BQ8" s="250">
        <v>924.4</v>
      </c>
      <c r="BR8" s="37">
        <f>IF((BQ8-BQ7)&lt;=0,0,(BQ8-BQ7))*1000</f>
        <v>600.00000000002274</v>
      </c>
      <c r="BS8" s="250">
        <v>131355.32</v>
      </c>
      <c r="BT8" s="37">
        <f t="shared" ref="BT8:BT38" si="39">IF((BS8-BS7)&lt;=0,0,(BS8-BS7))</f>
        <v>145.48000000001048</v>
      </c>
      <c r="BU8" s="250">
        <v>3914299</v>
      </c>
      <c r="BV8" s="42"/>
      <c r="BW8" s="37">
        <f t="shared" ref="BW8" si="40">IF((BU8-BU7)&lt;=0,0,(BU8-BU7))</f>
        <v>5829</v>
      </c>
      <c r="BX8" s="37">
        <f>IF(BW8&lt;=0,0,(BW8/SQRT(BW8^2+(BV8-BV7)^2)))</f>
        <v>1</v>
      </c>
      <c r="BY8" s="250">
        <v>453.54399999999998</v>
      </c>
      <c r="BZ8" s="43"/>
      <c r="CA8" s="37">
        <f t="shared" ref="CA8" si="41">IF((BY8-BY7)&lt;=0,0,(BY8-BY7)*1000)</f>
        <v>673.99999999997817</v>
      </c>
      <c r="CB8" s="37">
        <f>IF(CA8&lt;=0,0,(CA8/SQRT(CA8^2+(BZ8-BZ7)^2)))</f>
        <v>1</v>
      </c>
      <c r="CC8" s="250">
        <v>866651.4</v>
      </c>
      <c r="CD8" s="37">
        <f t="shared" ref="CD8:CD38" si="42">IF((CC8-CC7)&lt;=0,0,(CC8-CC7))</f>
        <v>670.20000000006985</v>
      </c>
      <c r="CE8" s="250">
        <v>2033938</v>
      </c>
      <c r="CF8" s="37">
        <f t="shared" ref="CF8:CF38" si="43">IF((CE8-CE7)&lt;=0,0,(CE8-CE7))</f>
        <v>5097</v>
      </c>
      <c r="CG8" s="250">
        <v>122991.9</v>
      </c>
      <c r="CH8" s="37">
        <f>IF((CG8-CG7)&lt;=0,0,(CG8-CG7))</f>
        <v>0</v>
      </c>
      <c r="CI8" s="250">
        <v>15346.52</v>
      </c>
      <c r="CJ8" s="40"/>
      <c r="CK8" s="37">
        <f>IF((CI8-CI7)*1000&lt;=0,0,(CI8-CI7)*1000)+GX8-CA8</f>
        <v>15756.000000000313</v>
      </c>
      <c r="CL8" s="37">
        <f t="shared" ref="CL8" si="44">IF(CK8&lt;=0,0,(CK8/SQRT(CK8^2+(CJ8-CJ7)^2)))</f>
        <v>1</v>
      </c>
      <c r="CM8" s="391">
        <v>1143312</v>
      </c>
      <c r="CN8" s="37"/>
      <c r="CO8" s="37">
        <f t="shared" ref="CO8:CO38" si="45">IF((CM8-CM7)&lt;=0,0,(CM8-CM7))*1000+GX8</f>
        <v>6340000</v>
      </c>
      <c r="CP8" s="37">
        <f>IF(CO8&lt;=0,0,(CO8/SQRT(CO8^2+(CN8-CN7)^2)))</f>
        <v>1</v>
      </c>
      <c r="CQ8" s="250">
        <v>4625.9390000000003</v>
      </c>
      <c r="CR8" s="39"/>
      <c r="CS8" s="37">
        <f>IF((CQ8-CQ7)&lt;=0,0,(CQ8-CQ7))+GX8</f>
        <v>7.3490000000001601</v>
      </c>
      <c r="CT8" s="37">
        <f>IF(CS8&lt;=0,0,(CS8/SQRT(CS8^2+(CR8-CR7)^2)))</f>
        <v>1</v>
      </c>
      <c r="CU8" s="250">
        <v>5263871</v>
      </c>
      <c r="CV8" s="41"/>
      <c r="CW8" s="38">
        <f t="shared" ref="CW8" si="46">IF((CU8-CU7)&lt;=0,0,(CU8-CU7))</f>
        <v>14167</v>
      </c>
      <c r="CX8" s="37">
        <f>IF(CW8&lt;=0,0,(CW8/SQRT(CW8^2+(CV8-CV7)^2)))</f>
        <v>1</v>
      </c>
      <c r="CY8" s="250">
        <v>2824000</v>
      </c>
      <c r="CZ8" s="37"/>
      <c r="DA8" s="37">
        <f t="shared" ref="DA8" si="47">IF((CY8-CY7)&lt;=0,0,(CY8-CY7))</f>
        <v>6762</v>
      </c>
      <c r="DB8" s="37">
        <f>IF(DA8&lt;=0,0,(DA8/SQRT(DA8^2+(CZ8-CZ7)^2)))</f>
        <v>1</v>
      </c>
      <c r="DC8" s="37"/>
      <c r="DD8" s="40"/>
      <c r="DE8" s="37">
        <f t="shared" ref="DE8" si="48">IF((DC8-DC7)&lt;=0,0,(DC8-DC7))</f>
        <v>0</v>
      </c>
      <c r="DF8" s="37">
        <f>IF(DE8&lt;=0,0,(DE8/SQRT(DE8^2+(DD8-DD7)^2)))</f>
        <v>0</v>
      </c>
      <c r="DG8" s="37">
        <f t="shared" ref="DG8" si="49">(DE8)-DA8-CW8-CS8-CO8-CK8-BW8</f>
        <v>-6382521.3490000004</v>
      </c>
      <c r="DH8" s="37">
        <f t="shared" ref="DH8" si="50">DE8+BG8+AK8+N8</f>
        <v>393600.00000000012</v>
      </c>
      <c r="DI8" s="46"/>
      <c r="DJ8" s="46"/>
      <c r="DK8" s="47"/>
      <c r="DL8" s="47"/>
      <c r="DM8" s="37"/>
      <c r="DN8" s="37"/>
      <c r="DO8" s="37"/>
      <c r="DP8" s="37"/>
      <c r="DQ8" s="250">
        <v>179510</v>
      </c>
      <c r="DR8" s="49">
        <f>IF((DQ8-DQ7)&lt;=0,0,(DQ8-DQ7))</f>
        <v>12110</v>
      </c>
      <c r="DS8" s="250">
        <v>7319200</v>
      </c>
      <c r="DT8" s="49">
        <f>IF((DS8-DS7)&lt;=0,0,(DS8-DS7))</f>
        <v>22800</v>
      </c>
      <c r="DU8" s="250">
        <v>8561.4</v>
      </c>
      <c r="DV8" s="250">
        <v>4797.8</v>
      </c>
      <c r="DW8" s="37">
        <f>IF((DU8-DU7)*1000&lt;=0,0,(DU8-DU7)*1000)</f>
        <v>299.9999999992724</v>
      </c>
      <c r="DX8" s="250">
        <v>14172</v>
      </c>
      <c r="DY8" s="250">
        <v>8836.2999999999993</v>
      </c>
      <c r="DZ8" s="37">
        <f t="shared" ref="DZ8:DZ38" si="51">IF((DX8-DX7)*1000&lt;=0,0,(DX8-DX7)*1000)+GX8</f>
        <v>0</v>
      </c>
      <c r="EA8" s="250">
        <v>33058</v>
      </c>
      <c r="EB8" s="250">
        <v>22.469000000000001</v>
      </c>
      <c r="EC8" s="37">
        <f>IFERROR(IF((EA8-EA7)*1000&lt;=0,0,(EA8-EA7)*1000)+GX8+$EE$41,0)</f>
        <v>4160</v>
      </c>
      <c r="ED8" s="53">
        <f t="shared" ref="ED8:ED36" si="52">DW8+DZ8+EC8</f>
        <v>4459.9999999992724</v>
      </c>
      <c r="EE8" s="250">
        <v>49734</v>
      </c>
      <c r="EF8" s="250">
        <v>32.908000000000001</v>
      </c>
      <c r="EG8" s="37">
        <f t="shared" ref="EG8" si="53">IF((EE8-EE7)*1000&lt;=0,0,(EE8-EE7)*1000)+GX8+$EE$41</f>
        <v>27160</v>
      </c>
      <c r="EH8" s="250">
        <v>14835</v>
      </c>
      <c r="EI8" s="250">
        <v>2.2446999999999999</v>
      </c>
      <c r="EJ8" s="37">
        <f t="shared" ref="EJ8:EJ38" si="54">IF((EH8-EH7)*1000&lt;=0,0,(EH8-EH7)*1000)+GX8</f>
        <v>10000</v>
      </c>
      <c r="EK8" s="250">
        <v>902.6</v>
      </c>
      <c r="EL8" s="250">
        <v>1291.5</v>
      </c>
      <c r="EM8" s="37">
        <f>IF((EK8-EK7)&lt;=0,0,(EK8-EK7))*1000</f>
        <v>639.99999999998636</v>
      </c>
      <c r="EN8" s="54">
        <f>EG8+EJ8+EM8</f>
        <v>37799.999999999985</v>
      </c>
      <c r="EO8" s="250">
        <v>14244</v>
      </c>
      <c r="EP8" s="48"/>
      <c r="EQ8" s="37">
        <f>IF((EO8-EO7)*1000&lt;=0,0,(EO8-EO7)*1000)+GX8-FU45+FV45</f>
        <v>9000</v>
      </c>
      <c r="ER8" s="250">
        <v>11948</v>
      </c>
      <c r="ES8" s="55"/>
      <c r="ET8" s="49">
        <f t="shared" ref="ET8:ET15" si="55">IF((ER8-ER7)&lt;=0,0,(ER8-ER7))*1000</f>
        <v>17000</v>
      </c>
      <c r="EU8" s="250">
        <v>5131.8</v>
      </c>
      <c r="EV8" s="48"/>
      <c r="EW8" s="49">
        <f t="shared" ref="EW8:EW38" si="56">IF((EU8-EU7)&lt;=0,0,(EU8-EU7))*1000+GX8</f>
        <v>10400.000000000546</v>
      </c>
      <c r="EX8" s="250">
        <v>15337</v>
      </c>
      <c r="EY8" s="48"/>
      <c r="EZ8" s="37">
        <f t="shared" ref="EZ8" si="57">IF((EX8-EX7)&lt;=0,0,(EX8-EX7))*1000+GX8</f>
        <v>11000</v>
      </c>
      <c r="FA8" s="48">
        <f>FC8-EQ8-ET8-EW8-EZ8</f>
        <v>-22988.000000000546</v>
      </c>
      <c r="FB8" s="250">
        <v>40186734</v>
      </c>
      <c r="FC8" s="49">
        <f>IF((FB8-FB7)&lt;=0,0,(FB8-FB7))</f>
        <v>24412</v>
      </c>
      <c r="FD8" s="48">
        <f>EQ8+ET8+EW8+EZ8+GJ8</f>
        <v>49210.000000000546</v>
      </c>
      <c r="FE8" s="250">
        <v>18400</v>
      </c>
      <c r="FF8" s="154"/>
      <c r="FG8" s="37">
        <f t="shared" ref="FG8" si="58">IF((FE8-FE7)*1000&lt;=0,0,(FE8-FE7)*1000)+FL8+GX8+FW45</f>
        <v>8000</v>
      </c>
      <c r="FH8" s="250">
        <v>11308</v>
      </c>
      <c r="FI8" s="48"/>
      <c r="FJ8" s="49">
        <f t="shared" ref="FJ8:FJ38" si="59">IF((FH8-FH7)&lt;=0,0,(FH8-FH7))*1000+FL8+GX8</f>
        <v>15000</v>
      </c>
      <c r="FK8" s="48"/>
      <c r="FL8" s="58"/>
      <c r="FM8" s="48">
        <f>FT8/3</f>
        <v>0</v>
      </c>
      <c r="FN8" s="250">
        <v>18407</v>
      </c>
      <c r="FO8" s="48"/>
      <c r="FP8" s="37">
        <f>IF((FN8-FN7)*1000&lt;=0,0,(FN8-FN7)*1000)+FL8+GX8</f>
        <v>9000</v>
      </c>
      <c r="FQ8" s="250">
        <v>64600</v>
      </c>
      <c r="FR8" s="48"/>
      <c r="FS8" s="37">
        <f t="shared" ref="FS8:FS35" si="60">IF((FQ8-FQ7)*1000&lt;=0,0,(FQ8-FQ7)*1000)</f>
        <v>32000</v>
      </c>
      <c r="FT8" s="48">
        <f>FS8-FG8-FJ8-FP8</f>
        <v>0</v>
      </c>
      <c r="FU8" s="48">
        <f>FG8+FJ8+FP8+GM8</f>
        <v>32000</v>
      </c>
      <c r="FV8" s="250">
        <v>8054900</v>
      </c>
      <c r="FW8" s="44"/>
      <c r="FX8" s="37">
        <f t="shared" ref="FX8:FX38" si="61">IF((FV8-FV7)*1000&lt;=0,0,(FV8-FV7))</f>
        <v>27500</v>
      </c>
      <c r="FY8" s="250">
        <v>419270</v>
      </c>
      <c r="FZ8" s="56"/>
      <c r="GA8" s="37">
        <f t="shared" ref="GA8:GA38" si="62">IF((FY8-FY7)*1000&lt;=0,0,(FY8-FY7))</f>
        <v>5600</v>
      </c>
      <c r="GB8" s="250">
        <v>934.13099999999997</v>
      </c>
      <c r="GC8" s="56"/>
      <c r="GD8" s="37">
        <f t="shared" ref="GD8:GD38" si="63">IF((GB8-GB7)*1000&lt;=0,0,(GB8-GB7)*1000)</f>
        <v>841.00000000000819</v>
      </c>
      <c r="GE8" s="250">
        <v>11444</v>
      </c>
      <c r="GF8" s="63"/>
      <c r="GG8" s="37">
        <f t="shared" ref="GG8:GG38" si="64">IF((GE8-GE7)*1000&lt;=0,0,(GE8-GE7)*1000)-GJ8-GM8</f>
        <v>7190</v>
      </c>
      <c r="GH8" s="250">
        <v>172460</v>
      </c>
      <c r="GI8" s="56"/>
      <c r="GJ8" s="38">
        <f>IF((GH8-GH7)&lt;=0,0,(GH8-GH7))</f>
        <v>1810</v>
      </c>
      <c r="GK8" s="250">
        <v>1562</v>
      </c>
      <c r="GL8" s="44"/>
      <c r="GM8" s="38">
        <v>0</v>
      </c>
      <c r="GN8" s="250">
        <v>244300</v>
      </c>
      <c r="GO8" s="57"/>
      <c r="GP8" s="38">
        <f t="shared" ref="GP8:GP38" si="65">IF((GN8-GN7)&lt;=0,0,(GN8-GN7))</f>
        <v>0</v>
      </c>
      <c r="GQ8" s="250">
        <v>309340</v>
      </c>
      <c r="GR8" s="38"/>
      <c r="GS8" s="38">
        <f>IF((GQ8-GQ7)&lt;=0,0,(GQ8-GQ7))</f>
        <v>230</v>
      </c>
      <c r="GT8" s="247"/>
      <c r="GU8" s="144">
        <f>IFERROR(DailyNov!B8-DailyNov!N8-DailyNov!V8-DailyNov!Y8-DailyNov!Z8-DailyNov!AA8-DailyNov!AB8-DailyNov!AC8-DailyNov!AD8-DailyNov!AE8-DailyNov!AK8-DailyNov!AO8-DailyNov!AS8-DailyNov!AY8-DailyNov!BD8+DailyNov!BU8-DailyNov!BG8-DailyNov!BT8-DailyNov!AF8-DailyNov!AG8,"-")</f>
        <v>-20000</v>
      </c>
      <c r="GV8" s="261"/>
      <c r="GW8" s="60">
        <f t="shared" ref="GW8:GW38" si="66">GV8/15</f>
        <v>0</v>
      </c>
      <c r="GX8" s="260"/>
      <c r="GY8" s="140"/>
      <c r="GZ8" s="62"/>
      <c r="HA8" s="62"/>
      <c r="HB8" s="62"/>
      <c r="HC8" s="62"/>
      <c r="HD8" s="74"/>
      <c r="HE8" s="24"/>
      <c r="HG8" s="279">
        <v>1</v>
      </c>
      <c r="HH8" s="292">
        <v>35241</v>
      </c>
      <c r="HI8" s="292">
        <v>13363</v>
      </c>
      <c r="HJ8" s="61">
        <f t="shared" ref="HJ8:HJ38" si="67">IF((HH8-HH7)&lt;=0,0,(HH8-HH7)*1000)</f>
        <v>137000</v>
      </c>
      <c r="HK8" s="260">
        <v>2.1432000000000002</v>
      </c>
      <c r="HL8" s="260">
        <v>807.23</v>
      </c>
      <c r="HM8" s="61">
        <f t="shared" ref="HM8:HM38" si="68">IF((HK8-HK7)&lt;=0,0,(HK8-HK7))</f>
        <v>0</v>
      </c>
      <c r="HN8" s="292">
        <v>8846.5</v>
      </c>
      <c r="HO8" s="292">
        <v>87586</v>
      </c>
      <c r="HP8" s="61">
        <f>IFERROR(IF((HN8-HN7)&lt;=0,0,(HN8-HN7)*1000)+IL45,0)</f>
        <v>0</v>
      </c>
      <c r="HQ8" s="292">
        <v>6028.3</v>
      </c>
      <c r="HR8" s="292">
        <v>2510.4</v>
      </c>
      <c r="HS8" s="61">
        <f>IFERROR(IF((HQ8-HQ7)&lt;=0,0,(HQ8-HQ7)*1000)+IL45,0)</f>
        <v>0</v>
      </c>
      <c r="HT8" s="292">
        <v>5998.2</v>
      </c>
      <c r="HU8" s="292">
        <v>2135.5</v>
      </c>
      <c r="HV8" s="61">
        <f>IFERROR(IF((HT8-HT7)&lt;=0,0,(HT8-HT7)*1000)+IL45,0)</f>
        <v>0</v>
      </c>
      <c r="HW8" s="292">
        <v>4531.7</v>
      </c>
      <c r="HX8" s="292">
        <v>1912.1</v>
      </c>
      <c r="HY8" s="61">
        <f>IFERROR(IF((HW8-HW7)&lt;=0,0,(HW8-HW7)*1000)+IL45,0)</f>
        <v>0</v>
      </c>
      <c r="HZ8" s="260">
        <v>4085300</v>
      </c>
      <c r="IA8" s="260">
        <v>17302</v>
      </c>
      <c r="IB8" s="61">
        <f t="shared" ref="IB8" si="69">IF((HZ8-HZ7)&lt;=0,0,(HZ8-HZ7))</f>
        <v>75700</v>
      </c>
      <c r="IC8" s="292">
        <v>719.8</v>
      </c>
      <c r="ID8" s="292">
        <v>232.78</v>
      </c>
      <c r="IE8" s="61">
        <f t="shared" ref="IE8:IE9" si="70">IF((IC8-IC7)&lt;=0,0,(IC8-IC7))</f>
        <v>0</v>
      </c>
      <c r="IF8" s="61"/>
      <c r="IG8" s="61"/>
      <c r="IH8" s="280">
        <f t="shared" ref="IH8:IH38" si="71">DT8</f>
        <v>22800</v>
      </c>
      <c r="II8" s="281">
        <f t="shared" ref="II8:II29" si="72">HJ8+HM8-HS8-HV8-HY8-IH8-HP8-IB8-IE8</f>
        <v>38500</v>
      </c>
      <c r="IJ8" s="380"/>
      <c r="IK8" s="380"/>
      <c r="IL8" s="393">
        <f t="shared" ref="IL8:IL38" si="73">IF((IJ8-IJ7)&lt;=0,0,(IJ8-IJ7))</f>
        <v>0</v>
      </c>
      <c r="IM8" s="380"/>
      <c r="IN8" s="380"/>
      <c r="IO8" s="393">
        <f t="shared" ref="IO8:IO38" si="74">IF((IM8-IM7)&lt;=0,0,(IM8-IM7)*1000)</f>
        <v>0</v>
      </c>
      <c r="IP8" s="380"/>
      <c r="IQ8" s="380"/>
      <c r="IR8" s="393">
        <f t="shared" ref="IR8:IR38" si="75">IF((IP8-IP7)&lt;=0,0,(IP8-IP7))</f>
        <v>0</v>
      </c>
      <c r="IS8" s="380"/>
      <c r="IT8" s="380"/>
      <c r="IU8" s="393">
        <f t="shared" ref="IU8" si="76">IF((IS8-IS7)&lt;=0,0,(IS8-IS7))</f>
        <v>0</v>
      </c>
      <c r="IV8" s="393"/>
      <c r="IW8" s="393"/>
      <c r="IX8" s="393">
        <f t="shared" ref="IX8" si="77">IF((IV8-IV7)&lt;=0,0,(IV8-IV7))</f>
        <v>0</v>
      </c>
      <c r="IY8" s="393"/>
      <c r="IZ8" s="393"/>
      <c r="JA8" s="393">
        <f t="shared" ref="JA8" si="78">IF((IY8-IY7)&lt;=0,0,(IY8-IY7))</f>
        <v>0</v>
      </c>
      <c r="JB8" s="393"/>
      <c r="JC8" s="393"/>
      <c r="JD8" s="393">
        <f t="shared" ref="JD8" si="79">IF((JB8-JB7)&lt;=0,0,(JB8-JB7))</f>
        <v>0</v>
      </c>
      <c r="JE8" s="393"/>
      <c r="JF8" s="393"/>
      <c r="JG8" s="393">
        <f t="shared" ref="JG8" si="80">IF((JE8-JE7)&lt;=0,0,(JE8-JE7))</f>
        <v>0</v>
      </c>
      <c r="JH8" s="380"/>
      <c r="JI8" s="380"/>
      <c r="JJ8" s="393">
        <f t="shared" ref="JJ8:JJ38" si="81">IF((JH8-JH7)&lt;=0,0,(JH8-JH7))</f>
        <v>0</v>
      </c>
      <c r="JK8" s="380"/>
      <c r="JL8" s="380"/>
      <c r="JM8" s="393">
        <f t="shared" ref="JM8:JM38" si="82">IF((JK8-JK7)&lt;=0,0,(JK8-JK7))</f>
        <v>0</v>
      </c>
      <c r="JN8" s="380"/>
      <c r="JO8" s="380"/>
      <c r="JP8" s="393">
        <f t="shared" ref="JP8:JP38" si="83">IF((JN8-JN7)&lt;=0,0,(JN8-JN7))</f>
        <v>0</v>
      </c>
      <c r="JQ8" s="380"/>
      <c r="JR8" s="380"/>
      <c r="JS8" s="393">
        <f t="shared" ref="JS8:JS38" si="84">IF((JQ8-JQ7)&lt;=0,0,(JQ8-JQ7))</f>
        <v>0</v>
      </c>
      <c r="JT8" s="380"/>
      <c r="JU8" s="380"/>
      <c r="JV8" s="393">
        <f t="shared" ref="JV8:JV38" si="85">IF((JT8-JT7)&lt;=0,0,(JT8-JT7))</f>
        <v>0</v>
      </c>
      <c r="JW8" s="380"/>
      <c r="JX8" s="380"/>
      <c r="JY8" s="393">
        <f t="shared" ref="JY8:JY38" si="86">IF((JW8-JW7)&lt;=0,0,(JW8-JW7))</f>
        <v>0</v>
      </c>
      <c r="JZ8" s="380"/>
      <c r="KA8" s="380"/>
      <c r="KB8" s="393">
        <f t="shared" ref="KB8" si="87">IF((JZ8-JZ7)&lt;=0,0,(JZ8-JZ7))</f>
        <v>0</v>
      </c>
      <c r="KC8" s="393"/>
      <c r="KD8" s="393"/>
      <c r="KE8" s="393">
        <f t="shared" ref="KE8" si="88">IF((KC8-KC7)&lt;=0,0,(KC8-KC7))</f>
        <v>0</v>
      </c>
      <c r="KG8" s="151">
        <f t="shared" ref="KG8:KG38" si="89">HJ8+HM8-HS8-HV8-HY8-IH8</f>
        <v>114200</v>
      </c>
    </row>
    <row r="9" spans="1:293" x14ac:dyDescent="0.25">
      <c r="A9" s="35">
        <v>2</v>
      </c>
      <c r="B9" s="250"/>
      <c r="C9" s="38">
        <f t="shared" si="21"/>
        <v>0</v>
      </c>
      <c r="D9" s="38">
        <f t="shared" si="22"/>
        <v>0</v>
      </c>
      <c r="E9" s="250"/>
      <c r="F9" s="38">
        <f t="shared" si="23"/>
        <v>0</v>
      </c>
      <c r="G9" s="38">
        <f t="shared" si="24"/>
        <v>0</v>
      </c>
      <c r="H9" s="37"/>
      <c r="I9" s="39"/>
      <c r="J9" s="42"/>
      <c r="K9" s="37">
        <f>IF(J9&lt;=0,0,(J9/SQRT(J9^2+(I9-I8)^2)))</f>
        <v>0</v>
      </c>
      <c r="L9" s="250"/>
      <c r="M9" s="40"/>
      <c r="N9" s="37">
        <f>IF((L9-L8)&lt;=0,0,(L9-L8)*10)</f>
        <v>0</v>
      </c>
      <c r="O9" s="250"/>
      <c r="P9" s="37"/>
      <c r="Q9" s="37">
        <f t="shared" si="25"/>
        <v>0</v>
      </c>
      <c r="R9" s="37">
        <f>IF(Q9&lt;=0,0,(Q9/SQRT(Q9^2+(P9-P8)^2)))</f>
        <v>0</v>
      </c>
      <c r="S9" s="250"/>
      <c r="T9" s="37">
        <f t="shared" si="26"/>
        <v>0</v>
      </c>
      <c r="U9" s="250"/>
      <c r="V9" s="37">
        <f t="shared" si="27"/>
        <v>0</v>
      </c>
      <c r="W9" s="250"/>
      <c r="X9" s="37">
        <f>Q9-T9-V9-AB9</f>
        <v>0</v>
      </c>
      <c r="Y9" s="183"/>
      <c r="Z9" s="183"/>
      <c r="AA9" s="250"/>
      <c r="AB9" s="37">
        <f t="shared" si="28"/>
        <v>0</v>
      </c>
      <c r="AC9" s="250"/>
      <c r="AD9" s="37"/>
      <c r="AE9" s="37">
        <f t="shared" si="29"/>
        <v>0</v>
      </c>
      <c r="AF9" s="37">
        <f>IF(AE9&lt;=0,0,(AE9/SQRT(AE9^2+(AD9-AD8)^2)))</f>
        <v>0</v>
      </c>
      <c r="AG9" s="250"/>
      <c r="AH9" s="37"/>
      <c r="AI9" s="37">
        <f t="shared" ref="AI9:AI38" si="90">IF((AG9-AG8)&lt;=0,0,(AG9-AG8))*1000+GX9</f>
        <v>0</v>
      </c>
      <c r="AJ9" s="37">
        <f t="shared" ref="AJ9:AJ38" si="91">IF(AI9&lt;=0,0,(AI9/SQRT(AI9^2+(AH9-AH8)^2)))</f>
        <v>0</v>
      </c>
      <c r="AK9" s="37">
        <f t="shared" si="32"/>
        <v>0</v>
      </c>
      <c r="AL9" s="250"/>
      <c r="AM9" s="42"/>
      <c r="AN9" s="37">
        <f>IF((AL9-AL8)&lt;=0,0,(AL9-AL8))*1000+GX9-BL9-BN9-BP9-BR9</f>
        <v>0</v>
      </c>
      <c r="AO9" s="37">
        <f>IF(AN9&lt;=0,0,(AN9/SQRT(AN9^2+(AM9-AM8)^2)))</f>
        <v>0</v>
      </c>
      <c r="AP9" s="250"/>
      <c r="AQ9" s="37"/>
      <c r="AR9" s="37">
        <f t="shared" ref="AR9:AR38" si="92">IF((AP9-AP8)&lt;=0,0,(AP9-AP8))*1000</f>
        <v>0</v>
      </c>
      <c r="AS9" s="37">
        <f>IF(AR9&lt;=0,0,(AR9/SQRT(AR9^2+(AQ9-AQ8)^2)))</f>
        <v>0</v>
      </c>
      <c r="AT9" s="183"/>
      <c r="AU9" s="183"/>
      <c r="AV9" s="183"/>
      <c r="AW9" s="183"/>
      <c r="AX9" s="250"/>
      <c r="AY9" s="37"/>
      <c r="AZ9" s="37">
        <f t="shared" si="34"/>
        <v>0</v>
      </c>
      <c r="BA9" s="250"/>
      <c r="BB9" s="37"/>
      <c r="BC9" s="37">
        <f t="shared" ref="BC9:BC38" si="93">IF((BA9-BA8)&lt;=0,0,(BA9-BA8))</f>
        <v>0</v>
      </c>
      <c r="BD9" s="37">
        <f>AN9+AR9+AZ9+BC9</f>
        <v>0</v>
      </c>
      <c r="BE9" s="250"/>
      <c r="BF9" s="250"/>
      <c r="BG9" s="37">
        <f t="shared" si="36"/>
        <v>0</v>
      </c>
      <c r="BH9" s="250"/>
      <c r="BI9" s="250"/>
      <c r="BJ9" s="37">
        <f t="shared" si="37"/>
        <v>0</v>
      </c>
      <c r="BK9" s="250"/>
      <c r="BL9" s="40">
        <f>IF((BK9-BK8)&lt;=0,0,(BK9-BK8))</f>
        <v>0</v>
      </c>
      <c r="BM9" s="250"/>
      <c r="BN9" s="37">
        <f t="shared" si="38"/>
        <v>0</v>
      </c>
      <c r="BO9" s="186"/>
      <c r="BP9" s="183">
        <f t="shared" ref="BP9:BP38" si="94">IF((BO9-BO8)&lt;=0,0,(BO9-BO8))*1000</f>
        <v>0</v>
      </c>
      <c r="BQ9" s="250"/>
      <c r="BR9" s="37">
        <f>IF((BQ9-BQ8)&lt;=0,0,(BQ9-BQ8))*1000</f>
        <v>0</v>
      </c>
      <c r="BS9" s="250"/>
      <c r="BT9" s="37">
        <f t="shared" si="39"/>
        <v>0</v>
      </c>
      <c r="BU9" s="250"/>
      <c r="BV9" s="42"/>
      <c r="BW9" s="37">
        <f t="shared" ref="BW9:BW38" si="95">IF((BU9-BU8)&lt;=0,0,(BU9-BU8))</f>
        <v>0</v>
      </c>
      <c r="BX9" s="37">
        <f>IF(BW9&lt;=0,0,(BW9/SQRT(BW9^2+(BV9-BV8)^2)))</f>
        <v>0</v>
      </c>
      <c r="BY9" s="250"/>
      <c r="BZ9" s="43"/>
      <c r="CA9" s="37">
        <f t="shared" ref="CA9:CA17" si="96">IF((BY9-BY8)&lt;=0,0,(BY9-BY8)*1000)</f>
        <v>0</v>
      </c>
      <c r="CB9" s="37">
        <f>IF(CA9&lt;=0,0,(CA9/SQRT(CA9^2+(BZ9-BZ8)^2)))</f>
        <v>0</v>
      </c>
      <c r="CC9" s="250"/>
      <c r="CD9" s="37">
        <f t="shared" si="42"/>
        <v>0</v>
      </c>
      <c r="CE9" s="250"/>
      <c r="CF9" s="37">
        <f t="shared" si="43"/>
        <v>0</v>
      </c>
      <c r="CG9" s="250"/>
      <c r="CH9" s="37">
        <f>IF((CG9-CG8)&lt;=0,0,(CG9-CG8))</f>
        <v>0</v>
      </c>
      <c r="CI9" s="250"/>
      <c r="CJ9" s="40"/>
      <c r="CK9" s="37">
        <f>IF((CI9-CI8)*1000&lt;=0,0,(CI9-CI8)*1000)+GX9-CA9</f>
        <v>0</v>
      </c>
      <c r="CL9" s="37">
        <f t="shared" ref="CL9:CL38" si="97">IF(CK9&lt;=0,0,(CK9/SQRT(CK9^2+(CJ9-CJ8)^2)))</f>
        <v>0</v>
      </c>
      <c r="CM9" s="250"/>
      <c r="CN9" s="37"/>
      <c r="CO9" s="37">
        <f t="shared" si="45"/>
        <v>0</v>
      </c>
      <c r="CP9" s="37">
        <f>IF(CO9&lt;=0,0,(CO9/SQRT(CO9^2+(CN9-CN8)^2)))</f>
        <v>0</v>
      </c>
      <c r="CQ9" s="250"/>
      <c r="CS9" s="37">
        <f>IF((CQ9-CQ8)&lt;=0,0,(CQ9-CQ8))+GX9</f>
        <v>0</v>
      </c>
      <c r="CT9" s="37">
        <f>IF(CS9&lt;=0,0,(CS9/SQRT(CS9^2+(CM7-CR8)^2)))</f>
        <v>0</v>
      </c>
      <c r="CU9" s="250"/>
      <c r="CV9" s="37"/>
      <c r="CW9" s="38">
        <f t="shared" ref="CW9:CW36" si="98">IF((CU9-CU8)&lt;=0,0,(CU9-CU8))</f>
        <v>0</v>
      </c>
      <c r="CX9" s="37">
        <f>IF(CW9&lt;=0,0,(CW9/SQRT(CW9^2+(CV9-CV8)^2)))</f>
        <v>0</v>
      </c>
      <c r="CY9" s="250"/>
      <c r="CZ9" s="37"/>
      <c r="DA9" s="37">
        <f t="shared" ref="DA9:DA27" si="99">IF((CY9-CY8)&lt;=0,0,(CY9-CY8))</f>
        <v>0</v>
      </c>
      <c r="DB9" s="37">
        <f>IF(DA9&lt;=0,0,(DA9/SQRT(DA9^2+(CZ9-CZ8)^2)))</f>
        <v>0</v>
      </c>
      <c r="DC9" s="37"/>
      <c r="DD9" s="40"/>
      <c r="DE9" s="37">
        <f t="shared" ref="DE9:DE34" si="100">IF((DC9-DC8)&lt;=0,0,(DC9-DC8))</f>
        <v>0</v>
      </c>
      <c r="DF9" s="37">
        <f>IF(DE9&lt;=0,0,(DE9/SQRT(DE9^2+(DD9-DD8)^2)))</f>
        <v>0</v>
      </c>
      <c r="DG9" s="37">
        <f t="shared" ref="DG9:DG38" si="101">(DE9)-DA9-CW9-CS9-CO9-CK9-BW9</f>
        <v>0</v>
      </c>
      <c r="DH9" s="37">
        <f t="shared" ref="DH9:DH38" si="102">DE9+BG9+AK9+N9</f>
        <v>0</v>
      </c>
      <c r="DI9" s="46"/>
      <c r="DJ9" s="46"/>
      <c r="DK9" s="47"/>
      <c r="DL9" s="47"/>
      <c r="DM9" s="37"/>
      <c r="DN9" s="37"/>
      <c r="DO9" s="37"/>
      <c r="DP9" s="37"/>
      <c r="DQ9" s="250"/>
      <c r="DR9" s="49">
        <f>IF((DQ9-DQ8)&lt;=0,0,(DQ9-DQ8))</f>
        <v>0</v>
      </c>
      <c r="DS9" s="250"/>
      <c r="DT9" s="49">
        <f>IF((DS9-DS8)&lt;=0,0,(DS9-DS8))</f>
        <v>0</v>
      </c>
      <c r="DU9" s="250"/>
      <c r="DV9" s="250"/>
      <c r="DW9" s="37">
        <f>IF((DU9-DU8)*1000&lt;=0,0,(DU9-DU8)*1000)</f>
        <v>0</v>
      </c>
      <c r="DX9" s="250"/>
      <c r="DY9" s="250"/>
      <c r="DZ9" s="37">
        <f t="shared" si="51"/>
        <v>0</v>
      </c>
      <c r="EA9" s="250"/>
      <c r="EB9" s="250"/>
      <c r="EC9" s="37">
        <v>0</v>
      </c>
      <c r="ED9" s="53">
        <f t="shared" si="52"/>
        <v>0</v>
      </c>
      <c r="EE9" s="250"/>
      <c r="EF9" s="250"/>
      <c r="EG9" s="37">
        <v>0</v>
      </c>
      <c r="EH9" s="250"/>
      <c r="EI9" s="250"/>
      <c r="EJ9" s="37">
        <f t="shared" si="54"/>
        <v>0</v>
      </c>
      <c r="EK9" s="250"/>
      <c r="EL9" s="250"/>
      <c r="EM9" s="37">
        <f>IF((EK9-EK8)&lt;=0,0,(EK9-EK8))*1000</f>
        <v>0</v>
      </c>
      <c r="EN9" s="54">
        <f>EG9+EJ9+EM9</f>
        <v>0</v>
      </c>
      <c r="EO9" s="250"/>
      <c r="EP9" s="48"/>
      <c r="EQ9" s="37"/>
      <c r="ER9" s="250"/>
      <c r="ES9" s="48"/>
      <c r="ET9" s="49">
        <f t="shared" si="55"/>
        <v>0</v>
      </c>
      <c r="EU9" s="250"/>
      <c r="EV9" s="48"/>
      <c r="EW9" s="49">
        <f t="shared" si="56"/>
        <v>0</v>
      </c>
      <c r="EX9" s="250"/>
      <c r="EY9" s="48"/>
      <c r="EZ9" s="37">
        <f t="shared" ref="EZ9:EZ38" si="103">IF((EX9-EX8)&lt;=0,0,(EX9-EX8))*1000+GX9</f>
        <v>0</v>
      </c>
      <c r="FA9" s="48">
        <f>FC9-EQ9-ET9-EW9-EZ9</f>
        <v>0</v>
      </c>
      <c r="FB9" s="250"/>
      <c r="FC9" s="49">
        <f>IF((FB9-FB8)&lt;=0,0,(FB9-FB8))</f>
        <v>0</v>
      </c>
      <c r="FD9" s="48">
        <f>EQ9+ET9+EW9+EZ9+GJ9</f>
        <v>0</v>
      </c>
      <c r="FE9" s="250"/>
      <c r="FF9" s="48"/>
      <c r="FG9" s="37"/>
      <c r="FH9" s="250"/>
      <c r="FI9" s="48"/>
      <c r="FJ9" s="49">
        <f t="shared" si="59"/>
        <v>0</v>
      </c>
      <c r="FK9" s="48"/>
      <c r="FL9" s="58"/>
      <c r="FM9" s="48">
        <f>FT9/3</f>
        <v>0</v>
      </c>
      <c r="FN9" s="250"/>
      <c r="FO9" s="48"/>
      <c r="FP9" s="37">
        <f>IF((FN9-FN8)*1000&lt;=0,0,(FN9-FN8)*1000)+FL9+GX9</f>
        <v>0</v>
      </c>
      <c r="FQ9" s="250"/>
      <c r="FR9" s="48"/>
      <c r="FS9" s="37">
        <f t="shared" si="60"/>
        <v>0</v>
      </c>
      <c r="FT9" s="48">
        <f>FS9-FG9-FJ9-FP9</f>
        <v>0</v>
      </c>
      <c r="FU9" s="48">
        <f>FG9+FJ9+FP9+GM9</f>
        <v>0</v>
      </c>
      <c r="FV9" s="250"/>
      <c r="FW9" s="44"/>
      <c r="FX9" s="37">
        <f t="shared" si="61"/>
        <v>0</v>
      </c>
      <c r="FY9" s="250"/>
      <c r="FZ9" s="56"/>
      <c r="GA9" s="37">
        <f t="shared" si="62"/>
        <v>0</v>
      </c>
      <c r="GB9" s="250"/>
      <c r="GC9" s="56"/>
      <c r="GD9" s="37">
        <f t="shared" si="63"/>
        <v>0</v>
      </c>
      <c r="GE9" s="250"/>
      <c r="GF9" s="63"/>
      <c r="GG9" s="37">
        <f t="shared" si="64"/>
        <v>0</v>
      </c>
      <c r="GH9" s="250"/>
      <c r="GI9" s="56"/>
      <c r="GJ9" s="38">
        <f>IF((GH9-GH8)&lt;=0,0,(GH9-GH8))</f>
        <v>0</v>
      </c>
      <c r="GK9" s="250"/>
      <c r="GL9" s="44"/>
      <c r="GM9" s="38">
        <f t="shared" ref="GM9:GM38" si="104">IF((GK9-GK8)&lt;=0,0,(GK9-GK8))*1000</f>
        <v>0</v>
      </c>
      <c r="GN9" s="250"/>
      <c r="GO9" s="57"/>
      <c r="GP9" s="38">
        <f t="shared" si="65"/>
        <v>0</v>
      </c>
      <c r="GQ9" s="250"/>
      <c r="GR9" s="38"/>
      <c r="GS9" s="38">
        <f>IF((GQ9-GQ8)&lt;=0,0,(GQ9-GQ8))</f>
        <v>0</v>
      </c>
      <c r="GT9" s="247"/>
      <c r="GU9" s="144"/>
      <c r="GV9" s="261"/>
      <c r="GW9" s="60">
        <f t="shared" si="66"/>
        <v>0</v>
      </c>
      <c r="GX9" s="260"/>
      <c r="GY9" s="140"/>
      <c r="GZ9" s="527" t="s">
        <v>402</v>
      </c>
      <c r="HA9" s="528"/>
      <c r="HB9" s="528"/>
      <c r="HC9" s="528"/>
      <c r="HD9" s="74"/>
      <c r="HE9" s="24">
        <f t="shared" ref="HE9:HE36" si="105">HC9-HA9</f>
        <v>0</v>
      </c>
      <c r="HG9" s="279">
        <v>2</v>
      </c>
      <c r="HH9" s="292"/>
      <c r="HI9" s="292"/>
      <c r="HJ9" s="61">
        <f t="shared" si="67"/>
        <v>0</v>
      </c>
      <c r="HK9" s="260"/>
      <c r="HL9" s="292"/>
      <c r="HM9" s="61">
        <f t="shared" si="68"/>
        <v>0</v>
      </c>
      <c r="HN9" s="292"/>
      <c r="HO9" s="292"/>
      <c r="HP9" s="61">
        <f t="shared" ref="HP9:HP38" si="106">IF((HN9-HN8)&lt;=0,0,(HN9-HN8)*1000)+IL46</f>
        <v>0</v>
      </c>
      <c r="HQ9" s="292"/>
      <c r="HR9" s="292"/>
      <c r="HS9" s="61">
        <f t="shared" ref="HS9:HS38" si="107">IF((HQ9-HQ8)&lt;=0,0,(HQ9-HQ8)*1000)+IL46</f>
        <v>0</v>
      </c>
      <c r="HT9" s="292"/>
      <c r="HU9" s="292"/>
      <c r="HV9" s="61">
        <f t="shared" ref="HV9:HV36" si="108">IF((HT9-HT8)&lt;=0,0,(HT9-HT8)*1000)+IL46</f>
        <v>0</v>
      </c>
      <c r="HW9" s="292"/>
      <c r="HX9" s="292"/>
      <c r="HY9" s="61">
        <f t="shared" ref="HY9:HY38" si="109">IF((HW9-HW8)&lt;=0,0,(HW9-HW8)*1000)+IL46</f>
        <v>0</v>
      </c>
      <c r="HZ9" s="260"/>
      <c r="IA9" s="260"/>
      <c r="IB9" s="61">
        <f t="shared" ref="IB9:IB38" si="110">IF((HZ9-HZ8)&lt;=0,0,(HZ9-HZ8))</f>
        <v>0</v>
      </c>
      <c r="IC9" s="292"/>
      <c r="ID9" s="292"/>
      <c r="IE9" s="61">
        <f t="shared" si="70"/>
        <v>0</v>
      </c>
      <c r="IF9" s="61"/>
      <c r="IG9" s="61"/>
      <c r="IH9" s="280">
        <f t="shared" si="71"/>
        <v>0</v>
      </c>
      <c r="II9" s="281">
        <f t="shared" si="72"/>
        <v>0</v>
      </c>
      <c r="IJ9" s="380"/>
      <c r="IK9" s="380"/>
      <c r="IL9" s="380">
        <f t="shared" si="73"/>
        <v>0</v>
      </c>
      <c r="IM9" s="380"/>
      <c r="IN9" s="380"/>
      <c r="IO9" s="380">
        <f t="shared" si="74"/>
        <v>0</v>
      </c>
      <c r="IP9" s="380"/>
      <c r="IQ9" s="380"/>
      <c r="IR9" s="380">
        <f t="shared" si="75"/>
        <v>0</v>
      </c>
      <c r="IS9" s="380"/>
      <c r="IT9" s="380"/>
      <c r="IU9" s="380">
        <f t="shared" ref="IU9:IU38" si="111">IF((IS9-IS8)&lt;=0,0,(IS9-IS8))</f>
        <v>0</v>
      </c>
      <c r="IV9" s="380"/>
      <c r="IW9" s="380"/>
      <c r="IX9" s="380">
        <f t="shared" ref="IX9:IX38" si="112">IF((IV9-IV8)&lt;=0,0,(IV9-IV8))</f>
        <v>0</v>
      </c>
      <c r="IY9" s="380"/>
      <c r="IZ9" s="380"/>
      <c r="JA9" s="380">
        <f t="shared" ref="JA9:JA38" si="113">IF((IY9-IY8)&lt;=0,0,(IY9-IY8))</f>
        <v>0</v>
      </c>
      <c r="JB9" s="380"/>
      <c r="JC9" s="380"/>
      <c r="JD9" s="380">
        <f t="shared" ref="JD9:JD38" si="114">IF((JB9-JB8)&lt;=0,0,(JB9-JB8))</f>
        <v>0</v>
      </c>
      <c r="JE9" s="380"/>
      <c r="JF9" s="380"/>
      <c r="JG9" s="380">
        <f t="shared" ref="JG9:JG38" si="115">IF((JE9-JE8)&lt;=0,0,(JE9-JE8))</f>
        <v>0</v>
      </c>
      <c r="JH9" s="380"/>
      <c r="JI9" s="380"/>
      <c r="JJ9" s="380">
        <f t="shared" si="81"/>
        <v>0</v>
      </c>
      <c r="JK9" s="380"/>
      <c r="JL9" s="380"/>
      <c r="JM9" s="380">
        <f t="shared" si="82"/>
        <v>0</v>
      </c>
      <c r="JN9" s="380"/>
      <c r="JO9" s="380"/>
      <c r="JP9" s="380">
        <f t="shared" si="83"/>
        <v>0</v>
      </c>
      <c r="JQ9" s="380"/>
      <c r="JR9" s="380"/>
      <c r="JS9" s="380">
        <f t="shared" si="84"/>
        <v>0</v>
      </c>
      <c r="JT9" s="380"/>
      <c r="JU9" s="380"/>
      <c r="JV9" s="380">
        <f t="shared" si="85"/>
        <v>0</v>
      </c>
      <c r="JW9" s="380"/>
      <c r="JX9" s="380"/>
      <c r="JY9" s="380">
        <f t="shared" si="86"/>
        <v>0</v>
      </c>
      <c r="JZ9" s="380"/>
      <c r="KA9" s="380"/>
      <c r="KB9" s="380">
        <f t="shared" ref="KB9:KB38" si="116">IF((JZ9-JZ8)&lt;=0,0,(JZ9-JZ8))</f>
        <v>0</v>
      </c>
      <c r="KC9" s="380"/>
      <c r="KD9" s="380"/>
      <c r="KE9" s="380">
        <f t="shared" ref="KE9:KE38" si="117">IF((KC9-KC8)&lt;=0,0,(KC9-KC8))</f>
        <v>0</v>
      </c>
      <c r="KG9" s="151">
        <f t="shared" si="89"/>
        <v>0</v>
      </c>
    </row>
    <row r="10" spans="1:293" x14ac:dyDescent="0.25">
      <c r="A10" s="35">
        <f t="shared" ref="A10:A37" si="118">A9+1</f>
        <v>3</v>
      </c>
      <c r="B10" s="250"/>
      <c r="C10" s="38">
        <f t="shared" si="21"/>
        <v>0</v>
      </c>
      <c r="D10" s="38">
        <f t="shared" si="22"/>
        <v>0</v>
      </c>
      <c r="E10" s="250"/>
      <c r="F10" s="38">
        <f t="shared" si="23"/>
        <v>0</v>
      </c>
      <c r="G10" s="38">
        <f t="shared" si="24"/>
        <v>0</v>
      </c>
      <c r="H10" s="37"/>
      <c r="I10" s="39"/>
      <c r="J10" s="42"/>
      <c r="K10" s="37">
        <f>IF(J10&lt;=0,0,(J10/SQRT(J10^2+(I10-I9)^2)))</f>
        <v>0</v>
      </c>
      <c r="L10" s="250"/>
      <c r="M10" s="40"/>
      <c r="N10" s="37">
        <f>IF((L10-L9)&lt;=0,0,(L10-L9)*10)</f>
        <v>0</v>
      </c>
      <c r="O10" s="250"/>
      <c r="P10" s="37"/>
      <c r="Q10" s="37">
        <f t="shared" si="25"/>
        <v>0</v>
      </c>
      <c r="R10" s="37">
        <f>IF(Q10&lt;=0,0,(Q10/SQRT(Q10^2+(P10-P9)^2)))</f>
        <v>0</v>
      </c>
      <c r="S10" s="250"/>
      <c r="T10" s="37">
        <f t="shared" si="26"/>
        <v>0</v>
      </c>
      <c r="U10" s="250"/>
      <c r="V10" s="37">
        <f t="shared" si="27"/>
        <v>0</v>
      </c>
      <c r="W10" s="250"/>
      <c r="X10" s="37">
        <f>Q10-T10-V10-AB10</f>
        <v>0</v>
      </c>
      <c r="Y10" s="183"/>
      <c r="Z10" s="183"/>
      <c r="AA10" s="250"/>
      <c r="AB10" s="37">
        <f t="shared" si="28"/>
        <v>0</v>
      </c>
      <c r="AC10" s="250"/>
      <c r="AD10" s="37"/>
      <c r="AE10" s="37">
        <f t="shared" si="29"/>
        <v>0</v>
      </c>
      <c r="AF10" s="37">
        <f>IF(AE10&lt;=0,0,(AE10/SQRT(AE10^2+(AD10-AD9)^2)))</f>
        <v>0</v>
      </c>
      <c r="AG10" s="250"/>
      <c r="AH10" s="37"/>
      <c r="AI10" s="37">
        <f t="shared" si="90"/>
        <v>0</v>
      </c>
      <c r="AJ10" s="37">
        <f t="shared" si="91"/>
        <v>0</v>
      </c>
      <c r="AK10" s="37">
        <f t="shared" si="32"/>
        <v>0</v>
      </c>
      <c r="AL10" s="250"/>
      <c r="AM10" s="42"/>
      <c r="AN10" s="37">
        <f t="shared" ref="AN10:AN38" si="119">IF((AL10-AL9)&lt;=0,0,(AL10-AL9))*1000+GX10-BL10-BN10-BP10-BR10</f>
        <v>0</v>
      </c>
      <c r="AO10" s="37">
        <f>IF(AN10&lt;=0,0,(AN10/SQRT(AN10^2+(AM10-AM9)^2)))</f>
        <v>0</v>
      </c>
      <c r="AP10" s="250"/>
      <c r="AQ10" s="37"/>
      <c r="AR10" s="37">
        <f t="shared" si="92"/>
        <v>0</v>
      </c>
      <c r="AS10" s="37">
        <f>IF(AR10&lt;=0,0,(AR10/SQRT(AR10^2+(AQ10-AQ9)^2)))</f>
        <v>0</v>
      </c>
      <c r="AT10" s="183"/>
      <c r="AU10" s="183"/>
      <c r="AV10" s="183"/>
      <c r="AW10" s="183"/>
      <c r="AX10" s="250"/>
      <c r="AY10" s="37"/>
      <c r="AZ10" s="37">
        <f t="shared" si="34"/>
        <v>0</v>
      </c>
      <c r="BA10" s="250"/>
      <c r="BB10" s="37"/>
      <c r="BC10" s="37">
        <f t="shared" si="93"/>
        <v>0</v>
      </c>
      <c r="BD10" s="37">
        <f>AN10+AR10+AZ10+BC10</f>
        <v>0</v>
      </c>
      <c r="BE10" s="250"/>
      <c r="BF10" s="250"/>
      <c r="BG10" s="37">
        <f t="shared" si="36"/>
        <v>0</v>
      </c>
      <c r="BH10" s="250"/>
      <c r="BI10" s="250"/>
      <c r="BJ10" s="37">
        <f t="shared" si="37"/>
        <v>0</v>
      </c>
      <c r="BK10" s="250"/>
      <c r="BL10" s="40">
        <f>IF((BK10-BK9)&lt;=0,0,(BK10-BK9))</f>
        <v>0</v>
      </c>
      <c r="BM10" s="250"/>
      <c r="BN10" s="37">
        <f t="shared" si="38"/>
        <v>0</v>
      </c>
      <c r="BO10" s="186"/>
      <c r="BP10" s="183">
        <f t="shared" si="94"/>
        <v>0</v>
      </c>
      <c r="BQ10" s="250"/>
      <c r="BR10" s="37">
        <f t="shared" ref="BR10:BR38" si="120">IF((BQ10-BQ9)&lt;=0,0,(BQ10-BQ9))*1000</f>
        <v>0</v>
      </c>
      <c r="BS10" s="250"/>
      <c r="BT10" s="37">
        <f t="shared" si="39"/>
        <v>0</v>
      </c>
      <c r="BU10" s="250"/>
      <c r="BV10" s="42"/>
      <c r="BW10" s="37">
        <f t="shared" si="95"/>
        <v>0</v>
      </c>
      <c r="BX10" s="37">
        <f>IF(BW10&lt;=0,0,(BW10/SQRT(BW10^2+(BV10-BV9)^2)))</f>
        <v>0</v>
      </c>
      <c r="BY10" s="250"/>
      <c r="BZ10" s="43"/>
      <c r="CA10" s="37">
        <f t="shared" si="96"/>
        <v>0</v>
      </c>
      <c r="CB10" s="37">
        <f t="shared" ref="CB10:CB38" si="121">IF(CA10&lt;=0,0,(CA10/SQRT(CA10^2+(BZ10-BZ9)^2)))</f>
        <v>0</v>
      </c>
      <c r="CC10" s="250"/>
      <c r="CD10" s="37">
        <f t="shared" si="42"/>
        <v>0</v>
      </c>
      <c r="CE10" s="250"/>
      <c r="CF10" s="37">
        <f t="shared" si="43"/>
        <v>0</v>
      </c>
      <c r="CG10" s="250"/>
      <c r="CH10" s="37">
        <f t="shared" ref="CH10:CH38" si="122">IF((CG10-CG9)&lt;=0,0,(CG10-CG9))</f>
        <v>0</v>
      </c>
      <c r="CI10" s="250"/>
      <c r="CJ10" s="40"/>
      <c r="CK10" s="37">
        <f t="shared" ref="CK10:CK38" si="123">IF((CI10-CI9)*1000&lt;=0,0,(CI10-CI9)*1000)+GX10-CA10</f>
        <v>0</v>
      </c>
      <c r="CL10" s="37">
        <f t="shared" si="97"/>
        <v>0</v>
      </c>
      <c r="CM10" s="250"/>
      <c r="CO10" s="37">
        <f t="shared" si="45"/>
        <v>0</v>
      </c>
      <c r="CP10" s="37">
        <f>IF(CO10&lt;=0,0,(CO10/SQRT(CO10^2+(CQ7-CN9)^2)))</f>
        <v>0</v>
      </c>
      <c r="CQ10" s="250"/>
      <c r="CR10" s="45"/>
      <c r="CS10" s="37">
        <f t="shared" ref="CS10:CS38" si="124">IF((CQ10-CQ9)&lt;=0,0,(CQ10-CQ9))+GX10</f>
        <v>0</v>
      </c>
      <c r="CT10" s="37">
        <f>IF(CS10&lt;=0,0,(CS10/SQRT(CS10^2+(CR10-CM7)^2)))</f>
        <v>0</v>
      </c>
      <c r="CU10" s="250"/>
      <c r="CV10" s="37"/>
      <c r="CW10" s="38">
        <f t="shared" si="98"/>
        <v>0</v>
      </c>
      <c r="CX10" s="37">
        <f>IF(CW10&lt;=0,0,(CW10/SQRT(CW10^2+(CV10-CV9)^2)))</f>
        <v>0</v>
      </c>
      <c r="CY10" s="250"/>
      <c r="CZ10" s="37"/>
      <c r="DA10" s="37">
        <f t="shared" si="99"/>
        <v>0</v>
      </c>
      <c r="DB10" s="37">
        <f>IF(DA10&lt;=0,0,(DA10/SQRT(DA10^2+(CZ10-CZ9)^2)))</f>
        <v>0</v>
      </c>
      <c r="DC10" s="37"/>
      <c r="DD10" s="40"/>
      <c r="DE10" s="37">
        <f t="shared" si="100"/>
        <v>0</v>
      </c>
      <c r="DF10" s="37">
        <f>IF(DE10&lt;=0,0,(DE10/SQRT(DE10^2+(DD10-DD9)^2)))</f>
        <v>0</v>
      </c>
      <c r="DG10" s="37">
        <f t="shared" si="101"/>
        <v>0</v>
      </c>
      <c r="DH10" s="37">
        <f t="shared" si="102"/>
        <v>0</v>
      </c>
      <c r="DI10" s="46"/>
      <c r="DJ10" s="46"/>
      <c r="DK10" s="47"/>
      <c r="DL10" s="47"/>
      <c r="DM10" s="37"/>
      <c r="DN10" s="37"/>
      <c r="DO10" s="37"/>
      <c r="DP10" s="37"/>
      <c r="DQ10" s="250"/>
      <c r="DR10" s="49">
        <f t="shared" ref="DR10:DR38" si="125">IF((DQ10-DQ9)&lt;=0,0,(DQ10-DQ9))</f>
        <v>0</v>
      </c>
      <c r="DS10" s="250"/>
      <c r="DT10" s="49">
        <f t="shared" ref="DT10:DT38" si="126">IF((DS10-DS9)&lt;=0,0,(DS10-DS9))</f>
        <v>0</v>
      </c>
      <c r="DU10" s="250"/>
      <c r="DV10" s="250"/>
      <c r="DW10" s="37">
        <f>IF((DU10-DU9)*1000&lt;=0,0,(DU10-DU9)*1000)</f>
        <v>0</v>
      </c>
      <c r="DX10" s="250"/>
      <c r="DY10" s="250"/>
      <c r="DZ10" s="37">
        <f t="shared" si="51"/>
        <v>0</v>
      </c>
      <c r="EA10" s="250"/>
      <c r="EB10" s="250"/>
      <c r="EC10" s="37">
        <v>0</v>
      </c>
      <c r="ED10" s="53">
        <f t="shared" si="52"/>
        <v>0</v>
      </c>
      <c r="EE10" s="250"/>
      <c r="EF10" s="250"/>
      <c r="EG10" s="37">
        <v>0</v>
      </c>
      <c r="EH10" s="250"/>
      <c r="EI10" s="250"/>
      <c r="EJ10" s="37">
        <f t="shared" si="54"/>
        <v>0</v>
      </c>
      <c r="EK10" s="250"/>
      <c r="EL10" s="250"/>
      <c r="EM10" s="37">
        <f t="shared" ref="EM10:EM38" si="127">IF((EK10-EK9)&lt;=0,0,(EK10-EK9))*1000</f>
        <v>0</v>
      </c>
      <c r="EN10" s="54">
        <f t="shared" ref="EN10:EN38" si="128">EG10+EJ10+EM10</f>
        <v>0</v>
      </c>
      <c r="EO10" s="250"/>
      <c r="EP10" s="48"/>
      <c r="EQ10" s="37"/>
      <c r="ER10" s="250"/>
      <c r="ES10" s="48"/>
      <c r="ET10" s="49">
        <f t="shared" si="55"/>
        <v>0</v>
      </c>
      <c r="EU10" s="250"/>
      <c r="EV10" s="48"/>
      <c r="EW10" s="49">
        <f t="shared" si="56"/>
        <v>0</v>
      </c>
      <c r="EX10" s="250"/>
      <c r="EY10" s="48"/>
      <c r="EZ10" s="37">
        <f t="shared" si="103"/>
        <v>0</v>
      </c>
      <c r="FA10" s="48">
        <f t="shared" ref="FA10:FA38" si="129">FC10-EQ10-ET10-EW10-EZ10</f>
        <v>0</v>
      </c>
      <c r="FB10" s="250"/>
      <c r="FC10" s="49">
        <f>IF((FB10-FB9)&lt;=0,0,(FB10-FB9))</f>
        <v>0</v>
      </c>
      <c r="FD10" s="48">
        <f t="shared" ref="FD10:FD38" si="130">EQ10+ET10+EW10+EZ10+GJ10</f>
        <v>0</v>
      </c>
      <c r="FE10" s="250"/>
      <c r="FF10" s="48"/>
      <c r="FG10" s="37"/>
      <c r="FH10" s="250"/>
      <c r="FI10" s="48"/>
      <c r="FJ10" s="49">
        <f t="shared" si="59"/>
        <v>0</v>
      </c>
      <c r="FK10" s="48"/>
      <c r="FL10" s="58"/>
      <c r="FM10" s="48">
        <f>FT10/3</f>
        <v>0</v>
      </c>
      <c r="FN10" s="250"/>
      <c r="FO10" s="48"/>
      <c r="FP10" s="37">
        <f t="shared" ref="FP10:FP38" si="131">IF((FN10-FN9)*1000&lt;=0,0,(FN10-FN9)*1000)+FL10+GX10</f>
        <v>0</v>
      </c>
      <c r="FQ10" s="250"/>
      <c r="FR10" s="48"/>
      <c r="FS10" s="37">
        <f t="shared" si="60"/>
        <v>0</v>
      </c>
      <c r="FT10" s="48">
        <f>FS10-FG10-FJ10-FP10</f>
        <v>0</v>
      </c>
      <c r="FU10" s="48">
        <f>FG10+FJ10+FP10+GM10</f>
        <v>0</v>
      </c>
      <c r="FV10" s="250"/>
      <c r="FW10" s="44"/>
      <c r="FX10" s="37">
        <f t="shared" si="61"/>
        <v>0</v>
      </c>
      <c r="FY10" s="250"/>
      <c r="FZ10" s="56"/>
      <c r="GA10" s="37">
        <f t="shared" si="62"/>
        <v>0</v>
      </c>
      <c r="GB10" s="250"/>
      <c r="GC10" s="56"/>
      <c r="GD10" s="37">
        <f t="shared" si="63"/>
        <v>0</v>
      </c>
      <c r="GE10" s="250"/>
      <c r="GF10" s="56"/>
      <c r="GG10" s="37">
        <f t="shared" si="64"/>
        <v>0</v>
      </c>
      <c r="GH10" s="250"/>
      <c r="GI10" s="56"/>
      <c r="GJ10" s="38">
        <f t="shared" ref="GJ10:GJ38" si="132">IF((GH10-GH9)&lt;=0,0,(GH10-GH9))</f>
        <v>0</v>
      </c>
      <c r="GK10" s="250"/>
      <c r="GL10" s="44"/>
      <c r="GM10" s="38">
        <f t="shared" si="104"/>
        <v>0</v>
      </c>
      <c r="GN10" s="250"/>
      <c r="GO10" s="57"/>
      <c r="GP10" s="38">
        <f t="shared" si="65"/>
        <v>0</v>
      </c>
      <c r="GQ10" s="250"/>
      <c r="GR10" s="38"/>
      <c r="GS10" s="38">
        <f t="shared" ref="GS10:GS38" si="133">IF((GQ10-GQ9)&lt;=0,0,(GQ10-GQ9))</f>
        <v>0</v>
      </c>
      <c r="GT10" s="247"/>
      <c r="GU10" s="144"/>
      <c r="GV10" s="261"/>
      <c r="GW10" s="60">
        <f t="shared" si="66"/>
        <v>0</v>
      </c>
      <c r="GX10" s="260"/>
      <c r="GY10" s="140"/>
      <c r="GZ10" s="528"/>
      <c r="HA10" s="528"/>
      <c r="HB10" s="528"/>
      <c r="HC10" s="528"/>
      <c r="HD10" s="74"/>
      <c r="HE10" s="24">
        <f t="shared" si="105"/>
        <v>0</v>
      </c>
      <c r="HG10" s="279">
        <v>3</v>
      </c>
      <c r="HH10" s="292"/>
      <c r="HI10" s="292"/>
      <c r="HJ10" s="61">
        <f t="shared" si="67"/>
        <v>0</v>
      </c>
      <c r="HK10" s="260"/>
      <c r="HL10" s="292"/>
      <c r="HM10" s="61">
        <f t="shared" si="68"/>
        <v>0</v>
      </c>
      <c r="HN10" s="292"/>
      <c r="HO10" s="292"/>
      <c r="HP10" s="61">
        <f t="shared" si="106"/>
        <v>0</v>
      </c>
      <c r="HQ10" s="292"/>
      <c r="HR10" s="292"/>
      <c r="HS10" s="61">
        <f t="shared" si="107"/>
        <v>0</v>
      </c>
      <c r="HT10" s="292"/>
      <c r="HU10" s="292"/>
      <c r="HV10" s="61">
        <f t="shared" si="108"/>
        <v>0</v>
      </c>
      <c r="HW10" s="292"/>
      <c r="HX10" s="292"/>
      <c r="HY10" s="61">
        <f t="shared" si="109"/>
        <v>0</v>
      </c>
      <c r="HZ10" s="260"/>
      <c r="IA10" s="260"/>
      <c r="IB10" s="61">
        <f t="shared" si="110"/>
        <v>0</v>
      </c>
      <c r="IC10" s="292"/>
      <c r="ID10" s="292"/>
      <c r="IE10" s="61">
        <f>IF((IC10-IC9)&lt;=0,0,(IC10-IC9))</f>
        <v>0</v>
      </c>
      <c r="IF10" s="61"/>
      <c r="IG10" s="61"/>
      <c r="IH10" s="280">
        <f t="shared" si="71"/>
        <v>0</v>
      </c>
      <c r="II10" s="281">
        <f t="shared" si="72"/>
        <v>0</v>
      </c>
      <c r="IJ10" s="380"/>
      <c r="IK10" s="380"/>
      <c r="IL10" s="380">
        <f t="shared" si="73"/>
        <v>0</v>
      </c>
      <c r="IM10" s="380"/>
      <c r="IN10" s="380"/>
      <c r="IO10" s="380">
        <f t="shared" si="74"/>
        <v>0</v>
      </c>
      <c r="IP10" s="380"/>
      <c r="IQ10" s="380"/>
      <c r="IR10" s="380">
        <f t="shared" si="75"/>
        <v>0</v>
      </c>
      <c r="IS10" s="380"/>
      <c r="IT10" s="380"/>
      <c r="IU10" s="380">
        <f t="shared" si="111"/>
        <v>0</v>
      </c>
      <c r="IV10" s="380"/>
      <c r="IW10" s="380"/>
      <c r="IX10" s="380">
        <f t="shared" si="112"/>
        <v>0</v>
      </c>
      <c r="IY10" s="380"/>
      <c r="IZ10" s="380"/>
      <c r="JA10" s="380">
        <f t="shared" si="113"/>
        <v>0</v>
      </c>
      <c r="JB10" s="380"/>
      <c r="JC10" s="380"/>
      <c r="JD10" s="380">
        <f t="shared" si="114"/>
        <v>0</v>
      </c>
      <c r="JE10" s="380"/>
      <c r="JF10" s="380"/>
      <c r="JG10" s="380">
        <f t="shared" si="115"/>
        <v>0</v>
      </c>
      <c r="JH10" s="380"/>
      <c r="JI10" s="380"/>
      <c r="JJ10" s="380">
        <f t="shared" si="81"/>
        <v>0</v>
      </c>
      <c r="JK10" s="380"/>
      <c r="JL10" s="380"/>
      <c r="JM10" s="380">
        <f t="shared" si="82"/>
        <v>0</v>
      </c>
      <c r="JN10" s="380"/>
      <c r="JO10" s="380"/>
      <c r="JP10" s="380">
        <f t="shared" si="83"/>
        <v>0</v>
      </c>
      <c r="JQ10" s="380"/>
      <c r="JR10" s="380"/>
      <c r="JS10" s="380">
        <f t="shared" si="84"/>
        <v>0</v>
      </c>
      <c r="JT10" s="380"/>
      <c r="JU10" s="380"/>
      <c r="JV10" s="380">
        <f t="shared" si="85"/>
        <v>0</v>
      </c>
      <c r="JW10" s="380"/>
      <c r="JX10" s="380"/>
      <c r="JY10" s="380">
        <f t="shared" si="86"/>
        <v>0</v>
      </c>
      <c r="JZ10" s="380"/>
      <c r="KA10" s="380"/>
      <c r="KB10" s="380">
        <f t="shared" si="116"/>
        <v>0</v>
      </c>
      <c r="KC10" s="380"/>
      <c r="KD10" s="380"/>
      <c r="KE10" s="380">
        <f t="shared" si="117"/>
        <v>0</v>
      </c>
      <c r="KG10" s="151">
        <f t="shared" si="89"/>
        <v>0</v>
      </c>
    </row>
    <row r="11" spans="1:293" x14ac:dyDescent="0.25">
      <c r="A11" s="35">
        <f t="shared" si="118"/>
        <v>4</v>
      </c>
      <c r="B11" s="250"/>
      <c r="C11" s="38">
        <f t="shared" si="21"/>
        <v>0</v>
      </c>
      <c r="D11" s="38">
        <f t="shared" si="22"/>
        <v>0</v>
      </c>
      <c r="E11" s="250"/>
      <c r="F11" s="38">
        <f t="shared" si="23"/>
        <v>0</v>
      </c>
      <c r="G11" s="38">
        <f t="shared" si="24"/>
        <v>0</v>
      </c>
      <c r="H11" s="37"/>
      <c r="I11" s="39"/>
      <c r="J11" s="42"/>
      <c r="K11" s="37">
        <f t="shared" ref="K11:K35" si="134">IF(J11&lt;=0,0,(J11/SQRT(J11^2+(I11-I10)^2)))</f>
        <v>0</v>
      </c>
      <c r="L11" s="250"/>
      <c r="M11" s="40"/>
      <c r="N11" s="37">
        <f t="shared" ref="N11:N38" si="135">IF((L11-L10)&lt;=0,0,(L11-L10)*10)</f>
        <v>0</v>
      </c>
      <c r="O11" s="250"/>
      <c r="P11" s="37"/>
      <c r="Q11" s="37">
        <f t="shared" si="25"/>
        <v>0</v>
      </c>
      <c r="R11" s="37">
        <f t="shared" ref="R11:R35" si="136">IF(Q11&lt;=0,0,(Q11/SQRT(Q11^2+(P11-P10)^2)))</f>
        <v>0</v>
      </c>
      <c r="S11" s="250"/>
      <c r="T11" s="37">
        <f t="shared" si="26"/>
        <v>0</v>
      </c>
      <c r="U11" s="250"/>
      <c r="V11" s="37">
        <f t="shared" si="27"/>
        <v>0</v>
      </c>
      <c r="W11" s="250"/>
      <c r="X11" s="37">
        <f>Q11-T11-V11-AB11</f>
        <v>0</v>
      </c>
      <c r="Y11" s="183"/>
      <c r="Z11" s="183"/>
      <c r="AA11" s="250"/>
      <c r="AB11" s="37">
        <f t="shared" si="28"/>
        <v>0</v>
      </c>
      <c r="AC11" s="250"/>
      <c r="AD11" s="37"/>
      <c r="AE11" s="37">
        <f t="shared" si="29"/>
        <v>0</v>
      </c>
      <c r="AF11" s="37">
        <f t="shared" ref="AF11:AF35" si="137">IF(AE11&lt;=0,0,(AE11/SQRT(AE11^2+(AD11-AD10)^2)))</f>
        <v>0</v>
      </c>
      <c r="AG11" s="250"/>
      <c r="AH11" s="37"/>
      <c r="AI11" s="37">
        <f t="shared" si="90"/>
        <v>0</v>
      </c>
      <c r="AJ11" s="37">
        <f t="shared" si="91"/>
        <v>0</v>
      </c>
      <c r="AK11" s="37">
        <f t="shared" si="32"/>
        <v>0</v>
      </c>
      <c r="AL11" s="250"/>
      <c r="AM11" s="42"/>
      <c r="AN11" s="37">
        <f t="shared" si="119"/>
        <v>0</v>
      </c>
      <c r="AO11" s="37">
        <f t="shared" ref="AO11:AO35" si="138">IF(AN11&lt;=0,0,(AN11/SQRT(AN11^2+(AM11-AM10)^2)))</f>
        <v>0</v>
      </c>
      <c r="AP11" s="250"/>
      <c r="AQ11" s="37"/>
      <c r="AR11" s="37">
        <f t="shared" si="92"/>
        <v>0</v>
      </c>
      <c r="AS11" s="37">
        <f t="shared" ref="AS11:AS35" si="139">IF(AR11&lt;=0,0,(AR11/SQRT(AR11^2+(AQ11-AQ10)^2)))</f>
        <v>0</v>
      </c>
      <c r="AT11" s="183"/>
      <c r="AU11" s="183"/>
      <c r="AV11" s="183"/>
      <c r="AW11" s="183"/>
      <c r="AX11" s="250"/>
      <c r="AY11" s="37"/>
      <c r="AZ11" s="37">
        <f t="shared" si="34"/>
        <v>0</v>
      </c>
      <c r="BA11" s="250"/>
      <c r="BB11" s="37"/>
      <c r="BC11" s="37">
        <f t="shared" si="93"/>
        <v>0</v>
      </c>
      <c r="BD11" s="37">
        <f t="shared" ref="BD11:BD35" si="140">AN11+AR11+AZ11+BC11</f>
        <v>0</v>
      </c>
      <c r="BE11" s="250"/>
      <c r="BF11" s="250"/>
      <c r="BG11" s="37">
        <f t="shared" si="36"/>
        <v>0</v>
      </c>
      <c r="BH11" s="250"/>
      <c r="BI11" s="250"/>
      <c r="BJ11" s="37">
        <f t="shared" si="37"/>
        <v>0</v>
      </c>
      <c r="BK11" s="250"/>
      <c r="BL11" s="40">
        <f t="shared" ref="BL11:BL38" si="141">IF((BK11-BK10)&lt;=0,0,(BK11-BK10))</f>
        <v>0</v>
      </c>
      <c r="BM11" s="250"/>
      <c r="BN11" s="37">
        <f t="shared" si="38"/>
        <v>0</v>
      </c>
      <c r="BO11" s="186"/>
      <c r="BP11" s="183">
        <f t="shared" si="94"/>
        <v>0</v>
      </c>
      <c r="BQ11" s="250"/>
      <c r="BR11" s="37">
        <f t="shared" si="120"/>
        <v>0</v>
      </c>
      <c r="BS11" s="250"/>
      <c r="BT11" s="37">
        <f t="shared" si="39"/>
        <v>0</v>
      </c>
      <c r="BU11" s="250"/>
      <c r="BV11" s="42"/>
      <c r="BW11" s="37">
        <f t="shared" si="95"/>
        <v>0</v>
      </c>
      <c r="BX11" s="37">
        <f t="shared" ref="BX11:BX34" si="142">IF(BW11&lt;=0,0,(BW11/SQRT(BW11^2+(BV11-BV10)^2)))</f>
        <v>0</v>
      </c>
      <c r="BY11" s="250"/>
      <c r="BZ11" s="43"/>
      <c r="CA11" s="37">
        <f t="shared" si="96"/>
        <v>0</v>
      </c>
      <c r="CB11" s="37">
        <f t="shared" si="121"/>
        <v>0</v>
      </c>
      <c r="CC11" s="250"/>
      <c r="CD11" s="37">
        <f t="shared" si="42"/>
        <v>0</v>
      </c>
      <c r="CE11" s="250"/>
      <c r="CF11" s="37">
        <f t="shared" si="43"/>
        <v>0</v>
      </c>
      <c r="CG11" s="250"/>
      <c r="CH11" s="37">
        <f t="shared" si="122"/>
        <v>0</v>
      </c>
      <c r="CI11" s="250"/>
      <c r="CJ11" s="40"/>
      <c r="CK11" s="37">
        <f t="shared" si="123"/>
        <v>0</v>
      </c>
      <c r="CL11" s="37">
        <f t="shared" si="97"/>
        <v>0</v>
      </c>
      <c r="CM11" s="250"/>
      <c r="CN11" s="37"/>
      <c r="CO11" s="37">
        <f t="shared" si="45"/>
        <v>0</v>
      </c>
      <c r="CP11" s="37">
        <f>IF(CO11&lt;=0,0,(CO11/SQRT(CO11^2+(CN11-CQ7)^2)))</f>
        <v>0</v>
      </c>
      <c r="CQ11" s="250"/>
      <c r="CR11" s="45"/>
      <c r="CS11" s="37">
        <f t="shared" si="124"/>
        <v>0</v>
      </c>
      <c r="CT11" s="37">
        <f t="shared" ref="CT11:CT38" si="143">IF(CS11&lt;=0,0,(CS11/SQRT(CS11^2+(CR11-CR10)^2)))</f>
        <v>0</v>
      </c>
      <c r="CU11" s="250"/>
      <c r="CV11" s="37"/>
      <c r="CW11" s="38">
        <f t="shared" si="98"/>
        <v>0</v>
      </c>
      <c r="CX11" s="37">
        <f t="shared" ref="CX11:CX38" si="144">IF(CW11&lt;=0,0,(CW11/SQRT(CW11^2+(CV11-CV10)^2)))</f>
        <v>0</v>
      </c>
      <c r="CY11" s="250"/>
      <c r="CZ11" s="37"/>
      <c r="DA11" s="37">
        <f t="shared" si="99"/>
        <v>0</v>
      </c>
      <c r="DB11" s="37">
        <f t="shared" ref="DB11:DB35" si="145">IF(DA11&lt;=0,0,(DA11/SQRT(DA11^2+(CZ11-CZ10)^2)))</f>
        <v>0</v>
      </c>
      <c r="DC11" s="37"/>
      <c r="DD11" s="40"/>
      <c r="DE11" s="37">
        <f t="shared" si="100"/>
        <v>0</v>
      </c>
      <c r="DF11" s="37">
        <f>IF(DE11&lt;=0,0,(DE11/SQRT(DE11^2+(DD11-DD10)^2)))</f>
        <v>0</v>
      </c>
      <c r="DG11" s="37">
        <f t="shared" si="101"/>
        <v>0</v>
      </c>
      <c r="DH11" s="37">
        <f t="shared" si="102"/>
        <v>0</v>
      </c>
      <c r="DI11" s="46"/>
      <c r="DJ11" s="46"/>
      <c r="DK11" s="47"/>
      <c r="DL11" s="47"/>
      <c r="DM11" s="37"/>
      <c r="DN11" s="37"/>
      <c r="DO11" s="37"/>
      <c r="DP11" s="37"/>
      <c r="DQ11" s="250"/>
      <c r="DR11" s="49">
        <f t="shared" si="125"/>
        <v>0</v>
      </c>
      <c r="DS11" s="250"/>
      <c r="DT11" s="49">
        <f t="shared" si="126"/>
        <v>0</v>
      </c>
      <c r="DU11" s="250"/>
      <c r="DV11" s="250"/>
      <c r="DW11" s="37">
        <f t="shared" ref="DW11:DW38" si="146">IF((DU11-DU10)*1000&lt;=0,0,(DU11-DU10)*1000)</f>
        <v>0</v>
      </c>
      <c r="DX11" s="250"/>
      <c r="DY11" s="250"/>
      <c r="DZ11" s="37">
        <f t="shared" si="51"/>
        <v>0</v>
      </c>
      <c r="EA11" s="250"/>
      <c r="EB11" s="250"/>
      <c r="EC11" s="37">
        <v>0</v>
      </c>
      <c r="ED11" s="53">
        <f t="shared" si="52"/>
        <v>0</v>
      </c>
      <c r="EE11" s="250"/>
      <c r="EF11" s="250"/>
      <c r="EG11" s="37">
        <v>0</v>
      </c>
      <c r="EH11" s="250"/>
      <c r="EI11" s="250"/>
      <c r="EJ11" s="37">
        <f t="shared" si="54"/>
        <v>0</v>
      </c>
      <c r="EK11" s="250"/>
      <c r="EL11" s="250"/>
      <c r="EM11" s="37">
        <f t="shared" si="127"/>
        <v>0</v>
      </c>
      <c r="EN11" s="54">
        <f t="shared" si="128"/>
        <v>0</v>
      </c>
      <c r="EO11" s="250"/>
      <c r="EP11" s="48"/>
      <c r="EQ11" s="37"/>
      <c r="ER11" s="250"/>
      <c r="ES11" s="48"/>
      <c r="ET11" s="49">
        <f t="shared" si="55"/>
        <v>0</v>
      </c>
      <c r="EU11" s="250"/>
      <c r="EV11" s="48"/>
      <c r="EW11" s="49">
        <f t="shared" si="56"/>
        <v>0</v>
      </c>
      <c r="EX11" s="250"/>
      <c r="EY11" s="48"/>
      <c r="EZ11" s="37">
        <f t="shared" si="103"/>
        <v>0</v>
      </c>
      <c r="FA11" s="48">
        <f t="shared" si="129"/>
        <v>0</v>
      </c>
      <c r="FB11" s="250"/>
      <c r="FC11" s="49">
        <f t="shared" ref="FC11:FC36" si="147">IF((FB11-FB10)&lt;=0,0,(FB11-FB10))</f>
        <v>0</v>
      </c>
      <c r="FD11" s="48">
        <f t="shared" si="130"/>
        <v>0</v>
      </c>
      <c r="FE11" s="250"/>
      <c r="FF11" s="48"/>
      <c r="FG11" s="37"/>
      <c r="FH11" s="250"/>
      <c r="FI11" s="48"/>
      <c r="FJ11" s="49">
        <f t="shared" si="59"/>
        <v>0</v>
      </c>
      <c r="FK11" s="48"/>
      <c r="FL11" s="58"/>
      <c r="FM11" s="48">
        <f t="shared" ref="FM11:FM38" si="148">FT11/3</f>
        <v>0</v>
      </c>
      <c r="FN11" s="250"/>
      <c r="FO11" s="48"/>
      <c r="FP11" s="37">
        <f t="shared" si="131"/>
        <v>0</v>
      </c>
      <c r="FQ11" s="250"/>
      <c r="FR11" s="48"/>
      <c r="FS11" s="37">
        <f t="shared" si="60"/>
        <v>0</v>
      </c>
      <c r="FT11" s="48">
        <f t="shared" ref="FT11:FT38" si="149">FS11-FG11-FJ11-FP11</f>
        <v>0</v>
      </c>
      <c r="FU11" s="48">
        <f t="shared" ref="FU11:FU38" si="150">FG11+FJ11+FP11+GM11</f>
        <v>0</v>
      </c>
      <c r="FV11" s="250"/>
      <c r="FW11" s="44"/>
      <c r="FX11" s="37">
        <f t="shared" si="61"/>
        <v>0</v>
      </c>
      <c r="FY11" s="250"/>
      <c r="FZ11" s="56"/>
      <c r="GA11" s="37">
        <f t="shared" si="62"/>
        <v>0</v>
      </c>
      <c r="GB11" s="250"/>
      <c r="GC11" s="56"/>
      <c r="GD11" s="37">
        <f t="shared" si="63"/>
        <v>0</v>
      </c>
      <c r="GE11" s="250"/>
      <c r="GF11" s="56"/>
      <c r="GG11" s="37">
        <f t="shared" si="64"/>
        <v>0</v>
      </c>
      <c r="GH11" s="250"/>
      <c r="GI11" s="162"/>
      <c r="GJ11" s="38">
        <f t="shared" si="132"/>
        <v>0</v>
      </c>
      <c r="GK11" s="250"/>
      <c r="GL11" s="163"/>
      <c r="GM11" s="38">
        <f t="shared" si="104"/>
        <v>0</v>
      </c>
      <c r="GN11" s="250"/>
      <c r="GO11" s="57"/>
      <c r="GP11" s="38">
        <f t="shared" si="65"/>
        <v>0</v>
      </c>
      <c r="GQ11" s="250"/>
      <c r="GR11" s="38"/>
      <c r="GS11" s="38">
        <f t="shared" si="133"/>
        <v>0</v>
      </c>
      <c r="GT11" s="247"/>
      <c r="GU11" s="144"/>
      <c r="GV11" s="261"/>
      <c r="GW11" s="60">
        <f t="shared" si="66"/>
        <v>0</v>
      </c>
      <c r="GX11" s="260"/>
      <c r="GY11" s="140"/>
      <c r="GZ11" s="528"/>
      <c r="HA11" s="528"/>
      <c r="HB11" s="528"/>
      <c r="HC11" s="528"/>
      <c r="HD11" s="74"/>
      <c r="HE11" s="24">
        <f t="shared" si="105"/>
        <v>0</v>
      </c>
      <c r="HG11" s="279">
        <v>4</v>
      </c>
      <c r="HH11" s="292"/>
      <c r="HI11" s="292"/>
      <c r="HJ11" s="61">
        <f t="shared" si="67"/>
        <v>0</v>
      </c>
      <c r="HK11" s="260"/>
      <c r="HL11" s="292"/>
      <c r="HM11" s="61">
        <f t="shared" si="68"/>
        <v>0</v>
      </c>
      <c r="HN11" s="292"/>
      <c r="HO11" s="292"/>
      <c r="HP11" s="61">
        <f t="shared" si="106"/>
        <v>0</v>
      </c>
      <c r="HQ11" s="292"/>
      <c r="HR11" s="292"/>
      <c r="HS11" s="61">
        <f t="shared" si="107"/>
        <v>0</v>
      </c>
      <c r="HT11" s="292"/>
      <c r="HU11" s="292"/>
      <c r="HV11" s="61">
        <f t="shared" si="108"/>
        <v>0</v>
      </c>
      <c r="HW11" s="292"/>
      <c r="HX11" s="292"/>
      <c r="HY11" s="61">
        <f t="shared" si="109"/>
        <v>0</v>
      </c>
      <c r="HZ11" s="260"/>
      <c r="IA11" s="260"/>
      <c r="IB11" s="61">
        <f t="shared" si="110"/>
        <v>0</v>
      </c>
      <c r="IC11" s="292"/>
      <c r="ID11" s="292"/>
      <c r="IE11" s="61">
        <f>IF((IC11-IC10)&lt;=0,0,(IC11-IC10))</f>
        <v>0</v>
      </c>
      <c r="IF11" s="61"/>
      <c r="IG11" s="61"/>
      <c r="IH11" s="280">
        <f t="shared" si="71"/>
        <v>0</v>
      </c>
      <c r="II11" s="281">
        <f t="shared" si="72"/>
        <v>0</v>
      </c>
      <c r="IJ11" s="380"/>
      <c r="IK11" s="380"/>
      <c r="IL11" s="380">
        <f t="shared" si="73"/>
        <v>0</v>
      </c>
      <c r="IM11" s="380"/>
      <c r="IN11" s="380"/>
      <c r="IO11" s="380">
        <f t="shared" si="74"/>
        <v>0</v>
      </c>
      <c r="IP11" s="380"/>
      <c r="IQ11" s="380"/>
      <c r="IR11" s="380">
        <f t="shared" si="75"/>
        <v>0</v>
      </c>
      <c r="IS11" s="380"/>
      <c r="IT11" s="380"/>
      <c r="IU11" s="380">
        <f t="shared" si="111"/>
        <v>0</v>
      </c>
      <c r="IV11" s="380"/>
      <c r="IW11" s="380"/>
      <c r="IX11" s="380">
        <f t="shared" si="112"/>
        <v>0</v>
      </c>
      <c r="IY11" s="380"/>
      <c r="IZ11" s="380"/>
      <c r="JA11" s="380">
        <f t="shared" si="113"/>
        <v>0</v>
      </c>
      <c r="JB11" s="380"/>
      <c r="JC11" s="380"/>
      <c r="JD11" s="380">
        <f t="shared" si="114"/>
        <v>0</v>
      </c>
      <c r="JE11" s="380"/>
      <c r="JF11" s="380"/>
      <c r="JG11" s="380">
        <f t="shared" si="115"/>
        <v>0</v>
      </c>
      <c r="JH11" s="380"/>
      <c r="JI11" s="380"/>
      <c r="JJ11" s="380">
        <f t="shared" si="81"/>
        <v>0</v>
      </c>
      <c r="JK11" s="380"/>
      <c r="JL11" s="380"/>
      <c r="JM11" s="380">
        <f t="shared" si="82"/>
        <v>0</v>
      </c>
      <c r="JN11" s="380"/>
      <c r="JO11" s="380"/>
      <c r="JP11" s="380">
        <f t="shared" si="83"/>
        <v>0</v>
      </c>
      <c r="JQ11" s="380"/>
      <c r="JR11" s="380"/>
      <c r="JS11" s="380">
        <f t="shared" si="84"/>
        <v>0</v>
      </c>
      <c r="JT11" s="380"/>
      <c r="JU11" s="380"/>
      <c r="JV11" s="380">
        <f t="shared" si="85"/>
        <v>0</v>
      </c>
      <c r="JW11" s="380"/>
      <c r="JX11" s="380"/>
      <c r="JY11" s="380">
        <f t="shared" si="86"/>
        <v>0</v>
      </c>
      <c r="JZ11" s="380"/>
      <c r="KA11" s="380"/>
      <c r="KB11" s="380">
        <f t="shared" si="116"/>
        <v>0</v>
      </c>
      <c r="KC11" s="380"/>
      <c r="KD11" s="380"/>
      <c r="KE11" s="380">
        <f t="shared" si="117"/>
        <v>0</v>
      </c>
      <c r="KG11" s="151">
        <f t="shared" si="89"/>
        <v>0</v>
      </c>
    </row>
    <row r="12" spans="1:293" x14ac:dyDescent="0.25">
      <c r="A12" s="35">
        <f t="shared" si="118"/>
        <v>5</v>
      </c>
      <c r="B12" s="250"/>
      <c r="C12" s="38">
        <f t="shared" si="21"/>
        <v>0</v>
      </c>
      <c r="D12" s="38">
        <f t="shared" si="22"/>
        <v>0</v>
      </c>
      <c r="E12" s="250"/>
      <c r="F12" s="38">
        <f t="shared" si="23"/>
        <v>0</v>
      </c>
      <c r="G12" s="38">
        <f t="shared" si="24"/>
        <v>0</v>
      </c>
      <c r="H12" s="37"/>
      <c r="I12" s="39"/>
      <c r="J12" s="42"/>
      <c r="K12" s="37">
        <f t="shared" si="134"/>
        <v>0</v>
      </c>
      <c r="L12" s="250"/>
      <c r="M12" s="40"/>
      <c r="N12" s="37">
        <f t="shared" si="135"/>
        <v>0</v>
      </c>
      <c r="O12" s="250"/>
      <c r="P12" s="37"/>
      <c r="Q12" s="37">
        <f t="shared" si="25"/>
        <v>0</v>
      </c>
      <c r="R12" s="37">
        <f t="shared" si="136"/>
        <v>0</v>
      </c>
      <c r="S12" s="250"/>
      <c r="T12" s="37">
        <f t="shared" si="26"/>
        <v>0</v>
      </c>
      <c r="U12" s="250"/>
      <c r="V12" s="37">
        <f t="shared" si="27"/>
        <v>0</v>
      </c>
      <c r="W12" s="250"/>
      <c r="X12" s="37">
        <f t="shared" ref="X12:X38" si="151">Q12-T12-V12-AB12</f>
        <v>0</v>
      </c>
      <c r="Y12" s="183"/>
      <c r="Z12" s="183"/>
      <c r="AA12" s="250"/>
      <c r="AB12" s="37">
        <f t="shared" si="28"/>
        <v>0</v>
      </c>
      <c r="AC12" s="250"/>
      <c r="AD12" s="37"/>
      <c r="AE12" s="37">
        <f t="shared" si="29"/>
        <v>0</v>
      </c>
      <c r="AF12" s="37">
        <f t="shared" si="137"/>
        <v>0</v>
      </c>
      <c r="AG12" s="250"/>
      <c r="AH12" s="37"/>
      <c r="AI12" s="37">
        <f t="shared" si="90"/>
        <v>0</v>
      </c>
      <c r="AJ12" s="37">
        <f t="shared" si="91"/>
        <v>0</v>
      </c>
      <c r="AK12" s="37">
        <f t="shared" si="32"/>
        <v>0</v>
      </c>
      <c r="AL12" s="250"/>
      <c r="AM12" s="2"/>
      <c r="AN12" s="37">
        <f t="shared" si="119"/>
        <v>0</v>
      </c>
      <c r="AO12" s="37">
        <f t="shared" si="138"/>
        <v>0</v>
      </c>
      <c r="AP12" s="250"/>
      <c r="AQ12" s="37"/>
      <c r="AR12" s="37">
        <f t="shared" si="92"/>
        <v>0</v>
      </c>
      <c r="AS12" s="37">
        <f t="shared" si="139"/>
        <v>0</v>
      </c>
      <c r="AT12" s="183"/>
      <c r="AU12" s="183"/>
      <c r="AV12" s="183"/>
      <c r="AW12" s="183"/>
      <c r="AX12" s="250"/>
      <c r="AY12" s="37"/>
      <c r="AZ12" s="37">
        <f t="shared" si="34"/>
        <v>0</v>
      </c>
      <c r="BA12" s="250"/>
      <c r="BB12" s="37"/>
      <c r="BC12" s="37">
        <f t="shared" si="93"/>
        <v>0</v>
      </c>
      <c r="BD12" s="37">
        <f t="shared" si="140"/>
        <v>0</v>
      </c>
      <c r="BE12" s="250"/>
      <c r="BF12" s="250"/>
      <c r="BG12" s="37">
        <f t="shared" si="36"/>
        <v>0</v>
      </c>
      <c r="BH12" s="250"/>
      <c r="BI12" s="250"/>
      <c r="BJ12" s="37">
        <f t="shared" si="37"/>
        <v>0</v>
      </c>
      <c r="BK12" s="250"/>
      <c r="BL12" s="40">
        <f t="shared" si="141"/>
        <v>0</v>
      </c>
      <c r="BM12" s="250"/>
      <c r="BN12" s="37">
        <f t="shared" si="38"/>
        <v>0</v>
      </c>
      <c r="BO12" s="186"/>
      <c r="BP12" s="183">
        <f t="shared" si="94"/>
        <v>0</v>
      </c>
      <c r="BQ12" s="250"/>
      <c r="BR12" s="37">
        <f t="shared" si="120"/>
        <v>0</v>
      </c>
      <c r="BS12" s="250"/>
      <c r="BT12" s="37">
        <f t="shared" si="39"/>
        <v>0</v>
      </c>
      <c r="BU12" s="250"/>
      <c r="BV12" s="42"/>
      <c r="BW12" s="37">
        <f t="shared" si="95"/>
        <v>0</v>
      </c>
      <c r="BX12" s="37">
        <f t="shared" si="142"/>
        <v>0</v>
      </c>
      <c r="BY12" s="250"/>
      <c r="BZ12" s="43"/>
      <c r="CA12" s="37">
        <f t="shared" si="96"/>
        <v>0</v>
      </c>
      <c r="CB12" s="37">
        <f t="shared" si="121"/>
        <v>0</v>
      </c>
      <c r="CC12" s="250"/>
      <c r="CD12" s="37">
        <f t="shared" si="42"/>
        <v>0</v>
      </c>
      <c r="CE12" s="250"/>
      <c r="CF12" s="37">
        <f t="shared" si="43"/>
        <v>0</v>
      </c>
      <c r="CG12" s="250"/>
      <c r="CH12" s="37">
        <f t="shared" si="122"/>
        <v>0</v>
      </c>
      <c r="CI12" s="250"/>
      <c r="CJ12" s="40"/>
      <c r="CK12" s="37">
        <f t="shared" si="123"/>
        <v>0</v>
      </c>
      <c r="CL12" s="37">
        <f t="shared" si="97"/>
        <v>0</v>
      </c>
      <c r="CM12" s="250"/>
      <c r="CN12" s="37"/>
      <c r="CO12" s="37">
        <f t="shared" si="45"/>
        <v>0</v>
      </c>
      <c r="CP12" s="37">
        <f>IF(CO12&lt;=0,0,(CO12/SQRT(CO12^2+(CN12-CN11)^2)))</f>
        <v>0</v>
      </c>
      <c r="CQ12" s="250"/>
      <c r="CR12" s="45"/>
      <c r="CS12" s="37">
        <f t="shared" si="124"/>
        <v>0</v>
      </c>
      <c r="CT12" s="37">
        <f t="shared" si="143"/>
        <v>0</v>
      </c>
      <c r="CU12" s="250"/>
      <c r="CV12" s="37"/>
      <c r="CW12" s="38">
        <f t="shared" si="98"/>
        <v>0</v>
      </c>
      <c r="CX12" s="37">
        <f t="shared" si="144"/>
        <v>0</v>
      </c>
      <c r="CY12" s="250"/>
      <c r="CZ12" s="37"/>
      <c r="DA12" s="37">
        <f t="shared" si="99"/>
        <v>0</v>
      </c>
      <c r="DB12" s="37">
        <f t="shared" si="145"/>
        <v>0</v>
      </c>
      <c r="DC12" s="37"/>
      <c r="DD12" s="40"/>
      <c r="DE12" s="37">
        <f t="shared" si="100"/>
        <v>0</v>
      </c>
      <c r="DF12" s="37">
        <f t="shared" ref="DF12:DF34" si="152">IF(DE12&lt;=0,0,(DE12/SQRT(DE12^2+(DD12-DD11)^2)))</f>
        <v>0</v>
      </c>
      <c r="DG12" s="37">
        <f t="shared" si="101"/>
        <v>0</v>
      </c>
      <c r="DH12" s="37">
        <f t="shared" si="102"/>
        <v>0</v>
      </c>
      <c r="DI12" s="46"/>
      <c r="DJ12" s="46"/>
      <c r="DK12" s="47"/>
      <c r="DL12" s="47"/>
      <c r="DM12" s="37"/>
      <c r="DN12" s="37"/>
      <c r="DO12" s="37"/>
      <c r="DP12" s="37"/>
      <c r="DQ12" s="250"/>
      <c r="DR12" s="49">
        <f t="shared" si="125"/>
        <v>0</v>
      </c>
      <c r="DS12" s="250"/>
      <c r="DT12" s="49">
        <f t="shared" si="126"/>
        <v>0</v>
      </c>
      <c r="DU12" s="250"/>
      <c r="DV12" s="250"/>
      <c r="DW12" s="37">
        <f t="shared" si="146"/>
        <v>0</v>
      </c>
      <c r="DX12" s="250"/>
      <c r="DY12" s="250"/>
      <c r="DZ12" s="37">
        <f t="shared" si="51"/>
        <v>0</v>
      </c>
      <c r="EA12" s="250"/>
      <c r="EB12" s="250"/>
      <c r="EC12" s="37">
        <v>0</v>
      </c>
      <c r="ED12" s="53">
        <f t="shared" si="52"/>
        <v>0</v>
      </c>
      <c r="EE12" s="250"/>
      <c r="EF12" s="250"/>
      <c r="EG12" s="37">
        <v>0</v>
      </c>
      <c r="EH12" s="250"/>
      <c r="EI12" s="250"/>
      <c r="EJ12" s="37">
        <f t="shared" si="54"/>
        <v>0</v>
      </c>
      <c r="EK12" s="250"/>
      <c r="EL12" s="250"/>
      <c r="EM12" s="37">
        <f t="shared" si="127"/>
        <v>0</v>
      </c>
      <c r="EN12" s="54">
        <f t="shared" si="128"/>
        <v>0</v>
      </c>
      <c r="EO12" s="250"/>
      <c r="EP12" s="48"/>
      <c r="EQ12" s="37"/>
      <c r="ER12" s="250"/>
      <c r="ES12" s="48"/>
      <c r="ET12" s="49">
        <f t="shared" si="55"/>
        <v>0</v>
      </c>
      <c r="EU12" s="250"/>
      <c r="EV12" s="48"/>
      <c r="EW12" s="49">
        <f t="shared" si="56"/>
        <v>0</v>
      </c>
      <c r="EX12" s="250"/>
      <c r="EY12" s="48"/>
      <c r="EZ12" s="37">
        <f t="shared" si="103"/>
        <v>0</v>
      </c>
      <c r="FA12" s="48">
        <f t="shared" si="129"/>
        <v>0</v>
      </c>
      <c r="FB12" s="250"/>
      <c r="FC12" s="49">
        <f t="shared" si="147"/>
        <v>0</v>
      </c>
      <c r="FD12" s="48">
        <f t="shared" si="130"/>
        <v>0</v>
      </c>
      <c r="FE12" s="250"/>
      <c r="FF12" s="48"/>
      <c r="FG12" s="37"/>
      <c r="FH12" s="250"/>
      <c r="FI12" s="48"/>
      <c r="FJ12" s="49">
        <f t="shared" si="59"/>
        <v>0</v>
      </c>
      <c r="FK12" s="48"/>
      <c r="FL12" s="58"/>
      <c r="FM12" s="48">
        <f t="shared" si="148"/>
        <v>0</v>
      </c>
      <c r="FN12" s="250"/>
      <c r="FO12" s="48"/>
      <c r="FP12" s="37">
        <f t="shared" si="131"/>
        <v>0</v>
      </c>
      <c r="FQ12" s="250"/>
      <c r="FR12" s="48"/>
      <c r="FS12" s="37">
        <f t="shared" si="60"/>
        <v>0</v>
      </c>
      <c r="FT12" s="48">
        <f t="shared" si="149"/>
        <v>0</v>
      </c>
      <c r="FU12" s="48">
        <f>FG12+FJ12+FP12+GM12</f>
        <v>0</v>
      </c>
      <c r="FV12" s="250"/>
      <c r="FW12" s="44"/>
      <c r="FX12" s="37">
        <f t="shared" si="61"/>
        <v>0</v>
      </c>
      <c r="FY12" s="250"/>
      <c r="FZ12" s="56"/>
      <c r="GA12" s="37">
        <f t="shared" si="62"/>
        <v>0</v>
      </c>
      <c r="GB12" s="250"/>
      <c r="GC12" s="56"/>
      <c r="GD12" s="37">
        <f t="shared" si="63"/>
        <v>0</v>
      </c>
      <c r="GE12" s="250"/>
      <c r="GF12" s="63"/>
      <c r="GG12" s="37">
        <f t="shared" si="64"/>
        <v>0</v>
      </c>
      <c r="GH12" s="250"/>
      <c r="GI12" s="162"/>
      <c r="GJ12" s="38">
        <f t="shared" si="132"/>
        <v>0</v>
      </c>
      <c r="GK12" s="250"/>
      <c r="GL12" s="163"/>
      <c r="GM12" s="38">
        <f t="shared" si="104"/>
        <v>0</v>
      </c>
      <c r="GN12" s="250"/>
      <c r="GO12" s="57"/>
      <c r="GP12" s="38">
        <f t="shared" si="65"/>
        <v>0</v>
      </c>
      <c r="GQ12" s="250"/>
      <c r="GR12" s="38"/>
      <c r="GS12" s="38">
        <f t="shared" si="133"/>
        <v>0</v>
      </c>
      <c r="GT12" s="247"/>
      <c r="GU12" s="144">
        <f>IFERROR(DailyNov!B10-DailyNov!N10-DailyNov!V10-DailyNov!Y10-DailyNov!Z10-DailyNov!AA10-DailyNov!AB10-DailyNov!AC10-DailyNov!AD10-DailyNov!AE10-DailyNov!AK10-DailyNov!AO10-DailyNov!AS10-DailyNov!AY10-DailyNov!BD10+DailyNov!BU10-DailyNov!BG10-DailyNov!BT10-DailyNov!AF10-DailyNov!AG10,"-")</f>
        <v>0</v>
      </c>
      <c r="GV12" s="261"/>
      <c r="GW12" s="60">
        <f t="shared" si="66"/>
        <v>0</v>
      </c>
      <c r="GX12" s="260"/>
      <c r="GY12" s="140"/>
      <c r="GZ12" s="528"/>
      <c r="HA12" s="528"/>
      <c r="HB12" s="528"/>
      <c r="HC12" s="528"/>
      <c r="HD12" s="74"/>
      <c r="HE12" s="24">
        <f t="shared" si="105"/>
        <v>0</v>
      </c>
      <c r="HG12" s="279">
        <v>5</v>
      </c>
      <c r="HH12" s="292"/>
      <c r="HI12" s="292"/>
      <c r="HJ12" s="61">
        <f t="shared" si="67"/>
        <v>0</v>
      </c>
      <c r="HK12" s="260"/>
      <c r="HL12" s="292"/>
      <c r="HM12" s="61">
        <f t="shared" si="68"/>
        <v>0</v>
      </c>
      <c r="HN12" s="292"/>
      <c r="HO12" s="292"/>
      <c r="HP12" s="294">
        <f t="shared" si="106"/>
        <v>0</v>
      </c>
      <c r="HQ12" s="292"/>
      <c r="HR12" s="292"/>
      <c r="HS12" s="294">
        <f t="shared" si="107"/>
        <v>0</v>
      </c>
      <c r="HT12" s="292"/>
      <c r="HU12" s="292"/>
      <c r="HV12" s="294">
        <f t="shared" si="108"/>
        <v>0</v>
      </c>
      <c r="HW12" s="292"/>
      <c r="HX12" s="292"/>
      <c r="HY12" s="294">
        <f t="shared" si="109"/>
        <v>0</v>
      </c>
      <c r="HZ12" s="260"/>
      <c r="IA12" s="260"/>
      <c r="IB12" s="61">
        <f t="shared" si="110"/>
        <v>0</v>
      </c>
      <c r="IC12" s="292"/>
      <c r="ID12" s="292"/>
      <c r="IE12" s="61">
        <f t="shared" ref="IE12:IE38" si="153">IF((IC12-IC11)&lt;=0,0,(IC12-IC11))</f>
        <v>0</v>
      </c>
      <c r="IF12" s="61"/>
      <c r="IG12" s="61"/>
      <c r="IH12" s="280">
        <f t="shared" si="71"/>
        <v>0</v>
      </c>
      <c r="II12" s="281">
        <f t="shared" si="72"/>
        <v>0</v>
      </c>
      <c r="IJ12" s="380"/>
      <c r="IK12" s="380"/>
      <c r="IL12" s="380">
        <f t="shared" si="73"/>
        <v>0</v>
      </c>
      <c r="IM12" s="380"/>
      <c r="IN12" s="380"/>
      <c r="IO12" s="380">
        <f t="shared" si="74"/>
        <v>0</v>
      </c>
      <c r="IP12" s="380"/>
      <c r="IQ12" s="380"/>
      <c r="IR12" s="380">
        <f t="shared" si="75"/>
        <v>0</v>
      </c>
      <c r="IS12" s="380"/>
      <c r="IT12" s="380"/>
      <c r="IU12" s="380">
        <f t="shared" si="111"/>
        <v>0</v>
      </c>
      <c r="IV12" s="380"/>
      <c r="IW12" s="380"/>
      <c r="IX12" s="380">
        <f t="shared" si="112"/>
        <v>0</v>
      </c>
      <c r="IY12" s="380"/>
      <c r="IZ12" s="380"/>
      <c r="JA12" s="380">
        <f t="shared" si="113"/>
        <v>0</v>
      </c>
      <c r="JB12" s="380"/>
      <c r="JC12" s="380"/>
      <c r="JD12" s="380">
        <f t="shared" si="114"/>
        <v>0</v>
      </c>
      <c r="JE12" s="380"/>
      <c r="JF12" s="380"/>
      <c r="JG12" s="380">
        <f t="shared" si="115"/>
        <v>0</v>
      </c>
      <c r="JH12" s="380"/>
      <c r="JI12" s="380"/>
      <c r="JJ12" s="380">
        <f t="shared" si="81"/>
        <v>0</v>
      </c>
      <c r="JK12" s="380"/>
      <c r="JL12" s="380"/>
      <c r="JM12" s="380">
        <f t="shared" si="82"/>
        <v>0</v>
      </c>
      <c r="JN12" s="380"/>
      <c r="JO12" s="380"/>
      <c r="JP12" s="380">
        <f t="shared" si="83"/>
        <v>0</v>
      </c>
      <c r="JQ12" s="380"/>
      <c r="JR12" s="380"/>
      <c r="JS12" s="380">
        <f t="shared" si="84"/>
        <v>0</v>
      </c>
      <c r="JT12" s="380"/>
      <c r="JU12" s="380"/>
      <c r="JV12" s="380">
        <f t="shared" si="85"/>
        <v>0</v>
      </c>
      <c r="JW12" s="380"/>
      <c r="JX12" s="380"/>
      <c r="JY12" s="380">
        <f t="shared" si="86"/>
        <v>0</v>
      </c>
      <c r="JZ12" s="380"/>
      <c r="KA12" s="380"/>
      <c r="KB12" s="380">
        <f t="shared" si="116"/>
        <v>0</v>
      </c>
      <c r="KC12" s="380"/>
      <c r="KD12" s="380"/>
      <c r="KE12" s="380">
        <f t="shared" si="117"/>
        <v>0</v>
      </c>
      <c r="KG12" s="151">
        <f t="shared" si="89"/>
        <v>0</v>
      </c>
    </row>
    <row r="13" spans="1:293" x14ac:dyDescent="0.25">
      <c r="A13" s="35">
        <f t="shared" si="118"/>
        <v>6</v>
      </c>
      <c r="B13" s="250"/>
      <c r="C13" s="38">
        <f t="shared" si="21"/>
        <v>0</v>
      </c>
      <c r="D13" s="38">
        <f t="shared" si="22"/>
        <v>0</v>
      </c>
      <c r="E13" s="250"/>
      <c r="F13" s="38">
        <f t="shared" si="23"/>
        <v>0</v>
      </c>
      <c r="G13" s="38">
        <f t="shared" si="24"/>
        <v>0</v>
      </c>
      <c r="H13" s="37"/>
      <c r="I13" s="39"/>
      <c r="J13" s="42"/>
      <c r="K13" s="37">
        <f>IF(J13&lt;=0,0,(J13/SQRT(J13^2+(I13-I12)^2)))</f>
        <v>0</v>
      </c>
      <c r="L13" s="250"/>
      <c r="M13" s="40"/>
      <c r="N13" s="37">
        <f t="shared" si="135"/>
        <v>0</v>
      </c>
      <c r="O13" s="250"/>
      <c r="P13" s="37"/>
      <c r="Q13" s="37">
        <f t="shared" si="25"/>
        <v>0</v>
      </c>
      <c r="R13" s="37">
        <f>IF(Q13&lt;=0,0,(Q13/SQRT(Q13^2+(P13-P12)^2)))</f>
        <v>0</v>
      </c>
      <c r="S13" s="250"/>
      <c r="T13" s="37">
        <f t="shared" si="26"/>
        <v>0</v>
      </c>
      <c r="U13" s="250"/>
      <c r="V13" s="37">
        <f t="shared" si="27"/>
        <v>0</v>
      </c>
      <c r="W13" s="250"/>
      <c r="X13" s="37">
        <f t="shared" si="151"/>
        <v>0</v>
      </c>
      <c r="Y13" s="183"/>
      <c r="Z13" s="183"/>
      <c r="AA13" s="250"/>
      <c r="AB13" s="37">
        <f t="shared" si="28"/>
        <v>0</v>
      </c>
      <c r="AC13" s="250"/>
      <c r="AD13" s="2"/>
      <c r="AE13" s="37">
        <f t="shared" si="29"/>
        <v>0</v>
      </c>
      <c r="AF13" s="37">
        <f>IF(AE13&lt;=0,0,(AE13/SQRT(AE13^2+(AD13-AD12)^2)))</f>
        <v>0</v>
      </c>
      <c r="AG13" s="250"/>
      <c r="AH13" s="48"/>
      <c r="AI13" s="37">
        <f t="shared" si="90"/>
        <v>0</v>
      </c>
      <c r="AJ13" s="37">
        <f t="shared" si="91"/>
        <v>0</v>
      </c>
      <c r="AK13" s="37">
        <f t="shared" si="32"/>
        <v>0</v>
      </c>
      <c r="AL13" s="250"/>
      <c r="AM13" s="42"/>
      <c r="AN13" s="37">
        <f t="shared" si="119"/>
        <v>0</v>
      </c>
      <c r="AO13" s="37">
        <f>IF(AN13&lt;=0,0,(AN13/SQRT(AN13^2+(AM13-AM12)^2)))</f>
        <v>0</v>
      </c>
      <c r="AP13" s="250"/>
      <c r="AQ13" s="37"/>
      <c r="AR13" s="37">
        <f t="shared" si="92"/>
        <v>0</v>
      </c>
      <c r="AS13" s="37">
        <f>IF(AR13&lt;=0,0,(AR13/SQRT(AR13^2+(AQ13-AQ12)^2)))</f>
        <v>0</v>
      </c>
      <c r="AT13" s="183"/>
      <c r="AU13" s="183"/>
      <c r="AV13" s="183"/>
      <c r="AW13" s="183"/>
      <c r="AX13" s="250"/>
      <c r="AY13" s="37"/>
      <c r="AZ13" s="37">
        <f t="shared" si="34"/>
        <v>0</v>
      </c>
      <c r="BA13" s="250"/>
      <c r="BB13" s="37"/>
      <c r="BC13" s="37">
        <f t="shared" si="93"/>
        <v>0</v>
      </c>
      <c r="BD13" s="37">
        <f t="shared" si="140"/>
        <v>0</v>
      </c>
      <c r="BE13" s="250"/>
      <c r="BF13" s="250"/>
      <c r="BG13" s="37">
        <f t="shared" si="36"/>
        <v>0</v>
      </c>
      <c r="BH13" s="250"/>
      <c r="BI13" s="250"/>
      <c r="BJ13" s="37">
        <f t="shared" si="37"/>
        <v>0</v>
      </c>
      <c r="BK13" s="250"/>
      <c r="BL13" s="40">
        <f t="shared" si="141"/>
        <v>0</v>
      </c>
      <c r="BM13" s="250"/>
      <c r="BN13" s="37">
        <f t="shared" si="38"/>
        <v>0</v>
      </c>
      <c r="BO13" s="186"/>
      <c r="BP13" s="183">
        <f t="shared" si="94"/>
        <v>0</v>
      </c>
      <c r="BQ13" s="250"/>
      <c r="BR13" s="37">
        <f t="shared" si="120"/>
        <v>0</v>
      </c>
      <c r="BS13" s="250"/>
      <c r="BT13" s="37">
        <f t="shared" si="39"/>
        <v>0</v>
      </c>
      <c r="BU13" s="250"/>
      <c r="BV13" s="42"/>
      <c r="BW13" s="37">
        <f t="shared" si="95"/>
        <v>0</v>
      </c>
      <c r="BX13" s="37">
        <f>IF(BW13&lt;=0,0,(BW13/SQRT(BW13^2+(BV13-BV12)^2)))</f>
        <v>0</v>
      </c>
      <c r="BY13" s="250"/>
      <c r="BZ13" s="43"/>
      <c r="CA13" s="37">
        <f t="shared" si="96"/>
        <v>0</v>
      </c>
      <c r="CB13" s="37">
        <f t="shared" si="121"/>
        <v>0</v>
      </c>
      <c r="CC13" s="250"/>
      <c r="CD13" s="37">
        <f t="shared" si="42"/>
        <v>0</v>
      </c>
      <c r="CE13" s="250"/>
      <c r="CF13" s="37">
        <f t="shared" si="43"/>
        <v>0</v>
      </c>
      <c r="CG13" s="250"/>
      <c r="CH13" s="37">
        <f t="shared" si="122"/>
        <v>0</v>
      </c>
      <c r="CI13" s="250"/>
      <c r="CJ13" s="40"/>
      <c r="CK13" s="37">
        <f t="shared" si="123"/>
        <v>0</v>
      </c>
      <c r="CL13" s="37">
        <f t="shared" si="97"/>
        <v>0</v>
      </c>
      <c r="CM13" s="250"/>
      <c r="CN13" s="37"/>
      <c r="CO13" s="37">
        <f t="shared" si="45"/>
        <v>0</v>
      </c>
      <c r="CP13" s="37">
        <f>IF(CO13&lt;=0,0,(CO13/SQRT(CO13^2+(CN13-CN12)^2)))</f>
        <v>0</v>
      </c>
      <c r="CQ13" s="250"/>
      <c r="CR13" s="45"/>
      <c r="CS13" s="37">
        <f t="shared" si="124"/>
        <v>0</v>
      </c>
      <c r="CT13" s="37">
        <f t="shared" si="143"/>
        <v>0</v>
      </c>
      <c r="CU13" s="250"/>
      <c r="CV13" s="37"/>
      <c r="CW13" s="38">
        <f t="shared" si="98"/>
        <v>0</v>
      </c>
      <c r="CX13" s="37">
        <f>IF(CW13&lt;=0,0,(CW13/SQRT(CW13^2+(CV13-CV12)^2)))</f>
        <v>0</v>
      </c>
      <c r="CY13" s="250"/>
      <c r="CZ13" s="37"/>
      <c r="DA13" s="37">
        <f t="shared" si="99"/>
        <v>0</v>
      </c>
      <c r="DB13" s="37">
        <f>IF(DA13&lt;=0,0,(DA13/SQRT(DA13^2+(CZ13-CZ12)^2)))</f>
        <v>0</v>
      </c>
      <c r="DC13" s="37"/>
      <c r="DD13" s="40"/>
      <c r="DE13" s="37">
        <f t="shared" si="100"/>
        <v>0</v>
      </c>
      <c r="DF13" s="37">
        <f>IF(DE13&lt;=0,0,(DE13/SQRT(DE13^2+(DD13-DD12)^2)))</f>
        <v>0</v>
      </c>
      <c r="DG13" s="37">
        <f t="shared" si="101"/>
        <v>0</v>
      </c>
      <c r="DH13" s="37">
        <f t="shared" si="102"/>
        <v>0</v>
      </c>
      <c r="DI13" s="46"/>
      <c r="DJ13" s="46"/>
      <c r="DK13" s="47"/>
      <c r="DL13" s="47"/>
      <c r="DM13" s="37"/>
      <c r="DN13" s="37"/>
      <c r="DO13" s="37"/>
      <c r="DP13" s="37"/>
      <c r="DQ13" s="250"/>
      <c r="DR13" s="49">
        <f t="shared" si="125"/>
        <v>0</v>
      </c>
      <c r="DS13" s="250"/>
      <c r="DT13" s="49">
        <f t="shared" si="126"/>
        <v>0</v>
      </c>
      <c r="DU13" s="250"/>
      <c r="DV13" s="250"/>
      <c r="DW13" s="37">
        <f t="shared" si="146"/>
        <v>0</v>
      </c>
      <c r="DX13" s="250"/>
      <c r="DY13" s="250"/>
      <c r="DZ13" s="37">
        <f t="shared" si="51"/>
        <v>0</v>
      </c>
      <c r="EA13" s="250"/>
      <c r="EB13" s="250"/>
      <c r="EC13" s="37">
        <v>0</v>
      </c>
      <c r="ED13" s="53">
        <f t="shared" si="52"/>
        <v>0</v>
      </c>
      <c r="EE13" s="250"/>
      <c r="EF13" s="250"/>
      <c r="EG13" s="37">
        <v>0</v>
      </c>
      <c r="EH13" s="250"/>
      <c r="EI13" s="250"/>
      <c r="EJ13" s="37">
        <f t="shared" si="54"/>
        <v>0</v>
      </c>
      <c r="EK13" s="250"/>
      <c r="EL13" s="250"/>
      <c r="EM13" s="37">
        <f t="shared" si="127"/>
        <v>0</v>
      </c>
      <c r="EN13" s="54">
        <f t="shared" si="128"/>
        <v>0</v>
      </c>
      <c r="EO13" s="250"/>
      <c r="EP13" s="48"/>
      <c r="EQ13" s="37"/>
      <c r="ER13" s="250"/>
      <c r="ES13" s="48"/>
      <c r="ET13" s="49">
        <f t="shared" si="55"/>
        <v>0</v>
      </c>
      <c r="EU13" s="250"/>
      <c r="EV13" s="48"/>
      <c r="EW13" s="49">
        <f t="shared" si="56"/>
        <v>0</v>
      </c>
      <c r="EX13" s="250"/>
      <c r="EY13" s="48"/>
      <c r="EZ13" s="37">
        <f t="shared" si="103"/>
        <v>0</v>
      </c>
      <c r="FA13" s="48">
        <f t="shared" si="129"/>
        <v>0</v>
      </c>
      <c r="FB13" s="250"/>
      <c r="FC13" s="49">
        <f t="shared" si="147"/>
        <v>0</v>
      </c>
      <c r="FD13" s="48">
        <f t="shared" si="130"/>
        <v>0</v>
      </c>
      <c r="FE13" s="250"/>
      <c r="FF13" s="48"/>
      <c r="FG13" s="37"/>
      <c r="FH13" s="250"/>
      <c r="FI13" s="48"/>
      <c r="FJ13" s="49">
        <f t="shared" si="59"/>
        <v>0</v>
      </c>
      <c r="FK13" s="48"/>
      <c r="FL13" s="58"/>
      <c r="FM13" s="48">
        <f t="shared" si="148"/>
        <v>0</v>
      </c>
      <c r="FN13" s="250"/>
      <c r="FO13" s="48"/>
      <c r="FP13" s="37">
        <f t="shared" si="131"/>
        <v>0</v>
      </c>
      <c r="FQ13" s="250"/>
      <c r="FR13" s="48"/>
      <c r="FS13" s="37">
        <f>IF((FQ13-FQ12)*1000&lt;=0,0,(FQ13-FQ12)*1000)</f>
        <v>0</v>
      </c>
      <c r="FT13" s="48">
        <f t="shared" si="149"/>
        <v>0</v>
      </c>
      <c r="FU13" s="48">
        <f>FG13+FJ13+FP13+GM13</f>
        <v>0</v>
      </c>
      <c r="FV13" s="250"/>
      <c r="FW13" s="65"/>
      <c r="FX13" s="37">
        <f t="shared" si="61"/>
        <v>0</v>
      </c>
      <c r="FY13" s="250"/>
      <c r="FZ13" s="56"/>
      <c r="GA13" s="37">
        <f t="shared" si="62"/>
        <v>0</v>
      </c>
      <c r="GB13" s="250"/>
      <c r="GC13" s="63"/>
      <c r="GD13" s="37">
        <f t="shared" si="63"/>
        <v>0</v>
      </c>
      <c r="GE13" s="250"/>
      <c r="GF13" s="56"/>
      <c r="GG13" s="37">
        <f t="shared" si="64"/>
        <v>0</v>
      </c>
      <c r="GH13" s="250"/>
      <c r="GI13" s="162"/>
      <c r="GJ13" s="38">
        <f t="shared" si="132"/>
        <v>0</v>
      </c>
      <c r="GK13" s="250"/>
      <c r="GL13" s="163"/>
      <c r="GM13" s="38">
        <f t="shared" si="104"/>
        <v>0</v>
      </c>
      <c r="GN13" s="250"/>
      <c r="GO13" s="57"/>
      <c r="GP13" s="38">
        <f t="shared" si="65"/>
        <v>0</v>
      </c>
      <c r="GQ13" s="250"/>
      <c r="GR13" s="38"/>
      <c r="GS13" s="38">
        <f t="shared" si="133"/>
        <v>0</v>
      </c>
      <c r="GT13" s="247"/>
      <c r="GU13" s="144">
        <f>IFERROR(DailyNov!B11-DailyNov!N11-DailyNov!V11-DailyNov!Y11-DailyNov!Z11-DailyNov!AA11-DailyNov!AB11-DailyNov!AC11-DailyNov!AD11-DailyNov!AE11-DailyNov!AK11-DailyNov!AO11-DailyNov!AS11-DailyNov!AY11-DailyNov!BD11+DailyNov!BU11-DailyNov!BG11-DailyNov!BT11-DailyNov!AF11-DailyNov!AG11,"-")</f>
        <v>0</v>
      </c>
      <c r="GV13" s="261"/>
      <c r="GW13" s="60">
        <f t="shared" si="66"/>
        <v>0</v>
      </c>
      <c r="GX13" s="360"/>
      <c r="GY13" s="140"/>
      <c r="GZ13" s="528"/>
      <c r="HA13" s="528"/>
      <c r="HB13" s="528"/>
      <c r="HC13" s="528"/>
      <c r="HD13" s="74"/>
      <c r="HE13" s="24">
        <f t="shared" si="105"/>
        <v>0</v>
      </c>
      <c r="HG13" s="279">
        <v>6</v>
      </c>
      <c r="HH13" s="292"/>
      <c r="HI13" s="292"/>
      <c r="HJ13" s="61">
        <f>IF((HH13-HH12)&lt;=0,0,(HH13-HH12)*1000)</f>
        <v>0</v>
      </c>
      <c r="HK13" s="260"/>
      <c r="HL13" s="292"/>
      <c r="HM13" s="61">
        <f t="shared" si="68"/>
        <v>0</v>
      </c>
      <c r="HN13" s="292"/>
      <c r="HO13" s="292"/>
      <c r="HP13" s="294">
        <f t="shared" si="106"/>
        <v>0</v>
      </c>
      <c r="HQ13" s="292"/>
      <c r="HR13" s="292"/>
      <c r="HS13" s="294">
        <f t="shared" si="107"/>
        <v>0</v>
      </c>
      <c r="HT13" s="292"/>
      <c r="HU13" s="292"/>
      <c r="HV13" s="294">
        <f t="shared" si="108"/>
        <v>0</v>
      </c>
      <c r="HW13" s="292"/>
      <c r="HX13" s="292"/>
      <c r="HY13" s="294">
        <f t="shared" si="109"/>
        <v>0</v>
      </c>
      <c r="HZ13" s="260"/>
      <c r="IA13" s="260"/>
      <c r="IB13" s="61">
        <f t="shared" si="110"/>
        <v>0</v>
      </c>
      <c r="IC13" s="292"/>
      <c r="ID13" s="292"/>
      <c r="IE13" s="61">
        <f t="shared" si="153"/>
        <v>0</v>
      </c>
      <c r="IF13" s="61"/>
      <c r="IG13" s="61"/>
      <c r="IH13" s="280">
        <f t="shared" si="71"/>
        <v>0</v>
      </c>
      <c r="II13" s="281">
        <f t="shared" si="72"/>
        <v>0</v>
      </c>
      <c r="IJ13" s="380"/>
      <c r="IK13" s="380"/>
      <c r="IL13" s="380">
        <f t="shared" si="73"/>
        <v>0</v>
      </c>
      <c r="IM13" s="380"/>
      <c r="IN13" s="380"/>
      <c r="IO13" s="380">
        <f t="shared" si="74"/>
        <v>0</v>
      </c>
      <c r="IP13" s="380"/>
      <c r="IQ13" s="380"/>
      <c r="IR13" s="380">
        <f t="shared" si="75"/>
        <v>0</v>
      </c>
      <c r="IS13" s="380"/>
      <c r="IT13" s="380"/>
      <c r="IU13" s="380">
        <f t="shared" si="111"/>
        <v>0</v>
      </c>
      <c r="IV13" s="380"/>
      <c r="IW13" s="380"/>
      <c r="IX13" s="380">
        <f t="shared" si="112"/>
        <v>0</v>
      </c>
      <c r="IY13" s="380"/>
      <c r="IZ13" s="380"/>
      <c r="JA13" s="380">
        <f t="shared" si="113"/>
        <v>0</v>
      </c>
      <c r="JB13" s="380"/>
      <c r="JC13" s="380"/>
      <c r="JD13" s="380">
        <f t="shared" si="114"/>
        <v>0</v>
      </c>
      <c r="JE13" s="380"/>
      <c r="JF13" s="380"/>
      <c r="JG13" s="380">
        <f t="shared" si="115"/>
        <v>0</v>
      </c>
      <c r="JH13" s="380"/>
      <c r="JI13" s="380"/>
      <c r="JJ13" s="380">
        <f t="shared" si="81"/>
        <v>0</v>
      </c>
      <c r="JK13" s="380"/>
      <c r="JL13" s="380"/>
      <c r="JM13" s="380">
        <f t="shared" si="82"/>
        <v>0</v>
      </c>
      <c r="JN13" s="380"/>
      <c r="JO13" s="380"/>
      <c r="JP13" s="380">
        <f t="shared" si="83"/>
        <v>0</v>
      </c>
      <c r="JQ13" s="380"/>
      <c r="JR13" s="380"/>
      <c r="JS13" s="380">
        <f t="shared" si="84"/>
        <v>0</v>
      </c>
      <c r="JT13" s="380"/>
      <c r="JU13" s="380"/>
      <c r="JV13" s="380">
        <f t="shared" si="85"/>
        <v>0</v>
      </c>
      <c r="JW13" s="380"/>
      <c r="JX13" s="380"/>
      <c r="JY13" s="380">
        <f t="shared" si="86"/>
        <v>0</v>
      </c>
      <c r="JZ13" s="380"/>
      <c r="KA13" s="380"/>
      <c r="KB13" s="380">
        <f t="shared" si="116"/>
        <v>0</v>
      </c>
      <c r="KC13" s="380"/>
      <c r="KD13" s="380"/>
      <c r="KE13" s="380">
        <f t="shared" si="117"/>
        <v>0</v>
      </c>
      <c r="KG13" s="151">
        <f t="shared" si="89"/>
        <v>0</v>
      </c>
    </row>
    <row r="14" spans="1:293" x14ac:dyDescent="0.25">
      <c r="A14" s="35">
        <f t="shared" si="118"/>
        <v>7</v>
      </c>
      <c r="B14" s="250"/>
      <c r="C14" s="38">
        <f t="shared" si="21"/>
        <v>0</v>
      </c>
      <c r="D14" s="38">
        <f t="shared" si="22"/>
        <v>0</v>
      </c>
      <c r="E14" s="250"/>
      <c r="F14" s="38">
        <f t="shared" si="23"/>
        <v>0</v>
      </c>
      <c r="G14" s="38">
        <f t="shared" si="24"/>
        <v>0</v>
      </c>
      <c r="H14" s="37"/>
      <c r="I14" s="39"/>
      <c r="J14" s="42"/>
      <c r="K14" s="37">
        <f t="shared" si="134"/>
        <v>0</v>
      </c>
      <c r="L14" s="250"/>
      <c r="M14" s="40"/>
      <c r="N14" s="37">
        <f t="shared" si="135"/>
        <v>0</v>
      </c>
      <c r="O14" s="250"/>
      <c r="P14" s="37"/>
      <c r="Q14" s="37">
        <f t="shared" si="25"/>
        <v>0</v>
      </c>
      <c r="R14" s="37">
        <f t="shared" si="136"/>
        <v>0</v>
      </c>
      <c r="S14" s="250"/>
      <c r="T14" s="37">
        <f t="shared" si="26"/>
        <v>0</v>
      </c>
      <c r="U14" s="250"/>
      <c r="V14" s="37">
        <f t="shared" si="27"/>
        <v>0</v>
      </c>
      <c r="W14" s="250"/>
      <c r="X14" s="37">
        <f t="shared" si="151"/>
        <v>0</v>
      </c>
      <c r="Y14" s="183"/>
      <c r="Z14" s="183"/>
      <c r="AA14" s="250"/>
      <c r="AB14" s="37">
        <f t="shared" si="28"/>
        <v>0</v>
      </c>
      <c r="AC14" s="250"/>
      <c r="AD14" s="37"/>
      <c r="AE14" s="37">
        <f t="shared" si="29"/>
        <v>0</v>
      </c>
      <c r="AF14" s="37">
        <f t="shared" si="137"/>
        <v>0</v>
      </c>
      <c r="AG14" s="250"/>
      <c r="AH14" s="48"/>
      <c r="AI14" s="37">
        <f t="shared" si="90"/>
        <v>0</v>
      </c>
      <c r="AJ14" s="37">
        <f t="shared" si="91"/>
        <v>0</v>
      </c>
      <c r="AK14" s="37">
        <f t="shared" si="32"/>
        <v>0</v>
      </c>
      <c r="AL14" s="250"/>
      <c r="AM14" s="42"/>
      <c r="AN14" s="37">
        <f t="shared" si="119"/>
        <v>0</v>
      </c>
      <c r="AO14" s="37">
        <f t="shared" si="138"/>
        <v>0</v>
      </c>
      <c r="AP14" s="250"/>
      <c r="AQ14" s="37"/>
      <c r="AR14" s="37">
        <f t="shared" si="92"/>
        <v>0</v>
      </c>
      <c r="AS14" s="37">
        <f t="shared" si="139"/>
        <v>0</v>
      </c>
      <c r="AT14" s="183"/>
      <c r="AU14" s="183"/>
      <c r="AV14" s="183"/>
      <c r="AW14" s="183"/>
      <c r="AX14" s="250"/>
      <c r="AY14" s="37"/>
      <c r="AZ14" s="37">
        <f t="shared" si="34"/>
        <v>0</v>
      </c>
      <c r="BA14" s="250"/>
      <c r="BB14" s="37"/>
      <c r="BC14" s="37">
        <f t="shared" si="93"/>
        <v>0</v>
      </c>
      <c r="BD14" s="37">
        <f t="shared" si="140"/>
        <v>0</v>
      </c>
      <c r="BE14" s="250"/>
      <c r="BF14" s="250"/>
      <c r="BG14" s="37">
        <f t="shared" si="36"/>
        <v>0</v>
      </c>
      <c r="BH14" s="250"/>
      <c r="BI14" s="250"/>
      <c r="BJ14" s="37">
        <f t="shared" si="37"/>
        <v>0</v>
      </c>
      <c r="BK14" s="250"/>
      <c r="BL14" s="40">
        <f t="shared" si="141"/>
        <v>0</v>
      </c>
      <c r="BM14" s="250"/>
      <c r="BN14" s="37">
        <f t="shared" si="38"/>
        <v>0</v>
      </c>
      <c r="BO14" s="186"/>
      <c r="BP14" s="183">
        <f t="shared" si="94"/>
        <v>0</v>
      </c>
      <c r="BQ14" s="250"/>
      <c r="BR14" s="37">
        <f t="shared" si="120"/>
        <v>0</v>
      </c>
      <c r="BS14" s="250"/>
      <c r="BT14" s="37">
        <f t="shared" si="39"/>
        <v>0</v>
      </c>
      <c r="BU14" s="250"/>
      <c r="BV14" s="42"/>
      <c r="BW14" s="37">
        <f t="shared" si="95"/>
        <v>0</v>
      </c>
      <c r="BX14" s="37">
        <f t="shared" si="142"/>
        <v>0</v>
      </c>
      <c r="BY14" s="250"/>
      <c r="BZ14" s="37"/>
      <c r="CA14" s="37">
        <f t="shared" si="96"/>
        <v>0</v>
      </c>
      <c r="CB14" s="37">
        <f t="shared" si="121"/>
        <v>0</v>
      </c>
      <c r="CC14" s="250"/>
      <c r="CD14" s="37">
        <f t="shared" si="42"/>
        <v>0</v>
      </c>
      <c r="CE14" s="250"/>
      <c r="CF14" s="37">
        <f t="shared" si="43"/>
        <v>0</v>
      </c>
      <c r="CG14" s="250"/>
      <c r="CH14" s="37">
        <f t="shared" si="122"/>
        <v>0</v>
      </c>
      <c r="CI14" s="250"/>
      <c r="CJ14" s="40"/>
      <c r="CK14" s="37">
        <f t="shared" si="123"/>
        <v>0</v>
      </c>
      <c r="CL14" s="37">
        <f t="shared" si="97"/>
        <v>0</v>
      </c>
      <c r="CM14" s="250"/>
      <c r="CN14" s="37"/>
      <c r="CO14" s="37">
        <f t="shared" si="45"/>
        <v>0</v>
      </c>
      <c r="CP14" s="37">
        <f t="shared" ref="CP14:CP35" si="154">IF(CO14&lt;=0,0,(CO14/SQRT(CO14^2+(CN14-CN13)^2)))</f>
        <v>0</v>
      </c>
      <c r="CQ14" s="250"/>
      <c r="CR14" s="45"/>
      <c r="CS14" s="37">
        <f t="shared" si="124"/>
        <v>0</v>
      </c>
      <c r="CT14" s="37">
        <f t="shared" si="143"/>
        <v>0</v>
      </c>
      <c r="CU14" s="250"/>
      <c r="CV14" s="37"/>
      <c r="CW14" s="38">
        <f t="shared" si="98"/>
        <v>0</v>
      </c>
      <c r="CX14" s="37">
        <f t="shared" si="144"/>
        <v>0</v>
      </c>
      <c r="CY14" s="250"/>
      <c r="CZ14" s="37"/>
      <c r="DA14" s="37">
        <f t="shared" si="99"/>
        <v>0</v>
      </c>
      <c r="DB14" s="37">
        <f t="shared" si="145"/>
        <v>0</v>
      </c>
      <c r="DC14" s="37"/>
      <c r="DD14" s="40"/>
      <c r="DE14" s="37">
        <f t="shared" si="100"/>
        <v>0</v>
      </c>
      <c r="DF14" s="37">
        <f t="shared" si="152"/>
        <v>0</v>
      </c>
      <c r="DG14" s="37">
        <f t="shared" si="101"/>
        <v>0</v>
      </c>
      <c r="DH14" s="37">
        <f t="shared" si="102"/>
        <v>0</v>
      </c>
      <c r="DI14" s="46"/>
      <c r="DJ14" s="46"/>
      <c r="DK14" s="47"/>
      <c r="DL14" s="47"/>
      <c r="DM14" s="37"/>
      <c r="DN14" s="37"/>
      <c r="DO14" s="37"/>
      <c r="DP14" s="37"/>
      <c r="DQ14" s="250"/>
      <c r="DR14" s="49">
        <f t="shared" si="125"/>
        <v>0</v>
      </c>
      <c r="DS14" s="250"/>
      <c r="DT14" s="49">
        <f t="shared" si="126"/>
        <v>0</v>
      </c>
      <c r="DU14" s="250"/>
      <c r="DV14" s="250"/>
      <c r="DW14" s="37">
        <f t="shared" si="146"/>
        <v>0</v>
      </c>
      <c r="DX14" s="250"/>
      <c r="DY14" s="250"/>
      <c r="DZ14" s="37">
        <f t="shared" si="51"/>
        <v>0</v>
      </c>
      <c r="EA14" s="250"/>
      <c r="EB14" s="250"/>
      <c r="EC14" s="37">
        <v>0</v>
      </c>
      <c r="ED14" s="53">
        <f t="shared" si="52"/>
        <v>0</v>
      </c>
      <c r="EE14" s="250"/>
      <c r="EF14" s="250"/>
      <c r="EG14" s="37">
        <v>0</v>
      </c>
      <c r="EH14" s="250"/>
      <c r="EI14" s="250"/>
      <c r="EJ14" s="37">
        <f t="shared" si="54"/>
        <v>0</v>
      </c>
      <c r="EK14" s="250"/>
      <c r="EL14" s="250"/>
      <c r="EM14" s="37">
        <f t="shared" si="127"/>
        <v>0</v>
      </c>
      <c r="EN14" s="54">
        <f t="shared" si="128"/>
        <v>0</v>
      </c>
      <c r="EO14" s="250"/>
      <c r="EP14" s="48"/>
      <c r="EQ14" s="37"/>
      <c r="ER14" s="250"/>
      <c r="ES14" s="48"/>
      <c r="ET14" s="49">
        <f t="shared" si="55"/>
        <v>0</v>
      </c>
      <c r="EU14" s="250"/>
      <c r="EV14" s="48"/>
      <c r="EW14" s="49">
        <f t="shared" si="56"/>
        <v>0</v>
      </c>
      <c r="EX14" s="250"/>
      <c r="EY14" s="48"/>
      <c r="EZ14" s="37">
        <f t="shared" si="103"/>
        <v>0</v>
      </c>
      <c r="FA14" s="48">
        <f>FC14-EQ14-ET14-EW14-EZ14</f>
        <v>0</v>
      </c>
      <c r="FB14" s="250"/>
      <c r="FC14" s="49">
        <f t="shared" si="147"/>
        <v>0</v>
      </c>
      <c r="FD14" s="48">
        <f t="shared" si="130"/>
        <v>0</v>
      </c>
      <c r="FE14" s="250"/>
      <c r="FF14" s="48"/>
      <c r="FG14" s="37"/>
      <c r="FH14" s="250"/>
      <c r="FI14" s="48"/>
      <c r="FJ14" s="49">
        <f t="shared" si="59"/>
        <v>0</v>
      </c>
      <c r="FK14" s="48"/>
      <c r="FL14" s="58"/>
      <c r="FM14" s="48">
        <f t="shared" si="148"/>
        <v>0</v>
      </c>
      <c r="FN14" s="250"/>
      <c r="FO14" s="48"/>
      <c r="FP14" s="37">
        <f t="shared" si="131"/>
        <v>0</v>
      </c>
      <c r="FQ14" s="250"/>
      <c r="FR14" s="48"/>
      <c r="FS14" s="37">
        <f t="shared" si="60"/>
        <v>0</v>
      </c>
      <c r="FT14" s="48">
        <f t="shared" si="149"/>
        <v>0</v>
      </c>
      <c r="FU14" s="48">
        <f>FG14+FJ14+FP14+GM14</f>
        <v>0</v>
      </c>
      <c r="FV14" s="250"/>
      <c r="FW14" s="44"/>
      <c r="FX14" s="37">
        <f t="shared" si="61"/>
        <v>0</v>
      </c>
      <c r="FY14" s="250"/>
      <c r="FZ14" s="56"/>
      <c r="GA14" s="37">
        <f t="shared" si="62"/>
        <v>0</v>
      </c>
      <c r="GB14" s="250"/>
      <c r="GC14" s="56"/>
      <c r="GD14" s="37">
        <f t="shared" si="63"/>
        <v>0</v>
      </c>
      <c r="GE14" s="250"/>
      <c r="GF14" s="56"/>
      <c r="GG14" s="37">
        <f t="shared" si="64"/>
        <v>0</v>
      </c>
      <c r="GH14" s="250"/>
      <c r="GI14" s="162"/>
      <c r="GJ14" s="38">
        <f t="shared" si="132"/>
        <v>0</v>
      </c>
      <c r="GK14" s="250"/>
      <c r="GL14" s="163"/>
      <c r="GM14" s="38">
        <f t="shared" si="104"/>
        <v>0</v>
      </c>
      <c r="GN14" s="250"/>
      <c r="GO14" s="57"/>
      <c r="GP14" s="38">
        <f t="shared" si="65"/>
        <v>0</v>
      </c>
      <c r="GQ14" s="250"/>
      <c r="GR14" s="38"/>
      <c r="GS14" s="38">
        <f t="shared" si="133"/>
        <v>0</v>
      </c>
      <c r="GT14" s="247"/>
      <c r="GU14" s="144">
        <f>IFERROR(DailyNov!B12-DailyNov!N12-DailyNov!V12-DailyNov!Y12-DailyNov!Z12-DailyNov!AA12-DailyNov!AB12-DailyNov!AC12-DailyNov!AD12-DailyNov!AE12-DailyNov!AK12-DailyNov!AO12-DailyNov!AS12-DailyNov!AY12-DailyNov!BD12+DailyNov!BU12-DailyNov!BG12-DailyNov!BT12-DailyNov!AF12-DailyNov!AG12,"-")</f>
        <v>0</v>
      </c>
      <c r="GV14" s="261"/>
      <c r="GW14" s="60">
        <f t="shared" si="66"/>
        <v>0</v>
      </c>
      <c r="GX14" s="260"/>
      <c r="GY14" s="140"/>
      <c r="GZ14" s="528"/>
      <c r="HA14" s="528"/>
      <c r="HB14" s="528"/>
      <c r="HC14" s="528"/>
      <c r="HD14" s="74"/>
      <c r="HE14" s="24">
        <f t="shared" si="105"/>
        <v>0</v>
      </c>
      <c r="HG14" s="279">
        <v>7</v>
      </c>
      <c r="HH14" s="292"/>
      <c r="HI14" s="292"/>
      <c r="HJ14" s="61">
        <f t="shared" si="67"/>
        <v>0</v>
      </c>
      <c r="HK14" s="260"/>
      <c r="HL14" s="292"/>
      <c r="HM14" s="61">
        <f t="shared" si="68"/>
        <v>0</v>
      </c>
      <c r="HN14" s="292"/>
      <c r="HO14" s="292"/>
      <c r="HP14" s="61">
        <f t="shared" si="106"/>
        <v>0</v>
      </c>
      <c r="HQ14" s="292"/>
      <c r="HR14" s="292"/>
      <c r="HS14" s="61">
        <f t="shared" si="107"/>
        <v>0</v>
      </c>
      <c r="HT14" s="292"/>
      <c r="HU14" s="292"/>
      <c r="HV14" s="61">
        <f t="shared" si="108"/>
        <v>0</v>
      </c>
      <c r="HW14" s="292"/>
      <c r="HX14" s="292"/>
      <c r="HY14" s="61">
        <f t="shared" si="109"/>
        <v>0</v>
      </c>
      <c r="HZ14" s="260"/>
      <c r="IA14" s="260"/>
      <c r="IB14" s="61">
        <f t="shared" si="110"/>
        <v>0</v>
      </c>
      <c r="IC14" s="292"/>
      <c r="ID14" s="292"/>
      <c r="IE14" s="61">
        <f t="shared" si="153"/>
        <v>0</v>
      </c>
      <c r="IF14" s="61"/>
      <c r="IG14" s="61"/>
      <c r="IH14" s="280">
        <f t="shared" si="71"/>
        <v>0</v>
      </c>
      <c r="II14" s="281">
        <f t="shared" si="72"/>
        <v>0</v>
      </c>
      <c r="IJ14" s="380"/>
      <c r="IK14" s="380"/>
      <c r="IL14" s="380">
        <f t="shared" si="73"/>
        <v>0</v>
      </c>
      <c r="IM14" s="380"/>
      <c r="IN14" s="380"/>
      <c r="IO14" s="380">
        <f t="shared" si="74"/>
        <v>0</v>
      </c>
      <c r="IP14" s="380"/>
      <c r="IQ14" s="380"/>
      <c r="IR14" s="380">
        <f t="shared" si="75"/>
        <v>0</v>
      </c>
      <c r="IS14" s="380"/>
      <c r="IT14" s="380"/>
      <c r="IU14" s="380">
        <f t="shared" si="111"/>
        <v>0</v>
      </c>
      <c r="IV14" s="380"/>
      <c r="IW14" s="380"/>
      <c r="IX14" s="380">
        <f t="shared" si="112"/>
        <v>0</v>
      </c>
      <c r="IY14" s="380"/>
      <c r="IZ14" s="380"/>
      <c r="JA14" s="380">
        <f t="shared" si="113"/>
        <v>0</v>
      </c>
      <c r="JB14" s="380"/>
      <c r="JC14" s="380"/>
      <c r="JD14" s="380">
        <f t="shared" si="114"/>
        <v>0</v>
      </c>
      <c r="JE14" s="380"/>
      <c r="JF14" s="380"/>
      <c r="JG14" s="380">
        <f t="shared" si="115"/>
        <v>0</v>
      </c>
      <c r="JH14" s="380"/>
      <c r="JI14" s="380"/>
      <c r="JJ14" s="380">
        <f t="shared" si="81"/>
        <v>0</v>
      </c>
      <c r="JK14" s="380"/>
      <c r="JL14" s="380"/>
      <c r="JM14" s="380">
        <f t="shared" si="82"/>
        <v>0</v>
      </c>
      <c r="JN14" s="380"/>
      <c r="JO14" s="380"/>
      <c r="JP14" s="380">
        <f t="shared" si="83"/>
        <v>0</v>
      </c>
      <c r="JQ14" s="380"/>
      <c r="JR14" s="380"/>
      <c r="JS14" s="380">
        <f t="shared" si="84"/>
        <v>0</v>
      </c>
      <c r="JT14" s="380"/>
      <c r="JU14" s="380"/>
      <c r="JV14" s="380">
        <f t="shared" si="85"/>
        <v>0</v>
      </c>
      <c r="JW14" s="380"/>
      <c r="JX14" s="380"/>
      <c r="JY14" s="380">
        <f t="shared" si="86"/>
        <v>0</v>
      </c>
      <c r="JZ14" s="380"/>
      <c r="KA14" s="380"/>
      <c r="KB14" s="380">
        <f t="shared" si="116"/>
        <v>0</v>
      </c>
      <c r="KC14" s="380"/>
      <c r="KD14" s="380"/>
      <c r="KE14" s="380">
        <f t="shared" si="117"/>
        <v>0</v>
      </c>
      <c r="KG14" s="151">
        <f t="shared" si="89"/>
        <v>0</v>
      </c>
    </row>
    <row r="15" spans="1:293" x14ac:dyDescent="0.25">
      <c r="A15" s="35">
        <f t="shared" si="118"/>
        <v>8</v>
      </c>
      <c r="B15" s="250"/>
      <c r="C15" s="38">
        <f t="shared" si="21"/>
        <v>0</v>
      </c>
      <c r="D15" s="38">
        <f t="shared" si="22"/>
        <v>0</v>
      </c>
      <c r="E15" s="250"/>
      <c r="F15" s="38">
        <f t="shared" si="23"/>
        <v>0</v>
      </c>
      <c r="G15" s="38">
        <f t="shared" si="24"/>
        <v>0</v>
      </c>
      <c r="H15" s="37"/>
      <c r="I15" s="39"/>
      <c r="J15" s="42"/>
      <c r="K15" s="37">
        <f>IF(J15&lt;=0,0,(J15/SQRT(J15^2+(I15-I14)^2)))</f>
        <v>0</v>
      </c>
      <c r="L15" s="250"/>
      <c r="M15" s="40"/>
      <c r="N15" s="37">
        <f t="shared" si="135"/>
        <v>0</v>
      </c>
      <c r="O15" s="250"/>
      <c r="P15" s="37"/>
      <c r="Q15" s="37">
        <f t="shared" si="25"/>
        <v>0</v>
      </c>
      <c r="R15" s="37">
        <f t="shared" si="136"/>
        <v>0</v>
      </c>
      <c r="S15" s="250"/>
      <c r="T15" s="37">
        <f t="shared" si="26"/>
        <v>0</v>
      </c>
      <c r="U15" s="250"/>
      <c r="V15" s="37">
        <f t="shared" si="27"/>
        <v>0</v>
      </c>
      <c r="W15" s="250"/>
      <c r="X15" s="37">
        <f t="shared" si="151"/>
        <v>0</v>
      </c>
      <c r="Y15" s="183"/>
      <c r="Z15" s="183"/>
      <c r="AA15" s="250"/>
      <c r="AB15" s="37">
        <f t="shared" si="28"/>
        <v>0</v>
      </c>
      <c r="AC15" s="250"/>
      <c r="AD15" s="37"/>
      <c r="AE15" s="37">
        <f t="shared" si="29"/>
        <v>0</v>
      </c>
      <c r="AF15" s="37">
        <f t="shared" si="137"/>
        <v>0</v>
      </c>
      <c r="AG15" s="250"/>
      <c r="AH15" s="48"/>
      <c r="AI15" s="37">
        <f t="shared" si="90"/>
        <v>0</v>
      </c>
      <c r="AJ15" s="37">
        <f t="shared" si="91"/>
        <v>0</v>
      </c>
      <c r="AK15" s="37">
        <f t="shared" si="32"/>
        <v>0</v>
      </c>
      <c r="AL15" s="250"/>
      <c r="AM15" s="42"/>
      <c r="AN15" s="37">
        <f t="shared" si="119"/>
        <v>0</v>
      </c>
      <c r="AO15" s="37">
        <f t="shared" si="138"/>
        <v>0</v>
      </c>
      <c r="AP15" s="250"/>
      <c r="AQ15" s="37"/>
      <c r="AR15" s="37">
        <f t="shared" si="92"/>
        <v>0</v>
      </c>
      <c r="AS15" s="37">
        <f t="shared" si="139"/>
        <v>0</v>
      </c>
      <c r="AT15" s="183"/>
      <c r="AU15" s="183"/>
      <c r="AV15" s="183"/>
      <c r="AW15" s="183"/>
      <c r="AX15" s="250"/>
      <c r="AY15" s="37"/>
      <c r="AZ15" s="37">
        <f t="shared" si="34"/>
        <v>0</v>
      </c>
      <c r="BA15" s="250"/>
      <c r="BB15" s="37"/>
      <c r="BC15" s="37">
        <f t="shared" si="93"/>
        <v>0</v>
      </c>
      <c r="BD15" s="37">
        <f t="shared" si="140"/>
        <v>0</v>
      </c>
      <c r="BE15" s="250"/>
      <c r="BF15" s="250"/>
      <c r="BG15" s="37">
        <f t="shared" si="36"/>
        <v>0</v>
      </c>
      <c r="BH15" s="250"/>
      <c r="BI15" s="250"/>
      <c r="BJ15" s="37">
        <f t="shared" si="37"/>
        <v>0</v>
      </c>
      <c r="BK15" s="250"/>
      <c r="BL15" s="40">
        <f t="shared" si="141"/>
        <v>0</v>
      </c>
      <c r="BM15" s="250"/>
      <c r="BN15" s="37">
        <f t="shared" si="38"/>
        <v>0</v>
      </c>
      <c r="BO15" s="186"/>
      <c r="BP15" s="183">
        <f t="shared" si="94"/>
        <v>0</v>
      </c>
      <c r="BQ15" s="250"/>
      <c r="BR15" s="37">
        <f t="shared" si="120"/>
        <v>0</v>
      </c>
      <c r="BS15" s="250"/>
      <c r="BT15" s="37">
        <f t="shared" si="39"/>
        <v>0</v>
      </c>
      <c r="BU15" s="250"/>
      <c r="BV15" s="42"/>
      <c r="BW15" s="37">
        <f t="shared" si="95"/>
        <v>0</v>
      </c>
      <c r="BX15" s="37">
        <f t="shared" si="142"/>
        <v>0</v>
      </c>
      <c r="BY15" s="250"/>
      <c r="BZ15" s="40"/>
      <c r="CA15" s="37">
        <f t="shared" si="96"/>
        <v>0</v>
      </c>
      <c r="CB15" s="37">
        <f t="shared" si="121"/>
        <v>0</v>
      </c>
      <c r="CC15" s="250"/>
      <c r="CD15" s="37">
        <f t="shared" si="42"/>
        <v>0</v>
      </c>
      <c r="CE15" s="250"/>
      <c r="CF15" s="37">
        <f t="shared" si="43"/>
        <v>0</v>
      </c>
      <c r="CG15" s="250"/>
      <c r="CH15" s="37">
        <f t="shared" si="122"/>
        <v>0</v>
      </c>
      <c r="CI15" s="250"/>
      <c r="CJ15" s="40"/>
      <c r="CK15" s="37">
        <f t="shared" si="123"/>
        <v>0</v>
      </c>
      <c r="CL15" s="37">
        <f t="shared" si="97"/>
        <v>0</v>
      </c>
      <c r="CM15" s="250"/>
      <c r="CN15" s="37"/>
      <c r="CO15" s="37">
        <f t="shared" si="45"/>
        <v>0</v>
      </c>
      <c r="CP15" s="37">
        <f t="shared" si="154"/>
        <v>0</v>
      </c>
      <c r="CQ15" s="250"/>
      <c r="CR15" s="45"/>
      <c r="CS15" s="37">
        <f t="shared" si="124"/>
        <v>0</v>
      </c>
      <c r="CT15" s="37">
        <f t="shared" si="143"/>
        <v>0</v>
      </c>
      <c r="CU15" s="250"/>
      <c r="CV15" s="37"/>
      <c r="CW15" s="38">
        <f t="shared" si="98"/>
        <v>0</v>
      </c>
      <c r="CX15" s="37">
        <f t="shared" si="144"/>
        <v>0</v>
      </c>
      <c r="CY15" s="250"/>
      <c r="CZ15" s="37"/>
      <c r="DA15" s="37">
        <f t="shared" si="99"/>
        <v>0</v>
      </c>
      <c r="DB15" s="37">
        <f t="shared" si="145"/>
        <v>0</v>
      </c>
      <c r="DC15" s="37"/>
      <c r="DD15" s="40"/>
      <c r="DE15" s="37">
        <f t="shared" si="100"/>
        <v>0</v>
      </c>
      <c r="DF15" s="37">
        <f t="shared" si="152"/>
        <v>0</v>
      </c>
      <c r="DG15" s="37">
        <f t="shared" si="101"/>
        <v>0</v>
      </c>
      <c r="DH15" s="37">
        <f t="shared" si="102"/>
        <v>0</v>
      </c>
      <c r="DI15" s="46"/>
      <c r="DJ15" s="46"/>
      <c r="DK15" s="47"/>
      <c r="DL15" s="47"/>
      <c r="DM15" s="37"/>
      <c r="DN15" s="37"/>
      <c r="DO15" s="37"/>
      <c r="DP15" s="37"/>
      <c r="DQ15" s="250"/>
      <c r="DR15" s="49">
        <f t="shared" si="125"/>
        <v>0</v>
      </c>
      <c r="DS15" s="250"/>
      <c r="DT15" s="49">
        <f t="shared" si="126"/>
        <v>0</v>
      </c>
      <c r="DU15" s="250"/>
      <c r="DV15" s="250"/>
      <c r="DW15" s="37">
        <f t="shared" si="146"/>
        <v>0</v>
      </c>
      <c r="DX15" s="250"/>
      <c r="DY15" s="250"/>
      <c r="DZ15" s="37">
        <f t="shared" si="51"/>
        <v>0</v>
      </c>
      <c r="EA15" s="250"/>
      <c r="EB15" s="250"/>
      <c r="EC15" s="37">
        <v>0</v>
      </c>
      <c r="ED15" s="53">
        <f t="shared" si="52"/>
        <v>0</v>
      </c>
      <c r="EE15" s="250"/>
      <c r="EF15" s="250"/>
      <c r="EG15" s="37">
        <v>0</v>
      </c>
      <c r="EH15" s="250"/>
      <c r="EI15" s="250"/>
      <c r="EJ15" s="37">
        <f t="shared" si="54"/>
        <v>0</v>
      </c>
      <c r="EK15" s="250"/>
      <c r="EL15" s="250"/>
      <c r="EM15" s="37">
        <f t="shared" si="127"/>
        <v>0</v>
      </c>
      <c r="EN15" s="54">
        <f t="shared" si="128"/>
        <v>0</v>
      </c>
      <c r="EO15" s="250"/>
      <c r="EP15" s="48"/>
      <c r="EQ15" s="37"/>
      <c r="ER15" s="250"/>
      <c r="ES15" s="48"/>
      <c r="ET15" s="49">
        <f t="shared" si="55"/>
        <v>0</v>
      </c>
      <c r="EU15" s="250"/>
      <c r="EV15" s="48"/>
      <c r="EW15" s="49">
        <f t="shared" si="56"/>
        <v>0</v>
      </c>
      <c r="EX15" s="250"/>
      <c r="EY15" s="48"/>
      <c r="EZ15" s="37">
        <f t="shared" si="103"/>
        <v>0</v>
      </c>
      <c r="FA15" s="48">
        <f t="shared" si="129"/>
        <v>0</v>
      </c>
      <c r="FB15" s="250"/>
      <c r="FC15" s="49">
        <f t="shared" si="147"/>
        <v>0</v>
      </c>
      <c r="FD15" s="48">
        <f t="shared" si="130"/>
        <v>0</v>
      </c>
      <c r="FE15" s="250"/>
      <c r="FF15" s="48"/>
      <c r="FG15" s="37"/>
      <c r="FH15" s="250"/>
      <c r="FI15" s="48"/>
      <c r="FJ15" s="49">
        <f t="shared" si="59"/>
        <v>0</v>
      </c>
      <c r="FK15" s="48"/>
      <c r="FL15" s="58"/>
      <c r="FM15" s="48">
        <f t="shared" si="148"/>
        <v>0</v>
      </c>
      <c r="FN15" s="250"/>
      <c r="FO15" s="48"/>
      <c r="FP15" s="37">
        <f t="shared" si="131"/>
        <v>0</v>
      </c>
      <c r="FQ15" s="250"/>
      <c r="FR15" s="48"/>
      <c r="FS15" s="37">
        <f t="shared" si="60"/>
        <v>0</v>
      </c>
      <c r="FT15" s="48">
        <f t="shared" si="149"/>
        <v>0</v>
      </c>
      <c r="FU15" s="48">
        <f t="shared" si="150"/>
        <v>0</v>
      </c>
      <c r="FV15" s="250"/>
      <c r="FW15" s="44"/>
      <c r="FX15" s="37">
        <f t="shared" si="61"/>
        <v>0</v>
      </c>
      <c r="FY15" s="250"/>
      <c r="FZ15" s="56"/>
      <c r="GA15" s="37">
        <f t="shared" si="62"/>
        <v>0</v>
      </c>
      <c r="GB15" s="250"/>
      <c r="GC15" s="56"/>
      <c r="GD15" s="37">
        <f t="shared" si="63"/>
        <v>0</v>
      </c>
      <c r="GE15" s="250"/>
      <c r="GF15" s="56"/>
      <c r="GG15" s="37">
        <f t="shared" si="64"/>
        <v>0</v>
      </c>
      <c r="GH15" s="250"/>
      <c r="GI15" s="162"/>
      <c r="GJ15" s="38">
        <f t="shared" si="132"/>
        <v>0</v>
      </c>
      <c r="GK15" s="250"/>
      <c r="GL15" s="163"/>
      <c r="GM15" s="38">
        <f t="shared" si="104"/>
        <v>0</v>
      </c>
      <c r="GN15" s="250"/>
      <c r="GO15" s="57"/>
      <c r="GP15" s="38">
        <f t="shared" si="65"/>
        <v>0</v>
      </c>
      <c r="GQ15" s="250"/>
      <c r="GR15" s="38"/>
      <c r="GS15" s="38">
        <f t="shared" si="133"/>
        <v>0</v>
      </c>
      <c r="GT15" s="247"/>
      <c r="GU15" s="144">
        <f>IFERROR(DailyNov!B13-DailyNov!N13-DailyNov!V13-DailyNov!Y13-DailyNov!Z13-DailyNov!AA13-DailyNov!AB13-DailyNov!AC13-DailyNov!AD13-DailyNov!AE13-DailyNov!AK13-DailyNov!AO13-DailyNov!AS13-DailyNov!AY13-DailyNov!BD13+DailyNov!BU13-DailyNov!BG13-DailyNov!BT13-DailyNov!AF13-DailyNov!AG13,"-")</f>
        <v>0</v>
      </c>
      <c r="GV15" s="261"/>
      <c r="GW15" s="60">
        <f t="shared" si="66"/>
        <v>0</v>
      </c>
      <c r="GX15" s="260"/>
      <c r="GY15" s="140"/>
      <c r="GZ15" s="528"/>
      <c r="HA15" s="528"/>
      <c r="HB15" s="528"/>
      <c r="HC15" s="528"/>
      <c r="HD15" s="74"/>
      <c r="HE15" s="24">
        <f t="shared" si="105"/>
        <v>0</v>
      </c>
      <c r="HG15" s="279">
        <v>8</v>
      </c>
      <c r="HH15" s="292"/>
      <c r="HI15" s="292"/>
      <c r="HJ15" s="61">
        <f t="shared" si="67"/>
        <v>0</v>
      </c>
      <c r="HK15" s="260"/>
      <c r="HL15" s="292"/>
      <c r="HM15" s="61">
        <f t="shared" si="68"/>
        <v>0</v>
      </c>
      <c r="HN15" s="292"/>
      <c r="HO15" s="292"/>
      <c r="HP15" s="61">
        <f t="shared" si="106"/>
        <v>0</v>
      </c>
      <c r="HQ15" s="292"/>
      <c r="HR15" s="292"/>
      <c r="HS15" s="61">
        <f t="shared" si="107"/>
        <v>0</v>
      </c>
      <c r="HT15" s="292"/>
      <c r="HU15" s="292"/>
      <c r="HV15" s="61">
        <f t="shared" si="108"/>
        <v>0</v>
      </c>
      <c r="HW15" s="292"/>
      <c r="HX15" s="292"/>
      <c r="HY15" s="61">
        <f t="shared" si="109"/>
        <v>0</v>
      </c>
      <c r="HZ15" s="260"/>
      <c r="IA15" s="260"/>
      <c r="IB15" s="61">
        <f t="shared" si="110"/>
        <v>0</v>
      </c>
      <c r="IC15" s="292"/>
      <c r="ID15" s="292"/>
      <c r="IE15" s="61">
        <f t="shared" si="153"/>
        <v>0</v>
      </c>
      <c r="IF15" s="61"/>
      <c r="IG15" s="61"/>
      <c r="IH15" s="280">
        <f t="shared" si="71"/>
        <v>0</v>
      </c>
      <c r="II15" s="281">
        <f t="shared" si="72"/>
        <v>0</v>
      </c>
      <c r="IJ15" s="380"/>
      <c r="IK15" s="380"/>
      <c r="IL15" s="380">
        <f t="shared" si="73"/>
        <v>0</v>
      </c>
      <c r="IM15" s="380"/>
      <c r="IN15" s="380"/>
      <c r="IO15" s="380">
        <f t="shared" si="74"/>
        <v>0</v>
      </c>
      <c r="IP15" s="380"/>
      <c r="IQ15" s="380"/>
      <c r="IR15" s="380">
        <f t="shared" si="75"/>
        <v>0</v>
      </c>
      <c r="IS15" s="380"/>
      <c r="IT15" s="380"/>
      <c r="IU15" s="380">
        <f t="shared" si="111"/>
        <v>0</v>
      </c>
      <c r="IV15" s="380"/>
      <c r="IW15" s="380"/>
      <c r="IX15" s="380">
        <f t="shared" si="112"/>
        <v>0</v>
      </c>
      <c r="IY15" s="380"/>
      <c r="IZ15" s="380"/>
      <c r="JA15" s="380">
        <f t="shared" si="113"/>
        <v>0</v>
      </c>
      <c r="JB15" s="380"/>
      <c r="JC15" s="380"/>
      <c r="JD15" s="380">
        <f t="shared" si="114"/>
        <v>0</v>
      </c>
      <c r="JE15" s="380"/>
      <c r="JF15" s="380"/>
      <c r="JG15" s="380">
        <f t="shared" si="115"/>
        <v>0</v>
      </c>
      <c r="JH15" s="380"/>
      <c r="JI15" s="380"/>
      <c r="JJ15" s="380">
        <f t="shared" si="81"/>
        <v>0</v>
      </c>
      <c r="JK15" s="380"/>
      <c r="JL15" s="380"/>
      <c r="JM15" s="380">
        <f t="shared" si="82"/>
        <v>0</v>
      </c>
      <c r="JN15" s="380"/>
      <c r="JO15" s="380"/>
      <c r="JP15" s="380">
        <f t="shared" si="83"/>
        <v>0</v>
      </c>
      <c r="JQ15" s="380"/>
      <c r="JR15" s="380"/>
      <c r="JS15" s="380">
        <f t="shared" si="84"/>
        <v>0</v>
      </c>
      <c r="JT15" s="380"/>
      <c r="JU15" s="380"/>
      <c r="JV15" s="380">
        <f t="shared" si="85"/>
        <v>0</v>
      </c>
      <c r="JW15" s="380"/>
      <c r="JX15" s="380"/>
      <c r="JY15" s="380">
        <f t="shared" si="86"/>
        <v>0</v>
      </c>
      <c r="JZ15" s="380"/>
      <c r="KA15" s="380"/>
      <c r="KB15" s="380">
        <f t="shared" si="116"/>
        <v>0</v>
      </c>
      <c r="KC15" s="380"/>
      <c r="KD15" s="380"/>
      <c r="KE15" s="380">
        <f t="shared" si="117"/>
        <v>0</v>
      </c>
      <c r="KG15" s="151">
        <f t="shared" si="89"/>
        <v>0</v>
      </c>
    </row>
    <row r="16" spans="1:293" x14ac:dyDescent="0.25">
      <c r="A16" s="215">
        <f t="shared" si="118"/>
        <v>9</v>
      </c>
      <c r="B16" s="250"/>
      <c r="C16" s="38">
        <f t="shared" si="21"/>
        <v>0</v>
      </c>
      <c r="D16" s="38">
        <f t="shared" si="22"/>
        <v>0</v>
      </c>
      <c r="E16" s="250"/>
      <c r="F16" s="38">
        <f t="shared" si="23"/>
        <v>0</v>
      </c>
      <c r="G16" s="38">
        <f t="shared" si="24"/>
        <v>0</v>
      </c>
      <c r="H16" s="37"/>
      <c r="I16" s="39"/>
      <c r="J16" s="42"/>
      <c r="K16" s="37">
        <f>IF(J16&lt;=0,0,(J16/SQRT(J16^2+(I16-I15)^2)))</f>
        <v>0</v>
      </c>
      <c r="L16" s="250"/>
      <c r="M16" s="40"/>
      <c r="N16" s="37">
        <f t="shared" si="135"/>
        <v>0</v>
      </c>
      <c r="O16" s="250"/>
      <c r="P16" s="2"/>
      <c r="Q16" s="37">
        <f t="shared" si="25"/>
        <v>0</v>
      </c>
      <c r="R16" s="37">
        <f>IF(Q16&lt;=0,0,(Q16/SQRT(Q16^2+(P16-P15)^2)))</f>
        <v>0</v>
      </c>
      <c r="S16" s="250"/>
      <c r="T16" s="37">
        <f t="shared" si="26"/>
        <v>0</v>
      </c>
      <c r="U16" s="250"/>
      <c r="V16" s="37">
        <f t="shared" si="27"/>
        <v>0</v>
      </c>
      <c r="W16" s="250"/>
      <c r="X16" s="37">
        <f t="shared" si="151"/>
        <v>0</v>
      </c>
      <c r="Y16" s="183"/>
      <c r="Z16" s="183"/>
      <c r="AA16" s="250"/>
      <c r="AB16" s="37">
        <f t="shared" si="28"/>
        <v>0</v>
      </c>
      <c r="AC16" s="250"/>
      <c r="AD16" s="37"/>
      <c r="AE16" s="37">
        <f t="shared" si="29"/>
        <v>0</v>
      </c>
      <c r="AF16" s="37">
        <f>IF(AE16&lt;=0,0,(AE16/SQRT(AE16^2+(AD16-AD15)^2)))</f>
        <v>0</v>
      </c>
      <c r="AG16" s="250"/>
      <c r="AH16" s="48"/>
      <c r="AI16" s="37">
        <f t="shared" si="90"/>
        <v>0</v>
      </c>
      <c r="AJ16" s="37">
        <f t="shared" si="91"/>
        <v>0</v>
      </c>
      <c r="AK16" s="37">
        <f t="shared" si="32"/>
        <v>0</v>
      </c>
      <c r="AL16" s="250"/>
      <c r="AM16" s="42"/>
      <c r="AN16" s="37">
        <f t="shared" si="119"/>
        <v>0</v>
      </c>
      <c r="AO16" s="37">
        <f>IF(AN16&lt;=0,0,(AN16/SQRT(AN16^2+(AM16-AM15)^2)))</f>
        <v>0</v>
      </c>
      <c r="AP16" s="250"/>
      <c r="AQ16" s="37"/>
      <c r="AR16" s="37">
        <f t="shared" si="92"/>
        <v>0</v>
      </c>
      <c r="AS16" s="37">
        <f>IF(AR16&lt;=0,0,(AR16/SQRT(AR16^2+(AQ16-AQ15)^2)))</f>
        <v>0</v>
      </c>
      <c r="AT16" s="183"/>
      <c r="AU16" s="183"/>
      <c r="AV16" s="183"/>
      <c r="AW16" s="183"/>
      <c r="AX16" s="250"/>
      <c r="AY16" s="37"/>
      <c r="AZ16" s="37">
        <f t="shared" si="34"/>
        <v>0</v>
      </c>
      <c r="BA16" s="250"/>
      <c r="BB16" s="37"/>
      <c r="BC16" s="37">
        <f t="shared" si="93"/>
        <v>0</v>
      </c>
      <c r="BD16" s="37">
        <f t="shared" si="140"/>
        <v>0</v>
      </c>
      <c r="BE16" s="250"/>
      <c r="BF16" s="250"/>
      <c r="BG16" s="37">
        <f t="shared" si="36"/>
        <v>0</v>
      </c>
      <c r="BH16" s="250"/>
      <c r="BI16" s="250"/>
      <c r="BJ16" s="37">
        <f t="shared" si="37"/>
        <v>0</v>
      </c>
      <c r="BK16" s="250"/>
      <c r="BL16" s="40">
        <f t="shared" si="141"/>
        <v>0</v>
      </c>
      <c r="BM16" s="250"/>
      <c r="BN16" s="37">
        <f t="shared" si="38"/>
        <v>0</v>
      </c>
      <c r="BO16" s="186"/>
      <c r="BP16" s="183">
        <f t="shared" si="94"/>
        <v>0</v>
      </c>
      <c r="BQ16" s="250"/>
      <c r="BR16" s="37">
        <f t="shared" si="120"/>
        <v>0</v>
      </c>
      <c r="BS16" s="250"/>
      <c r="BT16" s="37">
        <f t="shared" si="39"/>
        <v>0</v>
      </c>
      <c r="BU16" s="250"/>
      <c r="BV16" s="42"/>
      <c r="BW16" s="37">
        <f t="shared" si="95"/>
        <v>0</v>
      </c>
      <c r="BX16" s="37">
        <f>IF(BW16&lt;=0,0,(BW16/SQRT(BW16^2+(BV16-BV15)^2)))</f>
        <v>0</v>
      </c>
      <c r="BY16" s="250"/>
      <c r="BZ16" s="37"/>
      <c r="CA16" s="37">
        <f t="shared" si="96"/>
        <v>0</v>
      </c>
      <c r="CB16" s="37">
        <f t="shared" si="121"/>
        <v>0</v>
      </c>
      <c r="CC16" s="250"/>
      <c r="CD16" s="37">
        <f t="shared" si="42"/>
        <v>0</v>
      </c>
      <c r="CE16" s="250"/>
      <c r="CF16" s="37">
        <f t="shared" si="43"/>
        <v>0</v>
      </c>
      <c r="CG16" s="250"/>
      <c r="CH16" s="37">
        <f t="shared" si="122"/>
        <v>0</v>
      </c>
      <c r="CI16" s="250"/>
      <c r="CJ16" s="40"/>
      <c r="CK16" s="37">
        <f t="shared" si="123"/>
        <v>0</v>
      </c>
      <c r="CL16" s="37">
        <f t="shared" si="97"/>
        <v>0</v>
      </c>
      <c r="CM16" s="250"/>
      <c r="CN16" s="37"/>
      <c r="CO16" s="37">
        <f t="shared" si="45"/>
        <v>0</v>
      </c>
      <c r="CP16" s="37">
        <f>IF(CO16&lt;=0,0,(CO16/SQRT(CO16^2+(CN16-CN15)^2)))</f>
        <v>0</v>
      </c>
      <c r="CQ16" s="250"/>
      <c r="CR16" s="45"/>
      <c r="CS16" s="37">
        <f t="shared" si="124"/>
        <v>0</v>
      </c>
      <c r="CT16" s="37">
        <f t="shared" si="143"/>
        <v>0</v>
      </c>
      <c r="CU16" s="250"/>
      <c r="CV16" s="37"/>
      <c r="CW16" s="38">
        <f t="shared" si="98"/>
        <v>0</v>
      </c>
      <c r="CX16" s="37">
        <f t="shared" si="144"/>
        <v>0</v>
      </c>
      <c r="CY16" s="250"/>
      <c r="CZ16" s="37"/>
      <c r="DA16" s="37">
        <f t="shared" si="99"/>
        <v>0</v>
      </c>
      <c r="DB16" s="37">
        <f>IF(DA16&lt;=0,0,(DA16/SQRT(DA16^2+(CZ16-CZ15)^2)))</f>
        <v>0</v>
      </c>
      <c r="DC16" s="37"/>
      <c r="DD16" s="40"/>
      <c r="DE16" s="37">
        <f t="shared" si="100"/>
        <v>0</v>
      </c>
      <c r="DF16" s="37">
        <f>IF(DE16&lt;=0,0,(DE16/SQRT(DE16^2+(DD16-DD15)^2)))</f>
        <v>0</v>
      </c>
      <c r="DG16" s="37">
        <f t="shared" si="101"/>
        <v>0</v>
      </c>
      <c r="DH16" s="37">
        <f t="shared" si="102"/>
        <v>0</v>
      </c>
      <c r="DI16" s="46"/>
      <c r="DJ16" s="46"/>
      <c r="DK16" s="47"/>
      <c r="DL16" s="47"/>
      <c r="DM16" s="37"/>
      <c r="DN16" s="37"/>
      <c r="DO16" s="37"/>
      <c r="DP16" s="37"/>
      <c r="DQ16" s="250"/>
      <c r="DR16" s="49">
        <f t="shared" si="125"/>
        <v>0</v>
      </c>
      <c r="DS16" s="250"/>
      <c r="DT16" s="49">
        <f t="shared" si="126"/>
        <v>0</v>
      </c>
      <c r="DU16" s="250"/>
      <c r="DV16" s="250"/>
      <c r="DW16" s="37">
        <f t="shared" si="146"/>
        <v>0</v>
      </c>
      <c r="DX16" s="250"/>
      <c r="DY16" s="250"/>
      <c r="DZ16" s="37">
        <f t="shared" si="51"/>
        <v>0</v>
      </c>
      <c r="EA16" s="250"/>
      <c r="EB16" s="250"/>
      <c r="EC16" s="37">
        <v>0</v>
      </c>
      <c r="ED16" s="53">
        <f t="shared" si="52"/>
        <v>0</v>
      </c>
      <c r="EE16" s="250"/>
      <c r="EF16" s="250"/>
      <c r="EG16" s="37">
        <v>0</v>
      </c>
      <c r="EH16" s="250"/>
      <c r="EI16" s="250"/>
      <c r="EJ16" s="37">
        <f t="shared" si="54"/>
        <v>0</v>
      </c>
      <c r="EK16" s="250"/>
      <c r="EL16" s="250"/>
      <c r="EM16" s="37">
        <f t="shared" si="127"/>
        <v>0</v>
      </c>
      <c r="EN16" s="54">
        <f t="shared" si="128"/>
        <v>0</v>
      </c>
      <c r="EO16" s="250"/>
      <c r="EP16" s="48"/>
      <c r="EQ16" s="37"/>
      <c r="ER16" s="250"/>
      <c r="ES16" s="48"/>
      <c r="ET16" s="49">
        <f>IF((ER16-ER15)&lt;=0,0,(ER16-ER15))*1000</f>
        <v>0</v>
      </c>
      <c r="EU16" s="250"/>
      <c r="EV16" s="48"/>
      <c r="EW16" s="49">
        <f t="shared" si="56"/>
        <v>0</v>
      </c>
      <c r="EX16" s="250"/>
      <c r="EY16" s="48"/>
      <c r="EZ16" s="37">
        <f t="shared" si="103"/>
        <v>0</v>
      </c>
      <c r="FA16" s="48">
        <f t="shared" si="129"/>
        <v>0</v>
      </c>
      <c r="FB16" s="250"/>
      <c r="FC16" s="49">
        <f>IF((FB16-FB15)&lt;=0,0,(FB16-FB15))</f>
        <v>0</v>
      </c>
      <c r="FD16" s="48">
        <f t="shared" si="130"/>
        <v>0</v>
      </c>
      <c r="FE16" s="250"/>
      <c r="FF16" s="48"/>
      <c r="FG16" s="37"/>
      <c r="FH16" s="250"/>
      <c r="FI16" s="48"/>
      <c r="FJ16" s="49">
        <f t="shared" si="59"/>
        <v>0</v>
      </c>
      <c r="FK16" s="48"/>
      <c r="FL16" s="58"/>
      <c r="FM16" s="48">
        <f>FT16/3</f>
        <v>0</v>
      </c>
      <c r="FN16" s="250"/>
      <c r="FO16" s="48"/>
      <c r="FP16" s="37">
        <f t="shared" si="131"/>
        <v>0</v>
      </c>
      <c r="FQ16" s="250"/>
      <c r="FR16" s="48"/>
      <c r="FS16" s="37">
        <f t="shared" si="60"/>
        <v>0</v>
      </c>
      <c r="FT16" s="48">
        <f t="shared" si="149"/>
        <v>0</v>
      </c>
      <c r="FU16" s="48">
        <f t="shared" si="150"/>
        <v>0</v>
      </c>
      <c r="FV16" s="250"/>
      <c r="FW16" s="44"/>
      <c r="FX16" s="37">
        <f t="shared" si="61"/>
        <v>0</v>
      </c>
      <c r="FY16" s="250"/>
      <c r="FZ16" s="56"/>
      <c r="GA16" s="37">
        <f t="shared" si="62"/>
        <v>0</v>
      </c>
      <c r="GB16" s="250"/>
      <c r="GC16" s="56"/>
      <c r="GD16" s="37">
        <f t="shared" si="63"/>
        <v>0</v>
      </c>
      <c r="GE16" s="250"/>
      <c r="GF16" s="56"/>
      <c r="GG16" s="37">
        <f t="shared" si="64"/>
        <v>0</v>
      </c>
      <c r="GH16" s="250"/>
      <c r="GI16" s="162"/>
      <c r="GJ16" s="38">
        <f t="shared" si="132"/>
        <v>0</v>
      </c>
      <c r="GK16" s="250"/>
      <c r="GL16" s="163"/>
      <c r="GM16" s="38">
        <f t="shared" si="104"/>
        <v>0</v>
      </c>
      <c r="GN16" s="250"/>
      <c r="GO16" s="57"/>
      <c r="GP16" s="38">
        <f t="shared" si="65"/>
        <v>0</v>
      </c>
      <c r="GQ16" s="250"/>
      <c r="GR16" s="38"/>
      <c r="GS16" s="38">
        <f t="shared" si="133"/>
        <v>0</v>
      </c>
      <c r="GT16" s="247"/>
      <c r="GU16" s="144">
        <f>IFERROR(DailyNov!B14-DailyNov!N14-DailyNov!V14-DailyNov!Y14-DailyNov!Z14-DailyNov!AA14-DailyNov!AB14-DailyNov!AC14-DailyNov!AD14-DailyNov!AE14-DailyNov!AK14-DailyNov!AO14-DailyNov!AS14-DailyNov!AY14-DailyNov!BD14+DailyNov!BU14-DailyNov!BG14-DailyNov!BT14-DailyNov!AF14-DailyNov!AG14,"-")</f>
        <v>0</v>
      </c>
      <c r="GV16" s="261"/>
      <c r="GW16" s="60">
        <f t="shared" si="66"/>
        <v>0</v>
      </c>
      <c r="GX16" s="260"/>
      <c r="GY16" s="140"/>
      <c r="GZ16" s="528"/>
      <c r="HA16" s="528"/>
      <c r="HB16" s="528"/>
      <c r="HC16" s="528"/>
      <c r="HD16" s="74"/>
      <c r="HE16" s="24">
        <f t="shared" si="105"/>
        <v>0</v>
      </c>
      <c r="HF16" s="255"/>
      <c r="HG16" s="279">
        <v>9</v>
      </c>
      <c r="HH16" s="292"/>
      <c r="HI16" s="292"/>
      <c r="HJ16" s="61">
        <f t="shared" si="67"/>
        <v>0</v>
      </c>
      <c r="HK16" s="260"/>
      <c r="HL16" s="292"/>
      <c r="HM16" s="61">
        <f t="shared" si="68"/>
        <v>0</v>
      </c>
      <c r="HN16" s="292"/>
      <c r="HO16" s="292"/>
      <c r="HP16" s="61">
        <f t="shared" si="106"/>
        <v>0</v>
      </c>
      <c r="HQ16" s="292"/>
      <c r="HR16" s="292"/>
      <c r="HS16" s="61">
        <f t="shared" si="107"/>
        <v>0</v>
      </c>
      <c r="HT16" s="292"/>
      <c r="HU16" s="292"/>
      <c r="HV16" s="61">
        <f t="shared" si="108"/>
        <v>0</v>
      </c>
      <c r="HW16" s="292"/>
      <c r="HX16" s="292"/>
      <c r="HY16" s="61">
        <f t="shared" si="109"/>
        <v>0</v>
      </c>
      <c r="HZ16" s="260"/>
      <c r="IA16" s="260"/>
      <c r="IB16" s="61">
        <f t="shared" si="110"/>
        <v>0</v>
      </c>
      <c r="IC16" s="292"/>
      <c r="ID16" s="292"/>
      <c r="IE16" s="61">
        <f t="shared" si="153"/>
        <v>0</v>
      </c>
      <c r="IF16" s="61"/>
      <c r="IG16" s="61"/>
      <c r="IH16" s="280">
        <f t="shared" si="71"/>
        <v>0</v>
      </c>
      <c r="II16" s="281">
        <f t="shared" si="72"/>
        <v>0</v>
      </c>
      <c r="IJ16" s="380"/>
      <c r="IK16" s="380"/>
      <c r="IL16" s="380">
        <f t="shared" si="73"/>
        <v>0</v>
      </c>
      <c r="IM16" s="380"/>
      <c r="IN16" s="380"/>
      <c r="IO16" s="380">
        <f t="shared" si="74"/>
        <v>0</v>
      </c>
      <c r="IP16" s="380"/>
      <c r="IQ16" s="380"/>
      <c r="IR16" s="380">
        <f t="shared" si="75"/>
        <v>0</v>
      </c>
      <c r="IS16" s="380"/>
      <c r="IT16" s="380"/>
      <c r="IU16" s="380">
        <f t="shared" si="111"/>
        <v>0</v>
      </c>
      <c r="IV16" s="380"/>
      <c r="IW16" s="380"/>
      <c r="IX16" s="380">
        <f t="shared" si="112"/>
        <v>0</v>
      </c>
      <c r="IY16" s="380"/>
      <c r="IZ16" s="380"/>
      <c r="JA16" s="380">
        <f t="shared" si="113"/>
        <v>0</v>
      </c>
      <c r="JB16" s="380"/>
      <c r="JC16" s="380"/>
      <c r="JD16" s="380">
        <f t="shared" si="114"/>
        <v>0</v>
      </c>
      <c r="JE16" s="380"/>
      <c r="JF16" s="380"/>
      <c r="JG16" s="380">
        <f t="shared" si="115"/>
        <v>0</v>
      </c>
      <c r="JH16" s="380"/>
      <c r="JI16" s="380"/>
      <c r="JJ16" s="380">
        <f t="shared" si="81"/>
        <v>0</v>
      </c>
      <c r="JK16" s="380"/>
      <c r="JL16" s="380"/>
      <c r="JM16" s="380">
        <f t="shared" si="82"/>
        <v>0</v>
      </c>
      <c r="JN16" s="380"/>
      <c r="JO16" s="380"/>
      <c r="JP16" s="380">
        <f t="shared" si="83"/>
        <v>0</v>
      </c>
      <c r="JQ16" s="380"/>
      <c r="JR16" s="380"/>
      <c r="JS16" s="380">
        <f t="shared" si="84"/>
        <v>0</v>
      </c>
      <c r="JT16" s="380"/>
      <c r="JU16" s="380"/>
      <c r="JV16" s="380">
        <f t="shared" si="85"/>
        <v>0</v>
      </c>
      <c r="JW16" s="380"/>
      <c r="JX16" s="380"/>
      <c r="JY16" s="380">
        <f t="shared" si="86"/>
        <v>0</v>
      </c>
      <c r="JZ16" s="380"/>
      <c r="KA16" s="380"/>
      <c r="KB16" s="380">
        <f t="shared" si="116"/>
        <v>0</v>
      </c>
      <c r="KC16" s="380"/>
      <c r="KD16" s="380"/>
      <c r="KE16" s="380">
        <f t="shared" si="117"/>
        <v>0</v>
      </c>
      <c r="KG16" s="151">
        <f t="shared" si="89"/>
        <v>0</v>
      </c>
    </row>
    <row r="17" spans="1:293" x14ac:dyDescent="0.25">
      <c r="A17" s="35">
        <f t="shared" si="118"/>
        <v>10</v>
      </c>
      <c r="B17" s="250"/>
      <c r="C17" s="38">
        <f t="shared" si="21"/>
        <v>0</v>
      </c>
      <c r="D17" s="38">
        <f t="shared" si="22"/>
        <v>0</v>
      </c>
      <c r="E17" s="250"/>
      <c r="F17" s="38">
        <f t="shared" si="23"/>
        <v>0</v>
      </c>
      <c r="G17" s="38">
        <f t="shared" si="24"/>
        <v>0</v>
      </c>
      <c r="H17" s="37"/>
      <c r="I17" s="39"/>
      <c r="J17" s="42"/>
      <c r="K17" s="37">
        <f t="shared" si="134"/>
        <v>0</v>
      </c>
      <c r="L17" s="250"/>
      <c r="M17" s="40"/>
      <c r="N17" s="37">
        <f t="shared" si="135"/>
        <v>0</v>
      </c>
      <c r="O17" s="250"/>
      <c r="P17" s="48"/>
      <c r="Q17" s="37">
        <f t="shared" si="25"/>
        <v>0</v>
      </c>
      <c r="R17" s="37">
        <f t="shared" si="136"/>
        <v>0</v>
      </c>
      <c r="S17" s="250"/>
      <c r="T17" s="37">
        <f t="shared" si="26"/>
        <v>0</v>
      </c>
      <c r="U17" s="250"/>
      <c r="V17" s="37">
        <f t="shared" si="27"/>
        <v>0</v>
      </c>
      <c r="W17" s="250"/>
      <c r="X17" s="37">
        <f t="shared" si="151"/>
        <v>0</v>
      </c>
      <c r="Y17" s="183"/>
      <c r="Z17" s="183"/>
      <c r="AA17" s="250"/>
      <c r="AB17" s="37">
        <f t="shared" si="28"/>
        <v>0</v>
      </c>
      <c r="AC17" s="250"/>
      <c r="AD17" s="37"/>
      <c r="AE17" s="37">
        <f t="shared" si="29"/>
        <v>0</v>
      </c>
      <c r="AF17" s="37">
        <f t="shared" si="137"/>
        <v>0</v>
      </c>
      <c r="AG17" s="250"/>
      <c r="AH17" s="37"/>
      <c r="AI17" s="37">
        <f t="shared" si="90"/>
        <v>0</v>
      </c>
      <c r="AJ17" s="37">
        <f t="shared" si="91"/>
        <v>0</v>
      </c>
      <c r="AK17" s="37">
        <f t="shared" si="32"/>
        <v>0</v>
      </c>
      <c r="AL17" s="250"/>
      <c r="AM17" s="42"/>
      <c r="AN17" s="37">
        <f t="shared" si="119"/>
        <v>0</v>
      </c>
      <c r="AO17" s="37">
        <f t="shared" si="138"/>
        <v>0</v>
      </c>
      <c r="AP17" s="250"/>
      <c r="AQ17" s="37"/>
      <c r="AR17" s="37">
        <f t="shared" si="92"/>
        <v>0</v>
      </c>
      <c r="AS17" s="37">
        <f t="shared" si="139"/>
        <v>0</v>
      </c>
      <c r="AT17" s="183"/>
      <c r="AU17" s="183"/>
      <c r="AV17" s="183"/>
      <c r="AW17" s="183"/>
      <c r="AX17" s="250"/>
      <c r="AY17" s="37"/>
      <c r="AZ17" s="37">
        <f t="shared" si="34"/>
        <v>0</v>
      </c>
      <c r="BA17" s="250"/>
      <c r="BB17" s="37"/>
      <c r="BC17" s="37">
        <f t="shared" si="93"/>
        <v>0</v>
      </c>
      <c r="BD17" s="37">
        <f t="shared" si="140"/>
        <v>0</v>
      </c>
      <c r="BE17" s="250"/>
      <c r="BF17" s="250"/>
      <c r="BG17" s="37">
        <f t="shared" si="36"/>
        <v>0</v>
      </c>
      <c r="BH17" s="250"/>
      <c r="BI17" s="250"/>
      <c r="BJ17" s="37">
        <f t="shared" si="37"/>
        <v>0</v>
      </c>
      <c r="BK17" s="250"/>
      <c r="BL17" s="40">
        <f t="shared" si="141"/>
        <v>0</v>
      </c>
      <c r="BM17" s="250"/>
      <c r="BN17" s="37">
        <f t="shared" si="38"/>
        <v>0</v>
      </c>
      <c r="BO17" s="186"/>
      <c r="BP17" s="183">
        <f t="shared" si="94"/>
        <v>0</v>
      </c>
      <c r="BQ17" s="250"/>
      <c r="BR17" s="37">
        <f t="shared" si="120"/>
        <v>0</v>
      </c>
      <c r="BS17" s="250"/>
      <c r="BT17" s="37">
        <f t="shared" si="39"/>
        <v>0</v>
      </c>
      <c r="BU17" s="250"/>
      <c r="BV17" s="42"/>
      <c r="BW17" s="37">
        <f t="shared" si="95"/>
        <v>0</v>
      </c>
      <c r="BX17" s="37">
        <f t="shared" si="142"/>
        <v>0</v>
      </c>
      <c r="BY17" s="250"/>
      <c r="BZ17" s="37"/>
      <c r="CA17" s="37">
        <f t="shared" si="96"/>
        <v>0</v>
      </c>
      <c r="CB17" s="37">
        <f t="shared" si="121"/>
        <v>0</v>
      </c>
      <c r="CC17" s="250"/>
      <c r="CD17" s="37">
        <f t="shared" si="42"/>
        <v>0</v>
      </c>
      <c r="CE17" s="250"/>
      <c r="CF17" s="37">
        <f t="shared" si="43"/>
        <v>0</v>
      </c>
      <c r="CG17" s="250"/>
      <c r="CH17" s="37">
        <f t="shared" si="122"/>
        <v>0</v>
      </c>
      <c r="CI17" s="250"/>
      <c r="CJ17" s="40"/>
      <c r="CK17" s="37">
        <f t="shared" si="123"/>
        <v>0</v>
      </c>
      <c r="CL17" s="37">
        <f t="shared" si="97"/>
        <v>0</v>
      </c>
      <c r="CM17" s="250"/>
      <c r="CN17" s="37"/>
      <c r="CO17" s="37">
        <f t="shared" si="45"/>
        <v>0</v>
      </c>
      <c r="CP17" s="37">
        <f t="shared" si="154"/>
        <v>0</v>
      </c>
      <c r="CQ17" s="250"/>
      <c r="CR17" s="45"/>
      <c r="CS17" s="37">
        <f t="shared" si="124"/>
        <v>0</v>
      </c>
      <c r="CT17" s="37">
        <f t="shared" si="143"/>
        <v>0</v>
      </c>
      <c r="CU17" s="250"/>
      <c r="CV17" s="37"/>
      <c r="CW17" s="38">
        <f t="shared" si="98"/>
        <v>0</v>
      </c>
      <c r="CX17" s="37">
        <f t="shared" si="144"/>
        <v>0</v>
      </c>
      <c r="CY17" s="250"/>
      <c r="CZ17" s="37"/>
      <c r="DA17" s="37">
        <f t="shared" si="99"/>
        <v>0</v>
      </c>
      <c r="DB17" s="37">
        <f t="shared" si="145"/>
        <v>0</v>
      </c>
      <c r="DC17" s="37"/>
      <c r="DD17" s="40"/>
      <c r="DE17" s="37">
        <f t="shared" si="100"/>
        <v>0</v>
      </c>
      <c r="DF17" s="37">
        <f t="shared" si="152"/>
        <v>0</v>
      </c>
      <c r="DG17" s="37">
        <f t="shared" si="101"/>
        <v>0</v>
      </c>
      <c r="DH17" s="37">
        <f t="shared" si="102"/>
        <v>0</v>
      </c>
      <c r="DI17" s="46"/>
      <c r="DJ17" s="46"/>
      <c r="DK17" s="47"/>
      <c r="DL17" s="47"/>
      <c r="DM17" s="37"/>
      <c r="DN17" s="37"/>
      <c r="DO17" s="37"/>
      <c r="DP17" s="37"/>
      <c r="DQ17" s="250"/>
      <c r="DR17" s="49">
        <f t="shared" si="125"/>
        <v>0</v>
      </c>
      <c r="DS17" s="250"/>
      <c r="DT17" s="49">
        <f t="shared" si="126"/>
        <v>0</v>
      </c>
      <c r="DU17" s="250"/>
      <c r="DV17" s="250"/>
      <c r="DW17" s="37">
        <f t="shared" si="146"/>
        <v>0</v>
      </c>
      <c r="DX17" s="250"/>
      <c r="DY17" s="250"/>
      <c r="DZ17" s="37">
        <f t="shared" si="51"/>
        <v>0</v>
      </c>
      <c r="EA17" s="250"/>
      <c r="EB17" s="250"/>
      <c r="EC17" s="37">
        <v>0</v>
      </c>
      <c r="ED17" s="53">
        <f t="shared" si="52"/>
        <v>0</v>
      </c>
      <c r="EE17" s="250"/>
      <c r="EF17" s="250"/>
      <c r="EG17" s="37">
        <v>0</v>
      </c>
      <c r="EH17" s="250"/>
      <c r="EI17" s="250"/>
      <c r="EJ17" s="37">
        <f t="shared" si="54"/>
        <v>0</v>
      </c>
      <c r="EK17" s="250"/>
      <c r="EL17" s="250"/>
      <c r="EM17" s="37">
        <f t="shared" si="127"/>
        <v>0</v>
      </c>
      <c r="EN17" s="54">
        <f t="shared" si="128"/>
        <v>0</v>
      </c>
      <c r="EO17" s="250"/>
      <c r="EP17" s="48"/>
      <c r="EQ17" s="37"/>
      <c r="ER17" s="250"/>
      <c r="ES17" s="48"/>
      <c r="ET17" s="49">
        <f t="shared" ref="ET17:ET38" si="155">IF((ER17-ER16)&lt;=0,0,(ER17-ER16))*1000</f>
        <v>0</v>
      </c>
      <c r="EU17" s="250"/>
      <c r="EV17" s="48"/>
      <c r="EW17" s="49">
        <f t="shared" si="56"/>
        <v>0</v>
      </c>
      <c r="EX17" s="250"/>
      <c r="EY17" s="48"/>
      <c r="EZ17" s="37">
        <f t="shared" si="103"/>
        <v>0</v>
      </c>
      <c r="FA17" s="48">
        <f t="shared" si="129"/>
        <v>0</v>
      </c>
      <c r="FB17" s="250"/>
      <c r="FC17" s="49">
        <f t="shared" si="147"/>
        <v>0</v>
      </c>
      <c r="FD17" s="48">
        <f t="shared" si="130"/>
        <v>0</v>
      </c>
      <c r="FE17" s="250"/>
      <c r="FF17" s="48"/>
      <c r="FG17" s="37"/>
      <c r="FH17" s="250"/>
      <c r="FI17" s="48"/>
      <c r="FJ17" s="49">
        <f t="shared" si="59"/>
        <v>0</v>
      </c>
      <c r="FK17" s="48"/>
      <c r="FL17" s="58"/>
      <c r="FM17" s="48">
        <f t="shared" si="148"/>
        <v>0</v>
      </c>
      <c r="FN17" s="250"/>
      <c r="FO17" s="48"/>
      <c r="FP17" s="37">
        <f t="shared" si="131"/>
        <v>0</v>
      </c>
      <c r="FQ17" s="250"/>
      <c r="FR17" s="48"/>
      <c r="FS17" s="37">
        <f t="shared" si="60"/>
        <v>0</v>
      </c>
      <c r="FT17" s="48">
        <f t="shared" si="149"/>
        <v>0</v>
      </c>
      <c r="FU17" s="48">
        <f t="shared" si="150"/>
        <v>0</v>
      </c>
      <c r="FV17" s="250"/>
      <c r="FW17" s="44"/>
      <c r="FX17" s="37">
        <f t="shared" si="61"/>
        <v>0</v>
      </c>
      <c r="FY17" s="250"/>
      <c r="FZ17" s="56"/>
      <c r="GA17" s="37">
        <f t="shared" si="62"/>
        <v>0</v>
      </c>
      <c r="GB17" s="250"/>
      <c r="GC17" s="56"/>
      <c r="GD17" s="37">
        <f t="shared" si="63"/>
        <v>0</v>
      </c>
      <c r="GE17" s="250"/>
      <c r="GF17" s="56"/>
      <c r="GG17" s="37">
        <f t="shared" si="64"/>
        <v>0</v>
      </c>
      <c r="GH17" s="250"/>
      <c r="GI17" s="162"/>
      <c r="GJ17" s="38">
        <f t="shared" si="132"/>
        <v>0</v>
      </c>
      <c r="GK17" s="250"/>
      <c r="GL17" s="163"/>
      <c r="GM17" s="38">
        <f>IF((GK17-GK16)&lt;=0,0,(GK17-GK16))*1000</f>
        <v>0</v>
      </c>
      <c r="GN17" s="250"/>
      <c r="GO17" s="57"/>
      <c r="GP17" s="38">
        <f t="shared" si="65"/>
        <v>0</v>
      </c>
      <c r="GQ17" s="250"/>
      <c r="GR17" s="38"/>
      <c r="GS17" s="38">
        <f t="shared" si="133"/>
        <v>0</v>
      </c>
      <c r="GT17" s="247"/>
      <c r="GU17" s="144">
        <f>IFERROR(DailyNov!B15-DailyNov!N15-DailyNov!V15-DailyNov!Y15-DailyNov!Z15-DailyNov!AA15-DailyNov!AB15-DailyNov!AC15-DailyNov!AD15-DailyNov!AE15-DailyNov!AK15-DailyNov!AO15-DailyNov!AS15-DailyNov!AY15-DailyNov!BD15+DailyNov!BU15-DailyNov!BG15-DailyNov!BT15-DailyNov!AF15-DailyNov!AG15,"-")</f>
        <v>0</v>
      </c>
      <c r="GV17" s="261"/>
      <c r="GW17" s="60">
        <f t="shared" si="66"/>
        <v>0</v>
      </c>
      <c r="GX17" s="260"/>
      <c r="GY17" s="140"/>
      <c r="GZ17" s="528"/>
      <c r="HA17" s="528"/>
      <c r="HB17" s="528"/>
      <c r="HC17" s="528"/>
      <c r="HD17" s="74"/>
      <c r="HE17" s="24">
        <f t="shared" si="105"/>
        <v>0</v>
      </c>
      <c r="HF17" s="255"/>
      <c r="HG17" s="279">
        <v>10</v>
      </c>
      <c r="HH17" s="292"/>
      <c r="HI17" s="292"/>
      <c r="HJ17" s="61">
        <f t="shared" si="67"/>
        <v>0</v>
      </c>
      <c r="HK17" s="260"/>
      <c r="HL17" s="292"/>
      <c r="HM17" s="61">
        <f t="shared" si="68"/>
        <v>0</v>
      </c>
      <c r="HN17" s="292"/>
      <c r="HO17" s="292"/>
      <c r="HP17" s="61">
        <f t="shared" si="106"/>
        <v>0</v>
      </c>
      <c r="HQ17" s="292"/>
      <c r="HR17" s="292"/>
      <c r="HS17" s="61">
        <f t="shared" si="107"/>
        <v>0</v>
      </c>
      <c r="HT17" s="292"/>
      <c r="HU17" s="292"/>
      <c r="HV17" s="61">
        <f t="shared" si="108"/>
        <v>0</v>
      </c>
      <c r="HW17" s="292"/>
      <c r="HX17" s="292"/>
      <c r="HY17" s="61">
        <f t="shared" si="109"/>
        <v>0</v>
      </c>
      <c r="HZ17" s="260"/>
      <c r="IA17" s="260"/>
      <c r="IB17" s="61">
        <f t="shared" si="110"/>
        <v>0</v>
      </c>
      <c r="IC17" s="292"/>
      <c r="ID17" s="292"/>
      <c r="IE17" s="61">
        <f t="shared" si="153"/>
        <v>0</v>
      </c>
      <c r="IF17" s="61"/>
      <c r="IG17" s="61"/>
      <c r="IH17" s="280">
        <f t="shared" si="71"/>
        <v>0</v>
      </c>
      <c r="II17" s="281">
        <f t="shared" si="72"/>
        <v>0</v>
      </c>
      <c r="IJ17" s="380"/>
      <c r="IK17" s="380"/>
      <c r="IL17" s="380">
        <f t="shared" si="73"/>
        <v>0</v>
      </c>
      <c r="IM17" s="380"/>
      <c r="IN17" s="380"/>
      <c r="IO17" s="380">
        <f t="shared" si="74"/>
        <v>0</v>
      </c>
      <c r="IP17" s="380"/>
      <c r="IQ17" s="380"/>
      <c r="IR17" s="380">
        <f t="shared" si="75"/>
        <v>0</v>
      </c>
      <c r="IS17" s="380"/>
      <c r="IT17" s="380"/>
      <c r="IU17" s="380">
        <f t="shared" si="111"/>
        <v>0</v>
      </c>
      <c r="IV17" s="380"/>
      <c r="IW17" s="380"/>
      <c r="IX17" s="380">
        <f t="shared" si="112"/>
        <v>0</v>
      </c>
      <c r="IY17" s="380"/>
      <c r="IZ17" s="380"/>
      <c r="JA17" s="380">
        <f t="shared" si="113"/>
        <v>0</v>
      </c>
      <c r="JB17" s="380"/>
      <c r="JC17" s="380"/>
      <c r="JD17" s="380">
        <f t="shared" si="114"/>
        <v>0</v>
      </c>
      <c r="JE17" s="380"/>
      <c r="JF17" s="380"/>
      <c r="JG17" s="380">
        <f t="shared" si="115"/>
        <v>0</v>
      </c>
      <c r="JH17" s="380"/>
      <c r="JI17" s="380"/>
      <c r="JJ17" s="380">
        <f t="shared" si="81"/>
        <v>0</v>
      </c>
      <c r="JK17" s="380"/>
      <c r="JL17" s="380"/>
      <c r="JM17" s="380">
        <f t="shared" si="82"/>
        <v>0</v>
      </c>
      <c r="JN17" s="380"/>
      <c r="JO17" s="380"/>
      <c r="JP17" s="380">
        <f t="shared" si="83"/>
        <v>0</v>
      </c>
      <c r="JQ17" s="380"/>
      <c r="JR17" s="380"/>
      <c r="JS17" s="380">
        <f t="shared" si="84"/>
        <v>0</v>
      </c>
      <c r="JT17" s="380"/>
      <c r="JU17" s="380"/>
      <c r="JV17" s="380">
        <f t="shared" si="85"/>
        <v>0</v>
      </c>
      <c r="JW17" s="380"/>
      <c r="JX17" s="380"/>
      <c r="JY17" s="380">
        <f t="shared" si="86"/>
        <v>0</v>
      </c>
      <c r="JZ17" s="380"/>
      <c r="KA17" s="380"/>
      <c r="KB17" s="380">
        <f t="shared" si="116"/>
        <v>0</v>
      </c>
      <c r="KC17" s="380"/>
      <c r="KD17" s="380"/>
      <c r="KE17" s="380">
        <f t="shared" si="117"/>
        <v>0</v>
      </c>
      <c r="KG17" s="151">
        <f t="shared" si="89"/>
        <v>0</v>
      </c>
    </row>
    <row r="18" spans="1:293" x14ac:dyDescent="0.25">
      <c r="A18" s="35">
        <f t="shared" si="118"/>
        <v>11</v>
      </c>
      <c r="B18" s="250"/>
      <c r="C18" s="38">
        <f t="shared" si="21"/>
        <v>0</v>
      </c>
      <c r="D18" s="38">
        <f t="shared" si="22"/>
        <v>0</v>
      </c>
      <c r="E18" s="250"/>
      <c r="F18" s="38">
        <f t="shared" si="23"/>
        <v>0</v>
      </c>
      <c r="G18" s="38">
        <f t="shared" si="24"/>
        <v>0</v>
      </c>
      <c r="H18" s="37"/>
      <c r="I18" s="39"/>
      <c r="J18" s="42"/>
      <c r="K18" s="37">
        <f t="shared" si="134"/>
        <v>0</v>
      </c>
      <c r="L18" s="250"/>
      <c r="M18" s="40"/>
      <c r="N18" s="37">
        <f t="shared" si="135"/>
        <v>0</v>
      </c>
      <c r="O18" s="250"/>
      <c r="P18" s="37"/>
      <c r="Q18" s="37">
        <f t="shared" si="25"/>
        <v>0</v>
      </c>
      <c r="R18" s="37">
        <f t="shared" si="136"/>
        <v>0</v>
      </c>
      <c r="S18" s="250"/>
      <c r="T18" s="37">
        <f t="shared" si="26"/>
        <v>0</v>
      </c>
      <c r="U18" s="250"/>
      <c r="V18" s="37">
        <f>IF((U18-U17)&lt;=0,0,(U18-U17))</f>
        <v>0</v>
      </c>
      <c r="W18" s="250"/>
      <c r="X18" s="37">
        <f t="shared" si="151"/>
        <v>0</v>
      </c>
      <c r="Y18" s="183"/>
      <c r="Z18" s="183"/>
      <c r="AA18" s="250"/>
      <c r="AB18" s="37">
        <f t="shared" si="28"/>
        <v>0</v>
      </c>
      <c r="AC18" s="250"/>
      <c r="AD18" s="37"/>
      <c r="AE18" s="37">
        <f t="shared" si="29"/>
        <v>0</v>
      </c>
      <c r="AF18" s="37">
        <f t="shared" si="137"/>
        <v>0</v>
      </c>
      <c r="AG18" s="250"/>
      <c r="AH18" s="37"/>
      <c r="AI18" s="37">
        <f t="shared" si="90"/>
        <v>0</v>
      </c>
      <c r="AJ18" s="37">
        <f t="shared" si="91"/>
        <v>0</v>
      </c>
      <c r="AK18" s="37">
        <f t="shared" si="32"/>
        <v>0</v>
      </c>
      <c r="AL18" s="250"/>
      <c r="AM18" s="42"/>
      <c r="AN18" s="37">
        <f t="shared" si="119"/>
        <v>0</v>
      </c>
      <c r="AO18" s="37">
        <f t="shared" si="138"/>
        <v>0</v>
      </c>
      <c r="AP18" s="250"/>
      <c r="AQ18" s="37"/>
      <c r="AR18" s="37">
        <f t="shared" si="92"/>
        <v>0</v>
      </c>
      <c r="AS18" s="37">
        <f t="shared" si="139"/>
        <v>0</v>
      </c>
      <c r="AT18" s="183"/>
      <c r="AU18" s="183"/>
      <c r="AV18" s="183"/>
      <c r="AW18" s="183"/>
      <c r="AX18" s="250"/>
      <c r="AY18" s="37"/>
      <c r="AZ18" s="37">
        <f t="shared" si="34"/>
        <v>0</v>
      </c>
      <c r="BA18" s="250"/>
      <c r="BB18" s="37"/>
      <c r="BC18" s="37">
        <f t="shared" si="93"/>
        <v>0</v>
      </c>
      <c r="BD18" s="37">
        <f t="shared" si="140"/>
        <v>0</v>
      </c>
      <c r="BE18" s="250"/>
      <c r="BF18" s="250"/>
      <c r="BG18" s="37">
        <f t="shared" si="36"/>
        <v>0</v>
      </c>
      <c r="BH18" s="250"/>
      <c r="BI18" s="250"/>
      <c r="BJ18" s="37">
        <f t="shared" si="37"/>
        <v>0</v>
      </c>
      <c r="BK18" s="250"/>
      <c r="BL18" s="40">
        <f t="shared" si="141"/>
        <v>0</v>
      </c>
      <c r="BM18" s="250"/>
      <c r="BN18" s="37">
        <f t="shared" si="38"/>
        <v>0</v>
      </c>
      <c r="BO18" s="186"/>
      <c r="BP18" s="183">
        <f t="shared" si="94"/>
        <v>0</v>
      </c>
      <c r="BQ18" s="250"/>
      <c r="BR18" s="37">
        <f t="shared" si="120"/>
        <v>0</v>
      </c>
      <c r="BS18" s="250"/>
      <c r="BT18" s="37">
        <f t="shared" si="39"/>
        <v>0</v>
      </c>
      <c r="BU18" s="250"/>
      <c r="BV18" s="42"/>
      <c r="BW18" s="37">
        <f t="shared" si="95"/>
        <v>0</v>
      </c>
      <c r="BX18" s="37">
        <f t="shared" si="142"/>
        <v>0</v>
      </c>
      <c r="BY18" s="250"/>
      <c r="BZ18" s="43"/>
      <c r="CA18" s="37">
        <f>IF((BY18-BY17)&lt;=0,0,(BY18-BY17)*1000)</f>
        <v>0</v>
      </c>
      <c r="CB18" s="37">
        <f t="shared" si="121"/>
        <v>0</v>
      </c>
      <c r="CC18" s="250"/>
      <c r="CD18" s="37">
        <f t="shared" si="42"/>
        <v>0</v>
      </c>
      <c r="CE18" s="250"/>
      <c r="CF18" s="37">
        <f t="shared" si="43"/>
        <v>0</v>
      </c>
      <c r="CG18" s="250"/>
      <c r="CH18" s="37">
        <f t="shared" si="122"/>
        <v>0</v>
      </c>
      <c r="CI18" s="250"/>
      <c r="CJ18" s="40"/>
      <c r="CK18" s="37">
        <f t="shared" si="123"/>
        <v>0</v>
      </c>
      <c r="CL18" s="37">
        <f t="shared" si="97"/>
        <v>0</v>
      </c>
      <c r="CM18" s="250"/>
      <c r="CN18" s="37"/>
      <c r="CO18" s="37">
        <f t="shared" si="45"/>
        <v>0</v>
      </c>
      <c r="CP18" s="37">
        <f t="shared" si="154"/>
        <v>0</v>
      </c>
      <c r="CQ18" s="250"/>
      <c r="CR18" s="45"/>
      <c r="CS18" s="37">
        <f t="shared" si="124"/>
        <v>0</v>
      </c>
      <c r="CT18" s="37">
        <f t="shared" si="143"/>
        <v>0</v>
      </c>
      <c r="CU18" s="250"/>
      <c r="CV18" s="37"/>
      <c r="CW18" s="38">
        <f t="shared" si="98"/>
        <v>0</v>
      </c>
      <c r="CX18" s="37">
        <f t="shared" si="144"/>
        <v>0</v>
      </c>
      <c r="CY18" s="250"/>
      <c r="CZ18" s="37"/>
      <c r="DA18" s="37">
        <f t="shared" si="99"/>
        <v>0</v>
      </c>
      <c r="DB18" s="37">
        <f t="shared" si="145"/>
        <v>0</v>
      </c>
      <c r="DC18" s="37"/>
      <c r="DD18" s="40"/>
      <c r="DE18" s="37">
        <f t="shared" si="100"/>
        <v>0</v>
      </c>
      <c r="DF18" s="37">
        <f t="shared" si="152"/>
        <v>0</v>
      </c>
      <c r="DG18" s="37">
        <f t="shared" si="101"/>
        <v>0</v>
      </c>
      <c r="DH18" s="37">
        <f t="shared" si="102"/>
        <v>0</v>
      </c>
      <c r="DI18" s="46"/>
      <c r="DJ18" s="46"/>
      <c r="DK18" s="47"/>
      <c r="DL18" s="47"/>
      <c r="DM18" s="37"/>
      <c r="DN18" s="37"/>
      <c r="DO18" s="37"/>
      <c r="DP18" s="37"/>
      <c r="DQ18" s="250"/>
      <c r="DR18" s="49">
        <f t="shared" si="125"/>
        <v>0</v>
      </c>
      <c r="DS18" s="250"/>
      <c r="DT18" s="49">
        <f t="shared" si="126"/>
        <v>0</v>
      </c>
      <c r="DU18" s="250"/>
      <c r="DV18" s="250"/>
      <c r="DW18" s="37">
        <f t="shared" si="146"/>
        <v>0</v>
      </c>
      <c r="DX18" s="250"/>
      <c r="DY18" s="250"/>
      <c r="DZ18" s="37">
        <f t="shared" si="51"/>
        <v>0</v>
      </c>
      <c r="EA18" s="250"/>
      <c r="EB18" s="250"/>
      <c r="EC18" s="37">
        <v>0</v>
      </c>
      <c r="ED18" s="53">
        <f t="shared" si="52"/>
        <v>0</v>
      </c>
      <c r="EE18" s="250"/>
      <c r="EF18" s="250"/>
      <c r="EG18" s="37">
        <v>0</v>
      </c>
      <c r="EH18" s="250"/>
      <c r="EI18" s="250"/>
      <c r="EJ18" s="37">
        <f t="shared" si="54"/>
        <v>0</v>
      </c>
      <c r="EK18" s="250"/>
      <c r="EL18" s="250"/>
      <c r="EM18" s="37">
        <f t="shared" si="127"/>
        <v>0</v>
      </c>
      <c r="EN18" s="54">
        <f t="shared" si="128"/>
        <v>0</v>
      </c>
      <c r="EO18" s="250"/>
      <c r="EP18" s="48"/>
      <c r="EQ18" s="37"/>
      <c r="ER18" s="250"/>
      <c r="ES18" s="48"/>
      <c r="ET18" s="49">
        <f t="shared" si="155"/>
        <v>0</v>
      </c>
      <c r="EU18" s="250"/>
      <c r="EV18" s="48"/>
      <c r="EW18" s="49">
        <f t="shared" si="56"/>
        <v>0</v>
      </c>
      <c r="EX18" s="250"/>
      <c r="EY18" s="48"/>
      <c r="EZ18" s="37">
        <f t="shared" si="103"/>
        <v>0</v>
      </c>
      <c r="FA18" s="48">
        <f t="shared" si="129"/>
        <v>0</v>
      </c>
      <c r="FB18" s="250"/>
      <c r="FC18" s="49">
        <f t="shared" si="147"/>
        <v>0</v>
      </c>
      <c r="FD18" s="48">
        <f t="shared" si="130"/>
        <v>0</v>
      </c>
      <c r="FE18" s="250"/>
      <c r="FF18" s="48"/>
      <c r="FG18" s="37"/>
      <c r="FH18" s="250"/>
      <c r="FI18" s="48"/>
      <c r="FJ18" s="49">
        <f t="shared" si="59"/>
        <v>0</v>
      </c>
      <c r="FK18" s="48"/>
      <c r="FL18" s="58"/>
      <c r="FM18" s="48">
        <f t="shared" si="148"/>
        <v>0</v>
      </c>
      <c r="FN18" s="250"/>
      <c r="FO18" s="48"/>
      <c r="FP18" s="37">
        <f t="shared" si="131"/>
        <v>0</v>
      </c>
      <c r="FQ18" s="250"/>
      <c r="FR18" s="48"/>
      <c r="FS18" s="37">
        <f t="shared" si="60"/>
        <v>0</v>
      </c>
      <c r="FT18" s="48">
        <f t="shared" si="149"/>
        <v>0</v>
      </c>
      <c r="FU18" s="48">
        <f t="shared" si="150"/>
        <v>0</v>
      </c>
      <c r="FV18" s="250"/>
      <c r="FW18" s="44"/>
      <c r="FX18" s="37">
        <f t="shared" si="61"/>
        <v>0</v>
      </c>
      <c r="FY18" s="250"/>
      <c r="FZ18" s="56"/>
      <c r="GA18" s="37">
        <f t="shared" si="62"/>
        <v>0</v>
      </c>
      <c r="GB18" s="250"/>
      <c r="GC18" s="56"/>
      <c r="GD18" s="37">
        <f t="shared" si="63"/>
        <v>0</v>
      </c>
      <c r="GE18" s="250"/>
      <c r="GF18" s="56"/>
      <c r="GG18" s="37">
        <f t="shared" si="64"/>
        <v>0</v>
      </c>
      <c r="GH18" s="250"/>
      <c r="GI18" s="162"/>
      <c r="GJ18" s="38">
        <f t="shared" si="132"/>
        <v>0</v>
      </c>
      <c r="GK18" s="250"/>
      <c r="GL18" s="163"/>
      <c r="GM18" s="38">
        <f t="shared" si="104"/>
        <v>0</v>
      </c>
      <c r="GN18" s="250"/>
      <c r="GO18" s="57"/>
      <c r="GP18" s="38">
        <f t="shared" si="65"/>
        <v>0</v>
      </c>
      <c r="GQ18" s="250"/>
      <c r="GR18" s="38"/>
      <c r="GS18" s="38">
        <f t="shared" si="133"/>
        <v>0</v>
      </c>
      <c r="GT18" s="247"/>
      <c r="GU18" s="144">
        <f>IFERROR(DailyNov!B16-DailyNov!N16-DailyNov!V16-DailyNov!Y16-DailyNov!Z16-DailyNov!AA16-DailyNov!AB16-DailyNov!AC16-DailyNov!AD16-DailyNov!AE16-DailyNov!AK16-DailyNov!AO16-DailyNov!AS16-DailyNov!AY16-DailyNov!BD16+DailyNov!BU16-DailyNov!BG16-DailyNov!BT16-DailyNov!AF16-DailyNov!AG16,"-")</f>
        <v>0</v>
      </c>
      <c r="GV18" s="261"/>
      <c r="GW18" s="60">
        <f t="shared" si="66"/>
        <v>0</v>
      </c>
      <c r="GX18" s="260"/>
      <c r="GY18" s="140"/>
      <c r="GZ18" s="528"/>
      <c r="HA18" s="528"/>
      <c r="HB18" s="528"/>
      <c r="HC18" s="528"/>
      <c r="HD18" s="74"/>
      <c r="HE18" s="24">
        <f t="shared" si="105"/>
        <v>0</v>
      </c>
      <c r="HF18" s="255"/>
      <c r="HG18" s="279">
        <v>11</v>
      </c>
      <c r="HH18" s="292"/>
      <c r="HI18" s="292"/>
      <c r="HJ18" s="61">
        <f t="shared" si="67"/>
        <v>0</v>
      </c>
      <c r="HK18" s="260"/>
      <c r="HL18" s="292"/>
      <c r="HM18" s="61">
        <f t="shared" si="68"/>
        <v>0</v>
      </c>
      <c r="HN18" s="292"/>
      <c r="HO18" s="292"/>
      <c r="HP18" s="61">
        <f t="shared" si="106"/>
        <v>0</v>
      </c>
      <c r="HQ18" s="292"/>
      <c r="HR18" s="292"/>
      <c r="HS18" s="61">
        <f t="shared" si="107"/>
        <v>0</v>
      </c>
      <c r="HT18" s="292"/>
      <c r="HU18" s="292"/>
      <c r="HV18" s="61">
        <f t="shared" si="108"/>
        <v>0</v>
      </c>
      <c r="HW18" s="292"/>
      <c r="HX18" s="292"/>
      <c r="HY18" s="61">
        <f t="shared" si="109"/>
        <v>0</v>
      </c>
      <c r="HZ18" s="260"/>
      <c r="IA18" s="260"/>
      <c r="IB18" s="61">
        <f t="shared" si="110"/>
        <v>0</v>
      </c>
      <c r="IC18" s="292"/>
      <c r="ID18" s="292"/>
      <c r="IE18" s="61">
        <f t="shared" si="153"/>
        <v>0</v>
      </c>
      <c r="IF18" s="61"/>
      <c r="IG18" s="61"/>
      <c r="IH18" s="280">
        <f t="shared" si="71"/>
        <v>0</v>
      </c>
      <c r="II18" s="281">
        <f t="shared" si="72"/>
        <v>0</v>
      </c>
      <c r="IJ18" s="380"/>
      <c r="IK18" s="380"/>
      <c r="IL18" s="380">
        <f t="shared" si="73"/>
        <v>0</v>
      </c>
      <c r="IM18" s="380"/>
      <c r="IN18" s="380"/>
      <c r="IO18" s="380">
        <f t="shared" si="74"/>
        <v>0</v>
      </c>
      <c r="IP18" s="380"/>
      <c r="IQ18" s="380"/>
      <c r="IR18" s="380">
        <f t="shared" si="75"/>
        <v>0</v>
      </c>
      <c r="IS18" s="380"/>
      <c r="IT18" s="380"/>
      <c r="IU18" s="380">
        <f t="shared" si="111"/>
        <v>0</v>
      </c>
      <c r="IV18" s="380"/>
      <c r="IW18" s="380"/>
      <c r="IX18" s="380">
        <f t="shared" si="112"/>
        <v>0</v>
      </c>
      <c r="IY18" s="380"/>
      <c r="IZ18" s="380"/>
      <c r="JA18" s="380">
        <f t="shared" si="113"/>
        <v>0</v>
      </c>
      <c r="JB18" s="380"/>
      <c r="JC18" s="380"/>
      <c r="JD18" s="380">
        <f t="shared" si="114"/>
        <v>0</v>
      </c>
      <c r="JE18" s="380"/>
      <c r="JF18" s="380"/>
      <c r="JG18" s="380">
        <f t="shared" si="115"/>
        <v>0</v>
      </c>
      <c r="JH18" s="380"/>
      <c r="JI18" s="380"/>
      <c r="JJ18" s="380">
        <f t="shared" si="81"/>
        <v>0</v>
      </c>
      <c r="JK18" s="380"/>
      <c r="JL18" s="380"/>
      <c r="JM18" s="380">
        <f t="shared" si="82"/>
        <v>0</v>
      </c>
      <c r="JN18" s="380"/>
      <c r="JO18" s="380"/>
      <c r="JP18" s="380">
        <f t="shared" si="83"/>
        <v>0</v>
      </c>
      <c r="JQ18" s="380"/>
      <c r="JR18" s="380"/>
      <c r="JS18" s="380">
        <f t="shared" si="84"/>
        <v>0</v>
      </c>
      <c r="JT18" s="380"/>
      <c r="JU18" s="380"/>
      <c r="JV18" s="380">
        <f t="shared" si="85"/>
        <v>0</v>
      </c>
      <c r="JW18" s="380"/>
      <c r="JX18" s="380"/>
      <c r="JY18" s="380">
        <f t="shared" si="86"/>
        <v>0</v>
      </c>
      <c r="JZ18" s="380"/>
      <c r="KA18" s="380"/>
      <c r="KB18" s="380">
        <f t="shared" si="116"/>
        <v>0</v>
      </c>
      <c r="KC18" s="380"/>
      <c r="KD18" s="380"/>
      <c r="KE18" s="380">
        <f t="shared" si="117"/>
        <v>0</v>
      </c>
      <c r="KG18" s="151">
        <f t="shared" si="89"/>
        <v>0</v>
      </c>
    </row>
    <row r="19" spans="1:293" x14ac:dyDescent="0.25">
      <c r="A19" s="35">
        <f t="shared" si="118"/>
        <v>12</v>
      </c>
      <c r="B19" s="250"/>
      <c r="C19" s="38">
        <f t="shared" si="21"/>
        <v>0</v>
      </c>
      <c r="D19" s="38">
        <f t="shared" si="22"/>
        <v>0</v>
      </c>
      <c r="E19" s="250"/>
      <c r="F19" s="38">
        <f t="shared" si="23"/>
        <v>0</v>
      </c>
      <c r="G19" s="38">
        <f t="shared" si="24"/>
        <v>0</v>
      </c>
      <c r="H19" s="37"/>
      <c r="I19" s="39"/>
      <c r="J19" s="42"/>
      <c r="K19" s="37">
        <f t="shared" si="134"/>
        <v>0</v>
      </c>
      <c r="L19" s="250"/>
      <c r="M19" s="40"/>
      <c r="N19" s="37">
        <f t="shared" si="135"/>
        <v>0</v>
      </c>
      <c r="O19" s="250"/>
      <c r="P19" s="37"/>
      <c r="Q19" s="37">
        <f t="shared" si="25"/>
        <v>0</v>
      </c>
      <c r="R19" s="37">
        <f t="shared" si="136"/>
        <v>0</v>
      </c>
      <c r="S19" s="250"/>
      <c r="T19" s="37">
        <f t="shared" si="26"/>
        <v>0</v>
      </c>
      <c r="U19" s="250"/>
      <c r="V19" s="37">
        <f>IF((U19-U18)&lt;=0,0,(U19-U18))</f>
        <v>0</v>
      </c>
      <c r="W19" s="250"/>
      <c r="X19" s="37">
        <f t="shared" si="151"/>
        <v>0</v>
      </c>
      <c r="Y19" s="183"/>
      <c r="Z19" s="183"/>
      <c r="AA19" s="250"/>
      <c r="AB19" s="37">
        <f t="shared" si="28"/>
        <v>0</v>
      </c>
      <c r="AC19" s="250"/>
      <c r="AD19" s="37"/>
      <c r="AE19" s="37">
        <f t="shared" si="29"/>
        <v>0</v>
      </c>
      <c r="AF19" s="37">
        <f t="shared" si="137"/>
        <v>0</v>
      </c>
      <c r="AG19" s="250"/>
      <c r="AH19" s="37"/>
      <c r="AI19" s="37">
        <f t="shared" si="90"/>
        <v>0</v>
      </c>
      <c r="AJ19" s="37">
        <f t="shared" si="91"/>
        <v>0</v>
      </c>
      <c r="AK19" s="37">
        <f t="shared" si="32"/>
        <v>0</v>
      </c>
      <c r="AL19" s="250"/>
      <c r="AM19" s="66"/>
      <c r="AN19" s="37">
        <f>IF((AL19-AL18)&lt;=0,0,(AL19-AL18))*1000+GX19-BL19-BN19-BP19-BR19</f>
        <v>0</v>
      </c>
      <c r="AO19" s="37">
        <f t="shared" si="138"/>
        <v>0</v>
      </c>
      <c r="AP19" s="250"/>
      <c r="AQ19" s="37"/>
      <c r="AR19" s="37">
        <f t="shared" si="92"/>
        <v>0</v>
      </c>
      <c r="AS19" s="37">
        <f t="shared" si="139"/>
        <v>0</v>
      </c>
      <c r="AT19" s="183"/>
      <c r="AU19" s="183"/>
      <c r="AV19" s="183"/>
      <c r="AW19" s="183"/>
      <c r="AX19" s="250"/>
      <c r="AY19" s="37"/>
      <c r="AZ19" s="37">
        <f t="shared" si="34"/>
        <v>0</v>
      </c>
      <c r="BA19" s="250"/>
      <c r="BB19" s="37"/>
      <c r="BC19" s="37">
        <f t="shared" si="93"/>
        <v>0</v>
      </c>
      <c r="BD19" s="37">
        <f t="shared" si="140"/>
        <v>0</v>
      </c>
      <c r="BE19" s="250"/>
      <c r="BF19" s="250"/>
      <c r="BG19" s="37">
        <f t="shared" si="36"/>
        <v>0</v>
      </c>
      <c r="BH19" s="250"/>
      <c r="BI19" s="250"/>
      <c r="BJ19" s="37">
        <f t="shared" si="37"/>
        <v>0</v>
      </c>
      <c r="BK19" s="250"/>
      <c r="BL19" s="40">
        <f t="shared" si="141"/>
        <v>0</v>
      </c>
      <c r="BM19" s="250"/>
      <c r="BN19" s="37">
        <f t="shared" si="38"/>
        <v>0</v>
      </c>
      <c r="BO19" s="186"/>
      <c r="BP19" s="183">
        <f t="shared" si="94"/>
        <v>0</v>
      </c>
      <c r="BQ19" s="250"/>
      <c r="BR19" s="37">
        <f t="shared" si="120"/>
        <v>0</v>
      </c>
      <c r="BS19" s="250"/>
      <c r="BT19" s="37">
        <f t="shared" si="39"/>
        <v>0</v>
      </c>
      <c r="BU19" s="250"/>
      <c r="BV19" s="42"/>
      <c r="BW19" s="37">
        <f t="shared" si="95"/>
        <v>0</v>
      </c>
      <c r="BX19" s="37">
        <f t="shared" si="142"/>
        <v>0</v>
      </c>
      <c r="BY19" s="250"/>
      <c r="BZ19" s="43"/>
      <c r="CA19" s="37">
        <f>IF((BY19-BY18)&lt;=0,0,(BY19-BY18)*1000)</f>
        <v>0</v>
      </c>
      <c r="CB19" s="37">
        <f t="shared" si="121"/>
        <v>0</v>
      </c>
      <c r="CC19" s="250"/>
      <c r="CD19" s="37">
        <f t="shared" si="42"/>
        <v>0</v>
      </c>
      <c r="CE19" s="250"/>
      <c r="CF19" s="37">
        <f t="shared" si="43"/>
        <v>0</v>
      </c>
      <c r="CG19" s="250"/>
      <c r="CH19" s="37">
        <f t="shared" si="122"/>
        <v>0</v>
      </c>
      <c r="CI19" s="250"/>
      <c r="CJ19" s="40"/>
      <c r="CK19" s="37">
        <f t="shared" si="123"/>
        <v>0</v>
      </c>
      <c r="CL19" s="37">
        <f t="shared" si="97"/>
        <v>0</v>
      </c>
      <c r="CM19" s="250"/>
      <c r="CN19" s="37"/>
      <c r="CO19" s="37">
        <f t="shared" si="45"/>
        <v>0</v>
      </c>
      <c r="CP19" s="37">
        <f t="shared" si="154"/>
        <v>0</v>
      </c>
      <c r="CQ19" s="250"/>
      <c r="CR19" s="39"/>
      <c r="CS19" s="37">
        <f t="shared" si="124"/>
        <v>0</v>
      </c>
      <c r="CT19" s="37">
        <f t="shared" si="143"/>
        <v>0</v>
      </c>
      <c r="CU19" s="250"/>
      <c r="CV19" s="37"/>
      <c r="CW19" s="38">
        <f t="shared" si="98"/>
        <v>0</v>
      </c>
      <c r="CX19" s="37">
        <f t="shared" si="144"/>
        <v>0</v>
      </c>
      <c r="CY19" s="250"/>
      <c r="CZ19" s="37"/>
      <c r="DA19" s="37">
        <f t="shared" si="99"/>
        <v>0</v>
      </c>
      <c r="DB19" s="37">
        <f t="shared" si="145"/>
        <v>0</v>
      </c>
      <c r="DC19" s="37"/>
      <c r="DD19" s="40"/>
      <c r="DE19" s="37">
        <f>IF((DC19-DC18)&lt;=0,0,(DC19-DC18))</f>
        <v>0</v>
      </c>
      <c r="DF19" s="37">
        <f t="shared" si="152"/>
        <v>0</v>
      </c>
      <c r="DG19" s="37">
        <f t="shared" si="101"/>
        <v>0</v>
      </c>
      <c r="DH19" s="37">
        <f t="shared" si="102"/>
        <v>0</v>
      </c>
      <c r="DI19" s="46"/>
      <c r="DJ19" s="46"/>
      <c r="DK19" s="46"/>
      <c r="DL19" s="47"/>
      <c r="DM19" s="37"/>
      <c r="DN19" s="37"/>
      <c r="DO19" s="37"/>
      <c r="DP19" s="37"/>
      <c r="DQ19" s="250"/>
      <c r="DR19" s="49">
        <f t="shared" si="125"/>
        <v>0</v>
      </c>
      <c r="DS19" s="250"/>
      <c r="DT19" s="49">
        <f t="shared" si="126"/>
        <v>0</v>
      </c>
      <c r="DU19" s="250"/>
      <c r="DV19" s="250"/>
      <c r="DW19" s="37">
        <f t="shared" si="146"/>
        <v>0</v>
      </c>
      <c r="DX19" s="250"/>
      <c r="DY19" s="250"/>
      <c r="DZ19" s="37">
        <f t="shared" si="51"/>
        <v>0</v>
      </c>
      <c r="EA19" s="250"/>
      <c r="EB19" s="250"/>
      <c r="EC19" s="37">
        <v>0</v>
      </c>
      <c r="ED19" s="53">
        <f t="shared" si="52"/>
        <v>0</v>
      </c>
      <c r="EE19" s="250"/>
      <c r="EF19" s="250"/>
      <c r="EG19" s="37">
        <v>0</v>
      </c>
      <c r="EH19" s="250"/>
      <c r="EI19" s="250"/>
      <c r="EJ19" s="37">
        <f t="shared" si="54"/>
        <v>0</v>
      </c>
      <c r="EK19" s="250"/>
      <c r="EL19" s="250"/>
      <c r="EM19" s="37">
        <f t="shared" si="127"/>
        <v>0</v>
      </c>
      <c r="EN19" s="54">
        <f t="shared" si="128"/>
        <v>0</v>
      </c>
      <c r="EO19" s="250"/>
      <c r="EP19" s="48"/>
      <c r="EQ19" s="37"/>
      <c r="ER19" s="250"/>
      <c r="ES19" s="48"/>
      <c r="ET19" s="49">
        <f t="shared" si="155"/>
        <v>0</v>
      </c>
      <c r="EU19" s="250"/>
      <c r="EV19" s="48"/>
      <c r="EW19" s="49">
        <f t="shared" si="56"/>
        <v>0</v>
      </c>
      <c r="EX19" s="250"/>
      <c r="EY19" s="48"/>
      <c r="EZ19" s="37">
        <f t="shared" si="103"/>
        <v>0</v>
      </c>
      <c r="FA19" s="48">
        <f t="shared" si="129"/>
        <v>0</v>
      </c>
      <c r="FB19" s="250"/>
      <c r="FC19" s="49">
        <f>IF((FB19-FB18)&lt;=0,0,(FB19-FB18))</f>
        <v>0</v>
      </c>
      <c r="FD19" s="48">
        <f t="shared" si="130"/>
        <v>0</v>
      </c>
      <c r="FE19" s="250"/>
      <c r="FF19" s="48"/>
      <c r="FG19" s="37"/>
      <c r="FH19" s="250"/>
      <c r="FI19" s="48"/>
      <c r="FJ19" s="49">
        <f t="shared" si="59"/>
        <v>0</v>
      </c>
      <c r="FK19" s="48"/>
      <c r="FL19" s="58"/>
      <c r="FM19" s="48">
        <f>FT19/3</f>
        <v>0</v>
      </c>
      <c r="FN19" s="250"/>
      <c r="FO19" s="48"/>
      <c r="FP19" s="37">
        <f t="shared" si="131"/>
        <v>0</v>
      </c>
      <c r="FQ19" s="250"/>
      <c r="FR19" s="48"/>
      <c r="FS19" s="37">
        <f>IF((FQ19-FQ18)*1000&lt;=0,0,(FQ19-FQ18)*1000)</f>
        <v>0</v>
      </c>
      <c r="FT19" s="48">
        <f t="shared" si="149"/>
        <v>0</v>
      </c>
      <c r="FU19" s="48">
        <f t="shared" si="150"/>
        <v>0</v>
      </c>
      <c r="FV19" s="250"/>
      <c r="FW19" s="44"/>
      <c r="FX19" s="37">
        <f t="shared" si="61"/>
        <v>0</v>
      </c>
      <c r="FY19" s="250"/>
      <c r="FZ19" s="56"/>
      <c r="GA19" s="37">
        <f t="shared" si="62"/>
        <v>0</v>
      </c>
      <c r="GB19" s="250"/>
      <c r="GC19" s="56"/>
      <c r="GD19" s="37">
        <f t="shared" si="63"/>
        <v>0</v>
      </c>
      <c r="GE19" s="250"/>
      <c r="GF19" s="56"/>
      <c r="GG19" s="37">
        <f t="shared" si="64"/>
        <v>0</v>
      </c>
      <c r="GH19" s="250"/>
      <c r="GI19" s="162"/>
      <c r="GJ19" s="38">
        <f t="shared" si="132"/>
        <v>0</v>
      </c>
      <c r="GK19" s="250"/>
      <c r="GL19" s="163"/>
      <c r="GM19" s="38">
        <f t="shared" si="104"/>
        <v>0</v>
      </c>
      <c r="GN19" s="250"/>
      <c r="GO19" s="57"/>
      <c r="GP19" s="38">
        <f t="shared" si="65"/>
        <v>0</v>
      </c>
      <c r="GQ19" s="250"/>
      <c r="GR19" s="38"/>
      <c r="GS19" s="38">
        <f t="shared" si="133"/>
        <v>0</v>
      </c>
      <c r="GT19" s="247"/>
      <c r="GU19" s="144">
        <f>IFERROR(DailyNov!B17-DailyNov!N17-DailyNov!V17-DailyNov!Y17-DailyNov!Z17-DailyNov!AA17-DailyNov!AB17-DailyNov!AC17-DailyNov!AD17-DailyNov!AE17-DailyNov!AK17-DailyNov!AO17-DailyNov!AS17-DailyNov!AY17-DailyNov!BD17+DailyNov!BU17-DailyNov!BG17-DailyNov!BT17-DailyNov!AF17-DailyNov!AG17,"-")</f>
        <v>0</v>
      </c>
      <c r="GV19" s="261"/>
      <c r="GW19" s="60">
        <f t="shared" si="66"/>
        <v>0</v>
      </c>
      <c r="GX19" s="260"/>
      <c r="GY19" s="140"/>
      <c r="GZ19" s="528"/>
      <c r="HA19" s="528"/>
      <c r="HB19" s="528"/>
      <c r="HC19" s="528"/>
      <c r="HD19" s="74"/>
      <c r="HE19" s="24">
        <f t="shared" si="105"/>
        <v>0</v>
      </c>
      <c r="HF19" s="255"/>
      <c r="HG19" s="279">
        <v>12</v>
      </c>
      <c r="HH19" s="292"/>
      <c r="HI19" s="292"/>
      <c r="HJ19" s="61">
        <f t="shared" si="67"/>
        <v>0</v>
      </c>
      <c r="HK19" s="260"/>
      <c r="HL19" s="292"/>
      <c r="HM19" s="61">
        <f t="shared" si="68"/>
        <v>0</v>
      </c>
      <c r="HN19" s="292"/>
      <c r="HO19" s="292"/>
      <c r="HP19" s="61">
        <f t="shared" si="106"/>
        <v>0</v>
      </c>
      <c r="HQ19" s="292"/>
      <c r="HR19" s="292"/>
      <c r="HS19" s="61">
        <f t="shared" si="107"/>
        <v>0</v>
      </c>
      <c r="HT19" s="292"/>
      <c r="HU19" s="292"/>
      <c r="HV19" s="61">
        <f t="shared" si="108"/>
        <v>0</v>
      </c>
      <c r="HW19" s="292"/>
      <c r="HX19" s="292"/>
      <c r="HY19" s="61">
        <f t="shared" si="109"/>
        <v>0</v>
      </c>
      <c r="HZ19" s="260"/>
      <c r="IA19" s="260"/>
      <c r="IB19" s="61">
        <f t="shared" si="110"/>
        <v>0</v>
      </c>
      <c r="IC19" s="292"/>
      <c r="ID19" s="292"/>
      <c r="IE19" s="61">
        <f t="shared" si="153"/>
        <v>0</v>
      </c>
      <c r="IF19" s="61"/>
      <c r="IG19" s="61"/>
      <c r="IH19" s="280">
        <f t="shared" si="71"/>
        <v>0</v>
      </c>
      <c r="II19" s="281">
        <f t="shared" si="72"/>
        <v>0</v>
      </c>
      <c r="IJ19" s="380"/>
      <c r="IK19" s="380"/>
      <c r="IL19" s="380">
        <f t="shared" si="73"/>
        <v>0</v>
      </c>
      <c r="IM19" s="380"/>
      <c r="IN19" s="380"/>
      <c r="IO19" s="380">
        <f t="shared" si="74"/>
        <v>0</v>
      </c>
      <c r="IP19" s="380"/>
      <c r="IQ19" s="380"/>
      <c r="IR19" s="380">
        <f t="shared" si="75"/>
        <v>0</v>
      </c>
      <c r="IS19" s="380"/>
      <c r="IT19" s="380"/>
      <c r="IU19" s="380">
        <f t="shared" si="111"/>
        <v>0</v>
      </c>
      <c r="IV19" s="380"/>
      <c r="IW19" s="380"/>
      <c r="IX19" s="380">
        <f t="shared" si="112"/>
        <v>0</v>
      </c>
      <c r="IY19" s="380"/>
      <c r="IZ19" s="380"/>
      <c r="JA19" s="380">
        <f t="shared" si="113"/>
        <v>0</v>
      </c>
      <c r="JB19" s="380"/>
      <c r="JC19" s="380"/>
      <c r="JD19" s="380">
        <f t="shared" si="114"/>
        <v>0</v>
      </c>
      <c r="JE19" s="380"/>
      <c r="JF19" s="380"/>
      <c r="JG19" s="380">
        <f t="shared" si="115"/>
        <v>0</v>
      </c>
      <c r="JH19" s="380"/>
      <c r="JI19" s="380"/>
      <c r="JJ19" s="380">
        <f t="shared" si="81"/>
        <v>0</v>
      </c>
      <c r="JK19" s="380"/>
      <c r="JL19" s="380"/>
      <c r="JM19" s="380">
        <f t="shared" si="82"/>
        <v>0</v>
      </c>
      <c r="JN19" s="380"/>
      <c r="JO19" s="380"/>
      <c r="JP19" s="380">
        <f t="shared" si="83"/>
        <v>0</v>
      </c>
      <c r="JQ19" s="380"/>
      <c r="JR19" s="380"/>
      <c r="JS19" s="380">
        <f t="shared" si="84"/>
        <v>0</v>
      </c>
      <c r="JT19" s="380"/>
      <c r="JU19" s="380"/>
      <c r="JV19" s="380">
        <f t="shared" si="85"/>
        <v>0</v>
      </c>
      <c r="JW19" s="380"/>
      <c r="JX19" s="380"/>
      <c r="JY19" s="380">
        <f t="shared" si="86"/>
        <v>0</v>
      </c>
      <c r="JZ19" s="380"/>
      <c r="KA19" s="380"/>
      <c r="KB19" s="380">
        <f t="shared" si="116"/>
        <v>0</v>
      </c>
      <c r="KC19" s="380"/>
      <c r="KD19" s="380"/>
      <c r="KE19" s="380">
        <f t="shared" si="117"/>
        <v>0</v>
      </c>
      <c r="KG19" s="151">
        <f t="shared" si="89"/>
        <v>0</v>
      </c>
    </row>
    <row r="20" spans="1:293" x14ac:dyDescent="0.25">
      <c r="A20" s="35">
        <f t="shared" si="118"/>
        <v>13</v>
      </c>
      <c r="B20" s="250"/>
      <c r="C20" s="38">
        <f t="shared" si="21"/>
        <v>0</v>
      </c>
      <c r="D20" s="38">
        <f t="shared" si="22"/>
        <v>0</v>
      </c>
      <c r="E20" s="250"/>
      <c r="F20" s="38">
        <f t="shared" si="23"/>
        <v>0</v>
      </c>
      <c r="G20" s="38">
        <f t="shared" si="24"/>
        <v>0</v>
      </c>
      <c r="H20" s="37"/>
      <c r="I20" s="39"/>
      <c r="J20" s="42"/>
      <c r="K20" s="37">
        <f t="shared" si="134"/>
        <v>0</v>
      </c>
      <c r="L20" s="250"/>
      <c r="M20" s="40"/>
      <c r="N20" s="37">
        <f t="shared" si="135"/>
        <v>0</v>
      </c>
      <c r="O20" s="250"/>
      <c r="P20" s="37"/>
      <c r="Q20" s="37">
        <f t="shared" si="25"/>
        <v>0</v>
      </c>
      <c r="R20" s="37">
        <f t="shared" si="136"/>
        <v>0</v>
      </c>
      <c r="S20" s="250"/>
      <c r="T20" s="37">
        <f t="shared" si="26"/>
        <v>0</v>
      </c>
      <c r="U20" s="250"/>
      <c r="V20" s="37">
        <f t="shared" si="27"/>
        <v>0</v>
      </c>
      <c r="W20" s="250"/>
      <c r="X20" s="37">
        <f t="shared" si="151"/>
        <v>0</v>
      </c>
      <c r="Y20" s="183"/>
      <c r="Z20" s="183"/>
      <c r="AA20" s="250"/>
      <c r="AB20" s="37">
        <f t="shared" si="28"/>
        <v>0</v>
      </c>
      <c r="AC20" s="250"/>
      <c r="AD20" s="37"/>
      <c r="AE20" s="37">
        <f t="shared" si="29"/>
        <v>0</v>
      </c>
      <c r="AF20" s="37">
        <f t="shared" si="137"/>
        <v>0</v>
      </c>
      <c r="AG20" s="250"/>
      <c r="AH20" s="67"/>
      <c r="AI20" s="37">
        <f t="shared" si="90"/>
        <v>0</v>
      </c>
      <c r="AJ20" s="37">
        <f t="shared" si="91"/>
        <v>0</v>
      </c>
      <c r="AK20" s="37">
        <f t="shared" si="32"/>
        <v>0</v>
      </c>
      <c r="AL20" s="250"/>
      <c r="AM20" s="66"/>
      <c r="AN20" s="37">
        <f t="shared" si="119"/>
        <v>0</v>
      </c>
      <c r="AO20" s="37">
        <f t="shared" si="138"/>
        <v>0</v>
      </c>
      <c r="AP20" s="250"/>
      <c r="AQ20" s="37"/>
      <c r="AR20" s="37">
        <f t="shared" si="92"/>
        <v>0</v>
      </c>
      <c r="AS20" s="37">
        <f t="shared" si="139"/>
        <v>0</v>
      </c>
      <c r="AT20" s="183"/>
      <c r="AU20" s="183"/>
      <c r="AV20" s="183"/>
      <c r="AW20" s="183"/>
      <c r="AX20" s="250"/>
      <c r="AY20" s="37"/>
      <c r="AZ20" s="37">
        <f t="shared" si="34"/>
        <v>0</v>
      </c>
      <c r="BA20" s="250"/>
      <c r="BB20" s="37"/>
      <c r="BC20" s="37">
        <f t="shared" si="93"/>
        <v>0</v>
      </c>
      <c r="BD20" s="37">
        <f>AN20+AR20+AZ20+BC20</f>
        <v>0</v>
      </c>
      <c r="BE20" s="250"/>
      <c r="BF20" s="250"/>
      <c r="BG20" s="37">
        <f t="shared" si="36"/>
        <v>0</v>
      </c>
      <c r="BH20" s="250"/>
      <c r="BI20" s="250"/>
      <c r="BJ20" s="37">
        <f t="shared" si="37"/>
        <v>0</v>
      </c>
      <c r="BK20" s="250"/>
      <c r="BL20" s="40">
        <f t="shared" si="141"/>
        <v>0</v>
      </c>
      <c r="BM20" s="250"/>
      <c r="BN20" s="37">
        <f t="shared" si="38"/>
        <v>0</v>
      </c>
      <c r="BO20" s="186"/>
      <c r="BP20" s="183">
        <f t="shared" si="94"/>
        <v>0</v>
      </c>
      <c r="BQ20" s="250"/>
      <c r="BR20" s="37">
        <f t="shared" si="120"/>
        <v>0</v>
      </c>
      <c r="BS20" s="250"/>
      <c r="BT20" s="37">
        <f t="shared" si="39"/>
        <v>0</v>
      </c>
      <c r="BU20" s="250"/>
      <c r="BV20" s="42"/>
      <c r="BW20" s="37">
        <f t="shared" si="95"/>
        <v>0</v>
      </c>
      <c r="BX20" s="37">
        <f t="shared" si="142"/>
        <v>0</v>
      </c>
      <c r="BY20" s="250"/>
      <c r="BZ20" s="43"/>
      <c r="CA20" s="37">
        <f>IF((BY20-BY19)&lt;=0,0,(BY20-BY19)*1000)</f>
        <v>0</v>
      </c>
      <c r="CB20" s="37">
        <f t="shared" si="121"/>
        <v>0</v>
      </c>
      <c r="CC20" s="250"/>
      <c r="CD20" s="37">
        <f t="shared" si="42"/>
        <v>0</v>
      </c>
      <c r="CE20" s="250"/>
      <c r="CF20" s="37">
        <f t="shared" si="43"/>
        <v>0</v>
      </c>
      <c r="CG20" s="250"/>
      <c r="CH20" s="37">
        <f t="shared" si="122"/>
        <v>0</v>
      </c>
      <c r="CI20" s="250"/>
      <c r="CJ20" s="40"/>
      <c r="CK20" s="37">
        <f t="shared" si="123"/>
        <v>0</v>
      </c>
      <c r="CL20" s="37">
        <f t="shared" si="97"/>
        <v>0</v>
      </c>
      <c r="CM20" s="250"/>
      <c r="CN20" s="37"/>
      <c r="CO20" s="37">
        <f t="shared" si="45"/>
        <v>0</v>
      </c>
      <c r="CP20" s="37">
        <f t="shared" si="154"/>
        <v>0</v>
      </c>
      <c r="CQ20" s="250"/>
      <c r="CR20" s="39"/>
      <c r="CS20" s="37">
        <f t="shared" si="124"/>
        <v>0</v>
      </c>
      <c r="CT20" s="37">
        <f t="shared" si="143"/>
        <v>0</v>
      </c>
      <c r="CU20" s="250"/>
      <c r="CV20" s="37"/>
      <c r="CW20" s="38">
        <f t="shared" si="98"/>
        <v>0</v>
      </c>
      <c r="CX20" s="37">
        <f t="shared" si="144"/>
        <v>0</v>
      </c>
      <c r="CY20" s="250"/>
      <c r="CZ20" s="37"/>
      <c r="DA20" s="37">
        <f t="shared" si="99"/>
        <v>0</v>
      </c>
      <c r="DB20" s="37">
        <f t="shared" si="145"/>
        <v>0</v>
      </c>
      <c r="DC20" s="37"/>
      <c r="DD20" s="40"/>
      <c r="DE20" s="37">
        <f t="shared" si="100"/>
        <v>0</v>
      </c>
      <c r="DF20" s="37">
        <f t="shared" si="152"/>
        <v>0</v>
      </c>
      <c r="DG20" s="37">
        <f t="shared" si="101"/>
        <v>0</v>
      </c>
      <c r="DH20" s="37">
        <f t="shared" si="102"/>
        <v>0</v>
      </c>
      <c r="DI20" s="46"/>
      <c r="DJ20" s="46"/>
      <c r="DK20" s="47"/>
      <c r="DL20" s="47"/>
      <c r="DM20" s="37"/>
      <c r="DN20" s="37"/>
      <c r="DO20" s="37"/>
      <c r="DP20" s="37"/>
      <c r="DQ20" s="250"/>
      <c r="DR20" s="49">
        <f t="shared" si="125"/>
        <v>0</v>
      </c>
      <c r="DS20" s="250"/>
      <c r="DT20" s="49">
        <f t="shared" si="126"/>
        <v>0</v>
      </c>
      <c r="DU20" s="250"/>
      <c r="DV20" s="250"/>
      <c r="DW20" s="37">
        <f t="shared" si="146"/>
        <v>0</v>
      </c>
      <c r="DX20" s="250"/>
      <c r="DY20" s="250"/>
      <c r="DZ20" s="37">
        <f t="shared" si="51"/>
        <v>0</v>
      </c>
      <c r="EA20" s="250"/>
      <c r="EB20" s="250"/>
      <c r="EC20" s="37">
        <v>0</v>
      </c>
      <c r="ED20" s="53">
        <f t="shared" si="52"/>
        <v>0</v>
      </c>
      <c r="EE20" s="250"/>
      <c r="EF20" s="250"/>
      <c r="EG20" s="37">
        <v>0</v>
      </c>
      <c r="EH20" s="250"/>
      <c r="EI20" s="250"/>
      <c r="EJ20" s="37">
        <f t="shared" si="54"/>
        <v>0</v>
      </c>
      <c r="EK20" s="250"/>
      <c r="EL20" s="250"/>
      <c r="EM20" s="37">
        <f t="shared" si="127"/>
        <v>0</v>
      </c>
      <c r="EN20" s="54">
        <f t="shared" si="128"/>
        <v>0</v>
      </c>
      <c r="EO20" s="250"/>
      <c r="EP20" s="48"/>
      <c r="EQ20" s="37"/>
      <c r="ER20" s="250"/>
      <c r="ES20" s="48"/>
      <c r="ET20" s="49">
        <f t="shared" si="155"/>
        <v>0</v>
      </c>
      <c r="EU20" s="250"/>
      <c r="EV20" s="48"/>
      <c r="EW20" s="49">
        <f t="shared" si="56"/>
        <v>0</v>
      </c>
      <c r="EX20" s="250"/>
      <c r="EY20" s="48"/>
      <c r="EZ20" s="37">
        <f t="shared" si="103"/>
        <v>0</v>
      </c>
      <c r="FA20" s="48">
        <f t="shared" si="129"/>
        <v>0</v>
      </c>
      <c r="FB20" s="250"/>
      <c r="FC20" s="49">
        <f t="shared" si="147"/>
        <v>0</v>
      </c>
      <c r="FD20" s="48">
        <f t="shared" si="130"/>
        <v>0</v>
      </c>
      <c r="FE20" s="250"/>
      <c r="FF20" s="48"/>
      <c r="FG20" s="37"/>
      <c r="FH20" s="250"/>
      <c r="FI20" s="48"/>
      <c r="FJ20" s="49">
        <f t="shared" si="59"/>
        <v>0</v>
      </c>
      <c r="FK20" s="48"/>
      <c r="FL20" s="58"/>
      <c r="FM20" s="48">
        <f t="shared" si="148"/>
        <v>0</v>
      </c>
      <c r="FN20" s="250"/>
      <c r="FO20" s="48"/>
      <c r="FP20" s="37">
        <f t="shared" si="131"/>
        <v>0</v>
      </c>
      <c r="FQ20" s="250"/>
      <c r="FR20" s="48"/>
      <c r="FS20" s="37">
        <f t="shared" si="60"/>
        <v>0</v>
      </c>
      <c r="FT20" s="48">
        <f t="shared" si="149"/>
        <v>0</v>
      </c>
      <c r="FU20" s="48">
        <f t="shared" si="150"/>
        <v>0</v>
      </c>
      <c r="FV20" s="250"/>
      <c r="FW20" s="44"/>
      <c r="FX20" s="37">
        <f t="shared" si="61"/>
        <v>0</v>
      </c>
      <c r="FY20" s="250"/>
      <c r="FZ20" s="63"/>
      <c r="GA20" s="37">
        <f t="shared" si="62"/>
        <v>0</v>
      </c>
      <c r="GB20" s="250"/>
      <c r="GC20" s="56"/>
      <c r="GD20" s="37">
        <f t="shared" si="63"/>
        <v>0</v>
      </c>
      <c r="GE20" s="250"/>
      <c r="GF20" s="56"/>
      <c r="GG20" s="37">
        <f t="shared" si="64"/>
        <v>0</v>
      </c>
      <c r="GH20" s="250"/>
      <c r="GI20" s="162"/>
      <c r="GJ20" s="38">
        <f t="shared" si="132"/>
        <v>0</v>
      </c>
      <c r="GK20" s="250"/>
      <c r="GL20" s="163"/>
      <c r="GM20" s="38">
        <f t="shared" si="104"/>
        <v>0</v>
      </c>
      <c r="GN20" s="250"/>
      <c r="GO20" s="57"/>
      <c r="GP20" s="38">
        <f t="shared" si="65"/>
        <v>0</v>
      </c>
      <c r="GQ20" s="250"/>
      <c r="GR20" s="38"/>
      <c r="GS20" s="38">
        <f t="shared" si="133"/>
        <v>0</v>
      </c>
      <c r="GT20" s="247"/>
      <c r="GU20" s="144">
        <f>IFERROR(DailyNov!B18-DailyNov!N18-DailyNov!V18-DailyNov!Y18-DailyNov!Z18-DailyNov!AA18-DailyNov!AB18-DailyNov!AC18-DailyNov!AD18-DailyNov!AE18-DailyNov!AK18-DailyNov!AO18-DailyNov!AS18-DailyNov!AY18-DailyNov!BD18+DailyNov!BU18-DailyNov!BG18-DailyNov!BT18-DailyNov!AF18-DailyNov!AG18,"-")</f>
        <v>0</v>
      </c>
      <c r="GV20" s="261"/>
      <c r="GW20" s="60">
        <f t="shared" si="66"/>
        <v>0</v>
      </c>
      <c r="GX20" s="260"/>
      <c r="GY20" s="140"/>
      <c r="GZ20" s="528"/>
      <c r="HA20" s="528"/>
      <c r="HB20" s="528"/>
      <c r="HC20" s="528"/>
      <c r="HD20" s="74"/>
      <c r="HE20" s="24">
        <f t="shared" si="105"/>
        <v>0</v>
      </c>
      <c r="HF20" s="255"/>
      <c r="HG20" s="279">
        <v>13</v>
      </c>
      <c r="HH20" s="292"/>
      <c r="HI20" s="292"/>
      <c r="HJ20" s="61">
        <f t="shared" si="67"/>
        <v>0</v>
      </c>
      <c r="HK20" s="260"/>
      <c r="HL20" s="292"/>
      <c r="HM20" s="61">
        <f t="shared" si="68"/>
        <v>0</v>
      </c>
      <c r="HN20" s="292"/>
      <c r="HO20" s="292"/>
      <c r="HP20" s="61">
        <f t="shared" si="106"/>
        <v>0</v>
      </c>
      <c r="HQ20" s="292"/>
      <c r="HR20" s="292"/>
      <c r="HS20" s="61">
        <f t="shared" si="107"/>
        <v>0</v>
      </c>
      <c r="HT20" s="292"/>
      <c r="HU20" s="292"/>
      <c r="HV20" s="61">
        <f t="shared" si="108"/>
        <v>0</v>
      </c>
      <c r="HW20" s="292"/>
      <c r="HX20" s="292"/>
      <c r="HY20" s="61">
        <f t="shared" si="109"/>
        <v>0</v>
      </c>
      <c r="HZ20" s="260"/>
      <c r="IA20" s="260"/>
      <c r="IB20" s="61">
        <f t="shared" si="110"/>
        <v>0</v>
      </c>
      <c r="IC20" s="292"/>
      <c r="ID20" s="292"/>
      <c r="IE20" s="61">
        <f t="shared" si="153"/>
        <v>0</v>
      </c>
      <c r="IF20" s="61"/>
      <c r="IG20" s="61"/>
      <c r="IH20" s="280">
        <f t="shared" si="71"/>
        <v>0</v>
      </c>
      <c r="II20" s="281">
        <f t="shared" si="72"/>
        <v>0</v>
      </c>
      <c r="IJ20" s="380"/>
      <c r="IK20" s="380"/>
      <c r="IL20" s="380">
        <f t="shared" si="73"/>
        <v>0</v>
      </c>
      <c r="IM20" s="380"/>
      <c r="IN20" s="380"/>
      <c r="IO20" s="380">
        <f t="shared" si="74"/>
        <v>0</v>
      </c>
      <c r="IP20" s="380"/>
      <c r="IQ20" s="380"/>
      <c r="IR20" s="380">
        <f t="shared" si="75"/>
        <v>0</v>
      </c>
      <c r="IS20" s="380"/>
      <c r="IT20" s="380"/>
      <c r="IU20" s="380">
        <f t="shared" si="111"/>
        <v>0</v>
      </c>
      <c r="IV20" s="380"/>
      <c r="IW20" s="380"/>
      <c r="IX20" s="380">
        <f t="shared" si="112"/>
        <v>0</v>
      </c>
      <c r="IY20" s="380"/>
      <c r="IZ20" s="380"/>
      <c r="JA20" s="380">
        <f t="shared" si="113"/>
        <v>0</v>
      </c>
      <c r="JB20" s="380"/>
      <c r="JC20" s="380"/>
      <c r="JD20" s="380">
        <f t="shared" si="114"/>
        <v>0</v>
      </c>
      <c r="JE20" s="380"/>
      <c r="JF20" s="380"/>
      <c r="JG20" s="380">
        <f t="shared" si="115"/>
        <v>0</v>
      </c>
      <c r="JH20" s="380"/>
      <c r="JI20" s="380"/>
      <c r="JJ20" s="380">
        <f t="shared" si="81"/>
        <v>0</v>
      </c>
      <c r="JK20" s="380"/>
      <c r="JL20" s="380"/>
      <c r="JM20" s="380">
        <f t="shared" si="82"/>
        <v>0</v>
      </c>
      <c r="JN20" s="380"/>
      <c r="JO20" s="380"/>
      <c r="JP20" s="380">
        <f t="shared" si="83"/>
        <v>0</v>
      </c>
      <c r="JQ20" s="380"/>
      <c r="JR20" s="380"/>
      <c r="JS20" s="380">
        <f t="shared" si="84"/>
        <v>0</v>
      </c>
      <c r="JT20" s="380"/>
      <c r="JU20" s="380"/>
      <c r="JV20" s="380">
        <f t="shared" si="85"/>
        <v>0</v>
      </c>
      <c r="JW20" s="380"/>
      <c r="JX20" s="380"/>
      <c r="JY20" s="380">
        <f t="shared" si="86"/>
        <v>0</v>
      </c>
      <c r="JZ20" s="380"/>
      <c r="KA20" s="380"/>
      <c r="KB20" s="380">
        <f t="shared" si="116"/>
        <v>0</v>
      </c>
      <c r="KC20" s="380"/>
      <c r="KD20" s="380"/>
      <c r="KE20" s="380">
        <f t="shared" si="117"/>
        <v>0</v>
      </c>
      <c r="KG20" s="151">
        <f t="shared" si="89"/>
        <v>0</v>
      </c>
    </row>
    <row r="21" spans="1:293" x14ac:dyDescent="0.25">
      <c r="A21" s="35">
        <f t="shared" si="118"/>
        <v>14</v>
      </c>
      <c r="B21" s="250"/>
      <c r="C21" s="38">
        <f t="shared" si="21"/>
        <v>0</v>
      </c>
      <c r="D21" s="38">
        <f t="shared" si="22"/>
        <v>0</v>
      </c>
      <c r="E21" s="250"/>
      <c r="F21" s="38">
        <f t="shared" si="23"/>
        <v>0</v>
      </c>
      <c r="G21" s="38">
        <f t="shared" si="24"/>
        <v>0</v>
      </c>
      <c r="H21" s="37"/>
      <c r="I21" s="39"/>
      <c r="J21" s="42"/>
      <c r="K21" s="37">
        <f t="shared" si="134"/>
        <v>0</v>
      </c>
      <c r="L21" s="250"/>
      <c r="M21" s="40"/>
      <c r="N21" s="37">
        <f t="shared" si="135"/>
        <v>0</v>
      </c>
      <c r="O21" s="250"/>
      <c r="P21" s="37"/>
      <c r="Q21" s="37">
        <f t="shared" si="25"/>
        <v>0</v>
      </c>
      <c r="R21" s="37">
        <f t="shared" si="136"/>
        <v>0</v>
      </c>
      <c r="S21" s="250"/>
      <c r="T21" s="37">
        <f t="shared" si="26"/>
        <v>0</v>
      </c>
      <c r="U21" s="250"/>
      <c r="V21" s="37">
        <f t="shared" si="27"/>
        <v>0</v>
      </c>
      <c r="W21" s="250"/>
      <c r="X21" s="37">
        <f t="shared" si="151"/>
        <v>0</v>
      </c>
      <c r="Y21" s="183"/>
      <c r="Z21" s="183"/>
      <c r="AA21" s="250"/>
      <c r="AB21" s="37">
        <f t="shared" si="28"/>
        <v>0</v>
      </c>
      <c r="AC21" s="250"/>
      <c r="AD21" s="37"/>
      <c r="AE21" s="37">
        <f t="shared" si="29"/>
        <v>0</v>
      </c>
      <c r="AF21" s="37">
        <f t="shared" si="137"/>
        <v>0</v>
      </c>
      <c r="AG21" s="250"/>
      <c r="AH21" s="67"/>
      <c r="AI21" s="37">
        <f t="shared" si="90"/>
        <v>0</v>
      </c>
      <c r="AJ21" s="37">
        <f t="shared" si="91"/>
        <v>0</v>
      </c>
      <c r="AK21" s="37">
        <f t="shared" si="32"/>
        <v>0</v>
      </c>
      <c r="AL21" s="250"/>
      <c r="AM21" s="66"/>
      <c r="AN21" s="37">
        <f t="shared" si="119"/>
        <v>0</v>
      </c>
      <c r="AO21" s="37">
        <f t="shared" si="138"/>
        <v>0</v>
      </c>
      <c r="AP21" s="250"/>
      <c r="AQ21" s="37"/>
      <c r="AR21" s="37">
        <f t="shared" si="92"/>
        <v>0</v>
      </c>
      <c r="AS21" s="37">
        <f t="shared" si="139"/>
        <v>0</v>
      </c>
      <c r="AT21" s="183"/>
      <c r="AU21" s="183"/>
      <c r="AV21" s="183"/>
      <c r="AW21" s="183"/>
      <c r="AX21" s="250"/>
      <c r="AY21" s="37"/>
      <c r="AZ21" s="37">
        <f t="shared" si="34"/>
        <v>0</v>
      </c>
      <c r="BA21" s="250"/>
      <c r="BB21" s="37"/>
      <c r="BC21" s="37">
        <f t="shared" si="93"/>
        <v>0</v>
      </c>
      <c r="BD21" s="37">
        <f t="shared" si="140"/>
        <v>0</v>
      </c>
      <c r="BE21" s="250"/>
      <c r="BF21" s="250"/>
      <c r="BG21" s="37">
        <f t="shared" si="36"/>
        <v>0</v>
      </c>
      <c r="BH21" s="250"/>
      <c r="BI21" s="250"/>
      <c r="BJ21" s="37">
        <f t="shared" si="37"/>
        <v>0</v>
      </c>
      <c r="BK21" s="250"/>
      <c r="BL21" s="40">
        <f t="shared" si="141"/>
        <v>0</v>
      </c>
      <c r="BM21" s="250"/>
      <c r="BN21" s="37">
        <f t="shared" si="38"/>
        <v>0</v>
      </c>
      <c r="BO21" s="186"/>
      <c r="BP21" s="183">
        <f t="shared" si="94"/>
        <v>0</v>
      </c>
      <c r="BQ21" s="250"/>
      <c r="BR21" s="37">
        <f t="shared" si="120"/>
        <v>0</v>
      </c>
      <c r="BS21" s="250"/>
      <c r="BT21" s="37">
        <f t="shared" si="39"/>
        <v>0</v>
      </c>
      <c r="BU21" s="250"/>
      <c r="BV21" s="42"/>
      <c r="BW21" s="37">
        <f t="shared" si="95"/>
        <v>0</v>
      </c>
      <c r="BX21" s="37">
        <f t="shared" si="142"/>
        <v>0</v>
      </c>
      <c r="BY21" s="250"/>
      <c r="BZ21" s="43"/>
      <c r="CA21" s="37">
        <f>IF((BY21-BY20)&lt;=0,0,(BY21-BY20)*1000)</f>
        <v>0</v>
      </c>
      <c r="CB21" s="37">
        <f t="shared" si="121"/>
        <v>0</v>
      </c>
      <c r="CC21" s="250"/>
      <c r="CD21" s="37">
        <f t="shared" si="42"/>
        <v>0</v>
      </c>
      <c r="CE21" s="250"/>
      <c r="CF21" s="37">
        <f t="shared" si="43"/>
        <v>0</v>
      </c>
      <c r="CG21" s="250"/>
      <c r="CH21" s="37">
        <f t="shared" si="122"/>
        <v>0</v>
      </c>
      <c r="CI21" s="250"/>
      <c r="CJ21" s="40"/>
      <c r="CK21" s="37">
        <f t="shared" si="123"/>
        <v>0</v>
      </c>
      <c r="CL21" s="37">
        <f t="shared" si="97"/>
        <v>0</v>
      </c>
      <c r="CM21" s="250"/>
      <c r="CN21" s="37"/>
      <c r="CO21" s="37">
        <f t="shared" si="45"/>
        <v>0</v>
      </c>
      <c r="CP21" s="37">
        <f t="shared" si="154"/>
        <v>0</v>
      </c>
      <c r="CQ21" s="250"/>
      <c r="CR21" s="39"/>
      <c r="CS21" s="37">
        <f t="shared" si="124"/>
        <v>0</v>
      </c>
      <c r="CT21" s="37">
        <f t="shared" si="143"/>
        <v>0</v>
      </c>
      <c r="CU21" s="250"/>
      <c r="CV21" s="37"/>
      <c r="CW21" s="38">
        <f t="shared" si="98"/>
        <v>0</v>
      </c>
      <c r="CX21" s="37">
        <f t="shared" si="144"/>
        <v>0</v>
      </c>
      <c r="CY21" s="250"/>
      <c r="CZ21" s="37"/>
      <c r="DA21" s="37">
        <f t="shared" si="99"/>
        <v>0</v>
      </c>
      <c r="DB21" s="37">
        <f t="shared" si="145"/>
        <v>0</v>
      </c>
      <c r="DC21" s="37"/>
      <c r="DD21" s="40"/>
      <c r="DE21" s="37">
        <f t="shared" si="100"/>
        <v>0</v>
      </c>
      <c r="DF21" s="37">
        <f t="shared" si="152"/>
        <v>0</v>
      </c>
      <c r="DG21" s="37">
        <f t="shared" si="101"/>
        <v>0</v>
      </c>
      <c r="DH21" s="37">
        <f t="shared" si="102"/>
        <v>0</v>
      </c>
      <c r="DI21" s="46"/>
      <c r="DJ21" s="46"/>
      <c r="DK21" s="47"/>
      <c r="DL21" s="47"/>
      <c r="DM21" s="37"/>
      <c r="DN21" s="37"/>
      <c r="DO21" s="37"/>
      <c r="DP21" s="37"/>
      <c r="DQ21" s="250"/>
      <c r="DR21" s="49">
        <f t="shared" si="125"/>
        <v>0</v>
      </c>
      <c r="DS21" s="250"/>
      <c r="DT21" s="49">
        <f t="shared" si="126"/>
        <v>0</v>
      </c>
      <c r="DU21" s="250"/>
      <c r="DV21" s="250"/>
      <c r="DW21" s="37">
        <f t="shared" si="146"/>
        <v>0</v>
      </c>
      <c r="DX21" s="250"/>
      <c r="DY21" s="250"/>
      <c r="DZ21" s="37">
        <f t="shared" si="51"/>
        <v>0</v>
      </c>
      <c r="EA21" s="250"/>
      <c r="EB21" s="250"/>
      <c r="EC21" s="37">
        <v>0</v>
      </c>
      <c r="ED21" s="53">
        <f t="shared" si="52"/>
        <v>0</v>
      </c>
      <c r="EE21" s="250"/>
      <c r="EF21" s="250"/>
      <c r="EG21" s="37">
        <v>0</v>
      </c>
      <c r="EH21" s="250"/>
      <c r="EI21" s="250"/>
      <c r="EJ21" s="37">
        <f t="shared" si="54"/>
        <v>0</v>
      </c>
      <c r="EK21" s="250"/>
      <c r="EL21" s="250"/>
      <c r="EM21" s="37">
        <f t="shared" si="127"/>
        <v>0</v>
      </c>
      <c r="EN21" s="54">
        <f t="shared" si="128"/>
        <v>0</v>
      </c>
      <c r="EO21" s="250"/>
      <c r="EP21" s="48"/>
      <c r="EQ21" s="37"/>
      <c r="ER21" s="250"/>
      <c r="ES21" s="48"/>
      <c r="ET21" s="49">
        <f t="shared" si="155"/>
        <v>0</v>
      </c>
      <c r="EU21" s="250"/>
      <c r="EV21" s="48"/>
      <c r="EW21" s="49">
        <f t="shared" si="56"/>
        <v>0</v>
      </c>
      <c r="EX21" s="250"/>
      <c r="EY21" s="48"/>
      <c r="EZ21" s="37">
        <f t="shared" si="103"/>
        <v>0</v>
      </c>
      <c r="FA21" s="48">
        <f t="shared" si="129"/>
        <v>0</v>
      </c>
      <c r="FB21" s="250"/>
      <c r="FC21" s="49">
        <f t="shared" si="147"/>
        <v>0</v>
      </c>
      <c r="FD21" s="48">
        <f t="shared" si="130"/>
        <v>0</v>
      </c>
      <c r="FE21" s="250"/>
      <c r="FF21" s="48"/>
      <c r="FG21" s="37"/>
      <c r="FH21" s="250"/>
      <c r="FI21" s="48"/>
      <c r="FJ21" s="49">
        <f t="shared" si="59"/>
        <v>0</v>
      </c>
      <c r="FK21" s="48"/>
      <c r="FL21" s="58"/>
      <c r="FM21" s="48">
        <f t="shared" si="148"/>
        <v>0</v>
      </c>
      <c r="FN21" s="250"/>
      <c r="FO21" s="48"/>
      <c r="FP21" s="37">
        <f t="shared" si="131"/>
        <v>0</v>
      </c>
      <c r="FQ21" s="250"/>
      <c r="FR21" s="48"/>
      <c r="FS21" s="37">
        <f t="shared" si="60"/>
        <v>0</v>
      </c>
      <c r="FT21" s="48">
        <f t="shared" si="149"/>
        <v>0</v>
      </c>
      <c r="FU21" s="48">
        <f t="shared" si="150"/>
        <v>0</v>
      </c>
      <c r="FV21" s="250"/>
      <c r="FW21" s="44"/>
      <c r="FX21" s="37">
        <f t="shared" si="61"/>
        <v>0</v>
      </c>
      <c r="FY21" s="250"/>
      <c r="FZ21" s="63"/>
      <c r="GA21" s="37">
        <f t="shared" si="62"/>
        <v>0</v>
      </c>
      <c r="GB21" s="250"/>
      <c r="GC21" s="56"/>
      <c r="GD21" s="37">
        <f t="shared" si="63"/>
        <v>0</v>
      </c>
      <c r="GE21" s="250"/>
      <c r="GF21" s="56"/>
      <c r="GG21" s="37">
        <f t="shared" si="64"/>
        <v>0</v>
      </c>
      <c r="GH21" s="250"/>
      <c r="GI21" s="162"/>
      <c r="GJ21" s="38">
        <f t="shared" si="132"/>
        <v>0</v>
      </c>
      <c r="GK21" s="250"/>
      <c r="GL21" s="163"/>
      <c r="GM21" s="38">
        <f t="shared" si="104"/>
        <v>0</v>
      </c>
      <c r="GN21" s="250"/>
      <c r="GO21" s="57"/>
      <c r="GP21" s="38">
        <f t="shared" si="65"/>
        <v>0</v>
      </c>
      <c r="GQ21" s="250"/>
      <c r="GR21" s="38"/>
      <c r="GS21" s="38">
        <f t="shared" si="133"/>
        <v>0</v>
      </c>
      <c r="GT21" s="247"/>
      <c r="GU21" s="144">
        <f>IFERROR(DailyNov!B19-DailyNov!N19-DailyNov!V19-DailyNov!Y19-DailyNov!Z19-DailyNov!AA19-DailyNov!AB19-DailyNov!AC19-DailyNov!AD19-DailyNov!AE19-DailyNov!AK19-DailyNov!AO19-DailyNov!AS19-DailyNov!AY19-DailyNov!BD19+DailyNov!BU19-DailyNov!BG19-DailyNov!BT19-DailyNov!AF19-DailyNov!AG19,"-")</f>
        <v>0</v>
      </c>
      <c r="GV21" s="261"/>
      <c r="GW21" s="60">
        <f t="shared" si="66"/>
        <v>0</v>
      </c>
      <c r="GX21" s="260"/>
      <c r="GY21" s="140"/>
      <c r="GZ21" s="528"/>
      <c r="HA21" s="528"/>
      <c r="HB21" s="528"/>
      <c r="HC21" s="528"/>
      <c r="HD21" s="74"/>
      <c r="HE21" s="24">
        <f t="shared" si="105"/>
        <v>0</v>
      </c>
      <c r="HF21" s="255"/>
      <c r="HG21" s="279">
        <v>14</v>
      </c>
      <c r="HH21" s="292"/>
      <c r="HI21" s="292"/>
      <c r="HJ21" s="61">
        <f t="shared" si="67"/>
        <v>0</v>
      </c>
      <c r="HK21" s="260"/>
      <c r="HL21" s="292"/>
      <c r="HM21" s="61">
        <f t="shared" si="68"/>
        <v>0</v>
      </c>
      <c r="HN21" s="292"/>
      <c r="HO21" s="292"/>
      <c r="HP21" s="61">
        <f t="shared" si="106"/>
        <v>0</v>
      </c>
      <c r="HQ21" s="292"/>
      <c r="HR21" s="292"/>
      <c r="HS21" s="61">
        <f t="shared" si="107"/>
        <v>0</v>
      </c>
      <c r="HT21" s="292"/>
      <c r="HU21" s="292"/>
      <c r="HV21" s="61">
        <f t="shared" si="108"/>
        <v>0</v>
      </c>
      <c r="HW21" s="292"/>
      <c r="HX21" s="292"/>
      <c r="HY21" s="61">
        <f t="shared" si="109"/>
        <v>0</v>
      </c>
      <c r="HZ21" s="260"/>
      <c r="IA21" s="260"/>
      <c r="IB21" s="61">
        <f t="shared" si="110"/>
        <v>0</v>
      </c>
      <c r="IC21" s="292"/>
      <c r="ID21" s="292"/>
      <c r="IE21" s="61">
        <f t="shared" si="153"/>
        <v>0</v>
      </c>
      <c r="IF21" s="61"/>
      <c r="IG21" s="61"/>
      <c r="IH21" s="280">
        <f t="shared" si="71"/>
        <v>0</v>
      </c>
      <c r="II21" s="281">
        <f t="shared" si="72"/>
        <v>0</v>
      </c>
      <c r="IJ21" s="380"/>
      <c r="IK21" s="380"/>
      <c r="IL21" s="380">
        <f t="shared" si="73"/>
        <v>0</v>
      </c>
      <c r="IM21" s="380"/>
      <c r="IN21" s="380"/>
      <c r="IO21" s="380">
        <f t="shared" si="74"/>
        <v>0</v>
      </c>
      <c r="IP21" s="380"/>
      <c r="IQ21" s="380"/>
      <c r="IR21" s="380">
        <f t="shared" si="75"/>
        <v>0</v>
      </c>
      <c r="IS21" s="380"/>
      <c r="IT21" s="380"/>
      <c r="IU21" s="380">
        <f t="shared" si="111"/>
        <v>0</v>
      </c>
      <c r="IV21" s="380"/>
      <c r="IW21" s="380"/>
      <c r="IX21" s="380">
        <f t="shared" si="112"/>
        <v>0</v>
      </c>
      <c r="IY21" s="380"/>
      <c r="IZ21" s="380"/>
      <c r="JA21" s="380">
        <f t="shared" si="113"/>
        <v>0</v>
      </c>
      <c r="JB21" s="380"/>
      <c r="JC21" s="380"/>
      <c r="JD21" s="380">
        <f t="shared" si="114"/>
        <v>0</v>
      </c>
      <c r="JE21" s="380"/>
      <c r="JF21" s="380"/>
      <c r="JG21" s="380">
        <f t="shared" si="115"/>
        <v>0</v>
      </c>
      <c r="JH21" s="380"/>
      <c r="JI21" s="380"/>
      <c r="JJ21" s="380">
        <f t="shared" si="81"/>
        <v>0</v>
      </c>
      <c r="JK21" s="380"/>
      <c r="JL21" s="380"/>
      <c r="JM21" s="380">
        <f t="shared" si="82"/>
        <v>0</v>
      </c>
      <c r="JN21" s="380"/>
      <c r="JO21" s="380"/>
      <c r="JP21" s="380">
        <f t="shared" si="83"/>
        <v>0</v>
      </c>
      <c r="JQ21" s="380"/>
      <c r="JR21" s="380"/>
      <c r="JS21" s="380">
        <f t="shared" si="84"/>
        <v>0</v>
      </c>
      <c r="JT21" s="380"/>
      <c r="JU21" s="380"/>
      <c r="JV21" s="380">
        <f t="shared" si="85"/>
        <v>0</v>
      </c>
      <c r="JW21" s="380"/>
      <c r="JX21" s="380"/>
      <c r="JY21" s="380">
        <f t="shared" si="86"/>
        <v>0</v>
      </c>
      <c r="JZ21" s="380"/>
      <c r="KA21" s="380"/>
      <c r="KB21" s="380">
        <f t="shared" si="116"/>
        <v>0</v>
      </c>
      <c r="KC21" s="380"/>
      <c r="KD21" s="380"/>
      <c r="KE21" s="380">
        <f t="shared" si="117"/>
        <v>0</v>
      </c>
      <c r="KG21" s="151">
        <f t="shared" si="89"/>
        <v>0</v>
      </c>
    </row>
    <row r="22" spans="1:293" x14ac:dyDescent="0.25">
      <c r="A22" s="35">
        <f t="shared" si="118"/>
        <v>15</v>
      </c>
      <c r="B22" s="250"/>
      <c r="C22" s="38">
        <f t="shared" si="21"/>
        <v>0</v>
      </c>
      <c r="D22" s="38">
        <f t="shared" si="22"/>
        <v>0</v>
      </c>
      <c r="E22" s="250"/>
      <c r="F22" s="38">
        <f t="shared" si="23"/>
        <v>0</v>
      </c>
      <c r="G22" s="38">
        <f t="shared" si="24"/>
        <v>0</v>
      </c>
      <c r="H22" s="37"/>
      <c r="I22" s="39"/>
      <c r="J22" s="42"/>
      <c r="K22" s="37">
        <f t="shared" si="134"/>
        <v>0</v>
      </c>
      <c r="L22" s="250"/>
      <c r="M22" s="40"/>
      <c r="N22" s="37">
        <f t="shared" si="135"/>
        <v>0</v>
      </c>
      <c r="O22" s="250"/>
      <c r="P22" s="37"/>
      <c r="Q22" s="37">
        <f t="shared" si="25"/>
        <v>0</v>
      </c>
      <c r="R22" s="37">
        <f t="shared" si="136"/>
        <v>0</v>
      </c>
      <c r="S22" s="250"/>
      <c r="T22" s="37">
        <f t="shared" si="26"/>
        <v>0</v>
      </c>
      <c r="U22" s="250"/>
      <c r="V22" s="37">
        <f t="shared" si="27"/>
        <v>0</v>
      </c>
      <c r="W22" s="250"/>
      <c r="X22" s="37">
        <f t="shared" si="151"/>
        <v>0</v>
      </c>
      <c r="Y22" s="183"/>
      <c r="Z22" s="183"/>
      <c r="AA22" s="250"/>
      <c r="AB22" s="37">
        <f t="shared" si="28"/>
        <v>0</v>
      </c>
      <c r="AC22" s="250"/>
      <c r="AD22" s="37"/>
      <c r="AE22" s="37">
        <f t="shared" si="29"/>
        <v>0</v>
      </c>
      <c r="AF22" s="37">
        <f t="shared" si="137"/>
        <v>0</v>
      </c>
      <c r="AG22" s="250"/>
      <c r="AH22" s="67"/>
      <c r="AI22" s="37">
        <f t="shared" si="90"/>
        <v>0</v>
      </c>
      <c r="AJ22" s="37">
        <f t="shared" si="91"/>
        <v>0</v>
      </c>
      <c r="AK22" s="37">
        <f t="shared" si="32"/>
        <v>0</v>
      </c>
      <c r="AL22" s="250"/>
      <c r="AM22" s="42"/>
      <c r="AN22" s="37">
        <f t="shared" si="119"/>
        <v>0</v>
      </c>
      <c r="AO22" s="37">
        <f t="shared" si="138"/>
        <v>0</v>
      </c>
      <c r="AP22" s="250"/>
      <c r="AQ22" s="37"/>
      <c r="AR22" s="37">
        <f t="shared" si="92"/>
        <v>0</v>
      </c>
      <c r="AS22" s="37">
        <f t="shared" si="139"/>
        <v>0</v>
      </c>
      <c r="AT22" s="183"/>
      <c r="AU22" s="183"/>
      <c r="AV22" s="183"/>
      <c r="AW22" s="183"/>
      <c r="AX22" s="250"/>
      <c r="AY22" s="37"/>
      <c r="AZ22" s="37">
        <f t="shared" si="34"/>
        <v>0</v>
      </c>
      <c r="BA22" s="250"/>
      <c r="BB22" s="37"/>
      <c r="BC22" s="37">
        <f t="shared" si="93"/>
        <v>0</v>
      </c>
      <c r="BD22" s="37">
        <f t="shared" si="140"/>
        <v>0</v>
      </c>
      <c r="BE22" s="250"/>
      <c r="BF22" s="250"/>
      <c r="BG22" s="37">
        <f t="shared" si="36"/>
        <v>0</v>
      </c>
      <c r="BH22" s="250"/>
      <c r="BI22" s="250"/>
      <c r="BJ22" s="37">
        <f t="shared" si="37"/>
        <v>0</v>
      </c>
      <c r="BK22" s="250"/>
      <c r="BL22" s="40">
        <f t="shared" si="141"/>
        <v>0</v>
      </c>
      <c r="BM22" s="250"/>
      <c r="BN22" s="37">
        <f t="shared" si="38"/>
        <v>0</v>
      </c>
      <c r="BO22" s="186"/>
      <c r="BP22" s="183">
        <f t="shared" si="94"/>
        <v>0</v>
      </c>
      <c r="BQ22" s="250"/>
      <c r="BR22" s="37">
        <f>IF((BQ22-BQ21)&lt;=0,0,(BQ22-BQ21))*1000</f>
        <v>0</v>
      </c>
      <c r="BS22" s="250"/>
      <c r="BT22" s="37">
        <f t="shared" si="39"/>
        <v>0</v>
      </c>
      <c r="BU22" s="250"/>
      <c r="BV22" s="42"/>
      <c r="BW22" s="37">
        <f t="shared" si="95"/>
        <v>0</v>
      </c>
      <c r="BX22" s="37">
        <f t="shared" si="142"/>
        <v>0</v>
      </c>
      <c r="BY22" s="250"/>
      <c r="BZ22" s="43"/>
      <c r="CA22" s="37">
        <f t="shared" ref="CA22:CA38" si="156">IF((BY22-BY21)&lt;=0,0,(BY22-BY21)*1000)</f>
        <v>0</v>
      </c>
      <c r="CB22" s="37">
        <f t="shared" si="121"/>
        <v>0</v>
      </c>
      <c r="CC22" s="250"/>
      <c r="CD22" s="37">
        <f t="shared" si="42"/>
        <v>0</v>
      </c>
      <c r="CE22" s="250"/>
      <c r="CF22" s="37">
        <f t="shared" si="43"/>
        <v>0</v>
      </c>
      <c r="CG22" s="250"/>
      <c r="CH22" s="37">
        <f t="shared" si="122"/>
        <v>0</v>
      </c>
      <c r="CI22" s="250"/>
      <c r="CJ22" s="40"/>
      <c r="CK22" s="37">
        <f t="shared" si="123"/>
        <v>0</v>
      </c>
      <c r="CL22" s="37">
        <f t="shared" si="97"/>
        <v>0</v>
      </c>
      <c r="CM22" s="250"/>
      <c r="CN22" s="37"/>
      <c r="CO22" s="37">
        <f t="shared" si="45"/>
        <v>0</v>
      </c>
      <c r="CP22" s="37">
        <f t="shared" si="154"/>
        <v>0</v>
      </c>
      <c r="CQ22" s="250"/>
      <c r="CR22" s="39"/>
      <c r="CS22" s="37">
        <f t="shared" si="124"/>
        <v>0</v>
      </c>
      <c r="CT22" s="37">
        <f t="shared" si="143"/>
        <v>0</v>
      </c>
      <c r="CU22" s="250"/>
      <c r="CV22" s="37"/>
      <c r="CW22" s="38">
        <f t="shared" si="98"/>
        <v>0</v>
      </c>
      <c r="CX22" s="37">
        <f t="shared" si="144"/>
        <v>0</v>
      </c>
      <c r="CY22" s="250"/>
      <c r="CZ22" s="37"/>
      <c r="DA22" s="37">
        <f t="shared" si="99"/>
        <v>0</v>
      </c>
      <c r="DB22" s="37">
        <f t="shared" si="145"/>
        <v>0</v>
      </c>
      <c r="DC22" s="37"/>
      <c r="DD22" s="40"/>
      <c r="DE22" s="37">
        <f t="shared" si="100"/>
        <v>0</v>
      </c>
      <c r="DF22" s="37">
        <f t="shared" si="152"/>
        <v>0</v>
      </c>
      <c r="DG22" s="37">
        <f t="shared" si="101"/>
        <v>0</v>
      </c>
      <c r="DH22" s="37">
        <f t="shared" si="102"/>
        <v>0</v>
      </c>
      <c r="DI22" s="46"/>
      <c r="DJ22" s="46"/>
      <c r="DK22" s="47"/>
      <c r="DL22" s="47"/>
      <c r="DM22" s="37"/>
      <c r="DN22" s="37"/>
      <c r="DO22" s="37"/>
      <c r="DP22" s="37"/>
      <c r="DQ22" s="250"/>
      <c r="DR22" s="49">
        <f t="shared" si="125"/>
        <v>0</v>
      </c>
      <c r="DS22" s="250"/>
      <c r="DT22" s="49">
        <f t="shared" si="126"/>
        <v>0</v>
      </c>
      <c r="DU22" s="250"/>
      <c r="DV22" s="250"/>
      <c r="DW22" s="37">
        <f t="shared" si="146"/>
        <v>0</v>
      </c>
      <c r="DX22" s="250"/>
      <c r="DY22" s="250"/>
      <c r="DZ22" s="37">
        <f t="shared" si="51"/>
        <v>0</v>
      </c>
      <c r="EA22" s="250"/>
      <c r="EB22" s="250"/>
      <c r="EC22" s="37">
        <v>0</v>
      </c>
      <c r="ED22" s="53">
        <f t="shared" si="52"/>
        <v>0</v>
      </c>
      <c r="EE22" s="250"/>
      <c r="EF22" s="250"/>
      <c r="EG22" s="37">
        <v>0</v>
      </c>
      <c r="EH22" s="250"/>
      <c r="EI22" s="250"/>
      <c r="EJ22" s="37">
        <f t="shared" si="54"/>
        <v>0</v>
      </c>
      <c r="EK22" s="250"/>
      <c r="EL22" s="250"/>
      <c r="EM22" s="37">
        <f t="shared" si="127"/>
        <v>0</v>
      </c>
      <c r="EN22" s="54">
        <f t="shared" si="128"/>
        <v>0</v>
      </c>
      <c r="EO22" s="250"/>
      <c r="EP22" s="48"/>
      <c r="EQ22" s="37"/>
      <c r="ER22" s="250"/>
      <c r="ES22" s="48"/>
      <c r="ET22" s="49">
        <f t="shared" si="155"/>
        <v>0</v>
      </c>
      <c r="EU22" s="250"/>
      <c r="EV22" s="48"/>
      <c r="EW22" s="49">
        <f t="shared" si="56"/>
        <v>0</v>
      </c>
      <c r="EX22" s="250"/>
      <c r="EY22" s="48"/>
      <c r="EZ22" s="37">
        <f t="shared" si="103"/>
        <v>0</v>
      </c>
      <c r="FA22" s="48">
        <f t="shared" si="129"/>
        <v>0</v>
      </c>
      <c r="FB22" s="250"/>
      <c r="FC22" s="49">
        <f t="shared" si="147"/>
        <v>0</v>
      </c>
      <c r="FD22" s="48">
        <f t="shared" si="130"/>
        <v>0</v>
      </c>
      <c r="FE22" s="250"/>
      <c r="FF22" s="48"/>
      <c r="FG22" s="37"/>
      <c r="FH22" s="250"/>
      <c r="FI22" s="48"/>
      <c r="FJ22" s="49">
        <f t="shared" si="59"/>
        <v>0</v>
      </c>
      <c r="FK22" s="48"/>
      <c r="FL22" s="58"/>
      <c r="FM22" s="48">
        <f t="shared" si="148"/>
        <v>0</v>
      </c>
      <c r="FN22" s="250"/>
      <c r="FO22" s="48"/>
      <c r="FP22" s="37">
        <f t="shared" si="131"/>
        <v>0</v>
      </c>
      <c r="FQ22" s="250"/>
      <c r="FR22" s="48"/>
      <c r="FS22" s="37">
        <f t="shared" si="60"/>
        <v>0</v>
      </c>
      <c r="FT22" s="48">
        <f t="shared" si="149"/>
        <v>0</v>
      </c>
      <c r="FU22" s="48">
        <f>FG22+FJ22+FP22+GM22</f>
        <v>0</v>
      </c>
      <c r="FV22" s="250"/>
      <c r="FW22" s="44"/>
      <c r="FX22" s="37">
        <f t="shared" si="61"/>
        <v>0</v>
      </c>
      <c r="FY22" s="250"/>
      <c r="FZ22" s="56"/>
      <c r="GA22" s="37">
        <f t="shared" si="62"/>
        <v>0</v>
      </c>
      <c r="GB22" s="250"/>
      <c r="GC22" s="56"/>
      <c r="GD22" s="37">
        <f t="shared" si="63"/>
        <v>0</v>
      </c>
      <c r="GE22" s="250"/>
      <c r="GF22" s="56"/>
      <c r="GG22" s="37">
        <f t="shared" si="64"/>
        <v>0</v>
      </c>
      <c r="GH22" s="250"/>
      <c r="GI22" s="162"/>
      <c r="GJ22" s="38">
        <f t="shared" si="132"/>
        <v>0</v>
      </c>
      <c r="GK22" s="250"/>
      <c r="GL22" s="163"/>
      <c r="GM22" s="38">
        <f t="shared" si="104"/>
        <v>0</v>
      </c>
      <c r="GN22" s="250"/>
      <c r="GO22" s="57"/>
      <c r="GP22" s="38">
        <f t="shared" si="65"/>
        <v>0</v>
      </c>
      <c r="GQ22" s="250"/>
      <c r="GR22" s="38"/>
      <c r="GS22" s="38">
        <f t="shared" si="133"/>
        <v>0</v>
      </c>
      <c r="GT22" s="247"/>
      <c r="GU22" s="144">
        <f>IFERROR(DailyNov!B20-DailyNov!N20-DailyNov!V20-DailyNov!Y20-DailyNov!Z20-DailyNov!AA20-DailyNov!AB20-DailyNov!AC20-DailyNov!AD20-DailyNov!AE20-DailyNov!AK20-DailyNov!AO20-DailyNov!AS20-DailyNov!AY20-DailyNov!BD20+DailyNov!BU20-DailyNov!BG20-DailyNov!BT20-DailyNov!AF20-DailyNov!AG20,"-")</f>
        <v>0</v>
      </c>
      <c r="GV22" s="261"/>
      <c r="GW22" s="60">
        <f t="shared" si="66"/>
        <v>0</v>
      </c>
      <c r="GX22" s="260"/>
      <c r="GY22" s="140"/>
      <c r="GZ22" s="528"/>
      <c r="HA22" s="528"/>
      <c r="HB22" s="528"/>
      <c r="HC22" s="528"/>
      <c r="HD22" s="74"/>
      <c r="HE22" s="24">
        <f t="shared" si="105"/>
        <v>0</v>
      </c>
      <c r="HF22" s="255"/>
      <c r="HG22" s="279">
        <v>15</v>
      </c>
      <c r="HH22" s="292"/>
      <c r="HI22" s="292"/>
      <c r="HJ22" s="61">
        <f t="shared" si="67"/>
        <v>0</v>
      </c>
      <c r="HK22" s="260"/>
      <c r="HL22" s="292"/>
      <c r="HM22" s="61">
        <f t="shared" si="68"/>
        <v>0</v>
      </c>
      <c r="HN22" s="292"/>
      <c r="HO22" s="292"/>
      <c r="HP22" s="61">
        <f t="shared" si="106"/>
        <v>0</v>
      </c>
      <c r="HQ22" s="292"/>
      <c r="HR22" s="292"/>
      <c r="HS22" s="61">
        <f t="shared" si="107"/>
        <v>0</v>
      </c>
      <c r="HT22" s="292"/>
      <c r="HU22" s="292"/>
      <c r="HV22" s="61">
        <f t="shared" si="108"/>
        <v>0</v>
      </c>
      <c r="HW22" s="292"/>
      <c r="HX22" s="292"/>
      <c r="HY22" s="61">
        <f t="shared" si="109"/>
        <v>0</v>
      </c>
      <c r="HZ22" s="260"/>
      <c r="IA22" s="260"/>
      <c r="IB22" s="61">
        <f t="shared" si="110"/>
        <v>0</v>
      </c>
      <c r="IC22" s="292"/>
      <c r="ID22" s="292"/>
      <c r="IE22" s="61">
        <f t="shared" si="153"/>
        <v>0</v>
      </c>
      <c r="IF22" s="61"/>
      <c r="IG22" s="61"/>
      <c r="IH22" s="280">
        <f t="shared" si="71"/>
        <v>0</v>
      </c>
      <c r="II22" s="281">
        <f t="shared" si="72"/>
        <v>0</v>
      </c>
      <c r="IJ22" s="380"/>
      <c r="IK22" s="380"/>
      <c r="IL22" s="380">
        <f t="shared" si="73"/>
        <v>0</v>
      </c>
      <c r="IM22" s="380"/>
      <c r="IN22" s="380"/>
      <c r="IO22" s="380">
        <f t="shared" si="74"/>
        <v>0</v>
      </c>
      <c r="IP22" s="380"/>
      <c r="IQ22" s="380"/>
      <c r="IR22" s="380">
        <f t="shared" si="75"/>
        <v>0</v>
      </c>
      <c r="IS22" s="380"/>
      <c r="IT22" s="380"/>
      <c r="IU22" s="380">
        <f t="shared" si="111"/>
        <v>0</v>
      </c>
      <c r="IV22" s="380"/>
      <c r="IW22" s="380"/>
      <c r="IX22" s="380">
        <f t="shared" si="112"/>
        <v>0</v>
      </c>
      <c r="IY22" s="380"/>
      <c r="IZ22" s="380"/>
      <c r="JA22" s="380">
        <f t="shared" si="113"/>
        <v>0</v>
      </c>
      <c r="JB22" s="380"/>
      <c r="JC22" s="380"/>
      <c r="JD22" s="380">
        <f t="shared" si="114"/>
        <v>0</v>
      </c>
      <c r="JE22" s="380"/>
      <c r="JF22" s="380"/>
      <c r="JG22" s="380">
        <f t="shared" si="115"/>
        <v>0</v>
      </c>
      <c r="JH22" s="380"/>
      <c r="JI22" s="380"/>
      <c r="JJ22" s="380">
        <f t="shared" si="81"/>
        <v>0</v>
      </c>
      <c r="JK22" s="380"/>
      <c r="JL22" s="380"/>
      <c r="JM22" s="380">
        <f t="shared" si="82"/>
        <v>0</v>
      </c>
      <c r="JN22" s="380"/>
      <c r="JO22" s="380"/>
      <c r="JP22" s="380">
        <f t="shared" si="83"/>
        <v>0</v>
      </c>
      <c r="JQ22" s="380"/>
      <c r="JR22" s="380"/>
      <c r="JS22" s="380">
        <f t="shared" si="84"/>
        <v>0</v>
      </c>
      <c r="JT22" s="380"/>
      <c r="JU22" s="380"/>
      <c r="JV22" s="380">
        <f t="shared" si="85"/>
        <v>0</v>
      </c>
      <c r="JW22" s="380"/>
      <c r="JX22" s="380"/>
      <c r="JY22" s="380">
        <f t="shared" si="86"/>
        <v>0</v>
      </c>
      <c r="JZ22" s="380"/>
      <c r="KA22" s="380"/>
      <c r="KB22" s="380">
        <f t="shared" si="116"/>
        <v>0</v>
      </c>
      <c r="KC22" s="380"/>
      <c r="KD22" s="380"/>
      <c r="KE22" s="380">
        <f t="shared" si="117"/>
        <v>0</v>
      </c>
      <c r="KG22" s="151">
        <f t="shared" si="89"/>
        <v>0</v>
      </c>
    </row>
    <row r="23" spans="1:293" x14ac:dyDescent="0.25">
      <c r="A23" s="35">
        <f t="shared" si="118"/>
        <v>16</v>
      </c>
      <c r="B23" s="250"/>
      <c r="C23" s="38">
        <f t="shared" si="21"/>
        <v>0</v>
      </c>
      <c r="D23" s="38">
        <f t="shared" si="22"/>
        <v>0</v>
      </c>
      <c r="E23" s="250"/>
      <c r="F23" s="38">
        <f t="shared" si="23"/>
        <v>0</v>
      </c>
      <c r="G23" s="38">
        <f t="shared" si="24"/>
        <v>0</v>
      </c>
      <c r="H23" s="37"/>
      <c r="I23" s="39"/>
      <c r="J23" s="42"/>
      <c r="K23" s="37">
        <f>IF(J23&lt;=0,0,(J23/SQRT(J23^2+(I23-I22)^2)))</f>
        <v>0</v>
      </c>
      <c r="L23" s="250"/>
      <c r="M23" s="40"/>
      <c r="N23" s="37">
        <f t="shared" si="135"/>
        <v>0</v>
      </c>
      <c r="O23" s="250"/>
      <c r="P23" s="37"/>
      <c r="Q23" s="37">
        <f>IF((O23-O22)&lt;=0,0,(O23-O22))*1000</f>
        <v>0</v>
      </c>
      <c r="R23" s="37">
        <f>IF(Q23&lt;=0,0,(Q23/SQRT(Q23^2+(P23-P22)^2)))</f>
        <v>0</v>
      </c>
      <c r="S23" s="250"/>
      <c r="T23" s="37">
        <f t="shared" si="26"/>
        <v>0</v>
      </c>
      <c r="U23" s="250"/>
      <c r="V23" s="37">
        <f t="shared" si="27"/>
        <v>0</v>
      </c>
      <c r="W23" s="250"/>
      <c r="X23" s="37">
        <f t="shared" si="151"/>
        <v>0</v>
      </c>
      <c r="Y23" s="183"/>
      <c r="Z23" s="183"/>
      <c r="AA23" s="250"/>
      <c r="AB23" s="37">
        <f t="shared" si="28"/>
        <v>0</v>
      </c>
      <c r="AC23" s="250"/>
      <c r="AD23" s="37"/>
      <c r="AE23" s="37">
        <f>IF((AC23-AC22)&lt;=0,0,(AC23-AC22))*1000</f>
        <v>0</v>
      </c>
      <c r="AF23" s="37">
        <f>IF(AE23&lt;=0,0,(AE23/SQRT(AE23^2+(AD23-AD22)^2)))</f>
        <v>0</v>
      </c>
      <c r="AG23" s="250"/>
      <c r="AH23" s="37"/>
      <c r="AI23" s="37">
        <f t="shared" si="90"/>
        <v>0</v>
      </c>
      <c r="AJ23" s="37">
        <f t="shared" si="91"/>
        <v>0</v>
      </c>
      <c r="AK23" s="37">
        <f t="shared" si="32"/>
        <v>0</v>
      </c>
      <c r="AL23" s="250"/>
      <c r="AM23" s="42"/>
      <c r="AN23" s="37">
        <f t="shared" si="119"/>
        <v>0</v>
      </c>
      <c r="AO23" s="37">
        <f t="shared" si="138"/>
        <v>0</v>
      </c>
      <c r="AP23" s="250"/>
      <c r="AQ23" s="37"/>
      <c r="AR23" s="37">
        <f t="shared" si="92"/>
        <v>0</v>
      </c>
      <c r="AS23" s="37">
        <f t="shared" si="139"/>
        <v>0</v>
      </c>
      <c r="AT23" s="183"/>
      <c r="AU23" s="183"/>
      <c r="AV23" s="183"/>
      <c r="AW23" s="183"/>
      <c r="AX23" s="250"/>
      <c r="AY23" s="37"/>
      <c r="AZ23" s="37">
        <f t="shared" si="34"/>
        <v>0</v>
      </c>
      <c r="BA23" s="250"/>
      <c r="BB23" s="37"/>
      <c r="BC23" s="37">
        <f t="shared" si="93"/>
        <v>0</v>
      </c>
      <c r="BD23" s="37">
        <f t="shared" si="140"/>
        <v>0</v>
      </c>
      <c r="BE23" s="250"/>
      <c r="BF23" s="250"/>
      <c r="BG23" s="37">
        <f t="shared" si="36"/>
        <v>0</v>
      </c>
      <c r="BH23" s="250"/>
      <c r="BI23" s="250"/>
      <c r="BJ23" s="37">
        <f t="shared" si="37"/>
        <v>0</v>
      </c>
      <c r="BK23" s="250"/>
      <c r="BL23" s="40">
        <f t="shared" si="141"/>
        <v>0</v>
      </c>
      <c r="BM23" s="250"/>
      <c r="BN23" s="37">
        <f t="shared" si="38"/>
        <v>0</v>
      </c>
      <c r="BO23" s="186"/>
      <c r="BP23" s="183">
        <f t="shared" si="94"/>
        <v>0</v>
      </c>
      <c r="BQ23" s="250"/>
      <c r="BR23" s="37">
        <f t="shared" si="120"/>
        <v>0</v>
      </c>
      <c r="BS23" s="250"/>
      <c r="BT23" s="37">
        <f t="shared" si="39"/>
        <v>0</v>
      </c>
      <c r="BU23" s="250"/>
      <c r="BV23" s="42"/>
      <c r="BW23" s="37">
        <f t="shared" si="95"/>
        <v>0</v>
      </c>
      <c r="BX23" s="37">
        <f t="shared" si="142"/>
        <v>0</v>
      </c>
      <c r="BY23" s="250"/>
      <c r="BZ23" s="43"/>
      <c r="CA23" s="37">
        <f t="shared" si="156"/>
        <v>0</v>
      </c>
      <c r="CB23" s="37">
        <f t="shared" si="121"/>
        <v>0</v>
      </c>
      <c r="CC23" s="250"/>
      <c r="CD23" s="37">
        <f t="shared" si="42"/>
        <v>0</v>
      </c>
      <c r="CE23" s="250"/>
      <c r="CF23" s="37">
        <f t="shared" si="43"/>
        <v>0</v>
      </c>
      <c r="CG23" s="250"/>
      <c r="CH23" s="37">
        <f t="shared" si="122"/>
        <v>0</v>
      </c>
      <c r="CI23" s="250"/>
      <c r="CJ23" s="40"/>
      <c r="CK23" s="37">
        <f t="shared" si="123"/>
        <v>0</v>
      </c>
      <c r="CL23" s="37">
        <f t="shared" si="97"/>
        <v>0</v>
      </c>
      <c r="CM23" s="250"/>
      <c r="CN23" s="37"/>
      <c r="CO23" s="37">
        <f t="shared" si="45"/>
        <v>0</v>
      </c>
      <c r="CP23" s="37">
        <f t="shared" si="154"/>
        <v>0</v>
      </c>
      <c r="CQ23" s="250"/>
      <c r="CR23" s="39"/>
      <c r="CS23" s="37">
        <f t="shared" si="124"/>
        <v>0</v>
      </c>
      <c r="CT23" s="37">
        <f t="shared" si="143"/>
        <v>0</v>
      </c>
      <c r="CU23" s="250"/>
      <c r="CV23" s="37"/>
      <c r="CW23" s="38">
        <f t="shared" si="98"/>
        <v>0</v>
      </c>
      <c r="CX23" s="37">
        <f t="shared" si="144"/>
        <v>0</v>
      </c>
      <c r="CY23" s="250"/>
      <c r="CZ23" s="37"/>
      <c r="DA23" s="37">
        <f t="shared" si="99"/>
        <v>0</v>
      </c>
      <c r="DB23" s="37">
        <f t="shared" si="145"/>
        <v>0</v>
      </c>
      <c r="DC23" s="37"/>
      <c r="DD23" s="40"/>
      <c r="DE23" s="37">
        <f t="shared" si="100"/>
        <v>0</v>
      </c>
      <c r="DF23" s="37">
        <f t="shared" si="152"/>
        <v>0</v>
      </c>
      <c r="DG23" s="37">
        <f t="shared" si="101"/>
        <v>0</v>
      </c>
      <c r="DH23" s="37">
        <f t="shared" si="102"/>
        <v>0</v>
      </c>
      <c r="DI23" s="46"/>
      <c r="DJ23" s="46"/>
      <c r="DK23" s="47"/>
      <c r="DL23" s="47"/>
      <c r="DM23" s="37"/>
      <c r="DN23" s="37"/>
      <c r="DO23" s="37"/>
      <c r="DP23" s="37"/>
      <c r="DQ23" s="250"/>
      <c r="DR23" s="49">
        <f t="shared" si="125"/>
        <v>0</v>
      </c>
      <c r="DS23" s="250"/>
      <c r="DT23" s="49">
        <f>IF((DS23-DS22)&lt;=0,0,(DS23-DS22))</f>
        <v>0</v>
      </c>
      <c r="DU23" s="250"/>
      <c r="DV23" s="250"/>
      <c r="DW23" s="37">
        <f t="shared" si="146"/>
        <v>0</v>
      </c>
      <c r="DX23" s="250"/>
      <c r="DY23" s="250"/>
      <c r="DZ23" s="37">
        <f t="shared" si="51"/>
        <v>0</v>
      </c>
      <c r="EA23" s="250"/>
      <c r="EB23" s="250"/>
      <c r="EC23" s="37">
        <v>0</v>
      </c>
      <c r="ED23" s="53">
        <f t="shared" si="52"/>
        <v>0</v>
      </c>
      <c r="EE23" s="250"/>
      <c r="EF23" s="250"/>
      <c r="EG23" s="37">
        <v>0</v>
      </c>
      <c r="EH23" s="250"/>
      <c r="EI23" s="250"/>
      <c r="EJ23" s="37">
        <f t="shared" si="54"/>
        <v>0</v>
      </c>
      <c r="EK23" s="250"/>
      <c r="EL23" s="250"/>
      <c r="EM23" s="37">
        <f t="shared" si="127"/>
        <v>0</v>
      </c>
      <c r="EN23" s="54">
        <f t="shared" si="128"/>
        <v>0</v>
      </c>
      <c r="EO23" s="250"/>
      <c r="EP23" s="48"/>
      <c r="EQ23" s="37"/>
      <c r="ER23" s="250"/>
      <c r="ES23" s="48"/>
      <c r="ET23" s="49">
        <f t="shared" si="155"/>
        <v>0</v>
      </c>
      <c r="EU23" s="250"/>
      <c r="EV23" s="48"/>
      <c r="EW23" s="49">
        <f t="shared" si="56"/>
        <v>0</v>
      </c>
      <c r="EX23" s="250"/>
      <c r="EY23" s="48"/>
      <c r="EZ23" s="37">
        <f t="shared" si="103"/>
        <v>0</v>
      </c>
      <c r="FA23" s="48">
        <f t="shared" si="129"/>
        <v>0</v>
      </c>
      <c r="FB23" s="250"/>
      <c r="FC23" s="49">
        <f t="shared" si="147"/>
        <v>0</v>
      </c>
      <c r="FD23" s="48">
        <f t="shared" si="130"/>
        <v>0</v>
      </c>
      <c r="FE23" s="250"/>
      <c r="FF23" s="48"/>
      <c r="FG23" s="37"/>
      <c r="FH23" s="250"/>
      <c r="FI23" s="48"/>
      <c r="FJ23" s="49">
        <f t="shared" si="59"/>
        <v>0</v>
      </c>
      <c r="FK23" s="48"/>
      <c r="FL23" s="58"/>
      <c r="FM23" s="48">
        <f t="shared" si="148"/>
        <v>0</v>
      </c>
      <c r="FN23" s="250"/>
      <c r="FO23" s="48"/>
      <c r="FP23" s="37">
        <f t="shared" si="131"/>
        <v>0</v>
      </c>
      <c r="FQ23" s="250"/>
      <c r="FR23" s="48"/>
      <c r="FS23" s="37">
        <f t="shared" si="60"/>
        <v>0</v>
      </c>
      <c r="FT23" s="48">
        <f t="shared" si="149"/>
        <v>0</v>
      </c>
      <c r="FU23" s="48">
        <f t="shared" si="150"/>
        <v>0</v>
      </c>
      <c r="FV23" s="250"/>
      <c r="FW23" s="44"/>
      <c r="FX23" s="37">
        <f t="shared" si="61"/>
        <v>0</v>
      </c>
      <c r="FY23" s="250"/>
      <c r="FZ23" s="56"/>
      <c r="GA23" s="37">
        <f t="shared" si="62"/>
        <v>0</v>
      </c>
      <c r="GB23" s="250"/>
      <c r="GC23" s="56"/>
      <c r="GD23" s="37">
        <f t="shared" si="63"/>
        <v>0</v>
      </c>
      <c r="GE23" s="250"/>
      <c r="GF23" s="56"/>
      <c r="GG23" s="37">
        <f t="shared" si="64"/>
        <v>0</v>
      </c>
      <c r="GH23" s="250"/>
      <c r="GI23" s="162"/>
      <c r="GJ23" s="38">
        <f t="shared" si="132"/>
        <v>0</v>
      </c>
      <c r="GK23" s="250"/>
      <c r="GL23" s="163"/>
      <c r="GM23" s="38">
        <f t="shared" si="104"/>
        <v>0</v>
      </c>
      <c r="GN23" s="250"/>
      <c r="GO23" s="57"/>
      <c r="GP23" s="38">
        <f t="shared" si="65"/>
        <v>0</v>
      </c>
      <c r="GQ23" s="250"/>
      <c r="GR23" s="38"/>
      <c r="GS23" s="38">
        <f t="shared" si="133"/>
        <v>0</v>
      </c>
      <c r="GT23" s="247"/>
      <c r="GU23" s="144">
        <f>IFERROR(DailyNov!B21-DailyNov!N21-DailyNov!V21-DailyNov!Y21-DailyNov!Z21-DailyNov!AA21-DailyNov!AB21-DailyNov!AC21-DailyNov!AD21-DailyNov!AE21-DailyNov!AK21-DailyNov!AO21-DailyNov!AS21-DailyNov!AY21-DailyNov!BD21+DailyNov!BU21-DailyNov!BG21-DailyNov!BT21-DailyNov!AF21-DailyNov!AG21,"-")</f>
        <v>0</v>
      </c>
      <c r="GV23" s="261"/>
      <c r="GW23" s="60">
        <f t="shared" si="66"/>
        <v>0</v>
      </c>
      <c r="GX23" s="260"/>
      <c r="GY23" s="140"/>
      <c r="GZ23" s="528"/>
      <c r="HA23" s="528"/>
      <c r="HB23" s="528"/>
      <c r="HC23" s="528"/>
      <c r="HD23" s="74"/>
      <c r="HE23" s="24">
        <f t="shared" si="105"/>
        <v>0</v>
      </c>
      <c r="HF23" s="255"/>
      <c r="HG23" s="279">
        <v>16</v>
      </c>
      <c r="HH23" s="292"/>
      <c r="HI23" s="292"/>
      <c r="HJ23" s="61">
        <f t="shared" si="67"/>
        <v>0</v>
      </c>
      <c r="HK23" s="260"/>
      <c r="HL23" s="292"/>
      <c r="HM23" s="61">
        <f t="shared" si="68"/>
        <v>0</v>
      </c>
      <c r="HN23" s="292"/>
      <c r="HO23" s="292"/>
      <c r="HP23" s="61">
        <f t="shared" si="106"/>
        <v>0</v>
      </c>
      <c r="HQ23" s="292"/>
      <c r="HR23" s="292"/>
      <c r="HS23" s="61">
        <f t="shared" si="107"/>
        <v>0</v>
      </c>
      <c r="HT23" s="292"/>
      <c r="HU23" s="292"/>
      <c r="HV23" s="61">
        <f t="shared" si="108"/>
        <v>0</v>
      </c>
      <c r="HW23" s="292"/>
      <c r="HX23" s="292"/>
      <c r="HY23" s="61">
        <f t="shared" si="109"/>
        <v>0</v>
      </c>
      <c r="HZ23" s="260"/>
      <c r="IA23" s="260"/>
      <c r="IB23" s="61">
        <f t="shared" si="110"/>
        <v>0</v>
      </c>
      <c r="IC23" s="292"/>
      <c r="ID23" s="292"/>
      <c r="IE23" s="61">
        <f t="shared" si="153"/>
        <v>0</v>
      </c>
      <c r="IF23" s="61"/>
      <c r="IG23" s="61"/>
      <c r="IH23" s="280">
        <f t="shared" si="71"/>
        <v>0</v>
      </c>
      <c r="II23" s="281">
        <f t="shared" si="72"/>
        <v>0</v>
      </c>
      <c r="IJ23" s="380"/>
      <c r="IK23" s="380"/>
      <c r="IL23" s="380">
        <f t="shared" si="73"/>
        <v>0</v>
      </c>
      <c r="IM23" s="380"/>
      <c r="IN23" s="380"/>
      <c r="IO23" s="380">
        <f t="shared" si="74"/>
        <v>0</v>
      </c>
      <c r="IP23" s="380"/>
      <c r="IQ23" s="380"/>
      <c r="IR23" s="380">
        <f t="shared" si="75"/>
        <v>0</v>
      </c>
      <c r="IS23" s="380"/>
      <c r="IT23" s="380"/>
      <c r="IU23" s="380">
        <f t="shared" si="111"/>
        <v>0</v>
      </c>
      <c r="IV23" s="380"/>
      <c r="IW23" s="380"/>
      <c r="IX23" s="380">
        <f t="shared" si="112"/>
        <v>0</v>
      </c>
      <c r="IY23" s="380"/>
      <c r="IZ23" s="380"/>
      <c r="JA23" s="380">
        <f t="shared" si="113"/>
        <v>0</v>
      </c>
      <c r="JB23" s="380"/>
      <c r="JC23" s="380"/>
      <c r="JD23" s="380">
        <f t="shared" si="114"/>
        <v>0</v>
      </c>
      <c r="JE23" s="380"/>
      <c r="JF23" s="380"/>
      <c r="JG23" s="380">
        <f t="shared" si="115"/>
        <v>0</v>
      </c>
      <c r="JH23" s="380"/>
      <c r="JI23" s="380"/>
      <c r="JJ23" s="380">
        <f t="shared" si="81"/>
        <v>0</v>
      </c>
      <c r="JK23" s="380"/>
      <c r="JL23" s="380"/>
      <c r="JM23" s="380">
        <f t="shared" si="82"/>
        <v>0</v>
      </c>
      <c r="JN23" s="380"/>
      <c r="JO23" s="380"/>
      <c r="JP23" s="380">
        <f t="shared" si="83"/>
        <v>0</v>
      </c>
      <c r="JQ23" s="380"/>
      <c r="JR23" s="380"/>
      <c r="JS23" s="380">
        <f t="shared" si="84"/>
        <v>0</v>
      </c>
      <c r="JT23" s="380"/>
      <c r="JU23" s="380"/>
      <c r="JV23" s="380">
        <f t="shared" si="85"/>
        <v>0</v>
      </c>
      <c r="JW23" s="380"/>
      <c r="JX23" s="380"/>
      <c r="JY23" s="380">
        <f t="shared" si="86"/>
        <v>0</v>
      </c>
      <c r="JZ23" s="380"/>
      <c r="KA23" s="380"/>
      <c r="KB23" s="380">
        <f t="shared" si="116"/>
        <v>0</v>
      </c>
      <c r="KC23" s="380"/>
      <c r="KD23" s="380"/>
      <c r="KE23" s="380">
        <f t="shared" si="117"/>
        <v>0</v>
      </c>
      <c r="KG23" s="151">
        <f t="shared" si="89"/>
        <v>0</v>
      </c>
    </row>
    <row r="24" spans="1:293" x14ac:dyDescent="0.25">
      <c r="A24" s="35">
        <f t="shared" si="118"/>
        <v>17</v>
      </c>
      <c r="B24" s="250"/>
      <c r="C24" s="38">
        <f t="shared" si="21"/>
        <v>0</v>
      </c>
      <c r="D24" s="38">
        <f t="shared" si="22"/>
        <v>0</v>
      </c>
      <c r="E24" s="250"/>
      <c r="F24" s="38">
        <f t="shared" si="23"/>
        <v>0</v>
      </c>
      <c r="G24" s="38">
        <f t="shared" si="24"/>
        <v>0</v>
      </c>
      <c r="H24" s="37"/>
      <c r="I24" s="39"/>
      <c r="J24" s="42"/>
      <c r="K24" s="37">
        <f t="shared" ref="K24:K25" si="157">IF(J24&lt;=0,0,(J24/SQRT(J24^2+(I24-I23)^2)))</f>
        <v>0</v>
      </c>
      <c r="L24" s="250"/>
      <c r="M24" s="40"/>
      <c r="N24" s="37">
        <f t="shared" si="135"/>
        <v>0</v>
      </c>
      <c r="O24" s="250"/>
      <c r="P24" s="37"/>
      <c r="Q24" s="37">
        <f t="shared" ref="Q24:Q38" si="158">IF((O24-O23)&lt;=0,0,(O24-O23))*1000</f>
        <v>0</v>
      </c>
      <c r="R24" s="37">
        <f t="shared" ref="R24:R25" si="159">IF(Q24&lt;=0,0,(Q24/SQRT(Q24^2+(P24-P23)^2)))</f>
        <v>0</v>
      </c>
      <c r="S24" s="250"/>
      <c r="T24" s="37">
        <f t="shared" si="26"/>
        <v>0</v>
      </c>
      <c r="U24" s="250"/>
      <c r="V24" s="37">
        <f t="shared" si="27"/>
        <v>0</v>
      </c>
      <c r="W24" s="250"/>
      <c r="X24" s="37">
        <f t="shared" si="151"/>
        <v>0</v>
      </c>
      <c r="Y24" s="183"/>
      <c r="Z24" s="183"/>
      <c r="AA24" s="250"/>
      <c r="AB24" s="37">
        <f t="shared" si="28"/>
        <v>0</v>
      </c>
      <c r="AC24" s="250"/>
      <c r="AD24" s="37"/>
      <c r="AE24" s="37">
        <f t="shared" ref="AE24:AE38" si="160">IF((AC24-AC23)&lt;=0,0,(AC24-AC23))*1000</f>
        <v>0</v>
      </c>
      <c r="AF24" s="37">
        <f t="shared" ref="AF24:AF25" si="161">IF(AE24&lt;=0,0,(AE24/SQRT(AE24^2+(AD24-AD23)^2)))</f>
        <v>0</v>
      </c>
      <c r="AG24" s="250"/>
      <c r="AH24" s="70"/>
      <c r="AI24" s="37">
        <f t="shared" si="90"/>
        <v>0</v>
      </c>
      <c r="AJ24" s="37">
        <f t="shared" si="91"/>
        <v>0</v>
      </c>
      <c r="AK24" s="37">
        <f t="shared" si="32"/>
        <v>0</v>
      </c>
      <c r="AL24" s="250"/>
      <c r="AM24" s="42"/>
      <c r="AN24" s="37">
        <f t="shared" si="119"/>
        <v>0</v>
      </c>
      <c r="AO24" s="37">
        <f t="shared" si="138"/>
        <v>0</v>
      </c>
      <c r="AP24" s="250"/>
      <c r="AQ24" s="37"/>
      <c r="AR24" s="37">
        <f t="shared" si="92"/>
        <v>0</v>
      </c>
      <c r="AS24" s="37">
        <f t="shared" si="139"/>
        <v>0</v>
      </c>
      <c r="AT24" s="183"/>
      <c r="AU24" s="183"/>
      <c r="AV24" s="183"/>
      <c r="AW24" s="183"/>
      <c r="AX24" s="250"/>
      <c r="AY24" s="37"/>
      <c r="AZ24" s="37">
        <f t="shared" si="34"/>
        <v>0</v>
      </c>
      <c r="BA24" s="250"/>
      <c r="BB24" s="37"/>
      <c r="BC24" s="37">
        <f t="shared" si="93"/>
        <v>0</v>
      </c>
      <c r="BD24" s="37">
        <f t="shared" si="140"/>
        <v>0</v>
      </c>
      <c r="BE24" s="250"/>
      <c r="BF24" s="250"/>
      <c r="BG24" s="37">
        <f t="shared" si="36"/>
        <v>0</v>
      </c>
      <c r="BH24" s="250"/>
      <c r="BI24" s="250"/>
      <c r="BJ24" s="37">
        <f t="shared" si="37"/>
        <v>0</v>
      </c>
      <c r="BK24" s="250"/>
      <c r="BL24" s="40">
        <f t="shared" si="141"/>
        <v>0</v>
      </c>
      <c r="BM24" s="250"/>
      <c r="BN24" s="37">
        <f t="shared" si="38"/>
        <v>0</v>
      </c>
      <c r="BO24" s="186"/>
      <c r="BP24" s="183">
        <f t="shared" si="94"/>
        <v>0</v>
      </c>
      <c r="BQ24" s="250"/>
      <c r="BR24" s="37">
        <f t="shared" si="120"/>
        <v>0</v>
      </c>
      <c r="BS24" s="250"/>
      <c r="BT24" s="37">
        <f t="shared" si="39"/>
        <v>0</v>
      </c>
      <c r="BU24" s="250"/>
      <c r="BV24" s="42"/>
      <c r="BW24" s="37">
        <f t="shared" si="95"/>
        <v>0</v>
      </c>
      <c r="BX24" s="37">
        <f t="shared" si="142"/>
        <v>0</v>
      </c>
      <c r="BY24" s="250"/>
      <c r="BZ24" s="43"/>
      <c r="CA24" s="37">
        <f t="shared" si="156"/>
        <v>0</v>
      </c>
      <c r="CB24" s="37">
        <f t="shared" si="121"/>
        <v>0</v>
      </c>
      <c r="CC24" s="250"/>
      <c r="CD24" s="37">
        <f t="shared" si="42"/>
        <v>0</v>
      </c>
      <c r="CE24" s="250"/>
      <c r="CF24" s="37">
        <f t="shared" si="43"/>
        <v>0</v>
      </c>
      <c r="CG24" s="250"/>
      <c r="CH24" s="37">
        <f t="shared" si="122"/>
        <v>0</v>
      </c>
      <c r="CI24" s="250"/>
      <c r="CJ24" s="40"/>
      <c r="CK24" s="37">
        <f t="shared" si="123"/>
        <v>0</v>
      </c>
      <c r="CL24" s="37">
        <f t="shared" si="97"/>
        <v>0</v>
      </c>
      <c r="CM24" s="250"/>
      <c r="CN24" s="37"/>
      <c r="CO24" s="37">
        <f t="shared" si="45"/>
        <v>0</v>
      </c>
      <c r="CP24" s="37">
        <f t="shared" si="154"/>
        <v>0</v>
      </c>
      <c r="CQ24" s="250"/>
      <c r="CR24" s="39"/>
      <c r="CS24" s="37">
        <f t="shared" si="124"/>
        <v>0</v>
      </c>
      <c r="CT24" s="37">
        <f t="shared" si="143"/>
        <v>0</v>
      </c>
      <c r="CU24" s="250"/>
      <c r="CV24" s="37"/>
      <c r="CW24" s="38">
        <f t="shared" si="98"/>
        <v>0</v>
      </c>
      <c r="CX24" s="37">
        <f t="shared" si="144"/>
        <v>0</v>
      </c>
      <c r="CY24" s="250"/>
      <c r="CZ24" s="37"/>
      <c r="DA24" s="37">
        <f t="shared" si="99"/>
        <v>0</v>
      </c>
      <c r="DB24" s="37">
        <f t="shared" si="145"/>
        <v>0</v>
      </c>
      <c r="DC24" s="37"/>
      <c r="DD24" s="40"/>
      <c r="DE24" s="37">
        <f t="shared" si="100"/>
        <v>0</v>
      </c>
      <c r="DF24" s="37">
        <f t="shared" si="152"/>
        <v>0</v>
      </c>
      <c r="DG24" s="37">
        <f t="shared" si="101"/>
        <v>0</v>
      </c>
      <c r="DH24" s="37">
        <f t="shared" si="102"/>
        <v>0</v>
      </c>
      <c r="DI24" s="46"/>
      <c r="DJ24" s="46"/>
      <c r="DK24" s="47"/>
      <c r="DL24" s="47"/>
      <c r="DM24" s="37"/>
      <c r="DN24" s="37"/>
      <c r="DO24" s="37"/>
      <c r="DP24" s="37"/>
      <c r="DQ24" s="250"/>
      <c r="DR24" s="49">
        <f t="shared" si="125"/>
        <v>0</v>
      </c>
      <c r="DS24" s="250"/>
      <c r="DT24" s="49">
        <f>IF((DS24-DS23)&lt;=0,0,(DS24-DS23))</f>
        <v>0</v>
      </c>
      <c r="DU24" s="250"/>
      <c r="DV24" s="250"/>
      <c r="DW24" s="37">
        <f t="shared" si="146"/>
        <v>0</v>
      </c>
      <c r="DX24" s="250"/>
      <c r="DY24" s="250"/>
      <c r="DZ24" s="37">
        <f t="shared" si="51"/>
        <v>0</v>
      </c>
      <c r="EA24" s="250"/>
      <c r="EB24" s="250"/>
      <c r="EC24" s="37">
        <v>0</v>
      </c>
      <c r="ED24" s="53">
        <f t="shared" si="52"/>
        <v>0</v>
      </c>
      <c r="EE24" s="250"/>
      <c r="EF24" s="250"/>
      <c r="EG24" s="37">
        <v>0</v>
      </c>
      <c r="EH24" s="250"/>
      <c r="EI24" s="250"/>
      <c r="EJ24" s="37">
        <f t="shared" si="54"/>
        <v>0</v>
      </c>
      <c r="EK24" s="250"/>
      <c r="EL24" s="250"/>
      <c r="EM24" s="37">
        <f t="shared" si="127"/>
        <v>0</v>
      </c>
      <c r="EN24" s="54">
        <f t="shared" si="128"/>
        <v>0</v>
      </c>
      <c r="EO24" s="250"/>
      <c r="EP24" s="48"/>
      <c r="EQ24" s="37"/>
      <c r="ER24" s="250"/>
      <c r="ES24" s="48"/>
      <c r="ET24" s="49">
        <f t="shared" si="155"/>
        <v>0</v>
      </c>
      <c r="EU24" s="250"/>
      <c r="EV24" s="48"/>
      <c r="EW24" s="49">
        <f t="shared" si="56"/>
        <v>0</v>
      </c>
      <c r="EX24" s="250"/>
      <c r="EY24" s="48"/>
      <c r="EZ24" s="37">
        <f t="shared" si="103"/>
        <v>0</v>
      </c>
      <c r="FA24" s="48">
        <f t="shared" si="129"/>
        <v>0</v>
      </c>
      <c r="FB24" s="250"/>
      <c r="FC24" s="49">
        <f t="shared" si="147"/>
        <v>0</v>
      </c>
      <c r="FD24" s="48">
        <f t="shared" si="130"/>
        <v>0</v>
      </c>
      <c r="FE24" s="250"/>
      <c r="FF24" s="48"/>
      <c r="FG24" s="37"/>
      <c r="FH24" s="250"/>
      <c r="FI24" s="48"/>
      <c r="FJ24" s="49">
        <f t="shared" si="59"/>
        <v>0</v>
      </c>
      <c r="FK24" s="48"/>
      <c r="FL24" s="58"/>
      <c r="FM24" s="48">
        <f t="shared" si="148"/>
        <v>0</v>
      </c>
      <c r="FN24" s="250"/>
      <c r="FO24" s="48"/>
      <c r="FP24" s="37">
        <f t="shared" si="131"/>
        <v>0</v>
      </c>
      <c r="FQ24" s="250"/>
      <c r="FR24" s="48"/>
      <c r="FS24" s="37">
        <f t="shared" si="60"/>
        <v>0</v>
      </c>
      <c r="FT24" s="48">
        <f t="shared" si="149"/>
        <v>0</v>
      </c>
      <c r="FU24" s="48">
        <f t="shared" si="150"/>
        <v>0</v>
      </c>
      <c r="FV24" s="250"/>
      <c r="FW24" s="44"/>
      <c r="FX24" s="37">
        <f t="shared" si="61"/>
        <v>0</v>
      </c>
      <c r="FY24" s="250"/>
      <c r="FZ24" s="56"/>
      <c r="GA24" s="37">
        <f t="shared" si="62"/>
        <v>0</v>
      </c>
      <c r="GB24" s="250"/>
      <c r="GC24" s="56"/>
      <c r="GD24" s="37">
        <f t="shared" si="63"/>
        <v>0</v>
      </c>
      <c r="GE24" s="250"/>
      <c r="GF24" s="56"/>
      <c r="GG24" s="37">
        <f t="shared" si="64"/>
        <v>0</v>
      </c>
      <c r="GH24" s="250"/>
      <c r="GI24" s="162"/>
      <c r="GJ24" s="38">
        <f t="shared" si="132"/>
        <v>0</v>
      </c>
      <c r="GK24" s="250"/>
      <c r="GL24" s="163"/>
      <c r="GM24" s="38">
        <f t="shared" si="104"/>
        <v>0</v>
      </c>
      <c r="GN24" s="250"/>
      <c r="GO24" s="57"/>
      <c r="GP24" s="38">
        <f t="shared" si="65"/>
        <v>0</v>
      </c>
      <c r="GQ24" s="250"/>
      <c r="GR24" s="38"/>
      <c r="GS24" s="38">
        <f t="shared" si="133"/>
        <v>0</v>
      </c>
      <c r="GT24" s="247"/>
      <c r="GU24" s="144">
        <f>IFERROR(DailyNov!B22-DailyNov!N22-DailyNov!V22-DailyNov!Y22-DailyNov!Z22-DailyNov!AA22-DailyNov!AB22-DailyNov!AC22-DailyNov!AD22-DailyNov!AE22-DailyNov!AK22-DailyNov!AO22-DailyNov!AS22-DailyNov!AY22-DailyNov!BD22+DailyNov!BU22-DailyNov!BG22-DailyNov!BT22-DailyNov!AF22-DailyNov!AG22,"-")</f>
        <v>0</v>
      </c>
      <c r="GV24" s="261"/>
      <c r="GW24" s="60">
        <f t="shared" si="66"/>
        <v>0</v>
      </c>
      <c r="GX24" s="260"/>
      <c r="GY24" s="140"/>
      <c r="GZ24" s="528"/>
      <c r="HA24" s="528"/>
      <c r="HB24" s="528"/>
      <c r="HC24" s="528"/>
      <c r="HD24" s="74"/>
      <c r="HE24" s="24">
        <f t="shared" si="105"/>
        <v>0</v>
      </c>
      <c r="HF24" s="255"/>
      <c r="HG24" s="279">
        <v>17</v>
      </c>
      <c r="HH24" s="292"/>
      <c r="HI24" s="292"/>
      <c r="HJ24" s="61">
        <f t="shared" si="67"/>
        <v>0</v>
      </c>
      <c r="HK24" s="260"/>
      <c r="HL24" s="292"/>
      <c r="HM24" s="61">
        <f t="shared" si="68"/>
        <v>0</v>
      </c>
      <c r="HN24" s="292"/>
      <c r="HO24" s="292"/>
      <c r="HP24" s="61">
        <f t="shared" si="106"/>
        <v>0</v>
      </c>
      <c r="HQ24" s="292"/>
      <c r="HR24" s="292"/>
      <c r="HS24" s="61">
        <f t="shared" si="107"/>
        <v>0</v>
      </c>
      <c r="HT24" s="292"/>
      <c r="HU24" s="292"/>
      <c r="HV24" s="61">
        <f t="shared" si="108"/>
        <v>0</v>
      </c>
      <c r="HW24" s="292"/>
      <c r="HX24" s="292"/>
      <c r="HY24" s="61">
        <f t="shared" si="109"/>
        <v>0</v>
      </c>
      <c r="HZ24" s="260"/>
      <c r="IA24" s="260"/>
      <c r="IB24" s="61">
        <f t="shared" si="110"/>
        <v>0</v>
      </c>
      <c r="IC24" s="292"/>
      <c r="ID24" s="292"/>
      <c r="IE24" s="61">
        <f t="shared" si="153"/>
        <v>0</v>
      </c>
      <c r="IF24" s="61"/>
      <c r="IG24" s="61"/>
      <c r="IH24" s="280">
        <f t="shared" si="71"/>
        <v>0</v>
      </c>
      <c r="II24" s="281">
        <f t="shared" si="72"/>
        <v>0</v>
      </c>
      <c r="IJ24" s="380"/>
      <c r="IK24" s="380"/>
      <c r="IL24" s="380">
        <f t="shared" si="73"/>
        <v>0</v>
      </c>
      <c r="IM24" s="380"/>
      <c r="IN24" s="380"/>
      <c r="IO24" s="380">
        <f t="shared" si="74"/>
        <v>0</v>
      </c>
      <c r="IP24" s="380"/>
      <c r="IQ24" s="380"/>
      <c r="IR24" s="380">
        <f t="shared" si="75"/>
        <v>0</v>
      </c>
      <c r="IS24" s="380"/>
      <c r="IT24" s="380"/>
      <c r="IU24" s="380">
        <f t="shared" si="111"/>
        <v>0</v>
      </c>
      <c r="IV24" s="380"/>
      <c r="IW24" s="380"/>
      <c r="IX24" s="380">
        <f t="shared" si="112"/>
        <v>0</v>
      </c>
      <c r="IY24" s="380"/>
      <c r="IZ24" s="380"/>
      <c r="JA24" s="380">
        <f t="shared" si="113"/>
        <v>0</v>
      </c>
      <c r="JB24" s="380"/>
      <c r="JC24" s="380"/>
      <c r="JD24" s="380">
        <f t="shared" si="114"/>
        <v>0</v>
      </c>
      <c r="JE24" s="380"/>
      <c r="JF24" s="380"/>
      <c r="JG24" s="380">
        <f t="shared" si="115"/>
        <v>0</v>
      </c>
      <c r="JH24" s="380"/>
      <c r="JI24" s="380"/>
      <c r="JJ24" s="380">
        <f t="shared" si="81"/>
        <v>0</v>
      </c>
      <c r="JK24" s="380"/>
      <c r="JL24" s="380"/>
      <c r="JM24" s="380">
        <f t="shared" si="82"/>
        <v>0</v>
      </c>
      <c r="JN24" s="380"/>
      <c r="JO24" s="380"/>
      <c r="JP24" s="380">
        <f t="shared" si="83"/>
        <v>0</v>
      </c>
      <c r="JQ24" s="380"/>
      <c r="JR24" s="380"/>
      <c r="JS24" s="380">
        <f t="shared" si="84"/>
        <v>0</v>
      </c>
      <c r="JT24" s="380"/>
      <c r="JU24" s="380"/>
      <c r="JV24" s="380">
        <f t="shared" si="85"/>
        <v>0</v>
      </c>
      <c r="JW24" s="380"/>
      <c r="JX24" s="380"/>
      <c r="JY24" s="380">
        <f t="shared" si="86"/>
        <v>0</v>
      </c>
      <c r="JZ24" s="380"/>
      <c r="KA24" s="380"/>
      <c r="KB24" s="380">
        <f t="shared" si="116"/>
        <v>0</v>
      </c>
      <c r="KC24" s="380"/>
      <c r="KD24" s="380"/>
      <c r="KE24" s="380">
        <f t="shared" si="117"/>
        <v>0</v>
      </c>
      <c r="KG24" s="151">
        <f t="shared" si="89"/>
        <v>0</v>
      </c>
    </row>
    <row r="25" spans="1:293" x14ac:dyDescent="0.25">
      <c r="A25" s="35">
        <f t="shared" si="118"/>
        <v>18</v>
      </c>
      <c r="B25" s="250"/>
      <c r="C25" s="38">
        <f t="shared" si="21"/>
        <v>0</v>
      </c>
      <c r="D25" s="38">
        <f t="shared" si="22"/>
        <v>0</v>
      </c>
      <c r="E25" s="250"/>
      <c r="F25" s="38">
        <f t="shared" si="23"/>
        <v>0</v>
      </c>
      <c r="G25" s="38">
        <f t="shared" si="24"/>
        <v>0</v>
      </c>
      <c r="H25" s="37"/>
      <c r="I25" s="39"/>
      <c r="J25" s="42"/>
      <c r="K25" s="37">
        <f t="shared" si="157"/>
        <v>0</v>
      </c>
      <c r="L25" s="250"/>
      <c r="M25" s="40"/>
      <c r="N25" s="37">
        <f t="shared" si="135"/>
        <v>0</v>
      </c>
      <c r="O25" s="250"/>
      <c r="P25" s="37"/>
      <c r="Q25" s="37">
        <f t="shared" si="158"/>
        <v>0</v>
      </c>
      <c r="R25" s="37">
        <f t="shared" si="159"/>
        <v>0</v>
      </c>
      <c r="S25" s="250"/>
      <c r="T25" s="37">
        <f t="shared" si="26"/>
        <v>0</v>
      </c>
      <c r="U25" s="250"/>
      <c r="V25" s="37">
        <f t="shared" si="27"/>
        <v>0</v>
      </c>
      <c r="W25" s="250"/>
      <c r="X25" s="37">
        <f t="shared" si="151"/>
        <v>0</v>
      </c>
      <c r="Y25" s="183"/>
      <c r="Z25" s="183"/>
      <c r="AA25" s="250"/>
      <c r="AB25" s="37">
        <f t="shared" si="28"/>
        <v>0</v>
      </c>
      <c r="AC25" s="250"/>
      <c r="AD25" s="37"/>
      <c r="AE25" s="37">
        <f t="shared" si="160"/>
        <v>0</v>
      </c>
      <c r="AF25" s="37">
        <f t="shared" si="161"/>
        <v>0</v>
      </c>
      <c r="AG25" s="250"/>
      <c r="AH25" s="37"/>
      <c r="AI25" s="37">
        <f t="shared" si="90"/>
        <v>0</v>
      </c>
      <c r="AJ25" s="37">
        <f t="shared" si="91"/>
        <v>0</v>
      </c>
      <c r="AK25" s="37">
        <f t="shared" si="32"/>
        <v>0</v>
      </c>
      <c r="AL25" s="250"/>
      <c r="AM25" s="42"/>
      <c r="AN25" s="37">
        <f t="shared" si="119"/>
        <v>0</v>
      </c>
      <c r="AO25" s="37">
        <f t="shared" si="138"/>
        <v>0</v>
      </c>
      <c r="AP25" s="250"/>
      <c r="AQ25" s="37"/>
      <c r="AR25" s="37">
        <f t="shared" si="92"/>
        <v>0</v>
      </c>
      <c r="AS25" s="37">
        <f t="shared" si="139"/>
        <v>0</v>
      </c>
      <c r="AT25" s="183"/>
      <c r="AU25" s="183"/>
      <c r="AV25" s="183"/>
      <c r="AW25" s="183"/>
      <c r="AX25" s="250"/>
      <c r="AY25" s="37"/>
      <c r="AZ25" s="37">
        <f t="shared" si="34"/>
        <v>0</v>
      </c>
      <c r="BA25" s="250"/>
      <c r="BB25" s="37"/>
      <c r="BC25" s="37">
        <f t="shared" si="93"/>
        <v>0</v>
      </c>
      <c r="BD25" s="37">
        <f>AN25+AR25+AZ25+BC25</f>
        <v>0</v>
      </c>
      <c r="BE25" s="250"/>
      <c r="BF25" s="250"/>
      <c r="BG25" s="37">
        <f t="shared" si="36"/>
        <v>0</v>
      </c>
      <c r="BH25" s="250"/>
      <c r="BI25" s="250"/>
      <c r="BJ25" s="37">
        <f t="shared" si="37"/>
        <v>0</v>
      </c>
      <c r="BK25" s="250"/>
      <c r="BL25" s="40">
        <f t="shared" si="141"/>
        <v>0</v>
      </c>
      <c r="BM25" s="250"/>
      <c r="BN25" s="37">
        <f t="shared" si="38"/>
        <v>0</v>
      </c>
      <c r="BO25" s="186"/>
      <c r="BP25" s="183">
        <f t="shared" si="94"/>
        <v>0</v>
      </c>
      <c r="BQ25" s="250"/>
      <c r="BR25" s="37">
        <f t="shared" si="120"/>
        <v>0</v>
      </c>
      <c r="BS25" s="250"/>
      <c r="BT25" s="37">
        <f t="shared" si="39"/>
        <v>0</v>
      </c>
      <c r="BU25" s="250"/>
      <c r="BV25" s="42"/>
      <c r="BW25" s="37">
        <f t="shared" si="95"/>
        <v>0</v>
      </c>
      <c r="BX25" s="37">
        <f t="shared" si="142"/>
        <v>0</v>
      </c>
      <c r="BY25" s="250"/>
      <c r="BZ25" s="37"/>
      <c r="CA25" s="37">
        <f t="shared" si="156"/>
        <v>0</v>
      </c>
      <c r="CB25" s="37">
        <f t="shared" si="121"/>
        <v>0</v>
      </c>
      <c r="CC25" s="250"/>
      <c r="CD25" s="37">
        <f t="shared" si="42"/>
        <v>0</v>
      </c>
      <c r="CE25" s="250"/>
      <c r="CF25" s="37">
        <f t="shared" si="43"/>
        <v>0</v>
      </c>
      <c r="CG25" s="250"/>
      <c r="CH25" s="37">
        <f t="shared" si="122"/>
        <v>0</v>
      </c>
      <c r="CI25" s="250"/>
      <c r="CJ25" s="40"/>
      <c r="CK25" s="37">
        <f t="shared" si="123"/>
        <v>0</v>
      </c>
      <c r="CL25" s="37">
        <f t="shared" si="97"/>
        <v>0</v>
      </c>
      <c r="CM25" s="250"/>
      <c r="CN25" s="37"/>
      <c r="CO25" s="37">
        <f t="shared" si="45"/>
        <v>0</v>
      </c>
      <c r="CP25" s="37">
        <f t="shared" si="154"/>
        <v>0</v>
      </c>
      <c r="CQ25" s="250"/>
      <c r="CR25" s="39"/>
      <c r="CS25" s="37">
        <f t="shared" si="124"/>
        <v>0</v>
      </c>
      <c r="CT25" s="37">
        <f t="shared" si="143"/>
        <v>0</v>
      </c>
      <c r="CU25" s="250"/>
      <c r="CV25" s="37"/>
      <c r="CW25" s="38">
        <f t="shared" si="98"/>
        <v>0</v>
      </c>
      <c r="CX25" s="37">
        <f t="shared" si="144"/>
        <v>0</v>
      </c>
      <c r="CY25" s="250"/>
      <c r="CZ25" s="37"/>
      <c r="DA25" s="37">
        <f t="shared" si="99"/>
        <v>0</v>
      </c>
      <c r="DB25" s="37">
        <f t="shared" si="145"/>
        <v>0</v>
      </c>
      <c r="DC25" s="37"/>
      <c r="DD25" s="40"/>
      <c r="DE25" s="37">
        <f t="shared" si="100"/>
        <v>0</v>
      </c>
      <c r="DF25" s="37">
        <f t="shared" si="152"/>
        <v>0</v>
      </c>
      <c r="DG25" s="37">
        <f t="shared" si="101"/>
        <v>0</v>
      </c>
      <c r="DH25" s="37">
        <f t="shared" si="102"/>
        <v>0</v>
      </c>
      <c r="DI25" s="46"/>
      <c r="DJ25" s="46"/>
      <c r="DK25" s="47"/>
      <c r="DL25" s="47"/>
      <c r="DM25" s="37"/>
      <c r="DN25" s="37"/>
      <c r="DO25" s="37"/>
      <c r="DP25" s="37"/>
      <c r="DQ25" s="250"/>
      <c r="DR25" s="49">
        <f t="shared" si="125"/>
        <v>0</v>
      </c>
      <c r="DS25" s="250"/>
      <c r="DT25" s="49">
        <f>IF((DS25-DS24)&lt;=0,0,(DS25-DS24))</f>
        <v>0</v>
      </c>
      <c r="DU25" s="250"/>
      <c r="DV25" s="250"/>
      <c r="DW25" s="37">
        <f t="shared" si="146"/>
        <v>0</v>
      </c>
      <c r="DX25" s="250"/>
      <c r="DY25" s="250"/>
      <c r="DZ25" s="37">
        <f t="shared" si="51"/>
        <v>0</v>
      </c>
      <c r="EA25" s="250"/>
      <c r="EB25" s="250"/>
      <c r="EC25" s="37">
        <v>0</v>
      </c>
      <c r="ED25" s="53">
        <f t="shared" si="52"/>
        <v>0</v>
      </c>
      <c r="EE25" s="250"/>
      <c r="EF25" s="250"/>
      <c r="EG25" s="37">
        <v>0</v>
      </c>
      <c r="EH25" s="250"/>
      <c r="EI25" s="250"/>
      <c r="EJ25" s="37">
        <f t="shared" si="54"/>
        <v>0</v>
      </c>
      <c r="EK25" s="250"/>
      <c r="EL25" s="250"/>
      <c r="EM25" s="37">
        <f t="shared" si="127"/>
        <v>0</v>
      </c>
      <c r="EN25" s="54">
        <f t="shared" si="128"/>
        <v>0</v>
      </c>
      <c r="EO25" s="250"/>
      <c r="EP25" s="48"/>
      <c r="EQ25" s="37"/>
      <c r="ER25" s="250"/>
      <c r="ES25" s="48"/>
      <c r="ET25" s="49">
        <f t="shared" si="155"/>
        <v>0</v>
      </c>
      <c r="EU25" s="250"/>
      <c r="EV25" s="48"/>
      <c r="EW25" s="49">
        <f t="shared" si="56"/>
        <v>0</v>
      </c>
      <c r="EX25" s="250"/>
      <c r="EY25" s="48"/>
      <c r="EZ25" s="37">
        <f t="shared" si="103"/>
        <v>0</v>
      </c>
      <c r="FA25" s="48">
        <f t="shared" si="129"/>
        <v>0</v>
      </c>
      <c r="FB25" s="250"/>
      <c r="FC25" s="49">
        <f t="shared" si="147"/>
        <v>0</v>
      </c>
      <c r="FD25" s="48">
        <f t="shared" si="130"/>
        <v>0</v>
      </c>
      <c r="FE25" s="250"/>
      <c r="FF25" s="48"/>
      <c r="FG25" s="37"/>
      <c r="FH25" s="250"/>
      <c r="FI25" s="48"/>
      <c r="FJ25" s="49">
        <f t="shared" si="59"/>
        <v>0</v>
      </c>
      <c r="FK25" s="48"/>
      <c r="FL25" s="58"/>
      <c r="FM25" s="48">
        <f t="shared" si="148"/>
        <v>0</v>
      </c>
      <c r="FN25" s="250"/>
      <c r="FO25" s="48"/>
      <c r="FP25" s="37">
        <f t="shared" si="131"/>
        <v>0</v>
      </c>
      <c r="FQ25" s="250"/>
      <c r="FR25" s="48"/>
      <c r="FS25" s="37">
        <f t="shared" si="60"/>
        <v>0</v>
      </c>
      <c r="FT25" s="48">
        <f t="shared" si="149"/>
        <v>0</v>
      </c>
      <c r="FU25" s="48">
        <f t="shared" si="150"/>
        <v>0</v>
      </c>
      <c r="FV25" s="250"/>
      <c r="FW25" s="44"/>
      <c r="FX25" s="37">
        <f t="shared" si="61"/>
        <v>0</v>
      </c>
      <c r="FY25" s="250"/>
      <c r="FZ25" s="56"/>
      <c r="GA25" s="37">
        <f t="shared" si="62"/>
        <v>0</v>
      </c>
      <c r="GB25" s="250"/>
      <c r="GC25" s="56"/>
      <c r="GD25" s="37">
        <f t="shared" si="63"/>
        <v>0</v>
      </c>
      <c r="GE25" s="250"/>
      <c r="GF25" s="56"/>
      <c r="GG25" s="37">
        <f t="shared" si="64"/>
        <v>0</v>
      </c>
      <c r="GH25" s="250"/>
      <c r="GI25" s="159"/>
      <c r="GJ25" s="38">
        <f t="shared" si="132"/>
        <v>0</v>
      </c>
      <c r="GK25" s="250"/>
      <c r="GL25" s="160"/>
      <c r="GM25" s="38">
        <f t="shared" si="104"/>
        <v>0</v>
      </c>
      <c r="GN25" s="250"/>
      <c r="GO25" s="57"/>
      <c r="GP25" s="38">
        <f t="shared" si="65"/>
        <v>0</v>
      </c>
      <c r="GQ25" s="250"/>
      <c r="GR25" s="38"/>
      <c r="GS25" s="38">
        <f t="shared" si="133"/>
        <v>0</v>
      </c>
      <c r="GT25" s="247"/>
      <c r="GU25" s="144">
        <f>IFERROR(DailyNov!B23-DailyNov!N23-DailyNov!V23-DailyNov!Y23-DailyNov!Z23-DailyNov!AA23-DailyNov!AB23-DailyNov!AC23-DailyNov!AD23-DailyNov!AE23-DailyNov!AK23-DailyNov!AO23-DailyNov!AS23-DailyNov!AY23-DailyNov!BD23+DailyNov!BU23-DailyNov!BG23-DailyNov!BT23-DailyNov!AF23-DailyNov!AG23,"-")</f>
        <v>0</v>
      </c>
      <c r="GV25" s="261"/>
      <c r="GW25" s="60">
        <f t="shared" si="66"/>
        <v>0</v>
      </c>
      <c r="GX25" s="260"/>
      <c r="GY25" s="140"/>
      <c r="GZ25" s="528"/>
      <c r="HA25" s="528"/>
      <c r="HB25" s="528"/>
      <c r="HC25" s="528"/>
      <c r="HD25" s="74"/>
      <c r="HE25" s="24">
        <f t="shared" si="105"/>
        <v>0</v>
      </c>
      <c r="HF25" s="255"/>
      <c r="HG25" s="279">
        <v>18</v>
      </c>
      <c r="HH25" s="292"/>
      <c r="HI25" s="292"/>
      <c r="HJ25" s="61">
        <f t="shared" si="67"/>
        <v>0</v>
      </c>
      <c r="HK25" s="260"/>
      <c r="HL25" s="292"/>
      <c r="HM25" s="61">
        <f t="shared" si="68"/>
        <v>0</v>
      </c>
      <c r="HN25" s="292"/>
      <c r="HO25" s="292"/>
      <c r="HP25" s="61">
        <f t="shared" si="106"/>
        <v>0</v>
      </c>
      <c r="HQ25" s="292"/>
      <c r="HR25" s="292"/>
      <c r="HS25" s="61">
        <f t="shared" si="107"/>
        <v>0</v>
      </c>
      <c r="HT25" s="292"/>
      <c r="HU25" s="292"/>
      <c r="HV25" s="61">
        <f t="shared" si="108"/>
        <v>0</v>
      </c>
      <c r="HW25" s="292"/>
      <c r="HX25" s="292"/>
      <c r="HY25" s="61">
        <f t="shared" si="109"/>
        <v>0</v>
      </c>
      <c r="HZ25" s="260"/>
      <c r="IA25" s="260"/>
      <c r="IB25" s="61">
        <f t="shared" si="110"/>
        <v>0</v>
      </c>
      <c r="IC25" s="292"/>
      <c r="ID25" s="292"/>
      <c r="IE25" s="61">
        <f t="shared" si="153"/>
        <v>0</v>
      </c>
      <c r="IF25" s="61"/>
      <c r="IG25" s="61"/>
      <c r="IH25" s="280">
        <f t="shared" si="71"/>
        <v>0</v>
      </c>
      <c r="II25" s="281">
        <f t="shared" si="72"/>
        <v>0</v>
      </c>
      <c r="IJ25" s="380"/>
      <c r="IK25" s="380"/>
      <c r="IL25" s="380">
        <f t="shared" si="73"/>
        <v>0</v>
      </c>
      <c r="IM25" s="380"/>
      <c r="IN25" s="380"/>
      <c r="IO25" s="380">
        <f t="shared" si="74"/>
        <v>0</v>
      </c>
      <c r="IP25" s="380"/>
      <c r="IQ25" s="380"/>
      <c r="IR25" s="380">
        <f t="shared" si="75"/>
        <v>0</v>
      </c>
      <c r="IS25" s="380"/>
      <c r="IT25" s="380"/>
      <c r="IU25" s="380">
        <f t="shared" si="111"/>
        <v>0</v>
      </c>
      <c r="IV25" s="380"/>
      <c r="IW25" s="380"/>
      <c r="IX25" s="380">
        <f t="shared" si="112"/>
        <v>0</v>
      </c>
      <c r="IY25" s="380"/>
      <c r="IZ25" s="380"/>
      <c r="JA25" s="380">
        <f t="shared" si="113"/>
        <v>0</v>
      </c>
      <c r="JB25" s="380"/>
      <c r="JC25" s="380"/>
      <c r="JD25" s="380">
        <f t="shared" si="114"/>
        <v>0</v>
      </c>
      <c r="JE25" s="380"/>
      <c r="JF25" s="380"/>
      <c r="JG25" s="380">
        <f t="shared" si="115"/>
        <v>0</v>
      </c>
      <c r="JH25" s="380"/>
      <c r="JI25" s="380"/>
      <c r="JJ25" s="380">
        <f t="shared" si="81"/>
        <v>0</v>
      </c>
      <c r="JK25" s="380"/>
      <c r="JL25" s="380"/>
      <c r="JM25" s="380">
        <f t="shared" si="82"/>
        <v>0</v>
      </c>
      <c r="JN25" s="380"/>
      <c r="JO25" s="380"/>
      <c r="JP25" s="380">
        <f t="shared" si="83"/>
        <v>0</v>
      </c>
      <c r="JQ25" s="380"/>
      <c r="JR25" s="380"/>
      <c r="JS25" s="380">
        <f t="shared" si="84"/>
        <v>0</v>
      </c>
      <c r="JT25" s="380"/>
      <c r="JU25" s="380"/>
      <c r="JV25" s="380">
        <f t="shared" si="85"/>
        <v>0</v>
      </c>
      <c r="JW25" s="380"/>
      <c r="JX25" s="380"/>
      <c r="JY25" s="380">
        <f t="shared" si="86"/>
        <v>0</v>
      </c>
      <c r="JZ25" s="380"/>
      <c r="KA25" s="380"/>
      <c r="KB25" s="380">
        <f t="shared" si="116"/>
        <v>0</v>
      </c>
      <c r="KC25" s="380"/>
      <c r="KD25" s="380"/>
      <c r="KE25" s="380">
        <f t="shared" si="117"/>
        <v>0</v>
      </c>
      <c r="KG25" s="151">
        <f t="shared" si="89"/>
        <v>0</v>
      </c>
    </row>
    <row r="26" spans="1:293" x14ac:dyDescent="0.25">
      <c r="A26" s="35">
        <f t="shared" si="118"/>
        <v>19</v>
      </c>
      <c r="B26" s="250"/>
      <c r="C26" s="38">
        <f t="shared" si="21"/>
        <v>0</v>
      </c>
      <c r="D26" s="38">
        <f t="shared" si="22"/>
        <v>0</v>
      </c>
      <c r="E26" s="250"/>
      <c r="F26" s="38">
        <f t="shared" si="23"/>
        <v>0</v>
      </c>
      <c r="G26" s="38">
        <f t="shared" si="24"/>
        <v>0</v>
      </c>
      <c r="H26" s="37"/>
      <c r="I26" s="39"/>
      <c r="J26" s="42"/>
      <c r="K26" s="37">
        <f t="shared" si="134"/>
        <v>0</v>
      </c>
      <c r="L26" s="250"/>
      <c r="M26" s="40"/>
      <c r="N26" s="37">
        <f t="shared" si="135"/>
        <v>0</v>
      </c>
      <c r="O26" s="250"/>
      <c r="P26" s="70"/>
      <c r="Q26" s="37">
        <f t="shared" si="158"/>
        <v>0</v>
      </c>
      <c r="R26" s="37">
        <f t="shared" si="136"/>
        <v>0</v>
      </c>
      <c r="S26" s="250"/>
      <c r="T26" s="37">
        <f t="shared" si="26"/>
        <v>0</v>
      </c>
      <c r="U26" s="250"/>
      <c r="V26" s="37">
        <f t="shared" si="27"/>
        <v>0</v>
      </c>
      <c r="W26" s="250"/>
      <c r="X26" s="37">
        <f t="shared" si="151"/>
        <v>0</v>
      </c>
      <c r="Y26" s="183"/>
      <c r="Z26" s="183"/>
      <c r="AA26" s="250"/>
      <c r="AB26" s="37">
        <f t="shared" si="28"/>
        <v>0</v>
      </c>
      <c r="AC26" s="250"/>
      <c r="AD26" s="37"/>
      <c r="AE26" s="37">
        <f t="shared" si="160"/>
        <v>0</v>
      </c>
      <c r="AF26" s="37">
        <f t="shared" si="137"/>
        <v>0</v>
      </c>
      <c r="AG26" s="250"/>
      <c r="AH26" s="37"/>
      <c r="AI26" s="37">
        <f t="shared" si="90"/>
        <v>0</v>
      </c>
      <c r="AJ26" s="37">
        <f t="shared" si="91"/>
        <v>0</v>
      </c>
      <c r="AK26" s="37">
        <f t="shared" si="32"/>
        <v>0</v>
      </c>
      <c r="AL26" s="250"/>
      <c r="AM26" s="42"/>
      <c r="AN26" s="37">
        <f t="shared" si="119"/>
        <v>0</v>
      </c>
      <c r="AO26" s="37">
        <f t="shared" si="138"/>
        <v>0</v>
      </c>
      <c r="AP26" s="250"/>
      <c r="AQ26" s="37"/>
      <c r="AR26" s="37">
        <f t="shared" si="92"/>
        <v>0</v>
      </c>
      <c r="AS26" s="37">
        <f t="shared" si="139"/>
        <v>0</v>
      </c>
      <c r="AT26" s="183"/>
      <c r="AU26" s="183"/>
      <c r="AV26" s="183"/>
      <c r="AW26" s="183"/>
      <c r="AX26" s="250"/>
      <c r="AY26" s="37"/>
      <c r="AZ26" s="37">
        <f t="shared" si="34"/>
        <v>0</v>
      </c>
      <c r="BA26" s="250"/>
      <c r="BB26" s="37"/>
      <c r="BC26" s="37">
        <f t="shared" si="93"/>
        <v>0</v>
      </c>
      <c r="BD26" s="37">
        <f t="shared" si="140"/>
        <v>0</v>
      </c>
      <c r="BE26" s="250"/>
      <c r="BF26" s="250"/>
      <c r="BG26" s="37">
        <f t="shared" si="36"/>
        <v>0</v>
      </c>
      <c r="BH26" s="250"/>
      <c r="BI26" s="250"/>
      <c r="BJ26" s="37">
        <f t="shared" si="37"/>
        <v>0</v>
      </c>
      <c r="BK26" s="250"/>
      <c r="BL26" s="40">
        <f t="shared" si="141"/>
        <v>0</v>
      </c>
      <c r="BM26" s="250"/>
      <c r="BN26" s="37">
        <f t="shared" si="38"/>
        <v>0</v>
      </c>
      <c r="BO26" s="186"/>
      <c r="BP26" s="183">
        <f t="shared" si="94"/>
        <v>0</v>
      </c>
      <c r="BQ26" s="250"/>
      <c r="BR26" s="37">
        <f t="shared" si="120"/>
        <v>0</v>
      </c>
      <c r="BS26" s="250"/>
      <c r="BT26" s="37">
        <f t="shared" si="39"/>
        <v>0</v>
      </c>
      <c r="BU26" s="250"/>
      <c r="BV26" s="42"/>
      <c r="BW26" s="37">
        <f t="shared" si="95"/>
        <v>0</v>
      </c>
      <c r="BX26" s="37">
        <f t="shared" si="142"/>
        <v>0</v>
      </c>
      <c r="BY26" s="250"/>
      <c r="BZ26" s="37"/>
      <c r="CA26" s="37">
        <f t="shared" si="156"/>
        <v>0</v>
      </c>
      <c r="CB26" s="37">
        <f t="shared" si="121"/>
        <v>0</v>
      </c>
      <c r="CC26" s="250"/>
      <c r="CD26" s="37">
        <f t="shared" si="42"/>
        <v>0</v>
      </c>
      <c r="CE26" s="250"/>
      <c r="CF26" s="37">
        <f t="shared" si="43"/>
        <v>0</v>
      </c>
      <c r="CG26" s="250"/>
      <c r="CH26" s="37">
        <f t="shared" si="122"/>
        <v>0</v>
      </c>
      <c r="CI26" s="250"/>
      <c r="CJ26" s="40"/>
      <c r="CK26" s="37">
        <f t="shared" si="123"/>
        <v>0</v>
      </c>
      <c r="CL26" s="37">
        <f t="shared" si="97"/>
        <v>0</v>
      </c>
      <c r="CM26" s="250"/>
      <c r="CN26" s="37"/>
      <c r="CO26" s="37">
        <f t="shared" si="45"/>
        <v>0</v>
      </c>
      <c r="CP26" s="37">
        <f t="shared" si="154"/>
        <v>0</v>
      </c>
      <c r="CQ26" s="250"/>
      <c r="CR26" s="39"/>
      <c r="CS26" s="37">
        <f t="shared" si="124"/>
        <v>0</v>
      </c>
      <c r="CT26" s="37">
        <f t="shared" si="143"/>
        <v>0</v>
      </c>
      <c r="CU26" s="250"/>
      <c r="CV26" s="37"/>
      <c r="CW26" s="38">
        <f t="shared" si="98"/>
        <v>0</v>
      </c>
      <c r="CX26" s="37">
        <f t="shared" si="144"/>
        <v>0</v>
      </c>
      <c r="CY26" s="250"/>
      <c r="CZ26" s="37"/>
      <c r="DA26" s="37">
        <f t="shared" si="99"/>
        <v>0</v>
      </c>
      <c r="DB26" s="37">
        <f t="shared" si="145"/>
        <v>0</v>
      </c>
      <c r="DC26" s="37"/>
      <c r="DD26" s="40"/>
      <c r="DE26" s="37">
        <f t="shared" si="100"/>
        <v>0</v>
      </c>
      <c r="DF26" s="37">
        <f t="shared" si="152"/>
        <v>0</v>
      </c>
      <c r="DG26" s="37">
        <f t="shared" si="101"/>
        <v>0</v>
      </c>
      <c r="DH26" s="37">
        <f t="shared" si="102"/>
        <v>0</v>
      </c>
      <c r="DI26" s="46"/>
      <c r="DJ26" s="46"/>
      <c r="DK26" s="47"/>
      <c r="DL26" s="47"/>
      <c r="DM26" s="37"/>
      <c r="DN26" s="37"/>
      <c r="DO26" s="37"/>
      <c r="DP26" s="37"/>
      <c r="DQ26" s="250"/>
      <c r="DR26" s="49">
        <f t="shared" si="125"/>
        <v>0</v>
      </c>
      <c r="DS26" s="250"/>
      <c r="DT26" s="49">
        <f t="shared" si="126"/>
        <v>0</v>
      </c>
      <c r="DU26" s="250"/>
      <c r="DV26" s="250"/>
      <c r="DW26" s="37">
        <f t="shared" si="146"/>
        <v>0</v>
      </c>
      <c r="DX26" s="250"/>
      <c r="DY26" s="250"/>
      <c r="DZ26" s="37">
        <f t="shared" si="51"/>
        <v>0</v>
      </c>
      <c r="EA26" s="250"/>
      <c r="EB26" s="250"/>
      <c r="EC26" s="37">
        <v>0</v>
      </c>
      <c r="ED26" s="53">
        <f t="shared" si="52"/>
        <v>0</v>
      </c>
      <c r="EE26" s="250"/>
      <c r="EF26" s="250"/>
      <c r="EG26" s="37">
        <v>0</v>
      </c>
      <c r="EH26" s="250"/>
      <c r="EI26" s="250"/>
      <c r="EJ26" s="37">
        <f t="shared" si="54"/>
        <v>0</v>
      </c>
      <c r="EK26" s="250"/>
      <c r="EL26" s="250"/>
      <c r="EM26" s="37">
        <f t="shared" si="127"/>
        <v>0</v>
      </c>
      <c r="EN26" s="54">
        <f t="shared" si="128"/>
        <v>0</v>
      </c>
      <c r="EO26" s="250"/>
      <c r="EP26" s="48"/>
      <c r="EQ26" s="37"/>
      <c r="ER26" s="250"/>
      <c r="ES26" s="48"/>
      <c r="ET26" s="49">
        <f t="shared" si="155"/>
        <v>0</v>
      </c>
      <c r="EU26" s="250"/>
      <c r="EV26" s="48"/>
      <c r="EW26" s="49">
        <f t="shared" si="56"/>
        <v>0</v>
      </c>
      <c r="EX26" s="250"/>
      <c r="EY26" s="48"/>
      <c r="EZ26" s="37">
        <f t="shared" si="103"/>
        <v>0</v>
      </c>
      <c r="FA26" s="48">
        <f t="shared" si="129"/>
        <v>0</v>
      </c>
      <c r="FB26" s="250"/>
      <c r="FC26" s="49">
        <f t="shared" si="147"/>
        <v>0</v>
      </c>
      <c r="FD26" s="48">
        <f t="shared" si="130"/>
        <v>0</v>
      </c>
      <c r="FE26" s="250"/>
      <c r="FF26" s="48"/>
      <c r="FG26" s="37"/>
      <c r="FH26" s="250"/>
      <c r="FI26" s="48"/>
      <c r="FJ26" s="49">
        <f t="shared" si="59"/>
        <v>0</v>
      </c>
      <c r="FK26" s="48"/>
      <c r="FL26" s="58"/>
      <c r="FM26" s="48">
        <f t="shared" si="148"/>
        <v>0</v>
      </c>
      <c r="FN26" s="250"/>
      <c r="FO26" s="48"/>
      <c r="FP26" s="37">
        <f t="shared" si="131"/>
        <v>0</v>
      </c>
      <c r="FQ26" s="250"/>
      <c r="FR26" s="48"/>
      <c r="FS26" s="37">
        <f t="shared" si="60"/>
        <v>0</v>
      </c>
      <c r="FT26" s="48">
        <f t="shared" si="149"/>
        <v>0</v>
      </c>
      <c r="FU26" s="48">
        <f>FG26+FJ26+FP26+GM26</f>
        <v>0</v>
      </c>
      <c r="FV26" s="250"/>
      <c r="FW26" s="44"/>
      <c r="FX26" s="37">
        <f t="shared" si="61"/>
        <v>0</v>
      </c>
      <c r="FY26" s="250"/>
      <c r="FZ26" s="56"/>
      <c r="GA26" s="37">
        <f t="shared" si="62"/>
        <v>0</v>
      </c>
      <c r="GB26" s="250"/>
      <c r="GC26" s="56"/>
      <c r="GD26" s="37">
        <f t="shared" si="63"/>
        <v>0</v>
      </c>
      <c r="GE26" s="250"/>
      <c r="GF26" s="56"/>
      <c r="GG26" s="37">
        <f t="shared" si="64"/>
        <v>0</v>
      </c>
      <c r="GH26" s="250"/>
      <c r="GI26" s="159"/>
      <c r="GJ26" s="38">
        <f t="shared" si="132"/>
        <v>0</v>
      </c>
      <c r="GK26" s="250"/>
      <c r="GL26" s="160"/>
      <c r="GM26" s="38">
        <f t="shared" si="104"/>
        <v>0</v>
      </c>
      <c r="GN26" s="250"/>
      <c r="GO26" s="57"/>
      <c r="GP26" s="38">
        <f t="shared" si="65"/>
        <v>0</v>
      </c>
      <c r="GQ26" s="250"/>
      <c r="GR26" s="38"/>
      <c r="GS26" s="38">
        <f t="shared" si="133"/>
        <v>0</v>
      </c>
      <c r="GT26" s="247"/>
      <c r="GU26" s="144">
        <f>IFERROR(DailyNov!B24-DailyNov!N24-DailyNov!V24-DailyNov!Y24-DailyNov!Z24-DailyNov!AA24-DailyNov!AB24-DailyNov!AC24-DailyNov!AD24-DailyNov!AE24-DailyNov!AK24-DailyNov!AO24-DailyNov!AS24-DailyNov!AY24-DailyNov!BD24+DailyNov!BU24-DailyNov!BG24-DailyNov!BT24-DailyNov!AF24-DailyNov!AG24,"-")</f>
        <v>0</v>
      </c>
      <c r="GV26" s="261"/>
      <c r="GW26" s="60">
        <f t="shared" si="66"/>
        <v>0</v>
      </c>
      <c r="GX26" s="260"/>
      <c r="GY26" s="140"/>
      <c r="GZ26" s="528"/>
      <c r="HA26" s="528"/>
      <c r="HB26" s="528"/>
      <c r="HC26" s="528"/>
      <c r="HD26" s="74"/>
      <c r="HE26" s="24">
        <f t="shared" si="105"/>
        <v>0</v>
      </c>
      <c r="HF26" s="255"/>
      <c r="HG26" s="279">
        <v>19</v>
      </c>
      <c r="HH26" s="292"/>
      <c r="HI26" s="292"/>
      <c r="HJ26" s="61">
        <f t="shared" si="67"/>
        <v>0</v>
      </c>
      <c r="HK26" s="260"/>
      <c r="HL26" s="292"/>
      <c r="HM26" s="61">
        <f t="shared" si="68"/>
        <v>0</v>
      </c>
      <c r="HN26" s="292"/>
      <c r="HO26" s="292"/>
      <c r="HP26" s="61">
        <f t="shared" si="106"/>
        <v>0</v>
      </c>
      <c r="HQ26" s="292"/>
      <c r="HR26" s="292"/>
      <c r="HS26" s="61">
        <f t="shared" si="107"/>
        <v>0</v>
      </c>
      <c r="HT26" s="292"/>
      <c r="HU26" s="292"/>
      <c r="HV26" s="61">
        <f t="shared" si="108"/>
        <v>0</v>
      </c>
      <c r="HW26" s="292"/>
      <c r="HX26" s="292"/>
      <c r="HY26" s="61">
        <f t="shared" si="109"/>
        <v>0</v>
      </c>
      <c r="HZ26" s="260"/>
      <c r="IA26" s="260"/>
      <c r="IB26" s="61">
        <f t="shared" si="110"/>
        <v>0</v>
      </c>
      <c r="IC26" s="292"/>
      <c r="ID26" s="292"/>
      <c r="IE26" s="61">
        <f t="shared" si="153"/>
        <v>0</v>
      </c>
      <c r="IF26" s="61"/>
      <c r="IG26" s="61"/>
      <c r="IH26" s="280">
        <f t="shared" si="71"/>
        <v>0</v>
      </c>
      <c r="II26" s="281">
        <f t="shared" si="72"/>
        <v>0</v>
      </c>
      <c r="IJ26" s="380"/>
      <c r="IK26" s="380"/>
      <c r="IL26" s="380">
        <f t="shared" si="73"/>
        <v>0</v>
      </c>
      <c r="IM26" s="380"/>
      <c r="IN26" s="380"/>
      <c r="IO26" s="380">
        <f t="shared" si="74"/>
        <v>0</v>
      </c>
      <c r="IP26" s="380"/>
      <c r="IQ26" s="380"/>
      <c r="IR26" s="380">
        <f t="shared" si="75"/>
        <v>0</v>
      </c>
      <c r="IS26" s="380"/>
      <c r="IT26" s="380"/>
      <c r="IU26" s="380">
        <f t="shared" si="111"/>
        <v>0</v>
      </c>
      <c r="IV26" s="380"/>
      <c r="IW26" s="380"/>
      <c r="IX26" s="380">
        <f t="shared" si="112"/>
        <v>0</v>
      </c>
      <c r="IY26" s="380"/>
      <c r="IZ26" s="380"/>
      <c r="JA26" s="380">
        <f t="shared" si="113"/>
        <v>0</v>
      </c>
      <c r="JB26" s="380"/>
      <c r="JC26" s="380"/>
      <c r="JD26" s="380">
        <f t="shared" si="114"/>
        <v>0</v>
      </c>
      <c r="JE26" s="380"/>
      <c r="JF26" s="380"/>
      <c r="JG26" s="380">
        <f t="shared" si="115"/>
        <v>0</v>
      </c>
      <c r="JH26" s="380"/>
      <c r="JI26" s="380"/>
      <c r="JJ26" s="380">
        <f t="shared" si="81"/>
        <v>0</v>
      </c>
      <c r="JK26" s="380"/>
      <c r="JL26" s="380"/>
      <c r="JM26" s="380">
        <f t="shared" si="82"/>
        <v>0</v>
      </c>
      <c r="JN26" s="380"/>
      <c r="JO26" s="380"/>
      <c r="JP26" s="380">
        <f t="shared" si="83"/>
        <v>0</v>
      </c>
      <c r="JQ26" s="380"/>
      <c r="JR26" s="380"/>
      <c r="JS26" s="380">
        <f t="shared" si="84"/>
        <v>0</v>
      </c>
      <c r="JT26" s="380"/>
      <c r="JU26" s="380"/>
      <c r="JV26" s="380">
        <f t="shared" si="85"/>
        <v>0</v>
      </c>
      <c r="JW26" s="380"/>
      <c r="JX26" s="380"/>
      <c r="JY26" s="380">
        <f t="shared" si="86"/>
        <v>0</v>
      </c>
      <c r="JZ26" s="380"/>
      <c r="KA26" s="380"/>
      <c r="KB26" s="380">
        <f t="shared" si="116"/>
        <v>0</v>
      </c>
      <c r="KC26" s="380"/>
      <c r="KD26" s="380"/>
      <c r="KE26" s="380">
        <f t="shared" si="117"/>
        <v>0</v>
      </c>
      <c r="KG26" s="151">
        <f t="shared" si="89"/>
        <v>0</v>
      </c>
    </row>
    <row r="27" spans="1:293" x14ac:dyDescent="0.25">
      <c r="A27" s="35">
        <f t="shared" si="118"/>
        <v>20</v>
      </c>
      <c r="B27" s="250"/>
      <c r="C27" s="38">
        <f t="shared" si="21"/>
        <v>0</v>
      </c>
      <c r="D27" s="38">
        <f t="shared" si="22"/>
        <v>0</v>
      </c>
      <c r="E27" s="250"/>
      <c r="F27" s="38">
        <f t="shared" si="23"/>
        <v>0</v>
      </c>
      <c r="G27" s="38">
        <f t="shared" si="24"/>
        <v>0</v>
      </c>
      <c r="H27" s="37"/>
      <c r="I27" s="39"/>
      <c r="J27" s="42"/>
      <c r="K27" s="37">
        <f t="shared" si="134"/>
        <v>0</v>
      </c>
      <c r="L27" s="250"/>
      <c r="M27" s="40"/>
      <c r="N27" s="37">
        <f t="shared" si="135"/>
        <v>0</v>
      </c>
      <c r="O27" s="250"/>
      <c r="P27" s="37"/>
      <c r="Q27" s="37">
        <f t="shared" si="158"/>
        <v>0</v>
      </c>
      <c r="R27" s="37">
        <f t="shared" si="136"/>
        <v>0</v>
      </c>
      <c r="S27" s="250"/>
      <c r="T27" s="37">
        <f t="shared" si="26"/>
        <v>0</v>
      </c>
      <c r="U27" s="250"/>
      <c r="V27" s="37">
        <f t="shared" si="27"/>
        <v>0</v>
      </c>
      <c r="W27" s="250"/>
      <c r="X27" s="37">
        <f t="shared" si="151"/>
        <v>0</v>
      </c>
      <c r="Y27" s="183"/>
      <c r="Z27" s="183"/>
      <c r="AA27" s="250"/>
      <c r="AB27" s="37">
        <f t="shared" si="28"/>
        <v>0</v>
      </c>
      <c r="AC27" s="250"/>
      <c r="AD27" s="37"/>
      <c r="AE27" s="37">
        <f t="shared" si="160"/>
        <v>0</v>
      </c>
      <c r="AF27" s="37">
        <f>IF(AE27&lt;=0,0,(AE27/SQRT(AE27^2+(AD27-AD26)^2)))</f>
        <v>0</v>
      </c>
      <c r="AG27" s="250"/>
      <c r="AH27" s="37"/>
      <c r="AI27" s="37">
        <f t="shared" si="90"/>
        <v>0</v>
      </c>
      <c r="AJ27" s="37">
        <f t="shared" si="91"/>
        <v>0</v>
      </c>
      <c r="AK27" s="37">
        <f t="shared" si="32"/>
        <v>0</v>
      </c>
      <c r="AL27" s="250"/>
      <c r="AM27" s="42"/>
      <c r="AN27" s="37">
        <f t="shared" si="119"/>
        <v>0</v>
      </c>
      <c r="AO27" s="37">
        <f t="shared" si="138"/>
        <v>0</v>
      </c>
      <c r="AP27" s="250"/>
      <c r="AQ27" s="37"/>
      <c r="AR27" s="37">
        <f t="shared" si="92"/>
        <v>0</v>
      </c>
      <c r="AS27" s="37">
        <f t="shared" si="139"/>
        <v>0</v>
      </c>
      <c r="AT27" s="183"/>
      <c r="AU27" s="183"/>
      <c r="AV27" s="183"/>
      <c r="AW27" s="183"/>
      <c r="AX27" s="250"/>
      <c r="AY27" s="37"/>
      <c r="AZ27" s="37">
        <f t="shared" si="34"/>
        <v>0</v>
      </c>
      <c r="BA27" s="250"/>
      <c r="BB27" s="37"/>
      <c r="BC27" s="37">
        <f t="shared" si="93"/>
        <v>0</v>
      </c>
      <c r="BD27" s="37">
        <f t="shared" si="140"/>
        <v>0</v>
      </c>
      <c r="BE27" s="250"/>
      <c r="BF27" s="250"/>
      <c r="BG27" s="37">
        <f t="shared" si="36"/>
        <v>0</v>
      </c>
      <c r="BH27" s="250"/>
      <c r="BI27" s="250"/>
      <c r="BJ27" s="37">
        <f t="shared" si="37"/>
        <v>0</v>
      </c>
      <c r="BK27" s="250"/>
      <c r="BL27" s="40">
        <f t="shared" si="141"/>
        <v>0</v>
      </c>
      <c r="BM27" s="250"/>
      <c r="BN27" s="37">
        <f t="shared" si="38"/>
        <v>0</v>
      </c>
      <c r="BO27" s="186"/>
      <c r="BP27" s="183">
        <f t="shared" si="94"/>
        <v>0</v>
      </c>
      <c r="BQ27" s="250"/>
      <c r="BR27" s="37">
        <f t="shared" si="120"/>
        <v>0</v>
      </c>
      <c r="BS27" s="250"/>
      <c r="BT27" s="37">
        <f t="shared" si="39"/>
        <v>0</v>
      </c>
      <c r="BU27" s="250"/>
      <c r="BV27" s="42"/>
      <c r="BW27" s="37">
        <f t="shared" si="95"/>
        <v>0</v>
      </c>
      <c r="BX27" s="37">
        <f t="shared" si="142"/>
        <v>0</v>
      </c>
      <c r="BY27" s="250"/>
      <c r="BZ27" s="37"/>
      <c r="CA27" s="37">
        <f t="shared" si="156"/>
        <v>0</v>
      </c>
      <c r="CB27" s="37">
        <f t="shared" si="121"/>
        <v>0</v>
      </c>
      <c r="CC27" s="250"/>
      <c r="CD27" s="37">
        <f t="shared" si="42"/>
        <v>0</v>
      </c>
      <c r="CE27" s="250"/>
      <c r="CF27" s="37">
        <f t="shared" si="43"/>
        <v>0</v>
      </c>
      <c r="CG27" s="250"/>
      <c r="CH27" s="37">
        <f t="shared" si="122"/>
        <v>0</v>
      </c>
      <c r="CI27" s="250"/>
      <c r="CJ27" s="40"/>
      <c r="CK27" s="37">
        <f t="shared" si="123"/>
        <v>0</v>
      </c>
      <c r="CL27" s="37">
        <f t="shared" si="97"/>
        <v>0</v>
      </c>
      <c r="CM27" s="250"/>
      <c r="CN27" s="37"/>
      <c r="CO27" s="37">
        <f t="shared" si="45"/>
        <v>0</v>
      </c>
      <c r="CP27" s="37">
        <f t="shared" si="154"/>
        <v>0</v>
      </c>
      <c r="CQ27" s="250"/>
      <c r="CR27" s="39"/>
      <c r="CS27" s="37">
        <f t="shared" si="124"/>
        <v>0</v>
      </c>
      <c r="CT27" s="37">
        <f t="shared" si="143"/>
        <v>0</v>
      </c>
      <c r="CU27" s="250"/>
      <c r="CV27" s="37"/>
      <c r="CW27" s="38">
        <f t="shared" si="98"/>
        <v>0</v>
      </c>
      <c r="CX27" s="37">
        <f t="shared" si="144"/>
        <v>0</v>
      </c>
      <c r="CY27" s="250"/>
      <c r="CZ27" s="37"/>
      <c r="DA27" s="37">
        <f t="shared" si="99"/>
        <v>0</v>
      </c>
      <c r="DB27" s="37">
        <f t="shared" si="145"/>
        <v>0</v>
      </c>
      <c r="DC27" s="37"/>
      <c r="DD27" s="40"/>
      <c r="DE27" s="37">
        <f t="shared" si="100"/>
        <v>0</v>
      </c>
      <c r="DF27" s="37">
        <f t="shared" si="152"/>
        <v>0</v>
      </c>
      <c r="DG27" s="37">
        <f t="shared" si="101"/>
        <v>0</v>
      </c>
      <c r="DH27" s="37">
        <f t="shared" si="102"/>
        <v>0</v>
      </c>
      <c r="DI27" s="46"/>
      <c r="DJ27" s="46"/>
      <c r="DK27" s="47"/>
      <c r="DL27" s="47"/>
      <c r="DM27" s="37"/>
      <c r="DN27" s="37"/>
      <c r="DO27" s="37"/>
      <c r="DP27" s="37"/>
      <c r="DQ27" s="250"/>
      <c r="DR27" s="49">
        <f t="shared" si="125"/>
        <v>0</v>
      </c>
      <c r="DS27" s="250"/>
      <c r="DT27" s="49">
        <f t="shared" si="126"/>
        <v>0</v>
      </c>
      <c r="DU27" s="250"/>
      <c r="DV27" s="250"/>
      <c r="DW27" s="37">
        <f t="shared" si="146"/>
        <v>0</v>
      </c>
      <c r="DX27" s="250"/>
      <c r="DY27" s="250"/>
      <c r="DZ27" s="37">
        <f t="shared" si="51"/>
        <v>0</v>
      </c>
      <c r="EA27" s="250"/>
      <c r="EB27" s="250"/>
      <c r="EC27" s="37">
        <v>0</v>
      </c>
      <c r="ED27" s="53">
        <f t="shared" si="52"/>
        <v>0</v>
      </c>
      <c r="EE27" s="250"/>
      <c r="EF27" s="250"/>
      <c r="EG27" s="37">
        <v>0</v>
      </c>
      <c r="EH27" s="250"/>
      <c r="EI27" s="250"/>
      <c r="EJ27" s="37">
        <f t="shared" si="54"/>
        <v>0</v>
      </c>
      <c r="EK27" s="250"/>
      <c r="EL27" s="250"/>
      <c r="EM27" s="37">
        <f t="shared" si="127"/>
        <v>0</v>
      </c>
      <c r="EN27" s="54">
        <f t="shared" si="128"/>
        <v>0</v>
      </c>
      <c r="EO27" s="250"/>
      <c r="EP27" s="48"/>
      <c r="EQ27" s="37"/>
      <c r="ER27" s="250"/>
      <c r="ES27" s="48"/>
      <c r="ET27" s="49">
        <f t="shared" si="155"/>
        <v>0</v>
      </c>
      <c r="EU27" s="250"/>
      <c r="EV27" s="48"/>
      <c r="EW27" s="49">
        <f t="shared" si="56"/>
        <v>0</v>
      </c>
      <c r="EX27" s="250"/>
      <c r="EY27" s="48"/>
      <c r="EZ27" s="37">
        <f t="shared" si="103"/>
        <v>0</v>
      </c>
      <c r="FA27" s="48">
        <f t="shared" si="129"/>
        <v>0</v>
      </c>
      <c r="FB27" s="250"/>
      <c r="FC27" s="49">
        <f t="shared" si="147"/>
        <v>0</v>
      </c>
      <c r="FD27" s="48">
        <f t="shared" si="130"/>
        <v>0</v>
      </c>
      <c r="FE27" s="250"/>
      <c r="FF27" s="48"/>
      <c r="FG27" s="37"/>
      <c r="FH27" s="250"/>
      <c r="FI27" s="48"/>
      <c r="FJ27" s="49">
        <f t="shared" si="59"/>
        <v>0</v>
      </c>
      <c r="FK27" s="48"/>
      <c r="FL27" s="58"/>
      <c r="FM27" s="48">
        <f t="shared" si="148"/>
        <v>0</v>
      </c>
      <c r="FN27" s="250"/>
      <c r="FO27" s="48"/>
      <c r="FP27" s="37">
        <f t="shared" si="131"/>
        <v>0</v>
      </c>
      <c r="FQ27" s="250"/>
      <c r="FR27" s="48"/>
      <c r="FS27" s="37">
        <f t="shared" si="60"/>
        <v>0</v>
      </c>
      <c r="FT27" s="48">
        <f t="shared" si="149"/>
        <v>0</v>
      </c>
      <c r="FU27" s="48">
        <f t="shared" si="150"/>
        <v>0</v>
      </c>
      <c r="FV27" s="250"/>
      <c r="FW27" s="44"/>
      <c r="FX27" s="37">
        <f t="shared" si="61"/>
        <v>0</v>
      </c>
      <c r="FY27" s="250"/>
      <c r="FZ27" s="56"/>
      <c r="GA27" s="37">
        <f t="shared" si="62"/>
        <v>0</v>
      </c>
      <c r="GB27" s="250"/>
      <c r="GC27" s="56"/>
      <c r="GD27" s="37">
        <f t="shared" si="63"/>
        <v>0</v>
      </c>
      <c r="GE27" s="250"/>
      <c r="GF27" s="56"/>
      <c r="GG27" s="37">
        <f t="shared" si="64"/>
        <v>0</v>
      </c>
      <c r="GH27" s="250"/>
      <c r="GI27" s="159"/>
      <c r="GJ27" s="38">
        <f t="shared" si="132"/>
        <v>0</v>
      </c>
      <c r="GK27" s="250"/>
      <c r="GL27" s="160"/>
      <c r="GM27" s="38">
        <f t="shared" si="104"/>
        <v>0</v>
      </c>
      <c r="GN27" s="250"/>
      <c r="GO27" s="57"/>
      <c r="GP27" s="38">
        <f t="shared" si="65"/>
        <v>0</v>
      </c>
      <c r="GQ27" s="250"/>
      <c r="GR27" s="38"/>
      <c r="GS27" s="38">
        <f t="shared" si="133"/>
        <v>0</v>
      </c>
      <c r="GT27" s="247"/>
      <c r="GU27" s="144">
        <f>IFERROR(DailyNov!B25-DailyNov!N25-DailyNov!V25-DailyNov!Y25-DailyNov!Z25-DailyNov!AA25-DailyNov!AB25-DailyNov!AC25-DailyNov!AD25-DailyNov!AE25-DailyNov!AK25-DailyNov!AO25-DailyNov!AS25-DailyNov!AY25-DailyNov!BD25+DailyNov!BU25-DailyNov!BG25-DailyNov!BT25-DailyNov!AF25-DailyNov!AG25,"-")</f>
        <v>0</v>
      </c>
      <c r="GV27" s="261"/>
      <c r="GW27" s="60">
        <f t="shared" si="66"/>
        <v>0</v>
      </c>
      <c r="GX27" s="260"/>
      <c r="GY27" s="140"/>
      <c r="GZ27" s="528"/>
      <c r="HA27" s="528"/>
      <c r="HB27" s="528"/>
      <c r="HC27" s="528"/>
      <c r="HD27" s="74"/>
      <c r="HE27" s="24">
        <f t="shared" si="105"/>
        <v>0</v>
      </c>
      <c r="HF27" s="255"/>
      <c r="HG27" s="279">
        <v>20</v>
      </c>
      <c r="HH27" s="292"/>
      <c r="HI27" s="292"/>
      <c r="HJ27" s="61">
        <f t="shared" si="67"/>
        <v>0</v>
      </c>
      <c r="HK27" s="260"/>
      <c r="HL27" s="292"/>
      <c r="HM27" s="61">
        <f t="shared" si="68"/>
        <v>0</v>
      </c>
      <c r="HN27" s="292"/>
      <c r="HO27" s="292"/>
      <c r="HP27" s="61">
        <f t="shared" si="106"/>
        <v>0</v>
      </c>
      <c r="HQ27" s="292"/>
      <c r="HR27" s="292"/>
      <c r="HS27" s="61">
        <f t="shared" si="107"/>
        <v>0</v>
      </c>
      <c r="HT27" s="292"/>
      <c r="HU27" s="292"/>
      <c r="HV27" s="61">
        <f t="shared" si="108"/>
        <v>0</v>
      </c>
      <c r="HW27" s="292"/>
      <c r="HX27" s="292"/>
      <c r="HY27" s="61">
        <f t="shared" si="109"/>
        <v>0</v>
      </c>
      <c r="HZ27" s="260"/>
      <c r="IA27" s="260"/>
      <c r="IB27" s="61">
        <f t="shared" si="110"/>
        <v>0</v>
      </c>
      <c r="IC27" s="292"/>
      <c r="ID27" s="292"/>
      <c r="IE27" s="61">
        <f t="shared" si="153"/>
        <v>0</v>
      </c>
      <c r="IF27" s="61"/>
      <c r="IG27" s="61"/>
      <c r="IH27" s="280">
        <f t="shared" si="71"/>
        <v>0</v>
      </c>
      <c r="II27" s="281">
        <f t="shared" si="72"/>
        <v>0</v>
      </c>
      <c r="IJ27" s="380"/>
      <c r="IK27" s="380"/>
      <c r="IL27" s="380">
        <f t="shared" si="73"/>
        <v>0</v>
      </c>
      <c r="IM27" s="380"/>
      <c r="IN27" s="380"/>
      <c r="IO27" s="380">
        <f t="shared" si="74"/>
        <v>0</v>
      </c>
      <c r="IP27" s="380"/>
      <c r="IQ27" s="380"/>
      <c r="IR27" s="380">
        <f t="shared" si="75"/>
        <v>0</v>
      </c>
      <c r="IS27" s="380"/>
      <c r="IT27" s="380"/>
      <c r="IU27" s="380">
        <f t="shared" si="111"/>
        <v>0</v>
      </c>
      <c r="IV27" s="380"/>
      <c r="IW27" s="380"/>
      <c r="IX27" s="380">
        <f t="shared" si="112"/>
        <v>0</v>
      </c>
      <c r="IY27" s="380"/>
      <c r="IZ27" s="380"/>
      <c r="JA27" s="380">
        <f t="shared" si="113"/>
        <v>0</v>
      </c>
      <c r="JB27" s="380"/>
      <c r="JC27" s="380"/>
      <c r="JD27" s="380">
        <f t="shared" si="114"/>
        <v>0</v>
      </c>
      <c r="JE27" s="380"/>
      <c r="JF27" s="380"/>
      <c r="JG27" s="380">
        <f t="shared" si="115"/>
        <v>0</v>
      </c>
      <c r="JH27" s="380"/>
      <c r="JI27" s="380"/>
      <c r="JJ27" s="380">
        <f t="shared" si="81"/>
        <v>0</v>
      </c>
      <c r="JK27" s="380"/>
      <c r="JL27" s="380"/>
      <c r="JM27" s="380">
        <f t="shared" si="82"/>
        <v>0</v>
      </c>
      <c r="JN27" s="380"/>
      <c r="JO27" s="380"/>
      <c r="JP27" s="380">
        <f t="shared" si="83"/>
        <v>0</v>
      </c>
      <c r="JQ27" s="380"/>
      <c r="JR27" s="380"/>
      <c r="JS27" s="380">
        <f t="shared" si="84"/>
        <v>0</v>
      </c>
      <c r="JT27" s="380"/>
      <c r="JU27" s="380"/>
      <c r="JV27" s="380">
        <f t="shared" si="85"/>
        <v>0</v>
      </c>
      <c r="JW27" s="380"/>
      <c r="JX27" s="380"/>
      <c r="JY27" s="380">
        <f t="shared" si="86"/>
        <v>0</v>
      </c>
      <c r="JZ27" s="380"/>
      <c r="KA27" s="380"/>
      <c r="KB27" s="380">
        <f t="shared" si="116"/>
        <v>0</v>
      </c>
      <c r="KC27" s="380"/>
      <c r="KD27" s="380"/>
      <c r="KE27" s="380">
        <f t="shared" si="117"/>
        <v>0</v>
      </c>
      <c r="KG27" s="151">
        <f t="shared" si="89"/>
        <v>0</v>
      </c>
    </row>
    <row r="28" spans="1:293" x14ac:dyDescent="0.25">
      <c r="A28" s="35">
        <f t="shared" si="118"/>
        <v>21</v>
      </c>
      <c r="B28" s="250"/>
      <c r="C28" s="38">
        <f t="shared" si="21"/>
        <v>0</v>
      </c>
      <c r="D28" s="38">
        <f t="shared" si="22"/>
        <v>0</v>
      </c>
      <c r="E28" s="250"/>
      <c r="F28" s="38">
        <f t="shared" si="23"/>
        <v>0</v>
      </c>
      <c r="G28" s="38">
        <f t="shared" si="24"/>
        <v>0</v>
      </c>
      <c r="H28" s="37"/>
      <c r="I28" s="39"/>
      <c r="J28" s="42"/>
      <c r="K28" s="37">
        <f t="shared" si="134"/>
        <v>0</v>
      </c>
      <c r="L28" s="250"/>
      <c r="M28" s="40"/>
      <c r="N28" s="37">
        <f t="shared" si="135"/>
        <v>0</v>
      </c>
      <c r="O28" s="250"/>
      <c r="P28" s="37"/>
      <c r="Q28" s="37">
        <f t="shared" si="158"/>
        <v>0</v>
      </c>
      <c r="R28" s="37">
        <f t="shared" si="136"/>
        <v>0</v>
      </c>
      <c r="S28" s="250"/>
      <c r="T28" s="37">
        <f t="shared" si="26"/>
        <v>0</v>
      </c>
      <c r="U28" s="250"/>
      <c r="V28" s="37">
        <f t="shared" si="27"/>
        <v>0</v>
      </c>
      <c r="W28" s="250"/>
      <c r="X28" s="37">
        <f t="shared" si="151"/>
        <v>0</v>
      </c>
      <c r="Y28" s="183"/>
      <c r="Z28" s="183"/>
      <c r="AA28" s="250"/>
      <c r="AB28" s="37">
        <f t="shared" si="28"/>
        <v>0</v>
      </c>
      <c r="AC28" s="250"/>
      <c r="AD28" s="37"/>
      <c r="AE28" s="37">
        <f t="shared" si="160"/>
        <v>0</v>
      </c>
      <c r="AF28" s="37">
        <f t="shared" si="137"/>
        <v>0</v>
      </c>
      <c r="AG28" s="250"/>
      <c r="AH28" s="37"/>
      <c r="AI28" s="37">
        <f t="shared" si="90"/>
        <v>0</v>
      </c>
      <c r="AJ28" s="37">
        <f t="shared" si="91"/>
        <v>0</v>
      </c>
      <c r="AK28" s="37">
        <f t="shared" si="32"/>
        <v>0</v>
      </c>
      <c r="AL28" s="250"/>
      <c r="AM28" s="42"/>
      <c r="AN28" s="37">
        <f t="shared" si="119"/>
        <v>0</v>
      </c>
      <c r="AO28" s="37">
        <f t="shared" si="138"/>
        <v>0</v>
      </c>
      <c r="AP28" s="250"/>
      <c r="AQ28" s="37"/>
      <c r="AR28" s="37">
        <f t="shared" si="92"/>
        <v>0</v>
      </c>
      <c r="AS28" s="37">
        <f t="shared" si="139"/>
        <v>0</v>
      </c>
      <c r="AT28" s="183"/>
      <c r="AU28" s="183"/>
      <c r="AV28" s="183"/>
      <c r="AW28" s="183"/>
      <c r="AX28" s="250"/>
      <c r="AY28" s="37"/>
      <c r="AZ28" s="37">
        <f t="shared" si="34"/>
        <v>0</v>
      </c>
      <c r="BA28" s="250"/>
      <c r="BB28" s="37"/>
      <c r="BC28" s="37">
        <f t="shared" si="93"/>
        <v>0</v>
      </c>
      <c r="BD28" s="37">
        <f t="shared" si="140"/>
        <v>0</v>
      </c>
      <c r="BE28" s="250"/>
      <c r="BF28" s="250"/>
      <c r="BG28" s="37">
        <f t="shared" si="36"/>
        <v>0</v>
      </c>
      <c r="BH28" s="250"/>
      <c r="BI28" s="250"/>
      <c r="BJ28" s="37">
        <f t="shared" si="37"/>
        <v>0</v>
      </c>
      <c r="BK28" s="250"/>
      <c r="BL28" s="40">
        <f t="shared" si="141"/>
        <v>0</v>
      </c>
      <c r="BM28" s="250"/>
      <c r="BN28" s="37">
        <f t="shared" si="38"/>
        <v>0</v>
      </c>
      <c r="BO28" s="186"/>
      <c r="BP28" s="183">
        <f t="shared" si="94"/>
        <v>0</v>
      </c>
      <c r="BQ28" s="250"/>
      <c r="BR28" s="37">
        <f t="shared" si="120"/>
        <v>0</v>
      </c>
      <c r="BS28" s="250"/>
      <c r="BT28" s="37">
        <f t="shared" si="39"/>
        <v>0</v>
      </c>
      <c r="BU28" s="250"/>
      <c r="BV28" s="42"/>
      <c r="BW28" s="37">
        <f t="shared" si="95"/>
        <v>0</v>
      </c>
      <c r="BX28" s="37">
        <f t="shared" si="142"/>
        <v>0</v>
      </c>
      <c r="BY28" s="250"/>
      <c r="BZ28" s="37"/>
      <c r="CA28" s="37">
        <f t="shared" si="156"/>
        <v>0</v>
      </c>
      <c r="CB28" s="37">
        <f t="shared" si="121"/>
        <v>0</v>
      </c>
      <c r="CC28" s="250"/>
      <c r="CD28" s="37">
        <f t="shared" si="42"/>
        <v>0</v>
      </c>
      <c r="CE28" s="250"/>
      <c r="CF28" s="37">
        <f t="shared" si="43"/>
        <v>0</v>
      </c>
      <c r="CG28" s="250"/>
      <c r="CH28" s="37">
        <f t="shared" si="122"/>
        <v>0</v>
      </c>
      <c r="CI28" s="250"/>
      <c r="CJ28" s="40"/>
      <c r="CK28" s="37">
        <f t="shared" si="123"/>
        <v>0</v>
      </c>
      <c r="CL28" s="37">
        <f t="shared" si="97"/>
        <v>0</v>
      </c>
      <c r="CM28" s="250"/>
      <c r="CN28" s="37"/>
      <c r="CO28" s="37">
        <f t="shared" si="45"/>
        <v>0</v>
      </c>
      <c r="CP28" s="37">
        <f t="shared" si="154"/>
        <v>0</v>
      </c>
      <c r="CQ28" s="250"/>
      <c r="CR28" s="39"/>
      <c r="CS28" s="37">
        <f t="shared" si="124"/>
        <v>0</v>
      </c>
      <c r="CT28" s="37">
        <f t="shared" si="143"/>
        <v>0</v>
      </c>
      <c r="CU28" s="250"/>
      <c r="CV28" s="37"/>
      <c r="CW28" s="38">
        <f t="shared" si="98"/>
        <v>0</v>
      </c>
      <c r="CX28" s="37">
        <f t="shared" si="144"/>
        <v>0</v>
      </c>
      <c r="CY28" s="250"/>
      <c r="CZ28" s="37"/>
      <c r="DA28" s="37">
        <f t="shared" ref="DA28:DA38" si="162">IF((CY28-CY27)&lt;=0,0,(CY28-CY27))/1</f>
        <v>0</v>
      </c>
      <c r="DB28" s="37">
        <f t="shared" si="145"/>
        <v>0</v>
      </c>
      <c r="DC28" s="37"/>
      <c r="DD28" s="40"/>
      <c r="DE28" s="37">
        <f t="shared" si="100"/>
        <v>0</v>
      </c>
      <c r="DF28" s="37">
        <f t="shared" si="152"/>
        <v>0</v>
      </c>
      <c r="DG28" s="37">
        <f t="shared" si="101"/>
        <v>0</v>
      </c>
      <c r="DH28" s="37">
        <f t="shared" si="102"/>
        <v>0</v>
      </c>
      <c r="DI28" s="46"/>
      <c r="DJ28" s="46"/>
      <c r="DK28" s="47"/>
      <c r="DL28" s="47"/>
      <c r="DM28" s="37"/>
      <c r="DN28" s="37"/>
      <c r="DO28" s="37"/>
      <c r="DP28" s="37"/>
      <c r="DQ28" s="250"/>
      <c r="DR28" s="49">
        <f t="shared" si="125"/>
        <v>0</v>
      </c>
      <c r="DS28" s="250"/>
      <c r="DT28" s="49">
        <f t="shared" si="126"/>
        <v>0</v>
      </c>
      <c r="DU28" s="250"/>
      <c r="DV28" s="250"/>
      <c r="DW28" s="37">
        <f t="shared" si="146"/>
        <v>0</v>
      </c>
      <c r="DX28" s="250"/>
      <c r="DY28" s="250"/>
      <c r="DZ28" s="37">
        <f t="shared" si="51"/>
        <v>0</v>
      </c>
      <c r="EA28" s="250"/>
      <c r="EB28" s="250"/>
      <c r="EC28" s="37">
        <v>0</v>
      </c>
      <c r="ED28" s="53">
        <f t="shared" si="52"/>
        <v>0</v>
      </c>
      <c r="EE28" s="250"/>
      <c r="EF28" s="250"/>
      <c r="EG28" s="37">
        <v>0</v>
      </c>
      <c r="EH28" s="250"/>
      <c r="EI28" s="250"/>
      <c r="EJ28" s="37">
        <f t="shared" si="54"/>
        <v>0</v>
      </c>
      <c r="EK28" s="250"/>
      <c r="EL28" s="250"/>
      <c r="EM28" s="37">
        <f t="shared" si="127"/>
        <v>0</v>
      </c>
      <c r="EN28" s="54">
        <f t="shared" si="128"/>
        <v>0</v>
      </c>
      <c r="EO28" s="250"/>
      <c r="EP28" s="48"/>
      <c r="EQ28" s="37"/>
      <c r="ER28" s="250"/>
      <c r="ES28" s="48"/>
      <c r="ET28" s="49">
        <f t="shared" si="155"/>
        <v>0</v>
      </c>
      <c r="EU28" s="250"/>
      <c r="EV28" s="48"/>
      <c r="EW28" s="49">
        <f t="shared" si="56"/>
        <v>0</v>
      </c>
      <c r="EX28" s="250"/>
      <c r="EY28" s="48"/>
      <c r="EZ28" s="37">
        <f t="shared" si="103"/>
        <v>0</v>
      </c>
      <c r="FA28" s="48">
        <f t="shared" si="129"/>
        <v>0</v>
      </c>
      <c r="FB28" s="250"/>
      <c r="FC28" s="49">
        <f t="shared" si="147"/>
        <v>0</v>
      </c>
      <c r="FD28" s="48">
        <f t="shared" si="130"/>
        <v>0</v>
      </c>
      <c r="FE28" s="250"/>
      <c r="FF28" s="48"/>
      <c r="FG28" s="37"/>
      <c r="FH28" s="250"/>
      <c r="FI28" s="48"/>
      <c r="FJ28" s="49">
        <f t="shared" si="59"/>
        <v>0</v>
      </c>
      <c r="FK28" s="48"/>
      <c r="FL28" s="58"/>
      <c r="FM28" s="48">
        <f t="shared" si="148"/>
        <v>0</v>
      </c>
      <c r="FN28" s="250"/>
      <c r="FO28" s="48"/>
      <c r="FP28" s="37">
        <f t="shared" si="131"/>
        <v>0</v>
      </c>
      <c r="FQ28" s="250"/>
      <c r="FR28" s="55"/>
      <c r="FS28" s="37">
        <f t="shared" si="60"/>
        <v>0</v>
      </c>
      <c r="FT28" s="48">
        <f t="shared" si="149"/>
        <v>0</v>
      </c>
      <c r="FU28" s="48">
        <f t="shared" si="150"/>
        <v>0</v>
      </c>
      <c r="FV28" s="250"/>
      <c r="FW28" s="44"/>
      <c r="FX28" s="37">
        <f t="shared" si="61"/>
        <v>0</v>
      </c>
      <c r="FY28" s="250"/>
      <c r="FZ28" s="56"/>
      <c r="GA28" s="37">
        <f t="shared" si="62"/>
        <v>0</v>
      </c>
      <c r="GB28" s="250"/>
      <c r="GC28" s="56"/>
      <c r="GD28" s="37">
        <f t="shared" si="63"/>
        <v>0</v>
      </c>
      <c r="GE28" s="250"/>
      <c r="GF28" s="56"/>
      <c r="GG28" s="37">
        <f t="shared" si="64"/>
        <v>0</v>
      </c>
      <c r="GH28" s="250"/>
      <c r="GI28" s="159"/>
      <c r="GJ28" s="38">
        <f t="shared" si="132"/>
        <v>0</v>
      </c>
      <c r="GK28" s="250"/>
      <c r="GL28" s="160"/>
      <c r="GM28" s="38">
        <f t="shared" si="104"/>
        <v>0</v>
      </c>
      <c r="GN28" s="250"/>
      <c r="GO28" s="57"/>
      <c r="GP28" s="38">
        <f t="shared" si="65"/>
        <v>0</v>
      </c>
      <c r="GQ28" s="250"/>
      <c r="GR28" s="38"/>
      <c r="GS28" s="38">
        <f t="shared" si="133"/>
        <v>0</v>
      </c>
      <c r="GT28" s="248"/>
      <c r="GU28" s="144">
        <f>IFERROR(DailyNov!B26-DailyNov!N26-DailyNov!V26-DailyNov!Y26-DailyNov!Z26-DailyNov!AA26-DailyNov!AB26-DailyNov!AC26-DailyNov!AD26-DailyNov!AE26-DailyNov!AK26-DailyNov!AO26-DailyNov!AS26-DailyNov!AY26-DailyNov!BD26+DailyNov!BU26-DailyNov!BG26-DailyNov!BT26-DailyNov!AF26-DailyNov!AG26,"-")</f>
        <v>0</v>
      </c>
      <c r="GV28" s="261"/>
      <c r="GW28" s="60">
        <f t="shared" si="66"/>
        <v>0</v>
      </c>
      <c r="GX28" s="260"/>
      <c r="GY28" s="140"/>
      <c r="GZ28" s="528"/>
      <c r="HA28" s="528"/>
      <c r="HB28" s="528"/>
      <c r="HC28" s="528"/>
      <c r="HD28" s="62"/>
      <c r="HE28" s="24">
        <f t="shared" si="105"/>
        <v>0</v>
      </c>
      <c r="HF28" s="249"/>
      <c r="HG28" s="279">
        <v>21</v>
      </c>
      <c r="HH28" s="292"/>
      <c r="HI28" s="292"/>
      <c r="HJ28" s="61">
        <f t="shared" si="67"/>
        <v>0</v>
      </c>
      <c r="HK28" s="260"/>
      <c r="HL28" s="260"/>
      <c r="HM28" s="61">
        <f t="shared" si="68"/>
        <v>0</v>
      </c>
      <c r="HN28" s="292"/>
      <c r="HO28" s="292"/>
      <c r="HP28" s="61">
        <f t="shared" si="106"/>
        <v>0</v>
      </c>
      <c r="HQ28" s="292"/>
      <c r="HR28" s="292"/>
      <c r="HS28" s="61">
        <f t="shared" si="107"/>
        <v>0</v>
      </c>
      <c r="HT28" s="292"/>
      <c r="HU28" s="292"/>
      <c r="HV28" s="61">
        <f t="shared" si="108"/>
        <v>0</v>
      </c>
      <c r="HW28" s="292"/>
      <c r="HX28" s="292"/>
      <c r="HY28" s="61">
        <f t="shared" si="109"/>
        <v>0</v>
      </c>
      <c r="HZ28" s="260"/>
      <c r="IA28" s="260"/>
      <c r="IB28" s="61">
        <f t="shared" si="110"/>
        <v>0</v>
      </c>
      <c r="IC28" s="292"/>
      <c r="ID28" s="292"/>
      <c r="IE28" s="61">
        <f t="shared" si="153"/>
        <v>0</v>
      </c>
      <c r="IF28" s="61"/>
      <c r="IG28" s="61"/>
      <c r="IH28" s="280">
        <f t="shared" si="71"/>
        <v>0</v>
      </c>
      <c r="II28" s="281">
        <f t="shared" si="72"/>
        <v>0</v>
      </c>
      <c r="IJ28" s="380"/>
      <c r="IK28" s="380"/>
      <c r="IL28" s="380">
        <f t="shared" si="73"/>
        <v>0</v>
      </c>
      <c r="IM28" s="380"/>
      <c r="IN28" s="380"/>
      <c r="IO28" s="380">
        <f t="shared" si="74"/>
        <v>0</v>
      </c>
      <c r="IP28" s="380"/>
      <c r="IQ28" s="380"/>
      <c r="IR28" s="380">
        <f t="shared" si="75"/>
        <v>0</v>
      </c>
      <c r="IS28" s="380"/>
      <c r="IT28" s="380"/>
      <c r="IU28" s="380">
        <f t="shared" si="111"/>
        <v>0</v>
      </c>
      <c r="IV28" s="380"/>
      <c r="IW28" s="380"/>
      <c r="IX28" s="380">
        <f t="shared" si="112"/>
        <v>0</v>
      </c>
      <c r="IY28" s="380"/>
      <c r="IZ28" s="380"/>
      <c r="JA28" s="380">
        <f t="shared" si="113"/>
        <v>0</v>
      </c>
      <c r="JB28" s="380"/>
      <c r="JC28" s="380"/>
      <c r="JD28" s="380">
        <f t="shared" si="114"/>
        <v>0</v>
      </c>
      <c r="JE28" s="380"/>
      <c r="JF28" s="380"/>
      <c r="JG28" s="380">
        <f t="shared" si="115"/>
        <v>0</v>
      </c>
      <c r="JH28" s="380"/>
      <c r="JI28" s="380"/>
      <c r="JJ28" s="380">
        <f t="shared" si="81"/>
        <v>0</v>
      </c>
      <c r="JK28" s="380"/>
      <c r="JL28" s="380"/>
      <c r="JM28" s="380">
        <f t="shared" si="82"/>
        <v>0</v>
      </c>
      <c r="JN28" s="380"/>
      <c r="JO28" s="380"/>
      <c r="JP28" s="380">
        <f t="shared" si="83"/>
        <v>0</v>
      </c>
      <c r="JQ28" s="380"/>
      <c r="JR28" s="380"/>
      <c r="JS28" s="380">
        <f t="shared" si="84"/>
        <v>0</v>
      </c>
      <c r="JT28" s="380"/>
      <c r="JU28" s="380"/>
      <c r="JV28" s="380">
        <f t="shared" si="85"/>
        <v>0</v>
      </c>
      <c r="JW28" s="380"/>
      <c r="JX28" s="380"/>
      <c r="JY28" s="380">
        <f t="shared" si="86"/>
        <v>0</v>
      </c>
      <c r="JZ28" s="380"/>
      <c r="KA28" s="380"/>
      <c r="KB28" s="380">
        <f t="shared" si="116"/>
        <v>0</v>
      </c>
      <c r="KC28" s="380"/>
      <c r="KD28" s="380"/>
      <c r="KE28" s="380">
        <f t="shared" si="117"/>
        <v>0</v>
      </c>
      <c r="KG28" s="151">
        <f t="shared" si="89"/>
        <v>0</v>
      </c>
    </row>
    <row r="29" spans="1:293" x14ac:dyDescent="0.25">
      <c r="A29" s="35">
        <f t="shared" si="118"/>
        <v>22</v>
      </c>
      <c r="B29" s="250"/>
      <c r="C29" s="38">
        <f t="shared" si="21"/>
        <v>0</v>
      </c>
      <c r="D29" s="38">
        <f t="shared" si="22"/>
        <v>0</v>
      </c>
      <c r="E29" s="250"/>
      <c r="F29" s="38">
        <f t="shared" si="23"/>
        <v>0</v>
      </c>
      <c r="G29" s="38">
        <f t="shared" si="24"/>
        <v>0</v>
      </c>
      <c r="H29" s="37"/>
      <c r="I29" s="39"/>
      <c r="J29" s="42"/>
      <c r="K29" s="37">
        <f t="shared" si="134"/>
        <v>0</v>
      </c>
      <c r="L29" s="250"/>
      <c r="M29" s="40"/>
      <c r="N29" s="37">
        <f t="shared" si="135"/>
        <v>0</v>
      </c>
      <c r="O29" s="250"/>
      <c r="P29" s="37"/>
      <c r="Q29" s="37">
        <f t="shared" si="158"/>
        <v>0</v>
      </c>
      <c r="R29" s="37">
        <f t="shared" si="136"/>
        <v>0</v>
      </c>
      <c r="S29" s="250"/>
      <c r="T29" s="37">
        <f t="shared" si="26"/>
        <v>0</v>
      </c>
      <c r="U29" s="250"/>
      <c r="V29" s="37">
        <f>IF((U29-U28)&lt;=0,0,(U29-U28))</f>
        <v>0</v>
      </c>
      <c r="W29" s="250"/>
      <c r="X29" s="37">
        <f t="shared" si="151"/>
        <v>0</v>
      </c>
      <c r="Y29" s="183"/>
      <c r="Z29" s="183"/>
      <c r="AA29" s="250"/>
      <c r="AB29" s="37">
        <f t="shared" si="28"/>
        <v>0</v>
      </c>
      <c r="AC29" s="250"/>
      <c r="AD29" s="37"/>
      <c r="AE29" s="37">
        <f t="shared" si="160"/>
        <v>0</v>
      </c>
      <c r="AF29" s="37">
        <f t="shared" si="137"/>
        <v>0</v>
      </c>
      <c r="AG29" s="250"/>
      <c r="AH29" s="37"/>
      <c r="AI29" s="37">
        <f t="shared" si="90"/>
        <v>0</v>
      </c>
      <c r="AJ29" s="37">
        <f t="shared" si="91"/>
        <v>0</v>
      </c>
      <c r="AK29" s="37">
        <f t="shared" si="32"/>
        <v>0</v>
      </c>
      <c r="AL29" s="250"/>
      <c r="AM29" s="2"/>
      <c r="AN29" s="37">
        <f t="shared" si="119"/>
        <v>0</v>
      </c>
      <c r="AO29" s="37">
        <f t="shared" si="138"/>
        <v>0</v>
      </c>
      <c r="AP29" s="250"/>
      <c r="AQ29" s="37"/>
      <c r="AR29" s="37">
        <f t="shared" si="92"/>
        <v>0</v>
      </c>
      <c r="AS29" s="37">
        <f t="shared" si="139"/>
        <v>0</v>
      </c>
      <c r="AT29" s="183"/>
      <c r="AU29" s="183"/>
      <c r="AV29" s="183"/>
      <c r="AW29" s="183"/>
      <c r="AX29" s="250"/>
      <c r="AY29" s="37"/>
      <c r="AZ29" s="37">
        <f t="shared" si="34"/>
        <v>0</v>
      </c>
      <c r="BA29" s="250"/>
      <c r="BB29" s="37"/>
      <c r="BC29" s="37">
        <f t="shared" si="93"/>
        <v>0</v>
      </c>
      <c r="BD29" s="37">
        <f t="shared" si="140"/>
        <v>0</v>
      </c>
      <c r="BE29" s="250"/>
      <c r="BF29" s="250"/>
      <c r="BG29" s="37">
        <f t="shared" si="36"/>
        <v>0</v>
      </c>
      <c r="BH29" s="250"/>
      <c r="BI29" s="250"/>
      <c r="BJ29" s="37">
        <f t="shared" si="37"/>
        <v>0</v>
      </c>
      <c r="BK29" s="250"/>
      <c r="BL29" s="40">
        <f t="shared" si="141"/>
        <v>0</v>
      </c>
      <c r="BM29" s="250"/>
      <c r="BN29" s="37">
        <f t="shared" si="38"/>
        <v>0</v>
      </c>
      <c r="BO29" s="186"/>
      <c r="BP29" s="183">
        <f t="shared" si="94"/>
        <v>0</v>
      </c>
      <c r="BQ29" s="250"/>
      <c r="BR29" s="37">
        <f t="shared" si="120"/>
        <v>0</v>
      </c>
      <c r="BS29" s="250"/>
      <c r="BT29" s="37">
        <f t="shared" si="39"/>
        <v>0</v>
      </c>
      <c r="BU29" s="250"/>
      <c r="BV29" s="42"/>
      <c r="BW29" s="37">
        <f t="shared" si="95"/>
        <v>0</v>
      </c>
      <c r="BX29" s="37">
        <f t="shared" si="142"/>
        <v>0</v>
      </c>
      <c r="BY29" s="250"/>
      <c r="BZ29" s="37"/>
      <c r="CA29" s="37">
        <f t="shared" si="156"/>
        <v>0</v>
      </c>
      <c r="CB29" s="37">
        <f t="shared" si="121"/>
        <v>0</v>
      </c>
      <c r="CC29" s="250"/>
      <c r="CD29" s="37">
        <f t="shared" si="42"/>
        <v>0</v>
      </c>
      <c r="CE29" s="250"/>
      <c r="CF29" s="37">
        <f t="shared" si="43"/>
        <v>0</v>
      </c>
      <c r="CG29" s="250"/>
      <c r="CH29" s="37">
        <f t="shared" si="122"/>
        <v>0</v>
      </c>
      <c r="CI29" s="250"/>
      <c r="CJ29" s="40"/>
      <c r="CK29" s="37">
        <f t="shared" si="123"/>
        <v>0</v>
      </c>
      <c r="CL29" s="37">
        <f t="shared" si="97"/>
        <v>0</v>
      </c>
      <c r="CM29" s="250"/>
      <c r="CN29" s="37"/>
      <c r="CO29" s="37">
        <f t="shared" si="45"/>
        <v>0</v>
      </c>
      <c r="CP29" s="37">
        <f t="shared" si="154"/>
        <v>0</v>
      </c>
      <c r="CQ29" s="250"/>
      <c r="CR29" s="39"/>
      <c r="CS29" s="37">
        <f t="shared" si="124"/>
        <v>0</v>
      </c>
      <c r="CT29" s="37">
        <f t="shared" si="143"/>
        <v>0</v>
      </c>
      <c r="CU29" s="250"/>
      <c r="CV29" s="37"/>
      <c r="CW29" s="38">
        <f t="shared" si="98"/>
        <v>0</v>
      </c>
      <c r="CX29" s="37">
        <f t="shared" si="144"/>
        <v>0</v>
      </c>
      <c r="CY29" s="250"/>
      <c r="CZ29" s="37"/>
      <c r="DA29" s="37">
        <f t="shared" si="162"/>
        <v>0</v>
      </c>
      <c r="DB29" s="37">
        <f>IF(DA29&lt;=0,0,(DA29/SQRT(DA29^2+(CZ29-CZ28)^2)))</f>
        <v>0</v>
      </c>
      <c r="DC29" s="37"/>
      <c r="DD29" s="40"/>
      <c r="DE29" s="37">
        <f t="shared" si="100"/>
        <v>0</v>
      </c>
      <c r="DF29" s="37">
        <f t="shared" si="152"/>
        <v>0</v>
      </c>
      <c r="DG29" s="37">
        <f t="shared" si="101"/>
        <v>0</v>
      </c>
      <c r="DH29" s="37">
        <f t="shared" si="102"/>
        <v>0</v>
      </c>
      <c r="DI29" s="46"/>
      <c r="DJ29" s="46"/>
      <c r="DK29" s="47"/>
      <c r="DL29" s="47"/>
      <c r="DM29" s="37"/>
      <c r="DN29" s="37"/>
      <c r="DO29" s="37"/>
      <c r="DP29" s="37"/>
      <c r="DQ29" s="250"/>
      <c r="DR29" s="49">
        <f t="shared" si="125"/>
        <v>0</v>
      </c>
      <c r="DS29" s="250"/>
      <c r="DT29" s="49">
        <f t="shared" si="126"/>
        <v>0</v>
      </c>
      <c r="DU29" s="250"/>
      <c r="DV29" s="250"/>
      <c r="DW29" s="37">
        <f t="shared" si="146"/>
        <v>0</v>
      </c>
      <c r="DX29" s="250"/>
      <c r="DY29" s="250"/>
      <c r="DZ29" s="37">
        <f t="shared" si="51"/>
        <v>0</v>
      </c>
      <c r="EA29" s="250"/>
      <c r="EB29" s="250"/>
      <c r="EC29" s="37">
        <v>0</v>
      </c>
      <c r="ED29" s="53">
        <f t="shared" si="52"/>
        <v>0</v>
      </c>
      <c r="EE29" s="250"/>
      <c r="EF29" s="250"/>
      <c r="EG29" s="37">
        <v>0</v>
      </c>
      <c r="EH29" s="250"/>
      <c r="EI29" s="250"/>
      <c r="EJ29" s="37">
        <f t="shared" si="54"/>
        <v>0</v>
      </c>
      <c r="EK29" s="250"/>
      <c r="EL29" s="250"/>
      <c r="EM29" s="37">
        <f t="shared" si="127"/>
        <v>0</v>
      </c>
      <c r="EN29" s="54">
        <f t="shared" si="128"/>
        <v>0</v>
      </c>
      <c r="EO29" s="250"/>
      <c r="EP29" s="48"/>
      <c r="EQ29" s="37"/>
      <c r="ER29" s="250"/>
      <c r="ES29" s="48"/>
      <c r="ET29" s="49">
        <f t="shared" si="155"/>
        <v>0</v>
      </c>
      <c r="EU29" s="250"/>
      <c r="EV29" s="48"/>
      <c r="EW29" s="49">
        <f t="shared" si="56"/>
        <v>0</v>
      </c>
      <c r="EX29" s="250"/>
      <c r="EY29" s="48"/>
      <c r="EZ29" s="37">
        <f t="shared" si="103"/>
        <v>0</v>
      </c>
      <c r="FA29" s="48">
        <f t="shared" si="129"/>
        <v>0</v>
      </c>
      <c r="FB29" s="250"/>
      <c r="FC29" s="49">
        <f t="shared" si="147"/>
        <v>0</v>
      </c>
      <c r="FD29" s="48">
        <f t="shared" si="130"/>
        <v>0</v>
      </c>
      <c r="FE29" s="250"/>
      <c r="FF29" s="48"/>
      <c r="FG29" s="37"/>
      <c r="FH29" s="250"/>
      <c r="FI29" s="48"/>
      <c r="FJ29" s="49">
        <f t="shared" si="59"/>
        <v>0</v>
      </c>
      <c r="FK29" s="48"/>
      <c r="FL29" s="58"/>
      <c r="FM29" s="48">
        <f t="shared" si="148"/>
        <v>0</v>
      </c>
      <c r="FN29" s="250"/>
      <c r="FO29" s="48"/>
      <c r="FP29" s="37">
        <f t="shared" si="131"/>
        <v>0</v>
      </c>
      <c r="FQ29" s="250"/>
      <c r="FR29" s="48"/>
      <c r="FS29" s="37">
        <f t="shared" si="60"/>
        <v>0</v>
      </c>
      <c r="FT29" s="48">
        <f t="shared" si="149"/>
        <v>0</v>
      </c>
      <c r="FU29" s="48">
        <f t="shared" si="150"/>
        <v>0</v>
      </c>
      <c r="FV29" s="250"/>
      <c r="FW29" s="44"/>
      <c r="FX29" s="37">
        <f t="shared" si="61"/>
        <v>0</v>
      </c>
      <c r="FY29" s="250"/>
      <c r="FZ29" s="56"/>
      <c r="GA29" s="37">
        <f t="shared" si="62"/>
        <v>0</v>
      </c>
      <c r="GB29" s="250"/>
      <c r="GC29" s="56"/>
      <c r="GD29" s="37">
        <f t="shared" si="63"/>
        <v>0</v>
      </c>
      <c r="GE29" s="250"/>
      <c r="GF29" s="56"/>
      <c r="GG29" s="37">
        <f t="shared" si="64"/>
        <v>0</v>
      </c>
      <c r="GH29" s="250"/>
      <c r="GI29" s="159"/>
      <c r="GJ29" s="38">
        <f t="shared" si="132"/>
        <v>0</v>
      </c>
      <c r="GK29" s="250"/>
      <c r="GL29" s="160"/>
      <c r="GM29" s="38">
        <f>IF((GK29-GK28)&lt;=0,0,(GK29-GK28))*1000</f>
        <v>0</v>
      </c>
      <c r="GN29" s="250"/>
      <c r="GO29" s="57"/>
      <c r="GP29" s="38">
        <f t="shared" si="65"/>
        <v>0</v>
      </c>
      <c r="GQ29" s="250"/>
      <c r="GR29" s="38"/>
      <c r="GS29" s="38">
        <f t="shared" si="133"/>
        <v>0</v>
      </c>
      <c r="GT29" s="247"/>
      <c r="GU29" s="144">
        <f>IFERROR(DailyNov!B27-DailyNov!N27-DailyNov!V27-DailyNov!Y27-DailyNov!Z27-DailyNov!AA27-DailyNov!AB27-DailyNov!AC27-DailyNov!AD27-DailyNov!AE27-DailyNov!AK27-DailyNov!AO27-DailyNov!AS27-DailyNov!AY27-DailyNov!BD27+DailyNov!BU27-DailyNov!BG27-DailyNov!BT27-DailyNov!AF27-DailyNov!AG27,"-")</f>
        <v>0</v>
      </c>
      <c r="GV29" s="261"/>
      <c r="GW29" s="60">
        <f t="shared" si="66"/>
        <v>0</v>
      </c>
      <c r="GX29" s="260"/>
      <c r="GY29" s="140"/>
      <c r="GZ29" s="528"/>
      <c r="HA29" s="528"/>
      <c r="HB29" s="528"/>
      <c r="HC29" s="528"/>
      <c r="HD29" s="74"/>
      <c r="HE29" s="24">
        <f t="shared" si="105"/>
        <v>0</v>
      </c>
      <c r="HF29" s="255"/>
      <c r="HG29" s="279">
        <v>22</v>
      </c>
      <c r="HH29" s="292"/>
      <c r="HI29" s="292"/>
      <c r="HJ29" s="61">
        <f t="shared" si="67"/>
        <v>0</v>
      </c>
      <c r="HK29" s="260"/>
      <c r="HL29" s="260"/>
      <c r="HM29" s="61">
        <f t="shared" si="68"/>
        <v>0</v>
      </c>
      <c r="HN29" s="292"/>
      <c r="HO29" s="292"/>
      <c r="HP29" s="61">
        <f t="shared" si="106"/>
        <v>0</v>
      </c>
      <c r="HQ29" s="292"/>
      <c r="HR29" s="292"/>
      <c r="HS29" s="61">
        <f t="shared" si="107"/>
        <v>0</v>
      </c>
      <c r="HT29" s="292"/>
      <c r="HU29" s="292"/>
      <c r="HV29" s="61">
        <f t="shared" si="108"/>
        <v>0</v>
      </c>
      <c r="HW29" s="292"/>
      <c r="HX29" s="292"/>
      <c r="HY29" s="61">
        <f t="shared" si="109"/>
        <v>0</v>
      </c>
      <c r="HZ29" s="260"/>
      <c r="IA29" s="260"/>
      <c r="IB29" s="61">
        <f t="shared" si="110"/>
        <v>0</v>
      </c>
      <c r="IC29" s="292"/>
      <c r="ID29" s="292"/>
      <c r="IE29" s="61">
        <f t="shared" si="153"/>
        <v>0</v>
      </c>
      <c r="IF29" s="61"/>
      <c r="IG29" s="61"/>
      <c r="IH29" s="280">
        <f t="shared" si="71"/>
        <v>0</v>
      </c>
      <c r="II29" s="281">
        <f t="shared" si="72"/>
        <v>0</v>
      </c>
      <c r="IJ29" s="380"/>
      <c r="IK29" s="380"/>
      <c r="IL29" s="380">
        <f t="shared" si="73"/>
        <v>0</v>
      </c>
      <c r="IM29" s="380"/>
      <c r="IN29" s="380"/>
      <c r="IO29" s="380">
        <f t="shared" si="74"/>
        <v>0</v>
      </c>
      <c r="IP29" s="380"/>
      <c r="IQ29" s="380"/>
      <c r="IR29" s="380">
        <f t="shared" si="75"/>
        <v>0</v>
      </c>
      <c r="IS29" s="380"/>
      <c r="IT29" s="380"/>
      <c r="IU29" s="380">
        <f t="shared" si="111"/>
        <v>0</v>
      </c>
      <c r="IV29" s="380"/>
      <c r="IW29" s="380"/>
      <c r="IX29" s="380">
        <f t="shared" si="112"/>
        <v>0</v>
      </c>
      <c r="IY29" s="380"/>
      <c r="IZ29" s="380"/>
      <c r="JA29" s="380">
        <f t="shared" si="113"/>
        <v>0</v>
      </c>
      <c r="JB29" s="380"/>
      <c r="JC29" s="380"/>
      <c r="JD29" s="380">
        <f t="shared" si="114"/>
        <v>0</v>
      </c>
      <c r="JE29" s="380"/>
      <c r="JF29" s="380"/>
      <c r="JG29" s="380">
        <f t="shared" si="115"/>
        <v>0</v>
      </c>
      <c r="JH29" s="380"/>
      <c r="JI29" s="380"/>
      <c r="JJ29" s="380">
        <f t="shared" si="81"/>
        <v>0</v>
      </c>
      <c r="JK29" s="380"/>
      <c r="JL29" s="380"/>
      <c r="JM29" s="380">
        <f t="shared" si="82"/>
        <v>0</v>
      </c>
      <c r="JN29" s="380"/>
      <c r="JO29" s="380"/>
      <c r="JP29" s="380">
        <f t="shared" si="83"/>
        <v>0</v>
      </c>
      <c r="JQ29" s="380"/>
      <c r="JR29" s="380"/>
      <c r="JS29" s="380">
        <f t="shared" si="84"/>
        <v>0</v>
      </c>
      <c r="JT29" s="380"/>
      <c r="JU29" s="380"/>
      <c r="JV29" s="380">
        <f t="shared" si="85"/>
        <v>0</v>
      </c>
      <c r="JW29" s="380"/>
      <c r="JX29" s="380"/>
      <c r="JY29" s="380">
        <f t="shared" si="86"/>
        <v>0</v>
      </c>
      <c r="JZ29" s="380"/>
      <c r="KA29" s="380"/>
      <c r="KB29" s="380">
        <f t="shared" si="116"/>
        <v>0</v>
      </c>
      <c r="KC29" s="380"/>
      <c r="KD29" s="380"/>
      <c r="KE29" s="380">
        <f t="shared" si="117"/>
        <v>0</v>
      </c>
      <c r="KG29" s="151">
        <f t="shared" si="89"/>
        <v>0</v>
      </c>
    </row>
    <row r="30" spans="1:293" x14ac:dyDescent="0.25">
      <c r="A30" s="35">
        <f t="shared" si="118"/>
        <v>23</v>
      </c>
      <c r="B30" s="250"/>
      <c r="C30" s="38">
        <f t="shared" si="21"/>
        <v>0</v>
      </c>
      <c r="D30" s="38">
        <f t="shared" si="22"/>
        <v>0</v>
      </c>
      <c r="E30" s="250"/>
      <c r="F30" s="38">
        <f t="shared" si="23"/>
        <v>0</v>
      </c>
      <c r="G30" s="38">
        <f t="shared" si="24"/>
        <v>0</v>
      </c>
      <c r="H30" s="37"/>
      <c r="I30" s="39"/>
      <c r="J30" s="42"/>
      <c r="K30" s="37">
        <f t="shared" si="134"/>
        <v>0</v>
      </c>
      <c r="L30" s="250"/>
      <c r="M30" s="40"/>
      <c r="N30" s="37">
        <f t="shared" si="135"/>
        <v>0</v>
      </c>
      <c r="O30" s="250"/>
      <c r="P30" s="37"/>
      <c r="Q30" s="37">
        <f t="shared" si="158"/>
        <v>0</v>
      </c>
      <c r="R30" s="37">
        <f t="shared" si="136"/>
        <v>0</v>
      </c>
      <c r="S30" s="250"/>
      <c r="T30" s="37">
        <f t="shared" si="26"/>
        <v>0</v>
      </c>
      <c r="U30" s="250"/>
      <c r="V30" s="37">
        <f t="shared" si="27"/>
        <v>0</v>
      </c>
      <c r="W30" s="250"/>
      <c r="X30" s="37">
        <f t="shared" si="151"/>
        <v>0</v>
      </c>
      <c r="Y30" s="183"/>
      <c r="Z30" s="183"/>
      <c r="AA30" s="250"/>
      <c r="AB30" s="37">
        <f t="shared" si="28"/>
        <v>0</v>
      </c>
      <c r="AC30" s="250"/>
      <c r="AD30" s="37"/>
      <c r="AE30" s="37">
        <f t="shared" si="160"/>
        <v>0</v>
      </c>
      <c r="AF30" s="37">
        <f t="shared" si="137"/>
        <v>0</v>
      </c>
      <c r="AG30" s="250"/>
      <c r="AH30" s="37"/>
      <c r="AI30" s="37">
        <f t="shared" si="90"/>
        <v>0</v>
      </c>
      <c r="AJ30" s="37">
        <f t="shared" si="91"/>
        <v>0</v>
      </c>
      <c r="AK30" s="37">
        <f t="shared" si="32"/>
        <v>0</v>
      </c>
      <c r="AL30" s="250"/>
      <c r="AM30" s="42"/>
      <c r="AN30" s="37">
        <f t="shared" si="119"/>
        <v>0</v>
      </c>
      <c r="AO30" s="37">
        <f t="shared" si="138"/>
        <v>0</v>
      </c>
      <c r="AP30" s="250"/>
      <c r="AQ30" s="37"/>
      <c r="AR30" s="37">
        <f t="shared" si="92"/>
        <v>0</v>
      </c>
      <c r="AS30" s="37">
        <f t="shared" si="139"/>
        <v>0</v>
      </c>
      <c r="AT30" s="183"/>
      <c r="AU30" s="183"/>
      <c r="AV30" s="183"/>
      <c r="AW30" s="183"/>
      <c r="AX30" s="250"/>
      <c r="AY30" s="37"/>
      <c r="AZ30" s="37">
        <f t="shared" si="34"/>
        <v>0</v>
      </c>
      <c r="BA30" s="250"/>
      <c r="BB30" s="37"/>
      <c r="BC30" s="37">
        <f t="shared" si="93"/>
        <v>0</v>
      </c>
      <c r="BD30" s="37">
        <f t="shared" si="140"/>
        <v>0</v>
      </c>
      <c r="BE30" s="250"/>
      <c r="BF30" s="250"/>
      <c r="BG30" s="37">
        <f t="shared" si="36"/>
        <v>0</v>
      </c>
      <c r="BH30" s="250"/>
      <c r="BI30" s="250"/>
      <c r="BJ30" s="37">
        <f t="shared" si="37"/>
        <v>0</v>
      </c>
      <c r="BK30" s="250"/>
      <c r="BL30" s="40">
        <f t="shared" si="141"/>
        <v>0</v>
      </c>
      <c r="BM30" s="250"/>
      <c r="BN30" s="37">
        <f t="shared" si="38"/>
        <v>0</v>
      </c>
      <c r="BO30" s="186"/>
      <c r="BP30" s="183">
        <f t="shared" si="94"/>
        <v>0</v>
      </c>
      <c r="BQ30" s="250"/>
      <c r="BR30" s="37">
        <f t="shared" si="120"/>
        <v>0</v>
      </c>
      <c r="BS30" s="250"/>
      <c r="BT30" s="37">
        <f t="shared" si="39"/>
        <v>0</v>
      </c>
      <c r="BU30" s="250"/>
      <c r="BV30" s="42"/>
      <c r="BW30" s="37">
        <f t="shared" si="95"/>
        <v>0</v>
      </c>
      <c r="BX30" s="37">
        <f t="shared" si="142"/>
        <v>0</v>
      </c>
      <c r="BY30" s="250"/>
      <c r="BZ30" s="43"/>
      <c r="CA30" s="37">
        <f t="shared" si="156"/>
        <v>0</v>
      </c>
      <c r="CB30" s="37">
        <f t="shared" si="121"/>
        <v>0</v>
      </c>
      <c r="CC30" s="250"/>
      <c r="CD30" s="37">
        <f t="shared" si="42"/>
        <v>0</v>
      </c>
      <c r="CE30" s="250"/>
      <c r="CF30" s="37">
        <f t="shared" si="43"/>
        <v>0</v>
      </c>
      <c r="CG30" s="250"/>
      <c r="CH30" s="37">
        <f t="shared" si="122"/>
        <v>0</v>
      </c>
      <c r="CI30" s="250"/>
      <c r="CJ30" s="40"/>
      <c r="CK30" s="37">
        <f t="shared" si="123"/>
        <v>0</v>
      </c>
      <c r="CL30" s="37">
        <f t="shared" si="97"/>
        <v>0</v>
      </c>
      <c r="CM30" s="250"/>
      <c r="CN30" s="37"/>
      <c r="CO30" s="37">
        <f t="shared" si="45"/>
        <v>0</v>
      </c>
      <c r="CP30" s="37">
        <f t="shared" si="154"/>
        <v>0</v>
      </c>
      <c r="CQ30" s="250"/>
      <c r="CR30" s="39"/>
      <c r="CS30" s="37">
        <f t="shared" si="124"/>
        <v>0</v>
      </c>
      <c r="CT30" s="37">
        <f t="shared" si="143"/>
        <v>0</v>
      </c>
      <c r="CU30" s="250"/>
      <c r="CV30" s="37"/>
      <c r="CW30" s="38">
        <f t="shared" si="98"/>
        <v>0</v>
      </c>
      <c r="CX30" s="37">
        <f t="shared" si="144"/>
        <v>0</v>
      </c>
      <c r="CY30" s="250"/>
      <c r="CZ30" s="37"/>
      <c r="DA30" s="37">
        <f t="shared" si="162"/>
        <v>0</v>
      </c>
      <c r="DB30" s="37">
        <f t="shared" si="145"/>
        <v>0</v>
      </c>
      <c r="DC30" s="37"/>
      <c r="DD30" s="40"/>
      <c r="DE30" s="37">
        <f t="shared" si="100"/>
        <v>0</v>
      </c>
      <c r="DF30" s="37">
        <f t="shared" si="152"/>
        <v>0</v>
      </c>
      <c r="DG30" s="37">
        <f t="shared" si="101"/>
        <v>0</v>
      </c>
      <c r="DH30" s="37">
        <f t="shared" si="102"/>
        <v>0</v>
      </c>
      <c r="DI30" s="46"/>
      <c r="DJ30" s="46"/>
      <c r="DK30" s="47"/>
      <c r="DL30" s="47"/>
      <c r="DM30" s="37"/>
      <c r="DN30" s="37"/>
      <c r="DO30" s="37"/>
      <c r="DP30" s="37"/>
      <c r="DQ30" s="250"/>
      <c r="DR30" s="49">
        <f t="shared" si="125"/>
        <v>0</v>
      </c>
      <c r="DS30" s="250"/>
      <c r="DT30" s="49">
        <f t="shared" si="126"/>
        <v>0</v>
      </c>
      <c r="DU30" s="250"/>
      <c r="DV30" s="250"/>
      <c r="DW30" s="37">
        <f t="shared" si="146"/>
        <v>0</v>
      </c>
      <c r="DX30" s="250"/>
      <c r="DY30" s="250"/>
      <c r="DZ30" s="37">
        <f t="shared" si="51"/>
        <v>0</v>
      </c>
      <c r="EA30" s="250"/>
      <c r="EB30" s="250"/>
      <c r="EC30" s="37">
        <v>0</v>
      </c>
      <c r="ED30" s="53">
        <f t="shared" si="52"/>
        <v>0</v>
      </c>
      <c r="EE30" s="250"/>
      <c r="EF30" s="250"/>
      <c r="EG30" s="37">
        <v>0</v>
      </c>
      <c r="EH30" s="250"/>
      <c r="EI30" s="250"/>
      <c r="EJ30" s="37">
        <f t="shared" si="54"/>
        <v>0</v>
      </c>
      <c r="EK30" s="250"/>
      <c r="EL30" s="250"/>
      <c r="EM30" s="37">
        <f t="shared" si="127"/>
        <v>0</v>
      </c>
      <c r="EN30" s="54">
        <f t="shared" si="128"/>
        <v>0</v>
      </c>
      <c r="EO30" s="250"/>
      <c r="EP30" s="48"/>
      <c r="EQ30" s="37"/>
      <c r="ER30" s="250"/>
      <c r="ES30" s="48"/>
      <c r="ET30" s="49">
        <f t="shared" si="155"/>
        <v>0</v>
      </c>
      <c r="EU30" s="250"/>
      <c r="EV30" s="48"/>
      <c r="EW30" s="49">
        <f t="shared" si="56"/>
        <v>0</v>
      </c>
      <c r="EX30" s="250"/>
      <c r="EY30" s="55"/>
      <c r="EZ30" s="37">
        <f t="shared" si="103"/>
        <v>0</v>
      </c>
      <c r="FA30" s="48">
        <f t="shared" si="129"/>
        <v>0</v>
      </c>
      <c r="FB30" s="250"/>
      <c r="FC30" s="49">
        <f t="shared" si="147"/>
        <v>0</v>
      </c>
      <c r="FD30" s="48">
        <f t="shared" si="130"/>
        <v>0</v>
      </c>
      <c r="FE30" s="250"/>
      <c r="FF30" s="48"/>
      <c r="FG30" s="37"/>
      <c r="FH30" s="250"/>
      <c r="FI30" s="48"/>
      <c r="FJ30" s="49">
        <f t="shared" si="59"/>
        <v>0</v>
      </c>
      <c r="FK30" s="48"/>
      <c r="FL30" s="58"/>
      <c r="FM30" s="48">
        <f t="shared" si="148"/>
        <v>0</v>
      </c>
      <c r="FN30" s="250"/>
      <c r="FO30" s="48"/>
      <c r="FP30" s="37">
        <f t="shared" si="131"/>
        <v>0</v>
      </c>
      <c r="FQ30" s="250"/>
      <c r="FR30" s="48"/>
      <c r="FS30" s="37">
        <f t="shared" si="60"/>
        <v>0</v>
      </c>
      <c r="FT30" s="48">
        <f t="shared" si="149"/>
        <v>0</v>
      </c>
      <c r="FU30" s="48">
        <f t="shared" si="150"/>
        <v>0</v>
      </c>
      <c r="FV30" s="250"/>
      <c r="FW30" s="65"/>
      <c r="FX30" s="37">
        <f t="shared" si="61"/>
        <v>0</v>
      </c>
      <c r="FY30" s="250"/>
      <c r="FZ30" s="56"/>
      <c r="GA30" s="37">
        <f t="shared" si="62"/>
        <v>0</v>
      </c>
      <c r="GB30" s="250"/>
      <c r="GC30" s="56"/>
      <c r="GD30" s="37">
        <f t="shared" si="63"/>
        <v>0</v>
      </c>
      <c r="GE30" s="250"/>
      <c r="GF30" s="56"/>
      <c r="GG30" s="37">
        <f t="shared" si="64"/>
        <v>0</v>
      </c>
      <c r="GH30" s="250"/>
      <c r="GI30" s="159"/>
      <c r="GJ30" s="38">
        <f t="shared" si="132"/>
        <v>0</v>
      </c>
      <c r="GK30" s="250"/>
      <c r="GL30" s="160"/>
      <c r="GM30" s="38">
        <f t="shared" si="104"/>
        <v>0</v>
      </c>
      <c r="GN30" s="250"/>
      <c r="GO30" s="57"/>
      <c r="GP30" s="38">
        <f t="shared" si="65"/>
        <v>0</v>
      </c>
      <c r="GQ30" s="250"/>
      <c r="GR30" s="38"/>
      <c r="GS30" s="38">
        <f t="shared" si="133"/>
        <v>0</v>
      </c>
      <c r="GT30" s="247"/>
      <c r="GU30" s="144">
        <f>IFERROR(DailyNov!B28-DailyNov!N28-DailyNov!V28-DailyNov!Y28-DailyNov!Z28-DailyNov!AA28-DailyNov!AB28-DailyNov!AC28-DailyNov!AD28-DailyNov!AE28-DailyNov!AK28-DailyNov!AO28-DailyNov!AS28-DailyNov!AY28-DailyNov!BD28+DailyNov!BU28-DailyNov!BG28-DailyNov!BT28-DailyNov!AF28-DailyNov!AG28,"-")</f>
        <v>0</v>
      </c>
      <c r="GV30" s="261"/>
      <c r="GW30" s="60">
        <f t="shared" si="66"/>
        <v>0</v>
      </c>
      <c r="GX30" s="260"/>
      <c r="GY30" s="140"/>
      <c r="GZ30" s="528"/>
      <c r="HA30" s="528"/>
      <c r="HB30" s="528"/>
      <c r="HC30" s="528"/>
      <c r="HD30" s="74"/>
      <c r="HE30" s="24">
        <f t="shared" si="105"/>
        <v>0</v>
      </c>
      <c r="HG30" s="279">
        <v>23</v>
      </c>
      <c r="HH30" s="292"/>
      <c r="HI30" s="292"/>
      <c r="HJ30" s="61">
        <f t="shared" si="67"/>
        <v>0</v>
      </c>
      <c r="HK30" s="260"/>
      <c r="HL30" s="260"/>
      <c r="HM30" s="61">
        <f t="shared" si="68"/>
        <v>0</v>
      </c>
      <c r="HN30" s="292"/>
      <c r="HO30" s="292"/>
      <c r="HP30" s="61">
        <f t="shared" si="106"/>
        <v>0</v>
      </c>
      <c r="HQ30" s="292"/>
      <c r="HR30" s="292"/>
      <c r="HS30" s="61">
        <f t="shared" si="107"/>
        <v>0</v>
      </c>
      <c r="HT30" s="292"/>
      <c r="HU30" s="292"/>
      <c r="HV30" s="61">
        <f t="shared" si="108"/>
        <v>0</v>
      </c>
      <c r="HW30" s="292"/>
      <c r="HX30" s="292"/>
      <c r="HY30" s="61">
        <f t="shared" si="109"/>
        <v>0</v>
      </c>
      <c r="HZ30" s="260"/>
      <c r="IA30" s="260"/>
      <c r="IB30" s="61">
        <f t="shared" si="110"/>
        <v>0</v>
      </c>
      <c r="IC30" s="292"/>
      <c r="ID30" s="292"/>
      <c r="IE30" s="61">
        <f t="shared" si="153"/>
        <v>0</v>
      </c>
      <c r="IF30" s="61"/>
      <c r="IG30" s="61"/>
      <c r="IH30" s="280">
        <f t="shared" si="71"/>
        <v>0</v>
      </c>
      <c r="II30" s="281">
        <f>HJ30+HM30-HS30-HV30-HY30-IH30-HP30-IB30-IE30</f>
        <v>0</v>
      </c>
      <c r="IJ30" s="380"/>
      <c r="IK30" s="380"/>
      <c r="IL30" s="380">
        <f t="shared" si="73"/>
        <v>0</v>
      </c>
      <c r="IM30" s="380"/>
      <c r="IN30" s="380"/>
      <c r="IO30" s="380">
        <f t="shared" si="74"/>
        <v>0</v>
      </c>
      <c r="IP30" s="380"/>
      <c r="IQ30" s="380"/>
      <c r="IR30" s="380">
        <f t="shared" si="75"/>
        <v>0</v>
      </c>
      <c r="IS30" s="380"/>
      <c r="IT30" s="380"/>
      <c r="IU30" s="380">
        <f t="shared" si="111"/>
        <v>0</v>
      </c>
      <c r="IV30" s="380"/>
      <c r="IW30" s="380"/>
      <c r="IX30" s="380">
        <f t="shared" si="112"/>
        <v>0</v>
      </c>
      <c r="IY30" s="380"/>
      <c r="IZ30" s="380"/>
      <c r="JA30" s="380">
        <f t="shared" si="113"/>
        <v>0</v>
      </c>
      <c r="JB30" s="380"/>
      <c r="JC30" s="380"/>
      <c r="JD30" s="380">
        <f t="shared" si="114"/>
        <v>0</v>
      </c>
      <c r="JE30" s="380"/>
      <c r="JF30" s="380"/>
      <c r="JG30" s="380">
        <f t="shared" si="115"/>
        <v>0</v>
      </c>
      <c r="JH30" s="380"/>
      <c r="JI30" s="380"/>
      <c r="JJ30" s="380">
        <f t="shared" si="81"/>
        <v>0</v>
      </c>
      <c r="JK30" s="380"/>
      <c r="JL30" s="380"/>
      <c r="JM30" s="380">
        <f t="shared" si="82"/>
        <v>0</v>
      </c>
      <c r="JN30" s="380"/>
      <c r="JO30" s="380"/>
      <c r="JP30" s="380">
        <f t="shared" si="83"/>
        <v>0</v>
      </c>
      <c r="JQ30" s="380"/>
      <c r="JR30" s="380"/>
      <c r="JS30" s="380">
        <f t="shared" si="84"/>
        <v>0</v>
      </c>
      <c r="JT30" s="380"/>
      <c r="JU30" s="380"/>
      <c r="JV30" s="380">
        <f t="shared" si="85"/>
        <v>0</v>
      </c>
      <c r="JW30" s="380"/>
      <c r="JX30" s="380"/>
      <c r="JY30" s="380">
        <f t="shared" si="86"/>
        <v>0</v>
      </c>
      <c r="JZ30" s="380"/>
      <c r="KA30" s="380"/>
      <c r="KB30" s="380">
        <f t="shared" si="116"/>
        <v>0</v>
      </c>
      <c r="KC30" s="380"/>
      <c r="KD30" s="380"/>
      <c r="KE30" s="380">
        <f t="shared" si="117"/>
        <v>0</v>
      </c>
      <c r="KG30" s="151">
        <f t="shared" si="89"/>
        <v>0</v>
      </c>
    </row>
    <row r="31" spans="1:293" x14ac:dyDescent="0.25">
      <c r="A31" s="35">
        <f t="shared" si="118"/>
        <v>24</v>
      </c>
      <c r="B31" s="250"/>
      <c r="C31" s="38">
        <f t="shared" si="21"/>
        <v>0</v>
      </c>
      <c r="D31" s="38">
        <f t="shared" si="22"/>
        <v>0</v>
      </c>
      <c r="E31" s="250"/>
      <c r="F31" s="38">
        <f t="shared" si="23"/>
        <v>0</v>
      </c>
      <c r="G31" s="38">
        <f t="shared" si="24"/>
        <v>0</v>
      </c>
      <c r="H31" s="37"/>
      <c r="I31" s="39"/>
      <c r="J31" s="42"/>
      <c r="K31" s="37">
        <f>IF(J31&lt;=0,0,(J31/SQRT(J31^2+(I31-I30)^2)))</f>
        <v>0</v>
      </c>
      <c r="L31" s="250"/>
      <c r="M31" s="40"/>
      <c r="N31" s="37">
        <f t="shared" si="135"/>
        <v>0</v>
      </c>
      <c r="O31" s="250"/>
      <c r="P31" s="37"/>
      <c r="Q31" s="37">
        <f t="shared" si="158"/>
        <v>0</v>
      </c>
      <c r="R31" s="37">
        <f>IF(Q31&lt;=0,0,(Q31/SQRT(Q31^2+(P31-P30)^2)))</f>
        <v>0</v>
      </c>
      <c r="S31" s="250"/>
      <c r="T31" s="37">
        <f t="shared" si="26"/>
        <v>0</v>
      </c>
      <c r="U31" s="250"/>
      <c r="V31" s="37">
        <f t="shared" si="27"/>
        <v>0</v>
      </c>
      <c r="W31" s="250"/>
      <c r="X31" s="37">
        <f t="shared" si="151"/>
        <v>0</v>
      </c>
      <c r="Y31" s="183"/>
      <c r="Z31" s="183"/>
      <c r="AA31" s="250"/>
      <c r="AB31" s="37">
        <f t="shared" si="28"/>
        <v>0</v>
      </c>
      <c r="AC31" s="250"/>
      <c r="AD31" s="37"/>
      <c r="AE31" s="37">
        <f t="shared" si="160"/>
        <v>0</v>
      </c>
      <c r="AF31" s="37">
        <f>IF(AE31&lt;=0,0,(AE31/SQRT(AE31^2+(AD31-AD30)^2)))</f>
        <v>0</v>
      </c>
      <c r="AG31" s="250"/>
      <c r="AH31" s="37"/>
      <c r="AI31" s="37">
        <f t="shared" si="90"/>
        <v>0</v>
      </c>
      <c r="AJ31" s="37">
        <f t="shared" si="91"/>
        <v>0</v>
      </c>
      <c r="AK31" s="37">
        <f t="shared" si="32"/>
        <v>0</v>
      </c>
      <c r="AL31" s="250"/>
      <c r="AM31" s="42"/>
      <c r="AN31" s="37">
        <f t="shared" si="119"/>
        <v>0</v>
      </c>
      <c r="AO31" s="37">
        <f>IF(AN31&lt;=0,0,(AN31/SQRT(AN31^2+(AM31-AM30)^2)))</f>
        <v>0</v>
      </c>
      <c r="AP31" s="250"/>
      <c r="AQ31" s="37"/>
      <c r="AR31" s="37">
        <f t="shared" si="92"/>
        <v>0</v>
      </c>
      <c r="AS31" s="37">
        <f>IF(AR31&lt;=0,0,(AR31/SQRT(AR31^2+(AQ31-AQ30)^2)))</f>
        <v>0</v>
      </c>
      <c r="AT31" s="183"/>
      <c r="AU31" s="183"/>
      <c r="AV31" s="183"/>
      <c r="AW31" s="183"/>
      <c r="AX31" s="250"/>
      <c r="AY31" s="37"/>
      <c r="AZ31" s="37">
        <f t="shared" si="34"/>
        <v>0</v>
      </c>
      <c r="BA31" s="250"/>
      <c r="BB31" s="37"/>
      <c r="BC31" s="37">
        <f t="shared" si="93"/>
        <v>0</v>
      </c>
      <c r="BD31" s="37">
        <f>AN31+AR31+AZ31+BC31</f>
        <v>0</v>
      </c>
      <c r="BE31" s="250"/>
      <c r="BF31" s="250"/>
      <c r="BG31" s="37">
        <f t="shared" si="36"/>
        <v>0</v>
      </c>
      <c r="BH31" s="250"/>
      <c r="BI31" s="250"/>
      <c r="BJ31" s="37">
        <f t="shared" si="37"/>
        <v>0</v>
      </c>
      <c r="BK31" s="250"/>
      <c r="BL31" s="40">
        <f t="shared" si="141"/>
        <v>0</v>
      </c>
      <c r="BM31" s="250"/>
      <c r="BN31" s="37">
        <f t="shared" si="38"/>
        <v>0</v>
      </c>
      <c r="BO31" s="186"/>
      <c r="BP31" s="183">
        <f t="shared" si="94"/>
        <v>0</v>
      </c>
      <c r="BQ31" s="250"/>
      <c r="BR31" s="37">
        <f t="shared" si="120"/>
        <v>0</v>
      </c>
      <c r="BS31" s="250"/>
      <c r="BT31" s="37">
        <f t="shared" si="39"/>
        <v>0</v>
      </c>
      <c r="BU31" s="250"/>
      <c r="BV31" s="42"/>
      <c r="BW31" s="37">
        <f t="shared" si="95"/>
        <v>0</v>
      </c>
      <c r="BX31" s="37">
        <f>IF(BW31&lt;=0,0,(BW31/SQRT(BW31^2+(BV31-BV30)^2)))</f>
        <v>0</v>
      </c>
      <c r="BY31" s="250"/>
      <c r="BZ31" s="37"/>
      <c r="CA31" s="37">
        <f t="shared" si="156"/>
        <v>0</v>
      </c>
      <c r="CB31" s="37">
        <f t="shared" si="121"/>
        <v>0</v>
      </c>
      <c r="CC31" s="250"/>
      <c r="CD31" s="37">
        <f t="shared" si="42"/>
        <v>0</v>
      </c>
      <c r="CE31" s="250"/>
      <c r="CF31" s="37">
        <f t="shared" si="43"/>
        <v>0</v>
      </c>
      <c r="CG31" s="250"/>
      <c r="CH31" s="37">
        <f t="shared" si="122"/>
        <v>0</v>
      </c>
      <c r="CI31" s="250"/>
      <c r="CJ31" s="40"/>
      <c r="CK31" s="37">
        <f t="shared" si="123"/>
        <v>0</v>
      </c>
      <c r="CL31" s="37">
        <f t="shared" si="97"/>
        <v>0</v>
      </c>
      <c r="CM31" s="250"/>
      <c r="CN31" s="37"/>
      <c r="CO31" s="37">
        <f t="shared" si="45"/>
        <v>0</v>
      </c>
      <c r="CP31" s="37">
        <f>IF(CO31&lt;=0,0,(CO31/SQRT(CO31^2+(CN31-CN30)^2)))</f>
        <v>0</v>
      </c>
      <c r="CQ31" s="250"/>
      <c r="CR31" s="39"/>
      <c r="CS31" s="37">
        <f t="shared" si="124"/>
        <v>0</v>
      </c>
      <c r="CT31" s="37">
        <f t="shared" si="143"/>
        <v>0</v>
      </c>
      <c r="CU31" s="250"/>
      <c r="CV31" s="37"/>
      <c r="CW31" s="38">
        <f t="shared" si="98"/>
        <v>0</v>
      </c>
      <c r="CX31" s="37">
        <f>IF(CW31&lt;=0,0,(CW31/SQRT(CW31^2+(CV31-CV30)^2)))</f>
        <v>0</v>
      </c>
      <c r="CY31" s="250"/>
      <c r="CZ31" s="37"/>
      <c r="DA31" s="37">
        <f t="shared" si="162"/>
        <v>0</v>
      </c>
      <c r="DB31" s="37">
        <f t="shared" si="145"/>
        <v>0</v>
      </c>
      <c r="DC31" s="37"/>
      <c r="DD31" s="40"/>
      <c r="DE31" s="37">
        <f>IF((DC31-DC30)&lt;=0,0,(DC31-DC30))</f>
        <v>0</v>
      </c>
      <c r="DF31" s="37">
        <f>IF(DE31&lt;=0,0,(DE31/SQRT(DE31^2+(DD31-DD30)^2)))</f>
        <v>0</v>
      </c>
      <c r="DG31" s="37">
        <f t="shared" si="101"/>
        <v>0</v>
      </c>
      <c r="DH31" s="37">
        <f t="shared" si="102"/>
        <v>0</v>
      </c>
      <c r="DI31" s="46"/>
      <c r="DJ31" s="46"/>
      <c r="DK31" s="47"/>
      <c r="DL31" s="47"/>
      <c r="DM31" s="37"/>
      <c r="DN31" s="37"/>
      <c r="DO31" s="37"/>
      <c r="DP31" s="37"/>
      <c r="DQ31" s="250"/>
      <c r="DR31" s="49">
        <f t="shared" si="125"/>
        <v>0</v>
      </c>
      <c r="DS31" s="250"/>
      <c r="DT31" s="49">
        <f t="shared" si="126"/>
        <v>0</v>
      </c>
      <c r="DU31" s="250"/>
      <c r="DV31" s="250"/>
      <c r="DW31" s="37">
        <f t="shared" si="146"/>
        <v>0</v>
      </c>
      <c r="DX31" s="250"/>
      <c r="DY31" s="250"/>
      <c r="DZ31" s="37">
        <f t="shared" si="51"/>
        <v>0</v>
      </c>
      <c r="EA31" s="250"/>
      <c r="EB31" s="250"/>
      <c r="EC31" s="37">
        <v>0</v>
      </c>
      <c r="ED31" s="53">
        <f t="shared" si="52"/>
        <v>0</v>
      </c>
      <c r="EE31" s="250"/>
      <c r="EF31" s="250"/>
      <c r="EG31" s="37">
        <v>0</v>
      </c>
      <c r="EH31" s="250"/>
      <c r="EI31" s="250"/>
      <c r="EJ31" s="37">
        <f t="shared" si="54"/>
        <v>0</v>
      </c>
      <c r="EK31" s="250"/>
      <c r="EL31" s="250"/>
      <c r="EM31" s="37">
        <f t="shared" si="127"/>
        <v>0</v>
      </c>
      <c r="EN31" s="54">
        <f t="shared" si="128"/>
        <v>0</v>
      </c>
      <c r="EO31" s="250"/>
      <c r="EP31" s="48"/>
      <c r="EQ31" s="37"/>
      <c r="ER31" s="250"/>
      <c r="ES31" s="48"/>
      <c r="ET31" s="49">
        <f t="shared" si="155"/>
        <v>0</v>
      </c>
      <c r="EU31" s="250"/>
      <c r="EV31" s="48"/>
      <c r="EW31" s="49">
        <f t="shared" si="56"/>
        <v>0</v>
      </c>
      <c r="EX31" s="250"/>
      <c r="EY31" s="55"/>
      <c r="EZ31" s="37">
        <f t="shared" si="103"/>
        <v>0</v>
      </c>
      <c r="FA31" s="48">
        <f t="shared" si="129"/>
        <v>0</v>
      </c>
      <c r="FB31" s="250"/>
      <c r="FC31" s="49">
        <f t="shared" si="147"/>
        <v>0</v>
      </c>
      <c r="FD31" s="48">
        <f t="shared" si="130"/>
        <v>0</v>
      </c>
      <c r="FE31" s="250"/>
      <c r="FF31" s="55"/>
      <c r="FG31" s="37"/>
      <c r="FH31" s="250"/>
      <c r="FI31" s="48"/>
      <c r="FJ31" s="49">
        <f t="shared" si="59"/>
        <v>0</v>
      </c>
      <c r="FK31" s="48"/>
      <c r="FL31" s="58"/>
      <c r="FM31" s="48">
        <f t="shared" si="148"/>
        <v>0</v>
      </c>
      <c r="FN31" s="250"/>
      <c r="FO31" s="48"/>
      <c r="FP31" s="37">
        <f t="shared" si="131"/>
        <v>0</v>
      </c>
      <c r="FQ31" s="250"/>
      <c r="FR31" s="48"/>
      <c r="FS31" s="37">
        <f t="shared" si="60"/>
        <v>0</v>
      </c>
      <c r="FT31" s="48">
        <f t="shared" si="149"/>
        <v>0</v>
      </c>
      <c r="FU31" s="48">
        <f t="shared" si="150"/>
        <v>0</v>
      </c>
      <c r="FV31" s="250"/>
      <c r="FW31" s="44"/>
      <c r="FX31" s="37">
        <f t="shared" si="61"/>
        <v>0</v>
      </c>
      <c r="FY31" s="250"/>
      <c r="FZ31" s="56"/>
      <c r="GA31" s="37">
        <f t="shared" si="62"/>
        <v>0</v>
      </c>
      <c r="GB31" s="250"/>
      <c r="GC31" s="56"/>
      <c r="GD31" s="37">
        <f t="shared" si="63"/>
        <v>0</v>
      </c>
      <c r="GE31" s="250"/>
      <c r="GF31" s="56"/>
      <c r="GG31" s="37">
        <f t="shared" si="64"/>
        <v>0</v>
      </c>
      <c r="GH31" s="250"/>
      <c r="GI31" s="159"/>
      <c r="GJ31" s="38">
        <f t="shared" si="132"/>
        <v>0</v>
      </c>
      <c r="GK31" s="250"/>
      <c r="GL31" s="160"/>
      <c r="GM31" s="38">
        <f t="shared" si="104"/>
        <v>0</v>
      </c>
      <c r="GN31" s="250"/>
      <c r="GO31" s="57"/>
      <c r="GP31" s="38">
        <f t="shared" si="65"/>
        <v>0</v>
      </c>
      <c r="GQ31" s="250"/>
      <c r="GR31" s="38"/>
      <c r="GS31" s="38">
        <f t="shared" si="133"/>
        <v>0</v>
      </c>
      <c r="GT31" s="247"/>
      <c r="GU31" s="144">
        <f>IFERROR(DailyNov!B29-DailyNov!N29-DailyNov!V29-DailyNov!Y29-DailyNov!Z29-DailyNov!AA29-DailyNov!AB29-DailyNov!AC29-DailyNov!AD29-DailyNov!AE29-DailyNov!AK29-DailyNov!AO29-DailyNov!AS29-DailyNov!AY29-DailyNov!BD29+DailyNov!BU29-DailyNov!BG29-DailyNov!BT29-DailyNov!AF29-DailyNov!AG29,"-")</f>
        <v>0</v>
      </c>
      <c r="GV31" s="261"/>
      <c r="GW31" s="60">
        <f t="shared" si="66"/>
        <v>0</v>
      </c>
      <c r="GX31" s="260"/>
      <c r="GY31" s="140"/>
      <c r="GZ31" s="528"/>
      <c r="HA31" s="528"/>
      <c r="HB31" s="528"/>
      <c r="HC31" s="528"/>
      <c r="HD31" s="74"/>
      <c r="HE31" s="24">
        <f t="shared" si="105"/>
        <v>0</v>
      </c>
      <c r="HG31" s="279">
        <v>24</v>
      </c>
      <c r="HH31" s="292"/>
      <c r="HI31" s="292"/>
      <c r="HJ31" s="61">
        <f t="shared" si="67"/>
        <v>0</v>
      </c>
      <c r="HK31" s="260"/>
      <c r="HL31" s="260"/>
      <c r="HM31" s="61">
        <f t="shared" si="68"/>
        <v>0</v>
      </c>
      <c r="HN31" s="292"/>
      <c r="HO31" s="292"/>
      <c r="HP31" s="61">
        <f t="shared" si="106"/>
        <v>0</v>
      </c>
      <c r="HQ31" s="292"/>
      <c r="HR31" s="292"/>
      <c r="HS31" s="61">
        <f t="shared" si="107"/>
        <v>0</v>
      </c>
      <c r="HT31" s="292"/>
      <c r="HU31" s="292"/>
      <c r="HV31" s="61">
        <f t="shared" si="108"/>
        <v>0</v>
      </c>
      <c r="HW31" s="292"/>
      <c r="HX31" s="292"/>
      <c r="HY31" s="61">
        <f t="shared" si="109"/>
        <v>0</v>
      </c>
      <c r="HZ31" s="260"/>
      <c r="IA31" s="260"/>
      <c r="IB31" s="61">
        <f t="shared" si="110"/>
        <v>0</v>
      </c>
      <c r="IC31" s="292"/>
      <c r="ID31" s="292"/>
      <c r="IE31" s="61">
        <f t="shared" si="153"/>
        <v>0</v>
      </c>
      <c r="IF31" s="61"/>
      <c r="IG31" s="61"/>
      <c r="IH31" s="280">
        <f t="shared" si="71"/>
        <v>0</v>
      </c>
      <c r="II31" s="281">
        <f>HJ31+HM31-HS31-HV31-HY31-IH31-HP31-IB31-IE31</f>
        <v>0</v>
      </c>
      <c r="IJ31" s="380"/>
      <c r="IK31" s="380"/>
      <c r="IL31" s="380">
        <f t="shared" si="73"/>
        <v>0</v>
      </c>
      <c r="IM31" s="380"/>
      <c r="IN31" s="380"/>
      <c r="IO31" s="380">
        <f t="shared" si="74"/>
        <v>0</v>
      </c>
      <c r="IP31" s="380"/>
      <c r="IQ31" s="380"/>
      <c r="IR31" s="380">
        <f t="shared" si="75"/>
        <v>0</v>
      </c>
      <c r="IS31" s="380"/>
      <c r="IT31" s="380"/>
      <c r="IU31" s="380">
        <f t="shared" si="111"/>
        <v>0</v>
      </c>
      <c r="IV31" s="380"/>
      <c r="IW31" s="380"/>
      <c r="IX31" s="380">
        <f t="shared" si="112"/>
        <v>0</v>
      </c>
      <c r="IY31" s="380"/>
      <c r="IZ31" s="380"/>
      <c r="JA31" s="380">
        <f t="shared" si="113"/>
        <v>0</v>
      </c>
      <c r="JB31" s="380"/>
      <c r="JC31" s="380"/>
      <c r="JD31" s="380">
        <f t="shared" si="114"/>
        <v>0</v>
      </c>
      <c r="JE31" s="380"/>
      <c r="JF31" s="380"/>
      <c r="JG31" s="380">
        <f t="shared" si="115"/>
        <v>0</v>
      </c>
      <c r="JH31" s="380"/>
      <c r="JI31" s="380"/>
      <c r="JJ31" s="380">
        <f t="shared" si="81"/>
        <v>0</v>
      </c>
      <c r="JK31" s="380"/>
      <c r="JL31" s="380"/>
      <c r="JM31" s="380">
        <f t="shared" si="82"/>
        <v>0</v>
      </c>
      <c r="JN31" s="380"/>
      <c r="JO31" s="380"/>
      <c r="JP31" s="380">
        <f t="shared" si="83"/>
        <v>0</v>
      </c>
      <c r="JQ31" s="380"/>
      <c r="JR31" s="380"/>
      <c r="JS31" s="380">
        <f t="shared" si="84"/>
        <v>0</v>
      </c>
      <c r="JT31" s="380"/>
      <c r="JU31" s="380"/>
      <c r="JV31" s="380">
        <f t="shared" si="85"/>
        <v>0</v>
      </c>
      <c r="JW31" s="380"/>
      <c r="JX31" s="380"/>
      <c r="JY31" s="380">
        <f t="shared" si="86"/>
        <v>0</v>
      </c>
      <c r="JZ31" s="380"/>
      <c r="KA31" s="380"/>
      <c r="KB31" s="380">
        <f t="shared" si="116"/>
        <v>0</v>
      </c>
      <c r="KC31" s="380"/>
      <c r="KD31" s="380"/>
      <c r="KE31" s="380">
        <f t="shared" si="117"/>
        <v>0</v>
      </c>
      <c r="KG31" s="151">
        <f t="shared" si="89"/>
        <v>0</v>
      </c>
    </row>
    <row r="32" spans="1:293" x14ac:dyDescent="0.25">
      <c r="A32" s="35">
        <f t="shared" si="118"/>
        <v>25</v>
      </c>
      <c r="B32" s="250"/>
      <c r="C32" s="38">
        <f t="shared" si="21"/>
        <v>0</v>
      </c>
      <c r="D32" s="38">
        <f t="shared" si="22"/>
        <v>0</v>
      </c>
      <c r="E32" s="250"/>
      <c r="F32" s="38">
        <f t="shared" si="23"/>
        <v>0</v>
      </c>
      <c r="G32" s="38">
        <f t="shared" si="24"/>
        <v>0</v>
      </c>
      <c r="H32" s="37"/>
      <c r="I32" s="39"/>
      <c r="J32" s="42"/>
      <c r="K32" s="37">
        <f t="shared" si="134"/>
        <v>0</v>
      </c>
      <c r="L32" s="250"/>
      <c r="M32" s="40"/>
      <c r="N32" s="37">
        <f t="shared" si="135"/>
        <v>0</v>
      </c>
      <c r="O32" s="250"/>
      <c r="P32" s="37"/>
      <c r="Q32" s="37">
        <f t="shared" si="158"/>
        <v>0</v>
      </c>
      <c r="R32" s="37">
        <f t="shared" si="136"/>
        <v>0</v>
      </c>
      <c r="S32" s="250"/>
      <c r="T32" s="37">
        <f t="shared" si="26"/>
        <v>0</v>
      </c>
      <c r="U32" s="250"/>
      <c r="V32" s="37">
        <f t="shared" si="27"/>
        <v>0</v>
      </c>
      <c r="W32" s="250"/>
      <c r="X32" s="37">
        <f t="shared" si="151"/>
        <v>0</v>
      </c>
      <c r="Y32" s="183"/>
      <c r="Z32" s="183"/>
      <c r="AA32" s="250"/>
      <c r="AB32" s="37">
        <f t="shared" si="28"/>
        <v>0</v>
      </c>
      <c r="AC32" s="250"/>
      <c r="AD32" s="37"/>
      <c r="AE32" s="37">
        <f t="shared" si="160"/>
        <v>0</v>
      </c>
      <c r="AF32" s="37">
        <f t="shared" si="137"/>
        <v>0</v>
      </c>
      <c r="AG32" s="250"/>
      <c r="AH32" s="37"/>
      <c r="AI32" s="37">
        <f t="shared" si="90"/>
        <v>0</v>
      </c>
      <c r="AJ32" s="37">
        <f t="shared" si="91"/>
        <v>0</v>
      </c>
      <c r="AK32" s="37">
        <f t="shared" si="32"/>
        <v>0</v>
      </c>
      <c r="AL32" s="250"/>
      <c r="AM32" s="2"/>
      <c r="AN32" s="37">
        <f t="shared" si="119"/>
        <v>0</v>
      </c>
      <c r="AO32" s="37">
        <f t="shared" si="138"/>
        <v>0</v>
      </c>
      <c r="AP32" s="250"/>
      <c r="AQ32" s="37"/>
      <c r="AR32" s="37">
        <f t="shared" si="92"/>
        <v>0</v>
      </c>
      <c r="AS32" s="37">
        <f t="shared" si="139"/>
        <v>0</v>
      </c>
      <c r="AT32" s="183"/>
      <c r="AU32" s="183"/>
      <c r="AV32" s="183"/>
      <c r="AW32" s="183"/>
      <c r="AX32" s="250"/>
      <c r="AY32" s="37"/>
      <c r="AZ32" s="37">
        <f t="shared" si="34"/>
        <v>0</v>
      </c>
      <c r="BA32" s="250"/>
      <c r="BB32" s="37"/>
      <c r="BC32" s="37">
        <f t="shared" si="93"/>
        <v>0</v>
      </c>
      <c r="BD32" s="37">
        <f t="shared" si="140"/>
        <v>0</v>
      </c>
      <c r="BE32" s="250"/>
      <c r="BF32" s="250"/>
      <c r="BG32" s="37">
        <f t="shared" si="36"/>
        <v>0</v>
      </c>
      <c r="BH32" s="250"/>
      <c r="BI32" s="250"/>
      <c r="BJ32" s="37">
        <f t="shared" si="37"/>
        <v>0</v>
      </c>
      <c r="BK32" s="250"/>
      <c r="BL32" s="40">
        <f t="shared" si="141"/>
        <v>0</v>
      </c>
      <c r="BM32" s="250"/>
      <c r="BN32" s="37">
        <f t="shared" si="38"/>
        <v>0</v>
      </c>
      <c r="BO32" s="186"/>
      <c r="BP32" s="183">
        <f t="shared" si="94"/>
        <v>0</v>
      </c>
      <c r="BQ32" s="250"/>
      <c r="BR32" s="37">
        <f t="shared" si="120"/>
        <v>0</v>
      </c>
      <c r="BS32" s="250"/>
      <c r="BT32" s="37">
        <f t="shared" si="39"/>
        <v>0</v>
      </c>
      <c r="BU32" s="250"/>
      <c r="BV32" s="42"/>
      <c r="BW32" s="37">
        <f t="shared" si="95"/>
        <v>0</v>
      </c>
      <c r="BX32" s="37">
        <f t="shared" si="142"/>
        <v>0</v>
      </c>
      <c r="BY32" s="250"/>
      <c r="BZ32" s="37"/>
      <c r="CA32" s="37">
        <f t="shared" si="156"/>
        <v>0</v>
      </c>
      <c r="CB32" s="37">
        <f t="shared" si="121"/>
        <v>0</v>
      </c>
      <c r="CC32" s="250"/>
      <c r="CD32" s="37">
        <f t="shared" si="42"/>
        <v>0</v>
      </c>
      <c r="CE32" s="250"/>
      <c r="CF32" s="37">
        <f t="shared" si="43"/>
        <v>0</v>
      </c>
      <c r="CG32" s="250"/>
      <c r="CH32" s="37">
        <f t="shared" si="122"/>
        <v>0</v>
      </c>
      <c r="CI32" s="250"/>
      <c r="CJ32" s="40"/>
      <c r="CK32" s="37">
        <f t="shared" si="123"/>
        <v>0</v>
      </c>
      <c r="CL32" s="37">
        <f t="shared" si="97"/>
        <v>0</v>
      </c>
      <c r="CM32" s="250"/>
      <c r="CN32" s="37"/>
      <c r="CO32" s="37">
        <f t="shared" si="45"/>
        <v>0</v>
      </c>
      <c r="CP32" s="37">
        <f t="shared" si="154"/>
        <v>0</v>
      </c>
      <c r="CQ32" s="250"/>
      <c r="CR32" s="39"/>
      <c r="CS32" s="37">
        <f t="shared" si="124"/>
        <v>0</v>
      </c>
      <c r="CT32" s="37">
        <f t="shared" si="143"/>
        <v>0</v>
      </c>
      <c r="CU32" s="250"/>
      <c r="CV32" s="37"/>
      <c r="CW32" s="38">
        <f t="shared" si="98"/>
        <v>0</v>
      </c>
      <c r="CX32" s="37">
        <f t="shared" si="144"/>
        <v>0</v>
      </c>
      <c r="CY32" s="250"/>
      <c r="CZ32" s="37"/>
      <c r="DA32" s="37">
        <f t="shared" si="162"/>
        <v>0</v>
      </c>
      <c r="DB32" s="37">
        <f t="shared" si="145"/>
        <v>0</v>
      </c>
      <c r="DC32" s="37"/>
      <c r="DD32" s="40"/>
      <c r="DE32" s="37">
        <f t="shared" si="100"/>
        <v>0</v>
      </c>
      <c r="DF32" s="37">
        <f t="shared" si="152"/>
        <v>0</v>
      </c>
      <c r="DG32" s="37">
        <f t="shared" si="101"/>
        <v>0</v>
      </c>
      <c r="DH32" s="37">
        <f t="shared" si="102"/>
        <v>0</v>
      </c>
      <c r="DI32" s="46"/>
      <c r="DJ32" s="46"/>
      <c r="DK32" s="47"/>
      <c r="DL32" s="47"/>
      <c r="DM32" s="37"/>
      <c r="DN32" s="37"/>
      <c r="DO32" s="37"/>
      <c r="DP32" s="37"/>
      <c r="DQ32" s="250"/>
      <c r="DR32" s="49">
        <f t="shared" si="125"/>
        <v>0</v>
      </c>
      <c r="DS32" s="250"/>
      <c r="DT32" s="49">
        <f t="shared" si="126"/>
        <v>0</v>
      </c>
      <c r="DU32" s="250"/>
      <c r="DV32" s="250"/>
      <c r="DW32" s="37">
        <f>IF((DU32-DU31)*1000&lt;=0,0,(DU32-DU31)*1000)</f>
        <v>0</v>
      </c>
      <c r="DX32" s="250"/>
      <c r="DY32" s="250"/>
      <c r="DZ32" s="37">
        <f t="shared" si="51"/>
        <v>0</v>
      </c>
      <c r="EA32" s="250"/>
      <c r="EB32" s="250"/>
      <c r="EC32" s="37">
        <v>0</v>
      </c>
      <c r="ED32" s="53">
        <f t="shared" si="52"/>
        <v>0</v>
      </c>
      <c r="EE32" s="250"/>
      <c r="EF32" s="250"/>
      <c r="EG32" s="37">
        <v>0</v>
      </c>
      <c r="EH32" s="250"/>
      <c r="EI32" s="250"/>
      <c r="EJ32" s="37">
        <f t="shared" si="54"/>
        <v>0</v>
      </c>
      <c r="EK32" s="250"/>
      <c r="EL32" s="250"/>
      <c r="EM32" s="37">
        <f t="shared" si="127"/>
        <v>0</v>
      </c>
      <c r="EN32" s="54">
        <f t="shared" si="128"/>
        <v>0</v>
      </c>
      <c r="EO32" s="250"/>
      <c r="EP32" s="48"/>
      <c r="EQ32" s="37"/>
      <c r="ER32" s="250"/>
      <c r="ES32" s="48"/>
      <c r="ET32" s="49">
        <f t="shared" si="155"/>
        <v>0</v>
      </c>
      <c r="EU32" s="250"/>
      <c r="EV32" s="48"/>
      <c r="EW32" s="49">
        <f t="shared" si="56"/>
        <v>0</v>
      </c>
      <c r="EX32" s="250"/>
      <c r="EY32" s="48"/>
      <c r="EZ32" s="37">
        <f t="shared" si="103"/>
        <v>0</v>
      </c>
      <c r="FA32" s="48">
        <f t="shared" si="129"/>
        <v>0</v>
      </c>
      <c r="FB32" s="250"/>
      <c r="FC32" s="49">
        <f t="shared" si="147"/>
        <v>0</v>
      </c>
      <c r="FD32" s="48">
        <f t="shared" si="130"/>
        <v>0</v>
      </c>
      <c r="FE32" s="250"/>
      <c r="FF32" s="48"/>
      <c r="FG32" s="37"/>
      <c r="FH32" s="250"/>
      <c r="FI32" s="48"/>
      <c r="FJ32" s="49">
        <f t="shared" si="59"/>
        <v>0</v>
      </c>
      <c r="FK32" s="48"/>
      <c r="FL32" s="58"/>
      <c r="FM32" s="48">
        <f>FT32/3</f>
        <v>0</v>
      </c>
      <c r="FN32" s="250"/>
      <c r="FO32" s="48"/>
      <c r="FP32" s="37">
        <f t="shared" si="131"/>
        <v>0</v>
      </c>
      <c r="FQ32" s="250"/>
      <c r="FR32" s="48"/>
      <c r="FS32" s="37">
        <f t="shared" si="60"/>
        <v>0</v>
      </c>
      <c r="FT32" s="48">
        <f t="shared" si="149"/>
        <v>0</v>
      </c>
      <c r="FU32" s="48">
        <f>FG32+FJ32+FP32+GM32</f>
        <v>0</v>
      </c>
      <c r="FV32" s="250"/>
      <c r="FW32" s="44"/>
      <c r="FX32" s="37">
        <f t="shared" si="61"/>
        <v>0</v>
      </c>
      <c r="FY32" s="250"/>
      <c r="FZ32" s="56"/>
      <c r="GA32" s="37">
        <f t="shared" si="62"/>
        <v>0</v>
      </c>
      <c r="GB32" s="250"/>
      <c r="GC32" s="56"/>
      <c r="GD32" s="37">
        <f t="shared" si="63"/>
        <v>0</v>
      </c>
      <c r="GE32" s="250"/>
      <c r="GF32" s="56"/>
      <c r="GG32" s="37">
        <f t="shared" si="64"/>
        <v>0</v>
      </c>
      <c r="GH32" s="250"/>
      <c r="GI32" s="159"/>
      <c r="GJ32" s="38">
        <f t="shared" si="132"/>
        <v>0</v>
      </c>
      <c r="GK32" s="250"/>
      <c r="GL32" s="160"/>
      <c r="GM32" s="38">
        <f t="shared" si="104"/>
        <v>0</v>
      </c>
      <c r="GN32" s="250"/>
      <c r="GO32" s="57"/>
      <c r="GP32" s="38">
        <f t="shared" si="65"/>
        <v>0</v>
      </c>
      <c r="GQ32" s="250"/>
      <c r="GR32" s="38"/>
      <c r="GS32" s="38">
        <f t="shared" si="133"/>
        <v>0</v>
      </c>
      <c r="GT32" s="247"/>
      <c r="GU32" s="144">
        <f>IFERROR(DailyNov!B30-DailyNov!N30-DailyNov!V30-DailyNov!Y30-DailyNov!Z30-DailyNov!AA30-DailyNov!AB30-DailyNov!AC30-DailyNov!AD30-DailyNov!AE30-DailyNov!AK30-DailyNov!AO30-DailyNov!AS30-DailyNov!AY30-DailyNov!BD30+DailyNov!BU30-DailyNov!BG30-DailyNov!BT30-DailyNov!AF30-DailyNov!AG30,"-")</f>
        <v>0</v>
      </c>
      <c r="GV32" s="261"/>
      <c r="GW32" s="60">
        <f t="shared" si="66"/>
        <v>0</v>
      </c>
      <c r="GX32" s="260"/>
      <c r="GY32" s="140"/>
      <c r="GZ32" s="528"/>
      <c r="HA32" s="528"/>
      <c r="HB32" s="528"/>
      <c r="HC32" s="528"/>
      <c r="HD32" s="74"/>
      <c r="HE32" s="24">
        <f t="shared" si="105"/>
        <v>0</v>
      </c>
      <c r="HF32" s="249"/>
      <c r="HG32" s="279">
        <v>25</v>
      </c>
      <c r="HH32" s="292"/>
      <c r="HI32" s="292"/>
      <c r="HJ32" s="61">
        <f t="shared" si="67"/>
        <v>0</v>
      </c>
      <c r="HK32" s="260"/>
      <c r="HL32" s="260"/>
      <c r="HM32" s="61">
        <f t="shared" si="68"/>
        <v>0</v>
      </c>
      <c r="HN32" s="292"/>
      <c r="HO32" s="292"/>
      <c r="HP32" s="61">
        <f t="shared" si="106"/>
        <v>0</v>
      </c>
      <c r="HQ32" s="292"/>
      <c r="HR32" s="292"/>
      <c r="HS32" s="61">
        <f t="shared" si="107"/>
        <v>0</v>
      </c>
      <c r="HT32" s="292"/>
      <c r="HU32" s="292"/>
      <c r="HV32" s="61">
        <f t="shared" si="108"/>
        <v>0</v>
      </c>
      <c r="HW32" s="292"/>
      <c r="HX32" s="292"/>
      <c r="HY32" s="61">
        <f t="shared" si="109"/>
        <v>0</v>
      </c>
      <c r="HZ32" s="260"/>
      <c r="IA32" s="260"/>
      <c r="IB32" s="61">
        <f t="shared" si="110"/>
        <v>0</v>
      </c>
      <c r="IC32" s="292"/>
      <c r="ID32" s="292"/>
      <c r="IE32" s="61">
        <f t="shared" si="153"/>
        <v>0</v>
      </c>
      <c r="IF32" s="61"/>
      <c r="IG32" s="61"/>
      <c r="IH32" s="280">
        <f t="shared" si="71"/>
        <v>0</v>
      </c>
      <c r="II32" s="281">
        <f t="shared" ref="II32:II38" si="163">HJ32+HM32-HS32-HV32-HY32-IH32-HP32-IB32</f>
        <v>0</v>
      </c>
      <c r="IJ32" s="380"/>
      <c r="IK32" s="380"/>
      <c r="IL32" s="380">
        <f t="shared" si="73"/>
        <v>0</v>
      </c>
      <c r="IM32" s="380"/>
      <c r="IN32" s="380"/>
      <c r="IO32" s="380">
        <f t="shared" si="74"/>
        <v>0</v>
      </c>
      <c r="IP32" s="380"/>
      <c r="IQ32" s="380"/>
      <c r="IR32" s="380">
        <f t="shared" si="75"/>
        <v>0</v>
      </c>
      <c r="IS32" s="380"/>
      <c r="IT32" s="380"/>
      <c r="IU32" s="380">
        <f t="shared" si="111"/>
        <v>0</v>
      </c>
      <c r="IV32" s="380"/>
      <c r="IW32" s="380"/>
      <c r="IX32" s="380">
        <f t="shared" si="112"/>
        <v>0</v>
      </c>
      <c r="IY32" s="380"/>
      <c r="IZ32" s="380"/>
      <c r="JA32" s="380">
        <f t="shared" si="113"/>
        <v>0</v>
      </c>
      <c r="JB32" s="380"/>
      <c r="JC32" s="380"/>
      <c r="JD32" s="380">
        <f t="shared" si="114"/>
        <v>0</v>
      </c>
      <c r="JE32" s="380"/>
      <c r="JF32" s="380"/>
      <c r="JG32" s="380">
        <f t="shared" si="115"/>
        <v>0</v>
      </c>
      <c r="JH32" s="380"/>
      <c r="JI32" s="380"/>
      <c r="JJ32" s="380">
        <f t="shared" si="81"/>
        <v>0</v>
      </c>
      <c r="JK32" s="380"/>
      <c r="JL32" s="380"/>
      <c r="JM32" s="380">
        <f t="shared" si="82"/>
        <v>0</v>
      </c>
      <c r="JN32" s="380"/>
      <c r="JO32" s="380"/>
      <c r="JP32" s="380">
        <f t="shared" si="83"/>
        <v>0</v>
      </c>
      <c r="JQ32" s="380"/>
      <c r="JR32" s="380"/>
      <c r="JS32" s="380">
        <f t="shared" si="84"/>
        <v>0</v>
      </c>
      <c r="JT32" s="380"/>
      <c r="JU32" s="380"/>
      <c r="JV32" s="380">
        <f t="shared" si="85"/>
        <v>0</v>
      </c>
      <c r="JW32" s="380"/>
      <c r="JX32" s="380"/>
      <c r="JY32" s="380">
        <f t="shared" si="86"/>
        <v>0</v>
      </c>
      <c r="JZ32" s="380"/>
      <c r="KA32" s="380"/>
      <c r="KB32" s="380">
        <f t="shared" si="116"/>
        <v>0</v>
      </c>
      <c r="KC32" s="380"/>
      <c r="KD32" s="380"/>
      <c r="KE32" s="380">
        <f t="shared" si="117"/>
        <v>0</v>
      </c>
      <c r="KG32" s="151">
        <f t="shared" si="89"/>
        <v>0</v>
      </c>
    </row>
    <row r="33" spans="1:293" x14ac:dyDescent="0.25">
      <c r="A33" s="35">
        <f t="shared" si="118"/>
        <v>26</v>
      </c>
      <c r="B33" s="250"/>
      <c r="C33" s="38">
        <f t="shared" si="21"/>
        <v>0</v>
      </c>
      <c r="D33" s="38">
        <f t="shared" si="22"/>
        <v>0</v>
      </c>
      <c r="E33" s="250"/>
      <c r="F33" s="38">
        <f t="shared" si="23"/>
        <v>0</v>
      </c>
      <c r="G33" s="38">
        <f t="shared" si="24"/>
        <v>0</v>
      </c>
      <c r="H33" s="37"/>
      <c r="I33" s="39"/>
      <c r="J33" s="42"/>
      <c r="K33" s="37">
        <f t="shared" si="134"/>
        <v>0</v>
      </c>
      <c r="L33" s="250"/>
      <c r="M33" s="40"/>
      <c r="N33" s="37">
        <f t="shared" si="135"/>
        <v>0</v>
      </c>
      <c r="O33" s="250"/>
      <c r="P33" s="37"/>
      <c r="Q33" s="37">
        <f t="shared" si="158"/>
        <v>0</v>
      </c>
      <c r="R33" s="37">
        <f t="shared" si="136"/>
        <v>0</v>
      </c>
      <c r="S33" s="250"/>
      <c r="T33" s="37">
        <f t="shared" si="26"/>
        <v>0</v>
      </c>
      <c r="U33" s="250"/>
      <c r="V33" s="37">
        <f>IF((U33-U32)&lt;=0,0,(U33-U32))</f>
        <v>0</v>
      </c>
      <c r="W33" s="250"/>
      <c r="X33" s="37">
        <f t="shared" si="151"/>
        <v>0</v>
      </c>
      <c r="Y33" s="183"/>
      <c r="Z33" s="183"/>
      <c r="AA33" s="250"/>
      <c r="AB33" s="37">
        <f t="shared" si="28"/>
        <v>0</v>
      </c>
      <c r="AC33" s="250"/>
      <c r="AD33" s="37"/>
      <c r="AE33" s="37">
        <f t="shared" si="160"/>
        <v>0</v>
      </c>
      <c r="AF33" s="37">
        <f t="shared" si="137"/>
        <v>0</v>
      </c>
      <c r="AG33" s="250"/>
      <c r="AH33" s="37"/>
      <c r="AI33" s="37">
        <f t="shared" si="90"/>
        <v>0</v>
      </c>
      <c r="AJ33" s="37">
        <f t="shared" si="91"/>
        <v>0</v>
      </c>
      <c r="AK33" s="37">
        <f t="shared" si="32"/>
        <v>0</v>
      </c>
      <c r="AL33" s="250"/>
      <c r="AM33" s="42"/>
      <c r="AN33" s="37">
        <f t="shared" si="119"/>
        <v>0</v>
      </c>
      <c r="AO33" s="37">
        <f t="shared" si="138"/>
        <v>0</v>
      </c>
      <c r="AP33" s="250"/>
      <c r="AQ33" s="37"/>
      <c r="AR33" s="37">
        <f t="shared" si="92"/>
        <v>0</v>
      </c>
      <c r="AS33" s="37">
        <f t="shared" si="139"/>
        <v>0</v>
      </c>
      <c r="AT33" s="183"/>
      <c r="AU33" s="183"/>
      <c r="AV33" s="183"/>
      <c r="AW33" s="183"/>
      <c r="AX33" s="250"/>
      <c r="AY33" s="37"/>
      <c r="AZ33" s="37">
        <f t="shared" si="34"/>
        <v>0</v>
      </c>
      <c r="BA33" s="250"/>
      <c r="BB33" s="37"/>
      <c r="BC33" s="37">
        <f t="shared" si="93"/>
        <v>0</v>
      </c>
      <c r="BD33" s="37">
        <f t="shared" si="140"/>
        <v>0</v>
      </c>
      <c r="BE33" s="250"/>
      <c r="BF33" s="250"/>
      <c r="BG33" s="37">
        <f t="shared" si="36"/>
        <v>0</v>
      </c>
      <c r="BH33" s="250"/>
      <c r="BI33" s="250"/>
      <c r="BJ33" s="37">
        <f t="shared" si="37"/>
        <v>0</v>
      </c>
      <c r="BK33" s="250"/>
      <c r="BL33" s="40">
        <f t="shared" si="141"/>
        <v>0</v>
      </c>
      <c r="BM33" s="250"/>
      <c r="BN33" s="37">
        <f t="shared" si="38"/>
        <v>0</v>
      </c>
      <c r="BO33" s="186"/>
      <c r="BP33" s="183">
        <f t="shared" si="94"/>
        <v>0</v>
      </c>
      <c r="BQ33" s="250"/>
      <c r="BR33" s="37">
        <f t="shared" si="120"/>
        <v>0</v>
      </c>
      <c r="BS33" s="250"/>
      <c r="BT33" s="37">
        <f t="shared" si="39"/>
        <v>0</v>
      </c>
      <c r="BU33" s="250"/>
      <c r="BV33" s="42"/>
      <c r="BW33" s="37">
        <f t="shared" si="95"/>
        <v>0</v>
      </c>
      <c r="BX33" s="37">
        <f t="shared" si="142"/>
        <v>0</v>
      </c>
      <c r="BY33" s="250"/>
      <c r="BZ33" s="43"/>
      <c r="CA33" s="37">
        <f t="shared" si="156"/>
        <v>0</v>
      </c>
      <c r="CB33" s="37">
        <f t="shared" si="121"/>
        <v>0</v>
      </c>
      <c r="CC33" s="250"/>
      <c r="CD33" s="37">
        <f t="shared" si="42"/>
        <v>0</v>
      </c>
      <c r="CE33" s="250"/>
      <c r="CF33" s="37">
        <f t="shared" si="43"/>
        <v>0</v>
      </c>
      <c r="CG33" s="250"/>
      <c r="CH33" s="37">
        <f t="shared" si="122"/>
        <v>0</v>
      </c>
      <c r="CI33" s="250"/>
      <c r="CJ33" s="40"/>
      <c r="CK33" s="37">
        <f t="shared" si="123"/>
        <v>0</v>
      </c>
      <c r="CL33" s="37">
        <f t="shared" si="97"/>
        <v>0</v>
      </c>
      <c r="CM33" s="250"/>
      <c r="CN33" s="37"/>
      <c r="CO33" s="37">
        <f t="shared" si="45"/>
        <v>0</v>
      </c>
      <c r="CP33" s="37">
        <f t="shared" si="154"/>
        <v>0</v>
      </c>
      <c r="CQ33" s="250"/>
      <c r="CR33" s="39"/>
      <c r="CS33" s="37">
        <f t="shared" si="124"/>
        <v>0</v>
      </c>
      <c r="CT33" s="37">
        <f t="shared" si="143"/>
        <v>0</v>
      </c>
      <c r="CU33" s="250"/>
      <c r="CV33" s="37"/>
      <c r="CW33" s="38">
        <f t="shared" si="98"/>
        <v>0</v>
      </c>
      <c r="CX33" s="37">
        <f>IF(CW33&lt;=0,0,(CW33/SQRT(CW33^2+(CV33-CV32)^2)))</f>
        <v>0</v>
      </c>
      <c r="CY33" s="250"/>
      <c r="CZ33" s="37"/>
      <c r="DA33" s="37">
        <f t="shared" si="162"/>
        <v>0</v>
      </c>
      <c r="DB33" s="37">
        <f t="shared" si="145"/>
        <v>0</v>
      </c>
      <c r="DC33" s="37"/>
      <c r="DD33" s="40"/>
      <c r="DE33" s="37">
        <f t="shared" si="100"/>
        <v>0</v>
      </c>
      <c r="DF33" s="37">
        <f t="shared" si="152"/>
        <v>0</v>
      </c>
      <c r="DG33" s="37">
        <f t="shared" si="101"/>
        <v>0</v>
      </c>
      <c r="DH33" s="37">
        <f t="shared" si="102"/>
        <v>0</v>
      </c>
      <c r="DI33" s="46"/>
      <c r="DJ33" s="46"/>
      <c r="DK33" s="47"/>
      <c r="DL33" s="47"/>
      <c r="DM33" s="37"/>
      <c r="DN33" s="37"/>
      <c r="DO33" s="37"/>
      <c r="DP33" s="37"/>
      <c r="DQ33" s="250"/>
      <c r="DR33" s="49">
        <f t="shared" si="125"/>
        <v>0</v>
      </c>
      <c r="DS33" s="250"/>
      <c r="DT33" s="49">
        <f t="shared" si="126"/>
        <v>0</v>
      </c>
      <c r="DU33" s="250"/>
      <c r="DV33" s="250"/>
      <c r="DW33" s="37">
        <f t="shared" si="146"/>
        <v>0</v>
      </c>
      <c r="DX33" s="250"/>
      <c r="DY33" s="250"/>
      <c r="DZ33" s="37">
        <f t="shared" si="51"/>
        <v>0</v>
      </c>
      <c r="EA33" s="250"/>
      <c r="EB33" s="250"/>
      <c r="EC33" s="37">
        <v>0</v>
      </c>
      <c r="ED33" s="53">
        <f t="shared" si="52"/>
        <v>0</v>
      </c>
      <c r="EE33" s="250"/>
      <c r="EF33" s="250"/>
      <c r="EG33" s="37">
        <v>0</v>
      </c>
      <c r="EH33" s="250"/>
      <c r="EI33" s="250"/>
      <c r="EJ33" s="37">
        <f t="shared" si="54"/>
        <v>0</v>
      </c>
      <c r="EK33" s="250"/>
      <c r="EL33" s="250"/>
      <c r="EM33" s="37">
        <f t="shared" si="127"/>
        <v>0</v>
      </c>
      <c r="EN33" s="54">
        <f t="shared" si="128"/>
        <v>0</v>
      </c>
      <c r="EO33" s="250"/>
      <c r="EP33" s="48"/>
      <c r="EQ33" s="37"/>
      <c r="ER33" s="250"/>
      <c r="ES33" s="48"/>
      <c r="ET33" s="49">
        <f t="shared" si="155"/>
        <v>0</v>
      </c>
      <c r="EU33" s="250"/>
      <c r="EV33" s="48"/>
      <c r="EW33" s="49">
        <f>IF((EU33-EU32)&lt;=0,0,(EU33-EU32))*1000+GX33</f>
        <v>0</v>
      </c>
      <c r="EX33" s="250"/>
      <c r="EY33" s="48"/>
      <c r="EZ33" s="37">
        <f t="shared" si="103"/>
        <v>0</v>
      </c>
      <c r="FA33" s="48">
        <f>FC33-EQ33-ET33-EW33-EZ33</f>
        <v>0</v>
      </c>
      <c r="FB33" s="250"/>
      <c r="FC33" s="49">
        <f t="shared" si="147"/>
        <v>0</v>
      </c>
      <c r="FD33" s="48">
        <f t="shared" si="130"/>
        <v>0</v>
      </c>
      <c r="FE33" s="250"/>
      <c r="FF33" s="48"/>
      <c r="FG33" s="37"/>
      <c r="FH33" s="250"/>
      <c r="FI33" s="48"/>
      <c r="FJ33" s="49">
        <f t="shared" si="59"/>
        <v>0</v>
      </c>
      <c r="FK33" s="48"/>
      <c r="FL33" s="58"/>
      <c r="FM33" s="48">
        <f>FT33/3</f>
        <v>0</v>
      </c>
      <c r="FN33" s="250"/>
      <c r="FO33" s="48"/>
      <c r="FP33" s="37">
        <f t="shared" si="131"/>
        <v>0</v>
      </c>
      <c r="FQ33" s="250"/>
      <c r="FR33" s="48"/>
      <c r="FS33" s="37">
        <f t="shared" si="60"/>
        <v>0</v>
      </c>
      <c r="FT33" s="48">
        <f t="shared" si="149"/>
        <v>0</v>
      </c>
      <c r="FU33" s="48">
        <f t="shared" si="150"/>
        <v>0</v>
      </c>
      <c r="FV33" s="250"/>
      <c r="FW33" s="44"/>
      <c r="FX33" s="37">
        <f t="shared" si="61"/>
        <v>0</v>
      </c>
      <c r="FY33" s="250"/>
      <c r="FZ33" s="56"/>
      <c r="GA33" s="37">
        <f t="shared" si="62"/>
        <v>0</v>
      </c>
      <c r="GB33" s="250"/>
      <c r="GC33" s="56"/>
      <c r="GD33" s="37">
        <f t="shared" si="63"/>
        <v>0</v>
      </c>
      <c r="GE33" s="250"/>
      <c r="GF33" s="56"/>
      <c r="GG33" s="37">
        <f>IF((GE33-GE32)*1000&lt;=0,0,(GE33-GE32)*1000)-GJ33-GM33</f>
        <v>0</v>
      </c>
      <c r="GH33" s="250"/>
      <c r="GI33" s="159"/>
      <c r="GJ33" s="38">
        <f t="shared" si="132"/>
        <v>0</v>
      </c>
      <c r="GK33" s="250"/>
      <c r="GL33" s="160"/>
      <c r="GM33" s="38">
        <f t="shared" si="104"/>
        <v>0</v>
      </c>
      <c r="GN33" s="250"/>
      <c r="GO33" s="57"/>
      <c r="GP33" s="38">
        <f t="shared" si="65"/>
        <v>0</v>
      </c>
      <c r="GQ33" s="250"/>
      <c r="GR33" s="38"/>
      <c r="GS33" s="38">
        <f t="shared" si="133"/>
        <v>0</v>
      </c>
      <c r="GT33" s="247"/>
      <c r="GU33" s="144">
        <f>IFERROR(DailyNov!B31-DailyNov!N31-DailyNov!V31-DailyNov!Y31-DailyNov!Z31-DailyNov!AA31-DailyNov!AB31-DailyNov!AC31-DailyNov!AD31-DailyNov!AE31-DailyNov!AK31-DailyNov!AO31-DailyNov!AS31-DailyNov!AY31-DailyNov!BD31+DailyNov!BU31-DailyNov!BG31-DailyNov!BT31-DailyNov!AF31-DailyNov!AG31,"-")</f>
        <v>0</v>
      </c>
      <c r="GV33" s="261"/>
      <c r="GW33" s="60">
        <f t="shared" si="66"/>
        <v>0</v>
      </c>
      <c r="GX33" s="260"/>
      <c r="GY33" s="140"/>
      <c r="GZ33" s="528"/>
      <c r="HA33" s="528"/>
      <c r="HB33" s="528"/>
      <c r="HC33" s="528"/>
      <c r="HD33" s="74"/>
      <c r="HE33" s="24">
        <f t="shared" si="105"/>
        <v>0</v>
      </c>
      <c r="HG33" s="279">
        <v>26</v>
      </c>
      <c r="HH33" s="292"/>
      <c r="HI33" s="292"/>
      <c r="HJ33" s="61">
        <f t="shared" si="67"/>
        <v>0</v>
      </c>
      <c r="HK33" s="260"/>
      <c r="HL33" s="260"/>
      <c r="HM33" s="61">
        <f t="shared" si="68"/>
        <v>0</v>
      </c>
      <c r="HN33" s="292"/>
      <c r="HO33" s="292"/>
      <c r="HP33" s="61">
        <f t="shared" si="106"/>
        <v>0</v>
      </c>
      <c r="HQ33" s="292"/>
      <c r="HR33" s="292"/>
      <c r="HS33" s="61">
        <f t="shared" si="107"/>
        <v>0</v>
      </c>
      <c r="HT33" s="292"/>
      <c r="HU33" s="292"/>
      <c r="HV33" s="61">
        <f t="shared" si="108"/>
        <v>0</v>
      </c>
      <c r="HW33" s="292"/>
      <c r="HX33" s="292"/>
      <c r="HY33" s="61">
        <f t="shared" si="109"/>
        <v>0</v>
      </c>
      <c r="HZ33" s="260"/>
      <c r="IA33" s="260"/>
      <c r="IB33" s="61">
        <f t="shared" si="110"/>
        <v>0</v>
      </c>
      <c r="IC33" s="292"/>
      <c r="ID33" s="292"/>
      <c r="IE33" s="61">
        <f t="shared" si="153"/>
        <v>0</v>
      </c>
      <c r="IF33" s="61"/>
      <c r="IG33" s="61"/>
      <c r="IH33" s="280">
        <f t="shared" si="71"/>
        <v>0</v>
      </c>
      <c r="II33" s="281">
        <f t="shared" si="163"/>
        <v>0</v>
      </c>
      <c r="IJ33" s="380"/>
      <c r="IK33" s="380"/>
      <c r="IL33" s="380">
        <f t="shared" si="73"/>
        <v>0</v>
      </c>
      <c r="IM33" s="380"/>
      <c r="IN33" s="380"/>
      <c r="IO33" s="380">
        <f t="shared" si="74"/>
        <v>0</v>
      </c>
      <c r="IP33" s="380"/>
      <c r="IQ33" s="380"/>
      <c r="IR33" s="380">
        <f t="shared" si="75"/>
        <v>0</v>
      </c>
      <c r="IS33" s="380"/>
      <c r="IT33" s="380"/>
      <c r="IU33" s="380">
        <f t="shared" si="111"/>
        <v>0</v>
      </c>
      <c r="IV33" s="380"/>
      <c r="IW33" s="380"/>
      <c r="IX33" s="380">
        <f t="shared" si="112"/>
        <v>0</v>
      </c>
      <c r="IY33" s="380"/>
      <c r="IZ33" s="380"/>
      <c r="JA33" s="380">
        <f t="shared" si="113"/>
        <v>0</v>
      </c>
      <c r="JB33" s="380"/>
      <c r="JC33" s="380"/>
      <c r="JD33" s="380">
        <f t="shared" si="114"/>
        <v>0</v>
      </c>
      <c r="JE33" s="380"/>
      <c r="JF33" s="380"/>
      <c r="JG33" s="380">
        <f t="shared" si="115"/>
        <v>0</v>
      </c>
      <c r="JH33" s="380"/>
      <c r="JI33" s="380"/>
      <c r="JJ33" s="380">
        <f t="shared" si="81"/>
        <v>0</v>
      </c>
      <c r="JK33" s="380"/>
      <c r="JL33" s="380"/>
      <c r="JM33" s="380">
        <f t="shared" si="82"/>
        <v>0</v>
      </c>
      <c r="JN33" s="380"/>
      <c r="JO33" s="380"/>
      <c r="JP33" s="380">
        <f t="shared" si="83"/>
        <v>0</v>
      </c>
      <c r="JQ33" s="380"/>
      <c r="JR33" s="380"/>
      <c r="JS33" s="380">
        <f t="shared" si="84"/>
        <v>0</v>
      </c>
      <c r="JT33" s="380"/>
      <c r="JU33" s="380"/>
      <c r="JV33" s="380">
        <f t="shared" si="85"/>
        <v>0</v>
      </c>
      <c r="JW33" s="380"/>
      <c r="JX33" s="380"/>
      <c r="JY33" s="380">
        <f t="shared" si="86"/>
        <v>0</v>
      </c>
      <c r="JZ33" s="380"/>
      <c r="KA33" s="380"/>
      <c r="KB33" s="380">
        <f t="shared" si="116"/>
        <v>0</v>
      </c>
      <c r="KC33" s="380"/>
      <c r="KD33" s="380"/>
      <c r="KE33" s="380">
        <f t="shared" si="117"/>
        <v>0</v>
      </c>
      <c r="KG33" s="151">
        <f t="shared" si="89"/>
        <v>0</v>
      </c>
    </row>
    <row r="34" spans="1:293" x14ac:dyDescent="0.25">
      <c r="A34" s="35">
        <f t="shared" si="118"/>
        <v>27</v>
      </c>
      <c r="B34" s="250"/>
      <c r="C34" s="38">
        <f t="shared" si="21"/>
        <v>0</v>
      </c>
      <c r="D34" s="38">
        <f t="shared" si="22"/>
        <v>0</v>
      </c>
      <c r="E34" s="250"/>
      <c r="F34" s="38">
        <f t="shared" si="23"/>
        <v>0</v>
      </c>
      <c r="G34" s="38">
        <f t="shared" si="24"/>
        <v>0</v>
      </c>
      <c r="H34" s="37"/>
      <c r="I34" s="39"/>
      <c r="J34" s="42"/>
      <c r="K34" s="37">
        <f t="shared" si="134"/>
        <v>0</v>
      </c>
      <c r="L34" s="250"/>
      <c r="M34" s="40"/>
      <c r="N34" s="37">
        <f t="shared" si="135"/>
        <v>0</v>
      </c>
      <c r="O34" s="250"/>
      <c r="P34" s="37"/>
      <c r="Q34" s="37">
        <f t="shared" si="158"/>
        <v>0</v>
      </c>
      <c r="R34" s="37">
        <f t="shared" si="136"/>
        <v>0</v>
      </c>
      <c r="S34" s="250"/>
      <c r="T34" s="37">
        <f t="shared" si="26"/>
        <v>0</v>
      </c>
      <c r="U34" s="250"/>
      <c r="V34" s="37">
        <f t="shared" si="27"/>
        <v>0</v>
      </c>
      <c r="W34" s="250"/>
      <c r="X34" s="37">
        <f t="shared" si="151"/>
        <v>0</v>
      </c>
      <c r="Y34" s="183"/>
      <c r="Z34" s="183"/>
      <c r="AA34" s="250"/>
      <c r="AB34" s="37">
        <f t="shared" si="28"/>
        <v>0</v>
      </c>
      <c r="AC34" s="250"/>
      <c r="AD34" s="37"/>
      <c r="AE34" s="37">
        <f t="shared" si="160"/>
        <v>0</v>
      </c>
      <c r="AF34" s="37">
        <f t="shared" si="137"/>
        <v>0</v>
      </c>
      <c r="AG34" s="250"/>
      <c r="AH34" s="37"/>
      <c r="AI34" s="37">
        <f t="shared" si="90"/>
        <v>0</v>
      </c>
      <c r="AJ34" s="37">
        <f t="shared" si="91"/>
        <v>0</v>
      </c>
      <c r="AK34" s="37">
        <f t="shared" si="32"/>
        <v>0</v>
      </c>
      <c r="AL34" s="250"/>
      <c r="AM34" s="42"/>
      <c r="AN34" s="37">
        <f t="shared" si="119"/>
        <v>0</v>
      </c>
      <c r="AO34" s="37">
        <f t="shared" si="138"/>
        <v>0</v>
      </c>
      <c r="AP34" s="250"/>
      <c r="AQ34" s="37"/>
      <c r="AR34" s="37">
        <f t="shared" si="92"/>
        <v>0</v>
      </c>
      <c r="AS34" s="37">
        <f t="shared" si="139"/>
        <v>0</v>
      </c>
      <c r="AT34" s="183"/>
      <c r="AU34" s="183"/>
      <c r="AV34" s="183"/>
      <c r="AW34" s="183"/>
      <c r="AX34" s="250"/>
      <c r="AY34" s="37"/>
      <c r="AZ34" s="37">
        <f t="shared" si="34"/>
        <v>0</v>
      </c>
      <c r="BA34" s="250"/>
      <c r="BB34" s="37"/>
      <c r="BC34" s="37">
        <f t="shared" si="93"/>
        <v>0</v>
      </c>
      <c r="BD34" s="37">
        <f t="shared" si="140"/>
        <v>0</v>
      </c>
      <c r="BE34" s="250"/>
      <c r="BF34" s="250"/>
      <c r="BG34" s="37">
        <f t="shared" si="36"/>
        <v>0</v>
      </c>
      <c r="BH34" s="250"/>
      <c r="BI34" s="250"/>
      <c r="BJ34" s="37">
        <f t="shared" si="37"/>
        <v>0</v>
      </c>
      <c r="BK34" s="250"/>
      <c r="BL34" s="40">
        <f t="shared" si="141"/>
        <v>0</v>
      </c>
      <c r="BM34" s="250"/>
      <c r="BN34" s="37">
        <f t="shared" si="38"/>
        <v>0</v>
      </c>
      <c r="BO34" s="186"/>
      <c r="BP34" s="183">
        <f t="shared" si="94"/>
        <v>0</v>
      </c>
      <c r="BQ34" s="250"/>
      <c r="BR34" s="37">
        <f t="shared" si="120"/>
        <v>0</v>
      </c>
      <c r="BS34" s="250"/>
      <c r="BT34" s="37">
        <f t="shared" si="39"/>
        <v>0</v>
      </c>
      <c r="BU34" s="250"/>
      <c r="BV34" s="42"/>
      <c r="BW34" s="37">
        <f t="shared" si="95"/>
        <v>0</v>
      </c>
      <c r="BX34" s="37">
        <f t="shared" si="142"/>
        <v>0</v>
      </c>
      <c r="BY34" s="250"/>
      <c r="BZ34" s="43"/>
      <c r="CA34" s="37">
        <f t="shared" si="156"/>
        <v>0</v>
      </c>
      <c r="CB34" s="37">
        <f t="shared" si="121"/>
        <v>0</v>
      </c>
      <c r="CC34" s="250"/>
      <c r="CD34" s="37">
        <f t="shared" si="42"/>
        <v>0</v>
      </c>
      <c r="CE34" s="250"/>
      <c r="CF34" s="37">
        <f t="shared" si="43"/>
        <v>0</v>
      </c>
      <c r="CG34" s="250"/>
      <c r="CH34" s="37">
        <f t="shared" si="122"/>
        <v>0</v>
      </c>
      <c r="CI34" s="250"/>
      <c r="CJ34" s="40"/>
      <c r="CK34" s="37">
        <f t="shared" si="123"/>
        <v>0</v>
      </c>
      <c r="CL34" s="37">
        <f t="shared" si="97"/>
        <v>0</v>
      </c>
      <c r="CM34" s="250"/>
      <c r="CN34" s="37"/>
      <c r="CO34" s="37">
        <f t="shared" si="45"/>
        <v>0</v>
      </c>
      <c r="CP34" s="37">
        <f t="shared" si="154"/>
        <v>0</v>
      </c>
      <c r="CQ34" s="250"/>
      <c r="CR34" s="39"/>
      <c r="CS34" s="37">
        <f t="shared" si="124"/>
        <v>0</v>
      </c>
      <c r="CT34" s="37">
        <f t="shared" si="143"/>
        <v>0</v>
      </c>
      <c r="CU34" s="250"/>
      <c r="CV34" s="37"/>
      <c r="CW34" s="38">
        <f t="shared" si="98"/>
        <v>0</v>
      </c>
      <c r="CX34" s="37">
        <f t="shared" si="144"/>
        <v>0</v>
      </c>
      <c r="CY34" s="250"/>
      <c r="CZ34" s="37"/>
      <c r="DA34" s="37">
        <f t="shared" si="162"/>
        <v>0</v>
      </c>
      <c r="DB34" s="37">
        <f t="shared" si="145"/>
        <v>0</v>
      </c>
      <c r="DC34" s="37"/>
      <c r="DD34" s="40"/>
      <c r="DE34" s="37">
        <f t="shared" si="100"/>
        <v>0</v>
      </c>
      <c r="DF34" s="37">
        <f t="shared" si="152"/>
        <v>0</v>
      </c>
      <c r="DG34" s="37">
        <f t="shared" si="101"/>
        <v>0</v>
      </c>
      <c r="DH34" s="37">
        <f t="shared" si="102"/>
        <v>0</v>
      </c>
      <c r="DI34" s="46"/>
      <c r="DJ34" s="46"/>
      <c r="DK34" s="47"/>
      <c r="DL34" s="47"/>
      <c r="DM34" s="37"/>
      <c r="DN34" s="37"/>
      <c r="DO34" s="37"/>
      <c r="DP34" s="37"/>
      <c r="DQ34" s="250"/>
      <c r="DR34" s="49">
        <f t="shared" si="125"/>
        <v>0</v>
      </c>
      <c r="DS34" s="250"/>
      <c r="DT34" s="49">
        <f t="shared" si="126"/>
        <v>0</v>
      </c>
      <c r="DU34" s="250"/>
      <c r="DV34" s="250"/>
      <c r="DW34" s="37">
        <f t="shared" si="146"/>
        <v>0</v>
      </c>
      <c r="DX34" s="250"/>
      <c r="DY34" s="250"/>
      <c r="DZ34" s="37">
        <f t="shared" si="51"/>
        <v>0</v>
      </c>
      <c r="EA34" s="250"/>
      <c r="EB34" s="250"/>
      <c r="EC34" s="37">
        <v>0</v>
      </c>
      <c r="ED34" s="53">
        <f t="shared" si="52"/>
        <v>0</v>
      </c>
      <c r="EE34" s="250"/>
      <c r="EF34" s="250"/>
      <c r="EG34" s="37">
        <v>0</v>
      </c>
      <c r="EH34" s="250"/>
      <c r="EI34" s="250"/>
      <c r="EJ34" s="37">
        <f t="shared" si="54"/>
        <v>0</v>
      </c>
      <c r="EK34" s="250"/>
      <c r="EL34" s="250"/>
      <c r="EM34" s="37">
        <f t="shared" si="127"/>
        <v>0</v>
      </c>
      <c r="EN34" s="54">
        <f t="shared" si="128"/>
        <v>0</v>
      </c>
      <c r="EO34" s="250"/>
      <c r="EP34" s="48"/>
      <c r="EQ34" s="37"/>
      <c r="ER34" s="250"/>
      <c r="ES34" s="48"/>
      <c r="ET34" s="49">
        <f t="shared" si="155"/>
        <v>0</v>
      </c>
      <c r="EU34" s="250"/>
      <c r="EV34" s="48"/>
      <c r="EW34" s="49">
        <f t="shared" si="56"/>
        <v>0</v>
      </c>
      <c r="EX34" s="250"/>
      <c r="EY34" s="48"/>
      <c r="EZ34" s="37">
        <f t="shared" si="103"/>
        <v>0</v>
      </c>
      <c r="FA34" s="48">
        <f t="shared" si="129"/>
        <v>0</v>
      </c>
      <c r="FB34" s="250"/>
      <c r="FC34" s="49">
        <f t="shared" si="147"/>
        <v>0</v>
      </c>
      <c r="FD34" s="48">
        <f t="shared" si="130"/>
        <v>0</v>
      </c>
      <c r="FE34" s="250"/>
      <c r="FF34" s="48"/>
      <c r="FG34" s="37"/>
      <c r="FH34" s="250"/>
      <c r="FI34" s="48"/>
      <c r="FJ34" s="49">
        <f t="shared" si="59"/>
        <v>0</v>
      </c>
      <c r="FK34" s="48"/>
      <c r="FL34" s="58"/>
      <c r="FM34" s="48">
        <f t="shared" si="148"/>
        <v>0</v>
      </c>
      <c r="FN34" s="250"/>
      <c r="FO34" s="48"/>
      <c r="FP34" s="37">
        <f t="shared" si="131"/>
        <v>0</v>
      </c>
      <c r="FQ34" s="250"/>
      <c r="FR34" s="48"/>
      <c r="FS34" s="37">
        <f t="shared" si="60"/>
        <v>0</v>
      </c>
      <c r="FT34" s="48">
        <f t="shared" si="149"/>
        <v>0</v>
      </c>
      <c r="FU34" s="48">
        <f t="shared" si="150"/>
        <v>0</v>
      </c>
      <c r="FV34" s="250"/>
      <c r="FW34" s="44"/>
      <c r="FX34" s="37">
        <f t="shared" si="61"/>
        <v>0</v>
      </c>
      <c r="FY34" s="250"/>
      <c r="FZ34" s="56"/>
      <c r="GA34" s="37">
        <f t="shared" si="62"/>
        <v>0</v>
      </c>
      <c r="GB34" s="250"/>
      <c r="GC34" s="56"/>
      <c r="GD34" s="37">
        <f t="shared" si="63"/>
        <v>0</v>
      </c>
      <c r="GE34" s="250"/>
      <c r="GF34" s="56"/>
      <c r="GG34" s="37">
        <f t="shared" si="64"/>
        <v>0</v>
      </c>
      <c r="GH34" s="250"/>
      <c r="GI34" s="162"/>
      <c r="GJ34" s="38">
        <f t="shared" si="132"/>
        <v>0</v>
      </c>
      <c r="GK34" s="250"/>
      <c r="GL34" s="163"/>
      <c r="GM34" s="38">
        <f t="shared" si="104"/>
        <v>0</v>
      </c>
      <c r="GN34" s="250"/>
      <c r="GO34" s="57"/>
      <c r="GP34" s="38">
        <f t="shared" si="65"/>
        <v>0</v>
      </c>
      <c r="GQ34" s="250"/>
      <c r="GR34" s="38"/>
      <c r="GS34" s="38">
        <f t="shared" si="133"/>
        <v>0</v>
      </c>
      <c r="GT34" s="247"/>
      <c r="GU34" s="144">
        <f>IFERROR(DailyNov!B32-DailyNov!N32-DailyNov!V32-DailyNov!Y32-DailyNov!Z32-DailyNov!AA32-DailyNov!AB32-DailyNov!AC32-DailyNov!AD32-DailyNov!AE32-DailyNov!AK32-DailyNov!AO32-DailyNov!AS32-DailyNov!AY32-DailyNov!BD32+DailyNov!BU32-DailyNov!BG32-DailyNov!BT32-DailyNov!AF32-DailyNov!AG32,"-")</f>
        <v>0</v>
      </c>
      <c r="GV34" s="261"/>
      <c r="GW34" s="60">
        <f t="shared" si="66"/>
        <v>0</v>
      </c>
      <c r="GX34" s="260"/>
      <c r="GY34" s="140"/>
      <c r="GZ34" s="528"/>
      <c r="HA34" s="528"/>
      <c r="HB34" s="528"/>
      <c r="HC34" s="528"/>
      <c r="HD34" s="74"/>
      <c r="HE34" s="24">
        <f t="shared" si="105"/>
        <v>0</v>
      </c>
      <c r="HG34" s="279">
        <v>27</v>
      </c>
      <c r="HH34" s="292"/>
      <c r="HI34" s="292"/>
      <c r="HJ34" s="61">
        <f t="shared" si="67"/>
        <v>0</v>
      </c>
      <c r="HK34" s="260"/>
      <c r="HL34" s="260"/>
      <c r="HM34" s="61">
        <f t="shared" si="68"/>
        <v>0</v>
      </c>
      <c r="HN34" s="292"/>
      <c r="HO34" s="292"/>
      <c r="HP34" s="294">
        <f t="shared" si="106"/>
        <v>0</v>
      </c>
      <c r="HQ34" s="292"/>
      <c r="HR34" s="292"/>
      <c r="HS34" s="294">
        <f t="shared" si="107"/>
        <v>0</v>
      </c>
      <c r="HT34" s="292"/>
      <c r="HU34" s="292"/>
      <c r="HV34" s="294">
        <f t="shared" si="108"/>
        <v>0</v>
      </c>
      <c r="HW34" s="292"/>
      <c r="HX34" s="292"/>
      <c r="HY34" s="294">
        <f t="shared" si="109"/>
        <v>0</v>
      </c>
      <c r="HZ34" s="260"/>
      <c r="IA34" s="260"/>
      <c r="IB34" s="61">
        <f t="shared" si="110"/>
        <v>0</v>
      </c>
      <c r="IC34" s="292"/>
      <c r="ID34" s="292"/>
      <c r="IE34" s="61">
        <f t="shared" si="153"/>
        <v>0</v>
      </c>
      <c r="IF34" s="61"/>
      <c r="IG34" s="61"/>
      <c r="IH34" s="280">
        <f t="shared" si="71"/>
        <v>0</v>
      </c>
      <c r="II34" s="281">
        <f t="shared" si="163"/>
        <v>0</v>
      </c>
      <c r="IJ34" s="380"/>
      <c r="IK34" s="380"/>
      <c r="IL34" s="380">
        <f t="shared" si="73"/>
        <v>0</v>
      </c>
      <c r="IM34" s="380"/>
      <c r="IN34" s="380"/>
      <c r="IO34" s="380">
        <f t="shared" si="74"/>
        <v>0</v>
      </c>
      <c r="IP34" s="380"/>
      <c r="IQ34" s="380"/>
      <c r="IR34" s="380">
        <f t="shared" si="75"/>
        <v>0</v>
      </c>
      <c r="IS34" s="380"/>
      <c r="IT34" s="380"/>
      <c r="IU34" s="380">
        <f t="shared" si="111"/>
        <v>0</v>
      </c>
      <c r="IV34" s="380"/>
      <c r="IW34" s="380"/>
      <c r="IX34" s="380">
        <f t="shared" si="112"/>
        <v>0</v>
      </c>
      <c r="IY34" s="380"/>
      <c r="IZ34" s="380"/>
      <c r="JA34" s="380">
        <f t="shared" si="113"/>
        <v>0</v>
      </c>
      <c r="JB34" s="380"/>
      <c r="JC34" s="380"/>
      <c r="JD34" s="380">
        <f t="shared" si="114"/>
        <v>0</v>
      </c>
      <c r="JE34" s="380"/>
      <c r="JF34" s="380"/>
      <c r="JG34" s="380">
        <f t="shared" si="115"/>
        <v>0</v>
      </c>
      <c r="JH34" s="380"/>
      <c r="JI34" s="380"/>
      <c r="JJ34" s="380">
        <f t="shared" si="81"/>
        <v>0</v>
      </c>
      <c r="JK34" s="380"/>
      <c r="JL34" s="380"/>
      <c r="JM34" s="380">
        <f t="shared" si="82"/>
        <v>0</v>
      </c>
      <c r="JN34" s="380"/>
      <c r="JO34" s="380"/>
      <c r="JP34" s="380">
        <f t="shared" si="83"/>
        <v>0</v>
      </c>
      <c r="JQ34" s="380"/>
      <c r="JR34" s="380"/>
      <c r="JS34" s="380">
        <f t="shared" si="84"/>
        <v>0</v>
      </c>
      <c r="JT34" s="380"/>
      <c r="JU34" s="380"/>
      <c r="JV34" s="380">
        <f t="shared" si="85"/>
        <v>0</v>
      </c>
      <c r="JW34" s="380"/>
      <c r="JX34" s="380"/>
      <c r="JY34" s="380">
        <f t="shared" si="86"/>
        <v>0</v>
      </c>
      <c r="JZ34" s="380"/>
      <c r="KA34" s="380"/>
      <c r="KB34" s="380">
        <f t="shared" si="116"/>
        <v>0</v>
      </c>
      <c r="KC34" s="380"/>
      <c r="KD34" s="380"/>
      <c r="KE34" s="380">
        <f t="shared" si="117"/>
        <v>0</v>
      </c>
      <c r="KG34" s="151">
        <f t="shared" si="89"/>
        <v>0</v>
      </c>
    </row>
    <row r="35" spans="1:293" x14ac:dyDescent="0.25">
      <c r="A35" s="35">
        <f t="shared" si="118"/>
        <v>28</v>
      </c>
      <c r="B35" s="250"/>
      <c r="C35" s="38">
        <f t="shared" si="21"/>
        <v>0</v>
      </c>
      <c r="D35" s="38">
        <f t="shared" si="22"/>
        <v>0</v>
      </c>
      <c r="E35" s="250"/>
      <c r="F35" s="38">
        <f t="shared" si="23"/>
        <v>0</v>
      </c>
      <c r="G35" s="38">
        <f t="shared" si="24"/>
        <v>0</v>
      </c>
      <c r="H35" s="37"/>
      <c r="I35" s="39"/>
      <c r="J35" s="42"/>
      <c r="K35" s="37">
        <f t="shared" si="134"/>
        <v>0</v>
      </c>
      <c r="L35" s="250"/>
      <c r="M35" s="40"/>
      <c r="N35" s="37">
        <f t="shared" si="135"/>
        <v>0</v>
      </c>
      <c r="O35" s="250"/>
      <c r="P35" s="37"/>
      <c r="Q35" s="37">
        <f t="shared" si="158"/>
        <v>0</v>
      </c>
      <c r="R35" s="37">
        <f t="shared" si="136"/>
        <v>0</v>
      </c>
      <c r="S35" s="250"/>
      <c r="T35" s="37">
        <f t="shared" si="26"/>
        <v>0</v>
      </c>
      <c r="U35" s="250"/>
      <c r="V35" s="37">
        <f t="shared" si="27"/>
        <v>0</v>
      </c>
      <c r="W35" s="250"/>
      <c r="X35" s="37">
        <f t="shared" si="151"/>
        <v>0</v>
      </c>
      <c r="Y35" s="183"/>
      <c r="Z35" s="183"/>
      <c r="AA35" s="250"/>
      <c r="AB35" s="37">
        <f t="shared" si="28"/>
        <v>0</v>
      </c>
      <c r="AC35" s="250"/>
      <c r="AD35" s="37"/>
      <c r="AE35" s="37">
        <f t="shared" si="160"/>
        <v>0</v>
      </c>
      <c r="AF35" s="37">
        <f t="shared" si="137"/>
        <v>0</v>
      </c>
      <c r="AG35" s="250"/>
      <c r="AH35" s="37"/>
      <c r="AI35" s="37">
        <f t="shared" si="90"/>
        <v>0</v>
      </c>
      <c r="AJ35" s="37">
        <f t="shared" si="91"/>
        <v>0</v>
      </c>
      <c r="AK35" s="37">
        <f t="shared" si="32"/>
        <v>0</v>
      </c>
      <c r="AL35" s="250"/>
      <c r="AM35" s="42"/>
      <c r="AN35" s="37">
        <f t="shared" si="119"/>
        <v>0</v>
      </c>
      <c r="AO35" s="37">
        <f t="shared" si="138"/>
        <v>0</v>
      </c>
      <c r="AP35" s="250"/>
      <c r="AQ35" s="37"/>
      <c r="AR35" s="37">
        <f t="shared" si="92"/>
        <v>0</v>
      </c>
      <c r="AS35" s="37">
        <f t="shared" si="139"/>
        <v>0</v>
      </c>
      <c r="AT35" s="183"/>
      <c r="AU35" s="183"/>
      <c r="AV35" s="183"/>
      <c r="AW35" s="183"/>
      <c r="AX35" s="250"/>
      <c r="AY35" s="37"/>
      <c r="AZ35" s="37">
        <f t="shared" si="34"/>
        <v>0</v>
      </c>
      <c r="BA35" s="250"/>
      <c r="BB35" s="37"/>
      <c r="BC35" s="37">
        <f t="shared" si="93"/>
        <v>0</v>
      </c>
      <c r="BD35" s="37">
        <f t="shared" si="140"/>
        <v>0</v>
      </c>
      <c r="BE35" s="250"/>
      <c r="BF35" s="250"/>
      <c r="BG35" s="37">
        <f t="shared" si="36"/>
        <v>0</v>
      </c>
      <c r="BH35" s="250"/>
      <c r="BI35" s="250"/>
      <c r="BJ35" s="37">
        <f t="shared" si="37"/>
        <v>0</v>
      </c>
      <c r="BK35" s="250"/>
      <c r="BL35" s="40">
        <f t="shared" si="141"/>
        <v>0</v>
      </c>
      <c r="BM35" s="250"/>
      <c r="BN35" s="37">
        <f t="shared" si="38"/>
        <v>0</v>
      </c>
      <c r="BO35" s="186"/>
      <c r="BP35" s="183">
        <f t="shared" si="94"/>
        <v>0</v>
      </c>
      <c r="BQ35" s="250"/>
      <c r="BR35" s="37">
        <f t="shared" si="120"/>
        <v>0</v>
      </c>
      <c r="BS35" s="250"/>
      <c r="BT35" s="37">
        <f t="shared" si="39"/>
        <v>0</v>
      </c>
      <c r="BU35" s="250"/>
      <c r="BV35" s="42"/>
      <c r="BW35" s="37">
        <f t="shared" si="95"/>
        <v>0</v>
      </c>
      <c r="BX35" s="37">
        <f>IF(BW35&lt;=0,0,(BW35/SQRT(BW35^2+(BV35-BV34)^2)))</f>
        <v>0</v>
      </c>
      <c r="BY35" s="250"/>
      <c r="BZ35" s="37"/>
      <c r="CA35" s="37">
        <f t="shared" si="156"/>
        <v>0</v>
      </c>
      <c r="CB35" s="37">
        <f t="shared" si="121"/>
        <v>0</v>
      </c>
      <c r="CC35" s="250"/>
      <c r="CD35" s="37">
        <f t="shared" si="42"/>
        <v>0</v>
      </c>
      <c r="CE35" s="250"/>
      <c r="CF35" s="37">
        <f t="shared" si="43"/>
        <v>0</v>
      </c>
      <c r="CG35" s="250"/>
      <c r="CH35" s="37">
        <f t="shared" si="122"/>
        <v>0</v>
      </c>
      <c r="CI35" s="250"/>
      <c r="CJ35" s="40"/>
      <c r="CK35" s="37">
        <f t="shared" si="123"/>
        <v>0</v>
      </c>
      <c r="CL35" s="37">
        <f t="shared" si="97"/>
        <v>0</v>
      </c>
      <c r="CM35" s="250"/>
      <c r="CN35" s="37"/>
      <c r="CO35" s="37">
        <f t="shared" si="45"/>
        <v>0</v>
      </c>
      <c r="CP35" s="37">
        <f t="shared" si="154"/>
        <v>0</v>
      </c>
      <c r="CQ35" s="250"/>
      <c r="CR35" s="39"/>
      <c r="CS35" s="37">
        <f t="shared" si="124"/>
        <v>0</v>
      </c>
      <c r="CT35" s="37">
        <f t="shared" si="143"/>
        <v>0</v>
      </c>
      <c r="CU35" s="250"/>
      <c r="CV35" s="37"/>
      <c r="CW35" s="38">
        <f t="shared" si="98"/>
        <v>0</v>
      </c>
      <c r="CX35" s="37">
        <f t="shared" si="144"/>
        <v>0</v>
      </c>
      <c r="CY35" s="250"/>
      <c r="CZ35" s="37"/>
      <c r="DA35" s="37">
        <f t="shared" si="162"/>
        <v>0</v>
      </c>
      <c r="DB35" s="37">
        <f t="shared" si="145"/>
        <v>0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101"/>
        <v>0</v>
      </c>
      <c r="DH35" s="37">
        <f t="shared" si="102"/>
        <v>0</v>
      </c>
      <c r="DI35" s="46"/>
      <c r="DJ35" s="46"/>
      <c r="DK35" s="47"/>
      <c r="DL35" s="47"/>
      <c r="DM35" s="37"/>
      <c r="DN35" s="37"/>
      <c r="DO35" s="37"/>
      <c r="DP35" s="37"/>
      <c r="DQ35" s="250"/>
      <c r="DR35" s="49">
        <f t="shared" si="125"/>
        <v>0</v>
      </c>
      <c r="DS35" s="250"/>
      <c r="DT35" s="49">
        <f t="shared" si="126"/>
        <v>0</v>
      </c>
      <c r="DU35" s="250"/>
      <c r="DV35" s="250"/>
      <c r="DW35" s="37">
        <f t="shared" si="146"/>
        <v>0</v>
      </c>
      <c r="DX35" s="250"/>
      <c r="DY35" s="250"/>
      <c r="DZ35" s="37">
        <f t="shared" si="51"/>
        <v>0</v>
      </c>
      <c r="EA35" s="250"/>
      <c r="EB35" s="250"/>
      <c r="EC35" s="37">
        <v>0</v>
      </c>
      <c r="ED35" s="53">
        <f t="shared" si="52"/>
        <v>0</v>
      </c>
      <c r="EE35" s="250"/>
      <c r="EF35" s="250"/>
      <c r="EG35" s="37">
        <v>0</v>
      </c>
      <c r="EH35" s="250"/>
      <c r="EI35" s="250"/>
      <c r="EJ35" s="37">
        <f t="shared" si="54"/>
        <v>0</v>
      </c>
      <c r="EK35" s="250"/>
      <c r="EL35" s="250"/>
      <c r="EM35" s="37">
        <f t="shared" si="127"/>
        <v>0</v>
      </c>
      <c r="EN35" s="54">
        <f t="shared" si="128"/>
        <v>0</v>
      </c>
      <c r="EO35" s="250"/>
      <c r="EP35" s="48"/>
      <c r="EQ35" s="37"/>
      <c r="ER35" s="250"/>
      <c r="ES35" s="48"/>
      <c r="ET35" s="49">
        <f t="shared" si="155"/>
        <v>0</v>
      </c>
      <c r="EU35" s="250"/>
      <c r="EV35" s="48"/>
      <c r="EW35" s="49">
        <f t="shared" si="56"/>
        <v>0</v>
      </c>
      <c r="EX35" s="250"/>
      <c r="EY35" s="48"/>
      <c r="EZ35" s="37">
        <f t="shared" si="103"/>
        <v>0</v>
      </c>
      <c r="FA35" s="48">
        <f t="shared" si="129"/>
        <v>0</v>
      </c>
      <c r="FB35" s="250"/>
      <c r="FC35" s="49">
        <f t="shared" si="147"/>
        <v>0</v>
      </c>
      <c r="FD35" s="48">
        <f t="shared" si="130"/>
        <v>0</v>
      </c>
      <c r="FE35" s="250"/>
      <c r="FF35" s="48"/>
      <c r="FG35" s="37"/>
      <c r="FH35" s="250"/>
      <c r="FI35" s="48"/>
      <c r="FJ35" s="49">
        <f t="shared" si="59"/>
        <v>0</v>
      </c>
      <c r="FK35" s="48"/>
      <c r="FL35" s="58"/>
      <c r="FM35" s="48">
        <f t="shared" si="148"/>
        <v>0</v>
      </c>
      <c r="FN35" s="250"/>
      <c r="FO35" s="48"/>
      <c r="FP35" s="37">
        <f t="shared" si="131"/>
        <v>0</v>
      </c>
      <c r="FQ35" s="250"/>
      <c r="FR35" s="48"/>
      <c r="FS35" s="37">
        <f t="shared" si="60"/>
        <v>0</v>
      </c>
      <c r="FT35" s="48">
        <f t="shared" si="149"/>
        <v>0</v>
      </c>
      <c r="FU35" s="48">
        <f t="shared" si="150"/>
        <v>0</v>
      </c>
      <c r="FV35" s="250"/>
      <c r="FW35" s="44"/>
      <c r="FX35" s="37">
        <f t="shared" si="61"/>
        <v>0</v>
      </c>
      <c r="FY35" s="250"/>
      <c r="FZ35" s="56"/>
      <c r="GA35" s="37">
        <f t="shared" si="62"/>
        <v>0</v>
      </c>
      <c r="GB35" s="250"/>
      <c r="GC35" s="56"/>
      <c r="GD35" s="37">
        <f t="shared" si="63"/>
        <v>0</v>
      </c>
      <c r="GE35" s="250"/>
      <c r="GF35" s="56"/>
      <c r="GG35" s="37">
        <f t="shared" si="64"/>
        <v>0</v>
      </c>
      <c r="GH35" s="250"/>
      <c r="GI35" s="159"/>
      <c r="GJ35" s="38">
        <f t="shared" si="132"/>
        <v>0</v>
      </c>
      <c r="GK35" s="250"/>
      <c r="GL35" s="44"/>
      <c r="GM35" s="38">
        <f t="shared" si="104"/>
        <v>0</v>
      </c>
      <c r="GN35" s="250"/>
      <c r="GO35" s="57"/>
      <c r="GP35" s="38">
        <f t="shared" si="65"/>
        <v>0</v>
      </c>
      <c r="GQ35" s="250"/>
      <c r="GR35" s="38"/>
      <c r="GS35" s="38">
        <f t="shared" si="133"/>
        <v>0</v>
      </c>
      <c r="GT35" s="247"/>
      <c r="GU35" s="144">
        <f>IFERROR(DailyNov!B33-DailyNov!N33-DailyNov!V33-DailyNov!Y33-DailyNov!Z33-DailyNov!AA33-DailyNov!AB33-DailyNov!AC33-DailyNov!AD33-DailyNov!AE33-DailyNov!AK33-DailyNov!AO33-DailyNov!AS33-DailyNov!AY33-DailyNov!BD33+DailyNov!BU33-DailyNov!BG33-DailyNov!BT33-DailyNov!AF33-DailyNov!AG33,"-")</f>
        <v>0</v>
      </c>
      <c r="GV35" s="261"/>
      <c r="GW35" s="60">
        <f t="shared" si="66"/>
        <v>0</v>
      </c>
      <c r="GX35" s="260"/>
      <c r="GY35" s="140"/>
      <c r="GZ35" s="62"/>
      <c r="HA35" s="62"/>
      <c r="HB35" s="74"/>
      <c r="HC35" s="62"/>
      <c r="HD35" s="74"/>
      <c r="HE35" s="24">
        <f t="shared" si="105"/>
        <v>0</v>
      </c>
      <c r="HG35" s="279">
        <v>28</v>
      </c>
      <c r="HH35" s="292"/>
      <c r="HI35" s="292"/>
      <c r="HJ35" s="61">
        <f t="shared" si="67"/>
        <v>0</v>
      </c>
      <c r="HK35" s="260"/>
      <c r="HL35" s="260"/>
      <c r="HM35" s="61">
        <f t="shared" si="68"/>
        <v>0</v>
      </c>
      <c r="HN35" s="260"/>
      <c r="HO35" s="260"/>
      <c r="HP35" s="61">
        <f t="shared" si="106"/>
        <v>0</v>
      </c>
      <c r="HQ35" s="292"/>
      <c r="HR35" s="292"/>
      <c r="HS35" s="61">
        <f t="shared" si="107"/>
        <v>0</v>
      </c>
      <c r="HT35" s="292"/>
      <c r="HU35" s="292"/>
      <c r="HV35" s="61">
        <f t="shared" si="108"/>
        <v>0</v>
      </c>
      <c r="HW35" s="292"/>
      <c r="HX35" s="292"/>
      <c r="HY35" s="61">
        <f t="shared" si="109"/>
        <v>0</v>
      </c>
      <c r="HZ35" s="260"/>
      <c r="IA35" s="260"/>
      <c r="IB35" s="61">
        <f t="shared" si="110"/>
        <v>0</v>
      </c>
      <c r="IC35" s="292"/>
      <c r="ID35" s="292"/>
      <c r="IE35" s="61">
        <f t="shared" si="153"/>
        <v>0</v>
      </c>
      <c r="IF35" s="61"/>
      <c r="IG35" s="61"/>
      <c r="IH35" s="280">
        <f t="shared" si="71"/>
        <v>0</v>
      </c>
      <c r="II35" s="281">
        <f t="shared" si="163"/>
        <v>0</v>
      </c>
      <c r="IJ35" s="380"/>
      <c r="IK35" s="380"/>
      <c r="IL35" s="380">
        <f t="shared" si="73"/>
        <v>0</v>
      </c>
      <c r="IM35" s="380"/>
      <c r="IN35" s="380"/>
      <c r="IO35" s="380">
        <f t="shared" si="74"/>
        <v>0</v>
      </c>
      <c r="IP35" s="380"/>
      <c r="IQ35" s="380"/>
      <c r="IR35" s="380">
        <f t="shared" si="75"/>
        <v>0</v>
      </c>
      <c r="IS35" s="380"/>
      <c r="IT35" s="380"/>
      <c r="IU35" s="380">
        <f t="shared" si="111"/>
        <v>0</v>
      </c>
      <c r="IV35" s="380"/>
      <c r="IW35" s="380"/>
      <c r="IX35" s="380">
        <f t="shared" si="112"/>
        <v>0</v>
      </c>
      <c r="IY35" s="380"/>
      <c r="IZ35" s="380"/>
      <c r="JA35" s="380">
        <f t="shared" si="113"/>
        <v>0</v>
      </c>
      <c r="JB35" s="380"/>
      <c r="JC35" s="380"/>
      <c r="JD35" s="380">
        <f t="shared" si="114"/>
        <v>0</v>
      </c>
      <c r="JE35" s="380"/>
      <c r="JF35" s="380"/>
      <c r="JG35" s="380">
        <f t="shared" si="115"/>
        <v>0</v>
      </c>
      <c r="JH35" s="380"/>
      <c r="JI35" s="380"/>
      <c r="JJ35" s="380">
        <f t="shared" si="81"/>
        <v>0</v>
      </c>
      <c r="JK35" s="380"/>
      <c r="JL35" s="380"/>
      <c r="JM35" s="380">
        <f t="shared" si="82"/>
        <v>0</v>
      </c>
      <c r="JN35" s="380"/>
      <c r="JO35" s="380"/>
      <c r="JP35" s="380">
        <f t="shared" si="83"/>
        <v>0</v>
      </c>
      <c r="JQ35" s="380"/>
      <c r="JR35" s="380"/>
      <c r="JS35" s="380">
        <f t="shared" si="84"/>
        <v>0</v>
      </c>
      <c r="JT35" s="380"/>
      <c r="JU35" s="380"/>
      <c r="JV35" s="380">
        <f t="shared" si="85"/>
        <v>0</v>
      </c>
      <c r="JW35" s="380"/>
      <c r="JX35" s="380"/>
      <c r="JY35" s="380">
        <f t="shared" si="86"/>
        <v>0</v>
      </c>
      <c r="JZ35" s="380"/>
      <c r="KA35" s="380"/>
      <c r="KB35" s="380">
        <f t="shared" si="116"/>
        <v>0</v>
      </c>
      <c r="KC35" s="380"/>
      <c r="KD35" s="380"/>
      <c r="KE35" s="380">
        <f t="shared" si="117"/>
        <v>0</v>
      </c>
      <c r="KG35" s="151">
        <f t="shared" si="89"/>
        <v>0</v>
      </c>
    </row>
    <row r="36" spans="1:293" x14ac:dyDescent="0.25">
      <c r="A36" s="35">
        <v>29</v>
      </c>
      <c r="B36" s="250"/>
      <c r="C36" s="38">
        <f t="shared" si="21"/>
        <v>0</v>
      </c>
      <c r="D36" s="38">
        <f t="shared" si="22"/>
        <v>0</v>
      </c>
      <c r="E36" s="250"/>
      <c r="F36" s="38">
        <f t="shared" si="23"/>
        <v>0</v>
      </c>
      <c r="G36" s="38">
        <f t="shared" si="24"/>
        <v>0</v>
      </c>
      <c r="H36" s="37"/>
      <c r="I36" s="39"/>
      <c r="J36" s="42"/>
      <c r="K36" s="37">
        <f>IF(J36&lt;=0,0,(J36/SQRT(J36^2+(I36-I35)^2)))</f>
        <v>0</v>
      </c>
      <c r="L36" s="250"/>
      <c r="M36" s="40"/>
      <c r="N36" s="37">
        <f t="shared" si="135"/>
        <v>0</v>
      </c>
      <c r="O36" s="250"/>
      <c r="P36" s="37"/>
      <c r="Q36" s="37">
        <f t="shared" si="158"/>
        <v>0</v>
      </c>
      <c r="R36" s="37">
        <f>IF(Q36&lt;=0,0,(Q36/SQRT(Q36^2+(P36-P35)^2)))</f>
        <v>0</v>
      </c>
      <c r="S36" s="250"/>
      <c r="T36" s="37">
        <f t="shared" si="26"/>
        <v>0</v>
      </c>
      <c r="U36" s="250"/>
      <c r="V36" s="37">
        <f t="shared" si="27"/>
        <v>0</v>
      </c>
      <c r="W36" s="250"/>
      <c r="X36" s="37">
        <f t="shared" si="151"/>
        <v>0</v>
      </c>
      <c r="Y36" s="183"/>
      <c r="Z36" s="183"/>
      <c r="AA36" s="250"/>
      <c r="AB36" s="37">
        <f t="shared" si="28"/>
        <v>0</v>
      </c>
      <c r="AC36" s="250"/>
      <c r="AD36" s="37"/>
      <c r="AE36" s="37">
        <f t="shared" si="160"/>
        <v>0</v>
      </c>
      <c r="AF36" s="37">
        <f>IF(AE36&lt;=0,0,(AE36/SQRT(AE36^2+(AD36-AD35)^2)))</f>
        <v>0</v>
      </c>
      <c r="AG36" s="250"/>
      <c r="AH36" s="37"/>
      <c r="AI36" s="37">
        <f t="shared" si="90"/>
        <v>0</v>
      </c>
      <c r="AJ36" s="37">
        <f t="shared" si="91"/>
        <v>0</v>
      </c>
      <c r="AK36" s="37">
        <f t="shared" si="32"/>
        <v>0</v>
      </c>
      <c r="AL36" s="250"/>
      <c r="AM36" s="42"/>
      <c r="AN36" s="37">
        <f t="shared" si="119"/>
        <v>0</v>
      </c>
      <c r="AO36" s="37">
        <f>IF(AN36&lt;=0,0,(AN36/SQRT(AN36^2+(AM36-AM35)^2)))</f>
        <v>0</v>
      </c>
      <c r="AP36" s="250"/>
      <c r="AQ36" s="37"/>
      <c r="AR36" s="37">
        <f t="shared" si="92"/>
        <v>0</v>
      </c>
      <c r="AS36" s="37">
        <f>IF(AR36&lt;=0,0,(AR36/SQRT(AR36^2+(AQ36-AQ35)^2)))</f>
        <v>0</v>
      </c>
      <c r="AT36" s="183"/>
      <c r="AU36" s="183"/>
      <c r="AV36" s="183"/>
      <c r="AW36" s="183"/>
      <c r="AX36" s="250"/>
      <c r="AY36" s="37"/>
      <c r="AZ36" s="37">
        <f t="shared" si="34"/>
        <v>0</v>
      </c>
      <c r="BA36" s="250"/>
      <c r="BB36" s="37"/>
      <c r="BC36" s="37">
        <f t="shared" si="93"/>
        <v>0</v>
      </c>
      <c r="BD36" s="37">
        <f>AN36+AR36+AZ36+BC36</f>
        <v>0</v>
      </c>
      <c r="BE36" s="250"/>
      <c r="BF36" s="250"/>
      <c r="BG36" s="37">
        <f t="shared" si="36"/>
        <v>0</v>
      </c>
      <c r="BH36" s="250"/>
      <c r="BI36" s="250"/>
      <c r="BJ36" s="37">
        <f t="shared" si="37"/>
        <v>0</v>
      </c>
      <c r="BK36" s="250"/>
      <c r="BL36" s="40">
        <f t="shared" si="141"/>
        <v>0</v>
      </c>
      <c r="BM36" s="250"/>
      <c r="BN36" s="37">
        <f t="shared" si="38"/>
        <v>0</v>
      </c>
      <c r="BO36" s="186"/>
      <c r="BP36" s="183">
        <f t="shared" si="94"/>
        <v>0</v>
      </c>
      <c r="BQ36" s="250"/>
      <c r="BR36" s="37">
        <f t="shared" si="120"/>
        <v>0</v>
      </c>
      <c r="BS36" s="250"/>
      <c r="BT36" s="37">
        <f t="shared" si="39"/>
        <v>0</v>
      </c>
      <c r="BU36" s="250"/>
      <c r="BV36" s="42"/>
      <c r="BW36" s="37">
        <f t="shared" si="95"/>
        <v>0</v>
      </c>
      <c r="BX36" s="37">
        <f>IF(BW36&lt;=0,0,(BW36/SQRT(BW36^2+(BV36-BV35)^2)))</f>
        <v>0</v>
      </c>
      <c r="BY36" s="250"/>
      <c r="BZ36" s="37"/>
      <c r="CA36" s="37">
        <f t="shared" si="156"/>
        <v>0</v>
      </c>
      <c r="CB36" s="37">
        <f t="shared" si="121"/>
        <v>0</v>
      </c>
      <c r="CC36" s="250"/>
      <c r="CD36" s="37">
        <f t="shared" si="42"/>
        <v>0</v>
      </c>
      <c r="CE36" s="250"/>
      <c r="CF36" s="37">
        <f t="shared" si="43"/>
        <v>0</v>
      </c>
      <c r="CG36" s="250"/>
      <c r="CH36" s="37">
        <f t="shared" si="122"/>
        <v>0</v>
      </c>
      <c r="CI36" s="250"/>
      <c r="CJ36" s="40"/>
      <c r="CK36" s="37">
        <f t="shared" si="123"/>
        <v>0</v>
      </c>
      <c r="CL36" s="37">
        <f t="shared" si="97"/>
        <v>0</v>
      </c>
      <c r="CM36" s="250"/>
      <c r="CN36" s="37"/>
      <c r="CO36" s="37">
        <f t="shared" si="45"/>
        <v>0</v>
      </c>
      <c r="CP36" s="37">
        <f>IF(CO36&lt;=0,0,(CO36/SQRT(CO36^2+(CN36-CN35)^2)))</f>
        <v>0</v>
      </c>
      <c r="CQ36" s="250"/>
      <c r="CR36" s="39"/>
      <c r="CS36" s="37">
        <f t="shared" si="124"/>
        <v>0</v>
      </c>
      <c r="CT36" s="37">
        <f t="shared" si="143"/>
        <v>0</v>
      </c>
      <c r="CU36" s="250"/>
      <c r="CV36" s="37"/>
      <c r="CW36" s="38">
        <f t="shared" si="98"/>
        <v>0</v>
      </c>
      <c r="CX36" s="37">
        <f t="shared" si="144"/>
        <v>0</v>
      </c>
      <c r="CY36" s="250"/>
      <c r="CZ36" s="37"/>
      <c r="DA36" s="37">
        <f t="shared" si="162"/>
        <v>0</v>
      </c>
      <c r="DB36" s="37">
        <f>IF(DA36&lt;=0,0,(DA36/SQRT(DA36^2+(CZ36-CZ35)^2)))</f>
        <v>0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101"/>
        <v>0</v>
      </c>
      <c r="DH36" s="37">
        <f t="shared" si="102"/>
        <v>0</v>
      </c>
      <c r="DI36" s="46"/>
      <c r="DJ36" s="46"/>
      <c r="DK36" s="46"/>
      <c r="DL36" s="47"/>
      <c r="DM36" s="37"/>
      <c r="DN36" s="37"/>
      <c r="DO36" s="37"/>
      <c r="DP36" s="37"/>
      <c r="DQ36" s="250"/>
      <c r="DR36" s="49">
        <f t="shared" si="125"/>
        <v>0</v>
      </c>
      <c r="DS36" s="250"/>
      <c r="DT36" s="49">
        <f t="shared" si="126"/>
        <v>0</v>
      </c>
      <c r="DU36" s="250"/>
      <c r="DV36" s="250"/>
      <c r="DW36" s="37">
        <f t="shared" si="146"/>
        <v>0</v>
      </c>
      <c r="DX36" s="250"/>
      <c r="DY36" s="250"/>
      <c r="DZ36" s="37">
        <f t="shared" si="51"/>
        <v>0</v>
      </c>
      <c r="EA36" s="250"/>
      <c r="EB36" s="250"/>
      <c r="EC36" s="37">
        <v>0</v>
      </c>
      <c r="ED36" s="53">
        <f t="shared" si="52"/>
        <v>0</v>
      </c>
      <c r="EE36" s="250"/>
      <c r="EF36" s="250"/>
      <c r="EG36" s="37">
        <v>0</v>
      </c>
      <c r="EH36" s="250"/>
      <c r="EI36" s="250"/>
      <c r="EJ36" s="37">
        <f t="shared" si="54"/>
        <v>0</v>
      </c>
      <c r="EK36" s="250"/>
      <c r="EL36" s="250"/>
      <c r="EM36" s="37">
        <f t="shared" si="127"/>
        <v>0</v>
      </c>
      <c r="EN36" s="54">
        <f t="shared" si="128"/>
        <v>0</v>
      </c>
      <c r="EO36" s="250"/>
      <c r="EP36" s="48"/>
      <c r="EQ36" s="37"/>
      <c r="ER36" s="250"/>
      <c r="ES36" s="48"/>
      <c r="ET36" s="49">
        <f t="shared" si="155"/>
        <v>0</v>
      </c>
      <c r="EU36" s="250"/>
      <c r="EV36" s="48"/>
      <c r="EW36" s="49">
        <f t="shared" si="56"/>
        <v>0</v>
      </c>
      <c r="EX36" s="250"/>
      <c r="EY36" s="48"/>
      <c r="EZ36" s="37">
        <f t="shared" si="103"/>
        <v>0</v>
      </c>
      <c r="FA36" s="48">
        <f t="shared" si="129"/>
        <v>0</v>
      </c>
      <c r="FB36" s="250"/>
      <c r="FC36" s="49">
        <f t="shared" si="147"/>
        <v>0</v>
      </c>
      <c r="FD36" s="48">
        <f t="shared" si="130"/>
        <v>0</v>
      </c>
      <c r="FE36" s="250"/>
      <c r="FF36" s="48"/>
      <c r="FG36" s="37"/>
      <c r="FH36" s="250"/>
      <c r="FI36" s="48"/>
      <c r="FJ36" s="49">
        <f t="shared" si="59"/>
        <v>0</v>
      </c>
      <c r="FK36" s="48"/>
      <c r="FL36" s="58"/>
      <c r="FM36" s="48">
        <f t="shared" si="148"/>
        <v>0</v>
      </c>
      <c r="FN36" s="250"/>
      <c r="FO36" s="48"/>
      <c r="FP36" s="37">
        <f t="shared" si="131"/>
        <v>0</v>
      </c>
      <c r="FQ36" s="250"/>
      <c r="FR36" s="48"/>
      <c r="FS36" s="37">
        <f>IF((FQ36-FQ35)*1000&lt;=0,0,(FQ36-FQ35)*1000)</f>
        <v>0</v>
      </c>
      <c r="FT36" s="48">
        <f t="shared" si="149"/>
        <v>0</v>
      </c>
      <c r="FU36" s="48">
        <f t="shared" si="150"/>
        <v>0</v>
      </c>
      <c r="FV36" s="250"/>
      <c r="FW36" s="44"/>
      <c r="FX36" s="37">
        <f t="shared" si="61"/>
        <v>0</v>
      </c>
      <c r="FY36" s="250"/>
      <c r="FZ36" s="56"/>
      <c r="GA36" s="37">
        <f t="shared" si="62"/>
        <v>0</v>
      </c>
      <c r="GB36" s="250"/>
      <c r="GC36" s="56"/>
      <c r="GD36" s="37">
        <f t="shared" si="63"/>
        <v>0</v>
      </c>
      <c r="GE36" s="250"/>
      <c r="GF36" s="56"/>
      <c r="GG36" s="37">
        <f t="shared" si="64"/>
        <v>0</v>
      </c>
      <c r="GH36" s="250"/>
      <c r="GI36" s="56"/>
      <c r="GJ36" s="38">
        <f t="shared" si="132"/>
        <v>0</v>
      </c>
      <c r="GK36" s="250"/>
      <c r="GL36" s="44"/>
      <c r="GM36" s="38">
        <f t="shared" si="104"/>
        <v>0</v>
      </c>
      <c r="GN36" s="250"/>
      <c r="GO36" s="57"/>
      <c r="GP36" s="38">
        <f t="shared" si="65"/>
        <v>0</v>
      </c>
      <c r="GQ36" s="250"/>
      <c r="GR36" s="38"/>
      <c r="GS36" s="38">
        <f t="shared" si="133"/>
        <v>0</v>
      </c>
      <c r="GT36" s="247"/>
      <c r="GU36" s="144">
        <f>IFERROR(DailyNov!B34-DailyNov!N34-DailyNov!V34-DailyNov!Y34-DailyNov!Z34-DailyNov!AA34-DailyNov!AB34-DailyNov!AC34-DailyNov!AD34-DailyNov!AE34-DailyNov!AK34-DailyNov!AO34-DailyNov!AS34-DailyNov!AY34-DailyNov!BD34+DailyNov!BU34-DailyNov!BG34-DailyNov!BT34-DailyNov!AF34-DailyNov!AG34,"-")</f>
        <v>0</v>
      </c>
      <c r="GV36" s="261"/>
      <c r="GW36" s="60">
        <f t="shared" si="66"/>
        <v>0</v>
      </c>
      <c r="GX36" s="260"/>
      <c r="GY36" s="140"/>
      <c r="GZ36" s="62"/>
      <c r="HA36" s="62"/>
      <c r="HB36" s="74"/>
      <c r="HC36" s="62"/>
      <c r="HD36" s="74"/>
      <c r="HE36" s="24">
        <f t="shared" si="105"/>
        <v>0</v>
      </c>
      <c r="HG36" s="279">
        <v>29</v>
      </c>
      <c r="HH36" s="292"/>
      <c r="HI36" s="292"/>
      <c r="HJ36" s="61">
        <f t="shared" si="67"/>
        <v>0</v>
      </c>
      <c r="HK36" s="260"/>
      <c r="HL36" s="260"/>
      <c r="HM36" s="61">
        <f t="shared" si="68"/>
        <v>0</v>
      </c>
      <c r="HN36" s="260"/>
      <c r="HO36" s="260"/>
      <c r="HP36" s="61">
        <f t="shared" si="106"/>
        <v>0</v>
      </c>
      <c r="HQ36" s="292"/>
      <c r="HR36" s="292"/>
      <c r="HS36" s="61">
        <f t="shared" si="107"/>
        <v>0</v>
      </c>
      <c r="HT36" s="292"/>
      <c r="HU36" s="292"/>
      <c r="HV36" s="61">
        <f t="shared" si="108"/>
        <v>0</v>
      </c>
      <c r="HW36" s="292"/>
      <c r="HX36" s="292"/>
      <c r="HY36" s="61">
        <f t="shared" si="109"/>
        <v>0</v>
      </c>
      <c r="HZ36" s="260"/>
      <c r="IA36" s="260"/>
      <c r="IB36" s="61">
        <f t="shared" si="110"/>
        <v>0</v>
      </c>
      <c r="IC36" s="292"/>
      <c r="ID36" s="292"/>
      <c r="IE36" s="61">
        <f t="shared" si="153"/>
        <v>0</v>
      </c>
      <c r="IF36" s="61"/>
      <c r="IG36" s="61"/>
      <c r="IH36" s="280">
        <f t="shared" si="71"/>
        <v>0</v>
      </c>
      <c r="II36" s="281">
        <f t="shared" si="163"/>
        <v>0</v>
      </c>
      <c r="IJ36" s="380"/>
      <c r="IK36" s="380"/>
      <c r="IL36" s="380">
        <f t="shared" si="73"/>
        <v>0</v>
      </c>
      <c r="IM36" s="380"/>
      <c r="IN36" s="380"/>
      <c r="IO36" s="380">
        <f t="shared" si="74"/>
        <v>0</v>
      </c>
      <c r="IP36" s="380"/>
      <c r="IQ36" s="380"/>
      <c r="IR36" s="380">
        <f t="shared" si="75"/>
        <v>0</v>
      </c>
      <c r="IS36" s="380"/>
      <c r="IT36" s="380"/>
      <c r="IU36" s="380">
        <f t="shared" si="111"/>
        <v>0</v>
      </c>
      <c r="IV36" s="380"/>
      <c r="IW36" s="380"/>
      <c r="IX36" s="380">
        <f t="shared" si="112"/>
        <v>0</v>
      </c>
      <c r="IY36" s="380"/>
      <c r="IZ36" s="380"/>
      <c r="JA36" s="380">
        <f t="shared" si="113"/>
        <v>0</v>
      </c>
      <c r="JB36" s="380"/>
      <c r="JC36" s="380"/>
      <c r="JD36" s="380">
        <f t="shared" si="114"/>
        <v>0</v>
      </c>
      <c r="JE36" s="380"/>
      <c r="JF36" s="380"/>
      <c r="JG36" s="380">
        <f t="shared" si="115"/>
        <v>0</v>
      </c>
      <c r="JH36" s="380"/>
      <c r="JI36" s="380"/>
      <c r="JJ36" s="380">
        <f t="shared" si="81"/>
        <v>0</v>
      </c>
      <c r="JK36" s="380"/>
      <c r="JL36" s="380"/>
      <c r="JM36" s="380">
        <f t="shared" si="82"/>
        <v>0</v>
      </c>
      <c r="JN36" s="380"/>
      <c r="JO36" s="380"/>
      <c r="JP36" s="380">
        <f t="shared" si="83"/>
        <v>0</v>
      </c>
      <c r="JQ36" s="380"/>
      <c r="JR36" s="380"/>
      <c r="JS36" s="380">
        <f t="shared" si="84"/>
        <v>0</v>
      </c>
      <c r="JT36" s="380"/>
      <c r="JU36" s="380"/>
      <c r="JV36" s="380">
        <f t="shared" si="85"/>
        <v>0</v>
      </c>
      <c r="JW36" s="380"/>
      <c r="JX36" s="380"/>
      <c r="JY36" s="380">
        <f t="shared" si="86"/>
        <v>0</v>
      </c>
      <c r="JZ36" s="380"/>
      <c r="KA36" s="380"/>
      <c r="KB36" s="380">
        <f t="shared" si="116"/>
        <v>0</v>
      </c>
      <c r="KC36" s="380"/>
      <c r="KD36" s="380"/>
      <c r="KE36" s="380">
        <f t="shared" si="117"/>
        <v>0</v>
      </c>
      <c r="KG36" s="151">
        <f t="shared" si="89"/>
        <v>0</v>
      </c>
    </row>
    <row r="37" spans="1:293" x14ac:dyDescent="0.25">
      <c r="A37" s="35">
        <f t="shared" si="118"/>
        <v>30</v>
      </c>
      <c r="B37" s="250"/>
      <c r="C37" s="38">
        <f t="shared" si="21"/>
        <v>0</v>
      </c>
      <c r="D37" s="38">
        <f t="shared" si="22"/>
        <v>0</v>
      </c>
      <c r="E37" s="250"/>
      <c r="F37" s="38">
        <f t="shared" si="23"/>
        <v>0</v>
      </c>
      <c r="G37" s="38">
        <f t="shared" si="24"/>
        <v>0</v>
      </c>
      <c r="H37" s="37"/>
      <c r="I37" s="39"/>
      <c r="J37" s="42"/>
      <c r="K37" s="37">
        <f>IF(J37&lt;=0,0,(J37/SQRT(J37^2+(I37-I36)^2)))</f>
        <v>0</v>
      </c>
      <c r="L37" s="250"/>
      <c r="M37" s="40"/>
      <c r="N37" s="37">
        <f t="shared" si="135"/>
        <v>0</v>
      </c>
      <c r="O37" s="250"/>
      <c r="P37" s="37"/>
      <c r="Q37" s="37">
        <f t="shared" si="158"/>
        <v>0</v>
      </c>
      <c r="R37" s="37">
        <f>IF(Q37&lt;=0,0,(Q37/SQRT(Q37^2+(P37-P36)^2)))</f>
        <v>0</v>
      </c>
      <c r="S37" s="250"/>
      <c r="T37" s="37">
        <f t="shared" si="26"/>
        <v>0</v>
      </c>
      <c r="U37" s="250"/>
      <c r="V37" s="37">
        <f>IF((U37-U36)&lt;=0,0,(U37-U36))</f>
        <v>0</v>
      </c>
      <c r="W37" s="250"/>
      <c r="X37" s="37">
        <f t="shared" si="151"/>
        <v>0</v>
      </c>
      <c r="Y37" s="183"/>
      <c r="Z37" s="183"/>
      <c r="AA37" s="250"/>
      <c r="AB37" s="37">
        <f t="shared" si="28"/>
        <v>0</v>
      </c>
      <c r="AC37" s="250"/>
      <c r="AD37" s="37"/>
      <c r="AE37" s="37">
        <f t="shared" si="160"/>
        <v>0</v>
      </c>
      <c r="AF37" s="37">
        <f>IF(AE37&lt;=0,0,(AE37/SQRT(AE37^2+(AD37-AD36)^2)))</f>
        <v>0</v>
      </c>
      <c r="AG37" s="250"/>
      <c r="AH37" s="37"/>
      <c r="AI37" s="37">
        <f t="shared" si="90"/>
        <v>0</v>
      </c>
      <c r="AJ37" s="37">
        <f t="shared" si="91"/>
        <v>0</v>
      </c>
      <c r="AK37" s="37">
        <f t="shared" si="32"/>
        <v>0</v>
      </c>
      <c r="AL37" s="250"/>
      <c r="AM37" s="42"/>
      <c r="AN37" s="37">
        <f t="shared" si="119"/>
        <v>0</v>
      </c>
      <c r="AO37" s="37">
        <f>IF(AN37&lt;=0,0,(AN37/SQRT(AN37^2+(AM37-AM36)^2)))</f>
        <v>0</v>
      </c>
      <c r="AP37" s="250"/>
      <c r="AQ37" s="37"/>
      <c r="AR37" s="37">
        <f t="shared" si="92"/>
        <v>0</v>
      </c>
      <c r="AS37" s="37">
        <f>IF(AR37&lt;=0,0,(AR37/SQRT(AR37^2+(AQ37-AQ36)^2)))</f>
        <v>0</v>
      </c>
      <c r="AT37" s="183"/>
      <c r="AU37" s="183"/>
      <c r="AV37" s="183"/>
      <c r="AW37" s="183"/>
      <c r="AX37" s="250"/>
      <c r="AY37" s="37"/>
      <c r="AZ37" s="37">
        <f t="shared" si="34"/>
        <v>0</v>
      </c>
      <c r="BA37" s="250"/>
      <c r="BB37" s="37"/>
      <c r="BC37" s="37">
        <f t="shared" si="93"/>
        <v>0</v>
      </c>
      <c r="BD37" s="37">
        <f>AN37+AR37+AZ37+BC37</f>
        <v>0</v>
      </c>
      <c r="BE37" s="250"/>
      <c r="BF37" s="250"/>
      <c r="BG37" s="37">
        <f t="shared" si="36"/>
        <v>0</v>
      </c>
      <c r="BH37" s="250"/>
      <c r="BI37" s="250"/>
      <c r="BJ37" s="37">
        <f t="shared" si="37"/>
        <v>0</v>
      </c>
      <c r="BK37" s="250"/>
      <c r="BL37" s="40">
        <f t="shared" si="141"/>
        <v>0</v>
      </c>
      <c r="BM37" s="250"/>
      <c r="BN37" s="37">
        <f t="shared" si="38"/>
        <v>0</v>
      </c>
      <c r="BO37" s="186"/>
      <c r="BP37" s="183">
        <f t="shared" si="94"/>
        <v>0</v>
      </c>
      <c r="BQ37" s="250"/>
      <c r="BR37" s="37">
        <f t="shared" si="120"/>
        <v>0</v>
      </c>
      <c r="BS37" s="250"/>
      <c r="BT37" s="37">
        <f t="shared" si="39"/>
        <v>0</v>
      </c>
      <c r="BU37" s="250"/>
      <c r="BV37" s="42"/>
      <c r="BW37" s="37">
        <f t="shared" si="95"/>
        <v>0</v>
      </c>
      <c r="BX37" s="37">
        <f>IF(BW37&lt;=0,0,(BW37/SQRT(BW37^2+(BV37-BV36)^2)))</f>
        <v>0</v>
      </c>
      <c r="BY37" s="250"/>
      <c r="BZ37" s="43"/>
      <c r="CA37" s="37">
        <f t="shared" si="156"/>
        <v>0</v>
      </c>
      <c r="CB37" s="37">
        <f t="shared" si="121"/>
        <v>0</v>
      </c>
      <c r="CC37" s="250"/>
      <c r="CD37" s="37">
        <f t="shared" si="42"/>
        <v>0</v>
      </c>
      <c r="CE37" s="250"/>
      <c r="CF37" s="37">
        <f t="shared" si="43"/>
        <v>0</v>
      </c>
      <c r="CG37" s="250"/>
      <c r="CH37" s="37">
        <f t="shared" si="122"/>
        <v>0</v>
      </c>
      <c r="CI37" s="250"/>
      <c r="CJ37" s="40"/>
      <c r="CK37" s="37">
        <f t="shared" si="123"/>
        <v>0</v>
      </c>
      <c r="CL37" s="37">
        <f t="shared" si="97"/>
        <v>0</v>
      </c>
      <c r="CM37" s="250"/>
      <c r="CN37" s="37"/>
      <c r="CO37" s="37">
        <f t="shared" si="45"/>
        <v>0</v>
      </c>
      <c r="CP37" s="37">
        <f>IF(CO37&lt;=0,0,(CO37/SQRT(CO37^2+(CN37-CN36)^2)))</f>
        <v>0</v>
      </c>
      <c r="CQ37" s="250"/>
      <c r="CR37" s="39"/>
      <c r="CS37" s="37">
        <f t="shared" si="124"/>
        <v>0</v>
      </c>
      <c r="CT37" s="37">
        <f t="shared" si="143"/>
        <v>0</v>
      </c>
      <c r="CU37" s="250"/>
      <c r="CV37" s="41"/>
      <c r="CW37" s="38">
        <f>IF((CU37-CU36)&lt;=0,0,(CU37-CU36))</f>
        <v>0</v>
      </c>
      <c r="CX37" s="37">
        <f t="shared" si="144"/>
        <v>0</v>
      </c>
      <c r="CY37" s="250"/>
      <c r="CZ37" s="37"/>
      <c r="DA37" s="37">
        <f t="shared" si="162"/>
        <v>0</v>
      </c>
      <c r="DB37" s="37">
        <f>IF(DA37&lt;=0,0,(DA37/SQRT(DA37^2+(CZ37-CZ36)^2)))</f>
        <v>0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101"/>
        <v>0</v>
      </c>
      <c r="DH37" s="37">
        <f t="shared" si="102"/>
        <v>0</v>
      </c>
      <c r="DI37" s="46"/>
      <c r="DJ37" s="46"/>
      <c r="DK37" s="47"/>
      <c r="DL37" s="47"/>
      <c r="DM37" s="37"/>
      <c r="DN37" s="37"/>
      <c r="DO37" s="37"/>
      <c r="DP37" s="37"/>
      <c r="DQ37" s="250"/>
      <c r="DR37" s="49">
        <f t="shared" si="125"/>
        <v>0</v>
      </c>
      <c r="DS37" s="250"/>
      <c r="DT37" s="49">
        <f t="shared" si="126"/>
        <v>0</v>
      </c>
      <c r="DU37" s="250"/>
      <c r="DV37" s="250"/>
      <c r="DW37" s="37">
        <f t="shared" si="146"/>
        <v>0</v>
      </c>
      <c r="DX37" s="250"/>
      <c r="DY37" s="250"/>
      <c r="DZ37" s="37">
        <f t="shared" si="51"/>
        <v>0</v>
      </c>
      <c r="EA37" s="250"/>
      <c r="EB37" s="250"/>
      <c r="EC37" s="37">
        <v>0</v>
      </c>
      <c r="ED37" s="53">
        <f>DW38+DZ37+EC37</f>
        <v>0</v>
      </c>
      <c r="EE37" s="250"/>
      <c r="EF37" s="250"/>
      <c r="EG37" s="37">
        <v>0</v>
      </c>
      <c r="EH37" s="250"/>
      <c r="EI37" s="250"/>
      <c r="EJ37" s="37">
        <f t="shared" si="54"/>
        <v>0</v>
      </c>
      <c r="EK37" s="250"/>
      <c r="EL37" s="250"/>
      <c r="EM37" s="37">
        <f t="shared" si="127"/>
        <v>0</v>
      </c>
      <c r="EN37" s="54">
        <f t="shared" si="128"/>
        <v>0</v>
      </c>
      <c r="EO37" s="250"/>
      <c r="EP37" s="48"/>
      <c r="EQ37" s="37"/>
      <c r="ER37" s="250"/>
      <c r="ES37" s="55"/>
      <c r="ET37" s="49">
        <f t="shared" si="155"/>
        <v>0</v>
      </c>
      <c r="EU37" s="250"/>
      <c r="EV37" s="48"/>
      <c r="EW37" s="49">
        <f t="shared" si="56"/>
        <v>0</v>
      </c>
      <c r="EX37" s="250"/>
      <c r="EY37" s="48"/>
      <c r="EZ37" s="37">
        <f t="shared" si="103"/>
        <v>0</v>
      </c>
      <c r="FA37" s="48">
        <f t="shared" si="129"/>
        <v>0</v>
      </c>
      <c r="FB37" s="250"/>
      <c r="FC37" s="49">
        <f>IF((FB37-FB36)&lt;=0,0,(FB37-FB36))</f>
        <v>0</v>
      </c>
      <c r="FD37" s="48">
        <f t="shared" si="130"/>
        <v>0</v>
      </c>
      <c r="FE37" s="250"/>
      <c r="FF37" s="48"/>
      <c r="FG37" s="37"/>
      <c r="FH37" s="250"/>
      <c r="FI37" s="48"/>
      <c r="FJ37" s="49">
        <f t="shared" si="59"/>
        <v>0</v>
      </c>
      <c r="FK37" s="48"/>
      <c r="FL37" s="58"/>
      <c r="FM37" s="48">
        <f t="shared" si="148"/>
        <v>0</v>
      </c>
      <c r="FN37" s="250"/>
      <c r="FO37" s="48"/>
      <c r="FP37" s="37">
        <f t="shared" si="131"/>
        <v>0</v>
      </c>
      <c r="FQ37" s="250"/>
      <c r="FR37" s="48"/>
      <c r="FS37" s="37">
        <f>IF((FQ37-FQ36)*1000&lt;=0,0,(FQ37-FQ36)*1000)</f>
        <v>0</v>
      </c>
      <c r="FT37" s="48">
        <f t="shared" si="149"/>
        <v>0</v>
      </c>
      <c r="FU37" s="48">
        <f t="shared" si="150"/>
        <v>0</v>
      </c>
      <c r="FV37" s="250"/>
      <c r="FW37" s="44"/>
      <c r="FX37" s="37">
        <f t="shared" si="61"/>
        <v>0</v>
      </c>
      <c r="FY37" s="250"/>
      <c r="FZ37" s="56"/>
      <c r="GA37" s="37">
        <f t="shared" si="62"/>
        <v>0</v>
      </c>
      <c r="GB37" s="250"/>
      <c r="GC37" s="56"/>
      <c r="GD37" s="37">
        <f t="shared" si="63"/>
        <v>0</v>
      </c>
      <c r="GE37" s="250"/>
      <c r="GF37" s="63"/>
      <c r="GG37" s="37">
        <f t="shared" si="64"/>
        <v>0</v>
      </c>
      <c r="GH37" s="250"/>
      <c r="GI37" s="56"/>
      <c r="GJ37" s="38">
        <f t="shared" si="132"/>
        <v>0</v>
      </c>
      <c r="GK37" s="250"/>
      <c r="GL37" s="44"/>
      <c r="GM37" s="38">
        <f t="shared" si="104"/>
        <v>0</v>
      </c>
      <c r="GN37" s="250"/>
      <c r="GO37" s="57"/>
      <c r="GP37" s="38">
        <f t="shared" si="65"/>
        <v>0</v>
      </c>
      <c r="GQ37" s="250"/>
      <c r="GR37" s="38"/>
      <c r="GS37" s="38">
        <f t="shared" si="133"/>
        <v>0</v>
      </c>
      <c r="GT37" s="247"/>
      <c r="GU37" s="144">
        <f>IFERROR(DailyNov!B35-DailyNov!N35-DailyNov!V35-DailyNov!Y35-DailyNov!Z35-DailyNov!AA35-DailyNov!AB35-DailyNov!AC35-DailyNov!AD35-DailyNov!AE35-DailyNov!AK35-DailyNov!AO35-DailyNov!AS35-DailyNov!AY35-DailyNov!BD35+DailyNov!BU35-DailyNov!BG35-DailyNov!BT35-DailyNov!AF35-DailyNov!AG35,"-")</f>
        <v>0</v>
      </c>
      <c r="GV37" s="261"/>
      <c r="GW37" s="60">
        <f t="shared" si="66"/>
        <v>0</v>
      </c>
      <c r="GX37" s="260"/>
      <c r="GY37" s="140"/>
      <c r="GZ37" s="62"/>
      <c r="HA37" s="62"/>
      <c r="HB37" s="62"/>
      <c r="HC37" s="62"/>
      <c r="HD37" s="74"/>
      <c r="HE37" s="24"/>
      <c r="HG37" s="279">
        <v>30</v>
      </c>
      <c r="HH37" s="292"/>
      <c r="HI37" s="292"/>
      <c r="HJ37" s="61">
        <f t="shared" si="67"/>
        <v>0</v>
      </c>
      <c r="HK37" s="260"/>
      <c r="HL37" s="260"/>
      <c r="HM37" s="61">
        <f t="shared" si="68"/>
        <v>0</v>
      </c>
      <c r="HN37" s="260"/>
      <c r="HO37" s="260"/>
      <c r="HP37" s="61">
        <f t="shared" si="106"/>
        <v>0</v>
      </c>
      <c r="HQ37" s="292"/>
      <c r="HR37" s="292"/>
      <c r="HS37" s="61">
        <f t="shared" si="107"/>
        <v>0</v>
      </c>
      <c r="HT37" s="292"/>
      <c r="HU37" s="292"/>
      <c r="HV37" s="61">
        <f>IF((HT37-HT36)&lt;=0,0,(HT37-HT36)*1000)+IL74</f>
        <v>0</v>
      </c>
      <c r="HW37" s="292"/>
      <c r="HX37" s="292"/>
      <c r="HY37" s="61">
        <f t="shared" si="109"/>
        <v>0</v>
      </c>
      <c r="HZ37" s="260"/>
      <c r="IA37" s="260"/>
      <c r="IB37" s="61">
        <f t="shared" si="110"/>
        <v>0</v>
      </c>
      <c r="IC37" s="292"/>
      <c r="ID37" s="292"/>
      <c r="IE37" s="61">
        <f t="shared" si="153"/>
        <v>0</v>
      </c>
      <c r="IF37" s="61"/>
      <c r="IG37" s="61"/>
      <c r="IH37" s="280">
        <f t="shared" si="71"/>
        <v>0</v>
      </c>
      <c r="II37" s="281">
        <f t="shared" si="163"/>
        <v>0</v>
      </c>
      <c r="IJ37" s="380"/>
      <c r="IK37" s="380"/>
      <c r="IL37" s="380">
        <f t="shared" si="73"/>
        <v>0</v>
      </c>
      <c r="IM37" s="380"/>
      <c r="IN37" s="380"/>
      <c r="IO37" s="380">
        <f t="shared" si="74"/>
        <v>0</v>
      </c>
      <c r="IP37" s="380"/>
      <c r="IQ37" s="380"/>
      <c r="IR37" s="380">
        <f t="shared" si="75"/>
        <v>0</v>
      </c>
      <c r="IS37" s="380"/>
      <c r="IT37" s="380"/>
      <c r="IU37" s="380">
        <f t="shared" si="111"/>
        <v>0</v>
      </c>
      <c r="IV37" s="380"/>
      <c r="IW37" s="380"/>
      <c r="IX37" s="380">
        <f t="shared" si="112"/>
        <v>0</v>
      </c>
      <c r="IY37" s="380"/>
      <c r="IZ37" s="380"/>
      <c r="JA37" s="380">
        <f t="shared" si="113"/>
        <v>0</v>
      </c>
      <c r="JB37" s="380"/>
      <c r="JC37" s="380"/>
      <c r="JD37" s="380">
        <f t="shared" si="114"/>
        <v>0</v>
      </c>
      <c r="JE37" s="380"/>
      <c r="JF37" s="380"/>
      <c r="JG37" s="380">
        <f t="shared" si="115"/>
        <v>0</v>
      </c>
      <c r="JH37" s="380"/>
      <c r="JI37" s="380"/>
      <c r="JJ37" s="380">
        <f t="shared" si="81"/>
        <v>0</v>
      </c>
      <c r="JK37" s="380"/>
      <c r="JL37" s="380"/>
      <c r="JM37" s="380">
        <f t="shared" si="82"/>
        <v>0</v>
      </c>
      <c r="JN37" s="380"/>
      <c r="JO37" s="380"/>
      <c r="JP37" s="380">
        <f t="shared" si="83"/>
        <v>0</v>
      </c>
      <c r="JQ37" s="380"/>
      <c r="JR37" s="380"/>
      <c r="JS37" s="380">
        <f t="shared" si="84"/>
        <v>0</v>
      </c>
      <c r="JT37" s="380"/>
      <c r="JU37" s="380"/>
      <c r="JV37" s="380">
        <f t="shared" si="85"/>
        <v>0</v>
      </c>
      <c r="JW37" s="380"/>
      <c r="JX37" s="380"/>
      <c r="JY37" s="380">
        <f t="shared" si="86"/>
        <v>0</v>
      </c>
      <c r="JZ37" s="380"/>
      <c r="KA37" s="380"/>
      <c r="KB37" s="380">
        <f t="shared" si="116"/>
        <v>0</v>
      </c>
      <c r="KC37" s="380"/>
      <c r="KD37" s="380"/>
      <c r="KE37" s="380">
        <f t="shared" si="117"/>
        <v>0</v>
      </c>
      <c r="KG37" s="151">
        <f t="shared" si="89"/>
        <v>0</v>
      </c>
    </row>
    <row r="38" spans="1:293" x14ac:dyDescent="0.25">
      <c r="A38" s="35">
        <v>31</v>
      </c>
      <c r="B38" s="250"/>
      <c r="C38" s="38">
        <f t="shared" si="21"/>
        <v>0</v>
      </c>
      <c r="D38" s="38">
        <f t="shared" si="22"/>
        <v>0</v>
      </c>
      <c r="E38" s="250"/>
      <c r="F38" s="38">
        <f t="shared" si="23"/>
        <v>0</v>
      </c>
      <c r="G38" s="38">
        <f t="shared" si="24"/>
        <v>0</v>
      </c>
      <c r="H38" s="37"/>
      <c r="I38" s="39"/>
      <c r="J38" s="42"/>
      <c r="K38" s="37">
        <v>0</v>
      </c>
      <c r="L38" s="250"/>
      <c r="M38" s="40"/>
      <c r="N38" s="37">
        <f t="shared" si="135"/>
        <v>0</v>
      </c>
      <c r="O38" s="250"/>
      <c r="P38" s="37"/>
      <c r="Q38" s="37">
        <f t="shared" si="158"/>
        <v>0</v>
      </c>
      <c r="R38" s="37">
        <f>IF(Q38&lt;=0,0,(Q38/SQRT(Q38^2+(P38-P37)^2)))</f>
        <v>0</v>
      </c>
      <c r="S38" s="250"/>
      <c r="T38" s="37">
        <f t="shared" si="26"/>
        <v>0</v>
      </c>
      <c r="U38" s="250"/>
      <c r="V38" s="37">
        <v>0</v>
      </c>
      <c r="W38" s="250"/>
      <c r="X38" s="37">
        <f t="shared" si="151"/>
        <v>0</v>
      </c>
      <c r="Y38" s="183"/>
      <c r="Z38" s="183"/>
      <c r="AA38" s="250"/>
      <c r="AB38" s="37">
        <f t="shared" si="28"/>
        <v>0</v>
      </c>
      <c r="AC38" s="250"/>
      <c r="AD38" s="37"/>
      <c r="AE38" s="37">
        <f t="shared" si="160"/>
        <v>0</v>
      </c>
      <c r="AF38" s="37">
        <f>IF(AE38&lt;=0,0,(AE38/SQRT(AE38^2+(AD38-AD37)^2)))</f>
        <v>0</v>
      </c>
      <c r="AG38" s="250"/>
      <c r="AH38" s="37"/>
      <c r="AI38" s="37">
        <f t="shared" si="90"/>
        <v>0</v>
      </c>
      <c r="AJ38" s="37">
        <f t="shared" si="91"/>
        <v>0</v>
      </c>
      <c r="AK38" s="37">
        <f t="shared" si="32"/>
        <v>0</v>
      </c>
      <c r="AL38" s="250"/>
      <c r="AM38" s="42"/>
      <c r="AN38" s="37">
        <f t="shared" si="119"/>
        <v>0</v>
      </c>
      <c r="AO38" s="37">
        <v>1</v>
      </c>
      <c r="AP38" s="250"/>
      <c r="AQ38" s="37"/>
      <c r="AR38" s="37">
        <f t="shared" si="92"/>
        <v>0</v>
      </c>
      <c r="AS38" s="37">
        <v>1</v>
      </c>
      <c r="AT38" s="183"/>
      <c r="AU38" s="183"/>
      <c r="AV38" s="183"/>
      <c r="AW38" s="183"/>
      <c r="AX38" s="250"/>
      <c r="AY38" s="37"/>
      <c r="AZ38" s="37">
        <f t="shared" si="34"/>
        <v>0</v>
      </c>
      <c r="BA38" s="250"/>
      <c r="BB38" s="37"/>
      <c r="BC38" s="37">
        <f t="shared" si="93"/>
        <v>0</v>
      </c>
      <c r="BD38" s="37">
        <f>AN38+AR38+AZ38+BC38</f>
        <v>0</v>
      </c>
      <c r="BE38" s="250"/>
      <c r="BF38" s="250"/>
      <c r="BG38" s="37">
        <f t="shared" si="36"/>
        <v>0</v>
      </c>
      <c r="BH38" s="250"/>
      <c r="BI38" s="250"/>
      <c r="BJ38" s="37">
        <f t="shared" si="37"/>
        <v>0</v>
      </c>
      <c r="BK38" s="250"/>
      <c r="BL38" s="40">
        <f t="shared" si="141"/>
        <v>0</v>
      </c>
      <c r="BM38" s="250"/>
      <c r="BN38" s="37">
        <v>0</v>
      </c>
      <c r="BO38" s="186"/>
      <c r="BP38" s="183">
        <f t="shared" si="94"/>
        <v>0</v>
      </c>
      <c r="BQ38" s="250"/>
      <c r="BR38" s="37">
        <f t="shared" si="120"/>
        <v>0</v>
      </c>
      <c r="BS38" s="250"/>
      <c r="BT38" s="37">
        <f t="shared" si="39"/>
        <v>0</v>
      </c>
      <c r="BU38" s="250"/>
      <c r="BV38" s="42"/>
      <c r="BW38" s="37">
        <f t="shared" si="95"/>
        <v>0</v>
      </c>
      <c r="BX38" s="37">
        <f>IF(BW38&lt;=0,0,(BW38/SQRT(BW38^2+(BV38-BV37)^2)))</f>
        <v>0</v>
      </c>
      <c r="BY38" s="250"/>
      <c r="BZ38" s="43"/>
      <c r="CA38" s="37">
        <f t="shared" si="156"/>
        <v>0</v>
      </c>
      <c r="CB38" s="37">
        <f t="shared" si="121"/>
        <v>0</v>
      </c>
      <c r="CC38" s="250"/>
      <c r="CD38" s="37">
        <f t="shared" si="42"/>
        <v>0</v>
      </c>
      <c r="CE38" s="250"/>
      <c r="CF38" s="37">
        <f t="shared" si="43"/>
        <v>0</v>
      </c>
      <c r="CG38" s="250"/>
      <c r="CH38" s="37">
        <f t="shared" si="122"/>
        <v>0</v>
      </c>
      <c r="CI38" s="250"/>
      <c r="CJ38" s="40"/>
      <c r="CK38" s="37">
        <f t="shared" si="123"/>
        <v>0</v>
      </c>
      <c r="CL38" s="37">
        <f t="shared" si="97"/>
        <v>0</v>
      </c>
      <c r="CM38" s="250"/>
      <c r="CN38" s="37"/>
      <c r="CO38" s="37">
        <f t="shared" si="45"/>
        <v>0</v>
      </c>
      <c r="CP38" s="37">
        <f>IF(CO38&lt;=0,0,(CO38/SQRT(CO38^2+(CN38-CN37)^2)))</f>
        <v>0</v>
      </c>
      <c r="CQ38" s="250"/>
      <c r="CR38" s="39"/>
      <c r="CS38" s="37">
        <f t="shared" si="124"/>
        <v>0</v>
      </c>
      <c r="CT38" s="37">
        <f t="shared" si="143"/>
        <v>0</v>
      </c>
      <c r="CU38" s="250"/>
      <c r="CV38" s="41"/>
      <c r="CW38" s="38">
        <f>IF((CU38-CU37)&lt;=0,0,(CU38-CU37))</f>
        <v>0</v>
      </c>
      <c r="CX38" s="37">
        <f t="shared" si="144"/>
        <v>0</v>
      </c>
      <c r="CY38" s="250"/>
      <c r="CZ38" s="37"/>
      <c r="DA38" s="37">
        <f t="shared" si="162"/>
        <v>0</v>
      </c>
      <c r="DB38" s="37">
        <f>IF(DA38&lt;=0,0,(DA38/SQRT(DA38^2+(CZ38-CZ37)^2)))</f>
        <v>0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101"/>
        <v>0</v>
      </c>
      <c r="DH38" s="37">
        <f t="shared" si="102"/>
        <v>0</v>
      </c>
      <c r="DI38" s="46"/>
      <c r="DJ38" s="46"/>
      <c r="DK38" s="47"/>
      <c r="DL38" s="47"/>
      <c r="DM38" s="37"/>
      <c r="DN38" s="37"/>
      <c r="DO38" s="37"/>
      <c r="DP38" s="37"/>
      <c r="DQ38" s="250"/>
      <c r="DR38" s="49">
        <f t="shared" si="125"/>
        <v>0</v>
      </c>
      <c r="DS38" s="250"/>
      <c r="DT38" s="49">
        <f t="shared" si="126"/>
        <v>0</v>
      </c>
      <c r="DU38" s="250"/>
      <c r="DV38" s="250"/>
      <c r="DW38" s="37">
        <f t="shared" si="146"/>
        <v>0</v>
      </c>
      <c r="DX38" s="250"/>
      <c r="DY38" s="250"/>
      <c r="DZ38" s="37">
        <f t="shared" si="51"/>
        <v>0</v>
      </c>
      <c r="EA38" s="250"/>
      <c r="EB38" s="250"/>
      <c r="EC38" s="37">
        <v>0</v>
      </c>
      <c r="ED38" s="53">
        <f>DW39+DZ38+EC38</f>
        <v>0</v>
      </c>
      <c r="EE38" s="250"/>
      <c r="EF38" s="250"/>
      <c r="EG38" s="37">
        <v>0</v>
      </c>
      <c r="EH38" s="250"/>
      <c r="EI38" s="250"/>
      <c r="EJ38" s="37">
        <f t="shared" si="54"/>
        <v>0</v>
      </c>
      <c r="EK38" s="250"/>
      <c r="EL38" s="250"/>
      <c r="EM38" s="37">
        <f t="shared" si="127"/>
        <v>0</v>
      </c>
      <c r="EN38" s="54">
        <f t="shared" si="128"/>
        <v>0</v>
      </c>
      <c r="EO38" s="250"/>
      <c r="EP38" s="48"/>
      <c r="EQ38" s="37"/>
      <c r="ER38" s="250"/>
      <c r="ES38" s="55"/>
      <c r="ET38" s="49">
        <f t="shared" si="155"/>
        <v>0</v>
      </c>
      <c r="EU38" s="250"/>
      <c r="EV38" s="48"/>
      <c r="EW38" s="49">
        <f t="shared" si="56"/>
        <v>0</v>
      </c>
      <c r="EX38" s="250"/>
      <c r="EY38" s="48"/>
      <c r="EZ38" s="37">
        <f t="shared" si="103"/>
        <v>0</v>
      </c>
      <c r="FA38" s="48">
        <f t="shared" si="129"/>
        <v>0</v>
      </c>
      <c r="FB38" s="250"/>
      <c r="FC38" s="49">
        <f>IF((FB38-FB37)&lt;=0,0,(FB38-FB37))</f>
        <v>0</v>
      </c>
      <c r="FD38" s="48">
        <f t="shared" si="130"/>
        <v>0</v>
      </c>
      <c r="FE38" s="250"/>
      <c r="FF38" s="48"/>
      <c r="FG38" s="37"/>
      <c r="FH38" s="250"/>
      <c r="FI38" s="48"/>
      <c r="FJ38" s="49">
        <f t="shared" si="59"/>
        <v>0</v>
      </c>
      <c r="FK38" s="48"/>
      <c r="FL38" s="58"/>
      <c r="FM38" s="48">
        <f t="shared" si="148"/>
        <v>0</v>
      </c>
      <c r="FN38" s="250"/>
      <c r="FO38" s="48"/>
      <c r="FP38" s="37">
        <f t="shared" si="131"/>
        <v>0</v>
      </c>
      <c r="FQ38" s="250"/>
      <c r="FR38" s="48"/>
      <c r="FS38" s="37">
        <f>IF((FQ38-FQ37)*1000&lt;=0,0,(FQ38-FQ37)*1000)</f>
        <v>0</v>
      </c>
      <c r="FT38" s="48">
        <f t="shared" si="149"/>
        <v>0</v>
      </c>
      <c r="FU38" s="48">
        <f t="shared" si="150"/>
        <v>0</v>
      </c>
      <c r="FV38" s="250"/>
      <c r="FW38" s="44"/>
      <c r="FX38" s="37">
        <f t="shared" si="61"/>
        <v>0</v>
      </c>
      <c r="FY38" s="250"/>
      <c r="FZ38" s="56"/>
      <c r="GA38" s="37">
        <f t="shared" si="62"/>
        <v>0</v>
      </c>
      <c r="GB38" s="250"/>
      <c r="GC38" s="56"/>
      <c r="GD38" s="37">
        <f t="shared" si="63"/>
        <v>0</v>
      </c>
      <c r="GE38" s="250"/>
      <c r="GF38" s="63"/>
      <c r="GG38" s="37">
        <f t="shared" si="64"/>
        <v>0</v>
      </c>
      <c r="GH38" s="250"/>
      <c r="GI38" s="56"/>
      <c r="GJ38" s="38">
        <f t="shared" si="132"/>
        <v>0</v>
      </c>
      <c r="GK38" s="250"/>
      <c r="GL38" s="44"/>
      <c r="GM38" s="38">
        <f t="shared" si="104"/>
        <v>0</v>
      </c>
      <c r="GN38" s="250"/>
      <c r="GO38" s="57"/>
      <c r="GP38" s="38">
        <f t="shared" si="65"/>
        <v>0</v>
      </c>
      <c r="GQ38" s="250"/>
      <c r="GR38" s="38"/>
      <c r="GS38" s="38">
        <f t="shared" si="133"/>
        <v>0</v>
      </c>
      <c r="GT38" s="247"/>
      <c r="GU38" s="144">
        <f>IFERROR(DailyNov!B36-DailyNov!N36-DailyNov!V36-DailyNov!Y36-DailyNov!Z36-DailyNov!AA36-DailyNov!AB36-DailyNov!AC36-DailyNov!AD36-DailyNov!AE36-DailyNov!AK36-DailyNov!AO36-DailyNov!AS36-DailyNov!AY36-DailyNov!BD36+DailyNov!BU36-DailyNov!BG36-DailyNov!BT36-DailyNov!AF36-DailyNov!AG36,"-")</f>
        <v>0</v>
      </c>
      <c r="GV38" s="261"/>
      <c r="GW38" s="60">
        <f t="shared" si="66"/>
        <v>0</v>
      </c>
      <c r="GX38" s="260"/>
      <c r="GY38" s="140"/>
      <c r="GZ38" s="62"/>
      <c r="HA38" s="62"/>
      <c r="HB38" s="62"/>
      <c r="HC38" s="62"/>
      <c r="HD38" s="74"/>
      <c r="HE38" s="24"/>
      <c r="HG38" s="279">
        <v>30</v>
      </c>
      <c r="HH38" s="292"/>
      <c r="HI38" s="292"/>
      <c r="HJ38" s="61">
        <f t="shared" si="67"/>
        <v>0</v>
      </c>
      <c r="HK38" s="260"/>
      <c r="HL38" s="260"/>
      <c r="HM38" s="61">
        <f t="shared" si="68"/>
        <v>0</v>
      </c>
      <c r="HN38" s="260"/>
      <c r="HO38" s="260"/>
      <c r="HP38" s="61">
        <f t="shared" si="106"/>
        <v>0</v>
      </c>
      <c r="HQ38" s="292"/>
      <c r="HR38" s="292"/>
      <c r="HS38" s="61">
        <f t="shared" si="107"/>
        <v>0</v>
      </c>
      <c r="HT38" s="292"/>
      <c r="HU38" s="292"/>
      <c r="HV38" s="61">
        <f>IF((HT38-HT37)&lt;=0,0,(HT38-HT37)*1000)+IL75</f>
        <v>0</v>
      </c>
      <c r="HW38" s="292"/>
      <c r="HX38" s="292"/>
      <c r="HY38" s="61">
        <f t="shared" si="109"/>
        <v>0</v>
      </c>
      <c r="HZ38" s="260"/>
      <c r="IA38" s="260"/>
      <c r="IB38" s="61">
        <f t="shared" si="110"/>
        <v>0</v>
      </c>
      <c r="IC38" s="292"/>
      <c r="ID38" s="292"/>
      <c r="IE38" s="61">
        <f t="shared" si="153"/>
        <v>0</v>
      </c>
      <c r="IF38" s="61"/>
      <c r="IG38" s="61"/>
      <c r="IH38" s="280">
        <f t="shared" si="71"/>
        <v>0</v>
      </c>
      <c r="II38" s="281">
        <f t="shared" si="163"/>
        <v>0</v>
      </c>
      <c r="IJ38" s="380"/>
      <c r="IK38" s="380"/>
      <c r="IL38" s="380">
        <f t="shared" si="73"/>
        <v>0</v>
      </c>
      <c r="IM38" s="380"/>
      <c r="IN38" s="380"/>
      <c r="IO38" s="380">
        <f t="shared" si="74"/>
        <v>0</v>
      </c>
      <c r="IP38" s="380"/>
      <c r="IQ38" s="380"/>
      <c r="IR38" s="380">
        <f t="shared" si="75"/>
        <v>0</v>
      </c>
      <c r="IS38" s="380"/>
      <c r="IT38" s="380"/>
      <c r="IU38" s="380">
        <f t="shared" si="111"/>
        <v>0</v>
      </c>
      <c r="IV38" s="380"/>
      <c r="IW38" s="380"/>
      <c r="IX38" s="380">
        <f t="shared" si="112"/>
        <v>0</v>
      </c>
      <c r="IY38" s="380"/>
      <c r="IZ38" s="380"/>
      <c r="JA38" s="380">
        <f t="shared" si="113"/>
        <v>0</v>
      </c>
      <c r="JB38" s="380"/>
      <c r="JC38" s="380"/>
      <c r="JD38" s="380">
        <f t="shared" si="114"/>
        <v>0</v>
      </c>
      <c r="JE38" s="380"/>
      <c r="JF38" s="380"/>
      <c r="JG38" s="380">
        <f t="shared" si="115"/>
        <v>0</v>
      </c>
      <c r="JH38" s="380"/>
      <c r="JI38" s="380"/>
      <c r="JJ38" s="380">
        <f t="shared" si="81"/>
        <v>0</v>
      </c>
      <c r="JK38" s="380"/>
      <c r="JL38" s="380"/>
      <c r="JM38" s="380">
        <f t="shared" si="82"/>
        <v>0</v>
      </c>
      <c r="JN38" s="380"/>
      <c r="JO38" s="380"/>
      <c r="JP38" s="380">
        <f t="shared" si="83"/>
        <v>0</v>
      </c>
      <c r="JQ38" s="380"/>
      <c r="JR38" s="380"/>
      <c r="JS38" s="380">
        <f t="shared" si="84"/>
        <v>0</v>
      </c>
      <c r="JT38" s="380"/>
      <c r="JU38" s="380"/>
      <c r="JV38" s="380">
        <f t="shared" si="85"/>
        <v>0</v>
      </c>
      <c r="JW38" s="380"/>
      <c r="JX38" s="380"/>
      <c r="JY38" s="380">
        <f t="shared" si="86"/>
        <v>0</v>
      </c>
      <c r="JZ38" s="380"/>
      <c r="KA38" s="380"/>
      <c r="KB38" s="380">
        <f t="shared" si="116"/>
        <v>0</v>
      </c>
      <c r="KC38" s="380"/>
      <c r="KD38" s="380"/>
      <c r="KE38" s="380">
        <f t="shared" si="117"/>
        <v>0</v>
      </c>
      <c r="KG38" s="151">
        <f t="shared" si="89"/>
        <v>0</v>
      </c>
    </row>
    <row r="39" spans="1:293" ht="15.75" thickBot="1" x14ac:dyDescent="0.3">
      <c r="A39" s="35"/>
      <c r="B39" s="250"/>
      <c r="C39" s="38"/>
      <c r="D39" s="38"/>
      <c r="E39" s="250"/>
      <c r="F39" s="38"/>
      <c r="G39" s="38"/>
      <c r="H39" s="37"/>
      <c r="I39" s="39"/>
      <c r="J39" s="42"/>
      <c r="K39" s="37"/>
      <c r="L39" s="250"/>
      <c r="M39" s="40"/>
      <c r="N39" s="37"/>
      <c r="O39" s="250"/>
      <c r="P39" s="37"/>
      <c r="Q39" s="37"/>
      <c r="R39" s="37"/>
      <c r="S39" s="250"/>
      <c r="T39" s="37"/>
      <c r="U39" s="250"/>
      <c r="V39" s="37"/>
      <c r="W39" s="250"/>
      <c r="X39" s="37"/>
      <c r="Y39" s="183"/>
      <c r="Z39" s="183"/>
      <c r="AA39" s="250"/>
      <c r="AB39" s="37"/>
      <c r="AC39" s="250"/>
      <c r="AD39" s="37"/>
      <c r="AE39" s="37"/>
      <c r="AF39" s="37"/>
      <c r="AG39" s="250"/>
      <c r="AH39" s="37"/>
      <c r="AI39" s="37"/>
      <c r="AJ39" s="37"/>
      <c r="AK39" s="37"/>
      <c r="AL39" s="250"/>
      <c r="AM39" s="42"/>
      <c r="AN39" s="37"/>
      <c r="AO39" s="37"/>
      <c r="AP39" s="250"/>
      <c r="AQ39" s="37"/>
      <c r="AR39" s="37"/>
      <c r="AS39" s="37"/>
      <c r="AT39" s="183"/>
      <c r="AU39" s="183"/>
      <c r="AV39" s="183"/>
      <c r="AW39" s="183"/>
      <c r="AX39" s="250"/>
      <c r="AY39" s="37"/>
      <c r="AZ39" s="37"/>
      <c r="BA39" s="250"/>
      <c r="BB39" s="37"/>
      <c r="BC39" s="37"/>
      <c r="BD39" s="37"/>
      <c r="BE39" s="250"/>
      <c r="BF39" s="250"/>
      <c r="BG39" s="37"/>
      <c r="BH39" s="250"/>
      <c r="BI39" s="250"/>
      <c r="BJ39" s="37"/>
      <c r="BK39" s="250"/>
      <c r="BL39" s="40"/>
      <c r="BM39" s="250"/>
      <c r="BN39" s="37"/>
      <c r="BO39" s="186"/>
      <c r="BP39" s="183"/>
      <c r="BQ39" s="250"/>
      <c r="BR39" s="37"/>
      <c r="BS39" s="250"/>
      <c r="BT39" s="37"/>
      <c r="BU39" s="250"/>
      <c r="BV39" s="42"/>
      <c r="BW39" s="37"/>
      <c r="BX39" s="37"/>
      <c r="BY39" s="250"/>
      <c r="BZ39" s="43"/>
      <c r="CA39" s="37"/>
      <c r="CB39" s="37"/>
      <c r="CC39" s="250"/>
      <c r="CD39" s="37"/>
      <c r="CE39" s="250"/>
      <c r="CF39" s="37"/>
      <c r="CG39" s="250"/>
      <c r="CH39" s="37"/>
      <c r="CI39" s="250"/>
      <c r="CJ39" s="40"/>
      <c r="CK39" s="37"/>
      <c r="CL39" s="37"/>
      <c r="CM39" s="250"/>
      <c r="CN39" s="37"/>
      <c r="CO39" s="37"/>
      <c r="CP39" s="37"/>
      <c r="CQ39" s="250"/>
      <c r="CR39" s="39"/>
      <c r="CS39" s="37"/>
      <c r="CT39" s="37"/>
      <c r="CU39" s="250"/>
      <c r="CV39" s="41"/>
      <c r="CW39" s="38"/>
      <c r="CX39" s="37"/>
      <c r="CY39" s="250"/>
      <c r="CZ39" s="37"/>
      <c r="DA39" s="37"/>
      <c r="DB39" s="37"/>
      <c r="DC39" s="37"/>
      <c r="DD39" s="40"/>
      <c r="DE39" s="37"/>
      <c r="DF39" s="37"/>
      <c r="DG39" s="37"/>
      <c r="DH39" s="37"/>
      <c r="DI39" s="46"/>
      <c r="DJ39" s="46"/>
      <c r="DK39" s="47"/>
      <c r="DL39" s="47"/>
      <c r="DM39" s="37"/>
      <c r="DN39" s="37"/>
      <c r="DO39" s="37"/>
      <c r="DP39" s="37"/>
      <c r="DQ39" s="250"/>
      <c r="DR39" s="49"/>
      <c r="DS39" s="250"/>
      <c r="DT39" s="49"/>
      <c r="DU39" s="250"/>
      <c r="DV39" s="250"/>
      <c r="DW39" s="37"/>
      <c r="DX39" s="250"/>
      <c r="DY39" s="250"/>
      <c r="DZ39" s="37"/>
      <c r="EA39" s="250"/>
      <c r="EB39" s="250"/>
      <c r="EC39" s="37">
        <v>0</v>
      </c>
      <c r="ED39" s="53"/>
      <c r="EE39" s="250"/>
      <c r="EF39" s="250"/>
      <c r="EG39" s="37">
        <v>0</v>
      </c>
      <c r="EH39" s="250"/>
      <c r="EI39" s="250"/>
      <c r="EJ39" s="37"/>
      <c r="EK39" s="250"/>
      <c r="EL39" s="250"/>
      <c r="EM39" s="37"/>
      <c r="EN39" s="54"/>
      <c r="EO39" s="250"/>
      <c r="EP39" s="48"/>
      <c r="EQ39" s="37"/>
      <c r="ER39" s="250"/>
      <c r="ES39" s="55"/>
      <c r="ET39" s="49"/>
      <c r="EU39" s="250"/>
      <c r="EV39" s="48"/>
      <c r="EW39" s="49"/>
      <c r="EX39" s="250"/>
      <c r="EY39" s="48"/>
      <c r="EZ39" s="37"/>
      <c r="FA39" s="48"/>
      <c r="FB39" s="250"/>
      <c r="FC39" s="49"/>
      <c r="FD39" s="48"/>
      <c r="FE39" s="250"/>
      <c r="FF39" s="154"/>
      <c r="FG39" s="37"/>
      <c r="FH39" s="250"/>
      <c r="FI39" s="48"/>
      <c r="FJ39" s="49"/>
      <c r="FK39" s="48"/>
      <c r="FL39" s="58"/>
      <c r="FM39" s="48"/>
      <c r="FN39" s="250"/>
      <c r="FO39" s="48"/>
      <c r="FP39" s="37"/>
      <c r="FQ39" s="250"/>
      <c r="FR39" s="48"/>
      <c r="FS39" s="37"/>
      <c r="FT39" s="48"/>
      <c r="FU39" s="48"/>
      <c r="FV39" s="250"/>
      <c r="FW39" s="44"/>
      <c r="FX39" s="37"/>
      <c r="FY39" s="250"/>
      <c r="FZ39" s="56"/>
      <c r="GA39" s="37"/>
      <c r="GB39" s="250"/>
      <c r="GC39" s="56"/>
      <c r="GD39" s="37"/>
      <c r="GE39" s="250"/>
      <c r="GF39" s="63"/>
      <c r="GG39" s="37"/>
      <c r="GH39" s="250"/>
      <c r="GI39" s="56"/>
      <c r="GJ39" s="38"/>
      <c r="GK39" s="250"/>
      <c r="GL39" s="44"/>
      <c r="GM39" s="38"/>
      <c r="GN39" s="250"/>
      <c r="GO39" s="57"/>
      <c r="GP39" s="38"/>
      <c r="GQ39" s="250"/>
      <c r="GR39" s="38"/>
      <c r="GS39" s="38"/>
      <c r="GT39" s="247"/>
      <c r="GU39" s="144">
        <f>IFERROR(DailyNov!B37-DailyNov!N37-DailyNov!V37-DailyNov!Y37-DailyNov!Z37-DailyNov!AA37-DailyNov!AB37-DailyNov!AC37-DailyNov!AD37-DailyNov!AE37-DailyNov!AK37-DailyNov!AO37-DailyNov!AS37-DailyNov!AY37-DailyNov!BD37+DailyNov!BU37-DailyNov!BG37-DailyNov!BT37-DailyNov!AF37-DailyNov!AG37,"-")</f>
        <v>0</v>
      </c>
      <c r="GV39" s="261"/>
      <c r="GW39" s="60"/>
      <c r="GX39" s="260"/>
      <c r="GY39" s="140"/>
      <c r="GZ39" s="74"/>
      <c r="HA39" s="62"/>
      <c r="HB39" s="62"/>
      <c r="HC39" s="74"/>
      <c r="HD39" s="74"/>
      <c r="HE39" s="24"/>
      <c r="HG39" s="279"/>
      <c r="HH39" s="292"/>
      <c r="HI39" s="292"/>
      <c r="HJ39" s="61"/>
      <c r="HK39" s="260"/>
      <c r="HL39" s="260"/>
      <c r="HM39" s="61"/>
      <c r="HN39" s="260"/>
      <c r="HO39" s="260"/>
      <c r="HP39" s="61"/>
      <c r="HQ39" s="292"/>
      <c r="HR39" s="292"/>
      <c r="HS39" s="61"/>
      <c r="HT39" s="292"/>
      <c r="HU39" s="292"/>
      <c r="HV39" s="61"/>
      <c r="HW39" s="292"/>
      <c r="HX39" s="292"/>
      <c r="HY39" s="61"/>
      <c r="HZ39" s="260"/>
      <c r="IA39" s="260"/>
      <c r="IB39" s="61"/>
      <c r="IC39" s="292"/>
      <c r="ID39" s="292"/>
      <c r="IE39" s="61"/>
      <c r="IF39" s="61"/>
      <c r="IG39" s="61"/>
      <c r="IH39" s="280"/>
      <c r="II39" s="281"/>
      <c r="IJ39" s="380"/>
      <c r="IK39" s="380"/>
      <c r="IL39" s="380"/>
      <c r="IM39" s="380"/>
      <c r="IN39" s="380"/>
      <c r="IO39" s="380"/>
      <c r="IP39" s="380"/>
      <c r="IQ39" s="380"/>
      <c r="IR39" s="380"/>
      <c r="IS39" s="380"/>
      <c r="IT39" s="380"/>
      <c r="IU39" s="380"/>
      <c r="IV39" s="380"/>
      <c r="IW39" s="380"/>
      <c r="IX39" s="380"/>
      <c r="IY39" s="380"/>
      <c r="IZ39" s="380"/>
      <c r="JA39" s="380"/>
      <c r="JB39" s="380"/>
      <c r="JC39" s="380"/>
      <c r="JD39" s="380"/>
      <c r="JE39" s="380"/>
      <c r="JF39" s="380"/>
      <c r="JG39" s="380"/>
      <c r="JH39" s="380"/>
      <c r="JI39" s="380"/>
      <c r="JJ39" s="380"/>
      <c r="JK39" s="380"/>
      <c r="JL39" s="380"/>
      <c r="JM39" s="380"/>
      <c r="JN39" s="380"/>
      <c r="JO39" s="380"/>
      <c r="JP39" s="380"/>
      <c r="JQ39" s="380"/>
      <c r="JR39" s="380"/>
      <c r="JS39" s="380"/>
      <c r="JT39" s="380"/>
      <c r="JU39" s="380"/>
      <c r="JV39" s="380"/>
      <c r="JW39" s="380"/>
      <c r="JX39" s="380"/>
      <c r="JY39" s="380"/>
      <c r="JZ39" s="380"/>
      <c r="KA39" s="380"/>
      <c r="KB39" s="380"/>
      <c r="KC39" s="380"/>
      <c r="KD39" s="380"/>
      <c r="KE39" s="380"/>
      <c r="KG39" s="151"/>
    </row>
    <row r="40" spans="1:293" ht="15.75" thickBot="1" x14ac:dyDescent="0.3">
      <c r="A40" s="77" t="s">
        <v>37</v>
      </c>
      <c r="B40" s="78"/>
      <c r="C40" s="78">
        <f>SUM(C9:C39)</f>
        <v>0</v>
      </c>
      <c r="D40" s="78">
        <f>SUM(D9:D39)</f>
        <v>0</v>
      </c>
      <c r="E40" s="78"/>
      <c r="F40" s="78">
        <f>SUM(F9:F39)</f>
        <v>0</v>
      </c>
      <c r="G40" s="78">
        <f>SUM(G9:G39)</f>
        <v>0</v>
      </c>
      <c r="H40" s="78"/>
      <c r="I40" s="78"/>
      <c r="J40" s="78">
        <f>SUM(J9:J39)</f>
        <v>0</v>
      </c>
      <c r="K40" s="79">
        <f>AVERAGE(K9:K39)</f>
        <v>0</v>
      </c>
      <c r="L40" s="79"/>
      <c r="M40" s="79"/>
      <c r="N40" s="78">
        <f>SUM(N9:N39)</f>
        <v>0</v>
      </c>
      <c r="O40" s="79"/>
      <c r="P40" s="79"/>
      <c r="Q40" s="78">
        <f>SUM(Q9:Q39)</f>
        <v>0</v>
      </c>
      <c r="R40" s="79">
        <f>AVERAGE(R9:R39)</f>
        <v>0</v>
      </c>
      <c r="S40" s="79"/>
      <c r="T40" s="78">
        <f>SUM(T9:T39)</f>
        <v>0</v>
      </c>
      <c r="U40" s="79"/>
      <c r="V40" s="79">
        <f>SUM(V9:V39)</f>
        <v>0</v>
      </c>
      <c r="W40" s="79"/>
      <c r="X40" s="78">
        <f>SUM(X9:X39)</f>
        <v>0</v>
      </c>
      <c r="Y40" s="184"/>
      <c r="Z40" s="184"/>
      <c r="AA40" s="78"/>
      <c r="AB40" s="78"/>
      <c r="AC40" s="79"/>
      <c r="AD40" s="79"/>
      <c r="AE40" s="78">
        <f>SUM(AE9:AE39)</f>
        <v>0</v>
      </c>
      <c r="AF40" s="79">
        <f>AVERAGE(AF9:AF39)</f>
        <v>0</v>
      </c>
      <c r="AG40" s="79"/>
      <c r="AH40" s="79"/>
      <c r="AI40" s="78">
        <f>SUM(AI9:AI39)</f>
        <v>0</v>
      </c>
      <c r="AJ40" s="79">
        <f>AVERAGE(AJ9:AJ39)</f>
        <v>0</v>
      </c>
      <c r="AK40" s="78">
        <f>SUM(AK9:AK39)</f>
        <v>0</v>
      </c>
      <c r="AL40" s="79"/>
      <c r="AM40" s="79"/>
      <c r="AN40" s="78">
        <f>SUM(AN9:AN39)</f>
        <v>0</v>
      </c>
      <c r="AO40" s="79">
        <f>AVERAGE(AO9:AO39)</f>
        <v>3.3333333333333333E-2</v>
      </c>
      <c r="AP40" s="79"/>
      <c r="AQ40" s="79"/>
      <c r="AR40" s="78">
        <f>SUM(AR9:AR39)</f>
        <v>0</v>
      </c>
      <c r="AS40" s="79">
        <f>AVERAGE(AS9:AS39)</f>
        <v>3.3333333333333333E-2</v>
      </c>
      <c r="AT40" s="184"/>
      <c r="AU40" s="184"/>
      <c r="AV40" s="184"/>
      <c r="AW40" s="184"/>
      <c r="AX40" s="79"/>
      <c r="AY40" s="79"/>
      <c r="AZ40" s="78">
        <f>SUM(AZ9:AZ39)</f>
        <v>0</v>
      </c>
      <c r="BA40" s="79"/>
      <c r="BB40" s="79"/>
      <c r="BC40" s="78">
        <f>SUM(BC9:BC39)</f>
        <v>0</v>
      </c>
      <c r="BD40" s="78">
        <f>SUM(BD9:BD39)</f>
        <v>0</v>
      </c>
      <c r="BE40" s="80"/>
      <c r="BF40" s="81"/>
      <c r="BG40" s="78">
        <f>SUM(BG9:BG39)</f>
        <v>0</v>
      </c>
      <c r="BH40" s="78"/>
      <c r="BI40" s="78"/>
      <c r="BJ40" s="78"/>
      <c r="BK40" s="80"/>
      <c r="BL40" s="78">
        <f>SUM(BL9:BL39)</f>
        <v>0</v>
      </c>
      <c r="BM40" s="80"/>
      <c r="BN40" s="78">
        <f>SUM(BN9:BN39)</f>
        <v>0</v>
      </c>
      <c r="BO40" s="187"/>
      <c r="BP40" s="188">
        <f>SUM(BP9:BP39)</f>
        <v>0</v>
      </c>
      <c r="BQ40" s="79"/>
      <c r="BR40" s="78">
        <f>SUM(BR9:BR39)</f>
        <v>0</v>
      </c>
      <c r="BS40" s="78"/>
      <c r="BT40" s="78"/>
      <c r="BU40" s="79"/>
      <c r="BV40" s="79"/>
      <c r="BW40" s="78">
        <f>SUM(BW9:BW39)</f>
        <v>0</v>
      </c>
      <c r="BX40" s="79">
        <f>AVERAGE(BX9:BX39)</f>
        <v>0</v>
      </c>
      <c r="BY40" s="79"/>
      <c r="BZ40" s="79"/>
      <c r="CA40" s="78">
        <f>SUM(CA9:CA39)</f>
        <v>0</v>
      </c>
      <c r="CB40" s="78"/>
      <c r="CC40" s="79"/>
      <c r="CD40" s="79"/>
      <c r="CE40" s="79"/>
      <c r="CF40" s="78">
        <f>SUM(CF9:CF39)</f>
        <v>0</v>
      </c>
      <c r="CG40" s="79"/>
      <c r="CH40" s="78">
        <f>SUM(CH9:CH39)</f>
        <v>0</v>
      </c>
      <c r="CI40" s="79"/>
      <c r="CJ40" s="79"/>
      <c r="CK40" s="78">
        <f>SUM(CK9:CK39)</f>
        <v>0</v>
      </c>
      <c r="CL40" s="79">
        <f>AVERAGE(CL9:CL39)</f>
        <v>0</v>
      </c>
      <c r="CM40" s="79"/>
      <c r="CN40" s="79"/>
      <c r="CO40" s="78">
        <f>SUM(CO9:CO39)</f>
        <v>0</v>
      </c>
      <c r="CP40" s="79">
        <f>AVERAGE(CP9:CP39)</f>
        <v>0</v>
      </c>
      <c r="CQ40" s="82"/>
      <c r="CR40" s="83"/>
      <c r="CS40" s="78">
        <f>SUM(CS9:CS39)</f>
        <v>0</v>
      </c>
      <c r="CT40" s="79">
        <f>AVERAGE(CT9:CT39)</f>
        <v>0</v>
      </c>
      <c r="CU40" s="79"/>
      <c r="CV40" s="79"/>
      <c r="CW40" s="78">
        <f>SUM(CW9:CW39)</f>
        <v>0</v>
      </c>
      <c r="CX40" s="79">
        <f>AVERAGE(CX9:CX39)</f>
        <v>0</v>
      </c>
      <c r="CY40" s="79"/>
      <c r="CZ40" s="79"/>
      <c r="DA40" s="78">
        <f>SUM(DA9:DA39)</f>
        <v>0</v>
      </c>
      <c r="DB40" s="79">
        <f>AVERAGE(DB9:DB39)</f>
        <v>0</v>
      </c>
      <c r="DC40" s="79"/>
      <c r="DD40" s="79"/>
      <c r="DE40" s="78">
        <f>SUM(DE9:DE39)</f>
        <v>0</v>
      </c>
      <c r="DF40" s="79">
        <f>AVERAGE(DF9:DF39)</f>
        <v>0</v>
      </c>
      <c r="DG40" s="78">
        <f>SUM(DG9:DG39)</f>
        <v>0</v>
      </c>
      <c r="DH40" s="78">
        <f>SUM(DH9:DH39)</f>
        <v>0</v>
      </c>
      <c r="DI40" s="79"/>
      <c r="DJ40" s="79"/>
      <c r="DK40" s="79"/>
      <c r="DL40" s="79"/>
      <c r="DM40" s="78">
        <f>SUM(DM9:DM39)</f>
        <v>0</v>
      </c>
      <c r="DN40" s="78">
        <f>SUM(DN9:DN39)</f>
        <v>0</v>
      </c>
      <c r="DO40" s="78">
        <f>SUM(DO9:DO39)</f>
        <v>0</v>
      </c>
      <c r="DP40" s="79"/>
      <c r="DQ40" s="84"/>
      <c r="DR40" s="85">
        <f>SUMIF(DR8:DR39,"&gt;0")</f>
        <v>12110</v>
      </c>
      <c r="DS40" s="84"/>
      <c r="DT40" s="85">
        <f>SUMIF(DT8:DT39,"&gt;0")</f>
        <v>22800</v>
      </c>
      <c r="DU40" s="86"/>
      <c r="DV40" s="86"/>
      <c r="DW40" s="87">
        <f>SUMIF(DW9:DW39,"&gt;0")</f>
        <v>0</v>
      </c>
      <c r="DX40" s="86"/>
      <c r="DY40" s="86"/>
      <c r="DZ40" s="87">
        <f>SUMIF(DZ9:DZ39,"&gt;0")</f>
        <v>0</v>
      </c>
      <c r="EA40" s="86"/>
      <c r="EB40" s="86"/>
      <c r="EC40" s="87">
        <f>SUMIF(EC9:EC39,"&gt;0")</f>
        <v>0</v>
      </c>
      <c r="ED40" s="88">
        <f>SUMIF(ED9:ED39,"&gt;0")</f>
        <v>0</v>
      </c>
      <c r="EE40" s="86"/>
      <c r="EF40" s="86"/>
      <c r="EG40" s="87">
        <f>SUMIF(EG9:EG39,"&gt;0")</f>
        <v>0</v>
      </c>
      <c r="EH40" s="86"/>
      <c r="EI40" s="86"/>
      <c r="EJ40" s="87">
        <f>SUMIF(EJ9:EJ39,"&gt;0")</f>
        <v>0</v>
      </c>
      <c r="EK40" s="87"/>
      <c r="EL40" s="87"/>
      <c r="EM40" s="87">
        <f>SUMIF(EM9:EM39,"&gt;0")</f>
        <v>0</v>
      </c>
      <c r="EN40" s="89">
        <f>SUMIF(EN9:EN39,"&gt;0")</f>
        <v>0</v>
      </c>
      <c r="EO40" s="48"/>
      <c r="EP40" s="48"/>
      <c r="EQ40" s="90">
        <f>SUMIF(EQ9:EQ39,"&gt;0")</f>
        <v>0</v>
      </c>
      <c r="ER40" s="90"/>
      <c r="ES40" s="90"/>
      <c r="ET40" s="90">
        <f>SUMIF(ET9:ET39,"&gt;0")</f>
        <v>0</v>
      </c>
      <c r="EU40" s="90"/>
      <c r="EV40" s="90"/>
      <c r="EW40" s="90">
        <f>SUMIF(EW9:EW39,"&gt;0")</f>
        <v>0</v>
      </c>
      <c r="EX40" s="48"/>
      <c r="EY40" s="48"/>
      <c r="EZ40" s="90">
        <f>SUMIF(EZ9:EZ39,"&gt;0")</f>
        <v>0</v>
      </c>
      <c r="FA40" s="90"/>
      <c r="FB40" s="90"/>
      <c r="FC40" s="90"/>
      <c r="FD40" s="90">
        <f>SUMIF(FD9:FD39,"&gt;0")</f>
        <v>0</v>
      </c>
      <c r="FE40" s="48"/>
      <c r="FF40" s="48"/>
      <c r="FG40" s="90">
        <f>SUMIF(FG9:FG39,"&gt;0")</f>
        <v>0</v>
      </c>
      <c r="FH40" s="90"/>
      <c r="FI40" s="90"/>
      <c r="FJ40" s="90">
        <f>SUMIF(FJ9:FJ39,"&gt;0")</f>
        <v>0</v>
      </c>
      <c r="FK40" s="90"/>
      <c r="FL40" s="90">
        <f>SUMIF(FL9:FL39,"&gt;0")</f>
        <v>0</v>
      </c>
      <c r="FM40" s="90">
        <f>SUMIF(FM9:FM39,"&gt;0")</f>
        <v>0</v>
      </c>
      <c r="FN40" s="48"/>
      <c r="FO40" s="48"/>
      <c r="FP40" s="90">
        <f>SUMIF(FP9:FP39,"&gt;0")</f>
        <v>0</v>
      </c>
      <c r="FQ40" s="90"/>
      <c r="FR40" s="90"/>
      <c r="FS40" s="90">
        <f>SUMIF(FS9:FS39,"&gt;0")</f>
        <v>0</v>
      </c>
      <c r="FT40" s="90"/>
      <c r="FU40" s="90">
        <f>SUMIF(FU9:FU39,"&gt;0")</f>
        <v>0</v>
      </c>
      <c r="FV40" s="90"/>
      <c r="FW40" s="90"/>
      <c r="FX40" s="90"/>
      <c r="FY40" s="90"/>
      <c r="FZ40" s="90"/>
      <c r="GA40" s="90"/>
      <c r="GB40" s="90"/>
      <c r="GC40" s="90"/>
      <c r="GD40" s="90"/>
      <c r="GE40" s="90"/>
      <c r="GF40" s="90"/>
      <c r="GG40" s="90"/>
      <c r="GH40" s="90"/>
      <c r="GI40" s="90"/>
      <c r="GJ40" s="90"/>
      <c r="GK40" s="90"/>
      <c r="GL40" s="90"/>
      <c r="GM40" s="90"/>
      <c r="GN40" s="90"/>
      <c r="GO40" s="90"/>
      <c r="GP40" s="90">
        <f>SUM(GP9:GP39)</f>
        <v>0</v>
      </c>
      <c r="GQ40" s="90"/>
      <c r="GR40" s="90"/>
      <c r="GS40" s="90">
        <f>SUM(GS9:GS39)</f>
        <v>0</v>
      </c>
      <c r="GT40" s="247"/>
      <c r="GU40" s="90">
        <f>SUM(GU8:GU39)</f>
        <v>-20000</v>
      </c>
      <c r="GV40" s="90">
        <f>SUM(GV9:GV39)</f>
        <v>0</v>
      </c>
      <c r="GW40" s="380"/>
      <c r="GX40" s="90"/>
      <c r="GY40" s="139"/>
      <c r="GZ40" s="143"/>
      <c r="HB40" s="3"/>
      <c r="HC40" s="3">
        <f>SUM(HC9:HC39)</f>
        <v>0</v>
      </c>
      <c r="HD40" s="74"/>
      <c r="HE40" s="3">
        <f>SUM(HE9:HE39)</f>
        <v>0</v>
      </c>
      <c r="HG40" s="92"/>
      <c r="HH40" s="61"/>
      <c r="HI40" s="61"/>
      <c r="HJ40" s="61">
        <f>SUM(HJ8:HJ39)</f>
        <v>137000</v>
      </c>
      <c r="HK40" s="61"/>
      <c r="HL40" s="61"/>
      <c r="HM40" s="61">
        <f>SUM(HM8:HM39)</f>
        <v>0</v>
      </c>
      <c r="HN40" s="61"/>
      <c r="HO40" s="61"/>
      <c r="HP40" s="61">
        <f>SUM(HP8:HP39)</f>
        <v>0</v>
      </c>
      <c r="HQ40" s="61"/>
      <c r="HR40" s="61"/>
      <c r="HS40" s="61">
        <f>SUM(HS8:HS39)</f>
        <v>0</v>
      </c>
      <c r="HT40" s="61"/>
      <c r="HU40" s="61"/>
      <c r="HV40" s="61">
        <f>SUM(HV8:HV39)</f>
        <v>0</v>
      </c>
      <c r="HW40" s="61"/>
      <c r="HX40" s="61"/>
      <c r="HY40" s="61">
        <f>SUM(HY8:HY39)</f>
        <v>0</v>
      </c>
      <c r="HZ40" s="61"/>
      <c r="IA40" s="61"/>
      <c r="IB40" s="61">
        <f>SUM(IB8:IB39)</f>
        <v>75700</v>
      </c>
      <c r="IC40" s="61"/>
      <c r="ID40" s="61"/>
      <c r="IE40" s="61">
        <f>SUM(IE8:IE39)</f>
        <v>0</v>
      </c>
      <c r="IF40" s="61"/>
      <c r="IG40" s="61"/>
      <c r="IH40" s="61">
        <f>SUM(IH8:IH39)</f>
        <v>22800</v>
      </c>
      <c r="II40" s="281">
        <f>SUM(II9:II39)</f>
        <v>0</v>
      </c>
      <c r="IJ40" s="380"/>
      <c r="IK40" s="380"/>
      <c r="IL40" s="380">
        <f>SUM(IL8:IL39)</f>
        <v>0</v>
      </c>
      <c r="IM40" s="380"/>
      <c r="IN40" s="380"/>
      <c r="IO40" s="380">
        <f>SUM(IO8:IO39)</f>
        <v>0</v>
      </c>
      <c r="IP40" s="380"/>
      <c r="IQ40" s="380"/>
      <c r="IR40" s="380">
        <f>SUM(IR8:IR39)</f>
        <v>0</v>
      </c>
      <c r="IS40" s="380"/>
      <c r="IT40" s="380"/>
      <c r="IU40" s="380">
        <f>SUM(IU8:IU39)</f>
        <v>0</v>
      </c>
      <c r="IV40" s="380"/>
      <c r="IW40" s="380"/>
      <c r="IX40" s="380">
        <f>SUM(IX8:IX39)</f>
        <v>0</v>
      </c>
      <c r="IY40" s="380"/>
      <c r="IZ40" s="380"/>
      <c r="JA40" s="380">
        <f>SUM(JA8:JA39)</f>
        <v>0</v>
      </c>
      <c r="JB40" s="380"/>
      <c r="JC40" s="380"/>
      <c r="JD40" s="380">
        <f>SUM(JD8:JD39)</f>
        <v>0</v>
      </c>
      <c r="JE40" s="380"/>
      <c r="JF40" s="380"/>
      <c r="JG40" s="380">
        <f>SUM(JG8:JG39)</f>
        <v>0</v>
      </c>
      <c r="JH40" s="380"/>
      <c r="JI40" s="380"/>
      <c r="JJ40" s="380">
        <f>SUM(JJ8:JJ39)</f>
        <v>0</v>
      </c>
      <c r="JK40" s="380"/>
      <c r="JL40" s="380"/>
      <c r="JM40" s="380">
        <f>SUM(JM8:JM39)</f>
        <v>0</v>
      </c>
      <c r="JN40" s="380"/>
      <c r="JO40" s="380"/>
      <c r="JP40" s="380">
        <f>SUM(JP8:JP39)</f>
        <v>0</v>
      </c>
      <c r="JQ40" s="380"/>
      <c r="JR40" s="380"/>
      <c r="JS40" s="380">
        <f>SUM(JS8:JS39)</f>
        <v>0</v>
      </c>
      <c r="JT40" s="380"/>
      <c r="JU40" s="380"/>
      <c r="JV40" s="380">
        <f>SUM(JV8:JV39)</f>
        <v>0</v>
      </c>
      <c r="JW40" s="380"/>
      <c r="JX40" s="380"/>
      <c r="JY40" s="380">
        <f>SUM(JY8:JY39)</f>
        <v>0</v>
      </c>
      <c r="JZ40" s="380"/>
      <c r="KA40" s="380"/>
      <c r="KB40" s="380">
        <f>SUM(KB8:KB39)</f>
        <v>0</v>
      </c>
      <c r="KC40" s="380"/>
      <c r="KD40" s="380"/>
      <c r="KE40" s="380">
        <f>SUM(KE8:KE39)</f>
        <v>0</v>
      </c>
      <c r="KG40">
        <f>SUM(KG8:KG39)</f>
        <v>114200</v>
      </c>
    </row>
    <row r="41" spans="1:293" x14ac:dyDescent="0.25">
      <c r="B41" s="91"/>
      <c r="C41" s="91"/>
      <c r="D41" s="94"/>
      <c r="E41" s="91"/>
      <c r="F41" s="91"/>
      <c r="U41" s="91">
        <f>U26-U24</f>
        <v>0</v>
      </c>
      <c r="V41" s="172">
        <f>U41/2</f>
        <v>0</v>
      </c>
      <c r="CC41" t="s">
        <v>185</v>
      </c>
      <c r="CE41" t="s">
        <v>186</v>
      </c>
      <c r="CG41" t="s">
        <v>187</v>
      </c>
      <c r="CI41" s="92"/>
      <c r="CJ41" s="92"/>
      <c r="CK41" s="92"/>
      <c r="CL41" s="92"/>
      <c r="DS41" s="2"/>
      <c r="DT41" s="93"/>
      <c r="EE41">
        <f>4320/2</f>
        <v>2160</v>
      </c>
      <c r="FB41" s="48">
        <v>10692047</v>
      </c>
      <c r="FE41" s="76"/>
      <c r="FG41" s="2"/>
      <c r="FK41" t="s">
        <v>107</v>
      </c>
      <c r="FR41" s="76"/>
      <c r="GJ41" s="151"/>
      <c r="GK41" s="151"/>
      <c r="GM41" s="91"/>
      <c r="GT41" s="249"/>
      <c r="HC41" s="151"/>
      <c r="HD41" s="74"/>
    </row>
    <row r="42" spans="1:293" x14ac:dyDescent="0.25">
      <c r="B42" s="94"/>
      <c r="C42" s="91"/>
      <c r="D42" s="94"/>
      <c r="E42" s="94"/>
      <c r="F42" s="94"/>
      <c r="G42" s="94"/>
      <c r="H42" s="91"/>
      <c r="I42" s="91"/>
      <c r="J42" s="91"/>
      <c r="L42" s="149"/>
      <c r="M42" s="24"/>
      <c r="N42" s="24"/>
      <c r="O42" s="24"/>
      <c r="P42" s="91"/>
      <c r="Q42" s="91"/>
      <c r="R42" s="91"/>
      <c r="S42" s="91"/>
      <c r="X42" s="91"/>
      <c r="Y42" s="91"/>
      <c r="AC42" s="91"/>
      <c r="AD42" s="3"/>
      <c r="AG42" s="91"/>
      <c r="AH42" s="91"/>
      <c r="AM42" s="151"/>
      <c r="AP42" s="91"/>
      <c r="AX42" s="91"/>
      <c r="BA42" s="91"/>
      <c r="BB42" s="91"/>
      <c r="BD42" s="91"/>
      <c r="BK42" s="174"/>
      <c r="BM42" s="174"/>
      <c r="BQ42" s="174"/>
      <c r="BU42" s="419" t="s">
        <v>208</v>
      </c>
      <c r="BV42" s="419"/>
      <c r="BW42" s="419"/>
      <c r="BY42" s="406" t="s">
        <v>205</v>
      </c>
      <c r="BZ42" s="406"/>
      <c r="CA42" s="406"/>
      <c r="CC42" s="91"/>
      <c r="CE42" s="95"/>
      <c r="CF42" s="95"/>
      <c r="CG42" s="95"/>
      <c r="CH42" s="96"/>
      <c r="CI42" s="92"/>
      <c r="CJ42" s="92"/>
      <c r="CK42" s="92"/>
      <c r="CL42" s="92"/>
      <c r="CZ42" s="91"/>
      <c r="DB42" s="91"/>
      <c r="DS42" s="24"/>
      <c r="DT42" s="151"/>
      <c r="DU42" s="406" t="s">
        <v>205</v>
      </c>
      <c r="DV42" s="406"/>
      <c r="DW42" s="406"/>
      <c r="DX42" s="406" t="s">
        <v>203</v>
      </c>
      <c r="DY42" s="406"/>
      <c r="DZ42" s="406"/>
      <c r="EA42" s="406" t="s">
        <v>204</v>
      </c>
      <c r="EB42" s="406"/>
      <c r="EC42" s="406"/>
      <c r="EE42" t="s">
        <v>108</v>
      </c>
      <c r="EF42" s="3"/>
      <c r="EJ42" s="2"/>
      <c r="EK42" s="174"/>
      <c r="EL42" s="174"/>
      <c r="EN42" s="2"/>
      <c r="EO42" s="406" t="s">
        <v>155</v>
      </c>
      <c r="EP42" s="406"/>
      <c r="EQ42" s="406"/>
      <c r="ER42" s="406" t="s">
        <v>135</v>
      </c>
      <c r="ES42" s="406"/>
      <c r="ET42" s="406"/>
      <c r="EU42" s="406" t="s">
        <v>155</v>
      </c>
      <c r="EV42" s="406"/>
      <c r="EW42" s="406"/>
      <c r="EX42" s="406"/>
      <c r="EY42" s="406"/>
      <c r="EZ42" s="406"/>
      <c r="FE42" s="407" t="s">
        <v>155</v>
      </c>
      <c r="FF42" s="407"/>
      <c r="FG42" s="407"/>
      <c r="FH42" s="406" t="s">
        <v>135</v>
      </c>
      <c r="FI42" s="406"/>
      <c r="FJ42" s="406"/>
      <c r="FO42" s="407" t="s">
        <v>155</v>
      </c>
      <c r="FP42" s="407"/>
      <c r="FQ42" s="407"/>
      <c r="FS42" s="273" t="s">
        <v>427</v>
      </c>
      <c r="FX42" s="91">
        <f>SUM(FX9:FX39)</f>
        <v>0</v>
      </c>
      <c r="GA42" s="91">
        <f>SUM(GA9:GA39)</f>
        <v>0</v>
      </c>
      <c r="GG42" s="91">
        <f>SUM(GG9:GG39)</f>
        <v>0</v>
      </c>
      <c r="GJ42" s="151"/>
      <c r="GK42" s="151"/>
      <c r="GM42" s="91"/>
      <c r="GN42" s="91"/>
      <c r="GS42" s="3"/>
      <c r="HD42" s="74"/>
      <c r="HH42" s="380" t="s">
        <v>284</v>
      </c>
      <c r="HI42" s="380" t="s">
        <v>289</v>
      </c>
      <c r="HJ42" s="380" t="s">
        <v>288</v>
      </c>
      <c r="HX42" s="151"/>
    </row>
    <row r="43" spans="1:293" ht="33.75" x14ac:dyDescent="0.5">
      <c r="B43" s="94"/>
      <c r="C43" s="94"/>
      <c r="D43" s="94"/>
      <c r="F43" s="94"/>
      <c r="G43" s="94"/>
      <c r="L43" s="24"/>
      <c r="N43" s="24"/>
      <c r="O43" s="151"/>
      <c r="R43" s="91"/>
      <c r="X43" s="2"/>
      <c r="AG43" s="91"/>
      <c r="AH43" s="91"/>
      <c r="AL43" s="97"/>
      <c r="AM43" s="151"/>
      <c r="BV43" s="151"/>
      <c r="BW43" s="91"/>
      <c r="BY43" s="91"/>
      <c r="CC43" s="91"/>
      <c r="CD43" s="91">
        <f t="shared" ref="CD43:CD47" si="164">BW9</f>
        <v>0</v>
      </c>
      <c r="CE43" s="96">
        <f t="shared" ref="CE43:CE46" si="165">CD43-CF44</f>
        <v>0</v>
      </c>
      <c r="CF43" s="98">
        <f t="shared" ref="CF43:CF47" si="166">CD43-CE43</f>
        <v>0</v>
      </c>
      <c r="CG43" s="96"/>
      <c r="CH43" s="96"/>
      <c r="CI43" s="180"/>
      <c r="CJ43" s="92"/>
      <c r="CK43" s="92"/>
      <c r="CL43" s="92"/>
      <c r="CM43" s="180"/>
      <c r="CQ43" s="180"/>
      <c r="CR43" s="161"/>
      <c r="CU43" s="180"/>
      <c r="CV43" s="91"/>
      <c r="CY43" s="180"/>
      <c r="DQ43" s="414" t="s">
        <v>224</v>
      </c>
      <c r="DR43" s="414"/>
      <c r="DS43" s="414"/>
      <c r="DT43" s="414"/>
      <c r="EE43" t="s">
        <v>109</v>
      </c>
      <c r="EJ43" s="3"/>
      <c r="EK43" s="174"/>
      <c r="EL43" s="174"/>
      <c r="EN43" s="2"/>
      <c r="EO43" s="151"/>
      <c r="FF43" s="416" t="s">
        <v>243</v>
      </c>
      <c r="FG43" s="416"/>
      <c r="FH43" s="416" t="s">
        <v>246</v>
      </c>
      <c r="FI43" s="416"/>
      <c r="FJ43" s="415" t="s">
        <v>247</v>
      </c>
      <c r="FK43" s="415"/>
      <c r="FL43" s="415" t="s">
        <v>245</v>
      </c>
      <c r="FM43" s="415"/>
      <c r="FN43" s="416" t="s">
        <v>37</v>
      </c>
      <c r="FO43" s="418" t="s">
        <v>310</v>
      </c>
      <c r="FP43" s="406"/>
      <c r="FQ43" s="500"/>
      <c r="FR43" s="402" t="s">
        <v>1</v>
      </c>
      <c r="FS43" s="530" t="s">
        <v>306</v>
      </c>
      <c r="FT43" s="530"/>
      <c r="FU43" s="530"/>
      <c r="FV43" s="380" t="s">
        <v>307</v>
      </c>
      <c r="FW43" s="380"/>
      <c r="GJ43" s="151"/>
      <c r="GK43" s="151"/>
      <c r="GO43" s="91"/>
      <c r="HD43" s="74"/>
      <c r="HH43" s="380" t="s">
        <v>270</v>
      </c>
      <c r="HI43" s="380">
        <f>HJ40</f>
        <v>137000</v>
      </c>
      <c r="HJ43" s="380"/>
      <c r="HT43" s="151"/>
      <c r="HX43" s="151"/>
      <c r="IE43" s="274" t="s">
        <v>424</v>
      </c>
      <c r="IH43" s="524" t="s">
        <v>401</v>
      </c>
      <c r="II43" s="525"/>
      <c r="IJ43" s="525"/>
      <c r="IK43" s="525"/>
      <c r="IL43" s="526"/>
      <c r="IO43" s="542" t="s">
        <v>403</v>
      </c>
      <c r="IP43" s="542"/>
      <c r="IQ43" s="542"/>
      <c r="IR43" s="542"/>
      <c r="IS43" s="542"/>
      <c r="IT43" s="542"/>
      <c r="JN43" t="s">
        <v>296</v>
      </c>
    </row>
    <row r="44" spans="1:293" x14ac:dyDescent="0.25">
      <c r="B44" s="380" t="s">
        <v>170</v>
      </c>
      <c r="C44" s="380"/>
      <c r="D44" s="380" t="s">
        <v>171</v>
      </c>
      <c r="E44" s="380" t="s">
        <v>170</v>
      </c>
      <c r="F44" s="380"/>
      <c r="G44" s="380" t="s">
        <v>172</v>
      </c>
      <c r="H44" s="380" t="s">
        <v>168</v>
      </c>
      <c r="I44" s="380"/>
      <c r="J44" s="380"/>
      <c r="M44" s="151"/>
      <c r="N44" s="24"/>
      <c r="AG44" s="91"/>
      <c r="AH44" s="91"/>
      <c r="AL44" s="99"/>
      <c r="AM44" s="151"/>
      <c r="AN44" s="3"/>
      <c r="BH44" s="96"/>
      <c r="BI44" s="96"/>
      <c r="BJ44" s="96"/>
      <c r="BW44" s="91"/>
      <c r="BY44" s="91"/>
      <c r="CC44" s="91"/>
      <c r="CD44" s="91">
        <f t="shared" si="164"/>
        <v>0</v>
      </c>
      <c r="CE44" s="96">
        <f t="shared" si="165"/>
        <v>0</v>
      </c>
      <c r="CF44" s="98">
        <f t="shared" si="166"/>
        <v>0</v>
      </c>
      <c r="CG44" s="96">
        <v>9.1999999999752617</v>
      </c>
      <c r="CH44" s="96"/>
      <c r="CI44" s="92"/>
      <c r="CJ44" s="92"/>
      <c r="CK44" s="92"/>
      <c r="CL44" s="92"/>
      <c r="CQ44" s="161"/>
      <c r="CR44" s="161"/>
      <c r="CU44" s="180"/>
      <c r="CV44" s="91"/>
      <c r="DQ44" s="408" t="s">
        <v>225</v>
      </c>
      <c r="DR44" s="409"/>
      <c r="DS44" s="408" t="s">
        <v>226</v>
      </c>
      <c r="DT44" s="409"/>
      <c r="EE44" t="s">
        <v>110</v>
      </c>
      <c r="EJ44" s="2"/>
      <c r="EK44" s="174"/>
      <c r="EL44" s="174"/>
      <c r="EN44" s="3"/>
      <c r="EO44" s="151"/>
      <c r="EZ44" s="416" t="s">
        <v>241</v>
      </c>
      <c r="FA44" s="416" t="s">
        <v>242</v>
      </c>
      <c r="FB44" s="416" t="s">
        <v>37</v>
      </c>
      <c r="FD44" s="3"/>
      <c r="FF44" s="416"/>
      <c r="FG44" s="416"/>
      <c r="FH44" s="416"/>
      <c r="FI44" s="416"/>
      <c r="FJ44" s="415"/>
      <c r="FK44" s="415"/>
      <c r="FL44" s="415"/>
      <c r="FM44" s="415"/>
      <c r="FN44" s="416"/>
      <c r="FO44" s="418"/>
      <c r="FP44" s="406"/>
      <c r="FQ44" s="500"/>
      <c r="FR44" s="402"/>
      <c r="FS44" s="179" t="s">
        <v>82</v>
      </c>
      <c r="FT44" s="380" t="s">
        <v>83</v>
      </c>
      <c r="FU44" s="179" t="s">
        <v>257</v>
      </c>
      <c r="FV44" s="380" t="s">
        <v>308</v>
      </c>
      <c r="FW44" s="380" t="s">
        <v>309</v>
      </c>
      <c r="HD44" s="74"/>
      <c r="HH44" s="380" t="s">
        <v>271</v>
      </c>
      <c r="HI44" s="380">
        <f>HM40</f>
        <v>0</v>
      </c>
      <c r="HJ44" s="380"/>
      <c r="HT44" s="151"/>
      <c r="HV44" s="151"/>
      <c r="HW44" s="151"/>
      <c r="HX44" s="151"/>
      <c r="IH44" s="380"/>
      <c r="II44" s="380" t="s">
        <v>291</v>
      </c>
      <c r="IJ44" s="380"/>
      <c r="IK44" s="380"/>
      <c r="IL44" s="380"/>
      <c r="IO44" s="542"/>
      <c r="IP44" s="542"/>
      <c r="IQ44" s="542"/>
      <c r="IR44" s="542"/>
      <c r="IS44" s="542"/>
      <c r="IT44" s="542"/>
      <c r="JN44">
        <f t="shared" ref="JN44:JN64" si="167">HY16-JP16</f>
        <v>0</v>
      </c>
    </row>
    <row r="45" spans="1:293" x14ac:dyDescent="0.25">
      <c r="B45" s="380" t="s">
        <v>115</v>
      </c>
      <c r="C45" s="380" t="s">
        <v>116</v>
      </c>
      <c r="D45" s="380"/>
      <c r="E45" s="380" t="s">
        <v>115</v>
      </c>
      <c r="F45" s="380" t="s">
        <v>116</v>
      </c>
      <c r="G45" s="380"/>
      <c r="H45" s="380" t="s">
        <v>115</v>
      </c>
      <c r="I45" s="380" t="s">
        <v>116</v>
      </c>
      <c r="J45" s="380"/>
      <c r="AM45" s="151"/>
      <c r="BH45" s="96"/>
      <c r="BI45" s="96"/>
      <c r="BJ45" s="96"/>
      <c r="BW45" s="91"/>
      <c r="BY45" s="91"/>
      <c r="CC45" s="91"/>
      <c r="CD45" s="91">
        <f t="shared" si="164"/>
        <v>0</v>
      </c>
      <c r="CE45" s="96">
        <f t="shared" si="165"/>
        <v>0</v>
      </c>
      <c r="CF45" s="98">
        <f t="shared" si="166"/>
        <v>0</v>
      </c>
      <c r="CG45" s="96">
        <v>4450.1999999999753</v>
      </c>
      <c r="CH45" s="96">
        <f t="shared" ref="CH45:CH47" si="168">CG45-CD11-CH11</f>
        <v>4450.1999999999753</v>
      </c>
      <c r="CI45" s="92"/>
      <c r="CJ45" s="92"/>
      <c r="CK45" s="92"/>
      <c r="CL45" s="92"/>
      <c r="CQ45" s="161"/>
      <c r="CR45" s="161"/>
      <c r="CV45" s="91"/>
      <c r="DQ45" s="410"/>
      <c r="DR45" s="411"/>
      <c r="DS45" s="410"/>
      <c r="DT45" s="411"/>
      <c r="EE45" t="s">
        <v>111</v>
      </c>
      <c r="EJ45" s="2"/>
      <c r="EV45" t="s">
        <v>235</v>
      </c>
      <c r="EZ45" s="416"/>
      <c r="FA45" s="416"/>
      <c r="FB45" s="416"/>
      <c r="FC45" s="21"/>
      <c r="FD45" s="380" t="s">
        <v>244</v>
      </c>
      <c r="FE45" s="10"/>
      <c r="FF45" s="380" t="s">
        <v>15</v>
      </c>
      <c r="FG45" s="55" t="s">
        <v>16</v>
      </c>
      <c r="FH45" s="380" t="s">
        <v>132</v>
      </c>
      <c r="FI45" s="380" t="s">
        <v>133</v>
      </c>
      <c r="FJ45" s="380" t="s">
        <v>132</v>
      </c>
      <c r="FK45" s="380" t="s">
        <v>133</v>
      </c>
      <c r="FL45" s="380" t="s">
        <v>132</v>
      </c>
      <c r="FM45" s="380" t="s">
        <v>133</v>
      </c>
      <c r="FN45" s="416"/>
      <c r="FO45" s="418"/>
      <c r="FP45" s="406"/>
      <c r="FQ45" s="500"/>
      <c r="FR45" s="380">
        <v>31</v>
      </c>
      <c r="FS45" s="385">
        <v>981.95</v>
      </c>
      <c r="FT45" s="380"/>
      <c r="FU45" s="380"/>
      <c r="FV45" s="380"/>
      <c r="FW45" s="380"/>
      <c r="HD45" s="74"/>
      <c r="HH45" s="380" t="s">
        <v>272</v>
      </c>
      <c r="HI45" s="380">
        <f>HS40</f>
        <v>0</v>
      </c>
      <c r="HJ45" s="380"/>
      <c r="HT45" s="151"/>
      <c r="HV45" s="151"/>
      <c r="HW45" s="151"/>
      <c r="HX45" s="151"/>
      <c r="IH45" s="380"/>
      <c r="II45" s="380"/>
      <c r="IJ45" s="380" t="s">
        <v>292</v>
      </c>
      <c r="IK45" s="380"/>
      <c r="IL45" s="380" t="s">
        <v>292</v>
      </c>
      <c r="IO45" s="542"/>
      <c r="IP45" s="542"/>
      <c r="IQ45" s="542"/>
      <c r="IR45" s="542"/>
      <c r="IS45" s="542"/>
      <c r="IT45" s="542"/>
      <c r="JN45">
        <f t="shared" si="167"/>
        <v>0</v>
      </c>
    </row>
    <row r="46" spans="1:293" x14ac:dyDescent="0.25">
      <c r="A46" s="35">
        <v>31</v>
      </c>
      <c r="B46" s="138">
        <v>0.37280000000000002</v>
      </c>
      <c r="C46" s="65"/>
      <c r="D46" s="55"/>
      <c r="E46" s="251">
        <v>38438</v>
      </c>
      <c r="F46" s="380"/>
      <c r="G46" s="35"/>
      <c r="H46" s="138"/>
      <c r="I46" s="65"/>
      <c r="J46" s="55"/>
      <c r="L46" s="97"/>
      <c r="M46" s="24"/>
      <c r="N46" s="24"/>
      <c r="BH46" s="96"/>
      <c r="BI46" s="96"/>
      <c r="BJ46" s="96"/>
      <c r="CC46" s="91"/>
      <c r="CD46" s="91">
        <f t="shared" si="164"/>
        <v>0</v>
      </c>
      <c r="CE46" s="96">
        <f t="shared" si="165"/>
        <v>0</v>
      </c>
      <c r="CF46" s="98">
        <f t="shared" si="166"/>
        <v>0</v>
      </c>
      <c r="CG46" s="96">
        <v>4316.1999999999753</v>
      </c>
      <c r="CH46" s="96">
        <f t="shared" si="168"/>
        <v>4316.1999999999753</v>
      </c>
      <c r="CI46" s="92"/>
      <c r="CJ46" s="92"/>
      <c r="CK46" s="92"/>
      <c r="CL46" s="92"/>
      <c r="DQ46" s="412"/>
      <c r="DR46" s="413"/>
      <c r="DS46" s="412"/>
      <c r="DT46" s="413"/>
      <c r="EE46" t="s">
        <v>114</v>
      </c>
      <c r="EV46" t="s">
        <v>236</v>
      </c>
      <c r="EW46" s="406" t="s">
        <v>238</v>
      </c>
      <c r="EX46" s="406"/>
      <c r="EZ46" s="203">
        <f>EZ8</f>
        <v>11000</v>
      </c>
      <c r="FA46" s="205">
        <f>FP8</f>
        <v>9000</v>
      </c>
      <c r="FB46" s="201">
        <f>EZ46+FA46</f>
        <v>20000</v>
      </c>
      <c r="FC46" s="380">
        <f>85*0.6355*24</f>
        <v>1296.42</v>
      </c>
      <c r="FD46" s="167">
        <f>FB46-$FC$46</f>
        <v>18703.580000000002</v>
      </c>
      <c r="FE46" s="380"/>
      <c r="FF46" s="199">
        <v>1</v>
      </c>
      <c r="FG46" s="200">
        <f>+FF46-100%</f>
        <v>0</v>
      </c>
      <c r="FH46" s="380">
        <f>FF46*$FC$46</f>
        <v>1296.42</v>
      </c>
      <c r="FI46" s="179">
        <f>FG46*$FC$46</f>
        <v>0</v>
      </c>
      <c r="FJ46" s="179">
        <f>FF46*FD46</f>
        <v>18703.580000000002</v>
      </c>
      <c r="FK46" s="179">
        <f>FG46*FD46</f>
        <v>0</v>
      </c>
      <c r="FL46" s="204">
        <f>FH46+FJ46</f>
        <v>20000</v>
      </c>
      <c r="FM46" s="206">
        <f>FI46+FK46</f>
        <v>0</v>
      </c>
      <c r="FN46" s="202">
        <f>FL46+FM46</f>
        <v>20000</v>
      </c>
      <c r="FQ46" s="217"/>
      <c r="FR46" s="380">
        <v>1</v>
      </c>
      <c r="FS46" s="251">
        <v>984.46</v>
      </c>
      <c r="FT46" s="380"/>
      <c r="FU46" s="380">
        <f>(FS46-FS45)*1000</f>
        <v>2509.9999999999909</v>
      </c>
      <c r="FV46" s="380">
        <f t="shared" ref="FV46:FV77" si="169">FU46/2</f>
        <v>1254.9999999999955</v>
      </c>
      <c r="FW46" s="380">
        <f t="shared" ref="FW46:FW77" si="170">FU46/2</f>
        <v>1254.9999999999955</v>
      </c>
      <c r="HD46" s="74"/>
      <c r="HH46" s="380" t="s">
        <v>273</v>
      </c>
      <c r="HI46" s="380">
        <f>HV40</f>
        <v>0</v>
      </c>
      <c r="HJ46" s="179"/>
      <c r="HR46" s="151"/>
      <c r="HS46" s="151"/>
      <c r="HT46" s="151"/>
      <c r="HV46" s="151"/>
      <c r="HW46" s="151"/>
      <c r="IG46" s="151"/>
      <c r="IH46" s="380">
        <v>1</v>
      </c>
      <c r="II46" s="144">
        <f>(DailyNov!BX8+DailyNov!BY8-DailyNov!BZ8-DailyNov!CA8-DailyNov!CB8-DailyNov!CC8-DailyNov!CD8-DailyNov!CF8-DailyNov!CE8)</f>
        <v>0</v>
      </c>
      <c r="IJ46" s="251"/>
      <c r="IK46" s="380">
        <f>IJ46/4</f>
        <v>0</v>
      </c>
      <c r="IL46" s="251"/>
      <c r="IO46" s="542"/>
      <c r="IP46" s="542"/>
      <c r="IQ46" s="542"/>
      <c r="IR46" s="542"/>
      <c r="IS46" s="542"/>
      <c r="IT46" s="542"/>
      <c r="JN46">
        <f t="shared" si="167"/>
        <v>0</v>
      </c>
    </row>
    <row r="47" spans="1:293" ht="15" customHeight="1" x14ac:dyDescent="0.25">
      <c r="A47" s="35">
        <v>1</v>
      </c>
      <c r="B47" s="138">
        <v>0.37280000000000002</v>
      </c>
      <c r="C47" s="65"/>
      <c r="D47" s="37">
        <f>IF((B47-B46)&lt;=0,0,(B47-B46))*1000000</f>
        <v>0</v>
      </c>
      <c r="E47" s="251">
        <v>38521</v>
      </c>
      <c r="F47" s="380"/>
      <c r="G47" s="37">
        <f t="shared" ref="G47:G77" si="171">IF((E47-E46)&lt;=0,0,(E47-E46))*1000</f>
        <v>83000</v>
      </c>
      <c r="H47" s="138"/>
      <c r="I47" s="65"/>
      <c r="J47" s="37">
        <f t="shared" ref="J47:J77" si="172">IF((H47-H46)&lt;=0,0,(H47-H46))*1000</f>
        <v>0</v>
      </c>
      <c r="M47" s="24"/>
      <c r="N47" s="24"/>
      <c r="BH47" s="96"/>
      <c r="BI47" s="96"/>
      <c r="BJ47" s="96"/>
      <c r="CC47" s="91"/>
      <c r="CD47" s="91">
        <f t="shared" si="164"/>
        <v>0</v>
      </c>
      <c r="CE47" s="96">
        <f>CD47-CF48</f>
        <v>0</v>
      </c>
      <c r="CF47" s="98">
        <f t="shared" si="166"/>
        <v>0</v>
      </c>
      <c r="CG47" s="96">
        <v>3692.1999999999753</v>
      </c>
      <c r="CH47" s="96">
        <f t="shared" si="168"/>
        <v>3692.1999999999753</v>
      </c>
      <c r="CI47" s="92"/>
      <c r="CJ47" s="92"/>
      <c r="CK47" s="92"/>
      <c r="CL47" s="92"/>
      <c r="DP47">
        <v>31</v>
      </c>
      <c r="DQ47" s="50">
        <v>8.2584</v>
      </c>
      <c r="DR47" s="49">
        <f t="shared" ref="DR47:DR79" si="173">IF((DQ47-DQ46)&lt;=0,0,(DQ47-DQ46))*10000</f>
        <v>82584</v>
      </c>
      <c r="DS47" s="50">
        <v>51.348999999999997</v>
      </c>
      <c r="DT47" s="49">
        <f t="shared" ref="DT47:DT57" si="174">IF((DS47-DS46)&lt;=0,0,(DS47-DS46))*1000</f>
        <v>51349</v>
      </c>
      <c r="EE47" t="s">
        <v>117</v>
      </c>
      <c r="EV47" t="s">
        <v>237</v>
      </c>
      <c r="EW47" s="368"/>
      <c r="EX47" s="368"/>
      <c r="EZ47" s="203">
        <f t="shared" ref="EZ47:EZ76" si="175">EZ10</f>
        <v>0</v>
      </c>
      <c r="FA47" s="205">
        <f t="shared" ref="FA47:FA77" si="176">FP10</f>
        <v>0</v>
      </c>
      <c r="FB47" s="201">
        <f t="shared" ref="FB47:FB77" si="177">EZ47+FA47</f>
        <v>0</v>
      </c>
      <c r="FC47" s="380">
        <f t="shared" ref="FC47:FC76" si="178">85*0.6355*24</f>
        <v>1296.42</v>
      </c>
      <c r="FD47" s="167">
        <f t="shared" ref="FD47:FD77" si="179">FB47-$FC$46</f>
        <v>-1296.42</v>
      </c>
      <c r="FE47" s="380"/>
      <c r="FF47" s="199">
        <v>1</v>
      </c>
      <c r="FG47" s="200">
        <f t="shared" ref="FG47:FG54" si="180">+FF47-100%</f>
        <v>0</v>
      </c>
      <c r="FH47" s="380">
        <f t="shared" ref="FH47:FI76" si="181">FF47*$FC$46</f>
        <v>1296.42</v>
      </c>
      <c r="FI47" s="179">
        <f t="shared" si="181"/>
        <v>0</v>
      </c>
      <c r="FJ47" s="179">
        <f t="shared" ref="FJ47:FJ77" si="182">FF47*FD47</f>
        <v>-1296.42</v>
      </c>
      <c r="FK47" s="179">
        <f t="shared" ref="FK47:FK77" si="183">FG47*FD47</f>
        <v>0</v>
      </c>
      <c r="FL47" s="204">
        <f t="shared" ref="FL47:FM76" si="184">FH47+FJ47</f>
        <v>0</v>
      </c>
      <c r="FM47" s="206">
        <f t="shared" si="184"/>
        <v>0</v>
      </c>
      <c r="FN47" s="202">
        <f t="shared" ref="FN47:FN77" si="185">FL47+FM47</f>
        <v>0</v>
      </c>
      <c r="FQ47" s="217"/>
      <c r="FR47" s="380">
        <v>2</v>
      </c>
      <c r="FS47" s="251"/>
      <c r="FT47" s="380"/>
      <c r="FU47" s="380"/>
      <c r="FV47" s="380">
        <f t="shared" si="169"/>
        <v>0</v>
      </c>
      <c r="FW47" s="380">
        <f t="shared" si="170"/>
        <v>0</v>
      </c>
      <c r="HH47" s="380" t="s">
        <v>274</v>
      </c>
      <c r="HI47" s="380">
        <f>HY40</f>
        <v>0</v>
      </c>
      <c r="HJ47" s="380"/>
      <c r="HV47" s="151"/>
      <c r="IH47" s="380">
        <v>2</v>
      </c>
      <c r="II47" s="144" t="str">
        <f>IFERROR(DailyNov!BX9+DailyNov!BY9-DailyNov!BZ9-DailyNov!CA9-[15]DailyONov!CB9-DailyNov!CC9-DailyNov!CD9-DailyNov!CF9-DailyNov!CE9,"-")</f>
        <v>-</v>
      </c>
      <c r="IJ47" s="251"/>
      <c r="IK47" s="380">
        <f t="shared" ref="IK47:IK77" si="186">IJ47/4</f>
        <v>0</v>
      </c>
      <c r="IL47" s="251"/>
      <c r="IO47" s="542"/>
      <c r="IP47" s="542"/>
      <c r="IQ47" s="542"/>
      <c r="IR47" s="542"/>
      <c r="IS47" s="542"/>
      <c r="IT47" s="542"/>
      <c r="JN47">
        <f t="shared" si="167"/>
        <v>0</v>
      </c>
    </row>
    <row r="48" spans="1:293" ht="15" customHeight="1" x14ac:dyDescent="0.25">
      <c r="A48" s="35">
        <v>2</v>
      </c>
      <c r="B48" s="138">
        <v>0.37280000000000002</v>
      </c>
      <c r="C48" s="65"/>
      <c r="D48" s="37">
        <f t="shared" ref="D48:D77" si="187">IF((B48-B47)&lt;=0,0,(B48-B47))*1000000</f>
        <v>0</v>
      </c>
      <c r="E48" s="251"/>
      <c r="F48" s="380"/>
      <c r="G48" s="37">
        <f t="shared" si="171"/>
        <v>0</v>
      </c>
      <c r="H48" s="138"/>
      <c r="I48" s="65"/>
      <c r="J48" s="37">
        <f t="shared" si="172"/>
        <v>0</v>
      </c>
      <c r="L48" s="287"/>
      <c r="BH48" s="96"/>
      <c r="BI48" s="96"/>
      <c r="BJ48" s="96"/>
      <c r="CC48" s="91"/>
      <c r="CD48" s="91">
        <f>BW14</f>
        <v>0</v>
      </c>
      <c r="CE48" s="96">
        <f>CD14+CF14+CH14</f>
        <v>0</v>
      </c>
      <c r="CF48" s="98">
        <f>CD48-CE48</f>
        <v>0</v>
      </c>
      <c r="CG48" s="96">
        <v>5653.1999999999753</v>
      </c>
      <c r="CH48" s="96">
        <f>CG48-CD14-CH14</f>
        <v>5653.1999999999753</v>
      </c>
      <c r="CI48" s="92"/>
      <c r="CJ48" s="92"/>
      <c r="CK48" s="92"/>
      <c r="CL48" s="92"/>
      <c r="CN48" s="91"/>
      <c r="DP48">
        <v>31</v>
      </c>
      <c r="DQ48" s="50">
        <v>8.2584</v>
      </c>
      <c r="DR48" s="49">
        <f t="shared" si="173"/>
        <v>0</v>
      </c>
      <c r="DS48" s="50">
        <v>51.348999999999997</v>
      </c>
      <c r="DT48" s="49">
        <f t="shared" si="174"/>
        <v>0</v>
      </c>
      <c r="EV48" t="s">
        <v>239</v>
      </c>
      <c r="EZ48" s="203">
        <f t="shared" si="175"/>
        <v>0</v>
      </c>
      <c r="FA48" s="205">
        <f t="shared" si="176"/>
        <v>0</v>
      </c>
      <c r="FB48" s="201">
        <f t="shared" si="177"/>
        <v>0</v>
      </c>
      <c r="FC48" s="380">
        <f t="shared" si="178"/>
        <v>1296.42</v>
      </c>
      <c r="FD48" s="167">
        <f t="shared" si="179"/>
        <v>-1296.42</v>
      </c>
      <c r="FE48" s="380"/>
      <c r="FF48" s="199">
        <v>1</v>
      </c>
      <c r="FG48" s="200">
        <f t="shared" si="180"/>
        <v>0</v>
      </c>
      <c r="FH48" s="380">
        <f t="shared" si="181"/>
        <v>1296.42</v>
      </c>
      <c r="FI48" s="179">
        <f t="shared" si="181"/>
        <v>0</v>
      </c>
      <c r="FJ48" s="179">
        <f t="shared" si="182"/>
        <v>-1296.42</v>
      </c>
      <c r="FK48" s="179">
        <f t="shared" si="183"/>
        <v>0</v>
      </c>
      <c r="FL48" s="204">
        <f t="shared" si="184"/>
        <v>0</v>
      </c>
      <c r="FM48" s="206">
        <f t="shared" si="184"/>
        <v>0</v>
      </c>
      <c r="FN48" s="202">
        <f t="shared" si="185"/>
        <v>0</v>
      </c>
      <c r="FQ48" s="217"/>
      <c r="FR48" s="380">
        <v>3</v>
      </c>
      <c r="FS48" s="251"/>
      <c r="FT48" s="380"/>
      <c r="FU48" s="380">
        <f>(FS48-FS47)*1000</f>
        <v>0</v>
      </c>
      <c r="FV48" s="380">
        <f t="shared" si="169"/>
        <v>0</v>
      </c>
      <c r="FW48" s="380">
        <f t="shared" si="170"/>
        <v>0</v>
      </c>
      <c r="HH48" s="380" t="s">
        <v>319</v>
      </c>
      <c r="HI48" s="380">
        <f>HP40</f>
        <v>0</v>
      </c>
      <c r="HJ48" s="380"/>
      <c r="HT48" s="151"/>
      <c r="HV48" s="151"/>
      <c r="HW48" s="151"/>
      <c r="IH48" s="380">
        <v>3</v>
      </c>
      <c r="II48" s="144" t="str">
        <f>IFERROR(DailyNov!BX10+DailyNov!BY10-DailyNov!BZ10-DailyNov!CA10-[15]DailyONov!CB10-DailyNov!CC10-DailyNov!CD10-DailyNov!CF10-DailyNov!CE10,"-")</f>
        <v>-</v>
      </c>
      <c r="IJ48" s="251"/>
      <c r="IK48" s="380">
        <f t="shared" si="186"/>
        <v>0</v>
      </c>
      <c r="IL48" s="251"/>
      <c r="IO48" s="542"/>
      <c r="IP48" s="542"/>
      <c r="IQ48" s="542"/>
      <c r="IR48" s="542"/>
      <c r="IS48" s="542"/>
      <c r="IT48" s="542"/>
      <c r="IW48" s="291"/>
      <c r="JN48">
        <f t="shared" si="167"/>
        <v>0</v>
      </c>
    </row>
    <row r="49" spans="1:274" ht="15" customHeight="1" x14ac:dyDescent="0.25">
      <c r="A49" s="35">
        <v>3</v>
      </c>
      <c r="B49" s="138">
        <v>0.37280000000000002</v>
      </c>
      <c r="C49" s="65"/>
      <c r="D49" s="37">
        <f t="shared" si="187"/>
        <v>0</v>
      </c>
      <c r="E49" s="251"/>
      <c r="F49" s="380"/>
      <c r="G49" s="37">
        <f t="shared" si="171"/>
        <v>0</v>
      </c>
      <c r="H49" s="138"/>
      <c r="I49" s="65"/>
      <c r="J49" s="37">
        <f t="shared" si="172"/>
        <v>0</v>
      </c>
      <c r="L49" s="287"/>
      <c r="AL49" s="101"/>
      <c r="AM49" s="101"/>
      <c r="AN49" s="101"/>
      <c r="AP49" s="405"/>
      <c r="AQ49" s="405"/>
      <c r="AR49" s="405"/>
      <c r="AS49" s="405"/>
      <c r="AT49" s="367"/>
      <c r="AU49" s="367"/>
      <c r="AV49" s="367"/>
      <c r="AW49" s="367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v>1</v>
      </c>
      <c r="DQ49" s="50">
        <v>8.2584</v>
      </c>
      <c r="DR49" s="49">
        <f t="shared" si="173"/>
        <v>0</v>
      </c>
      <c r="DS49" s="50">
        <v>51.348999999999997</v>
      </c>
      <c r="DT49" s="49">
        <f t="shared" si="174"/>
        <v>0</v>
      </c>
      <c r="EE49" s="406" t="s">
        <v>206</v>
      </c>
      <c r="EF49" s="406"/>
      <c r="EG49" s="406"/>
      <c r="EH49" s="406" t="s">
        <v>155</v>
      </c>
      <c r="EI49" s="406"/>
      <c r="EJ49" s="406"/>
      <c r="EK49" s="406" t="s">
        <v>207</v>
      </c>
      <c r="EL49" s="406"/>
      <c r="EM49" s="406"/>
      <c r="EV49" s="406" t="s">
        <v>240</v>
      </c>
      <c r="EW49" s="406"/>
      <c r="EX49">
        <f>85*0.6355*24</f>
        <v>1296.42</v>
      </c>
      <c r="EZ49" s="203">
        <f t="shared" si="175"/>
        <v>0</v>
      </c>
      <c r="FA49" s="205">
        <f t="shared" si="176"/>
        <v>0</v>
      </c>
      <c r="FB49" s="201">
        <f t="shared" si="177"/>
        <v>0</v>
      </c>
      <c r="FC49" s="380">
        <f t="shared" si="178"/>
        <v>1296.42</v>
      </c>
      <c r="FD49" s="167">
        <f t="shared" si="179"/>
        <v>-1296.42</v>
      </c>
      <c r="FE49" s="380"/>
      <c r="FF49" s="199">
        <v>1</v>
      </c>
      <c r="FG49" s="200">
        <f t="shared" si="180"/>
        <v>0</v>
      </c>
      <c r="FH49" s="380">
        <f t="shared" si="181"/>
        <v>1296.42</v>
      </c>
      <c r="FI49" s="179">
        <f t="shared" si="181"/>
        <v>0</v>
      </c>
      <c r="FJ49" s="179">
        <f t="shared" si="182"/>
        <v>-1296.42</v>
      </c>
      <c r="FK49" s="179">
        <f t="shared" si="183"/>
        <v>0</v>
      </c>
      <c r="FL49" s="204">
        <f t="shared" si="184"/>
        <v>0</v>
      </c>
      <c r="FM49" s="206">
        <f t="shared" si="184"/>
        <v>0</v>
      </c>
      <c r="FN49" s="202">
        <f t="shared" si="185"/>
        <v>0</v>
      </c>
      <c r="FQ49" s="217"/>
      <c r="FR49" s="394">
        <v>4</v>
      </c>
      <c r="FS49" s="251"/>
      <c r="FT49" s="380"/>
      <c r="FU49" s="380">
        <f t="shared" ref="FU49:FU77" si="188">(FS49-FS48)*1000</f>
        <v>0</v>
      </c>
      <c r="FV49" s="380">
        <f t="shared" si="169"/>
        <v>0</v>
      </c>
      <c r="FW49" s="380">
        <f t="shared" si="170"/>
        <v>0</v>
      </c>
      <c r="HH49" s="380" t="s">
        <v>347</v>
      </c>
      <c r="HI49" s="380">
        <f>IB40</f>
        <v>75700</v>
      </c>
      <c r="HJ49" s="380"/>
      <c r="HT49" s="151"/>
      <c r="IH49" s="380">
        <v>4</v>
      </c>
      <c r="II49" s="144" t="str">
        <f>IFERROR(DailyNov!BX11+DailyNov!BY11-DailyNov!BZ11-DailyNov!CA11-[15]DailyONov!CB11-DailyNov!CC11-DailyNov!CD11-DailyNov!CF11-DailyNov!CE11,"-")</f>
        <v>-</v>
      </c>
      <c r="IJ49" s="251"/>
      <c r="IK49" s="380">
        <f t="shared" si="186"/>
        <v>0</v>
      </c>
      <c r="IL49" s="251"/>
      <c r="IO49" s="542"/>
      <c r="IP49" s="542"/>
      <c r="IQ49" s="542"/>
      <c r="IR49" s="542"/>
      <c r="IS49" s="542"/>
      <c r="IT49" s="542"/>
      <c r="JN49">
        <f t="shared" si="167"/>
        <v>0</v>
      </c>
    </row>
    <row r="50" spans="1:274" ht="15" customHeight="1" x14ac:dyDescent="0.25">
      <c r="A50" s="35">
        <v>4</v>
      </c>
      <c r="B50" s="138">
        <v>0.37280000000000002</v>
      </c>
      <c r="C50" s="65"/>
      <c r="D50" s="37">
        <f t="shared" si="187"/>
        <v>0</v>
      </c>
      <c r="E50" s="251"/>
      <c r="F50" s="380"/>
      <c r="G50" s="37">
        <f t="shared" si="171"/>
        <v>0</v>
      </c>
      <c r="H50" s="138"/>
      <c r="I50" s="65"/>
      <c r="J50" s="37">
        <f t="shared" si="172"/>
        <v>0</v>
      </c>
      <c r="L50" s="287"/>
      <c r="AL50" s="103"/>
      <c r="AM50" s="103"/>
      <c r="AN50" s="96"/>
      <c r="AP50" s="367"/>
      <c r="AQ50" s="367"/>
      <c r="AR50" s="367"/>
      <c r="AS50" s="367"/>
      <c r="AT50" s="367"/>
      <c r="AU50" s="367"/>
      <c r="AV50" s="367"/>
      <c r="AW50" s="367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v>2</v>
      </c>
      <c r="DQ50" s="50">
        <v>8.2584</v>
      </c>
      <c r="DR50" s="49">
        <f t="shared" si="173"/>
        <v>0</v>
      </c>
      <c r="DS50" s="50">
        <v>51.348999999999997</v>
      </c>
      <c r="DT50" s="49">
        <f t="shared" si="174"/>
        <v>0</v>
      </c>
      <c r="EZ50" s="203">
        <f t="shared" si="175"/>
        <v>0</v>
      </c>
      <c r="FA50" s="205">
        <f t="shared" si="176"/>
        <v>0</v>
      </c>
      <c r="FB50" s="201">
        <f t="shared" si="177"/>
        <v>0</v>
      </c>
      <c r="FC50" s="380">
        <f t="shared" si="178"/>
        <v>1296.42</v>
      </c>
      <c r="FD50" s="167">
        <f t="shared" si="179"/>
        <v>-1296.42</v>
      </c>
      <c r="FE50" s="380"/>
      <c r="FF50" s="199">
        <v>1</v>
      </c>
      <c r="FG50" s="200">
        <f t="shared" si="180"/>
        <v>0</v>
      </c>
      <c r="FH50" s="380">
        <f t="shared" si="181"/>
        <v>1296.42</v>
      </c>
      <c r="FI50" s="179">
        <f t="shared" si="181"/>
        <v>0</v>
      </c>
      <c r="FJ50" s="179">
        <f t="shared" si="182"/>
        <v>-1296.42</v>
      </c>
      <c r="FK50" s="179">
        <f t="shared" si="183"/>
        <v>0</v>
      </c>
      <c r="FL50" s="204">
        <f t="shared" si="184"/>
        <v>0</v>
      </c>
      <c r="FM50" s="206">
        <f t="shared" si="184"/>
        <v>0</v>
      </c>
      <c r="FN50" s="202">
        <f t="shared" si="185"/>
        <v>0</v>
      </c>
      <c r="FQ50" s="217"/>
      <c r="FR50" s="394">
        <v>5</v>
      </c>
      <c r="FS50" s="251"/>
      <c r="FT50" s="380"/>
      <c r="FU50" s="380">
        <f t="shared" si="188"/>
        <v>0</v>
      </c>
      <c r="FV50" s="380">
        <f t="shared" si="169"/>
        <v>0</v>
      </c>
      <c r="FW50" s="380">
        <f t="shared" si="170"/>
        <v>0</v>
      </c>
      <c r="HH50" s="380" t="s">
        <v>347</v>
      </c>
      <c r="HI50" s="380">
        <f>IE40</f>
        <v>0</v>
      </c>
      <c r="HJ50" s="380"/>
      <c r="HT50" s="151"/>
      <c r="IH50" s="380">
        <v>5</v>
      </c>
      <c r="II50" s="144" t="str">
        <f>IFERROR(DailyNov!BX12+DailyNov!BY12-DailyNov!BZ12-DailyNov!CA12-[15]DailyONov!CB12-DailyNov!CC12-DailyNov!CD12-DailyNov!CF12-DailyNov!CE12,"-")</f>
        <v>-</v>
      </c>
      <c r="IJ50" s="251"/>
      <c r="IK50" s="380">
        <f t="shared" si="186"/>
        <v>0</v>
      </c>
      <c r="IL50" s="251"/>
      <c r="IO50" s="542"/>
      <c r="IP50" s="542"/>
      <c r="IQ50" s="542"/>
      <c r="IR50" s="542"/>
      <c r="IS50" s="542"/>
      <c r="IT50" s="542"/>
      <c r="JN50">
        <f t="shared" si="167"/>
        <v>0</v>
      </c>
    </row>
    <row r="51" spans="1:274" ht="15" customHeight="1" x14ac:dyDescent="0.25">
      <c r="A51" s="35">
        <v>5</v>
      </c>
      <c r="B51" s="138">
        <v>0.37280000000000002</v>
      </c>
      <c r="C51" s="65"/>
      <c r="D51" s="37">
        <f t="shared" si="187"/>
        <v>0</v>
      </c>
      <c r="E51" s="251"/>
      <c r="F51" s="380"/>
      <c r="G51" s="37">
        <f t="shared" si="171"/>
        <v>0</v>
      </c>
      <c r="H51" s="138"/>
      <c r="I51" s="65"/>
      <c r="J51" s="37">
        <f t="shared" si="172"/>
        <v>0</v>
      </c>
      <c r="AL51" s="103"/>
      <c r="AM51" s="103"/>
      <c r="AN51" s="96"/>
      <c r="AP51" s="101"/>
      <c r="AQ51" s="101"/>
      <c r="AR51" s="101"/>
      <c r="AS51" s="101"/>
      <c r="AT51" s="101"/>
      <c r="AU51" s="101"/>
      <c r="AV51" s="101"/>
      <c r="AW51" s="101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v>3</v>
      </c>
      <c r="DQ51" s="50">
        <v>8.2584</v>
      </c>
      <c r="DR51" s="49">
        <f t="shared" si="173"/>
        <v>0</v>
      </c>
      <c r="DS51" s="50">
        <v>51.348999999999997</v>
      </c>
      <c r="DT51" s="49">
        <f t="shared" si="174"/>
        <v>0</v>
      </c>
      <c r="EZ51" s="203">
        <f t="shared" si="175"/>
        <v>0</v>
      </c>
      <c r="FA51" s="205">
        <f t="shared" si="176"/>
        <v>0</v>
      </c>
      <c r="FB51" s="201">
        <f t="shared" si="177"/>
        <v>0</v>
      </c>
      <c r="FC51" s="380">
        <f t="shared" si="178"/>
        <v>1296.42</v>
      </c>
      <c r="FD51" s="167">
        <f t="shared" si="179"/>
        <v>-1296.42</v>
      </c>
      <c r="FE51" s="380"/>
      <c r="FF51" s="199">
        <v>1</v>
      </c>
      <c r="FG51" s="200">
        <f t="shared" si="180"/>
        <v>0</v>
      </c>
      <c r="FH51" s="380">
        <f t="shared" si="181"/>
        <v>1296.42</v>
      </c>
      <c r="FI51" s="179">
        <f t="shared" si="181"/>
        <v>0</v>
      </c>
      <c r="FJ51" s="179">
        <f t="shared" si="182"/>
        <v>-1296.42</v>
      </c>
      <c r="FK51" s="179">
        <f t="shared" si="183"/>
        <v>0</v>
      </c>
      <c r="FL51" s="204">
        <f t="shared" si="184"/>
        <v>0</v>
      </c>
      <c r="FM51" s="206">
        <f t="shared" si="184"/>
        <v>0</v>
      </c>
      <c r="FN51" s="202">
        <f t="shared" si="185"/>
        <v>0</v>
      </c>
      <c r="FQ51" s="217"/>
      <c r="FR51" s="394">
        <v>6</v>
      </c>
      <c r="FS51" s="251"/>
      <c r="FT51" s="380"/>
      <c r="FU51" s="380">
        <f t="shared" si="188"/>
        <v>0</v>
      </c>
      <c r="FV51" s="380">
        <f t="shared" si="169"/>
        <v>0</v>
      </c>
      <c r="FW51" s="380">
        <f t="shared" si="170"/>
        <v>0</v>
      </c>
      <c r="FX51" s="151"/>
      <c r="FY51" s="150"/>
      <c r="FZ51" s="151"/>
      <c r="GV51" s="166"/>
      <c r="HH51" s="380" t="s">
        <v>275</v>
      </c>
      <c r="HI51" s="380">
        <f>$IH$40</f>
        <v>22800</v>
      </c>
      <c r="HJ51" s="380"/>
      <c r="IH51" s="380">
        <v>6</v>
      </c>
      <c r="II51" s="144" t="str">
        <f>IFERROR(DailyNov!BX13+DailyNov!BY13-DailyNov!BZ13-DailyNov!CA13-[15]DailyONov!CB13-DailyNov!CC13-DailyNov!CD13-DailyNov!CF13-DailyNov!CE13,"-")</f>
        <v>-</v>
      </c>
      <c r="IJ51" s="251"/>
      <c r="IK51" s="380">
        <f t="shared" si="186"/>
        <v>0</v>
      </c>
      <c r="IL51" s="251"/>
      <c r="IO51" s="542"/>
      <c r="IP51" s="542"/>
      <c r="IQ51" s="542"/>
      <c r="IR51" s="542"/>
      <c r="IS51" s="542"/>
      <c r="IT51" s="542"/>
      <c r="JN51">
        <f t="shared" si="167"/>
        <v>0</v>
      </c>
    </row>
    <row r="52" spans="1:274" ht="15" customHeight="1" x14ac:dyDescent="0.25">
      <c r="A52" s="35">
        <v>6</v>
      </c>
      <c r="B52" s="138">
        <v>0.37280000000000002</v>
      </c>
      <c r="C52" s="65"/>
      <c r="D52" s="37">
        <f t="shared" si="187"/>
        <v>0</v>
      </c>
      <c r="E52" s="251"/>
      <c r="F52" s="380"/>
      <c r="G52" s="37">
        <f t="shared" si="171"/>
        <v>0</v>
      </c>
      <c r="H52" s="138"/>
      <c r="I52" s="65"/>
      <c r="J52" s="37">
        <f t="shared" si="172"/>
        <v>0</v>
      </c>
      <c r="X52" s="91"/>
      <c r="AL52" s="103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DP52">
        <v>4</v>
      </c>
      <c r="DQ52" s="50">
        <v>8.2584</v>
      </c>
      <c r="DR52" s="49">
        <f t="shared" si="173"/>
        <v>0</v>
      </c>
      <c r="DS52" s="50">
        <v>51.348999999999997</v>
      </c>
      <c r="DT52" s="49">
        <f t="shared" si="174"/>
        <v>0</v>
      </c>
      <c r="EZ52" s="203">
        <f t="shared" si="175"/>
        <v>0</v>
      </c>
      <c r="FA52" s="205">
        <f t="shared" si="176"/>
        <v>0</v>
      </c>
      <c r="FB52" s="201">
        <f t="shared" si="177"/>
        <v>0</v>
      </c>
      <c r="FC52" s="380">
        <f t="shared" si="178"/>
        <v>1296.42</v>
      </c>
      <c r="FD52" s="167">
        <f t="shared" si="179"/>
        <v>-1296.42</v>
      </c>
      <c r="FE52" s="380"/>
      <c r="FF52" s="199">
        <v>1</v>
      </c>
      <c r="FG52" s="200">
        <f t="shared" si="180"/>
        <v>0</v>
      </c>
      <c r="FH52" s="380">
        <f t="shared" si="181"/>
        <v>1296.42</v>
      </c>
      <c r="FI52" s="179">
        <f t="shared" si="181"/>
        <v>0</v>
      </c>
      <c r="FJ52" s="179">
        <f t="shared" si="182"/>
        <v>-1296.42</v>
      </c>
      <c r="FK52" s="179">
        <f t="shared" si="183"/>
        <v>0</v>
      </c>
      <c r="FL52" s="204">
        <f t="shared" si="184"/>
        <v>0</v>
      </c>
      <c r="FM52" s="206">
        <f t="shared" si="184"/>
        <v>0</v>
      </c>
      <c r="FN52" s="202">
        <f t="shared" si="185"/>
        <v>0</v>
      </c>
      <c r="FQ52" s="217"/>
      <c r="FR52" s="394">
        <v>7</v>
      </c>
      <c r="FS52" s="251"/>
      <c r="FT52" s="380"/>
      <c r="FU52" s="380">
        <f t="shared" si="188"/>
        <v>0</v>
      </c>
      <c r="FV52" s="380">
        <f t="shared" si="169"/>
        <v>0</v>
      </c>
      <c r="FW52" s="380">
        <f t="shared" si="170"/>
        <v>0</v>
      </c>
      <c r="GV52" s="166"/>
      <c r="IH52" s="380">
        <v>7</v>
      </c>
      <c r="II52" s="144" t="str">
        <f>IFERROR(DailyNov!BX14+DailyNov!BY14-DailyNov!BZ14-DailyNov!CA14-[15]DailyONov!CB14-DailyNov!CC14-DailyNov!CD14-DailyNov!CF14-DailyNov!CE14,"-")</f>
        <v>-</v>
      </c>
      <c r="IJ52" s="251"/>
      <c r="IK52" s="380">
        <f t="shared" si="186"/>
        <v>0</v>
      </c>
      <c r="IL52" s="251"/>
      <c r="IO52" s="542"/>
      <c r="IP52" s="542"/>
      <c r="IQ52" s="542"/>
      <c r="IR52" s="542"/>
      <c r="IS52" s="542"/>
      <c r="IT52" s="542"/>
      <c r="JN52">
        <f t="shared" si="167"/>
        <v>0</v>
      </c>
    </row>
    <row r="53" spans="1:274" ht="15" customHeight="1" x14ac:dyDescent="0.25">
      <c r="A53" s="35">
        <v>7</v>
      </c>
      <c r="B53" s="138">
        <v>0.37280000000000002</v>
      </c>
      <c r="C53" s="65"/>
      <c r="D53" s="37">
        <f t="shared" si="187"/>
        <v>0</v>
      </c>
      <c r="E53" s="251"/>
      <c r="F53" s="380"/>
      <c r="G53" s="37">
        <f t="shared" si="171"/>
        <v>0</v>
      </c>
      <c r="H53" s="138"/>
      <c r="I53" s="65"/>
      <c r="J53" s="37">
        <f t="shared" si="172"/>
        <v>0</v>
      </c>
      <c r="AL53" s="99"/>
      <c r="AM53" s="103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CU53" s="105"/>
      <c r="DP53">
        <v>5</v>
      </c>
      <c r="DQ53" s="50">
        <v>8.2584</v>
      </c>
      <c r="DR53" s="49">
        <f t="shared" si="173"/>
        <v>0</v>
      </c>
      <c r="DS53" s="50">
        <v>51.348999999999997</v>
      </c>
      <c r="DT53" s="49">
        <f t="shared" si="174"/>
        <v>0</v>
      </c>
      <c r="EZ53" s="203">
        <f t="shared" si="175"/>
        <v>0</v>
      </c>
      <c r="FA53" s="205">
        <f t="shared" si="176"/>
        <v>0</v>
      </c>
      <c r="FB53" s="201">
        <f t="shared" si="177"/>
        <v>0</v>
      </c>
      <c r="FC53" s="380">
        <f t="shared" si="178"/>
        <v>1296.42</v>
      </c>
      <c r="FD53" s="167">
        <f t="shared" si="179"/>
        <v>-1296.42</v>
      </c>
      <c r="FE53" s="380"/>
      <c r="FF53" s="199">
        <v>1</v>
      </c>
      <c r="FG53" s="200">
        <f t="shared" si="180"/>
        <v>0</v>
      </c>
      <c r="FH53" s="380">
        <f t="shared" si="181"/>
        <v>1296.42</v>
      </c>
      <c r="FI53" s="179">
        <f t="shared" si="181"/>
        <v>0</v>
      </c>
      <c r="FJ53" s="179">
        <f t="shared" si="182"/>
        <v>-1296.42</v>
      </c>
      <c r="FK53" s="179">
        <f t="shared" si="183"/>
        <v>0</v>
      </c>
      <c r="FL53" s="204">
        <f t="shared" si="184"/>
        <v>0</v>
      </c>
      <c r="FM53" s="206">
        <f t="shared" si="184"/>
        <v>0</v>
      </c>
      <c r="FN53" s="202">
        <f t="shared" si="185"/>
        <v>0</v>
      </c>
      <c r="FQ53" s="217"/>
      <c r="FR53" s="394">
        <v>8</v>
      </c>
      <c r="FS53" s="251"/>
      <c r="FT53" s="380"/>
      <c r="FU53" s="380">
        <f t="shared" si="188"/>
        <v>0</v>
      </c>
      <c r="FV53" s="380">
        <f t="shared" si="169"/>
        <v>0</v>
      </c>
      <c r="FW53" s="380">
        <f t="shared" si="170"/>
        <v>0</v>
      </c>
      <c r="HH53" s="380" t="s">
        <v>276</v>
      </c>
      <c r="HI53" s="222">
        <f>$HI$43+$HI$44-$HI$45-$HI$46-$HI$47-$HI$48-$HI$49-$HI$51-$HI$50</f>
        <v>38500</v>
      </c>
      <c r="HJ53" s="179"/>
      <c r="HK53" s="380" t="s">
        <v>115</v>
      </c>
      <c r="IH53" s="380">
        <v>8</v>
      </c>
      <c r="II53" s="144" t="str">
        <f>IFERROR(DailyNov!BX15+DailyNov!BY15-DailyNov!BZ15-DailyNov!CA15-[15]DailyONov!CB15-DailyNov!CC15-DailyNov!CD15-DailyNov!CF15-DailyNov!CE15,"-")</f>
        <v>-</v>
      </c>
      <c r="IJ53" s="251"/>
      <c r="IK53" s="380">
        <f t="shared" si="186"/>
        <v>0</v>
      </c>
      <c r="IL53" s="251"/>
      <c r="IO53" s="542"/>
      <c r="IP53" s="542"/>
      <c r="IQ53" s="542"/>
      <c r="IR53" s="542"/>
      <c r="IS53" s="542"/>
      <c r="IT53" s="542"/>
      <c r="JN53">
        <f t="shared" si="167"/>
        <v>0</v>
      </c>
    </row>
    <row r="54" spans="1:274" ht="15" customHeight="1" x14ac:dyDescent="0.25">
      <c r="A54" s="35">
        <v>8</v>
      </c>
      <c r="B54" s="138">
        <v>0.37280000000000002</v>
      </c>
      <c r="C54" s="65"/>
      <c r="D54" s="37">
        <f t="shared" si="187"/>
        <v>0</v>
      </c>
      <c r="E54" s="251"/>
      <c r="F54" s="380"/>
      <c r="G54" s="37">
        <f t="shared" si="171"/>
        <v>0</v>
      </c>
      <c r="H54" s="138"/>
      <c r="I54" s="65"/>
      <c r="J54" s="37">
        <f t="shared" si="172"/>
        <v>0</v>
      </c>
      <c r="AL54" s="103"/>
      <c r="AM54" s="99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49"/>
      <c r="DP54">
        <v>6</v>
      </c>
      <c r="DQ54" s="50">
        <v>8.2584</v>
      </c>
      <c r="DR54" s="49">
        <f t="shared" si="173"/>
        <v>0</v>
      </c>
      <c r="DS54" s="50">
        <v>51.348999999999997</v>
      </c>
      <c r="DT54" s="49">
        <f t="shared" si="174"/>
        <v>0</v>
      </c>
      <c r="EZ54" s="203">
        <f t="shared" si="175"/>
        <v>0</v>
      </c>
      <c r="FA54" s="205">
        <f t="shared" si="176"/>
        <v>0</v>
      </c>
      <c r="FB54" s="201">
        <f t="shared" si="177"/>
        <v>0</v>
      </c>
      <c r="FC54" s="380">
        <f t="shared" si="178"/>
        <v>1296.42</v>
      </c>
      <c r="FD54" s="167">
        <f t="shared" si="179"/>
        <v>-1296.42</v>
      </c>
      <c r="FE54" s="380"/>
      <c r="FF54" s="199">
        <v>1</v>
      </c>
      <c r="FG54" s="200">
        <f t="shared" si="180"/>
        <v>0</v>
      </c>
      <c r="FH54" s="380">
        <f t="shared" si="181"/>
        <v>1296.42</v>
      </c>
      <c r="FI54" s="179">
        <f t="shared" si="181"/>
        <v>0</v>
      </c>
      <c r="FJ54" s="179">
        <f t="shared" si="182"/>
        <v>-1296.42</v>
      </c>
      <c r="FK54" s="179">
        <f t="shared" si="183"/>
        <v>0</v>
      </c>
      <c r="FL54" s="204">
        <f t="shared" si="184"/>
        <v>0</v>
      </c>
      <c r="FM54" s="206">
        <f t="shared" si="184"/>
        <v>0</v>
      </c>
      <c r="FN54" s="202">
        <f t="shared" si="185"/>
        <v>0</v>
      </c>
      <c r="FQ54" s="217"/>
      <c r="FR54" s="394">
        <v>9</v>
      </c>
      <c r="FS54" s="251"/>
      <c r="FT54" s="380"/>
      <c r="FU54" s="392">
        <f t="shared" si="188"/>
        <v>0</v>
      </c>
      <c r="FV54" s="380">
        <f t="shared" si="169"/>
        <v>0</v>
      </c>
      <c r="FW54" s="380">
        <f t="shared" si="170"/>
        <v>0</v>
      </c>
      <c r="IH54" s="380">
        <v>9</v>
      </c>
      <c r="II54" s="144" t="str">
        <f>IFERROR(DailyNov!BX16+DailyNov!BY16-DailyNov!BZ16-DailyNov!CA16-[15]DailyONov!CB16-DailyNov!CC16-DailyNov!CD16-DailyNov!CF16-DailyNov!CE16,"-")</f>
        <v>-</v>
      </c>
      <c r="IJ54" s="251"/>
      <c r="IK54" s="380">
        <f t="shared" si="186"/>
        <v>0</v>
      </c>
      <c r="IL54" s="251"/>
      <c r="IO54" s="542"/>
      <c r="IP54" s="542"/>
      <c r="IQ54" s="542"/>
      <c r="IR54" s="542"/>
      <c r="IS54" s="542"/>
      <c r="IT54" s="542"/>
      <c r="JN54">
        <f t="shared" si="167"/>
        <v>0</v>
      </c>
    </row>
    <row r="55" spans="1:274" ht="15" customHeight="1" x14ac:dyDescent="0.25">
      <c r="A55" s="35">
        <v>9</v>
      </c>
      <c r="B55" s="138">
        <v>0.37280000000000002</v>
      </c>
      <c r="C55" s="65"/>
      <c r="D55" s="37">
        <f t="shared" si="187"/>
        <v>0</v>
      </c>
      <c r="E55" s="251"/>
      <c r="F55" s="380"/>
      <c r="G55" s="37">
        <f t="shared" si="171"/>
        <v>0</v>
      </c>
      <c r="H55" s="138"/>
      <c r="I55" s="65"/>
      <c r="J55" s="37">
        <f t="shared" si="172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v>7</v>
      </c>
      <c r="DQ55" s="50">
        <v>8.2584</v>
      </c>
      <c r="DR55" s="49">
        <f t="shared" si="173"/>
        <v>0</v>
      </c>
      <c r="DS55" s="50">
        <v>51.348999999999997</v>
      </c>
      <c r="DT55" s="49">
        <f t="shared" si="174"/>
        <v>0</v>
      </c>
      <c r="EZ55" s="203">
        <f t="shared" si="175"/>
        <v>0</v>
      </c>
      <c r="FA55" s="205">
        <f t="shared" si="176"/>
        <v>0</v>
      </c>
      <c r="FB55" s="201">
        <f t="shared" si="177"/>
        <v>0</v>
      </c>
      <c r="FC55" s="380">
        <f t="shared" si="178"/>
        <v>1296.42</v>
      </c>
      <c r="FD55" s="167">
        <f t="shared" si="179"/>
        <v>-1296.42</v>
      </c>
      <c r="FE55" s="380"/>
      <c r="FF55" s="199"/>
      <c r="FG55" s="200"/>
      <c r="FH55" s="380">
        <f t="shared" si="181"/>
        <v>0</v>
      </c>
      <c r="FI55" s="179">
        <f t="shared" si="181"/>
        <v>0</v>
      </c>
      <c r="FJ55" s="179">
        <f t="shared" si="182"/>
        <v>0</v>
      </c>
      <c r="FK55" s="179">
        <f t="shared" si="183"/>
        <v>0</v>
      </c>
      <c r="FL55" s="204">
        <f t="shared" si="184"/>
        <v>0</v>
      </c>
      <c r="FM55" s="206">
        <f t="shared" si="184"/>
        <v>0</v>
      </c>
      <c r="FN55" s="202">
        <f t="shared" si="185"/>
        <v>0</v>
      </c>
      <c r="FQ55" s="217"/>
      <c r="FR55" s="394">
        <v>10</v>
      </c>
      <c r="FS55" s="251"/>
      <c r="FT55" s="380"/>
      <c r="FU55" s="392">
        <f t="shared" si="188"/>
        <v>0</v>
      </c>
      <c r="FV55" s="380">
        <f t="shared" si="169"/>
        <v>0</v>
      </c>
      <c r="FW55" s="380">
        <f t="shared" si="170"/>
        <v>0</v>
      </c>
      <c r="FX55" s="151"/>
      <c r="IH55" s="380">
        <v>10</v>
      </c>
      <c r="II55" s="144" t="str">
        <f>IFERROR(DailyNov!BX17+DailyNov!BY17-DailyNov!BZ17-DailyNov!CA17-[15]DailyONov!CB17-DailyNov!CC17-DailyNov!CD17-DailyNov!CF17-DailyNov!CE17,"-")</f>
        <v>-</v>
      </c>
      <c r="IJ55" s="251"/>
      <c r="IK55" s="380">
        <f t="shared" si="186"/>
        <v>0</v>
      </c>
      <c r="IL55" s="251"/>
      <c r="IO55" s="542"/>
      <c r="IP55" s="542"/>
      <c r="IQ55" s="542"/>
      <c r="IR55" s="542"/>
      <c r="IS55" s="542"/>
      <c r="IT55" s="542"/>
      <c r="JN55">
        <f t="shared" si="167"/>
        <v>0</v>
      </c>
    </row>
    <row r="56" spans="1:274" ht="15" customHeight="1" x14ac:dyDescent="0.25">
      <c r="A56" s="35">
        <v>10</v>
      </c>
      <c r="B56" s="138">
        <v>0.37280000000000002</v>
      </c>
      <c r="C56" s="65"/>
      <c r="D56" s="37">
        <f t="shared" si="187"/>
        <v>0</v>
      </c>
      <c r="E56" s="251"/>
      <c r="F56" s="380"/>
      <c r="G56" s="37">
        <f t="shared" si="171"/>
        <v>0</v>
      </c>
      <c r="H56" s="138"/>
      <c r="I56" s="65"/>
      <c r="J56" s="37">
        <f t="shared" si="172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v>8</v>
      </c>
      <c r="DQ56" s="50">
        <v>8.2584</v>
      </c>
      <c r="DR56" s="49">
        <f t="shared" si="173"/>
        <v>0</v>
      </c>
      <c r="DS56" s="50">
        <v>51.348999999999997</v>
      </c>
      <c r="DT56" s="49">
        <f t="shared" si="174"/>
        <v>0</v>
      </c>
      <c r="EZ56" s="203">
        <f t="shared" si="175"/>
        <v>0</v>
      </c>
      <c r="FA56" s="205">
        <f t="shared" si="176"/>
        <v>0</v>
      </c>
      <c r="FB56" s="201">
        <f t="shared" si="177"/>
        <v>0</v>
      </c>
      <c r="FC56" s="380">
        <f t="shared" si="178"/>
        <v>1296.42</v>
      </c>
      <c r="FD56" s="167">
        <f t="shared" si="179"/>
        <v>-1296.42</v>
      </c>
      <c r="FE56" s="380"/>
      <c r="FF56" s="199"/>
      <c r="FG56" s="200"/>
      <c r="FH56" s="380">
        <f t="shared" si="181"/>
        <v>0</v>
      </c>
      <c r="FI56" s="179">
        <f t="shared" si="181"/>
        <v>0</v>
      </c>
      <c r="FJ56" s="179">
        <f t="shared" si="182"/>
        <v>0</v>
      </c>
      <c r="FK56" s="179">
        <f t="shared" si="183"/>
        <v>0</v>
      </c>
      <c r="FL56" s="204">
        <f t="shared" si="184"/>
        <v>0</v>
      </c>
      <c r="FM56" s="206">
        <f t="shared" si="184"/>
        <v>0</v>
      </c>
      <c r="FN56" s="202">
        <f t="shared" si="185"/>
        <v>0</v>
      </c>
      <c r="FQ56" s="217"/>
      <c r="FR56" s="394">
        <v>11</v>
      </c>
      <c r="FS56" s="251"/>
      <c r="FT56" s="380"/>
      <c r="FU56" s="392">
        <f t="shared" si="188"/>
        <v>0</v>
      </c>
      <c r="FV56" s="380">
        <f t="shared" si="169"/>
        <v>0</v>
      </c>
      <c r="FW56" s="380">
        <f t="shared" si="170"/>
        <v>0</v>
      </c>
      <c r="FX56" s="151"/>
      <c r="IH56" s="380">
        <v>11</v>
      </c>
      <c r="II56" s="144" t="str">
        <f>IFERROR(DailyNov!BX18+DailyNov!BY18-DailyNov!BZ18-DailyNov!CA18-[15]DailyONov!CB18-DailyNov!CC18-DailyNov!CD18-DailyNov!CF18-DailyNov!CE18,"-")</f>
        <v>-</v>
      </c>
      <c r="IJ56" s="251"/>
      <c r="IK56" s="380">
        <f t="shared" si="186"/>
        <v>0</v>
      </c>
      <c r="IL56" s="251"/>
      <c r="IO56" s="542"/>
      <c r="IP56" s="542"/>
      <c r="IQ56" s="542"/>
      <c r="IR56" s="542"/>
      <c r="IS56" s="542"/>
      <c r="IT56" s="542"/>
      <c r="JN56">
        <f t="shared" si="167"/>
        <v>0</v>
      </c>
    </row>
    <row r="57" spans="1:274" ht="15" customHeight="1" x14ac:dyDescent="0.25">
      <c r="A57" s="35">
        <v>11</v>
      </c>
      <c r="B57" s="138">
        <v>0.37280000000000002</v>
      </c>
      <c r="C57" s="65"/>
      <c r="D57" s="37">
        <f t="shared" si="187"/>
        <v>0</v>
      </c>
      <c r="E57" s="251"/>
      <c r="F57" s="380"/>
      <c r="G57" s="37">
        <f t="shared" si="171"/>
        <v>0</v>
      </c>
      <c r="H57" s="138"/>
      <c r="I57" s="65"/>
      <c r="J57" s="37">
        <f t="shared" si="172"/>
        <v>0</v>
      </c>
      <c r="AL57" s="103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v>9</v>
      </c>
      <c r="DQ57" s="50">
        <v>8.2584</v>
      </c>
      <c r="DR57" s="49">
        <f t="shared" si="173"/>
        <v>0</v>
      </c>
      <c r="DS57" s="50">
        <v>51.348999999999997</v>
      </c>
      <c r="DT57" s="49">
        <f t="shared" si="174"/>
        <v>0</v>
      </c>
      <c r="EZ57" s="203">
        <f t="shared" si="175"/>
        <v>0</v>
      </c>
      <c r="FA57" s="205">
        <f t="shared" si="176"/>
        <v>0</v>
      </c>
      <c r="FB57" s="201">
        <f t="shared" si="177"/>
        <v>0</v>
      </c>
      <c r="FC57" s="380">
        <f t="shared" si="178"/>
        <v>1296.42</v>
      </c>
      <c r="FD57" s="167">
        <f t="shared" si="179"/>
        <v>-1296.42</v>
      </c>
      <c r="FE57" s="380"/>
      <c r="FF57" s="199"/>
      <c r="FG57" s="200"/>
      <c r="FH57" s="380">
        <f t="shared" si="181"/>
        <v>0</v>
      </c>
      <c r="FI57" s="179">
        <f t="shared" si="181"/>
        <v>0</v>
      </c>
      <c r="FJ57" s="179">
        <f t="shared" si="182"/>
        <v>0</v>
      </c>
      <c r="FK57" s="179">
        <f t="shared" si="183"/>
        <v>0</v>
      </c>
      <c r="FL57" s="204">
        <f t="shared" si="184"/>
        <v>0</v>
      </c>
      <c r="FM57" s="206">
        <f t="shared" si="184"/>
        <v>0</v>
      </c>
      <c r="FN57" s="202">
        <f t="shared" si="185"/>
        <v>0</v>
      </c>
      <c r="FQ57" s="217"/>
      <c r="FR57" s="394">
        <v>12</v>
      </c>
      <c r="FS57" s="251"/>
      <c r="FT57" s="380"/>
      <c r="FU57" s="392">
        <f t="shared" si="188"/>
        <v>0</v>
      </c>
      <c r="FV57" s="380">
        <f t="shared" si="169"/>
        <v>0</v>
      </c>
      <c r="FW57" s="380">
        <f t="shared" si="170"/>
        <v>0</v>
      </c>
      <c r="IH57" s="380">
        <v>12</v>
      </c>
      <c r="II57" s="144" t="str">
        <f>IFERROR(DailyNov!BX19+DailyNov!BY19-DailyNov!BZ19-DailyNov!CA19-[15]DailyONov!CB19-DailyNov!CC19-DailyNov!CD19-DailyNov!CF19-DailyNov!CE19,"-")</f>
        <v>-</v>
      </c>
      <c r="IJ57" s="251"/>
      <c r="IK57" s="380">
        <f t="shared" si="186"/>
        <v>0</v>
      </c>
      <c r="IL57" s="251"/>
      <c r="IO57" s="542"/>
      <c r="IP57" s="542"/>
      <c r="IQ57" s="542"/>
      <c r="IR57" s="542"/>
      <c r="IS57" s="542"/>
      <c r="IT57" s="542"/>
      <c r="JN57">
        <f t="shared" si="167"/>
        <v>0</v>
      </c>
    </row>
    <row r="58" spans="1:274" ht="15" customHeight="1" x14ac:dyDescent="0.25">
      <c r="A58" s="35">
        <v>12</v>
      </c>
      <c r="B58" s="138">
        <v>0.37280000000000002</v>
      </c>
      <c r="C58" s="65"/>
      <c r="D58" s="37">
        <f t="shared" si="187"/>
        <v>0</v>
      </c>
      <c r="E58" s="251"/>
      <c r="F58" s="380"/>
      <c r="G58" s="37">
        <f t="shared" si="171"/>
        <v>0</v>
      </c>
      <c r="H58" s="138"/>
      <c r="I58" s="65"/>
      <c r="J58" s="37">
        <f t="shared" si="172"/>
        <v>0</v>
      </c>
      <c r="AL58" s="99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v>10</v>
      </c>
      <c r="DQ58" s="50">
        <v>8.2584</v>
      </c>
      <c r="DR58" s="49">
        <f t="shared" si="173"/>
        <v>0</v>
      </c>
      <c r="DS58" s="50">
        <v>51.348999999999997</v>
      </c>
      <c r="DT58" s="49">
        <f>IF((DS58-DS57)&lt;=0,0,(DS58-DS57))*1000</f>
        <v>0</v>
      </c>
      <c r="EZ58" s="203">
        <f t="shared" si="175"/>
        <v>0</v>
      </c>
      <c r="FA58" s="205">
        <f t="shared" si="176"/>
        <v>0</v>
      </c>
      <c r="FB58" s="201">
        <f t="shared" si="177"/>
        <v>0</v>
      </c>
      <c r="FC58" s="380">
        <f t="shared" si="178"/>
        <v>1296.42</v>
      </c>
      <c r="FD58" s="167">
        <f t="shared" si="179"/>
        <v>-1296.42</v>
      </c>
      <c r="FE58" s="380"/>
      <c r="FF58" s="199"/>
      <c r="FG58" s="200"/>
      <c r="FH58" s="380">
        <f t="shared" si="181"/>
        <v>0</v>
      </c>
      <c r="FI58" s="179">
        <f t="shared" si="181"/>
        <v>0</v>
      </c>
      <c r="FJ58" s="179">
        <f t="shared" si="182"/>
        <v>0</v>
      </c>
      <c r="FK58" s="179">
        <f t="shared" si="183"/>
        <v>0</v>
      </c>
      <c r="FL58" s="204">
        <f t="shared" si="184"/>
        <v>0</v>
      </c>
      <c r="FM58" s="206">
        <f t="shared" si="184"/>
        <v>0</v>
      </c>
      <c r="FN58" s="202">
        <f t="shared" si="185"/>
        <v>0</v>
      </c>
      <c r="FQ58" s="217"/>
      <c r="FR58" s="394">
        <v>13</v>
      </c>
      <c r="FS58" s="251"/>
      <c r="FT58" s="380"/>
      <c r="FU58" s="392">
        <f t="shared" si="188"/>
        <v>0</v>
      </c>
      <c r="FV58" s="380">
        <f t="shared" si="169"/>
        <v>0</v>
      </c>
      <c r="FW58" s="380">
        <f t="shared" si="170"/>
        <v>0</v>
      </c>
      <c r="IH58" s="380">
        <v>13</v>
      </c>
      <c r="II58" s="144" t="str">
        <f>IFERROR(DailyNov!BX20+DailyNov!BY20-DailyNov!BZ20-DailyNov!CA20-[15]DailyONov!CB20-DailyNov!CC20-DailyNov!CD20-DailyNov!CF20-DailyNov!CE20,"-")</f>
        <v>-</v>
      </c>
      <c r="IJ58" s="251"/>
      <c r="IK58" s="380">
        <f t="shared" si="186"/>
        <v>0</v>
      </c>
      <c r="IL58" s="251"/>
      <c r="IO58" s="542"/>
      <c r="IP58" s="542"/>
      <c r="IQ58" s="542"/>
      <c r="IR58" s="542"/>
      <c r="IS58" s="542"/>
      <c r="IT58" s="542"/>
      <c r="JN58">
        <f t="shared" si="167"/>
        <v>0</v>
      </c>
    </row>
    <row r="59" spans="1:274" ht="15" customHeight="1" x14ac:dyDescent="0.25">
      <c r="A59" s="35">
        <v>13</v>
      </c>
      <c r="B59" s="138">
        <v>0.37280000000000002</v>
      </c>
      <c r="C59" s="65"/>
      <c r="D59" s="37">
        <f t="shared" si="187"/>
        <v>0</v>
      </c>
      <c r="E59" s="251"/>
      <c r="F59" s="380"/>
      <c r="G59" s="37">
        <f t="shared" si="171"/>
        <v>0</v>
      </c>
      <c r="H59" s="138"/>
      <c r="I59" s="65"/>
      <c r="J59" s="37">
        <f t="shared" si="172"/>
        <v>0</v>
      </c>
      <c r="AL59" s="103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v>11</v>
      </c>
      <c r="DQ59" s="50">
        <v>8.2584</v>
      </c>
      <c r="DR59" s="49">
        <f t="shared" si="173"/>
        <v>0</v>
      </c>
      <c r="DS59" s="50">
        <v>51.348999999999997</v>
      </c>
      <c r="DT59" s="49">
        <f t="shared" ref="DT59:DT79" si="189">IF((DS59-DS58)&lt;=0,0,(DS59-DS58))*1000</f>
        <v>0</v>
      </c>
      <c r="EJ59" s="2"/>
      <c r="EZ59" s="203">
        <f t="shared" si="175"/>
        <v>0</v>
      </c>
      <c r="FA59" s="205">
        <f t="shared" si="176"/>
        <v>0</v>
      </c>
      <c r="FB59" s="201">
        <f t="shared" si="177"/>
        <v>0</v>
      </c>
      <c r="FC59" s="380">
        <f t="shared" si="178"/>
        <v>1296.42</v>
      </c>
      <c r="FD59" s="167">
        <f t="shared" si="179"/>
        <v>-1296.42</v>
      </c>
      <c r="FE59" s="380"/>
      <c r="FF59" s="199"/>
      <c r="FG59" s="200"/>
      <c r="FH59" s="380">
        <f t="shared" si="181"/>
        <v>0</v>
      </c>
      <c r="FI59" s="179">
        <f t="shared" si="181"/>
        <v>0</v>
      </c>
      <c r="FJ59" s="179">
        <f t="shared" si="182"/>
        <v>0</v>
      </c>
      <c r="FK59" s="179">
        <f t="shared" si="183"/>
        <v>0</v>
      </c>
      <c r="FL59" s="204">
        <f t="shared" si="184"/>
        <v>0</v>
      </c>
      <c r="FM59" s="206">
        <f t="shared" si="184"/>
        <v>0</v>
      </c>
      <c r="FN59" s="202">
        <f t="shared" si="185"/>
        <v>0</v>
      </c>
      <c r="FQ59" s="217"/>
      <c r="FR59" s="394">
        <v>14</v>
      </c>
      <c r="FS59" s="251"/>
      <c r="FT59" s="380"/>
      <c r="FU59" s="392">
        <f t="shared" si="188"/>
        <v>0</v>
      </c>
      <c r="FV59" s="380">
        <f t="shared" si="169"/>
        <v>0</v>
      </c>
      <c r="FW59" s="380">
        <f t="shared" si="170"/>
        <v>0</v>
      </c>
      <c r="IH59" s="380">
        <v>14</v>
      </c>
      <c r="II59" s="144" t="str">
        <f>IFERROR(DailyNov!BX21+DailyNov!BY21-DailyNov!BZ21-DailyNov!CA21-[15]DailyONov!CB21-DailyNov!CC21-DailyNov!CD21-DailyNov!CF21-DailyNov!CE21,"-")</f>
        <v>-</v>
      </c>
      <c r="IJ59" s="251"/>
      <c r="IK59" s="380">
        <f t="shared" si="186"/>
        <v>0</v>
      </c>
      <c r="IL59" s="251"/>
      <c r="IO59" s="542"/>
      <c r="IP59" s="542"/>
      <c r="IQ59" s="542"/>
      <c r="IR59" s="542"/>
      <c r="IS59" s="542"/>
      <c r="IT59" s="542"/>
      <c r="JN59">
        <f t="shared" si="167"/>
        <v>0</v>
      </c>
    </row>
    <row r="60" spans="1:274" ht="15" customHeight="1" x14ac:dyDescent="0.25">
      <c r="A60" s="35">
        <v>14</v>
      </c>
      <c r="B60" s="138">
        <v>0.37280000000000002</v>
      </c>
      <c r="C60" s="65"/>
      <c r="D60" s="37">
        <f t="shared" si="187"/>
        <v>0</v>
      </c>
      <c r="E60" s="251"/>
      <c r="F60" s="380"/>
      <c r="G60" s="37">
        <f t="shared" si="171"/>
        <v>0</v>
      </c>
      <c r="H60" s="138"/>
      <c r="I60" s="65"/>
      <c r="J60" s="37">
        <f t="shared" si="172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H60" s="96"/>
      <c r="CI60" s="92"/>
      <c r="CJ60" s="92"/>
      <c r="CK60" s="92"/>
      <c r="CL60" s="92"/>
      <c r="DO60" s="3"/>
      <c r="DP60">
        <v>12</v>
      </c>
      <c r="DQ60" s="50">
        <v>8.2584</v>
      </c>
      <c r="DR60" s="49">
        <f t="shared" si="173"/>
        <v>0</v>
      </c>
      <c r="DS60" s="50">
        <v>51.348999999999997</v>
      </c>
      <c r="DT60" s="49">
        <f t="shared" si="189"/>
        <v>0</v>
      </c>
      <c r="EJ60" s="2"/>
      <c r="EZ60" s="203">
        <f t="shared" si="175"/>
        <v>0</v>
      </c>
      <c r="FA60" s="205">
        <f t="shared" si="176"/>
        <v>0</v>
      </c>
      <c r="FB60" s="201">
        <f t="shared" si="177"/>
        <v>0</v>
      </c>
      <c r="FC60" s="380">
        <f t="shared" si="178"/>
        <v>1296.42</v>
      </c>
      <c r="FD60" s="167">
        <f t="shared" si="179"/>
        <v>-1296.42</v>
      </c>
      <c r="FE60" s="380"/>
      <c r="FF60" s="199"/>
      <c r="FG60" s="200"/>
      <c r="FH60" s="380">
        <f t="shared" si="181"/>
        <v>0</v>
      </c>
      <c r="FI60" s="179">
        <f t="shared" si="181"/>
        <v>0</v>
      </c>
      <c r="FJ60" s="179">
        <f t="shared" si="182"/>
        <v>0</v>
      </c>
      <c r="FK60" s="179">
        <f t="shared" si="183"/>
        <v>0</v>
      </c>
      <c r="FL60" s="204">
        <f t="shared" si="184"/>
        <v>0</v>
      </c>
      <c r="FM60" s="206">
        <f t="shared" si="184"/>
        <v>0</v>
      </c>
      <c r="FN60" s="202">
        <f t="shared" si="185"/>
        <v>0</v>
      </c>
      <c r="FQ60" s="217"/>
      <c r="FR60" s="394">
        <v>15</v>
      </c>
      <c r="FS60" s="251"/>
      <c r="FT60" s="380"/>
      <c r="FU60" s="392">
        <f t="shared" si="188"/>
        <v>0</v>
      </c>
      <c r="FV60" s="380">
        <f t="shared" si="169"/>
        <v>0</v>
      </c>
      <c r="FW60" s="380">
        <f t="shared" si="170"/>
        <v>0</v>
      </c>
      <c r="IH60" s="380">
        <v>15</v>
      </c>
      <c r="II60" s="144" t="str">
        <f>IFERROR(DailyNov!BX22+DailyNov!BY22-DailyNov!BZ22-DailyNov!CA22-[15]DailyONov!CB22-DailyNov!CC22-DailyNov!CD22-DailyNov!CF22-DailyNov!CE22,"-")</f>
        <v>-</v>
      </c>
      <c r="IJ60" s="251"/>
      <c r="IK60" s="380">
        <f t="shared" si="186"/>
        <v>0</v>
      </c>
      <c r="IL60" s="251"/>
      <c r="IO60" s="542"/>
      <c r="IP60" s="542"/>
      <c r="IQ60" s="542"/>
      <c r="IR60" s="542"/>
      <c r="IS60" s="542"/>
      <c r="IT60" s="542"/>
      <c r="JN60">
        <f t="shared" si="167"/>
        <v>0</v>
      </c>
    </row>
    <row r="61" spans="1:274" ht="15" customHeight="1" x14ac:dyDescent="0.25">
      <c r="A61" s="35">
        <v>15</v>
      </c>
      <c r="B61" s="138">
        <v>0.37280000000000002</v>
      </c>
      <c r="C61" s="65"/>
      <c r="D61" s="37">
        <f t="shared" si="187"/>
        <v>0</v>
      </c>
      <c r="E61" s="251"/>
      <c r="F61" s="380"/>
      <c r="G61" s="37">
        <f t="shared" si="171"/>
        <v>0</v>
      </c>
      <c r="H61" s="138"/>
      <c r="I61" s="65"/>
      <c r="J61" s="37">
        <f t="shared" si="172"/>
        <v>0</v>
      </c>
      <c r="AL61" s="99"/>
      <c r="AM61" s="103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CI61" s="92"/>
      <c r="CJ61" s="92"/>
      <c r="CK61" s="92"/>
      <c r="CL61" s="92"/>
      <c r="DO61" s="3"/>
      <c r="DP61">
        <v>13</v>
      </c>
      <c r="DQ61" s="50">
        <v>8.2584</v>
      </c>
      <c r="DR61" s="49">
        <f t="shared" si="173"/>
        <v>0</v>
      </c>
      <c r="DS61" s="50">
        <v>51.348999999999997</v>
      </c>
      <c r="DT61" s="49">
        <f t="shared" si="189"/>
        <v>0</v>
      </c>
      <c r="EJ61" s="2"/>
      <c r="EZ61" s="203">
        <f t="shared" si="175"/>
        <v>0</v>
      </c>
      <c r="FA61" s="205">
        <f t="shared" si="176"/>
        <v>0</v>
      </c>
      <c r="FB61" s="201">
        <f t="shared" si="177"/>
        <v>0</v>
      </c>
      <c r="FC61" s="380">
        <f t="shared" si="178"/>
        <v>1296.42</v>
      </c>
      <c r="FD61" s="167">
        <f t="shared" si="179"/>
        <v>-1296.42</v>
      </c>
      <c r="FE61" s="380"/>
      <c r="FF61" s="199"/>
      <c r="FG61" s="200"/>
      <c r="FH61" s="380">
        <f t="shared" si="181"/>
        <v>0</v>
      </c>
      <c r="FI61" s="179">
        <f t="shared" si="181"/>
        <v>0</v>
      </c>
      <c r="FJ61" s="179">
        <f t="shared" si="182"/>
        <v>0</v>
      </c>
      <c r="FK61" s="179">
        <f t="shared" si="183"/>
        <v>0</v>
      </c>
      <c r="FL61" s="204">
        <f t="shared" si="184"/>
        <v>0</v>
      </c>
      <c r="FM61" s="206">
        <f t="shared" si="184"/>
        <v>0</v>
      </c>
      <c r="FN61" s="202">
        <f t="shared" si="185"/>
        <v>0</v>
      </c>
      <c r="FQ61" s="217"/>
      <c r="FR61" s="394">
        <v>16</v>
      </c>
      <c r="FS61" s="251"/>
      <c r="FT61" s="380"/>
      <c r="FU61" s="392">
        <f t="shared" si="188"/>
        <v>0</v>
      </c>
      <c r="FV61" s="380">
        <f t="shared" si="169"/>
        <v>0</v>
      </c>
      <c r="FW61" s="380">
        <f t="shared" si="170"/>
        <v>0</v>
      </c>
      <c r="IH61" s="380">
        <v>16</v>
      </c>
      <c r="II61" s="144" t="str">
        <f>IFERROR(DailyNov!BX23+DailyNov!BY23-DailyNov!BZ23-DailyNov!CA23-[15]DailyONov!CB23-DailyNov!CC23-DailyNov!CD23-DailyNov!CF23-DailyNov!CE23,"-")</f>
        <v>-</v>
      </c>
      <c r="IJ61" s="251"/>
      <c r="IK61" s="380">
        <f t="shared" si="186"/>
        <v>0</v>
      </c>
      <c r="IL61" s="251"/>
      <c r="IO61" s="542"/>
      <c r="IP61" s="542"/>
      <c r="IQ61" s="542"/>
      <c r="IR61" s="542"/>
      <c r="IS61" s="542"/>
      <c r="IT61" s="542"/>
      <c r="JN61">
        <f t="shared" si="167"/>
        <v>0</v>
      </c>
    </row>
    <row r="62" spans="1:274" ht="15" customHeight="1" x14ac:dyDescent="0.25">
      <c r="A62" s="35">
        <v>16</v>
      </c>
      <c r="B62" s="138">
        <v>0.37280000000000002</v>
      </c>
      <c r="C62" s="65"/>
      <c r="D62" s="37">
        <f t="shared" si="187"/>
        <v>0</v>
      </c>
      <c r="E62" s="251"/>
      <c r="F62" s="380"/>
      <c r="G62" s="37">
        <f t="shared" si="171"/>
        <v>0</v>
      </c>
      <c r="H62" s="138"/>
      <c r="I62" s="65"/>
      <c r="J62" s="37">
        <f t="shared" si="172"/>
        <v>0</v>
      </c>
      <c r="AL62" s="99"/>
      <c r="AM62" s="99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DO62" s="3"/>
      <c r="DP62">
        <v>14</v>
      </c>
      <c r="DQ62" s="50">
        <v>8.2584</v>
      </c>
      <c r="DR62" s="49">
        <f t="shared" si="173"/>
        <v>0</v>
      </c>
      <c r="DS62" s="50">
        <v>51.348999999999997</v>
      </c>
      <c r="DT62" s="49">
        <f t="shared" si="189"/>
        <v>0</v>
      </c>
      <c r="EJ62" s="2"/>
      <c r="EZ62" s="203">
        <f t="shared" si="175"/>
        <v>0</v>
      </c>
      <c r="FA62" s="205">
        <f t="shared" si="176"/>
        <v>0</v>
      </c>
      <c r="FB62" s="201">
        <f t="shared" si="177"/>
        <v>0</v>
      </c>
      <c r="FC62" s="380">
        <f t="shared" si="178"/>
        <v>1296.42</v>
      </c>
      <c r="FD62" s="167">
        <f t="shared" si="179"/>
        <v>-1296.42</v>
      </c>
      <c r="FE62" s="380"/>
      <c r="FF62" s="199"/>
      <c r="FG62" s="200"/>
      <c r="FH62" s="380">
        <f t="shared" si="181"/>
        <v>0</v>
      </c>
      <c r="FI62" s="179">
        <f t="shared" si="181"/>
        <v>0</v>
      </c>
      <c r="FJ62" s="179">
        <f t="shared" si="182"/>
        <v>0</v>
      </c>
      <c r="FK62" s="179">
        <f t="shared" si="183"/>
        <v>0</v>
      </c>
      <c r="FL62" s="204">
        <f t="shared" si="184"/>
        <v>0</v>
      </c>
      <c r="FM62" s="206">
        <f t="shared" si="184"/>
        <v>0</v>
      </c>
      <c r="FN62" s="202">
        <f t="shared" si="185"/>
        <v>0</v>
      </c>
      <c r="FQ62" s="217"/>
      <c r="FR62" s="394">
        <v>17</v>
      </c>
      <c r="FS62" s="251"/>
      <c r="FT62" s="380"/>
      <c r="FU62" s="392">
        <f t="shared" si="188"/>
        <v>0</v>
      </c>
      <c r="FV62" s="380">
        <f t="shared" si="169"/>
        <v>0</v>
      </c>
      <c r="FW62" s="380">
        <f t="shared" si="170"/>
        <v>0</v>
      </c>
      <c r="IH62" s="380">
        <v>17</v>
      </c>
      <c r="II62" s="144" t="str">
        <f>IFERROR(DailyNov!BX24+DailyNov!BY24-DailyNov!BZ24-DailyNov!CA24-[15]DailyONov!CB24-DailyNov!CC24-DailyNov!CD24-DailyNov!CF24-DailyNov!CE24,"-")</f>
        <v>-</v>
      </c>
      <c r="IJ62" s="251"/>
      <c r="IK62" s="380">
        <f t="shared" si="186"/>
        <v>0</v>
      </c>
      <c r="IL62" s="251"/>
      <c r="IO62" s="542"/>
      <c r="IP62" s="542"/>
      <c r="IQ62" s="542"/>
      <c r="IR62" s="542"/>
      <c r="IS62" s="542"/>
      <c r="IT62" s="542"/>
      <c r="JN62">
        <f t="shared" si="167"/>
        <v>0</v>
      </c>
    </row>
    <row r="63" spans="1:274" ht="15" customHeight="1" x14ac:dyDescent="0.25">
      <c r="A63" s="35">
        <v>17</v>
      </c>
      <c r="B63" s="138">
        <v>0.37280000000000002</v>
      </c>
      <c r="C63" s="65"/>
      <c r="D63" s="37">
        <f t="shared" si="187"/>
        <v>0</v>
      </c>
      <c r="E63" s="251"/>
      <c r="F63" s="380"/>
      <c r="G63" s="37">
        <f t="shared" si="171"/>
        <v>0</v>
      </c>
      <c r="H63" s="138"/>
      <c r="I63" s="65"/>
      <c r="J63" s="37">
        <f t="shared" si="172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CV63" s="105"/>
      <c r="DO63" s="3"/>
      <c r="DP63">
        <v>15</v>
      </c>
      <c r="DQ63" s="50">
        <v>8.2584</v>
      </c>
      <c r="DR63" s="49">
        <f t="shared" si="173"/>
        <v>0</v>
      </c>
      <c r="DS63" s="50">
        <v>51.348999999999997</v>
      </c>
      <c r="DT63" s="49">
        <f t="shared" si="189"/>
        <v>0</v>
      </c>
      <c r="EJ63" s="2"/>
      <c r="EZ63" s="203">
        <f t="shared" si="175"/>
        <v>0</v>
      </c>
      <c r="FA63" s="205">
        <f t="shared" si="176"/>
        <v>0</v>
      </c>
      <c r="FB63" s="201">
        <f t="shared" si="177"/>
        <v>0</v>
      </c>
      <c r="FC63" s="380">
        <f t="shared" si="178"/>
        <v>1296.42</v>
      </c>
      <c r="FD63" s="167">
        <f t="shared" si="179"/>
        <v>-1296.42</v>
      </c>
      <c r="FE63" s="380"/>
      <c r="FF63" s="199"/>
      <c r="FG63" s="200"/>
      <c r="FH63" s="380">
        <f t="shared" si="181"/>
        <v>0</v>
      </c>
      <c r="FI63" s="179">
        <f t="shared" si="181"/>
        <v>0</v>
      </c>
      <c r="FJ63" s="179">
        <f t="shared" si="182"/>
        <v>0</v>
      </c>
      <c r="FK63" s="179">
        <f t="shared" si="183"/>
        <v>0</v>
      </c>
      <c r="FL63" s="204">
        <f t="shared" si="184"/>
        <v>0</v>
      </c>
      <c r="FM63" s="206">
        <f t="shared" si="184"/>
        <v>0</v>
      </c>
      <c r="FN63" s="202">
        <f t="shared" si="185"/>
        <v>0</v>
      </c>
      <c r="FQ63" s="217"/>
      <c r="FR63" s="394">
        <v>18</v>
      </c>
      <c r="FS63" s="251"/>
      <c r="FT63" s="380"/>
      <c r="FU63" s="392">
        <f t="shared" si="188"/>
        <v>0</v>
      </c>
      <c r="FV63" s="380">
        <f t="shared" si="169"/>
        <v>0</v>
      </c>
      <c r="FW63" s="380">
        <f t="shared" si="170"/>
        <v>0</v>
      </c>
      <c r="IH63" s="380">
        <v>18</v>
      </c>
      <c r="II63" s="144" t="str">
        <f>IFERROR(DailyNov!BX25+DailyNov!BY25-DailyNov!BZ25-DailyNov!CA25-[15]DailyONov!CB25-DailyNov!CC25-DailyNov!CD25-DailyNov!CF25-DailyNov!CE25,"-")</f>
        <v>-</v>
      </c>
      <c r="IJ63" s="251"/>
      <c r="IK63" s="380">
        <f t="shared" si="186"/>
        <v>0</v>
      </c>
      <c r="IL63" s="251"/>
      <c r="IO63" s="542"/>
      <c r="IP63" s="542"/>
      <c r="IQ63" s="542"/>
      <c r="IR63" s="542"/>
      <c r="IS63" s="542"/>
      <c r="IT63" s="542"/>
      <c r="JN63">
        <f t="shared" si="167"/>
        <v>0</v>
      </c>
    </row>
    <row r="64" spans="1:274" ht="15" customHeight="1" x14ac:dyDescent="0.25">
      <c r="A64" s="35">
        <v>18</v>
      </c>
      <c r="B64" s="138">
        <v>0.37280000000000002</v>
      </c>
      <c r="C64" s="65"/>
      <c r="D64" s="37">
        <f t="shared" si="187"/>
        <v>0</v>
      </c>
      <c r="E64" s="251"/>
      <c r="F64" s="380"/>
      <c r="G64" s="37">
        <f t="shared" si="171"/>
        <v>0</v>
      </c>
      <c r="H64" s="138"/>
      <c r="I64" s="65"/>
      <c r="J64" s="37">
        <f t="shared" si="172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v>16</v>
      </c>
      <c r="DQ64" s="50">
        <v>8.2584</v>
      </c>
      <c r="DR64" s="49">
        <f t="shared" si="173"/>
        <v>0</v>
      </c>
      <c r="DS64" s="50">
        <v>51.348999999999997</v>
      </c>
      <c r="DT64" s="49">
        <f t="shared" si="189"/>
        <v>0</v>
      </c>
      <c r="EJ64" s="2"/>
      <c r="EZ64" s="203">
        <f t="shared" si="175"/>
        <v>0</v>
      </c>
      <c r="FA64" s="205">
        <f t="shared" si="176"/>
        <v>0</v>
      </c>
      <c r="FB64" s="201">
        <f t="shared" si="177"/>
        <v>0</v>
      </c>
      <c r="FC64" s="380">
        <f t="shared" si="178"/>
        <v>1296.42</v>
      </c>
      <c r="FD64" s="167">
        <f t="shared" si="179"/>
        <v>-1296.42</v>
      </c>
      <c r="FE64" s="380"/>
      <c r="FF64" s="199"/>
      <c r="FG64" s="200"/>
      <c r="FH64" s="380">
        <f t="shared" si="181"/>
        <v>0</v>
      </c>
      <c r="FI64" s="179">
        <f t="shared" si="181"/>
        <v>0</v>
      </c>
      <c r="FJ64" s="179">
        <f t="shared" si="182"/>
        <v>0</v>
      </c>
      <c r="FK64" s="179">
        <f t="shared" si="183"/>
        <v>0</v>
      </c>
      <c r="FL64" s="204">
        <f t="shared" si="184"/>
        <v>0</v>
      </c>
      <c r="FM64" s="206">
        <f t="shared" si="184"/>
        <v>0</v>
      </c>
      <c r="FN64" s="202">
        <f t="shared" si="185"/>
        <v>0</v>
      </c>
      <c r="FQ64" s="217"/>
      <c r="FR64" s="394">
        <v>19</v>
      </c>
      <c r="FS64" s="251"/>
      <c r="FT64" s="380"/>
      <c r="FU64" s="392">
        <f t="shared" si="188"/>
        <v>0</v>
      </c>
      <c r="FV64" s="380">
        <f t="shared" si="169"/>
        <v>0</v>
      </c>
      <c r="FW64" s="380">
        <f t="shared" si="170"/>
        <v>0</v>
      </c>
      <c r="IH64" s="380">
        <v>19</v>
      </c>
      <c r="II64" s="144" t="str">
        <f>IFERROR(DailyNov!BX26+DailyNov!BY26-DailyNov!BZ26-DailyNov!CA26-[15]DailyONov!CB26-DailyNov!CC26-DailyNov!CD26-DailyNov!CF26-DailyNov!CE26,"-")</f>
        <v>-</v>
      </c>
      <c r="IJ64" s="251"/>
      <c r="IK64" s="380">
        <f t="shared" si="186"/>
        <v>0</v>
      </c>
      <c r="IL64" s="251"/>
      <c r="IO64" s="542"/>
      <c r="IP64" s="542"/>
      <c r="IQ64" s="542"/>
      <c r="IR64" s="542"/>
      <c r="IS64" s="542"/>
      <c r="IT64" s="542"/>
      <c r="JN64">
        <f t="shared" si="167"/>
        <v>0</v>
      </c>
    </row>
    <row r="65" spans="1:254" ht="15" customHeight="1" x14ac:dyDescent="0.25">
      <c r="A65" s="35">
        <v>19</v>
      </c>
      <c r="B65" s="138">
        <v>0.37280000000000002</v>
      </c>
      <c r="C65" s="65"/>
      <c r="D65" s="37">
        <f t="shared" si="187"/>
        <v>0</v>
      </c>
      <c r="E65" s="251"/>
      <c r="F65" s="380"/>
      <c r="G65" s="37">
        <f t="shared" si="171"/>
        <v>0</v>
      </c>
      <c r="H65" s="138"/>
      <c r="I65" s="65"/>
      <c r="J65" s="37">
        <f t="shared" si="172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v>17</v>
      </c>
      <c r="DQ65" s="50">
        <v>8.2584</v>
      </c>
      <c r="DR65" s="49">
        <f t="shared" si="173"/>
        <v>0</v>
      </c>
      <c r="DS65" s="50">
        <v>51.348999999999997</v>
      </c>
      <c r="DT65" s="49">
        <f t="shared" si="189"/>
        <v>0</v>
      </c>
      <c r="EZ65" s="203">
        <f t="shared" si="175"/>
        <v>0</v>
      </c>
      <c r="FA65" s="205">
        <f t="shared" si="176"/>
        <v>0</v>
      </c>
      <c r="FB65" s="201">
        <f t="shared" si="177"/>
        <v>0</v>
      </c>
      <c r="FC65" s="380">
        <f t="shared" si="178"/>
        <v>1296.42</v>
      </c>
      <c r="FD65" s="167">
        <f t="shared" si="179"/>
        <v>-1296.42</v>
      </c>
      <c r="FE65" s="380"/>
      <c r="FF65" s="199"/>
      <c r="FG65" s="200"/>
      <c r="FH65" s="380">
        <f t="shared" si="181"/>
        <v>0</v>
      </c>
      <c r="FI65" s="179">
        <f t="shared" si="181"/>
        <v>0</v>
      </c>
      <c r="FJ65" s="179">
        <f t="shared" si="182"/>
        <v>0</v>
      </c>
      <c r="FK65" s="179">
        <f t="shared" si="183"/>
        <v>0</v>
      </c>
      <c r="FL65" s="204">
        <f t="shared" si="184"/>
        <v>0</v>
      </c>
      <c r="FM65" s="206">
        <f t="shared" si="184"/>
        <v>0</v>
      </c>
      <c r="FN65" s="202">
        <f t="shared" si="185"/>
        <v>0</v>
      </c>
      <c r="FQ65" s="217"/>
      <c r="FR65" s="394">
        <v>20</v>
      </c>
      <c r="FS65" s="251"/>
      <c r="FT65" s="380"/>
      <c r="FU65" s="392">
        <f t="shared" si="188"/>
        <v>0</v>
      </c>
      <c r="FV65" s="380">
        <f t="shared" si="169"/>
        <v>0</v>
      </c>
      <c r="FW65" s="380">
        <f t="shared" si="170"/>
        <v>0</v>
      </c>
      <c r="IH65" s="380">
        <v>20</v>
      </c>
      <c r="II65" s="144" t="str">
        <f>IFERROR(DailyNov!BX27+DailyNov!BY27-DailyNov!BZ27-DailyNov!CA27-[15]DailyONov!CB27-DailyNov!CC27-DailyNov!CD27-DailyNov!CF27-DailyNov!CE27,"-")</f>
        <v>-</v>
      </c>
      <c r="IJ65" s="251"/>
      <c r="IK65" s="380">
        <f t="shared" si="186"/>
        <v>0</v>
      </c>
      <c r="IL65" s="251"/>
      <c r="IO65" s="542"/>
      <c r="IP65" s="542"/>
      <c r="IQ65" s="542"/>
      <c r="IR65" s="542"/>
      <c r="IS65" s="542"/>
      <c r="IT65" s="542"/>
    </row>
    <row r="66" spans="1:254" ht="15" customHeight="1" x14ac:dyDescent="0.25">
      <c r="A66" s="35">
        <v>20</v>
      </c>
      <c r="B66" s="138">
        <v>0.37280000000000002</v>
      </c>
      <c r="C66" s="65"/>
      <c r="D66" s="37">
        <f t="shared" si="187"/>
        <v>0</v>
      </c>
      <c r="E66" s="251"/>
      <c r="F66" s="380"/>
      <c r="G66" s="37">
        <f t="shared" si="171"/>
        <v>0</v>
      </c>
      <c r="H66" s="138"/>
      <c r="I66" s="65"/>
      <c r="J66" s="37">
        <f t="shared" si="172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v>18</v>
      </c>
      <c r="DQ66" s="50">
        <v>8.2584</v>
      </c>
      <c r="DR66" s="49">
        <f t="shared" si="173"/>
        <v>0</v>
      </c>
      <c r="DS66" s="50">
        <v>51.348999999999997</v>
      </c>
      <c r="DT66" s="49">
        <f t="shared" si="189"/>
        <v>0</v>
      </c>
      <c r="EZ66" s="203">
        <f t="shared" si="175"/>
        <v>0</v>
      </c>
      <c r="FA66" s="205">
        <f t="shared" si="176"/>
        <v>0</v>
      </c>
      <c r="FB66" s="201">
        <f t="shared" si="177"/>
        <v>0</v>
      </c>
      <c r="FC66" s="380">
        <f t="shared" si="178"/>
        <v>1296.42</v>
      </c>
      <c r="FD66" s="167">
        <f t="shared" si="179"/>
        <v>-1296.42</v>
      </c>
      <c r="FE66" s="380"/>
      <c r="FF66" s="199"/>
      <c r="FG66" s="200"/>
      <c r="FH66" s="380">
        <f t="shared" si="181"/>
        <v>0</v>
      </c>
      <c r="FI66" s="179">
        <f t="shared" si="181"/>
        <v>0</v>
      </c>
      <c r="FJ66" s="179">
        <f t="shared" si="182"/>
        <v>0</v>
      </c>
      <c r="FK66" s="179">
        <f t="shared" si="183"/>
        <v>0</v>
      </c>
      <c r="FL66" s="204">
        <f t="shared" si="184"/>
        <v>0</v>
      </c>
      <c r="FM66" s="206">
        <f t="shared" si="184"/>
        <v>0</v>
      </c>
      <c r="FN66" s="202">
        <f t="shared" si="185"/>
        <v>0</v>
      </c>
      <c r="FQ66" s="217"/>
      <c r="FR66" s="394">
        <v>21</v>
      </c>
      <c r="FS66" s="251"/>
      <c r="FT66" s="380"/>
      <c r="FU66" s="392">
        <f t="shared" si="188"/>
        <v>0</v>
      </c>
      <c r="FV66" s="380">
        <f t="shared" si="169"/>
        <v>0</v>
      </c>
      <c r="FW66" s="380">
        <f t="shared" si="170"/>
        <v>0</v>
      </c>
      <c r="IH66" s="380">
        <v>21</v>
      </c>
      <c r="II66" s="144" t="str">
        <f>IFERROR(DailyNov!BX28+DailyNov!BY28-DailyNov!BZ28-DailyNov!CA28-[15]DailyONov!CB28-DailyNov!CC28-DailyNov!CD28-DailyNov!CF28-DailyNov!CE28,"-")</f>
        <v>-</v>
      </c>
      <c r="IJ66" s="251"/>
      <c r="IK66" s="380">
        <f t="shared" si="186"/>
        <v>0</v>
      </c>
      <c r="IL66" s="251"/>
      <c r="IO66" s="542"/>
      <c r="IP66" s="542"/>
      <c r="IQ66" s="542"/>
      <c r="IR66" s="542"/>
      <c r="IS66" s="542"/>
      <c r="IT66" s="542"/>
    </row>
    <row r="67" spans="1:254" ht="15" customHeight="1" x14ac:dyDescent="0.25">
      <c r="A67" s="35">
        <v>21</v>
      </c>
      <c r="B67" s="138">
        <v>0.37280000000000002</v>
      </c>
      <c r="C67" s="65"/>
      <c r="D67" s="37">
        <f t="shared" si="187"/>
        <v>0</v>
      </c>
      <c r="E67" s="251"/>
      <c r="F67" s="380"/>
      <c r="G67" s="37">
        <f t="shared" si="171"/>
        <v>0</v>
      </c>
      <c r="H67" s="138"/>
      <c r="I67" s="65"/>
      <c r="J67" s="37">
        <f t="shared" si="172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v>19</v>
      </c>
      <c r="DQ67" s="50">
        <v>8.2584</v>
      </c>
      <c r="DR67" s="49">
        <f t="shared" si="173"/>
        <v>0</v>
      </c>
      <c r="DS67" s="50">
        <v>51.348999999999997</v>
      </c>
      <c r="DT67" s="49">
        <f t="shared" si="189"/>
        <v>0</v>
      </c>
      <c r="EZ67" s="203">
        <f t="shared" si="175"/>
        <v>0</v>
      </c>
      <c r="FA67" s="205">
        <f t="shared" si="176"/>
        <v>0</v>
      </c>
      <c r="FB67" s="201">
        <f t="shared" si="177"/>
        <v>0</v>
      </c>
      <c r="FC67" s="380">
        <f t="shared" si="178"/>
        <v>1296.42</v>
      </c>
      <c r="FD67" s="167">
        <f t="shared" si="179"/>
        <v>-1296.42</v>
      </c>
      <c r="FE67" s="380"/>
      <c r="FF67" s="199"/>
      <c r="FG67" s="200"/>
      <c r="FH67" s="380">
        <f t="shared" si="181"/>
        <v>0</v>
      </c>
      <c r="FI67" s="179">
        <f t="shared" si="181"/>
        <v>0</v>
      </c>
      <c r="FJ67" s="179">
        <f t="shared" si="182"/>
        <v>0</v>
      </c>
      <c r="FK67" s="179">
        <f t="shared" si="183"/>
        <v>0</v>
      </c>
      <c r="FL67" s="204">
        <f t="shared" si="184"/>
        <v>0</v>
      </c>
      <c r="FM67" s="206">
        <f t="shared" si="184"/>
        <v>0</v>
      </c>
      <c r="FN67" s="202">
        <f t="shared" si="185"/>
        <v>0</v>
      </c>
      <c r="FQ67" s="217"/>
      <c r="FR67" s="394">
        <v>22</v>
      </c>
      <c r="FS67" s="251"/>
      <c r="FT67" s="380"/>
      <c r="FU67" s="392">
        <f t="shared" si="188"/>
        <v>0</v>
      </c>
      <c r="FV67" s="380">
        <f t="shared" si="169"/>
        <v>0</v>
      </c>
      <c r="FW67" s="380">
        <f t="shared" si="170"/>
        <v>0</v>
      </c>
      <c r="IH67" s="380">
        <v>22</v>
      </c>
      <c r="II67" s="144" t="str">
        <f>IFERROR(DailyNov!BX29+DailyNov!BY29-DailyNov!BZ29-DailyNov!CA29-[15]DailyONov!CB29-DailyNov!CC29-DailyNov!CD29-DailyNov!CF29-DailyNov!CE29,"-")</f>
        <v>-</v>
      </c>
      <c r="IJ67" s="251"/>
      <c r="IK67" s="380">
        <f t="shared" si="186"/>
        <v>0</v>
      </c>
      <c r="IL67" s="251"/>
      <c r="IO67" s="542"/>
      <c r="IP67" s="542"/>
      <c r="IQ67" s="542"/>
      <c r="IR67" s="542"/>
      <c r="IS67" s="542"/>
      <c r="IT67" s="542"/>
    </row>
    <row r="68" spans="1:254" ht="15" customHeight="1" x14ac:dyDescent="0.25">
      <c r="A68" s="35">
        <v>22</v>
      </c>
      <c r="B68" s="138">
        <v>0.37280000000000002</v>
      </c>
      <c r="C68" s="65"/>
      <c r="D68" s="37">
        <f t="shared" si="187"/>
        <v>0</v>
      </c>
      <c r="E68" s="251"/>
      <c r="F68" s="380"/>
      <c r="G68" s="37">
        <f t="shared" si="171"/>
        <v>0</v>
      </c>
      <c r="H68" s="138"/>
      <c r="I68" s="65"/>
      <c r="J68" s="37">
        <f t="shared" si="172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v>20</v>
      </c>
      <c r="DQ68" s="50">
        <v>8.2584</v>
      </c>
      <c r="DR68" s="49">
        <f t="shared" si="173"/>
        <v>0</v>
      </c>
      <c r="DS68" s="50">
        <v>51.348999999999997</v>
      </c>
      <c r="DT68" s="49">
        <f t="shared" si="189"/>
        <v>0</v>
      </c>
      <c r="EZ68" s="203">
        <f t="shared" si="175"/>
        <v>0</v>
      </c>
      <c r="FA68" s="205">
        <f t="shared" si="176"/>
        <v>0</v>
      </c>
      <c r="FB68" s="201">
        <f t="shared" si="177"/>
        <v>0</v>
      </c>
      <c r="FC68" s="380">
        <f t="shared" si="178"/>
        <v>1296.42</v>
      </c>
      <c r="FD68" s="167">
        <f t="shared" si="179"/>
        <v>-1296.42</v>
      </c>
      <c r="FE68" s="380"/>
      <c r="FF68" s="199"/>
      <c r="FG68" s="200"/>
      <c r="FH68" s="380">
        <f t="shared" si="181"/>
        <v>0</v>
      </c>
      <c r="FI68" s="179">
        <f t="shared" si="181"/>
        <v>0</v>
      </c>
      <c r="FJ68" s="179">
        <f t="shared" si="182"/>
        <v>0</v>
      </c>
      <c r="FK68" s="179">
        <f t="shared" si="183"/>
        <v>0</v>
      </c>
      <c r="FL68" s="204">
        <f t="shared" si="184"/>
        <v>0</v>
      </c>
      <c r="FM68" s="206">
        <f t="shared" si="184"/>
        <v>0</v>
      </c>
      <c r="FN68" s="202">
        <f t="shared" si="185"/>
        <v>0</v>
      </c>
      <c r="FQ68" s="217"/>
      <c r="FR68" s="394">
        <v>23</v>
      </c>
      <c r="FS68" s="251"/>
      <c r="FT68" s="380"/>
      <c r="FU68" s="392">
        <f t="shared" si="188"/>
        <v>0</v>
      </c>
      <c r="FV68" s="380">
        <f t="shared" si="169"/>
        <v>0</v>
      </c>
      <c r="FW68" s="380">
        <f t="shared" si="170"/>
        <v>0</v>
      </c>
      <c r="IH68" s="380">
        <v>23</v>
      </c>
      <c r="II68" s="144" t="str">
        <f>IFERROR(DailyNov!BX30+DailyNov!BY30-DailyNov!BZ30-DailyNov!CA30-[15]DailyONov!CB30-DailyNov!CC30-DailyNov!CD30-DailyNov!CF30-DailyNov!CE30,"-")</f>
        <v>-</v>
      </c>
      <c r="IJ68" s="251"/>
      <c r="IK68" s="380">
        <f t="shared" si="186"/>
        <v>0</v>
      </c>
      <c r="IL68" s="251"/>
      <c r="IO68" s="542"/>
      <c r="IP68" s="542"/>
      <c r="IQ68" s="542"/>
      <c r="IR68" s="542"/>
      <c r="IS68" s="542"/>
      <c r="IT68" s="542"/>
    </row>
    <row r="69" spans="1:254" ht="15" customHeight="1" x14ac:dyDescent="0.25">
      <c r="A69" s="35">
        <v>23</v>
      </c>
      <c r="B69" s="138">
        <v>0.37280000000000002</v>
      </c>
      <c r="C69" s="65"/>
      <c r="D69" s="37">
        <f t="shared" si="187"/>
        <v>0</v>
      </c>
      <c r="E69" s="251"/>
      <c r="F69" s="380"/>
      <c r="G69" s="37">
        <f t="shared" si="171"/>
        <v>0</v>
      </c>
      <c r="H69" s="138"/>
      <c r="I69" s="65"/>
      <c r="J69" s="37">
        <f t="shared" si="172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v>21</v>
      </c>
      <c r="DQ69" s="50">
        <v>8.2584</v>
      </c>
      <c r="DR69" s="49">
        <f t="shared" si="173"/>
        <v>0</v>
      </c>
      <c r="DS69" s="50">
        <v>51.348999999999997</v>
      </c>
      <c r="DT69" s="49">
        <f t="shared" si="189"/>
        <v>0</v>
      </c>
      <c r="EZ69" s="203">
        <f t="shared" si="175"/>
        <v>0</v>
      </c>
      <c r="FA69" s="205">
        <f t="shared" si="176"/>
        <v>0</v>
      </c>
      <c r="FB69" s="201">
        <f t="shared" si="177"/>
        <v>0</v>
      </c>
      <c r="FC69" s="380">
        <f t="shared" si="178"/>
        <v>1296.42</v>
      </c>
      <c r="FD69" s="167">
        <f t="shared" si="179"/>
        <v>-1296.42</v>
      </c>
      <c r="FE69" s="380"/>
      <c r="FF69" s="199"/>
      <c r="FG69" s="200"/>
      <c r="FH69" s="380">
        <f t="shared" si="181"/>
        <v>0</v>
      </c>
      <c r="FI69" s="179">
        <f t="shared" si="181"/>
        <v>0</v>
      </c>
      <c r="FJ69" s="179">
        <f t="shared" si="182"/>
        <v>0</v>
      </c>
      <c r="FK69" s="179">
        <f t="shared" si="183"/>
        <v>0</v>
      </c>
      <c r="FL69" s="204">
        <f t="shared" si="184"/>
        <v>0</v>
      </c>
      <c r="FM69" s="206">
        <f t="shared" si="184"/>
        <v>0</v>
      </c>
      <c r="FN69" s="202">
        <f t="shared" si="185"/>
        <v>0</v>
      </c>
      <c r="FQ69" s="217"/>
      <c r="FR69" s="394">
        <v>24</v>
      </c>
      <c r="FS69" s="251"/>
      <c r="FT69" s="380"/>
      <c r="FU69" s="392">
        <f t="shared" si="188"/>
        <v>0</v>
      </c>
      <c r="FV69" s="380">
        <f t="shared" si="169"/>
        <v>0</v>
      </c>
      <c r="FW69" s="380">
        <f t="shared" si="170"/>
        <v>0</v>
      </c>
      <c r="IH69" s="380">
        <v>24</v>
      </c>
      <c r="II69" s="144" t="str">
        <f>IFERROR(DailyNov!BX31+DailyNov!BY31-DailyNov!BZ31-DailyNov!CA31-[15]DailyONov!CB31-DailyNov!CC31-DailyNov!CD31-DailyNov!CF31-DailyNov!CE31,"-")</f>
        <v>-</v>
      </c>
      <c r="IJ69" s="251"/>
      <c r="IK69" s="380">
        <f t="shared" si="186"/>
        <v>0</v>
      </c>
      <c r="IL69" s="251"/>
    </row>
    <row r="70" spans="1:254" ht="15" customHeight="1" x14ac:dyDescent="0.25">
      <c r="A70" s="35">
        <v>24</v>
      </c>
      <c r="B70" s="138">
        <v>0.37280000000000002</v>
      </c>
      <c r="C70" s="65"/>
      <c r="D70" s="37">
        <f t="shared" si="187"/>
        <v>0</v>
      </c>
      <c r="E70" s="251"/>
      <c r="F70" s="380"/>
      <c r="G70" s="37">
        <f t="shared" si="171"/>
        <v>0</v>
      </c>
      <c r="H70" s="138"/>
      <c r="I70" s="65"/>
      <c r="J70" s="37">
        <f t="shared" si="172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v>22</v>
      </c>
      <c r="DQ70" s="50">
        <v>8.2584</v>
      </c>
      <c r="DR70" s="49">
        <f t="shared" si="173"/>
        <v>0</v>
      </c>
      <c r="DS70" s="50">
        <v>51.348999999999997</v>
      </c>
      <c r="DT70" s="49">
        <f t="shared" si="189"/>
        <v>0</v>
      </c>
      <c r="EZ70" s="203">
        <f t="shared" si="175"/>
        <v>0</v>
      </c>
      <c r="FA70" s="205">
        <f t="shared" si="176"/>
        <v>0</v>
      </c>
      <c r="FB70" s="201">
        <f t="shared" si="177"/>
        <v>0</v>
      </c>
      <c r="FC70" s="380">
        <f t="shared" si="178"/>
        <v>1296.42</v>
      </c>
      <c r="FD70" s="167">
        <f t="shared" si="179"/>
        <v>-1296.42</v>
      </c>
      <c r="FE70" s="380"/>
      <c r="FF70" s="199"/>
      <c r="FG70" s="200"/>
      <c r="FH70" s="380">
        <f t="shared" si="181"/>
        <v>0</v>
      </c>
      <c r="FI70" s="179">
        <f t="shared" si="181"/>
        <v>0</v>
      </c>
      <c r="FJ70" s="179">
        <f t="shared" si="182"/>
        <v>0</v>
      </c>
      <c r="FK70" s="179">
        <f t="shared" si="183"/>
        <v>0</v>
      </c>
      <c r="FL70" s="204">
        <f t="shared" si="184"/>
        <v>0</v>
      </c>
      <c r="FM70" s="206">
        <f t="shared" si="184"/>
        <v>0</v>
      </c>
      <c r="FN70" s="202">
        <f t="shared" si="185"/>
        <v>0</v>
      </c>
      <c r="FQ70" s="217"/>
      <c r="FR70" s="394">
        <v>25</v>
      </c>
      <c r="FS70" s="251"/>
      <c r="FT70" s="380"/>
      <c r="FU70" s="392">
        <f t="shared" si="188"/>
        <v>0</v>
      </c>
      <c r="FV70" s="380">
        <f t="shared" si="169"/>
        <v>0</v>
      </c>
      <c r="FW70" s="380">
        <f t="shared" si="170"/>
        <v>0</v>
      </c>
      <c r="IH70" s="380">
        <v>25</v>
      </c>
      <c r="II70" s="144" t="str">
        <f>IFERROR(DailyNov!BX32+DailyNov!BY32-DailyNov!BZ32-DailyNov!CA32-[15]DailyONov!CB32-DailyNov!CC32-DailyNov!CD32-DailyNov!CF32-DailyNov!CE32,"-")</f>
        <v>-</v>
      </c>
      <c r="IJ70" s="251"/>
      <c r="IK70" s="380">
        <f t="shared" si="186"/>
        <v>0</v>
      </c>
      <c r="IL70" s="251"/>
    </row>
    <row r="71" spans="1:254" ht="15" customHeight="1" x14ac:dyDescent="0.25">
      <c r="A71" s="35">
        <v>25</v>
      </c>
      <c r="B71" s="138">
        <v>0.37280000000000002</v>
      </c>
      <c r="C71" s="65"/>
      <c r="D71" s="37">
        <f t="shared" si="187"/>
        <v>0</v>
      </c>
      <c r="E71" s="251"/>
      <c r="F71" s="380"/>
      <c r="G71" s="37">
        <f t="shared" si="171"/>
        <v>0</v>
      </c>
      <c r="H71" s="138"/>
      <c r="I71" s="65"/>
      <c r="J71" s="37">
        <f t="shared" si="172"/>
        <v>0</v>
      </c>
      <c r="AL71" s="103"/>
      <c r="AM71" s="103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v>23</v>
      </c>
      <c r="DQ71" s="50">
        <v>8.2584</v>
      </c>
      <c r="DR71" s="49">
        <f t="shared" si="173"/>
        <v>0</v>
      </c>
      <c r="DS71" s="50">
        <v>51.348999999999997</v>
      </c>
      <c r="DT71" s="49">
        <f t="shared" si="189"/>
        <v>0</v>
      </c>
      <c r="EZ71" s="203">
        <f t="shared" si="175"/>
        <v>0</v>
      </c>
      <c r="FA71" s="205">
        <f t="shared" si="176"/>
        <v>0</v>
      </c>
      <c r="FB71" s="201">
        <f t="shared" si="177"/>
        <v>0</v>
      </c>
      <c r="FC71" s="380">
        <f t="shared" si="178"/>
        <v>1296.42</v>
      </c>
      <c r="FD71" s="167">
        <f t="shared" si="179"/>
        <v>-1296.42</v>
      </c>
      <c r="FE71" s="380"/>
      <c r="FF71" s="199"/>
      <c r="FG71" s="200"/>
      <c r="FH71" s="380">
        <f t="shared" si="181"/>
        <v>0</v>
      </c>
      <c r="FI71" s="179">
        <f t="shared" si="181"/>
        <v>0</v>
      </c>
      <c r="FJ71" s="179">
        <f t="shared" si="182"/>
        <v>0</v>
      </c>
      <c r="FK71" s="179">
        <f t="shared" si="183"/>
        <v>0</v>
      </c>
      <c r="FL71" s="204">
        <f t="shared" si="184"/>
        <v>0</v>
      </c>
      <c r="FM71" s="206">
        <f t="shared" si="184"/>
        <v>0</v>
      </c>
      <c r="FN71" s="202">
        <f t="shared" si="185"/>
        <v>0</v>
      </c>
      <c r="FQ71" s="217"/>
      <c r="FR71" s="394">
        <v>26</v>
      </c>
      <c r="FS71" s="251"/>
      <c r="FT71" s="380"/>
      <c r="FU71" s="392">
        <f t="shared" si="188"/>
        <v>0</v>
      </c>
      <c r="FV71" s="380">
        <f t="shared" si="169"/>
        <v>0</v>
      </c>
      <c r="FW71" s="380">
        <f t="shared" si="170"/>
        <v>0</v>
      </c>
      <c r="IH71" s="380">
        <v>26</v>
      </c>
      <c r="II71" s="144" t="str">
        <f>IFERROR(DailyNov!BX33+DailyNov!BY33-DailyNov!BZ33-DailyNov!CA33-[15]DailyONov!CB33-DailyNov!CC33-DailyNov!CD33-DailyNov!CF33-DailyNov!CE33,"-")</f>
        <v>-</v>
      </c>
      <c r="IJ71" s="251"/>
      <c r="IK71" s="380">
        <f t="shared" si="186"/>
        <v>0</v>
      </c>
      <c r="IL71" s="251"/>
    </row>
    <row r="72" spans="1:254" ht="15" customHeight="1" x14ac:dyDescent="0.25">
      <c r="A72" s="35">
        <v>26</v>
      </c>
      <c r="B72" s="138">
        <v>0.37280000000000002</v>
      </c>
      <c r="C72" s="65"/>
      <c r="D72" s="37">
        <f t="shared" si="187"/>
        <v>0</v>
      </c>
      <c r="E72" s="251"/>
      <c r="F72" s="380"/>
      <c r="G72" s="37">
        <f t="shared" si="171"/>
        <v>0</v>
      </c>
      <c r="H72" s="138"/>
      <c r="I72" s="65"/>
      <c r="J72" s="37">
        <f t="shared" si="172"/>
        <v>0</v>
      </c>
      <c r="AL72" s="103"/>
      <c r="AM72" s="99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v>24</v>
      </c>
      <c r="DQ72" s="50">
        <v>8.2584</v>
      </c>
      <c r="DR72" s="49">
        <f t="shared" si="173"/>
        <v>0</v>
      </c>
      <c r="DS72" s="50">
        <v>51.348999999999997</v>
      </c>
      <c r="DT72" s="49">
        <f t="shared" si="189"/>
        <v>0</v>
      </c>
      <c r="EZ72" s="203">
        <f t="shared" si="175"/>
        <v>0</v>
      </c>
      <c r="FA72" s="205">
        <f t="shared" si="176"/>
        <v>0</v>
      </c>
      <c r="FB72" s="201">
        <f t="shared" si="177"/>
        <v>0</v>
      </c>
      <c r="FC72" s="380">
        <f t="shared" si="178"/>
        <v>1296.42</v>
      </c>
      <c r="FD72" s="167">
        <f t="shared" si="179"/>
        <v>-1296.42</v>
      </c>
      <c r="FE72" s="380"/>
      <c r="FF72" s="199"/>
      <c r="FG72" s="200"/>
      <c r="FH72" s="380">
        <f t="shared" si="181"/>
        <v>0</v>
      </c>
      <c r="FI72" s="179">
        <f t="shared" si="181"/>
        <v>0</v>
      </c>
      <c r="FJ72" s="179">
        <f t="shared" si="182"/>
        <v>0</v>
      </c>
      <c r="FK72" s="179">
        <f t="shared" si="183"/>
        <v>0</v>
      </c>
      <c r="FL72" s="204">
        <f t="shared" si="184"/>
        <v>0</v>
      </c>
      <c r="FM72" s="206">
        <f t="shared" si="184"/>
        <v>0</v>
      </c>
      <c r="FN72" s="202">
        <f t="shared" si="185"/>
        <v>0</v>
      </c>
      <c r="FQ72" s="217"/>
      <c r="FR72" s="394">
        <v>27</v>
      </c>
      <c r="FS72" s="251"/>
      <c r="FT72" s="380"/>
      <c r="FU72" s="392">
        <f t="shared" si="188"/>
        <v>0</v>
      </c>
      <c r="FV72" s="380">
        <f t="shared" si="169"/>
        <v>0</v>
      </c>
      <c r="FW72" s="380">
        <f t="shared" si="170"/>
        <v>0</v>
      </c>
      <c r="IH72" s="380">
        <v>27</v>
      </c>
      <c r="II72" s="144" t="str">
        <f>IFERROR(DailyNov!BX34+DailyNov!BY34-DailyNov!BZ34-DailyNov!CA34-[15]DailyONov!CB34-DailyNov!CC34-DailyNov!CD34-DailyNov!CF34-DailyNov!CE34,"-")</f>
        <v>-</v>
      </c>
      <c r="IJ72" s="251"/>
      <c r="IK72" s="380">
        <f t="shared" si="186"/>
        <v>0</v>
      </c>
      <c r="IL72" s="251"/>
    </row>
    <row r="73" spans="1:254" ht="15" customHeight="1" x14ac:dyDescent="0.25">
      <c r="A73" s="35">
        <v>27</v>
      </c>
      <c r="B73" s="138">
        <v>0.37280000000000002</v>
      </c>
      <c r="C73" s="65"/>
      <c r="D73" s="37">
        <f t="shared" si="187"/>
        <v>0</v>
      </c>
      <c r="E73" s="251"/>
      <c r="F73" s="380"/>
      <c r="G73" s="37">
        <f t="shared" si="171"/>
        <v>0</v>
      </c>
      <c r="H73" s="138"/>
      <c r="I73" s="65"/>
      <c r="J73" s="37">
        <f t="shared" si="172"/>
        <v>0</v>
      </c>
      <c r="AL73" s="103"/>
      <c r="AM73" s="103"/>
      <c r="AN73" s="96"/>
      <c r="AP73" s="96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CC73" s="91"/>
      <c r="CD73" s="91"/>
      <c r="CE73" s="96"/>
      <c r="CF73" s="98"/>
      <c r="CG73" s="96"/>
      <c r="DO73" s="3"/>
      <c r="DP73">
        <v>25</v>
      </c>
      <c r="DQ73" s="50">
        <v>8.2584</v>
      </c>
      <c r="DR73" s="49">
        <f t="shared" si="173"/>
        <v>0</v>
      </c>
      <c r="DS73" s="50">
        <v>51.348999999999997</v>
      </c>
      <c r="DT73" s="49">
        <f t="shared" si="189"/>
        <v>0</v>
      </c>
      <c r="EZ73" s="203">
        <f t="shared" si="175"/>
        <v>0</v>
      </c>
      <c r="FA73" s="205">
        <f t="shared" si="176"/>
        <v>0</v>
      </c>
      <c r="FB73" s="201">
        <f t="shared" si="177"/>
        <v>0</v>
      </c>
      <c r="FC73" s="380">
        <f t="shared" si="178"/>
        <v>1296.42</v>
      </c>
      <c r="FD73" s="167">
        <f t="shared" si="179"/>
        <v>-1296.42</v>
      </c>
      <c r="FE73" s="380"/>
      <c r="FF73" s="199"/>
      <c r="FG73" s="200"/>
      <c r="FH73" s="380">
        <f t="shared" si="181"/>
        <v>0</v>
      </c>
      <c r="FI73" s="179">
        <f t="shared" si="181"/>
        <v>0</v>
      </c>
      <c r="FJ73" s="179">
        <f t="shared" si="182"/>
        <v>0</v>
      </c>
      <c r="FK73" s="179">
        <f t="shared" si="183"/>
        <v>0</v>
      </c>
      <c r="FL73" s="204">
        <f t="shared" si="184"/>
        <v>0</v>
      </c>
      <c r="FM73" s="206">
        <f t="shared" si="184"/>
        <v>0</v>
      </c>
      <c r="FN73" s="202">
        <f t="shared" si="185"/>
        <v>0</v>
      </c>
      <c r="FQ73" s="217"/>
      <c r="FR73" s="394">
        <v>28</v>
      </c>
      <c r="FS73" s="251"/>
      <c r="FT73" s="380"/>
      <c r="FU73" s="392">
        <f t="shared" si="188"/>
        <v>0</v>
      </c>
      <c r="FV73" s="380">
        <f t="shared" si="169"/>
        <v>0</v>
      </c>
      <c r="FW73" s="380">
        <f t="shared" si="170"/>
        <v>0</v>
      </c>
      <c r="IH73" s="380">
        <v>28</v>
      </c>
      <c r="II73" s="144" t="str">
        <f>IFERROR(DailyNov!BX35+DailyNov!BY35-DailyNov!BZ35-DailyNov!CA35-[15]DailyONov!CB35-DailyNov!CC35-DailyNov!CD35-DailyNov!CF35-DailyNov!CE35,"-")</f>
        <v>-</v>
      </c>
      <c r="IJ73" s="251"/>
      <c r="IK73" s="380">
        <f t="shared" si="186"/>
        <v>0</v>
      </c>
      <c r="IL73" s="251"/>
    </row>
    <row r="74" spans="1:254" ht="15" customHeight="1" x14ac:dyDescent="0.25">
      <c r="A74" s="35">
        <v>28</v>
      </c>
      <c r="B74" s="138">
        <v>0.37280000000000002</v>
      </c>
      <c r="C74" s="65"/>
      <c r="D74" s="37">
        <f t="shared" si="187"/>
        <v>0</v>
      </c>
      <c r="E74" s="251"/>
      <c r="F74" s="380"/>
      <c r="G74" s="37">
        <f t="shared" si="171"/>
        <v>0</v>
      </c>
      <c r="H74" s="138"/>
      <c r="I74" s="65"/>
      <c r="J74" s="37">
        <f t="shared" si="172"/>
        <v>0</v>
      </c>
      <c r="AL74" s="103"/>
      <c r="AM74" s="103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v>26</v>
      </c>
      <c r="DQ74" s="50">
        <v>8.2584</v>
      </c>
      <c r="DR74" s="49">
        <f t="shared" si="173"/>
        <v>0</v>
      </c>
      <c r="DS74" s="50">
        <v>51.348999999999997</v>
      </c>
      <c r="DT74" s="49">
        <f t="shared" si="189"/>
        <v>0</v>
      </c>
      <c r="EZ74" s="203">
        <f t="shared" si="175"/>
        <v>0</v>
      </c>
      <c r="FA74" s="205">
        <f t="shared" si="176"/>
        <v>0</v>
      </c>
      <c r="FB74" s="201">
        <f t="shared" si="177"/>
        <v>0</v>
      </c>
      <c r="FC74" s="380">
        <f t="shared" si="178"/>
        <v>1296.42</v>
      </c>
      <c r="FD74" s="167">
        <f t="shared" si="179"/>
        <v>-1296.42</v>
      </c>
      <c r="FE74" s="380"/>
      <c r="FF74" s="199"/>
      <c r="FG74" s="200"/>
      <c r="FH74" s="380">
        <f t="shared" si="181"/>
        <v>0</v>
      </c>
      <c r="FI74" s="179">
        <f t="shared" si="181"/>
        <v>0</v>
      </c>
      <c r="FJ74" s="179">
        <f t="shared" si="182"/>
        <v>0</v>
      </c>
      <c r="FK74" s="179">
        <f t="shared" si="183"/>
        <v>0</v>
      </c>
      <c r="FL74" s="204">
        <f t="shared" si="184"/>
        <v>0</v>
      </c>
      <c r="FM74" s="206">
        <f t="shared" si="184"/>
        <v>0</v>
      </c>
      <c r="FN74" s="202">
        <f t="shared" si="185"/>
        <v>0</v>
      </c>
      <c r="FQ74" s="217"/>
      <c r="FR74" s="394">
        <v>29</v>
      </c>
      <c r="FS74" s="251"/>
      <c r="FT74" s="380"/>
      <c r="FU74" s="392">
        <f t="shared" si="188"/>
        <v>0</v>
      </c>
      <c r="FV74" s="380">
        <f t="shared" si="169"/>
        <v>0</v>
      </c>
      <c r="FW74" s="380">
        <f t="shared" si="170"/>
        <v>0</v>
      </c>
      <c r="IH74" s="380">
        <v>29</v>
      </c>
      <c r="II74" s="144" t="str">
        <f>IFERROR(DailyNov!BX36+DailyNov!BY36-DailyNov!BZ36-DailyNov!CA36-[15]DailyONov!CB36-DailyNov!CC36-DailyNov!CD36-DailyNov!CF36-DailyNov!CE36,"-")</f>
        <v>-</v>
      </c>
      <c r="IJ74" s="251"/>
      <c r="IK74" s="380">
        <f t="shared" si="186"/>
        <v>0</v>
      </c>
      <c r="IL74" s="251"/>
    </row>
    <row r="75" spans="1:254" ht="15" customHeight="1" x14ac:dyDescent="0.25">
      <c r="A75" s="35">
        <v>29</v>
      </c>
      <c r="B75" s="138">
        <v>0.37280000000000002</v>
      </c>
      <c r="C75" s="65"/>
      <c r="D75" s="37">
        <f t="shared" si="187"/>
        <v>0</v>
      </c>
      <c r="E75" s="251"/>
      <c r="F75" s="380"/>
      <c r="G75" s="37">
        <f t="shared" si="171"/>
        <v>0</v>
      </c>
      <c r="H75" s="138"/>
      <c r="I75" s="65"/>
      <c r="J75" s="37">
        <f t="shared" si="172"/>
        <v>0</v>
      </c>
      <c r="O75" s="24"/>
      <c r="AL75" s="103"/>
      <c r="AM75" s="99"/>
      <c r="AN75" s="96"/>
      <c r="AP75" s="99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27</v>
      </c>
      <c r="DQ75" s="50">
        <v>8.2584</v>
      </c>
      <c r="DR75" s="49">
        <f t="shared" si="173"/>
        <v>0</v>
      </c>
      <c r="DS75" s="50">
        <v>51.348999999999997</v>
      </c>
      <c r="DT75" s="49">
        <f t="shared" si="189"/>
        <v>0</v>
      </c>
      <c r="EZ75" s="203">
        <f t="shared" si="175"/>
        <v>0</v>
      </c>
      <c r="FA75" s="205">
        <f t="shared" si="176"/>
        <v>0</v>
      </c>
      <c r="FB75" s="201">
        <f t="shared" si="177"/>
        <v>0</v>
      </c>
      <c r="FC75" s="380">
        <f t="shared" si="178"/>
        <v>1296.42</v>
      </c>
      <c r="FD75" s="167">
        <f t="shared" si="179"/>
        <v>-1296.42</v>
      </c>
      <c r="FE75" s="380"/>
      <c r="FF75" s="199"/>
      <c r="FG75" s="200"/>
      <c r="FH75" s="380">
        <f t="shared" si="181"/>
        <v>0</v>
      </c>
      <c r="FI75" s="179">
        <f t="shared" si="181"/>
        <v>0</v>
      </c>
      <c r="FJ75" s="179">
        <f t="shared" si="182"/>
        <v>0</v>
      </c>
      <c r="FK75" s="179">
        <f t="shared" si="183"/>
        <v>0</v>
      </c>
      <c r="FL75" s="204">
        <f t="shared" si="184"/>
        <v>0</v>
      </c>
      <c r="FM75" s="206">
        <f t="shared" si="184"/>
        <v>0</v>
      </c>
      <c r="FN75" s="202">
        <f t="shared" si="185"/>
        <v>0</v>
      </c>
      <c r="FQ75" s="217"/>
      <c r="FR75" s="394">
        <v>30</v>
      </c>
      <c r="FS75" s="251"/>
      <c r="FT75" s="380"/>
      <c r="FU75" s="392">
        <f t="shared" si="188"/>
        <v>0</v>
      </c>
      <c r="FV75" s="380">
        <f t="shared" si="169"/>
        <v>0</v>
      </c>
      <c r="FW75" s="380">
        <f t="shared" si="170"/>
        <v>0</v>
      </c>
      <c r="IH75" s="34">
        <v>30</v>
      </c>
      <c r="II75" s="144" t="str">
        <f>IFERROR(DailyNov!BX37+DailyNov!BY37-DailyNov!BZ37-DailyNov!CA37-[15]DailyONov!CB37-DailyNov!CC37-DailyNov!CD37-DailyNov!CF37-DailyNov!CE37,"-")</f>
        <v>-</v>
      </c>
      <c r="IJ75" s="251"/>
      <c r="IK75" s="380">
        <f t="shared" si="186"/>
        <v>0</v>
      </c>
      <c r="IL75" s="251"/>
    </row>
    <row r="76" spans="1:254" ht="15" customHeight="1" x14ac:dyDescent="0.25">
      <c r="A76" s="35">
        <v>30</v>
      </c>
      <c r="B76" s="138">
        <v>0.37280000000000002</v>
      </c>
      <c r="C76" s="65"/>
      <c r="D76" s="37">
        <f t="shared" si="187"/>
        <v>0</v>
      </c>
      <c r="E76" s="251"/>
      <c r="F76" s="380"/>
      <c r="G76" s="37">
        <f t="shared" si="171"/>
        <v>0</v>
      </c>
      <c r="H76" s="138"/>
      <c r="I76" s="65"/>
      <c r="J76" s="37">
        <f t="shared" si="172"/>
        <v>0</v>
      </c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28</v>
      </c>
      <c r="DQ76" s="50">
        <v>8.2584</v>
      </c>
      <c r="DR76" s="49">
        <f t="shared" si="173"/>
        <v>0</v>
      </c>
      <c r="DS76" s="50">
        <v>51.348999999999997</v>
      </c>
      <c r="DT76" s="49">
        <f t="shared" si="189"/>
        <v>0</v>
      </c>
      <c r="EZ76" s="203">
        <f t="shared" si="175"/>
        <v>0</v>
      </c>
      <c r="FA76" s="205">
        <f t="shared" si="176"/>
        <v>0</v>
      </c>
      <c r="FB76" s="201">
        <f t="shared" si="177"/>
        <v>0</v>
      </c>
      <c r="FC76" s="380">
        <f t="shared" si="178"/>
        <v>1296.42</v>
      </c>
      <c r="FD76" s="167">
        <f t="shared" si="179"/>
        <v>-1296.42</v>
      </c>
      <c r="FE76" s="380"/>
      <c r="FF76" s="199"/>
      <c r="FG76" s="200"/>
      <c r="FH76" s="380">
        <f t="shared" si="181"/>
        <v>0</v>
      </c>
      <c r="FI76" s="179">
        <f t="shared" si="181"/>
        <v>0</v>
      </c>
      <c r="FJ76" s="179">
        <f t="shared" si="182"/>
        <v>0</v>
      </c>
      <c r="FK76" s="179">
        <f t="shared" si="183"/>
        <v>0</v>
      </c>
      <c r="FL76" s="204">
        <f t="shared" si="184"/>
        <v>0</v>
      </c>
      <c r="FM76" s="206">
        <f t="shared" si="184"/>
        <v>0</v>
      </c>
      <c r="FN76" s="202">
        <f t="shared" si="185"/>
        <v>0</v>
      </c>
      <c r="FQ76" s="217"/>
      <c r="FR76" s="394">
        <v>31</v>
      </c>
      <c r="FS76" s="251"/>
      <c r="FT76" s="380"/>
      <c r="FU76" s="392">
        <f t="shared" si="188"/>
        <v>0</v>
      </c>
      <c r="FV76" s="380">
        <f t="shared" si="169"/>
        <v>0</v>
      </c>
      <c r="FW76" s="380">
        <f t="shared" si="170"/>
        <v>0</v>
      </c>
      <c r="IH76" s="34">
        <v>1</v>
      </c>
      <c r="II76" s="144" t="str">
        <f>IFERROR(DailyNov!BX37+DailyNov!BY37-DailyNov!BZ37-DailyNov!CA37-[15]DailyONov!CB37-DailyNov!CC37-DailyOct!CD37-DailyNov!CF37-DailyNov!CE37,"-")</f>
        <v>-</v>
      </c>
      <c r="IJ76" s="251"/>
      <c r="IK76" s="380">
        <f t="shared" si="186"/>
        <v>0</v>
      </c>
      <c r="IL76" s="251"/>
    </row>
    <row r="77" spans="1:254" ht="15" customHeight="1" x14ac:dyDescent="0.25">
      <c r="A77" s="35">
        <v>31</v>
      </c>
      <c r="B77" s="138">
        <v>0.37280000000000002</v>
      </c>
      <c r="C77" s="65"/>
      <c r="D77" s="37">
        <f t="shared" si="187"/>
        <v>0</v>
      </c>
      <c r="E77" s="251"/>
      <c r="F77" s="380"/>
      <c r="G77" s="37">
        <f t="shared" si="171"/>
        <v>0</v>
      </c>
      <c r="H77" s="138"/>
      <c r="I77" s="65"/>
      <c r="J77" s="37">
        <f t="shared" si="172"/>
        <v>0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28</v>
      </c>
      <c r="DQ77" s="50">
        <v>8.2584</v>
      </c>
      <c r="DR77" s="49">
        <f t="shared" si="173"/>
        <v>0</v>
      </c>
      <c r="DS77" s="50">
        <v>51.348999999999997</v>
      </c>
      <c r="DT77" s="49">
        <f t="shared" si="189"/>
        <v>0</v>
      </c>
      <c r="EZ77" s="167">
        <f>EZ40</f>
        <v>0</v>
      </c>
      <c r="FA77" s="167">
        <f t="shared" si="176"/>
        <v>0</v>
      </c>
      <c r="FB77" s="167">
        <f t="shared" si="177"/>
        <v>0</v>
      </c>
      <c r="FC77" s="380"/>
      <c r="FD77" s="167">
        <f t="shared" si="179"/>
        <v>-1296.42</v>
      </c>
      <c r="FE77" s="380"/>
      <c r="FF77" s="199"/>
      <c r="FG77" s="200"/>
      <c r="FH77" s="380">
        <f t="shared" ref="FH77:FI77" si="190">FF77*$FC$46</f>
        <v>0</v>
      </c>
      <c r="FI77" s="179">
        <f t="shared" si="190"/>
        <v>0</v>
      </c>
      <c r="FJ77" s="179">
        <f t="shared" si="182"/>
        <v>0</v>
      </c>
      <c r="FK77" s="179">
        <f t="shared" si="183"/>
        <v>0</v>
      </c>
      <c r="FL77" s="204">
        <f t="shared" ref="FL77:FM77" si="191">FH77+FJ77</f>
        <v>0</v>
      </c>
      <c r="FM77" s="206">
        <f t="shared" si="191"/>
        <v>0</v>
      </c>
      <c r="FN77" s="202">
        <f t="shared" si="185"/>
        <v>0</v>
      </c>
      <c r="FQ77" s="217"/>
      <c r="FR77" s="380">
        <v>1</v>
      </c>
      <c r="FS77" s="251"/>
      <c r="FT77" s="380"/>
      <c r="FU77" s="392">
        <f t="shared" si="188"/>
        <v>0</v>
      </c>
      <c r="FV77" s="380">
        <f t="shared" si="169"/>
        <v>0</v>
      </c>
      <c r="FW77" s="380">
        <f t="shared" si="170"/>
        <v>0</v>
      </c>
      <c r="IH77" s="34">
        <v>1</v>
      </c>
      <c r="II77" s="144">
        <f>DailyOct!BX38+DailyOct!BY38-DailyOct!BZ38-DailyOct!CA38-DailyOct!CB38-DailyOct!CC38-DailyOct!CD38-DailyOct!CF38-DailyOct!CE38</f>
        <v>2.3283064365386963E-10</v>
      </c>
      <c r="IJ77" s="251"/>
      <c r="IK77" s="380">
        <f t="shared" si="186"/>
        <v>0</v>
      </c>
      <c r="IL77" s="251"/>
    </row>
    <row r="78" spans="1:254" ht="15.75" thickBot="1" x14ac:dyDescent="0.3">
      <c r="A78" s="157">
        <v>1</v>
      </c>
      <c r="B78" s="138"/>
      <c r="C78" s="65"/>
      <c r="D78" s="37"/>
      <c r="E78" s="251"/>
      <c r="F78" s="380"/>
      <c r="G78" s="37"/>
      <c r="H78" s="138"/>
      <c r="I78" s="65"/>
      <c r="J78" s="37"/>
      <c r="L78" s="380">
        <v>31</v>
      </c>
      <c r="M78" s="59">
        <v>-2986.31</v>
      </c>
      <c r="N78" s="380">
        <v>7.0000000000000007E-2</v>
      </c>
      <c r="O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H78" s="96"/>
      <c r="BI78" s="96"/>
      <c r="BJ78" s="96"/>
      <c r="DO78" s="3"/>
      <c r="DP78">
        <v>30</v>
      </c>
      <c r="DQ78" s="50">
        <v>8.2584</v>
      </c>
      <c r="DR78" s="49">
        <f t="shared" si="173"/>
        <v>0</v>
      </c>
      <c r="DS78" s="50">
        <v>51.348999999999997</v>
      </c>
      <c r="DT78" s="49">
        <f t="shared" si="189"/>
        <v>0</v>
      </c>
      <c r="EZ78" s="91"/>
    </row>
    <row r="79" spans="1:254" ht="15.75" thickBot="1" x14ac:dyDescent="0.3">
      <c r="B79" s="137"/>
      <c r="C79" s="55"/>
      <c r="D79" s="78">
        <f>SUM(D47:D76)</f>
        <v>0</v>
      </c>
      <c r="E79" s="380"/>
      <c r="F79" s="380"/>
      <c r="G79" s="167">
        <f>SUM(G47:G78)</f>
        <v>83000</v>
      </c>
      <c r="H79" s="137"/>
      <c r="I79" s="55"/>
      <c r="J79" s="55"/>
      <c r="M79" s="24"/>
      <c r="O79" s="62"/>
      <c r="Q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BG79" s="104"/>
      <c r="BH79" s="104"/>
      <c r="BI79" s="104"/>
      <c r="BJ79" s="104"/>
      <c r="DO79" s="3"/>
      <c r="DP79">
        <v>1</v>
      </c>
      <c r="DQ79" s="50">
        <v>8.2584</v>
      </c>
      <c r="DR79" s="49">
        <f t="shared" si="173"/>
        <v>0</v>
      </c>
      <c r="DS79" s="50">
        <v>51.348999999999997</v>
      </c>
      <c r="DT79" s="49">
        <f t="shared" si="189"/>
        <v>0</v>
      </c>
      <c r="EZ79" s="91"/>
    </row>
    <row r="80" spans="1:254" ht="15.75" thickBot="1" x14ac:dyDescent="0.3">
      <c r="M80" s="74"/>
      <c r="N80" s="3"/>
      <c r="O80" s="62"/>
      <c r="Q80" s="24"/>
      <c r="S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Q80" s="84"/>
      <c r="DR80" s="85">
        <f>SUMIF(DR48:DR79,"&gt;0")</f>
        <v>0</v>
      </c>
      <c r="DS80" s="84"/>
      <c r="DT80" s="85">
        <f>SUMIF(DT48:DT79,"&gt;0")</f>
        <v>0</v>
      </c>
      <c r="EZ80" s="91"/>
    </row>
    <row r="81" spans="2:156" x14ac:dyDescent="0.25">
      <c r="B81" t="s">
        <v>197</v>
      </c>
      <c r="F81" s="299" t="s">
        <v>435</v>
      </c>
      <c r="G81" s="300"/>
      <c r="H81" s="300"/>
      <c r="I81" s="301"/>
      <c r="J81" s="317" t="s">
        <v>437</v>
      </c>
      <c r="K81" s="318"/>
      <c r="L81" s="319"/>
      <c r="M81" s="320"/>
      <c r="N81" s="317" t="s">
        <v>438</v>
      </c>
      <c r="O81" s="318"/>
      <c r="P81" s="319"/>
      <c r="Q81" s="320"/>
      <c r="R81" s="24"/>
      <c r="AL81" s="103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173</v>
      </c>
      <c r="D82" s="146">
        <f>B61</f>
        <v>0.37280000000000002</v>
      </c>
      <c r="F82" s="302" t="s">
        <v>173</v>
      </c>
      <c r="G82" s="303"/>
      <c r="H82" s="304">
        <f>E76</f>
        <v>0</v>
      </c>
      <c r="I82" s="305"/>
      <c r="J82" s="321" t="s">
        <v>213</v>
      </c>
      <c r="K82" s="322"/>
      <c r="L82" s="323">
        <f>[11]Master!$AU$36</f>
        <v>17873</v>
      </c>
      <c r="M82" s="324"/>
      <c r="N82" s="321" t="s">
        <v>213</v>
      </c>
      <c r="O82" s="322"/>
      <c r="P82" s="323">
        <f>[11]Master!$BN$36</f>
        <v>86159</v>
      </c>
      <c r="Q82" s="324"/>
      <c r="AL82" s="99"/>
      <c r="AM82" s="103"/>
      <c r="AN82" s="96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174</v>
      </c>
      <c r="D83" s="148">
        <f>0</f>
        <v>0</v>
      </c>
      <c r="F83" s="302" t="s">
        <v>174</v>
      </c>
      <c r="G83" s="303"/>
      <c r="H83" s="295">
        <f>Aug!E76</f>
        <v>32907</v>
      </c>
      <c r="I83" s="305"/>
      <c r="J83" s="321" t="s">
        <v>214</v>
      </c>
      <c r="K83" s="296"/>
      <c r="L83" s="297">
        <f>[12]Master!$AU$37</f>
        <v>659771</v>
      </c>
      <c r="M83" s="324"/>
      <c r="N83" s="321" t="s">
        <v>214</v>
      </c>
      <c r="O83" s="296"/>
      <c r="P83" s="323">
        <f>[8]Master!$BN$37</f>
        <v>70431</v>
      </c>
      <c r="Q83" s="324"/>
      <c r="AL83" s="107"/>
      <c r="AM83" s="107"/>
      <c r="AN83" s="108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B84" t="s">
        <v>175</v>
      </c>
      <c r="D84" s="104">
        <f>(D82-D83)*1000000</f>
        <v>372800</v>
      </c>
      <c r="E84" t="s">
        <v>176</v>
      </c>
      <c r="F84" s="302" t="s">
        <v>175</v>
      </c>
      <c r="G84" s="303"/>
      <c r="H84" s="306">
        <f>(H82-H83)*1000</f>
        <v>-32907000</v>
      </c>
      <c r="I84" s="305" t="s">
        <v>176</v>
      </c>
      <c r="J84" s="321" t="s">
        <v>175</v>
      </c>
      <c r="K84" s="325"/>
      <c r="L84" s="326">
        <f>L82-L83</f>
        <v>-641898</v>
      </c>
      <c r="M84" s="324" t="s">
        <v>215</v>
      </c>
      <c r="N84" s="321" t="s">
        <v>175</v>
      </c>
      <c r="O84" s="325"/>
      <c r="P84" s="326">
        <f>P82-P83</f>
        <v>15728</v>
      </c>
      <c r="Q84" s="324" t="s">
        <v>215</v>
      </c>
      <c r="AN84" s="96"/>
      <c r="AP84" s="96"/>
      <c r="AQ84" s="96"/>
      <c r="AR84" s="96"/>
      <c r="AS84" s="96"/>
      <c r="AT84" s="96"/>
      <c r="AU84" s="96"/>
      <c r="AV84" s="96"/>
      <c r="AW84" s="96"/>
      <c r="BC84" s="91"/>
      <c r="BD84" s="91"/>
      <c r="BE84" s="91"/>
      <c r="BF84" s="91"/>
      <c r="DO84" s="3"/>
      <c r="DS84" s="99"/>
      <c r="DT84" s="198"/>
      <c r="EZ84" s="91"/>
    </row>
    <row r="85" spans="2:156" x14ac:dyDescent="0.25">
      <c r="F85" s="302"/>
      <c r="G85" s="303"/>
      <c r="H85" s="303"/>
      <c r="I85" s="305"/>
      <c r="J85" s="302"/>
      <c r="K85" s="303"/>
      <c r="L85" s="303"/>
      <c r="M85" s="324"/>
      <c r="N85" s="302"/>
      <c r="O85" s="298"/>
      <c r="P85" s="298"/>
      <c r="Q85" s="324"/>
      <c r="AP85" s="107"/>
      <c r="AQ85" s="107"/>
      <c r="AR85" s="108"/>
      <c r="AS85" s="107"/>
      <c r="AT85" s="107"/>
      <c r="AU85" s="107"/>
      <c r="AV85" s="107"/>
      <c r="AW85" s="107"/>
      <c r="CU85" s="105"/>
      <c r="DO85" s="3"/>
      <c r="DS85" s="99"/>
      <c r="DT85" s="198"/>
    </row>
    <row r="86" spans="2:156" x14ac:dyDescent="0.25">
      <c r="D86" s="24"/>
      <c r="F86" s="302"/>
      <c r="G86" s="303"/>
      <c r="H86" s="303"/>
      <c r="I86" s="305"/>
      <c r="J86" s="302"/>
      <c r="K86" s="303"/>
      <c r="L86" s="303"/>
      <c r="M86" s="305"/>
      <c r="N86" s="302"/>
      <c r="O86" s="303"/>
      <c r="P86" s="303"/>
      <c r="Q86" s="305"/>
    </row>
    <row r="87" spans="2:156" x14ac:dyDescent="0.25">
      <c r="F87" s="307"/>
      <c r="G87" s="308"/>
      <c r="H87" s="308"/>
      <c r="I87" s="309"/>
      <c r="J87" s="307"/>
      <c r="K87" s="308"/>
      <c r="L87" s="308"/>
      <c r="M87" s="309"/>
      <c r="N87" s="307"/>
      <c r="O87" s="308"/>
      <c r="P87" s="308"/>
      <c r="Q87" s="309"/>
    </row>
    <row r="89" spans="2:156" ht="61.5" x14ac:dyDescent="0.25">
      <c r="B89" s="24"/>
      <c r="C89" s="24"/>
      <c r="F89" s="523" t="s">
        <v>434</v>
      </c>
      <c r="G89" s="523"/>
      <c r="H89" s="523"/>
      <c r="I89" s="523"/>
      <c r="J89" s="523"/>
      <c r="K89" s="523"/>
      <c r="L89" s="523"/>
      <c r="M89" s="523"/>
      <c r="N89" s="523"/>
      <c r="O89" s="523"/>
      <c r="P89" s="523"/>
      <c r="Q89" s="523"/>
    </row>
  </sheetData>
  <customSheetViews>
    <customSheetView guid="{48545DB9-4D9D-4699-ACEC-DA6E2D3586A8}" fitToPage="1" hiddenColumns="1" state="hidden">
      <pane xSplit="1" ySplit="6" topLeftCell="BG7" activePane="bottomRight" state="frozen"/>
      <selection pane="bottomRight" activeCell="BR11" sqref="BR11"/>
      <pageMargins left="0.70866141732283472" right="0.70866141732283472" top="0.74803149606299213" bottom="0.74803149606299213" header="0.31496062992125984" footer="0.31496062992125984"/>
      <pageSetup scale="10" orientation="landscape" r:id="rId1"/>
    </customSheetView>
    <customSheetView guid="{32ABFE17-599B-4D0B-A1DB-D95B181877FC}" fitToPage="1" hiddenColumns="1" state="hidden">
      <pane xSplit="1" ySplit="6" topLeftCell="GG7" activePane="bottomRight" state="frozen"/>
      <selection pane="bottomRight" activeCell="GU9" sqref="GU9"/>
      <pageMargins left="0.70866141732283472" right="0.70866141732283472" top="0.74803149606299213" bottom="0.74803149606299213" header="0.31496062992125984" footer="0.31496062992125984"/>
      <pageSetup scale="10" orientation="landscape" r:id="rId2"/>
    </customSheetView>
  </customSheetViews>
  <mergeCells count="162">
    <mergeCell ref="A3:A6"/>
    <mergeCell ref="B3:G4"/>
    <mergeCell ref="H3:N4"/>
    <mergeCell ref="O3:BD3"/>
    <mergeCell ref="BE3:BG3"/>
    <mergeCell ref="BH3:BJ3"/>
    <mergeCell ref="BK3:BP3"/>
    <mergeCell ref="HH3:KE3"/>
    <mergeCell ref="O4:AI4"/>
    <mergeCell ref="AK4:AK5"/>
    <mergeCell ref="AL4:BC4"/>
    <mergeCell ref="BD4:BD5"/>
    <mergeCell ref="BE4:BG5"/>
    <mergeCell ref="BK4:BL5"/>
    <mergeCell ref="DS3:DT5"/>
    <mergeCell ref="DU3:EC3"/>
    <mergeCell ref="EE3:EM3"/>
    <mergeCell ref="EO3:FD3"/>
    <mergeCell ref="FE3:FU3"/>
    <mergeCell ref="FV3:GG3"/>
    <mergeCell ref="EE4:EG4"/>
    <mergeCell ref="EH4:EJ4"/>
    <mergeCell ref="EK4:EM4"/>
    <mergeCell ref="FV4:FX4"/>
    <mergeCell ref="EX5:EZ5"/>
    <mergeCell ref="FB5:FC5"/>
    <mergeCell ref="FE5:FG5"/>
    <mergeCell ref="FH5:FJ5"/>
    <mergeCell ref="BQ3:BR5"/>
    <mergeCell ref="BS3:BT3"/>
    <mergeCell ref="BU3:DG4"/>
    <mergeCell ref="DH3:DH4"/>
    <mergeCell ref="DI3:DP5"/>
    <mergeCell ref="DQ3:DR5"/>
    <mergeCell ref="CG5:CH5"/>
    <mergeCell ref="DX4:DZ4"/>
    <mergeCell ref="EA4:EC4"/>
    <mergeCell ref="BU5:BX5"/>
    <mergeCell ref="BY5:CB5"/>
    <mergeCell ref="CC5:CD5"/>
    <mergeCell ref="CE5:CF5"/>
    <mergeCell ref="IV4:JM4"/>
    <mergeCell ref="JN4:KE4"/>
    <mergeCell ref="HH4:HJ4"/>
    <mergeCell ref="HK4:HM4"/>
    <mergeCell ref="HN4:IH4"/>
    <mergeCell ref="II4:II5"/>
    <mergeCell ref="HN5:HP5"/>
    <mergeCell ref="HQ5:HS5"/>
    <mergeCell ref="HT5:HV5"/>
    <mergeCell ref="HW5:HY5"/>
    <mergeCell ref="IJ5:IL5"/>
    <mergeCell ref="IM5:IO5"/>
    <mergeCell ref="IP5:IR5"/>
    <mergeCell ref="KC5:KE5"/>
    <mergeCell ref="JN5:JP5"/>
    <mergeCell ref="JQ5:JS5"/>
    <mergeCell ref="JT5:JV5"/>
    <mergeCell ref="JW5:JY5"/>
    <mergeCell ref="JZ5:KB5"/>
    <mergeCell ref="JK5:JM5"/>
    <mergeCell ref="IS5:IU5"/>
    <mergeCell ref="IV5:IX5"/>
    <mergeCell ref="IY5:JA5"/>
    <mergeCell ref="JB5:JD5"/>
    <mergeCell ref="B5:D5"/>
    <mergeCell ref="E5:F5"/>
    <mergeCell ref="H5:K5"/>
    <mergeCell ref="L5:N5"/>
    <mergeCell ref="O5:Q5"/>
    <mergeCell ref="S5:T5"/>
    <mergeCell ref="U5:V5"/>
    <mergeCell ref="FY4:GG4"/>
    <mergeCell ref="HG4:HG6"/>
    <mergeCell ref="BM4:BN5"/>
    <mergeCell ref="BO4:BP5"/>
    <mergeCell ref="BS4:BT4"/>
    <mergeCell ref="DU4:DW4"/>
    <mergeCell ref="AP5:AS5"/>
    <mergeCell ref="AT5:AU5"/>
    <mergeCell ref="AV5:AW5"/>
    <mergeCell ref="AX5:AZ5"/>
    <mergeCell ref="BA5:BC5"/>
    <mergeCell ref="BS5:BT5"/>
    <mergeCell ref="W5:X5"/>
    <mergeCell ref="Y5:Z5"/>
    <mergeCell ref="AA5:AB5"/>
    <mergeCell ref="AC5:AF5"/>
    <mergeCell ref="AG5:AJ5"/>
    <mergeCell ref="AL5:AO5"/>
    <mergeCell ref="EE5:EG5"/>
    <mergeCell ref="EH5:EJ5"/>
    <mergeCell ref="EK5:EM5"/>
    <mergeCell ref="EO5:EQ5"/>
    <mergeCell ref="ER5:ET5"/>
    <mergeCell ref="EU5:EW5"/>
    <mergeCell ref="CU5:CX5"/>
    <mergeCell ref="CY5:DB5"/>
    <mergeCell ref="DC5:DF5"/>
    <mergeCell ref="DU5:DW5"/>
    <mergeCell ref="DX5:DZ5"/>
    <mergeCell ref="EA5:EC5"/>
    <mergeCell ref="CI5:CL5"/>
    <mergeCell ref="CM5:CP5"/>
    <mergeCell ref="CQ5:CT5"/>
    <mergeCell ref="JE5:JG5"/>
    <mergeCell ref="JH5:JJ5"/>
    <mergeCell ref="HZ5:IB5"/>
    <mergeCell ref="IC5:IE5"/>
    <mergeCell ref="IF5:IH5"/>
    <mergeCell ref="GZ9:HC34"/>
    <mergeCell ref="BU42:BW42"/>
    <mergeCell ref="BY42:CA42"/>
    <mergeCell ref="DU42:DW42"/>
    <mergeCell ref="DX42:DZ42"/>
    <mergeCell ref="EA42:EC42"/>
    <mergeCell ref="EO42:EQ42"/>
    <mergeCell ref="ER42:ET42"/>
    <mergeCell ref="EU42:EZ42"/>
    <mergeCell ref="FE42:FG42"/>
    <mergeCell ref="FN5:FP5"/>
    <mergeCell ref="FQ5:FS5"/>
    <mergeCell ref="GT1:GT6"/>
    <mergeCell ref="HF1:HF6"/>
    <mergeCell ref="GP2:GQ2"/>
    <mergeCell ref="GH3:GM3"/>
    <mergeCell ref="GN3:GP3"/>
    <mergeCell ref="GQ3:GS3"/>
    <mergeCell ref="IJ4:IU4"/>
    <mergeCell ref="FV6:FX6"/>
    <mergeCell ref="FY6:GA6"/>
    <mergeCell ref="GB6:GD6"/>
    <mergeCell ref="GE6:GG6"/>
    <mergeCell ref="GH6:GJ6"/>
    <mergeCell ref="GK6:GM6"/>
    <mergeCell ref="GU6:GX6"/>
    <mergeCell ref="GY6:HB6"/>
    <mergeCell ref="IO43:IT68"/>
    <mergeCell ref="FH42:FJ42"/>
    <mergeCell ref="FO42:FQ42"/>
    <mergeCell ref="DQ43:DT43"/>
    <mergeCell ref="FF43:FG44"/>
    <mergeCell ref="FH43:FI44"/>
    <mergeCell ref="FJ43:FK44"/>
    <mergeCell ref="FL43:FM44"/>
    <mergeCell ref="FN43:FN45"/>
    <mergeCell ref="FO43:FQ45"/>
    <mergeCell ref="AP49:AS49"/>
    <mergeCell ref="EE49:EG49"/>
    <mergeCell ref="EH49:EJ49"/>
    <mergeCell ref="EK49:EM49"/>
    <mergeCell ref="EV49:EW49"/>
    <mergeCell ref="F89:Q89"/>
    <mergeCell ref="FR43:FR44"/>
    <mergeCell ref="FS43:FU43"/>
    <mergeCell ref="IH43:IL43"/>
    <mergeCell ref="DQ44:DR46"/>
    <mergeCell ref="DS44:DT46"/>
    <mergeCell ref="EZ44:EZ45"/>
    <mergeCell ref="FA44:FA45"/>
    <mergeCell ref="FB44:FB45"/>
    <mergeCell ref="EW46:EX46"/>
  </mergeCells>
  <conditionalFormatting sqref="G46:G78">
    <cfRule type="cellIs" dxfId="0" priority="1" operator="greaterThan">
      <formula>100000</formula>
    </cfRule>
  </conditionalFormatting>
  <hyperlinks>
    <hyperlink ref="BH2" location="Oct!EO3" display="PM 16"/>
    <hyperlink ref="EN2" location="Oct!BE3" display="BOILER &amp; IPAL"/>
    <hyperlink ref="H1" location="Oct!DQ3" display="CVT"/>
    <hyperlink ref="GU3" location="Oct!HH3" display="Go to SUN 2"/>
    <hyperlink ref="IE43" location="Oct!GU3" display="Oct!GU3"/>
    <hyperlink ref="DW1" location="Oct!B79" display="GO TO SYNERGY"/>
    <hyperlink ref="F1" location="Oct!DU3" display="Oct!DU3"/>
    <hyperlink ref="FF2" location="Oct!FX70" display="go to Kompressor"/>
    <hyperlink ref="FS42" location="Oct!FE4" display="back to PM 17"/>
    <hyperlink ref="ID2" location="Oct!IP78" display="GO TO ADJUST SUN2"/>
  </hyperlinks>
  <pageMargins left="0.70866141732283472" right="0.70866141732283472" top="0.74803149606299213" bottom="0.74803149606299213" header="0.31496062992125984" footer="0.31496062992125984"/>
  <pageSetup scale="10" orientation="landscape" r:id="rId3"/>
  <legacy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CI86"/>
  <sheetViews>
    <sheetView zoomScaleNormal="100" workbookViewId="0">
      <pane xSplit="1" ySplit="6" topLeftCell="B22" activePane="bottomRight" state="frozen"/>
      <selection pane="topRight" activeCell="B1" sqref="B1"/>
      <selection pane="bottomLeft" activeCell="A7" sqref="A7"/>
      <selection pane="bottomRight" activeCell="F35" sqref="F35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customWidth="1"/>
    <col min="5" max="5" width="10.7109375" customWidth="1"/>
    <col min="6" max="6" width="11.28515625" bestFit="1" customWidth="1"/>
    <col min="7" max="7" width="13" bestFit="1" customWidth="1"/>
    <col min="8" max="8" width="12.28515625" bestFit="1" customWidth="1"/>
    <col min="9" max="9" width="14.28515625" bestFit="1" customWidth="1"/>
    <col min="10" max="11" width="12.28515625" bestFit="1" customWidth="1"/>
    <col min="12" max="12" width="13.5703125" bestFit="1" customWidth="1"/>
    <col min="13" max="13" width="11.28515625" bestFit="1" customWidth="1"/>
    <col min="14" max="14" width="13.85546875" bestFit="1" customWidth="1"/>
    <col min="15" max="15" width="11.28515625" customWidth="1"/>
    <col min="16" max="16" width="11.28515625" bestFit="1" customWidth="1"/>
    <col min="17" max="17" width="10.85546875" customWidth="1"/>
    <col min="18" max="18" width="10.5703125" customWidth="1"/>
    <col min="19" max="19" width="12.28515625" bestFit="1" customWidth="1"/>
    <col min="20" max="20" width="13" bestFit="1" customWidth="1"/>
    <col min="21" max="21" width="12.28515625" bestFit="1" customWidth="1"/>
    <col min="22" max="22" width="13.28515625" bestFit="1" customWidth="1"/>
    <col min="23" max="23" width="10.85546875" customWidth="1"/>
    <col min="24" max="24" width="1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29" width="10.7109375" customWidth="1"/>
    <col min="30" max="30" width="10.85546875" customWidth="1"/>
    <col min="31" max="31" width="12.7109375" customWidth="1"/>
    <col min="32" max="32" width="10.42578125" customWidth="1"/>
    <col min="33" max="33" width="22.140625" bestFit="1" customWidth="1"/>
    <col min="34" max="34" width="10.85546875" customWidth="1"/>
    <col min="35" max="35" width="11.28515625" customWidth="1"/>
    <col min="36" max="36" width="13.42578125" bestFit="1" customWidth="1"/>
    <col min="37" max="37" width="12.42578125" bestFit="1" customWidth="1"/>
    <col min="38" max="38" width="12.42578125" customWidth="1"/>
    <col min="39" max="39" width="12.5703125" customWidth="1"/>
    <col min="40" max="40" width="11.28515625" bestFit="1" customWidth="1"/>
    <col min="41" max="41" width="12.42578125" bestFit="1" customWidth="1"/>
    <col min="42" max="47" width="12.28515625" bestFit="1" customWidth="1"/>
    <col min="48" max="48" width="12" customWidth="1"/>
    <col min="49" max="49" width="12.28515625" bestFit="1" customWidth="1"/>
    <col min="50" max="50" width="11.28515625" customWidth="1"/>
    <col min="51" max="51" width="12.42578125" bestFit="1" customWidth="1"/>
    <col min="52" max="52" width="13" bestFit="1" customWidth="1"/>
    <col min="53" max="54" width="12.28515625" bestFit="1" customWidth="1"/>
    <col min="55" max="55" width="11.28515625" customWidth="1"/>
    <col min="56" max="56" width="12.42578125" bestFit="1" customWidth="1"/>
    <col min="57" max="59" width="12.42578125" customWidth="1"/>
    <col min="60" max="60" width="12.28515625" bestFit="1" customWidth="1"/>
    <col min="61" max="63" width="10.7109375" customWidth="1"/>
    <col min="64" max="64" width="10.5703125" bestFit="1" customWidth="1"/>
    <col min="65" max="65" width="12.28515625" bestFit="1" customWidth="1"/>
    <col min="66" max="66" width="10.7109375" customWidth="1"/>
    <col min="67" max="67" width="11.28515625" bestFit="1" customWidth="1"/>
    <col min="68" max="72" width="10.7109375" customWidth="1"/>
    <col min="73" max="73" width="14.42578125" bestFit="1" customWidth="1"/>
    <col min="74" max="74" width="58.42578125" customWidth="1"/>
    <col min="75" max="75" width="16.140625" customWidth="1"/>
    <col min="76" max="76" width="12.28515625" bestFit="1" customWidth="1"/>
    <col min="77" max="77" width="9.5703125" bestFit="1" customWidth="1"/>
    <col min="78" max="82" width="11.28515625" bestFit="1" customWidth="1"/>
    <col min="83" max="83" width="7.28515625" bestFit="1" customWidth="1"/>
    <col min="84" max="84" width="12.85546875" bestFit="1" customWidth="1"/>
    <col min="85" max="89" width="9.140625" customWidth="1"/>
  </cols>
  <sheetData>
    <row r="1" spans="1:84" x14ac:dyDescent="0.25">
      <c r="H1" s="262">
        <f>DailyNov!B8-DailyNov!N8-DailyNov!V8-DailyNov!Y8-DailyNov!Z8-DailyNov!AA8-DailyNov!AB8-DailyNov!AC8-DailyNov!AD8-DailyNov!AE8-DailyNov!AK8-DailyNov!AO8-DailyNov!AS8-DailyNov!AY8-DailyNov!BD8+DailyNov!BU8-DailyNov!BG8-DailyNov!BT8-DailyNov!AF8-DailyNov!AG8</f>
        <v>-20000</v>
      </c>
    </row>
    <row r="2" spans="1:84" ht="26.25" x14ac:dyDescent="0.4">
      <c r="A2" s="499" t="s">
        <v>390</v>
      </c>
      <c r="B2" s="499"/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499"/>
      <c r="O2" s="499"/>
      <c r="P2" s="499"/>
      <c r="Q2" s="499"/>
      <c r="R2" s="499"/>
      <c r="S2" s="499"/>
      <c r="T2" s="499"/>
      <c r="U2" s="499"/>
      <c r="V2" s="499"/>
      <c r="W2" s="499"/>
      <c r="X2" s="499"/>
      <c r="Y2" s="499"/>
      <c r="Z2" s="499"/>
      <c r="AA2" s="499"/>
      <c r="AB2" s="499"/>
      <c r="AC2" s="499"/>
      <c r="AD2" s="499"/>
      <c r="AE2" s="499"/>
      <c r="AF2" s="499"/>
      <c r="AG2" s="499"/>
      <c r="AH2" s="499"/>
      <c r="AI2" s="499"/>
      <c r="AJ2" s="499"/>
      <c r="AK2" s="499"/>
      <c r="AL2" s="499"/>
      <c r="AM2" s="499"/>
      <c r="AN2" s="499"/>
      <c r="AO2" s="499"/>
      <c r="AP2" s="499"/>
      <c r="AQ2" s="499"/>
      <c r="AR2" s="499"/>
      <c r="AS2" s="499"/>
      <c r="AT2" s="499"/>
      <c r="AU2" s="499"/>
      <c r="AV2" s="499"/>
      <c r="AW2" s="499"/>
      <c r="AX2" s="499"/>
      <c r="AY2" s="499"/>
      <c r="AZ2" s="499"/>
      <c r="BA2" s="499"/>
      <c r="BB2" s="499"/>
      <c r="BC2" s="499"/>
      <c r="BD2" s="499"/>
      <c r="BE2" s="499"/>
      <c r="BF2" s="499"/>
      <c r="BG2" s="499"/>
      <c r="BH2" s="499"/>
      <c r="BI2" s="499"/>
      <c r="BJ2" s="499"/>
      <c r="BK2" s="499"/>
      <c r="BL2" s="499"/>
      <c r="BM2" s="499"/>
      <c r="BN2" s="499"/>
      <c r="BO2" s="499"/>
      <c r="BP2" s="499"/>
      <c r="BQ2" s="499"/>
      <c r="BR2" s="499"/>
      <c r="BS2" s="499"/>
      <c r="BT2" s="499"/>
      <c r="BU2" s="499"/>
    </row>
    <row r="4" spans="1:84" ht="15" customHeight="1" x14ac:dyDescent="0.25">
      <c r="A4" s="448" t="s">
        <v>1</v>
      </c>
      <c r="B4" s="455" t="s">
        <v>118</v>
      </c>
      <c r="C4" s="455" t="s">
        <v>119</v>
      </c>
      <c r="D4" s="465" t="s">
        <v>4</v>
      </c>
      <c r="E4" s="466"/>
      <c r="F4" s="466"/>
      <c r="G4" s="466"/>
      <c r="H4" s="466"/>
      <c r="I4" s="466"/>
      <c r="J4" s="466"/>
      <c r="K4" s="466"/>
      <c r="L4" s="466"/>
      <c r="M4" s="467"/>
      <c r="N4" s="468" t="s">
        <v>120</v>
      </c>
      <c r="O4" s="110"/>
      <c r="P4" s="110"/>
      <c r="Q4" s="110"/>
      <c r="R4" s="110"/>
      <c r="S4" s="110" t="s">
        <v>121</v>
      </c>
      <c r="T4" s="110"/>
      <c r="U4" s="110"/>
      <c r="V4" s="476" t="s">
        <v>121</v>
      </c>
      <c r="W4" s="460" t="s">
        <v>122</v>
      </c>
      <c r="X4" s="460"/>
      <c r="Y4" s="459" t="s">
        <v>123</v>
      </c>
      <c r="Z4" s="461" t="s">
        <v>124</v>
      </c>
      <c r="AA4" s="462" t="s">
        <v>125</v>
      </c>
      <c r="AB4" s="463" t="s">
        <v>126</v>
      </c>
      <c r="AC4" s="456" t="s">
        <v>127</v>
      </c>
      <c r="AD4" s="457" t="s">
        <v>200</v>
      </c>
      <c r="AE4" s="457" t="s">
        <v>223</v>
      </c>
      <c r="AF4" s="457" t="s">
        <v>248</v>
      </c>
      <c r="AG4" s="457" t="s">
        <v>249</v>
      </c>
      <c r="AH4" s="458" t="s">
        <v>128</v>
      </c>
      <c r="AI4" s="458"/>
      <c r="AJ4" s="458"/>
      <c r="AK4" s="454" t="s">
        <v>129</v>
      </c>
      <c r="AL4" s="454" t="s">
        <v>130</v>
      </c>
      <c r="AM4" s="454"/>
      <c r="AN4" s="454"/>
      <c r="AO4" s="454" t="s">
        <v>14</v>
      </c>
      <c r="AP4" s="459" t="s">
        <v>131</v>
      </c>
      <c r="AQ4" s="459"/>
      <c r="AR4" s="459"/>
      <c r="AS4" s="459" t="s">
        <v>17</v>
      </c>
      <c r="AT4" s="453" t="s">
        <v>132</v>
      </c>
      <c r="AU4" s="453"/>
      <c r="AV4" s="453"/>
      <c r="AW4" s="453"/>
      <c r="AX4" s="375"/>
      <c r="AY4" s="453" t="s">
        <v>15</v>
      </c>
      <c r="AZ4" s="453" t="s">
        <v>133</v>
      </c>
      <c r="BA4" s="453"/>
      <c r="BB4" s="453"/>
      <c r="BC4" s="375"/>
      <c r="BD4" s="453" t="s">
        <v>16</v>
      </c>
      <c r="BE4" s="505" t="s">
        <v>19</v>
      </c>
      <c r="BF4" s="506"/>
      <c r="BG4" s="459" t="s">
        <v>19</v>
      </c>
      <c r="BH4" s="477" t="s">
        <v>201</v>
      </c>
      <c r="BI4" s="478"/>
      <c r="BJ4" s="478"/>
      <c r="BK4" s="479"/>
      <c r="BL4" s="483" t="s">
        <v>134</v>
      </c>
      <c r="BM4" s="483"/>
      <c r="BN4" s="483"/>
      <c r="BO4" s="483"/>
      <c r="BP4" s="501" t="s">
        <v>335</v>
      </c>
      <c r="BQ4" s="501"/>
      <c r="BR4" s="501"/>
      <c r="BS4" s="502"/>
      <c r="BT4" s="455" t="s">
        <v>293</v>
      </c>
      <c r="BU4" s="455" t="s">
        <v>190</v>
      </c>
      <c r="BX4" s="455" t="s">
        <v>278</v>
      </c>
      <c r="BY4" s="455" t="s">
        <v>279</v>
      </c>
      <c r="BZ4" s="455" t="s">
        <v>204</v>
      </c>
      <c r="CA4" s="455" t="s">
        <v>260</v>
      </c>
      <c r="CB4" s="455" t="s">
        <v>261</v>
      </c>
      <c r="CC4" s="455" t="s">
        <v>318</v>
      </c>
      <c r="CD4" s="511" t="s">
        <v>346</v>
      </c>
      <c r="CE4" s="511" t="s">
        <v>357</v>
      </c>
      <c r="CF4" s="455" t="s">
        <v>280</v>
      </c>
    </row>
    <row r="5" spans="1:84" x14ac:dyDescent="0.25">
      <c r="A5" s="448"/>
      <c r="B5" s="455"/>
      <c r="C5" s="455"/>
      <c r="D5" s="471" t="s">
        <v>135</v>
      </c>
      <c r="E5" s="472"/>
      <c r="F5" s="472"/>
      <c r="G5" s="472"/>
      <c r="H5" s="472"/>
      <c r="I5" s="473"/>
      <c r="J5" s="474" t="s">
        <v>136</v>
      </c>
      <c r="K5" s="475"/>
      <c r="L5" s="474" t="s">
        <v>55</v>
      </c>
      <c r="M5" s="475"/>
      <c r="N5" s="469"/>
      <c r="O5" s="110"/>
      <c r="P5" s="110"/>
      <c r="Q5" s="110"/>
      <c r="R5" s="110"/>
      <c r="S5" s="110"/>
      <c r="T5" s="110"/>
      <c r="U5" s="110"/>
      <c r="V5" s="476"/>
      <c r="W5" s="460"/>
      <c r="X5" s="460"/>
      <c r="Y5" s="459"/>
      <c r="Z5" s="461"/>
      <c r="AA5" s="462"/>
      <c r="AB5" s="463"/>
      <c r="AC5" s="456"/>
      <c r="AD5" s="457"/>
      <c r="AE5" s="457"/>
      <c r="AF5" s="457"/>
      <c r="AG5" s="457"/>
      <c r="AH5" s="377"/>
      <c r="AI5" s="377"/>
      <c r="AJ5" s="377"/>
      <c r="AK5" s="454"/>
      <c r="AL5" s="376"/>
      <c r="AM5" s="376"/>
      <c r="AN5" s="376"/>
      <c r="AO5" s="454"/>
      <c r="AP5" s="378"/>
      <c r="AQ5" s="378"/>
      <c r="AR5" s="378"/>
      <c r="AS5" s="459"/>
      <c r="AT5" s="375"/>
      <c r="AU5" s="375"/>
      <c r="AV5" s="375"/>
      <c r="AW5" s="375"/>
      <c r="AX5" s="375"/>
      <c r="AY5" s="453"/>
      <c r="AZ5" s="375"/>
      <c r="BA5" s="375"/>
      <c r="BB5" s="375"/>
      <c r="BC5" s="375"/>
      <c r="BD5" s="453"/>
      <c r="BE5" s="218"/>
      <c r="BF5" s="218"/>
      <c r="BG5" s="459"/>
      <c r="BH5" s="480"/>
      <c r="BI5" s="481"/>
      <c r="BJ5" s="481"/>
      <c r="BK5" s="482"/>
      <c r="BL5" s="483"/>
      <c r="BM5" s="483"/>
      <c r="BN5" s="483"/>
      <c r="BO5" s="483"/>
      <c r="BP5" s="503"/>
      <c r="BQ5" s="503"/>
      <c r="BR5" s="503"/>
      <c r="BS5" s="504"/>
      <c r="BT5" s="455"/>
      <c r="BU5" s="455"/>
      <c r="BX5" s="455"/>
      <c r="BY5" s="455"/>
      <c r="BZ5" s="455"/>
      <c r="CA5" s="455"/>
      <c r="CB5" s="455"/>
      <c r="CC5" s="455"/>
      <c r="CD5" s="512"/>
      <c r="CE5" s="512"/>
      <c r="CF5" s="455"/>
    </row>
    <row r="6" spans="1:84" ht="60" x14ac:dyDescent="0.25">
      <c r="A6" s="448"/>
      <c r="B6" s="455"/>
      <c r="C6" s="455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70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76"/>
      <c r="W6" s="120" t="s">
        <v>62</v>
      </c>
      <c r="X6" s="121" t="s">
        <v>63</v>
      </c>
      <c r="Y6" s="459"/>
      <c r="Z6" s="461"/>
      <c r="AA6" s="462"/>
      <c r="AB6" s="463"/>
      <c r="AC6" s="456"/>
      <c r="AD6" s="457"/>
      <c r="AE6" s="457"/>
      <c r="AF6" s="457"/>
      <c r="AG6" s="457"/>
      <c r="AH6" s="377" t="s">
        <v>66</v>
      </c>
      <c r="AI6" s="377" t="s">
        <v>67</v>
      </c>
      <c r="AJ6" s="377" t="s">
        <v>147</v>
      </c>
      <c r="AK6" s="454"/>
      <c r="AL6" s="122" t="s">
        <v>148</v>
      </c>
      <c r="AM6" s="122" t="s">
        <v>149</v>
      </c>
      <c r="AN6" s="122" t="s">
        <v>150</v>
      </c>
      <c r="AO6" s="454"/>
      <c r="AP6" s="378" t="s">
        <v>99</v>
      </c>
      <c r="AQ6" s="378" t="s">
        <v>100</v>
      </c>
      <c r="AR6" s="378" t="s">
        <v>151</v>
      </c>
      <c r="AS6" s="459"/>
      <c r="AT6" s="375" t="s">
        <v>152</v>
      </c>
      <c r="AU6" s="375" t="s">
        <v>153</v>
      </c>
      <c r="AV6" s="375" t="s">
        <v>154</v>
      </c>
      <c r="AW6" s="375" t="s">
        <v>155</v>
      </c>
      <c r="AX6" s="375" t="s">
        <v>156</v>
      </c>
      <c r="AY6" s="453"/>
      <c r="AZ6" s="375" t="s">
        <v>152</v>
      </c>
      <c r="BA6" s="375" t="s">
        <v>153</v>
      </c>
      <c r="BB6" s="375" t="s">
        <v>155</v>
      </c>
      <c r="BC6" s="375" t="s">
        <v>151</v>
      </c>
      <c r="BD6" s="453"/>
      <c r="BE6" s="378" t="s">
        <v>202</v>
      </c>
      <c r="BF6" s="378" t="s">
        <v>330</v>
      </c>
      <c r="BG6" s="459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455"/>
      <c r="BU6" s="455"/>
      <c r="BX6" s="455"/>
      <c r="BY6" s="455"/>
      <c r="BZ6" s="455"/>
      <c r="CA6" s="455"/>
      <c r="CB6" s="455"/>
      <c r="CC6" s="455"/>
      <c r="CD6" s="513"/>
      <c r="CE6" s="513"/>
      <c r="CF6" s="455"/>
    </row>
    <row r="7" spans="1:84" x14ac:dyDescent="0.25">
      <c r="A7" s="381">
        <v>1</v>
      </c>
      <c r="B7" s="42">
        <f>Nov!G8</f>
        <v>366400.00000000873</v>
      </c>
      <c r="C7" s="42">
        <f>Nov!N8</f>
        <v>363400</v>
      </c>
      <c r="D7" s="42">
        <f>Nov!T8</f>
        <v>6</v>
      </c>
      <c r="E7" s="42">
        <f>Oct!V8</f>
        <v>0</v>
      </c>
      <c r="F7" s="42">
        <f>Nov!AB8</f>
        <v>9700</v>
      </c>
      <c r="G7" s="42">
        <f>Nov!X8</f>
        <v>11294</v>
      </c>
      <c r="H7" s="42">
        <f>Nov!AE8</f>
        <v>4500</v>
      </c>
      <c r="I7" s="42">
        <f>Nov!AI8</f>
        <v>12500</v>
      </c>
      <c r="J7" s="42">
        <f>Nov!AN8</f>
        <v>6440.0000000006685</v>
      </c>
      <c r="K7" s="42">
        <f>Nov!AR8</f>
        <v>13899.999999999636</v>
      </c>
      <c r="L7" s="42">
        <f>Nov!AZ8</f>
        <v>450</v>
      </c>
      <c r="M7" s="42">
        <f>Nov!BC8</f>
        <v>690</v>
      </c>
      <c r="N7" s="125">
        <f t="shared" ref="N7:N12" si="0">SUM(D7:M7)</f>
        <v>59480.000000000306</v>
      </c>
      <c r="O7" s="125">
        <f>Nov!CA8</f>
        <v>673.99999999997817</v>
      </c>
      <c r="P7" s="125">
        <f>Nov!CD8</f>
        <v>670.20000000006985</v>
      </c>
      <c r="Q7" s="125">
        <f>Nov!CF8</f>
        <v>5097</v>
      </c>
      <c r="R7" s="125">
        <f>Nov!CH8</f>
        <v>0</v>
      </c>
      <c r="S7" s="125">
        <f>Nov!CK8</f>
        <v>15756.000000000313</v>
      </c>
      <c r="T7" s="125">
        <f>Nov!CO8</f>
        <v>6340000</v>
      </c>
      <c r="U7" s="125">
        <f>Nov!CS8</f>
        <v>7.3490000000001601</v>
      </c>
      <c r="V7" s="126">
        <f t="shared" ref="V7:V10" si="1">SUM(O7:U7)</f>
        <v>6362204.5490000006</v>
      </c>
      <c r="W7" s="126">
        <f>Nov!CW8</f>
        <v>14167</v>
      </c>
      <c r="X7" s="126">
        <f>Nov!DA8</f>
        <v>6762</v>
      </c>
      <c r="Y7" s="126">
        <f t="shared" ref="Y7:Y10" si="2">W7+X7</f>
        <v>20929</v>
      </c>
      <c r="Z7" s="42">
        <f>Nov!BR8</f>
        <v>600.00000000002274</v>
      </c>
      <c r="AA7" s="126">
        <f>Nov!BG8</f>
        <v>1900.0000000000909</v>
      </c>
      <c r="AB7" s="126">
        <f>Nov!BJ8</f>
        <v>9000</v>
      </c>
      <c r="AC7" s="126">
        <f>Nov!BL8+Nov!BN8</f>
        <v>5160.0000000000364</v>
      </c>
      <c r="AD7" s="126">
        <f>Nov!DR8</f>
        <v>12110</v>
      </c>
      <c r="AE7" s="127">
        <f>Nov!DT8-Nov!DR48-Nov!DT48</f>
        <v>22800</v>
      </c>
      <c r="AF7" s="127">
        <f>Nov!DR48+Nov!DT48</f>
        <v>0</v>
      </c>
      <c r="AG7" s="127">
        <f>Nov!HJ8-AE7</f>
        <v>114200</v>
      </c>
      <c r="AH7" s="127">
        <f>Nov!DW8</f>
        <v>299.9999999992724</v>
      </c>
      <c r="AI7" s="127">
        <f>Nov!DZ8</f>
        <v>0</v>
      </c>
      <c r="AJ7" s="127">
        <f>Nov!EC8</f>
        <v>4160</v>
      </c>
      <c r="AK7" s="127">
        <f t="shared" ref="AK7:AK9" si="3">SUM(AH7:AJ7)</f>
        <v>4459.9999999992724</v>
      </c>
      <c r="AL7" s="127">
        <f>Nov!EG8</f>
        <v>27160</v>
      </c>
      <c r="AM7" s="127">
        <f>Nov!EJ8</f>
        <v>10000</v>
      </c>
      <c r="AN7" s="127">
        <f>Nov!EM8</f>
        <v>639.99999999998636</v>
      </c>
      <c r="AO7" s="127">
        <f>SUM(AL7:AN7)</f>
        <v>37799.999999999985</v>
      </c>
      <c r="AP7" s="127">
        <f>Nov!FX8</f>
        <v>27500</v>
      </c>
      <c r="AQ7" s="127">
        <f>Nov!GA8</f>
        <v>5600</v>
      </c>
      <c r="AR7" s="127">
        <f>Nov!GG8</f>
        <v>7190</v>
      </c>
      <c r="AS7" s="127">
        <f t="shared" ref="AS7" si="4">SUM(AP7:AR7)</f>
        <v>40290</v>
      </c>
      <c r="AT7" s="127">
        <f>Nov!EQ8</f>
        <v>9000</v>
      </c>
      <c r="AU7" s="127">
        <f>Nov!ET8</f>
        <v>17000</v>
      </c>
      <c r="AV7" s="127">
        <f>Nov!EW8</f>
        <v>10400.000000000546</v>
      </c>
      <c r="AW7" s="127">
        <f>Nov!FL46</f>
        <v>20000</v>
      </c>
      <c r="AX7" s="127">
        <f>Nov!GJ8</f>
        <v>1810</v>
      </c>
      <c r="AY7" s="127">
        <f>SUM(AT7:AX7)</f>
        <v>58210.000000000546</v>
      </c>
      <c r="AZ7" s="127">
        <f>Nov!FG8</f>
        <v>8000</v>
      </c>
      <c r="BA7" s="127">
        <f>Nov!FJ8</f>
        <v>15000</v>
      </c>
      <c r="BB7" s="127">
        <f>Nov!FM46</f>
        <v>0</v>
      </c>
      <c r="BC7" s="127">
        <f>Nov!GM8</f>
        <v>0</v>
      </c>
      <c r="BD7" s="127">
        <f>SUM(AZ7:BC7)</f>
        <v>23000</v>
      </c>
      <c r="BE7" s="127">
        <f>Nov!GP8</f>
        <v>0</v>
      </c>
      <c r="BF7" s="127">
        <f>Nov!GS8</f>
        <v>230</v>
      </c>
      <c r="BG7" s="127">
        <f t="shared" ref="BG7" si="5">BE7+BF7</f>
        <v>230</v>
      </c>
      <c r="BH7" s="127">
        <f t="shared" ref="BH7:BH37" si="6">Y7</f>
        <v>20929</v>
      </c>
      <c r="BI7" s="127"/>
      <c r="BJ7" s="127"/>
      <c r="BK7" s="127"/>
      <c r="BL7" s="128">
        <f>+AS7*0.52</f>
        <v>20950.8</v>
      </c>
      <c r="BM7" s="128">
        <f t="shared" ref="BM7:BM8" si="7">(AS7-BL7)</f>
        <v>19339.2</v>
      </c>
      <c r="BN7" s="128"/>
      <c r="BO7" s="128">
        <f>(AS7-BL7)</f>
        <v>19339.2</v>
      </c>
      <c r="BP7" s="128"/>
      <c r="BQ7" s="128"/>
      <c r="BR7" s="128"/>
      <c r="BS7" s="128">
        <f>BG7-BQ7</f>
        <v>230</v>
      </c>
      <c r="BT7" s="42">
        <f>Oct!D46</f>
        <v>0</v>
      </c>
      <c r="BU7" s="42">
        <f>Nov!G47</f>
        <v>83000</v>
      </c>
      <c r="BV7" s="395" t="s">
        <v>454</v>
      </c>
      <c r="BX7" s="42">
        <f>Nov!HJ8</f>
        <v>137000</v>
      </c>
      <c r="BY7" s="42">
        <f>Nov!HM8</f>
        <v>0</v>
      </c>
      <c r="BZ7" s="42">
        <f>Nov!HP8</f>
        <v>0</v>
      </c>
      <c r="CA7" s="42">
        <f>Nov!HS8</f>
        <v>0</v>
      </c>
      <c r="CB7" s="42">
        <f>Nov!HV8</f>
        <v>0</v>
      </c>
      <c r="CC7" s="42">
        <f>Nov!HY8</f>
        <v>0</v>
      </c>
      <c r="CD7" s="42">
        <f>Nov!IB8</f>
        <v>75700</v>
      </c>
      <c r="CE7" s="42">
        <f>Nov!IE8</f>
        <v>0</v>
      </c>
      <c r="CF7" s="42">
        <f>Nov!IH8</f>
        <v>22800</v>
      </c>
    </row>
    <row r="8" spans="1:84" x14ac:dyDescent="0.25">
      <c r="A8" s="26">
        <f>A7+1</f>
        <v>2</v>
      </c>
      <c r="B8" s="42">
        <f>Nov!G9</f>
        <v>0</v>
      </c>
      <c r="C8" s="42">
        <f>Nov!N9</f>
        <v>0</v>
      </c>
      <c r="D8" s="42">
        <f>Nov!T9</f>
        <v>0</v>
      </c>
      <c r="E8" s="42">
        <f>Oct!V9</f>
        <v>0</v>
      </c>
      <c r="F8" s="42">
        <f>Nov!AB9</f>
        <v>0</v>
      </c>
      <c r="G8" s="42">
        <f>Nov!X9</f>
        <v>0</v>
      </c>
      <c r="H8" s="42">
        <f>Nov!AE9</f>
        <v>0</v>
      </c>
      <c r="I8" s="42">
        <f>Nov!AI9</f>
        <v>0</v>
      </c>
      <c r="J8" s="42">
        <f>Nov!AN9</f>
        <v>0</v>
      </c>
      <c r="K8" s="42">
        <f>Nov!AR9</f>
        <v>0</v>
      </c>
      <c r="L8" s="42">
        <f>Nov!AZ9</f>
        <v>0</v>
      </c>
      <c r="M8" s="42">
        <f>Nov!BC9</f>
        <v>0</v>
      </c>
      <c r="N8" s="125">
        <f t="shared" si="0"/>
        <v>0</v>
      </c>
      <c r="O8" s="125">
        <f>Nov!CA9</f>
        <v>0</v>
      </c>
      <c r="P8" s="125">
        <f>Nov!CD9</f>
        <v>0</v>
      </c>
      <c r="Q8" s="125">
        <f>Nov!CF9</f>
        <v>0</v>
      </c>
      <c r="R8" s="125">
        <f>Nov!CH9</f>
        <v>0</v>
      </c>
      <c r="S8" s="125">
        <f>Nov!CK9</f>
        <v>0</v>
      </c>
      <c r="T8" s="125">
        <f>Nov!CO9</f>
        <v>0</v>
      </c>
      <c r="U8" s="125">
        <f>Nov!CS9</f>
        <v>0</v>
      </c>
      <c r="V8" s="126">
        <f t="shared" si="1"/>
        <v>0</v>
      </c>
      <c r="W8" s="126">
        <f>Nov!CW9</f>
        <v>0</v>
      </c>
      <c r="X8" s="126">
        <f>Nov!DA9</f>
        <v>0</v>
      </c>
      <c r="Y8" s="126">
        <f t="shared" si="2"/>
        <v>0</v>
      </c>
      <c r="Z8" s="42">
        <f>Nov!BR9</f>
        <v>0</v>
      </c>
      <c r="AA8" s="126">
        <f>Nov!BG9</f>
        <v>0</v>
      </c>
      <c r="AB8" s="126">
        <f>Nov!BJ9</f>
        <v>0</v>
      </c>
      <c r="AC8" s="126">
        <f>Nov!BL9+Nov!BN9</f>
        <v>0</v>
      </c>
      <c r="AD8" s="126">
        <f>Nov!DR9</f>
        <v>0</v>
      </c>
      <c r="AE8" s="127">
        <f>Nov!DT9-Nov!DR49-Nov!DT49</f>
        <v>0</v>
      </c>
      <c r="AF8" s="127">
        <f>Nov!DR49+Nov!DT49</f>
        <v>0</v>
      </c>
      <c r="AG8" s="127">
        <f>Nov!HJ9-AE8</f>
        <v>0</v>
      </c>
      <c r="AH8" s="127">
        <f>Nov!DW9</f>
        <v>0</v>
      </c>
      <c r="AI8" s="127">
        <f>Nov!DZ9</f>
        <v>0</v>
      </c>
      <c r="AJ8" s="127">
        <f>Nov!EC9</f>
        <v>0</v>
      </c>
      <c r="AK8" s="127">
        <f t="shared" si="3"/>
        <v>0</v>
      </c>
      <c r="AL8" s="127">
        <f>Nov!EG9</f>
        <v>0</v>
      </c>
      <c r="AM8" s="127">
        <f>Nov!EJ9</f>
        <v>0</v>
      </c>
      <c r="AN8" s="127">
        <f>Nov!EM9</f>
        <v>0</v>
      </c>
      <c r="AO8" s="127">
        <f t="shared" ref="AO8:AO28" si="8">SUM(AL8:AN8)</f>
        <v>0</v>
      </c>
      <c r="AP8" s="127">
        <f>Nov!FX9</f>
        <v>0</v>
      </c>
      <c r="AQ8" s="127">
        <f>Nov!GA9</f>
        <v>0</v>
      </c>
      <c r="AR8" s="127">
        <f>Nov!GG9</f>
        <v>0</v>
      </c>
      <c r="AS8" s="127">
        <f t="shared" ref="AS8:AS37" si="9">SUM(AP8:AR8)</f>
        <v>0</v>
      </c>
      <c r="AT8" s="127">
        <f>Nov!EQ9</f>
        <v>0</v>
      </c>
      <c r="AU8" s="127">
        <f>Nov!ET9</f>
        <v>0</v>
      </c>
      <c r="AV8" s="127">
        <f>Nov!EW9</f>
        <v>0</v>
      </c>
      <c r="AW8" s="127">
        <f>Nov!FL46</f>
        <v>20000</v>
      </c>
      <c r="AX8" s="127">
        <f>Nov!GJ9</f>
        <v>0</v>
      </c>
      <c r="AY8" s="127">
        <f t="shared" ref="AY8:AY37" si="10">SUM(AT8:AX8)</f>
        <v>20000</v>
      </c>
      <c r="AZ8" s="127">
        <f>Nov!FG9</f>
        <v>0</v>
      </c>
      <c r="BA8" s="127">
        <f>Nov!FJ9</f>
        <v>0</v>
      </c>
      <c r="BB8" s="127">
        <f>Nov!FM47</f>
        <v>0</v>
      </c>
      <c r="BC8" s="127">
        <f>Nov!GM9</f>
        <v>0</v>
      </c>
      <c r="BD8" s="127">
        <f t="shared" ref="BD8:BD37" si="11">SUM(AZ8:BC8)</f>
        <v>0</v>
      </c>
      <c r="BE8" s="127">
        <f>Nov!GP9</f>
        <v>0</v>
      </c>
      <c r="BF8" s="127">
        <f>Nov!GS9</f>
        <v>0</v>
      </c>
      <c r="BG8" s="127">
        <f t="shared" ref="BG8:BG37" si="12">BE8+BF8</f>
        <v>0</v>
      </c>
      <c r="BH8" s="127">
        <f t="shared" si="6"/>
        <v>0</v>
      </c>
      <c r="BI8" s="127"/>
      <c r="BJ8" s="127"/>
      <c r="BK8" s="127"/>
      <c r="BL8" s="128">
        <f t="shared" ref="BL8:BL37" si="13">+AS8</f>
        <v>0</v>
      </c>
      <c r="BM8" s="128">
        <f t="shared" si="7"/>
        <v>0</v>
      </c>
      <c r="BN8" s="128"/>
      <c r="BO8" s="128">
        <f>(AS8-BL8-BM8-BN8)</f>
        <v>0</v>
      </c>
      <c r="BP8" s="128"/>
      <c r="BQ8" s="128"/>
      <c r="BR8" s="128"/>
      <c r="BS8" s="128">
        <f t="shared" ref="BS8" si="14">BG8-BQ8</f>
        <v>0</v>
      </c>
      <c r="BT8" s="42">
        <f>Oct!D47</f>
        <v>0</v>
      </c>
      <c r="BU8" s="42">
        <f>Nov!G48</f>
        <v>0</v>
      </c>
      <c r="BV8" s="395"/>
      <c r="BX8" s="42">
        <f>Nov!HJ9</f>
        <v>0</v>
      </c>
      <c r="BY8" s="42">
        <f>Nov!HM9</f>
        <v>0</v>
      </c>
      <c r="BZ8" s="42">
        <f>Nov!HP9</f>
        <v>0</v>
      </c>
      <c r="CA8" s="42">
        <f>Nov!HS9</f>
        <v>0</v>
      </c>
      <c r="CB8" s="42">
        <f>Nov!HV9</f>
        <v>0</v>
      </c>
      <c r="CC8" s="42">
        <f>Nov!HY9</f>
        <v>0</v>
      </c>
      <c r="CD8" s="42">
        <f>Nov!IB9</f>
        <v>0</v>
      </c>
      <c r="CE8" s="42">
        <f>Nov!IE9</f>
        <v>0</v>
      </c>
      <c r="CF8" s="42">
        <f>Nov!IH9</f>
        <v>0</v>
      </c>
    </row>
    <row r="9" spans="1:84" x14ac:dyDescent="0.25">
      <c r="A9" s="26">
        <f t="shared" ref="A9:A37" si="15">A8+1</f>
        <v>3</v>
      </c>
      <c r="B9" s="42">
        <f>Nov!G10</f>
        <v>0</v>
      </c>
      <c r="C9" s="42">
        <f>Nov!N10</f>
        <v>0</v>
      </c>
      <c r="D9" s="42">
        <f>Nov!T10</f>
        <v>0</v>
      </c>
      <c r="E9" s="42">
        <f>Oct!V10</f>
        <v>0</v>
      </c>
      <c r="F9" s="42">
        <f>Nov!AB10</f>
        <v>0</v>
      </c>
      <c r="G9" s="42">
        <f>Nov!X10</f>
        <v>0</v>
      </c>
      <c r="H9" s="42">
        <f>Nov!AE10</f>
        <v>0</v>
      </c>
      <c r="I9" s="42">
        <f>Nov!AI10</f>
        <v>0</v>
      </c>
      <c r="J9" s="42">
        <f>Nov!AN10</f>
        <v>0</v>
      </c>
      <c r="K9" s="42">
        <f>Nov!AR10</f>
        <v>0</v>
      </c>
      <c r="L9" s="42">
        <f>Nov!AZ10</f>
        <v>0</v>
      </c>
      <c r="M9" s="42">
        <f>Nov!BC10</f>
        <v>0</v>
      </c>
      <c r="N9" s="125">
        <f t="shared" si="0"/>
        <v>0</v>
      </c>
      <c r="O9" s="125">
        <f>Nov!CA10</f>
        <v>0</v>
      </c>
      <c r="P9" s="125">
        <f>Nov!CD10</f>
        <v>0</v>
      </c>
      <c r="Q9" s="125">
        <f>Nov!CF10</f>
        <v>0</v>
      </c>
      <c r="R9" s="125">
        <f>Nov!CH10</f>
        <v>0</v>
      </c>
      <c r="S9" s="125">
        <f>Nov!CK10</f>
        <v>0</v>
      </c>
      <c r="T9" s="125">
        <f>Nov!CO10</f>
        <v>0</v>
      </c>
      <c r="U9" s="125">
        <f>Nov!CS10</f>
        <v>0</v>
      </c>
      <c r="V9" s="126">
        <f t="shared" si="1"/>
        <v>0</v>
      </c>
      <c r="W9" s="126">
        <f>Nov!CW10</f>
        <v>0</v>
      </c>
      <c r="X9" s="126">
        <f>Nov!DA10</f>
        <v>0</v>
      </c>
      <c r="Y9" s="126">
        <f t="shared" si="2"/>
        <v>0</v>
      </c>
      <c r="Z9" s="42">
        <f>Nov!BR10</f>
        <v>0</v>
      </c>
      <c r="AA9" s="126">
        <f>Nov!BG10</f>
        <v>0</v>
      </c>
      <c r="AB9" s="126">
        <f>Nov!BJ10</f>
        <v>0</v>
      </c>
      <c r="AC9" s="126">
        <f>Nov!BL10+Nov!BN10</f>
        <v>0</v>
      </c>
      <c r="AD9" s="126">
        <f>Nov!DR10</f>
        <v>0</v>
      </c>
      <c r="AE9" s="127">
        <f>Nov!DT10-Nov!DR50-Nov!DT50</f>
        <v>0</v>
      </c>
      <c r="AF9" s="127">
        <f>Nov!DR50+Nov!DT50</f>
        <v>0</v>
      </c>
      <c r="AG9" s="127">
        <f>Nov!HJ10-AE9</f>
        <v>0</v>
      </c>
      <c r="AH9" s="127">
        <f>Nov!DW10</f>
        <v>0</v>
      </c>
      <c r="AI9" s="127">
        <f>Nov!DZ10</f>
        <v>0</v>
      </c>
      <c r="AJ9" s="127">
        <f>Nov!EC10</f>
        <v>0</v>
      </c>
      <c r="AK9" s="127">
        <f t="shared" si="3"/>
        <v>0</v>
      </c>
      <c r="AL9" s="127">
        <f>Nov!EG10</f>
        <v>0</v>
      </c>
      <c r="AM9" s="127">
        <f>Nov!EJ10</f>
        <v>0</v>
      </c>
      <c r="AN9" s="127">
        <f>Nov!EM10</f>
        <v>0</v>
      </c>
      <c r="AO9" s="127">
        <f t="shared" si="8"/>
        <v>0</v>
      </c>
      <c r="AP9" s="127">
        <f>Nov!FX10</f>
        <v>0</v>
      </c>
      <c r="AQ9" s="127">
        <f>Nov!GA10</f>
        <v>0</v>
      </c>
      <c r="AR9" s="127">
        <f>Nov!GG10</f>
        <v>0</v>
      </c>
      <c r="AS9" s="127">
        <f t="shared" si="9"/>
        <v>0</v>
      </c>
      <c r="AT9" s="127">
        <f>Nov!EQ10</f>
        <v>0</v>
      </c>
      <c r="AU9" s="127">
        <f>Nov!ET10</f>
        <v>0</v>
      </c>
      <c r="AV9" s="127">
        <f>Nov!EW10</f>
        <v>0</v>
      </c>
      <c r="AW9" s="127">
        <f>Nov!FL47</f>
        <v>0</v>
      </c>
      <c r="AX9" s="127">
        <f>Nov!GJ10</f>
        <v>0</v>
      </c>
      <c r="AY9" s="127">
        <f t="shared" si="10"/>
        <v>0</v>
      </c>
      <c r="AZ9" s="127">
        <f>Nov!FG10</f>
        <v>0</v>
      </c>
      <c r="BA9" s="127">
        <f>Nov!FJ10</f>
        <v>0</v>
      </c>
      <c r="BB9" s="127">
        <f>Nov!FM48</f>
        <v>0</v>
      </c>
      <c r="BC9" s="127">
        <f>Nov!GM10</f>
        <v>0</v>
      </c>
      <c r="BD9" s="127">
        <f t="shared" si="11"/>
        <v>0</v>
      </c>
      <c r="BE9" s="127">
        <f>Nov!GP10</f>
        <v>0</v>
      </c>
      <c r="BF9" s="127">
        <f>Nov!GS10</f>
        <v>0</v>
      </c>
      <c r="BG9" s="127">
        <f t="shared" si="12"/>
        <v>0</v>
      </c>
      <c r="BH9" s="127">
        <f t="shared" si="6"/>
        <v>0</v>
      </c>
      <c r="BI9" s="127"/>
      <c r="BJ9" s="127"/>
      <c r="BK9" s="127"/>
      <c r="BL9" s="128">
        <f>+AS9*0.53</f>
        <v>0</v>
      </c>
      <c r="BM9" s="128">
        <f>(AS9-BL9)</f>
        <v>0</v>
      </c>
      <c r="BN9" s="128"/>
      <c r="BO9" s="128">
        <f t="shared" ref="BO9:BO37" si="16">(AS9-BL9-BM9-BN9)</f>
        <v>0</v>
      </c>
      <c r="BP9" s="128"/>
      <c r="BQ9" s="358">
        <f>+BG9</f>
        <v>0</v>
      </c>
      <c r="BR9" s="128"/>
      <c r="BS9" s="128">
        <f>(BG9-BP9-BQ9-BR9)</f>
        <v>0</v>
      </c>
      <c r="BT9" s="42">
        <f>Oct!D48</f>
        <v>0</v>
      </c>
      <c r="BU9" s="42">
        <f>Nov!G49</f>
        <v>0</v>
      </c>
      <c r="BV9" s="395"/>
      <c r="BX9" s="42">
        <f>Nov!HJ10</f>
        <v>0</v>
      </c>
      <c r="BY9" s="42">
        <f>Nov!HM10</f>
        <v>0</v>
      </c>
      <c r="BZ9" s="42">
        <f>Nov!HP10</f>
        <v>0</v>
      </c>
      <c r="CA9" s="42">
        <f>Nov!HS10</f>
        <v>0</v>
      </c>
      <c r="CB9" s="42">
        <f>Nov!HV10</f>
        <v>0</v>
      </c>
      <c r="CC9" s="42">
        <f>Nov!HY10</f>
        <v>0</v>
      </c>
      <c r="CD9" s="42">
        <f>Nov!IB10</f>
        <v>0</v>
      </c>
      <c r="CE9" s="42">
        <f>Nov!IE10</f>
        <v>0</v>
      </c>
      <c r="CF9" s="42">
        <f>Nov!IH10</f>
        <v>0</v>
      </c>
    </row>
    <row r="10" spans="1:84" x14ac:dyDescent="0.25">
      <c r="A10" s="26">
        <f t="shared" si="15"/>
        <v>4</v>
      </c>
      <c r="B10" s="42">
        <f>Nov!G11</f>
        <v>0</v>
      </c>
      <c r="C10" s="42">
        <f>Nov!N11</f>
        <v>0</v>
      </c>
      <c r="D10" s="42">
        <f>Nov!T11</f>
        <v>0</v>
      </c>
      <c r="E10" s="42">
        <f>Oct!V11</f>
        <v>0</v>
      </c>
      <c r="F10" s="42">
        <f>Nov!AB11</f>
        <v>0</v>
      </c>
      <c r="G10" s="42">
        <f>Nov!X11</f>
        <v>0</v>
      </c>
      <c r="H10" s="42">
        <f>Nov!AE11</f>
        <v>0</v>
      </c>
      <c r="I10" s="42">
        <f>Nov!AI11</f>
        <v>0</v>
      </c>
      <c r="J10" s="42">
        <f>Nov!AN11</f>
        <v>0</v>
      </c>
      <c r="K10" s="42">
        <f>Nov!AR11</f>
        <v>0</v>
      </c>
      <c r="L10" s="42">
        <f>Nov!AZ11</f>
        <v>0</v>
      </c>
      <c r="M10" s="42">
        <f>Nov!BC11</f>
        <v>0</v>
      </c>
      <c r="N10" s="125">
        <f t="shared" si="0"/>
        <v>0</v>
      </c>
      <c r="O10" s="125">
        <f>Nov!CA11</f>
        <v>0</v>
      </c>
      <c r="P10" s="125">
        <f>Nov!CD11</f>
        <v>0</v>
      </c>
      <c r="Q10" s="125">
        <f>Nov!CF11</f>
        <v>0</v>
      </c>
      <c r="R10" s="125">
        <f>Nov!CH11</f>
        <v>0</v>
      </c>
      <c r="S10" s="125">
        <f>Nov!CK11</f>
        <v>0</v>
      </c>
      <c r="T10" s="125">
        <f>Nov!CO11</f>
        <v>0</v>
      </c>
      <c r="U10" s="125">
        <f>Nov!CS11</f>
        <v>0</v>
      </c>
      <c r="V10" s="126">
        <f t="shared" si="1"/>
        <v>0</v>
      </c>
      <c r="W10" s="126">
        <f>Nov!CW11</f>
        <v>0</v>
      </c>
      <c r="X10" s="126">
        <f>Nov!DA11</f>
        <v>0</v>
      </c>
      <c r="Y10" s="126">
        <f t="shared" si="2"/>
        <v>0</v>
      </c>
      <c r="Z10" s="42">
        <f>Nov!BR11</f>
        <v>0</v>
      </c>
      <c r="AA10" s="126">
        <f>Nov!BG11</f>
        <v>0</v>
      </c>
      <c r="AB10" s="126">
        <f>Nov!BJ11</f>
        <v>0</v>
      </c>
      <c r="AC10" s="126">
        <f>Nov!BL11+Nov!BN11</f>
        <v>0</v>
      </c>
      <c r="AD10" s="126">
        <f>Nov!DR11</f>
        <v>0</v>
      </c>
      <c r="AE10" s="127">
        <f>Nov!DT11-Nov!DR51-Nov!DT51</f>
        <v>0</v>
      </c>
      <c r="AF10" s="127">
        <f>Nov!DR51+Nov!DT51</f>
        <v>0</v>
      </c>
      <c r="AG10" s="127">
        <f>Nov!HJ11-AE10</f>
        <v>0</v>
      </c>
      <c r="AH10" s="127">
        <f>Nov!DW11</f>
        <v>0</v>
      </c>
      <c r="AI10" s="127">
        <f>Nov!DZ11</f>
        <v>0</v>
      </c>
      <c r="AJ10" s="127">
        <f>Nov!EC11</f>
        <v>0</v>
      </c>
      <c r="AK10" s="127">
        <f t="shared" ref="AK10" si="17">SUM(AH10:AJ10)</f>
        <v>0</v>
      </c>
      <c r="AL10" s="127">
        <f>Nov!EG11</f>
        <v>0</v>
      </c>
      <c r="AM10" s="127">
        <f>Nov!EJ11</f>
        <v>0</v>
      </c>
      <c r="AN10" s="127">
        <f>Nov!EM11</f>
        <v>0</v>
      </c>
      <c r="AO10" s="127">
        <f t="shared" si="8"/>
        <v>0</v>
      </c>
      <c r="AP10" s="127">
        <f>Nov!FX11</f>
        <v>0</v>
      </c>
      <c r="AQ10" s="127">
        <f>Nov!GA11</f>
        <v>0</v>
      </c>
      <c r="AR10" s="127">
        <f>Nov!GG11</f>
        <v>0</v>
      </c>
      <c r="AS10" s="127">
        <f t="shared" si="9"/>
        <v>0</v>
      </c>
      <c r="AT10" s="127">
        <f>Nov!EQ11</f>
        <v>0</v>
      </c>
      <c r="AU10" s="127">
        <f>Nov!ET11</f>
        <v>0</v>
      </c>
      <c r="AV10" s="127">
        <f>Nov!EW11</f>
        <v>0</v>
      </c>
      <c r="AW10" s="127">
        <f>Nov!FL48</f>
        <v>0</v>
      </c>
      <c r="AX10" s="127">
        <f>Nov!GJ11</f>
        <v>0</v>
      </c>
      <c r="AY10" s="127">
        <f t="shared" si="10"/>
        <v>0</v>
      </c>
      <c r="AZ10" s="127">
        <f>Nov!FG11</f>
        <v>0</v>
      </c>
      <c r="BA10" s="127">
        <f>Nov!FJ11</f>
        <v>0</v>
      </c>
      <c r="BB10" s="127">
        <f>Nov!FM49</f>
        <v>0</v>
      </c>
      <c r="BC10" s="127">
        <f>Nov!GM11</f>
        <v>0</v>
      </c>
      <c r="BD10" s="127">
        <f t="shared" si="11"/>
        <v>0</v>
      </c>
      <c r="BE10" s="127">
        <f>Nov!GP11</f>
        <v>0</v>
      </c>
      <c r="BF10" s="127">
        <f>Nov!GS11</f>
        <v>0</v>
      </c>
      <c r="BG10" s="127">
        <f t="shared" si="12"/>
        <v>0</v>
      </c>
      <c r="BH10" s="127">
        <f t="shared" si="6"/>
        <v>0</v>
      </c>
      <c r="BI10" s="127"/>
      <c r="BJ10" s="127"/>
      <c r="BK10" s="127"/>
      <c r="BL10" s="128">
        <f>+AS10*0.49</f>
        <v>0</v>
      </c>
      <c r="BM10" s="128">
        <f>(AS10-BL10)</f>
        <v>0</v>
      </c>
      <c r="BN10" s="128"/>
      <c r="BO10" s="128">
        <f t="shared" si="16"/>
        <v>0</v>
      </c>
      <c r="BP10" s="128"/>
      <c r="BQ10" s="358">
        <f>+BG10</f>
        <v>0</v>
      </c>
      <c r="BR10" s="128"/>
      <c r="BS10" s="128">
        <f t="shared" ref="BS10:BS37" si="18">(BG10-BP10-BQ10-BR10)</f>
        <v>0</v>
      </c>
      <c r="BT10" s="42">
        <f>Nov!D49</f>
        <v>0</v>
      </c>
      <c r="BU10" s="42">
        <f>Nov!G50</f>
        <v>0</v>
      </c>
      <c r="BV10" s="395"/>
      <c r="BX10" s="42">
        <f>Nov!HJ11</f>
        <v>0</v>
      </c>
      <c r="BY10" s="42">
        <f>Nov!HM11</f>
        <v>0</v>
      </c>
      <c r="BZ10" s="42">
        <f>Nov!HP11</f>
        <v>0</v>
      </c>
      <c r="CA10" s="42">
        <f>Nov!HS11</f>
        <v>0</v>
      </c>
      <c r="CB10" s="42">
        <f>Nov!HV11</f>
        <v>0</v>
      </c>
      <c r="CC10" s="42">
        <f>Nov!HY11</f>
        <v>0</v>
      </c>
      <c r="CD10" s="42">
        <f>Nov!IB11</f>
        <v>0</v>
      </c>
      <c r="CE10" s="42">
        <f>Nov!IE11</f>
        <v>0</v>
      </c>
      <c r="CF10" s="42">
        <f>Nov!IH11</f>
        <v>0</v>
      </c>
    </row>
    <row r="11" spans="1:84" x14ac:dyDescent="0.25">
      <c r="A11" s="26">
        <f t="shared" si="15"/>
        <v>5</v>
      </c>
      <c r="B11" s="42">
        <f>Nov!G12</f>
        <v>0</v>
      </c>
      <c r="C11" s="42">
        <f>Nov!N12</f>
        <v>0</v>
      </c>
      <c r="D11" s="42">
        <f>Nov!T12</f>
        <v>0</v>
      </c>
      <c r="E11" s="42">
        <f>Oct!V12</f>
        <v>0</v>
      </c>
      <c r="F11" s="42">
        <f>Nov!AB12</f>
        <v>0</v>
      </c>
      <c r="G11" s="42">
        <f>Nov!X12</f>
        <v>0</v>
      </c>
      <c r="H11" s="42">
        <f>Nov!AE12</f>
        <v>0</v>
      </c>
      <c r="I11" s="42">
        <f>Nov!AI12</f>
        <v>0</v>
      </c>
      <c r="J11" s="42">
        <f>Nov!AN12</f>
        <v>0</v>
      </c>
      <c r="K11" s="42">
        <f>Nov!AR12</f>
        <v>0</v>
      </c>
      <c r="L11" s="42">
        <f>Nov!AZ12</f>
        <v>0</v>
      </c>
      <c r="M11" s="42">
        <f>Nov!BC12</f>
        <v>0</v>
      </c>
      <c r="N11" s="125">
        <f t="shared" si="0"/>
        <v>0</v>
      </c>
      <c r="O11" s="125">
        <f>Nov!CA12</f>
        <v>0</v>
      </c>
      <c r="P11" s="125">
        <f>Nov!CD12</f>
        <v>0</v>
      </c>
      <c r="Q11" s="125">
        <f>Nov!CF12</f>
        <v>0</v>
      </c>
      <c r="R11" s="125">
        <f>Nov!CH12</f>
        <v>0</v>
      </c>
      <c r="S11" s="125">
        <f>Nov!CK12</f>
        <v>0</v>
      </c>
      <c r="T11" s="125">
        <f>Nov!CO12</f>
        <v>0</v>
      </c>
      <c r="U11" s="125">
        <f>Nov!CS12</f>
        <v>0</v>
      </c>
      <c r="V11" s="126">
        <f t="shared" ref="V11:V37" si="19">SUM(O11:U11)</f>
        <v>0</v>
      </c>
      <c r="W11" s="126">
        <f>Nov!CW12</f>
        <v>0</v>
      </c>
      <c r="X11" s="126">
        <f>Nov!DA12</f>
        <v>0</v>
      </c>
      <c r="Y11" s="126">
        <f t="shared" ref="Y11:Y12" si="20">W11+X11</f>
        <v>0</v>
      </c>
      <c r="Z11" s="42">
        <f>Nov!BR12</f>
        <v>0</v>
      </c>
      <c r="AA11" s="126">
        <f>Nov!BG12</f>
        <v>0</v>
      </c>
      <c r="AB11" s="126">
        <f>Nov!BJ12</f>
        <v>0</v>
      </c>
      <c r="AC11" s="126">
        <f>Nov!BL12+Nov!BN12</f>
        <v>0</v>
      </c>
      <c r="AD11" s="126">
        <f>Nov!DR12</f>
        <v>0</v>
      </c>
      <c r="AE11" s="127">
        <f>Nov!DT12-Nov!DR52-Nov!DT52</f>
        <v>0</v>
      </c>
      <c r="AF11" s="127">
        <f>Nov!DR52+Nov!DT52</f>
        <v>0</v>
      </c>
      <c r="AG11" s="127">
        <f>Nov!HJ12-AE11</f>
        <v>0</v>
      </c>
      <c r="AH11" s="127">
        <f>Nov!DW12</f>
        <v>0</v>
      </c>
      <c r="AI11" s="127">
        <f>Nov!DZ12</f>
        <v>0</v>
      </c>
      <c r="AJ11" s="127">
        <f>Nov!EC12</f>
        <v>0</v>
      </c>
      <c r="AK11" s="127">
        <f t="shared" ref="AK11:AK37" si="21">SUM(AH11:AJ11)</f>
        <v>0</v>
      </c>
      <c r="AL11" s="127">
        <f>Nov!EG12</f>
        <v>0</v>
      </c>
      <c r="AM11" s="127">
        <f>Nov!EJ12</f>
        <v>0</v>
      </c>
      <c r="AN11" s="127">
        <f>Nov!EM12</f>
        <v>0</v>
      </c>
      <c r="AO11" s="127">
        <f t="shared" si="8"/>
        <v>0</v>
      </c>
      <c r="AP11" s="127">
        <f>Nov!FX12</f>
        <v>0</v>
      </c>
      <c r="AQ11" s="127">
        <f>Nov!GA12</f>
        <v>0</v>
      </c>
      <c r="AR11" s="127">
        <f>Nov!GG12</f>
        <v>0</v>
      </c>
      <c r="AS11" s="127">
        <f t="shared" si="9"/>
        <v>0</v>
      </c>
      <c r="AT11" s="127">
        <f>Nov!EQ12</f>
        <v>0</v>
      </c>
      <c r="AU11" s="127">
        <f>Nov!ET12</f>
        <v>0</v>
      </c>
      <c r="AV11" s="127">
        <f>Nov!EW12</f>
        <v>0</v>
      </c>
      <c r="AW11" s="127">
        <f>Nov!FL49</f>
        <v>0</v>
      </c>
      <c r="AX11" s="127">
        <f>Nov!GJ12</f>
        <v>0</v>
      </c>
      <c r="AY11" s="127">
        <f t="shared" si="10"/>
        <v>0</v>
      </c>
      <c r="AZ11" s="127">
        <f>Nov!FG12</f>
        <v>0</v>
      </c>
      <c r="BA11" s="127">
        <f>Nov!FJ12</f>
        <v>0</v>
      </c>
      <c r="BB11" s="127">
        <f>Nov!FM50</f>
        <v>0</v>
      </c>
      <c r="BC11" s="127">
        <f>Nov!GM12</f>
        <v>0</v>
      </c>
      <c r="BD11" s="127">
        <f t="shared" si="11"/>
        <v>0</v>
      </c>
      <c r="BE11" s="127">
        <f>Nov!GP12</f>
        <v>0</v>
      </c>
      <c r="BF11" s="127">
        <f>Nov!GS12</f>
        <v>0</v>
      </c>
      <c r="BG11" s="127">
        <f t="shared" si="12"/>
        <v>0</v>
      </c>
      <c r="BH11" s="127">
        <f t="shared" si="6"/>
        <v>0</v>
      </c>
      <c r="BI11" s="127"/>
      <c r="BJ11" s="127"/>
      <c r="BK11" s="127"/>
      <c r="BL11" s="128">
        <f>+AS11*0.54</f>
        <v>0</v>
      </c>
      <c r="BM11" s="128">
        <f>(AS11-BL11)</f>
        <v>0</v>
      </c>
      <c r="BN11" s="128"/>
      <c r="BO11" s="128">
        <f t="shared" si="16"/>
        <v>0</v>
      </c>
      <c r="BP11" s="128"/>
      <c r="BQ11" s="358">
        <f>+BG11</f>
        <v>0</v>
      </c>
      <c r="BR11" s="128"/>
      <c r="BS11" s="128">
        <f t="shared" si="18"/>
        <v>0</v>
      </c>
      <c r="BT11" s="42">
        <f>Nov!D50</f>
        <v>0</v>
      </c>
      <c r="BU11" s="42">
        <f>Nov!G51</f>
        <v>0</v>
      </c>
      <c r="BV11" s="395"/>
      <c r="BX11" s="42">
        <f>Nov!HJ12</f>
        <v>0</v>
      </c>
      <c r="BY11" s="42">
        <f>Nov!HM12</f>
        <v>0</v>
      </c>
      <c r="BZ11" s="42">
        <f>Nov!HP12</f>
        <v>0</v>
      </c>
      <c r="CA11" s="42">
        <f>Nov!HS12</f>
        <v>0</v>
      </c>
      <c r="CB11" s="42">
        <f>Nov!HV12</f>
        <v>0</v>
      </c>
      <c r="CC11" s="42">
        <f>Nov!HY12</f>
        <v>0</v>
      </c>
      <c r="CD11" s="42">
        <f>Nov!IB12</f>
        <v>0</v>
      </c>
      <c r="CE11" s="42">
        <f>Nov!IE12</f>
        <v>0</v>
      </c>
      <c r="CF11" s="42">
        <f>Nov!IH12</f>
        <v>0</v>
      </c>
    </row>
    <row r="12" spans="1:84" x14ac:dyDescent="0.25">
      <c r="A12" s="26">
        <f t="shared" si="15"/>
        <v>6</v>
      </c>
      <c r="B12" s="42">
        <f>Nov!G13</f>
        <v>0</v>
      </c>
      <c r="C12" s="42">
        <f>Nov!N13</f>
        <v>0</v>
      </c>
      <c r="D12" s="42">
        <f>Nov!T13</f>
        <v>0</v>
      </c>
      <c r="E12" s="42">
        <f>Oct!V13</f>
        <v>0</v>
      </c>
      <c r="F12" s="42">
        <f>Nov!AB13</f>
        <v>0</v>
      </c>
      <c r="G12" s="42">
        <f>Nov!X13</f>
        <v>0</v>
      </c>
      <c r="H12" s="42">
        <f>Nov!AE13</f>
        <v>0</v>
      </c>
      <c r="I12" s="42">
        <f>Nov!AI13</f>
        <v>0</v>
      </c>
      <c r="J12" s="42">
        <f>Nov!AN13</f>
        <v>0</v>
      </c>
      <c r="K12" s="42">
        <f>Nov!AR13</f>
        <v>0</v>
      </c>
      <c r="L12" s="42">
        <f>Nov!AZ13</f>
        <v>0</v>
      </c>
      <c r="M12" s="42">
        <f>Nov!BC13</f>
        <v>0</v>
      </c>
      <c r="N12" s="125">
        <f t="shared" si="0"/>
        <v>0</v>
      </c>
      <c r="O12" s="125">
        <f>Nov!CA13</f>
        <v>0</v>
      </c>
      <c r="P12" s="125">
        <f>Nov!CD13</f>
        <v>0</v>
      </c>
      <c r="Q12" s="125">
        <f>Nov!CF13</f>
        <v>0</v>
      </c>
      <c r="R12" s="125">
        <f>Nov!CH13</f>
        <v>0</v>
      </c>
      <c r="S12" s="125">
        <f>Nov!CK13</f>
        <v>0</v>
      </c>
      <c r="T12" s="125">
        <f>Nov!CO13</f>
        <v>0</v>
      </c>
      <c r="U12" s="125">
        <f>Nov!CS13</f>
        <v>0</v>
      </c>
      <c r="V12" s="126">
        <f t="shared" si="19"/>
        <v>0</v>
      </c>
      <c r="W12" s="126">
        <f>Nov!CW13</f>
        <v>0</v>
      </c>
      <c r="X12" s="126">
        <f>Nov!DA13</f>
        <v>0</v>
      </c>
      <c r="Y12" s="126">
        <f t="shared" si="20"/>
        <v>0</v>
      </c>
      <c r="Z12" s="42">
        <f>Nov!BR13</f>
        <v>0</v>
      </c>
      <c r="AA12" s="126">
        <f>Nov!BG13</f>
        <v>0</v>
      </c>
      <c r="AB12" s="126">
        <f>Nov!BJ13</f>
        <v>0</v>
      </c>
      <c r="AC12" s="126">
        <f>Nov!BL13+Nov!BN13</f>
        <v>0</v>
      </c>
      <c r="AD12" s="126">
        <f>Nov!DR13</f>
        <v>0</v>
      </c>
      <c r="AE12" s="127">
        <f>Nov!DT13-Nov!DR53-Nov!DT53</f>
        <v>0</v>
      </c>
      <c r="AF12" s="127">
        <f>Nov!DR53+Nov!DT53</f>
        <v>0</v>
      </c>
      <c r="AG12" s="127">
        <f>Nov!HJ13-AE12</f>
        <v>0</v>
      </c>
      <c r="AH12" s="127">
        <f>Nov!DW13</f>
        <v>0</v>
      </c>
      <c r="AI12" s="127">
        <f>Nov!DZ13</f>
        <v>0</v>
      </c>
      <c r="AJ12" s="127">
        <f>Nov!EC13</f>
        <v>0</v>
      </c>
      <c r="AK12" s="127">
        <f t="shared" si="21"/>
        <v>0</v>
      </c>
      <c r="AL12" s="127">
        <f>Nov!EG13</f>
        <v>0</v>
      </c>
      <c r="AM12" s="127">
        <f>Nov!EJ13</f>
        <v>0</v>
      </c>
      <c r="AN12" s="127">
        <f>Nov!EM13</f>
        <v>0</v>
      </c>
      <c r="AO12" s="127">
        <f t="shared" si="8"/>
        <v>0</v>
      </c>
      <c r="AP12" s="127">
        <f>Nov!FX13</f>
        <v>0</v>
      </c>
      <c r="AQ12" s="127">
        <f>Nov!GA13</f>
        <v>0</v>
      </c>
      <c r="AR12" s="127">
        <f>Nov!GG13</f>
        <v>0</v>
      </c>
      <c r="AS12" s="127">
        <f t="shared" si="9"/>
        <v>0</v>
      </c>
      <c r="AT12" s="127">
        <f>Nov!EQ13</f>
        <v>0</v>
      </c>
      <c r="AU12" s="127">
        <f>Nov!ET13</f>
        <v>0</v>
      </c>
      <c r="AV12" s="127">
        <f>Nov!EW13</f>
        <v>0</v>
      </c>
      <c r="AW12" s="127">
        <f>Nov!FL50</f>
        <v>0</v>
      </c>
      <c r="AX12" s="127">
        <f>Nov!GJ13</f>
        <v>0</v>
      </c>
      <c r="AY12" s="127">
        <f t="shared" si="10"/>
        <v>0</v>
      </c>
      <c r="AZ12" s="127">
        <f>Nov!FG13</f>
        <v>0</v>
      </c>
      <c r="BA12" s="127">
        <f>Nov!FJ13</f>
        <v>0</v>
      </c>
      <c r="BB12" s="127">
        <f>Nov!FM51</f>
        <v>0</v>
      </c>
      <c r="BC12" s="127">
        <f>Nov!GM13</f>
        <v>0</v>
      </c>
      <c r="BD12" s="127">
        <f t="shared" si="11"/>
        <v>0</v>
      </c>
      <c r="BE12" s="127">
        <f>Nov!GP13</f>
        <v>0</v>
      </c>
      <c r="BF12" s="127">
        <f>Nov!GS13</f>
        <v>0</v>
      </c>
      <c r="BG12" s="127">
        <f t="shared" si="12"/>
        <v>0</v>
      </c>
      <c r="BH12" s="127">
        <f t="shared" si="6"/>
        <v>0</v>
      </c>
      <c r="BI12" s="127"/>
      <c r="BJ12" s="127"/>
      <c r="BK12" s="127"/>
      <c r="BL12" s="128">
        <f>+AS12*0.6</f>
        <v>0</v>
      </c>
      <c r="BM12" s="128">
        <f>(AS12-BL12)</f>
        <v>0</v>
      </c>
      <c r="BN12" s="128"/>
      <c r="BO12" s="128">
        <f t="shared" si="16"/>
        <v>0</v>
      </c>
      <c r="BP12" s="128"/>
      <c r="BQ12" s="358">
        <f t="shared" ref="BQ12:BQ37" si="22">+BG12</f>
        <v>0</v>
      </c>
      <c r="BR12" s="128"/>
      <c r="BS12" s="128">
        <f t="shared" si="18"/>
        <v>0</v>
      </c>
      <c r="BT12" s="42">
        <f>Nov!D51</f>
        <v>0</v>
      </c>
      <c r="BU12" s="42">
        <f>Nov!G52</f>
        <v>0</v>
      </c>
      <c r="BV12" s="395"/>
      <c r="BX12" s="42">
        <f>Nov!HJ13</f>
        <v>0</v>
      </c>
      <c r="BY12" s="42">
        <f>Nov!HM13</f>
        <v>0</v>
      </c>
      <c r="BZ12" s="42">
        <f>Nov!HP13</f>
        <v>0</v>
      </c>
      <c r="CA12" s="42">
        <f>Nov!HS13</f>
        <v>0</v>
      </c>
      <c r="CB12" s="42">
        <f>Nov!HV13</f>
        <v>0</v>
      </c>
      <c r="CC12" s="42">
        <f>Nov!HY13</f>
        <v>0</v>
      </c>
      <c r="CD12" s="42">
        <f>Nov!IB13</f>
        <v>0</v>
      </c>
      <c r="CE12" s="42">
        <f>Nov!IE13</f>
        <v>0</v>
      </c>
      <c r="CF12" s="42">
        <f>Nov!IH13</f>
        <v>0</v>
      </c>
    </row>
    <row r="13" spans="1:84" x14ac:dyDescent="0.25">
      <c r="A13" s="26">
        <f t="shared" si="15"/>
        <v>7</v>
      </c>
      <c r="B13" s="42">
        <f>Nov!G14</f>
        <v>0</v>
      </c>
      <c r="C13" s="42">
        <f>Nov!N14</f>
        <v>0</v>
      </c>
      <c r="D13" s="42">
        <f>Nov!T14</f>
        <v>0</v>
      </c>
      <c r="E13" s="42">
        <f>Oct!V14</f>
        <v>0</v>
      </c>
      <c r="F13" s="42">
        <f>Nov!AB14</f>
        <v>0</v>
      </c>
      <c r="G13" s="42">
        <f>Nov!X14</f>
        <v>0</v>
      </c>
      <c r="H13" s="42">
        <f>Nov!AE14</f>
        <v>0</v>
      </c>
      <c r="I13" s="42">
        <f>Nov!AI14</f>
        <v>0</v>
      </c>
      <c r="J13" s="42">
        <f>Nov!AN14</f>
        <v>0</v>
      </c>
      <c r="K13" s="42">
        <f>Nov!AR14</f>
        <v>0</v>
      </c>
      <c r="L13" s="42">
        <f>Nov!AZ14</f>
        <v>0</v>
      </c>
      <c r="M13" s="42">
        <f>Nov!BC14</f>
        <v>0</v>
      </c>
      <c r="N13" s="125">
        <f t="shared" ref="N13:N19" si="23">SUM(D13:M13)</f>
        <v>0</v>
      </c>
      <c r="O13" s="125">
        <f>Nov!CA14</f>
        <v>0</v>
      </c>
      <c r="P13" s="125">
        <f>Nov!CD14</f>
        <v>0</v>
      </c>
      <c r="Q13" s="125">
        <f>Nov!CF14</f>
        <v>0</v>
      </c>
      <c r="R13" s="125">
        <f>Nov!CH14</f>
        <v>0</v>
      </c>
      <c r="S13" s="125">
        <f>Nov!CK14</f>
        <v>0</v>
      </c>
      <c r="T13" s="125">
        <f>Nov!CO14</f>
        <v>0</v>
      </c>
      <c r="U13" s="125">
        <f>Nov!CS14</f>
        <v>0</v>
      </c>
      <c r="V13" s="126">
        <f t="shared" si="19"/>
        <v>0</v>
      </c>
      <c r="W13" s="126">
        <f>Nov!CW14</f>
        <v>0</v>
      </c>
      <c r="X13" s="126">
        <f>Nov!DA14</f>
        <v>0</v>
      </c>
      <c r="Y13" s="126">
        <f t="shared" ref="Y13:Y15" si="24">W13+X13</f>
        <v>0</v>
      </c>
      <c r="Z13" s="42">
        <f>Nov!BR14</f>
        <v>0</v>
      </c>
      <c r="AA13" s="126">
        <f>Nov!BG14</f>
        <v>0</v>
      </c>
      <c r="AB13" s="126">
        <f>Nov!BJ14</f>
        <v>0</v>
      </c>
      <c r="AC13" s="126">
        <f>Nov!BL14+Nov!BN14</f>
        <v>0</v>
      </c>
      <c r="AD13" s="126">
        <f>Nov!DR14</f>
        <v>0</v>
      </c>
      <c r="AE13" s="127">
        <f>Nov!DT14-Nov!DR54-Nov!DT54</f>
        <v>0</v>
      </c>
      <c r="AF13" s="127">
        <f>Nov!DR54+Nov!DT54</f>
        <v>0</v>
      </c>
      <c r="AG13" s="127">
        <f>Nov!HJ14-AE13</f>
        <v>0</v>
      </c>
      <c r="AH13" s="127">
        <f>Nov!DW14</f>
        <v>0</v>
      </c>
      <c r="AI13" s="127">
        <f>Nov!DZ14</f>
        <v>0</v>
      </c>
      <c r="AJ13" s="127">
        <f>Nov!EC14</f>
        <v>0</v>
      </c>
      <c r="AK13" s="127">
        <f t="shared" si="21"/>
        <v>0</v>
      </c>
      <c r="AL13" s="127">
        <f>Nov!EG14</f>
        <v>0</v>
      </c>
      <c r="AM13" s="127">
        <f>Nov!EJ14</f>
        <v>0</v>
      </c>
      <c r="AN13" s="127">
        <f>Nov!EM14</f>
        <v>0</v>
      </c>
      <c r="AO13" s="127">
        <f t="shared" si="8"/>
        <v>0</v>
      </c>
      <c r="AP13" s="127">
        <f>Nov!FX14</f>
        <v>0</v>
      </c>
      <c r="AQ13" s="127">
        <f>Nov!GA14</f>
        <v>0</v>
      </c>
      <c r="AR13" s="127">
        <f>Nov!GG14</f>
        <v>0</v>
      </c>
      <c r="AS13" s="127">
        <f t="shared" si="9"/>
        <v>0</v>
      </c>
      <c r="AT13" s="127">
        <f>Nov!EQ14</f>
        <v>0</v>
      </c>
      <c r="AU13" s="127">
        <f>Nov!ET14</f>
        <v>0</v>
      </c>
      <c r="AV13" s="127">
        <f>Nov!EW14</f>
        <v>0</v>
      </c>
      <c r="AW13" s="127">
        <f>Nov!FL51</f>
        <v>0</v>
      </c>
      <c r="AX13" s="127">
        <f>Nov!GJ14</f>
        <v>0</v>
      </c>
      <c r="AY13" s="127">
        <f t="shared" si="10"/>
        <v>0</v>
      </c>
      <c r="AZ13" s="127">
        <f>Nov!FG14</f>
        <v>0</v>
      </c>
      <c r="BA13" s="127">
        <f>Nov!FJ14</f>
        <v>0</v>
      </c>
      <c r="BB13" s="127">
        <f>Nov!FM52</f>
        <v>0</v>
      </c>
      <c r="BC13" s="127">
        <f>Nov!GM14</f>
        <v>0</v>
      </c>
      <c r="BD13" s="127">
        <f t="shared" si="11"/>
        <v>0</v>
      </c>
      <c r="BE13" s="127">
        <f>Nov!GP14</f>
        <v>0</v>
      </c>
      <c r="BF13" s="127">
        <f>Nov!GS14</f>
        <v>0</v>
      </c>
      <c r="BG13" s="127">
        <f t="shared" si="12"/>
        <v>0</v>
      </c>
      <c r="BH13" s="127">
        <f t="shared" si="6"/>
        <v>0</v>
      </c>
      <c r="BI13" s="127"/>
      <c r="BJ13" s="127"/>
      <c r="BK13" s="127"/>
      <c r="BL13" s="128">
        <f>+AS13*0.66</f>
        <v>0</v>
      </c>
      <c r="BM13" s="128">
        <f>(AS13-BL13)</f>
        <v>0</v>
      </c>
      <c r="BN13" s="128"/>
      <c r="BO13" s="128">
        <f t="shared" si="16"/>
        <v>0</v>
      </c>
      <c r="BP13" s="128"/>
      <c r="BQ13" s="358">
        <f t="shared" si="22"/>
        <v>0</v>
      </c>
      <c r="BR13" s="128"/>
      <c r="BS13" s="128">
        <f t="shared" si="18"/>
        <v>0</v>
      </c>
      <c r="BT13" s="42">
        <f>Nov!D52</f>
        <v>0</v>
      </c>
      <c r="BU13" s="42">
        <f>Nov!G53</f>
        <v>0</v>
      </c>
      <c r="BV13" s="395"/>
      <c r="BX13" s="42">
        <f>Nov!HJ14</f>
        <v>0</v>
      </c>
      <c r="BY13" s="42">
        <f>Nov!HM14</f>
        <v>0</v>
      </c>
      <c r="BZ13" s="42">
        <f>Nov!HP14</f>
        <v>0</v>
      </c>
      <c r="CA13" s="42">
        <f>Nov!HS14</f>
        <v>0</v>
      </c>
      <c r="CB13" s="42">
        <f>Nov!HV14</f>
        <v>0</v>
      </c>
      <c r="CC13" s="42">
        <f>Nov!HY14</f>
        <v>0</v>
      </c>
      <c r="CD13" s="42">
        <f>Nov!IB14</f>
        <v>0</v>
      </c>
      <c r="CE13" s="42">
        <f>Nov!IE14</f>
        <v>0</v>
      </c>
      <c r="CF13" s="42">
        <f>Nov!IH14</f>
        <v>0</v>
      </c>
    </row>
    <row r="14" spans="1:84" x14ac:dyDescent="0.25">
      <c r="A14" s="26">
        <f t="shared" si="15"/>
        <v>8</v>
      </c>
      <c r="B14" s="42">
        <f>Nov!G15</f>
        <v>0</v>
      </c>
      <c r="C14" s="42">
        <f>Nov!N15</f>
        <v>0</v>
      </c>
      <c r="D14" s="42">
        <f>Nov!T15</f>
        <v>0</v>
      </c>
      <c r="E14" s="42">
        <f>Oct!V15</f>
        <v>0</v>
      </c>
      <c r="F14" s="42">
        <f>Nov!AB15</f>
        <v>0</v>
      </c>
      <c r="G14" s="42">
        <f>Nov!X15</f>
        <v>0</v>
      </c>
      <c r="H14" s="42">
        <f>Nov!AE15</f>
        <v>0</v>
      </c>
      <c r="I14" s="42">
        <f>Nov!AI15</f>
        <v>0</v>
      </c>
      <c r="J14" s="42">
        <f>Nov!AN15</f>
        <v>0</v>
      </c>
      <c r="K14" s="42">
        <f>Nov!AR15</f>
        <v>0</v>
      </c>
      <c r="L14" s="42">
        <f>Nov!AZ15</f>
        <v>0</v>
      </c>
      <c r="M14" s="42">
        <f>Nov!BC15</f>
        <v>0</v>
      </c>
      <c r="N14" s="125">
        <f t="shared" si="23"/>
        <v>0</v>
      </c>
      <c r="O14" s="125">
        <f>Nov!CA15</f>
        <v>0</v>
      </c>
      <c r="P14" s="125">
        <f>Nov!CD15</f>
        <v>0</v>
      </c>
      <c r="Q14" s="125">
        <f>Nov!CF15</f>
        <v>0</v>
      </c>
      <c r="R14" s="125">
        <f>Nov!CH15</f>
        <v>0</v>
      </c>
      <c r="S14" s="125">
        <f>Nov!CK15</f>
        <v>0</v>
      </c>
      <c r="T14" s="125">
        <f>Nov!CO15</f>
        <v>0</v>
      </c>
      <c r="U14" s="125">
        <f>Nov!CS15</f>
        <v>0</v>
      </c>
      <c r="V14" s="126">
        <f t="shared" si="19"/>
        <v>0</v>
      </c>
      <c r="W14" s="126">
        <f>Nov!CW15</f>
        <v>0</v>
      </c>
      <c r="X14" s="126">
        <f>Nov!DA15</f>
        <v>0</v>
      </c>
      <c r="Y14" s="126">
        <f t="shared" si="24"/>
        <v>0</v>
      </c>
      <c r="Z14" s="42">
        <f>Nov!BR15</f>
        <v>0</v>
      </c>
      <c r="AA14" s="126">
        <f>Nov!BG15</f>
        <v>0</v>
      </c>
      <c r="AB14" s="126">
        <f>Nov!BJ15</f>
        <v>0</v>
      </c>
      <c r="AC14" s="126">
        <f>Nov!BL15+Nov!BN15</f>
        <v>0</v>
      </c>
      <c r="AD14" s="126">
        <f>Nov!DR15</f>
        <v>0</v>
      </c>
      <c r="AE14" s="127">
        <f>Nov!DT15-Nov!DR55-Nov!DT55</f>
        <v>0</v>
      </c>
      <c r="AF14" s="127">
        <f>Nov!DR55+Nov!DT55</f>
        <v>0</v>
      </c>
      <c r="AG14" s="127">
        <f>Nov!HJ15-AE14</f>
        <v>0</v>
      </c>
      <c r="AH14" s="127">
        <f>Nov!DW15</f>
        <v>0</v>
      </c>
      <c r="AI14" s="127">
        <f>Nov!DZ15</f>
        <v>0</v>
      </c>
      <c r="AJ14" s="127">
        <f>Nov!EC15</f>
        <v>0</v>
      </c>
      <c r="AK14" s="127">
        <f t="shared" si="21"/>
        <v>0</v>
      </c>
      <c r="AL14" s="127">
        <f>Nov!EG15</f>
        <v>0</v>
      </c>
      <c r="AM14" s="127">
        <f>Nov!EJ15</f>
        <v>0</v>
      </c>
      <c r="AN14" s="127">
        <f>Nov!EM15</f>
        <v>0</v>
      </c>
      <c r="AO14" s="127">
        <f t="shared" si="8"/>
        <v>0</v>
      </c>
      <c r="AP14" s="127">
        <f>Nov!FX15</f>
        <v>0</v>
      </c>
      <c r="AQ14" s="127">
        <f>Nov!GA15</f>
        <v>0</v>
      </c>
      <c r="AR14" s="127">
        <f>Nov!GG15</f>
        <v>0</v>
      </c>
      <c r="AS14" s="127">
        <f t="shared" si="9"/>
        <v>0</v>
      </c>
      <c r="AT14" s="127">
        <f>Nov!EQ15</f>
        <v>0</v>
      </c>
      <c r="AU14" s="127">
        <f>Nov!ET15</f>
        <v>0</v>
      </c>
      <c r="AV14" s="127">
        <f>Nov!EW15</f>
        <v>0</v>
      </c>
      <c r="AW14" s="127">
        <f>Nov!FL52</f>
        <v>0</v>
      </c>
      <c r="AX14" s="127">
        <f>Nov!GJ15</f>
        <v>0</v>
      </c>
      <c r="AY14" s="127">
        <f t="shared" si="10"/>
        <v>0</v>
      </c>
      <c r="AZ14" s="127">
        <f>Nov!FG15</f>
        <v>0</v>
      </c>
      <c r="BA14" s="127">
        <f>Nov!FJ15</f>
        <v>0</v>
      </c>
      <c r="BB14" s="127">
        <f>Nov!FM53</f>
        <v>0</v>
      </c>
      <c r="BC14" s="127">
        <f>Nov!GM15</f>
        <v>0</v>
      </c>
      <c r="BD14" s="127">
        <f t="shared" si="11"/>
        <v>0</v>
      </c>
      <c r="BE14" s="127">
        <f>Nov!GP15</f>
        <v>0</v>
      </c>
      <c r="BF14" s="127">
        <f>Nov!GS15</f>
        <v>0</v>
      </c>
      <c r="BG14" s="127">
        <f t="shared" si="12"/>
        <v>0</v>
      </c>
      <c r="BH14" s="127">
        <f t="shared" si="6"/>
        <v>0</v>
      </c>
      <c r="BI14" s="127"/>
      <c r="BJ14" s="127"/>
      <c r="BK14" s="127"/>
      <c r="BL14" s="128">
        <f>+AS14*0.56</f>
        <v>0</v>
      </c>
      <c r="BM14" s="128">
        <f t="shared" ref="BM14:BM37" si="25">(AS14-BL14)</f>
        <v>0</v>
      </c>
      <c r="BN14" s="128"/>
      <c r="BO14" s="128">
        <f t="shared" si="16"/>
        <v>0</v>
      </c>
      <c r="BP14" s="128"/>
      <c r="BQ14" s="358">
        <f t="shared" si="22"/>
        <v>0</v>
      </c>
      <c r="BR14" s="128"/>
      <c r="BS14" s="128">
        <f t="shared" si="18"/>
        <v>0</v>
      </c>
      <c r="BT14" s="42">
        <f>Nov!D53</f>
        <v>0</v>
      </c>
      <c r="BU14" s="42">
        <f>Nov!G54</f>
        <v>0</v>
      </c>
      <c r="BV14" s="395"/>
      <c r="BX14" s="42">
        <f>Nov!HJ15</f>
        <v>0</v>
      </c>
      <c r="BY14" s="42">
        <f>Nov!HM15</f>
        <v>0</v>
      </c>
      <c r="BZ14" s="42">
        <f>Nov!HP15</f>
        <v>0</v>
      </c>
      <c r="CA14" s="42">
        <f>Nov!HS15</f>
        <v>0</v>
      </c>
      <c r="CB14" s="42">
        <f>Nov!HV15</f>
        <v>0</v>
      </c>
      <c r="CC14" s="42">
        <f>Nov!HY15</f>
        <v>0</v>
      </c>
      <c r="CD14" s="42">
        <f>Nov!IB15</f>
        <v>0</v>
      </c>
      <c r="CE14" s="42">
        <f>Nov!IE15</f>
        <v>0</v>
      </c>
      <c r="CF14" s="42">
        <f>Nov!IH15</f>
        <v>0</v>
      </c>
    </row>
    <row r="15" spans="1:84" x14ac:dyDescent="0.25">
      <c r="A15" s="26">
        <f t="shared" si="15"/>
        <v>9</v>
      </c>
      <c r="B15" s="42">
        <f>Nov!G16</f>
        <v>0</v>
      </c>
      <c r="C15" s="42">
        <f>Nov!N16</f>
        <v>0</v>
      </c>
      <c r="D15" s="42">
        <f>Nov!T16</f>
        <v>0</v>
      </c>
      <c r="E15" s="42">
        <f>Oct!V16</f>
        <v>0</v>
      </c>
      <c r="F15" s="42">
        <f>Nov!AB16</f>
        <v>0</v>
      </c>
      <c r="G15" s="42">
        <f>Nov!X16</f>
        <v>0</v>
      </c>
      <c r="H15" s="42">
        <f>Nov!AE16</f>
        <v>0</v>
      </c>
      <c r="I15" s="42">
        <f>Nov!AI16</f>
        <v>0</v>
      </c>
      <c r="J15" s="42">
        <f>Nov!AN16</f>
        <v>0</v>
      </c>
      <c r="K15" s="42">
        <f>Nov!AR16</f>
        <v>0</v>
      </c>
      <c r="L15" s="42">
        <f>Nov!AZ16</f>
        <v>0</v>
      </c>
      <c r="M15" s="42">
        <f>Nov!BC16</f>
        <v>0</v>
      </c>
      <c r="N15" s="125">
        <f t="shared" si="23"/>
        <v>0</v>
      </c>
      <c r="O15" s="125">
        <f>Nov!CA16</f>
        <v>0</v>
      </c>
      <c r="P15" s="125">
        <f>Nov!CD16</f>
        <v>0</v>
      </c>
      <c r="Q15" s="125">
        <f>Nov!CF16</f>
        <v>0</v>
      </c>
      <c r="R15" s="125">
        <f>Nov!CH16</f>
        <v>0</v>
      </c>
      <c r="S15" s="125">
        <f>Nov!CK16</f>
        <v>0</v>
      </c>
      <c r="T15" s="125">
        <f>Nov!CO16</f>
        <v>0</v>
      </c>
      <c r="U15" s="125">
        <f>Nov!CS16</f>
        <v>0</v>
      </c>
      <c r="V15" s="126">
        <f t="shared" si="19"/>
        <v>0</v>
      </c>
      <c r="W15" s="126">
        <f>Nov!CW16</f>
        <v>0</v>
      </c>
      <c r="X15" s="126">
        <f>Nov!DA16</f>
        <v>0</v>
      </c>
      <c r="Y15" s="126">
        <f t="shared" si="24"/>
        <v>0</v>
      </c>
      <c r="Z15" s="42">
        <f>Nov!BR16</f>
        <v>0</v>
      </c>
      <c r="AA15" s="126">
        <f>Nov!BG16</f>
        <v>0</v>
      </c>
      <c r="AB15" s="126">
        <f>Nov!BJ16</f>
        <v>0</v>
      </c>
      <c r="AC15" s="126">
        <f>Nov!BL16+Nov!BN16</f>
        <v>0</v>
      </c>
      <c r="AD15" s="126">
        <f>Nov!DR16</f>
        <v>0</v>
      </c>
      <c r="AE15" s="127">
        <f>Nov!DT16-Nov!DR56-Nov!DT56</f>
        <v>0</v>
      </c>
      <c r="AF15" s="127">
        <f>Nov!DR56+Nov!DT56</f>
        <v>0</v>
      </c>
      <c r="AG15" s="127">
        <f>Nov!HJ16-AE15</f>
        <v>0</v>
      </c>
      <c r="AH15" s="127">
        <f>Nov!DW16</f>
        <v>0</v>
      </c>
      <c r="AI15" s="127">
        <f>Nov!DZ16</f>
        <v>0</v>
      </c>
      <c r="AJ15" s="127">
        <f>Nov!EC16</f>
        <v>0</v>
      </c>
      <c r="AK15" s="127">
        <f t="shared" si="21"/>
        <v>0</v>
      </c>
      <c r="AL15" s="127">
        <f>Nov!EG16</f>
        <v>0</v>
      </c>
      <c r="AM15" s="127">
        <f>Nov!EJ16</f>
        <v>0</v>
      </c>
      <c r="AN15" s="127">
        <f>Nov!EM16</f>
        <v>0</v>
      </c>
      <c r="AO15" s="127">
        <f t="shared" si="8"/>
        <v>0</v>
      </c>
      <c r="AP15" s="127">
        <f>Nov!FX16</f>
        <v>0</v>
      </c>
      <c r="AQ15" s="127">
        <f>Nov!GA16</f>
        <v>0</v>
      </c>
      <c r="AR15" s="127">
        <f>Nov!GG16</f>
        <v>0</v>
      </c>
      <c r="AS15" s="127">
        <f t="shared" si="9"/>
        <v>0</v>
      </c>
      <c r="AT15" s="127">
        <f>Nov!EQ16</f>
        <v>0</v>
      </c>
      <c r="AU15" s="127">
        <f>Nov!ET16</f>
        <v>0</v>
      </c>
      <c r="AV15" s="127">
        <f>Nov!EW16</f>
        <v>0</v>
      </c>
      <c r="AW15" s="127">
        <f>Nov!FL53</f>
        <v>0</v>
      </c>
      <c r="AX15" s="127">
        <f>Nov!GJ16</f>
        <v>0</v>
      </c>
      <c r="AY15" s="127">
        <f t="shared" si="10"/>
        <v>0</v>
      </c>
      <c r="AZ15" s="127">
        <f>Nov!FG16</f>
        <v>0</v>
      </c>
      <c r="BA15" s="127">
        <f>Nov!FJ16</f>
        <v>0</v>
      </c>
      <c r="BB15" s="127">
        <f>Nov!FM54</f>
        <v>0</v>
      </c>
      <c r="BC15" s="127">
        <f>Nov!GM16</f>
        <v>0</v>
      </c>
      <c r="BD15" s="127">
        <f t="shared" si="11"/>
        <v>0</v>
      </c>
      <c r="BE15" s="127">
        <f>Nov!GP16</f>
        <v>0</v>
      </c>
      <c r="BF15" s="127">
        <f>Nov!GS16</f>
        <v>0</v>
      </c>
      <c r="BG15" s="127">
        <f t="shared" si="12"/>
        <v>0</v>
      </c>
      <c r="BH15" s="127">
        <f t="shared" si="6"/>
        <v>0</v>
      </c>
      <c r="BI15" s="127"/>
      <c r="BJ15" s="127"/>
      <c r="BK15" s="127"/>
      <c r="BL15" s="128">
        <f>+AS15*0.67</f>
        <v>0</v>
      </c>
      <c r="BM15" s="128">
        <f t="shared" si="25"/>
        <v>0</v>
      </c>
      <c r="BN15" s="128"/>
      <c r="BO15" s="128">
        <f t="shared" si="16"/>
        <v>0</v>
      </c>
      <c r="BP15" s="128"/>
      <c r="BQ15" s="358">
        <f t="shared" si="22"/>
        <v>0</v>
      </c>
      <c r="BR15" s="128"/>
      <c r="BS15" s="128">
        <f t="shared" si="18"/>
        <v>0</v>
      </c>
      <c r="BT15" s="42">
        <f>Nov!D54</f>
        <v>0</v>
      </c>
      <c r="BU15" s="42">
        <f>Nov!G55</f>
        <v>0</v>
      </c>
      <c r="BV15" s="395"/>
      <c r="BW15" s="151"/>
      <c r="BX15" s="42">
        <f>Nov!HJ16</f>
        <v>0</v>
      </c>
      <c r="BY15" s="42">
        <f>Nov!HM16</f>
        <v>0</v>
      </c>
      <c r="BZ15" s="42">
        <f>Nov!HP16</f>
        <v>0</v>
      </c>
      <c r="CA15" s="42">
        <f>Nov!HS16</f>
        <v>0</v>
      </c>
      <c r="CB15" s="42">
        <f>Nov!HV16</f>
        <v>0</v>
      </c>
      <c r="CC15" s="42">
        <f>Nov!HY16</f>
        <v>0</v>
      </c>
      <c r="CD15" s="42">
        <f>Nov!IB16</f>
        <v>0</v>
      </c>
      <c r="CE15" s="42">
        <f>Nov!IE16</f>
        <v>0</v>
      </c>
      <c r="CF15" s="42">
        <f>Nov!IH16</f>
        <v>0</v>
      </c>
    </row>
    <row r="16" spans="1:84" x14ac:dyDescent="0.25">
      <c r="A16" s="26">
        <f t="shared" si="15"/>
        <v>10</v>
      </c>
      <c r="B16" s="42">
        <f>Nov!G17</f>
        <v>0</v>
      </c>
      <c r="C16" s="42">
        <f>Nov!N17</f>
        <v>0</v>
      </c>
      <c r="D16" s="42">
        <f>Nov!T17</f>
        <v>0</v>
      </c>
      <c r="E16" s="42">
        <f>Oct!V17</f>
        <v>0</v>
      </c>
      <c r="F16" s="42">
        <f>Nov!AB17</f>
        <v>0</v>
      </c>
      <c r="G16" s="42">
        <f>Nov!X17</f>
        <v>0</v>
      </c>
      <c r="H16" s="42">
        <f>Nov!AE17</f>
        <v>0</v>
      </c>
      <c r="I16" s="42">
        <f>Nov!AI17</f>
        <v>0</v>
      </c>
      <c r="J16" s="42">
        <f>Nov!AN17</f>
        <v>0</v>
      </c>
      <c r="K16" s="42">
        <f>Nov!AR17</f>
        <v>0</v>
      </c>
      <c r="L16" s="42">
        <f>Nov!AZ17</f>
        <v>0</v>
      </c>
      <c r="M16" s="42">
        <f>Nov!BC17</f>
        <v>0</v>
      </c>
      <c r="N16" s="125">
        <f t="shared" si="23"/>
        <v>0</v>
      </c>
      <c r="O16" s="125">
        <f>Nov!CA17</f>
        <v>0</v>
      </c>
      <c r="P16" s="125">
        <f>Nov!CD17</f>
        <v>0</v>
      </c>
      <c r="Q16" s="125">
        <f>Nov!CF17</f>
        <v>0</v>
      </c>
      <c r="R16" s="125">
        <f>Nov!CH17</f>
        <v>0</v>
      </c>
      <c r="S16" s="125">
        <f>Nov!CK17</f>
        <v>0</v>
      </c>
      <c r="T16" s="125">
        <f>Nov!CO17</f>
        <v>0</v>
      </c>
      <c r="U16" s="125">
        <f>Nov!CS17</f>
        <v>0</v>
      </c>
      <c r="V16" s="126">
        <f t="shared" si="19"/>
        <v>0</v>
      </c>
      <c r="W16" s="126">
        <f>Nov!CW17</f>
        <v>0</v>
      </c>
      <c r="X16" s="126">
        <f>Nov!DA17</f>
        <v>0</v>
      </c>
      <c r="Y16" s="126">
        <f t="shared" ref="Y16:Y37" si="26">W16+X16</f>
        <v>0</v>
      </c>
      <c r="Z16" s="42">
        <f>Nov!BR17</f>
        <v>0</v>
      </c>
      <c r="AA16" s="126">
        <f>Nov!BG17</f>
        <v>0</v>
      </c>
      <c r="AB16" s="126">
        <f>Nov!BJ17</f>
        <v>0</v>
      </c>
      <c r="AC16" s="126">
        <f>Nov!BL17+Nov!BN17</f>
        <v>0</v>
      </c>
      <c r="AD16" s="126">
        <f>Nov!DR17</f>
        <v>0</v>
      </c>
      <c r="AE16" s="127">
        <f>Nov!DT17-Nov!DR57-Nov!DT57</f>
        <v>0</v>
      </c>
      <c r="AF16" s="127">
        <f>Nov!DR57+Nov!DT57</f>
        <v>0</v>
      </c>
      <c r="AG16" s="127">
        <f>Nov!HJ17-AE16</f>
        <v>0</v>
      </c>
      <c r="AH16" s="127">
        <f>Nov!DW17</f>
        <v>0</v>
      </c>
      <c r="AI16" s="127">
        <f>Nov!DZ17</f>
        <v>0</v>
      </c>
      <c r="AJ16" s="127">
        <f>Nov!EC17</f>
        <v>0</v>
      </c>
      <c r="AK16" s="127">
        <f t="shared" si="21"/>
        <v>0</v>
      </c>
      <c r="AL16" s="127">
        <f>Nov!EG17</f>
        <v>0</v>
      </c>
      <c r="AM16" s="127">
        <f>Nov!EJ17</f>
        <v>0</v>
      </c>
      <c r="AN16" s="127">
        <f>Nov!EM17</f>
        <v>0</v>
      </c>
      <c r="AO16" s="127">
        <f t="shared" si="8"/>
        <v>0</v>
      </c>
      <c r="AP16" s="127">
        <f>Nov!FX17</f>
        <v>0</v>
      </c>
      <c r="AQ16" s="127">
        <f>Nov!GA17</f>
        <v>0</v>
      </c>
      <c r="AR16" s="127">
        <f>Nov!GG17</f>
        <v>0</v>
      </c>
      <c r="AS16" s="127">
        <f t="shared" si="9"/>
        <v>0</v>
      </c>
      <c r="AT16" s="127">
        <f>Nov!EQ17</f>
        <v>0</v>
      </c>
      <c r="AU16" s="127">
        <f>Nov!ET17</f>
        <v>0</v>
      </c>
      <c r="AV16" s="127">
        <f>Nov!EW17</f>
        <v>0</v>
      </c>
      <c r="AW16" s="127">
        <f>Nov!FL54</f>
        <v>0</v>
      </c>
      <c r="AX16" s="127">
        <f>Nov!GJ17</f>
        <v>0</v>
      </c>
      <c r="AY16" s="127">
        <f t="shared" si="10"/>
        <v>0</v>
      </c>
      <c r="AZ16" s="127">
        <f>Nov!FG17</f>
        <v>0</v>
      </c>
      <c r="BA16" s="127">
        <f>Nov!FJ17</f>
        <v>0</v>
      </c>
      <c r="BB16" s="127">
        <f>Nov!FM55</f>
        <v>0</v>
      </c>
      <c r="BC16" s="127">
        <f>Nov!GM17</f>
        <v>0</v>
      </c>
      <c r="BD16" s="127">
        <f t="shared" si="11"/>
        <v>0</v>
      </c>
      <c r="BE16" s="127">
        <f>Nov!GP17</f>
        <v>0</v>
      </c>
      <c r="BF16" s="127">
        <f>Nov!GS17</f>
        <v>0</v>
      </c>
      <c r="BG16" s="127">
        <f t="shared" si="12"/>
        <v>0</v>
      </c>
      <c r="BH16" s="127">
        <f t="shared" si="6"/>
        <v>0</v>
      </c>
      <c r="BI16" s="127"/>
      <c r="BJ16" s="127"/>
      <c r="BK16" s="127"/>
      <c r="BL16" s="128">
        <f t="shared" si="13"/>
        <v>0</v>
      </c>
      <c r="BM16" s="128">
        <f t="shared" si="25"/>
        <v>0</v>
      </c>
      <c r="BN16" s="128"/>
      <c r="BO16" s="128">
        <f t="shared" si="16"/>
        <v>0</v>
      </c>
      <c r="BP16" s="128"/>
      <c r="BQ16" s="358">
        <f t="shared" si="22"/>
        <v>0</v>
      </c>
      <c r="BR16" s="128"/>
      <c r="BS16" s="128">
        <f t="shared" si="18"/>
        <v>0</v>
      </c>
      <c r="BT16" s="42">
        <f>Nov!D55</f>
        <v>0</v>
      </c>
      <c r="BU16" s="42">
        <f>Nov!G56</f>
        <v>0</v>
      </c>
      <c r="BV16" s="394"/>
      <c r="BX16" s="42">
        <f>Nov!HJ17</f>
        <v>0</v>
      </c>
      <c r="BY16" s="42">
        <f>Nov!HM17</f>
        <v>0</v>
      </c>
      <c r="BZ16" s="42">
        <f>Nov!HP17</f>
        <v>0</v>
      </c>
      <c r="CA16" s="42">
        <f>Nov!HS17</f>
        <v>0</v>
      </c>
      <c r="CB16" s="42">
        <f>Nov!HV17</f>
        <v>0</v>
      </c>
      <c r="CC16" s="42">
        <f>Nov!HY17</f>
        <v>0</v>
      </c>
      <c r="CD16" s="42">
        <f>Nov!IB17</f>
        <v>0</v>
      </c>
      <c r="CE16" s="42">
        <f>Nov!IE17</f>
        <v>0</v>
      </c>
      <c r="CF16" s="42">
        <f>Nov!IH17</f>
        <v>0</v>
      </c>
    </row>
    <row r="17" spans="1:84" x14ac:dyDescent="0.25">
      <c r="A17" s="26">
        <f t="shared" si="15"/>
        <v>11</v>
      </c>
      <c r="B17" s="42">
        <f>Nov!G18</f>
        <v>0</v>
      </c>
      <c r="C17" s="42">
        <f>Nov!N18</f>
        <v>0</v>
      </c>
      <c r="D17" s="42">
        <f>Nov!T18</f>
        <v>0</v>
      </c>
      <c r="E17" s="42">
        <f>Oct!V18</f>
        <v>0</v>
      </c>
      <c r="F17" s="42">
        <f>Nov!AB18</f>
        <v>0</v>
      </c>
      <c r="G17" s="42">
        <f>Nov!X18</f>
        <v>0</v>
      </c>
      <c r="H17" s="42">
        <f>Nov!AE18</f>
        <v>0</v>
      </c>
      <c r="I17" s="42">
        <f>Nov!AI18</f>
        <v>0</v>
      </c>
      <c r="J17" s="42">
        <f>Nov!AN18</f>
        <v>0</v>
      </c>
      <c r="K17" s="42">
        <f>Nov!AR18</f>
        <v>0</v>
      </c>
      <c r="L17" s="42">
        <f>Nov!AZ18</f>
        <v>0</v>
      </c>
      <c r="M17" s="42">
        <f>Nov!BC18</f>
        <v>0</v>
      </c>
      <c r="N17" s="125">
        <f t="shared" si="23"/>
        <v>0</v>
      </c>
      <c r="O17" s="125">
        <f>Nov!CA18</f>
        <v>0</v>
      </c>
      <c r="P17" s="125">
        <f>Nov!CD18</f>
        <v>0</v>
      </c>
      <c r="Q17" s="125">
        <f>Nov!CF18</f>
        <v>0</v>
      </c>
      <c r="R17" s="125">
        <f>Nov!CH18</f>
        <v>0</v>
      </c>
      <c r="S17" s="125">
        <f>Nov!CK18</f>
        <v>0</v>
      </c>
      <c r="T17" s="125">
        <f>Nov!CO18</f>
        <v>0</v>
      </c>
      <c r="U17" s="125">
        <f>Nov!CS18</f>
        <v>0</v>
      </c>
      <c r="V17" s="126">
        <f t="shared" si="19"/>
        <v>0</v>
      </c>
      <c r="W17" s="126">
        <f>Nov!CW18</f>
        <v>0</v>
      </c>
      <c r="X17" s="126">
        <f>Nov!DA18</f>
        <v>0</v>
      </c>
      <c r="Y17" s="126">
        <f t="shared" si="26"/>
        <v>0</v>
      </c>
      <c r="Z17" s="42">
        <f>Nov!BR18</f>
        <v>0</v>
      </c>
      <c r="AA17" s="126">
        <f>Nov!BG18</f>
        <v>0</v>
      </c>
      <c r="AB17" s="126">
        <f>Nov!BJ18</f>
        <v>0</v>
      </c>
      <c r="AC17" s="126">
        <f>Nov!BL18+Nov!BN18</f>
        <v>0</v>
      </c>
      <c r="AD17" s="126">
        <f>Nov!DR18</f>
        <v>0</v>
      </c>
      <c r="AE17" s="127">
        <f>Nov!DT18-Nov!DR58-Nov!DT58</f>
        <v>0</v>
      </c>
      <c r="AF17" s="127">
        <f>Nov!DR58+Nov!DT58</f>
        <v>0</v>
      </c>
      <c r="AG17" s="127">
        <f>Nov!HJ18-AE17</f>
        <v>0</v>
      </c>
      <c r="AH17" s="127">
        <f>Nov!DW18</f>
        <v>0</v>
      </c>
      <c r="AI17" s="127">
        <f>Nov!DZ18</f>
        <v>0</v>
      </c>
      <c r="AJ17" s="127">
        <f>Nov!EC18</f>
        <v>0</v>
      </c>
      <c r="AK17" s="127">
        <f t="shared" si="21"/>
        <v>0</v>
      </c>
      <c r="AL17" s="127">
        <f>Nov!EG18</f>
        <v>0</v>
      </c>
      <c r="AM17" s="127">
        <f>Nov!EJ18</f>
        <v>0</v>
      </c>
      <c r="AN17" s="127">
        <f>Nov!EM18</f>
        <v>0</v>
      </c>
      <c r="AO17" s="127">
        <f t="shared" si="8"/>
        <v>0</v>
      </c>
      <c r="AP17" s="127">
        <f>Nov!FX18</f>
        <v>0</v>
      </c>
      <c r="AQ17" s="127">
        <f>Nov!GA18</f>
        <v>0</v>
      </c>
      <c r="AR17" s="127">
        <f>Nov!GG18</f>
        <v>0</v>
      </c>
      <c r="AS17" s="127">
        <f t="shared" si="9"/>
        <v>0</v>
      </c>
      <c r="AT17" s="127">
        <f>Nov!EQ18</f>
        <v>0</v>
      </c>
      <c r="AU17" s="127">
        <f>Nov!ET18</f>
        <v>0</v>
      </c>
      <c r="AV17" s="127">
        <f>Nov!EW18</f>
        <v>0</v>
      </c>
      <c r="AW17" s="127">
        <f>Nov!FL55</f>
        <v>0</v>
      </c>
      <c r="AX17" s="127">
        <f>Nov!GJ18</f>
        <v>0</v>
      </c>
      <c r="AY17" s="127">
        <f t="shared" si="10"/>
        <v>0</v>
      </c>
      <c r="AZ17" s="127">
        <f>Nov!FG18</f>
        <v>0</v>
      </c>
      <c r="BA17" s="127">
        <f>Nov!FJ18</f>
        <v>0</v>
      </c>
      <c r="BB17" s="127">
        <f>Nov!FM56</f>
        <v>0</v>
      </c>
      <c r="BC17" s="127">
        <f>Nov!GM18</f>
        <v>0</v>
      </c>
      <c r="BD17" s="127">
        <f t="shared" si="11"/>
        <v>0</v>
      </c>
      <c r="BE17" s="127">
        <f>Nov!GP18</f>
        <v>0</v>
      </c>
      <c r="BF17" s="127">
        <f>Nov!GS18</f>
        <v>0</v>
      </c>
      <c r="BG17" s="127">
        <f t="shared" si="12"/>
        <v>0</v>
      </c>
      <c r="BH17" s="127">
        <f t="shared" si="6"/>
        <v>0</v>
      </c>
      <c r="BI17" s="127"/>
      <c r="BJ17" s="127"/>
      <c r="BK17" s="127"/>
      <c r="BL17" s="128">
        <f t="shared" si="13"/>
        <v>0</v>
      </c>
      <c r="BM17" s="128">
        <f t="shared" si="25"/>
        <v>0</v>
      </c>
      <c r="BN17" s="128"/>
      <c r="BO17" s="128">
        <f t="shared" si="16"/>
        <v>0</v>
      </c>
      <c r="BP17" s="128"/>
      <c r="BQ17" s="358">
        <f t="shared" si="22"/>
        <v>0</v>
      </c>
      <c r="BR17" s="128"/>
      <c r="BS17" s="128">
        <f t="shared" si="18"/>
        <v>0</v>
      </c>
      <c r="BT17" s="42">
        <f>Nov!D56</f>
        <v>0</v>
      </c>
      <c r="BU17" s="42">
        <f>Nov!G57</f>
        <v>0</v>
      </c>
      <c r="BV17" s="394"/>
      <c r="BX17" s="42">
        <f>Nov!HJ18</f>
        <v>0</v>
      </c>
      <c r="BY17" s="42">
        <f>Nov!HM18</f>
        <v>0</v>
      </c>
      <c r="BZ17" s="42">
        <f>Nov!HP18</f>
        <v>0</v>
      </c>
      <c r="CA17" s="42">
        <f>Nov!HS18</f>
        <v>0</v>
      </c>
      <c r="CB17" s="42">
        <f>Nov!HV18</f>
        <v>0</v>
      </c>
      <c r="CC17" s="42">
        <f>Nov!HY18</f>
        <v>0</v>
      </c>
      <c r="CD17" s="42">
        <f>Nov!IB18</f>
        <v>0</v>
      </c>
      <c r="CE17" s="42">
        <f>Nov!IE18</f>
        <v>0</v>
      </c>
      <c r="CF17" s="42">
        <f>Nov!IH18</f>
        <v>0</v>
      </c>
    </row>
    <row r="18" spans="1:84" x14ac:dyDescent="0.25">
      <c r="A18" s="26">
        <f t="shared" si="15"/>
        <v>12</v>
      </c>
      <c r="B18" s="42">
        <f>Nov!G19</f>
        <v>0</v>
      </c>
      <c r="C18" s="42">
        <f>Nov!N19</f>
        <v>0</v>
      </c>
      <c r="D18" s="42">
        <f>Nov!T19</f>
        <v>0</v>
      </c>
      <c r="E18" s="42">
        <f>Oct!V19</f>
        <v>0</v>
      </c>
      <c r="F18" s="42">
        <f>Nov!AB19</f>
        <v>0</v>
      </c>
      <c r="G18" s="42">
        <f>Nov!X19</f>
        <v>0</v>
      </c>
      <c r="H18" s="42">
        <f>Nov!AE19</f>
        <v>0</v>
      </c>
      <c r="I18" s="42">
        <f>Nov!AI19</f>
        <v>0</v>
      </c>
      <c r="J18" s="42">
        <f>Nov!AN19</f>
        <v>0</v>
      </c>
      <c r="K18" s="42">
        <f>Nov!AR19</f>
        <v>0</v>
      </c>
      <c r="L18" s="42">
        <f>Nov!AZ19</f>
        <v>0</v>
      </c>
      <c r="M18" s="42">
        <f>Nov!BC19</f>
        <v>0</v>
      </c>
      <c r="N18" s="125">
        <f t="shared" si="23"/>
        <v>0</v>
      </c>
      <c r="O18" s="125">
        <f>Nov!CA19</f>
        <v>0</v>
      </c>
      <c r="P18" s="125">
        <f>Nov!CD19</f>
        <v>0</v>
      </c>
      <c r="Q18" s="125">
        <f>Nov!CF19</f>
        <v>0</v>
      </c>
      <c r="R18" s="125">
        <f>Nov!CH19</f>
        <v>0</v>
      </c>
      <c r="S18" s="125">
        <f>Nov!CK19</f>
        <v>0</v>
      </c>
      <c r="T18" s="125">
        <f>Nov!CO19</f>
        <v>0</v>
      </c>
      <c r="U18" s="125">
        <f>Nov!CS19</f>
        <v>0</v>
      </c>
      <c r="V18" s="126">
        <f t="shared" si="19"/>
        <v>0</v>
      </c>
      <c r="W18" s="126">
        <f>Nov!CW19</f>
        <v>0</v>
      </c>
      <c r="X18" s="126">
        <f>Nov!DA19</f>
        <v>0</v>
      </c>
      <c r="Y18" s="126">
        <f t="shared" si="26"/>
        <v>0</v>
      </c>
      <c r="Z18" s="42">
        <f>Nov!BR19</f>
        <v>0</v>
      </c>
      <c r="AA18" s="126">
        <f>Nov!BG19</f>
        <v>0</v>
      </c>
      <c r="AB18" s="126">
        <f>Nov!BJ19</f>
        <v>0</v>
      </c>
      <c r="AC18" s="126">
        <f>Nov!BL19+Nov!BN19</f>
        <v>0</v>
      </c>
      <c r="AD18" s="126">
        <f>Nov!DR19</f>
        <v>0</v>
      </c>
      <c r="AE18" s="127">
        <f>Nov!DT19-Nov!DR59-Nov!DT59</f>
        <v>0</v>
      </c>
      <c r="AF18" s="127">
        <f>Nov!DR59+Nov!DT59</f>
        <v>0</v>
      </c>
      <c r="AG18" s="127">
        <f>Nov!HJ19-AE18</f>
        <v>0</v>
      </c>
      <c r="AH18" s="127">
        <f>Nov!DW19</f>
        <v>0</v>
      </c>
      <c r="AI18" s="127">
        <f>Nov!DZ19</f>
        <v>0</v>
      </c>
      <c r="AJ18" s="127">
        <f>Nov!EC19</f>
        <v>0</v>
      </c>
      <c r="AK18" s="127">
        <f t="shared" si="21"/>
        <v>0</v>
      </c>
      <c r="AL18" s="127">
        <f>Nov!EG19</f>
        <v>0</v>
      </c>
      <c r="AM18" s="127">
        <f>Nov!EJ19</f>
        <v>0</v>
      </c>
      <c r="AN18" s="127">
        <f>Nov!EM19</f>
        <v>0</v>
      </c>
      <c r="AO18" s="127">
        <f t="shared" si="8"/>
        <v>0</v>
      </c>
      <c r="AP18" s="127">
        <f>Nov!FX19</f>
        <v>0</v>
      </c>
      <c r="AQ18" s="127">
        <f>Nov!GA19</f>
        <v>0</v>
      </c>
      <c r="AR18" s="127">
        <f>Nov!GG19</f>
        <v>0</v>
      </c>
      <c r="AS18" s="127">
        <f t="shared" si="9"/>
        <v>0</v>
      </c>
      <c r="AT18" s="127">
        <f>Nov!EQ19</f>
        <v>0</v>
      </c>
      <c r="AU18" s="127">
        <f>Nov!ET19</f>
        <v>0</v>
      </c>
      <c r="AV18" s="127">
        <f>Nov!EW19</f>
        <v>0</v>
      </c>
      <c r="AW18" s="127">
        <f>Nov!FL56</f>
        <v>0</v>
      </c>
      <c r="AX18" s="127">
        <f>Nov!GJ19</f>
        <v>0</v>
      </c>
      <c r="AY18" s="127">
        <f t="shared" si="10"/>
        <v>0</v>
      </c>
      <c r="AZ18" s="127">
        <f>Nov!FG19</f>
        <v>0</v>
      </c>
      <c r="BA18" s="127">
        <f>Nov!FJ19</f>
        <v>0</v>
      </c>
      <c r="BB18" s="127">
        <f>Nov!FM57</f>
        <v>0</v>
      </c>
      <c r="BC18" s="127">
        <f>Nov!GM19</f>
        <v>0</v>
      </c>
      <c r="BD18" s="127">
        <f t="shared" si="11"/>
        <v>0</v>
      </c>
      <c r="BE18" s="127">
        <f>Nov!GP19</f>
        <v>0</v>
      </c>
      <c r="BF18" s="127">
        <f>Nov!GS19</f>
        <v>0</v>
      </c>
      <c r="BG18" s="127">
        <f t="shared" si="12"/>
        <v>0</v>
      </c>
      <c r="BH18" s="127">
        <f t="shared" si="6"/>
        <v>0</v>
      </c>
      <c r="BI18" s="127"/>
      <c r="BJ18" s="127"/>
      <c r="BK18" s="127"/>
      <c r="BL18" s="128">
        <f t="shared" si="13"/>
        <v>0</v>
      </c>
      <c r="BM18" s="128">
        <f t="shared" si="25"/>
        <v>0</v>
      </c>
      <c r="BN18" s="128"/>
      <c r="BO18" s="128">
        <f t="shared" si="16"/>
        <v>0</v>
      </c>
      <c r="BP18" s="128"/>
      <c r="BQ18" s="358">
        <f t="shared" si="22"/>
        <v>0</v>
      </c>
      <c r="BR18" s="128"/>
      <c r="BS18" s="128">
        <f t="shared" si="18"/>
        <v>0</v>
      </c>
      <c r="BT18" s="42">
        <f>Nov!D57</f>
        <v>0</v>
      </c>
      <c r="BU18" s="42">
        <f>Nov!G58</f>
        <v>0</v>
      </c>
      <c r="BV18" s="394"/>
      <c r="BX18" s="42">
        <f>Nov!HJ19</f>
        <v>0</v>
      </c>
      <c r="BY18" s="42">
        <f>Nov!HM19</f>
        <v>0</v>
      </c>
      <c r="BZ18" s="42">
        <f>Nov!HP19</f>
        <v>0</v>
      </c>
      <c r="CA18" s="42">
        <f>Nov!HS19</f>
        <v>0</v>
      </c>
      <c r="CB18" s="42">
        <f>Nov!HV19</f>
        <v>0</v>
      </c>
      <c r="CC18" s="42">
        <f>Nov!HY19</f>
        <v>0</v>
      </c>
      <c r="CD18" s="42">
        <f>Nov!IB19</f>
        <v>0</v>
      </c>
      <c r="CE18" s="42">
        <f>Nov!IE19</f>
        <v>0</v>
      </c>
      <c r="CF18" s="42">
        <f>Nov!IH19</f>
        <v>0</v>
      </c>
    </row>
    <row r="19" spans="1:84" x14ac:dyDescent="0.25">
      <c r="A19" s="26">
        <f t="shared" si="15"/>
        <v>13</v>
      </c>
      <c r="B19" s="42">
        <f>Nov!G20</f>
        <v>0</v>
      </c>
      <c r="C19" s="42">
        <f>Nov!N20</f>
        <v>0</v>
      </c>
      <c r="D19" s="42">
        <f>Nov!T20</f>
        <v>0</v>
      </c>
      <c r="E19" s="42">
        <f>Oct!V20</f>
        <v>0</v>
      </c>
      <c r="F19" s="42">
        <f>Nov!AB20</f>
        <v>0</v>
      </c>
      <c r="G19" s="42">
        <f>Nov!X20</f>
        <v>0</v>
      </c>
      <c r="H19" s="42">
        <f>Nov!AE20</f>
        <v>0</v>
      </c>
      <c r="I19" s="42">
        <f>Nov!AI20</f>
        <v>0</v>
      </c>
      <c r="J19" s="42">
        <f>Nov!AN20</f>
        <v>0</v>
      </c>
      <c r="K19" s="42">
        <f>Nov!AR20</f>
        <v>0</v>
      </c>
      <c r="L19" s="42">
        <f>Nov!AZ20</f>
        <v>0</v>
      </c>
      <c r="M19" s="42">
        <f>Nov!BC20</f>
        <v>0</v>
      </c>
      <c r="N19" s="125">
        <f t="shared" si="23"/>
        <v>0</v>
      </c>
      <c r="O19" s="125">
        <f>Nov!CA20</f>
        <v>0</v>
      </c>
      <c r="P19" s="125">
        <f>Nov!CD20</f>
        <v>0</v>
      </c>
      <c r="Q19" s="125">
        <f>Nov!CF20</f>
        <v>0</v>
      </c>
      <c r="R19" s="125">
        <f>Nov!CH20</f>
        <v>0</v>
      </c>
      <c r="S19" s="125">
        <f>Nov!CK20</f>
        <v>0</v>
      </c>
      <c r="T19" s="125">
        <f>Nov!CO20</f>
        <v>0</v>
      </c>
      <c r="U19" s="125">
        <f>Nov!CS20</f>
        <v>0</v>
      </c>
      <c r="V19" s="126">
        <f t="shared" si="19"/>
        <v>0</v>
      </c>
      <c r="W19" s="126">
        <f>Nov!CW20</f>
        <v>0</v>
      </c>
      <c r="X19" s="126">
        <f>Nov!DA20</f>
        <v>0</v>
      </c>
      <c r="Y19" s="126">
        <f t="shared" si="26"/>
        <v>0</v>
      </c>
      <c r="Z19" s="42">
        <f>Nov!BR20</f>
        <v>0</v>
      </c>
      <c r="AA19" s="126">
        <f>Nov!BG20</f>
        <v>0</v>
      </c>
      <c r="AB19" s="126">
        <f>Nov!BJ20</f>
        <v>0</v>
      </c>
      <c r="AC19" s="126">
        <f>Nov!BL20+Nov!BN20</f>
        <v>0</v>
      </c>
      <c r="AD19" s="126">
        <f>Nov!DR20</f>
        <v>0</v>
      </c>
      <c r="AE19" s="127">
        <f>Nov!DT20-Nov!DR60-Nov!DT60</f>
        <v>0</v>
      </c>
      <c r="AF19" s="127">
        <f>Nov!DR60+Nov!DT60</f>
        <v>0</v>
      </c>
      <c r="AG19" s="127">
        <f>Nov!HJ20-AE19</f>
        <v>0</v>
      </c>
      <c r="AH19" s="127">
        <f>Nov!DW20</f>
        <v>0</v>
      </c>
      <c r="AI19" s="127">
        <f>Nov!DZ20</f>
        <v>0</v>
      </c>
      <c r="AJ19" s="127">
        <f>Nov!EC20</f>
        <v>0</v>
      </c>
      <c r="AK19" s="127">
        <f t="shared" si="21"/>
        <v>0</v>
      </c>
      <c r="AL19" s="127">
        <f>Nov!EG20</f>
        <v>0</v>
      </c>
      <c r="AM19" s="127">
        <f>Nov!EJ20</f>
        <v>0</v>
      </c>
      <c r="AN19" s="127">
        <f>Nov!EM20</f>
        <v>0</v>
      </c>
      <c r="AO19" s="127">
        <f t="shared" si="8"/>
        <v>0</v>
      </c>
      <c r="AP19" s="127">
        <f>Nov!FX20</f>
        <v>0</v>
      </c>
      <c r="AQ19" s="127">
        <f>Nov!GA20</f>
        <v>0</v>
      </c>
      <c r="AR19" s="127">
        <f>Nov!GG20</f>
        <v>0</v>
      </c>
      <c r="AS19" s="127">
        <f t="shared" si="9"/>
        <v>0</v>
      </c>
      <c r="AT19" s="127">
        <f>Nov!EQ20</f>
        <v>0</v>
      </c>
      <c r="AU19" s="127">
        <f>Nov!ET20</f>
        <v>0</v>
      </c>
      <c r="AV19" s="127">
        <f>Nov!EW20</f>
        <v>0</v>
      </c>
      <c r="AW19" s="127">
        <f>Nov!FL57</f>
        <v>0</v>
      </c>
      <c r="AX19" s="127">
        <f>Nov!GJ20</f>
        <v>0</v>
      </c>
      <c r="AY19" s="127">
        <f t="shared" si="10"/>
        <v>0</v>
      </c>
      <c r="AZ19" s="127">
        <f>Nov!FG20</f>
        <v>0</v>
      </c>
      <c r="BA19" s="127">
        <f>Nov!FJ20</f>
        <v>0</v>
      </c>
      <c r="BB19" s="127">
        <f>Nov!FM58</f>
        <v>0</v>
      </c>
      <c r="BC19" s="127">
        <f>Nov!GM20</f>
        <v>0</v>
      </c>
      <c r="BD19" s="127">
        <f t="shared" si="11"/>
        <v>0</v>
      </c>
      <c r="BE19" s="127">
        <f>Nov!GP20</f>
        <v>0</v>
      </c>
      <c r="BF19" s="127">
        <f>Nov!GS20</f>
        <v>0</v>
      </c>
      <c r="BG19" s="127">
        <f t="shared" si="12"/>
        <v>0</v>
      </c>
      <c r="BH19" s="127">
        <f t="shared" si="6"/>
        <v>0</v>
      </c>
      <c r="BI19" s="127"/>
      <c r="BJ19" s="127"/>
      <c r="BK19" s="127"/>
      <c r="BL19" s="128">
        <f t="shared" si="13"/>
        <v>0</v>
      </c>
      <c r="BM19" s="128">
        <f t="shared" si="25"/>
        <v>0</v>
      </c>
      <c r="BN19" s="128"/>
      <c r="BO19" s="128">
        <f t="shared" si="16"/>
        <v>0</v>
      </c>
      <c r="BP19" s="128"/>
      <c r="BQ19" s="358">
        <f t="shared" si="22"/>
        <v>0</v>
      </c>
      <c r="BR19" s="128"/>
      <c r="BS19" s="128">
        <f t="shared" si="18"/>
        <v>0</v>
      </c>
      <c r="BT19" s="42">
        <f>Nov!D58</f>
        <v>0</v>
      </c>
      <c r="BU19" s="42">
        <f>Nov!G59</f>
        <v>0</v>
      </c>
      <c r="BV19" s="394"/>
      <c r="BW19" s="151"/>
      <c r="BX19" s="42">
        <f>Nov!HJ20</f>
        <v>0</v>
      </c>
      <c r="BY19" s="42">
        <f>Nov!HM20</f>
        <v>0</v>
      </c>
      <c r="BZ19" s="42">
        <f>Nov!HP20</f>
        <v>0</v>
      </c>
      <c r="CA19" s="42">
        <f>Nov!HS20</f>
        <v>0</v>
      </c>
      <c r="CB19" s="42">
        <f>Nov!HV20</f>
        <v>0</v>
      </c>
      <c r="CC19" s="42">
        <f>Nov!HY20</f>
        <v>0</v>
      </c>
      <c r="CD19" s="42">
        <f>Nov!IB20</f>
        <v>0</v>
      </c>
      <c r="CE19" s="42">
        <f>Nov!IE20</f>
        <v>0</v>
      </c>
      <c r="CF19" s="42">
        <f>Nov!IH20</f>
        <v>0</v>
      </c>
    </row>
    <row r="20" spans="1:84" x14ac:dyDescent="0.25">
      <c r="A20" s="26">
        <f t="shared" si="15"/>
        <v>14</v>
      </c>
      <c r="B20" s="42">
        <f>Nov!G21</f>
        <v>0</v>
      </c>
      <c r="C20" s="42">
        <f>Nov!N21</f>
        <v>0</v>
      </c>
      <c r="D20" s="42">
        <f>Nov!T21</f>
        <v>0</v>
      </c>
      <c r="E20" s="42">
        <f>Oct!V21</f>
        <v>0</v>
      </c>
      <c r="F20" s="42">
        <f>Nov!AB21</f>
        <v>0</v>
      </c>
      <c r="G20" s="42">
        <f>Nov!X21</f>
        <v>0</v>
      </c>
      <c r="H20" s="42">
        <f>Nov!AE21</f>
        <v>0</v>
      </c>
      <c r="I20" s="42">
        <f>Nov!AI21</f>
        <v>0</v>
      </c>
      <c r="J20" s="42">
        <f>Nov!AN21</f>
        <v>0</v>
      </c>
      <c r="K20" s="42">
        <f>Nov!AR21</f>
        <v>0</v>
      </c>
      <c r="L20" s="42">
        <f>Nov!AZ21</f>
        <v>0</v>
      </c>
      <c r="M20" s="42">
        <f>Nov!BC21</f>
        <v>0</v>
      </c>
      <c r="N20" s="125">
        <f t="shared" ref="N20:N37" si="27">SUM(D20:M20)</f>
        <v>0</v>
      </c>
      <c r="O20" s="125">
        <f>Nov!CA21</f>
        <v>0</v>
      </c>
      <c r="P20" s="125">
        <f>Nov!CD21</f>
        <v>0</v>
      </c>
      <c r="Q20" s="125">
        <f>Nov!CF21</f>
        <v>0</v>
      </c>
      <c r="R20" s="125">
        <f>Nov!CH21</f>
        <v>0</v>
      </c>
      <c r="S20" s="125">
        <f>Nov!CK21</f>
        <v>0</v>
      </c>
      <c r="T20" s="125">
        <f>Nov!CO21</f>
        <v>0</v>
      </c>
      <c r="U20" s="125">
        <f>Nov!CS21</f>
        <v>0</v>
      </c>
      <c r="V20" s="126">
        <f t="shared" si="19"/>
        <v>0</v>
      </c>
      <c r="W20" s="126">
        <f>Nov!CW21</f>
        <v>0</v>
      </c>
      <c r="X20" s="126">
        <f>Nov!DA21</f>
        <v>0</v>
      </c>
      <c r="Y20" s="126">
        <f t="shared" si="26"/>
        <v>0</v>
      </c>
      <c r="Z20" s="42">
        <f>Nov!BR21</f>
        <v>0</v>
      </c>
      <c r="AA20" s="126">
        <f>Nov!BG21</f>
        <v>0</v>
      </c>
      <c r="AB20" s="126">
        <f>Nov!BJ21</f>
        <v>0</v>
      </c>
      <c r="AC20" s="126">
        <f>Nov!BL21+Nov!BN21</f>
        <v>0</v>
      </c>
      <c r="AD20" s="126">
        <f>Nov!DR21</f>
        <v>0</v>
      </c>
      <c r="AE20" s="127">
        <f>Nov!DT21-Nov!DR61-Nov!DT61</f>
        <v>0</v>
      </c>
      <c r="AF20" s="127">
        <f>Nov!DR61+Nov!DT61</f>
        <v>0</v>
      </c>
      <c r="AG20" s="127">
        <f>Nov!HJ21-AE20</f>
        <v>0</v>
      </c>
      <c r="AH20" s="127">
        <f>Nov!DW21</f>
        <v>0</v>
      </c>
      <c r="AI20" s="127">
        <f>Nov!DZ21</f>
        <v>0</v>
      </c>
      <c r="AJ20" s="127">
        <f>Nov!EC21</f>
        <v>0</v>
      </c>
      <c r="AK20" s="127">
        <f t="shared" si="21"/>
        <v>0</v>
      </c>
      <c r="AL20" s="127">
        <f>Nov!EG21</f>
        <v>0</v>
      </c>
      <c r="AM20" s="127">
        <f>Nov!EJ21</f>
        <v>0</v>
      </c>
      <c r="AN20" s="127">
        <f>Nov!EM21</f>
        <v>0</v>
      </c>
      <c r="AO20" s="127">
        <f t="shared" si="8"/>
        <v>0</v>
      </c>
      <c r="AP20" s="127">
        <f>Nov!FX21</f>
        <v>0</v>
      </c>
      <c r="AQ20" s="127">
        <f>Nov!GA21</f>
        <v>0</v>
      </c>
      <c r="AR20" s="127">
        <f>Nov!GG21</f>
        <v>0</v>
      </c>
      <c r="AS20" s="127">
        <f t="shared" si="9"/>
        <v>0</v>
      </c>
      <c r="AT20" s="127">
        <f>Nov!EQ21</f>
        <v>0</v>
      </c>
      <c r="AU20" s="127">
        <f>Nov!ET21</f>
        <v>0</v>
      </c>
      <c r="AV20" s="127">
        <f>Nov!EW21</f>
        <v>0</v>
      </c>
      <c r="AW20" s="127">
        <f>Nov!FL58</f>
        <v>0</v>
      </c>
      <c r="AX20" s="127">
        <f>Nov!GJ21</f>
        <v>0</v>
      </c>
      <c r="AY20" s="127">
        <f t="shared" si="10"/>
        <v>0</v>
      </c>
      <c r="AZ20" s="127">
        <f>Nov!FG21</f>
        <v>0</v>
      </c>
      <c r="BA20" s="127">
        <f>Nov!FJ21</f>
        <v>0</v>
      </c>
      <c r="BB20" s="127">
        <f>Nov!FM59</f>
        <v>0</v>
      </c>
      <c r="BC20" s="127">
        <f>Nov!GM21</f>
        <v>0</v>
      </c>
      <c r="BD20" s="127">
        <f t="shared" si="11"/>
        <v>0</v>
      </c>
      <c r="BE20" s="127">
        <f>Nov!GP21</f>
        <v>0</v>
      </c>
      <c r="BF20" s="127">
        <f>Nov!GS21</f>
        <v>0</v>
      </c>
      <c r="BG20" s="127">
        <f t="shared" si="12"/>
        <v>0</v>
      </c>
      <c r="BH20" s="127">
        <f t="shared" si="6"/>
        <v>0</v>
      </c>
      <c r="BI20" s="127"/>
      <c r="BJ20" s="127"/>
      <c r="BK20" s="127"/>
      <c r="BL20" s="128">
        <f t="shared" si="13"/>
        <v>0</v>
      </c>
      <c r="BM20" s="128">
        <f t="shared" si="25"/>
        <v>0</v>
      </c>
      <c r="BN20" s="128"/>
      <c r="BO20" s="128">
        <f t="shared" si="16"/>
        <v>0</v>
      </c>
      <c r="BP20" s="128"/>
      <c r="BQ20" s="358">
        <f t="shared" si="22"/>
        <v>0</v>
      </c>
      <c r="BR20" s="128"/>
      <c r="BS20" s="128">
        <f t="shared" si="18"/>
        <v>0</v>
      </c>
      <c r="BT20" s="42">
        <f>Nov!D59</f>
        <v>0</v>
      </c>
      <c r="BU20" s="42">
        <f>Nov!G60</f>
        <v>0</v>
      </c>
      <c r="BV20" s="394"/>
      <c r="BX20" s="42">
        <f>Nov!HJ21</f>
        <v>0</v>
      </c>
      <c r="BY20" s="42">
        <f>Nov!HM21</f>
        <v>0</v>
      </c>
      <c r="BZ20" s="42">
        <f>Nov!HP21</f>
        <v>0</v>
      </c>
      <c r="CA20" s="42">
        <f>Nov!HS21</f>
        <v>0</v>
      </c>
      <c r="CB20" s="42">
        <f>Nov!HV21</f>
        <v>0</v>
      </c>
      <c r="CC20" s="42">
        <f>Nov!HY21</f>
        <v>0</v>
      </c>
      <c r="CD20" s="42">
        <f>Nov!IB21</f>
        <v>0</v>
      </c>
      <c r="CE20" s="42">
        <f>Nov!IE21</f>
        <v>0</v>
      </c>
      <c r="CF20" s="42">
        <f>Nov!IH21</f>
        <v>0</v>
      </c>
    </row>
    <row r="21" spans="1:84" x14ac:dyDescent="0.25">
      <c r="A21" s="26">
        <f t="shared" si="15"/>
        <v>15</v>
      </c>
      <c r="B21" s="42">
        <f>Nov!G22</f>
        <v>0</v>
      </c>
      <c r="C21" s="42">
        <f>Nov!N22</f>
        <v>0</v>
      </c>
      <c r="D21" s="42">
        <f>Nov!T22</f>
        <v>0</v>
      </c>
      <c r="E21" s="42">
        <f>Oct!V22</f>
        <v>0</v>
      </c>
      <c r="F21" s="42">
        <f>Nov!AB22</f>
        <v>0</v>
      </c>
      <c r="G21" s="42">
        <f>Nov!X22</f>
        <v>0</v>
      </c>
      <c r="H21" s="42">
        <f>Nov!AE22</f>
        <v>0</v>
      </c>
      <c r="I21" s="42">
        <f>Nov!AI22</f>
        <v>0</v>
      </c>
      <c r="J21" s="42">
        <f>Nov!AN22</f>
        <v>0</v>
      </c>
      <c r="K21" s="42">
        <f>Nov!AR22</f>
        <v>0</v>
      </c>
      <c r="L21" s="42">
        <f>Nov!AZ22</f>
        <v>0</v>
      </c>
      <c r="M21" s="42">
        <f>Nov!BC22</f>
        <v>0</v>
      </c>
      <c r="N21" s="125">
        <f t="shared" si="27"/>
        <v>0</v>
      </c>
      <c r="O21" s="125">
        <f>Nov!CA22</f>
        <v>0</v>
      </c>
      <c r="P21" s="125">
        <f>Nov!CD22</f>
        <v>0</v>
      </c>
      <c r="Q21" s="125">
        <f>Nov!CF22</f>
        <v>0</v>
      </c>
      <c r="R21" s="125">
        <f>Nov!CH22</f>
        <v>0</v>
      </c>
      <c r="S21" s="125">
        <f>Nov!CK22</f>
        <v>0</v>
      </c>
      <c r="T21" s="125">
        <f>Nov!CO22</f>
        <v>0</v>
      </c>
      <c r="U21" s="125">
        <f>Nov!CS22</f>
        <v>0</v>
      </c>
      <c r="V21" s="126">
        <f t="shared" si="19"/>
        <v>0</v>
      </c>
      <c r="W21" s="126">
        <f>Nov!CW22</f>
        <v>0</v>
      </c>
      <c r="X21" s="126">
        <f>Nov!DA22</f>
        <v>0</v>
      </c>
      <c r="Y21" s="126">
        <f t="shared" si="26"/>
        <v>0</v>
      </c>
      <c r="Z21" s="42">
        <f>Nov!BR22</f>
        <v>0</v>
      </c>
      <c r="AA21" s="126">
        <f>Nov!BG22</f>
        <v>0</v>
      </c>
      <c r="AB21" s="126">
        <f>Nov!BJ22</f>
        <v>0</v>
      </c>
      <c r="AC21" s="126">
        <f>Nov!BL22+Nov!BN22</f>
        <v>0</v>
      </c>
      <c r="AD21" s="126">
        <f>Nov!DR22</f>
        <v>0</v>
      </c>
      <c r="AE21" s="127">
        <f>Nov!DT22-Nov!DR62-Nov!DT62</f>
        <v>0</v>
      </c>
      <c r="AF21" s="127">
        <f>Nov!DR62+Nov!DT62</f>
        <v>0</v>
      </c>
      <c r="AG21" s="127">
        <f>Nov!HJ22-AE21</f>
        <v>0</v>
      </c>
      <c r="AH21" s="127">
        <f>Nov!DW22</f>
        <v>0</v>
      </c>
      <c r="AI21" s="127">
        <f>Nov!DZ22</f>
        <v>0</v>
      </c>
      <c r="AJ21" s="127">
        <f>Nov!EC22</f>
        <v>0</v>
      </c>
      <c r="AK21" s="127">
        <f t="shared" si="21"/>
        <v>0</v>
      </c>
      <c r="AL21" s="127">
        <f>Nov!EG22</f>
        <v>0</v>
      </c>
      <c r="AM21" s="127">
        <f>Nov!EJ22</f>
        <v>0</v>
      </c>
      <c r="AN21" s="127">
        <f>Nov!EM22</f>
        <v>0</v>
      </c>
      <c r="AO21" s="127">
        <f t="shared" si="8"/>
        <v>0</v>
      </c>
      <c r="AP21" s="127">
        <f>Nov!FX22</f>
        <v>0</v>
      </c>
      <c r="AQ21" s="127">
        <f>Nov!GA22</f>
        <v>0</v>
      </c>
      <c r="AR21" s="127">
        <f>Nov!GG22</f>
        <v>0</v>
      </c>
      <c r="AS21" s="127">
        <f t="shared" si="9"/>
        <v>0</v>
      </c>
      <c r="AT21" s="127">
        <f>Nov!EQ22</f>
        <v>0</v>
      </c>
      <c r="AU21" s="127">
        <f>Nov!ET22</f>
        <v>0</v>
      </c>
      <c r="AV21" s="127">
        <f>Nov!EW22</f>
        <v>0</v>
      </c>
      <c r="AW21" s="127">
        <f>Nov!FL59</f>
        <v>0</v>
      </c>
      <c r="AX21" s="127">
        <f>Nov!GJ22</f>
        <v>0</v>
      </c>
      <c r="AY21" s="127">
        <f t="shared" si="10"/>
        <v>0</v>
      </c>
      <c r="AZ21" s="127">
        <f>Nov!FG22</f>
        <v>0</v>
      </c>
      <c r="BA21" s="127">
        <f>Nov!FJ22</f>
        <v>0</v>
      </c>
      <c r="BB21" s="127">
        <f>Nov!FM60</f>
        <v>0</v>
      </c>
      <c r="BC21" s="127">
        <f>Nov!GM22</f>
        <v>0</v>
      </c>
      <c r="BD21" s="127">
        <f t="shared" si="11"/>
        <v>0</v>
      </c>
      <c r="BE21" s="127">
        <f>Nov!GP22</f>
        <v>0</v>
      </c>
      <c r="BF21" s="127">
        <f>Nov!GS22</f>
        <v>0</v>
      </c>
      <c r="BG21" s="127">
        <f t="shared" si="12"/>
        <v>0</v>
      </c>
      <c r="BH21" s="127">
        <f t="shared" si="6"/>
        <v>0</v>
      </c>
      <c r="BI21" s="127"/>
      <c r="BJ21" s="127"/>
      <c r="BK21" s="127"/>
      <c r="BL21" s="128">
        <f t="shared" si="13"/>
        <v>0</v>
      </c>
      <c r="BM21" s="128">
        <f t="shared" si="25"/>
        <v>0</v>
      </c>
      <c r="BN21" s="128"/>
      <c r="BO21" s="128">
        <f t="shared" si="16"/>
        <v>0</v>
      </c>
      <c r="BP21" s="128"/>
      <c r="BQ21" s="358">
        <f t="shared" si="22"/>
        <v>0</v>
      </c>
      <c r="BR21" s="128"/>
      <c r="BS21" s="128">
        <f t="shared" si="18"/>
        <v>0</v>
      </c>
      <c r="BT21" s="42">
        <f>Nov!D60</f>
        <v>0</v>
      </c>
      <c r="BU21" s="42">
        <f>Nov!G61</f>
        <v>0</v>
      </c>
      <c r="BV21" s="394"/>
      <c r="BX21" s="42">
        <f>Nov!HJ22</f>
        <v>0</v>
      </c>
      <c r="BY21" s="42">
        <f>Nov!HM22</f>
        <v>0</v>
      </c>
      <c r="BZ21" s="42">
        <f>Nov!HP22</f>
        <v>0</v>
      </c>
      <c r="CA21" s="42">
        <f>Nov!HS22</f>
        <v>0</v>
      </c>
      <c r="CB21" s="42">
        <f>Nov!HV22</f>
        <v>0</v>
      </c>
      <c r="CC21" s="42">
        <f>Nov!HY22</f>
        <v>0</v>
      </c>
      <c r="CD21" s="42">
        <f>Nov!IB22</f>
        <v>0</v>
      </c>
      <c r="CE21" s="42">
        <f>Nov!IE22</f>
        <v>0</v>
      </c>
      <c r="CF21" s="42">
        <f>Nov!IH22</f>
        <v>0</v>
      </c>
    </row>
    <row r="22" spans="1:84" x14ac:dyDescent="0.25">
      <c r="A22" s="26">
        <f t="shared" si="15"/>
        <v>16</v>
      </c>
      <c r="B22" s="42">
        <f>Nov!G23</f>
        <v>0</v>
      </c>
      <c r="C22" s="42">
        <f>Nov!N23</f>
        <v>0</v>
      </c>
      <c r="D22" s="42">
        <f>Nov!T23</f>
        <v>0</v>
      </c>
      <c r="E22" s="42">
        <f>Oct!V23</f>
        <v>0</v>
      </c>
      <c r="F22" s="42">
        <f>Nov!AB23</f>
        <v>0</v>
      </c>
      <c r="G22" s="42">
        <f>Nov!X23</f>
        <v>0</v>
      </c>
      <c r="H22" s="42">
        <f>Nov!AE23</f>
        <v>0</v>
      </c>
      <c r="I22" s="42">
        <f>Nov!AI23</f>
        <v>0</v>
      </c>
      <c r="J22" s="42">
        <f>Nov!AN23</f>
        <v>0</v>
      </c>
      <c r="K22" s="42">
        <f>Nov!AR23</f>
        <v>0</v>
      </c>
      <c r="L22" s="42">
        <f>Nov!AZ23</f>
        <v>0</v>
      </c>
      <c r="M22" s="42">
        <f>Nov!BC23</f>
        <v>0</v>
      </c>
      <c r="N22" s="125">
        <f t="shared" si="27"/>
        <v>0</v>
      </c>
      <c r="O22" s="125">
        <f>Nov!CA23</f>
        <v>0</v>
      </c>
      <c r="P22" s="125">
        <f>Nov!CD23</f>
        <v>0</v>
      </c>
      <c r="Q22" s="125">
        <f>Nov!CF23</f>
        <v>0</v>
      </c>
      <c r="R22" s="125">
        <f>Nov!CH23</f>
        <v>0</v>
      </c>
      <c r="S22" s="125">
        <f>Nov!CK23</f>
        <v>0</v>
      </c>
      <c r="T22" s="125">
        <f>Nov!CO23</f>
        <v>0</v>
      </c>
      <c r="U22" s="125">
        <f>Nov!CS23</f>
        <v>0</v>
      </c>
      <c r="V22" s="126">
        <f t="shared" si="19"/>
        <v>0</v>
      </c>
      <c r="W22" s="126">
        <f>Nov!CW23</f>
        <v>0</v>
      </c>
      <c r="X22" s="126">
        <f>Nov!DA23</f>
        <v>0</v>
      </c>
      <c r="Y22" s="126">
        <f t="shared" si="26"/>
        <v>0</v>
      </c>
      <c r="Z22" s="42">
        <f>Nov!BR23</f>
        <v>0</v>
      </c>
      <c r="AA22" s="126">
        <f>Nov!BG23</f>
        <v>0</v>
      </c>
      <c r="AB22" s="126">
        <f>Nov!BJ23</f>
        <v>0</v>
      </c>
      <c r="AC22" s="126">
        <f>Nov!BL23+Nov!BN23</f>
        <v>0</v>
      </c>
      <c r="AD22" s="126">
        <f>Nov!DR23</f>
        <v>0</v>
      </c>
      <c r="AE22" s="127">
        <f>Nov!DT23-Nov!DR63-Nov!DT63</f>
        <v>0</v>
      </c>
      <c r="AF22" s="127">
        <f>Nov!DR63+Nov!DT63</f>
        <v>0</v>
      </c>
      <c r="AG22" s="127">
        <f>Nov!HJ23-AE22</f>
        <v>0</v>
      </c>
      <c r="AH22" s="127">
        <f>Nov!DW23</f>
        <v>0</v>
      </c>
      <c r="AI22" s="127">
        <f>Nov!DZ23</f>
        <v>0</v>
      </c>
      <c r="AJ22" s="127">
        <f>Nov!EC23</f>
        <v>0</v>
      </c>
      <c r="AK22" s="127">
        <f t="shared" si="21"/>
        <v>0</v>
      </c>
      <c r="AL22" s="127">
        <f>Nov!EG23</f>
        <v>0</v>
      </c>
      <c r="AM22" s="127">
        <f>Nov!EJ23</f>
        <v>0</v>
      </c>
      <c r="AN22" s="127">
        <f>Nov!EM23</f>
        <v>0</v>
      </c>
      <c r="AO22" s="127">
        <f t="shared" si="8"/>
        <v>0</v>
      </c>
      <c r="AP22" s="127">
        <f>Nov!FX23</f>
        <v>0</v>
      </c>
      <c r="AQ22" s="127">
        <f>Nov!GA23</f>
        <v>0</v>
      </c>
      <c r="AR22" s="127">
        <f>Nov!GG23</f>
        <v>0</v>
      </c>
      <c r="AS22" s="127">
        <f t="shared" si="9"/>
        <v>0</v>
      </c>
      <c r="AT22" s="127">
        <f>Nov!EQ23</f>
        <v>0</v>
      </c>
      <c r="AU22" s="127">
        <f>Nov!ET23</f>
        <v>0</v>
      </c>
      <c r="AV22" s="127">
        <f>Nov!EW23</f>
        <v>0</v>
      </c>
      <c r="AW22" s="127">
        <f>Nov!FL60</f>
        <v>0</v>
      </c>
      <c r="AX22" s="127">
        <f>Nov!GJ23</f>
        <v>0</v>
      </c>
      <c r="AY22" s="127">
        <f t="shared" si="10"/>
        <v>0</v>
      </c>
      <c r="AZ22" s="127">
        <f>Nov!FG23</f>
        <v>0</v>
      </c>
      <c r="BA22" s="127">
        <f>Nov!FJ23</f>
        <v>0</v>
      </c>
      <c r="BB22" s="127">
        <f>Nov!FM61</f>
        <v>0</v>
      </c>
      <c r="BC22" s="127">
        <f>Nov!GM23</f>
        <v>0</v>
      </c>
      <c r="BD22" s="127">
        <f t="shared" si="11"/>
        <v>0</v>
      </c>
      <c r="BE22" s="127">
        <f>Nov!GP23</f>
        <v>0</v>
      </c>
      <c r="BF22" s="127">
        <f>Nov!GS23</f>
        <v>0</v>
      </c>
      <c r="BG22" s="127">
        <f t="shared" si="12"/>
        <v>0</v>
      </c>
      <c r="BH22" s="127">
        <f t="shared" si="6"/>
        <v>0</v>
      </c>
      <c r="BI22" s="127"/>
      <c r="BJ22" s="127"/>
      <c r="BK22" s="127"/>
      <c r="BL22" s="128">
        <f t="shared" si="13"/>
        <v>0</v>
      </c>
      <c r="BM22" s="128">
        <f t="shared" si="25"/>
        <v>0</v>
      </c>
      <c r="BN22" s="128"/>
      <c r="BO22" s="128">
        <f t="shared" si="16"/>
        <v>0</v>
      </c>
      <c r="BP22" s="128"/>
      <c r="BQ22" s="358">
        <f t="shared" si="22"/>
        <v>0</v>
      </c>
      <c r="BR22" s="128"/>
      <c r="BS22" s="128">
        <f t="shared" si="18"/>
        <v>0</v>
      </c>
      <c r="BT22" s="42">
        <f>Nov!D61</f>
        <v>0</v>
      </c>
      <c r="BU22" s="42">
        <f>Nov!G62</f>
        <v>0</v>
      </c>
      <c r="BV22" s="394"/>
      <c r="BW22" s="151"/>
      <c r="BX22" s="42">
        <f>Nov!HJ23</f>
        <v>0</v>
      </c>
      <c r="BY22" s="42">
        <f>Nov!HM23</f>
        <v>0</v>
      </c>
      <c r="BZ22" s="42">
        <f>Nov!HP23</f>
        <v>0</v>
      </c>
      <c r="CA22" s="42">
        <f>Nov!HS23</f>
        <v>0</v>
      </c>
      <c r="CB22" s="42">
        <f>Nov!HV23</f>
        <v>0</v>
      </c>
      <c r="CC22" s="42">
        <f>Nov!HY23</f>
        <v>0</v>
      </c>
      <c r="CD22" s="42">
        <f>Nov!IB23</f>
        <v>0</v>
      </c>
      <c r="CE22" s="42">
        <f>Nov!IE23</f>
        <v>0</v>
      </c>
      <c r="CF22" s="42">
        <f>Nov!IH23</f>
        <v>0</v>
      </c>
    </row>
    <row r="23" spans="1:84" x14ac:dyDescent="0.25">
      <c r="A23" s="26">
        <f t="shared" si="15"/>
        <v>17</v>
      </c>
      <c r="B23" s="42">
        <f>Nov!G24</f>
        <v>0</v>
      </c>
      <c r="C23" s="42">
        <f>Nov!N24</f>
        <v>0</v>
      </c>
      <c r="D23" s="42">
        <f>Nov!T24</f>
        <v>0</v>
      </c>
      <c r="E23" s="42">
        <f>Oct!V24</f>
        <v>0</v>
      </c>
      <c r="F23" s="42">
        <f>Nov!AB24</f>
        <v>0</v>
      </c>
      <c r="G23" s="42">
        <f>Nov!X24</f>
        <v>0</v>
      </c>
      <c r="H23" s="42">
        <f>Nov!AE24</f>
        <v>0</v>
      </c>
      <c r="I23" s="42">
        <f>Nov!AI24</f>
        <v>0</v>
      </c>
      <c r="J23" s="42">
        <f>Nov!AN24</f>
        <v>0</v>
      </c>
      <c r="K23" s="42">
        <f>Nov!AR24</f>
        <v>0</v>
      </c>
      <c r="L23" s="42">
        <f>Nov!AZ24</f>
        <v>0</v>
      </c>
      <c r="M23" s="42">
        <f>Nov!BC24</f>
        <v>0</v>
      </c>
      <c r="N23" s="125">
        <f t="shared" si="27"/>
        <v>0</v>
      </c>
      <c r="O23" s="125">
        <f>Nov!CA24</f>
        <v>0</v>
      </c>
      <c r="P23" s="125">
        <f>Nov!CD24</f>
        <v>0</v>
      </c>
      <c r="Q23" s="125">
        <f>Nov!CF24</f>
        <v>0</v>
      </c>
      <c r="R23" s="125">
        <f>Nov!CH24</f>
        <v>0</v>
      </c>
      <c r="S23" s="125">
        <f>Nov!CK24</f>
        <v>0</v>
      </c>
      <c r="T23" s="125">
        <f>Nov!CO24</f>
        <v>0</v>
      </c>
      <c r="U23" s="125">
        <f>Nov!CS24</f>
        <v>0</v>
      </c>
      <c r="V23" s="126">
        <f t="shared" si="19"/>
        <v>0</v>
      </c>
      <c r="W23" s="126">
        <f>Nov!CW24</f>
        <v>0</v>
      </c>
      <c r="X23" s="126">
        <f>Nov!DA24</f>
        <v>0</v>
      </c>
      <c r="Y23" s="126">
        <f t="shared" si="26"/>
        <v>0</v>
      </c>
      <c r="Z23" s="42">
        <f>Nov!BR24</f>
        <v>0</v>
      </c>
      <c r="AA23" s="126">
        <f>Nov!BG24</f>
        <v>0</v>
      </c>
      <c r="AB23" s="126">
        <f>Nov!BJ24</f>
        <v>0</v>
      </c>
      <c r="AC23" s="126">
        <f>Nov!BL24+Nov!BN24</f>
        <v>0</v>
      </c>
      <c r="AD23" s="126">
        <f>Nov!DR24</f>
        <v>0</v>
      </c>
      <c r="AE23" s="127">
        <f>Nov!DT24-Nov!DR64-Nov!DT64</f>
        <v>0</v>
      </c>
      <c r="AF23" s="127">
        <f>Nov!DR64+Nov!DT64</f>
        <v>0</v>
      </c>
      <c r="AG23" s="127">
        <f>Nov!HJ24-AE23</f>
        <v>0</v>
      </c>
      <c r="AH23" s="127">
        <f>Nov!DW24</f>
        <v>0</v>
      </c>
      <c r="AI23" s="127">
        <f>Nov!DZ24</f>
        <v>0</v>
      </c>
      <c r="AJ23" s="127">
        <f>Nov!EC24</f>
        <v>0</v>
      </c>
      <c r="AK23" s="127">
        <f t="shared" si="21"/>
        <v>0</v>
      </c>
      <c r="AL23" s="127">
        <f>Nov!EG24</f>
        <v>0</v>
      </c>
      <c r="AM23" s="127">
        <f>Nov!EJ24</f>
        <v>0</v>
      </c>
      <c r="AN23" s="127">
        <f>Nov!EM24</f>
        <v>0</v>
      </c>
      <c r="AO23" s="127">
        <f t="shared" si="8"/>
        <v>0</v>
      </c>
      <c r="AP23" s="127">
        <f>Nov!FX24</f>
        <v>0</v>
      </c>
      <c r="AQ23" s="127">
        <f>Nov!GA24</f>
        <v>0</v>
      </c>
      <c r="AR23" s="127">
        <f>Nov!GG24</f>
        <v>0</v>
      </c>
      <c r="AS23" s="127">
        <f t="shared" si="9"/>
        <v>0</v>
      </c>
      <c r="AT23" s="127">
        <f>Nov!EQ24</f>
        <v>0</v>
      </c>
      <c r="AU23" s="127">
        <f>Nov!ET24</f>
        <v>0</v>
      </c>
      <c r="AV23" s="127">
        <f>Nov!EW24</f>
        <v>0</v>
      </c>
      <c r="AW23" s="127">
        <f>Nov!FL61</f>
        <v>0</v>
      </c>
      <c r="AX23" s="127">
        <f>Nov!GJ24</f>
        <v>0</v>
      </c>
      <c r="AY23" s="127">
        <f t="shared" si="10"/>
        <v>0</v>
      </c>
      <c r="AZ23" s="127">
        <f>Nov!FG24</f>
        <v>0</v>
      </c>
      <c r="BA23" s="127">
        <f>Nov!FJ24</f>
        <v>0</v>
      </c>
      <c r="BB23" s="127">
        <f>Nov!FM62</f>
        <v>0</v>
      </c>
      <c r="BC23" s="127">
        <f>Nov!GM24</f>
        <v>0</v>
      </c>
      <c r="BD23" s="127">
        <f t="shared" si="11"/>
        <v>0</v>
      </c>
      <c r="BE23" s="127">
        <f>Nov!GP24</f>
        <v>0</v>
      </c>
      <c r="BF23" s="127">
        <f>Nov!GS24</f>
        <v>0</v>
      </c>
      <c r="BG23" s="127">
        <f t="shared" si="12"/>
        <v>0</v>
      </c>
      <c r="BH23" s="127">
        <f t="shared" si="6"/>
        <v>0</v>
      </c>
      <c r="BI23" s="127"/>
      <c r="BJ23" s="127"/>
      <c r="BK23" s="127"/>
      <c r="BL23" s="128">
        <f t="shared" si="13"/>
        <v>0</v>
      </c>
      <c r="BM23" s="128">
        <f t="shared" si="25"/>
        <v>0</v>
      </c>
      <c r="BN23" s="128"/>
      <c r="BO23" s="128">
        <f t="shared" si="16"/>
        <v>0</v>
      </c>
      <c r="BP23" s="128"/>
      <c r="BQ23" s="358">
        <f t="shared" si="22"/>
        <v>0</v>
      </c>
      <c r="BR23" s="128"/>
      <c r="BS23" s="128">
        <f t="shared" si="18"/>
        <v>0</v>
      </c>
      <c r="BT23" s="42">
        <f>Nov!D62</f>
        <v>0</v>
      </c>
      <c r="BU23" s="42">
        <f>Nov!G63</f>
        <v>0</v>
      </c>
      <c r="BV23" s="394"/>
      <c r="BX23" s="42">
        <f>Nov!HJ24</f>
        <v>0</v>
      </c>
      <c r="BY23" s="42">
        <f>Nov!HM24</f>
        <v>0</v>
      </c>
      <c r="BZ23" s="42">
        <f>Nov!HP24</f>
        <v>0</v>
      </c>
      <c r="CA23" s="42">
        <f>Nov!HS24</f>
        <v>0</v>
      </c>
      <c r="CB23" s="42">
        <f>Nov!HV24</f>
        <v>0</v>
      </c>
      <c r="CC23" s="42">
        <f>Nov!HY24</f>
        <v>0</v>
      </c>
      <c r="CD23" s="42">
        <f>Nov!IB24</f>
        <v>0</v>
      </c>
      <c r="CE23" s="42">
        <f>Nov!IE24</f>
        <v>0</v>
      </c>
      <c r="CF23" s="42">
        <f>Nov!IH24</f>
        <v>0</v>
      </c>
    </row>
    <row r="24" spans="1:84" x14ac:dyDescent="0.25">
      <c r="A24" s="26">
        <f t="shared" si="15"/>
        <v>18</v>
      </c>
      <c r="B24" s="42">
        <f>Nov!G25</f>
        <v>0</v>
      </c>
      <c r="C24" s="42">
        <f>Nov!N25</f>
        <v>0</v>
      </c>
      <c r="D24" s="42">
        <f>Nov!T25</f>
        <v>0</v>
      </c>
      <c r="E24" s="42">
        <f>Oct!V25</f>
        <v>0</v>
      </c>
      <c r="F24" s="42">
        <f>Nov!AB25</f>
        <v>0</v>
      </c>
      <c r="G24" s="42">
        <f>Nov!X25</f>
        <v>0</v>
      </c>
      <c r="H24" s="42">
        <f>Nov!AE25</f>
        <v>0</v>
      </c>
      <c r="I24" s="42">
        <f>Nov!AI25</f>
        <v>0</v>
      </c>
      <c r="J24" s="42">
        <f>Nov!AN25</f>
        <v>0</v>
      </c>
      <c r="K24" s="42">
        <f>Nov!AR25</f>
        <v>0</v>
      </c>
      <c r="L24" s="42">
        <f>Nov!AZ25</f>
        <v>0</v>
      </c>
      <c r="M24" s="42">
        <f>Nov!BC25</f>
        <v>0</v>
      </c>
      <c r="N24" s="125">
        <f t="shared" si="27"/>
        <v>0</v>
      </c>
      <c r="O24" s="125">
        <f>Nov!CA25</f>
        <v>0</v>
      </c>
      <c r="P24" s="125">
        <f>Nov!CD25</f>
        <v>0</v>
      </c>
      <c r="Q24" s="125">
        <f>Nov!CF25</f>
        <v>0</v>
      </c>
      <c r="R24" s="125">
        <f>Nov!CH25</f>
        <v>0</v>
      </c>
      <c r="S24" s="125">
        <f>Nov!CK25</f>
        <v>0</v>
      </c>
      <c r="T24" s="125">
        <f>Nov!CO25</f>
        <v>0</v>
      </c>
      <c r="U24" s="125">
        <f>Nov!CS25</f>
        <v>0</v>
      </c>
      <c r="V24" s="126">
        <f t="shared" si="19"/>
        <v>0</v>
      </c>
      <c r="W24" s="126">
        <f>Nov!CW25</f>
        <v>0</v>
      </c>
      <c r="X24" s="126">
        <f>Nov!DA25</f>
        <v>0</v>
      </c>
      <c r="Y24" s="126">
        <f t="shared" si="26"/>
        <v>0</v>
      </c>
      <c r="Z24" s="42">
        <f>Nov!BR25</f>
        <v>0</v>
      </c>
      <c r="AA24" s="126">
        <f>Nov!BG25</f>
        <v>0</v>
      </c>
      <c r="AB24" s="126">
        <f>Nov!BJ25</f>
        <v>0</v>
      </c>
      <c r="AC24" s="126">
        <f>Nov!BL25+Nov!BN25</f>
        <v>0</v>
      </c>
      <c r="AD24" s="126">
        <f>Nov!DR25</f>
        <v>0</v>
      </c>
      <c r="AE24" s="127">
        <f>Nov!DT25-Nov!DR65-Nov!DT65</f>
        <v>0</v>
      </c>
      <c r="AF24" s="127">
        <f>Nov!DR65+Nov!DT65</f>
        <v>0</v>
      </c>
      <c r="AG24" s="127">
        <f>Nov!HJ25-AE24</f>
        <v>0</v>
      </c>
      <c r="AH24" s="127">
        <f>Nov!DW25</f>
        <v>0</v>
      </c>
      <c r="AI24" s="127">
        <f>Nov!DZ25</f>
        <v>0</v>
      </c>
      <c r="AJ24" s="127">
        <f>Nov!EC25</f>
        <v>0</v>
      </c>
      <c r="AK24" s="127">
        <f t="shared" si="21"/>
        <v>0</v>
      </c>
      <c r="AL24" s="127">
        <f>Nov!EG25</f>
        <v>0</v>
      </c>
      <c r="AM24" s="127">
        <f>Nov!EJ25</f>
        <v>0</v>
      </c>
      <c r="AN24" s="127">
        <f>Nov!EM25</f>
        <v>0</v>
      </c>
      <c r="AO24" s="127">
        <f t="shared" si="8"/>
        <v>0</v>
      </c>
      <c r="AP24" s="127">
        <f>Nov!FX25</f>
        <v>0</v>
      </c>
      <c r="AQ24" s="127">
        <f>Nov!GA25</f>
        <v>0</v>
      </c>
      <c r="AR24" s="127">
        <f>Nov!GG25</f>
        <v>0</v>
      </c>
      <c r="AS24" s="127">
        <f t="shared" si="9"/>
        <v>0</v>
      </c>
      <c r="AT24" s="127">
        <f>Nov!EQ25</f>
        <v>0</v>
      </c>
      <c r="AU24" s="127">
        <f>Nov!ET25</f>
        <v>0</v>
      </c>
      <c r="AV24" s="127">
        <f>Nov!EW25</f>
        <v>0</v>
      </c>
      <c r="AW24" s="127">
        <f>Nov!FL62</f>
        <v>0</v>
      </c>
      <c r="AX24" s="127">
        <f>Nov!GJ25</f>
        <v>0</v>
      </c>
      <c r="AY24" s="127">
        <f t="shared" si="10"/>
        <v>0</v>
      </c>
      <c r="AZ24" s="127">
        <f>Nov!FG25</f>
        <v>0</v>
      </c>
      <c r="BA24" s="127">
        <f>Nov!FJ25</f>
        <v>0</v>
      </c>
      <c r="BB24" s="127">
        <f>Nov!FM63</f>
        <v>0</v>
      </c>
      <c r="BC24" s="127">
        <f>Nov!GM25</f>
        <v>0</v>
      </c>
      <c r="BD24" s="127">
        <f t="shared" si="11"/>
        <v>0</v>
      </c>
      <c r="BE24" s="127">
        <f>Nov!GP25</f>
        <v>0</v>
      </c>
      <c r="BF24" s="127">
        <f>Nov!GS25</f>
        <v>0</v>
      </c>
      <c r="BG24" s="127">
        <f t="shared" si="12"/>
        <v>0</v>
      </c>
      <c r="BH24" s="127">
        <f t="shared" si="6"/>
        <v>0</v>
      </c>
      <c r="BI24" s="127"/>
      <c r="BJ24" s="127"/>
      <c r="BK24" s="127"/>
      <c r="BL24" s="128">
        <f t="shared" si="13"/>
        <v>0</v>
      </c>
      <c r="BM24" s="128">
        <f t="shared" si="25"/>
        <v>0</v>
      </c>
      <c r="BN24" s="128"/>
      <c r="BO24" s="128">
        <f t="shared" si="16"/>
        <v>0</v>
      </c>
      <c r="BP24" s="128"/>
      <c r="BQ24" s="358">
        <f t="shared" si="22"/>
        <v>0</v>
      </c>
      <c r="BR24" s="128"/>
      <c r="BS24" s="128">
        <f t="shared" si="18"/>
        <v>0</v>
      </c>
      <c r="BT24" s="42">
        <f>Nov!D63</f>
        <v>0</v>
      </c>
      <c r="BU24" s="42">
        <f>Nov!G64</f>
        <v>0</v>
      </c>
      <c r="BV24" s="394"/>
      <c r="BX24" s="42">
        <f>Nov!HJ25</f>
        <v>0</v>
      </c>
      <c r="BY24" s="42">
        <f>Nov!HM25</f>
        <v>0</v>
      </c>
      <c r="BZ24" s="42">
        <f>Nov!HP25</f>
        <v>0</v>
      </c>
      <c r="CA24" s="42">
        <f>Nov!HS25</f>
        <v>0</v>
      </c>
      <c r="CB24" s="42">
        <f>Nov!HV25</f>
        <v>0</v>
      </c>
      <c r="CC24" s="42">
        <f>Nov!HY25</f>
        <v>0</v>
      </c>
      <c r="CD24" s="42">
        <f>Nov!IB25</f>
        <v>0</v>
      </c>
      <c r="CE24" s="42">
        <f>Nov!IE25</f>
        <v>0</v>
      </c>
      <c r="CF24" s="42">
        <f>Nov!IH25</f>
        <v>0</v>
      </c>
    </row>
    <row r="25" spans="1:84" x14ac:dyDescent="0.25">
      <c r="A25" s="26">
        <f t="shared" si="15"/>
        <v>19</v>
      </c>
      <c r="B25" s="42">
        <f>Nov!G26</f>
        <v>0</v>
      </c>
      <c r="C25" s="42">
        <f>Nov!N26</f>
        <v>0</v>
      </c>
      <c r="D25" s="42">
        <f>Nov!T26</f>
        <v>0</v>
      </c>
      <c r="E25" s="42">
        <f>Oct!V26</f>
        <v>0</v>
      </c>
      <c r="F25" s="42">
        <f>Nov!AB26</f>
        <v>0</v>
      </c>
      <c r="G25" s="42">
        <f>Nov!X26</f>
        <v>0</v>
      </c>
      <c r="H25" s="42">
        <f>Nov!AE26</f>
        <v>0</v>
      </c>
      <c r="I25" s="42">
        <f>Nov!AI26</f>
        <v>0</v>
      </c>
      <c r="J25" s="42">
        <f>Nov!AN26</f>
        <v>0</v>
      </c>
      <c r="K25" s="42">
        <f>Nov!AR26</f>
        <v>0</v>
      </c>
      <c r="L25" s="42">
        <f>Nov!AZ26</f>
        <v>0</v>
      </c>
      <c r="M25" s="42">
        <f>Nov!BC26</f>
        <v>0</v>
      </c>
      <c r="N25" s="125">
        <f t="shared" si="27"/>
        <v>0</v>
      </c>
      <c r="O25" s="125">
        <f>Nov!CA26</f>
        <v>0</v>
      </c>
      <c r="P25" s="125">
        <f>Nov!CD26</f>
        <v>0</v>
      </c>
      <c r="Q25" s="125">
        <f>Nov!CF26</f>
        <v>0</v>
      </c>
      <c r="R25" s="125">
        <f>Nov!CH26</f>
        <v>0</v>
      </c>
      <c r="S25" s="125">
        <f>Nov!CK26</f>
        <v>0</v>
      </c>
      <c r="T25" s="125">
        <f>Nov!CO26</f>
        <v>0</v>
      </c>
      <c r="U25" s="125">
        <f>Nov!CS26</f>
        <v>0</v>
      </c>
      <c r="V25" s="126">
        <f t="shared" si="19"/>
        <v>0</v>
      </c>
      <c r="W25" s="126">
        <f>Nov!CW26</f>
        <v>0</v>
      </c>
      <c r="X25" s="126">
        <f>Nov!DA26</f>
        <v>0</v>
      </c>
      <c r="Y25" s="126">
        <f t="shared" si="26"/>
        <v>0</v>
      </c>
      <c r="Z25" s="42">
        <f>Nov!BR26</f>
        <v>0</v>
      </c>
      <c r="AA25" s="126">
        <f>Nov!BG26</f>
        <v>0</v>
      </c>
      <c r="AB25" s="126">
        <f>Nov!BJ26</f>
        <v>0</v>
      </c>
      <c r="AC25" s="126">
        <f>Nov!BL26+Nov!BN26</f>
        <v>0</v>
      </c>
      <c r="AD25" s="126">
        <f>Nov!DR26</f>
        <v>0</v>
      </c>
      <c r="AE25" s="127">
        <f>Nov!DT26-Nov!DR66-Nov!DT66</f>
        <v>0</v>
      </c>
      <c r="AF25" s="127">
        <f>Nov!DR66+Nov!DT66</f>
        <v>0</v>
      </c>
      <c r="AG25" s="127">
        <f>Nov!HJ26-AE25</f>
        <v>0</v>
      </c>
      <c r="AH25" s="127">
        <f>Nov!DW26</f>
        <v>0</v>
      </c>
      <c r="AI25" s="127">
        <f>Nov!DZ26</f>
        <v>0</v>
      </c>
      <c r="AJ25" s="127">
        <f>Nov!EC26</f>
        <v>0</v>
      </c>
      <c r="AK25" s="127">
        <f t="shared" si="21"/>
        <v>0</v>
      </c>
      <c r="AL25" s="127">
        <f>Nov!EG26</f>
        <v>0</v>
      </c>
      <c r="AM25" s="127">
        <f>Nov!EJ26</f>
        <v>0</v>
      </c>
      <c r="AN25" s="127">
        <f>Nov!EM26</f>
        <v>0</v>
      </c>
      <c r="AO25" s="127">
        <f t="shared" si="8"/>
        <v>0</v>
      </c>
      <c r="AP25" s="127">
        <f>Nov!FX26</f>
        <v>0</v>
      </c>
      <c r="AQ25" s="127">
        <f>Nov!GA26</f>
        <v>0</v>
      </c>
      <c r="AR25" s="127">
        <f>Nov!GG26</f>
        <v>0</v>
      </c>
      <c r="AS25" s="127">
        <f t="shared" si="9"/>
        <v>0</v>
      </c>
      <c r="AT25" s="127">
        <f>Nov!EQ26</f>
        <v>0</v>
      </c>
      <c r="AU25" s="127">
        <f>Nov!ET26</f>
        <v>0</v>
      </c>
      <c r="AV25" s="127">
        <f>Nov!EW26</f>
        <v>0</v>
      </c>
      <c r="AW25" s="127">
        <f>Nov!FL63</f>
        <v>0</v>
      </c>
      <c r="AX25" s="127">
        <f>Nov!GJ26</f>
        <v>0</v>
      </c>
      <c r="AY25" s="127">
        <f t="shared" si="10"/>
        <v>0</v>
      </c>
      <c r="AZ25" s="127">
        <f>Nov!FG26</f>
        <v>0</v>
      </c>
      <c r="BA25" s="127">
        <f>Nov!FJ26</f>
        <v>0</v>
      </c>
      <c r="BB25" s="127">
        <f>Nov!FM64</f>
        <v>0</v>
      </c>
      <c r="BC25" s="127">
        <f>Nov!GM26</f>
        <v>0</v>
      </c>
      <c r="BD25" s="127">
        <f t="shared" si="11"/>
        <v>0</v>
      </c>
      <c r="BE25" s="127">
        <f>Nov!GP26</f>
        <v>0</v>
      </c>
      <c r="BF25" s="127">
        <f>Nov!GS26</f>
        <v>0</v>
      </c>
      <c r="BG25" s="127">
        <f t="shared" si="12"/>
        <v>0</v>
      </c>
      <c r="BH25" s="127">
        <f t="shared" si="6"/>
        <v>0</v>
      </c>
      <c r="BI25" s="127"/>
      <c r="BJ25" s="127"/>
      <c r="BK25" s="127"/>
      <c r="BL25" s="128">
        <f t="shared" si="13"/>
        <v>0</v>
      </c>
      <c r="BM25" s="128">
        <f t="shared" si="25"/>
        <v>0</v>
      </c>
      <c r="BN25" s="128"/>
      <c r="BO25" s="128">
        <f t="shared" si="16"/>
        <v>0</v>
      </c>
      <c r="BP25" s="128"/>
      <c r="BQ25" s="358">
        <f t="shared" si="22"/>
        <v>0</v>
      </c>
      <c r="BR25" s="128"/>
      <c r="BS25" s="128">
        <f t="shared" si="18"/>
        <v>0</v>
      </c>
      <c r="BT25" s="42">
        <f>Nov!D64</f>
        <v>0</v>
      </c>
      <c r="BU25" s="42">
        <f>Nov!G65</f>
        <v>0</v>
      </c>
      <c r="BV25" s="394"/>
      <c r="BX25" s="42">
        <f>Nov!HJ26</f>
        <v>0</v>
      </c>
      <c r="BY25" s="42">
        <f>Nov!HM26</f>
        <v>0</v>
      </c>
      <c r="BZ25" s="42">
        <f>Nov!HP26</f>
        <v>0</v>
      </c>
      <c r="CA25" s="42">
        <f>Nov!HS26</f>
        <v>0</v>
      </c>
      <c r="CB25" s="42">
        <f>Nov!HV26</f>
        <v>0</v>
      </c>
      <c r="CC25" s="42">
        <f>Nov!HY26</f>
        <v>0</v>
      </c>
      <c r="CD25" s="42">
        <f>Nov!IB26</f>
        <v>0</v>
      </c>
      <c r="CE25" s="42">
        <f>Nov!IE26</f>
        <v>0</v>
      </c>
      <c r="CF25" s="42">
        <f>Nov!IH26</f>
        <v>0</v>
      </c>
    </row>
    <row r="26" spans="1:84" x14ac:dyDescent="0.25">
      <c r="A26" s="26">
        <f t="shared" si="15"/>
        <v>20</v>
      </c>
      <c r="B26" s="42">
        <f>Nov!G27</f>
        <v>0</v>
      </c>
      <c r="C26" s="42">
        <f>Nov!N27</f>
        <v>0</v>
      </c>
      <c r="D26" s="42">
        <f>Nov!T27</f>
        <v>0</v>
      </c>
      <c r="E26" s="42">
        <f>Oct!V27</f>
        <v>0</v>
      </c>
      <c r="F26" s="42">
        <f>Nov!AB27</f>
        <v>0</v>
      </c>
      <c r="G26" s="42">
        <f>Nov!X27</f>
        <v>0</v>
      </c>
      <c r="H26" s="42">
        <f>Nov!AE27</f>
        <v>0</v>
      </c>
      <c r="I26" s="42">
        <f>Nov!AI27</f>
        <v>0</v>
      </c>
      <c r="J26" s="42">
        <f>Nov!AN27</f>
        <v>0</v>
      </c>
      <c r="K26" s="42">
        <f>Nov!AR27</f>
        <v>0</v>
      </c>
      <c r="L26" s="42">
        <f>Nov!AZ27</f>
        <v>0</v>
      </c>
      <c r="M26" s="42">
        <f>Nov!BC27</f>
        <v>0</v>
      </c>
      <c r="N26" s="125">
        <f t="shared" si="27"/>
        <v>0</v>
      </c>
      <c r="O26" s="125">
        <f>Nov!CA27</f>
        <v>0</v>
      </c>
      <c r="P26" s="125">
        <f>Nov!CD27</f>
        <v>0</v>
      </c>
      <c r="Q26" s="125">
        <f>Nov!CF27</f>
        <v>0</v>
      </c>
      <c r="R26" s="125">
        <f>Nov!CH27</f>
        <v>0</v>
      </c>
      <c r="S26" s="125">
        <f>Nov!CK27</f>
        <v>0</v>
      </c>
      <c r="T26" s="125">
        <f>Nov!CO27</f>
        <v>0</v>
      </c>
      <c r="U26" s="125">
        <f>Nov!CS27</f>
        <v>0</v>
      </c>
      <c r="V26" s="126">
        <f t="shared" si="19"/>
        <v>0</v>
      </c>
      <c r="W26" s="126">
        <f>Nov!CW27</f>
        <v>0</v>
      </c>
      <c r="X26" s="126">
        <f>Nov!DA27</f>
        <v>0</v>
      </c>
      <c r="Y26" s="126">
        <f t="shared" si="26"/>
        <v>0</v>
      </c>
      <c r="Z26" s="42">
        <f>Nov!BR27</f>
        <v>0</v>
      </c>
      <c r="AA26" s="126">
        <f>Nov!BG27</f>
        <v>0</v>
      </c>
      <c r="AB26" s="126">
        <f>Nov!BJ27</f>
        <v>0</v>
      </c>
      <c r="AC26" s="126">
        <f>Nov!BL27+Nov!BN27</f>
        <v>0</v>
      </c>
      <c r="AD26" s="126">
        <f>Nov!DR27</f>
        <v>0</v>
      </c>
      <c r="AE26" s="127">
        <f>Nov!DT27-Nov!DR67-Nov!DT67</f>
        <v>0</v>
      </c>
      <c r="AF26" s="127">
        <f>Nov!DR67+Nov!DT67</f>
        <v>0</v>
      </c>
      <c r="AG26" s="127">
        <f>Nov!HJ27-AE26</f>
        <v>0</v>
      </c>
      <c r="AH26" s="127">
        <f>Nov!DW27</f>
        <v>0</v>
      </c>
      <c r="AI26" s="127">
        <f>Nov!DZ27</f>
        <v>0</v>
      </c>
      <c r="AJ26" s="127">
        <f>Nov!EC27</f>
        <v>0</v>
      </c>
      <c r="AK26" s="127">
        <f t="shared" si="21"/>
        <v>0</v>
      </c>
      <c r="AL26" s="127">
        <f>Nov!EG27</f>
        <v>0</v>
      </c>
      <c r="AM26" s="127">
        <f>Nov!EJ27</f>
        <v>0</v>
      </c>
      <c r="AN26" s="127">
        <f>Nov!EM27</f>
        <v>0</v>
      </c>
      <c r="AO26" s="127">
        <f t="shared" si="8"/>
        <v>0</v>
      </c>
      <c r="AP26" s="127">
        <f>Nov!FX27</f>
        <v>0</v>
      </c>
      <c r="AQ26" s="127">
        <f>Nov!GA27</f>
        <v>0</v>
      </c>
      <c r="AR26" s="127">
        <f>Nov!GG27</f>
        <v>0</v>
      </c>
      <c r="AS26" s="127">
        <f t="shared" si="9"/>
        <v>0</v>
      </c>
      <c r="AT26" s="127">
        <f>Nov!EQ27</f>
        <v>0</v>
      </c>
      <c r="AU26" s="127">
        <f>Nov!ET27</f>
        <v>0</v>
      </c>
      <c r="AV26" s="127">
        <f>Nov!EW27</f>
        <v>0</v>
      </c>
      <c r="AW26" s="127">
        <f>Nov!FL64</f>
        <v>0</v>
      </c>
      <c r="AX26" s="127">
        <f>Nov!GJ27</f>
        <v>0</v>
      </c>
      <c r="AY26" s="127">
        <f t="shared" si="10"/>
        <v>0</v>
      </c>
      <c r="AZ26" s="127">
        <f>Nov!FG27</f>
        <v>0</v>
      </c>
      <c r="BA26" s="127">
        <f>Nov!FJ27</f>
        <v>0</v>
      </c>
      <c r="BB26" s="127">
        <f>Nov!FM65</f>
        <v>0</v>
      </c>
      <c r="BC26" s="127">
        <f>Nov!GM27</f>
        <v>0</v>
      </c>
      <c r="BD26" s="127">
        <f t="shared" si="11"/>
        <v>0</v>
      </c>
      <c r="BE26" s="127">
        <f>Nov!GP27</f>
        <v>0</v>
      </c>
      <c r="BF26" s="127">
        <f>Nov!GS27</f>
        <v>0</v>
      </c>
      <c r="BG26" s="127">
        <f t="shared" si="12"/>
        <v>0</v>
      </c>
      <c r="BH26" s="127">
        <f t="shared" si="6"/>
        <v>0</v>
      </c>
      <c r="BI26" s="127"/>
      <c r="BJ26" s="127"/>
      <c r="BK26" s="127"/>
      <c r="BL26" s="128">
        <f t="shared" si="13"/>
        <v>0</v>
      </c>
      <c r="BM26" s="128">
        <f t="shared" si="25"/>
        <v>0</v>
      </c>
      <c r="BN26" s="128"/>
      <c r="BO26" s="128">
        <f t="shared" si="16"/>
        <v>0</v>
      </c>
      <c r="BP26" s="128"/>
      <c r="BQ26" s="358">
        <f t="shared" si="22"/>
        <v>0</v>
      </c>
      <c r="BR26" s="128"/>
      <c r="BS26" s="128">
        <f t="shared" si="18"/>
        <v>0</v>
      </c>
      <c r="BT26" s="42">
        <f>Nov!D65</f>
        <v>0</v>
      </c>
      <c r="BU26" s="42">
        <f>Nov!G66</f>
        <v>0</v>
      </c>
      <c r="BV26" s="394"/>
      <c r="BX26" s="42">
        <f>Nov!HJ27</f>
        <v>0</v>
      </c>
      <c r="BY26" s="42">
        <f>Nov!HM27</f>
        <v>0</v>
      </c>
      <c r="BZ26" s="42">
        <f>Nov!HP27</f>
        <v>0</v>
      </c>
      <c r="CA26" s="42">
        <f>Nov!HS27</f>
        <v>0</v>
      </c>
      <c r="CB26" s="42">
        <f>Nov!HV27</f>
        <v>0</v>
      </c>
      <c r="CC26" s="42">
        <f>Nov!HY27</f>
        <v>0</v>
      </c>
      <c r="CD26" s="42">
        <f>Nov!IB27</f>
        <v>0</v>
      </c>
      <c r="CE26" s="42">
        <f>Nov!IE27</f>
        <v>0</v>
      </c>
      <c r="CF26" s="42">
        <f>Nov!IH27</f>
        <v>0</v>
      </c>
    </row>
    <row r="27" spans="1:84" x14ac:dyDescent="0.25">
      <c r="A27" s="26">
        <f t="shared" si="15"/>
        <v>21</v>
      </c>
      <c r="B27" s="42">
        <f>Nov!G28</f>
        <v>0</v>
      </c>
      <c r="C27" s="42">
        <f>Nov!N28</f>
        <v>0</v>
      </c>
      <c r="D27" s="42">
        <f>Nov!T28</f>
        <v>0</v>
      </c>
      <c r="E27" s="42">
        <f>Oct!V28</f>
        <v>0</v>
      </c>
      <c r="F27" s="42">
        <f>Nov!AB28</f>
        <v>0</v>
      </c>
      <c r="G27" s="42">
        <f>Nov!X28</f>
        <v>0</v>
      </c>
      <c r="H27" s="42">
        <f>Nov!AE28</f>
        <v>0</v>
      </c>
      <c r="I27" s="42">
        <f>Nov!AI28</f>
        <v>0</v>
      </c>
      <c r="J27" s="42">
        <f>Nov!AN28</f>
        <v>0</v>
      </c>
      <c r="K27" s="42">
        <f>Nov!AR28</f>
        <v>0</v>
      </c>
      <c r="L27" s="42">
        <f>Nov!AZ28</f>
        <v>0</v>
      </c>
      <c r="M27" s="42">
        <f>Nov!BC28</f>
        <v>0</v>
      </c>
      <c r="N27" s="125">
        <f t="shared" si="27"/>
        <v>0</v>
      </c>
      <c r="O27" s="125">
        <f>Nov!CA28</f>
        <v>0</v>
      </c>
      <c r="P27" s="125">
        <f>Nov!CD28</f>
        <v>0</v>
      </c>
      <c r="Q27" s="125">
        <f>Nov!CF28</f>
        <v>0</v>
      </c>
      <c r="R27" s="125">
        <f>Nov!CH28</f>
        <v>0</v>
      </c>
      <c r="S27" s="125">
        <f>Nov!CK28</f>
        <v>0</v>
      </c>
      <c r="T27" s="125">
        <f>Nov!CO28</f>
        <v>0</v>
      </c>
      <c r="U27" s="125">
        <f>Nov!CS28</f>
        <v>0</v>
      </c>
      <c r="V27" s="126">
        <f t="shared" si="19"/>
        <v>0</v>
      </c>
      <c r="W27" s="126">
        <f>Nov!CW28</f>
        <v>0</v>
      </c>
      <c r="X27" s="126">
        <f>Nov!DA28</f>
        <v>0</v>
      </c>
      <c r="Y27" s="126">
        <f t="shared" si="26"/>
        <v>0</v>
      </c>
      <c r="Z27" s="42">
        <f>Nov!BR28</f>
        <v>0</v>
      </c>
      <c r="AA27" s="126">
        <f>Nov!BG28</f>
        <v>0</v>
      </c>
      <c r="AB27" s="126">
        <f>Nov!BJ28</f>
        <v>0</v>
      </c>
      <c r="AC27" s="126">
        <f>Nov!BL28+Nov!BN28</f>
        <v>0</v>
      </c>
      <c r="AD27" s="126">
        <f>Nov!DR28</f>
        <v>0</v>
      </c>
      <c r="AE27" s="127">
        <f>Nov!DT28-Nov!DR68-Nov!DT68</f>
        <v>0</v>
      </c>
      <c r="AF27" s="127">
        <f>Nov!DR68+Nov!DT68</f>
        <v>0</v>
      </c>
      <c r="AG27" s="127">
        <f>Nov!HJ28-AE27</f>
        <v>0</v>
      </c>
      <c r="AH27" s="127">
        <f>Nov!DW28</f>
        <v>0</v>
      </c>
      <c r="AI27" s="127">
        <f>Nov!DZ28</f>
        <v>0</v>
      </c>
      <c r="AJ27" s="127">
        <f>Nov!EC28</f>
        <v>0</v>
      </c>
      <c r="AK27" s="127">
        <f t="shared" si="21"/>
        <v>0</v>
      </c>
      <c r="AL27" s="127">
        <f>Nov!EG28</f>
        <v>0</v>
      </c>
      <c r="AM27" s="127">
        <f>Nov!EJ28</f>
        <v>0</v>
      </c>
      <c r="AN27" s="127">
        <f>Nov!EM28</f>
        <v>0</v>
      </c>
      <c r="AO27" s="127">
        <f t="shared" si="8"/>
        <v>0</v>
      </c>
      <c r="AP27" s="127">
        <f>Nov!FX28</f>
        <v>0</v>
      </c>
      <c r="AQ27" s="127">
        <f>Nov!GA28</f>
        <v>0</v>
      </c>
      <c r="AR27" s="127">
        <f>Nov!GG28</f>
        <v>0</v>
      </c>
      <c r="AS27" s="127">
        <f t="shared" si="9"/>
        <v>0</v>
      </c>
      <c r="AT27" s="127">
        <f>Nov!EQ28</f>
        <v>0</v>
      </c>
      <c r="AU27" s="127">
        <f>Nov!ET28</f>
        <v>0</v>
      </c>
      <c r="AV27" s="127">
        <f>Nov!EW28</f>
        <v>0</v>
      </c>
      <c r="AW27" s="127">
        <f>Nov!FL65</f>
        <v>0</v>
      </c>
      <c r="AX27" s="127">
        <f>Nov!GJ28</f>
        <v>0</v>
      </c>
      <c r="AY27" s="127">
        <f t="shared" si="10"/>
        <v>0</v>
      </c>
      <c r="AZ27" s="127">
        <f>Nov!FG28</f>
        <v>0</v>
      </c>
      <c r="BA27" s="127">
        <f>Nov!FJ28</f>
        <v>0</v>
      </c>
      <c r="BB27" s="127">
        <f>Nov!FM66</f>
        <v>0</v>
      </c>
      <c r="BC27" s="127">
        <f>Nov!GM28</f>
        <v>0</v>
      </c>
      <c r="BD27" s="127">
        <f t="shared" si="11"/>
        <v>0</v>
      </c>
      <c r="BE27" s="127">
        <f>Nov!GP28</f>
        <v>0</v>
      </c>
      <c r="BF27" s="127">
        <f>Nov!GS28</f>
        <v>0</v>
      </c>
      <c r="BG27" s="127">
        <f t="shared" si="12"/>
        <v>0</v>
      </c>
      <c r="BH27" s="127">
        <f t="shared" si="6"/>
        <v>0</v>
      </c>
      <c r="BI27" s="127"/>
      <c r="BJ27" s="127"/>
      <c r="BK27" s="127"/>
      <c r="BL27" s="128">
        <f t="shared" si="13"/>
        <v>0</v>
      </c>
      <c r="BM27" s="128">
        <f t="shared" si="25"/>
        <v>0</v>
      </c>
      <c r="BN27" s="128"/>
      <c r="BO27" s="128">
        <f t="shared" si="16"/>
        <v>0</v>
      </c>
      <c r="BP27" s="128"/>
      <c r="BQ27" s="358">
        <f t="shared" si="22"/>
        <v>0</v>
      </c>
      <c r="BR27" s="128"/>
      <c r="BS27" s="128">
        <f t="shared" si="18"/>
        <v>0</v>
      </c>
      <c r="BT27" s="42">
        <f>Nov!D66</f>
        <v>0</v>
      </c>
      <c r="BU27" s="42">
        <f>Nov!G67</f>
        <v>0</v>
      </c>
      <c r="BV27" s="394"/>
      <c r="BX27" s="42">
        <f>Nov!HJ28</f>
        <v>0</v>
      </c>
      <c r="BY27" s="42">
        <f>Nov!HM28</f>
        <v>0</v>
      </c>
      <c r="BZ27" s="42">
        <f>Nov!HP28</f>
        <v>0</v>
      </c>
      <c r="CA27" s="42">
        <f>Nov!HS28</f>
        <v>0</v>
      </c>
      <c r="CB27" s="42">
        <f>Nov!HV28</f>
        <v>0</v>
      </c>
      <c r="CC27" s="42">
        <f>Nov!HY28</f>
        <v>0</v>
      </c>
      <c r="CD27" s="42">
        <f>Nov!IB28</f>
        <v>0</v>
      </c>
      <c r="CE27" s="42">
        <f>Nov!IE28</f>
        <v>0</v>
      </c>
      <c r="CF27" s="42">
        <f>Nov!IH28</f>
        <v>0</v>
      </c>
    </row>
    <row r="28" spans="1:84" x14ac:dyDescent="0.25">
      <c r="A28" s="26">
        <f t="shared" si="15"/>
        <v>22</v>
      </c>
      <c r="B28" s="42">
        <f>Nov!G29</f>
        <v>0</v>
      </c>
      <c r="C28" s="42">
        <f>Nov!N29</f>
        <v>0</v>
      </c>
      <c r="D28" s="42">
        <f>Nov!T29</f>
        <v>0</v>
      </c>
      <c r="E28" s="42">
        <f>Oct!V29</f>
        <v>0</v>
      </c>
      <c r="F28" s="42">
        <f>Nov!AB29</f>
        <v>0</v>
      </c>
      <c r="G28" s="42">
        <f>Nov!X29</f>
        <v>0</v>
      </c>
      <c r="H28" s="42">
        <f>Nov!AE29</f>
        <v>0</v>
      </c>
      <c r="I28" s="42">
        <f>Nov!AI29</f>
        <v>0</v>
      </c>
      <c r="J28" s="42">
        <f>Nov!AN29</f>
        <v>0</v>
      </c>
      <c r="K28" s="42">
        <f>Nov!AR29</f>
        <v>0</v>
      </c>
      <c r="L28" s="42">
        <f>Nov!AZ29</f>
        <v>0</v>
      </c>
      <c r="M28" s="42">
        <f>Nov!BC29</f>
        <v>0</v>
      </c>
      <c r="N28" s="125">
        <f t="shared" si="27"/>
        <v>0</v>
      </c>
      <c r="O28" s="125">
        <f>Nov!CA29</f>
        <v>0</v>
      </c>
      <c r="P28" s="125">
        <f>Nov!CD29</f>
        <v>0</v>
      </c>
      <c r="Q28" s="125">
        <f>Nov!CF29</f>
        <v>0</v>
      </c>
      <c r="R28" s="125">
        <f>Nov!CH29</f>
        <v>0</v>
      </c>
      <c r="S28" s="125">
        <f>Nov!CK29</f>
        <v>0</v>
      </c>
      <c r="T28" s="125">
        <f>Nov!CO29</f>
        <v>0</v>
      </c>
      <c r="U28" s="125">
        <f>Nov!CS29</f>
        <v>0</v>
      </c>
      <c r="V28" s="126">
        <f t="shared" si="19"/>
        <v>0</v>
      </c>
      <c r="W28" s="126">
        <f>Nov!CW29</f>
        <v>0</v>
      </c>
      <c r="X28" s="126">
        <f>Nov!DA29</f>
        <v>0</v>
      </c>
      <c r="Y28" s="126">
        <f t="shared" si="26"/>
        <v>0</v>
      </c>
      <c r="Z28" s="42">
        <f>Nov!BR29</f>
        <v>0</v>
      </c>
      <c r="AA28" s="126">
        <f>Nov!BG29</f>
        <v>0</v>
      </c>
      <c r="AB28" s="126">
        <f>Nov!BJ29</f>
        <v>0</v>
      </c>
      <c r="AC28" s="126">
        <f>Nov!BL29+Nov!BN29</f>
        <v>0</v>
      </c>
      <c r="AD28" s="126">
        <f>Nov!DR29</f>
        <v>0</v>
      </c>
      <c r="AE28" s="127">
        <f>Nov!DT29-Nov!DR69-Nov!DT69</f>
        <v>0</v>
      </c>
      <c r="AF28" s="127">
        <f>Nov!DR69+Nov!DT69</f>
        <v>0</v>
      </c>
      <c r="AG28" s="127">
        <f>Nov!HJ29-AE28</f>
        <v>0</v>
      </c>
      <c r="AH28" s="127">
        <f>Nov!DW29</f>
        <v>0</v>
      </c>
      <c r="AI28" s="127">
        <f>Nov!DZ29</f>
        <v>0</v>
      </c>
      <c r="AJ28" s="127">
        <f>Nov!EC29</f>
        <v>0</v>
      </c>
      <c r="AK28" s="127">
        <f t="shared" si="21"/>
        <v>0</v>
      </c>
      <c r="AL28" s="127">
        <f>Nov!EG29</f>
        <v>0</v>
      </c>
      <c r="AM28" s="127">
        <f>Nov!EJ29</f>
        <v>0</v>
      </c>
      <c r="AN28" s="127">
        <f>Nov!EM29</f>
        <v>0</v>
      </c>
      <c r="AO28" s="127">
        <f t="shared" si="8"/>
        <v>0</v>
      </c>
      <c r="AP28" s="127">
        <f>Nov!FX29</f>
        <v>0</v>
      </c>
      <c r="AQ28" s="127">
        <f>Nov!GA29</f>
        <v>0</v>
      </c>
      <c r="AR28" s="127">
        <f>Nov!GG29</f>
        <v>0</v>
      </c>
      <c r="AS28" s="127">
        <f t="shared" si="9"/>
        <v>0</v>
      </c>
      <c r="AT28" s="127">
        <f>Nov!EQ29</f>
        <v>0</v>
      </c>
      <c r="AU28" s="127">
        <f>Nov!ET29</f>
        <v>0</v>
      </c>
      <c r="AV28" s="127">
        <f>Nov!EW29</f>
        <v>0</v>
      </c>
      <c r="AW28" s="127">
        <f>Nov!FL66</f>
        <v>0</v>
      </c>
      <c r="AX28" s="127">
        <f>Nov!GJ29</f>
        <v>0</v>
      </c>
      <c r="AY28" s="127">
        <f t="shared" si="10"/>
        <v>0</v>
      </c>
      <c r="AZ28" s="127">
        <f>Nov!FG29</f>
        <v>0</v>
      </c>
      <c r="BA28" s="127">
        <f>Nov!FJ29</f>
        <v>0</v>
      </c>
      <c r="BB28" s="127">
        <f>Nov!FM67</f>
        <v>0</v>
      </c>
      <c r="BC28" s="127">
        <f>Nov!GM29</f>
        <v>0</v>
      </c>
      <c r="BD28" s="127">
        <f t="shared" si="11"/>
        <v>0</v>
      </c>
      <c r="BE28" s="127">
        <f>Nov!GP29</f>
        <v>0</v>
      </c>
      <c r="BF28" s="127">
        <f>Nov!GS29</f>
        <v>0</v>
      </c>
      <c r="BG28" s="127">
        <f t="shared" si="12"/>
        <v>0</v>
      </c>
      <c r="BH28" s="127">
        <f t="shared" si="6"/>
        <v>0</v>
      </c>
      <c r="BI28" s="127"/>
      <c r="BJ28" s="127"/>
      <c r="BK28" s="127"/>
      <c r="BL28" s="128">
        <f t="shared" si="13"/>
        <v>0</v>
      </c>
      <c r="BM28" s="128">
        <f t="shared" si="25"/>
        <v>0</v>
      </c>
      <c r="BN28" s="128"/>
      <c r="BO28" s="128">
        <f t="shared" si="16"/>
        <v>0</v>
      </c>
      <c r="BP28" s="128"/>
      <c r="BQ28" s="358">
        <f t="shared" si="22"/>
        <v>0</v>
      </c>
      <c r="BR28" s="128"/>
      <c r="BS28" s="128">
        <f t="shared" si="18"/>
        <v>0</v>
      </c>
      <c r="BT28" s="42">
        <f>Nov!D67</f>
        <v>0</v>
      </c>
      <c r="BU28" s="42">
        <f>Nov!G68</f>
        <v>0</v>
      </c>
      <c r="BV28" s="394"/>
      <c r="BX28" s="42">
        <f>Nov!HJ29</f>
        <v>0</v>
      </c>
      <c r="BY28" s="42">
        <f>Nov!HM29</f>
        <v>0</v>
      </c>
      <c r="BZ28" s="42">
        <f>Nov!HP29</f>
        <v>0</v>
      </c>
      <c r="CA28" s="42">
        <f>Nov!HS29</f>
        <v>0</v>
      </c>
      <c r="CB28" s="42">
        <f>Nov!HV29</f>
        <v>0</v>
      </c>
      <c r="CC28" s="42">
        <f>Nov!HY29</f>
        <v>0</v>
      </c>
      <c r="CD28" s="42">
        <f>Nov!IB29</f>
        <v>0</v>
      </c>
      <c r="CE28" s="42">
        <f>Nov!IE29</f>
        <v>0</v>
      </c>
      <c r="CF28" s="42">
        <f>Nov!IH29</f>
        <v>0</v>
      </c>
    </row>
    <row r="29" spans="1:84" x14ac:dyDescent="0.25">
      <c r="A29" s="26">
        <f t="shared" si="15"/>
        <v>23</v>
      </c>
      <c r="B29" s="42">
        <f>Nov!G30</f>
        <v>0</v>
      </c>
      <c r="C29" s="42">
        <f>Nov!N30</f>
        <v>0</v>
      </c>
      <c r="D29" s="42">
        <f>Nov!T30</f>
        <v>0</v>
      </c>
      <c r="E29" s="42">
        <f>Oct!V30</f>
        <v>0</v>
      </c>
      <c r="F29" s="42">
        <f>Nov!AB30</f>
        <v>0</v>
      </c>
      <c r="G29" s="42">
        <f>Nov!X30</f>
        <v>0</v>
      </c>
      <c r="H29" s="42">
        <f>Nov!AE30</f>
        <v>0</v>
      </c>
      <c r="I29" s="42">
        <f>Nov!AI30</f>
        <v>0</v>
      </c>
      <c r="J29" s="42">
        <f>Nov!AN30</f>
        <v>0</v>
      </c>
      <c r="K29" s="42">
        <f>Nov!AR30</f>
        <v>0</v>
      </c>
      <c r="L29" s="42">
        <f>Nov!AZ30</f>
        <v>0</v>
      </c>
      <c r="M29" s="42">
        <f>Nov!BC30</f>
        <v>0</v>
      </c>
      <c r="N29" s="125">
        <f t="shared" si="27"/>
        <v>0</v>
      </c>
      <c r="O29" s="125">
        <f>Nov!CA30</f>
        <v>0</v>
      </c>
      <c r="P29" s="125">
        <f>Nov!CD30</f>
        <v>0</v>
      </c>
      <c r="Q29" s="125">
        <f>Nov!CF30</f>
        <v>0</v>
      </c>
      <c r="R29" s="125">
        <f>Nov!CH30</f>
        <v>0</v>
      </c>
      <c r="S29" s="125">
        <f>Nov!CK30</f>
        <v>0</v>
      </c>
      <c r="T29" s="125">
        <f>Nov!CO30</f>
        <v>0</v>
      </c>
      <c r="U29" s="125">
        <f>Nov!CS30</f>
        <v>0</v>
      </c>
      <c r="V29" s="126">
        <f t="shared" si="19"/>
        <v>0</v>
      </c>
      <c r="W29" s="126">
        <f>Nov!CW30</f>
        <v>0</v>
      </c>
      <c r="X29" s="126">
        <f>Nov!DA30</f>
        <v>0</v>
      </c>
      <c r="Y29" s="126">
        <f t="shared" si="26"/>
        <v>0</v>
      </c>
      <c r="Z29" s="42">
        <f>Nov!BR30</f>
        <v>0</v>
      </c>
      <c r="AA29" s="126">
        <f>Nov!BG30</f>
        <v>0</v>
      </c>
      <c r="AB29" s="126">
        <f>Nov!BJ30</f>
        <v>0</v>
      </c>
      <c r="AC29" s="126">
        <f>Nov!BL30+Nov!BN30</f>
        <v>0</v>
      </c>
      <c r="AD29" s="126">
        <f>Nov!DR30</f>
        <v>0</v>
      </c>
      <c r="AE29" s="127">
        <f>Nov!DT30-Nov!DR70-Nov!DT70</f>
        <v>0</v>
      </c>
      <c r="AF29" s="127">
        <f>Nov!DR70+Nov!DT70</f>
        <v>0</v>
      </c>
      <c r="AG29" s="127">
        <f>Nov!HJ30-AE29</f>
        <v>0</v>
      </c>
      <c r="AH29" s="127">
        <f>Nov!DW30</f>
        <v>0</v>
      </c>
      <c r="AI29" s="127">
        <f>Nov!DZ30</f>
        <v>0</v>
      </c>
      <c r="AJ29" s="127">
        <f>Nov!EC30</f>
        <v>0</v>
      </c>
      <c r="AK29" s="127">
        <f t="shared" si="21"/>
        <v>0</v>
      </c>
      <c r="AL29" s="127">
        <f>Nov!EG30</f>
        <v>0</v>
      </c>
      <c r="AM29" s="127">
        <f>Nov!EJ30</f>
        <v>0</v>
      </c>
      <c r="AN29" s="127">
        <f>Nov!EM30</f>
        <v>0</v>
      </c>
      <c r="AO29" s="127">
        <f t="shared" ref="AO29:AO36" si="28">SUM(AL29:AN29)</f>
        <v>0</v>
      </c>
      <c r="AP29" s="127">
        <f>Nov!FX30</f>
        <v>0</v>
      </c>
      <c r="AQ29" s="127">
        <f>Nov!GA30</f>
        <v>0</v>
      </c>
      <c r="AR29" s="127">
        <f>Nov!GG30</f>
        <v>0</v>
      </c>
      <c r="AS29" s="127">
        <f t="shared" si="9"/>
        <v>0</v>
      </c>
      <c r="AT29" s="127">
        <f>Nov!EQ30</f>
        <v>0</v>
      </c>
      <c r="AU29" s="127">
        <f>Nov!ET30</f>
        <v>0</v>
      </c>
      <c r="AV29" s="127">
        <f>Nov!EW30</f>
        <v>0</v>
      </c>
      <c r="AW29" s="127">
        <f>Nov!FL67</f>
        <v>0</v>
      </c>
      <c r="AX29" s="127">
        <f>Nov!GJ30</f>
        <v>0</v>
      </c>
      <c r="AY29" s="127">
        <f t="shared" si="10"/>
        <v>0</v>
      </c>
      <c r="AZ29" s="127">
        <f>Nov!FG30</f>
        <v>0</v>
      </c>
      <c r="BA29" s="127">
        <f>Nov!FJ30</f>
        <v>0</v>
      </c>
      <c r="BB29" s="127">
        <f>Nov!FM68</f>
        <v>0</v>
      </c>
      <c r="BC29" s="127">
        <f>Nov!GM30</f>
        <v>0</v>
      </c>
      <c r="BD29" s="127">
        <f t="shared" si="11"/>
        <v>0</v>
      </c>
      <c r="BE29" s="127">
        <f>Nov!GP30</f>
        <v>0</v>
      </c>
      <c r="BF29" s="127">
        <f>Nov!GS30</f>
        <v>0</v>
      </c>
      <c r="BG29" s="127">
        <f t="shared" si="12"/>
        <v>0</v>
      </c>
      <c r="BH29" s="127">
        <f t="shared" si="6"/>
        <v>0</v>
      </c>
      <c r="BI29" s="127"/>
      <c r="BJ29" s="127"/>
      <c r="BK29" s="127"/>
      <c r="BL29" s="128">
        <f t="shared" si="13"/>
        <v>0</v>
      </c>
      <c r="BM29" s="128">
        <f t="shared" si="25"/>
        <v>0</v>
      </c>
      <c r="BN29" s="128"/>
      <c r="BO29" s="128">
        <f t="shared" si="16"/>
        <v>0</v>
      </c>
      <c r="BP29" s="128"/>
      <c r="BQ29" s="358">
        <f t="shared" si="22"/>
        <v>0</v>
      </c>
      <c r="BR29" s="128"/>
      <c r="BS29" s="128">
        <f t="shared" si="18"/>
        <v>0</v>
      </c>
      <c r="BT29" s="42">
        <f>Nov!D68</f>
        <v>0</v>
      </c>
      <c r="BU29" s="42">
        <f>Nov!G69</f>
        <v>0</v>
      </c>
      <c r="BV29" s="394"/>
      <c r="BX29" s="42">
        <f>Nov!HJ30</f>
        <v>0</v>
      </c>
      <c r="BY29" s="42">
        <f>Nov!HM30</f>
        <v>0</v>
      </c>
      <c r="BZ29" s="42">
        <f>Nov!HP30</f>
        <v>0</v>
      </c>
      <c r="CA29" s="42">
        <f>Nov!HS30</f>
        <v>0</v>
      </c>
      <c r="CB29" s="42">
        <f>Nov!HV30</f>
        <v>0</v>
      </c>
      <c r="CC29" s="42">
        <f>Nov!HY30</f>
        <v>0</v>
      </c>
      <c r="CD29" s="42">
        <f>Nov!IB30</f>
        <v>0</v>
      </c>
      <c r="CE29" s="42">
        <f>Nov!IE30</f>
        <v>0</v>
      </c>
      <c r="CF29" s="42">
        <f>Nov!IH30</f>
        <v>0</v>
      </c>
    </row>
    <row r="30" spans="1:84" x14ac:dyDescent="0.25">
      <c r="A30" s="26">
        <f t="shared" si="15"/>
        <v>24</v>
      </c>
      <c r="B30" s="42">
        <f>Nov!G31</f>
        <v>0</v>
      </c>
      <c r="C30" s="42">
        <f>Nov!N31</f>
        <v>0</v>
      </c>
      <c r="D30" s="42">
        <f>Nov!T31</f>
        <v>0</v>
      </c>
      <c r="E30" s="42">
        <f>Oct!V31</f>
        <v>0</v>
      </c>
      <c r="F30" s="42">
        <f>Nov!AB31</f>
        <v>0</v>
      </c>
      <c r="G30" s="42">
        <f>Nov!X31</f>
        <v>0</v>
      </c>
      <c r="H30" s="42">
        <f>Nov!AE31</f>
        <v>0</v>
      </c>
      <c r="I30" s="42">
        <f>Nov!AI31</f>
        <v>0</v>
      </c>
      <c r="J30" s="42">
        <f>Nov!AN31</f>
        <v>0</v>
      </c>
      <c r="K30" s="42">
        <f>Nov!AR31</f>
        <v>0</v>
      </c>
      <c r="L30" s="42">
        <f>Nov!AZ31</f>
        <v>0</v>
      </c>
      <c r="M30" s="42">
        <f>Nov!BC31</f>
        <v>0</v>
      </c>
      <c r="N30" s="125">
        <f t="shared" si="27"/>
        <v>0</v>
      </c>
      <c r="O30" s="125">
        <f>Nov!CA31</f>
        <v>0</v>
      </c>
      <c r="P30" s="125">
        <f>Nov!CD31</f>
        <v>0</v>
      </c>
      <c r="Q30" s="125">
        <f>Nov!CF31</f>
        <v>0</v>
      </c>
      <c r="R30" s="125">
        <f>Nov!CH31</f>
        <v>0</v>
      </c>
      <c r="S30" s="125">
        <f>Nov!CK31</f>
        <v>0</v>
      </c>
      <c r="T30" s="125">
        <f>Nov!CO31</f>
        <v>0</v>
      </c>
      <c r="U30" s="125">
        <f>Nov!CS31</f>
        <v>0</v>
      </c>
      <c r="V30" s="126">
        <f t="shared" si="19"/>
        <v>0</v>
      </c>
      <c r="W30" s="126">
        <f>Nov!CW31</f>
        <v>0</v>
      </c>
      <c r="X30" s="126">
        <f>Nov!DA31</f>
        <v>0</v>
      </c>
      <c r="Y30" s="126">
        <f t="shared" si="26"/>
        <v>0</v>
      </c>
      <c r="Z30" s="42">
        <f>Nov!BR31</f>
        <v>0</v>
      </c>
      <c r="AA30" s="126">
        <f>Nov!BG31</f>
        <v>0</v>
      </c>
      <c r="AB30" s="126">
        <f>Nov!BJ31</f>
        <v>0</v>
      </c>
      <c r="AC30" s="126">
        <f>Nov!BL31+Nov!BN31</f>
        <v>0</v>
      </c>
      <c r="AD30" s="126">
        <f>Nov!DR31</f>
        <v>0</v>
      </c>
      <c r="AE30" s="127">
        <f>Nov!DT31-Nov!DR71-Nov!DT71</f>
        <v>0</v>
      </c>
      <c r="AF30" s="127">
        <f>Nov!DR71+Nov!DT71</f>
        <v>0</v>
      </c>
      <c r="AG30" s="127">
        <f>Nov!HJ31-AE30</f>
        <v>0</v>
      </c>
      <c r="AH30" s="127">
        <f>Nov!DW31</f>
        <v>0</v>
      </c>
      <c r="AI30" s="127">
        <f>Nov!DZ31</f>
        <v>0</v>
      </c>
      <c r="AJ30" s="127">
        <f>Nov!EC31</f>
        <v>0</v>
      </c>
      <c r="AK30" s="127">
        <f t="shared" si="21"/>
        <v>0</v>
      </c>
      <c r="AL30" s="127">
        <f>Nov!EG31</f>
        <v>0</v>
      </c>
      <c r="AM30" s="127">
        <f>Nov!EJ31</f>
        <v>0</v>
      </c>
      <c r="AN30" s="127">
        <f>Nov!EM31</f>
        <v>0</v>
      </c>
      <c r="AO30" s="127">
        <f t="shared" si="28"/>
        <v>0</v>
      </c>
      <c r="AP30" s="127">
        <f>Nov!FX31</f>
        <v>0</v>
      </c>
      <c r="AQ30" s="127">
        <f>Nov!GA31</f>
        <v>0</v>
      </c>
      <c r="AR30" s="127">
        <f>Nov!GG31</f>
        <v>0</v>
      </c>
      <c r="AS30" s="127">
        <f t="shared" si="9"/>
        <v>0</v>
      </c>
      <c r="AT30" s="127">
        <f>Nov!EQ31</f>
        <v>0</v>
      </c>
      <c r="AU30" s="127">
        <f>Nov!ET31</f>
        <v>0</v>
      </c>
      <c r="AV30" s="127">
        <f>Nov!EW31</f>
        <v>0</v>
      </c>
      <c r="AW30" s="127">
        <f>Nov!FL68</f>
        <v>0</v>
      </c>
      <c r="AX30" s="127">
        <f>Nov!GJ31</f>
        <v>0</v>
      </c>
      <c r="AY30" s="127">
        <f t="shared" si="10"/>
        <v>0</v>
      </c>
      <c r="AZ30" s="127">
        <f>Nov!FG31</f>
        <v>0</v>
      </c>
      <c r="BA30" s="127">
        <f>Nov!FJ31</f>
        <v>0</v>
      </c>
      <c r="BB30" s="127">
        <f>Nov!FM69</f>
        <v>0</v>
      </c>
      <c r="BC30" s="127">
        <f>Nov!GM31</f>
        <v>0</v>
      </c>
      <c r="BD30" s="127">
        <f t="shared" si="11"/>
        <v>0</v>
      </c>
      <c r="BE30" s="127">
        <f>Nov!GP31</f>
        <v>0</v>
      </c>
      <c r="BF30" s="127">
        <f>Nov!GS31</f>
        <v>0</v>
      </c>
      <c r="BG30" s="127">
        <f t="shared" si="12"/>
        <v>0</v>
      </c>
      <c r="BH30" s="127">
        <f t="shared" si="6"/>
        <v>0</v>
      </c>
      <c r="BI30" s="127"/>
      <c r="BJ30" s="127"/>
      <c r="BK30" s="127"/>
      <c r="BL30" s="128">
        <f t="shared" si="13"/>
        <v>0</v>
      </c>
      <c r="BM30" s="128">
        <f t="shared" si="25"/>
        <v>0</v>
      </c>
      <c r="BN30" s="128"/>
      <c r="BO30" s="128">
        <f t="shared" si="16"/>
        <v>0</v>
      </c>
      <c r="BP30" s="128"/>
      <c r="BQ30" s="358">
        <f t="shared" si="22"/>
        <v>0</v>
      </c>
      <c r="BR30" s="128"/>
      <c r="BS30" s="128">
        <f t="shared" si="18"/>
        <v>0</v>
      </c>
      <c r="BT30" s="42">
        <f>Nov!D69</f>
        <v>0</v>
      </c>
      <c r="BU30" s="42">
        <f>Nov!G70</f>
        <v>0</v>
      </c>
      <c r="BV30" s="394"/>
      <c r="BX30" s="42">
        <f>Nov!HJ31</f>
        <v>0</v>
      </c>
      <c r="BY30" s="42">
        <f>Nov!HM31</f>
        <v>0</v>
      </c>
      <c r="BZ30" s="42">
        <f>Nov!HP31</f>
        <v>0</v>
      </c>
      <c r="CA30" s="42">
        <f>Nov!HS31</f>
        <v>0</v>
      </c>
      <c r="CB30" s="42">
        <f>Nov!HV31</f>
        <v>0</v>
      </c>
      <c r="CC30" s="42">
        <f>Nov!HY31</f>
        <v>0</v>
      </c>
      <c r="CD30" s="42">
        <f>Nov!IB31</f>
        <v>0</v>
      </c>
      <c r="CE30" s="42">
        <f>Nov!IE31</f>
        <v>0</v>
      </c>
      <c r="CF30" s="42">
        <f>Nov!IH31</f>
        <v>0</v>
      </c>
    </row>
    <row r="31" spans="1:84" x14ac:dyDescent="0.25">
      <c r="A31" s="26">
        <f t="shared" si="15"/>
        <v>25</v>
      </c>
      <c r="B31" s="42">
        <f>Nov!G32</f>
        <v>0</v>
      </c>
      <c r="C31" s="42">
        <f>Nov!N32</f>
        <v>0</v>
      </c>
      <c r="D31" s="42">
        <f>Nov!T32</f>
        <v>0</v>
      </c>
      <c r="E31" s="42">
        <f>Oct!V32</f>
        <v>0</v>
      </c>
      <c r="F31" s="42">
        <f>Nov!AB32</f>
        <v>0</v>
      </c>
      <c r="G31" s="42">
        <f>Nov!X32</f>
        <v>0</v>
      </c>
      <c r="H31" s="42">
        <f>Nov!AE32</f>
        <v>0</v>
      </c>
      <c r="I31" s="42">
        <f>Nov!AI32</f>
        <v>0</v>
      </c>
      <c r="J31" s="42">
        <f>Nov!AN32</f>
        <v>0</v>
      </c>
      <c r="K31" s="42">
        <f>Nov!AR32</f>
        <v>0</v>
      </c>
      <c r="L31" s="42">
        <f>Nov!AZ32</f>
        <v>0</v>
      </c>
      <c r="M31" s="42">
        <f>Nov!BC32</f>
        <v>0</v>
      </c>
      <c r="N31" s="125">
        <f t="shared" si="27"/>
        <v>0</v>
      </c>
      <c r="O31" s="125">
        <f>Nov!CA32</f>
        <v>0</v>
      </c>
      <c r="P31" s="125">
        <f>Nov!CD32</f>
        <v>0</v>
      </c>
      <c r="Q31" s="125">
        <f>Nov!CF32</f>
        <v>0</v>
      </c>
      <c r="R31" s="125">
        <f>Nov!CH32</f>
        <v>0</v>
      </c>
      <c r="S31" s="125">
        <f>Nov!CK32</f>
        <v>0</v>
      </c>
      <c r="T31" s="125">
        <f>Nov!CO32</f>
        <v>0</v>
      </c>
      <c r="U31" s="125">
        <f>Nov!CS32</f>
        <v>0</v>
      </c>
      <c r="V31" s="126">
        <f t="shared" si="19"/>
        <v>0</v>
      </c>
      <c r="W31" s="126">
        <f>Nov!CW32</f>
        <v>0</v>
      </c>
      <c r="X31" s="126">
        <f>Nov!DA32</f>
        <v>0</v>
      </c>
      <c r="Y31" s="126">
        <f t="shared" si="26"/>
        <v>0</v>
      </c>
      <c r="Z31" s="42">
        <f>Nov!BR32</f>
        <v>0</v>
      </c>
      <c r="AA31" s="126">
        <f>Nov!BG32</f>
        <v>0</v>
      </c>
      <c r="AB31" s="126">
        <f>Nov!BJ32</f>
        <v>0</v>
      </c>
      <c r="AC31" s="126">
        <f>Nov!BL32+Nov!BN32</f>
        <v>0</v>
      </c>
      <c r="AD31" s="126">
        <f>Nov!DR32</f>
        <v>0</v>
      </c>
      <c r="AE31" s="127">
        <f>Nov!DT32-Nov!DR72-Nov!DT72</f>
        <v>0</v>
      </c>
      <c r="AF31" s="127">
        <f>Nov!DR72+Nov!DT72</f>
        <v>0</v>
      </c>
      <c r="AG31" s="127">
        <f>Nov!HJ32-AE31</f>
        <v>0</v>
      </c>
      <c r="AH31" s="127">
        <f>Nov!DW32</f>
        <v>0</v>
      </c>
      <c r="AI31" s="127">
        <f>Nov!DZ32</f>
        <v>0</v>
      </c>
      <c r="AJ31" s="127">
        <f>Nov!EC32</f>
        <v>0</v>
      </c>
      <c r="AK31" s="127">
        <f t="shared" si="21"/>
        <v>0</v>
      </c>
      <c r="AL31" s="127">
        <f>Nov!EG32</f>
        <v>0</v>
      </c>
      <c r="AM31" s="127">
        <f>Nov!EJ32</f>
        <v>0</v>
      </c>
      <c r="AN31" s="127">
        <f>Nov!EM32</f>
        <v>0</v>
      </c>
      <c r="AO31" s="127">
        <f t="shared" si="28"/>
        <v>0</v>
      </c>
      <c r="AP31" s="127">
        <f>Nov!FX32</f>
        <v>0</v>
      </c>
      <c r="AQ31" s="127">
        <f>Nov!GA32</f>
        <v>0</v>
      </c>
      <c r="AR31" s="127">
        <f>Nov!GG32</f>
        <v>0</v>
      </c>
      <c r="AS31" s="127">
        <f t="shared" si="9"/>
        <v>0</v>
      </c>
      <c r="AT31" s="127">
        <f>Nov!EQ32</f>
        <v>0</v>
      </c>
      <c r="AU31" s="127">
        <f>Nov!ET32</f>
        <v>0</v>
      </c>
      <c r="AV31" s="127">
        <f>Nov!EW32</f>
        <v>0</v>
      </c>
      <c r="AW31" s="127">
        <f>Nov!FL69</f>
        <v>0</v>
      </c>
      <c r="AX31" s="127">
        <f>Nov!GJ32</f>
        <v>0</v>
      </c>
      <c r="AY31" s="127">
        <f t="shared" si="10"/>
        <v>0</v>
      </c>
      <c r="AZ31" s="127">
        <f>Nov!FG32</f>
        <v>0</v>
      </c>
      <c r="BA31" s="127">
        <f>Nov!FJ32</f>
        <v>0</v>
      </c>
      <c r="BB31" s="127">
        <f>Nov!FM70</f>
        <v>0</v>
      </c>
      <c r="BC31" s="127">
        <f>Nov!GM32</f>
        <v>0</v>
      </c>
      <c r="BD31" s="127">
        <f t="shared" si="11"/>
        <v>0</v>
      </c>
      <c r="BE31" s="127">
        <f>Nov!GP32</f>
        <v>0</v>
      </c>
      <c r="BF31" s="127">
        <f>Nov!GS32</f>
        <v>0</v>
      </c>
      <c r="BG31" s="127">
        <f t="shared" si="12"/>
        <v>0</v>
      </c>
      <c r="BH31" s="127">
        <f t="shared" si="6"/>
        <v>0</v>
      </c>
      <c r="BI31" s="127"/>
      <c r="BJ31" s="127"/>
      <c r="BK31" s="127"/>
      <c r="BL31" s="128">
        <f t="shared" si="13"/>
        <v>0</v>
      </c>
      <c r="BM31" s="128">
        <f t="shared" si="25"/>
        <v>0</v>
      </c>
      <c r="BN31" s="128"/>
      <c r="BO31" s="128">
        <f t="shared" si="16"/>
        <v>0</v>
      </c>
      <c r="BP31" s="128"/>
      <c r="BQ31" s="358">
        <f t="shared" si="22"/>
        <v>0</v>
      </c>
      <c r="BR31" s="128"/>
      <c r="BS31" s="128">
        <f t="shared" si="18"/>
        <v>0</v>
      </c>
      <c r="BT31" s="42">
        <f>Nov!D70</f>
        <v>0</v>
      </c>
      <c r="BU31" s="42">
        <f>Nov!G71</f>
        <v>0</v>
      </c>
      <c r="BV31" s="394"/>
      <c r="BX31" s="42">
        <f>Nov!HJ32</f>
        <v>0</v>
      </c>
      <c r="BY31" s="42">
        <f>Nov!HM32</f>
        <v>0</v>
      </c>
      <c r="BZ31" s="42">
        <f>Nov!HP32</f>
        <v>0</v>
      </c>
      <c r="CA31" s="42">
        <f>Nov!HS32</f>
        <v>0</v>
      </c>
      <c r="CB31" s="42">
        <f>Nov!HV32</f>
        <v>0</v>
      </c>
      <c r="CC31" s="42">
        <f>Nov!HY32</f>
        <v>0</v>
      </c>
      <c r="CD31" s="42">
        <f>Nov!IB32</f>
        <v>0</v>
      </c>
      <c r="CE31" s="42">
        <f>Nov!IE32</f>
        <v>0</v>
      </c>
      <c r="CF31" s="42">
        <f>Nov!IH32</f>
        <v>0</v>
      </c>
    </row>
    <row r="32" spans="1:84" x14ac:dyDescent="0.25">
      <c r="A32" s="26">
        <f t="shared" si="15"/>
        <v>26</v>
      </c>
      <c r="B32" s="42">
        <f>Nov!G33</f>
        <v>0</v>
      </c>
      <c r="C32" s="42">
        <f>Nov!N33</f>
        <v>0</v>
      </c>
      <c r="D32" s="42">
        <f>Nov!T33</f>
        <v>0</v>
      </c>
      <c r="E32" s="42">
        <f>Oct!V33</f>
        <v>0</v>
      </c>
      <c r="F32" s="42">
        <f>Nov!AB33</f>
        <v>0</v>
      </c>
      <c r="G32" s="42">
        <f>Nov!X33</f>
        <v>0</v>
      </c>
      <c r="H32" s="42">
        <f>Nov!AE33</f>
        <v>0</v>
      </c>
      <c r="I32" s="42">
        <f>Nov!AI33</f>
        <v>0</v>
      </c>
      <c r="J32" s="42">
        <f>Nov!AN33</f>
        <v>0</v>
      </c>
      <c r="K32" s="42">
        <f>Nov!AR33</f>
        <v>0</v>
      </c>
      <c r="L32" s="42">
        <f>Nov!AZ33</f>
        <v>0</v>
      </c>
      <c r="M32" s="42">
        <f>Nov!BC33</f>
        <v>0</v>
      </c>
      <c r="N32" s="125">
        <f t="shared" si="27"/>
        <v>0</v>
      </c>
      <c r="O32" s="125">
        <f>Nov!CA33</f>
        <v>0</v>
      </c>
      <c r="P32" s="125">
        <f>Nov!CD33</f>
        <v>0</v>
      </c>
      <c r="Q32" s="125">
        <f>Nov!CF33</f>
        <v>0</v>
      </c>
      <c r="R32" s="125">
        <f>Nov!CH33</f>
        <v>0</v>
      </c>
      <c r="S32" s="125">
        <f>Nov!CK33</f>
        <v>0</v>
      </c>
      <c r="T32" s="125">
        <f>Nov!CO33</f>
        <v>0</v>
      </c>
      <c r="U32" s="125">
        <f>Nov!CS33</f>
        <v>0</v>
      </c>
      <c r="V32" s="126">
        <f t="shared" si="19"/>
        <v>0</v>
      </c>
      <c r="W32" s="126">
        <f>Nov!CW33</f>
        <v>0</v>
      </c>
      <c r="X32" s="126">
        <f>Nov!DA33</f>
        <v>0</v>
      </c>
      <c r="Y32" s="126">
        <f t="shared" si="26"/>
        <v>0</v>
      </c>
      <c r="Z32" s="42">
        <f>Nov!BR33</f>
        <v>0</v>
      </c>
      <c r="AA32" s="126">
        <f>Nov!BG33</f>
        <v>0</v>
      </c>
      <c r="AB32" s="126">
        <f>Nov!BJ33</f>
        <v>0</v>
      </c>
      <c r="AC32" s="126">
        <f>Nov!BL33+Nov!BN33</f>
        <v>0</v>
      </c>
      <c r="AD32" s="126">
        <f>Nov!DR33</f>
        <v>0</v>
      </c>
      <c r="AE32" s="127">
        <f>Nov!DT33-Nov!DR73-Nov!DT73</f>
        <v>0</v>
      </c>
      <c r="AF32" s="127">
        <f>Nov!DR73+Nov!DT73</f>
        <v>0</v>
      </c>
      <c r="AG32" s="127">
        <f>Nov!HJ33-AE32</f>
        <v>0</v>
      </c>
      <c r="AH32" s="127">
        <f>Nov!DW33</f>
        <v>0</v>
      </c>
      <c r="AI32" s="127">
        <f>Nov!DZ33</f>
        <v>0</v>
      </c>
      <c r="AJ32" s="127">
        <f>Nov!EC33</f>
        <v>0</v>
      </c>
      <c r="AK32" s="127">
        <f t="shared" si="21"/>
        <v>0</v>
      </c>
      <c r="AL32" s="127">
        <f>Nov!EG33</f>
        <v>0</v>
      </c>
      <c r="AM32" s="127">
        <f>Nov!EJ33</f>
        <v>0</v>
      </c>
      <c r="AN32" s="127">
        <f>Nov!EM33</f>
        <v>0</v>
      </c>
      <c r="AO32" s="127">
        <f t="shared" si="28"/>
        <v>0</v>
      </c>
      <c r="AP32" s="127">
        <f>Nov!FX33</f>
        <v>0</v>
      </c>
      <c r="AQ32" s="127">
        <f>Nov!GA33</f>
        <v>0</v>
      </c>
      <c r="AR32" s="127">
        <f>Nov!GG33</f>
        <v>0</v>
      </c>
      <c r="AS32" s="127">
        <f t="shared" si="9"/>
        <v>0</v>
      </c>
      <c r="AT32" s="127">
        <f>Nov!EQ33</f>
        <v>0</v>
      </c>
      <c r="AU32" s="127">
        <f>Nov!ET33</f>
        <v>0</v>
      </c>
      <c r="AV32" s="127">
        <f>Nov!EW33</f>
        <v>0</v>
      </c>
      <c r="AW32" s="127">
        <f>Nov!FL70</f>
        <v>0</v>
      </c>
      <c r="AX32" s="127">
        <f>Nov!GJ33</f>
        <v>0</v>
      </c>
      <c r="AY32" s="127">
        <f t="shared" si="10"/>
        <v>0</v>
      </c>
      <c r="AZ32" s="127">
        <f>Nov!FG33</f>
        <v>0</v>
      </c>
      <c r="BA32" s="127">
        <f>Nov!FJ33</f>
        <v>0</v>
      </c>
      <c r="BB32" s="127">
        <f>Nov!FM71</f>
        <v>0</v>
      </c>
      <c r="BC32" s="127">
        <f>Nov!GM33</f>
        <v>0</v>
      </c>
      <c r="BD32" s="127">
        <f t="shared" si="11"/>
        <v>0</v>
      </c>
      <c r="BE32" s="127">
        <f>Nov!GP33</f>
        <v>0</v>
      </c>
      <c r="BF32" s="127">
        <f>Nov!GS33</f>
        <v>0</v>
      </c>
      <c r="BG32" s="127">
        <f t="shared" si="12"/>
        <v>0</v>
      </c>
      <c r="BH32" s="127">
        <f t="shared" si="6"/>
        <v>0</v>
      </c>
      <c r="BI32" s="127"/>
      <c r="BJ32" s="127"/>
      <c r="BK32" s="127"/>
      <c r="BL32" s="128">
        <f t="shared" si="13"/>
        <v>0</v>
      </c>
      <c r="BM32" s="128">
        <f t="shared" si="25"/>
        <v>0</v>
      </c>
      <c r="BN32" s="128"/>
      <c r="BO32" s="128">
        <f t="shared" si="16"/>
        <v>0</v>
      </c>
      <c r="BP32" s="128"/>
      <c r="BQ32" s="358">
        <f t="shared" si="22"/>
        <v>0</v>
      </c>
      <c r="BR32" s="128"/>
      <c r="BS32" s="128">
        <f t="shared" si="18"/>
        <v>0</v>
      </c>
      <c r="BT32" s="42">
        <f>Nov!D71</f>
        <v>0</v>
      </c>
      <c r="BU32" s="42">
        <f>Nov!G72</f>
        <v>0</v>
      </c>
      <c r="BV32" s="394"/>
      <c r="BX32" s="42">
        <f>Nov!HJ33</f>
        <v>0</v>
      </c>
      <c r="BY32" s="42">
        <f>Nov!HM33</f>
        <v>0</v>
      </c>
      <c r="BZ32" s="42">
        <f>Nov!HP33</f>
        <v>0</v>
      </c>
      <c r="CA32" s="42">
        <f>Nov!HS33</f>
        <v>0</v>
      </c>
      <c r="CB32" s="42">
        <f>Nov!HV33</f>
        <v>0</v>
      </c>
      <c r="CC32" s="42">
        <f>Nov!HY33</f>
        <v>0</v>
      </c>
      <c r="CD32" s="42">
        <f>Nov!IB33</f>
        <v>0</v>
      </c>
      <c r="CE32" s="42">
        <f>Nov!IE33</f>
        <v>0</v>
      </c>
      <c r="CF32" s="42">
        <f>Nov!IH33</f>
        <v>0</v>
      </c>
    </row>
    <row r="33" spans="1:87" x14ac:dyDescent="0.25">
      <c r="A33" s="26">
        <f t="shared" si="15"/>
        <v>27</v>
      </c>
      <c r="B33" s="42">
        <f>Nov!G34</f>
        <v>0</v>
      </c>
      <c r="C33" s="42">
        <f>Nov!N34</f>
        <v>0</v>
      </c>
      <c r="D33" s="42">
        <f>Nov!T34</f>
        <v>0</v>
      </c>
      <c r="E33" s="42">
        <f>Oct!V34</f>
        <v>0</v>
      </c>
      <c r="F33" s="42">
        <f>Nov!AB34</f>
        <v>0</v>
      </c>
      <c r="G33" s="42">
        <f>Nov!X34</f>
        <v>0</v>
      </c>
      <c r="H33" s="42">
        <f>Nov!AE34</f>
        <v>0</v>
      </c>
      <c r="I33" s="42">
        <f>Nov!AI34</f>
        <v>0</v>
      </c>
      <c r="J33" s="42">
        <f>Nov!AN34</f>
        <v>0</v>
      </c>
      <c r="K33" s="42">
        <f>Nov!AR34</f>
        <v>0</v>
      </c>
      <c r="L33" s="42">
        <f>Nov!AZ34</f>
        <v>0</v>
      </c>
      <c r="M33" s="42">
        <f>Nov!BC34</f>
        <v>0</v>
      </c>
      <c r="N33" s="125">
        <f t="shared" si="27"/>
        <v>0</v>
      </c>
      <c r="O33" s="125">
        <f>Nov!CA34</f>
        <v>0</v>
      </c>
      <c r="P33" s="125">
        <f>Nov!CD34</f>
        <v>0</v>
      </c>
      <c r="Q33" s="125">
        <f>Nov!CF34</f>
        <v>0</v>
      </c>
      <c r="R33" s="125">
        <f>Nov!CH34</f>
        <v>0</v>
      </c>
      <c r="S33" s="125">
        <f>Nov!CK34</f>
        <v>0</v>
      </c>
      <c r="T33" s="125">
        <f>Nov!CO34</f>
        <v>0</v>
      </c>
      <c r="U33" s="125">
        <f>Nov!CS34</f>
        <v>0</v>
      </c>
      <c r="V33" s="126">
        <f t="shared" si="19"/>
        <v>0</v>
      </c>
      <c r="W33" s="126">
        <f>Nov!CW34</f>
        <v>0</v>
      </c>
      <c r="X33" s="126">
        <f>Nov!DA34</f>
        <v>0</v>
      </c>
      <c r="Y33" s="126">
        <f t="shared" si="26"/>
        <v>0</v>
      </c>
      <c r="Z33" s="42">
        <f>Nov!BR34</f>
        <v>0</v>
      </c>
      <c r="AA33" s="126">
        <f>Nov!BG34</f>
        <v>0</v>
      </c>
      <c r="AB33" s="126">
        <f>Nov!BJ34</f>
        <v>0</v>
      </c>
      <c r="AC33" s="126">
        <f>Nov!BL34+Nov!BN34</f>
        <v>0</v>
      </c>
      <c r="AD33" s="126">
        <f>Nov!DR34</f>
        <v>0</v>
      </c>
      <c r="AE33" s="127">
        <f>Nov!DT34-Nov!DR74-Nov!DT74</f>
        <v>0</v>
      </c>
      <c r="AF33" s="127">
        <f>Nov!DR74+Nov!DT74</f>
        <v>0</v>
      </c>
      <c r="AG33" s="127">
        <f>Nov!HJ34-AE33</f>
        <v>0</v>
      </c>
      <c r="AH33" s="127">
        <f>Nov!DW34</f>
        <v>0</v>
      </c>
      <c r="AI33" s="127">
        <f>Nov!DZ34</f>
        <v>0</v>
      </c>
      <c r="AJ33" s="127">
        <f>Nov!EC34</f>
        <v>0</v>
      </c>
      <c r="AK33" s="127">
        <f t="shared" si="21"/>
        <v>0</v>
      </c>
      <c r="AL33" s="127">
        <f>Nov!EG34</f>
        <v>0</v>
      </c>
      <c r="AM33" s="127">
        <f>Nov!EJ34</f>
        <v>0</v>
      </c>
      <c r="AN33" s="127">
        <f>Nov!EM34</f>
        <v>0</v>
      </c>
      <c r="AO33" s="127">
        <f t="shared" si="28"/>
        <v>0</v>
      </c>
      <c r="AP33" s="127">
        <f>Nov!FX34</f>
        <v>0</v>
      </c>
      <c r="AQ33" s="127">
        <f>Nov!GA34</f>
        <v>0</v>
      </c>
      <c r="AR33" s="127">
        <f>Nov!GG34</f>
        <v>0</v>
      </c>
      <c r="AS33" s="127">
        <f t="shared" si="9"/>
        <v>0</v>
      </c>
      <c r="AT33" s="127">
        <f>Nov!EQ34</f>
        <v>0</v>
      </c>
      <c r="AU33" s="127">
        <f>Nov!ET34</f>
        <v>0</v>
      </c>
      <c r="AV33" s="127">
        <f>Nov!EW34</f>
        <v>0</v>
      </c>
      <c r="AW33" s="127">
        <f>Nov!FL71</f>
        <v>0</v>
      </c>
      <c r="AX33" s="127">
        <f>Nov!GJ34</f>
        <v>0</v>
      </c>
      <c r="AY33" s="127">
        <f t="shared" si="10"/>
        <v>0</v>
      </c>
      <c r="AZ33" s="127">
        <f>Nov!FG34</f>
        <v>0</v>
      </c>
      <c r="BA33" s="127">
        <f>Nov!FJ34</f>
        <v>0</v>
      </c>
      <c r="BB33" s="127">
        <f>Nov!FM72</f>
        <v>0</v>
      </c>
      <c r="BC33" s="127">
        <f>Nov!GM34</f>
        <v>0</v>
      </c>
      <c r="BD33" s="127">
        <f t="shared" si="11"/>
        <v>0</v>
      </c>
      <c r="BE33" s="127">
        <f>Nov!GP34</f>
        <v>0</v>
      </c>
      <c r="BF33" s="127">
        <f>Nov!GS34</f>
        <v>0</v>
      </c>
      <c r="BG33" s="127">
        <f t="shared" si="12"/>
        <v>0</v>
      </c>
      <c r="BH33" s="127">
        <f t="shared" si="6"/>
        <v>0</v>
      </c>
      <c r="BI33" s="127"/>
      <c r="BJ33" s="127"/>
      <c r="BK33" s="127"/>
      <c r="BL33" s="128">
        <f t="shared" si="13"/>
        <v>0</v>
      </c>
      <c r="BM33" s="128">
        <f t="shared" si="25"/>
        <v>0</v>
      </c>
      <c r="BN33" s="128"/>
      <c r="BO33" s="128">
        <f t="shared" si="16"/>
        <v>0</v>
      </c>
      <c r="BP33" s="128"/>
      <c r="BQ33" s="358">
        <f t="shared" si="22"/>
        <v>0</v>
      </c>
      <c r="BR33" s="128"/>
      <c r="BS33" s="128">
        <f t="shared" si="18"/>
        <v>0</v>
      </c>
      <c r="BT33" s="42">
        <f>Nov!D72</f>
        <v>0</v>
      </c>
      <c r="BU33" s="42">
        <f>Nov!G73</f>
        <v>0</v>
      </c>
      <c r="BV33" s="394"/>
      <c r="BX33" s="42">
        <f>Nov!HJ34</f>
        <v>0</v>
      </c>
      <c r="BY33" s="42">
        <f>Nov!HM34</f>
        <v>0</v>
      </c>
      <c r="BZ33" s="42">
        <f>Nov!HP34</f>
        <v>0</v>
      </c>
      <c r="CA33" s="42">
        <f>Nov!HS34</f>
        <v>0</v>
      </c>
      <c r="CB33" s="42">
        <f>Nov!HV34</f>
        <v>0</v>
      </c>
      <c r="CC33" s="42">
        <f>Nov!HY34</f>
        <v>0</v>
      </c>
      <c r="CD33" s="42">
        <f>Nov!IB34</f>
        <v>0</v>
      </c>
      <c r="CE33" s="42">
        <f>Nov!IE34</f>
        <v>0</v>
      </c>
      <c r="CF33" s="42">
        <f>Nov!IH34</f>
        <v>0</v>
      </c>
    </row>
    <row r="34" spans="1:87" x14ac:dyDescent="0.25">
      <c r="A34" s="26">
        <f t="shared" si="15"/>
        <v>28</v>
      </c>
      <c r="B34" s="42">
        <f>Nov!G35</f>
        <v>0</v>
      </c>
      <c r="C34" s="42">
        <f>Nov!N35</f>
        <v>0</v>
      </c>
      <c r="D34" s="42">
        <f>Nov!T35</f>
        <v>0</v>
      </c>
      <c r="E34" s="42">
        <f>Oct!V35</f>
        <v>0</v>
      </c>
      <c r="F34" s="42">
        <f>Nov!AB35</f>
        <v>0</v>
      </c>
      <c r="G34" s="42">
        <f>Nov!X35</f>
        <v>0</v>
      </c>
      <c r="H34" s="42">
        <f>Nov!AE35</f>
        <v>0</v>
      </c>
      <c r="I34" s="42">
        <f>Nov!AI35</f>
        <v>0</v>
      </c>
      <c r="J34" s="42">
        <f>Nov!AN35</f>
        <v>0</v>
      </c>
      <c r="K34" s="42">
        <f>Nov!AR35</f>
        <v>0</v>
      </c>
      <c r="L34" s="42">
        <f>Nov!AZ35</f>
        <v>0</v>
      </c>
      <c r="M34" s="42">
        <f>Nov!BC35</f>
        <v>0</v>
      </c>
      <c r="N34" s="125">
        <f t="shared" si="27"/>
        <v>0</v>
      </c>
      <c r="O34" s="125">
        <f>Nov!CA35</f>
        <v>0</v>
      </c>
      <c r="P34" s="125">
        <f>Nov!CD35</f>
        <v>0</v>
      </c>
      <c r="Q34" s="125">
        <f>Nov!CF35</f>
        <v>0</v>
      </c>
      <c r="R34" s="125">
        <f>Nov!CH35</f>
        <v>0</v>
      </c>
      <c r="S34" s="125">
        <f>Nov!CK35</f>
        <v>0</v>
      </c>
      <c r="T34" s="125">
        <f>Nov!CO35</f>
        <v>0</v>
      </c>
      <c r="U34" s="125">
        <f>Nov!CS35</f>
        <v>0</v>
      </c>
      <c r="V34" s="126">
        <f t="shared" si="19"/>
        <v>0</v>
      </c>
      <c r="W34" s="126">
        <f>Nov!CW35</f>
        <v>0</v>
      </c>
      <c r="X34" s="126">
        <f>Nov!DA35</f>
        <v>0</v>
      </c>
      <c r="Y34" s="126">
        <f t="shared" si="26"/>
        <v>0</v>
      </c>
      <c r="Z34" s="42">
        <f>Nov!BR35</f>
        <v>0</v>
      </c>
      <c r="AA34" s="126">
        <f>Nov!BG35</f>
        <v>0</v>
      </c>
      <c r="AB34" s="126">
        <f>Nov!BJ35</f>
        <v>0</v>
      </c>
      <c r="AC34" s="126">
        <f>Nov!BL35+Nov!BN35</f>
        <v>0</v>
      </c>
      <c r="AD34" s="126">
        <f>Nov!DR35</f>
        <v>0</v>
      </c>
      <c r="AE34" s="127">
        <f>Nov!DT35-Nov!DR75-Nov!DT75</f>
        <v>0</v>
      </c>
      <c r="AF34" s="127">
        <f>Nov!DR75+Nov!DT75</f>
        <v>0</v>
      </c>
      <c r="AG34" s="127">
        <f>Nov!HJ35-AE34</f>
        <v>0</v>
      </c>
      <c r="AH34" s="127">
        <f>Nov!DW35</f>
        <v>0</v>
      </c>
      <c r="AI34" s="127">
        <f>Nov!DZ35</f>
        <v>0</v>
      </c>
      <c r="AJ34" s="127">
        <f>Nov!EC35</f>
        <v>0</v>
      </c>
      <c r="AK34" s="127">
        <f t="shared" si="21"/>
        <v>0</v>
      </c>
      <c r="AL34" s="127">
        <f>Nov!EG35</f>
        <v>0</v>
      </c>
      <c r="AM34" s="127">
        <f>Nov!EJ35</f>
        <v>0</v>
      </c>
      <c r="AN34" s="127">
        <f>Nov!EM35</f>
        <v>0</v>
      </c>
      <c r="AO34" s="127">
        <f t="shared" si="28"/>
        <v>0</v>
      </c>
      <c r="AP34" s="127">
        <f>Nov!FX35</f>
        <v>0</v>
      </c>
      <c r="AQ34" s="127">
        <f>Nov!GA35</f>
        <v>0</v>
      </c>
      <c r="AR34" s="127">
        <f>Nov!GG35</f>
        <v>0</v>
      </c>
      <c r="AS34" s="127">
        <f t="shared" si="9"/>
        <v>0</v>
      </c>
      <c r="AT34" s="127">
        <f>Nov!EQ35</f>
        <v>0</v>
      </c>
      <c r="AU34" s="127">
        <f>Nov!ET35</f>
        <v>0</v>
      </c>
      <c r="AV34" s="127">
        <f>Nov!EW35</f>
        <v>0</v>
      </c>
      <c r="AW34" s="127">
        <f>Nov!FL72</f>
        <v>0</v>
      </c>
      <c r="AX34" s="127">
        <f>Nov!GJ35</f>
        <v>0</v>
      </c>
      <c r="AY34" s="127">
        <f t="shared" si="10"/>
        <v>0</v>
      </c>
      <c r="AZ34" s="127">
        <f>Nov!FG35</f>
        <v>0</v>
      </c>
      <c r="BA34" s="127">
        <f>Nov!FJ35</f>
        <v>0</v>
      </c>
      <c r="BB34" s="127">
        <f>Nov!FM73</f>
        <v>0</v>
      </c>
      <c r="BC34" s="127">
        <f>Nov!GM35</f>
        <v>0</v>
      </c>
      <c r="BD34" s="127">
        <f t="shared" si="11"/>
        <v>0</v>
      </c>
      <c r="BE34" s="127">
        <f>Nov!GP35</f>
        <v>0</v>
      </c>
      <c r="BF34" s="127">
        <f>Nov!GS35</f>
        <v>0</v>
      </c>
      <c r="BG34" s="127">
        <f t="shared" si="12"/>
        <v>0</v>
      </c>
      <c r="BH34" s="127">
        <f t="shared" si="6"/>
        <v>0</v>
      </c>
      <c r="BI34" s="127"/>
      <c r="BJ34" s="127"/>
      <c r="BK34" s="127"/>
      <c r="BL34" s="128">
        <f t="shared" si="13"/>
        <v>0</v>
      </c>
      <c r="BM34" s="128">
        <f t="shared" si="25"/>
        <v>0</v>
      </c>
      <c r="BN34" s="128"/>
      <c r="BO34" s="128">
        <f t="shared" si="16"/>
        <v>0</v>
      </c>
      <c r="BP34" s="128"/>
      <c r="BQ34" s="358">
        <f t="shared" si="22"/>
        <v>0</v>
      </c>
      <c r="BR34" s="128"/>
      <c r="BS34" s="128">
        <f t="shared" si="18"/>
        <v>0</v>
      </c>
      <c r="BT34" s="42">
        <f>Nov!D73</f>
        <v>0</v>
      </c>
      <c r="BU34" s="42">
        <f>Nov!G74</f>
        <v>0</v>
      </c>
      <c r="BV34" s="394"/>
      <c r="BX34" s="42">
        <f>Nov!HJ35</f>
        <v>0</v>
      </c>
      <c r="BY34" s="42">
        <f>Nov!HM35</f>
        <v>0</v>
      </c>
      <c r="BZ34" s="42">
        <f>Nov!HP35</f>
        <v>0</v>
      </c>
      <c r="CA34" s="42">
        <f>Nov!HS35</f>
        <v>0</v>
      </c>
      <c r="CB34" s="42">
        <f>Nov!HV35</f>
        <v>0</v>
      </c>
      <c r="CC34" s="42">
        <f>Nov!HY35</f>
        <v>0</v>
      </c>
      <c r="CD34" s="42">
        <f>Nov!IB35</f>
        <v>0</v>
      </c>
      <c r="CE34" s="42">
        <f>Nov!IE35</f>
        <v>0</v>
      </c>
      <c r="CF34" s="42">
        <f>Nov!IH35</f>
        <v>0</v>
      </c>
    </row>
    <row r="35" spans="1:87" ht="15" customHeight="1" x14ac:dyDescent="0.25">
      <c r="A35" s="26">
        <f t="shared" si="15"/>
        <v>29</v>
      </c>
      <c r="B35" s="42">
        <f>Nov!G36</f>
        <v>0</v>
      </c>
      <c r="C35" s="42">
        <f>Nov!N36</f>
        <v>0</v>
      </c>
      <c r="D35" s="42">
        <f>Nov!T36</f>
        <v>0</v>
      </c>
      <c r="E35" s="42">
        <f>Oct!V36</f>
        <v>0</v>
      </c>
      <c r="F35" s="42">
        <f>Nov!AB36</f>
        <v>0</v>
      </c>
      <c r="G35" s="42">
        <f>Nov!X36</f>
        <v>0</v>
      </c>
      <c r="H35" s="42">
        <f>Nov!AE36</f>
        <v>0</v>
      </c>
      <c r="I35" s="42">
        <f>Nov!AI36</f>
        <v>0</v>
      </c>
      <c r="J35" s="42">
        <f>Nov!AN36</f>
        <v>0</v>
      </c>
      <c r="K35" s="42">
        <f>Nov!AR36</f>
        <v>0</v>
      </c>
      <c r="L35" s="42">
        <f>Nov!AZ36</f>
        <v>0</v>
      </c>
      <c r="M35" s="42">
        <f>Nov!BC36</f>
        <v>0</v>
      </c>
      <c r="N35" s="125">
        <f t="shared" si="27"/>
        <v>0</v>
      </c>
      <c r="O35" s="125">
        <f>Nov!CA36</f>
        <v>0</v>
      </c>
      <c r="P35" s="125">
        <f>Nov!CD36</f>
        <v>0</v>
      </c>
      <c r="Q35" s="125">
        <f>Nov!CF36</f>
        <v>0</v>
      </c>
      <c r="R35" s="125">
        <f>Nov!CH36</f>
        <v>0</v>
      </c>
      <c r="S35" s="125">
        <f>Nov!CK36</f>
        <v>0</v>
      </c>
      <c r="T35" s="125">
        <f>Nov!CO36</f>
        <v>0</v>
      </c>
      <c r="U35" s="125">
        <f>Nov!CS36</f>
        <v>0</v>
      </c>
      <c r="V35" s="126">
        <f t="shared" si="19"/>
        <v>0</v>
      </c>
      <c r="W35" s="126">
        <f>Nov!CW36</f>
        <v>0</v>
      </c>
      <c r="X35" s="126">
        <f>Nov!DA36</f>
        <v>0</v>
      </c>
      <c r="Y35" s="126">
        <f t="shared" si="26"/>
        <v>0</v>
      </c>
      <c r="Z35" s="42">
        <f>Nov!BR36</f>
        <v>0</v>
      </c>
      <c r="AA35" s="126">
        <f>Nov!BG36</f>
        <v>0</v>
      </c>
      <c r="AB35" s="126">
        <f>Nov!BJ36</f>
        <v>0</v>
      </c>
      <c r="AC35" s="126">
        <f>Nov!BL36+Nov!BN36</f>
        <v>0</v>
      </c>
      <c r="AD35" s="126">
        <f>Nov!DR36</f>
        <v>0</v>
      </c>
      <c r="AE35" s="127">
        <f>Nov!DT36-Nov!DR76-Nov!DT76</f>
        <v>0</v>
      </c>
      <c r="AF35" s="127">
        <f>Nov!DR76+Nov!DT76</f>
        <v>0</v>
      </c>
      <c r="AG35" s="127">
        <f>Nov!HJ36-AE35</f>
        <v>0</v>
      </c>
      <c r="AH35" s="127">
        <f>Nov!DW36</f>
        <v>0</v>
      </c>
      <c r="AI35" s="127">
        <f>Nov!DZ36</f>
        <v>0</v>
      </c>
      <c r="AJ35" s="127">
        <f>Nov!EC36</f>
        <v>0</v>
      </c>
      <c r="AK35" s="127">
        <f t="shared" si="21"/>
        <v>0</v>
      </c>
      <c r="AL35" s="127">
        <f>Nov!EG36</f>
        <v>0</v>
      </c>
      <c r="AM35" s="127">
        <f>Nov!EJ36</f>
        <v>0</v>
      </c>
      <c r="AN35" s="127">
        <f>Nov!EM36</f>
        <v>0</v>
      </c>
      <c r="AO35" s="127">
        <f t="shared" si="28"/>
        <v>0</v>
      </c>
      <c r="AP35" s="127">
        <f>Nov!FX36</f>
        <v>0</v>
      </c>
      <c r="AQ35" s="127">
        <f>Nov!GA36</f>
        <v>0</v>
      </c>
      <c r="AR35" s="127">
        <f>Nov!GG36</f>
        <v>0</v>
      </c>
      <c r="AS35" s="127">
        <f t="shared" si="9"/>
        <v>0</v>
      </c>
      <c r="AT35" s="127">
        <f>Nov!EQ36</f>
        <v>0</v>
      </c>
      <c r="AU35" s="127">
        <f>Nov!ET36</f>
        <v>0</v>
      </c>
      <c r="AV35" s="127">
        <f>Nov!EW36</f>
        <v>0</v>
      </c>
      <c r="AW35" s="127">
        <f>Nov!FL73</f>
        <v>0</v>
      </c>
      <c r="AX35" s="127">
        <f>Nov!GJ36</f>
        <v>0</v>
      </c>
      <c r="AY35" s="127">
        <f t="shared" si="10"/>
        <v>0</v>
      </c>
      <c r="AZ35" s="127">
        <f>Nov!FG36</f>
        <v>0</v>
      </c>
      <c r="BA35" s="127">
        <f>Nov!FJ36</f>
        <v>0</v>
      </c>
      <c r="BB35" s="127">
        <f>Nov!FM74</f>
        <v>0</v>
      </c>
      <c r="BC35" s="127">
        <f>Nov!GM36</f>
        <v>0</v>
      </c>
      <c r="BD35" s="127">
        <f t="shared" si="11"/>
        <v>0</v>
      </c>
      <c r="BE35" s="127">
        <f>Nov!GP36</f>
        <v>0</v>
      </c>
      <c r="BF35" s="127">
        <f>Nov!GS36</f>
        <v>0</v>
      </c>
      <c r="BG35" s="127">
        <f t="shared" si="12"/>
        <v>0</v>
      </c>
      <c r="BH35" s="127">
        <f t="shared" si="6"/>
        <v>0</v>
      </c>
      <c r="BI35" s="127"/>
      <c r="BJ35" s="127"/>
      <c r="BK35" s="127"/>
      <c r="BL35" s="128">
        <f t="shared" si="13"/>
        <v>0</v>
      </c>
      <c r="BM35" s="128">
        <f t="shared" si="25"/>
        <v>0</v>
      </c>
      <c r="BN35" s="128"/>
      <c r="BO35" s="128">
        <f t="shared" si="16"/>
        <v>0</v>
      </c>
      <c r="BP35" s="128"/>
      <c r="BQ35" s="358">
        <f t="shared" si="22"/>
        <v>0</v>
      </c>
      <c r="BR35" s="128"/>
      <c r="BS35" s="128">
        <f t="shared" si="18"/>
        <v>0</v>
      </c>
      <c r="BT35" s="42">
        <f>Nov!D74</f>
        <v>0</v>
      </c>
      <c r="BU35" s="42">
        <f>Nov!G75</f>
        <v>0</v>
      </c>
      <c r="BV35" s="394"/>
      <c r="BX35" s="42">
        <f>Nov!HJ36</f>
        <v>0</v>
      </c>
      <c r="BY35" s="42">
        <f>Nov!HM36</f>
        <v>0</v>
      </c>
      <c r="BZ35" s="42">
        <f>Nov!HP36</f>
        <v>0</v>
      </c>
      <c r="CA35" s="42">
        <f>Nov!HS36</f>
        <v>0</v>
      </c>
      <c r="CB35" s="42">
        <f>Nov!HV36</f>
        <v>0</v>
      </c>
      <c r="CC35" s="42">
        <f>Nov!HY36</f>
        <v>0</v>
      </c>
      <c r="CD35" s="42">
        <f>Nov!IB36</f>
        <v>0</v>
      </c>
      <c r="CE35" s="42">
        <f>Nov!IE36</f>
        <v>0</v>
      </c>
      <c r="CF35" s="42">
        <f>Nov!IH36</f>
        <v>0</v>
      </c>
    </row>
    <row r="36" spans="1:87" x14ac:dyDescent="0.25">
      <c r="A36" s="26">
        <f t="shared" si="15"/>
        <v>30</v>
      </c>
      <c r="B36" s="42">
        <f>Nov!G37</f>
        <v>0</v>
      </c>
      <c r="C36" s="42">
        <f>Nov!N37</f>
        <v>0</v>
      </c>
      <c r="D36" s="42">
        <f>Nov!T37</f>
        <v>0</v>
      </c>
      <c r="E36" s="42">
        <f>Oct!V37</f>
        <v>0</v>
      </c>
      <c r="F36" s="42">
        <f>Nov!AB37</f>
        <v>0</v>
      </c>
      <c r="G36" s="42">
        <f>Nov!X37</f>
        <v>0</v>
      </c>
      <c r="H36" s="42">
        <f>Nov!AE37</f>
        <v>0</v>
      </c>
      <c r="I36" s="42">
        <f>Nov!AI37</f>
        <v>0</v>
      </c>
      <c r="J36" s="42">
        <f>Nov!AN37</f>
        <v>0</v>
      </c>
      <c r="K36" s="42">
        <f>Nov!AR37</f>
        <v>0</v>
      </c>
      <c r="L36" s="42">
        <f>Nov!AZ37</f>
        <v>0</v>
      </c>
      <c r="M36" s="42">
        <f>Nov!BC37</f>
        <v>0</v>
      </c>
      <c r="N36" s="125">
        <f t="shared" si="27"/>
        <v>0</v>
      </c>
      <c r="O36" s="125">
        <f>Nov!CA37</f>
        <v>0</v>
      </c>
      <c r="P36" s="125">
        <f>Nov!CD37</f>
        <v>0</v>
      </c>
      <c r="Q36" s="125">
        <f>Nov!CF37</f>
        <v>0</v>
      </c>
      <c r="R36" s="125">
        <f>Nov!CH37</f>
        <v>0</v>
      </c>
      <c r="S36" s="125">
        <f>Nov!CK37</f>
        <v>0</v>
      </c>
      <c r="T36" s="125">
        <f>Nov!CO37</f>
        <v>0</v>
      </c>
      <c r="U36" s="125">
        <f>Nov!CS37</f>
        <v>0</v>
      </c>
      <c r="V36" s="126">
        <f t="shared" si="19"/>
        <v>0</v>
      </c>
      <c r="W36" s="126">
        <f>Nov!CW37</f>
        <v>0</v>
      </c>
      <c r="X36" s="126">
        <f>Nov!DA37</f>
        <v>0</v>
      </c>
      <c r="Y36" s="126">
        <f t="shared" si="26"/>
        <v>0</v>
      </c>
      <c r="Z36" s="42">
        <f>Nov!BR37</f>
        <v>0</v>
      </c>
      <c r="AA36" s="126">
        <f>Nov!BG37</f>
        <v>0</v>
      </c>
      <c r="AB36" s="126">
        <f>Nov!BJ37</f>
        <v>0</v>
      </c>
      <c r="AC36" s="126">
        <f>Nov!BL37+Nov!BN37</f>
        <v>0</v>
      </c>
      <c r="AD36" s="126">
        <f>Nov!DR37</f>
        <v>0</v>
      </c>
      <c r="AE36" s="127">
        <f>Nov!DT37-Nov!DR77-Nov!DT77</f>
        <v>0</v>
      </c>
      <c r="AF36" s="127">
        <f>Nov!DR77+Nov!DT77</f>
        <v>0</v>
      </c>
      <c r="AG36" s="127">
        <f>Nov!HJ37-AE36</f>
        <v>0</v>
      </c>
      <c r="AH36" s="127">
        <f>Nov!DW37</f>
        <v>0</v>
      </c>
      <c r="AI36" s="127">
        <f>Nov!DZ37</f>
        <v>0</v>
      </c>
      <c r="AJ36" s="127">
        <f>Nov!EC37</f>
        <v>0</v>
      </c>
      <c r="AK36" s="127">
        <f t="shared" si="21"/>
        <v>0</v>
      </c>
      <c r="AL36" s="127">
        <f>Nov!EG37</f>
        <v>0</v>
      </c>
      <c r="AM36" s="127">
        <f>Nov!EJ37</f>
        <v>0</v>
      </c>
      <c r="AN36" s="127">
        <f>Nov!EM37</f>
        <v>0</v>
      </c>
      <c r="AO36" s="127">
        <f t="shared" si="28"/>
        <v>0</v>
      </c>
      <c r="AP36" s="127">
        <f>Nov!FX37</f>
        <v>0</v>
      </c>
      <c r="AQ36" s="127">
        <f>Nov!GA37</f>
        <v>0</v>
      </c>
      <c r="AR36" s="127">
        <f>Nov!GG37</f>
        <v>0</v>
      </c>
      <c r="AS36" s="127">
        <f t="shared" si="9"/>
        <v>0</v>
      </c>
      <c r="AT36" s="127">
        <f>Nov!EQ37</f>
        <v>0</v>
      </c>
      <c r="AU36" s="127">
        <f>Nov!ET37</f>
        <v>0</v>
      </c>
      <c r="AV36" s="127">
        <f>Nov!EW37</f>
        <v>0</v>
      </c>
      <c r="AW36" s="127">
        <f>Nov!FL74</f>
        <v>0</v>
      </c>
      <c r="AX36" s="127">
        <f>Nov!GJ37</f>
        <v>0</v>
      </c>
      <c r="AY36" s="127">
        <f t="shared" si="10"/>
        <v>0</v>
      </c>
      <c r="AZ36" s="127">
        <f>Nov!FG37</f>
        <v>0</v>
      </c>
      <c r="BA36" s="127">
        <f>Nov!FJ37</f>
        <v>0</v>
      </c>
      <c r="BB36" s="127">
        <f>Nov!FM75</f>
        <v>0</v>
      </c>
      <c r="BC36" s="127">
        <f>Nov!GM37</f>
        <v>0</v>
      </c>
      <c r="BD36" s="127">
        <f t="shared" si="11"/>
        <v>0</v>
      </c>
      <c r="BE36" s="127">
        <f>Nov!GP37</f>
        <v>0</v>
      </c>
      <c r="BF36" s="127">
        <f>Nov!GS37</f>
        <v>0</v>
      </c>
      <c r="BG36" s="127">
        <f t="shared" si="12"/>
        <v>0</v>
      </c>
      <c r="BH36" s="127">
        <f t="shared" si="6"/>
        <v>0</v>
      </c>
      <c r="BI36" s="127"/>
      <c r="BJ36" s="127"/>
      <c r="BK36" s="127"/>
      <c r="BL36" s="128">
        <f t="shared" si="13"/>
        <v>0</v>
      </c>
      <c r="BM36" s="128">
        <f t="shared" si="25"/>
        <v>0</v>
      </c>
      <c r="BN36" s="128"/>
      <c r="BO36" s="128">
        <f t="shared" si="16"/>
        <v>0</v>
      </c>
      <c r="BP36" s="128"/>
      <c r="BQ36" s="358">
        <f t="shared" si="22"/>
        <v>0</v>
      </c>
      <c r="BR36" s="128"/>
      <c r="BS36" s="128">
        <f t="shared" si="18"/>
        <v>0</v>
      </c>
      <c r="BT36" s="42">
        <f>Nov!D75</f>
        <v>0</v>
      </c>
      <c r="BU36" s="42">
        <f>Nov!G76</f>
        <v>0</v>
      </c>
      <c r="BV36" s="394"/>
      <c r="BX36" s="42">
        <f>Nov!HJ37</f>
        <v>0</v>
      </c>
      <c r="BY36" s="42">
        <f>Nov!HM37</f>
        <v>0</v>
      </c>
      <c r="BZ36" s="42">
        <f>Nov!HP37</f>
        <v>0</v>
      </c>
      <c r="CA36" s="42">
        <f>Nov!HS37</f>
        <v>0</v>
      </c>
      <c r="CB36" s="42">
        <f>Nov!HV37</f>
        <v>0</v>
      </c>
      <c r="CC36" s="42">
        <f>Nov!HY37</f>
        <v>0</v>
      </c>
      <c r="CD36" s="42">
        <f>Nov!IB37</f>
        <v>0</v>
      </c>
      <c r="CE36" s="42">
        <f>Nov!IE37</f>
        <v>0</v>
      </c>
      <c r="CF36" s="42">
        <f>Nov!IH37</f>
        <v>0</v>
      </c>
    </row>
    <row r="37" spans="1:87" x14ac:dyDescent="0.25">
      <c r="A37" s="26">
        <f t="shared" si="15"/>
        <v>31</v>
      </c>
      <c r="B37" s="42">
        <f>Nov!G38</f>
        <v>0</v>
      </c>
      <c r="C37" s="42">
        <f>Nov!N38</f>
        <v>0</v>
      </c>
      <c r="D37" s="42">
        <f>Nov!T38</f>
        <v>0</v>
      </c>
      <c r="E37" s="42">
        <f>Oct!V38</f>
        <v>0</v>
      </c>
      <c r="F37" s="42">
        <f>Nov!AB38</f>
        <v>0</v>
      </c>
      <c r="G37" s="42">
        <f>Nov!X38</f>
        <v>0</v>
      </c>
      <c r="H37" s="42">
        <f>Nov!AE38</f>
        <v>0</v>
      </c>
      <c r="I37" s="42">
        <f>Nov!AI38</f>
        <v>0</v>
      </c>
      <c r="J37" s="42">
        <f>Nov!AN38</f>
        <v>0</v>
      </c>
      <c r="K37" s="42">
        <f>Nov!AR38</f>
        <v>0</v>
      </c>
      <c r="L37" s="42">
        <f>Nov!AZ38</f>
        <v>0</v>
      </c>
      <c r="M37" s="42">
        <f>Nov!BC38</f>
        <v>0</v>
      </c>
      <c r="N37" s="125">
        <f t="shared" si="27"/>
        <v>0</v>
      </c>
      <c r="O37" s="125">
        <f>Nov!CA38</f>
        <v>0</v>
      </c>
      <c r="P37" s="125">
        <f>Nov!CD38</f>
        <v>0</v>
      </c>
      <c r="Q37" s="125">
        <f>Nov!CF38</f>
        <v>0</v>
      </c>
      <c r="R37" s="125">
        <f>Nov!CH38</f>
        <v>0</v>
      </c>
      <c r="S37" s="125">
        <f>Nov!CK38</f>
        <v>0</v>
      </c>
      <c r="T37" s="125">
        <f>Nov!CO38</f>
        <v>0</v>
      </c>
      <c r="U37" s="125">
        <f>Nov!CS38</f>
        <v>0</v>
      </c>
      <c r="V37" s="126">
        <f t="shared" si="19"/>
        <v>0</v>
      </c>
      <c r="W37" s="126">
        <f>Nov!CW38</f>
        <v>0</v>
      </c>
      <c r="X37" s="126">
        <f>Nov!DA38</f>
        <v>0</v>
      </c>
      <c r="Y37" s="126">
        <f t="shared" si="26"/>
        <v>0</v>
      </c>
      <c r="Z37" s="42">
        <f>Nov!BR38</f>
        <v>0</v>
      </c>
      <c r="AA37" s="126">
        <f>Nov!BG38</f>
        <v>0</v>
      </c>
      <c r="AB37" s="126">
        <f>Nov!BJ38</f>
        <v>0</v>
      </c>
      <c r="AC37" s="126">
        <f>Nov!BL38+Nov!BN38</f>
        <v>0</v>
      </c>
      <c r="AD37" s="126">
        <f>Nov!DR38</f>
        <v>0</v>
      </c>
      <c r="AE37" s="127">
        <f>Nov!DT38-Nov!DR78-Nov!DT78</f>
        <v>0</v>
      </c>
      <c r="AF37" s="127">
        <f>Nov!DR78+Nov!DT78</f>
        <v>0</v>
      </c>
      <c r="AG37" s="127">
        <f>Nov!HJ38-AE37</f>
        <v>0</v>
      </c>
      <c r="AH37" s="127">
        <f>Nov!DW38</f>
        <v>0</v>
      </c>
      <c r="AI37" s="127">
        <f>Nov!DZ38</f>
        <v>0</v>
      </c>
      <c r="AJ37" s="127">
        <f>Nov!EC38</f>
        <v>0</v>
      </c>
      <c r="AK37" s="127">
        <f t="shared" si="21"/>
        <v>0</v>
      </c>
      <c r="AL37" s="127">
        <f>Nov!EG38</f>
        <v>0</v>
      </c>
      <c r="AM37" s="127">
        <f>Nov!EJ38</f>
        <v>0</v>
      </c>
      <c r="AN37" s="127">
        <f>Nov!EM38</f>
        <v>0</v>
      </c>
      <c r="AO37" s="127">
        <f t="shared" ref="AO37" si="29">SUM(AL37:AN37)</f>
        <v>0</v>
      </c>
      <c r="AP37" s="127">
        <f>Nov!FX38</f>
        <v>0</v>
      </c>
      <c r="AQ37" s="127">
        <f>Nov!GA38</f>
        <v>0</v>
      </c>
      <c r="AR37" s="127">
        <f>Nov!GG38</f>
        <v>0</v>
      </c>
      <c r="AS37" s="127">
        <f t="shared" si="9"/>
        <v>0</v>
      </c>
      <c r="AT37" s="127">
        <f>Nov!EQ38</f>
        <v>0</v>
      </c>
      <c r="AU37" s="127">
        <f>Nov!ET38</f>
        <v>0</v>
      </c>
      <c r="AV37" s="127">
        <f>Nov!EW38</f>
        <v>0</v>
      </c>
      <c r="AW37" s="127">
        <f>Nov!FL75</f>
        <v>0</v>
      </c>
      <c r="AX37" s="127">
        <f>Nov!GJ38</f>
        <v>0</v>
      </c>
      <c r="AY37" s="127">
        <f t="shared" si="10"/>
        <v>0</v>
      </c>
      <c r="AZ37" s="127">
        <f>Nov!FG38</f>
        <v>0</v>
      </c>
      <c r="BA37" s="127">
        <f>Nov!FJ38</f>
        <v>0</v>
      </c>
      <c r="BB37" s="127">
        <f>Nov!FM76</f>
        <v>0</v>
      </c>
      <c r="BC37" s="127">
        <f>Nov!GM38</f>
        <v>0</v>
      </c>
      <c r="BD37" s="127">
        <f t="shared" si="11"/>
        <v>0</v>
      </c>
      <c r="BE37" s="127">
        <f>Nov!GP38</f>
        <v>0</v>
      </c>
      <c r="BF37" s="127">
        <f>Nov!GS38</f>
        <v>0</v>
      </c>
      <c r="BG37" s="127">
        <f t="shared" si="12"/>
        <v>0</v>
      </c>
      <c r="BH37" s="127">
        <f t="shared" si="6"/>
        <v>0</v>
      </c>
      <c r="BI37" s="127"/>
      <c r="BJ37" s="127"/>
      <c r="BK37" s="127"/>
      <c r="BL37" s="128">
        <f t="shared" si="13"/>
        <v>0</v>
      </c>
      <c r="BM37" s="128">
        <f t="shared" si="25"/>
        <v>0</v>
      </c>
      <c r="BN37" s="128"/>
      <c r="BO37" s="128">
        <f t="shared" si="16"/>
        <v>0</v>
      </c>
      <c r="BP37" s="128"/>
      <c r="BQ37" s="358">
        <f t="shared" si="22"/>
        <v>0</v>
      </c>
      <c r="BR37" s="128"/>
      <c r="BS37" s="128">
        <f t="shared" si="18"/>
        <v>0</v>
      </c>
      <c r="BT37" s="42">
        <f>Nov!D76</f>
        <v>0</v>
      </c>
      <c r="BU37" s="42">
        <f>Nov!G77</f>
        <v>0</v>
      </c>
      <c r="BV37" s="394"/>
      <c r="BX37" s="42">
        <f>Nov!HJ38</f>
        <v>0</v>
      </c>
      <c r="BY37" s="42">
        <f>Nov!HM38</f>
        <v>0</v>
      </c>
      <c r="BZ37" s="42">
        <f>Nov!HP38</f>
        <v>0</v>
      </c>
      <c r="CA37" s="42">
        <f>Nov!HS38</f>
        <v>0</v>
      </c>
      <c r="CB37" s="42">
        <f>Nov!HV38</f>
        <v>0</v>
      </c>
      <c r="CC37" s="42">
        <f>Nov!HY38</f>
        <v>0</v>
      </c>
      <c r="CD37" s="42">
        <f>Nov!IB38</f>
        <v>0</v>
      </c>
      <c r="CE37" s="42">
        <f>Nov!IE38</f>
        <v>0</v>
      </c>
      <c r="CF37" s="42">
        <f>Nov!IH38</f>
        <v>0</v>
      </c>
    </row>
    <row r="38" spans="1:87" x14ac:dyDescent="0.25">
      <c r="A38" s="129" t="s">
        <v>37</v>
      </c>
      <c r="B38" s="90">
        <f t="shared" ref="B38:BM38" si="30">SUMIF(B7:B37,"&gt;0")</f>
        <v>366400.00000000873</v>
      </c>
      <c r="C38" s="90">
        <f t="shared" si="30"/>
        <v>363400</v>
      </c>
      <c r="D38" s="90">
        <f t="shared" si="30"/>
        <v>6</v>
      </c>
      <c r="E38" s="90">
        <f t="shared" si="30"/>
        <v>0</v>
      </c>
      <c r="F38" s="90">
        <f t="shared" si="30"/>
        <v>9700</v>
      </c>
      <c r="G38" s="90">
        <f t="shared" si="30"/>
        <v>11294</v>
      </c>
      <c r="H38" s="90">
        <f t="shared" si="30"/>
        <v>4500</v>
      </c>
      <c r="I38" s="42">
        <f>Nov!AI39</f>
        <v>0</v>
      </c>
      <c r="J38" s="90">
        <f t="shared" si="30"/>
        <v>6440.0000000006685</v>
      </c>
      <c r="K38" s="90">
        <f t="shared" si="30"/>
        <v>13899.999999999636</v>
      </c>
      <c r="L38" s="90">
        <f t="shared" si="30"/>
        <v>450</v>
      </c>
      <c r="M38" s="90">
        <f t="shared" si="30"/>
        <v>690</v>
      </c>
      <c r="N38" s="90">
        <f t="shared" si="30"/>
        <v>59480.000000000306</v>
      </c>
      <c r="O38" s="90">
        <f t="shared" si="30"/>
        <v>673.99999999997817</v>
      </c>
      <c r="P38" s="90">
        <f t="shared" si="30"/>
        <v>670.20000000006985</v>
      </c>
      <c r="Q38" s="90">
        <f t="shared" si="30"/>
        <v>5097</v>
      </c>
      <c r="R38" s="90">
        <f t="shared" si="30"/>
        <v>0</v>
      </c>
      <c r="S38" s="90">
        <f t="shared" si="30"/>
        <v>15756.000000000313</v>
      </c>
      <c r="T38" s="90">
        <f t="shared" si="30"/>
        <v>6340000</v>
      </c>
      <c r="U38" s="90">
        <f t="shared" si="30"/>
        <v>7.3490000000001601</v>
      </c>
      <c r="V38" s="90">
        <f t="shared" si="30"/>
        <v>6362204.5490000006</v>
      </c>
      <c r="W38" s="90">
        <f t="shared" si="30"/>
        <v>14167</v>
      </c>
      <c r="X38" s="90">
        <f t="shared" si="30"/>
        <v>6762</v>
      </c>
      <c r="Y38" s="90">
        <f t="shared" si="30"/>
        <v>20929</v>
      </c>
      <c r="Z38" s="90">
        <f t="shared" si="30"/>
        <v>600.00000000002274</v>
      </c>
      <c r="AA38" s="90">
        <f t="shared" si="30"/>
        <v>1900.0000000000909</v>
      </c>
      <c r="AB38" s="90">
        <f t="shared" si="30"/>
        <v>9000</v>
      </c>
      <c r="AC38" s="90">
        <f t="shared" si="30"/>
        <v>5160.0000000000364</v>
      </c>
      <c r="AD38" s="90">
        <f t="shared" si="30"/>
        <v>12110</v>
      </c>
      <c r="AE38" s="90">
        <f t="shared" si="30"/>
        <v>22800</v>
      </c>
      <c r="AF38" s="90">
        <f t="shared" si="30"/>
        <v>0</v>
      </c>
      <c r="AG38" s="90">
        <f t="shared" si="30"/>
        <v>114200</v>
      </c>
      <c r="AH38" s="90">
        <f t="shared" si="30"/>
        <v>299.9999999992724</v>
      </c>
      <c r="AI38" s="90">
        <f t="shared" si="30"/>
        <v>0</v>
      </c>
      <c r="AJ38" s="90">
        <f t="shared" si="30"/>
        <v>4160</v>
      </c>
      <c r="AK38" s="90">
        <f t="shared" si="30"/>
        <v>4459.9999999992724</v>
      </c>
      <c r="AL38" s="90">
        <f t="shared" si="30"/>
        <v>27160</v>
      </c>
      <c r="AM38" s="90">
        <f t="shared" si="30"/>
        <v>10000</v>
      </c>
      <c r="AN38" s="90">
        <f t="shared" si="30"/>
        <v>639.99999999998636</v>
      </c>
      <c r="AO38" s="90">
        <f t="shared" si="30"/>
        <v>37799.999999999985</v>
      </c>
      <c r="AP38" s="90">
        <f t="shared" si="30"/>
        <v>27500</v>
      </c>
      <c r="AQ38" s="90">
        <f t="shared" si="30"/>
        <v>5600</v>
      </c>
      <c r="AR38" s="90">
        <f t="shared" si="30"/>
        <v>7190</v>
      </c>
      <c r="AS38" s="90">
        <f t="shared" si="30"/>
        <v>40290</v>
      </c>
      <c r="AT38" s="90">
        <f t="shared" si="30"/>
        <v>9000</v>
      </c>
      <c r="AU38" s="90">
        <f t="shared" si="30"/>
        <v>17000</v>
      </c>
      <c r="AV38" s="90">
        <f t="shared" si="30"/>
        <v>10400.000000000546</v>
      </c>
      <c r="AW38" s="90">
        <f t="shared" si="30"/>
        <v>40000</v>
      </c>
      <c r="AX38" s="90">
        <f t="shared" si="30"/>
        <v>1810</v>
      </c>
      <c r="AY38" s="90">
        <f t="shared" si="30"/>
        <v>78210.000000000553</v>
      </c>
      <c r="AZ38" s="90">
        <f t="shared" si="30"/>
        <v>8000</v>
      </c>
      <c r="BA38" s="90">
        <f t="shared" si="30"/>
        <v>15000</v>
      </c>
      <c r="BB38" s="90">
        <f t="shared" si="30"/>
        <v>0</v>
      </c>
      <c r="BC38" s="90">
        <f t="shared" si="30"/>
        <v>0</v>
      </c>
      <c r="BD38" s="90">
        <f t="shared" si="30"/>
        <v>23000</v>
      </c>
      <c r="BE38" s="90">
        <f t="shared" si="30"/>
        <v>0</v>
      </c>
      <c r="BF38" s="90">
        <f t="shared" si="30"/>
        <v>230</v>
      </c>
      <c r="BG38" s="90">
        <f t="shared" si="30"/>
        <v>230</v>
      </c>
      <c r="BH38" s="90">
        <f t="shared" si="30"/>
        <v>20929</v>
      </c>
      <c r="BI38" s="90">
        <f t="shared" si="30"/>
        <v>0</v>
      </c>
      <c r="BJ38" s="90">
        <f t="shared" si="30"/>
        <v>0</v>
      </c>
      <c r="BK38" s="90">
        <f t="shared" si="30"/>
        <v>0</v>
      </c>
      <c r="BL38" s="90">
        <f t="shared" si="30"/>
        <v>20950.8</v>
      </c>
      <c r="BM38" s="90">
        <f t="shared" si="30"/>
        <v>19339.2</v>
      </c>
      <c r="BN38" s="90">
        <f t="shared" ref="BN38:BU38" si="31">SUMIF(BN7:BN37,"&gt;0")</f>
        <v>0</v>
      </c>
      <c r="BO38" s="90">
        <f t="shared" si="31"/>
        <v>19339.2</v>
      </c>
      <c r="BP38" s="90">
        <f t="shared" si="31"/>
        <v>0</v>
      </c>
      <c r="BQ38" s="90"/>
      <c r="BR38" s="90">
        <f t="shared" si="31"/>
        <v>0</v>
      </c>
      <c r="BS38" s="90">
        <f t="shared" si="31"/>
        <v>230</v>
      </c>
      <c r="BT38" s="90">
        <f t="shared" si="31"/>
        <v>0</v>
      </c>
      <c r="BU38" s="90">
        <f t="shared" si="31"/>
        <v>83000</v>
      </c>
      <c r="BV38" s="396"/>
      <c r="BX38" s="130">
        <f t="shared" ref="BX38:CF38" si="32">SUM(BX7:BX37)</f>
        <v>137000</v>
      </c>
      <c r="BY38" s="130">
        <f t="shared" si="32"/>
        <v>0</v>
      </c>
      <c r="BZ38" s="130">
        <f t="shared" si="32"/>
        <v>0</v>
      </c>
      <c r="CA38" s="130">
        <f t="shared" si="32"/>
        <v>0</v>
      </c>
      <c r="CB38" s="130">
        <f t="shared" si="32"/>
        <v>0</v>
      </c>
      <c r="CC38" s="130">
        <f t="shared" si="32"/>
        <v>0</v>
      </c>
      <c r="CD38" s="130">
        <f t="shared" si="32"/>
        <v>75700</v>
      </c>
      <c r="CE38" s="130">
        <f t="shared" si="32"/>
        <v>0</v>
      </c>
      <c r="CF38" s="130">
        <f t="shared" si="32"/>
        <v>22800</v>
      </c>
    </row>
    <row r="39" spans="1:87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L40" s="91"/>
      <c r="BM40" s="91"/>
      <c r="BN40" s="91"/>
      <c r="BO40" s="91"/>
      <c r="BP40" s="91"/>
      <c r="BQ40" s="221"/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AV41" s="3"/>
      <c r="BQ41" s="221"/>
      <c r="BR41" s="91"/>
      <c r="BV41" s="91"/>
      <c r="BW41" t="s">
        <v>281</v>
      </c>
      <c r="BX41" s="91">
        <f>BX38</f>
        <v>137000</v>
      </c>
      <c r="CH41" t="s">
        <v>336</v>
      </c>
      <c r="CI41">
        <f>$Y$38</f>
        <v>20929</v>
      </c>
    </row>
    <row r="42" spans="1:87" x14ac:dyDescent="0.25">
      <c r="B42" t="s">
        <v>106</v>
      </c>
      <c r="C42" s="24">
        <f>B38</f>
        <v>366400.00000000873</v>
      </c>
      <c r="D42" s="91"/>
      <c r="N42" s="132"/>
      <c r="O42" s="132"/>
      <c r="P42" s="132"/>
      <c r="Q42" s="132"/>
      <c r="R42" s="132"/>
      <c r="S42" s="132"/>
      <c r="T42" s="132"/>
      <c r="U42" s="132"/>
      <c r="V42" s="497">
        <v>45931</v>
      </c>
      <c r="W42" s="497"/>
      <c r="X42" s="497"/>
      <c r="Y42" s="497"/>
      <c r="Z42" s="497"/>
      <c r="AA42" s="497"/>
      <c r="AB42" s="497"/>
      <c r="AC42" s="497"/>
      <c r="AD42" s="497"/>
      <c r="AK42" s="3"/>
      <c r="AL42" s="3"/>
      <c r="AM42" s="3"/>
      <c r="AN42" s="3"/>
      <c r="AO42" s="3"/>
      <c r="AP42" s="3"/>
      <c r="AQ42" s="3"/>
      <c r="AR42" s="3"/>
      <c r="AV42" s="151"/>
      <c r="BQ42" s="221"/>
      <c r="BW42" t="s">
        <v>258</v>
      </c>
      <c r="BX42" s="91">
        <f>BY38</f>
        <v>0</v>
      </c>
      <c r="CH42" t="s">
        <v>17</v>
      </c>
      <c r="CI42">
        <f>$AS$38</f>
        <v>40290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406" t="s">
        <v>158</v>
      </c>
      <c r="W43" s="406"/>
      <c r="X43" s="406"/>
      <c r="Y43" s="406"/>
      <c r="Z43" s="406"/>
      <c r="AA43" s="406" t="s">
        <v>159</v>
      </c>
      <c r="AB43" s="406"/>
      <c r="AC43" s="406"/>
      <c r="AD43" s="406"/>
      <c r="AK43" s="169"/>
      <c r="AL43" s="134"/>
      <c r="AM43" s="134"/>
      <c r="AN43" s="170"/>
      <c r="AO43" s="169"/>
      <c r="AP43" s="134"/>
      <c r="AQ43" s="134"/>
      <c r="AR43" s="134"/>
      <c r="BQ43" s="221"/>
      <c r="BW43" t="s">
        <v>204</v>
      </c>
      <c r="BX43" s="91">
        <f>BZ38</f>
        <v>0</v>
      </c>
      <c r="CH43" t="s">
        <v>19</v>
      </c>
      <c r="CI43">
        <f>$BG$38</f>
        <v>230</v>
      </c>
    </row>
    <row r="44" spans="1:87" x14ac:dyDescent="0.25">
      <c r="B44" t="s">
        <v>120</v>
      </c>
      <c r="C44" s="24">
        <f>N38</f>
        <v>59480.000000000306</v>
      </c>
      <c r="D44" s="91"/>
      <c r="N44" s="132"/>
      <c r="O44" s="132"/>
      <c r="P44" s="132"/>
      <c r="Q44" s="132"/>
      <c r="R44" s="132"/>
      <c r="S44" s="132"/>
      <c r="T44" s="132"/>
      <c r="U44" s="132"/>
      <c r="Y44" s="368"/>
      <c r="AK44" s="3"/>
      <c r="AL44" s="3"/>
      <c r="AM44" s="3"/>
      <c r="AN44" s="3"/>
      <c r="AO44" s="3"/>
      <c r="AP44" s="3"/>
      <c r="AQ44" s="3"/>
      <c r="AR44" s="3"/>
      <c r="BQ44" s="221"/>
      <c r="BW44" t="s">
        <v>260</v>
      </c>
      <c r="BX44" s="91">
        <f>CA38</f>
        <v>0</v>
      </c>
      <c r="CI44">
        <f>SUM(CI41:CI43)</f>
        <v>61449</v>
      </c>
    </row>
    <row r="45" spans="1:87" x14ac:dyDescent="0.25">
      <c r="B45" t="s">
        <v>157</v>
      </c>
      <c r="C45" s="24">
        <f>V38</f>
        <v>6362204.5490000006</v>
      </c>
      <c r="D45" s="91"/>
      <c r="N45" s="132"/>
      <c r="O45" s="132"/>
      <c r="P45" s="132"/>
      <c r="Q45" s="132"/>
      <c r="R45" s="132"/>
      <c r="S45" s="132"/>
      <c r="T45" s="132"/>
      <c r="U45" s="132"/>
      <c r="Y45" s="368"/>
      <c r="AK45" s="3"/>
      <c r="AL45" s="3"/>
      <c r="AM45" s="3"/>
      <c r="AN45" s="3"/>
      <c r="AO45" s="3"/>
      <c r="AP45" s="3"/>
      <c r="AQ45" s="3"/>
      <c r="AR45" s="3"/>
      <c r="BQ45" s="221"/>
      <c r="BW45" t="s">
        <v>261</v>
      </c>
      <c r="BX45" s="91">
        <f>CB38</f>
        <v>0</v>
      </c>
      <c r="CH45" t="s">
        <v>337</v>
      </c>
      <c r="CI45">
        <f>SUM($BH$38:$BK$38)</f>
        <v>20929</v>
      </c>
    </row>
    <row r="46" spans="1:87" x14ac:dyDescent="0.25">
      <c r="B46" t="s">
        <v>160</v>
      </c>
      <c r="C46" s="24">
        <f>Y38</f>
        <v>20929</v>
      </c>
      <c r="D46" s="91"/>
      <c r="N46" s="132"/>
      <c r="O46" s="132"/>
      <c r="P46" s="132"/>
      <c r="Q46" s="132"/>
      <c r="R46" s="132"/>
      <c r="S46" s="132"/>
      <c r="T46" s="132"/>
      <c r="U46" s="132"/>
      <c r="Y46" s="368"/>
      <c r="AK46" s="151"/>
      <c r="AO46" s="3"/>
      <c r="AP46" s="3"/>
      <c r="AQ46" s="3"/>
      <c r="AR46" s="3"/>
      <c r="BQ46" s="221"/>
      <c r="BW46" t="s">
        <v>318</v>
      </c>
      <c r="BX46" s="91">
        <f>$CC$38</f>
        <v>0</v>
      </c>
      <c r="CH46" t="s">
        <v>333</v>
      </c>
      <c r="CI46">
        <f>SUM($BL$38:$BO$38)</f>
        <v>59629.2</v>
      </c>
    </row>
    <row r="47" spans="1:87" x14ac:dyDescent="0.25">
      <c r="B47" t="s">
        <v>128</v>
      </c>
      <c r="C47" s="24">
        <f>AK38</f>
        <v>4459.9999999992724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368"/>
      <c r="BQ47" s="221"/>
      <c r="BW47" t="s">
        <v>346</v>
      </c>
      <c r="BX47" s="91">
        <f>$CD$38</f>
        <v>75700</v>
      </c>
      <c r="CH47" t="s">
        <v>331</v>
      </c>
      <c r="CI47">
        <f>SUM($BP$38:$BS$38)</f>
        <v>230</v>
      </c>
    </row>
    <row r="48" spans="1:87" x14ac:dyDescent="0.25">
      <c r="B48" t="s">
        <v>130</v>
      </c>
      <c r="C48" s="24">
        <f>AO38</f>
        <v>37799.999999999985</v>
      </c>
      <c r="D48" s="91"/>
      <c r="N48" s="132"/>
      <c r="O48" s="132"/>
      <c r="P48" s="132"/>
      <c r="Q48" s="132"/>
      <c r="R48" s="132"/>
      <c r="S48" s="132"/>
      <c r="T48" s="132"/>
      <c r="U48" s="132"/>
      <c r="V48" s="406" t="s">
        <v>396</v>
      </c>
      <c r="W48" s="406"/>
      <c r="X48" s="406"/>
      <c r="Y48" s="406"/>
      <c r="Z48" s="406"/>
      <c r="AA48" s="406" t="s">
        <v>161</v>
      </c>
      <c r="AB48" s="406"/>
      <c r="AC48" s="406" t="s">
        <v>162</v>
      </c>
      <c r="AD48" s="406"/>
      <c r="BQ48" s="221"/>
      <c r="BW48" t="s">
        <v>358</v>
      </c>
      <c r="BX48" s="91">
        <f>CE38</f>
        <v>0</v>
      </c>
      <c r="CI48">
        <f>SUM(CI45:CI47)</f>
        <v>80788.2</v>
      </c>
    </row>
    <row r="49" spans="2:76" x14ac:dyDescent="0.25">
      <c r="B49" t="s">
        <v>132</v>
      </c>
      <c r="C49" s="24">
        <f>AY38</f>
        <v>78210.000000000553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379"/>
      <c r="BQ49" s="221"/>
      <c r="BW49" t="s">
        <v>282</v>
      </c>
      <c r="BX49" s="91">
        <f>$CF$38</f>
        <v>22800</v>
      </c>
    </row>
    <row r="50" spans="2:76" x14ac:dyDescent="0.25">
      <c r="B50" t="s">
        <v>133</v>
      </c>
      <c r="C50" s="69">
        <f>BD38</f>
        <v>23000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368"/>
      <c r="BQ50" s="221"/>
      <c r="BX50" s="91"/>
    </row>
    <row r="51" spans="2:76" x14ac:dyDescent="0.25">
      <c r="B51" t="s">
        <v>131</v>
      </c>
      <c r="C51" s="24">
        <f>AS38</f>
        <v>40290</v>
      </c>
      <c r="D51" s="91"/>
      <c r="N51" s="91"/>
      <c r="O51" s="91"/>
      <c r="P51" s="91"/>
      <c r="Q51" s="91"/>
      <c r="R51" s="91"/>
      <c r="S51" s="91"/>
      <c r="T51" s="91"/>
      <c r="U51" s="91"/>
      <c r="Z51" s="368"/>
      <c r="BQ51" s="221"/>
      <c r="BW51" t="s">
        <v>98</v>
      </c>
      <c r="BX51" s="91">
        <f>BX41+BX42-BX43-BX44-BX45-BX46-BX47-BX48-BX49</f>
        <v>38500</v>
      </c>
    </row>
    <row r="52" spans="2:76" x14ac:dyDescent="0.25">
      <c r="B52" t="s">
        <v>19</v>
      </c>
      <c r="C52" s="24">
        <f>BG38</f>
        <v>230</v>
      </c>
      <c r="D52" s="91"/>
      <c r="N52" s="91"/>
      <c r="O52" s="91"/>
      <c r="P52" s="91"/>
      <c r="Q52" s="91"/>
      <c r="R52" s="91"/>
      <c r="S52" s="91"/>
      <c r="T52" s="91"/>
      <c r="U52" s="91"/>
      <c r="Z52" s="368"/>
      <c r="BQ52" s="221"/>
    </row>
    <row r="53" spans="2:76" x14ac:dyDescent="0.25">
      <c r="B53" t="s">
        <v>163</v>
      </c>
      <c r="C53" s="24">
        <f>AA38</f>
        <v>1900.0000000000909</v>
      </c>
      <c r="D53" s="91"/>
      <c r="N53" s="91"/>
      <c r="O53" s="91"/>
      <c r="P53" s="91"/>
      <c r="Q53" s="91"/>
      <c r="R53" s="91"/>
      <c r="S53" s="91"/>
      <c r="T53" s="91"/>
      <c r="U53" s="91"/>
      <c r="Z53" s="368"/>
      <c r="BQ53" s="221"/>
    </row>
    <row r="54" spans="2:76" x14ac:dyDescent="0.25">
      <c r="B54" t="s">
        <v>6</v>
      </c>
      <c r="C54" s="24">
        <f>AB38</f>
        <v>9000</v>
      </c>
      <c r="D54" s="91"/>
      <c r="N54" s="91"/>
      <c r="O54" s="91"/>
      <c r="P54" s="91"/>
      <c r="Q54" s="91"/>
      <c r="R54" s="91"/>
      <c r="S54" s="91"/>
      <c r="T54" s="91"/>
      <c r="U54" s="91"/>
      <c r="Z54" s="368"/>
      <c r="BQ54" s="221"/>
    </row>
    <row r="55" spans="2:76" x14ac:dyDescent="0.25">
      <c r="B55" t="s">
        <v>164</v>
      </c>
      <c r="C55" s="24">
        <f>Z38</f>
        <v>600.00000000002274</v>
      </c>
      <c r="D55" s="91"/>
      <c r="N55" s="91"/>
      <c r="O55" s="91"/>
      <c r="P55" s="91"/>
      <c r="Q55" s="91"/>
      <c r="R55" s="91"/>
      <c r="S55" s="91"/>
      <c r="T55" s="91"/>
      <c r="U55" s="91"/>
      <c r="Z55" s="368"/>
      <c r="BQ55" s="221"/>
    </row>
    <row r="56" spans="2:76" x14ac:dyDescent="0.25">
      <c r="B56" t="s">
        <v>165</v>
      </c>
      <c r="C56" s="24">
        <f>AC38</f>
        <v>5160.0000000000364</v>
      </c>
      <c r="D56" s="91"/>
      <c r="N56" s="91"/>
      <c r="O56" s="91"/>
      <c r="P56" s="91"/>
      <c r="Q56" s="91"/>
      <c r="R56" s="91"/>
      <c r="S56" s="91"/>
      <c r="T56" s="91"/>
      <c r="U56" s="91"/>
      <c r="Z56" s="368"/>
      <c r="BQ56" s="221"/>
    </row>
    <row r="57" spans="2:76" x14ac:dyDescent="0.25">
      <c r="B57" t="s">
        <v>181</v>
      </c>
      <c r="C57" s="24">
        <f>AD38</f>
        <v>12110</v>
      </c>
      <c r="D57" s="91"/>
      <c r="N57" s="91"/>
      <c r="O57" s="91"/>
      <c r="P57" s="91"/>
      <c r="Q57" s="91"/>
      <c r="R57" s="91"/>
      <c r="S57" s="91"/>
      <c r="T57" s="91"/>
      <c r="U57" s="91"/>
      <c r="Z57" s="368"/>
      <c r="BQ57" s="221"/>
    </row>
    <row r="58" spans="2:76" x14ac:dyDescent="0.25">
      <c r="B58" t="s">
        <v>166</v>
      </c>
      <c r="C58" s="24">
        <f>AE38</f>
        <v>22800</v>
      </c>
      <c r="D58" s="91"/>
      <c r="N58" s="91"/>
      <c r="O58" s="91"/>
      <c r="P58" s="91"/>
      <c r="Q58" s="91"/>
      <c r="R58" s="91"/>
      <c r="S58" s="91"/>
      <c r="T58" s="91"/>
      <c r="U58" s="91"/>
      <c r="BQ58" s="221"/>
    </row>
    <row r="59" spans="2:76" x14ac:dyDescent="0.25">
      <c r="B59" t="s">
        <v>250</v>
      </c>
      <c r="C59" s="24">
        <f>AF38</f>
        <v>0</v>
      </c>
      <c r="D59" s="91"/>
      <c r="N59" s="91"/>
      <c r="O59" s="91"/>
      <c r="P59" s="91"/>
      <c r="Q59" s="91"/>
      <c r="R59" s="91"/>
      <c r="S59" s="91"/>
      <c r="T59" s="91"/>
      <c r="U59" s="91"/>
      <c r="BQ59" s="221"/>
    </row>
    <row r="60" spans="2:76" x14ac:dyDescent="0.25">
      <c r="B60" t="s">
        <v>251</v>
      </c>
      <c r="C60" s="24">
        <f>AG38</f>
        <v>114200</v>
      </c>
      <c r="D60" s="91"/>
      <c r="N60" s="91"/>
      <c r="O60" s="91"/>
      <c r="P60" s="91"/>
      <c r="Q60" s="91"/>
      <c r="R60" s="91"/>
      <c r="S60" s="91"/>
      <c r="T60" s="91"/>
      <c r="U60" s="91"/>
      <c r="BQ60" s="221"/>
    </row>
    <row r="61" spans="2:76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Q61" s="221"/>
    </row>
    <row r="62" spans="2:76" x14ac:dyDescent="0.25">
      <c r="B62" t="s">
        <v>192</v>
      </c>
      <c r="C62" s="24">
        <f>BU38</f>
        <v>83000</v>
      </c>
      <c r="D62" s="91"/>
      <c r="N62" s="3"/>
      <c r="O62" s="3"/>
      <c r="P62" s="3"/>
      <c r="Q62" s="3"/>
      <c r="R62" s="3"/>
      <c r="S62" s="3"/>
      <c r="T62" s="3"/>
      <c r="U62" s="3"/>
      <c r="BQ62" s="221"/>
    </row>
    <row r="63" spans="2:76" x14ac:dyDescent="0.25">
      <c r="B63" t="s">
        <v>167</v>
      </c>
      <c r="C63" s="24">
        <f>C42-C44-C45-C46-C47-C48-C49-C50-C51-C52-C53-C54-C55-C56-C57-C58-C61+C62-C59-C60</f>
        <v>-6342973.5489999922</v>
      </c>
      <c r="D63" s="3"/>
      <c r="N63" s="3"/>
      <c r="O63" s="3"/>
      <c r="P63" s="3"/>
      <c r="Q63" s="3"/>
      <c r="R63" s="3"/>
      <c r="S63" s="3"/>
      <c r="T63" s="3"/>
      <c r="U63" s="3"/>
      <c r="BQ63" s="221"/>
    </row>
    <row r="64" spans="2:76" x14ac:dyDescent="0.25">
      <c r="BQ64" s="221"/>
    </row>
    <row r="65" spans="2:69" x14ac:dyDescent="0.25">
      <c r="BQ65" s="221"/>
    </row>
    <row r="66" spans="2:69" x14ac:dyDescent="0.25">
      <c r="B66" s="3"/>
      <c r="C66" s="3"/>
      <c r="D66" s="151"/>
      <c r="BQ66" s="221"/>
    </row>
    <row r="67" spans="2:69" x14ac:dyDescent="0.25">
      <c r="BQ67" s="221"/>
    </row>
    <row r="68" spans="2:69" x14ac:dyDescent="0.25">
      <c r="BQ68" s="221"/>
    </row>
    <row r="69" spans="2:69" x14ac:dyDescent="0.25">
      <c r="BQ69" s="221"/>
    </row>
    <row r="70" spans="2:69" x14ac:dyDescent="0.25">
      <c r="BQ70" s="221"/>
    </row>
    <row r="71" spans="2:69" x14ac:dyDescent="0.25">
      <c r="BQ71" s="221"/>
    </row>
    <row r="72" spans="2:69" x14ac:dyDescent="0.25">
      <c r="BQ72" s="221"/>
    </row>
    <row r="80" spans="2:69" x14ac:dyDescent="0.25">
      <c r="F80" s="310" t="s">
        <v>436</v>
      </c>
      <c r="G80" s="311"/>
      <c r="H80" s="311"/>
      <c r="I80" s="312"/>
      <c r="J80" s="327" t="s">
        <v>437</v>
      </c>
      <c r="K80" s="311"/>
      <c r="L80" s="311"/>
      <c r="M80" s="312"/>
      <c r="N80" s="327" t="s">
        <v>436</v>
      </c>
      <c r="O80" s="311"/>
      <c r="P80" s="311"/>
      <c r="Q80" s="312"/>
    </row>
    <row r="81" spans="6:17" x14ac:dyDescent="0.25">
      <c r="F81" s="139"/>
      <c r="G81" s="313"/>
      <c r="H81" s="313"/>
      <c r="I81" s="177"/>
      <c r="J81" s="139"/>
      <c r="K81" s="313"/>
      <c r="L81" s="313"/>
      <c r="M81" s="177"/>
      <c r="N81" s="139"/>
      <c r="O81" s="313"/>
      <c r="P81" s="313"/>
      <c r="Q81" s="177"/>
    </row>
    <row r="82" spans="6:17" x14ac:dyDescent="0.25">
      <c r="F82" s="139"/>
      <c r="G82" s="313"/>
      <c r="H82" s="313">
        <f>Aug!E76</f>
        <v>32907</v>
      </c>
      <c r="I82" s="177"/>
      <c r="J82" s="139"/>
      <c r="K82" s="313"/>
      <c r="L82" s="313"/>
      <c r="M82" s="177"/>
      <c r="N82" s="139"/>
      <c r="O82" s="313"/>
      <c r="P82" s="313"/>
      <c r="Q82" s="177"/>
    </row>
    <row r="83" spans="6:17" x14ac:dyDescent="0.25">
      <c r="F83" s="139"/>
      <c r="G83" s="313"/>
      <c r="H83" s="313"/>
      <c r="I83" s="177"/>
      <c r="J83" s="139"/>
      <c r="K83" s="313"/>
      <c r="L83" s="313"/>
      <c r="M83" s="177"/>
      <c r="N83" s="139"/>
      <c r="O83" s="313"/>
      <c r="P83" s="313"/>
      <c r="Q83" s="177"/>
    </row>
    <row r="84" spans="6:17" x14ac:dyDescent="0.25">
      <c r="F84" s="139"/>
      <c r="G84" s="313"/>
      <c r="H84" s="313"/>
      <c r="I84" s="177"/>
      <c r="J84" s="139"/>
      <c r="K84" s="313"/>
      <c r="L84" s="313"/>
      <c r="M84" s="177"/>
      <c r="N84" s="139"/>
      <c r="O84" s="313"/>
      <c r="P84" s="313"/>
      <c r="Q84" s="177"/>
    </row>
    <row r="85" spans="6:17" x14ac:dyDescent="0.25">
      <c r="F85" s="139"/>
      <c r="G85" s="313"/>
      <c r="H85" s="313"/>
      <c r="I85" s="177"/>
      <c r="J85" s="139"/>
      <c r="K85" s="313"/>
      <c r="L85" s="313"/>
      <c r="M85" s="177"/>
      <c r="N85" s="139"/>
      <c r="O85" s="313"/>
      <c r="P85" s="313"/>
      <c r="Q85" s="177"/>
    </row>
    <row r="86" spans="6:17" x14ac:dyDescent="0.25">
      <c r="F86" s="314"/>
      <c r="G86" s="315"/>
      <c r="H86" s="315"/>
      <c r="I86" s="316"/>
      <c r="J86" s="314"/>
      <c r="K86" s="315"/>
      <c r="L86" s="315"/>
      <c r="M86" s="316"/>
      <c r="N86" s="314"/>
      <c r="O86" s="315"/>
      <c r="P86" s="315"/>
      <c r="Q86" s="316"/>
    </row>
  </sheetData>
  <customSheetViews>
    <customSheetView guid="{48545DB9-4D9D-4699-ACEC-DA6E2D3586A8}" fitToPage="1" state="hidden">
      <pane xSplit="1" ySplit="6" topLeftCell="B22" activePane="bottomRight" state="frozen"/>
      <selection pane="bottomRight" activeCell="F35" sqref="F35"/>
      <pageMargins left="0.11811023622047245" right="0" top="0.74803149606299213" bottom="0.35433070866141736" header="0.31496062992125984" footer="0.31496062992125984"/>
      <pageSetup paperSize="9" scale="43" orientation="landscape" r:id="rId1"/>
    </customSheetView>
    <customSheetView guid="{32ABFE17-599B-4D0B-A1DB-D95B181877FC}" fitToPage="1" state="hidden">
      <pane xSplit="1" ySplit="6" topLeftCell="B7" activePane="bottomRight" state="frozen"/>
      <selection pane="bottomRight" activeCell="I38" sqref="I38"/>
      <pageMargins left="0.11811023622047245" right="0" top="0.74803149606299213" bottom="0.35433070866141736" header="0.31496062992125984" footer="0.31496062992125984"/>
      <pageSetup paperSize="9" scale="43" orientation="landscape" r:id="rId2"/>
    </customSheetView>
  </customSheetViews>
  <mergeCells count="52"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P4:AR4"/>
    <mergeCell ref="AA4:AA6"/>
    <mergeCell ref="AB4:AB6"/>
    <mergeCell ref="AC4:AC6"/>
    <mergeCell ref="AD4:AD6"/>
    <mergeCell ref="AE4:AE6"/>
    <mergeCell ref="AF4:AF6"/>
    <mergeCell ref="AG4:AG6"/>
    <mergeCell ref="AH4:AJ4"/>
    <mergeCell ref="AK4:AK6"/>
    <mergeCell ref="AL4:AN4"/>
    <mergeCell ref="AO4:AO6"/>
    <mergeCell ref="BT4:BT6"/>
    <mergeCell ref="BU4:BU6"/>
    <mergeCell ref="AS4:AS6"/>
    <mergeCell ref="AT4:AW4"/>
    <mergeCell ref="AY4:AY6"/>
    <mergeCell ref="AZ4:BB4"/>
    <mergeCell ref="BD4:BD6"/>
    <mergeCell ref="BE4:BF4"/>
    <mergeCell ref="CD4:CD6"/>
    <mergeCell ref="CE4:CE6"/>
    <mergeCell ref="CF4:CF6"/>
    <mergeCell ref="D5:I5"/>
    <mergeCell ref="J5:K5"/>
    <mergeCell ref="L5:M5"/>
    <mergeCell ref="BX4:BX6"/>
    <mergeCell ref="BY4:BY6"/>
    <mergeCell ref="BZ4:BZ6"/>
    <mergeCell ref="CA4:CA6"/>
    <mergeCell ref="CB4:CB6"/>
    <mergeCell ref="CC4:CC6"/>
    <mergeCell ref="BG4:BG6"/>
    <mergeCell ref="BH4:BK5"/>
    <mergeCell ref="BL4:BO5"/>
    <mergeCell ref="BP4:BS5"/>
    <mergeCell ref="V42:AD42"/>
    <mergeCell ref="V43:Z43"/>
    <mergeCell ref="AA43:AD43"/>
    <mergeCell ref="V48:Z48"/>
    <mergeCell ref="AA48:AB48"/>
    <mergeCell ref="AC48:AD48"/>
  </mergeCells>
  <pageMargins left="0.11811023622047245" right="0" top="0.74803149606299213" bottom="0.35433070866141736" header="0.31496062992125984" footer="0.31496062992125984"/>
  <pageSetup paperSize="9" scale="43" orientation="landscape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</vt:i4>
      </vt:variant>
    </vt:vector>
  </HeadingPairs>
  <TitlesOfParts>
    <vt:vector size="23" baseType="lpstr">
      <vt:lpstr>Jan</vt:lpstr>
      <vt:lpstr>DailyJan</vt:lpstr>
      <vt:lpstr>Feb</vt:lpstr>
      <vt:lpstr>DailyFeb</vt:lpstr>
      <vt:lpstr>Mar</vt:lpstr>
      <vt:lpstr>DailyMar</vt:lpstr>
      <vt:lpstr>Apr</vt:lpstr>
      <vt:lpstr>DailyApr</vt:lpstr>
      <vt:lpstr>Mei</vt:lpstr>
      <vt:lpstr>DailyMei</vt:lpstr>
      <vt:lpstr>Jun</vt:lpstr>
      <vt:lpstr>DailyJun</vt:lpstr>
      <vt:lpstr>Jul</vt:lpstr>
      <vt:lpstr>DailyJul</vt:lpstr>
      <vt:lpstr>Aug</vt:lpstr>
      <vt:lpstr>DailyAug</vt:lpstr>
      <vt:lpstr>Sep</vt:lpstr>
      <vt:lpstr>DailySep</vt:lpstr>
      <vt:lpstr>Oct</vt:lpstr>
      <vt:lpstr>DailyOct</vt:lpstr>
      <vt:lpstr>Nov</vt:lpstr>
      <vt:lpstr>DailyNov</vt:lpstr>
      <vt:lpstr>DailyAug!Print_Area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Produksi-PM</cp:lastModifiedBy>
  <cp:lastPrinted>2025-10-17T02:48:10Z</cp:lastPrinted>
  <dcterms:created xsi:type="dcterms:W3CDTF">2023-12-28T08:03:14Z</dcterms:created>
  <dcterms:modified xsi:type="dcterms:W3CDTF">2025-11-04T07:54:24Z</dcterms:modified>
</cp:coreProperties>
</file>